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nicolasallonge/Desktop/Atekka/"/>
    </mc:Choice>
  </mc:AlternateContent>
  <xr:revisionPtr revIDLastSave="0" documentId="13_ncr:1_{AEE8C21D-6187-4643-A374-81343678A9BA}" xr6:coauthVersionLast="47" xr6:coauthVersionMax="47" xr10:uidLastSave="{00000000-0000-0000-0000-000000000000}"/>
  <bookViews>
    <workbookView xWindow="0" yWindow="760" windowWidth="34560" windowHeight="20380" activeTab="6" xr2:uid="{00000000-000D-0000-FFFF-FFFF00000000}"/>
  </bookViews>
  <sheets>
    <sheet name="Assurés" sheetId="7" r:id="rId1"/>
    <sheet name="Sinistrés" sheetId="2" r:id="rId2"/>
    <sheet name="Rapport" sheetId="3" r:id="rId3"/>
    <sheet name="Feuil4" sheetId="6" r:id="rId4"/>
    <sheet name="Rapport filtré" sheetId="4" r:id="rId5"/>
    <sheet name="Bilan" sheetId="5" r:id="rId6"/>
    <sheet name="Bilan franchise 15" sheetId="8" r:id="rId7"/>
    <sheet name="Bilan franchise 20" sheetId="9" r:id="rId8"/>
    <sheet name="Bilan franchise 25" sheetId="10" r:id="rId9"/>
    <sheet name="Bilan franchise 30" sheetId="11" r:id="rId10"/>
    <sheet name="Code culture" sheetId="12" r:id="rId11"/>
  </sheets>
  <externalReferences>
    <externalReference r:id="rId12"/>
    <externalReference r:id="rId13"/>
  </externalReferences>
  <definedNames>
    <definedName name="_xlnm._FilterDatabase" localSheetId="0" hidden="1">Assurés!$A$1:$AF$4961</definedName>
    <definedName name="_xlnm._FilterDatabase" localSheetId="2" hidden="1">Rapport!$A$1:$G$4751</definedName>
    <definedName name="_xlnm._FilterDatabase" localSheetId="4" hidden="1">'Rapport filtré'!$A$1:$G$1583</definedName>
    <definedName name="_xlnm._FilterDatabase" localSheetId="1" hidden="1">Sinistrés!$A$6:$BY$4757</definedName>
    <definedName name="assuré">#REF!</definedName>
    <definedName name="cont">#REF!</definedName>
    <definedName name="contrat">#REF!</definedName>
    <definedName name="contrats">#REF!</definedName>
    <definedName name="cultures">#REF!</definedName>
    <definedName name="date">#REF!</definedName>
    <definedName name="extract">#REF!</definedName>
    <definedName name="formule">#REF!</definedName>
    <definedName name="formule2021">#REF!</definedName>
    <definedName name="ncouren">[1]Tables!#REF!</definedName>
    <definedName name="pacage">[1]Tables!$P:$Q</definedName>
    <definedName name="region">[2]!Tableau45[#All]</definedName>
    <definedName name="région">[1]!Tableau45[#All]</definedName>
    <definedName name="renewal">#REF!</definedName>
    <definedName name="table">#REF!</definedName>
    <definedName name="table1">#REF!</definedName>
    <definedName name="Table2">#REF!</definedName>
    <definedName name="table3">#REF!</definedName>
    <definedName name="table4">#REF!</definedName>
    <definedName name="table5">#REF!</definedName>
    <definedName name="_xlnm.Print_Area" localSheetId="1">Sinistrés!$C$6:$Y$6</definedName>
  </definedNames>
  <calcPr calcId="191029"/>
  <pivotCaches>
    <pivotCache cacheId="6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30" i="8"/>
  <c r="E31" i="8"/>
  <c r="E33" i="8"/>
  <c r="E34" i="8"/>
  <c r="E2" i="8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8" i="9"/>
  <c r="E29" i="9"/>
  <c r="E30" i="9"/>
  <c r="E31" i="9"/>
  <c r="E33" i="9"/>
  <c r="E34" i="9"/>
  <c r="E35" i="9"/>
  <c r="E36" i="9"/>
  <c r="E37" i="9"/>
  <c r="E2" i="9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6" i="10"/>
  <c r="E28" i="10"/>
  <c r="E30" i="10"/>
  <c r="E31" i="10"/>
  <c r="E34" i="10"/>
  <c r="E35" i="10"/>
  <c r="E36" i="10"/>
  <c r="E37" i="10"/>
  <c r="E2" i="10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9" i="11"/>
  <c r="E20" i="11"/>
  <c r="E22" i="11"/>
  <c r="E23" i="11"/>
  <c r="E24" i="11"/>
  <c r="E35" i="11"/>
  <c r="E36" i="11"/>
  <c r="E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2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2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2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2" i="8"/>
  <c r="A2" i="11" a="1"/>
  <c r="A2" i="11" s="1"/>
  <c r="A2" i="10" a="1"/>
  <c r="A2" i="10" s="1"/>
  <c r="A2" i="9" a="1"/>
  <c r="A2" i="9" s="1"/>
  <c r="A2" i="8" a="1"/>
  <c r="A2" i="8" s="1"/>
  <c r="D2" i="11" s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2" i="5"/>
  <c r="E3" i="5"/>
  <c r="J3" i="5" s="1"/>
  <c r="E4" i="5"/>
  <c r="J4" i="5" s="1"/>
  <c r="E5" i="5"/>
  <c r="J5" i="5" s="1"/>
  <c r="E6" i="5"/>
  <c r="J6" i="5" s="1"/>
  <c r="E7" i="5"/>
  <c r="J7" i="5" s="1"/>
  <c r="E8" i="5"/>
  <c r="J8" i="5" s="1"/>
  <c r="E9" i="5"/>
  <c r="J9" i="5" s="1"/>
  <c r="E10" i="5"/>
  <c r="J10" i="5" s="1"/>
  <c r="E11" i="5"/>
  <c r="J11" i="5" s="1"/>
  <c r="E12" i="5"/>
  <c r="J12" i="5" s="1"/>
  <c r="E13" i="5"/>
  <c r="J13" i="5" s="1"/>
  <c r="E14" i="5"/>
  <c r="J14" i="5" s="1"/>
  <c r="E15" i="5"/>
  <c r="J15" i="5" s="1"/>
  <c r="E16" i="5"/>
  <c r="J16" i="5" s="1"/>
  <c r="E17" i="5"/>
  <c r="J17" i="5" s="1"/>
  <c r="E18" i="5"/>
  <c r="J18" i="5" s="1"/>
  <c r="E19" i="5"/>
  <c r="J19" i="5" s="1"/>
  <c r="E20" i="5"/>
  <c r="J20" i="5" s="1"/>
  <c r="E21" i="5"/>
  <c r="J21" i="5" s="1"/>
  <c r="E22" i="5"/>
  <c r="J22" i="5" s="1"/>
  <c r="E23" i="5"/>
  <c r="J23" i="5" s="1"/>
  <c r="E24" i="5"/>
  <c r="J24" i="5" s="1"/>
  <c r="E25" i="5"/>
  <c r="J25" i="5" s="1"/>
  <c r="E26" i="5"/>
  <c r="J26" i="5" s="1"/>
  <c r="E27" i="5"/>
  <c r="J27" i="5" s="1"/>
  <c r="E28" i="5"/>
  <c r="J28" i="5" s="1"/>
  <c r="E29" i="5"/>
  <c r="J29" i="5" s="1"/>
  <c r="E30" i="5"/>
  <c r="J30" i="5" s="1"/>
  <c r="E31" i="5"/>
  <c r="J31" i="5" s="1"/>
  <c r="E32" i="5"/>
  <c r="J32" i="5" s="1"/>
  <c r="E33" i="5"/>
  <c r="J33" i="5" s="1"/>
  <c r="E34" i="5"/>
  <c r="J34" i="5" s="1"/>
  <c r="E35" i="5"/>
  <c r="J35" i="5" s="1"/>
  <c r="E36" i="5"/>
  <c r="J36" i="5" s="1"/>
  <c r="E37" i="5"/>
  <c r="J37" i="5" s="1"/>
  <c r="E38" i="5"/>
  <c r="J38" i="5" s="1"/>
  <c r="E2" i="5"/>
  <c r="J2" i="5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2" i="5"/>
  <c r="H2" i="4" a="1"/>
  <c r="H2" i="4" s="1"/>
  <c r="D28" i="8" l="1"/>
  <c r="D16" i="8"/>
  <c r="D4" i="8"/>
  <c r="D31" i="9"/>
  <c r="D19" i="9"/>
  <c r="D7" i="9"/>
  <c r="D30" i="10"/>
  <c r="D18" i="10"/>
  <c r="D6" i="10"/>
  <c r="D38" i="11"/>
  <c r="D26" i="11"/>
  <c r="D14" i="11"/>
  <c r="D2" i="8"/>
  <c r="D27" i="8"/>
  <c r="D15" i="8"/>
  <c r="D3" i="8"/>
  <c r="D30" i="9"/>
  <c r="D18" i="9"/>
  <c r="D6" i="9"/>
  <c r="D29" i="10"/>
  <c r="D17" i="10"/>
  <c r="D5" i="10"/>
  <c r="D37" i="11"/>
  <c r="D25" i="11"/>
  <c r="D13" i="11"/>
  <c r="D38" i="8"/>
  <c r="D26" i="8"/>
  <c r="D14" i="8"/>
  <c r="D29" i="9"/>
  <c r="D17" i="9"/>
  <c r="D5" i="9"/>
  <c r="D28" i="10"/>
  <c r="D16" i="10"/>
  <c r="D4" i="10"/>
  <c r="D36" i="11"/>
  <c r="D24" i="11"/>
  <c r="D12" i="11"/>
  <c r="D37" i="8"/>
  <c r="D25" i="8"/>
  <c r="D13" i="8"/>
  <c r="D28" i="9"/>
  <c r="D16" i="9"/>
  <c r="D4" i="9"/>
  <c r="D2" i="10"/>
  <c r="D27" i="10"/>
  <c r="D15" i="10"/>
  <c r="D3" i="10"/>
  <c r="D35" i="11"/>
  <c r="D23" i="11"/>
  <c r="D11" i="11"/>
  <c r="D36" i="8"/>
  <c r="D24" i="8"/>
  <c r="D12" i="8"/>
  <c r="D2" i="9"/>
  <c r="D27" i="9"/>
  <c r="D15" i="9"/>
  <c r="D3" i="9"/>
  <c r="D38" i="10"/>
  <c r="D26" i="10"/>
  <c r="D14" i="10"/>
  <c r="D34" i="11"/>
  <c r="D22" i="11"/>
  <c r="D10" i="11"/>
  <c r="D35" i="8"/>
  <c r="D23" i="8"/>
  <c r="D11" i="8"/>
  <c r="D38" i="9"/>
  <c r="D26" i="9"/>
  <c r="D14" i="9"/>
  <c r="D37" i="10"/>
  <c r="D25" i="10"/>
  <c r="D13" i="10"/>
  <c r="D33" i="11"/>
  <c r="D21" i="11"/>
  <c r="D9" i="11"/>
  <c r="D34" i="8"/>
  <c r="D22" i="8"/>
  <c r="D10" i="8"/>
  <c r="D37" i="9"/>
  <c r="D25" i="9"/>
  <c r="D13" i="9"/>
  <c r="D36" i="10"/>
  <c r="D24" i="10"/>
  <c r="D12" i="10"/>
  <c r="D32" i="11"/>
  <c r="D20" i="11"/>
  <c r="D8" i="11"/>
  <c r="D33" i="8"/>
  <c r="D21" i="8"/>
  <c r="D9" i="8"/>
  <c r="D36" i="9"/>
  <c r="D24" i="9"/>
  <c r="D12" i="9"/>
  <c r="D35" i="10"/>
  <c r="D23" i="10"/>
  <c r="D11" i="10"/>
  <c r="D31" i="11"/>
  <c r="D19" i="11"/>
  <c r="D7" i="11"/>
  <c r="D32" i="8"/>
  <c r="D20" i="8"/>
  <c r="D8" i="8"/>
  <c r="D35" i="9"/>
  <c r="D23" i="9"/>
  <c r="D11" i="9"/>
  <c r="D34" i="10"/>
  <c r="D22" i="10"/>
  <c r="D10" i="10"/>
  <c r="D30" i="11"/>
  <c r="D18" i="11"/>
  <c r="D6" i="11"/>
  <c r="D31" i="8"/>
  <c r="D19" i="8"/>
  <c r="D7" i="8"/>
  <c r="D34" i="9"/>
  <c r="D22" i="9"/>
  <c r="D10" i="9"/>
  <c r="D33" i="10"/>
  <c r="D21" i="10"/>
  <c r="D9" i="10"/>
  <c r="D29" i="11"/>
  <c r="D17" i="11"/>
  <c r="D5" i="11"/>
  <c r="D30" i="8"/>
  <c r="D18" i="8"/>
  <c r="D6" i="8"/>
  <c r="D33" i="9"/>
  <c r="D21" i="9"/>
  <c r="D9" i="9"/>
  <c r="D32" i="10"/>
  <c r="D20" i="10"/>
  <c r="D8" i="10"/>
  <c r="D28" i="11"/>
  <c r="D16" i="11"/>
  <c r="D4" i="11"/>
  <c r="D29" i="8"/>
  <c r="D17" i="8"/>
  <c r="D5" i="8"/>
  <c r="D32" i="9"/>
  <c r="D20" i="9"/>
  <c r="D8" i="9"/>
  <c r="D31" i="10"/>
  <c r="D19" i="10"/>
  <c r="D7" i="10"/>
  <c r="D27" i="11"/>
  <c r="D15" i="11"/>
  <c r="D3" i="11"/>
  <c r="A2" i="5" l="1" a="1"/>
  <c r="G4961" i="7"/>
  <c r="G4960" i="7"/>
  <c r="G4959" i="7"/>
  <c r="G4958" i="7"/>
  <c r="G4957" i="7"/>
  <c r="G4956" i="7"/>
  <c r="G4822" i="7"/>
  <c r="G4821" i="7"/>
  <c r="G4820" i="7"/>
  <c r="G4819" i="7"/>
  <c r="G4818" i="7"/>
  <c r="G4817" i="7"/>
  <c r="G4816" i="7"/>
  <c r="G4815" i="7"/>
  <c r="G4814" i="7"/>
  <c r="G4813" i="7"/>
  <c r="G4812" i="7"/>
  <c r="G4811" i="7"/>
  <c r="G4810" i="7"/>
  <c r="G4809" i="7"/>
  <c r="G4808" i="7"/>
  <c r="G4807" i="7"/>
  <c r="G4806" i="7"/>
  <c r="G4805" i="7"/>
  <c r="G4804" i="7"/>
  <c r="G4803" i="7"/>
  <c r="G4802" i="7"/>
  <c r="G4801" i="7"/>
  <c r="G4798" i="7"/>
  <c r="G4797" i="7"/>
  <c r="G4796" i="7"/>
  <c r="G4795" i="7"/>
  <c r="G4793" i="7"/>
  <c r="G4792" i="7"/>
  <c r="G4791" i="7"/>
  <c r="G4790" i="7"/>
  <c r="G4789" i="7"/>
  <c r="G4788" i="7"/>
  <c r="G4787" i="7"/>
  <c r="G4786" i="7"/>
  <c r="G4785" i="7"/>
  <c r="G4784" i="7"/>
  <c r="G4783" i="7"/>
  <c r="G4782" i="7"/>
  <c r="G4781" i="7"/>
  <c r="G4780" i="7"/>
  <c r="G4779" i="7"/>
  <c r="G4776" i="7"/>
  <c r="G4775" i="7"/>
  <c r="G4774" i="7"/>
  <c r="G4773" i="7"/>
  <c r="G4772" i="7"/>
  <c r="G4769" i="7"/>
  <c r="G4768" i="7"/>
  <c r="G4767" i="7"/>
  <c r="G4766" i="7"/>
  <c r="G4765" i="7"/>
  <c r="G4763" i="7"/>
  <c r="G4762" i="7"/>
  <c r="G4761" i="7"/>
  <c r="G4760" i="7"/>
  <c r="G4759" i="7"/>
  <c r="G4758" i="7"/>
  <c r="G4757" i="7"/>
  <c r="G4756" i="7"/>
  <c r="G4754" i="7"/>
  <c r="G4753" i="7"/>
  <c r="G4752" i="7"/>
  <c r="G4750" i="7"/>
  <c r="G4749" i="7"/>
  <c r="G4748" i="7"/>
  <c r="G4747" i="7"/>
  <c r="G4746" i="7"/>
  <c r="G4745" i="7"/>
  <c r="G4743" i="7"/>
  <c r="G4742" i="7"/>
  <c r="G4741" i="7"/>
  <c r="G4740" i="7"/>
  <c r="G4739" i="7"/>
  <c r="G4737" i="7"/>
  <c r="G4735" i="7"/>
  <c r="G4734" i="7"/>
  <c r="G4733" i="7"/>
  <c r="G4732" i="7"/>
  <c r="G4731" i="7"/>
  <c r="G4730" i="7"/>
  <c r="G4729" i="7"/>
  <c r="G4728" i="7"/>
  <c r="G4727" i="7"/>
  <c r="G4726" i="7"/>
  <c r="G4725" i="7"/>
  <c r="G4724" i="7"/>
  <c r="G4723" i="7"/>
  <c r="G4722" i="7"/>
  <c r="G4721" i="7"/>
  <c r="G4720" i="7"/>
  <c r="G4719" i="7"/>
  <c r="G4718" i="7"/>
  <c r="G4717" i="7"/>
  <c r="G4716" i="7"/>
  <c r="G4715" i="7"/>
  <c r="G4714" i="7"/>
  <c r="G4713" i="7"/>
  <c r="G4711" i="7"/>
  <c r="G4710" i="7"/>
  <c r="G4709" i="7"/>
  <c r="G4708" i="7"/>
  <c r="G4707" i="7"/>
  <c r="G4706" i="7"/>
  <c r="G4705" i="7"/>
  <c r="G4704" i="7"/>
  <c r="G4703" i="7"/>
  <c r="G4702" i="7"/>
  <c r="G4701" i="7"/>
  <c r="G4700" i="7"/>
  <c r="G4699" i="7"/>
  <c r="G4698" i="7"/>
  <c r="G4697" i="7"/>
  <c r="G4696" i="7"/>
  <c r="G4695" i="7"/>
  <c r="G4694" i="7"/>
  <c r="G4693" i="7"/>
  <c r="G4692" i="7"/>
  <c r="G4691" i="7"/>
  <c r="G4690" i="7"/>
  <c r="G4689" i="7"/>
  <c r="G4688" i="7"/>
  <c r="G4687" i="7"/>
  <c r="G4686" i="7"/>
  <c r="G4684" i="7"/>
  <c r="G4683" i="7"/>
  <c r="G4682" i="7"/>
  <c r="G4681" i="7"/>
  <c r="G4680" i="7"/>
  <c r="G4676" i="7"/>
  <c r="G4675" i="7"/>
  <c r="G4674" i="7"/>
  <c r="G4673" i="7"/>
  <c r="G4672" i="7"/>
  <c r="G4671" i="7"/>
  <c r="G4670" i="7"/>
  <c r="G4669" i="7"/>
  <c r="G4668" i="7"/>
  <c r="G4667" i="7"/>
  <c r="G4666" i="7"/>
  <c r="G4665" i="7"/>
  <c r="G4664" i="7"/>
  <c r="G4663" i="7"/>
  <c r="G4662" i="7"/>
  <c r="G4661" i="7"/>
  <c r="G4659" i="7"/>
  <c r="G4658" i="7"/>
  <c r="G4656" i="7"/>
  <c r="G4654" i="7"/>
  <c r="G4652" i="7"/>
  <c r="G4651" i="7"/>
  <c r="G4650" i="7"/>
  <c r="G4649" i="7"/>
  <c r="G4648" i="7"/>
  <c r="G4647" i="7"/>
  <c r="G4646" i="7"/>
  <c r="G4644" i="7"/>
  <c r="G4642" i="7"/>
  <c r="G4641" i="7"/>
  <c r="G4640" i="7"/>
  <c r="G4638" i="7"/>
  <c r="G4637" i="7"/>
  <c r="G4636" i="7"/>
  <c r="G4635" i="7"/>
  <c r="G4634" i="7"/>
  <c r="G4633" i="7"/>
  <c r="G4632" i="7"/>
  <c r="G4630" i="7"/>
  <c r="G4629" i="7"/>
  <c r="G4628" i="7"/>
  <c r="G4627" i="7"/>
  <c r="G4626" i="7"/>
  <c r="G4625" i="7"/>
  <c r="G4623" i="7"/>
  <c r="G4622" i="7"/>
  <c r="G4620" i="7"/>
  <c r="G4619" i="7"/>
  <c r="G4618" i="7"/>
  <c r="G4617" i="7"/>
  <c r="G4616" i="7"/>
  <c r="G4615" i="7"/>
  <c r="G4614" i="7"/>
  <c r="G4613" i="7"/>
  <c r="G4612" i="7"/>
  <c r="G4611" i="7"/>
  <c r="G4609" i="7"/>
  <c r="G4607" i="7"/>
  <c r="G4605" i="7"/>
  <c r="G4604" i="7"/>
  <c r="G4603" i="7"/>
  <c r="G4602" i="7"/>
  <c r="G4601" i="7"/>
  <c r="G4600" i="7"/>
  <c r="G4599" i="7"/>
  <c r="G4598" i="7"/>
  <c r="G4597" i="7"/>
  <c r="G4596" i="7"/>
  <c r="G4595" i="7"/>
  <c r="G4594" i="7"/>
  <c r="G4593" i="7"/>
  <c r="G4592" i="7"/>
  <c r="G4591" i="7"/>
  <c r="G4590" i="7"/>
  <c r="G4589" i="7"/>
  <c r="G4588" i="7"/>
  <c r="G4587" i="7"/>
  <c r="G4586" i="7"/>
  <c r="G4585" i="7"/>
  <c r="G4584" i="7"/>
  <c r="G4583" i="7"/>
  <c r="G4582" i="7"/>
  <c r="G4581" i="7"/>
  <c r="G4580" i="7"/>
  <c r="G4579" i="7"/>
  <c r="G4578" i="7"/>
  <c r="G4577" i="7"/>
  <c r="G4576" i="7"/>
  <c r="G4575" i="7"/>
  <c r="G4573" i="7"/>
  <c r="G4572" i="7"/>
  <c r="G4569" i="7"/>
  <c r="G4568" i="7"/>
  <c r="G4567" i="7"/>
  <c r="G4566" i="7"/>
  <c r="G4564" i="7"/>
  <c r="G4563" i="7"/>
  <c r="G4562" i="7"/>
  <c r="G4561" i="7"/>
  <c r="G4560" i="7"/>
  <c r="G4557" i="7"/>
  <c r="G4556" i="7"/>
  <c r="G4554" i="7"/>
  <c r="G4552" i="7"/>
  <c r="G4551" i="7"/>
  <c r="G4549" i="7"/>
  <c r="G4548" i="7"/>
  <c r="G4546" i="7"/>
  <c r="G4545" i="7"/>
  <c r="G4544" i="7"/>
  <c r="G4543" i="7"/>
  <c r="G4542" i="7"/>
  <c r="G4541" i="7"/>
  <c r="G4540" i="7"/>
  <c r="G4539" i="7"/>
  <c r="G4538" i="7"/>
  <c r="G4537" i="7"/>
  <c r="G4536" i="7"/>
  <c r="G4535" i="7"/>
  <c r="G4534" i="7"/>
  <c r="G4533" i="7"/>
  <c r="G4532" i="7"/>
  <c r="G4531" i="7"/>
  <c r="G4530" i="7"/>
  <c r="G4528" i="7"/>
  <c r="G4527" i="7"/>
  <c r="G4526" i="7"/>
  <c r="G4525" i="7"/>
  <c r="G4524" i="7"/>
  <c r="G4523" i="7"/>
  <c r="G4522" i="7"/>
  <c r="G4521" i="7"/>
  <c r="G4520" i="7"/>
  <c r="G4517" i="7"/>
  <c r="G4515" i="7"/>
  <c r="G4513" i="7"/>
  <c r="G4512" i="7"/>
  <c r="G4508" i="7"/>
  <c r="G4507" i="7"/>
  <c r="G4506" i="7"/>
  <c r="G4505" i="7"/>
  <c r="G4503" i="7"/>
  <c r="G4501" i="7"/>
  <c r="G4500" i="7"/>
  <c r="G4499" i="7"/>
  <c r="G4498" i="7"/>
  <c r="G4497" i="7"/>
  <c r="G4496" i="7"/>
  <c r="G4495" i="7"/>
  <c r="G4494" i="7"/>
  <c r="G4492" i="7"/>
  <c r="G4491" i="7"/>
  <c r="G4490" i="7"/>
  <c r="G4489" i="7"/>
  <c r="G4488" i="7"/>
  <c r="G4487" i="7"/>
  <c r="G4486" i="7"/>
  <c r="G4484" i="7"/>
  <c r="G4483" i="7"/>
  <c r="G4481" i="7"/>
  <c r="G4480" i="7"/>
  <c r="G4479" i="7"/>
  <c r="G4478" i="7"/>
  <c r="G4477" i="7"/>
  <c r="G4476" i="7"/>
  <c r="G4474" i="7"/>
  <c r="G4473" i="7"/>
  <c r="G4472" i="7"/>
  <c r="G4471" i="7"/>
  <c r="G4470" i="7"/>
  <c r="G4469" i="7"/>
  <c r="G4468" i="7"/>
  <c r="G4467" i="7"/>
  <c r="G4466" i="7"/>
  <c r="G4465" i="7"/>
  <c r="G4464" i="7"/>
  <c r="G4463" i="7"/>
  <c r="G4462" i="7"/>
  <c r="G4460" i="7"/>
  <c r="G4459" i="7"/>
  <c r="G4458" i="7"/>
  <c r="G4457" i="7"/>
  <c r="G4456" i="7"/>
  <c r="G4455" i="7"/>
  <c r="G4454" i="7"/>
  <c r="G4453" i="7"/>
  <c r="G4452" i="7"/>
  <c r="G4451" i="7"/>
  <c r="G4450" i="7"/>
  <c r="G4448" i="7"/>
  <c r="G4447" i="7"/>
  <c r="G4446" i="7"/>
  <c r="G4445" i="7"/>
  <c r="G4444" i="7"/>
  <c r="G4443" i="7"/>
  <c r="G4441" i="7"/>
  <c r="G4440" i="7"/>
  <c r="G4438" i="7"/>
  <c r="G4437" i="7"/>
  <c r="G4436" i="7"/>
  <c r="G4435" i="7"/>
  <c r="G4433" i="7"/>
  <c r="G4432" i="7"/>
  <c r="G4431" i="7"/>
  <c r="G4430" i="7"/>
  <c r="G4429" i="7"/>
  <c r="G4428" i="7"/>
  <c r="G4426" i="7"/>
  <c r="G4425" i="7"/>
  <c r="G4424" i="7"/>
  <c r="G4423" i="7"/>
  <c r="G4422" i="7"/>
  <c r="G4421" i="7"/>
  <c r="G4420" i="7"/>
  <c r="G4419" i="7"/>
  <c r="G4418" i="7"/>
  <c r="G4417" i="7"/>
  <c r="G4416" i="7"/>
  <c r="G4415" i="7"/>
  <c r="G4414" i="7"/>
  <c r="G4413" i="7"/>
  <c r="G4412" i="7"/>
  <c r="G4411" i="7"/>
  <c r="G4410" i="7"/>
  <c r="G4409" i="7"/>
  <c r="G4407" i="7"/>
  <c r="G4406" i="7"/>
  <c r="G4405" i="7"/>
  <c r="G4404" i="7"/>
  <c r="G4403" i="7"/>
  <c r="G4402" i="7"/>
  <c r="G4400" i="7"/>
  <c r="G4399" i="7"/>
  <c r="G4398" i="7"/>
  <c r="G4396" i="7"/>
  <c r="G4395" i="7"/>
  <c r="G4394" i="7"/>
  <c r="G4393" i="7"/>
  <c r="G4391" i="7"/>
  <c r="G4390" i="7"/>
  <c r="G4388" i="7"/>
  <c r="G4387" i="7"/>
  <c r="G4386" i="7"/>
  <c r="G4385" i="7"/>
  <c r="G4384" i="7"/>
  <c r="G4383" i="7"/>
  <c r="G4381" i="7"/>
  <c r="G4380" i="7"/>
  <c r="G4379" i="7"/>
  <c r="G4378" i="7"/>
  <c r="G4375" i="7"/>
  <c r="G4374" i="7"/>
  <c r="G4373" i="7"/>
  <c r="G4372" i="7"/>
  <c r="G4371" i="7"/>
  <c r="G4370" i="7"/>
  <c r="G4369" i="7"/>
  <c r="G4367" i="7"/>
  <c r="G4366" i="7"/>
  <c r="G4365" i="7"/>
  <c r="G4364" i="7"/>
  <c r="G4363" i="7"/>
  <c r="G4362" i="7"/>
  <c r="G4361" i="7"/>
  <c r="G4360" i="7"/>
  <c r="G4359" i="7"/>
  <c r="G4358" i="7"/>
  <c r="G4357" i="7"/>
  <c r="G4356" i="7"/>
  <c r="G4355" i="7"/>
  <c r="G4353" i="7"/>
  <c r="G4352" i="7"/>
  <c r="G4351" i="7"/>
  <c r="G4350" i="7"/>
  <c r="G4349" i="7"/>
  <c r="G4348" i="7"/>
  <c r="G4347" i="7"/>
  <c r="G4346" i="7"/>
  <c r="G4344" i="7"/>
  <c r="G4342" i="7"/>
  <c r="G4341" i="7"/>
  <c r="G4340" i="7"/>
  <c r="G4339" i="7"/>
  <c r="G4338" i="7"/>
  <c r="G4337" i="7"/>
  <c r="G4336" i="7"/>
  <c r="G4333" i="7"/>
  <c r="G4332" i="7"/>
  <c r="G4331" i="7"/>
  <c r="G4330" i="7"/>
  <c r="G4329" i="7"/>
  <c r="G4328" i="7"/>
  <c r="G4326" i="7"/>
  <c r="G4325" i="7"/>
  <c r="G4324" i="7"/>
  <c r="G4323" i="7"/>
  <c r="G4322" i="7"/>
  <c r="G4321" i="7"/>
  <c r="G4320" i="7"/>
  <c r="G4319" i="7"/>
  <c r="G4318" i="7"/>
  <c r="G4317" i="7"/>
  <c r="G4316" i="7"/>
  <c r="G4315" i="7"/>
  <c r="G4314" i="7"/>
  <c r="G4313" i="7"/>
  <c r="G4312" i="7"/>
  <c r="G4311" i="7"/>
  <c r="G4310" i="7"/>
  <c r="G4309" i="7"/>
  <c r="G4307" i="7"/>
  <c r="G4306" i="7"/>
  <c r="G4305" i="7"/>
  <c r="G4304" i="7"/>
  <c r="G4303" i="7"/>
  <c r="G4302" i="7"/>
  <c r="G4300" i="7"/>
  <c r="G4299" i="7"/>
  <c r="G4298" i="7"/>
  <c r="G4297" i="7"/>
  <c r="G4296" i="7"/>
  <c r="G4295" i="7"/>
  <c r="G4294" i="7"/>
  <c r="G4293" i="7"/>
  <c r="G4292" i="7"/>
  <c r="G4291" i="7"/>
  <c r="G4290" i="7"/>
  <c r="G4289" i="7"/>
  <c r="G4288" i="7"/>
  <c r="G4287" i="7"/>
  <c r="G4286" i="7"/>
  <c r="G4283" i="7"/>
  <c r="G4282" i="7"/>
  <c r="G4281" i="7"/>
  <c r="G4280" i="7"/>
  <c r="G4279" i="7"/>
  <c r="G4278" i="7"/>
  <c r="G4277" i="7"/>
  <c r="G4276" i="7"/>
  <c r="G4275" i="7"/>
  <c r="G4274" i="7"/>
  <c r="G4273" i="7"/>
  <c r="G4272" i="7"/>
  <c r="G4271" i="7"/>
  <c r="G4270" i="7"/>
  <c r="G4269" i="7"/>
  <c r="G4268" i="7"/>
  <c r="G4267" i="7"/>
  <c r="G4266" i="7"/>
  <c r="G4265" i="7"/>
  <c r="G4264" i="7"/>
  <c r="G4263" i="7"/>
  <c r="G4262" i="7"/>
  <c r="G4259" i="7"/>
  <c r="G4258" i="7"/>
  <c r="G4257" i="7"/>
  <c r="G4256" i="7"/>
  <c r="G4255" i="7"/>
  <c r="G4254" i="7"/>
  <c r="G4253" i="7"/>
  <c r="G4252" i="7"/>
  <c r="G4251" i="7"/>
  <c r="G4250" i="7"/>
  <c r="G4249" i="7"/>
  <c r="G4248" i="7"/>
  <c r="G4247" i="7"/>
  <c r="G4246" i="7"/>
  <c r="G4245" i="7"/>
  <c r="G4243" i="7"/>
  <c r="G4241" i="7"/>
  <c r="G4240" i="7"/>
  <c r="G4239" i="7"/>
  <c r="G4238" i="7"/>
  <c r="G4237" i="7"/>
  <c r="G4236" i="7"/>
  <c r="G4235" i="7"/>
  <c r="G4234" i="7"/>
  <c r="G4233" i="7"/>
  <c r="G4230" i="7"/>
  <c r="G4229" i="7"/>
  <c r="G4228" i="7"/>
  <c r="G4227" i="7"/>
  <c r="G4226" i="7"/>
  <c r="G4225" i="7"/>
  <c r="G4224" i="7"/>
  <c r="G4223" i="7"/>
  <c r="G4222" i="7"/>
  <c r="G4221" i="7"/>
  <c r="G4220" i="7"/>
  <c r="G4219" i="7"/>
  <c r="G4218" i="7"/>
  <c r="G4217" i="7"/>
  <c r="G4216" i="7"/>
  <c r="G4215" i="7"/>
  <c r="G4213" i="7"/>
  <c r="G4212" i="7"/>
  <c r="G4211" i="7"/>
  <c r="G4209" i="7"/>
  <c r="G4208" i="7"/>
  <c r="G4207" i="7"/>
  <c r="G4206" i="7"/>
  <c r="G4205" i="7"/>
  <c r="G4203" i="7"/>
  <c r="G4201" i="7"/>
  <c r="G4200" i="7"/>
  <c r="G4197" i="7"/>
  <c r="G4196" i="7"/>
  <c r="G4195" i="7"/>
  <c r="G4194" i="7"/>
  <c r="G4193" i="7"/>
  <c r="G4192" i="7"/>
  <c r="G4191" i="7"/>
  <c r="G4190" i="7"/>
  <c r="G4189" i="7"/>
  <c r="G4188" i="7"/>
  <c r="G4185" i="7"/>
  <c r="G4183" i="7"/>
  <c r="G4182" i="7"/>
  <c r="G4181" i="7"/>
  <c r="G4179" i="7"/>
  <c r="G4178" i="7"/>
  <c r="G4177" i="7"/>
  <c r="G4176" i="7"/>
  <c r="G4175" i="7"/>
  <c r="G4174" i="7"/>
  <c r="G4173" i="7"/>
  <c r="G4172" i="7"/>
  <c r="G4171" i="7"/>
  <c r="G4170" i="7"/>
  <c r="G4169" i="7"/>
  <c r="G4168" i="7"/>
  <c r="G4166" i="7"/>
  <c r="G4165" i="7"/>
  <c r="G4164" i="7"/>
  <c r="G4163" i="7"/>
  <c r="G4162" i="7"/>
  <c r="G4161" i="7"/>
  <c r="G4160" i="7"/>
  <c r="G4159" i="7"/>
  <c r="G4158" i="7"/>
  <c r="G4156" i="7"/>
  <c r="G4154" i="7"/>
  <c r="G4153" i="7"/>
  <c r="G4152" i="7"/>
  <c r="G4151" i="7"/>
  <c r="G4150" i="7"/>
  <c r="G4149" i="7"/>
  <c r="G4148" i="7"/>
  <c r="G4147" i="7"/>
  <c r="G4145" i="7"/>
  <c r="G4144" i="7"/>
  <c r="G4142" i="7"/>
  <c r="G4141" i="7"/>
  <c r="G4140" i="7"/>
  <c r="G4139" i="7"/>
  <c r="G4138" i="7"/>
  <c r="G4137" i="7"/>
  <c r="G4136" i="7"/>
  <c r="G4135" i="7"/>
  <c r="G4134" i="7"/>
  <c r="G4133" i="7"/>
  <c r="G4132" i="7"/>
  <c r="G4131" i="7"/>
  <c r="G4130" i="7"/>
  <c r="G4129" i="7"/>
  <c r="G4127" i="7"/>
  <c r="G4126" i="7"/>
  <c r="G4122" i="7"/>
  <c r="G4121" i="7"/>
  <c r="G4120" i="7"/>
  <c r="G4118" i="7"/>
  <c r="G4117" i="7"/>
  <c r="G4116" i="7"/>
  <c r="G4115" i="7"/>
  <c r="G4114" i="7"/>
  <c r="G4113" i="7"/>
  <c r="G4112" i="7"/>
  <c r="G4111" i="7"/>
  <c r="G4110" i="7"/>
  <c r="G4109" i="7"/>
  <c r="G4108" i="7"/>
  <c r="G4107" i="7"/>
  <c r="G4106" i="7"/>
  <c r="G4105" i="7"/>
  <c r="G4103" i="7"/>
  <c r="G4102" i="7"/>
  <c r="G4101" i="7"/>
  <c r="G4100" i="7"/>
  <c r="G4098" i="7"/>
  <c r="G4097" i="7"/>
  <c r="G4096" i="7"/>
  <c r="G4095" i="7"/>
  <c r="G4094" i="7"/>
  <c r="G4093" i="7"/>
  <c r="G4092" i="7"/>
  <c r="G4091" i="7"/>
  <c r="G4090" i="7"/>
  <c r="G4089" i="7"/>
  <c r="G4088" i="7"/>
  <c r="G4086" i="7"/>
  <c r="G4085" i="7"/>
  <c r="G4084" i="7"/>
  <c r="G4083" i="7"/>
  <c r="G4082" i="7"/>
  <c r="G4081" i="7"/>
  <c r="G4080" i="7"/>
  <c r="G4079" i="7"/>
  <c r="G4078" i="7"/>
  <c r="G4077" i="7"/>
  <c r="G4076" i="7"/>
  <c r="G4075" i="7"/>
  <c r="G4074" i="7"/>
  <c r="G4073" i="7"/>
  <c r="G4072" i="7"/>
  <c r="G4071" i="7"/>
  <c r="G4070" i="7"/>
  <c r="G4069" i="7"/>
  <c r="G4068" i="7"/>
  <c r="G4067" i="7"/>
  <c r="G4066" i="7"/>
  <c r="G4065" i="7"/>
  <c r="G4064" i="7"/>
  <c r="G4063" i="7"/>
  <c r="G4062" i="7"/>
  <c r="G4061" i="7"/>
  <c r="G4060" i="7"/>
  <c r="G4059" i="7"/>
  <c r="G4058" i="7"/>
  <c r="G4057" i="7"/>
  <c r="G4056" i="7"/>
  <c r="G4055" i="7"/>
  <c r="G4054" i="7"/>
  <c r="G4053" i="7"/>
  <c r="G4052" i="7"/>
  <c r="G4051" i="7"/>
  <c r="G4050" i="7"/>
  <c r="G4049" i="7"/>
  <c r="G4047" i="7"/>
  <c r="G4046" i="7"/>
  <c r="G4045" i="7"/>
  <c r="G4044" i="7"/>
  <c r="G4043" i="7"/>
  <c r="G4042" i="7"/>
  <c r="G4041" i="7"/>
  <c r="G4040" i="7"/>
  <c r="G4039" i="7"/>
  <c r="G4038" i="7"/>
  <c r="G4037" i="7"/>
  <c r="G4036" i="7"/>
  <c r="G4035" i="7"/>
  <c r="G4034" i="7"/>
  <c r="G4033" i="7"/>
  <c r="G4032" i="7"/>
  <c r="G4030" i="7"/>
  <c r="G4029" i="7"/>
  <c r="G4028" i="7"/>
  <c r="G4026" i="7"/>
  <c r="G4025" i="7"/>
  <c r="G4024" i="7"/>
  <c r="G4023" i="7"/>
  <c r="G4022" i="7"/>
  <c r="G4021" i="7"/>
  <c r="G4018" i="7"/>
  <c r="G4017" i="7"/>
  <c r="G4015" i="7"/>
  <c r="G4013" i="7"/>
  <c r="G4012" i="7"/>
  <c r="G4010" i="7"/>
  <c r="G4009" i="7"/>
  <c r="G4008" i="7"/>
  <c r="G4007" i="7"/>
  <c r="G4006" i="7"/>
  <c r="G4005" i="7"/>
  <c r="G4004" i="7"/>
  <c r="G4003" i="7"/>
  <c r="G4000" i="7"/>
  <c r="G3997" i="7"/>
  <c r="G3995" i="7"/>
  <c r="G3994" i="7"/>
  <c r="G3993" i="7"/>
  <c r="G3992" i="7"/>
  <c r="G3990" i="7"/>
  <c r="G3989" i="7"/>
  <c r="G3988" i="7"/>
  <c r="G3987" i="7"/>
  <c r="G3986" i="7"/>
  <c r="G3985" i="7"/>
  <c r="G3984" i="7"/>
  <c r="G3983" i="7"/>
  <c r="G3982" i="7"/>
  <c r="G3981" i="7"/>
  <c r="G3980" i="7"/>
  <c r="G3978" i="7"/>
  <c r="G3977" i="7"/>
  <c r="G3976" i="7"/>
  <c r="G3975" i="7"/>
  <c r="G3973" i="7"/>
  <c r="G3971" i="7"/>
  <c r="G3970" i="7"/>
  <c r="G3969" i="7"/>
  <c r="G3968" i="7"/>
  <c r="G3967" i="7"/>
  <c r="G3966" i="7"/>
  <c r="G3965" i="7"/>
  <c r="G3964" i="7"/>
  <c r="G3963" i="7"/>
  <c r="G3962" i="7"/>
  <c r="G3961" i="7"/>
  <c r="G3960" i="7"/>
  <c r="G3959" i="7"/>
  <c r="G3958" i="7"/>
  <c r="G3957" i="7"/>
  <c r="G3956" i="7"/>
  <c r="G3955" i="7"/>
  <c r="G3954" i="7"/>
  <c r="G3953" i="7"/>
  <c r="G3952" i="7"/>
  <c r="G3951" i="7"/>
  <c r="G3950" i="7"/>
  <c r="G3949" i="7"/>
  <c r="G3946" i="7"/>
  <c r="G3945" i="7"/>
  <c r="G3944" i="7"/>
  <c r="G3943" i="7"/>
  <c r="G3942" i="7"/>
  <c r="G3941" i="7"/>
  <c r="G3940" i="7"/>
  <c r="G3939" i="7"/>
  <c r="G3937" i="7"/>
  <c r="G3936" i="7"/>
  <c r="G3935" i="7"/>
  <c r="G3934" i="7"/>
  <c r="G3930" i="7"/>
  <c r="G3929" i="7"/>
  <c r="G3928" i="7"/>
  <c r="G3927" i="7"/>
  <c r="G3926" i="7"/>
  <c r="G3925" i="7"/>
  <c r="G3924" i="7"/>
  <c r="G3922" i="7"/>
  <c r="G3921" i="7"/>
  <c r="G3920" i="7"/>
  <c r="G3917" i="7"/>
  <c r="G3916" i="7"/>
  <c r="G3915" i="7"/>
  <c r="G3913" i="7"/>
  <c r="G3912" i="7"/>
  <c r="G3911" i="7"/>
  <c r="G3910" i="7"/>
  <c r="G3909" i="7"/>
  <c r="G3907" i="7"/>
  <c r="G3906" i="7"/>
  <c r="G3905" i="7"/>
  <c r="G3904" i="7"/>
  <c r="G3901" i="7"/>
  <c r="G3900" i="7"/>
  <c r="G3899" i="7"/>
  <c r="G3898" i="7"/>
  <c r="G3897" i="7"/>
  <c r="G3896" i="7"/>
  <c r="G3894" i="7"/>
  <c r="G3893" i="7"/>
  <c r="G3892" i="7"/>
  <c r="G3891" i="7"/>
  <c r="G3890" i="7"/>
  <c r="G3889" i="7"/>
  <c r="G3888" i="7"/>
  <c r="G3887" i="7"/>
  <c r="G3885" i="7"/>
  <c r="G3884" i="7"/>
  <c r="G3883" i="7"/>
  <c r="G3882" i="7"/>
  <c r="G3881" i="7"/>
  <c r="G3880" i="7"/>
  <c r="G3878" i="7"/>
  <c r="G3877" i="7"/>
  <c r="G3876" i="7"/>
  <c r="G3875" i="7"/>
  <c r="G3874" i="7"/>
  <c r="G3873" i="7"/>
  <c r="G3872" i="7"/>
  <c r="G3871" i="7"/>
  <c r="G3870" i="7"/>
  <c r="G3869" i="7"/>
  <c r="G3867" i="7"/>
  <c r="G3866" i="7"/>
  <c r="G3865" i="7"/>
  <c r="G3864" i="7"/>
  <c r="G3863" i="7"/>
  <c r="G3862" i="7"/>
  <c r="G3861" i="7"/>
  <c r="G3859" i="7"/>
  <c r="G3858" i="7"/>
  <c r="G3857" i="7"/>
  <c r="G3856" i="7"/>
  <c r="G3855" i="7"/>
  <c r="G3854" i="7"/>
  <c r="G3853" i="7"/>
  <c r="G3852" i="7"/>
  <c r="G3851" i="7"/>
  <c r="G3850" i="7"/>
  <c r="G3849" i="7"/>
  <c r="G3848" i="7"/>
  <c r="G3847" i="7"/>
  <c r="G3846" i="7"/>
  <c r="G3845" i="7"/>
  <c r="G3844" i="7"/>
  <c r="G3843" i="7"/>
  <c r="G3841" i="7"/>
  <c r="G3839" i="7"/>
  <c r="G3838" i="7"/>
  <c r="G3837" i="7"/>
  <c r="G3836" i="7"/>
  <c r="G3835" i="7"/>
  <c r="G3834" i="7"/>
  <c r="G3833" i="7"/>
  <c r="G3832" i="7"/>
  <c r="G3830" i="7"/>
  <c r="G3827" i="7"/>
  <c r="G3826" i="7"/>
  <c r="G3825" i="7"/>
  <c r="G3824" i="7"/>
  <c r="G3823" i="7"/>
  <c r="G3822" i="7"/>
  <c r="G3821" i="7"/>
  <c r="G3820" i="7"/>
  <c r="G3819" i="7"/>
  <c r="G3818" i="7"/>
  <c r="G3817" i="7"/>
  <c r="G3816" i="7"/>
  <c r="G3815" i="7"/>
  <c r="G3813" i="7"/>
  <c r="G3812" i="7"/>
  <c r="G3810" i="7"/>
  <c r="G3808" i="7"/>
  <c r="G3807" i="7"/>
  <c r="G3805" i="7"/>
  <c r="G3804" i="7"/>
  <c r="G3803" i="7"/>
  <c r="G3802" i="7"/>
  <c r="G3800" i="7"/>
  <c r="G3799" i="7"/>
  <c r="G3798" i="7"/>
  <c r="G3797" i="7"/>
  <c r="G3796" i="7"/>
  <c r="G3795" i="7"/>
  <c r="G3794" i="7"/>
  <c r="G3792" i="7"/>
  <c r="G3791" i="7"/>
  <c r="G3790" i="7"/>
  <c r="G3789" i="7"/>
  <c r="G3788" i="7"/>
  <c r="G3787" i="7"/>
  <c r="G3786" i="7"/>
  <c r="G3785" i="7"/>
  <c r="G3784" i="7"/>
  <c r="G3783" i="7"/>
  <c r="G3782" i="7"/>
  <c r="G3781" i="7"/>
  <c r="G3780" i="7"/>
  <c r="G3779" i="7"/>
  <c r="G3778" i="7"/>
  <c r="G3777" i="7"/>
  <c r="G3776" i="7"/>
  <c r="G3775" i="7"/>
  <c r="G3774" i="7"/>
  <c r="G3773" i="7"/>
  <c r="G3772" i="7"/>
  <c r="G3771" i="7"/>
  <c r="G3770" i="7"/>
  <c r="G3764" i="7"/>
  <c r="G3763" i="7"/>
  <c r="G3762" i="7"/>
  <c r="G3761" i="7"/>
  <c r="G3760" i="7"/>
  <c r="G3759" i="7"/>
  <c r="G3758" i="7"/>
  <c r="G3754" i="7"/>
  <c r="G3753" i="7"/>
  <c r="G3752" i="7"/>
  <c r="G3751" i="7"/>
  <c r="G3750" i="7"/>
  <c r="G3749" i="7"/>
  <c r="G3748" i="7"/>
  <c r="G3747" i="7"/>
  <c r="G3746" i="7"/>
  <c r="G3745" i="7"/>
  <c r="G3744" i="7"/>
  <c r="G3743" i="7"/>
  <c r="G3742" i="7"/>
  <c r="G3741" i="7"/>
  <c r="G3740" i="7"/>
  <c r="G3739" i="7"/>
  <c r="G3738" i="7"/>
  <c r="G3737" i="7"/>
  <c r="G3736" i="7"/>
  <c r="G3735" i="7"/>
  <c r="G3734" i="7"/>
  <c r="G3733" i="7"/>
  <c r="G3732" i="7"/>
  <c r="G3730" i="7"/>
  <c r="G3729" i="7"/>
  <c r="G3728" i="7"/>
  <c r="G3727" i="7"/>
  <c r="G3726" i="7"/>
  <c r="G3725" i="7"/>
  <c r="G3724" i="7"/>
  <c r="G3723" i="7"/>
  <c r="G3722" i="7"/>
  <c r="G3721" i="7"/>
  <c r="G3720" i="7"/>
  <c r="G3719" i="7"/>
  <c r="G3717" i="7"/>
  <c r="G3716" i="7"/>
  <c r="G3715" i="7"/>
  <c r="G3714" i="7"/>
  <c r="G3713" i="7"/>
  <c r="G3712" i="7"/>
  <c r="G3711" i="7"/>
  <c r="G3710" i="7"/>
  <c r="G3709" i="7"/>
  <c r="G3708" i="7"/>
  <c r="G3707" i="7"/>
  <c r="G3706" i="7"/>
  <c r="G3703" i="7"/>
  <c r="G3701" i="7"/>
  <c r="G3700" i="7"/>
  <c r="G3699" i="7"/>
  <c r="G3698" i="7"/>
  <c r="G3697" i="7"/>
  <c r="G3696" i="7"/>
  <c r="G3695" i="7"/>
  <c r="G3694" i="7"/>
  <c r="G3693" i="7"/>
  <c r="G3692" i="7"/>
  <c r="G3691" i="7"/>
  <c r="G3690" i="7"/>
  <c r="G3689" i="7"/>
  <c r="G3688" i="7"/>
  <c r="G3687" i="7"/>
  <c r="G3686" i="7"/>
  <c r="G3685" i="7"/>
  <c r="G3684" i="7"/>
  <c r="G3682" i="7"/>
  <c r="G3681" i="7"/>
  <c r="G3680" i="7"/>
  <c r="G3679" i="7"/>
  <c r="G3678" i="7"/>
  <c r="G3677" i="7"/>
  <c r="G3676" i="7"/>
  <c r="G3674" i="7"/>
  <c r="G3673" i="7"/>
  <c r="G3671" i="7"/>
  <c r="G3670" i="7"/>
  <c r="G3669" i="7"/>
  <c r="G3668" i="7"/>
  <c r="G3667" i="7"/>
  <c r="G3666" i="7"/>
  <c r="G3665" i="7"/>
  <c r="G3664" i="7"/>
  <c r="G3663" i="7"/>
  <c r="G3662" i="7"/>
  <c r="G3661" i="7"/>
  <c r="G3660" i="7"/>
  <c r="G3659" i="7"/>
  <c r="G3657" i="7"/>
  <c r="G3656" i="7"/>
  <c r="G3654" i="7"/>
  <c r="G3653" i="7"/>
  <c r="G3652" i="7"/>
  <c r="G3651" i="7"/>
  <c r="G3650" i="7"/>
  <c r="G3649" i="7"/>
  <c r="G3648" i="7"/>
  <c r="G3647" i="7"/>
  <c r="G3645" i="7"/>
  <c r="G3644" i="7"/>
  <c r="G3643" i="7"/>
  <c r="G3642" i="7"/>
  <c r="G3641" i="7"/>
  <c r="G3640" i="7"/>
  <c r="G3639" i="7"/>
  <c r="G3638" i="7"/>
  <c r="G3637" i="7"/>
  <c r="G3636" i="7"/>
  <c r="G3635" i="7"/>
  <c r="G3634" i="7"/>
  <c r="G3633" i="7"/>
  <c r="G3632" i="7"/>
  <c r="G3631" i="7"/>
  <c r="G3630" i="7"/>
  <c r="G3629" i="7"/>
  <c r="G3628" i="7"/>
  <c r="G3627" i="7"/>
  <c r="G3626" i="7"/>
  <c r="G3625" i="7"/>
  <c r="G3624" i="7"/>
  <c r="G3623" i="7"/>
  <c r="G3622" i="7"/>
  <c r="G3621" i="7"/>
  <c r="G3620" i="7"/>
  <c r="G3619" i="7"/>
  <c r="G3618" i="7"/>
  <c r="G3617" i="7"/>
  <c r="G3616" i="7"/>
  <c r="G3615" i="7"/>
  <c r="G3614" i="7"/>
  <c r="G3613" i="7"/>
  <c r="G3612" i="7"/>
  <c r="G3611" i="7"/>
  <c r="G3610" i="7"/>
  <c r="G3609" i="7"/>
  <c r="G3608" i="7"/>
  <c r="G3607" i="7"/>
  <c r="G3606" i="7"/>
  <c r="G3605" i="7"/>
  <c r="G3604" i="7"/>
  <c r="G3603" i="7"/>
  <c r="G3602" i="7"/>
  <c r="G3601" i="7"/>
  <c r="G3600" i="7"/>
  <c r="G3599" i="7"/>
  <c r="G3598" i="7"/>
  <c r="G3597" i="7"/>
  <c r="G3596" i="7"/>
  <c r="G3595" i="7"/>
  <c r="G3594" i="7"/>
  <c r="G3593" i="7"/>
  <c r="G3592" i="7"/>
  <c r="G3591" i="7"/>
  <c r="G3590" i="7"/>
  <c r="G3589" i="7"/>
  <c r="G3588" i="7"/>
  <c r="G3587" i="7"/>
  <c r="G3586" i="7"/>
  <c r="G3585" i="7"/>
  <c r="G3584" i="7"/>
  <c r="G3583" i="7"/>
  <c r="G3582" i="7"/>
  <c r="G3581" i="7"/>
  <c r="G3580" i="7"/>
  <c r="G3579" i="7"/>
  <c r="G3578" i="7"/>
  <c r="G3576" i="7"/>
  <c r="G3575" i="7"/>
  <c r="G3574" i="7"/>
  <c r="G3573" i="7"/>
  <c r="G3572" i="7"/>
  <c r="G3571" i="7"/>
  <c r="G3570" i="7"/>
  <c r="G3568" i="7"/>
  <c r="G3567" i="7"/>
  <c r="G3566" i="7"/>
  <c r="G3565" i="7"/>
  <c r="G3563" i="7"/>
  <c r="G3562" i="7"/>
  <c r="G3561" i="7"/>
  <c r="G3560" i="7"/>
  <c r="G3559" i="7"/>
  <c r="G3558" i="7"/>
  <c r="G3557" i="7"/>
  <c r="G3556" i="7"/>
  <c r="G3555" i="7"/>
  <c r="G3554" i="7"/>
  <c r="G3553" i="7"/>
  <c r="G3552" i="7"/>
  <c r="G3551" i="7"/>
  <c r="G3550" i="7"/>
  <c r="G3548" i="7"/>
  <c r="G3547" i="7"/>
  <c r="G3546" i="7"/>
  <c r="G3545" i="7"/>
  <c r="G3544" i="7"/>
  <c r="G3543" i="7"/>
  <c r="G3542" i="7"/>
  <c r="G3541" i="7"/>
  <c r="G3540" i="7"/>
  <c r="G3539" i="7"/>
  <c r="G3538" i="7"/>
  <c r="G3537" i="7"/>
  <c r="G3536" i="7"/>
  <c r="G3535" i="7"/>
  <c r="G3534" i="7"/>
  <c r="G3533" i="7"/>
  <c r="G3532" i="7"/>
  <c r="G3531" i="7"/>
  <c r="G3530" i="7"/>
  <c r="G3529" i="7"/>
  <c r="G3528" i="7"/>
  <c r="G3527" i="7"/>
  <c r="G3526" i="7"/>
  <c r="G3525" i="7"/>
  <c r="G3524" i="7"/>
  <c r="G3523" i="7"/>
  <c r="G3522" i="7"/>
  <c r="G3521" i="7"/>
  <c r="G3520" i="7"/>
  <c r="G3519" i="7"/>
  <c r="G3518" i="7"/>
  <c r="G3517" i="7"/>
  <c r="G3516" i="7"/>
  <c r="G3515" i="7"/>
  <c r="G3514" i="7"/>
  <c r="G3513" i="7"/>
  <c r="G3512" i="7"/>
  <c r="G3511" i="7"/>
  <c r="G3509" i="7"/>
  <c r="G3507" i="7"/>
  <c r="G3505" i="7"/>
  <c r="G3503" i="7"/>
  <c r="G3502" i="7"/>
  <c r="G3501" i="7"/>
  <c r="G3499" i="7"/>
  <c r="G3498" i="7"/>
  <c r="G3495" i="7"/>
  <c r="G3494" i="7"/>
  <c r="G3493" i="7"/>
  <c r="G3492" i="7"/>
  <c r="G3491" i="7"/>
  <c r="G3490" i="7"/>
  <c r="G3489" i="7"/>
  <c r="G3488" i="7"/>
  <c r="G3487" i="7"/>
  <c r="G3485" i="7"/>
  <c r="G3484" i="7"/>
  <c r="G3483" i="7"/>
  <c r="G3482" i="7"/>
  <c r="G3481" i="7"/>
  <c r="G3480" i="7"/>
  <c r="G3479" i="7"/>
  <c r="G3478" i="7"/>
  <c r="G3477" i="7"/>
  <c r="G3476" i="7"/>
  <c r="G3475" i="7"/>
  <c r="G3474" i="7"/>
  <c r="G3473" i="7"/>
  <c r="G3472" i="7"/>
  <c r="G3471" i="7"/>
  <c r="G3470" i="7"/>
  <c r="G3469" i="7"/>
  <c r="G3468" i="7"/>
  <c r="G3467" i="7"/>
  <c r="G3466" i="7"/>
  <c r="G3465" i="7"/>
  <c r="G3464" i="7"/>
  <c r="G3463" i="7"/>
  <c r="G3462" i="7"/>
  <c r="G3461" i="7"/>
  <c r="G3460" i="7"/>
  <c r="G3459" i="7"/>
  <c r="G3457" i="7"/>
  <c r="G3456" i="7"/>
  <c r="G3454" i="7"/>
  <c r="G3453" i="7"/>
  <c r="G3450" i="7"/>
  <c r="G3448" i="7"/>
  <c r="G3446" i="7"/>
  <c r="G3445" i="7"/>
  <c r="G3444" i="7"/>
  <c r="G3443" i="7"/>
  <c r="G3442" i="7"/>
  <c r="G3441" i="7"/>
  <c r="G3440" i="7"/>
  <c r="G3439" i="7"/>
  <c r="G3438" i="7"/>
  <c r="G3437" i="7"/>
  <c r="G3435" i="7"/>
  <c r="G3434" i="7"/>
  <c r="G3433" i="7"/>
  <c r="G3432" i="7"/>
  <c r="G3431" i="7"/>
  <c r="G3428" i="7"/>
  <c r="G3427" i="7"/>
  <c r="G3426" i="7"/>
  <c r="G3425" i="7"/>
  <c r="G3424" i="7"/>
  <c r="G3423" i="7"/>
  <c r="G3422" i="7"/>
  <c r="G3421" i="7"/>
  <c r="G3419" i="7"/>
  <c r="G3418" i="7"/>
  <c r="G3417" i="7"/>
  <c r="G3416" i="7"/>
  <c r="G3415" i="7"/>
  <c r="G3414" i="7"/>
  <c r="G3413" i="7"/>
  <c r="G3412" i="7"/>
  <c r="G3411" i="7"/>
  <c r="G3410" i="7"/>
  <c r="G3409" i="7"/>
  <c r="G3408" i="7"/>
  <c r="G3407" i="7"/>
  <c r="G3406" i="7"/>
  <c r="G3404" i="7"/>
  <c r="G3403" i="7"/>
  <c r="G3402" i="7"/>
  <c r="G3400" i="7"/>
  <c r="G3399" i="7"/>
  <c r="G3398" i="7"/>
  <c r="G3397" i="7"/>
  <c r="G3396" i="7"/>
  <c r="G3393" i="7"/>
  <c r="G3392" i="7"/>
  <c r="G3391" i="7"/>
  <c r="G3389" i="7"/>
  <c r="G3388" i="7"/>
  <c r="G3387" i="7"/>
  <c r="G3386" i="7"/>
  <c r="G3385" i="7"/>
  <c r="G3384" i="7"/>
  <c r="G3383" i="7"/>
  <c r="G3382" i="7"/>
  <c r="G3380" i="7"/>
  <c r="G3379" i="7"/>
  <c r="G3378" i="7"/>
  <c r="G3377" i="7"/>
  <c r="G3376" i="7"/>
  <c r="G3374" i="7"/>
  <c r="G3373" i="7"/>
  <c r="G3372" i="7"/>
  <c r="G3371" i="7"/>
  <c r="G3370" i="7"/>
  <c r="G3368" i="7"/>
  <c r="G3367" i="7"/>
  <c r="G3366" i="7"/>
  <c r="G3365" i="7"/>
  <c r="G3364" i="7"/>
  <c r="G3363" i="7"/>
  <c r="G3362" i="7"/>
  <c r="G3361" i="7"/>
  <c r="G3360" i="7"/>
  <c r="G3359" i="7"/>
  <c r="G3358" i="7"/>
  <c r="G3357" i="7"/>
  <c r="G3356" i="7"/>
  <c r="G3355" i="7"/>
  <c r="G3354" i="7"/>
  <c r="G3353" i="7"/>
  <c r="G3351" i="7"/>
  <c r="G3350" i="7"/>
  <c r="G3349" i="7"/>
  <c r="G3348" i="7"/>
  <c r="G3347" i="7"/>
  <c r="G3346" i="7"/>
  <c r="G3345" i="7"/>
  <c r="G3344" i="7"/>
  <c r="G3343" i="7"/>
  <c r="G3342" i="7"/>
  <c r="G3341" i="7"/>
  <c r="G3340" i="7"/>
  <c r="G3339" i="7"/>
  <c r="G3338" i="7"/>
  <c r="G3337" i="7"/>
  <c r="G3336" i="7"/>
  <c r="G3335" i="7"/>
  <c r="G3334" i="7"/>
  <c r="G3333" i="7"/>
  <c r="G3332" i="7"/>
  <c r="G3331" i="7"/>
  <c r="G3330" i="7"/>
  <c r="G3329" i="7"/>
  <c r="G3328" i="7"/>
  <c r="G3327" i="7"/>
  <c r="G3326" i="7"/>
  <c r="G3325" i="7"/>
  <c r="G3324" i="7"/>
  <c r="G3323" i="7"/>
  <c r="G3322" i="7"/>
  <c r="G3320" i="7"/>
  <c r="G3319" i="7"/>
  <c r="G3318" i="7"/>
  <c r="G3317" i="7"/>
  <c r="G3316" i="7"/>
  <c r="G3315" i="7"/>
  <c r="G3314" i="7"/>
  <c r="G3311" i="7"/>
  <c r="G3310" i="7"/>
  <c r="G3309" i="7"/>
  <c r="G3308" i="7"/>
  <c r="G3307" i="7"/>
  <c r="G3306" i="7"/>
  <c r="G3305" i="7"/>
  <c r="G3304" i="7"/>
  <c r="G3303" i="7"/>
  <c r="G3302" i="7"/>
  <c r="G3301" i="7"/>
  <c r="G3300" i="7"/>
  <c r="G3298" i="7"/>
  <c r="G3297" i="7"/>
  <c r="G3296" i="7"/>
  <c r="G3295" i="7"/>
  <c r="G3294" i="7"/>
  <c r="G3293" i="7"/>
  <c r="G3292" i="7"/>
  <c r="G3291" i="7"/>
  <c r="G3290" i="7"/>
  <c r="G3289" i="7"/>
  <c r="G3288" i="7"/>
  <c r="G3287" i="7"/>
  <c r="G3286" i="7"/>
  <c r="G3285" i="7"/>
  <c r="G3284" i="7"/>
  <c r="G3283" i="7"/>
  <c r="G3282" i="7"/>
  <c r="G3281" i="7"/>
  <c r="G3280" i="7"/>
  <c r="G3279" i="7"/>
  <c r="G3278" i="7"/>
  <c r="G3277" i="7"/>
  <c r="G3276" i="7"/>
  <c r="G3275" i="7"/>
  <c r="G3274" i="7"/>
  <c r="G3273" i="7"/>
  <c r="G3272" i="7"/>
  <c r="G3271" i="7"/>
  <c r="G3270" i="7"/>
  <c r="G3269" i="7"/>
  <c r="G3268" i="7"/>
  <c r="G3267" i="7"/>
  <c r="G3266" i="7"/>
  <c r="G3263" i="7"/>
  <c r="G3262" i="7"/>
  <c r="G3261" i="7"/>
  <c r="G3260" i="7"/>
  <c r="G3259" i="7"/>
  <c r="G3258" i="7"/>
  <c r="G3257" i="7"/>
  <c r="G3256" i="7"/>
  <c r="G3255" i="7"/>
  <c r="G3254" i="7"/>
  <c r="G3253" i="7"/>
  <c r="G3252" i="7"/>
  <c r="G3251" i="7"/>
  <c r="G3250" i="7"/>
  <c r="G3249" i="7"/>
  <c r="G3248" i="7"/>
  <c r="G3247" i="7"/>
  <c r="G3246" i="7"/>
  <c r="G3245" i="7"/>
  <c r="G3244" i="7"/>
  <c r="G3243" i="7"/>
  <c r="G3242" i="7"/>
  <c r="G3241" i="7"/>
  <c r="G3240" i="7"/>
  <c r="G3239" i="7"/>
  <c r="G3238" i="7"/>
  <c r="G3237" i="7"/>
  <c r="G3236" i="7"/>
  <c r="G3235" i="7"/>
  <c r="G3234" i="7"/>
  <c r="G3233" i="7"/>
  <c r="G3231" i="7"/>
  <c r="G3230" i="7"/>
  <c r="G3229" i="7"/>
  <c r="G3228" i="7"/>
  <c r="G3227" i="7"/>
  <c r="G3226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6" i="7"/>
  <c r="G3165" i="7"/>
  <c r="G3164" i="7"/>
  <c r="G3163" i="7"/>
  <c r="G3162" i="7"/>
  <c r="G3161" i="7"/>
  <c r="G3158" i="7"/>
  <c r="G3157" i="7"/>
  <c r="G3156" i="7"/>
  <c r="G3155" i="7"/>
  <c r="G3154" i="7"/>
  <c r="G3153" i="7"/>
  <c r="G3151" i="7"/>
  <c r="G3150" i="7"/>
  <c r="G3149" i="7"/>
  <c r="G3148" i="7"/>
  <c r="G3147" i="7"/>
  <c r="G3144" i="7"/>
  <c r="G3141" i="7"/>
  <c r="G3140" i="7"/>
  <c r="G3139" i="7"/>
  <c r="G3138" i="7"/>
  <c r="G3137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4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3" i="7"/>
  <c r="G3032" i="7"/>
  <c r="G3031" i="7"/>
  <c r="G3028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8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1" i="7"/>
  <c r="G2980" i="7"/>
  <c r="G2979" i="7"/>
  <c r="G2978" i="7"/>
  <c r="G2977" i="7"/>
  <c r="G2976" i="7"/>
  <c r="G2975" i="7"/>
  <c r="G2973" i="7"/>
  <c r="G2971" i="7"/>
  <c r="G2970" i="7"/>
  <c r="G2968" i="7"/>
  <c r="G2966" i="7"/>
  <c r="G2965" i="7"/>
  <c r="G2964" i="7"/>
  <c r="G2963" i="7"/>
  <c r="G2961" i="7"/>
  <c r="G2960" i="7"/>
  <c r="G2959" i="7"/>
  <c r="G2958" i="7"/>
  <c r="G2957" i="7"/>
  <c r="G2956" i="7"/>
  <c r="G2955" i="7"/>
  <c r="G2953" i="7"/>
  <c r="G2952" i="7"/>
  <c r="G2951" i="7"/>
  <c r="G2950" i="7"/>
  <c r="G2949" i="7"/>
  <c r="G2948" i="7"/>
  <c r="G2946" i="7"/>
  <c r="G2945" i="7"/>
  <c r="G2942" i="7"/>
  <c r="G2941" i="7"/>
  <c r="G2940" i="7"/>
  <c r="G2939" i="7"/>
  <c r="G2938" i="7"/>
  <c r="G2937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1" i="7"/>
  <c r="G2900" i="7"/>
  <c r="G2899" i="7"/>
  <c r="G2898" i="7"/>
  <c r="G2897" i="7"/>
  <c r="G2896" i="7"/>
  <c r="G2895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8" i="7"/>
  <c r="G2877" i="7"/>
  <c r="G2876" i="7"/>
  <c r="G2875" i="7"/>
  <c r="G2874" i="7"/>
  <c r="G2873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7" i="7"/>
  <c r="G2856" i="7"/>
  <c r="G2855" i="7"/>
  <c r="G2854" i="7"/>
  <c r="G2853" i="7"/>
  <c r="G2852" i="7"/>
  <c r="G2851" i="7"/>
  <c r="G2850" i="7"/>
  <c r="G2849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0" i="7"/>
  <c r="G2809" i="7"/>
  <c r="G2808" i="7"/>
  <c r="G2807" i="7"/>
  <c r="G2804" i="7"/>
  <c r="G2800" i="7"/>
  <c r="G2799" i="7"/>
  <c r="G2798" i="7"/>
  <c r="G2797" i="7"/>
  <c r="G2796" i="7"/>
  <c r="G2795" i="7"/>
  <c r="G2794" i="7"/>
  <c r="G2791" i="7"/>
  <c r="G2789" i="7"/>
  <c r="G2788" i="7"/>
  <c r="G2787" i="7"/>
  <c r="G2786" i="7"/>
  <c r="G2784" i="7"/>
  <c r="G2782" i="7"/>
  <c r="G2781" i="7"/>
  <c r="G2780" i="7"/>
  <c r="G2779" i="7"/>
  <c r="G2778" i="7"/>
  <c r="G2776" i="7"/>
  <c r="G2774" i="7"/>
  <c r="G2772" i="7"/>
  <c r="G2771" i="7"/>
  <c r="G2770" i="7"/>
  <c r="G2769" i="7"/>
  <c r="G2768" i="7"/>
  <c r="G2767" i="7"/>
  <c r="G2766" i="7"/>
  <c r="G2765" i="7"/>
  <c r="G2763" i="7"/>
  <c r="G2761" i="7"/>
  <c r="G2760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0" i="7"/>
  <c r="G2739" i="7"/>
  <c r="G2738" i="7"/>
  <c r="G2737" i="7"/>
  <c r="G2736" i="7"/>
  <c r="G2735" i="7"/>
  <c r="G2734" i="7"/>
  <c r="G2733" i="7"/>
  <c r="G2730" i="7"/>
  <c r="G2729" i="7"/>
  <c r="G2728" i="7"/>
  <c r="G2727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3" i="7"/>
  <c r="G2692" i="7"/>
  <c r="G2691" i="7"/>
  <c r="G2689" i="7"/>
  <c r="G2688" i="7"/>
  <c r="G2686" i="7"/>
  <c r="G2685" i="7"/>
  <c r="G2684" i="7"/>
  <c r="G2682" i="7"/>
  <c r="G2680" i="7"/>
  <c r="G2679" i="7"/>
  <c r="G2678" i="7"/>
  <c r="G2677" i="7"/>
  <c r="G2676" i="7"/>
  <c r="G2675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1" i="7"/>
  <c r="G2650" i="7"/>
  <c r="G2649" i="7"/>
  <c r="G2645" i="7"/>
  <c r="G2644" i="7"/>
  <c r="G2643" i="7"/>
  <c r="G2640" i="7"/>
  <c r="G2639" i="7"/>
  <c r="G2638" i="7"/>
  <c r="G2637" i="7"/>
  <c r="G2634" i="7"/>
  <c r="G2633" i="7"/>
  <c r="G2632" i="7"/>
  <c r="G2631" i="7"/>
  <c r="G2629" i="7"/>
  <c r="G2627" i="7"/>
  <c r="G2626" i="7"/>
  <c r="G2625" i="7"/>
  <c r="G2624" i="7"/>
  <c r="G2623" i="7"/>
  <c r="G2622" i="7"/>
  <c r="G2620" i="7"/>
  <c r="G2619" i="7"/>
  <c r="G2618" i="7"/>
  <c r="G2616" i="7"/>
  <c r="G2614" i="7"/>
  <c r="G2613" i="7"/>
  <c r="G2612" i="7"/>
  <c r="G2611" i="7"/>
  <c r="G2609" i="7"/>
  <c r="G2608" i="7"/>
  <c r="G2607" i="7"/>
  <c r="G2606" i="7"/>
  <c r="G2604" i="7"/>
  <c r="G2603" i="7"/>
  <c r="G2602" i="7"/>
  <c r="G2601" i="7"/>
  <c r="G2600" i="7"/>
  <c r="G2599" i="7"/>
  <c r="G2598" i="7"/>
  <c r="G2596" i="7"/>
  <c r="G2595" i="7"/>
  <c r="G2594" i="7"/>
  <c r="G2593" i="7"/>
  <c r="G2592" i="7"/>
  <c r="G2591" i="7"/>
  <c r="G2590" i="7"/>
  <c r="G2587" i="7"/>
  <c r="G2586" i="7"/>
  <c r="G2585" i="7"/>
  <c r="G2584" i="7"/>
  <c r="G2583" i="7"/>
  <c r="G2582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7" i="7"/>
  <c r="G2566" i="7"/>
  <c r="G2565" i="7"/>
  <c r="G2564" i="7"/>
  <c r="G2563" i="7"/>
  <c r="G2561" i="7"/>
  <c r="G2560" i="7"/>
  <c r="G2559" i="7"/>
  <c r="G2558" i="7"/>
  <c r="G2557" i="7"/>
  <c r="G2556" i="7"/>
  <c r="G2555" i="7"/>
  <c r="G2554" i="7"/>
  <c r="G2553" i="7"/>
  <c r="G2551" i="7"/>
  <c r="G2550" i="7"/>
  <c r="G2548" i="7"/>
  <c r="G2546" i="7"/>
  <c r="G2545" i="7"/>
  <c r="G2544" i="7"/>
  <c r="G2543" i="7"/>
  <c r="G2542" i="7"/>
  <c r="G2541" i="7"/>
  <c r="G2540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8" i="7"/>
  <c r="G2507" i="7"/>
  <c r="G2506" i="7"/>
  <c r="G2504" i="7"/>
  <c r="G2503" i="7"/>
  <c r="G2502" i="7"/>
  <c r="G2498" i="7"/>
  <c r="G2497" i="7"/>
  <c r="G2496" i="7"/>
  <c r="G2495" i="7"/>
  <c r="G2494" i="7"/>
  <c r="G2493" i="7"/>
  <c r="G2492" i="7"/>
  <c r="G2490" i="7"/>
  <c r="G2489" i="7"/>
  <c r="G2488" i="7"/>
  <c r="G2487" i="7"/>
  <c r="G2486" i="7"/>
  <c r="G2485" i="7"/>
  <c r="G2484" i="7"/>
  <c r="G2483" i="7"/>
  <c r="G2479" i="7"/>
  <c r="G2478" i="7"/>
  <c r="G2477" i="7"/>
  <c r="G2476" i="7"/>
  <c r="G2475" i="7"/>
  <c r="G2474" i="7"/>
  <c r="G2473" i="7"/>
  <c r="G2472" i="7"/>
  <c r="G2470" i="7"/>
  <c r="G2469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7" i="7"/>
  <c r="G2426" i="7"/>
  <c r="G2425" i="7"/>
  <c r="G2423" i="7"/>
  <c r="G2422" i="7"/>
  <c r="G2420" i="7"/>
  <c r="G2419" i="7"/>
  <c r="G2417" i="7"/>
  <c r="G2416" i="7"/>
  <c r="G2415" i="7"/>
  <c r="G2414" i="7"/>
  <c r="G2413" i="7"/>
  <c r="G2412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6" i="7"/>
  <c r="G2395" i="7"/>
  <c r="G2394" i="7"/>
  <c r="G2393" i="7"/>
  <c r="G2392" i="7"/>
  <c r="G2391" i="7"/>
  <c r="G2390" i="7"/>
  <c r="G2388" i="7"/>
  <c r="G2387" i="7"/>
  <c r="G2386" i="7"/>
  <c r="G2385" i="7"/>
  <c r="G2384" i="7"/>
  <c r="G2383" i="7"/>
  <c r="G2382" i="7"/>
  <c r="G2381" i="7"/>
  <c r="G2379" i="7"/>
  <c r="G2378" i="7"/>
  <c r="G2377" i="7"/>
  <c r="G2376" i="7"/>
  <c r="G2375" i="7"/>
  <c r="G2373" i="7"/>
  <c r="G2372" i="7"/>
  <c r="G2371" i="7"/>
  <c r="G2369" i="7"/>
  <c r="G2367" i="7"/>
  <c r="G2366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49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2" i="7"/>
  <c r="G2281" i="7"/>
  <c r="G2280" i="7"/>
  <c r="G2279" i="7"/>
  <c r="G2278" i="7"/>
  <c r="G2277" i="7"/>
  <c r="G2276" i="7"/>
  <c r="G2273" i="7"/>
  <c r="G2272" i="7"/>
  <c r="G2271" i="7"/>
  <c r="G2269" i="7"/>
  <c r="G2268" i="7"/>
  <c r="G2266" i="7"/>
  <c r="G2265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48" i="7"/>
  <c r="G2247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1" i="7"/>
  <c r="G2227" i="7"/>
  <c r="G2225" i="7"/>
  <c r="G2224" i="7"/>
  <c r="G2221" i="7"/>
  <c r="G2219" i="7"/>
  <c r="G2218" i="7"/>
  <c r="G2217" i="7"/>
  <c r="G2216" i="7"/>
  <c r="G2215" i="7"/>
  <c r="G2214" i="7"/>
  <c r="G2212" i="7"/>
  <c r="G2211" i="7"/>
  <c r="G2210" i="7"/>
  <c r="G2208" i="7"/>
  <c r="G2207" i="7"/>
  <c r="G2206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89" i="7"/>
  <c r="G2188" i="7"/>
  <c r="G2187" i="7"/>
  <c r="G2186" i="7"/>
  <c r="G2185" i="7"/>
  <c r="G2184" i="7"/>
  <c r="G2182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7" i="7"/>
  <c r="G2146" i="7"/>
  <c r="G2145" i="7"/>
  <c r="G2144" i="7"/>
  <c r="G2143" i="7"/>
  <c r="G2142" i="7"/>
  <c r="G2141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4" i="7"/>
  <c r="G2123" i="7"/>
  <c r="G2122" i="7"/>
  <c r="G2121" i="7"/>
  <c r="G2119" i="7"/>
  <c r="G2118" i="7"/>
  <c r="G2117" i="7"/>
  <c r="G2116" i="7"/>
  <c r="G2115" i="7"/>
  <c r="G2114" i="7"/>
  <c r="G2112" i="7"/>
  <c r="G2111" i="7"/>
  <c r="G2110" i="7"/>
  <c r="G2109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6" i="7"/>
  <c r="G2084" i="7"/>
  <c r="G2083" i="7"/>
  <c r="G2082" i="7"/>
  <c r="G2081" i="7"/>
  <c r="G2080" i="7"/>
  <c r="G2079" i="7"/>
  <c r="G2077" i="7"/>
  <c r="G2075" i="7"/>
  <c r="G2074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09" i="7"/>
  <c r="G2008" i="7"/>
  <c r="G2007" i="7"/>
  <c r="G2006" i="7"/>
  <c r="G2004" i="7"/>
  <c r="G2003" i="7"/>
  <c r="G2002" i="7"/>
  <c r="G2001" i="7"/>
  <c r="G2000" i="7"/>
  <c r="G1999" i="7"/>
  <c r="G1998" i="7"/>
  <c r="G1996" i="7"/>
  <c r="G1994" i="7"/>
  <c r="G1993" i="7"/>
  <c r="G1992" i="7"/>
  <c r="G1991" i="7"/>
  <c r="G1989" i="7"/>
  <c r="G1988" i="7"/>
  <c r="G1987" i="7"/>
  <c r="G1986" i="7"/>
  <c r="G1985" i="7"/>
  <c r="G1984" i="7"/>
  <c r="G1983" i="7"/>
  <c r="G1981" i="7"/>
  <c r="G1980" i="7"/>
  <c r="G1979" i="7"/>
  <c r="G1978" i="7"/>
  <c r="G1977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8" i="7"/>
  <c r="G1957" i="7"/>
  <c r="G1956" i="7"/>
  <c r="G1955" i="7"/>
  <c r="G1954" i="7"/>
  <c r="G1953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6" i="7"/>
  <c r="G1854" i="7"/>
  <c r="G1853" i="7"/>
  <c r="G1852" i="7"/>
  <c r="G1851" i="7"/>
  <c r="G1850" i="7"/>
  <c r="G1849" i="7"/>
  <c r="G1846" i="7"/>
  <c r="G1845" i="7"/>
  <c r="G1843" i="7"/>
  <c r="G1841" i="7"/>
  <c r="G1840" i="7"/>
  <c r="G1839" i="7"/>
  <c r="G1837" i="7"/>
  <c r="G1836" i="7"/>
  <c r="G1835" i="7"/>
  <c r="G1834" i="7"/>
  <c r="G1832" i="7"/>
  <c r="G1831" i="7"/>
  <c r="G1830" i="7"/>
  <c r="G1829" i="7"/>
  <c r="G1828" i="7"/>
  <c r="G1827" i="7"/>
  <c r="G1826" i="7"/>
  <c r="G1824" i="7"/>
  <c r="G1823" i="7"/>
  <c r="G1822" i="7"/>
  <c r="G1821" i="7"/>
  <c r="G1820" i="7"/>
  <c r="G1819" i="7"/>
  <c r="G1818" i="7"/>
  <c r="G1817" i="7"/>
  <c r="G1816" i="7"/>
  <c r="G1815" i="7"/>
  <c r="G1813" i="7"/>
  <c r="G1811" i="7"/>
  <c r="G1810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6" i="7"/>
  <c r="G1755" i="7"/>
  <c r="G1753" i="7"/>
  <c r="G1749" i="7"/>
  <c r="G1748" i="7"/>
  <c r="G1747" i="7"/>
  <c r="G1746" i="7"/>
  <c r="G1745" i="7"/>
  <c r="G1743" i="7"/>
  <c r="G1742" i="7"/>
  <c r="G1741" i="7"/>
  <c r="G1739" i="7"/>
  <c r="G1738" i="7"/>
  <c r="G1737" i="7"/>
  <c r="G1736" i="7"/>
  <c r="G1735" i="7"/>
  <c r="G1734" i="7"/>
  <c r="G1733" i="7"/>
  <c r="G1732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4" i="7"/>
  <c r="G1683" i="7"/>
  <c r="G1682" i="7"/>
  <c r="G1681" i="7"/>
  <c r="G1680" i="7"/>
  <c r="G1679" i="7"/>
  <c r="G1678" i="7"/>
  <c r="G1674" i="7"/>
  <c r="G1673" i="7"/>
  <c r="G1672" i="7"/>
  <c r="G1671" i="7"/>
  <c r="G1670" i="7"/>
  <c r="G1668" i="7"/>
  <c r="G1667" i="7"/>
  <c r="G1666" i="7"/>
  <c r="G1665" i="7"/>
  <c r="G1664" i="7"/>
  <c r="G1663" i="7"/>
  <c r="G1661" i="7"/>
  <c r="G1660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6" i="7"/>
  <c r="G1624" i="7"/>
  <c r="G1623" i="7"/>
  <c r="G1619" i="7"/>
  <c r="G1618" i="7"/>
  <c r="G1614" i="7"/>
  <c r="G1613" i="7"/>
  <c r="G1612" i="7"/>
  <c r="G1611" i="7"/>
  <c r="G1609" i="7"/>
  <c r="G1608" i="7"/>
  <c r="G1607" i="7"/>
  <c r="G1606" i="7"/>
  <c r="G1605" i="7"/>
  <c r="G1603" i="7"/>
  <c r="G1602" i="7"/>
  <c r="G1601" i="7"/>
  <c r="G1600" i="7"/>
  <c r="G1599" i="7"/>
  <c r="G1598" i="7"/>
  <c r="G1597" i="7"/>
  <c r="G1596" i="7"/>
  <c r="G1593" i="7"/>
  <c r="G1592" i="7"/>
  <c r="G1591" i="7"/>
  <c r="G1590" i="7"/>
  <c r="G1588" i="7"/>
  <c r="G1587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59" i="7"/>
  <c r="G1558" i="7"/>
  <c r="G1557" i="7"/>
  <c r="G1556" i="7"/>
  <c r="G1555" i="7"/>
  <c r="G1553" i="7"/>
  <c r="G1552" i="7"/>
  <c r="G1551" i="7"/>
  <c r="G1550" i="7"/>
  <c r="G1549" i="7"/>
  <c r="G1548" i="7"/>
  <c r="G1547" i="7"/>
  <c r="G1546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6" i="7"/>
  <c r="G1505" i="7"/>
  <c r="G1504" i="7"/>
  <c r="G1503" i="7"/>
  <c r="G1502" i="7"/>
  <c r="G1501" i="7"/>
  <c r="G1500" i="7"/>
  <c r="G1499" i="7"/>
  <c r="G1498" i="7"/>
  <c r="G1497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4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6" i="7"/>
  <c r="G1405" i="7"/>
  <c r="G1404" i="7"/>
  <c r="G1403" i="7"/>
  <c r="G1402" i="7"/>
  <c r="G1401" i="7"/>
  <c r="G1400" i="7"/>
  <c r="G1399" i="7"/>
  <c r="G1397" i="7"/>
  <c r="G1396" i="7"/>
  <c r="G1395" i="7"/>
  <c r="G1394" i="7"/>
  <c r="G1393" i="7"/>
  <c r="G1392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7" i="7"/>
  <c r="G1366" i="7"/>
  <c r="G1365" i="7"/>
  <c r="G1364" i="7"/>
  <c r="G1363" i="7"/>
  <c r="G1361" i="7"/>
  <c r="G1360" i="7"/>
  <c r="G1359" i="7"/>
  <c r="G1358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1" i="7"/>
  <c r="G1310" i="7"/>
  <c r="G1309" i="7"/>
  <c r="G1308" i="7"/>
  <c r="G1307" i="7"/>
  <c r="G1306" i="7"/>
  <c r="G1305" i="7"/>
  <c r="G1304" i="7"/>
  <c r="G1303" i="7"/>
  <c r="G1299" i="7"/>
  <c r="G1296" i="7"/>
  <c r="G1295" i="7"/>
  <c r="G1294" i="7"/>
  <c r="G1293" i="7"/>
  <c r="G1292" i="7"/>
  <c r="G1291" i="7"/>
  <c r="G1290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1" i="7"/>
  <c r="G1270" i="7"/>
  <c r="G1269" i="7"/>
  <c r="G1268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7" i="7"/>
  <c r="G1175" i="7"/>
  <c r="G1173" i="7"/>
  <c r="G1172" i="7"/>
  <c r="G1170" i="7"/>
  <c r="G1169" i="7"/>
  <c r="G1168" i="7"/>
  <c r="G1167" i="7"/>
  <c r="G1166" i="7"/>
  <c r="G1165" i="7"/>
  <c r="G1162" i="7"/>
  <c r="G1161" i="7"/>
  <c r="G1158" i="7"/>
  <c r="G1157" i="7"/>
  <c r="G1156" i="7"/>
  <c r="G1155" i="7"/>
  <c r="G1154" i="7"/>
  <c r="G1153" i="7"/>
  <c r="G1152" i="7"/>
  <c r="G1151" i="7"/>
  <c r="G1150" i="7"/>
  <c r="G1148" i="7"/>
  <c r="G1146" i="7"/>
  <c r="G1145" i="7"/>
  <c r="G1144" i="7"/>
  <c r="G1143" i="7"/>
  <c r="G1142" i="7"/>
  <c r="G1141" i="7"/>
  <c r="G1136" i="7"/>
  <c r="G1134" i="7"/>
  <c r="G1133" i="7"/>
  <c r="G1131" i="7"/>
  <c r="G1130" i="7"/>
  <c r="G1129" i="7"/>
  <c r="G1128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2" i="7"/>
  <c r="G1111" i="7"/>
  <c r="G1110" i="7"/>
  <c r="G1109" i="7"/>
  <c r="G1108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4" i="7"/>
  <c r="G1033" i="7"/>
  <c r="G1032" i="7"/>
  <c r="G1030" i="7"/>
  <c r="G1028" i="7"/>
  <c r="G1027" i="7"/>
  <c r="G1026" i="7"/>
  <c r="G1025" i="7"/>
  <c r="G1023" i="7"/>
  <c r="G1022" i="7"/>
  <c r="G1021" i="7"/>
  <c r="G1018" i="7"/>
  <c r="G1017" i="7"/>
  <c r="G1016" i="7"/>
  <c r="G1015" i="7"/>
  <c r="G1014" i="7"/>
  <c r="G1013" i="7"/>
  <c r="G1012" i="7"/>
  <c r="G1010" i="7"/>
  <c r="G1008" i="7"/>
  <c r="G1007" i="7"/>
  <c r="G1006" i="7"/>
  <c r="G1005" i="7"/>
  <c r="G1004" i="7"/>
  <c r="G1003" i="7"/>
  <c r="G1002" i="7"/>
  <c r="G1000" i="7"/>
  <c r="G999" i="7"/>
  <c r="G998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0" i="7"/>
  <c r="G947" i="7"/>
  <c r="G946" i="7"/>
  <c r="G945" i="7"/>
  <c r="G941" i="7"/>
  <c r="G939" i="7"/>
  <c r="G937" i="7"/>
  <c r="G935" i="7"/>
  <c r="G934" i="7"/>
  <c r="G933" i="7"/>
  <c r="G929" i="7"/>
  <c r="G927" i="7"/>
  <c r="G926" i="7"/>
  <c r="G925" i="7"/>
  <c r="G924" i="7"/>
  <c r="G923" i="7"/>
  <c r="G922" i="7"/>
  <c r="G920" i="7"/>
  <c r="G918" i="7"/>
  <c r="G917" i="7"/>
  <c r="G916" i="7"/>
  <c r="G915" i="7"/>
  <c r="G914" i="7"/>
  <c r="G913" i="7"/>
  <c r="G912" i="7"/>
  <c r="G911" i="7"/>
  <c r="G910" i="7"/>
  <c r="G909" i="7"/>
  <c r="G908" i="7"/>
  <c r="G906" i="7"/>
  <c r="G905" i="7"/>
  <c r="G904" i="7"/>
  <c r="G903" i="7"/>
  <c r="G902" i="7"/>
  <c r="G901" i="7"/>
  <c r="G900" i="7"/>
  <c r="G899" i="7"/>
  <c r="G898" i="7"/>
  <c r="G895" i="7"/>
  <c r="G894" i="7"/>
  <c r="G893" i="7"/>
  <c r="G892" i="7"/>
  <c r="G891" i="7"/>
  <c r="G890" i="7"/>
  <c r="G889" i="7"/>
  <c r="G888" i="7"/>
  <c r="G887" i="7"/>
  <c r="G886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38" i="7"/>
  <c r="G837" i="7"/>
  <c r="G836" i="7"/>
  <c r="G835" i="7"/>
  <c r="G834" i="7"/>
  <c r="G833" i="7"/>
  <c r="G832" i="7"/>
  <c r="G831" i="7"/>
  <c r="G830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1" i="7"/>
  <c r="G800" i="7"/>
  <c r="G799" i="7"/>
  <c r="G798" i="7"/>
  <c r="G797" i="7"/>
  <c r="G796" i="7"/>
  <c r="G795" i="7"/>
  <c r="G792" i="7"/>
  <c r="G791" i="7"/>
  <c r="G790" i="7"/>
  <c r="G789" i="7"/>
  <c r="G788" i="7"/>
  <c r="G787" i="7"/>
  <c r="G786" i="7"/>
  <c r="G784" i="7"/>
  <c r="G783" i="7"/>
  <c r="G782" i="7"/>
  <c r="G780" i="7"/>
  <c r="G779" i="7"/>
  <c r="G778" i="7"/>
  <c r="G777" i="7"/>
  <c r="G776" i="7"/>
  <c r="G774" i="7"/>
  <c r="G773" i="7"/>
  <c r="G772" i="7"/>
  <c r="G771" i="7"/>
  <c r="G770" i="7"/>
  <c r="G769" i="7"/>
  <c r="G768" i="7"/>
  <c r="G767" i="7"/>
  <c r="G766" i="7"/>
  <c r="G764" i="7"/>
  <c r="G763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7" i="7"/>
  <c r="G746" i="7"/>
  <c r="G745" i="7"/>
  <c r="G744" i="7"/>
  <c r="G743" i="7"/>
  <c r="G742" i="7"/>
  <c r="G740" i="7"/>
  <c r="G739" i="7"/>
  <c r="G738" i="7"/>
  <c r="G737" i="7"/>
  <c r="G736" i="7"/>
  <c r="G735" i="7"/>
  <c r="G734" i="7"/>
  <c r="G733" i="7"/>
  <c r="G732" i="7"/>
  <c r="G731" i="7"/>
  <c r="G730" i="7"/>
  <c r="G728" i="7"/>
  <c r="G727" i="7"/>
  <c r="G726" i="7"/>
  <c r="G725" i="7"/>
  <c r="G724" i="7"/>
  <c r="G723" i="7"/>
  <c r="G722" i="7"/>
  <c r="G721" i="7"/>
  <c r="G720" i="7"/>
  <c r="G719" i="7"/>
  <c r="G718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3" i="7"/>
  <c r="G701" i="7"/>
  <c r="G700" i="7"/>
  <c r="G699" i="7"/>
  <c r="G698" i="7"/>
  <c r="G697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2" i="7"/>
  <c r="G621" i="7"/>
  <c r="G620" i="7"/>
  <c r="G619" i="7"/>
  <c r="G617" i="7"/>
  <c r="G616" i="7"/>
  <c r="G615" i="7"/>
  <c r="G614" i="7"/>
  <c r="G613" i="7"/>
  <c r="G612" i="7"/>
  <c r="G611" i="7"/>
  <c r="G609" i="7"/>
  <c r="G608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2" i="7"/>
  <c r="G561" i="7"/>
  <c r="G560" i="7"/>
  <c r="G559" i="7"/>
  <c r="G558" i="7"/>
  <c r="G557" i="7"/>
  <c r="G556" i="7"/>
  <c r="G555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2" i="7"/>
  <c r="G531" i="7"/>
  <c r="G530" i="7"/>
  <c r="G529" i="7"/>
  <c r="G528" i="7"/>
  <c r="G527" i="7"/>
  <c r="G526" i="7"/>
  <c r="G524" i="7"/>
  <c r="G523" i="7"/>
  <c r="G522" i="7"/>
  <c r="G521" i="7"/>
  <c r="G520" i="7"/>
  <c r="G519" i="7"/>
  <c r="G517" i="7"/>
  <c r="G516" i="7"/>
  <c r="G514" i="7"/>
  <c r="G513" i="7"/>
  <c r="G512" i="7"/>
  <c r="G511" i="7"/>
  <c r="G509" i="7"/>
  <c r="G508" i="7"/>
  <c r="G507" i="7"/>
  <c r="G506" i="7"/>
  <c r="G505" i="7"/>
  <c r="G504" i="7"/>
  <c r="G503" i="7"/>
  <c r="G502" i="7"/>
  <c r="G501" i="7"/>
  <c r="G499" i="7"/>
  <c r="G498" i="7"/>
  <c r="G497" i="7"/>
  <c r="G496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49" i="7"/>
  <c r="G448" i="7"/>
  <c r="G447" i="7"/>
  <c r="G446" i="7"/>
  <c r="G445" i="7"/>
  <c r="G444" i="7"/>
  <c r="G443" i="7"/>
  <c r="G442" i="7"/>
  <c r="G441" i="7"/>
  <c r="G439" i="7"/>
  <c r="G437" i="7"/>
  <c r="G436" i="7"/>
  <c r="G435" i="7"/>
  <c r="G434" i="7"/>
  <c r="G433" i="7"/>
  <c r="G432" i="7"/>
  <c r="G431" i="7"/>
  <c r="G430" i="7"/>
  <c r="G427" i="7"/>
  <c r="G424" i="7"/>
  <c r="G423" i="7"/>
  <c r="G420" i="7"/>
  <c r="G419" i="7"/>
  <c r="G418" i="7"/>
  <c r="G417" i="7"/>
  <c r="G416" i="7"/>
  <c r="G415" i="7"/>
  <c r="G414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7" i="7"/>
  <c r="G386" i="7"/>
  <c r="G385" i="7"/>
  <c r="G383" i="7"/>
  <c r="G382" i="7"/>
  <c r="G381" i="7"/>
  <c r="G380" i="7"/>
  <c r="G379" i="7"/>
  <c r="G378" i="7"/>
  <c r="G377" i="7"/>
  <c r="G376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0" i="7"/>
  <c r="G349" i="7"/>
  <c r="G348" i="7"/>
  <c r="G347" i="7"/>
  <c r="G346" i="7"/>
  <c r="G345" i="7"/>
  <c r="G344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8" i="7"/>
  <c r="G304" i="7"/>
  <c r="G303" i="7"/>
  <c r="G301" i="7"/>
  <c r="G300" i="7"/>
  <c r="G299" i="7"/>
  <c r="G298" i="7"/>
  <c r="G297" i="7"/>
  <c r="G295" i="7"/>
  <c r="G293" i="7"/>
  <c r="G292" i="7"/>
  <c r="G291" i="7"/>
  <c r="G290" i="7"/>
  <c r="G289" i="7"/>
  <c r="G288" i="7"/>
  <c r="G287" i="7"/>
  <c r="G286" i="7"/>
  <c r="G285" i="7"/>
  <c r="G284" i="7"/>
  <c r="G283" i="7"/>
  <c r="G281" i="7"/>
  <c r="G280" i="7"/>
  <c r="G279" i="7"/>
  <c r="G278" i="7"/>
  <c r="G277" i="7"/>
  <c r="G275" i="7"/>
  <c r="G273" i="7"/>
  <c r="G272" i="7"/>
  <c r="G271" i="7"/>
  <c r="G270" i="7"/>
  <c r="G269" i="7"/>
  <c r="G268" i="7"/>
  <c r="G266" i="7"/>
  <c r="G265" i="7"/>
  <c r="G264" i="7"/>
  <c r="G263" i="7"/>
  <c r="G262" i="7"/>
  <c r="G261" i="7"/>
  <c r="G260" i="7"/>
  <c r="G259" i="7"/>
  <c r="G258" i="7"/>
  <c r="G256" i="7"/>
  <c r="G255" i="7"/>
  <c r="G254" i="7"/>
  <c r="G253" i="7"/>
  <c r="G252" i="7"/>
  <c r="G251" i="7"/>
  <c r="G250" i="7"/>
  <c r="G248" i="7"/>
  <c r="G247" i="7"/>
  <c r="G246" i="7"/>
  <c r="G245" i="7"/>
  <c r="G244" i="7"/>
  <c r="G243" i="7"/>
  <c r="G242" i="7"/>
  <c r="G240" i="7"/>
  <c r="G239" i="7"/>
  <c r="G238" i="7"/>
  <c r="G237" i="7"/>
  <c r="G235" i="7"/>
  <c r="G234" i="7"/>
  <c r="G233" i="7"/>
  <c r="G232" i="7"/>
  <c r="G231" i="7"/>
  <c r="G230" i="7"/>
  <c r="G229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0" i="7"/>
  <c r="G209" i="7"/>
  <c r="G208" i="7"/>
  <c r="G207" i="7"/>
  <c r="G206" i="7"/>
  <c r="G205" i="7"/>
  <c r="G204" i="7"/>
  <c r="G203" i="7"/>
  <c r="G202" i="7"/>
  <c r="G201" i="7"/>
  <c r="G197" i="7"/>
  <c r="G195" i="7"/>
  <c r="G194" i="7"/>
  <c r="G193" i="7"/>
  <c r="G192" i="7"/>
  <c r="G191" i="7"/>
  <c r="G190" i="7"/>
  <c r="G189" i="7"/>
  <c r="G188" i="7"/>
  <c r="G187" i="7"/>
  <c r="G186" i="7"/>
  <c r="G185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0" i="7"/>
  <c r="G159" i="7"/>
  <c r="G158" i="7"/>
  <c r="G157" i="7"/>
  <c r="G156" i="7"/>
  <c r="G155" i="7"/>
  <c r="G154" i="7"/>
  <c r="G153" i="7"/>
  <c r="G152" i="7"/>
  <c r="G151" i="7"/>
  <c r="G149" i="7"/>
  <c r="G143" i="7"/>
  <c r="G142" i="7"/>
  <c r="G140" i="7"/>
  <c r="G139" i="7"/>
  <c r="G138" i="7"/>
  <c r="G137" i="7"/>
  <c r="G136" i="7"/>
  <c r="G135" i="7"/>
  <c r="G133" i="7"/>
  <c r="G132" i="7"/>
  <c r="G131" i="7"/>
  <c r="G130" i="7"/>
  <c r="G128" i="7"/>
  <c r="G127" i="7"/>
  <c r="G126" i="7"/>
  <c r="G125" i="7"/>
  <c r="G124" i="7"/>
  <c r="G123" i="7"/>
  <c r="G121" i="7"/>
  <c r="G120" i="7"/>
  <c r="G119" i="7"/>
  <c r="G118" i="7"/>
  <c r="G117" i="7"/>
  <c r="G115" i="7"/>
  <c r="G114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0" i="7"/>
  <c r="G28" i="7"/>
  <c r="G27" i="7"/>
  <c r="G26" i="7"/>
  <c r="G25" i="7"/>
  <c r="G24" i="7"/>
  <c r="G22" i="7"/>
  <c r="G19" i="7"/>
  <c r="G18" i="7"/>
  <c r="G17" i="7"/>
  <c r="G14" i="7"/>
  <c r="G12" i="7"/>
  <c r="G11" i="7"/>
  <c r="G10" i="7"/>
  <c r="G7" i="7"/>
  <c r="G4" i="7"/>
  <c r="G3" i="7"/>
  <c r="G2" i="7"/>
  <c r="A3044" i="3"/>
  <c r="B3044" i="3"/>
  <c r="C3044" i="3"/>
  <c r="D3044" i="3"/>
  <c r="E3044" i="3"/>
  <c r="A3045" i="3"/>
  <c r="B3045" i="3"/>
  <c r="C3045" i="3"/>
  <c r="D3045" i="3"/>
  <c r="E3045" i="3"/>
  <c r="A3046" i="3"/>
  <c r="B3046" i="3"/>
  <c r="C3046" i="3"/>
  <c r="D3046" i="3"/>
  <c r="E3046" i="3"/>
  <c r="A3047" i="3"/>
  <c r="B3047" i="3"/>
  <c r="C3047" i="3"/>
  <c r="D3047" i="3"/>
  <c r="E3047" i="3"/>
  <c r="A3048" i="3"/>
  <c r="B3048" i="3"/>
  <c r="C3048" i="3"/>
  <c r="D3048" i="3"/>
  <c r="E3048" i="3"/>
  <c r="A3049" i="3"/>
  <c r="B3049" i="3"/>
  <c r="C3049" i="3"/>
  <c r="D3049" i="3"/>
  <c r="E3049" i="3"/>
  <c r="A3050" i="3"/>
  <c r="B3050" i="3"/>
  <c r="C3050" i="3"/>
  <c r="D3050" i="3"/>
  <c r="E3050" i="3"/>
  <c r="A3051" i="3"/>
  <c r="B3051" i="3"/>
  <c r="C3051" i="3"/>
  <c r="D3051" i="3"/>
  <c r="E3051" i="3"/>
  <c r="A3052" i="3"/>
  <c r="B3052" i="3"/>
  <c r="C3052" i="3"/>
  <c r="D3052" i="3"/>
  <c r="E3052" i="3"/>
  <c r="A3053" i="3"/>
  <c r="B3053" i="3"/>
  <c r="C3053" i="3"/>
  <c r="D3053" i="3"/>
  <c r="E3053" i="3"/>
  <c r="A3054" i="3"/>
  <c r="B3054" i="3"/>
  <c r="C3054" i="3"/>
  <c r="D3054" i="3"/>
  <c r="E3054" i="3"/>
  <c r="A3055" i="3"/>
  <c r="B3055" i="3"/>
  <c r="C3055" i="3"/>
  <c r="D3055" i="3"/>
  <c r="E3055" i="3"/>
  <c r="A3056" i="3"/>
  <c r="B3056" i="3"/>
  <c r="C3056" i="3"/>
  <c r="D3056" i="3"/>
  <c r="E3056" i="3"/>
  <c r="A3057" i="3"/>
  <c r="B3057" i="3"/>
  <c r="C3057" i="3"/>
  <c r="D3057" i="3"/>
  <c r="E3057" i="3"/>
  <c r="A3058" i="3"/>
  <c r="B3058" i="3"/>
  <c r="C3058" i="3"/>
  <c r="D3058" i="3"/>
  <c r="E3058" i="3"/>
  <c r="A3059" i="3"/>
  <c r="B3059" i="3"/>
  <c r="C3059" i="3"/>
  <c r="D3059" i="3"/>
  <c r="E3059" i="3"/>
  <c r="A3060" i="3"/>
  <c r="B3060" i="3"/>
  <c r="C3060" i="3"/>
  <c r="D3060" i="3"/>
  <c r="E3060" i="3"/>
  <c r="A3061" i="3"/>
  <c r="B3061" i="3"/>
  <c r="C3061" i="3"/>
  <c r="D3061" i="3"/>
  <c r="E3061" i="3"/>
  <c r="A3062" i="3"/>
  <c r="B3062" i="3"/>
  <c r="C3062" i="3"/>
  <c r="D3062" i="3"/>
  <c r="E3062" i="3"/>
  <c r="A3063" i="3"/>
  <c r="B3063" i="3"/>
  <c r="C3063" i="3"/>
  <c r="D3063" i="3"/>
  <c r="E3063" i="3"/>
  <c r="A3064" i="3"/>
  <c r="B3064" i="3"/>
  <c r="C3064" i="3"/>
  <c r="D3064" i="3"/>
  <c r="E3064" i="3"/>
  <c r="A3065" i="3"/>
  <c r="B3065" i="3"/>
  <c r="C3065" i="3"/>
  <c r="D3065" i="3"/>
  <c r="E3065" i="3"/>
  <c r="A3066" i="3"/>
  <c r="B3066" i="3"/>
  <c r="C3066" i="3"/>
  <c r="D3066" i="3"/>
  <c r="E3066" i="3"/>
  <c r="A3067" i="3"/>
  <c r="B3067" i="3"/>
  <c r="C3067" i="3"/>
  <c r="D3067" i="3"/>
  <c r="E3067" i="3"/>
  <c r="A3068" i="3"/>
  <c r="B3068" i="3"/>
  <c r="C3068" i="3"/>
  <c r="D3068" i="3"/>
  <c r="E3068" i="3"/>
  <c r="A3069" i="3"/>
  <c r="B3069" i="3"/>
  <c r="C3069" i="3"/>
  <c r="D3069" i="3"/>
  <c r="E3069" i="3"/>
  <c r="A3070" i="3"/>
  <c r="B3070" i="3"/>
  <c r="C3070" i="3"/>
  <c r="D3070" i="3"/>
  <c r="E3070" i="3"/>
  <c r="A3071" i="3"/>
  <c r="B3071" i="3"/>
  <c r="C3071" i="3"/>
  <c r="D3071" i="3"/>
  <c r="E3071" i="3"/>
  <c r="A3072" i="3"/>
  <c r="B3072" i="3"/>
  <c r="C3072" i="3"/>
  <c r="D3072" i="3"/>
  <c r="E3072" i="3"/>
  <c r="A3073" i="3"/>
  <c r="B3073" i="3"/>
  <c r="C3073" i="3"/>
  <c r="D3073" i="3"/>
  <c r="E3073" i="3"/>
  <c r="A3074" i="3"/>
  <c r="B3074" i="3"/>
  <c r="C3074" i="3"/>
  <c r="D3074" i="3"/>
  <c r="E3074" i="3"/>
  <c r="A3075" i="3"/>
  <c r="B3075" i="3"/>
  <c r="C3075" i="3"/>
  <c r="D3075" i="3"/>
  <c r="E3075" i="3"/>
  <c r="A3076" i="3"/>
  <c r="B3076" i="3"/>
  <c r="C3076" i="3"/>
  <c r="D3076" i="3"/>
  <c r="E3076" i="3"/>
  <c r="A3077" i="3"/>
  <c r="B3077" i="3"/>
  <c r="C3077" i="3"/>
  <c r="D3077" i="3"/>
  <c r="E3077" i="3"/>
  <c r="A3078" i="3"/>
  <c r="B3078" i="3"/>
  <c r="C3078" i="3"/>
  <c r="D3078" i="3"/>
  <c r="E3078" i="3"/>
  <c r="A3079" i="3"/>
  <c r="B3079" i="3"/>
  <c r="C3079" i="3"/>
  <c r="D3079" i="3"/>
  <c r="E3079" i="3"/>
  <c r="A3080" i="3"/>
  <c r="B3080" i="3"/>
  <c r="C3080" i="3"/>
  <c r="D3080" i="3"/>
  <c r="E3080" i="3"/>
  <c r="A3081" i="3"/>
  <c r="B3081" i="3"/>
  <c r="C3081" i="3"/>
  <c r="D3081" i="3"/>
  <c r="E3081" i="3"/>
  <c r="A3082" i="3"/>
  <c r="B3082" i="3"/>
  <c r="C3082" i="3"/>
  <c r="D3082" i="3"/>
  <c r="E3082" i="3"/>
  <c r="A3083" i="3"/>
  <c r="B3083" i="3"/>
  <c r="C3083" i="3"/>
  <c r="D3083" i="3"/>
  <c r="E3083" i="3"/>
  <c r="A3084" i="3"/>
  <c r="B3084" i="3"/>
  <c r="C3084" i="3"/>
  <c r="D3084" i="3"/>
  <c r="E3084" i="3"/>
  <c r="A3085" i="3"/>
  <c r="B3085" i="3"/>
  <c r="C3085" i="3"/>
  <c r="D3085" i="3"/>
  <c r="E3085" i="3"/>
  <c r="A3086" i="3"/>
  <c r="B3086" i="3"/>
  <c r="C3086" i="3"/>
  <c r="D3086" i="3"/>
  <c r="E3086" i="3"/>
  <c r="A3087" i="3"/>
  <c r="B3087" i="3"/>
  <c r="C3087" i="3"/>
  <c r="D3087" i="3"/>
  <c r="E3087" i="3"/>
  <c r="A3088" i="3"/>
  <c r="B3088" i="3"/>
  <c r="C3088" i="3"/>
  <c r="D3088" i="3"/>
  <c r="E3088" i="3"/>
  <c r="A3089" i="3"/>
  <c r="B3089" i="3"/>
  <c r="C3089" i="3"/>
  <c r="D3089" i="3"/>
  <c r="E3089" i="3"/>
  <c r="A3090" i="3"/>
  <c r="B3090" i="3"/>
  <c r="C3090" i="3"/>
  <c r="D3090" i="3"/>
  <c r="E3090" i="3"/>
  <c r="A3091" i="3"/>
  <c r="B3091" i="3"/>
  <c r="C3091" i="3"/>
  <c r="D3091" i="3"/>
  <c r="E3091" i="3"/>
  <c r="A3092" i="3"/>
  <c r="B3092" i="3"/>
  <c r="C3092" i="3"/>
  <c r="D3092" i="3"/>
  <c r="E3092" i="3"/>
  <c r="A3093" i="3"/>
  <c r="B3093" i="3"/>
  <c r="C3093" i="3"/>
  <c r="D3093" i="3"/>
  <c r="E3093" i="3"/>
  <c r="A3094" i="3"/>
  <c r="B3094" i="3"/>
  <c r="C3094" i="3"/>
  <c r="D3094" i="3"/>
  <c r="E3094" i="3"/>
  <c r="A3095" i="3"/>
  <c r="B3095" i="3"/>
  <c r="C3095" i="3"/>
  <c r="D3095" i="3"/>
  <c r="E3095" i="3"/>
  <c r="A3096" i="3"/>
  <c r="B3096" i="3"/>
  <c r="C3096" i="3"/>
  <c r="D3096" i="3"/>
  <c r="E3096" i="3"/>
  <c r="A3097" i="3"/>
  <c r="B3097" i="3"/>
  <c r="C3097" i="3"/>
  <c r="D3097" i="3"/>
  <c r="E3097" i="3"/>
  <c r="A3098" i="3"/>
  <c r="B3098" i="3"/>
  <c r="C3098" i="3"/>
  <c r="D3098" i="3"/>
  <c r="E3098" i="3"/>
  <c r="A3099" i="3"/>
  <c r="B3099" i="3"/>
  <c r="C3099" i="3"/>
  <c r="D3099" i="3"/>
  <c r="E3099" i="3"/>
  <c r="A3100" i="3"/>
  <c r="B3100" i="3"/>
  <c r="C3100" i="3"/>
  <c r="D3100" i="3"/>
  <c r="E3100" i="3"/>
  <c r="A3101" i="3"/>
  <c r="B3101" i="3"/>
  <c r="C3101" i="3"/>
  <c r="D3101" i="3"/>
  <c r="E3101" i="3"/>
  <c r="A3102" i="3"/>
  <c r="B3102" i="3"/>
  <c r="C3102" i="3"/>
  <c r="D3102" i="3"/>
  <c r="E3102" i="3"/>
  <c r="A3103" i="3"/>
  <c r="B3103" i="3"/>
  <c r="C3103" i="3"/>
  <c r="D3103" i="3"/>
  <c r="E3103" i="3"/>
  <c r="A3104" i="3"/>
  <c r="B3104" i="3"/>
  <c r="C3104" i="3"/>
  <c r="D3104" i="3"/>
  <c r="E3104" i="3"/>
  <c r="A3105" i="3"/>
  <c r="B3105" i="3"/>
  <c r="C3105" i="3"/>
  <c r="D3105" i="3"/>
  <c r="E3105" i="3"/>
  <c r="A3106" i="3"/>
  <c r="B3106" i="3"/>
  <c r="C3106" i="3"/>
  <c r="D3106" i="3"/>
  <c r="E3106" i="3"/>
  <c r="A3107" i="3"/>
  <c r="B3107" i="3"/>
  <c r="C3107" i="3"/>
  <c r="D3107" i="3"/>
  <c r="E3107" i="3"/>
  <c r="A3108" i="3"/>
  <c r="B3108" i="3"/>
  <c r="C3108" i="3"/>
  <c r="D3108" i="3"/>
  <c r="E3108" i="3"/>
  <c r="A3109" i="3"/>
  <c r="B3109" i="3"/>
  <c r="C3109" i="3"/>
  <c r="D3109" i="3"/>
  <c r="E3109" i="3"/>
  <c r="A3110" i="3"/>
  <c r="B3110" i="3"/>
  <c r="C3110" i="3"/>
  <c r="D3110" i="3"/>
  <c r="E3110" i="3"/>
  <c r="A3111" i="3"/>
  <c r="B3111" i="3"/>
  <c r="C3111" i="3"/>
  <c r="D3111" i="3"/>
  <c r="E3111" i="3"/>
  <c r="A3112" i="3"/>
  <c r="B3112" i="3"/>
  <c r="C3112" i="3"/>
  <c r="D3112" i="3"/>
  <c r="E3112" i="3"/>
  <c r="A3113" i="3"/>
  <c r="B3113" i="3"/>
  <c r="C3113" i="3"/>
  <c r="D3113" i="3"/>
  <c r="E3113" i="3"/>
  <c r="A3114" i="3"/>
  <c r="B3114" i="3"/>
  <c r="C3114" i="3"/>
  <c r="D3114" i="3"/>
  <c r="E3114" i="3"/>
  <c r="A3115" i="3"/>
  <c r="B3115" i="3"/>
  <c r="C3115" i="3"/>
  <c r="D3115" i="3"/>
  <c r="E3115" i="3"/>
  <c r="A3116" i="3"/>
  <c r="B3116" i="3"/>
  <c r="C3116" i="3"/>
  <c r="D3116" i="3"/>
  <c r="E3116" i="3"/>
  <c r="A3117" i="3"/>
  <c r="B3117" i="3"/>
  <c r="C3117" i="3"/>
  <c r="D3117" i="3"/>
  <c r="E3117" i="3"/>
  <c r="A3118" i="3"/>
  <c r="B3118" i="3"/>
  <c r="C3118" i="3"/>
  <c r="D3118" i="3"/>
  <c r="E3118" i="3"/>
  <c r="A3119" i="3"/>
  <c r="B3119" i="3"/>
  <c r="C3119" i="3"/>
  <c r="D3119" i="3"/>
  <c r="E3119" i="3"/>
  <c r="A3120" i="3"/>
  <c r="B3120" i="3"/>
  <c r="C3120" i="3"/>
  <c r="D3120" i="3"/>
  <c r="E3120" i="3"/>
  <c r="A3121" i="3"/>
  <c r="B3121" i="3"/>
  <c r="C3121" i="3"/>
  <c r="D3121" i="3"/>
  <c r="E3121" i="3"/>
  <c r="A3122" i="3"/>
  <c r="B3122" i="3"/>
  <c r="C3122" i="3"/>
  <c r="D3122" i="3"/>
  <c r="E3122" i="3"/>
  <c r="A3123" i="3"/>
  <c r="B3123" i="3"/>
  <c r="C3123" i="3"/>
  <c r="D3123" i="3"/>
  <c r="E3123" i="3"/>
  <c r="A3124" i="3"/>
  <c r="B3124" i="3"/>
  <c r="C3124" i="3"/>
  <c r="D3124" i="3"/>
  <c r="E3124" i="3"/>
  <c r="A3125" i="3"/>
  <c r="B3125" i="3"/>
  <c r="C3125" i="3"/>
  <c r="D3125" i="3"/>
  <c r="E3125" i="3"/>
  <c r="A3126" i="3"/>
  <c r="B3126" i="3"/>
  <c r="C3126" i="3"/>
  <c r="D3126" i="3"/>
  <c r="E3126" i="3"/>
  <c r="A3127" i="3"/>
  <c r="B3127" i="3"/>
  <c r="C3127" i="3"/>
  <c r="D3127" i="3"/>
  <c r="E3127" i="3"/>
  <c r="A3128" i="3"/>
  <c r="B3128" i="3"/>
  <c r="C3128" i="3"/>
  <c r="D3128" i="3"/>
  <c r="E3128" i="3"/>
  <c r="A3129" i="3"/>
  <c r="B3129" i="3"/>
  <c r="C3129" i="3"/>
  <c r="D3129" i="3"/>
  <c r="E3129" i="3"/>
  <c r="A3130" i="3"/>
  <c r="B3130" i="3"/>
  <c r="C3130" i="3"/>
  <c r="D3130" i="3"/>
  <c r="E3130" i="3"/>
  <c r="A3131" i="3"/>
  <c r="B3131" i="3"/>
  <c r="C3131" i="3"/>
  <c r="D3131" i="3"/>
  <c r="E3131" i="3"/>
  <c r="A3132" i="3"/>
  <c r="B3132" i="3"/>
  <c r="C3132" i="3"/>
  <c r="D3132" i="3"/>
  <c r="E3132" i="3"/>
  <c r="A3133" i="3"/>
  <c r="B3133" i="3"/>
  <c r="C3133" i="3"/>
  <c r="D3133" i="3"/>
  <c r="E3133" i="3"/>
  <c r="A3134" i="3"/>
  <c r="B3134" i="3"/>
  <c r="C3134" i="3"/>
  <c r="D3134" i="3"/>
  <c r="E3134" i="3"/>
  <c r="A3135" i="3"/>
  <c r="B3135" i="3"/>
  <c r="C3135" i="3"/>
  <c r="D3135" i="3"/>
  <c r="E3135" i="3"/>
  <c r="A3136" i="3"/>
  <c r="B3136" i="3"/>
  <c r="C3136" i="3"/>
  <c r="D3136" i="3"/>
  <c r="E3136" i="3"/>
  <c r="A3137" i="3"/>
  <c r="B3137" i="3"/>
  <c r="C3137" i="3"/>
  <c r="D3137" i="3"/>
  <c r="E3137" i="3"/>
  <c r="A3138" i="3"/>
  <c r="B3138" i="3"/>
  <c r="C3138" i="3"/>
  <c r="D3138" i="3"/>
  <c r="E3138" i="3"/>
  <c r="A3139" i="3"/>
  <c r="B3139" i="3"/>
  <c r="C3139" i="3"/>
  <c r="D3139" i="3"/>
  <c r="E3139" i="3"/>
  <c r="A3140" i="3"/>
  <c r="B3140" i="3"/>
  <c r="C3140" i="3"/>
  <c r="D3140" i="3"/>
  <c r="E3140" i="3"/>
  <c r="A3141" i="3"/>
  <c r="B3141" i="3"/>
  <c r="C3141" i="3"/>
  <c r="D3141" i="3"/>
  <c r="E3141" i="3"/>
  <c r="A3142" i="3"/>
  <c r="B3142" i="3"/>
  <c r="C3142" i="3"/>
  <c r="D3142" i="3"/>
  <c r="E3142" i="3"/>
  <c r="A3143" i="3"/>
  <c r="B3143" i="3"/>
  <c r="C3143" i="3"/>
  <c r="D3143" i="3"/>
  <c r="E3143" i="3"/>
  <c r="A3144" i="3"/>
  <c r="B3144" i="3"/>
  <c r="C3144" i="3"/>
  <c r="D3144" i="3"/>
  <c r="E3144" i="3"/>
  <c r="A3145" i="3"/>
  <c r="B3145" i="3"/>
  <c r="C3145" i="3"/>
  <c r="D3145" i="3"/>
  <c r="E3145" i="3"/>
  <c r="A3146" i="3"/>
  <c r="B3146" i="3"/>
  <c r="C3146" i="3"/>
  <c r="D3146" i="3"/>
  <c r="E3146" i="3"/>
  <c r="A3147" i="3"/>
  <c r="B3147" i="3"/>
  <c r="C3147" i="3"/>
  <c r="D3147" i="3"/>
  <c r="E3147" i="3"/>
  <c r="A3148" i="3"/>
  <c r="B3148" i="3"/>
  <c r="C3148" i="3"/>
  <c r="D3148" i="3"/>
  <c r="E3148" i="3"/>
  <c r="A3149" i="3"/>
  <c r="B3149" i="3"/>
  <c r="C3149" i="3"/>
  <c r="D3149" i="3"/>
  <c r="E3149" i="3"/>
  <c r="A3150" i="3"/>
  <c r="B3150" i="3"/>
  <c r="C3150" i="3"/>
  <c r="D3150" i="3"/>
  <c r="E3150" i="3"/>
  <c r="A3151" i="3"/>
  <c r="B3151" i="3"/>
  <c r="C3151" i="3"/>
  <c r="D3151" i="3"/>
  <c r="E3151" i="3"/>
  <c r="A3152" i="3"/>
  <c r="B3152" i="3"/>
  <c r="C3152" i="3"/>
  <c r="D3152" i="3"/>
  <c r="E3152" i="3"/>
  <c r="A3153" i="3"/>
  <c r="B3153" i="3"/>
  <c r="C3153" i="3"/>
  <c r="D3153" i="3"/>
  <c r="E3153" i="3"/>
  <c r="A3154" i="3"/>
  <c r="B3154" i="3"/>
  <c r="C3154" i="3"/>
  <c r="D3154" i="3"/>
  <c r="E3154" i="3"/>
  <c r="A3155" i="3"/>
  <c r="B3155" i="3"/>
  <c r="C3155" i="3"/>
  <c r="D3155" i="3"/>
  <c r="E3155" i="3"/>
  <c r="A3156" i="3"/>
  <c r="B3156" i="3"/>
  <c r="C3156" i="3"/>
  <c r="D3156" i="3"/>
  <c r="E3156" i="3"/>
  <c r="A3157" i="3"/>
  <c r="B3157" i="3"/>
  <c r="C3157" i="3"/>
  <c r="D3157" i="3"/>
  <c r="E3157" i="3"/>
  <c r="A3158" i="3"/>
  <c r="B3158" i="3"/>
  <c r="C3158" i="3"/>
  <c r="D3158" i="3"/>
  <c r="E3158" i="3"/>
  <c r="A3159" i="3"/>
  <c r="B3159" i="3"/>
  <c r="C3159" i="3"/>
  <c r="D3159" i="3"/>
  <c r="E3159" i="3"/>
  <c r="A3160" i="3"/>
  <c r="B3160" i="3"/>
  <c r="C3160" i="3"/>
  <c r="D3160" i="3"/>
  <c r="E3160" i="3"/>
  <c r="A3161" i="3"/>
  <c r="B3161" i="3"/>
  <c r="C3161" i="3"/>
  <c r="D3161" i="3"/>
  <c r="E3161" i="3"/>
  <c r="A3162" i="3"/>
  <c r="B3162" i="3"/>
  <c r="C3162" i="3"/>
  <c r="D3162" i="3"/>
  <c r="E3162" i="3"/>
  <c r="A3163" i="3"/>
  <c r="B3163" i="3"/>
  <c r="C3163" i="3"/>
  <c r="D3163" i="3"/>
  <c r="E3163" i="3"/>
  <c r="A3164" i="3"/>
  <c r="B3164" i="3"/>
  <c r="C3164" i="3"/>
  <c r="D3164" i="3"/>
  <c r="E3164" i="3"/>
  <c r="A3165" i="3"/>
  <c r="B3165" i="3"/>
  <c r="C3165" i="3"/>
  <c r="D3165" i="3"/>
  <c r="E3165" i="3"/>
  <c r="A3166" i="3"/>
  <c r="B3166" i="3"/>
  <c r="C3166" i="3"/>
  <c r="D3166" i="3"/>
  <c r="E3166" i="3"/>
  <c r="A3167" i="3"/>
  <c r="B3167" i="3"/>
  <c r="C3167" i="3"/>
  <c r="D3167" i="3"/>
  <c r="E3167" i="3"/>
  <c r="A3168" i="3"/>
  <c r="B3168" i="3"/>
  <c r="C3168" i="3"/>
  <c r="D3168" i="3"/>
  <c r="E3168" i="3"/>
  <c r="A3169" i="3"/>
  <c r="B3169" i="3"/>
  <c r="C3169" i="3"/>
  <c r="D3169" i="3"/>
  <c r="E3169" i="3"/>
  <c r="A3170" i="3"/>
  <c r="B3170" i="3"/>
  <c r="C3170" i="3"/>
  <c r="D3170" i="3"/>
  <c r="E3170" i="3"/>
  <c r="A3171" i="3"/>
  <c r="B3171" i="3"/>
  <c r="F3171" i="3" s="1"/>
  <c r="C3171" i="3"/>
  <c r="D3171" i="3"/>
  <c r="E3171" i="3"/>
  <c r="A3172" i="3"/>
  <c r="B3172" i="3"/>
  <c r="C3172" i="3"/>
  <c r="D3172" i="3"/>
  <c r="E3172" i="3"/>
  <c r="A3173" i="3"/>
  <c r="B3173" i="3"/>
  <c r="C3173" i="3"/>
  <c r="D3173" i="3"/>
  <c r="E3173" i="3"/>
  <c r="A3174" i="3"/>
  <c r="B3174" i="3"/>
  <c r="C3174" i="3"/>
  <c r="D3174" i="3"/>
  <c r="E3174" i="3"/>
  <c r="A3175" i="3"/>
  <c r="B3175" i="3"/>
  <c r="C3175" i="3"/>
  <c r="D3175" i="3"/>
  <c r="E3175" i="3"/>
  <c r="A3176" i="3"/>
  <c r="B3176" i="3"/>
  <c r="C3176" i="3"/>
  <c r="D3176" i="3"/>
  <c r="E3176" i="3"/>
  <c r="A3177" i="3"/>
  <c r="B3177" i="3"/>
  <c r="C3177" i="3"/>
  <c r="D3177" i="3"/>
  <c r="E3177" i="3"/>
  <c r="A3178" i="3"/>
  <c r="B3178" i="3"/>
  <c r="C3178" i="3"/>
  <c r="F3178" i="3" s="1"/>
  <c r="D3178" i="3"/>
  <c r="E3178" i="3"/>
  <c r="G3178" i="3" s="1"/>
  <c r="A3179" i="3"/>
  <c r="B3179" i="3"/>
  <c r="C3179" i="3"/>
  <c r="D3179" i="3"/>
  <c r="E3179" i="3"/>
  <c r="A3180" i="3"/>
  <c r="B3180" i="3"/>
  <c r="C3180" i="3"/>
  <c r="D3180" i="3"/>
  <c r="E3180" i="3"/>
  <c r="A3181" i="3"/>
  <c r="B3181" i="3"/>
  <c r="C3181" i="3"/>
  <c r="D3181" i="3"/>
  <c r="E3181" i="3"/>
  <c r="A3182" i="3"/>
  <c r="B3182" i="3"/>
  <c r="C3182" i="3"/>
  <c r="D3182" i="3"/>
  <c r="E3182" i="3"/>
  <c r="A3183" i="3"/>
  <c r="B3183" i="3"/>
  <c r="C3183" i="3"/>
  <c r="D3183" i="3"/>
  <c r="E3183" i="3"/>
  <c r="A3184" i="3"/>
  <c r="B3184" i="3"/>
  <c r="C3184" i="3"/>
  <c r="D3184" i="3"/>
  <c r="E3184" i="3"/>
  <c r="A3185" i="3"/>
  <c r="B3185" i="3"/>
  <c r="C3185" i="3"/>
  <c r="D3185" i="3"/>
  <c r="E3185" i="3"/>
  <c r="A3186" i="3"/>
  <c r="B3186" i="3"/>
  <c r="C3186" i="3"/>
  <c r="D3186" i="3"/>
  <c r="E3186" i="3"/>
  <c r="A3187" i="3"/>
  <c r="B3187" i="3"/>
  <c r="C3187" i="3"/>
  <c r="D3187" i="3"/>
  <c r="E3187" i="3"/>
  <c r="A3188" i="3"/>
  <c r="B3188" i="3"/>
  <c r="C3188" i="3"/>
  <c r="F3188" i="3" s="1"/>
  <c r="D3188" i="3"/>
  <c r="E3188" i="3"/>
  <c r="A3189" i="3"/>
  <c r="B3189" i="3"/>
  <c r="C3189" i="3"/>
  <c r="D3189" i="3"/>
  <c r="E3189" i="3"/>
  <c r="A3190" i="3"/>
  <c r="B3190" i="3"/>
  <c r="C3190" i="3"/>
  <c r="D3190" i="3"/>
  <c r="E3190" i="3"/>
  <c r="A3191" i="3"/>
  <c r="B3191" i="3"/>
  <c r="C3191" i="3"/>
  <c r="D3191" i="3"/>
  <c r="E3191" i="3"/>
  <c r="A3192" i="3"/>
  <c r="B3192" i="3"/>
  <c r="C3192" i="3"/>
  <c r="D3192" i="3"/>
  <c r="E3192" i="3"/>
  <c r="A3193" i="3"/>
  <c r="B3193" i="3"/>
  <c r="C3193" i="3"/>
  <c r="D3193" i="3"/>
  <c r="E3193" i="3"/>
  <c r="A3194" i="3"/>
  <c r="B3194" i="3"/>
  <c r="C3194" i="3"/>
  <c r="D3194" i="3"/>
  <c r="E3194" i="3"/>
  <c r="A3195" i="3"/>
  <c r="B3195" i="3"/>
  <c r="C3195" i="3"/>
  <c r="D3195" i="3"/>
  <c r="E3195" i="3"/>
  <c r="A3196" i="3"/>
  <c r="B3196" i="3"/>
  <c r="C3196" i="3"/>
  <c r="D3196" i="3"/>
  <c r="E3196" i="3"/>
  <c r="A3197" i="3"/>
  <c r="B3197" i="3"/>
  <c r="C3197" i="3"/>
  <c r="D3197" i="3"/>
  <c r="E3197" i="3"/>
  <c r="A3198" i="3"/>
  <c r="B3198" i="3"/>
  <c r="C3198" i="3"/>
  <c r="D3198" i="3"/>
  <c r="E3198" i="3"/>
  <c r="A3199" i="3"/>
  <c r="B3199" i="3"/>
  <c r="C3199" i="3"/>
  <c r="D3199" i="3"/>
  <c r="E3199" i="3"/>
  <c r="A3200" i="3"/>
  <c r="B3200" i="3"/>
  <c r="C3200" i="3"/>
  <c r="D3200" i="3"/>
  <c r="E3200" i="3"/>
  <c r="A3201" i="3"/>
  <c r="B3201" i="3"/>
  <c r="C3201" i="3"/>
  <c r="D3201" i="3"/>
  <c r="E3201" i="3"/>
  <c r="A3202" i="3"/>
  <c r="B3202" i="3"/>
  <c r="C3202" i="3"/>
  <c r="D3202" i="3"/>
  <c r="E3202" i="3"/>
  <c r="A3203" i="3"/>
  <c r="B3203" i="3"/>
  <c r="C3203" i="3"/>
  <c r="D3203" i="3"/>
  <c r="E3203" i="3"/>
  <c r="A3204" i="3"/>
  <c r="B3204" i="3"/>
  <c r="C3204" i="3"/>
  <c r="D3204" i="3"/>
  <c r="E3204" i="3"/>
  <c r="A3205" i="3"/>
  <c r="B3205" i="3"/>
  <c r="C3205" i="3"/>
  <c r="D3205" i="3"/>
  <c r="E3205" i="3"/>
  <c r="A3206" i="3"/>
  <c r="B3206" i="3"/>
  <c r="C3206" i="3"/>
  <c r="D3206" i="3"/>
  <c r="E3206" i="3"/>
  <c r="A3207" i="3"/>
  <c r="B3207" i="3"/>
  <c r="C3207" i="3"/>
  <c r="D3207" i="3"/>
  <c r="E3207" i="3"/>
  <c r="A3208" i="3"/>
  <c r="B3208" i="3"/>
  <c r="C3208" i="3"/>
  <c r="D3208" i="3"/>
  <c r="E3208" i="3"/>
  <c r="A3209" i="3"/>
  <c r="B3209" i="3"/>
  <c r="C3209" i="3"/>
  <c r="D3209" i="3"/>
  <c r="E3209" i="3"/>
  <c r="A3210" i="3"/>
  <c r="B3210" i="3"/>
  <c r="C3210" i="3"/>
  <c r="D3210" i="3"/>
  <c r="E3210" i="3"/>
  <c r="A3211" i="3"/>
  <c r="B3211" i="3"/>
  <c r="C3211" i="3"/>
  <c r="D3211" i="3"/>
  <c r="E3211" i="3"/>
  <c r="A3212" i="3"/>
  <c r="B3212" i="3"/>
  <c r="C3212" i="3"/>
  <c r="D3212" i="3"/>
  <c r="E3212" i="3"/>
  <c r="A3213" i="3"/>
  <c r="B3213" i="3"/>
  <c r="C3213" i="3"/>
  <c r="D3213" i="3"/>
  <c r="E3213" i="3"/>
  <c r="A3214" i="3"/>
  <c r="B3214" i="3"/>
  <c r="C3214" i="3"/>
  <c r="D3214" i="3"/>
  <c r="E3214" i="3"/>
  <c r="A3215" i="3"/>
  <c r="B3215" i="3"/>
  <c r="C3215" i="3"/>
  <c r="D3215" i="3"/>
  <c r="E3215" i="3"/>
  <c r="A3216" i="3"/>
  <c r="B3216" i="3"/>
  <c r="C3216" i="3"/>
  <c r="D3216" i="3"/>
  <c r="E3216" i="3"/>
  <c r="A3217" i="3"/>
  <c r="B3217" i="3"/>
  <c r="C3217" i="3"/>
  <c r="D3217" i="3"/>
  <c r="E3217" i="3"/>
  <c r="A3218" i="3"/>
  <c r="B3218" i="3"/>
  <c r="C3218" i="3"/>
  <c r="D3218" i="3"/>
  <c r="E3218" i="3"/>
  <c r="A3219" i="3"/>
  <c r="B3219" i="3"/>
  <c r="C3219" i="3"/>
  <c r="D3219" i="3"/>
  <c r="E3219" i="3"/>
  <c r="A3220" i="3"/>
  <c r="B3220" i="3"/>
  <c r="C3220" i="3"/>
  <c r="D3220" i="3"/>
  <c r="E3220" i="3"/>
  <c r="A3221" i="3"/>
  <c r="B3221" i="3"/>
  <c r="C3221" i="3"/>
  <c r="D3221" i="3"/>
  <c r="E3221" i="3"/>
  <c r="A3222" i="3"/>
  <c r="B3222" i="3"/>
  <c r="C3222" i="3"/>
  <c r="D3222" i="3"/>
  <c r="E3222" i="3"/>
  <c r="A3223" i="3"/>
  <c r="B3223" i="3"/>
  <c r="C3223" i="3"/>
  <c r="D3223" i="3"/>
  <c r="E3223" i="3"/>
  <c r="A3224" i="3"/>
  <c r="B3224" i="3"/>
  <c r="C3224" i="3"/>
  <c r="D3224" i="3"/>
  <c r="E3224" i="3"/>
  <c r="A3225" i="3"/>
  <c r="B3225" i="3"/>
  <c r="C3225" i="3"/>
  <c r="D3225" i="3"/>
  <c r="E3225" i="3"/>
  <c r="A3226" i="3"/>
  <c r="B3226" i="3"/>
  <c r="C3226" i="3"/>
  <c r="D3226" i="3"/>
  <c r="E3226" i="3"/>
  <c r="A3227" i="3"/>
  <c r="B3227" i="3"/>
  <c r="C3227" i="3"/>
  <c r="D3227" i="3"/>
  <c r="E3227" i="3"/>
  <c r="A3228" i="3"/>
  <c r="B3228" i="3"/>
  <c r="C3228" i="3"/>
  <c r="D3228" i="3"/>
  <c r="E3228" i="3"/>
  <c r="A3229" i="3"/>
  <c r="B3229" i="3"/>
  <c r="C3229" i="3"/>
  <c r="D3229" i="3"/>
  <c r="E3229" i="3"/>
  <c r="A3230" i="3"/>
  <c r="B3230" i="3"/>
  <c r="C3230" i="3"/>
  <c r="D3230" i="3"/>
  <c r="E3230" i="3"/>
  <c r="A3231" i="3"/>
  <c r="B3231" i="3"/>
  <c r="C3231" i="3"/>
  <c r="D3231" i="3"/>
  <c r="E3231" i="3"/>
  <c r="A3232" i="3"/>
  <c r="B3232" i="3"/>
  <c r="C3232" i="3"/>
  <c r="D3232" i="3"/>
  <c r="E3232" i="3"/>
  <c r="A3233" i="3"/>
  <c r="B3233" i="3"/>
  <c r="C3233" i="3"/>
  <c r="D3233" i="3"/>
  <c r="E3233" i="3"/>
  <c r="A3234" i="3"/>
  <c r="B3234" i="3"/>
  <c r="C3234" i="3"/>
  <c r="D3234" i="3"/>
  <c r="E3234" i="3"/>
  <c r="A3235" i="3"/>
  <c r="B3235" i="3"/>
  <c r="C3235" i="3"/>
  <c r="D3235" i="3"/>
  <c r="E3235" i="3"/>
  <c r="A3236" i="3"/>
  <c r="B3236" i="3"/>
  <c r="C3236" i="3"/>
  <c r="D3236" i="3"/>
  <c r="E3236" i="3"/>
  <c r="A3237" i="3"/>
  <c r="B3237" i="3"/>
  <c r="C3237" i="3"/>
  <c r="D3237" i="3"/>
  <c r="E3237" i="3"/>
  <c r="A3238" i="3"/>
  <c r="B3238" i="3"/>
  <c r="C3238" i="3"/>
  <c r="D3238" i="3"/>
  <c r="E3238" i="3"/>
  <c r="A3239" i="3"/>
  <c r="B3239" i="3"/>
  <c r="C3239" i="3"/>
  <c r="D3239" i="3"/>
  <c r="E3239" i="3"/>
  <c r="A3240" i="3"/>
  <c r="B3240" i="3"/>
  <c r="C3240" i="3"/>
  <c r="D3240" i="3"/>
  <c r="E3240" i="3"/>
  <c r="A3241" i="3"/>
  <c r="B3241" i="3"/>
  <c r="C3241" i="3"/>
  <c r="D3241" i="3"/>
  <c r="E3241" i="3"/>
  <c r="A3242" i="3"/>
  <c r="B3242" i="3"/>
  <c r="C3242" i="3"/>
  <c r="D3242" i="3"/>
  <c r="E3242" i="3"/>
  <c r="A3243" i="3"/>
  <c r="B3243" i="3"/>
  <c r="C3243" i="3"/>
  <c r="D3243" i="3"/>
  <c r="E3243" i="3"/>
  <c r="A3244" i="3"/>
  <c r="B3244" i="3"/>
  <c r="C3244" i="3"/>
  <c r="D3244" i="3"/>
  <c r="E3244" i="3"/>
  <c r="A3245" i="3"/>
  <c r="B3245" i="3"/>
  <c r="C3245" i="3"/>
  <c r="D3245" i="3"/>
  <c r="E3245" i="3"/>
  <c r="A3246" i="3"/>
  <c r="B3246" i="3"/>
  <c r="C3246" i="3"/>
  <c r="D3246" i="3"/>
  <c r="E3246" i="3"/>
  <c r="A3247" i="3"/>
  <c r="B3247" i="3"/>
  <c r="C3247" i="3"/>
  <c r="D3247" i="3"/>
  <c r="E3247" i="3"/>
  <c r="A3248" i="3"/>
  <c r="B3248" i="3"/>
  <c r="C3248" i="3"/>
  <c r="D3248" i="3"/>
  <c r="E3248" i="3"/>
  <c r="A3249" i="3"/>
  <c r="B3249" i="3"/>
  <c r="C3249" i="3"/>
  <c r="D3249" i="3"/>
  <c r="E3249" i="3"/>
  <c r="A3250" i="3"/>
  <c r="B3250" i="3"/>
  <c r="C3250" i="3"/>
  <c r="D3250" i="3"/>
  <c r="E3250" i="3"/>
  <c r="A3251" i="3"/>
  <c r="B3251" i="3"/>
  <c r="C3251" i="3"/>
  <c r="D3251" i="3"/>
  <c r="E3251" i="3"/>
  <c r="A3252" i="3"/>
  <c r="B3252" i="3"/>
  <c r="C3252" i="3"/>
  <c r="D3252" i="3"/>
  <c r="E3252" i="3"/>
  <c r="A3253" i="3"/>
  <c r="B3253" i="3"/>
  <c r="C3253" i="3"/>
  <c r="D3253" i="3"/>
  <c r="E3253" i="3"/>
  <c r="A3254" i="3"/>
  <c r="B3254" i="3"/>
  <c r="C3254" i="3"/>
  <c r="D3254" i="3"/>
  <c r="E3254" i="3"/>
  <c r="A3255" i="3"/>
  <c r="B3255" i="3"/>
  <c r="C3255" i="3"/>
  <c r="D3255" i="3"/>
  <c r="E3255" i="3"/>
  <c r="A3256" i="3"/>
  <c r="B3256" i="3"/>
  <c r="C3256" i="3"/>
  <c r="D3256" i="3"/>
  <c r="E3256" i="3"/>
  <c r="A3257" i="3"/>
  <c r="B3257" i="3"/>
  <c r="C3257" i="3"/>
  <c r="D3257" i="3"/>
  <c r="E3257" i="3"/>
  <c r="A3258" i="3"/>
  <c r="B3258" i="3"/>
  <c r="C3258" i="3"/>
  <c r="D3258" i="3"/>
  <c r="E3258" i="3"/>
  <c r="A3259" i="3"/>
  <c r="B3259" i="3"/>
  <c r="C3259" i="3"/>
  <c r="D3259" i="3"/>
  <c r="E3259" i="3"/>
  <c r="A3260" i="3"/>
  <c r="B3260" i="3"/>
  <c r="C3260" i="3"/>
  <c r="F3260" i="3" s="1"/>
  <c r="D3260" i="3"/>
  <c r="E3260" i="3"/>
  <c r="A3261" i="3"/>
  <c r="B3261" i="3"/>
  <c r="C3261" i="3"/>
  <c r="D3261" i="3"/>
  <c r="E3261" i="3"/>
  <c r="A3262" i="3"/>
  <c r="B3262" i="3"/>
  <c r="C3262" i="3"/>
  <c r="D3262" i="3"/>
  <c r="E3262" i="3"/>
  <c r="A3263" i="3"/>
  <c r="B3263" i="3"/>
  <c r="C3263" i="3"/>
  <c r="D3263" i="3"/>
  <c r="E3263" i="3"/>
  <c r="A3264" i="3"/>
  <c r="B3264" i="3"/>
  <c r="C3264" i="3"/>
  <c r="D3264" i="3"/>
  <c r="E3264" i="3"/>
  <c r="A3265" i="3"/>
  <c r="B3265" i="3"/>
  <c r="C3265" i="3"/>
  <c r="D3265" i="3"/>
  <c r="E3265" i="3"/>
  <c r="A3266" i="3"/>
  <c r="B3266" i="3"/>
  <c r="C3266" i="3"/>
  <c r="D3266" i="3"/>
  <c r="E3266" i="3"/>
  <c r="A3267" i="3"/>
  <c r="B3267" i="3"/>
  <c r="C3267" i="3"/>
  <c r="D3267" i="3"/>
  <c r="E3267" i="3"/>
  <c r="A3268" i="3"/>
  <c r="B3268" i="3"/>
  <c r="C3268" i="3"/>
  <c r="D3268" i="3"/>
  <c r="E3268" i="3"/>
  <c r="A3269" i="3"/>
  <c r="B3269" i="3"/>
  <c r="C3269" i="3"/>
  <c r="D3269" i="3"/>
  <c r="E3269" i="3"/>
  <c r="A3270" i="3"/>
  <c r="B3270" i="3"/>
  <c r="C3270" i="3"/>
  <c r="D3270" i="3"/>
  <c r="E3270" i="3"/>
  <c r="A3271" i="3"/>
  <c r="B3271" i="3"/>
  <c r="C3271" i="3"/>
  <c r="D3271" i="3"/>
  <c r="E3271" i="3"/>
  <c r="A3272" i="3"/>
  <c r="B3272" i="3"/>
  <c r="C3272" i="3"/>
  <c r="D3272" i="3"/>
  <c r="E3272" i="3"/>
  <c r="A3273" i="3"/>
  <c r="B3273" i="3"/>
  <c r="C3273" i="3"/>
  <c r="D3273" i="3"/>
  <c r="E3273" i="3"/>
  <c r="A3274" i="3"/>
  <c r="B3274" i="3"/>
  <c r="C3274" i="3"/>
  <c r="D3274" i="3"/>
  <c r="E3274" i="3"/>
  <c r="A3275" i="3"/>
  <c r="B3275" i="3"/>
  <c r="C3275" i="3"/>
  <c r="D3275" i="3"/>
  <c r="E3275" i="3"/>
  <c r="G3275" i="3" s="1"/>
  <c r="A3276" i="3"/>
  <c r="B3276" i="3"/>
  <c r="C3276" i="3"/>
  <c r="D3276" i="3"/>
  <c r="E3276" i="3"/>
  <c r="A3277" i="3"/>
  <c r="B3277" i="3"/>
  <c r="C3277" i="3"/>
  <c r="D3277" i="3"/>
  <c r="E3277" i="3"/>
  <c r="A3278" i="3"/>
  <c r="B3278" i="3"/>
  <c r="C3278" i="3"/>
  <c r="D3278" i="3"/>
  <c r="E3278" i="3"/>
  <c r="A3279" i="3"/>
  <c r="B3279" i="3"/>
  <c r="C3279" i="3"/>
  <c r="D3279" i="3"/>
  <c r="E3279" i="3"/>
  <c r="A3280" i="3"/>
  <c r="B3280" i="3"/>
  <c r="C3280" i="3"/>
  <c r="D3280" i="3"/>
  <c r="E3280" i="3"/>
  <c r="A3281" i="3"/>
  <c r="B3281" i="3"/>
  <c r="C3281" i="3"/>
  <c r="D3281" i="3"/>
  <c r="E3281" i="3"/>
  <c r="A3282" i="3"/>
  <c r="B3282" i="3"/>
  <c r="C3282" i="3"/>
  <c r="D3282" i="3"/>
  <c r="E3282" i="3"/>
  <c r="A3283" i="3"/>
  <c r="B3283" i="3"/>
  <c r="C3283" i="3"/>
  <c r="D3283" i="3"/>
  <c r="E3283" i="3"/>
  <c r="A3284" i="3"/>
  <c r="B3284" i="3"/>
  <c r="C3284" i="3"/>
  <c r="F3284" i="3" s="1"/>
  <c r="D3284" i="3"/>
  <c r="E3284" i="3"/>
  <c r="A3285" i="3"/>
  <c r="B3285" i="3"/>
  <c r="C3285" i="3"/>
  <c r="D3285" i="3"/>
  <c r="E3285" i="3"/>
  <c r="A3286" i="3"/>
  <c r="B3286" i="3"/>
  <c r="C3286" i="3"/>
  <c r="D3286" i="3"/>
  <c r="E3286" i="3"/>
  <c r="A3287" i="3"/>
  <c r="B3287" i="3"/>
  <c r="C3287" i="3"/>
  <c r="D3287" i="3"/>
  <c r="E3287" i="3"/>
  <c r="G3287" i="3" s="1"/>
  <c r="A3288" i="3"/>
  <c r="B3288" i="3"/>
  <c r="C3288" i="3"/>
  <c r="D3288" i="3"/>
  <c r="E3288" i="3"/>
  <c r="A3289" i="3"/>
  <c r="B3289" i="3"/>
  <c r="C3289" i="3"/>
  <c r="D3289" i="3"/>
  <c r="E3289" i="3"/>
  <c r="A3290" i="3"/>
  <c r="B3290" i="3"/>
  <c r="C3290" i="3"/>
  <c r="D3290" i="3"/>
  <c r="E3290" i="3"/>
  <c r="A3291" i="3"/>
  <c r="B3291" i="3"/>
  <c r="C3291" i="3"/>
  <c r="D3291" i="3"/>
  <c r="E3291" i="3"/>
  <c r="A3292" i="3"/>
  <c r="B3292" i="3"/>
  <c r="C3292" i="3"/>
  <c r="D3292" i="3"/>
  <c r="E3292" i="3"/>
  <c r="A3293" i="3"/>
  <c r="B3293" i="3"/>
  <c r="C3293" i="3"/>
  <c r="D3293" i="3"/>
  <c r="E3293" i="3"/>
  <c r="A3294" i="3"/>
  <c r="B3294" i="3"/>
  <c r="C3294" i="3"/>
  <c r="D3294" i="3"/>
  <c r="E3294" i="3"/>
  <c r="A3295" i="3"/>
  <c r="B3295" i="3"/>
  <c r="C3295" i="3"/>
  <c r="D3295" i="3"/>
  <c r="E3295" i="3"/>
  <c r="A3296" i="3"/>
  <c r="B3296" i="3"/>
  <c r="C3296" i="3"/>
  <c r="D3296" i="3"/>
  <c r="E3296" i="3"/>
  <c r="A3297" i="3"/>
  <c r="B3297" i="3"/>
  <c r="C3297" i="3"/>
  <c r="F3297" i="3" s="1"/>
  <c r="D3297" i="3"/>
  <c r="E3297" i="3"/>
  <c r="A3298" i="3"/>
  <c r="B3298" i="3"/>
  <c r="C3298" i="3"/>
  <c r="D3298" i="3"/>
  <c r="E3298" i="3"/>
  <c r="A3299" i="3"/>
  <c r="B3299" i="3"/>
  <c r="C3299" i="3"/>
  <c r="D3299" i="3"/>
  <c r="E3299" i="3"/>
  <c r="G3299" i="3" s="1"/>
  <c r="A3300" i="3"/>
  <c r="B3300" i="3"/>
  <c r="C3300" i="3"/>
  <c r="D3300" i="3"/>
  <c r="E3300" i="3"/>
  <c r="A3301" i="3"/>
  <c r="B3301" i="3"/>
  <c r="C3301" i="3"/>
  <c r="D3301" i="3"/>
  <c r="E3301" i="3"/>
  <c r="A3302" i="3"/>
  <c r="B3302" i="3"/>
  <c r="C3302" i="3"/>
  <c r="D3302" i="3"/>
  <c r="E3302" i="3"/>
  <c r="A3303" i="3"/>
  <c r="B3303" i="3"/>
  <c r="C3303" i="3"/>
  <c r="D3303" i="3"/>
  <c r="E3303" i="3"/>
  <c r="A3304" i="3"/>
  <c r="B3304" i="3"/>
  <c r="C3304" i="3"/>
  <c r="D3304" i="3"/>
  <c r="E3304" i="3"/>
  <c r="A3305" i="3"/>
  <c r="B3305" i="3"/>
  <c r="C3305" i="3"/>
  <c r="D3305" i="3"/>
  <c r="E3305" i="3"/>
  <c r="A3306" i="3"/>
  <c r="B3306" i="3"/>
  <c r="C3306" i="3"/>
  <c r="D3306" i="3"/>
  <c r="E3306" i="3"/>
  <c r="A3307" i="3"/>
  <c r="B3307" i="3"/>
  <c r="C3307" i="3"/>
  <c r="D3307" i="3"/>
  <c r="E3307" i="3"/>
  <c r="A3308" i="3"/>
  <c r="B3308" i="3"/>
  <c r="C3308" i="3"/>
  <c r="D3308" i="3"/>
  <c r="E3308" i="3"/>
  <c r="A3309" i="3"/>
  <c r="B3309" i="3"/>
  <c r="C3309" i="3"/>
  <c r="D3309" i="3"/>
  <c r="E3309" i="3"/>
  <c r="A3310" i="3"/>
  <c r="B3310" i="3"/>
  <c r="C3310" i="3"/>
  <c r="D3310" i="3"/>
  <c r="E3310" i="3"/>
  <c r="A3311" i="3"/>
  <c r="B3311" i="3"/>
  <c r="C3311" i="3"/>
  <c r="D3311" i="3"/>
  <c r="E3311" i="3"/>
  <c r="A3312" i="3"/>
  <c r="B3312" i="3"/>
  <c r="C3312" i="3"/>
  <c r="D3312" i="3"/>
  <c r="E3312" i="3"/>
  <c r="A3313" i="3"/>
  <c r="B3313" i="3"/>
  <c r="C3313" i="3"/>
  <c r="D3313" i="3"/>
  <c r="E3313" i="3"/>
  <c r="A3314" i="3"/>
  <c r="B3314" i="3"/>
  <c r="C3314" i="3"/>
  <c r="D3314" i="3"/>
  <c r="E3314" i="3"/>
  <c r="A3315" i="3"/>
  <c r="B3315" i="3"/>
  <c r="C3315" i="3"/>
  <c r="D3315" i="3"/>
  <c r="E3315" i="3"/>
  <c r="A3316" i="3"/>
  <c r="B3316" i="3"/>
  <c r="C3316" i="3"/>
  <c r="D3316" i="3"/>
  <c r="E3316" i="3"/>
  <c r="A3317" i="3"/>
  <c r="B3317" i="3"/>
  <c r="C3317" i="3"/>
  <c r="D3317" i="3"/>
  <c r="E3317" i="3"/>
  <c r="A3318" i="3"/>
  <c r="B3318" i="3"/>
  <c r="C3318" i="3"/>
  <c r="D3318" i="3"/>
  <c r="E3318" i="3"/>
  <c r="A3319" i="3"/>
  <c r="B3319" i="3"/>
  <c r="C3319" i="3"/>
  <c r="D3319" i="3"/>
  <c r="E3319" i="3"/>
  <c r="A3320" i="3"/>
  <c r="B3320" i="3"/>
  <c r="C3320" i="3"/>
  <c r="D3320" i="3"/>
  <c r="E3320" i="3"/>
  <c r="A3321" i="3"/>
  <c r="B3321" i="3"/>
  <c r="C3321" i="3"/>
  <c r="D3321" i="3"/>
  <c r="E3321" i="3"/>
  <c r="A3322" i="3"/>
  <c r="B3322" i="3"/>
  <c r="C3322" i="3"/>
  <c r="D3322" i="3"/>
  <c r="E3322" i="3"/>
  <c r="A3323" i="3"/>
  <c r="B3323" i="3"/>
  <c r="C3323" i="3"/>
  <c r="D3323" i="3"/>
  <c r="E3323" i="3"/>
  <c r="A3324" i="3"/>
  <c r="B3324" i="3"/>
  <c r="C3324" i="3"/>
  <c r="D3324" i="3"/>
  <c r="E3324" i="3"/>
  <c r="A3325" i="3"/>
  <c r="B3325" i="3"/>
  <c r="C3325" i="3"/>
  <c r="D3325" i="3"/>
  <c r="E3325" i="3"/>
  <c r="A3326" i="3"/>
  <c r="B3326" i="3"/>
  <c r="C3326" i="3"/>
  <c r="D3326" i="3"/>
  <c r="E3326" i="3"/>
  <c r="A3327" i="3"/>
  <c r="B3327" i="3"/>
  <c r="C3327" i="3"/>
  <c r="D3327" i="3"/>
  <c r="E3327" i="3"/>
  <c r="A3328" i="3"/>
  <c r="B3328" i="3"/>
  <c r="C3328" i="3"/>
  <c r="D3328" i="3"/>
  <c r="E3328" i="3"/>
  <c r="A3329" i="3"/>
  <c r="B3329" i="3"/>
  <c r="C3329" i="3"/>
  <c r="D3329" i="3"/>
  <c r="E3329" i="3"/>
  <c r="A3330" i="3"/>
  <c r="B3330" i="3"/>
  <c r="C3330" i="3"/>
  <c r="D3330" i="3"/>
  <c r="E3330" i="3"/>
  <c r="A3331" i="3"/>
  <c r="B3331" i="3"/>
  <c r="C3331" i="3"/>
  <c r="D3331" i="3"/>
  <c r="E3331" i="3"/>
  <c r="A3332" i="3"/>
  <c r="B3332" i="3"/>
  <c r="C3332" i="3"/>
  <c r="D3332" i="3"/>
  <c r="E3332" i="3"/>
  <c r="A3333" i="3"/>
  <c r="B3333" i="3"/>
  <c r="C3333" i="3"/>
  <c r="D3333" i="3"/>
  <c r="E3333" i="3"/>
  <c r="A3334" i="3"/>
  <c r="B3334" i="3"/>
  <c r="C3334" i="3"/>
  <c r="D3334" i="3"/>
  <c r="E3334" i="3"/>
  <c r="A3335" i="3"/>
  <c r="B3335" i="3"/>
  <c r="C3335" i="3"/>
  <c r="D3335" i="3"/>
  <c r="E3335" i="3"/>
  <c r="A3336" i="3"/>
  <c r="B3336" i="3"/>
  <c r="C3336" i="3"/>
  <c r="D3336" i="3"/>
  <c r="E3336" i="3"/>
  <c r="A3337" i="3"/>
  <c r="B3337" i="3"/>
  <c r="C3337" i="3"/>
  <c r="D3337" i="3"/>
  <c r="E3337" i="3"/>
  <c r="A3338" i="3"/>
  <c r="B3338" i="3"/>
  <c r="C3338" i="3"/>
  <c r="D3338" i="3"/>
  <c r="E3338" i="3"/>
  <c r="A3339" i="3"/>
  <c r="B3339" i="3"/>
  <c r="C3339" i="3"/>
  <c r="D3339" i="3"/>
  <c r="E3339" i="3"/>
  <c r="A3340" i="3"/>
  <c r="B3340" i="3"/>
  <c r="C3340" i="3"/>
  <c r="D3340" i="3"/>
  <c r="E3340" i="3"/>
  <c r="A3341" i="3"/>
  <c r="B3341" i="3"/>
  <c r="C3341" i="3"/>
  <c r="D3341" i="3"/>
  <c r="E3341" i="3"/>
  <c r="A3342" i="3"/>
  <c r="B3342" i="3"/>
  <c r="C3342" i="3"/>
  <c r="D3342" i="3"/>
  <c r="E3342" i="3"/>
  <c r="A3343" i="3"/>
  <c r="B3343" i="3"/>
  <c r="C3343" i="3"/>
  <c r="D3343" i="3"/>
  <c r="E3343" i="3"/>
  <c r="A3344" i="3"/>
  <c r="B3344" i="3"/>
  <c r="C3344" i="3"/>
  <c r="D3344" i="3"/>
  <c r="E3344" i="3"/>
  <c r="A3345" i="3"/>
  <c r="B3345" i="3"/>
  <c r="C3345" i="3"/>
  <c r="D3345" i="3"/>
  <c r="E3345" i="3"/>
  <c r="A3346" i="3"/>
  <c r="B3346" i="3"/>
  <c r="C3346" i="3"/>
  <c r="D3346" i="3"/>
  <c r="E3346" i="3"/>
  <c r="A3347" i="3"/>
  <c r="B3347" i="3"/>
  <c r="C3347" i="3"/>
  <c r="D3347" i="3"/>
  <c r="E3347" i="3"/>
  <c r="A3348" i="3"/>
  <c r="B3348" i="3"/>
  <c r="C3348" i="3"/>
  <c r="D3348" i="3"/>
  <c r="E3348" i="3"/>
  <c r="A3349" i="3"/>
  <c r="B3349" i="3"/>
  <c r="C3349" i="3"/>
  <c r="D3349" i="3"/>
  <c r="E3349" i="3"/>
  <c r="A3350" i="3"/>
  <c r="B3350" i="3"/>
  <c r="C3350" i="3"/>
  <c r="D3350" i="3"/>
  <c r="E3350" i="3"/>
  <c r="A3351" i="3"/>
  <c r="B3351" i="3"/>
  <c r="C3351" i="3"/>
  <c r="D3351" i="3"/>
  <c r="E3351" i="3"/>
  <c r="A3352" i="3"/>
  <c r="B3352" i="3"/>
  <c r="C3352" i="3"/>
  <c r="D3352" i="3"/>
  <c r="E3352" i="3"/>
  <c r="A3353" i="3"/>
  <c r="B3353" i="3"/>
  <c r="C3353" i="3"/>
  <c r="D3353" i="3"/>
  <c r="E3353" i="3"/>
  <c r="A3354" i="3"/>
  <c r="B3354" i="3"/>
  <c r="C3354" i="3"/>
  <c r="D3354" i="3"/>
  <c r="E3354" i="3"/>
  <c r="A3355" i="3"/>
  <c r="B3355" i="3"/>
  <c r="C3355" i="3"/>
  <c r="D3355" i="3"/>
  <c r="E3355" i="3"/>
  <c r="A3356" i="3"/>
  <c r="B3356" i="3"/>
  <c r="C3356" i="3"/>
  <c r="D3356" i="3"/>
  <c r="E3356" i="3"/>
  <c r="A3357" i="3"/>
  <c r="B3357" i="3"/>
  <c r="C3357" i="3"/>
  <c r="D3357" i="3"/>
  <c r="E3357" i="3"/>
  <c r="A3358" i="3"/>
  <c r="B3358" i="3"/>
  <c r="C3358" i="3"/>
  <c r="D3358" i="3"/>
  <c r="E3358" i="3"/>
  <c r="A3359" i="3"/>
  <c r="B3359" i="3"/>
  <c r="C3359" i="3"/>
  <c r="D3359" i="3"/>
  <c r="E3359" i="3"/>
  <c r="A3360" i="3"/>
  <c r="B3360" i="3"/>
  <c r="C3360" i="3"/>
  <c r="D3360" i="3"/>
  <c r="E3360" i="3"/>
  <c r="A3361" i="3"/>
  <c r="B3361" i="3"/>
  <c r="C3361" i="3"/>
  <c r="D3361" i="3"/>
  <c r="E3361" i="3"/>
  <c r="A3362" i="3"/>
  <c r="B3362" i="3"/>
  <c r="C3362" i="3"/>
  <c r="D3362" i="3"/>
  <c r="E3362" i="3"/>
  <c r="A3363" i="3"/>
  <c r="B3363" i="3"/>
  <c r="C3363" i="3"/>
  <c r="D3363" i="3"/>
  <c r="E3363" i="3"/>
  <c r="A3364" i="3"/>
  <c r="B3364" i="3"/>
  <c r="C3364" i="3"/>
  <c r="D3364" i="3"/>
  <c r="E3364" i="3"/>
  <c r="A3365" i="3"/>
  <c r="B3365" i="3"/>
  <c r="C3365" i="3"/>
  <c r="D3365" i="3"/>
  <c r="E3365" i="3"/>
  <c r="A3366" i="3"/>
  <c r="B3366" i="3"/>
  <c r="C3366" i="3"/>
  <c r="D3366" i="3"/>
  <c r="E3366" i="3"/>
  <c r="A3367" i="3"/>
  <c r="B3367" i="3"/>
  <c r="C3367" i="3"/>
  <c r="D3367" i="3"/>
  <c r="E3367" i="3"/>
  <c r="A3368" i="3"/>
  <c r="B3368" i="3"/>
  <c r="C3368" i="3"/>
  <c r="D3368" i="3"/>
  <c r="E3368" i="3"/>
  <c r="A3369" i="3"/>
  <c r="B3369" i="3"/>
  <c r="C3369" i="3"/>
  <c r="D3369" i="3"/>
  <c r="E3369" i="3"/>
  <c r="A3370" i="3"/>
  <c r="B3370" i="3"/>
  <c r="C3370" i="3"/>
  <c r="D3370" i="3"/>
  <c r="E3370" i="3"/>
  <c r="A3371" i="3"/>
  <c r="B3371" i="3"/>
  <c r="C3371" i="3"/>
  <c r="D3371" i="3"/>
  <c r="E3371" i="3"/>
  <c r="A3372" i="3"/>
  <c r="B3372" i="3"/>
  <c r="C3372" i="3"/>
  <c r="D3372" i="3"/>
  <c r="E3372" i="3"/>
  <c r="A3373" i="3"/>
  <c r="B3373" i="3"/>
  <c r="C3373" i="3"/>
  <c r="D3373" i="3"/>
  <c r="E3373" i="3"/>
  <c r="A3374" i="3"/>
  <c r="B3374" i="3"/>
  <c r="C3374" i="3"/>
  <c r="D3374" i="3"/>
  <c r="E3374" i="3"/>
  <c r="A3375" i="3"/>
  <c r="B3375" i="3"/>
  <c r="C3375" i="3"/>
  <c r="D3375" i="3"/>
  <c r="E3375" i="3"/>
  <c r="A3376" i="3"/>
  <c r="B3376" i="3"/>
  <c r="C3376" i="3"/>
  <c r="D3376" i="3"/>
  <c r="E3376" i="3"/>
  <c r="A3377" i="3"/>
  <c r="B3377" i="3"/>
  <c r="C3377" i="3"/>
  <c r="D3377" i="3"/>
  <c r="E3377" i="3"/>
  <c r="A3378" i="3"/>
  <c r="B3378" i="3"/>
  <c r="C3378" i="3"/>
  <c r="D3378" i="3"/>
  <c r="E3378" i="3"/>
  <c r="A3379" i="3"/>
  <c r="B3379" i="3"/>
  <c r="C3379" i="3"/>
  <c r="D3379" i="3"/>
  <c r="E3379" i="3"/>
  <c r="A3380" i="3"/>
  <c r="B3380" i="3"/>
  <c r="C3380" i="3"/>
  <c r="D3380" i="3"/>
  <c r="E3380" i="3"/>
  <c r="A3381" i="3"/>
  <c r="B3381" i="3"/>
  <c r="C3381" i="3"/>
  <c r="D3381" i="3"/>
  <c r="E3381" i="3"/>
  <c r="A3382" i="3"/>
  <c r="B3382" i="3"/>
  <c r="C3382" i="3"/>
  <c r="D3382" i="3"/>
  <c r="E3382" i="3"/>
  <c r="A3383" i="3"/>
  <c r="B3383" i="3"/>
  <c r="C3383" i="3"/>
  <c r="D3383" i="3"/>
  <c r="E3383" i="3"/>
  <c r="A3384" i="3"/>
  <c r="B3384" i="3"/>
  <c r="C3384" i="3"/>
  <c r="D3384" i="3"/>
  <c r="E3384" i="3"/>
  <c r="A3385" i="3"/>
  <c r="B3385" i="3"/>
  <c r="C3385" i="3"/>
  <c r="D3385" i="3"/>
  <c r="E3385" i="3"/>
  <c r="A3386" i="3"/>
  <c r="B3386" i="3"/>
  <c r="C3386" i="3"/>
  <c r="D3386" i="3"/>
  <c r="E3386" i="3"/>
  <c r="A3387" i="3"/>
  <c r="B3387" i="3"/>
  <c r="C3387" i="3"/>
  <c r="D3387" i="3"/>
  <c r="E3387" i="3"/>
  <c r="A3388" i="3"/>
  <c r="B3388" i="3"/>
  <c r="C3388" i="3"/>
  <c r="D3388" i="3"/>
  <c r="E3388" i="3"/>
  <c r="A3389" i="3"/>
  <c r="B3389" i="3"/>
  <c r="C3389" i="3"/>
  <c r="D3389" i="3"/>
  <c r="E3389" i="3"/>
  <c r="A3390" i="3"/>
  <c r="B3390" i="3"/>
  <c r="C3390" i="3"/>
  <c r="D3390" i="3"/>
  <c r="E3390" i="3"/>
  <c r="A3391" i="3"/>
  <c r="B3391" i="3"/>
  <c r="C3391" i="3"/>
  <c r="D3391" i="3"/>
  <c r="E3391" i="3"/>
  <c r="A3392" i="3"/>
  <c r="B3392" i="3"/>
  <c r="C3392" i="3"/>
  <c r="D3392" i="3"/>
  <c r="E3392" i="3"/>
  <c r="A3393" i="3"/>
  <c r="B3393" i="3"/>
  <c r="C3393" i="3"/>
  <c r="D3393" i="3"/>
  <c r="E3393" i="3"/>
  <c r="A3394" i="3"/>
  <c r="B3394" i="3"/>
  <c r="C3394" i="3"/>
  <c r="D3394" i="3"/>
  <c r="E3394" i="3"/>
  <c r="A3395" i="3"/>
  <c r="B3395" i="3"/>
  <c r="C3395" i="3"/>
  <c r="D3395" i="3"/>
  <c r="E3395" i="3"/>
  <c r="A3396" i="3"/>
  <c r="B3396" i="3"/>
  <c r="C3396" i="3"/>
  <c r="D3396" i="3"/>
  <c r="E3396" i="3"/>
  <c r="A3397" i="3"/>
  <c r="B3397" i="3"/>
  <c r="C3397" i="3"/>
  <c r="D3397" i="3"/>
  <c r="E3397" i="3"/>
  <c r="A3398" i="3"/>
  <c r="B3398" i="3"/>
  <c r="C3398" i="3"/>
  <c r="D3398" i="3"/>
  <c r="E3398" i="3"/>
  <c r="A3399" i="3"/>
  <c r="B3399" i="3"/>
  <c r="C3399" i="3"/>
  <c r="D3399" i="3"/>
  <c r="E3399" i="3"/>
  <c r="A3400" i="3"/>
  <c r="B3400" i="3"/>
  <c r="C3400" i="3"/>
  <c r="D3400" i="3"/>
  <c r="E3400" i="3"/>
  <c r="A3401" i="3"/>
  <c r="B3401" i="3"/>
  <c r="C3401" i="3"/>
  <c r="D3401" i="3"/>
  <c r="E3401" i="3"/>
  <c r="A3402" i="3"/>
  <c r="B3402" i="3"/>
  <c r="C3402" i="3"/>
  <c r="D3402" i="3"/>
  <c r="E3402" i="3"/>
  <c r="A3403" i="3"/>
  <c r="B3403" i="3"/>
  <c r="C3403" i="3"/>
  <c r="D3403" i="3"/>
  <c r="E3403" i="3"/>
  <c r="A3404" i="3"/>
  <c r="B3404" i="3"/>
  <c r="C3404" i="3"/>
  <c r="F3404" i="3" s="1"/>
  <c r="D3404" i="3"/>
  <c r="E3404" i="3"/>
  <c r="A3405" i="3"/>
  <c r="B3405" i="3"/>
  <c r="C3405" i="3"/>
  <c r="D3405" i="3"/>
  <c r="E3405" i="3"/>
  <c r="A3406" i="3"/>
  <c r="B3406" i="3"/>
  <c r="C3406" i="3"/>
  <c r="D3406" i="3"/>
  <c r="E3406" i="3"/>
  <c r="A3407" i="3"/>
  <c r="B3407" i="3"/>
  <c r="C3407" i="3"/>
  <c r="D3407" i="3"/>
  <c r="E3407" i="3"/>
  <c r="A3408" i="3"/>
  <c r="B3408" i="3"/>
  <c r="C3408" i="3"/>
  <c r="D3408" i="3"/>
  <c r="E3408" i="3"/>
  <c r="A3409" i="3"/>
  <c r="B3409" i="3"/>
  <c r="C3409" i="3"/>
  <c r="D3409" i="3"/>
  <c r="E3409" i="3"/>
  <c r="A3410" i="3"/>
  <c r="B3410" i="3"/>
  <c r="C3410" i="3"/>
  <c r="D3410" i="3"/>
  <c r="E3410" i="3"/>
  <c r="A3411" i="3"/>
  <c r="B3411" i="3"/>
  <c r="C3411" i="3"/>
  <c r="D3411" i="3"/>
  <c r="E3411" i="3"/>
  <c r="A3412" i="3"/>
  <c r="B3412" i="3"/>
  <c r="C3412" i="3"/>
  <c r="D3412" i="3"/>
  <c r="E3412" i="3"/>
  <c r="A3413" i="3"/>
  <c r="B3413" i="3"/>
  <c r="C3413" i="3"/>
  <c r="D3413" i="3"/>
  <c r="E3413" i="3"/>
  <c r="A3414" i="3"/>
  <c r="B3414" i="3"/>
  <c r="C3414" i="3"/>
  <c r="D3414" i="3"/>
  <c r="E3414" i="3"/>
  <c r="A3415" i="3"/>
  <c r="B3415" i="3"/>
  <c r="C3415" i="3"/>
  <c r="D3415" i="3"/>
  <c r="E3415" i="3"/>
  <c r="A3416" i="3"/>
  <c r="B3416" i="3"/>
  <c r="C3416" i="3"/>
  <c r="D3416" i="3"/>
  <c r="E3416" i="3"/>
  <c r="A3417" i="3"/>
  <c r="B3417" i="3"/>
  <c r="C3417" i="3"/>
  <c r="D3417" i="3"/>
  <c r="E3417" i="3"/>
  <c r="A3418" i="3"/>
  <c r="B3418" i="3"/>
  <c r="C3418" i="3"/>
  <c r="D3418" i="3"/>
  <c r="E3418" i="3"/>
  <c r="A3419" i="3"/>
  <c r="B3419" i="3"/>
  <c r="C3419" i="3"/>
  <c r="D3419" i="3"/>
  <c r="E3419" i="3"/>
  <c r="A3420" i="3"/>
  <c r="B3420" i="3"/>
  <c r="C3420" i="3"/>
  <c r="D3420" i="3"/>
  <c r="E3420" i="3"/>
  <c r="A3421" i="3"/>
  <c r="B3421" i="3"/>
  <c r="C3421" i="3"/>
  <c r="D3421" i="3"/>
  <c r="E3421" i="3"/>
  <c r="A3422" i="3"/>
  <c r="B3422" i="3"/>
  <c r="C3422" i="3"/>
  <c r="D3422" i="3"/>
  <c r="E3422" i="3"/>
  <c r="A3423" i="3"/>
  <c r="B3423" i="3"/>
  <c r="C3423" i="3"/>
  <c r="D3423" i="3"/>
  <c r="E3423" i="3"/>
  <c r="A3424" i="3"/>
  <c r="B3424" i="3"/>
  <c r="C3424" i="3"/>
  <c r="D3424" i="3"/>
  <c r="E3424" i="3"/>
  <c r="A3425" i="3"/>
  <c r="B3425" i="3"/>
  <c r="C3425" i="3"/>
  <c r="D3425" i="3"/>
  <c r="E3425" i="3"/>
  <c r="A3426" i="3"/>
  <c r="B3426" i="3"/>
  <c r="C3426" i="3"/>
  <c r="D3426" i="3"/>
  <c r="E3426" i="3"/>
  <c r="A3427" i="3"/>
  <c r="B3427" i="3"/>
  <c r="C3427" i="3"/>
  <c r="D3427" i="3"/>
  <c r="E3427" i="3"/>
  <c r="A3428" i="3"/>
  <c r="B3428" i="3"/>
  <c r="C3428" i="3"/>
  <c r="D3428" i="3"/>
  <c r="E3428" i="3"/>
  <c r="A3429" i="3"/>
  <c r="B3429" i="3"/>
  <c r="C3429" i="3"/>
  <c r="D3429" i="3"/>
  <c r="E3429" i="3"/>
  <c r="A3430" i="3"/>
  <c r="B3430" i="3"/>
  <c r="C3430" i="3"/>
  <c r="D3430" i="3"/>
  <c r="E3430" i="3"/>
  <c r="A3431" i="3"/>
  <c r="B3431" i="3"/>
  <c r="C3431" i="3"/>
  <c r="D3431" i="3"/>
  <c r="E3431" i="3"/>
  <c r="A3432" i="3"/>
  <c r="B3432" i="3"/>
  <c r="C3432" i="3"/>
  <c r="D3432" i="3"/>
  <c r="E3432" i="3"/>
  <c r="A3433" i="3"/>
  <c r="B3433" i="3"/>
  <c r="C3433" i="3"/>
  <c r="D3433" i="3"/>
  <c r="E3433" i="3"/>
  <c r="A3434" i="3"/>
  <c r="B3434" i="3"/>
  <c r="C3434" i="3"/>
  <c r="D3434" i="3"/>
  <c r="E3434" i="3"/>
  <c r="A3435" i="3"/>
  <c r="B3435" i="3"/>
  <c r="C3435" i="3"/>
  <c r="D3435" i="3"/>
  <c r="E3435" i="3"/>
  <c r="A3436" i="3"/>
  <c r="B3436" i="3"/>
  <c r="C3436" i="3"/>
  <c r="D3436" i="3"/>
  <c r="E3436" i="3"/>
  <c r="A3437" i="3"/>
  <c r="B3437" i="3"/>
  <c r="C3437" i="3"/>
  <c r="D3437" i="3"/>
  <c r="E3437" i="3"/>
  <c r="A3438" i="3"/>
  <c r="B3438" i="3"/>
  <c r="C3438" i="3"/>
  <c r="D3438" i="3"/>
  <c r="E3438" i="3"/>
  <c r="A3439" i="3"/>
  <c r="B3439" i="3"/>
  <c r="C3439" i="3"/>
  <c r="D3439" i="3"/>
  <c r="E3439" i="3"/>
  <c r="A3440" i="3"/>
  <c r="B3440" i="3"/>
  <c r="C3440" i="3"/>
  <c r="D3440" i="3"/>
  <c r="E3440" i="3"/>
  <c r="A3441" i="3"/>
  <c r="B3441" i="3"/>
  <c r="C3441" i="3"/>
  <c r="D3441" i="3"/>
  <c r="E3441" i="3"/>
  <c r="A3442" i="3"/>
  <c r="B3442" i="3"/>
  <c r="C3442" i="3"/>
  <c r="F3442" i="3" s="1"/>
  <c r="D3442" i="3"/>
  <c r="E3442" i="3"/>
  <c r="G3442" i="3" s="1"/>
  <c r="A3443" i="3"/>
  <c r="B3443" i="3"/>
  <c r="C3443" i="3"/>
  <c r="D3443" i="3"/>
  <c r="E3443" i="3"/>
  <c r="A3444" i="3"/>
  <c r="B3444" i="3"/>
  <c r="C3444" i="3"/>
  <c r="D3444" i="3"/>
  <c r="E3444" i="3"/>
  <c r="A3445" i="3"/>
  <c r="B3445" i="3"/>
  <c r="C3445" i="3"/>
  <c r="D3445" i="3"/>
  <c r="E3445" i="3"/>
  <c r="A3446" i="3"/>
  <c r="B3446" i="3"/>
  <c r="C3446" i="3"/>
  <c r="D3446" i="3"/>
  <c r="E3446" i="3"/>
  <c r="A3447" i="3"/>
  <c r="B3447" i="3"/>
  <c r="C3447" i="3"/>
  <c r="D3447" i="3"/>
  <c r="E3447" i="3"/>
  <c r="A3448" i="3"/>
  <c r="B3448" i="3"/>
  <c r="C3448" i="3"/>
  <c r="D3448" i="3"/>
  <c r="E3448" i="3"/>
  <c r="A3449" i="3"/>
  <c r="B3449" i="3"/>
  <c r="C3449" i="3"/>
  <c r="D3449" i="3"/>
  <c r="E3449" i="3"/>
  <c r="A3450" i="3"/>
  <c r="B3450" i="3"/>
  <c r="C3450" i="3"/>
  <c r="D3450" i="3"/>
  <c r="E3450" i="3"/>
  <c r="A3451" i="3"/>
  <c r="B3451" i="3"/>
  <c r="C3451" i="3"/>
  <c r="D3451" i="3"/>
  <c r="E3451" i="3"/>
  <c r="A3452" i="3"/>
  <c r="B3452" i="3"/>
  <c r="C3452" i="3"/>
  <c r="D3452" i="3"/>
  <c r="E3452" i="3"/>
  <c r="A3453" i="3"/>
  <c r="B3453" i="3"/>
  <c r="C3453" i="3"/>
  <c r="D3453" i="3"/>
  <c r="E3453" i="3"/>
  <c r="A3454" i="3"/>
  <c r="B3454" i="3"/>
  <c r="C3454" i="3"/>
  <c r="F3454" i="3" s="1"/>
  <c r="D3454" i="3"/>
  <c r="E3454" i="3"/>
  <c r="A3455" i="3"/>
  <c r="B3455" i="3"/>
  <c r="C3455" i="3"/>
  <c r="D3455" i="3"/>
  <c r="E3455" i="3"/>
  <c r="A3456" i="3"/>
  <c r="B3456" i="3"/>
  <c r="C3456" i="3"/>
  <c r="D3456" i="3"/>
  <c r="E3456" i="3"/>
  <c r="A3457" i="3"/>
  <c r="B3457" i="3"/>
  <c r="C3457" i="3"/>
  <c r="D3457" i="3"/>
  <c r="E3457" i="3"/>
  <c r="A3458" i="3"/>
  <c r="B3458" i="3"/>
  <c r="C3458" i="3"/>
  <c r="D3458" i="3"/>
  <c r="E3458" i="3"/>
  <c r="A3459" i="3"/>
  <c r="B3459" i="3"/>
  <c r="C3459" i="3"/>
  <c r="D3459" i="3"/>
  <c r="E3459" i="3"/>
  <c r="A3460" i="3"/>
  <c r="B3460" i="3"/>
  <c r="C3460" i="3"/>
  <c r="D3460" i="3"/>
  <c r="E3460" i="3"/>
  <c r="A3461" i="3"/>
  <c r="B3461" i="3"/>
  <c r="C3461" i="3"/>
  <c r="D3461" i="3"/>
  <c r="E3461" i="3"/>
  <c r="A3462" i="3"/>
  <c r="B3462" i="3"/>
  <c r="C3462" i="3"/>
  <c r="D3462" i="3"/>
  <c r="E3462" i="3"/>
  <c r="A3463" i="3"/>
  <c r="B3463" i="3"/>
  <c r="C3463" i="3"/>
  <c r="D3463" i="3"/>
  <c r="E3463" i="3"/>
  <c r="A3464" i="3"/>
  <c r="B3464" i="3"/>
  <c r="C3464" i="3"/>
  <c r="D3464" i="3"/>
  <c r="E3464" i="3"/>
  <c r="A3465" i="3"/>
  <c r="B3465" i="3"/>
  <c r="C3465" i="3"/>
  <c r="D3465" i="3"/>
  <c r="E3465" i="3"/>
  <c r="A3466" i="3"/>
  <c r="B3466" i="3"/>
  <c r="C3466" i="3"/>
  <c r="D3466" i="3"/>
  <c r="E3466" i="3"/>
  <c r="A3467" i="3"/>
  <c r="B3467" i="3"/>
  <c r="C3467" i="3"/>
  <c r="D3467" i="3"/>
  <c r="E3467" i="3"/>
  <c r="A3468" i="3"/>
  <c r="B3468" i="3"/>
  <c r="C3468" i="3"/>
  <c r="D3468" i="3"/>
  <c r="E3468" i="3"/>
  <c r="A3469" i="3"/>
  <c r="B3469" i="3"/>
  <c r="C3469" i="3"/>
  <c r="D3469" i="3"/>
  <c r="E3469" i="3"/>
  <c r="A3470" i="3"/>
  <c r="B3470" i="3"/>
  <c r="C3470" i="3"/>
  <c r="D3470" i="3"/>
  <c r="E3470" i="3"/>
  <c r="A3471" i="3"/>
  <c r="B3471" i="3"/>
  <c r="C3471" i="3"/>
  <c r="D3471" i="3"/>
  <c r="E3471" i="3"/>
  <c r="A3472" i="3"/>
  <c r="B3472" i="3"/>
  <c r="C3472" i="3"/>
  <c r="D3472" i="3"/>
  <c r="E3472" i="3"/>
  <c r="A3473" i="3"/>
  <c r="B3473" i="3"/>
  <c r="C3473" i="3"/>
  <c r="D3473" i="3"/>
  <c r="E3473" i="3"/>
  <c r="A3474" i="3"/>
  <c r="B3474" i="3"/>
  <c r="C3474" i="3"/>
  <c r="D3474" i="3"/>
  <c r="E3474" i="3"/>
  <c r="A3475" i="3"/>
  <c r="B3475" i="3"/>
  <c r="C3475" i="3"/>
  <c r="D3475" i="3"/>
  <c r="E3475" i="3"/>
  <c r="A3476" i="3"/>
  <c r="B3476" i="3"/>
  <c r="C3476" i="3"/>
  <c r="D3476" i="3"/>
  <c r="E3476" i="3"/>
  <c r="A3477" i="3"/>
  <c r="B3477" i="3"/>
  <c r="C3477" i="3"/>
  <c r="D3477" i="3"/>
  <c r="E3477" i="3"/>
  <c r="A3478" i="3"/>
  <c r="B3478" i="3"/>
  <c r="C3478" i="3"/>
  <c r="D3478" i="3"/>
  <c r="E3478" i="3"/>
  <c r="A3479" i="3"/>
  <c r="B3479" i="3"/>
  <c r="C3479" i="3"/>
  <c r="D3479" i="3"/>
  <c r="E3479" i="3"/>
  <c r="A3480" i="3"/>
  <c r="B3480" i="3"/>
  <c r="C3480" i="3"/>
  <c r="D3480" i="3"/>
  <c r="E3480" i="3"/>
  <c r="A3481" i="3"/>
  <c r="B3481" i="3"/>
  <c r="C3481" i="3"/>
  <c r="D3481" i="3"/>
  <c r="E3481" i="3"/>
  <c r="A3482" i="3"/>
  <c r="B3482" i="3"/>
  <c r="C3482" i="3"/>
  <c r="D3482" i="3"/>
  <c r="E3482" i="3"/>
  <c r="A3483" i="3"/>
  <c r="B3483" i="3"/>
  <c r="C3483" i="3"/>
  <c r="D3483" i="3"/>
  <c r="E3483" i="3"/>
  <c r="A3484" i="3"/>
  <c r="B3484" i="3"/>
  <c r="C3484" i="3"/>
  <c r="D3484" i="3"/>
  <c r="E3484" i="3"/>
  <c r="A3485" i="3"/>
  <c r="B3485" i="3"/>
  <c r="C3485" i="3"/>
  <c r="D3485" i="3"/>
  <c r="E3485" i="3"/>
  <c r="A3486" i="3"/>
  <c r="B3486" i="3"/>
  <c r="C3486" i="3"/>
  <c r="D3486" i="3"/>
  <c r="E3486" i="3"/>
  <c r="A3487" i="3"/>
  <c r="B3487" i="3"/>
  <c r="C3487" i="3"/>
  <c r="D3487" i="3"/>
  <c r="E3487" i="3"/>
  <c r="A3488" i="3"/>
  <c r="B3488" i="3"/>
  <c r="C3488" i="3"/>
  <c r="D3488" i="3"/>
  <c r="E3488" i="3"/>
  <c r="A3489" i="3"/>
  <c r="B3489" i="3"/>
  <c r="C3489" i="3"/>
  <c r="D3489" i="3"/>
  <c r="E3489" i="3"/>
  <c r="A3490" i="3"/>
  <c r="B3490" i="3"/>
  <c r="C3490" i="3"/>
  <c r="D3490" i="3"/>
  <c r="E3490" i="3"/>
  <c r="A3491" i="3"/>
  <c r="B3491" i="3"/>
  <c r="C3491" i="3"/>
  <c r="D3491" i="3"/>
  <c r="E3491" i="3"/>
  <c r="A3492" i="3"/>
  <c r="B3492" i="3"/>
  <c r="C3492" i="3"/>
  <c r="D3492" i="3"/>
  <c r="E3492" i="3"/>
  <c r="A3493" i="3"/>
  <c r="B3493" i="3"/>
  <c r="C3493" i="3"/>
  <c r="D3493" i="3"/>
  <c r="E3493" i="3"/>
  <c r="A3494" i="3"/>
  <c r="B3494" i="3"/>
  <c r="C3494" i="3"/>
  <c r="D3494" i="3"/>
  <c r="E3494" i="3"/>
  <c r="A3495" i="3"/>
  <c r="B3495" i="3"/>
  <c r="C3495" i="3"/>
  <c r="D3495" i="3"/>
  <c r="E3495" i="3"/>
  <c r="A3496" i="3"/>
  <c r="B3496" i="3"/>
  <c r="C3496" i="3"/>
  <c r="D3496" i="3"/>
  <c r="E3496" i="3"/>
  <c r="A3497" i="3"/>
  <c r="B3497" i="3"/>
  <c r="C3497" i="3"/>
  <c r="D3497" i="3"/>
  <c r="E3497" i="3"/>
  <c r="A3498" i="3"/>
  <c r="B3498" i="3"/>
  <c r="C3498" i="3"/>
  <c r="D3498" i="3"/>
  <c r="E3498" i="3"/>
  <c r="A3499" i="3"/>
  <c r="B3499" i="3"/>
  <c r="C3499" i="3"/>
  <c r="D3499" i="3"/>
  <c r="E3499" i="3"/>
  <c r="A3500" i="3"/>
  <c r="B3500" i="3"/>
  <c r="C3500" i="3"/>
  <c r="D3500" i="3"/>
  <c r="E3500" i="3"/>
  <c r="A3501" i="3"/>
  <c r="B3501" i="3"/>
  <c r="C3501" i="3"/>
  <c r="D3501" i="3"/>
  <c r="E3501" i="3"/>
  <c r="A3502" i="3"/>
  <c r="B3502" i="3"/>
  <c r="C3502" i="3"/>
  <c r="D3502" i="3"/>
  <c r="E3502" i="3"/>
  <c r="A3503" i="3"/>
  <c r="B3503" i="3"/>
  <c r="C3503" i="3"/>
  <c r="D3503" i="3"/>
  <c r="E3503" i="3"/>
  <c r="A3504" i="3"/>
  <c r="B3504" i="3"/>
  <c r="C3504" i="3"/>
  <c r="D3504" i="3"/>
  <c r="E3504" i="3"/>
  <c r="A3505" i="3"/>
  <c r="B3505" i="3"/>
  <c r="C3505" i="3"/>
  <c r="D3505" i="3"/>
  <c r="E3505" i="3"/>
  <c r="A3506" i="3"/>
  <c r="B3506" i="3"/>
  <c r="C3506" i="3"/>
  <c r="D3506" i="3"/>
  <c r="E3506" i="3"/>
  <c r="A3507" i="3"/>
  <c r="B3507" i="3"/>
  <c r="C3507" i="3"/>
  <c r="D3507" i="3"/>
  <c r="E3507" i="3"/>
  <c r="A3508" i="3"/>
  <c r="B3508" i="3"/>
  <c r="C3508" i="3"/>
  <c r="D3508" i="3"/>
  <c r="E3508" i="3"/>
  <c r="A3509" i="3"/>
  <c r="B3509" i="3"/>
  <c r="C3509" i="3"/>
  <c r="D3509" i="3"/>
  <c r="E3509" i="3"/>
  <c r="A3510" i="3"/>
  <c r="B3510" i="3"/>
  <c r="C3510" i="3"/>
  <c r="D3510" i="3"/>
  <c r="E3510" i="3"/>
  <c r="A3511" i="3"/>
  <c r="B3511" i="3"/>
  <c r="C3511" i="3"/>
  <c r="D3511" i="3"/>
  <c r="E3511" i="3"/>
  <c r="A3512" i="3"/>
  <c r="B3512" i="3"/>
  <c r="C3512" i="3"/>
  <c r="D3512" i="3"/>
  <c r="E3512" i="3"/>
  <c r="A3513" i="3"/>
  <c r="B3513" i="3"/>
  <c r="C3513" i="3"/>
  <c r="D3513" i="3"/>
  <c r="E3513" i="3"/>
  <c r="A3514" i="3"/>
  <c r="B3514" i="3"/>
  <c r="C3514" i="3"/>
  <c r="D3514" i="3"/>
  <c r="E3514" i="3"/>
  <c r="A3515" i="3"/>
  <c r="B3515" i="3"/>
  <c r="C3515" i="3"/>
  <c r="D3515" i="3"/>
  <c r="E3515" i="3"/>
  <c r="A3516" i="3"/>
  <c r="B3516" i="3"/>
  <c r="C3516" i="3"/>
  <c r="D3516" i="3"/>
  <c r="E3516" i="3"/>
  <c r="A3517" i="3"/>
  <c r="B3517" i="3"/>
  <c r="C3517" i="3"/>
  <c r="D3517" i="3"/>
  <c r="E3517" i="3"/>
  <c r="A3518" i="3"/>
  <c r="B3518" i="3"/>
  <c r="C3518" i="3"/>
  <c r="D3518" i="3"/>
  <c r="E3518" i="3"/>
  <c r="A3519" i="3"/>
  <c r="B3519" i="3"/>
  <c r="C3519" i="3"/>
  <c r="D3519" i="3"/>
  <c r="E3519" i="3"/>
  <c r="A3520" i="3"/>
  <c r="B3520" i="3"/>
  <c r="C3520" i="3"/>
  <c r="D3520" i="3"/>
  <c r="E3520" i="3"/>
  <c r="A3521" i="3"/>
  <c r="B3521" i="3"/>
  <c r="C3521" i="3"/>
  <c r="D3521" i="3"/>
  <c r="E3521" i="3"/>
  <c r="A3522" i="3"/>
  <c r="B3522" i="3"/>
  <c r="C3522" i="3"/>
  <c r="D3522" i="3"/>
  <c r="E3522" i="3"/>
  <c r="A3523" i="3"/>
  <c r="B3523" i="3"/>
  <c r="C3523" i="3"/>
  <c r="D3523" i="3"/>
  <c r="E3523" i="3"/>
  <c r="A3524" i="3"/>
  <c r="B3524" i="3"/>
  <c r="C3524" i="3"/>
  <c r="D3524" i="3"/>
  <c r="E3524" i="3"/>
  <c r="A3525" i="3"/>
  <c r="B3525" i="3"/>
  <c r="C3525" i="3"/>
  <c r="D3525" i="3"/>
  <c r="E3525" i="3"/>
  <c r="A3526" i="3"/>
  <c r="B3526" i="3"/>
  <c r="C3526" i="3"/>
  <c r="D3526" i="3"/>
  <c r="E3526" i="3"/>
  <c r="A3527" i="3"/>
  <c r="B3527" i="3"/>
  <c r="C3527" i="3"/>
  <c r="D3527" i="3"/>
  <c r="E3527" i="3"/>
  <c r="A3528" i="3"/>
  <c r="B3528" i="3"/>
  <c r="C3528" i="3"/>
  <c r="D3528" i="3"/>
  <c r="E3528" i="3"/>
  <c r="A3529" i="3"/>
  <c r="B3529" i="3"/>
  <c r="C3529" i="3"/>
  <c r="D3529" i="3"/>
  <c r="E3529" i="3"/>
  <c r="A3530" i="3"/>
  <c r="B3530" i="3"/>
  <c r="C3530" i="3"/>
  <c r="D3530" i="3"/>
  <c r="E3530" i="3"/>
  <c r="A3531" i="3"/>
  <c r="B3531" i="3"/>
  <c r="C3531" i="3"/>
  <c r="D3531" i="3"/>
  <c r="E3531" i="3"/>
  <c r="A3532" i="3"/>
  <c r="B3532" i="3"/>
  <c r="C3532" i="3"/>
  <c r="D3532" i="3"/>
  <c r="E3532" i="3"/>
  <c r="A3533" i="3"/>
  <c r="B3533" i="3"/>
  <c r="C3533" i="3"/>
  <c r="D3533" i="3"/>
  <c r="E3533" i="3"/>
  <c r="A3534" i="3"/>
  <c r="B3534" i="3"/>
  <c r="C3534" i="3"/>
  <c r="D3534" i="3"/>
  <c r="E3534" i="3"/>
  <c r="A3535" i="3"/>
  <c r="B3535" i="3"/>
  <c r="C3535" i="3"/>
  <c r="D3535" i="3"/>
  <c r="E3535" i="3"/>
  <c r="A3536" i="3"/>
  <c r="B3536" i="3"/>
  <c r="C3536" i="3"/>
  <c r="D3536" i="3"/>
  <c r="E3536" i="3"/>
  <c r="A3537" i="3"/>
  <c r="B3537" i="3"/>
  <c r="C3537" i="3"/>
  <c r="D3537" i="3"/>
  <c r="E3537" i="3"/>
  <c r="A3538" i="3"/>
  <c r="B3538" i="3"/>
  <c r="C3538" i="3"/>
  <c r="D3538" i="3"/>
  <c r="E3538" i="3"/>
  <c r="A3539" i="3"/>
  <c r="B3539" i="3"/>
  <c r="C3539" i="3"/>
  <c r="D3539" i="3"/>
  <c r="E3539" i="3"/>
  <c r="A3540" i="3"/>
  <c r="B3540" i="3"/>
  <c r="C3540" i="3"/>
  <c r="D3540" i="3"/>
  <c r="E3540" i="3"/>
  <c r="A3541" i="3"/>
  <c r="B3541" i="3"/>
  <c r="C3541" i="3"/>
  <c r="D3541" i="3"/>
  <c r="E3541" i="3"/>
  <c r="A3542" i="3"/>
  <c r="B3542" i="3"/>
  <c r="C3542" i="3"/>
  <c r="D3542" i="3"/>
  <c r="E3542" i="3"/>
  <c r="A3543" i="3"/>
  <c r="B3543" i="3"/>
  <c r="C3543" i="3"/>
  <c r="D3543" i="3"/>
  <c r="E3543" i="3"/>
  <c r="A3544" i="3"/>
  <c r="B3544" i="3"/>
  <c r="C3544" i="3"/>
  <c r="D3544" i="3"/>
  <c r="E3544" i="3"/>
  <c r="A3545" i="3"/>
  <c r="B3545" i="3"/>
  <c r="C3545" i="3"/>
  <c r="D3545" i="3"/>
  <c r="E3545" i="3"/>
  <c r="A3546" i="3"/>
  <c r="B3546" i="3"/>
  <c r="C3546" i="3"/>
  <c r="D3546" i="3"/>
  <c r="E3546" i="3"/>
  <c r="A3547" i="3"/>
  <c r="B3547" i="3"/>
  <c r="C3547" i="3"/>
  <c r="D3547" i="3"/>
  <c r="E3547" i="3"/>
  <c r="A3548" i="3"/>
  <c r="B3548" i="3"/>
  <c r="C3548" i="3"/>
  <c r="D3548" i="3"/>
  <c r="E3548" i="3"/>
  <c r="A3549" i="3"/>
  <c r="B3549" i="3"/>
  <c r="C3549" i="3"/>
  <c r="D3549" i="3"/>
  <c r="E3549" i="3"/>
  <c r="A3550" i="3"/>
  <c r="B3550" i="3"/>
  <c r="C3550" i="3"/>
  <c r="D3550" i="3"/>
  <c r="E3550" i="3"/>
  <c r="A3551" i="3"/>
  <c r="B3551" i="3"/>
  <c r="C3551" i="3"/>
  <c r="D3551" i="3"/>
  <c r="E3551" i="3"/>
  <c r="A3552" i="3"/>
  <c r="B3552" i="3"/>
  <c r="C3552" i="3"/>
  <c r="D3552" i="3"/>
  <c r="E3552" i="3"/>
  <c r="A3553" i="3"/>
  <c r="B3553" i="3"/>
  <c r="C3553" i="3"/>
  <c r="D3553" i="3"/>
  <c r="E3553" i="3"/>
  <c r="A3554" i="3"/>
  <c r="B3554" i="3"/>
  <c r="C3554" i="3"/>
  <c r="D3554" i="3"/>
  <c r="E3554" i="3"/>
  <c r="A3555" i="3"/>
  <c r="B3555" i="3"/>
  <c r="C3555" i="3"/>
  <c r="D3555" i="3"/>
  <c r="E3555" i="3"/>
  <c r="A3556" i="3"/>
  <c r="B3556" i="3"/>
  <c r="C3556" i="3"/>
  <c r="D3556" i="3"/>
  <c r="E3556" i="3"/>
  <c r="A3557" i="3"/>
  <c r="B3557" i="3"/>
  <c r="C3557" i="3"/>
  <c r="D3557" i="3"/>
  <c r="E3557" i="3"/>
  <c r="A3558" i="3"/>
  <c r="B3558" i="3"/>
  <c r="C3558" i="3"/>
  <c r="D3558" i="3"/>
  <c r="E3558" i="3"/>
  <c r="A3559" i="3"/>
  <c r="B3559" i="3"/>
  <c r="C3559" i="3"/>
  <c r="D3559" i="3"/>
  <c r="E3559" i="3"/>
  <c r="A3560" i="3"/>
  <c r="B3560" i="3"/>
  <c r="C3560" i="3"/>
  <c r="D3560" i="3"/>
  <c r="E3560" i="3"/>
  <c r="A3561" i="3"/>
  <c r="B3561" i="3"/>
  <c r="C3561" i="3"/>
  <c r="D3561" i="3"/>
  <c r="E3561" i="3"/>
  <c r="A3562" i="3"/>
  <c r="B3562" i="3"/>
  <c r="C3562" i="3"/>
  <c r="D3562" i="3"/>
  <c r="E3562" i="3"/>
  <c r="A3563" i="3"/>
  <c r="B3563" i="3"/>
  <c r="C3563" i="3"/>
  <c r="D3563" i="3"/>
  <c r="E3563" i="3"/>
  <c r="A3564" i="3"/>
  <c r="B3564" i="3"/>
  <c r="C3564" i="3"/>
  <c r="D3564" i="3"/>
  <c r="E3564" i="3"/>
  <c r="A3565" i="3"/>
  <c r="B3565" i="3"/>
  <c r="C3565" i="3"/>
  <c r="D3565" i="3"/>
  <c r="E3565" i="3"/>
  <c r="A3566" i="3"/>
  <c r="B3566" i="3"/>
  <c r="C3566" i="3"/>
  <c r="D3566" i="3"/>
  <c r="E3566" i="3"/>
  <c r="A3567" i="3"/>
  <c r="B3567" i="3"/>
  <c r="C3567" i="3"/>
  <c r="D3567" i="3"/>
  <c r="E3567" i="3"/>
  <c r="A3568" i="3"/>
  <c r="B3568" i="3"/>
  <c r="C3568" i="3"/>
  <c r="D3568" i="3"/>
  <c r="E3568" i="3"/>
  <c r="A3569" i="3"/>
  <c r="B3569" i="3"/>
  <c r="C3569" i="3"/>
  <c r="D3569" i="3"/>
  <c r="E3569" i="3"/>
  <c r="A3570" i="3"/>
  <c r="B3570" i="3"/>
  <c r="C3570" i="3"/>
  <c r="D3570" i="3"/>
  <c r="E3570" i="3"/>
  <c r="A3571" i="3"/>
  <c r="B3571" i="3"/>
  <c r="C3571" i="3"/>
  <c r="D3571" i="3"/>
  <c r="E3571" i="3"/>
  <c r="A3572" i="3"/>
  <c r="B3572" i="3"/>
  <c r="C3572" i="3"/>
  <c r="D3572" i="3"/>
  <c r="E3572" i="3"/>
  <c r="A3573" i="3"/>
  <c r="B3573" i="3"/>
  <c r="C3573" i="3"/>
  <c r="D3573" i="3"/>
  <c r="E3573" i="3"/>
  <c r="A3574" i="3"/>
  <c r="B3574" i="3"/>
  <c r="C3574" i="3"/>
  <c r="D3574" i="3"/>
  <c r="E3574" i="3"/>
  <c r="A3575" i="3"/>
  <c r="B3575" i="3"/>
  <c r="C3575" i="3"/>
  <c r="D3575" i="3"/>
  <c r="E3575" i="3"/>
  <c r="A3576" i="3"/>
  <c r="B3576" i="3"/>
  <c r="C3576" i="3"/>
  <c r="D3576" i="3"/>
  <c r="E3576" i="3"/>
  <c r="A3577" i="3"/>
  <c r="B3577" i="3"/>
  <c r="C3577" i="3"/>
  <c r="D3577" i="3"/>
  <c r="E3577" i="3"/>
  <c r="A3578" i="3"/>
  <c r="B3578" i="3"/>
  <c r="C3578" i="3"/>
  <c r="D3578" i="3"/>
  <c r="E3578" i="3"/>
  <c r="A3579" i="3"/>
  <c r="B3579" i="3"/>
  <c r="C3579" i="3"/>
  <c r="D3579" i="3"/>
  <c r="E3579" i="3"/>
  <c r="A3580" i="3"/>
  <c r="B3580" i="3"/>
  <c r="C3580" i="3"/>
  <c r="D3580" i="3"/>
  <c r="E3580" i="3"/>
  <c r="A3581" i="3"/>
  <c r="B3581" i="3"/>
  <c r="C3581" i="3"/>
  <c r="D3581" i="3"/>
  <c r="E3581" i="3"/>
  <c r="A3582" i="3"/>
  <c r="B3582" i="3"/>
  <c r="C3582" i="3"/>
  <c r="D3582" i="3"/>
  <c r="E3582" i="3"/>
  <c r="A3583" i="3"/>
  <c r="B3583" i="3"/>
  <c r="C3583" i="3"/>
  <c r="D3583" i="3"/>
  <c r="E3583" i="3"/>
  <c r="A3584" i="3"/>
  <c r="B3584" i="3"/>
  <c r="C3584" i="3"/>
  <c r="D3584" i="3"/>
  <c r="E3584" i="3"/>
  <c r="A3585" i="3"/>
  <c r="B3585" i="3"/>
  <c r="C3585" i="3"/>
  <c r="D3585" i="3"/>
  <c r="E3585" i="3"/>
  <c r="A3586" i="3"/>
  <c r="B3586" i="3"/>
  <c r="C3586" i="3"/>
  <c r="D3586" i="3"/>
  <c r="E3586" i="3"/>
  <c r="A3587" i="3"/>
  <c r="B3587" i="3"/>
  <c r="C3587" i="3"/>
  <c r="D3587" i="3"/>
  <c r="E3587" i="3"/>
  <c r="A3588" i="3"/>
  <c r="B3588" i="3"/>
  <c r="C3588" i="3"/>
  <c r="D3588" i="3"/>
  <c r="E3588" i="3"/>
  <c r="A3589" i="3"/>
  <c r="B3589" i="3"/>
  <c r="C3589" i="3"/>
  <c r="D3589" i="3"/>
  <c r="E3589" i="3"/>
  <c r="A3590" i="3"/>
  <c r="B3590" i="3"/>
  <c r="C3590" i="3"/>
  <c r="D3590" i="3"/>
  <c r="E3590" i="3"/>
  <c r="A3591" i="3"/>
  <c r="B3591" i="3"/>
  <c r="C3591" i="3"/>
  <c r="D3591" i="3"/>
  <c r="E3591" i="3"/>
  <c r="A3592" i="3"/>
  <c r="B3592" i="3"/>
  <c r="C3592" i="3"/>
  <c r="D3592" i="3"/>
  <c r="E3592" i="3"/>
  <c r="A3593" i="3"/>
  <c r="B3593" i="3"/>
  <c r="C3593" i="3"/>
  <c r="D3593" i="3"/>
  <c r="E3593" i="3"/>
  <c r="A3594" i="3"/>
  <c r="B3594" i="3"/>
  <c r="C3594" i="3"/>
  <c r="D3594" i="3"/>
  <c r="E3594" i="3"/>
  <c r="A3595" i="3"/>
  <c r="B3595" i="3"/>
  <c r="C3595" i="3"/>
  <c r="D3595" i="3"/>
  <c r="E3595" i="3"/>
  <c r="A3596" i="3"/>
  <c r="B3596" i="3"/>
  <c r="C3596" i="3"/>
  <c r="D3596" i="3"/>
  <c r="E3596" i="3"/>
  <c r="A3597" i="3"/>
  <c r="B3597" i="3"/>
  <c r="C3597" i="3"/>
  <c r="D3597" i="3"/>
  <c r="E3597" i="3"/>
  <c r="A3598" i="3"/>
  <c r="B3598" i="3"/>
  <c r="C3598" i="3"/>
  <c r="D3598" i="3"/>
  <c r="E3598" i="3"/>
  <c r="A3599" i="3"/>
  <c r="B3599" i="3"/>
  <c r="C3599" i="3"/>
  <c r="D3599" i="3"/>
  <c r="E3599" i="3"/>
  <c r="A3600" i="3"/>
  <c r="B3600" i="3"/>
  <c r="C3600" i="3"/>
  <c r="D3600" i="3"/>
  <c r="E3600" i="3"/>
  <c r="A3601" i="3"/>
  <c r="B3601" i="3"/>
  <c r="C3601" i="3"/>
  <c r="D3601" i="3"/>
  <c r="E3601" i="3"/>
  <c r="A3602" i="3"/>
  <c r="B3602" i="3"/>
  <c r="C3602" i="3"/>
  <c r="D3602" i="3"/>
  <c r="E3602" i="3"/>
  <c r="A3603" i="3"/>
  <c r="B3603" i="3"/>
  <c r="C3603" i="3"/>
  <c r="D3603" i="3"/>
  <c r="E3603" i="3"/>
  <c r="A3604" i="3"/>
  <c r="B3604" i="3"/>
  <c r="C3604" i="3"/>
  <c r="D3604" i="3"/>
  <c r="E3604" i="3"/>
  <c r="A3605" i="3"/>
  <c r="B3605" i="3"/>
  <c r="C3605" i="3"/>
  <c r="D3605" i="3"/>
  <c r="E3605" i="3"/>
  <c r="A3606" i="3"/>
  <c r="B3606" i="3"/>
  <c r="C3606" i="3"/>
  <c r="D3606" i="3"/>
  <c r="E3606" i="3"/>
  <c r="A3607" i="3"/>
  <c r="B3607" i="3"/>
  <c r="C3607" i="3"/>
  <c r="D3607" i="3"/>
  <c r="E3607" i="3"/>
  <c r="A3608" i="3"/>
  <c r="B3608" i="3"/>
  <c r="C3608" i="3"/>
  <c r="D3608" i="3"/>
  <c r="E3608" i="3"/>
  <c r="A3609" i="3"/>
  <c r="B3609" i="3"/>
  <c r="C3609" i="3"/>
  <c r="D3609" i="3"/>
  <c r="E3609" i="3"/>
  <c r="A3610" i="3"/>
  <c r="B3610" i="3"/>
  <c r="C3610" i="3"/>
  <c r="D3610" i="3"/>
  <c r="E3610" i="3"/>
  <c r="A3611" i="3"/>
  <c r="B3611" i="3"/>
  <c r="C3611" i="3"/>
  <c r="D3611" i="3"/>
  <c r="E3611" i="3"/>
  <c r="A3612" i="3"/>
  <c r="B3612" i="3"/>
  <c r="C3612" i="3"/>
  <c r="D3612" i="3"/>
  <c r="E3612" i="3"/>
  <c r="A3613" i="3"/>
  <c r="B3613" i="3"/>
  <c r="C3613" i="3"/>
  <c r="D3613" i="3"/>
  <c r="E3613" i="3"/>
  <c r="A3614" i="3"/>
  <c r="B3614" i="3"/>
  <c r="C3614" i="3"/>
  <c r="D3614" i="3"/>
  <c r="E3614" i="3"/>
  <c r="A3615" i="3"/>
  <c r="B3615" i="3"/>
  <c r="C3615" i="3"/>
  <c r="D3615" i="3"/>
  <c r="E3615" i="3"/>
  <c r="A3616" i="3"/>
  <c r="B3616" i="3"/>
  <c r="C3616" i="3"/>
  <c r="D3616" i="3"/>
  <c r="E3616" i="3"/>
  <c r="A3617" i="3"/>
  <c r="B3617" i="3"/>
  <c r="C3617" i="3"/>
  <c r="D3617" i="3"/>
  <c r="E3617" i="3"/>
  <c r="A3618" i="3"/>
  <c r="B3618" i="3"/>
  <c r="C3618" i="3"/>
  <c r="D3618" i="3"/>
  <c r="E3618" i="3"/>
  <c r="A3619" i="3"/>
  <c r="B3619" i="3"/>
  <c r="C3619" i="3"/>
  <c r="D3619" i="3"/>
  <c r="E3619" i="3"/>
  <c r="A3620" i="3"/>
  <c r="B3620" i="3"/>
  <c r="C3620" i="3"/>
  <c r="D3620" i="3"/>
  <c r="E3620" i="3"/>
  <c r="A3621" i="3"/>
  <c r="B3621" i="3"/>
  <c r="C3621" i="3"/>
  <c r="D3621" i="3"/>
  <c r="E3621" i="3"/>
  <c r="A3622" i="3"/>
  <c r="B3622" i="3"/>
  <c r="C3622" i="3"/>
  <c r="D3622" i="3"/>
  <c r="E3622" i="3"/>
  <c r="A3623" i="3"/>
  <c r="B3623" i="3"/>
  <c r="C3623" i="3"/>
  <c r="D3623" i="3"/>
  <c r="E3623" i="3"/>
  <c r="A3624" i="3"/>
  <c r="B3624" i="3"/>
  <c r="C3624" i="3"/>
  <c r="D3624" i="3"/>
  <c r="E3624" i="3"/>
  <c r="A3625" i="3"/>
  <c r="B3625" i="3"/>
  <c r="C3625" i="3"/>
  <c r="D3625" i="3"/>
  <c r="E3625" i="3"/>
  <c r="A3626" i="3"/>
  <c r="B3626" i="3"/>
  <c r="C3626" i="3"/>
  <c r="D3626" i="3"/>
  <c r="E3626" i="3"/>
  <c r="A3627" i="3"/>
  <c r="B3627" i="3"/>
  <c r="C3627" i="3"/>
  <c r="D3627" i="3"/>
  <c r="E3627" i="3"/>
  <c r="A3628" i="3"/>
  <c r="B3628" i="3"/>
  <c r="C3628" i="3"/>
  <c r="D3628" i="3"/>
  <c r="E3628" i="3"/>
  <c r="A3629" i="3"/>
  <c r="B3629" i="3"/>
  <c r="C3629" i="3"/>
  <c r="D3629" i="3"/>
  <c r="E3629" i="3"/>
  <c r="A3630" i="3"/>
  <c r="B3630" i="3"/>
  <c r="C3630" i="3"/>
  <c r="D3630" i="3"/>
  <c r="E3630" i="3"/>
  <c r="A3631" i="3"/>
  <c r="B3631" i="3"/>
  <c r="C3631" i="3"/>
  <c r="D3631" i="3"/>
  <c r="E3631" i="3"/>
  <c r="A3632" i="3"/>
  <c r="B3632" i="3"/>
  <c r="C3632" i="3"/>
  <c r="D3632" i="3"/>
  <c r="E3632" i="3"/>
  <c r="A3633" i="3"/>
  <c r="C3633" i="3"/>
  <c r="D3633" i="3"/>
  <c r="E3633" i="3"/>
  <c r="A3634" i="3"/>
  <c r="B3634" i="3"/>
  <c r="C3634" i="3"/>
  <c r="D3634" i="3"/>
  <c r="E3634" i="3"/>
  <c r="A3635" i="3"/>
  <c r="B3635" i="3"/>
  <c r="C3635" i="3"/>
  <c r="D3635" i="3"/>
  <c r="E3635" i="3"/>
  <c r="A3636" i="3"/>
  <c r="B3636" i="3"/>
  <c r="C3636" i="3"/>
  <c r="D3636" i="3"/>
  <c r="E3636" i="3"/>
  <c r="A3637" i="3"/>
  <c r="B3637" i="3"/>
  <c r="C3637" i="3"/>
  <c r="D3637" i="3"/>
  <c r="E3637" i="3"/>
  <c r="A3638" i="3"/>
  <c r="B3638" i="3"/>
  <c r="C3638" i="3"/>
  <c r="D3638" i="3"/>
  <c r="E3638" i="3"/>
  <c r="A3639" i="3"/>
  <c r="B3639" i="3"/>
  <c r="C3639" i="3"/>
  <c r="D3639" i="3"/>
  <c r="E3639" i="3"/>
  <c r="A3640" i="3"/>
  <c r="B3640" i="3"/>
  <c r="C3640" i="3"/>
  <c r="D3640" i="3"/>
  <c r="E3640" i="3"/>
  <c r="A3641" i="3"/>
  <c r="B3641" i="3"/>
  <c r="C3641" i="3"/>
  <c r="D3641" i="3"/>
  <c r="E3641" i="3"/>
  <c r="A3642" i="3"/>
  <c r="B3642" i="3"/>
  <c r="C3642" i="3"/>
  <c r="D3642" i="3"/>
  <c r="E3642" i="3"/>
  <c r="A3643" i="3"/>
  <c r="B3643" i="3"/>
  <c r="C3643" i="3"/>
  <c r="D3643" i="3"/>
  <c r="E3643" i="3"/>
  <c r="A3644" i="3"/>
  <c r="B3644" i="3"/>
  <c r="C3644" i="3"/>
  <c r="D3644" i="3"/>
  <c r="E3644" i="3"/>
  <c r="A3645" i="3"/>
  <c r="B3645" i="3"/>
  <c r="C3645" i="3"/>
  <c r="D3645" i="3"/>
  <c r="E3645" i="3"/>
  <c r="A3646" i="3"/>
  <c r="B3646" i="3"/>
  <c r="C3646" i="3"/>
  <c r="D3646" i="3"/>
  <c r="E3646" i="3"/>
  <c r="A3647" i="3"/>
  <c r="B3647" i="3"/>
  <c r="C3647" i="3"/>
  <c r="D3647" i="3"/>
  <c r="E3647" i="3"/>
  <c r="A3648" i="3"/>
  <c r="B3648" i="3"/>
  <c r="C3648" i="3"/>
  <c r="D3648" i="3"/>
  <c r="E3648" i="3"/>
  <c r="A3649" i="3"/>
  <c r="B3649" i="3"/>
  <c r="C3649" i="3"/>
  <c r="D3649" i="3"/>
  <c r="E3649" i="3"/>
  <c r="A3650" i="3"/>
  <c r="B3650" i="3"/>
  <c r="C3650" i="3"/>
  <c r="D3650" i="3"/>
  <c r="E3650" i="3"/>
  <c r="A3651" i="3"/>
  <c r="B3651" i="3"/>
  <c r="C3651" i="3"/>
  <c r="D3651" i="3"/>
  <c r="E3651" i="3"/>
  <c r="A3652" i="3"/>
  <c r="B3652" i="3"/>
  <c r="C3652" i="3"/>
  <c r="D3652" i="3"/>
  <c r="E3652" i="3"/>
  <c r="A3653" i="3"/>
  <c r="B3653" i="3"/>
  <c r="C3653" i="3"/>
  <c r="D3653" i="3"/>
  <c r="E3653" i="3"/>
  <c r="A3654" i="3"/>
  <c r="B3654" i="3"/>
  <c r="C3654" i="3"/>
  <c r="D3654" i="3"/>
  <c r="E3654" i="3"/>
  <c r="A3655" i="3"/>
  <c r="B3655" i="3"/>
  <c r="C3655" i="3"/>
  <c r="D3655" i="3"/>
  <c r="E3655" i="3"/>
  <c r="A3656" i="3"/>
  <c r="B3656" i="3"/>
  <c r="C3656" i="3"/>
  <c r="D3656" i="3"/>
  <c r="E3656" i="3"/>
  <c r="A3657" i="3"/>
  <c r="B3657" i="3"/>
  <c r="C3657" i="3"/>
  <c r="D3657" i="3"/>
  <c r="E3657" i="3"/>
  <c r="A3658" i="3"/>
  <c r="B3658" i="3"/>
  <c r="C3658" i="3"/>
  <c r="D3658" i="3"/>
  <c r="E3658" i="3"/>
  <c r="A3659" i="3"/>
  <c r="B3659" i="3"/>
  <c r="C3659" i="3"/>
  <c r="D3659" i="3"/>
  <c r="E3659" i="3"/>
  <c r="A3660" i="3"/>
  <c r="B3660" i="3"/>
  <c r="C3660" i="3"/>
  <c r="D3660" i="3"/>
  <c r="E3660" i="3"/>
  <c r="A3661" i="3"/>
  <c r="B3661" i="3"/>
  <c r="C3661" i="3"/>
  <c r="D3661" i="3"/>
  <c r="E3661" i="3"/>
  <c r="A3662" i="3"/>
  <c r="B3662" i="3"/>
  <c r="C3662" i="3"/>
  <c r="D3662" i="3"/>
  <c r="E3662" i="3"/>
  <c r="A3663" i="3"/>
  <c r="B3663" i="3"/>
  <c r="C3663" i="3"/>
  <c r="D3663" i="3"/>
  <c r="E3663" i="3"/>
  <c r="A3664" i="3"/>
  <c r="B3664" i="3"/>
  <c r="C3664" i="3"/>
  <c r="D3664" i="3"/>
  <c r="E3664" i="3"/>
  <c r="A3665" i="3"/>
  <c r="B3665" i="3"/>
  <c r="C3665" i="3"/>
  <c r="D3665" i="3"/>
  <c r="E3665" i="3"/>
  <c r="A3666" i="3"/>
  <c r="B3666" i="3"/>
  <c r="C3666" i="3"/>
  <c r="D3666" i="3"/>
  <c r="E3666" i="3"/>
  <c r="A3667" i="3"/>
  <c r="B3667" i="3"/>
  <c r="C3667" i="3"/>
  <c r="D3667" i="3"/>
  <c r="E3667" i="3"/>
  <c r="A3668" i="3"/>
  <c r="B3668" i="3"/>
  <c r="C3668" i="3"/>
  <c r="D3668" i="3"/>
  <c r="E3668" i="3"/>
  <c r="A3669" i="3"/>
  <c r="B3669" i="3"/>
  <c r="C3669" i="3"/>
  <c r="D3669" i="3"/>
  <c r="E3669" i="3"/>
  <c r="A3670" i="3"/>
  <c r="B3670" i="3"/>
  <c r="C3670" i="3"/>
  <c r="D3670" i="3"/>
  <c r="E3670" i="3"/>
  <c r="A3671" i="3"/>
  <c r="B3671" i="3"/>
  <c r="C3671" i="3"/>
  <c r="D3671" i="3"/>
  <c r="E3671" i="3"/>
  <c r="A3672" i="3"/>
  <c r="B3672" i="3"/>
  <c r="C3672" i="3"/>
  <c r="D3672" i="3"/>
  <c r="E3672" i="3"/>
  <c r="A3673" i="3"/>
  <c r="B3673" i="3"/>
  <c r="C3673" i="3"/>
  <c r="D3673" i="3"/>
  <c r="E3673" i="3"/>
  <c r="A3674" i="3"/>
  <c r="B3674" i="3"/>
  <c r="C3674" i="3"/>
  <c r="D3674" i="3"/>
  <c r="E3674" i="3"/>
  <c r="A3675" i="3"/>
  <c r="B3675" i="3"/>
  <c r="C3675" i="3"/>
  <c r="D3675" i="3"/>
  <c r="E3675" i="3"/>
  <c r="A3676" i="3"/>
  <c r="B3676" i="3"/>
  <c r="C3676" i="3"/>
  <c r="D3676" i="3"/>
  <c r="E3676" i="3"/>
  <c r="A3677" i="3"/>
  <c r="B3677" i="3"/>
  <c r="C3677" i="3"/>
  <c r="D3677" i="3"/>
  <c r="E3677" i="3"/>
  <c r="A3678" i="3"/>
  <c r="B3678" i="3"/>
  <c r="C3678" i="3"/>
  <c r="D3678" i="3"/>
  <c r="E3678" i="3"/>
  <c r="A3679" i="3"/>
  <c r="B3679" i="3"/>
  <c r="C3679" i="3"/>
  <c r="D3679" i="3"/>
  <c r="E3679" i="3"/>
  <c r="A3680" i="3"/>
  <c r="B3680" i="3"/>
  <c r="C3680" i="3"/>
  <c r="D3680" i="3"/>
  <c r="E3680" i="3"/>
  <c r="A3681" i="3"/>
  <c r="B3681" i="3"/>
  <c r="C3681" i="3"/>
  <c r="D3681" i="3"/>
  <c r="E3681" i="3"/>
  <c r="A3682" i="3"/>
  <c r="B3682" i="3"/>
  <c r="C3682" i="3"/>
  <c r="D3682" i="3"/>
  <c r="E3682" i="3"/>
  <c r="A3683" i="3"/>
  <c r="B3683" i="3"/>
  <c r="C3683" i="3"/>
  <c r="D3683" i="3"/>
  <c r="E3683" i="3"/>
  <c r="A3684" i="3"/>
  <c r="B3684" i="3"/>
  <c r="C3684" i="3"/>
  <c r="D3684" i="3"/>
  <c r="E3684" i="3"/>
  <c r="A3685" i="3"/>
  <c r="B3685" i="3"/>
  <c r="C3685" i="3"/>
  <c r="D3685" i="3"/>
  <c r="E3685" i="3"/>
  <c r="A3686" i="3"/>
  <c r="B3686" i="3"/>
  <c r="C3686" i="3"/>
  <c r="D3686" i="3"/>
  <c r="E3686" i="3"/>
  <c r="A3687" i="3"/>
  <c r="B3687" i="3"/>
  <c r="C3687" i="3"/>
  <c r="D3687" i="3"/>
  <c r="E3687" i="3"/>
  <c r="A3688" i="3"/>
  <c r="B3688" i="3"/>
  <c r="C3688" i="3"/>
  <c r="D3688" i="3"/>
  <c r="E3688" i="3"/>
  <c r="A3689" i="3"/>
  <c r="B3689" i="3"/>
  <c r="C3689" i="3"/>
  <c r="D3689" i="3"/>
  <c r="E3689" i="3"/>
  <c r="A3690" i="3"/>
  <c r="B3690" i="3"/>
  <c r="C3690" i="3"/>
  <c r="D3690" i="3"/>
  <c r="E3690" i="3"/>
  <c r="A3691" i="3"/>
  <c r="B3691" i="3"/>
  <c r="C3691" i="3"/>
  <c r="D3691" i="3"/>
  <c r="E3691" i="3"/>
  <c r="A3692" i="3"/>
  <c r="B3692" i="3"/>
  <c r="C3692" i="3"/>
  <c r="D3692" i="3"/>
  <c r="E3692" i="3"/>
  <c r="A3693" i="3"/>
  <c r="B3693" i="3"/>
  <c r="C3693" i="3"/>
  <c r="D3693" i="3"/>
  <c r="E3693" i="3"/>
  <c r="A3694" i="3"/>
  <c r="B3694" i="3"/>
  <c r="C3694" i="3"/>
  <c r="D3694" i="3"/>
  <c r="E3694" i="3"/>
  <c r="A3695" i="3"/>
  <c r="B3695" i="3"/>
  <c r="C3695" i="3"/>
  <c r="D3695" i="3"/>
  <c r="E3695" i="3"/>
  <c r="A3696" i="3"/>
  <c r="B3696" i="3"/>
  <c r="C3696" i="3"/>
  <c r="D3696" i="3"/>
  <c r="E3696" i="3"/>
  <c r="A3697" i="3"/>
  <c r="B3697" i="3"/>
  <c r="C3697" i="3"/>
  <c r="D3697" i="3"/>
  <c r="E3697" i="3"/>
  <c r="A3698" i="3"/>
  <c r="B3698" i="3"/>
  <c r="C3698" i="3"/>
  <c r="D3698" i="3"/>
  <c r="E3698" i="3"/>
  <c r="A3699" i="3"/>
  <c r="B3699" i="3"/>
  <c r="C3699" i="3"/>
  <c r="D3699" i="3"/>
  <c r="E3699" i="3"/>
  <c r="A3700" i="3"/>
  <c r="B3700" i="3"/>
  <c r="C3700" i="3"/>
  <c r="D3700" i="3"/>
  <c r="E3700" i="3"/>
  <c r="A3701" i="3"/>
  <c r="B3701" i="3"/>
  <c r="C3701" i="3"/>
  <c r="D3701" i="3"/>
  <c r="E3701" i="3"/>
  <c r="A3702" i="3"/>
  <c r="B3702" i="3"/>
  <c r="C3702" i="3"/>
  <c r="D3702" i="3"/>
  <c r="E3702" i="3"/>
  <c r="A3703" i="3"/>
  <c r="B3703" i="3"/>
  <c r="C3703" i="3"/>
  <c r="D3703" i="3"/>
  <c r="E3703" i="3"/>
  <c r="A3704" i="3"/>
  <c r="B3704" i="3"/>
  <c r="C3704" i="3"/>
  <c r="D3704" i="3"/>
  <c r="E3704" i="3"/>
  <c r="A3705" i="3"/>
  <c r="B3705" i="3"/>
  <c r="C3705" i="3"/>
  <c r="D3705" i="3"/>
  <c r="E3705" i="3"/>
  <c r="A3706" i="3"/>
  <c r="B3706" i="3"/>
  <c r="C3706" i="3"/>
  <c r="D3706" i="3"/>
  <c r="E3706" i="3"/>
  <c r="A3707" i="3"/>
  <c r="B3707" i="3"/>
  <c r="C3707" i="3"/>
  <c r="D3707" i="3"/>
  <c r="E3707" i="3"/>
  <c r="A3708" i="3"/>
  <c r="B3708" i="3"/>
  <c r="C3708" i="3"/>
  <c r="D3708" i="3"/>
  <c r="E3708" i="3"/>
  <c r="A3709" i="3"/>
  <c r="B3709" i="3"/>
  <c r="C3709" i="3"/>
  <c r="D3709" i="3"/>
  <c r="E3709" i="3"/>
  <c r="A3710" i="3"/>
  <c r="B3710" i="3"/>
  <c r="C3710" i="3"/>
  <c r="D3710" i="3"/>
  <c r="E3710" i="3"/>
  <c r="A3711" i="3"/>
  <c r="B3711" i="3"/>
  <c r="C3711" i="3"/>
  <c r="D3711" i="3"/>
  <c r="E3711" i="3"/>
  <c r="A3712" i="3"/>
  <c r="B3712" i="3"/>
  <c r="C3712" i="3"/>
  <c r="D3712" i="3"/>
  <c r="E3712" i="3"/>
  <c r="A3713" i="3"/>
  <c r="B3713" i="3"/>
  <c r="C3713" i="3"/>
  <c r="D3713" i="3"/>
  <c r="E3713" i="3"/>
  <c r="A3714" i="3"/>
  <c r="B3714" i="3"/>
  <c r="C3714" i="3"/>
  <c r="D3714" i="3"/>
  <c r="E3714" i="3"/>
  <c r="A3715" i="3"/>
  <c r="B3715" i="3"/>
  <c r="C3715" i="3"/>
  <c r="D3715" i="3"/>
  <c r="E3715" i="3"/>
  <c r="A3716" i="3"/>
  <c r="B3716" i="3"/>
  <c r="C3716" i="3"/>
  <c r="D3716" i="3"/>
  <c r="E3716" i="3"/>
  <c r="A3717" i="3"/>
  <c r="B3717" i="3"/>
  <c r="C3717" i="3"/>
  <c r="D3717" i="3"/>
  <c r="E3717" i="3"/>
  <c r="A3718" i="3"/>
  <c r="B3718" i="3"/>
  <c r="C3718" i="3"/>
  <c r="D3718" i="3"/>
  <c r="E3718" i="3"/>
  <c r="A3719" i="3"/>
  <c r="B3719" i="3"/>
  <c r="C3719" i="3"/>
  <c r="D3719" i="3"/>
  <c r="E3719" i="3"/>
  <c r="A3720" i="3"/>
  <c r="B3720" i="3"/>
  <c r="C3720" i="3"/>
  <c r="D3720" i="3"/>
  <c r="E3720" i="3"/>
  <c r="A3721" i="3"/>
  <c r="B3721" i="3"/>
  <c r="C3721" i="3"/>
  <c r="D3721" i="3"/>
  <c r="E3721" i="3"/>
  <c r="A3722" i="3"/>
  <c r="B3722" i="3"/>
  <c r="C3722" i="3"/>
  <c r="D3722" i="3"/>
  <c r="E3722" i="3"/>
  <c r="A3723" i="3"/>
  <c r="B3723" i="3"/>
  <c r="C3723" i="3"/>
  <c r="D3723" i="3"/>
  <c r="E3723" i="3"/>
  <c r="A3724" i="3"/>
  <c r="B3724" i="3"/>
  <c r="C3724" i="3"/>
  <c r="D3724" i="3"/>
  <c r="E3724" i="3"/>
  <c r="A3725" i="3"/>
  <c r="B3725" i="3"/>
  <c r="C3725" i="3"/>
  <c r="D3725" i="3"/>
  <c r="E3725" i="3"/>
  <c r="A3726" i="3"/>
  <c r="B3726" i="3"/>
  <c r="C3726" i="3"/>
  <c r="D3726" i="3"/>
  <c r="E3726" i="3"/>
  <c r="A3727" i="3"/>
  <c r="B3727" i="3"/>
  <c r="C3727" i="3"/>
  <c r="D3727" i="3"/>
  <c r="E3727" i="3"/>
  <c r="A3728" i="3"/>
  <c r="B3728" i="3"/>
  <c r="C3728" i="3"/>
  <c r="D3728" i="3"/>
  <c r="E3728" i="3"/>
  <c r="A3729" i="3"/>
  <c r="B3729" i="3"/>
  <c r="C3729" i="3"/>
  <c r="D3729" i="3"/>
  <c r="E3729" i="3"/>
  <c r="A3730" i="3"/>
  <c r="B3730" i="3"/>
  <c r="C3730" i="3"/>
  <c r="D3730" i="3"/>
  <c r="E3730" i="3"/>
  <c r="A3731" i="3"/>
  <c r="B3731" i="3"/>
  <c r="C3731" i="3"/>
  <c r="D3731" i="3"/>
  <c r="E3731" i="3"/>
  <c r="A3732" i="3"/>
  <c r="B3732" i="3"/>
  <c r="C3732" i="3"/>
  <c r="D3732" i="3"/>
  <c r="E3732" i="3"/>
  <c r="A3733" i="3"/>
  <c r="B3733" i="3"/>
  <c r="C3733" i="3"/>
  <c r="D3733" i="3"/>
  <c r="E3733" i="3"/>
  <c r="A3734" i="3"/>
  <c r="B3734" i="3"/>
  <c r="C3734" i="3"/>
  <c r="D3734" i="3"/>
  <c r="E3734" i="3"/>
  <c r="A3735" i="3"/>
  <c r="B3735" i="3"/>
  <c r="C3735" i="3"/>
  <c r="D3735" i="3"/>
  <c r="E3735" i="3"/>
  <c r="A3736" i="3"/>
  <c r="B3736" i="3"/>
  <c r="C3736" i="3"/>
  <c r="D3736" i="3"/>
  <c r="E3736" i="3"/>
  <c r="A3737" i="3"/>
  <c r="B3737" i="3"/>
  <c r="C3737" i="3"/>
  <c r="D3737" i="3"/>
  <c r="E3737" i="3"/>
  <c r="A3738" i="3"/>
  <c r="B3738" i="3"/>
  <c r="C3738" i="3"/>
  <c r="D3738" i="3"/>
  <c r="E3738" i="3"/>
  <c r="A3739" i="3"/>
  <c r="B3739" i="3"/>
  <c r="C3739" i="3"/>
  <c r="D3739" i="3"/>
  <c r="E3739" i="3"/>
  <c r="A3740" i="3"/>
  <c r="B3740" i="3"/>
  <c r="C3740" i="3"/>
  <c r="D3740" i="3"/>
  <c r="E3740" i="3"/>
  <c r="A3741" i="3"/>
  <c r="B3741" i="3"/>
  <c r="C3741" i="3"/>
  <c r="D3741" i="3"/>
  <c r="E3741" i="3"/>
  <c r="A3742" i="3"/>
  <c r="B3742" i="3"/>
  <c r="C3742" i="3"/>
  <c r="D3742" i="3"/>
  <c r="E3742" i="3"/>
  <c r="A3743" i="3"/>
  <c r="B3743" i="3"/>
  <c r="C3743" i="3"/>
  <c r="D3743" i="3"/>
  <c r="E3743" i="3"/>
  <c r="A3744" i="3"/>
  <c r="B3744" i="3"/>
  <c r="C3744" i="3"/>
  <c r="D3744" i="3"/>
  <c r="E3744" i="3"/>
  <c r="A3745" i="3"/>
  <c r="B3745" i="3"/>
  <c r="C3745" i="3"/>
  <c r="D3745" i="3"/>
  <c r="E3745" i="3"/>
  <c r="A3746" i="3"/>
  <c r="B3746" i="3"/>
  <c r="C3746" i="3"/>
  <c r="D3746" i="3"/>
  <c r="E3746" i="3"/>
  <c r="A3747" i="3"/>
  <c r="B3747" i="3"/>
  <c r="C3747" i="3"/>
  <c r="D3747" i="3"/>
  <c r="E3747" i="3"/>
  <c r="A3748" i="3"/>
  <c r="B3748" i="3"/>
  <c r="C3748" i="3"/>
  <c r="D3748" i="3"/>
  <c r="E3748" i="3"/>
  <c r="A3749" i="3"/>
  <c r="B3749" i="3"/>
  <c r="C3749" i="3"/>
  <c r="D3749" i="3"/>
  <c r="E3749" i="3"/>
  <c r="A3750" i="3"/>
  <c r="B3750" i="3"/>
  <c r="C3750" i="3"/>
  <c r="D3750" i="3"/>
  <c r="E3750" i="3"/>
  <c r="A3751" i="3"/>
  <c r="B3751" i="3"/>
  <c r="C3751" i="3"/>
  <c r="D3751" i="3"/>
  <c r="E3751" i="3"/>
  <c r="A3752" i="3"/>
  <c r="B3752" i="3"/>
  <c r="C3752" i="3"/>
  <c r="D3752" i="3"/>
  <c r="E3752" i="3"/>
  <c r="A3753" i="3"/>
  <c r="B3753" i="3"/>
  <c r="C3753" i="3"/>
  <c r="D3753" i="3"/>
  <c r="E3753" i="3"/>
  <c r="A3754" i="3"/>
  <c r="B3754" i="3"/>
  <c r="C3754" i="3"/>
  <c r="D3754" i="3"/>
  <c r="E3754" i="3"/>
  <c r="A3755" i="3"/>
  <c r="B3755" i="3"/>
  <c r="C3755" i="3"/>
  <c r="D3755" i="3"/>
  <c r="E3755" i="3"/>
  <c r="A3756" i="3"/>
  <c r="B3756" i="3"/>
  <c r="C3756" i="3"/>
  <c r="D3756" i="3"/>
  <c r="E3756" i="3"/>
  <c r="A3757" i="3"/>
  <c r="B3757" i="3"/>
  <c r="C3757" i="3"/>
  <c r="D3757" i="3"/>
  <c r="E3757" i="3"/>
  <c r="A3758" i="3"/>
  <c r="B3758" i="3"/>
  <c r="C3758" i="3"/>
  <c r="D3758" i="3"/>
  <c r="E3758" i="3"/>
  <c r="A3759" i="3"/>
  <c r="B3759" i="3"/>
  <c r="C3759" i="3"/>
  <c r="D3759" i="3"/>
  <c r="E3759" i="3"/>
  <c r="A3760" i="3"/>
  <c r="B3760" i="3"/>
  <c r="C3760" i="3"/>
  <c r="D3760" i="3"/>
  <c r="E3760" i="3"/>
  <c r="A3761" i="3"/>
  <c r="B3761" i="3"/>
  <c r="C3761" i="3"/>
  <c r="D3761" i="3"/>
  <c r="E3761" i="3"/>
  <c r="A3762" i="3"/>
  <c r="B3762" i="3"/>
  <c r="C3762" i="3"/>
  <c r="D3762" i="3"/>
  <c r="E3762" i="3"/>
  <c r="A3763" i="3"/>
  <c r="B3763" i="3"/>
  <c r="C3763" i="3"/>
  <c r="D3763" i="3"/>
  <c r="E3763" i="3"/>
  <c r="A3764" i="3"/>
  <c r="B3764" i="3"/>
  <c r="C3764" i="3"/>
  <c r="D3764" i="3"/>
  <c r="E3764" i="3"/>
  <c r="A3765" i="3"/>
  <c r="B3765" i="3"/>
  <c r="C3765" i="3"/>
  <c r="D3765" i="3"/>
  <c r="E3765" i="3"/>
  <c r="A3766" i="3"/>
  <c r="B3766" i="3"/>
  <c r="C3766" i="3"/>
  <c r="D3766" i="3"/>
  <c r="E3766" i="3"/>
  <c r="A3767" i="3"/>
  <c r="B3767" i="3"/>
  <c r="C3767" i="3"/>
  <c r="D3767" i="3"/>
  <c r="E3767" i="3"/>
  <c r="A3768" i="3"/>
  <c r="B3768" i="3"/>
  <c r="C3768" i="3"/>
  <c r="D3768" i="3"/>
  <c r="E3768" i="3"/>
  <c r="A3769" i="3"/>
  <c r="B3769" i="3"/>
  <c r="C3769" i="3"/>
  <c r="D3769" i="3"/>
  <c r="E3769" i="3"/>
  <c r="A3770" i="3"/>
  <c r="B3770" i="3"/>
  <c r="C3770" i="3"/>
  <c r="D3770" i="3"/>
  <c r="E3770" i="3"/>
  <c r="A3771" i="3"/>
  <c r="B3771" i="3"/>
  <c r="C3771" i="3"/>
  <c r="D3771" i="3"/>
  <c r="E3771" i="3"/>
  <c r="A3772" i="3"/>
  <c r="B3772" i="3"/>
  <c r="C3772" i="3"/>
  <c r="D3772" i="3"/>
  <c r="E3772" i="3"/>
  <c r="A3773" i="3"/>
  <c r="B3773" i="3"/>
  <c r="C3773" i="3"/>
  <c r="D3773" i="3"/>
  <c r="E3773" i="3"/>
  <c r="A3774" i="3"/>
  <c r="B3774" i="3"/>
  <c r="C3774" i="3"/>
  <c r="D3774" i="3"/>
  <c r="E3774" i="3"/>
  <c r="A3775" i="3"/>
  <c r="B3775" i="3"/>
  <c r="C3775" i="3"/>
  <c r="D3775" i="3"/>
  <c r="E3775" i="3"/>
  <c r="A3776" i="3"/>
  <c r="B3776" i="3"/>
  <c r="C3776" i="3"/>
  <c r="D3776" i="3"/>
  <c r="E3776" i="3"/>
  <c r="A3777" i="3"/>
  <c r="B3777" i="3"/>
  <c r="C3777" i="3"/>
  <c r="D3777" i="3"/>
  <c r="E3777" i="3"/>
  <c r="A3778" i="3"/>
  <c r="B3778" i="3"/>
  <c r="C3778" i="3"/>
  <c r="D3778" i="3"/>
  <c r="E3778" i="3"/>
  <c r="A3779" i="3"/>
  <c r="B3779" i="3"/>
  <c r="C3779" i="3"/>
  <c r="D3779" i="3"/>
  <c r="E3779" i="3"/>
  <c r="A3780" i="3"/>
  <c r="B3780" i="3"/>
  <c r="C3780" i="3"/>
  <c r="D3780" i="3"/>
  <c r="E3780" i="3"/>
  <c r="A3781" i="3"/>
  <c r="B3781" i="3"/>
  <c r="C3781" i="3"/>
  <c r="D3781" i="3"/>
  <c r="E3781" i="3"/>
  <c r="A3782" i="3"/>
  <c r="B3782" i="3"/>
  <c r="C3782" i="3"/>
  <c r="D3782" i="3"/>
  <c r="E3782" i="3"/>
  <c r="A3783" i="3"/>
  <c r="B3783" i="3"/>
  <c r="C3783" i="3"/>
  <c r="D3783" i="3"/>
  <c r="E3783" i="3"/>
  <c r="A3784" i="3"/>
  <c r="B3784" i="3"/>
  <c r="C3784" i="3"/>
  <c r="D3784" i="3"/>
  <c r="E3784" i="3"/>
  <c r="A3785" i="3"/>
  <c r="B3785" i="3"/>
  <c r="C3785" i="3"/>
  <c r="D3785" i="3"/>
  <c r="E3785" i="3"/>
  <c r="A3786" i="3"/>
  <c r="B3786" i="3"/>
  <c r="C3786" i="3"/>
  <c r="D3786" i="3"/>
  <c r="E3786" i="3"/>
  <c r="A3787" i="3"/>
  <c r="B3787" i="3"/>
  <c r="C3787" i="3"/>
  <c r="D3787" i="3"/>
  <c r="E3787" i="3"/>
  <c r="A3788" i="3"/>
  <c r="B3788" i="3"/>
  <c r="C3788" i="3"/>
  <c r="D3788" i="3"/>
  <c r="E3788" i="3"/>
  <c r="A3789" i="3"/>
  <c r="B3789" i="3"/>
  <c r="C3789" i="3"/>
  <c r="D3789" i="3"/>
  <c r="E3789" i="3"/>
  <c r="A3790" i="3"/>
  <c r="B3790" i="3"/>
  <c r="C3790" i="3"/>
  <c r="D3790" i="3"/>
  <c r="E3790" i="3"/>
  <c r="A3791" i="3"/>
  <c r="B3791" i="3"/>
  <c r="C3791" i="3"/>
  <c r="D3791" i="3"/>
  <c r="E3791" i="3"/>
  <c r="A3792" i="3"/>
  <c r="B3792" i="3"/>
  <c r="C3792" i="3"/>
  <c r="D3792" i="3"/>
  <c r="E3792" i="3"/>
  <c r="A3793" i="3"/>
  <c r="B3793" i="3"/>
  <c r="C3793" i="3"/>
  <c r="D3793" i="3"/>
  <c r="E3793" i="3"/>
  <c r="A3794" i="3"/>
  <c r="B3794" i="3"/>
  <c r="C3794" i="3"/>
  <c r="D3794" i="3"/>
  <c r="E3794" i="3"/>
  <c r="A3795" i="3"/>
  <c r="B3795" i="3"/>
  <c r="C3795" i="3"/>
  <c r="D3795" i="3"/>
  <c r="E3795" i="3"/>
  <c r="A3796" i="3"/>
  <c r="B3796" i="3"/>
  <c r="C3796" i="3"/>
  <c r="D3796" i="3"/>
  <c r="E3796" i="3"/>
  <c r="A3797" i="3"/>
  <c r="B3797" i="3"/>
  <c r="C3797" i="3"/>
  <c r="D3797" i="3"/>
  <c r="E3797" i="3"/>
  <c r="A3798" i="3"/>
  <c r="B3798" i="3"/>
  <c r="C3798" i="3"/>
  <c r="D3798" i="3"/>
  <c r="E3798" i="3"/>
  <c r="A3799" i="3"/>
  <c r="B3799" i="3"/>
  <c r="C3799" i="3"/>
  <c r="D3799" i="3"/>
  <c r="E3799" i="3"/>
  <c r="A3800" i="3"/>
  <c r="B3800" i="3"/>
  <c r="C3800" i="3"/>
  <c r="D3800" i="3"/>
  <c r="E3800" i="3"/>
  <c r="A3801" i="3"/>
  <c r="B3801" i="3"/>
  <c r="C3801" i="3"/>
  <c r="D3801" i="3"/>
  <c r="E3801" i="3"/>
  <c r="A3802" i="3"/>
  <c r="B3802" i="3"/>
  <c r="C3802" i="3"/>
  <c r="D3802" i="3"/>
  <c r="E3802" i="3"/>
  <c r="A3803" i="3"/>
  <c r="B3803" i="3"/>
  <c r="C3803" i="3"/>
  <c r="D3803" i="3"/>
  <c r="E3803" i="3"/>
  <c r="A3804" i="3"/>
  <c r="B3804" i="3"/>
  <c r="C3804" i="3"/>
  <c r="D3804" i="3"/>
  <c r="E3804" i="3"/>
  <c r="A3805" i="3"/>
  <c r="B3805" i="3"/>
  <c r="C3805" i="3"/>
  <c r="D3805" i="3"/>
  <c r="E3805" i="3"/>
  <c r="A3806" i="3"/>
  <c r="B3806" i="3"/>
  <c r="C3806" i="3"/>
  <c r="D3806" i="3"/>
  <c r="E3806" i="3"/>
  <c r="A3807" i="3"/>
  <c r="B3807" i="3"/>
  <c r="C3807" i="3"/>
  <c r="D3807" i="3"/>
  <c r="E3807" i="3"/>
  <c r="A3808" i="3"/>
  <c r="B3808" i="3"/>
  <c r="C3808" i="3"/>
  <c r="D3808" i="3"/>
  <c r="E3808" i="3"/>
  <c r="A3809" i="3"/>
  <c r="B3809" i="3"/>
  <c r="C3809" i="3"/>
  <c r="D3809" i="3"/>
  <c r="E3809" i="3"/>
  <c r="A3810" i="3"/>
  <c r="B3810" i="3"/>
  <c r="C3810" i="3"/>
  <c r="D3810" i="3"/>
  <c r="E3810" i="3"/>
  <c r="A3811" i="3"/>
  <c r="B3811" i="3"/>
  <c r="C3811" i="3"/>
  <c r="D3811" i="3"/>
  <c r="E3811" i="3"/>
  <c r="A3812" i="3"/>
  <c r="B3812" i="3"/>
  <c r="C3812" i="3"/>
  <c r="D3812" i="3"/>
  <c r="E3812" i="3"/>
  <c r="A3813" i="3"/>
  <c r="B3813" i="3"/>
  <c r="C3813" i="3"/>
  <c r="D3813" i="3"/>
  <c r="E3813" i="3"/>
  <c r="A3814" i="3"/>
  <c r="B3814" i="3"/>
  <c r="C3814" i="3"/>
  <c r="D3814" i="3"/>
  <c r="E3814" i="3"/>
  <c r="A3815" i="3"/>
  <c r="B3815" i="3"/>
  <c r="C3815" i="3"/>
  <c r="D3815" i="3"/>
  <c r="E3815" i="3"/>
  <c r="A3816" i="3"/>
  <c r="B3816" i="3"/>
  <c r="C3816" i="3"/>
  <c r="D3816" i="3"/>
  <c r="E3816" i="3"/>
  <c r="A3817" i="3"/>
  <c r="B3817" i="3"/>
  <c r="C3817" i="3"/>
  <c r="D3817" i="3"/>
  <c r="E3817" i="3"/>
  <c r="A3818" i="3"/>
  <c r="B3818" i="3"/>
  <c r="C3818" i="3"/>
  <c r="D3818" i="3"/>
  <c r="E3818" i="3"/>
  <c r="A3819" i="3"/>
  <c r="B3819" i="3"/>
  <c r="C3819" i="3"/>
  <c r="D3819" i="3"/>
  <c r="E3819" i="3"/>
  <c r="A3820" i="3"/>
  <c r="B3820" i="3"/>
  <c r="C3820" i="3"/>
  <c r="D3820" i="3"/>
  <c r="E3820" i="3"/>
  <c r="A3821" i="3"/>
  <c r="B3821" i="3"/>
  <c r="C3821" i="3"/>
  <c r="D3821" i="3"/>
  <c r="E3821" i="3"/>
  <c r="A3822" i="3"/>
  <c r="B3822" i="3"/>
  <c r="C3822" i="3"/>
  <c r="D3822" i="3"/>
  <c r="E3822" i="3"/>
  <c r="A3823" i="3"/>
  <c r="B3823" i="3"/>
  <c r="C3823" i="3"/>
  <c r="D3823" i="3"/>
  <c r="E3823" i="3"/>
  <c r="A3824" i="3"/>
  <c r="B3824" i="3"/>
  <c r="C3824" i="3"/>
  <c r="D3824" i="3"/>
  <c r="E3824" i="3"/>
  <c r="A3825" i="3"/>
  <c r="B3825" i="3"/>
  <c r="C3825" i="3"/>
  <c r="D3825" i="3"/>
  <c r="E3825" i="3"/>
  <c r="A3826" i="3"/>
  <c r="B3826" i="3"/>
  <c r="C3826" i="3"/>
  <c r="D3826" i="3"/>
  <c r="E3826" i="3"/>
  <c r="A3827" i="3"/>
  <c r="B3827" i="3"/>
  <c r="C3827" i="3"/>
  <c r="D3827" i="3"/>
  <c r="E3827" i="3"/>
  <c r="A3828" i="3"/>
  <c r="B3828" i="3"/>
  <c r="C3828" i="3"/>
  <c r="D3828" i="3"/>
  <c r="E3828" i="3"/>
  <c r="A3829" i="3"/>
  <c r="B3829" i="3"/>
  <c r="C3829" i="3"/>
  <c r="D3829" i="3"/>
  <c r="E3829" i="3"/>
  <c r="A3830" i="3"/>
  <c r="B3830" i="3"/>
  <c r="C3830" i="3"/>
  <c r="D3830" i="3"/>
  <c r="E3830" i="3"/>
  <c r="A3831" i="3"/>
  <c r="B3831" i="3"/>
  <c r="C3831" i="3"/>
  <c r="D3831" i="3"/>
  <c r="E3831" i="3"/>
  <c r="A3832" i="3"/>
  <c r="B3832" i="3"/>
  <c r="C3832" i="3"/>
  <c r="D3832" i="3"/>
  <c r="E3832" i="3"/>
  <c r="A3833" i="3"/>
  <c r="B3833" i="3"/>
  <c r="C3833" i="3"/>
  <c r="D3833" i="3"/>
  <c r="E3833" i="3"/>
  <c r="A3834" i="3"/>
  <c r="B3834" i="3"/>
  <c r="C3834" i="3"/>
  <c r="D3834" i="3"/>
  <c r="E3834" i="3"/>
  <c r="A3835" i="3"/>
  <c r="B3835" i="3"/>
  <c r="C3835" i="3"/>
  <c r="D3835" i="3"/>
  <c r="E3835" i="3"/>
  <c r="A3836" i="3"/>
  <c r="B3836" i="3"/>
  <c r="C3836" i="3"/>
  <c r="D3836" i="3"/>
  <c r="E3836" i="3"/>
  <c r="A3837" i="3"/>
  <c r="B3837" i="3"/>
  <c r="C3837" i="3"/>
  <c r="D3837" i="3"/>
  <c r="E3837" i="3"/>
  <c r="A3838" i="3"/>
  <c r="B3838" i="3"/>
  <c r="C3838" i="3"/>
  <c r="D3838" i="3"/>
  <c r="E3838" i="3"/>
  <c r="A3839" i="3"/>
  <c r="B3839" i="3"/>
  <c r="C3839" i="3"/>
  <c r="D3839" i="3"/>
  <c r="E3839" i="3"/>
  <c r="A3840" i="3"/>
  <c r="B3840" i="3"/>
  <c r="C3840" i="3"/>
  <c r="D3840" i="3"/>
  <c r="E3840" i="3"/>
  <c r="A3841" i="3"/>
  <c r="B3841" i="3"/>
  <c r="C3841" i="3"/>
  <c r="D3841" i="3"/>
  <c r="E3841" i="3"/>
  <c r="A3842" i="3"/>
  <c r="B3842" i="3"/>
  <c r="C3842" i="3"/>
  <c r="D3842" i="3"/>
  <c r="E3842" i="3"/>
  <c r="A3843" i="3"/>
  <c r="B3843" i="3"/>
  <c r="C3843" i="3"/>
  <c r="D3843" i="3"/>
  <c r="E3843" i="3"/>
  <c r="A3844" i="3"/>
  <c r="B3844" i="3"/>
  <c r="C3844" i="3"/>
  <c r="D3844" i="3"/>
  <c r="E3844" i="3"/>
  <c r="A3845" i="3"/>
  <c r="B3845" i="3"/>
  <c r="C3845" i="3"/>
  <c r="D3845" i="3"/>
  <c r="E3845" i="3"/>
  <c r="A3846" i="3"/>
  <c r="B3846" i="3"/>
  <c r="C3846" i="3"/>
  <c r="D3846" i="3"/>
  <c r="E3846" i="3"/>
  <c r="A3847" i="3"/>
  <c r="B3847" i="3"/>
  <c r="C3847" i="3"/>
  <c r="D3847" i="3"/>
  <c r="E3847" i="3"/>
  <c r="A3848" i="3"/>
  <c r="B3848" i="3"/>
  <c r="C3848" i="3"/>
  <c r="D3848" i="3"/>
  <c r="E3848" i="3"/>
  <c r="A3849" i="3"/>
  <c r="B3849" i="3"/>
  <c r="C3849" i="3"/>
  <c r="D3849" i="3"/>
  <c r="E3849" i="3"/>
  <c r="A3850" i="3"/>
  <c r="B3850" i="3"/>
  <c r="C3850" i="3"/>
  <c r="D3850" i="3"/>
  <c r="E3850" i="3"/>
  <c r="A3851" i="3"/>
  <c r="B3851" i="3"/>
  <c r="C3851" i="3"/>
  <c r="D3851" i="3"/>
  <c r="E3851" i="3"/>
  <c r="A3852" i="3"/>
  <c r="B3852" i="3"/>
  <c r="C3852" i="3"/>
  <c r="D3852" i="3"/>
  <c r="E3852" i="3"/>
  <c r="A3853" i="3"/>
  <c r="B3853" i="3"/>
  <c r="C3853" i="3"/>
  <c r="D3853" i="3"/>
  <c r="E3853" i="3"/>
  <c r="A3854" i="3"/>
  <c r="B3854" i="3"/>
  <c r="C3854" i="3"/>
  <c r="D3854" i="3"/>
  <c r="E3854" i="3"/>
  <c r="A3855" i="3"/>
  <c r="B3855" i="3"/>
  <c r="C3855" i="3"/>
  <c r="D3855" i="3"/>
  <c r="E3855" i="3"/>
  <c r="A3856" i="3"/>
  <c r="B3856" i="3"/>
  <c r="C3856" i="3"/>
  <c r="D3856" i="3"/>
  <c r="E3856" i="3"/>
  <c r="A3857" i="3"/>
  <c r="B3857" i="3"/>
  <c r="C3857" i="3"/>
  <c r="D3857" i="3"/>
  <c r="E3857" i="3"/>
  <c r="A3858" i="3"/>
  <c r="B3858" i="3"/>
  <c r="C3858" i="3"/>
  <c r="D3858" i="3"/>
  <c r="E3858" i="3"/>
  <c r="A3859" i="3"/>
  <c r="B3859" i="3"/>
  <c r="C3859" i="3"/>
  <c r="D3859" i="3"/>
  <c r="E3859" i="3"/>
  <c r="A3860" i="3"/>
  <c r="B3860" i="3"/>
  <c r="C3860" i="3"/>
  <c r="D3860" i="3"/>
  <c r="E3860" i="3"/>
  <c r="A3861" i="3"/>
  <c r="B3861" i="3"/>
  <c r="C3861" i="3"/>
  <c r="D3861" i="3"/>
  <c r="E3861" i="3"/>
  <c r="A3862" i="3"/>
  <c r="B3862" i="3"/>
  <c r="C3862" i="3"/>
  <c r="D3862" i="3"/>
  <c r="E3862" i="3"/>
  <c r="A3863" i="3"/>
  <c r="B3863" i="3"/>
  <c r="C3863" i="3"/>
  <c r="D3863" i="3"/>
  <c r="E3863" i="3"/>
  <c r="A3864" i="3"/>
  <c r="B3864" i="3"/>
  <c r="C3864" i="3"/>
  <c r="D3864" i="3"/>
  <c r="E3864" i="3"/>
  <c r="A3865" i="3"/>
  <c r="B3865" i="3"/>
  <c r="C3865" i="3"/>
  <c r="D3865" i="3"/>
  <c r="E3865" i="3"/>
  <c r="A3866" i="3"/>
  <c r="B3866" i="3"/>
  <c r="C3866" i="3"/>
  <c r="D3866" i="3"/>
  <c r="E3866" i="3"/>
  <c r="A3867" i="3"/>
  <c r="B3867" i="3"/>
  <c r="C3867" i="3"/>
  <c r="D3867" i="3"/>
  <c r="E3867" i="3"/>
  <c r="A3868" i="3"/>
  <c r="B3868" i="3"/>
  <c r="C3868" i="3"/>
  <c r="D3868" i="3"/>
  <c r="E3868" i="3"/>
  <c r="A3869" i="3"/>
  <c r="B3869" i="3"/>
  <c r="C3869" i="3"/>
  <c r="D3869" i="3"/>
  <c r="E3869" i="3"/>
  <c r="A3870" i="3"/>
  <c r="B3870" i="3"/>
  <c r="C3870" i="3"/>
  <c r="D3870" i="3"/>
  <c r="E3870" i="3"/>
  <c r="A3871" i="3"/>
  <c r="B3871" i="3"/>
  <c r="C3871" i="3"/>
  <c r="D3871" i="3"/>
  <c r="E3871" i="3"/>
  <c r="A3872" i="3"/>
  <c r="B3872" i="3"/>
  <c r="C3872" i="3"/>
  <c r="D3872" i="3"/>
  <c r="E3872" i="3"/>
  <c r="A3873" i="3"/>
  <c r="B3873" i="3"/>
  <c r="C3873" i="3"/>
  <c r="D3873" i="3"/>
  <c r="E3873" i="3"/>
  <c r="A3874" i="3"/>
  <c r="B3874" i="3"/>
  <c r="C3874" i="3"/>
  <c r="D3874" i="3"/>
  <c r="E3874" i="3"/>
  <c r="A3875" i="3"/>
  <c r="B3875" i="3"/>
  <c r="C3875" i="3"/>
  <c r="D3875" i="3"/>
  <c r="E3875" i="3"/>
  <c r="A3876" i="3"/>
  <c r="B3876" i="3"/>
  <c r="C3876" i="3"/>
  <c r="D3876" i="3"/>
  <c r="E3876" i="3"/>
  <c r="A3877" i="3"/>
  <c r="B3877" i="3"/>
  <c r="C3877" i="3"/>
  <c r="D3877" i="3"/>
  <c r="E3877" i="3"/>
  <c r="A3878" i="3"/>
  <c r="B3878" i="3"/>
  <c r="C3878" i="3"/>
  <c r="D3878" i="3"/>
  <c r="E3878" i="3"/>
  <c r="A3879" i="3"/>
  <c r="B3879" i="3"/>
  <c r="C3879" i="3"/>
  <c r="D3879" i="3"/>
  <c r="E3879" i="3"/>
  <c r="A3880" i="3"/>
  <c r="B3880" i="3"/>
  <c r="C3880" i="3"/>
  <c r="D3880" i="3"/>
  <c r="E3880" i="3"/>
  <c r="A3881" i="3"/>
  <c r="B3881" i="3"/>
  <c r="C3881" i="3"/>
  <c r="D3881" i="3"/>
  <c r="E3881" i="3"/>
  <c r="A3882" i="3"/>
  <c r="B3882" i="3"/>
  <c r="C3882" i="3"/>
  <c r="D3882" i="3"/>
  <c r="E3882" i="3"/>
  <c r="A3883" i="3"/>
  <c r="B3883" i="3"/>
  <c r="C3883" i="3"/>
  <c r="D3883" i="3"/>
  <c r="E3883" i="3"/>
  <c r="A3884" i="3"/>
  <c r="B3884" i="3"/>
  <c r="C3884" i="3"/>
  <c r="D3884" i="3"/>
  <c r="E3884" i="3"/>
  <c r="A3885" i="3"/>
  <c r="B3885" i="3"/>
  <c r="C3885" i="3"/>
  <c r="D3885" i="3"/>
  <c r="E3885" i="3"/>
  <c r="A3886" i="3"/>
  <c r="B3886" i="3"/>
  <c r="C3886" i="3"/>
  <c r="D3886" i="3"/>
  <c r="E3886" i="3"/>
  <c r="A3887" i="3"/>
  <c r="B3887" i="3"/>
  <c r="C3887" i="3"/>
  <c r="D3887" i="3"/>
  <c r="E3887" i="3"/>
  <c r="A3888" i="3"/>
  <c r="B3888" i="3"/>
  <c r="C3888" i="3"/>
  <c r="D3888" i="3"/>
  <c r="E3888" i="3"/>
  <c r="A3889" i="3"/>
  <c r="B3889" i="3"/>
  <c r="C3889" i="3"/>
  <c r="D3889" i="3"/>
  <c r="E3889" i="3"/>
  <c r="A3890" i="3"/>
  <c r="B3890" i="3"/>
  <c r="C3890" i="3"/>
  <c r="D3890" i="3"/>
  <c r="E3890" i="3"/>
  <c r="A3891" i="3"/>
  <c r="B3891" i="3"/>
  <c r="C3891" i="3"/>
  <c r="D3891" i="3"/>
  <c r="E3891" i="3"/>
  <c r="A3892" i="3"/>
  <c r="B3892" i="3"/>
  <c r="C3892" i="3"/>
  <c r="D3892" i="3"/>
  <c r="E3892" i="3"/>
  <c r="A3893" i="3"/>
  <c r="B3893" i="3"/>
  <c r="C3893" i="3"/>
  <c r="D3893" i="3"/>
  <c r="E3893" i="3"/>
  <c r="A3894" i="3"/>
  <c r="B3894" i="3"/>
  <c r="C3894" i="3"/>
  <c r="D3894" i="3"/>
  <c r="E3894" i="3"/>
  <c r="A3895" i="3"/>
  <c r="B3895" i="3"/>
  <c r="C3895" i="3"/>
  <c r="D3895" i="3"/>
  <c r="E3895" i="3"/>
  <c r="A3896" i="3"/>
  <c r="B3896" i="3"/>
  <c r="C3896" i="3"/>
  <c r="D3896" i="3"/>
  <c r="E3896" i="3"/>
  <c r="A3897" i="3"/>
  <c r="B3897" i="3"/>
  <c r="C3897" i="3"/>
  <c r="D3897" i="3"/>
  <c r="E3897" i="3"/>
  <c r="A3898" i="3"/>
  <c r="B3898" i="3"/>
  <c r="C3898" i="3"/>
  <c r="D3898" i="3"/>
  <c r="E3898" i="3"/>
  <c r="A3899" i="3"/>
  <c r="B3899" i="3"/>
  <c r="C3899" i="3"/>
  <c r="D3899" i="3"/>
  <c r="E3899" i="3"/>
  <c r="A3900" i="3"/>
  <c r="B3900" i="3"/>
  <c r="C3900" i="3"/>
  <c r="D3900" i="3"/>
  <c r="E3900" i="3"/>
  <c r="A3901" i="3"/>
  <c r="B3901" i="3"/>
  <c r="C3901" i="3"/>
  <c r="D3901" i="3"/>
  <c r="E3901" i="3"/>
  <c r="A3902" i="3"/>
  <c r="B3902" i="3"/>
  <c r="C3902" i="3"/>
  <c r="D3902" i="3"/>
  <c r="E3902" i="3"/>
  <c r="A3903" i="3"/>
  <c r="B3903" i="3"/>
  <c r="C3903" i="3"/>
  <c r="D3903" i="3"/>
  <c r="E3903" i="3"/>
  <c r="A3904" i="3"/>
  <c r="B3904" i="3"/>
  <c r="C3904" i="3"/>
  <c r="D3904" i="3"/>
  <c r="E3904" i="3"/>
  <c r="A3905" i="3"/>
  <c r="B3905" i="3"/>
  <c r="C3905" i="3"/>
  <c r="D3905" i="3"/>
  <c r="E3905" i="3"/>
  <c r="A3906" i="3"/>
  <c r="B3906" i="3"/>
  <c r="C3906" i="3"/>
  <c r="D3906" i="3"/>
  <c r="E3906" i="3"/>
  <c r="A3907" i="3"/>
  <c r="B3907" i="3"/>
  <c r="C3907" i="3"/>
  <c r="D3907" i="3"/>
  <c r="E3907" i="3"/>
  <c r="A3908" i="3"/>
  <c r="B3908" i="3"/>
  <c r="C3908" i="3"/>
  <c r="D3908" i="3"/>
  <c r="E3908" i="3"/>
  <c r="A3909" i="3"/>
  <c r="B3909" i="3"/>
  <c r="C3909" i="3"/>
  <c r="D3909" i="3"/>
  <c r="E3909" i="3"/>
  <c r="A3910" i="3"/>
  <c r="B3910" i="3"/>
  <c r="C3910" i="3"/>
  <c r="D3910" i="3"/>
  <c r="E3910" i="3"/>
  <c r="A3911" i="3"/>
  <c r="B3911" i="3"/>
  <c r="C3911" i="3"/>
  <c r="D3911" i="3"/>
  <c r="E3911" i="3"/>
  <c r="A3912" i="3"/>
  <c r="B3912" i="3"/>
  <c r="C3912" i="3"/>
  <c r="D3912" i="3"/>
  <c r="E3912" i="3"/>
  <c r="A3913" i="3"/>
  <c r="B3913" i="3"/>
  <c r="C3913" i="3"/>
  <c r="D3913" i="3"/>
  <c r="E3913" i="3"/>
  <c r="A3914" i="3"/>
  <c r="B3914" i="3"/>
  <c r="C3914" i="3"/>
  <c r="D3914" i="3"/>
  <c r="E3914" i="3"/>
  <c r="A3915" i="3"/>
  <c r="B3915" i="3"/>
  <c r="C3915" i="3"/>
  <c r="D3915" i="3"/>
  <c r="E3915" i="3"/>
  <c r="A3916" i="3"/>
  <c r="B3916" i="3"/>
  <c r="C3916" i="3"/>
  <c r="D3916" i="3"/>
  <c r="E3916" i="3"/>
  <c r="A3917" i="3"/>
  <c r="B3917" i="3"/>
  <c r="C3917" i="3"/>
  <c r="D3917" i="3"/>
  <c r="E3917" i="3"/>
  <c r="A3918" i="3"/>
  <c r="B3918" i="3"/>
  <c r="C3918" i="3"/>
  <c r="D3918" i="3"/>
  <c r="E3918" i="3"/>
  <c r="A3919" i="3"/>
  <c r="B3919" i="3"/>
  <c r="C3919" i="3"/>
  <c r="D3919" i="3"/>
  <c r="E3919" i="3"/>
  <c r="A3920" i="3"/>
  <c r="B3920" i="3"/>
  <c r="C3920" i="3"/>
  <c r="D3920" i="3"/>
  <c r="E3920" i="3"/>
  <c r="A3921" i="3"/>
  <c r="B3921" i="3"/>
  <c r="C3921" i="3"/>
  <c r="D3921" i="3"/>
  <c r="E3921" i="3"/>
  <c r="A3922" i="3"/>
  <c r="B3922" i="3"/>
  <c r="C3922" i="3"/>
  <c r="D3922" i="3"/>
  <c r="E3922" i="3"/>
  <c r="A3923" i="3"/>
  <c r="B3923" i="3"/>
  <c r="C3923" i="3"/>
  <c r="D3923" i="3"/>
  <c r="E3923" i="3"/>
  <c r="A3924" i="3"/>
  <c r="B3924" i="3"/>
  <c r="C3924" i="3"/>
  <c r="D3924" i="3"/>
  <c r="E3924" i="3"/>
  <c r="A3925" i="3"/>
  <c r="B3925" i="3"/>
  <c r="C3925" i="3"/>
  <c r="D3925" i="3"/>
  <c r="E3925" i="3"/>
  <c r="A3926" i="3"/>
  <c r="B3926" i="3"/>
  <c r="C3926" i="3"/>
  <c r="D3926" i="3"/>
  <c r="E3926" i="3"/>
  <c r="A3927" i="3"/>
  <c r="B3927" i="3"/>
  <c r="C3927" i="3"/>
  <c r="D3927" i="3"/>
  <c r="E3927" i="3"/>
  <c r="A3928" i="3"/>
  <c r="B3928" i="3"/>
  <c r="C3928" i="3"/>
  <c r="D3928" i="3"/>
  <c r="E3928" i="3"/>
  <c r="A3929" i="3"/>
  <c r="B3929" i="3"/>
  <c r="C3929" i="3"/>
  <c r="D3929" i="3"/>
  <c r="E3929" i="3"/>
  <c r="A3930" i="3"/>
  <c r="B3930" i="3"/>
  <c r="C3930" i="3"/>
  <c r="D3930" i="3"/>
  <c r="E3930" i="3"/>
  <c r="A3931" i="3"/>
  <c r="B3931" i="3"/>
  <c r="C3931" i="3"/>
  <c r="D3931" i="3"/>
  <c r="E3931" i="3"/>
  <c r="A3932" i="3"/>
  <c r="B3932" i="3"/>
  <c r="C3932" i="3"/>
  <c r="D3932" i="3"/>
  <c r="E3932" i="3"/>
  <c r="A3933" i="3"/>
  <c r="B3933" i="3"/>
  <c r="C3933" i="3"/>
  <c r="D3933" i="3"/>
  <c r="E3933" i="3"/>
  <c r="A3934" i="3"/>
  <c r="B3934" i="3"/>
  <c r="C3934" i="3"/>
  <c r="D3934" i="3"/>
  <c r="E3934" i="3"/>
  <c r="A3935" i="3"/>
  <c r="B3935" i="3"/>
  <c r="C3935" i="3"/>
  <c r="D3935" i="3"/>
  <c r="E3935" i="3"/>
  <c r="A3936" i="3"/>
  <c r="B3936" i="3"/>
  <c r="C3936" i="3"/>
  <c r="D3936" i="3"/>
  <c r="E3936" i="3"/>
  <c r="A3937" i="3"/>
  <c r="B3937" i="3"/>
  <c r="C3937" i="3"/>
  <c r="D3937" i="3"/>
  <c r="E3937" i="3"/>
  <c r="A3938" i="3"/>
  <c r="B3938" i="3"/>
  <c r="C3938" i="3"/>
  <c r="D3938" i="3"/>
  <c r="E3938" i="3"/>
  <c r="A3939" i="3"/>
  <c r="B3939" i="3"/>
  <c r="C3939" i="3"/>
  <c r="D3939" i="3"/>
  <c r="E3939" i="3"/>
  <c r="A3940" i="3"/>
  <c r="B3940" i="3"/>
  <c r="C3940" i="3"/>
  <c r="D3940" i="3"/>
  <c r="E3940" i="3"/>
  <c r="A3941" i="3"/>
  <c r="B3941" i="3"/>
  <c r="C3941" i="3"/>
  <c r="D3941" i="3"/>
  <c r="E3941" i="3"/>
  <c r="A3942" i="3"/>
  <c r="B3942" i="3"/>
  <c r="C3942" i="3"/>
  <c r="D3942" i="3"/>
  <c r="E3942" i="3"/>
  <c r="A3943" i="3"/>
  <c r="B3943" i="3"/>
  <c r="C3943" i="3"/>
  <c r="D3943" i="3"/>
  <c r="E3943" i="3"/>
  <c r="A3944" i="3"/>
  <c r="B3944" i="3"/>
  <c r="C3944" i="3"/>
  <c r="D3944" i="3"/>
  <c r="E3944" i="3"/>
  <c r="A3945" i="3"/>
  <c r="B3945" i="3"/>
  <c r="C3945" i="3"/>
  <c r="D3945" i="3"/>
  <c r="E3945" i="3"/>
  <c r="A3946" i="3"/>
  <c r="B3946" i="3"/>
  <c r="C3946" i="3"/>
  <c r="D3946" i="3"/>
  <c r="E3946" i="3"/>
  <c r="A3947" i="3"/>
  <c r="B3947" i="3"/>
  <c r="C3947" i="3"/>
  <c r="D3947" i="3"/>
  <c r="E3947" i="3"/>
  <c r="A3948" i="3"/>
  <c r="B3948" i="3"/>
  <c r="C3948" i="3"/>
  <c r="D3948" i="3"/>
  <c r="E3948" i="3"/>
  <c r="A3949" i="3"/>
  <c r="B3949" i="3"/>
  <c r="C3949" i="3"/>
  <c r="D3949" i="3"/>
  <c r="E3949" i="3"/>
  <c r="A3950" i="3"/>
  <c r="B3950" i="3"/>
  <c r="C3950" i="3"/>
  <c r="D3950" i="3"/>
  <c r="E3950" i="3"/>
  <c r="A3951" i="3"/>
  <c r="B3951" i="3"/>
  <c r="C3951" i="3"/>
  <c r="D3951" i="3"/>
  <c r="E3951" i="3"/>
  <c r="A3952" i="3"/>
  <c r="B3952" i="3"/>
  <c r="C3952" i="3"/>
  <c r="D3952" i="3"/>
  <c r="E3952" i="3"/>
  <c r="A3953" i="3"/>
  <c r="B3953" i="3"/>
  <c r="C3953" i="3"/>
  <c r="D3953" i="3"/>
  <c r="E3953" i="3"/>
  <c r="A3954" i="3"/>
  <c r="B3954" i="3"/>
  <c r="C3954" i="3"/>
  <c r="D3954" i="3"/>
  <c r="E3954" i="3"/>
  <c r="A3955" i="3"/>
  <c r="B3955" i="3"/>
  <c r="C3955" i="3"/>
  <c r="D3955" i="3"/>
  <c r="E3955" i="3"/>
  <c r="A3956" i="3"/>
  <c r="B3956" i="3"/>
  <c r="C3956" i="3"/>
  <c r="D3956" i="3"/>
  <c r="E3956" i="3"/>
  <c r="A3957" i="3"/>
  <c r="B3957" i="3"/>
  <c r="C3957" i="3"/>
  <c r="D3957" i="3"/>
  <c r="E3957" i="3"/>
  <c r="A3958" i="3"/>
  <c r="B3958" i="3"/>
  <c r="C3958" i="3"/>
  <c r="D3958" i="3"/>
  <c r="E3958" i="3"/>
  <c r="A3959" i="3"/>
  <c r="B3959" i="3"/>
  <c r="C3959" i="3"/>
  <c r="D3959" i="3"/>
  <c r="E3959" i="3"/>
  <c r="A3960" i="3"/>
  <c r="B3960" i="3"/>
  <c r="C3960" i="3"/>
  <c r="D3960" i="3"/>
  <c r="E3960" i="3"/>
  <c r="A3961" i="3"/>
  <c r="B3961" i="3"/>
  <c r="C3961" i="3"/>
  <c r="D3961" i="3"/>
  <c r="E3961" i="3"/>
  <c r="A3962" i="3"/>
  <c r="B3962" i="3"/>
  <c r="C3962" i="3"/>
  <c r="D3962" i="3"/>
  <c r="E3962" i="3"/>
  <c r="A3963" i="3"/>
  <c r="B3963" i="3"/>
  <c r="C3963" i="3"/>
  <c r="D3963" i="3"/>
  <c r="E3963" i="3"/>
  <c r="A3964" i="3"/>
  <c r="B3964" i="3"/>
  <c r="C3964" i="3"/>
  <c r="D3964" i="3"/>
  <c r="E3964" i="3"/>
  <c r="A3965" i="3"/>
  <c r="B3965" i="3"/>
  <c r="C3965" i="3"/>
  <c r="D3965" i="3"/>
  <c r="E3965" i="3"/>
  <c r="A3966" i="3"/>
  <c r="B3966" i="3"/>
  <c r="C3966" i="3"/>
  <c r="D3966" i="3"/>
  <c r="E3966" i="3"/>
  <c r="A3967" i="3"/>
  <c r="B3967" i="3"/>
  <c r="C3967" i="3"/>
  <c r="D3967" i="3"/>
  <c r="E3967" i="3"/>
  <c r="A3968" i="3"/>
  <c r="B3968" i="3"/>
  <c r="C3968" i="3"/>
  <c r="D3968" i="3"/>
  <c r="E3968" i="3"/>
  <c r="A3969" i="3"/>
  <c r="B3969" i="3"/>
  <c r="C3969" i="3"/>
  <c r="D3969" i="3"/>
  <c r="E3969" i="3"/>
  <c r="A3970" i="3"/>
  <c r="B3970" i="3"/>
  <c r="C3970" i="3"/>
  <c r="D3970" i="3"/>
  <c r="E3970" i="3"/>
  <c r="A3971" i="3"/>
  <c r="B3971" i="3"/>
  <c r="C3971" i="3"/>
  <c r="D3971" i="3"/>
  <c r="E3971" i="3"/>
  <c r="A3972" i="3"/>
  <c r="B3972" i="3"/>
  <c r="C3972" i="3"/>
  <c r="D3972" i="3"/>
  <c r="E3972" i="3"/>
  <c r="A3973" i="3"/>
  <c r="B3973" i="3"/>
  <c r="C3973" i="3"/>
  <c r="D3973" i="3"/>
  <c r="E3973" i="3"/>
  <c r="A3974" i="3"/>
  <c r="B3974" i="3"/>
  <c r="C3974" i="3"/>
  <c r="D3974" i="3"/>
  <c r="E3974" i="3"/>
  <c r="A3975" i="3"/>
  <c r="B3975" i="3"/>
  <c r="C3975" i="3"/>
  <c r="D3975" i="3"/>
  <c r="E3975" i="3"/>
  <c r="A3976" i="3"/>
  <c r="B3976" i="3"/>
  <c r="C3976" i="3"/>
  <c r="D3976" i="3"/>
  <c r="E3976" i="3"/>
  <c r="A3977" i="3"/>
  <c r="B3977" i="3"/>
  <c r="C3977" i="3"/>
  <c r="D3977" i="3"/>
  <c r="E3977" i="3"/>
  <c r="A3978" i="3"/>
  <c r="B3978" i="3"/>
  <c r="C3978" i="3"/>
  <c r="D3978" i="3"/>
  <c r="E3978" i="3"/>
  <c r="A3979" i="3"/>
  <c r="B3979" i="3"/>
  <c r="C3979" i="3"/>
  <c r="D3979" i="3"/>
  <c r="E3979" i="3"/>
  <c r="A3980" i="3"/>
  <c r="B3980" i="3"/>
  <c r="C3980" i="3"/>
  <c r="D3980" i="3"/>
  <c r="E3980" i="3"/>
  <c r="A3981" i="3"/>
  <c r="B3981" i="3"/>
  <c r="C3981" i="3"/>
  <c r="D3981" i="3"/>
  <c r="E3981" i="3"/>
  <c r="A3982" i="3"/>
  <c r="B3982" i="3"/>
  <c r="C3982" i="3"/>
  <c r="D3982" i="3"/>
  <c r="E3982" i="3"/>
  <c r="A3983" i="3"/>
  <c r="B3983" i="3"/>
  <c r="C3983" i="3"/>
  <c r="D3983" i="3"/>
  <c r="E3983" i="3"/>
  <c r="A3984" i="3"/>
  <c r="B3984" i="3"/>
  <c r="C3984" i="3"/>
  <c r="D3984" i="3"/>
  <c r="E3984" i="3"/>
  <c r="A3985" i="3"/>
  <c r="B3985" i="3"/>
  <c r="C3985" i="3"/>
  <c r="D3985" i="3"/>
  <c r="E3985" i="3"/>
  <c r="A3986" i="3"/>
  <c r="B3986" i="3"/>
  <c r="C3986" i="3"/>
  <c r="D3986" i="3"/>
  <c r="E3986" i="3"/>
  <c r="A3987" i="3"/>
  <c r="B3987" i="3"/>
  <c r="C3987" i="3"/>
  <c r="D3987" i="3"/>
  <c r="E3987" i="3"/>
  <c r="A3988" i="3"/>
  <c r="B3988" i="3"/>
  <c r="C3988" i="3"/>
  <c r="D3988" i="3"/>
  <c r="E3988" i="3"/>
  <c r="A3989" i="3"/>
  <c r="B3989" i="3"/>
  <c r="C3989" i="3"/>
  <c r="D3989" i="3"/>
  <c r="E3989" i="3"/>
  <c r="A3990" i="3"/>
  <c r="B3990" i="3"/>
  <c r="C3990" i="3"/>
  <c r="D3990" i="3"/>
  <c r="E3990" i="3"/>
  <c r="A3991" i="3"/>
  <c r="B3991" i="3"/>
  <c r="C3991" i="3"/>
  <c r="D3991" i="3"/>
  <c r="E3991" i="3"/>
  <c r="A3992" i="3"/>
  <c r="B3992" i="3"/>
  <c r="C3992" i="3"/>
  <c r="D3992" i="3"/>
  <c r="E3992" i="3"/>
  <c r="A3993" i="3"/>
  <c r="B3993" i="3"/>
  <c r="C3993" i="3"/>
  <c r="D3993" i="3"/>
  <c r="E3993" i="3"/>
  <c r="A3994" i="3"/>
  <c r="B3994" i="3"/>
  <c r="C3994" i="3"/>
  <c r="D3994" i="3"/>
  <c r="E3994" i="3"/>
  <c r="A3995" i="3"/>
  <c r="B3995" i="3"/>
  <c r="C3995" i="3"/>
  <c r="D3995" i="3"/>
  <c r="E3995" i="3"/>
  <c r="A3996" i="3"/>
  <c r="B3996" i="3"/>
  <c r="C3996" i="3"/>
  <c r="D3996" i="3"/>
  <c r="E3996" i="3"/>
  <c r="A3997" i="3"/>
  <c r="B3997" i="3"/>
  <c r="C3997" i="3"/>
  <c r="D3997" i="3"/>
  <c r="E3997" i="3"/>
  <c r="A3998" i="3"/>
  <c r="B3998" i="3"/>
  <c r="C3998" i="3"/>
  <c r="D3998" i="3"/>
  <c r="E3998" i="3"/>
  <c r="A3999" i="3"/>
  <c r="B3999" i="3"/>
  <c r="C3999" i="3"/>
  <c r="D3999" i="3"/>
  <c r="E3999" i="3"/>
  <c r="A4000" i="3"/>
  <c r="B4000" i="3"/>
  <c r="C4000" i="3"/>
  <c r="D4000" i="3"/>
  <c r="E4000" i="3"/>
  <c r="A4001" i="3"/>
  <c r="B4001" i="3"/>
  <c r="C4001" i="3"/>
  <c r="D4001" i="3"/>
  <c r="E4001" i="3"/>
  <c r="A4002" i="3"/>
  <c r="B4002" i="3"/>
  <c r="C4002" i="3"/>
  <c r="D4002" i="3"/>
  <c r="E4002" i="3"/>
  <c r="A4003" i="3"/>
  <c r="B4003" i="3"/>
  <c r="C4003" i="3"/>
  <c r="D4003" i="3"/>
  <c r="E4003" i="3"/>
  <c r="A4004" i="3"/>
  <c r="B4004" i="3"/>
  <c r="C4004" i="3"/>
  <c r="D4004" i="3"/>
  <c r="E4004" i="3"/>
  <c r="A4005" i="3"/>
  <c r="B4005" i="3"/>
  <c r="C4005" i="3"/>
  <c r="D4005" i="3"/>
  <c r="E4005" i="3"/>
  <c r="A4006" i="3"/>
  <c r="B4006" i="3"/>
  <c r="C4006" i="3"/>
  <c r="D4006" i="3"/>
  <c r="E4006" i="3"/>
  <c r="A4007" i="3"/>
  <c r="B4007" i="3"/>
  <c r="C4007" i="3"/>
  <c r="D4007" i="3"/>
  <c r="E4007" i="3"/>
  <c r="A4008" i="3"/>
  <c r="B4008" i="3"/>
  <c r="C4008" i="3"/>
  <c r="D4008" i="3"/>
  <c r="E4008" i="3"/>
  <c r="A4009" i="3"/>
  <c r="B4009" i="3"/>
  <c r="C4009" i="3"/>
  <c r="D4009" i="3"/>
  <c r="E4009" i="3"/>
  <c r="A4010" i="3"/>
  <c r="B4010" i="3"/>
  <c r="C4010" i="3"/>
  <c r="D4010" i="3"/>
  <c r="E4010" i="3"/>
  <c r="A4011" i="3"/>
  <c r="B4011" i="3"/>
  <c r="C4011" i="3"/>
  <c r="D4011" i="3"/>
  <c r="E4011" i="3"/>
  <c r="A4012" i="3"/>
  <c r="B4012" i="3"/>
  <c r="C4012" i="3"/>
  <c r="D4012" i="3"/>
  <c r="E4012" i="3"/>
  <c r="A4013" i="3"/>
  <c r="B4013" i="3"/>
  <c r="C4013" i="3"/>
  <c r="D4013" i="3"/>
  <c r="E4013" i="3"/>
  <c r="A4014" i="3"/>
  <c r="B4014" i="3"/>
  <c r="C4014" i="3"/>
  <c r="D4014" i="3"/>
  <c r="E4014" i="3"/>
  <c r="A4015" i="3"/>
  <c r="B4015" i="3"/>
  <c r="C4015" i="3"/>
  <c r="D4015" i="3"/>
  <c r="E4015" i="3"/>
  <c r="A4016" i="3"/>
  <c r="B4016" i="3"/>
  <c r="C4016" i="3"/>
  <c r="D4016" i="3"/>
  <c r="E4016" i="3"/>
  <c r="A4017" i="3"/>
  <c r="B4017" i="3"/>
  <c r="C4017" i="3"/>
  <c r="D4017" i="3"/>
  <c r="E4017" i="3"/>
  <c r="A4018" i="3"/>
  <c r="B4018" i="3"/>
  <c r="C4018" i="3"/>
  <c r="D4018" i="3"/>
  <c r="E4018" i="3"/>
  <c r="A4019" i="3"/>
  <c r="B4019" i="3"/>
  <c r="C4019" i="3"/>
  <c r="D4019" i="3"/>
  <c r="E4019" i="3"/>
  <c r="A4020" i="3"/>
  <c r="B4020" i="3"/>
  <c r="C4020" i="3"/>
  <c r="D4020" i="3"/>
  <c r="E4020" i="3"/>
  <c r="A4021" i="3"/>
  <c r="B4021" i="3"/>
  <c r="C4021" i="3"/>
  <c r="D4021" i="3"/>
  <c r="E4021" i="3"/>
  <c r="A4022" i="3"/>
  <c r="B4022" i="3"/>
  <c r="C4022" i="3"/>
  <c r="D4022" i="3"/>
  <c r="E4022" i="3"/>
  <c r="A4023" i="3"/>
  <c r="B4023" i="3"/>
  <c r="C4023" i="3"/>
  <c r="D4023" i="3"/>
  <c r="E4023" i="3"/>
  <c r="A4024" i="3"/>
  <c r="B4024" i="3"/>
  <c r="C4024" i="3"/>
  <c r="D4024" i="3"/>
  <c r="E4024" i="3"/>
  <c r="A4025" i="3"/>
  <c r="B4025" i="3"/>
  <c r="C4025" i="3"/>
  <c r="D4025" i="3"/>
  <c r="E4025" i="3"/>
  <c r="A4026" i="3"/>
  <c r="B4026" i="3"/>
  <c r="C4026" i="3"/>
  <c r="D4026" i="3"/>
  <c r="E4026" i="3"/>
  <c r="A4027" i="3"/>
  <c r="B4027" i="3"/>
  <c r="C4027" i="3"/>
  <c r="D4027" i="3"/>
  <c r="E4027" i="3"/>
  <c r="A4028" i="3"/>
  <c r="B4028" i="3"/>
  <c r="C4028" i="3"/>
  <c r="D4028" i="3"/>
  <c r="E4028" i="3"/>
  <c r="A4029" i="3"/>
  <c r="B4029" i="3"/>
  <c r="C4029" i="3"/>
  <c r="D4029" i="3"/>
  <c r="E4029" i="3"/>
  <c r="A4030" i="3"/>
  <c r="B4030" i="3"/>
  <c r="C4030" i="3"/>
  <c r="D4030" i="3"/>
  <c r="E4030" i="3"/>
  <c r="A4031" i="3"/>
  <c r="B4031" i="3"/>
  <c r="C4031" i="3"/>
  <c r="D4031" i="3"/>
  <c r="E4031" i="3"/>
  <c r="A4032" i="3"/>
  <c r="B4032" i="3"/>
  <c r="C4032" i="3"/>
  <c r="D4032" i="3"/>
  <c r="E4032" i="3"/>
  <c r="A4033" i="3"/>
  <c r="B4033" i="3"/>
  <c r="C4033" i="3"/>
  <c r="D4033" i="3"/>
  <c r="E4033" i="3"/>
  <c r="A4034" i="3"/>
  <c r="B4034" i="3"/>
  <c r="C4034" i="3"/>
  <c r="D4034" i="3"/>
  <c r="E4034" i="3"/>
  <c r="A4035" i="3"/>
  <c r="B4035" i="3"/>
  <c r="C4035" i="3"/>
  <c r="D4035" i="3"/>
  <c r="E4035" i="3"/>
  <c r="A4036" i="3"/>
  <c r="B4036" i="3"/>
  <c r="C4036" i="3"/>
  <c r="D4036" i="3"/>
  <c r="E4036" i="3"/>
  <c r="A4037" i="3"/>
  <c r="B4037" i="3"/>
  <c r="C4037" i="3"/>
  <c r="D4037" i="3"/>
  <c r="E4037" i="3"/>
  <c r="A4038" i="3"/>
  <c r="B4038" i="3"/>
  <c r="C4038" i="3"/>
  <c r="D4038" i="3"/>
  <c r="E4038" i="3"/>
  <c r="A4039" i="3"/>
  <c r="B4039" i="3"/>
  <c r="C4039" i="3"/>
  <c r="D4039" i="3"/>
  <c r="E4039" i="3"/>
  <c r="A4040" i="3"/>
  <c r="B4040" i="3"/>
  <c r="C4040" i="3"/>
  <c r="D4040" i="3"/>
  <c r="E4040" i="3"/>
  <c r="A4041" i="3"/>
  <c r="B4041" i="3"/>
  <c r="C4041" i="3"/>
  <c r="D4041" i="3"/>
  <c r="E4041" i="3"/>
  <c r="A4042" i="3"/>
  <c r="B4042" i="3"/>
  <c r="C4042" i="3"/>
  <c r="D4042" i="3"/>
  <c r="E4042" i="3"/>
  <c r="A4043" i="3"/>
  <c r="B4043" i="3"/>
  <c r="C4043" i="3"/>
  <c r="D4043" i="3"/>
  <c r="E4043" i="3"/>
  <c r="A4044" i="3"/>
  <c r="B4044" i="3"/>
  <c r="C4044" i="3"/>
  <c r="D4044" i="3"/>
  <c r="E4044" i="3"/>
  <c r="A4045" i="3"/>
  <c r="B4045" i="3"/>
  <c r="C4045" i="3"/>
  <c r="D4045" i="3"/>
  <c r="E4045" i="3"/>
  <c r="A4046" i="3"/>
  <c r="B4046" i="3"/>
  <c r="C4046" i="3"/>
  <c r="D4046" i="3"/>
  <c r="E4046" i="3"/>
  <c r="A4047" i="3"/>
  <c r="B4047" i="3"/>
  <c r="C4047" i="3"/>
  <c r="D4047" i="3"/>
  <c r="E4047" i="3"/>
  <c r="A4048" i="3"/>
  <c r="B4048" i="3"/>
  <c r="C4048" i="3"/>
  <c r="D4048" i="3"/>
  <c r="E4048" i="3"/>
  <c r="A4049" i="3"/>
  <c r="B4049" i="3"/>
  <c r="C4049" i="3"/>
  <c r="D4049" i="3"/>
  <c r="E4049" i="3"/>
  <c r="A4050" i="3"/>
  <c r="B4050" i="3"/>
  <c r="C4050" i="3"/>
  <c r="D4050" i="3"/>
  <c r="E4050" i="3"/>
  <c r="A4051" i="3"/>
  <c r="B4051" i="3"/>
  <c r="C4051" i="3"/>
  <c r="D4051" i="3"/>
  <c r="E4051" i="3"/>
  <c r="A4052" i="3"/>
  <c r="B4052" i="3"/>
  <c r="C4052" i="3"/>
  <c r="D4052" i="3"/>
  <c r="E4052" i="3"/>
  <c r="A4053" i="3"/>
  <c r="B4053" i="3"/>
  <c r="C4053" i="3"/>
  <c r="D4053" i="3"/>
  <c r="E4053" i="3"/>
  <c r="A4054" i="3"/>
  <c r="B4054" i="3"/>
  <c r="C4054" i="3"/>
  <c r="D4054" i="3"/>
  <c r="E4054" i="3"/>
  <c r="A4055" i="3"/>
  <c r="B4055" i="3"/>
  <c r="C4055" i="3"/>
  <c r="D4055" i="3"/>
  <c r="E4055" i="3"/>
  <c r="A4056" i="3"/>
  <c r="B4056" i="3"/>
  <c r="C4056" i="3"/>
  <c r="D4056" i="3"/>
  <c r="E4056" i="3"/>
  <c r="A4057" i="3"/>
  <c r="B4057" i="3"/>
  <c r="C4057" i="3"/>
  <c r="D4057" i="3"/>
  <c r="E4057" i="3"/>
  <c r="A4058" i="3"/>
  <c r="B4058" i="3"/>
  <c r="C4058" i="3"/>
  <c r="D4058" i="3"/>
  <c r="E4058" i="3"/>
  <c r="A4059" i="3"/>
  <c r="B4059" i="3"/>
  <c r="C4059" i="3"/>
  <c r="D4059" i="3"/>
  <c r="E4059" i="3"/>
  <c r="A4060" i="3"/>
  <c r="B4060" i="3"/>
  <c r="C4060" i="3"/>
  <c r="D4060" i="3"/>
  <c r="E4060" i="3"/>
  <c r="A4061" i="3"/>
  <c r="B4061" i="3"/>
  <c r="C4061" i="3"/>
  <c r="D4061" i="3"/>
  <c r="E4061" i="3"/>
  <c r="A4062" i="3"/>
  <c r="B4062" i="3"/>
  <c r="C4062" i="3"/>
  <c r="D4062" i="3"/>
  <c r="E4062" i="3"/>
  <c r="A4063" i="3"/>
  <c r="B4063" i="3"/>
  <c r="C4063" i="3"/>
  <c r="D4063" i="3"/>
  <c r="E4063" i="3"/>
  <c r="A4064" i="3"/>
  <c r="B4064" i="3"/>
  <c r="C4064" i="3"/>
  <c r="D4064" i="3"/>
  <c r="E4064" i="3"/>
  <c r="A4065" i="3"/>
  <c r="B4065" i="3"/>
  <c r="C4065" i="3"/>
  <c r="D4065" i="3"/>
  <c r="E4065" i="3"/>
  <c r="A4066" i="3"/>
  <c r="B4066" i="3"/>
  <c r="C4066" i="3"/>
  <c r="D4066" i="3"/>
  <c r="E4066" i="3"/>
  <c r="A4067" i="3"/>
  <c r="B4067" i="3"/>
  <c r="C4067" i="3"/>
  <c r="D4067" i="3"/>
  <c r="E4067" i="3"/>
  <c r="A4068" i="3"/>
  <c r="B4068" i="3"/>
  <c r="C4068" i="3"/>
  <c r="D4068" i="3"/>
  <c r="E4068" i="3"/>
  <c r="A4069" i="3"/>
  <c r="B4069" i="3"/>
  <c r="C4069" i="3"/>
  <c r="D4069" i="3"/>
  <c r="E4069" i="3"/>
  <c r="A4070" i="3"/>
  <c r="B4070" i="3"/>
  <c r="C4070" i="3"/>
  <c r="D4070" i="3"/>
  <c r="E4070" i="3"/>
  <c r="A4071" i="3"/>
  <c r="B4071" i="3"/>
  <c r="C4071" i="3"/>
  <c r="D4071" i="3"/>
  <c r="E4071" i="3"/>
  <c r="A4072" i="3"/>
  <c r="B4072" i="3"/>
  <c r="C4072" i="3"/>
  <c r="D4072" i="3"/>
  <c r="E4072" i="3"/>
  <c r="A4073" i="3"/>
  <c r="B4073" i="3"/>
  <c r="C4073" i="3"/>
  <c r="D4073" i="3"/>
  <c r="E4073" i="3"/>
  <c r="A4074" i="3"/>
  <c r="B4074" i="3"/>
  <c r="C4074" i="3"/>
  <c r="D4074" i="3"/>
  <c r="E4074" i="3"/>
  <c r="A4075" i="3"/>
  <c r="B4075" i="3"/>
  <c r="C4075" i="3"/>
  <c r="D4075" i="3"/>
  <c r="E4075" i="3"/>
  <c r="A4076" i="3"/>
  <c r="B4076" i="3"/>
  <c r="C4076" i="3"/>
  <c r="D4076" i="3"/>
  <c r="E4076" i="3"/>
  <c r="A4077" i="3"/>
  <c r="B4077" i="3"/>
  <c r="C4077" i="3"/>
  <c r="D4077" i="3"/>
  <c r="E4077" i="3"/>
  <c r="A4078" i="3"/>
  <c r="B4078" i="3"/>
  <c r="C4078" i="3"/>
  <c r="D4078" i="3"/>
  <c r="E4078" i="3"/>
  <c r="A4079" i="3"/>
  <c r="B4079" i="3"/>
  <c r="C4079" i="3"/>
  <c r="D4079" i="3"/>
  <c r="E4079" i="3"/>
  <c r="A4080" i="3"/>
  <c r="B4080" i="3"/>
  <c r="C4080" i="3"/>
  <c r="D4080" i="3"/>
  <c r="E4080" i="3"/>
  <c r="A4081" i="3"/>
  <c r="B4081" i="3"/>
  <c r="C4081" i="3"/>
  <c r="D4081" i="3"/>
  <c r="E4081" i="3"/>
  <c r="A4082" i="3"/>
  <c r="B4082" i="3"/>
  <c r="C4082" i="3"/>
  <c r="D4082" i="3"/>
  <c r="E4082" i="3"/>
  <c r="A4083" i="3"/>
  <c r="B4083" i="3"/>
  <c r="C4083" i="3"/>
  <c r="D4083" i="3"/>
  <c r="E4083" i="3"/>
  <c r="A4084" i="3"/>
  <c r="B4084" i="3"/>
  <c r="C4084" i="3"/>
  <c r="D4084" i="3"/>
  <c r="E4084" i="3"/>
  <c r="A4085" i="3"/>
  <c r="B4085" i="3"/>
  <c r="C4085" i="3"/>
  <c r="D4085" i="3"/>
  <c r="E4085" i="3"/>
  <c r="A4086" i="3"/>
  <c r="B4086" i="3"/>
  <c r="C4086" i="3"/>
  <c r="D4086" i="3"/>
  <c r="E4086" i="3"/>
  <c r="A4087" i="3"/>
  <c r="B4087" i="3"/>
  <c r="C4087" i="3"/>
  <c r="D4087" i="3"/>
  <c r="E4087" i="3"/>
  <c r="A4088" i="3"/>
  <c r="B4088" i="3"/>
  <c r="C4088" i="3"/>
  <c r="D4088" i="3"/>
  <c r="E4088" i="3"/>
  <c r="A4089" i="3"/>
  <c r="B4089" i="3"/>
  <c r="C4089" i="3"/>
  <c r="D4089" i="3"/>
  <c r="E4089" i="3"/>
  <c r="A4090" i="3"/>
  <c r="B4090" i="3"/>
  <c r="C4090" i="3"/>
  <c r="D4090" i="3"/>
  <c r="E4090" i="3"/>
  <c r="A4091" i="3"/>
  <c r="B4091" i="3"/>
  <c r="C4091" i="3"/>
  <c r="D4091" i="3"/>
  <c r="E4091" i="3"/>
  <c r="A4092" i="3"/>
  <c r="B4092" i="3"/>
  <c r="C4092" i="3"/>
  <c r="D4092" i="3"/>
  <c r="E4092" i="3"/>
  <c r="A4093" i="3"/>
  <c r="B4093" i="3"/>
  <c r="C4093" i="3"/>
  <c r="D4093" i="3"/>
  <c r="E4093" i="3"/>
  <c r="A4094" i="3"/>
  <c r="B4094" i="3"/>
  <c r="C4094" i="3"/>
  <c r="D4094" i="3"/>
  <c r="E4094" i="3"/>
  <c r="A4095" i="3"/>
  <c r="B4095" i="3"/>
  <c r="C4095" i="3"/>
  <c r="D4095" i="3"/>
  <c r="E4095" i="3"/>
  <c r="A4096" i="3"/>
  <c r="B4096" i="3"/>
  <c r="C4096" i="3"/>
  <c r="D4096" i="3"/>
  <c r="E4096" i="3"/>
  <c r="A4097" i="3"/>
  <c r="B4097" i="3"/>
  <c r="C4097" i="3"/>
  <c r="D4097" i="3"/>
  <c r="E4097" i="3"/>
  <c r="A4098" i="3"/>
  <c r="B4098" i="3"/>
  <c r="C4098" i="3"/>
  <c r="D4098" i="3"/>
  <c r="E4098" i="3"/>
  <c r="A4099" i="3"/>
  <c r="B4099" i="3"/>
  <c r="C4099" i="3"/>
  <c r="D4099" i="3"/>
  <c r="E4099" i="3"/>
  <c r="A4100" i="3"/>
  <c r="B4100" i="3"/>
  <c r="C4100" i="3"/>
  <c r="D4100" i="3"/>
  <c r="E4100" i="3"/>
  <c r="A4101" i="3"/>
  <c r="B4101" i="3"/>
  <c r="C4101" i="3"/>
  <c r="D4101" i="3"/>
  <c r="E4101" i="3"/>
  <c r="A4102" i="3"/>
  <c r="B4102" i="3"/>
  <c r="C4102" i="3"/>
  <c r="D4102" i="3"/>
  <c r="E4102" i="3"/>
  <c r="A4103" i="3"/>
  <c r="B4103" i="3"/>
  <c r="C4103" i="3"/>
  <c r="D4103" i="3"/>
  <c r="E4103" i="3"/>
  <c r="A4104" i="3"/>
  <c r="B4104" i="3"/>
  <c r="C4104" i="3"/>
  <c r="D4104" i="3"/>
  <c r="E4104" i="3"/>
  <c r="A4105" i="3"/>
  <c r="B4105" i="3"/>
  <c r="C4105" i="3"/>
  <c r="D4105" i="3"/>
  <c r="E4105" i="3"/>
  <c r="A4106" i="3"/>
  <c r="B4106" i="3"/>
  <c r="C4106" i="3"/>
  <c r="D4106" i="3"/>
  <c r="E4106" i="3"/>
  <c r="A4107" i="3"/>
  <c r="B4107" i="3"/>
  <c r="C4107" i="3"/>
  <c r="D4107" i="3"/>
  <c r="E4107" i="3"/>
  <c r="A4108" i="3"/>
  <c r="B4108" i="3"/>
  <c r="C4108" i="3"/>
  <c r="D4108" i="3"/>
  <c r="E4108" i="3"/>
  <c r="A4109" i="3"/>
  <c r="B4109" i="3"/>
  <c r="C4109" i="3"/>
  <c r="D4109" i="3"/>
  <c r="E4109" i="3"/>
  <c r="A4110" i="3"/>
  <c r="B4110" i="3"/>
  <c r="C4110" i="3"/>
  <c r="D4110" i="3"/>
  <c r="E4110" i="3"/>
  <c r="A4111" i="3"/>
  <c r="B4111" i="3"/>
  <c r="C4111" i="3"/>
  <c r="D4111" i="3"/>
  <c r="E4111" i="3"/>
  <c r="A4112" i="3"/>
  <c r="B4112" i="3"/>
  <c r="C4112" i="3"/>
  <c r="D4112" i="3"/>
  <c r="E4112" i="3"/>
  <c r="A4113" i="3"/>
  <c r="B4113" i="3"/>
  <c r="C4113" i="3"/>
  <c r="D4113" i="3"/>
  <c r="E4113" i="3"/>
  <c r="A4114" i="3"/>
  <c r="B4114" i="3"/>
  <c r="C4114" i="3"/>
  <c r="D4114" i="3"/>
  <c r="E4114" i="3"/>
  <c r="A4115" i="3"/>
  <c r="B4115" i="3"/>
  <c r="C4115" i="3"/>
  <c r="D4115" i="3"/>
  <c r="E4115" i="3"/>
  <c r="A4116" i="3"/>
  <c r="B4116" i="3"/>
  <c r="C4116" i="3"/>
  <c r="D4116" i="3"/>
  <c r="E4116" i="3"/>
  <c r="A4117" i="3"/>
  <c r="B4117" i="3"/>
  <c r="C4117" i="3"/>
  <c r="D4117" i="3"/>
  <c r="E4117" i="3"/>
  <c r="A4118" i="3"/>
  <c r="B4118" i="3"/>
  <c r="C4118" i="3"/>
  <c r="D4118" i="3"/>
  <c r="E4118" i="3"/>
  <c r="A4119" i="3"/>
  <c r="B4119" i="3"/>
  <c r="C4119" i="3"/>
  <c r="D4119" i="3"/>
  <c r="E4119" i="3"/>
  <c r="A4120" i="3"/>
  <c r="B4120" i="3"/>
  <c r="C4120" i="3"/>
  <c r="D4120" i="3"/>
  <c r="E4120" i="3"/>
  <c r="A4121" i="3"/>
  <c r="B4121" i="3"/>
  <c r="C4121" i="3"/>
  <c r="D4121" i="3"/>
  <c r="E4121" i="3"/>
  <c r="A4122" i="3"/>
  <c r="B4122" i="3"/>
  <c r="C4122" i="3"/>
  <c r="D4122" i="3"/>
  <c r="E4122" i="3"/>
  <c r="A4123" i="3"/>
  <c r="B4123" i="3"/>
  <c r="C4123" i="3"/>
  <c r="D4123" i="3"/>
  <c r="E4123" i="3"/>
  <c r="A4124" i="3"/>
  <c r="B4124" i="3"/>
  <c r="C4124" i="3"/>
  <c r="D4124" i="3"/>
  <c r="E4124" i="3"/>
  <c r="A4125" i="3"/>
  <c r="B4125" i="3"/>
  <c r="C4125" i="3"/>
  <c r="D4125" i="3"/>
  <c r="E4125" i="3"/>
  <c r="A4126" i="3"/>
  <c r="B4126" i="3"/>
  <c r="C4126" i="3"/>
  <c r="D4126" i="3"/>
  <c r="E4126" i="3"/>
  <c r="A4127" i="3"/>
  <c r="B4127" i="3"/>
  <c r="C4127" i="3"/>
  <c r="D4127" i="3"/>
  <c r="E4127" i="3"/>
  <c r="A4128" i="3"/>
  <c r="B4128" i="3"/>
  <c r="C4128" i="3"/>
  <c r="D4128" i="3"/>
  <c r="E4128" i="3"/>
  <c r="A4129" i="3"/>
  <c r="B4129" i="3"/>
  <c r="C4129" i="3"/>
  <c r="D4129" i="3"/>
  <c r="E4129" i="3"/>
  <c r="A4130" i="3"/>
  <c r="B4130" i="3"/>
  <c r="C4130" i="3"/>
  <c r="D4130" i="3"/>
  <c r="E4130" i="3"/>
  <c r="A4131" i="3"/>
  <c r="B4131" i="3"/>
  <c r="C4131" i="3"/>
  <c r="D4131" i="3"/>
  <c r="E4131" i="3"/>
  <c r="A4132" i="3"/>
  <c r="B4132" i="3"/>
  <c r="C4132" i="3"/>
  <c r="D4132" i="3"/>
  <c r="E4132" i="3"/>
  <c r="A4133" i="3"/>
  <c r="B4133" i="3"/>
  <c r="C4133" i="3"/>
  <c r="D4133" i="3"/>
  <c r="E4133" i="3"/>
  <c r="A4134" i="3"/>
  <c r="B4134" i="3"/>
  <c r="C4134" i="3"/>
  <c r="D4134" i="3"/>
  <c r="E4134" i="3"/>
  <c r="A4135" i="3"/>
  <c r="B4135" i="3"/>
  <c r="C4135" i="3"/>
  <c r="D4135" i="3"/>
  <c r="E4135" i="3"/>
  <c r="A4136" i="3"/>
  <c r="B4136" i="3"/>
  <c r="C4136" i="3"/>
  <c r="D4136" i="3"/>
  <c r="E4136" i="3"/>
  <c r="A4137" i="3"/>
  <c r="B4137" i="3"/>
  <c r="C4137" i="3"/>
  <c r="D4137" i="3"/>
  <c r="E4137" i="3"/>
  <c r="A4138" i="3"/>
  <c r="B4138" i="3"/>
  <c r="C4138" i="3"/>
  <c r="D4138" i="3"/>
  <c r="E4138" i="3"/>
  <c r="A4139" i="3"/>
  <c r="B4139" i="3"/>
  <c r="C4139" i="3"/>
  <c r="D4139" i="3"/>
  <c r="E4139" i="3"/>
  <c r="A4140" i="3"/>
  <c r="B4140" i="3"/>
  <c r="C4140" i="3"/>
  <c r="D4140" i="3"/>
  <c r="E4140" i="3"/>
  <c r="A4141" i="3"/>
  <c r="B4141" i="3"/>
  <c r="C4141" i="3"/>
  <c r="D4141" i="3"/>
  <c r="E4141" i="3"/>
  <c r="A4142" i="3"/>
  <c r="B4142" i="3"/>
  <c r="C4142" i="3"/>
  <c r="D4142" i="3"/>
  <c r="E4142" i="3"/>
  <c r="A4143" i="3"/>
  <c r="B4143" i="3"/>
  <c r="C4143" i="3"/>
  <c r="D4143" i="3"/>
  <c r="E4143" i="3"/>
  <c r="A4144" i="3"/>
  <c r="B4144" i="3"/>
  <c r="C4144" i="3"/>
  <c r="D4144" i="3"/>
  <c r="E4144" i="3"/>
  <c r="A4145" i="3"/>
  <c r="B4145" i="3"/>
  <c r="C4145" i="3"/>
  <c r="D4145" i="3"/>
  <c r="E4145" i="3"/>
  <c r="A4146" i="3"/>
  <c r="B4146" i="3"/>
  <c r="C4146" i="3"/>
  <c r="D4146" i="3"/>
  <c r="E4146" i="3"/>
  <c r="A4147" i="3"/>
  <c r="B4147" i="3"/>
  <c r="C4147" i="3"/>
  <c r="D4147" i="3"/>
  <c r="E4147" i="3"/>
  <c r="A4148" i="3"/>
  <c r="B4148" i="3"/>
  <c r="C4148" i="3"/>
  <c r="D4148" i="3"/>
  <c r="E4148" i="3"/>
  <c r="A4149" i="3"/>
  <c r="B4149" i="3"/>
  <c r="C4149" i="3"/>
  <c r="D4149" i="3"/>
  <c r="E4149" i="3"/>
  <c r="A4150" i="3"/>
  <c r="B4150" i="3"/>
  <c r="C4150" i="3"/>
  <c r="D4150" i="3"/>
  <c r="E4150" i="3"/>
  <c r="A4151" i="3"/>
  <c r="B4151" i="3"/>
  <c r="C4151" i="3"/>
  <c r="D4151" i="3"/>
  <c r="E4151" i="3"/>
  <c r="A4152" i="3"/>
  <c r="B4152" i="3"/>
  <c r="C4152" i="3"/>
  <c r="D4152" i="3"/>
  <c r="E4152" i="3"/>
  <c r="A4153" i="3"/>
  <c r="B4153" i="3"/>
  <c r="C4153" i="3"/>
  <c r="D4153" i="3"/>
  <c r="E4153" i="3"/>
  <c r="A4154" i="3"/>
  <c r="B4154" i="3"/>
  <c r="C4154" i="3"/>
  <c r="D4154" i="3"/>
  <c r="E4154" i="3"/>
  <c r="A4155" i="3"/>
  <c r="B4155" i="3"/>
  <c r="C4155" i="3"/>
  <c r="D4155" i="3"/>
  <c r="E4155" i="3"/>
  <c r="A4156" i="3"/>
  <c r="B4156" i="3"/>
  <c r="C4156" i="3"/>
  <c r="D4156" i="3"/>
  <c r="E4156" i="3"/>
  <c r="A4157" i="3"/>
  <c r="B4157" i="3"/>
  <c r="C4157" i="3"/>
  <c r="D4157" i="3"/>
  <c r="E4157" i="3"/>
  <c r="A4158" i="3"/>
  <c r="B4158" i="3"/>
  <c r="C4158" i="3"/>
  <c r="D4158" i="3"/>
  <c r="E4158" i="3"/>
  <c r="A4159" i="3"/>
  <c r="B4159" i="3"/>
  <c r="C4159" i="3"/>
  <c r="D4159" i="3"/>
  <c r="E4159" i="3"/>
  <c r="A4160" i="3"/>
  <c r="B4160" i="3"/>
  <c r="C4160" i="3"/>
  <c r="D4160" i="3"/>
  <c r="E4160" i="3"/>
  <c r="A4161" i="3"/>
  <c r="B4161" i="3"/>
  <c r="C4161" i="3"/>
  <c r="D4161" i="3"/>
  <c r="E4161" i="3"/>
  <c r="A4162" i="3"/>
  <c r="B4162" i="3"/>
  <c r="C4162" i="3"/>
  <c r="D4162" i="3"/>
  <c r="E4162" i="3"/>
  <c r="A4163" i="3"/>
  <c r="B4163" i="3"/>
  <c r="C4163" i="3"/>
  <c r="D4163" i="3"/>
  <c r="E4163" i="3"/>
  <c r="A4164" i="3"/>
  <c r="B4164" i="3"/>
  <c r="C4164" i="3"/>
  <c r="D4164" i="3"/>
  <c r="E4164" i="3"/>
  <c r="A4165" i="3"/>
  <c r="B4165" i="3"/>
  <c r="C4165" i="3"/>
  <c r="D4165" i="3"/>
  <c r="E4165" i="3"/>
  <c r="A4166" i="3"/>
  <c r="B4166" i="3"/>
  <c r="C4166" i="3"/>
  <c r="D4166" i="3"/>
  <c r="E4166" i="3"/>
  <c r="A4167" i="3"/>
  <c r="B4167" i="3"/>
  <c r="C4167" i="3"/>
  <c r="D4167" i="3"/>
  <c r="E4167" i="3"/>
  <c r="A4168" i="3"/>
  <c r="B4168" i="3"/>
  <c r="C4168" i="3"/>
  <c r="D4168" i="3"/>
  <c r="E4168" i="3"/>
  <c r="A4169" i="3"/>
  <c r="B4169" i="3"/>
  <c r="C4169" i="3"/>
  <c r="D4169" i="3"/>
  <c r="E4169" i="3"/>
  <c r="A4170" i="3"/>
  <c r="B4170" i="3"/>
  <c r="C4170" i="3"/>
  <c r="D4170" i="3"/>
  <c r="E4170" i="3"/>
  <c r="A4171" i="3"/>
  <c r="B4171" i="3"/>
  <c r="C4171" i="3"/>
  <c r="D4171" i="3"/>
  <c r="E4171" i="3"/>
  <c r="A4172" i="3"/>
  <c r="B4172" i="3"/>
  <c r="C4172" i="3"/>
  <c r="D4172" i="3"/>
  <c r="E4172" i="3"/>
  <c r="A4173" i="3"/>
  <c r="B4173" i="3"/>
  <c r="C4173" i="3"/>
  <c r="D4173" i="3"/>
  <c r="E4173" i="3"/>
  <c r="A4174" i="3"/>
  <c r="B4174" i="3"/>
  <c r="C4174" i="3"/>
  <c r="D4174" i="3"/>
  <c r="E4174" i="3"/>
  <c r="A4175" i="3"/>
  <c r="B4175" i="3"/>
  <c r="C4175" i="3"/>
  <c r="D4175" i="3"/>
  <c r="E4175" i="3"/>
  <c r="A4176" i="3"/>
  <c r="B4176" i="3"/>
  <c r="C4176" i="3"/>
  <c r="D4176" i="3"/>
  <c r="E4176" i="3"/>
  <c r="A4177" i="3"/>
  <c r="B4177" i="3"/>
  <c r="C4177" i="3"/>
  <c r="D4177" i="3"/>
  <c r="E4177" i="3"/>
  <c r="A4178" i="3"/>
  <c r="B4178" i="3"/>
  <c r="C4178" i="3"/>
  <c r="D4178" i="3"/>
  <c r="E4178" i="3"/>
  <c r="A4179" i="3"/>
  <c r="B4179" i="3"/>
  <c r="C4179" i="3"/>
  <c r="D4179" i="3"/>
  <c r="E4179" i="3"/>
  <c r="A4180" i="3"/>
  <c r="B4180" i="3"/>
  <c r="C4180" i="3"/>
  <c r="D4180" i="3"/>
  <c r="E4180" i="3"/>
  <c r="A4181" i="3"/>
  <c r="B4181" i="3"/>
  <c r="C4181" i="3"/>
  <c r="D4181" i="3"/>
  <c r="E4181" i="3"/>
  <c r="A4182" i="3"/>
  <c r="B4182" i="3"/>
  <c r="C4182" i="3"/>
  <c r="D4182" i="3"/>
  <c r="E4182" i="3"/>
  <c r="A4183" i="3"/>
  <c r="B4183" i="3"/>
  <c r="C4183" i="3"/>
  <c r="D4183" i="3"/>
  <c r="E4183" i="3"/>
  <c r="A4184" i="3"/>
  <c r="B4184" i="3"/>
  <c r="C4184" i="3"/>
  <c r="D4184" i="3"/>
  <c r="E4184" i="3"/>
  <c r="A4185" i="3"/>
  <c r="B4185" i="3"/>
  <c r="C4185" i="3"/>
  <c r="D4185" i="3"/>
  <c r="E4185" i="3"/>
  <c r="A4186" i="3"/>
  <c r="B4186" i="3"/>
  <c r="C4186" i="3"/>
  <c r="D4186" i="3"/>
  <c r="E4186" i="3"/>
  <c r="A4187" i="3"/>
  <c r="B4187" i="3"/>
  <c r="C4187" i="3"/>
  <c r="D4187" i="3"/>
  <c r="E4187" i="3"/>
  <c r="A4188" i="3"/>
  <c r="B4188" i="3"/>
  <c r="C4188" i="3"/>
  <c r="D4188" i="3"/>
  <c r="E4188" i="3"/>
  <c r="A4189" i="3"/>
  <c r="B4189" i="3"/>
  <c r="C4189" i="3"/>
  <c r="D4189" i="3"/>
  <c r="E4189" i="3"/>
  <c r="A4190" i="3"/>
  <c r="B4190" i="3"/>
  <c r="C4190" i="3"/>
  <c r="D4190" i="3"/>
  <c r="E4190" i="3"/>
  <c r="A4191" i="3"/>
  <c r="B4191" i="3"/>
  <c r="C4191" i="3"/>
  <c r="D4191" i="3"/>
  <c r="E4191" i="3"/>
  <c r="A4192" i="3"/>
  <c r="B4192" i="3"/>
  <c r="C4192" i="3"/>
  <c r="D4192" i="3"/>
  <c r="E4192" i="3"/>
  <c r="A4193" i="3"/>
  <c r="B4193" i="3"/>
  <c r="C4193" i="3"/>
  <c r="D4193" i="3"/>
  <c r="E4193" i="3"/>
  <c r="A4194" i="3"/>
  <c r="B4194" i="3"/>
  <c r="C4194" i="3"/>
  <c r="D4194" i="3"/>
  <c r="E4194" i="3"/>
  <c r="A4195" i="3"/>
  <c r="B4195" i="3"/>
  <c r="C4195" i="3"/>
  <c r="D4195" i="3"/>
  <c r="E4195" i="3"/>
  <c r="A4196" i="3"/>
  <c r="B4196" i="3"/>
  <c r="C4196" i="3"/>
  <c r="D4196" i="3"/>
  <c r="E4196" i="3"/>
  <c r="A4197" i="3"/>
  <c r="B4197" i="3"/>
  <c r="C4197" i="3"/>
  <c r="D4197" i="3"/>
  <c r="E4197" i="3"/>
  <c r="A4198" i="3"/>
  <c r="B4198" i="3"/>
  <c r="C4198" i="3"/>
  <c r="D4198" i="3"/>
  <c r="E4198" i="3"/>
  <c r="A4199" i="3"/>
  <c r="B4199" i="3"/>
  <c r="C4199" i="3"/>
  <c r="D4199" i="3"/>
  <c r="E4199" i="3"/>
  <c r="A4200" i="3"/>
  <c r="B4200" i="3"/>
  <c r="C4200" i="3"/>
  <c r="D4200" i="3"/>
  <c r="E4200" i="3"/>
  <c r="A4201" i="3"/>
  <c r="B4201" i="3"/>
  <c r="C4201" i="3"/>
  <c r="D4201" i="3"/>
  <c r="E4201" i="3"/>
  <c r="A4202" i="3"/>
  <c r="B4202" i="3"/>
  <c r="C4202" i="3"/>
  <c r="D4202" i="3"/>
  <c r="E4202" i="3"/>
  <c r="A4203" i="3"/>
  <c r="B4203" i="3"/>
  <c r="C4203" i="3"/>
  <c r="D4203" i="3"/>
  <c r="E4203" i="3"/>
  <c r="A4204" i="3"/>
  <c r="B4204" i="3"/>
  <c r="C4204" i="3"/>
  <c r="D4204" i="3"/>
  <c r="E4204" i="3"/>
  <c r="A4205" i="3"/>
  <c r="B4205" i="3"/>
  <c r="C4205" i="3"/>
  <c r="D4205" i="3"/>
  <c r="E4205" i="3"/>
  <c r="A4206" i="3"/>
  <c r="B4206" i="3"/>
  <c r="C4206" i="3"/>
  <c r="D4206" i="3"/>
  <c r="E4206" i="3"/>
  <c r="A4207" i="3"/>
  <c r="B4207" i="3"/>
  <c r="C4207" i="3"/>
  <c r="D4207" i="3"/>
  <c r="E4207" i="3"/>
  <c r="A4208" i="3"/>
  <c r="B4208" i="3"/>
  <c r="C4208" i="3"/>
  <c r="D4208" i="3"/>
  <c r="E4208" i="3"/>
  <c r="A4209" i="3"/>
  <c r="B4209" i="3"/>
  <c r="C4209" i="3"/>
  <c r="D4209" i="3"/>
  <c r="E4209" i="3"/>
  <c r="A4210" i="3"/>
  <c r="B4210" i="3"/>
  <c r="C4210" i="3"/>
  <c r="D4210" i="3"/>
  <c r="E4210" i="3"/>
  <c r="A4211" i="3"/>
  <c r="B4211" i="3"/>
  <c r="C4211" i="3"/>
  <c r="D4211" i="3"/>
  <c r="E4211" i="3"/>
  <c r="A4212" i="3"/>
  <c r="B4212" i="3"/>
  <c r="C4212" i="3"/>
  <c r="D4212" i="3"/>
  <c r="E4212" i="3"/>
  <c r="A4213" i="3"/>
  <c r="B4213" i="3"/>
  <c r="C4213" i="3"/>
  <c r="D4213" i="3"/>
  <c r="E4213" i="3"/>
  <c r="A4214" i="3"/>
  <c r="B4214" i="3"/>
  <c r="C4214" i="3"/>
  <c r="D4214" i="3"/>
  <c r="E4214" i="3"/>
  <c r="A4215" i="3"/>
  <c r="B4215" i="3"/>
  <c r="C4215" i="3"/>
  <c r="D4215" i="3"/>
  <c r="E4215" i="3"/>
  <c r="A4216" i="3"/>
  <c r="B4216" i="3"/>
  <c r="C4216" i="3"/>
  <c r="D4216" i="3"/>
  <c r="E4216" i="3"/>
  <c r="A4217" i="3"/>
  <c r="B4217" i="3"/>
  <c r="C4217" i="3"/>
  <c r="D4217" i="3"/>
  <c r="E4217" i="3"/>
  <c r="A4218" i="3"/>
  <c r="B4218" i="3"/>
  <c r="C4218" i="3"/>
  <c r="D4218" i="3"/>
  <c r="E4218" i="3"/>
  <c r="A4219" i="3"/>
  <c r="B4219" i="3"/>
  <c r="C4219" i="3"/>
  <c r="D4219" i="3"/>
  <c r="E4219" i="3"/>
  <c r="A4220" i="3"/>
  <c r="B4220" i="3"/>
  <c r="C4220" i="3"/>
  <c r="D4220" i="3"/>
  <c r="E4220" i="3"/>
  <c r="A4221" i="3"/>
  <c r="B4221" i="3"/>
  <c r="C4221" i="3"/>
  <c r="D4221" i="3"/>
  <c r="E4221" i="3"/>
  <c r="A4222" i="3"/>
  <c r="B4222" i="3"/>
  <c r="C4222" i="3"/>
  <c r="D4222" i="3"/>
  <c r="E4222" i="3"/>
  <c r="A4223" i="3"/>
  <c r="B4223" i="3"/>
  <c r="C4223" i="3"/>
  <c r="D4223" i="3"/>
  <c r="E4223" i="3"/>
  <c r="A4224" i="3"/>
  <c r="B4224" i="3"/>
  <c r="C4224" i="3"/>
  <c r="D4224" i="3"/>
  <c r="E4224" i="3"/>
  <c r="A4225" i="3"/>
  <c r="B4225" i="3"/>
  <c r="C4225" i="3"/>
  <c r="D4225" i="3"/>
  <c r="E4225" i="3"/>
  <c r="A4226" i="3"/>
  <c r="B4226" i="3"/>
  <c r="C4226" i="3"/>
  <c r="D4226" i="3"/>
  <c r="E4226" i="3"/>
  <c r="A4227" i="3"/>
  <c r="B4227" i="3"/>
  <c r="C4227" i="3"/>
  <c r="D4227" i="3"/>
  <c r="E4227" i="3"/>
  <c r="A4228" i="3"/>
  <c r="B4228" i="3"/>
  <c r="C4228" i="3"/>
  <c r="D4228" i="3"/>
  <c r="E4228" i="3"/>
  <c r="A4229" i="3"/>
  <c r="B4229" i="3"/>
  <c r="C4229" i="3"/>
  <c r="D4229" i="3"/>
  <c r="E4229" i="3"/>
  <c r="A4230" i="3"/>
  <c r="B4230" i="3"/>
  <c r="C4230" i="3"/>
  <c r="D4230" i="3"/>
  <c r="E4230" i="3"/>
  <c r="A4231" i="3"/>
  <c r="B4231" i="3"/>
  <c r="C4231" i="3"/>
  <c r="D4231" i="3"/>
  <c r="E4231" i="3"/>
  <c r="A4232" i="3"/>
  <c r="B4232" i="3"/>
  <c r="C4232" i="3"/>
  <c r="D4232" i="3"/>
  <c r="E4232" i="3"/>
  <c r="A4233" i="3"/>
  <c r="B4233" i="3"/>
  <c r="C4233" i="3"/>
  <c r="D4233" i="3"/>
  <c r="E4233" i="3"/>
  <c r="A4234" i="3"/>
  <c r="B4234" i="3"/>
  <c r="C4234" i="3"/>
  <c r="D4234" i="3"/>
  <c r="E4234" i="3"/>
  <c r="A4235" i="3"/>
  <c r="B4235" i="3"/>
  <c r="C4235" i="3"/>
  <c r="D4235" i="3"/>
  <c r="E4235" i="3"/>
  <c r="A4236" i="3"/>
  <c r="B4236" i="3"/>
  <c r="C4236" i="3"/>
  <c r="D4236" i="3"/>
  <c r="E4236" i="3"/>
  <c r="A4237" i="3"/>
  <c r="B4237" i="3"/>
  <c r="C4237" i="3"/>
  <c r="D4237" i="3"/>
  <c r="E4237" i="3"/>
  <c r="A4238" i="3"/>
  <c r="B4238" i="3"/>
  <c r="C4238" i="3"/>
  <c r="D4238" i="3"/>
  <c r="E4238" i="3"/>
  <c r="A4239" i="3"/>
  <c r="B4239" i="3"/>
  <c r="C4239" i="3"/>
  <c r="D4239" i="3"/>
  <c r="E4239" i="3"/>
  <c r="A4240" i="3"/>
  <c r="B4240" i="3"/>
  <c r="C4240" i="3"/>
  <c r="D4240" i="3"/>
  <c r="E4240" i="3"/>
  <c r="A4241" i="3"/>
  <c r="B4241" i="3"/>
  <c r="C4241" i="3"/>
  <c r="D4241" i="3"/>
  <c r="E4241" i="3"/>
  <c r="A4242" i="3"/>
  <c r="B4242" i="3"/>
  <c r="C4242" i="3"/>
  <c r="D4242" i="3"/>
  <c r="E4242" i="3"/>
  <c r="A4243" i="3"/>
  <c r="B4243" i="3"/>
  <c r="C4243" i="3"/>
  <c r="D4243" i="3"/>
  <c r="E4243" i="3"/>
  <c r="A4244" i="3"/>
  <c r="B4244" i="3"/>
  <c r="C4244" i="3"/>
  <c r="D4244" i="3"/>
  <c r="E4244" i="3"/>
  <c r="A4245" i="3"/>
  <c r="B4245" i="3"/>
  <c r="C4245" i="3"/>
  <c r="D4245" i="3"/>
  <c r="E4245" i="3"/>
  <c r="A4246" i="3"/>
  <c r="B4246" i="3"/>
  <c r="C4246" i="3"/>
  <c r="D4246" i="3"/>
  <c r="E4246" i="3"/>
  <c r="A4247" i="3"/>
  <c r="B4247" i="3"/>
  <c r="C4247" i="3"/>
  <c r="D4247" i="3"/>
  <c r="E4247" i="3"/>
  <c r="A4248" i="3"/>
  <c r="B4248" i="3"/>
  <c r="C4248" i="3"/>
  <c r="D4248" i="3"/>
  <c r="E4248" i="3"/>
  <c r="A4249" i="3"/>
  <c r="B4249" i="3"/>
  <c r="C4249" i="3"/>
  <c r="D4249" i="3"/>
  <c r="E4249" i="3"/>
  <c r="A4250" i="3"/>
  <c r="B4250" i="3"/>
  <c r="C4250" i="3"/>
  <c r="D4250" i="3"/>
  <c r="E4250" i="3"/>
  <c r="A4251" i="3"/>
  <c r="B4251" i="3"/>
  <c r="C4251" i="3"/>
  <c r="D4251" i="3"/>
  <c r="E4251" i="3"/>
  <c r="A4252" i="3"/>
  <c r="B4252" i="3"/>
  <c r="C4252" i="3"/>
  <c r="D4252" i="3"/>
  <c r="E4252" i="3"/>
  <c r="A4253" i="3"/>
  <c r="B4253" i="3"/>
  <c r="C4253" i="3"/>
  <c r="D4253" i="3"/>
  <c r="E4253" i="3"/>
  <c r="A4254" i="3"/>
  <c r="B4254" i="3"/>
  <c r="C4254" i="3"/>
  <c r="D4254" i="3"/>
  <c r="E4254" i="3"/>
  <c r="A4255" i="3"/>
  <c r="B4255" i="3"/>
  <c r="C4255" i="3"/>
  <c r="D4255" i="3"/>
  <c r="E4255" i="3"/>
  <c r="A4256" i="3"/>
  <c r="B4256" i="3"/>
  <c r="C4256" i="3"/>
  <c r="D4256" i="3"/>
  <c r="E4256" i="3"/>
  <c r="A4257" i="3"/>
  <c r="B4257" i="3"/>
  <c r="C4257" i="3"/>
  <c r="D4257" i="3"/>
  <c r="E4257" i="3"/>
  <c r="A4258" i="3"/>
  <c r="B4258" i="3"/>
  <c r="C4258" i="3"/>
  <c r="D4258" i="3"/>
  <c r="E4258" i="3"/>
  <c r="A4259" i="3"/>
  <c r="B4259" i="3"/>
  <c r="C4259" i="3"/>
  <c r="D4259" i="3"/>
  <c r="E4259" i="3"/>
  <c r="A4260" i="3"/>
  <c r="B4260" i="3"/>
  <c r="C4260" i="3"/>
  <c r="D4260" i="3"/>
  <c r="E4260" i="3"/>
  <c r="A4261" i="3"/>
  <c r="B4261" i="3"/>
  <c r="C4261" i="3"/>
  <c r="D4261" i="3"/>
  <c r="E4261" i="3"/>
  <c r="A4262" i="3"/>
  <c r="B4262" i="3"/>
  <c r="C4262" i="3"/>
  <c r="D4262" i="3"/>
  <c r="E4262" i="3"/>
  <c r="A4263" i="3"/>
  <c r="B4263" i="3"/>
  <c r="C4263" i="3"/>
  <c r="D4263" i="3"/>
  <c r="E4263" i="3"/>
  <c r="A4264" i="3"/>
  <c r="B4264" i="3"/>
  <c r="C4264" i="3"/>
  <c r="D4264" i="3"/>
  <c r="E4264" i="3"/>
  <c r="A4265" i="3"/>
  <c r="B4265" i="3"/>
  <c r="C4265" i="3"/>
  <c r="D4265" i="3"/>
  <c r="E4265" i="3"/>
  <c r="A4266" i="3"/>
  <c r="B4266" i="3"/>
  <c r="C4266" i="3"/>
  <c r="D4266" i="3"/>
  <c r="E4266" i="3"/>
  <c r="A4267" i="3"/>
  <c r="B4267" i="3"/>
  <c r="C4267" i="3"/>
  <c r="D4267" i="3"/>
  <c r="E4267" i="3"/>
  <c r="A4268" i="3"/>
  <c r="B4268" i="3"/>
  <c r="C4268" i="3"/>
  <c r="D4268" i="3"/>
  <c r="E4268" i="3"/>
  <c r="A4269" i="3"/>
  <c r="B4269" i="3"/>
  <c r="C4269" i="3"/>
  <c r="D4269" i="3"/>
  <c r="E4269" i="3"/>
  <c r="A4270" i="3"/>
  <c r="B4270" i="3"/>
  <c r="C4270" i="3"/>
  <c r="D4270" i="3"/>
  <c r="E4270" i="3"/>
  <c r="A4271" i="3"/>
  <c r="B4271" i="3"/>
  <c r="C4271" i="3"/>
  <c r="D4271" i="3"/>
  <c r="E4271" i="3"/>
  <c r="A4272" i="3"/>
  <c r="B4272" i="3"/>
  <c r="C4272" i="3"/>
  <c r="D4272" i="3"/>
  <c r="E4272" i="3"/>
  <c r="A4273" i="3"/>
  <c r="B4273" i="3"/>
  <c r="C4273" i="3"/>
  <c r="D4273" i="3"/>
  <c r="E4273" i="3"/>
  <c r="A4274" i="3"/>
  <c r="B4274" i="3"/>
  <c r="C4274" i="3"/>
  <c r="D4274" i="3"/>
  <c r="E4274" i="3"/>
  <c r="A4275" i="3"/>
  <c r="B4275" i="3"/>
  <c r="C4275" i="3"/>
  <c r="D4275" i="3"/>
  <c r="E4275" i="3"/>
  <c r="A4276" i="3"/>
  <c r="B4276" i="3"/>
  <c r="C4276" i="3"/>
  <c r="D4276" i="3"/>
  <c r="E4276" i="3"/>
  <c r="A4277" i="3"/>
  <c r="B4277" i="3"/>
  <c r="C4277" i="3"/>
  <c r="D4277" i="3"/>
  <c r="E4277" i="3"/>
  <c r="A4278" i="3"/>
  <c r="B4278" i="3"/>
  <c r="C4278" i="3"/>
  <c r="D4278" i="3"/>
  <c r="E4278" i="3"/>
  <c r="A4279" i="3"/>
  <c r="B4279" i="3"/>
  <c r="C4279" i="3"/>
  <c r="D4279" i="3"/>
  <c r="E4279" i="3"/>
  <c r="A4280" i="3"/>
  <c r="B4280" i="3"/>
  <c r="C4280" i="3"/>
  <c r="D4280" i="3"/>
  <c r="E4280" i="3"/>
  <c r="A4281" i="3"/>
  <c r="B4281" i="3"/>
  <c r="C4281" i="3"/>
  <c r="D4281" i="3"/>
  <c r="E4281" i="3"/>
  <c r="A4282" i="3"/>
  <c r="B4282" i="3"/>
  <c r="C4282" i="3"/>
  <c r="D4282" i="3"/>
  <c r="E4282" i="3"/>
  <c r="A4283" i="3"/>
  <c r="B4283" i="3"/>
  <c r="C4283" i="3"/>
  <c r="D4283" i="3"/>
  <c r="E4283" i="3"/>
  <c r="A4284" i="3"/>
  <c r="B4284" i="3"/>
  <c r="C4284" i="3"/>
  <c r="D4284" i="3"/>
  <c r="E4284" i="3"/>
  <c r="A4285" i="3"/>
  <c r="B4285" i="3"/>
  <c r="C4285" i="3"/>
  <c r="D4285" i="3"/>
  <c r="E4285" i="3"/>
  <c r="A4286" i="3"/>
  <c r="B4286" i="3"/>
  <c r="C4286" i="3"/>
  <c r="D4286" i="3"/>
  <c r="E4286" i="3"/>
  <c r="A4287" i="3"/>
  <c r="B4287" i="3"/>
  <c r="C4287" i="3"/>
  <c r="D4287" i="3"/>
  <c r="E4287" i="3"/>
  <c r="A4288" i="3"/>
  <c r="B4288" i="3"/>
  <c r="C4288" i="3"/>
  <c r="D4288" i="3"/>
  <c r="E4288" i="3"/>
  <c r="A4289" i="3"/>
  <c r="B4289" i="3"/>
  <c r="C4289" i="3"/>
  <c r="D4289" i="3"/>
  <c r="E4289" i="3"/>
  <c r="A4290" i="3"/>
  <c r="B4290" i="3"/>
  <c r="C4290" i="3"/>
  <c r="D4290" i="3"/>
  <c r="E4290" i="3"/>
  <c r="A4291" i="3"/>
  <c r="B4291" i="3"/>
  <c r="C4291" i="3"/>
  <c r="D4291" i="3"/>
  <c r="E4291" i="3"/>
  <c r="A4292" i="3"/>
  <c r="B4292" i="3"/>
  <c r="C4292" i="3"/>
  <c r="D4292" i="3"/>
  <c r="E4292" i="3"/>
  <c r="A4293" i="3"/>
  <c r="B4293" i="3"/>
  <c r="C4293" i="3"/>
  <c r="D4293" i="3"/>
  <c r="E4293" i="3"/>
  <c r="A4294" i="3"/>
  <c r="B4294" i="3"/>
  <c r="C4294" i="3"/>
  <c r="D4294" i="3"/>
  <c r="E4294" i="3"/>
  <c r="A4295" i="3"/>
  <c r="B4295" i="3"/>
  <c r="C4295" i="3"/>
  <c r="D4295" i="3"/>
  <c r="E4295" i="3"/>
  <c r="A4296" i="3"/>
  <c r="B4296" i="3"/>
  <c r="C4296" i="3"/>
  <c r="D4296" i="3"/>
  <c r="E4296" i="3"/>
  <c r="A4297" i="3"/>
  <c r="B4297" i="3"/>
  <c r="C4297" i="3"/>
  <c r="D4297" i="3"/>
  <c r="E4297" i="3"/>
  <c r="A4298" i="3"/>
  <c r="B4298" i="3"/>
  <c r="C4298" i="3"/>
  <c r="D4298" i="3"/>
  <c r="E4298" i="3"/>
  <c r="A4299" i="3"/>
  <c r="B4299" i="3"/>
  <c r="C4299" i="3"/>
  <c r="D4299" i="3"/>
  <c r="E4299" i="3"/>
  <c r="A4300" i="3"/>
  <c r="B4300" i="3"/>
  <c r="C4300" i="3"/>
  <c r="D4300" i="3"/>
  <c r="E4300" i="3"/>
  <c r="A4301" i="3"/>
  <c r="B4301" i="3"/>
  <c r="C4301" i="3"/>
  <c r="D4301" i="3"/>
  <c r="E4301" i="3"/>
  <c r="A4302" i="3"/>
  <c r="B4302" i="3"/>
  <c r="C4302" i="3"/>
  <c r="D4302" i="3"/>
  <c r="E4302" i="3"/>
  <c r="A4303" i="3"/>
  <c r="B4303" i="3"/>
  <c r="C4303" i="3"/>
  <c r="D4303" i="3"/>
  <c r="E4303" i="3"/>
  <c r="A4304" i="3"/>
  <c r="B4304" i="3"/>
  <c r="C4304" i="3"/>
  <c r="D4304" i="3"/>
  <c r="E4304" i="3"/>
  <c r="A4305" i="3"/>
  <c r="B4305" i="3"/>
  <c r="C4305" i="3"/>
  <c r="D4305" i="3"/>
  <c r="E4305" i="3"/>
  <c r="A4306" i="3"/>
  <c r="B4306" i="3"/>
  <c r="C4306" i="3"/>
  <c r="D4306" i="3"/>
  <c r="E4306" i="3"/>
  <c r="A4307" i="3"/>
  <c r="B4307" i="3"/>
  <c r="C4307" i="3"/>
  <c r="D4307" i="3"/>
  <c r="E4307" i="3"/>
  <c r="A4308" i="3"/>
  <c r="B4308" i="3"/>
  <c r="C4308" i="3"/>
  <c r="D4308" i="3"/>
  <c r="E4308" i="3"/>
  <c r="A4309" i="3"/>
  <c r="B4309" i="3"/>
  <c r="C4309" i="3"/>
  <c r="D4309" i="3"/>
  <c r="E4309" i="3"/>
  <c r="A4310" i="3"/>
  <c r="B4310" i="3"/>
  <c r="C4310" i="3"/>
  <c r="D4310" i="3"/>
  <c r="E4310" i="3"/>
  <c r="A4311" i="3"/>
  <c r="B4311" i="3"/>
  <c r="C4311" i="3"/>
  <c r="D4311" i="3"/>
  <c r="E4311" i="3"/>
  <c r="A4312" i="3"/>
  <c r="B4312" i="3"/>
  <c r="C4312" i="3"/>
  <c r="D4312" i="3"/>
  <c r="E4312" i="3"/>
  <c r="A4313" i="3"/>
  <c r="B4313" i="3"/>
  <c r="C4313" i="3"/>
  <c r="D4313" i="3"/>
  <c r="E4313" i="3"/>
  <c r="A4314" i="3"/>
  <c r="B4314" i="3"/>
  <c r="C4314" i="3"/>
  <c r="D4314" i="3"/>
  <c r="E4314" i="3"/>
  <c r="A4315" i="3"/>
  <c r="B4315" i="3"/>
  <c r="C4315" i="3"/>
  <c r="D4315" i="3"/>
  <c r="E4315" i="3"/>
  <c r="A4316" i="3"/>
  <c r="B4316" i="3"/>
  <c r="C4316" i="3"/>
  <c r="D4316" i="3"/>
  <c r="E4316" i="3"/>
  <c r="A4317" i="3"/>
  <c r="B4317" i="3"/>
  <c r="C4317" i="3"/>
  <c r="D4317" i="3"/>
  <c r="E4317" i="3"/>
  <c r="A4318" i="3"/>
  <c r="B4318" i="3"/>
  <c r="C4318" i="3"/>
  <c r="D4318" i="3"/>
  <c r="E4318" i="3"/>
  <c r="A4319" i="3"/>
  <c r="B4319" i="3"/>
  <c r="C4319" i="3"/>
  <c r="D4319" i="3"/>
  <c r="E4319" i="3"/>
  <c r="A4320" i="3"/>
  <c r="B4320" i="3"/>
  <c r="C4320" i="3"/>
  <c r="D4320" i="3"/>
  <c r="E4320" i="3"/>
  <c r="A4321" i="3"/>
  <c r="B4321" i="3"/>
  <c r="C4321" i="3"/>
  <c r="D4321" i="3"/>
  <c r="E4321" i="3"/>
  <c r="A4322" i="3"/>
  <c r="B4322" i="3"/>
  <c r="C4322" i="3"/>
  <c r="D4322" i="3"/>
  <c r="E4322" i="3"/>
  <c r="A4323" i="3"/>
  <c r="B4323" i="3"/>
  <c r="C4323" i="3"/>
  <c r="D4323" i="3"/>
  <c r="E4323" i="3"/>
  <c r="A4324" i="3"/>
  <c r="B4324" i="3"/>
  <c r="C4324" i="3"/>
  <c r="D4324" i="3"/>
  <c r="E4324" i="3"/>
  <c r="A4325" i="3"/>
  <c r="B4325" i="3"/>
  <c r="C4325" i="3"/>
  <c r="D4325" i="3"/>
  <c r="E4325" i="3"/>
  <c r="A4326" i="3"/>
  <c r="B4326" i="3"/>
  <c r="C4326" i="3"/>
  <c r="D4326" i="3"/>
  <c r="E4326" i="3"/>
  <c r="A4327" i="3"/>
  <c r="B4327" i="3"/>
  <c r="C4327" i="3"/>
  <c r="D4327" i="3"/>
  <c r="E4327" i="3"/>
  <c r="A4328" i="3"/>
  <c r="B4328" i="3"/>
  <c r="C4328" i="3"/>
  <c r="D4328" i="3"/>
  <c r="E4328" i="3"/>
  <c r="A4329" i="3"/>
  <c r="B4329" i="3"/>
  <c r="C4329" i="3"/>
  <c r="D4329" i="3"/>
  <c r="E4329" i="3"/>
  <c r="A4330" i="3"/>
  <c r="B4330" i="3"/>
  <c r="C4330" i="3"/>
  <c r="D4330" i="3"/>
  <c r="E4330" i="3"/>
  <c r="A4331" i="3"/>
  <c r="B4331" i="3"/>
  <c r="C4331" i="3"/>
  <c r="D4331" i="3"/>
  <c r="E4331" i="3"/>
  <c r="A4332" i="3"/>
  <c r="B4332" i="3"/>
  <c r="C4332" i="3"/>
  <c r="D4332" i="3"/>
  <c r="E4332" i="3"/>
  <c r="A4333" i="3"/>
  <c r="B4333" i="3"/>
  <c r="C4333" i="3"/>
  <c r="D4333" i="3"/>
  <c r="E4333" i="3"/>
  <c r="A4334" i="3"/>
  <c r="B4334" i="3"/>
  <c r="C4334" i="3"/>
  <c r="D4334" i="3"/>
  <c r="E4334" i="3"/>
  <c r="A4335" i="3"/>
  <c r="B4335" i="3"/>
  <c r="C4335" i="3"/>
  <c r="D4335" i="3"/>
  <c r="E4335" i="3"/>
  <c r="A4336" i="3"/>
  <c r="B4336" i="3"/>
  <c r="C4336" i="3"/>
  <c r="D4336" i="3"/>
  <c r="E4336" i="3"/>
  <c r="A4337" i="3"/>
  <c r="B4337" i="3"/>
  <c r="C4337" i="3"/>
  <c r="D4337" i="3"/>
  <c r="E4337" i="3"/>
  <c r="A4338" i="3"/>
  <c r="B4338" i="3"/>
  <c r="C4338" i="3"/>
  <c r="D4338" i="3"/>
  <c r="E4338" i="3"/>
  <c r="A4339" i="3"/>
  <c r="B4339" i="3"/>
  <c r="C4339" i="3"/>
  <c r="D4339" i="3"/>
  <c r="E4339" i="3"/>
  <c r="A4340" i="3"/>
  <c r="B4340" i="3"/>
  <c r="C4340" i="3"/>
  <c r="D4340" i="3"/>
  <c r="E4340" i="3"/>
  <c r="A4341" i="3"/>
  <c r="B4341" i="3"/>
  <c r="C4341" i="3"/>
  <c r="D4341" i="3"/>
  <c r="E4341" i="3"/>
  <c r="A4342" i="3"/>
  <c r="B4342" i="3"/>
  <c r="C4342" i="3"/>
  <c r="D4342" i="3"/>
  <c r="E4342" i="3"/>
  <c r="A4343" i="3"/>
  <c r="B4343" i="3"/>
  <c r="C4343" i="3"/>
  <c r="D4343" i="3"/>
  <c r="E4343" i="3"/>
  <c r="A4344" i="3"/>
  <c r="B4344" i="3"/>
  <c r="C4344" i="3"/>
  <c r="D4344" i="3"/>
  <c r="E4344" i="3"/>
  <c r="A4345" i="3"/>
  <c r="B4345" i="3"/>
  <c r="C4345" i="3"/>
  <c r="D4345" i="3"/>
  <c r="E4345" i="3"/>
  <c r="A4346" i="3"/>
  <c r="B4346" i="3"/>
  <c r="C4346" i="3"/>
  <c r="D4346" i="3"/>
  <c r="E4346" i="3"/>
  <c r="A4347" i="3"/>
  <c r="B4347" i="3"/>
  <c r="C4347" i="3"/>
  <c r="D4347" i="3"/>
  <c r="E4347" i="3"/>
  <c r="A4348" i="3"/>
  <c r="B4348" i="3"/>
  <c r="C4348" i="3"/>
  <c r="D4348" i="3"/>
  <c r="E4348" i="3"/>
  <c r="A4349" i="3"/>
  <c r="B4349" i="3"/>
  <c r="C4349" i="3"/>
  <c r="D4349" i="3"/>
  <c r="E4349" i="3"/>
  <c r="A4350" i="3"/>
  <c r="B4350" i="3"/>
  <c r="C4350" i="3"/>
  <c r="D4350" i="3"/>
  <c r="E4350" i="3"/>
  <c r="A4351" i="3"/>
  <c r="B4351" i="3"/>
  <c r="C4351" i="3"/>
  <c r="D4351" i="3"/>
  <c r="E4351" i="3"/>
  <c r="A4352" i="3"/>
  <c r="B4352" i="3"/>
  <c r="C4352" i="3"/>
  <c r="D4352" i="3"/>
  <c r="E4352" i="3"/>
  <c r="A4353" i="3"/>
  <c r="B4353" i="3"/>
  <c r="C4353" i="3"/>
  <c r="D4353" i="3"/>
  <c r="E4353" i="3"/>
  <c r="A4354" i="3"/>
  <c r="B4354" i="3"/>
  <c r="C4354" i="3"/>
  <c r="D4354" i="3"/>
  <c r="E4354" i="3"/>
  <c r="A4355" i="3"/>
  <c r="B4355" i="3"/>
  <c r="C4355" i="3"/>
  <c r="D4355" i="3"/>
  <c r="E4355" i="3"/>
  <c r="A4356" i="3"/>
  <c r="B4356" i="3"/>
  <c r="C4356" i="3"/>
  <c r="D4356" i="3"/>
  <c r="E4356" i="3"/>
  <c r="A4357" i="3"/>
  <c r="B4357" i="3"/>
  <c r="C4357" i="3"/>
  <c r="D4357" i="3"/>
  <c r="E4357" i="3"/>
  <c r="A4358" i="3"/>
  <c r="B4358" i="3"/>
  <c r="C4358" i="3"/>
  <c r="D4358" i="3"/>
  <c r="E4358" i="3"/>
  <c r="A4359" i="3"/>
  <c r="B4359" i="3"/>
  <c r="C4359" i="3"/>
  <c r="D4359" i="3"/>
  <c r="E4359" i="3"/>
  <c r="A4360" i="3"/>
  <c r="B4360" i="3"/>
  <c r="C4360" i="3"/>
  <c r="D4360" i="3"/>
  <c r="E4360" i="3"/>
  <c r="A4361" i="3"/>
  <c r="B4361" i="3"/>
  <c r="C4361" i="3"/>
  <c r="D4361" i="3"/>
  <c r="E4361" i="3"/>
  <c r="A4362" i="3"/>
  <c r="B4362" i="3"/>
  <c r="C4362" i="3"/>
  <c r="D4362" i="3"/>
  <c r="E4362" i="3"/>
  <c r="A4363" i="3"/>
  <c r="B4363" i="3"/>
  <c r="C4363" i="3"/>
  <c r="D4363" i="3"/>
  <c r="E4363" i="3"/>
  <c r="A4364" i="3"/>
  <c r="B4364" i="3"/>
  <c r="C4364" i="3"/>
  <c r="D4364" i="3"/>
  <c r="E4364" i="3"/>
  <c r="A4365" i="3"/>
  <c r="B4365" i="3"/>
  <c r="C4365" i="3"/>
  <c r="D4365" i="3"/>
  <c r="E4365" i="3"/>
  <c r="A4366" i="3"/>
  <c r="B4366" i="3"/>
  <c r="C4366" i="3"/>
  <c r="D4366" i="3"/>
  <c r="E4366" i="3"/>
  <c r="A4367" i="3"/>
  <c r="B4367" i="3"/>
  <c r="C4367" i="3"/>
  <c r="D4367" i="3"/>
  <c r="E4367" i="3"/>
  <c r="A4368" i="3"/>
  <c r="B4368" i="3"/>
  <c r="C4368" i="3"/>
  <c r="D4368" i="3"/>
  <c r="E4368" i="3"/>
  <c r="A4369" i="3"/>
  <c r="B4369" i="3"/>
  <c r="C4369" i="3"/>
  <c r="D4369" i="3"/>
  <c r="E4369" i="3"/>
  <c r="A4370" i="3"/>
  <c r="B4370" i="3"/>
  <c r="C4370" i="3"/>
  <c r="D4370" i="3"/>
  <c r="E4370" i="3"/>
  <c r="A4371" i="3"/>
  <c r="B4371" i="3"/>
  <c r="C4371" i="3"/>
  <c r="D4371" i="3"/>
  <c r="E4371" i="3"/>
  <c r="A4372" i="3"/>
  <c r="B4372" i="3"/>
  <c r="C4372" i="3"/>
  <c r="D4372" i="3"/>
  <c r="E4372" i="3"/>
  <c r="A4373" i="3"/>
  <c r="B4373" i="3"/>
  <c r="C4373" i="3"/>
  <c r="D4373" i="3"/>
  <c r="E4373" i="3"/>
  <c r="A4374" i="3"/>
  <c r="B4374" i="3"/>
  <c r="C4374" i="3"/>
  <c r="D4374" i="3"/>
  <c r="E4374" i="3"/>
  <c r="A4375" i="3"/>
  <c r="B4375" i="3"/>
  <c r="C4375" i="3"/>
  <c r="D4375" i="3"/>
  <c r="E4375" i="3"/>
  <c r="A4376" i="3"/>
  <c r="B4376" i="3"/>
  <c r="C4376" i="3"/>
  <c r="D4376" i="3"/>
  <c r="E4376" i="3"/>
  <c r="A4377" i="3"/>
  <c r="B4377" i="3"/>
  <c r="C4377" i="3"/>
  <c r="D4377" i="3"/>
  <c r="E4377" i="3"/>
  <c r="A4378" i="3"/>
  <c r="B4378" i="3"/>
  <c r="C4378" i="3"/>
  <c r="D4378" i="3"/>
  <c r="E4378" i="3"/>
  <c r="A4379" i="3"/>
  <c r="B4379" i="3"/>
  <c r="C4379" i="3"/>
  <c r="D4379" i="3"/>
  <c r="E4379" i="3"/>
  <c r="A4380" i="3"/>
  <c r="B4380" i="3"/>
  <c r="C4380" i="3"/>
  <c r="D4380" i="3"/>
  <c r="E4380" i="3"/>
  <c r="A4381" i="3"/>
  <c r="B4381" i="3"/>
  <c r="C4381" i="3"/>
  <c r="F4381" i="3" s="1"/>
  <c r="D4381" i="3"/>
  <c r="E4381" i="3"/>
  <c r="A4382" i="3"/>
  <c r="B4382" i="3"/>
  <c r="C4382" i="3"/>
  <c r="D4382" i="3"/>
  <c r="E4382" i="3"/>
  <c r="A4383" i="3"/>
  <c r="B4383" i="3"/>
  <c r="C4383" i="3"/>
  <c r="D4383" i="3"/>
  <c r="E4383" i="3"/>
  <c r="G4383" i="3" s="1"/>
  <c r="A4384" i="3"/>
  <c r="B4384" i="3"/>
  <c r="C4384" i="3"/>
  <c r="D4384" i="3"/>
  <c r="E4384" i="3"/>
  <c r="A4385" i="3"/>
  <c r="B4385" i="3"/>
  <c r="C4385" i="3"/>
  <c r="D4385" i="3"/>
  <c r="E4385" i="3"/>
  <c r="A4386" i="3"/>
  <c r="B4386" i="3"/>
  <c r="C4386" i="3"/>
  <c r="D4386" i="3"/>
  <c r="E4386" i="3"/>
  <c r="A4387" i="3"/>
  <c r="B4387" i="3"/>
  <c r="C4387" i="3"/>
  <c r="D4387" i="3"/>
  <c r="E4387" i="3"/>
  <c r="A4388" i="3"/>
  <c r="B4388" i="3"/>
  <c r="C4388" i="3"/>
  <c r="D4388" i="3"/>
  <c r="E4388" i="3"/>
  <c r="A4389" i="3"/>
  <c r="B4389" i="3"/>
  <c r="C4389" i="3"/>
  <c r="D4389" i="3"/>
  <c r="E4389" i="3"/>
  <c r="A4390" i="3"/>
  <c r="B4390" i="3"/>
  <c r="C4390" i="3"/>
  <c r="D4390" i="3"/>
  <c r="E4390" i="3"/>
  <c r="A4391" i="3"/>
  <c r="B4391" i="3"/>
  <c r="C4391" i="3"/>
  <c r="D4391" i="3"/>
  <c r="E4391" i="3"/>
  <c r="A4392" i="3"/>
  <c r="B4392" i="3"/>
  <c r="C4392" i="3"/>
  <c r="D4392" i="3"/>
  <c r="E4392" i="3"/>
  <c r="A4393" i="3"/>
  <c r="B4393" i="3"/>
  <c r="C4393" i="3"/>
  <c r="F4393" i="3" s="1"/>
  <c r="D4393" i="3"/>
  <c r="E4393" i="3"/>
  <c r="A4394" i="3"/>
  <c r="B4394" i="3"/>
  <c r="C4394" i="3"/>
  <c r="D4394" i="3"/>
  <c r="E4394" i="3"/>
  <c r="A4395" i="3"/>
  <c r="B4395" i="3"/>
  <c r="C4395" i="3"/>
  <c r="D4395" i="3"/>
  <c r="E4395" i="3"/>
  <c r="G4395" i="3" s="1"/>
  <c r="A4396" i="3"/>
  <c r="B4396" i="3"/>
  <c r="C4396" i="3"/>
  <c r="D4396" i="3"/>
  <c r="E4396" i="3"/>
  <c r="A4397" i="3"/>
  <c r="B4397" i="3"/>
  <c r="C4397" i="3"/>
  <c r="D4397" i="3"/>
  <c r="E4397" i="3"/>
  <c r="A4398" i="3"/>
  <c r="B4398" i="3"/>
  <c r="C4398" i="3"/>
  <c r="D4398" i="3"/>
  <c r="E4398" i="3"/>
  <c r="A4399" i="3"/>
  <c r="B4399" i="3"/>
  <c r="C4399" i="3"/>
  <c r="D4399" i="3"/>
  <c r="E4399" i="3"/>
  <c r="A4400" i="3"/>
  <c r="B4400" i="3"/>
  <c r="C4400" i="3"/>
  <c r="D4400" i="3"/>
  <c r="E4400" i="3"/>
  <c r="A4401" i="3"/>
  <c r="B4401" i="3"/>
  <c r="C4401" i="3"/>
  <c r="D4401" i="3"/>
  <c r="E4401" i="3"/>
  <c r="A4402" i="3"/>
  <c r="B4402" i="3"/>
  <c r="C4402" i="3"/>
  <c r="D4402" i="3"/>
  <c r="E4402" i="3"/>
  <c r="A4403" i="3"/>
  <c r="B4403" i="3"/>
  <c r="C4403" i="3"/>
  <c r="D4403" i="3"/>
  <c r="E4403" i="3"/>
  <c r="A4404" i="3"/>
  <c r="B4404" i="3"/>
  <c r="C4404" i="3"/>
  <c r="D4404" i="3"/>
  <c r="E4404" i="3"/>
  <c r="A4405" i="3"/>
  <c r="B4405" i="3"/>
  <c r="C4405" i="3"/>
  <c r="F4405" i="3" s="1"/>
  <c r="D4405" i="3"/>
  <c r="E4405" i="3"/>
  <c r="A4406" i="3"/>
  <c r="B4406" i="3"/>
  <c r="C4406" i="3"/>
  <c r="D4406" i="3"/>
  <c r="E4406" i="3"/>
  <c r="A4407" i="3"/>
  <c r="B4407" i="3"/>
  <c r="C4407" i="3"/>
  <c r="D4407" i="3"/>
  <c r="E4407" i="3"/>
  <c r="G4407" i="3" s="1"/>
  <c r="A4408" i="3"/>
  <c r="B4408" i="3"/>
  <c r="C4408" i="3"/>
  <c r="D4408" i="3"/>
  <c r="E4408" i="3"/>
  <c r="A4409" i="3"/>
  <c r="B4409" i="3"/>
  <c r="C4409" i="3"/>
  <c r="D4409" i="3"/>
  <c r="E4409" i="3"/>
  <c r="A4410" i="3"/>
  <c r="B4410" i="3"/>
  <c r="C4410" i="3"/>
  <c r="D4410" i="3"/>
  <c r="E4410" i="3"/>
  <c r="A4411" i="3"/>
  <c r="B4411" i="3"/>
  <c r="C4411" i="3"/>
  <c r="D4411" i="3"/>
  <c r="E4411" i="3"/>
  <c r="A4412" i="3"/>
  <c r="B4412" i="3"/>
  <c r="C4412" i="3"/>
  <c r="D4412" i="3"/>
  <c r="E4412" i="3"/>
  <c r="A4413" i="3"/>
  <c r="B4413" i="3"/>
  <c r="C4413" i="3"/>
  <c r="D4413" i="3"/>
  <c r="E4413" i="3"/>
  <c r="A4414" i="3"/>
  <c r="B4414" i="3"/>
  <c r="C4414" i="3"/>
  <c r="D4414" i="3"/>
  <c r="E4414" i="3"/>
  <c r="A4415" i="3"/>
  <c r="B4415" i="3"/>
  <c r="C4415" i="3"/>
  <c r="D4415" i="3"/>
  <c r="E4415" i="3"/>
  <c r="A4416" i="3"/>
  <c r="B4416" i="3"/>
  <c r="C4416" i="3"/>
  <c r="D4416" i="3"/>
  <c r="E4416" i="3"/>
  <c r="A4417" i="3"/>
  <c r="B4417" i="3"/>
  <c r="C4417" i="3"/>
  <c r="F4417" i="3" s="1"/>
  <c r="D4417" i="3"/>
  <c r="E4417" i="3"/>
  <c r="A4418" i="3"/>
  <c r="B4418" i="3"/>
  <c r="C4418" i="3"/>
  <c r="D4418" i="3"/>
  <c r="E4418" i="3"/>
  <c r="A4419" i="3"/>
  <c r="B4419" i="3"/>
  <c r="C4419" i="3"/>
  <c r="D4419" i="3"/>
  <c r="E4419" i="3"/>
  <c r="G4419" i="3" s="1"/>
  <c r="A4420" i="3"/>
  <c r="B4420" i="3"/>
  <c r="C4420" i="3"/>
  <c r="D4420" i="3"/>
  <c r="E4420" i="3"/>
  <c r="A4421" i="3"/>
  <c r="B4421" i="3"/>
  <c r="C4421" i="3"/>
  <c r="D4421" i="3"/>
  <c r="E4421" i="3"/>
  <c r="A4422" i="3"/>
  <c r="B4422" i="3"/>
  <c r="C4422" i="3"/>
  <c r="D4422" i="3"/>
  <c r="E4422" i="3"/>
  <c r="A4423" i="3"/>
  <c r="B4423" i="3"/>
  <c r="C4423" i="3"/>
  <c r="D4423" i="3"/>
  <c r="E4423" i="3"/>
  <c r="A4424" i="3"/>
  <c r="B4424" i="3"/>
  <c r="C4424" i="3"/>
  <c r="D4424" i="3"/>
  <c r="E4424" i="3"/>
  <c r="A4425" i="3"/>
  <c r="B4425" i="3"/>
  <c r="C4425" i="3"/>
  <c r="D4425" i="3"/>
  <c r="E4425" i="3"/>
  <c r="A4426" i="3"/>
  <c r="B4426" i="3"/>
  <c r="C4426" i="3"/>
  <c r="D4426" i="3"/>
  <c r="E4426" i="3"/>
  <c r="A4427" i="3"/>
  <c r="B4427" i="3"/>
  <c r="C4427" i="3"/>
  <c r="D4427" i="3"/>
  <c r="E4427" i="3"/>
  <c r="A4428" i="3"/>
  <c r="B4428" i="3"/>
  <c r="C4428" i="3"/>
  <c r="D4428" i="3"/>
  <c r="E4428" i="3"/>
  <c r="A4429" i="3"/>
  <c r="B4429" i="3"/>
  <c r="C4429" i="3"/>
  <c r="F4429" i="3" s="1"/>
  <c r="D4429" i="3"/>
  <c r="E4429" i="3"/>
  <c r="A4430" i="3"/>
  <c r="B4430" i="3"/>
  <c r="C4430" i="3"/>
  <c r="D4430" i="3"/>
  <c r="E4430" i="3"/>
  <c r="A4431" i="3"/>
  <c r="B4431" i="3"/>
  <c r="C4431" i="3"/>
  <c r="D4431" i="3"/>
  <c r="E4431" i="3"/>
  <c r="G4431" i="3" s="1"/>
  <c r="A4432" i="3"/>
  <c r="B4432" i="3"/>
  <c r="C4432" i="3"/>
  <c r="D4432" i="3"/>
  <c r="E4432" i="3"/>
  <c r="A4433" i="3"/>
  <c r="B4433" i="3"/>
  <c r="C4433" i="3"/>
  <c r="D4433" i="3"/>
  <c r="E4433" i="3"/>
  <c r="A4434" i="3"/>
  <c r="B4434" i="3"/>
  <c r="C4434" i="3"/>
  <c r="D4434" i="3"/>
  <c r="E4434" i="3"/>
  <c r="A4435" i="3"/>
  <c r="B4435" i="3"/>
  <c r="C4435" i="3"/>
  <c r="D4435" i="3"/>
  <c r="E4435" i="3"/>
  <c r="A4436" i="3"/>
  <c r="B4436" i="3"/>
  <c r="C4436" i="3"/>
  <c r="D4436" i="3"/>
  <c r="E4436" i="3"/>
  <c r="A4437" i="3"/>
  <c r="B4437" i="3"/>
  <c r="C4437" i="3"/>
  <c r="D4437" i="3"/>
  <c r="E4437" i="3"/>
  <c r="A4438" i="3"/>
  <c r="B4438" i="3"/>
  <c r="C4438" i="3"/>
  <c r="D4438" i="3"/>
  <c r="E4438" i="3"/>
  <c r="A4439" i="3"/>
  <c r="B4439" i="3"/>
  <c r="C4439" i="3"/>
  <c r="D4439" i="3"/>
  <c r="E4439" i="3"/>
  <c r="A4440" i="3"/>
  <c r="B4440" i="3"/>
  <c r="C4440" i="3"/>
  <c r="D4440" i="3"/>
  <c r="E4440" i="3"/>
  <c r="A4441" i="3"/>
  <c r="B4441" i="3"/>
  <c r="C4441" i="3"/>
  <c r="F4441" i="3" s="1"/>
  <c r="D4441" i="3"/>
  <c r="E4441" i="3"/>
  <c r="A4442" i="3"/>
  <c r="B4442" i="3"/>
  <c r="C4442" i="3"/>
  <c r="D4442" i="3"/>
  <c r="E4442" i="3"/>
  <c r="A4443" i="3"/>
  <c r="B4443" i="3"/>
  <c r="C4443" i="3"/>
  <c r="D4443" i="3"/>
  <c r="E4443" i="3"/>
  <c r="G4443" i="3" s="1"/>
  <c r="A4444" i="3"/>
  <c r="B4444" i="3"/>
  <c r="C4444" i="3"/>
  <c r="D4444" i="3"/>
  <c r="E4444" i="3"/>
  <c r="A4445" i="3"/>
  <c r="B4445" i="3"/>
  <c r="C4445" i="3"/>
  <c r="D4445" i="3"/>
  <c r="E4445" i="3"/>
  <c r="A4446" i="3"/>
  <c r="B4446" i="3"/>
  <c r="C4446" i="3"/>
  <c r="D4446" i="3"/>
  <c r="E4446" i="3"/>
  <c r="A4447" i="3"/>
  <c r="B4447" i="3"/>
  <c r="C4447" i="3"/>
  <c r="D4447" i="3"/>
  <c r="E4447" i="3"/>
  <c r="A4448" i="3"/>
  <c r="B4448" i="3"/>
  <c r="C4448" i="3"/>
  <c r="D4448" i="3"/>
  <c r="E4448" i="3"/>
  <c r="A4449" i="3"/>
  <c r="B4449" i="3"/>
  <c r="C4449" i="3"/>
  <c r="D4449" i="3"/>
  <c r="E4449" i="3"/>
  <c r="A4450" i="3"/>
  <c r="B4450" i="3"/>
  <c r="C4450" i="3"/>
  <c r="D4450" i="3"/>
  <c r="E4450" i="3"/>
  <c r="A4451" i="3"/>
  <c r="B4451" i="3"/>
  <c r="C4451" i="3"/>
  <c r="D4451" i="3"/>
  <c r="E4451" i="3"/>
  <c r="A4452" i="3"/>
  <c r="B4452" i="3"/>
  <c r="C4452" i="3"/>
  <c r="D4452" i="3"/>
  <c r="E4452" i="3"/>
  <c r="A4453" i="3"/>
  <c r="B4453" i="3"/>
  <c r="C4453" i="3"/>
  <c r="F4453" i="3" s="1"/>
  <c r="D4453" i="3"/>
  <c r="E4453" i="3"/>
  <c r="A4454" i="3"/>
  <c r="B4454" i="3"/>
  <c r="C4454" i="3"/>
  <c r="D4454" i="3"/>
  <c r="E4454" i="3"/>
  <c r="A4455" i="3"/>
  <c r="B4455" i="3"/>
  <c r="C4455" i="3"/>
  <c r="D4455" i="3"/>
  <c r="E4455" i="3"/>
  <c r="G4455" i="3" s="1"/>
  <c r="A4456" i="3"/>
  <c r="B4456" i="3"/>
  <c r="C4456" i="3"/>
  <c r="D4456" i="3"/>
  <c r="E4456" i="3"/>
  <c r="A4457" i="3"/>
  <c r="B4457" i="3"/>
  <c r="C4457" i="3"/>
  <c r="D4457" i="3"/>
  <c r="E4457" i="3"/>
  <c r="A4458" i="3"/>
  <c r="B4458" i="3"/>
  <c r="C4458" i="3"/>
  <c r="D4458" i="3"/>
  <c r="E4458" i="3"/>
  <c r="A4459" i="3"/>
  <c r="B4459" i="3"/>
  <c r="C4459" i="3"/>
  <c r="D4459" i="3"/>
  <c r="E4459" i="3"/>
  <c r="A4460" i="3"/>
  <c r="B4460" i="3"/>
  <c r="C4460" i="3"/>
  <c r="D4460" i="3"/>
  <c r="E4460" i="3"/>
  <c r="A4461" i="3"/>
  <c r="B4461" i="3"/>
  <c r="C4461" i="3"/>
  <c r="D4461" i="3"/>
  <c r="E4461" i="3"/>
  <c r="A4462" i="3"/>
  <c r="B4462" i="3"/>
  <c r="C4462" i="3"/>
  <c r="D4462" i="3"/>
  <c r="E4462" i="3"/>
  <c r="A4463" i="3"/>
  <c r="B4463" i="3"/>
  <c r="C4463" i="3"/>
  <c r="D4463" i="3"/>
  <c r="E4463" i="3"/>
  <c r="A4464" i="3"/>
  <c r="B4464" i="3"/>
  <c r="C4464" i="3"/>
  <c r="D4464" i="3"/>
  <c r="E4464" i="3"/>
  <c r="A4465" i="3"/>
  <c r="B4465" i="3"/>
  <c r="C4465" i="3"/>
  <c r="F4465" i="3" s="1"/>
  <c r="D4465" i="3"/>
  <c r="E4465" i="3"/>
  <c r="A4466" i="3"/>
  <c r="B4466" i="3"/>
  <c r="C4466" i="3"/>
  <c r="D4466" i="3"/>
  <c r="E4466" i="3"/>
  <c r="A4467" i="3"/>
  <c r="B4467" i="3"/>
  <c r="C4467" i="3"/>
  <c r="D4467" i="3"/>
  <c r="E4467" i="3"/>
  <c r="G4467" i="3" s="1"/>
  <c r="A4468" i="3"/>
  <c r="B4468" i="3"/>
  <c r="C4468" i="3"/>
  <c r="D4468" i="3"/>
  <c r="E4468" i="3"/>
  <c r="A4469" i="3"/>
  <c r="B4469" i="3"/>
  <c r="C4469" i="3"/>
  <c r="D4469" i="3"/>
  <c r="E4469" i="3"/>
  <c r="A4470" i="3"/>
  <c r="B4470" i="3"/>
  <c r="C4470" i="3"/>
  <c r="D4470" i="3"/>
  <c r="E4470" i="3"/>
  <c r="A4471" i="3"/>
  <c r="B4471" i="3"/>
  <c r="C4471" i="3"/>
  <c r="D4471" i="3"/>
  <c r="E4471" i="3"/>
  <c r="A4472" i="3"/>
  <c r="B4472" i="3"/>
  <c r="C4472" i="3"/>
  <c r="D4472" i="3"/>
  <c r="E4472" i="3"/>
  <c r="A4473" i="3"/>
  <c r="B4473" i="3"/>
  <c r="C4473" i="3"/>
  <c r="D4473" i="3"/>
  <c r="E4473" i="3"/>
  <c r="A4474" i="3"/>
  <c r="B4474" i="3"/>
  <c r="C4474" i="3"/>
  <c r="D4474" i="3"/>
  <c r="E4474" i="3"/>
  <c r="A4475" i="3"/>
  <c r="B4475" i="3"/>
  <c r="C4475" i="3"/>
  <c r="D4475" i="3"/>
  <c r="E4475" i="3"/>
  <c r="A4476" i="3"/>
  <c r="B4476" i="3"/>
  <c r="C4476" i="3"/>
  <c r="D4476" i="3"/>
  <c r="E4476" i="3"/>
  <c r="A4477" i="3"/>
  <c r="B4477" i="3"/>
  <c r="C4477" i="3"/>
  <c r="F4477" i="3" s="1"/>
  <c r="D4477" i="3"/>
  <c r="E4477" i="3"/>
  <c r="A4478" i="3"/>
  <c r="B4478" i="3"/>
  <c r="C4478" i="3"/>
  <c r="D4478" i="3"/>
  <c r="E4478" i="3"/>
  <c r="A4479" i="3"/>
  <c r="B4479" i="3"/>
  <c r="C4479" i="3"/>
  <c r="D4479" i="3"/>
  <c r="E4479" i="3"/>
  <c r="G4479" i="3" s="1"/>
  <c r="A4480" i="3"/>
  <c r="B4480" i="3"/>
  <c r="C4480" i="3"/>
  <c r="D4480" i="3"/>
  <c r="E4480" i="3"/>
  <c r="A4481" i="3"/>
  <c r="B4481" i="3"/>
  <c r="C4481" i="3"/>
  <c r="D4481" i="3"/>
  <c r="E4481" i="3"/>
  <c r="A4482" i="3"/>
  <c r="B4482" i="3"/>
  <c r="C4482" i="3"/>
  <c r="D4482" i="3"/>
  <c r="E4482" i="3"/>
  <c r="A4483" i="3"/>
  <c r="B4483" i="3"/>
  <c r="C4483" i="3"/>
  <c r="D4483" i="3"/>
  <c r="E4483" i="3"/>
  <c r="A4484" i="3"/>
  <c r="B4484" i="3"/>
  <c r="C4484" i="3"/>
  <c r="D4484" i="3"/>
  <c r="E4484" i="3"/>
  <c r="A4485" i="3"/>
  <c r="B4485" i="3"/>
  <c r="C4485" i="3"/>
  <c r="D4485" i="3"/>
  <c r="E4485" i="3"/>
  <c r="A4486" i="3"/>
  <c r="B4486" i="3"/>
  <c r="C4486" i="3"/>
  <c r="D4486" i="3"/>
  <c r="E4486" i="3"/>
  <c r="A4487" i="3"/>
  <c r="B4487" i="3"/>
  <c r="C4487" i="3"/>
  <c r="D4487" i="3"/>
  <c r="E4487" i="3"/>
  <c r="A4488" i="3"/>
  <c r="B4488" i="3"/>
  <c r="C4488" i="3"/>
  <c r="D4488" i="3"/>
  <c r="E4488" i="3"/>
  <c r="A4489" i="3"/>
  <c r="B4489" i="3"/>
  <c r="C4489" i="3"/>
  <c r="F4489" i="3" s="1"/>
  <c r="D4489" i="3"/>
  <c r="E4489" i="3"/>
  <c r="A4490" i="3"/>
  <c r="B4490" i="3"/>
  <c r="C4490" i="3"/>
  <c r="D4490" i="3"/>
  <c r="E4490" i="3"/>
  <c r="A4491" i="3"/>
  <c r="B4491" i="3"/>
  <c r="C4491" i="3"/>
  <c r="D4491" i="3"/>
  <c r="E4491" i="3"/>
  <c r="G4491" i="3" s="1"/>
  <c r="A4492" i="3"/>
  <c r="B4492" i="3"/>
  <c r="C4492" i="3"/>
  <c r="D4492" i="3"/>
  <c r="E4492" i="3"/>
  <c r="A4493" i="3"/>
  <c r="B4493" i="3"/>
  <c r="C4493" i="3"/>
  <c r="D4493" i="3"/>
  <c r="E4493" i="3"/>
  <c r="A4494" i="3"/>
  <c r="B4494" i="3"/>
  <c r="C4494" i="3"/>
  <c r="D4494" i="3"/>
  <c r="E4494" i="3"/>
  <c r="A4495" i="3"/>
  <c r="B4495" i="3"/>
  <c r="C4495" i="3"/>
  <c r="D4495" i="3"/>
  <c r="E4495" i="3"/>
  <c r="A4496" i="3"/>
  <c r="B4496" i="3"/>
  <c r="C4496" i="3"/>
  <c r="D4496" i="3"/>
  <c r="E4496" i="3"/>
  <c r="A4497" i="3"/>
  <c r="B4497" i="3"/>
  <c r="C4497" i="3"/>
  <c r="D4497" i="3"/>
  <c r="E4497" i="3"/>
  <c r="A4498" i="3"/>
  <c r="B4498" i="3"/>
  <c r="C4498" i="3"/>
  <c r="D4498" i="3"/>
  <c r="E4498" i="3"/>
  <c r="A4499" i="3"/>
  <c r="B4499" i="3"/>
  <c r="C4499" i="3"/>
  <c r="D4499" i="3"/>
  <c r="E4499" i="3"/>
  <c r="A4500" i="3"/>
  <c r="B4500" i="3"/>
  <c r="C4500" i="3"/>
  <c r="D4500" i="3"/>
  <c r="E4500" i="3"/>
  <c r="A4501" i="3"/>
  <c r="B4501" i="3"/>
  <c r="C4501" i="3"/>
  <c r="F4501" i="3" s="1"/>
  <c r="D4501" i="3"/>
  <c r="E4501" i="3"/>
  <c r="A4502" i="3"/>
  <c r="B4502" i="3"/>
  <c r="C4502" i="3"/>
  <c r="D4502" i="3"/>
  <c r="E4502" i="3"/>
  <c r="A4503" i="3"/>
  <c r="B4503" i="3"/>
  <c r="C4503" i="3"/>
  <c r="D4503" i="3"/>
  <c r="E4503" i="3"/>
  <c r="G4503" i="3" s="1"/>
  <c r="A4504" i="3"/>
  <c r="B4504" i="3"/>
  <c r="C4504" i="3"/>
  <c r="D4504" i="3"/>
  <c r="E4504" i="3"/>
  <c r="A4505" i="3"/>
  <c r="B4505" i="3"/>
  <c r="C4505" i="3"/>
  <c r="D4505" i="3"/>
  <c r="E4505" i="3"/>
  <c r="A4506" i="3"/>
  <c r="B4506" i="3"/>
  <c r="C4506" i="3"/>
  <c r="D4506" i="3"/>
  <c r="E4506" i="3"/>
  <c r="A4507" i="3"/>
  <c r="B4507" i="3"/>
  <c r="C4507" i="3"/>
  <c r="D4507" i="3"/>
  <c r="E4507" i="3"/>
  <c r="A4508" i="3"/>
  <c r="B4508" i="3"/>
  <c r="C4508" i="3"/>
  <c r="D4508" i="3"/>
  <c r="E4508" i="3"/>
  <c r="A4509" i="3"/>
  <c r="B4509" i="3"/>
  <c r="C4509" i="3"/>
  <c r="D4509" i="3"/>
  <c r="E4509" i="3"/>
  <c r="A4510" i="3"/>
  <c r="B4510" i="3"/>
  <c r="C4510" i="3"/>
  <c r="D4510" i="3"/>
  <c r="E4510" i="3"/>
  <c r="A4511" i="3"/>
  <c r="B4511" i="3"/>
  <c r="C4511" i="3"/>
  <c r="D4511" i="3"/>
  <c r="E4511" i="3"/>
  <c r="A4512" i="3"/>
  <c r="B4512" i="3"/>
  <c r="C4512" i="3"/>
  <c r="D4512" i="3"/>
  <c r="E4512" i="3"/>
  <c r="A4513" i="3"/>
  <c r="B4513" i="3"/>
  <c r="C4513" i="3"/>
  <c r="F4513" i="3" s="1"/>
  <c r="D4513" i="3"/>
  <c r="E4513" i="3"/>
  <c r="A4514" i="3"/>
  <c r="B4514" i="3"/>
  <c r="C4514" i="3"/>
  <c r="D4514" i="3"/>
  <c r="E4514" i="3"/>
  <c r="A4515" i="3"/>
  <c r="B4515" i="3"/>
  <c r="C4515" i="3"/>
  <c r="D4515" i="3"/>
  <c r="E4515" i="3"/>
  <c r="G4515" i="3" s="1"/>
  <c r="A4516" i="3"/>
  <c r="B4516" i="3"/>
  <c r="C4516" i="3"/>
  <c r="D4516" i="3"/>
  <c r="E4516" i="3"/>
  <c r="A4517" i="3"/>
  <c r="B4517" i="3"/>
  <c r="C4517" i="3"/>
  <c r="D4517" i="3"/>
  <c r="E4517" i="3"/>
  <c r="A4518" i="3"/>
  <c r="B4518" i="3"/>
  <c r="C4518" i="3"/>
  <c r="D4518" i="3"/>
  <c r="E4518" i="3"/>
  <c r="A4519" i="3"/>
  <c r="B4519" i="3"/>
  <c r="C4519" i="3"/>
  <c r="D4519" i="3"/>
  <c r="E4519" i="3"/>
  <c r="A4520" i="3"/>
  <c r="B4520" i="3"/>
  <c r="C4520" i="3"/>
  <c r="D4520" i="3"/>
  <c r="E4520" i="3"/>
  <c r="A4521" i="3"/>
  <c r="B4521" i="3"/>
  <c r="C4521" i="3"/>
  <c r="D4521" i="3"/>
  <c r="E4521" i="3"/>
  <c r="A4522" i="3"/>
  <c r="B4522" i="3"/>
  <c r="C4522" i="3"/>
  <c r="D4522" i="3"/>
  <c r="E4522" i="3"/>
  <c r="A4523" i="3"/>
  <c r="B4523" i="3"/>
  <c r="C4523" i="3"/>
  <c r="D4523" i="3"/>
  <c r="E4523" i="3"/>
  <c r="A4524" i="3"/>
  <c r="B4524" i="3"/>
  <c r="C4524" i="3"/>
  <c r="D4524" i="3"/>
  <c r="E4524" i="3"/>
  <c r="A4525" i="3"/>
  <c r="B4525" i="3"/>
  <c r="C4525" i="3"/>
  <c r="F4525" i="3" s="1"/>
  <c r="D4525" i="3"/>
  <c r="E4525" i="3"/>
  <c r="A4526" i="3"/>
  <c r="B4526" i="3"/>
  <c r="C4526" i="3"/>
  <c r="D4526" i="3"/>
  <c r="E4526" i="3"/>
  <c r="A4527" i="3"/>
  <c r="B4527" i="3"/>
  <c r="C4527" i="3"/>
  <c r="D4527" i="3"/>
  <c r="E4527" i="3"/>
  <c r="G4527" i="3" s="1"/>
  <c r="A4528" i="3"/>
  <c r="B4528" i="3"/>
  <c r="C4528" i="3"/>
  <c r="D4528" i="3"/>
  <c r="E4528" i="3"/>
  <c r="A4529" i="3"/>
  <c r="B4529" i="3"/>
  <c r="C4529" i="3"/>
  <c r="D4529" i="3"/>
  <c r="E4529" i="3"/>
  <c r="A4530" i="3"/>
  <c r="B4530" i="3"/>
  <c r="C4530" i="3"/>
  <c r="D4530" i="3"/>
  <c r="E4530" i="3"/>
  <c r="A4531" i="3"/>
  <c r="B4531" i="3"/>
  <c r="C4531" i="3"/>
  <c r="D4531" i="3"/>
  <c r="E4531" i="3"/>
  <c r="A4532" i="3"/>
  <c r="B4532" i="3"/>
  <c r="C4532" i="3"/>
  <c r="D4532" i="3"/>
  <c r="E4532" i="3"/>
  <c r="A4533" i="3"/>
  <c r="B4533" i="3"/>
  <c r="C4533" i="3"/>
  <c r="D4533" i="3"/>
  <c r="E4533" i="3"/>
  <c r="A4534" i="3"/>
  <c r="B4534" i="3"/>
  <c r="C4534" i="3"/>
  <c r="D4534" i="3"/>
  <c r="E4534" i="3"/>
  <c r="A4535" i="3"/>
  <c r="B4535" i="3"/>
  <c r="C4535" i="3"/>
  <c r="D4535" i="3"/>
  <c r="E4535" i="3"/>
  <c r="A4536" i="3"/>
  <c r="B4536" i="3"/>
  <c r="C4536" i="3"/>
  <c r="D4536" i="3"/>
  <c r="E4536" i="3"/>
  <c r="A4537" i="3"/>
  <c r="B4537" i="3"/>
  <c r="C4537" i="3"/>
  <c r="F4537" i="3" s="1"/>
  <c r="D4537" i="3"/>
  <c r="E4537" i="3"/>
  <c r="A4538" i="3"/>
  <c r="B4538" i="3"/>
  <c r="C4538" i="3"/>
  <c r="D4538" i="3"/>
  <c r="E4538" i="3"/>
  <c r="A4539" i="3"/>
  <c r="B4539" i="3"/>
  <c r="C4539" i="3"/>
  <c r="D4539" i="3"/>
  <c r="E4539" i="3"/>
  <c r="G4539" i="3" s="1"/>
  <c r="A4540" i="3"/>
  <c r="B4540" i="3"/>
  <c r="C4540" i="3"/>
  <c r="D4540" i="3"/>
  <c r="E4540" i="3"/>
  <c r="A4541" i="3"/>
  <c r="B4541" i="3"/>
  <c r="C4541" i="3"/>
  <c r="D4541" i="3"/>
  <c r="E4541" i="3"/>
  <c r="A4542" i="3"/>
  <c r="B4542" i="3"/>
  <c r="C4542" i="3"/>
  <c r="D4542" i="3"/>
  <c r="E4542" i="3"/>
  <c r="A4543" i="3"/>
  <c r="B4543" i="3"/>
  <c r="C4543" i="3"/>
  <c r="D4543" i="3"/>
  <c r="E4543" i="3"/>
  <c r="A4544" i="3"/>
  <c r="B4544" i="3"/>
  <c r="C4544" i="3"/>
  <c r="D4544" i="3"/>
  <c r="E4544" i="3"/>
  <c r="A4545" i="3"/>
  <c r="B4545" i="3"/>
  <c r="C4545" i="3"/>
  <c r="D4545" i="3"/>
  <c r="E4545" i="3"/>
  <c r="A4546" i="3"/>
  <c r="B4546" i="3"/>
  <c r="C4546" i="3"/>
  <c r="D4546" i="3"/>
  <c r="E4546" i="3"/>
  <c r="A4547" i="3"/>
  <c r="B4547" i="3"/>
  <c r="C4547" i="3"/>
  <c r="D4547" i="3"/>
  <c r="E4547" i="3"/>
  <c r="A4548" i="3"/>
  <c r="B4548" i="3"/>
  <c r="C4548" i="3"/>
  <c r="D4548" i="3"/>
  <c r="E4548" i="3"/>
  <c r="A4549" i="3"/>
  <c r="B4549" i="3"/>
  <c r="C4549" i="3"/>
  <c r="F4549" i="3" s="1"/>
  <c r="D4549" i="3"/>
  <c r="E4549" i="3"/>
  <c r="A4550" i="3"/>
  <c r="B4550" i="3"/>
  <c r="C4550" i="3"/>
  <c r="D4550" i="3"/>
  <c r="E4550" i="3"/>
  <c r="A4551" i="3"/>
  <c r="B4551" i="3"/>
  <c r="C4551" i="3"/>
  <c r="D4551" i="3"/>
  <c r="E4551" i="3"/>
  <c r="G4551" i="3" s="1"/>
  <c r="A4552" i="3"/>
  <c r="B4552" i="3"/>
  <c r="C4552" i="3"/>
  <c r="D4552" i="3"/>
  <c r="E4552" i="3"/>
  <c r="A4553" i="3"/>
  <c r="B4553" i="3"/>
  <c r="C4553" i="3"/>
  <c r="D4553" i="3"/>
  <c r="E4553" i="3"/>
  <c r="A4554" i="3"/>
  <c r="B4554" i="3"/>
  <c r="C4554" i="3"/>
  <c r="D4554" i="3"/>
  <c r="E4554" i="3"/>
  <c r="A4555" i="3"/>
  <c r="B4555" i="3"/>
  <c r="C4555" i="3"/>
  <c r="D4555" i="3"/>
  <c r="E4555" i="3"/>
  <c r="A4556" i="3"/>
  <c r="B4556" i="3"/>
  <c r="C4556" i="3"/>
  <c r="D4556" i="3"/>
  <c r="E4556" i="3"/>
  <c r="A4557" i="3"/>
  <c r="B4557" i="3"/>
  <c r="C4557" i="3"/>
  <c r="D4557" i="3"/>
  <c r="E4557" i="3"/>
  <c r="A4558" i="3"/>
  <c r="B4558" i="3"/>
  <c r="C4558" i="3"/>
  <c r="D4558" i="3"/>
  <c r="E4558" i="3"/>
  <c r="A4559" i="3"/>
  <c r="B4559" i="3"/>
  <c r="C4559" i="3"/>
  <c r="D4559" i="3"/>
  <c r="E4559" i="3"/>
  <c r="A4560" i="3"/>
  <c r="B4560" i="3"/>
  <c r="C4560" i="3"/>
  <c r="D4560" i="3"/>
  <c r="E4560" i="3"/>
  <c r="A4561" i="3"/>
  <c r="B4561" i="3"/>
  <c r="C4561" i="3"/>
  <c r="F4561" i="3" s="1"/>
  <c r="D4561" i="3"/>
  <c r="E4561" i="3"/>
  <c r="A4562" i="3"/>
  <c r="B4562" i="3"/>
  <c r="C4562" i="3"/>
  <c r="D4562" i="3"/>
  <c r="E4562" i="3"/>
  <c r="A4563" i="3"/>
  <c r="B4563" i="3"/>
  <c r="C4563" i="3"/>
  <c r="D4563" i="3"/>
  <c r="E4563" i="3"/>
  <c r="G4563" i="3" s="1"/>
  <c r="A4564" i="3"/>
  <c r="B4564" i="3"/>
  <c r="C4564" i="3"/>
  <c r="D4564" i="3"/>
  <c r="E4564" i="3"/>
  <c r="A4565" i="3"/>
  <c r="B4565" i="3"/>
  <c r="C4565" i="3"/>
  <c r="D4565" i="3"/>
  <c r="E4565" i="3"/>
  <c r="A4566" i="3"/>
  <c r="B4566" i="3"/>
  <c r="C4566" i="3"/>
  <c r="D4566" i="3"/>
  <c r="E4566" i="3"/>
  <c r="A4567" i="3"/>
  <c r="B4567" i="3"/>
  <c r="C4567" i="3"/>
  <c r="D4567" i="3"/>
  <c r="E4567" i="3"/>
  <c r="A4568" i="3"/>
  <c r="B4568" i="3"/>
  <c r="C4568" i="3"/>
  <c r="D4568" i="3"/>
  <c r="E4568" i="3"/>
  <c r="A4569" i="3"/>
  <c r="B4569" i="3"/>
  <c r="C4569" i="3"/>
  <c r="D4569" i="3"/>
  <c r="E4569" i="3"/>
  <c r="A4570" i="3"/>
  <c r="B4570" i="3"/>
  <c r="C4570" i="3"/>
  <c r="D4570" i="3"/>
  <c r="E4570" i="3"/>
  <c r="A4571" i="3"/>
  <c r="B4571" i="3"/>
  <c r="C4571" i="3"/>
  <c r="D4571" i="3"/>
  <c r="E4571" i="3"/>
  <c r="A4572" i="3"/>
  <c r="B4572" i="3"/>
  <c r="C4572" i="3"/>
  <c r="D4572" i="3"/>
  <c r="E4572" i="3"/>
  <c r="A4573" i="3"/>
  <c r="B4573" i="3"/>
  <c r="C4573" i="3"/>
  <c r="F4573" i="3" s="1"/>
  <c r="D4573" i="3"/>
  <c r="E4573" i="3"/>
  <c r="A4574" i="3"/>
  <c r="B4574" i="3"/>
  <c r="C4574" i="3"/>
  <c r="D4574" i="3"/>
  <c r="E4574" i="3"/>
  <c r="A4575" i="3"/>
  <c r="B4575" i="3"/>
  <c r="C4575" i="3"/>
  <c r="D4575" i="3"/>
  <c r="E4575" i="3"/>
  <c r="G4575" i="3" s="1"/>
  <c r="A4576" i="3"/>
  <c r="B4576" i="3"/>
  <c r="C4576" i="3"/>
  <c r="D4576" i="3"/>
  <c r="E4576" i="3"/>
  <c r="A4577" i="3"/>
  <c r="B4577" i="3"/>
  <c r="C4577" i="3"/>
  <c r="D4577" i="3"/>
  <c r="E4577" i="3"/>
  <c r="A4578" i="3"/>
  <c r="B4578" i="3"/>
  <c r="C4578" i="3"/>
  <c r="D4578" i="3"/>
  <c r="E4578" i="3"/>
  <c r="A4579" i="3"/>
  <c r="B4579" i="3"/>
  <c r="C4579" i="3"/>
  <c r="D4579" i="3"/>
  <c r="E4579" i="3"/>
  <c r="A4580" i="3"/>
  <c r="B4580" i="3"/>
  <c r="C4580" i="3"/>
  <c r="D4580" i="3"/>
  <c r="E4580" i="3"/>
  <c r="A4581" i="3"/>
  <c r="B4581" i="3"/>
  <c r="C4581" i="3"/>
  <c r="D4581" i="3"/>
  <c r="E4581" i="3"/>
  <c r="A4582" i="3"/>
  <c r="B4582" i="3"/>
  <c r="C4582" i="3"/>
  <c r="D4582" i="3"/>
  <c r="E4582" i="3"/>
  <c r="A4583" i="3"/>
  <c r="B4583" i="3"/>
  <c r="C4583" i="3"/>
  <c r="D4583" i="3"/>
  <c r="E4583" i="3"/>
  <c r="A4584" i="3"/>
  <c r="B4584" i="3"/>
  <c r="C4584" i="3"/>
  <c r="D4584" i="3"/>
  <c r="E4584" i="3"/>
  <c r="A4585" i="3"/>
  <c r="B4585" i="3"/>
  <c r="C4585" i="3"/>
  <c r="F4585" i="3" s="1"/>
  <c r="D4585" i="3"/>
  <c r="E4585" i="3"/>
  <c r="A4586" i="3"/>
  <c r="B4586" i="3"/>
  <c r="C4586" i="3"/>
  <c r="D4586" i="3"/>
  <c r="E4586" i="3"/>
  <c r="A4587" i="3"/>
  <c r="B4587" i="3"/>
  <c r="C4587" i="3"/>
  <c r="D4587" i="3"/>
  <c r="E4587" i="3"/>
  <c r="G4587" i="3" s="1"/>
  <c r="A4588" i="3"/>
  <c r="B4588" i="3"/>
  <c r="C4588" i="3"/>
  <c r="D4588" i="3"/>
  <c r="E4588" i="3"/>
  <c r="A4589" i="3"/>
  <c r="B4589" i="3"/>
  <c r="C4589" i="3"/>
  <c r="D4589" i="3"/>
  <c r="E4589" i="3"/>
  <c r="A4590" i="3"/>
  <c r="B4590" i="3"/>
  <c r="C4590" i="3"/>
  <c r="D4590" i="3"/>
  <c r="E4590" i="3"/>
  <c r="A4591" i="3"/>
  <c r="B4591" i="3"/>
  <c r="C4591" i="3"/>
  <c r="D4591" i="3"/>
  <c r="E4591" i="3"/>
  <c r="A4592" i="3"/>
  <c r="B4592" i="3"/>
  <c r="C4592" i="3"/>
  <c r="D4592" i="3"/>
  <c r="E4592" i="3"/>
  <c r="A4593" i="3"/>
  <c r="B4593" i="3"/>
  <c r="C4593" i="3"/>
  <c r="D4593" i="3"/>
  <c r="E4593" i="3"/>
  <c r="A4594" i="3"/>
  <c r="B4594" i="3"/>
  <c r="C4594" i="3"/>
  <c r="D4594" i="3"/>
  <c r="E4594" i="3"/>
  <c r="A4595" i="3"/>
  <c r="B4595" i="3"/>
  <c r="C4595" i="3"/>
  <c r="D4595" i="3"/>
  <c r="E4595" i="3"/>
  <c r="A4596" i="3"/>
  <c r="B4596" i="3"/>
  <c r="C4596" i="3"/>
  <c r="D4596" i="3"/>
  <c r="E4596" i="3"/>
  <c r="A4597" i="3"/>
  <c r="B4597" i="3"/>
  <c r="C4597" i="3"/>
  <c r="F4597" i="3" s="1"/>
  <c r="D4597" i="3"/>
  <c r="E4597" i="3"/>
  <c r="A4598" i="3"/>
  <c r="B4598" i="3"/>
  <c r="C4598" i="3"/>
  <c r="D4598" i="3"/>
  <c r="E4598" i="3"/>
  <c r="A4599" i="3"/>
  <c r="B4599" i="3"/>
  <c r="C4599" i="3"/>
  <c r="D4599" i="3"/>
  <c r="E4599" i="3"/>
  <c r="G4599" i="3" s="1"/>
  <c r="A4600" i="3"/>
  <c r="B4600" i="3"/>
  <c r="C4600" i="3"/>
  <c r="D4600" i="3"/>
  <c r="E4600" i="3"/>
  <c r="A4601" i="3"/>
  <c r="B4601" i="3"/>
  <c r="C4601" i="3"/>
  <c r="D4601" i="3"/>
  <c r="E4601" i="3"/>
  <c r="A4602" i="3"/>
  <c r="B4602" i="3"/>
  <c r="C4602" i="3"/>
  <c r="D4602" i="3"/>
  <c r="E4602" i="3"/>
  <c r="A4603" i="3"/>
  <c r="B4603" i="3"/>
  <c r="C4603" i="3"/>
  <c r="D4603" i="3"/>
  <c r="E4603" i="3"/>
  <c r="A4604" i="3"/>
  <c r="B4604" i="3"/>
  <c r="C4604" i="3"/>
  <c r="D4604" i="3"/>
  <c r="E4604" i="3"/>
  <c r="A4605" i="3"/>
  <c r="B4605" i="3"/>
  <c r="C4605" i="3"/>
  <c r="D4605" i="3"/>
  <c r="E4605" i="3"/>
  <c r="A4606" i="3"/>
  <c r="B4606" i="3"/>
  <c r="C4606" i="3"/>
  <c r="D4606" i="3"/>
  <c r="E4606" i="3"/>
  <c r="A4607" i="3"/>
  <c r="B4607" i="3"/>
  <c r="C4607" i="3"/>
  <c r="D4607" i="3"/>
  <c r="E4607" i="3"/>
  <c r="A4608" i="3"/>
  <c r="B4608" i="3"/>
  <c r="C4608" i="3"/>
  <c r="D4608" i="3"/>
  <c r="E4608" i="3"/>
  <c r="A4609" i="3"/>
  <c r="B4609" i="3"/>
  <c r="C4609" i="3"/>
  <c r="F4609" i="3" s="1"/>
  <c r="D4609" i="3"/>
  <c r="E4609" i="3"/>
  <c r="A4610" i="3"/>
  <c r="B4610" i="3"/>
  <c r="C4610" i="3"/>
  <c r="D4610" i="3"/>
  <c r="E4610" i="3"/>
  <c r="A4611" i="3"/>
  <c r="B4611" i="3"/>
  <c r="C4611" i="3"/>
  <c r="D4611" i="3"/>
  <c r="E4611" i="3"/>
  <c r="G4611" i="3" s="1"/>
  <c r="A4612" i="3"/>
  <c r="B4612" i="3"/>
  <c r="C4612" i="3"/>
  <c r="D4612" i="3"/>
  <c r="E4612" i="3"/>
  <c r="A4613" i="3"/>
  <c r="B4613" i="3"/>
  <c r="C4613" i="3"/>
  <c r="D4613" i="3"/>
  <c r="E4613" i="3"/>
  <c r="A4614" i="3"/>
  <c r="B4614" i="3"/>
  <c r="C4614" i="3"/>
  <c r="D4614" i="3"/>
  <c r="E4614" i="3"/>
  <c r="A4615" i="3"/>
  <c r="B4615" i="3"/>
  <c r="C4615" i="3"/>
  <c r="D4615" i="3"/>
  <c r="E4615" i="3"/>
  <c r="A4616" i="3"/>
  <c r="B4616" i="3"/>
  <c r="C4616" i="3"/>
  <c r="D4616" i="3"/>
  <c r="E4616" i="3"/>
  <c r="A4617" i="3"/>
  <c r="B4617" i="3"/>
  <c r="C4617" i="3"/>
  <c r="D4617" i="3"/>
  <c r="E4617" i="3"/>
  <c r="A4618" i="3"/>
  <c r="B4618" i="3"/>
  <c r="C4618" i="3"/>
  <c r="D4618" i="3"/>
  <c r="E4618" i="3"/>
  <c r="A4619" i="3"/>
  <c r="B4619" i="3"/>
  <c r="C4619" i="3"/>
  <c r="D4619" i="3"/>
  <c r="E4619" i="3"/>
  <c r="A4620" i="3"/>
  <c r="B4620" i="3"/>
  <c r="C4620" i="3"/>
  <c r="D4620" i="3"/>
  <c r="E4620" i="3"/>
  <c r="A4621" i="3"/>
  <c r="B4621" i="3"/>
  <c r="C4621" i="3"/>
  <c r="F4621" i="3" s="1"/>
  <c r="D4621" i="3"/>
  <c r="E4621" i="3"/>
  <c r="A4622" i="3"/>
  <c r="B4622" i="3"/>
  <c r="C4622" i="3"/>
  <c r="D4622" i="3"/>
  <c r="E4622" i="3"/>
  <c r="A4623" i="3"/>
  <c r="B4623" i="3"/>
  <c r="C4623" i="3"/>
  <c r="D4623" i="3"/>
  <c r="E4623" i="3"/>
  <c r="G4623" i="3" s="1"/>
  <c r="A4624" i="3"/>
  <c r="B4624" i="3"/>
  <c r="C4624" i="3"/>
  <c r="D4624" i="3"/>
  <c r="E4624" i="3"/>
  <c r="A4625" i="3"/>
  <c r="B4625" i="3"/>
  <c r="C4625" i="3"/>
  <c r="D4625" i="3"/>
  <c r="E4625" i="3"/>
  <c r="A4626" i="3"/>
  <c r="B4626" i="3"/>
  <c r="C4626" i="3"/>
  <c r="D4626" i="3"/>
  <c r="E4626" i="3"/>
  <c r="A4627" i="3"/>
  <c r="B4627" i="3"/>
  <c r="C4627" i="3"/>
  <c r="D4627" i="3"/>
  <c r="E4627" i="3"/>
  <c r="A4628" i="3"/>
  <c r="B4628" i="3"/>
  <c r="C4628" i="3"/>
  <c r="D4628" i="3"/>
  <c r="E4628" i="3"/>
  <c r="A4629" i="3"/>
  <c r="B4629" i="3"/>
  <c r="C4629" i="3"/>
  <c r="D4629" i="3"/>
  <c r="E4629" i="3"/>
  <c r="A4630" i="3"/>
  <c r="B4630" i="3"/>
  <c r="C4630" i="3"/>
  <c r="D4630" i="3"/>
  <c r="E4630" i="3"/>
  <c r="A4631" i="3"/>
  <c r="B4631" i="3"/>
  <c r="C4631" i="3"/>
  <c r="D4631" i="3"/>
  <c r="E4631" i="3"/>
  <c r="A4632" i="3"/>
  <c r="B4632" i="3"/>
  <c r="C4632" i="3"/>
  <c r="D4632" i="3"/>
  <c r="E4632" i="3"/>
  <c r="A4633" i="3"/>
  <c r="B4633" i="3"/>
  <c r="C4633" i="3"/>
  <c r="F4633" i="3" s="1"/>
  <c r="D4633" i="3"/>
  <c r="E4633" i="3"/>
  <c r="A4634" i="3"/>
  <c r="B4634" i="3"/>
  <c r="C4634" i="3"/>
  <c r="D4634" i="3"/>
  <c r="E4634" i="3"/>
  <c r="A4635" i="3"/>
  <c r="B4635" i="3"/>
  <c r="C4635" i="3"/>
  <c r="D4635" i="3"/>
  <c r="E4635" i="3"/>
  <c r="G4635" i="3" s="1"/>
  <c r="A4636" i="3"/>
  <c r="B4636" i="3"/>
  <c r="C4636" i="3"/>
  <c r="D4636" i="3"/>
  <c r="E4636" i="3"/>
  <c r="A4637" i="3"/>
  <c r="B4637" i="3"/>
  <c r="C4637" i="3"/>
  <c r="D4637" i="3"/>
  <c r="E4637" i="3"/>
  <c r="A4638" i="3"/>
  <c r="B4638" i="3"/>
  <c r="C4638" i="3"/>
  <c r="D4638" i="3"/>
  <c r="E4638" i="3"/>
  <c r="A4639" i="3"/>
  <c r="B4639" i="3"/>
  <c r="C4639" i="3"/>
  <c r="D4639" i="3"/>
  <c r="E4639" i="3"/>
  <c r="A4640" i="3"/>
  <c r="B4640" i="3"/>
  <c r="C4640" i="3"/>
  <c r="D4640" i="3"/>
  <c r="E4640" i="3"/>
  <c r="A4641" i="3"/>
  <c r="B4641" i="3"/>
  <c r="C4641" i="3"/>
  <c r="D4641" i="3"/>
  <c r="E4641" i="3"/>
  <c r="A4642" i="3"/>
  <c r="B4642" i="3"/>
  <c r="C4642" i="3"/>
  <c r="D4642" i="3"/>
  <c r="E4642" i="3"/>
  <c r="A4643" i="3"/>
  <c r="B4643" i="3"/>
  <c r="C4643" i="3"/>
  <c r="D4643" i="3"/>
  <c r="E4643" i="3"/>
  <c r="A4644" i="3"/>
  <c r="B4644" i="3"/>
  <c r="C4644" i="3"/>
  <c r="D4644" i="3"/>
  <c r="E4644" i="3"/>
  <c r="A4645" i="3"/>
  <c r="B4645" i="3"/>
  <c r="C4645" i="3"/>
  <c r="F4645" i="3" s="1"/>
  <c r="D4645" i="3"/>
  <c r="E4645" i="3"/>
  <c r="A4646" i="3"/>
  <c r="B4646" i="3"/>
  <c r="C4646" i="3"/>
  <c r="D4646" i="3"/>
  <c r="E4646" i="3"/>
  <c r="A4647" i="3"/>
  <c r="B4647" i="3"/>
  <c r="C4647" i="3"/>
  <c r="D4647" i="3"/>
  <c r="E4647" i="3"/>
  <c r="G4647" i="3" s="1"/>
  <c r="A4648" i="3"/>
  <c r="B4648" i="3"/>
  <c r="C4648" i="3"/>
  <c r="D4648" i="3"/>
  <c r="E4648" i="3"/>
  <c r="A4649" i="3"/>
  <c r="B4649" i="3"/>
  <c r="C4649" i="3"/>
  <c r="D4649" i="3"/>
  <c r="E4649" i="3"/>
  <c r="A4650" i="3"/>
  <c r="B4650" i="3"/>
  <c r="C4650" i="3"/>
  <c r="D4650" i="3"/>
  <c r="E4650" i="3"/>
  <c r="A4651" i="3"/>
  <c r="B4651" i="3"/>
  <c r="C4651" i="3"/>
  <c r="D4651" i="3"/>
  <c r="E4651" i="3"/>
  <c r="A4652" i="3"/>
  <c r="B4652" i="3"/>
  <c r="C4652" i="3"/>
  <c r="D4652" i="3"/>
  <c r="E4652" i="3"/>
  <c r="A4653" i="3"/>
  <c r="B4653" i="3"/>
  <c r="C4653" i="3"/>
  <c r="D4653" i="3"/>
  <c r="E4653" i="3"/>
  <c r="A4654" i="3"/>
  <c r="B4654" i="3"/>
  <c r="C4654" i="3"/>
  <c r="D4654" i="3"/>
  <c r="E4654" i="3"/>
  <c r="A4655" i="3"/>
  <c r="B4655" i="3"/>
  <c r="C4655" i="3"/>
  <c r="D4655" i="3"/>
  <c r="E4655" i="3"/>
  <c r="A4656" i="3"/>
  <c r="B4656" i="3"/>
  <c r="C4656" i="3"/>
  <c r="D4656" i="3"/>
  <c r="E4656" i="3"/>
  <c r="A4657" i="3"/>
  <c r="B4657" i="3"/>
  <c r="C4657" i="3"/>
  <c r="F4657" i="3" s="1"/>
  <c r="D4657" i="3"/>
  <c r="E4657" i="3"/>
  <c r="A4658" i="3"/>
  <c r="B4658" i="3"/>
  <c r="C4658" i="3"/>
  <c r="D4658" i="3"/>
  <c r="E4658" i="3"/>
  <c r="A4659" i="3"/>
  <c r="B4659" i="3"/>
  <c r="C4659" i="3"/>
  <c r="D4659" i="3"/>
  <c r="E4659" i="3"/>
  <c r="G4659" i="3" s="1"/>
  <c r="A4660" i="3"/>
  <c r="B4660" i="3"/>
  <c r="C4660" i="3"/>
  <c r="D4660" i="3"/>
  <c r="E4660" i="3"/>
  <c r="A4661" i="3"/>
  <c r="B4661" i="3"/>
  <c r="C4661" i="3"/>
  <c r="D4661" i="3"/>
  <c r="E4661" i="3"/>
  <c r="A4662" i="3"/>
  <c r="B4662" i="3"/>
  <c r="C4662" i="3"/>
  <c r="D4662" i="3"/>
  <c r="E4662" i="3"/>
  <c r="A4663" i="3"/>
  <c r="B4663" i="3"/>
  <c r="C4663" i="3"/>
  <c r="D4663" i="3"/>
  <c r="E4663" i="3"/>
  <c r="A4664" i="3"/>
  <c r="B4664" i="3"/>
  <c r="C4664" i="3"/>
  <c r="D4664" i="3"/>
  <c r="E4664" i="3"/>
  <c r="A4665" i="3"/>
  <c r="B4665" i="3"/>
  <c r="C4665" i="3"/>
  <c r="D4665" i="3"/>
  <c r="E4665" i="3"/>
  <c r="A4666" i="3"/>
  <c r="B4666" i="3"/>
  <c r="C4666" i="3"/>
  <c r="D4666" i="3"/>
  <c r="E4666" i="3"/>
  <c r="A4667" i="3"/>
  <c r="B4667" i="3"/>
  <c r="C4667" i="3"/>
  <c r="D4667" i="3"/>
  <c r="E4667" i="3"/>
  <c r="A4668" i="3"/>
  <c r="B4668" i="3"/>
  <c r="C4668" i="3"/>
  <c r="D4668" i="3"/>
  <c r="E4668" i="3"/>
  <c r="A4669" i="3"/>
  <c r="B4669" i="3"/>
  <c r="C4669" i="3"/>
  <c r="F4669" i="3" s="1"/>
  <c r="D4669" i="3"/>
  <c r="E4669" i="3"/>
  <c r="A4670" i="3"/>
  <c r="B4670" i="3"/>
  <c r="C4670" i="3"/>
  <c r="D4670" i="3"/>
  <c r="E4670" i="3"/>
  <c r="A4671" i="3"/>
  <c r="B4671" i="3"/>
  <c r="C4671" i="3"/>
  <c r="D4671" i="3"/>
  <c r="E4671" i="3"/>
  <c r="G4671" i="3" s="1"/>
  <c r="A4672" i="3"/>
  <c r="B4672" i="3"/>
  <c r="C4672" i="3"/>
  <c r="D4672" i="3"/>
  <c r="E4672" i="3"/>
  <c r="A4673" i="3"/>
  <c r="B4673" i="3"/>
  <c r="C4673" i="3"/>
  <c r="D4673" i="3"/>
  <c r="E4673" i="3"/>
  <c r="A4674" i="3"/>
  <c r="B4674" i="3"/>
  <c r="C4674" i="3"/>
  <c r="D4674" i="3"/>
  <c r="E4674" i="3"/>
  <c r="A4675" i="3"/>
  <c r="B4675" i="3"/>
  <c r="C4675" i="3"/>
  <c r="D4675" i="3"/>
  <c r="E4675" i="3"/>
  <c r="A4676" i="3"/>
  <c r="B4676" i="3"/>
  <c r="C4676" i="3"/>
  <c r="D4676" i="3"/>
  <c r="E4676" i="3"/>
  <c r="A4677" i="3"/>
  <c r="B4677" i="3"/>
  <c r="C4677" i="3"/>
  <c r="D4677" i="3"/>
  <c r="E4677" i="3"/>
  <c r="A4678" i="3"/>
  <c r="B4678" i="3"/>
  <c r="C4678" i="3"/>
  <c r="D4678" i="3"/>
  <c r="E4678" i="3"/>
  <c r="A4679" i="3"/>
  <c r="B4679" i="3"/>
  <c r="C4679" i="3"/>
  <c r="D4679" i="3"/>
  <c r="E4679" i="3"/>
  <c r="A4680" i="3"/>
  <c r="B4680" i="3"/>
  <c r="C4680" i="3"/>
  <c r="D4680" i="3"/>
  <c r="E4680" i="3"/>
  <c r="A4681" i="3"/>
  <c r="B4681" i="3"/>
  <c r="C4681" i="3"/>
  <c r="F4681" i="3" s="1"/>
  <c r="D4681" i="3"/>
  <c r="E4681" i="3"/>
  <c r="A4682" i="3"/>
  <c r="B4682" i="3"/>
  <c r="C4682" i="3"/>
  <c r="D4682" i="3"/>
  <c r="E4682" i="3"/>
  <c r="A4683" i="3"/>
  <c r="B4683" i="3"/>
  <c r="C4683" i="3"/>
  <c r="D4683" i="3"/>
  <c r="E4683" i="3"/>
  <c r="G4683" i="3" s="1"/>
  <c r="A4684" i="3"/>
  <c r="B4684" i="3"/>
  <c r="C4684" i="3"/>
  <c r="D4684" i="3"/>
  <c r="E4684" i="3"/>
  <c r="A4685" i="3"/>
  <c r="B4685" i="3"/>
  <c r="C4685" i="3"/>
  <c r="D4685" i="3"/>
  <c r="E4685" i="3"/>
  <c r="A4686" i="3"/>
  <c r="B4686" i="3"/>
  <c r="C4686" i="3"/>
  <c r="D4686" i="3"/>
  <c r="E4686" i="3"/>
  <c r="A4687" i="3"/>
  <c r="B4687" i="3"/>
  <c r="C4687" i="3"/>
  <c r="D4687" i="3"/>
  <c r="E4687" i="3"/>
  <c r="A4688" i="3"/>
  <c r="B4688" i="3"/>
  <c r="C4688" i="3"/>
  <c r="D4688" i="3"/>
  <c r="E4688" i="3"/>
  <c r="A4689" i="3"/>
  <c r="B4689" i="3"/>
  <c r="C4689" i="3"/>
  <c r="D4689" i="3"/>
  <c r="E4689" i="3"/>
  <c r="A4690" i="3"/>
  <c r="B4690" i="3"/>
  <c r="C4690" i="3"/>
  <c r="D4690" i="3"/>
  <c r="E4690" i="3"/>
  <c r="A4691" i="3"/>
  <c r="B4691" i="3"/>
  <c r="C4691" i="3"/>
  <c r="D4691" i="3"/>
  <c r="E4691" i="3"/>
  <c r="A4692" i="3"/>
  <c r="B4692" i="3"/>
  <c r="C4692" i="3"/>
  <c r="D4692" i="3"/>
  <c r="E4692" i="3"/>
  <c r="A4693" i="3"/>
  <c r="B4693" i="3"/>
  <c r="C4693" i="3"/>
  <c r="F4693" i="3" s="1"/>
  <c r="D4693" i="3"/>
  <c r="E4693" i="3"/>
  <c r="A4694" i="3"/>
  <c r="B4694" i="3"/>
  <c r="C4694" i="3"/>
  <c r="D4694" i="3"/>
  <c r="E4694" i="3"/>
  <c r="A4695" i="3"/>
  <c r="B4695" i="3"/>
  <c r="C4695" i="3"/>
  <c r="D4695" i="3"/>
  <c r="E4695" i="3"/>
  <c r="G4695" i="3" s="1"/>
  <c r="A4696" i="3"/>
  <c r="B4696" i="3"/>
  <c r="C4696" i="3"/>
  <c r="D4696" i="3"/>
  <c r="E4696" i="3"/>
  <c r="A4697" i="3"/>
  <c r="B4697" i="3"/>
  <c r="C4697" i="3"/>
  <c r="D4697" i="3"/>
  <c r="E4697" i="3"/>
  <c r="A4698" i="3"/>
  <c r="B4698" i="3"/>
  <c r="C4698" i="3"/>
  <c r="D4698" i="3"/>
  <c r="E4698" i="3"/>
  <c r="A4699" i="3"/>
  <c r="B4699" i="3"/>
  <c r="C4699" i="3"/>
  <c r="D4699" i="3"/>
  <c r="E4699" i="3"/>
  <c r="A4700" i="3"/>
  <c r="B4700" i="3"/>
  <c r="C4700" i="3"/>
  <c r="D4700" i="3"/>
  <c r="E4700" i="3"/>
  <c r="A4701" i="3"/>
  <c r="B4701" i="3"/>
  <c r="C4701" i="3"/>
  <c r="D4701" i="3"/>
  <c r="E4701" i="3"/>
  <c r="A4702" i="3"/>
  <c r="B4702" i="3"/>
  <c r="C4702" i="3"/>
  <c r="D4702" i="3"/>
  <c r="E4702" i="3"/>
  <c r="A4703" i="3"/>
  <c r="B4703" i="3"/>
  <c r="C4703" i="3"/>
  <c r="D4703" i="3"/>
  <c r="E4703" i="3"/>
  <c r="A4704" i="3"/>
  <c r="B4704" i="3"/>
  <c r="C4704" i="3"/>
  <c r="D4704" i="3"/>
  <c r="E4704" i="3"/>
  <c r="A4705" i="3"/>
  <c r="B4705" i="3"/>
  <c r="C4705" i="3"/>
  <c r="F4705" i="3" s="1"/>
  <c r="D4705" i="3"/>
  <c r="E4705" i="3"/>
  <c r="A4706" i="3"/>
  <c r="B4706" i="3"/>
  <c r="C4706" i="3"/>
  <c r="D4706" i="3"/>
  <c r="E4706" i="3"/>
  <c r="A4707" i="3"/>
  <c r="B4707" i="3"/>
  <c r="C4707" i="3"/>
  <c r="D4707" i="3"/>
  <c r="E4707" i="3"/>
  <c r="G4707" i="3" s="1"/>
  <c r="A4708" i="3"/>
  <c r="B4708" i="3"/>
  <c r="C4708" i="3"/>
  <c r="D4708" i="3"/>
  <c r="E4708" i="3"/>
  <c r="A4709" i="3"/>
  <c r="B4709" i="3"/>
  <c r="C4709" i="3"/>
  <c r="D4709" i="3"/>
  <c r="E4709" i="3"/>
  <c r="A4710" i="3"/>
  <c r="B4710" i="3"/>
  <c r="C4710" i="3"/>
  <c r="D4710" i="3"/>
  <c r="E4710" i="3"/>
  <c r="A4711" i="3"/>
  <c r="B4711" i="3"/>
  <c r="C4711" i="3"/>
  <c r="D4711" i="3"/>
  <c r="E4711" i="3"/>
  <c r="A4712" i="3"/>
  <c r="B4712" i="3"/>
  <c r="C4712" i="3"/>
  <c r="D4712" i="3"/>
  <c r="E4712" i="3"/>
  <c r="A4713" i="3"/>
  <c r="B4713" i="3"/>
  <c r="C4713" i="3"/>
  <c r="D4713" i="3"/>
  <c r="E4713" i="3"/>
  <c r="A4714" i="3"/>
  <c r="B4714" i="3"/>
  <c r="C4714" i="3"/>
  <c r="D4714" i="3"/>
  <c r="E4714" i="3"/>
  <c r="A4715" i="3"/>
  <c r="B4715" i="3"/>
  <c r="C4715" i="3"/>
  <c r="D4715" i="3"/>
  <c r="E4715" i="3"/>
  <c r="A4716" i="3"/>
  <c r="B4716" i="3"/>
  <c r="C4716" i="3"/>
  <c r="D4716" i="3"/>
  <c r="E4716" i="3"/>
  <c r="A4717" i="3"/>
  <c r="B4717" i="3"/>
  <c r="C4717" i="3"/>
  <c r="F4717" i="3" s="1"/>
  <c r="D4717" i="3"/>
  <c r="E4717" i="3"/>
  <c r="A4718" i="3"/>
  <c r="B4718" i="3"/>
  <c r="C4718" i="3"/>
  <c r="D4718" i="3"/>
  <c r="E4718" i="3"/>
  <c r="A4719" i="3"/>
  <c r="B4719" i="3"/>
  <c r="C4719" i="3"/>
  <c r="D4719" i="3"/>
  <c r="E4719" i="3"/>
  <c r="G4719" i="3" s="1"/>
  <c r="A4720" i="3"/>
  <c r="B4720" i="3"/>
  <c r="C4720" i="3"/>
  <c r="D4720" i="3"/>
  <c r="E4720" i="3"/>
  <c r="A4721" i="3"/>
  <c r="B4721" i="3"/>
  <c r="C4721" i="3"/>
  <c r="D4721" i="3"/>
  <c r="E4721" i="3"/>
  <c r="A4722" i="3"/>
  <c r="B4722" i="3"/>
  <c r="C4722" i="3"/>
  <c r="D4722" i="3"/>
  <c r="E4722" i="3"/>
  <c r="A4723" i="3"/>
  <c r="B4723" i="3"/>
  <c r="C4723" i="3"/>
  <c r="D4723" i="3"/>
  <c r="E4723" i="3"/>
  <c r="A4724" i="3"/>
  <c r="B4724" i="3"/>
  <c r="C4724" i="3"/>
  <c r="D4724" i="3"/>
  <c r="E4724" i="3"/>
  <c r="A4725" i="3"/>
  <c r="B4725" i="3"/>
  <c r="C4725" i="3"/>
  <c r="D4725" i="3"/>
  <c r="E4725" i="3"/>
  <c r="A4726" i="3"/>
  <c r="B4726" i="3"/>
  <c r="C4726" i="3"/>
  <c r="D4726" i="3"/>
  <c r="E4726" i="3"/>
  <c r="A4727" i="3"/>
  <c r="B4727" i="3"/>
  <c r="C4727" i="3"/>
  <c r="D4727" i="3"/>
  <c r="E4727" i="3"/>
  <c r="A4728" i="3"/>
  <c r="B4728" i="3"/>
  <c r="C4728" i="3"/>
  <c r="D4728" i="3"/>
  <c r="E4728" i="3"/>
  <c r="A4729" i="3"/>
  <c r="B4729" i="3"/>
  <c r="C4729" i="3"/>
  <c r="F4729" i="3" s="1"/>
  <c r="D4729" i="3"/>
  <c r="E4729" i="3"/>
  <c r="A4730" i="3"/>
  <c r="B4730" i="3"/>
  <c r="C4730" i="3"/>
  <c r="D4730" i="3"/>
  <c r="E4730" i="3"/>
  <c r="A4731" i="3"/>
  <c r="B4731" i="3"/>
  <c r="C4731" i="3"/>
  <c r="D4731" i="3"/>
  <c r="E4731" i="3"/>
  <c r="G4731" i="3" s="1"/>
  <c r="A4732" i="3"/>
  <c r="B4732" i="3"/>
  <c r="C4732" i="3"/>
  <c r="D4732" i="3"/>
  <c r="E4732" i="3"/>
  <c r="A4733" i="3"/>
  <c r="B4733" i="3"/>
  <c r="C4733" i="3"/>
  <c r="D4733" i="3"/>
  <c r="E4733" i="3"/>
  <c r="A4734" i="3"/>
  <c r="B4734" i="3"/>
  <c r="C4734" i="3"/>
  <c r="D4734" i="3"/>
  <c r="E4734" i="3"/>
  <c r="A4735" i="3"/>
  <c r="B4735" i="3"/>
  <c r="C4735" i="3"/>
  <c r="D4735" i="3"/>
  <c r="E4735" i="3"/>
  <c r="A4736" i="3"/>
  <c r="B4736" i="3"/>
  <c r="C4736" i="3"/>
  <c r="D4736" i="3"/>
  <c r="E4736" i="3"/>
  <c r="A4737" i="3"/>
  <c r="B4737" i="3"/>
  <c r="C4737" i="3"/>
  <c r="D4737" i="3"/>
  <c r="E4737" i="3"/>
  <c r="A4738" i="3"/>
  <c r="B4738" i="3"/>
  <c r="C4738" i="3"/>
  <c r="D4738" i="3"/>
  <c r="E4738" i="3"/>
  <c r="A4739" i="3"/>
  <c r="B4739" i="3"/>
  <c r="C4739" i="3"/>
  <c r="D4739" i="3"/>
  <c r="E4739" i="3"/>
  <c r="A4740" i="3"/>
  <c r="B4740" i="3"/>
  <c r="C4740" i="3"/>
  <c r="D4740" i="3"/>
  <c r="E4740" i="3"/>
  <c r="A4741" i="3"/>
  <c r="B4741" i="3"/>
  <c r="C4741" i="3"/>
  <c r="F4741" i="3" s="1"/>
  <c r="D4741" i="3"/>
  <c r="E4741" i="3"/>
  <c r="A4742" i="3"/>
  <c r="B4742" i="3"/>
  <c r="C4742" i="3"/>
  <c r="D4742" i="3"/>
  <c r="E4742" i="3"/>
  <c r="A4743" i="3"/>
  <c r="B4743" i="3"/>
  <c r="C4743" i="3"/>
  <c r="D4743" i="3"/>
  <c r="E4743" i="3"/>
  <c r="G4743" i="3" s="1"/>
  <c r="A4744" i="3"/>
  <c r="B4744" i="3"/>
  <c r="C4744" i="3"/>
  <c r="D4744" i="3"/>
  <c r="E4744" i="3"/>
  <c r="A4745" i="3"/>
  <c r="B4745" i="3"/>
  <c r="C4745" i="3"/>
  <c r="D4745" i="3"/>
  <c r="E4745" i="3"/>
  <c r="A4746" i="3"/>
  <c r="B4746" i="3"/>
  <c r="C4746" i="3"/>
  <c r="D4746" i="3"/>
  <c r="E4746" i="3"/>
  <c r="A4747" i="3"/>
  <c r="B4747" i="3"/>
  <c r="C4747" i="3"/>
  <c r="D4747" i="3"/>
  <c r="E4747" i="3"/>
  <c r="A4748" i="3"/>
  <c r="B4748" i="3"/>
  <c r="C4748" i="3"/>
  <c r="D4748" i="3"/>
  <c r="E4748" i="3"/>
  <c r="A4749" i="3"/>
  <c r="B4749" i="3"/>
  <c r="C4749" i="3"/>
  <c r="D4749" i="3"/>
  <c r="E4749" i="3"/>
  <c r="A4750" i="3"/>
  <c r="B4750" i="3"/>
  <c r="C4750" i="3"/>
  <c r="D4750" i="3"/>
  <c r="E4750" i="3"/>
  <c r="A4751" i="3"/>
  <c r="B4751" i="3"/>
  <c r="C4751" i="3"/>
  <c r="D4751" i="3"/>
  <c r="E4751" i="3"/>
  <c r="A3" i="3"/>
  <c r="B3" i="3"/>
  <c r="C3" i="3"/>
  <c r="D3" i="3"/>
  <c r="E3" i="3"/>
  <c r="A4" i="3"/>
  <c r="B4" i="3"/>
  <c r="C4" i="3"/>
  <c r="F4" i="3" s="1"/>
  <c r="D4" i="3"/>
  <c r="E4" i="3"/>
  <c r="A5" i="3"/>
  <c r="B5" i="3"/>
  <c r="C5" i="3"/>
  <c r="D5" i="3"/>
  <c r="E5" i="3"/>
  <c r="A6" i="3"/>
  <c r="B6" i="3"/>
  <c r="C6" i="3"/>
  <c r="D6" i="3"/>
  <c r="E6" i="3"/>
  <c r="G6" i="3" s="1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F16" i="3" s="1"/>
  <c r="D16" i="3"/>
  <c r="E16" i="3"/>
  <c r="A17" i="3"/>
  <c r="B17" i="3"/>
  <c r="C17" i="3"/>
  <c r="D17" i="3"/>
  <c r="E17" i="3"/>
  <c r="A18" i="3"/>
  <c r="B18" i="3"/>
  <c r="C18" i="3"/>
  <c r="D18" i="3"/>
  <c r="E18" i="3"/>
  <c r="G18" i="3" s="1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B26" i="3"/>
  <c r="C26" i="3"/>
  <c r="D26" i="3"/>
  <c r="E26" i="3"/>
  <c r="A27" i="3"/>
  <c r="B27" i="3"/>
  <c r="C27" i="3"/>
  <c r="D27" i="3"/>
  <c r="E27" i="3"/>
  <c r="A28" i="3"/>
  <c r="B28" i="3"/>
  <c r="C28" i="3"/>
  <c r="F28" i="3" s="1"/>
  <c r="D28" i="3"/>
  <c r="E28" i="3"/>
  <c r="A29" i="3"/>
  <c r="B29" i="3"/>
  <c r="C29" i="3"/>
  <c r="D29" i="3"/>
  <c r="E29" i="3"/>
  <c r="A30" i="3"/>
  <c r="B30" i="3"/>
  <c r="C30" i="3"/>
  <c r="D30" i="3"/>
  <c r="E30" i="3"/>
  <c r="G30" i="3" s="1"/>
  <c r="A31" i="3"/>
  <c r="B31" i="3"/>
  <c r="C31" i="3"/>
  <c r="D31" i="3"/>
  <c r="E31" i="3"/>
  <c r="A32" i="3"/>
  <c r="B32" i="3"/>
  <c r="C32" i="3"/>
  <c r="D32" i="3"/>
  <c r="E32" i="3"/>
  <c r="A33" i="3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F40" i="3" s="1"/>
  <c r="D40" i="3"/>
  <c r="E40" i="3"/>
  <c r="A41" i="3"/>
  <c r="B41" i="3"/>
  <c r="C41" i="3"/>
  <c r="D41" i="3"/>
  <c r="E41" i="3"/>
  <c r="A42" i="3"/>
  <c r="B42" i="3"/>
  <c r="C42" i="3"/>
  <c r="D42" i="3"/>
  <c r="E42" i="3"/>
  <c r="G42" i="3" s="1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F52" i="3" s="1"/>
  <c r="D52" i="3"/>
  <c r="E52" i="3"/>
  <c r="A53" i="3"/>
  <c r="B53" i="3"/>
  <c r="C53" i="3"/>
  <c r="D53" i="3"/>
  <c r="E53" i="3"/>
  <c r="A54" i="3"/>
  <c r="B54" i="3"/>
  <c r="C54" i="3"/>
  <c r="D54" i="3"/>
  <c r="E54" i="3"/>
  <c r="G54" i="3" s="1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F64" i="3" s="1"/>
  <c r="D64" i="3"/>
  <c r="E64" i="3"/>
  <c r="A65" i="3"/>
  <c r="B65" i="3"/>
  <c r="C65" i="3"/>
  <c r="D65" i="3"/>
  <c r="E65" i="3"/>
  <c r="A66" i="3"/>
  <c r="B66" i="3"/>
  <c r="C66" i="3"/>
  <c r="D66" i="3"/>
  <c r="E66" i="3"/>
  <c r="G66" i="3" s="1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F76" i="3" s="1"/>
  <c r="D76" i="3"/>
  <c r="E76" i="3"/>
  <c r="A77" i="3"/>
  <c r="B77" i="3"/>
  <c r="C77" i="3"/>
  <c r="D77" i="3"/>
  <c r="E77" i="3"/>
  <c r="A78" i="3"/>
  <c r="B78" i="3"/>
  <c r="C78" i="3"/>
  <c r="D78" i="3"/>
  <c r="E78" i="3"/>
  <c r="G78" i="3" s="1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F88" i="3" s="1"/>
  <c r="D88" i="3"/>
  <c r="E88" i="3"/>
  <c r="A89" i="3"/>
  <c r="B89" i="3"/>
  <c r="C89" i="3"/>
  <c r="D89" i="3"/>
  <c r="E89" i="3"/>
  <c r="A90" i="3"/>
  <c r="B90" i="3"/>
  <c r="C90" i="3"/>
  <c r="D90" i="3"/>
  <c r="E90" i="3"/>
  <c r="G90" i="3" s="1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F100" i="3" s="1"/>
  <c r="D100" i="3"/>
  <c r="E100" i="3"/>
  <c r="A101" i="3"/>
  <c r="B101" i="3"/>
  <c r="C101" i="3"/>
  <c r="D101" i="3"/>
  <c r="E101" i="3"/>
  <c r="A102" i="3"/>
  <c r="B102" i="3"/>
  <c r="C102" i="3"/>
  <c r="D102" i="3"/>
  <c r="E102" i="3"/>
  <c r="G102" i="3" s="1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F112" i="3" s="1"/>
  <c r="D112" i="3"/>
  <c r="E112" i="3"/>
  <c r="A113" i="3"/>
  <c r="B113" i="3"/>
  <c r="C113" i="3"/>
  <c r="D113" i="3"/>
  <c r="E113" i="3"/>
  <c r="A114" i="3"/>
  <c r="B114" i="3"/>
  <c r="C114" i="3"/>
  <c r="D114" i="3"/>
  <c r="E114" i="3"/>
  <c r="G114" i="3" s="1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F124" i="3" s="1"/>
  <c r="D124" i="3"/>
  <c r="E124" i="3"/>
  <c r="A125" i="3"/>
  <c r="B125" i="3"/>
  <c r="C125" i="3"/>
  <c r="D125" i="3"/>
  <c r="E125" i="3"/>
  <c r="A126" i="3"/>
  <c r="B126" i="3"/>
  <c r="C126" i="3"/>
  <c r="D126" i="3"/>
  <c r="E126" i="3"/>
  <c r="G126" i="3" s="1"/>
  <c r="A127" i="3"/>
  <c r="B127" i="3"/>
  <c r="C127" i="3"/>
  <c r="D127" i="3"/>
  <c r="E127" i="3"/>
  <c r="A128" i="3"/>
  <c r="B128" i="3"/>
  <c r="C128" i="3"/>
  <c r="D128" i="3"/>
  <c r="E128" i="3"/>
  <c r="A129" i="3"/>
  <c r="B129" i="3"/>
  <c r="C129" i="3"/>
  <c r="D129" i="3"/>
  <c r="E129" i="3"/>
  <c r="A130" i="3"/>
  <c r="B130" i="3"/>
  <c r="C130" i="3"/>
  <c r="D130" i="3"/>
  <c r="E130" i="3"/>
  <c r="A131" i="3"/>
  <c r="B131" i="3"/>
  <c r="C131" i="3"/>
  <c r="D131" i="3"/>
  <c r="E131" i="3"/>
  <c r="A132" i="3"/>
  <c r="B132" i="3"/>
  <c r="C132" i="3"/>
  <c r="D132" i="3"/>
  <c r="E132" i="3"/>
  <c r="A133" i="3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F136" i="3" s="1"/>
  <c r="D136" i="3"/>
  <c r="E136" i="3"/>
  <c r="A137" i="3"/>
  <c r="B137" i="3"/>
  <c r="C137" i="3"/>
  <c r="D137" i="3"/>
  <c r="E137" i="3"/>
  <c r="A138" i="3"/>
  <c r="B138" i="3"/>
  <c r="C138" i="3"/>
  <c r="D138" i="3"/>
  <c r="E138" i="3"/>
  <c r="G138" i="3" s="1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F148" i="3" s="1"/>
  <c r="D148" i="3"/>
  <c r="E148" i="3"/>
  <c r="A149" i="3"/>
  <c r="B149" i="3"/>
  <c r="C149" i="3"/>
  <c r="D149" i="3"/>
  <c r="E149" i="3"/>
  <c r="A150" i="3"/>
  <c r="B150" i="3"/>
  <c r="C150" i="3"/>
  <c r="D150" i="3"/>
  <c r="E150" i="3"/>
  <c r="G150" i="3" s="1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F160" i="3" s="1"/>
  <c r="D160" i="3"/>
  <c r="E160" i="3"/>
  <c r="A161" i="3"/>
  <c r="B161" i="3"/>
  <c r="C161" i="3"/>
  <c r="D161" i="3"/>
  <c r="E161" i="3"/>
  <c r="A162" i="3"/>
  <c r="B162" i="3"/>
  <c r="C162" i="3"/>
  <c r="D162" i="3"/>
  <c r="E162" i="3"/>
  <c r="G162" i="3" s="1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F172" i="3" s="1"/>
  <c r="D172" i="3"/>
  <c r="E172" i="3"/>
  <c r="A173" i="3"/>
  <c r="B173" i="3"/>
  <c r="C173" i="3"/>
  <c r="D173" i="3"/>
  <c r="E173" i="3"/>
  <c r="A174" i="3"/>
  <c r="B174" i="3"/>
  <c r="C174" i="3"/>
  <c r="D174" i="3"/>
  <c r="E174" i="3"/>
  <c r="G174" i="3" s="1"/>
  <c r="A175" i="3"/>
  <c r="B175" i="3"/>
  <c r="C175" i="3"/>
  <c r="D175" i="3"/>
  <c r="E175" i="3"/>
  <c r="A176" i="3"/>
  <c r="B176" i="3"/>
  <c r="C176" i="3"/>
  <c r="D176" i="3"/>
  <c r="E176" i="3"/>
  <c r="A177" i="3"/>
  <c r="B177" i="3"/>
  <c r="C177" i="3"/>
  <c r="D177" i="3"/>
  <c r="E177" i="3"/>
  <c r="A178" i="3"/>
  <c r="B178" i="3"/>
  <c r="C178" i="3"/>
  <c r="D178" i="3"/>
  <c r="E178" i="3"/>
  <c r="A179" i="3"/>
  <c r="B179" i="3"/>
  <c r="C179" i="3"/>
  <c r="D179" i="3"/>
  <c r="E179" i="3"/>
  <c r="A180" i="3"/>
  <c r="B180" i="3"/>
  <c r="C180" i="3"/>
  <c r="D180" i="3"/>
  <c r="E180" i="3"/>
  <c r="A181" i="3"/>
  <c r="B181" i="3"/>
  <c r="C181" i="3"/>
  <c r="D181" i="3"/>
  <c r="E181" i="3"/>
  <c r="A182" i="3"/>
  <c r="B182" i="3"/>
  <c r="C182" i="3"/>
  <c r="D182" i="3"/>
  <c r="E182" i="3"/>
  <c r="A183" i="3"/>
  <c r="B183" i="3"/>
  <c r="C183" i="3"/>
  <c r="D183" i="3"/>
  <c r="E183" i="3"/>
  <c r="A184" i="3"/>
  <c r="B184" i="3"/>
  <c r="C184" i="3"/>
  <c r="F184" i="3" s="1"/>
  <c r="D184" i="3"/>
  <c r="E184" i="3"/>
  <c r="A185" i="3"/>
  <c r="B185" i="3"/>
  <c r="C185" i="3"/>
  <c r="D185" i="3"/>
  <c r="E185" i="3"/>
  <c r="A186" i="3"/>
  <c r="B186" i="3"/>
  <c r="C186" i="3"/>
  <c r="D186" i="3"/>
  <c r="E186" i="3"/>
  <c r="G186" i="3" s="1"/>
  <c r="A187" i="3"/>
  <c r="B187" i="3"/>
  <c r="C187" i="3"/>
  <c r="D187" i="3"/>
  <c r="E187" i="3"/>
  <c r="A188" i="3"/>
  <c r="B188" i="3"/>
  <c r="C188" i="3"/>
  <c r="D188" i="3"/>
  <c r="E188" i="3"/>
  <c r="A189" i="3"/>
  <c r="B189" i="3"/>
  <c r="C189" i="3"/>
  <c r="D189" i="3"/>
  <c r="E189" i="3"/>
  <c r="A190" i="3"/>
  <c r="B190" i="3"/>
  <c r="C190" i="3"/>
  <c r="D190" i="3"/>
  <c r="E190" i="3"/>
  <c r="A191" i="3"/>
  <c r="B191" i="3"/>
  <c r="C191" i="3"/>
  <c r="D191" i="3"/>
  <c r="E191" i="3"/>
  <c r="A192" i="3"/>
  <c r="B192" i="3"/>
  <c r="C192" i="3"/>
  <c r="D192" i="3"/>
  <c r="E192" i="3"/>
  <c r="A193" i="3"/>
  <c r="B193" i="3"/>
  <c r="C193" i="3"/>
  <c r="D193" i="3"/>
  <c r="E193" i="3"/>
  <c r="A194" i="3"/>
  <c r="B194" i="3"/>
  <c r="C194" i="3"/>
  <c r="D194" i="3"/>
  <c r="E194" i="3"/>
  <c r="A195" i="3"/>
  <c r="B195" i="3"/>
  <c r="C195" i="3"/>
  <c r="D195" i="3"/>
  <c r="E195" i="3"/>
  <c r="A196" i="3"/>
  <c r="B196" i="3"/>
  <c r="C196" i="3"/>
  <c r="F196" i="3" s="1"/>
  <c r="D196" i="3"/>
  <c r="E196" i="3"/>
  <c r="A197" i="3"/>
  <c r="B197" i="3"/>
  <c r="C197" i="3"/>
  <c r="D197" i="3"/>
  <c r="E197" i="3"/>
  <c r="A198" i="3"/>
  <c r="B198" i="3"/>
  <c r="C198" i="3"/>
  <c r="D198" i="3"/>
  <c r="E198" i="3"/>
  <c r="G198" i="3" s="1"/>
  <c r="A199" i="3"/>
  <c r="B199" i="3"/>
  <c r="C199" i="3"/>
  <c r="D199" i="3"/>
  <c r="E199" i="3"/>
  <c r="A200" i="3"/>
  <c r="B200" i="3"/>
  <c r="C200" i="3"/>
  <c r="D200" i="3"/>
  <c r="E200" i="3"/>
  <c r="A201" i="3"/>
  <c r="B201" i="3"/>
  <c r="C201" i="3"/>
  <c r="D201" i="3"/>
  <c r="E201" i="3"/>
  <c r="A202" i="3"/>
  <c r="B202" i="3"/>
  <c r="C202" i="3"/>
  <c r="D202" i="3"/>
  <c r="E202" i="3"/>
  <c r="A203" i="3"/>
  <c r="B203" i="3"/>
  <c r="C203" i="3"/>
  <c r="D203" i="3"/>
  <c r="E203" i="3"/>
  <c r="A204" i="3"/>
  <c r="B204" i="3"/>
  <c r="C204" i="3"/>
  <c r="D204" i="3"/>
  <c r="E204" i="3"/>
  <c r="A205" i="3"/>
  <c r="B205" i="3"/>
  <c r="C205" i="3"/>
  <c r="D205" i="3"/>
  <c r="E205" i="3"/>
  <c r="A206" i="3"/>
  <c r="B206" i="3"/>
  <c r="C206" i="3"/>
  <c r="D206" i="3"/>
  <c r="E206" i="3"/>
  <c r="A207" i="3"/>
  <c r="B207" i="3"/>
  <c r="C207" i="3"/>
  <c r="D207" i="3"/>
  <c r="E207" i="3"/>
  <c r="A208" i="3"/>
  <c r="B208" i="3"/>
  <c r="C208" i="3"/>
  <c r="D208" i="3"/>
  <c r="E208" i="3"/>
  <c r="A209" i="3"/>
  <c r="B209" i="3"/>
  <c r="C209" i="3"/>
  <c r="D209" i="3"/>
  <c r="E209" i="3"/>
  <c r="A210" i="3"/>
  <c r="B210" i="3"/>
  <c r="C210" i="3"/>
  <c r="D210" i="3"/>
  <c r="E210" i="3"/>
  <c r="G210" i="3" s="1"/>
  <c r="A211" i="3"/>
  <c r="B211" i="3"/>
  <c r="C211" i="3"/>
  <c r="D211" i="3"/>
  <c r="E211" i="3"/>
  <c r="A212" i="3"/>
  <c r="B212" i="3"/>
  <c r="C212" i="3"/>
  <c r="D212" i="3"/>
  <c r="E212" i="3"/>
  <c r="A213" i="3"/>
  <c r="B213" i="3"/>
  <c r="C213" i="3"/>
  <c r="D213" i="3"/>
  <c r="E213" i="3"/>
  <c r="A214" i="3"/>
  <c r="B214" i="3"/>
  <c r="C214" i="3"/>
  <c r="D214" i="3"/>
  <c r="E214" i="3"/>
  <c r="A215" i="3"/>
  <c r="B215" i="3"/>
  <c r="C215" i="3"/>
  <c r="D215" i="3"/>
  <c r="E215" i="3"/>
  <c r="A216" i="3"/>
  <c r="B216" i="3"/>
  <c r="C216" i="3"/>
  <c r="D216" i="3"/>
  <c r="E216" i="3"/>
  <c r="A217" i="3"/>
  <c r="B217" i="3"/>
  <c r="C217" i="3"/>
  <c r="D217" i="3"/>
  <c r="E217" i="3"/>
  <c r="A218" i="3"/>
  <c r="B218" i="3"/>
  <c r="C218" i="3"/>
  <c r="D218" i="3"/>
  <c r="E218" i="3"/>
  <c r="A219" i="3"/>
  <c r="B219" i="3"/>
  <c r="C219" i="3"/>
  <c r="D219" i="3"/>
  <c r="E219" i="3"/>
  <c r="A220" i="3"/>
  <c r="B220" i="3"/>
  <c r="C220" i="3"/>
  <c r="F220" i="3" s="1"/>
  <c r="D220" i="3"/>
  <c r="E220" i="3"/>
  <c r="A221" i="3"/>
  <c r="B221" i="3"/>
  <c r="C221" i="3"/>
  <c r="D221" i="3"/>
  <c r="E221" i="3"/>
  <c r="A222" i="3"/>
  <c r="B222" i="3"/>
  <c r="C222" i="3"/>
  <c r="D222" i="3"/>
  <c r="E222" i="3"/>
  <c r="G222" i="3" s="1"/>
  <c r="A223" i="3"/>
  <c r="B223" i="3"/>
  <c r="C223" i="3"/>
  <c r="D223" i="3"/>
  <c r="E223" i="3"/>
  <c r="A224" i="3"/>
  <c r="B224" i="3"/>
  <c r="C224" i="3"/>
  <c r="D224" i="3"/>
  <c r="E224" i="3"/>
  <c r="A225" i="3"/>
  <c r="B225" i="3"/>
  <c r="C225" i="3"/>
  <c r="D225" i="3"/>
  <c r="E225" i="3"/>
  <c r="A226" i="3"/>
  <c r="B226" i="3"/>
  <c r="C226" i="3"/>
  <c r="D226" i="3"/>
  <c r="E226" i="3"/>
  <c r="A227" i="3"/>
  <c r="B227" i="3"/>
  <c r="C227" i="3"/>
  <c r="D227" i="3"/>
  <c r="E227" i="3"/>
  <c r="A228" i="3"/>
  <c r="B228" i="3"/>
  <c r="C228" i="3"/>
  <c r="D228" i="3"/>
  <c r="E228" i="3"/>
  <c r="A229" i="3"/>
  <c r="B229" i="3"/>
  <c r="C229" i="3"/>
  <c r="D229" i="3"/>
  <c r="E229" i="3"/>
  <c r="A230" i="3"/>
  <c r="B230" i="3"/>
  <c r="C230" i="3"/>
  <c r="D230" i="3"/>
  <c r="E230" i="3"/>
  <c r="A231" i="3"/>
  <c r="B231" i="3"/>
  <c r="C231" i="3"/>
  <c r="D231" i="3"/>
  <c r="E231" i="3"/>
  <c r="A232" i="3"/>
  <c r="B232" i="3"/>
  <c r="C232" i="3"/>
  <c r="F232" i="3" s="1"/>
  <c r="D232" i="3"/>
  <c r="E232" i="3"/>
  <c r="A233" i="3"/>
  <c r="B233" i="3"/>
  <c r="C233" i="3"/>
  <c r="D233" i="3"/>
  <c r="E233" i="3"/>
  <c r="A234" i="3"/>
  <c r="B234" i="3"/>
  <c r="C234" i="3"/>
  <c r="D234" i="3"/>
  <c r="E234" i="3"/>
  <c r="G234" i="3" s="1"/>
  <c r="A235" i="3"/>
  <c r="B235" i="3"/>
  <c r="C235" i="3"/>
  <c r="D235" i="3"/>
  <c r="E235" i="3"/>
  <c r="A236" i="3"/>
  <c r="B236" i="3"/>
  <c r="C236" i="3"/>
  <c r="D236" i="3"/>
  <c r="E236" i="3"/>
  <c r="A237" i="3"/>
  <c r="B237" i="3"/>
  <c r="C237" i="3"/>
  <c r="D237" i="3"/>
  <c r="E237" i="3"/>
  <c r="A238" i="3"/>
  <c r="B238" i="3"/>
  <c r="C238" i="3"/>
  <c r="D238" i="3"/>
  <c r="E238" i="3"/>
  <c r="A239" i="3"/>
  <c r="B239" i="3"/>
  <c r="C239" i="3"/>
  <c r="D239" i="3"/>
  <c r="E239" i="3"/>
  <c r="A240" i="3"/>
  <c r="B240" i="3"/>
  <c r="C240" i="3"/>
  <c r="D240" i="3"/>
  <c r="E240" i="3"/>
  <c r="A241" i="3"/>
  <c r="B241" i="3"/>
  <c r="C241" i="3"/>
  <c r="D241" i="3"/>
  <c r="E241" i="3"/>
  <c r="A242" i="3"/>
  <c r="B242" i="3"/>
  <c r="C242" i="3"/>
  <c r="D242" i="3"/>
  <c r="E242" i="3"/>
  <c r="A243" i="3"/>
  <c r="B243" i="3"/>
  <c r="C243" i="3"/>
  <c r="D243" i="3"/>
  <c r="E243" i="3"/>
  <c r="A244" i="3"/>
  <c r="B244" i="3"/>
  <c r="C244" i="3"/>
  <c r="D244" i="3"/>
  <c r="E244" i="3"/>
  <c r="A245" i="3"/>
  <c r="B245" i="3"/>
  <c r="C245" i="3"/>
  <c r="D245" i="3"/>
  <c r="E245" i="3"/>
  <c r="A246" i="3"/>
  <c r="B246" i="3"/>
  <c r="C246" i="3"/>
  <c r="D246" i="3"/>
  <c r="E246" i="3"/>
  <c r="G246" i="3" s="1"/>
  <c r="A247" i="3"/>
  <c r="B247" i="3"/>
  <c r="C247" i="3"/>
  <c r="D247" i="3"/>
  <c r="E247" i="3"/>
  <c r="A248" i="3"/>
  <c r="B248" i="3"/>
  <c r="C248" i="3"/>
  <c r="D248" i="3"/>
  <c r="E248" i="3"/>
  <c r="A249" i="3"/>
  <c r="B249" i="3"/>
  <c r="C249" i="3"/>
  <c r="D249" i="3"/>
  <c r="E249" i="3"/>
  <c r="A250" i="3"/>
  <c r="B250" i="3"/>
  <c r="C250" i="3"/>
  <c r="D250" i="3"/>
  <c r="E250" i="3"/>
  <c r="A251" i="3"/>
  <c r="B251" i="3"/>
  <c r="C251" i="3"/>
  <c r="D251" i="3"/>
  <c r="E251" i="3"/>
  <c r="A252" i="3"/>
  <c r="B252" i="3"/>
  <c r="C252" i="3"/>
  <c r="D252" i="3"/>
  <c r="E252" i="3"/>
  <c r="A253" i="3"/>
  <c r="B253" i="3"/>
  <c r="C253" i="3"/>
  <c r="D253" i="3"/>
  <c r="E253" i="3"/>
  <c r="A254" i="3"/>
  <c r="B254" i="3"/>
  <c r="C254" i="3"/>
  <c r="D254" i="3"/>
  <c r="E254" i="3"/>
  <c r="A255" i="3"/>
  <c r="B255" i="3"/>
  <c r="C255" i="3"/>
  <c r="D255" i="3"/>
  <c r="E255" i="3"/>
  <c r="A256" i="3"/>
  <c r="B256" i="3"/>
  <c r="C256" i="3"/>
  <c r="D256" i="3"/>
  <c r="E256" i="3"/>
  <c r="A257" i="3"/>
  <c r="B257" i="3"/>
  <c r="C257" i="3"/>
  <c r="D257" i="3"/>
  <c r="E257" i="3"/>
  <c r="A258" i="3"/>
  <c r="B258" i="3"/>
  <c r="C258" i="3"/>
  <c r="D258" i="3"/>
  <c r="E258" i="3"/>
  <c r="G258" i="3" s="1"/>
  <c r="A259" i="3"/>
  <c r="B259" i="3"/>
  <c r="C259" i="3"/>
  <c r="D259" i="3"/>
  <c r="E259" i="3"/>
  <c r="A260" i="3"/>
  <c r="B260" i="3"/>
  <c r="C260" i="3"/>
  <c r="D260" i="3"/>
  <c r="E260" i="3"/>
  <c r="A261" i="3"/>
  <c r="B261" i="3"/>
  <c r="C261" i="3"/>
  <c r="D261" i="3"/>
  <c r="E261" i="3"/>
  <c r="A262" i="3"/>
  <c r="B262" i="3"/>
  <c r="C262" i="3"/>
  <c r="D262" i="3"/>
  <c r="E262" i="3"/>
  <c r="A263" i="3"/>
  <c r="B263" i="3"/>
  <c r="C263" i="3"/>
  <c r="D263" i="3"/>
  <c r="E263" i="3"/>
  <c r="A264" i="3"/>
  <c r="B264" i="3"/>
  <c r="C264" i="3"/>
  <c r="D264" i="3"/>
  <c r="E264" i="3"/>
  <c r="A265" i="3"/>
  <c r="B265" i="3"/>
  <c r="C265" i="3"/>
  <c r="D265" i="3"/>
  <c r="E265" i="3"/>
  <c r="A266" i="3"/>
  <c r="B266" i="3"/>
  <c r="C266" i="3"/>
  <c r="D266" i="3"/>
  <c r="E266" i="3"/>
  <c r="A267" i="3"/>
  <c r="B267" i="3"/>
  <c r="C267" i="3"/>
  <c r="D267" i="3"/>
  <c r="E267" i="3"/>
  <c r="A268" i="3"/>
  <c r="B268" i="3"/>
  <c r="C268" i="3"/>
  <c r="F268" i="3" s="1"/>
  <c r="D268" i="3"/>
  <c r="E268" i="3"/>
  <c r="A269" i="3"/>
  <c r="B269" i="3"/>
  <c r="C269" i="3"/>
  <c r="D269" i="3"/>
  <c r="E269" i="3"/>
  <c r="A270" i="3"/>
  <c r="B270" i="3"/>
  <c r="C270" i="3"/>
  <c r="D270" i="3"/>
  <c r="E270" i="3"/>
  <c r="G270" i="3" s="1"/>
  <c r="A271" i="3"/>
  <c r="B271" i="3"/>
  <c r="C271" i="3"/>
  <c r="D271" i="3"/>
  <c r="E271" i="3"/>
  <c r="A272" i="3"/>
  <c r="B272" i="3"/>
  <c r="C272" i="3"/>
  <c r="D272" i="3"/>
  <c r="E272" i="3"/>
  <c r="A273" i="3"/>
  <c r="B273" i="3"/>
  <c r="C273" i="3"/>
  <c r="D273" i="3"/>
  <c r="E273" i="3"/>
  <c r="A274" i="3"/>
  <c r="B274" i="3"/>
  <c r="C274" i="3"/>
  <c r="D274" i="3"/>
  <c r="E274" i="3"/>
  <c r="A275" i="3"/>
  <c r="B275" i="3"/>
  <c r="C275" i="3"/>
  <c r="D275" i="3"/>
  <c r="E275" i="3"/>
  <c r="A276" i="3"/>
  <c r="B276" i="3"/>
  <c r="C276" i="3"/>
  <c r="D276" i="3"/>
  <c r="E276" i="3"/>
  <c r="A277" i="3"/>
  <c r="B277" i="3"/>
  <c r="C277" i="3"/>
  <c r="D277" i="3"/>
  <c r="E277" i="3"/>
  <c r="A278" i="3"/>
  <c r="B278" i="3"/>
  <c r="C278" i="3"/>
  <c r="D278" i="3"/>
  <c r="E278" i="3"/>
  <c r="A279" i="3"/>
  <c r="B279" i="3"/>
  <c r="C279" i="3"/>
  <c r="D279" i="3"/>
  <c r="E279" i="3"/>
  <c r="A280" i="3"/>
  <c r="B280" i="3"/>
  <c r="C280" i="3"/>
  <c r="F280" i="3" s="1"/>
  <c r="D280" i="3"/>
  <c r="E280" i="3"/>
  <c r="A281" i="3"/>
  <c r="B281" i="3"/>
  <c r="C281" i="3"/>
  <c r="D281" i="3"/>
  <c r="E281" i="3"/>
  <c r="A282" i="3"/>
  <c r="B282" i="3"/>
  <c r="C282" i="3"/>
  <c r="D282" i="3"/>
  <c r="E282" i="3"/>
  <c r="G282" i="3" s="1"/>
  <c r="A283" i="3"/>
  <c r="B283" i="3"/>
  <c r="C283" i="3"/>
  <c r="D283" i="3"/>
  <c r="E283" i="3"/>
  <c r="A284" i="3"/>
  <c r="B284" i="3"/>
  <c r="C284" i="3"/>
  <c r="D284" i="3"/>
  <c r="E284" i="3"/>
  <c r="A285" i="3"/>
  <c r="B285" i="3"/>
  <c r="C285" i="3"/>
  <c r="D285" i="3"/>
  <c r="E285" i="3"/>
  <c r="A286" i="3"/>
  <c r="B286" i="3"/>
  <c r="C286" i="3"/>
  <c r="D286" i="3"/>
  <c r="E286" i="3"/>
  <c r="A287" i="3"/>
  <c r="B287" i="3"/>
  <c r="C287" i="3"/>
  <c r="D287" i="3"/>
  <c r="E287" i="3"/>
  <c r="A288" i="3"/>
  <c r="B288" i="3"/>
  <c r="C288" i="3"/>
  <c r="D288" i="3"/>
  <c r="E288" i="3"/>
  <c r="A289" i="3"/>
  <c r="B289" i="3"/>
  <c r="C289" i="3"/>
  <c r="D289" i="3"/>
  <c r="E289" i="3"/>
  <c r="A290" i="3"/>
  <c r="B290" i="3"/>
  <c r="C290" i="3"/>
  <c r="D290" i="3"/>
  <c r="E290" i="3"/>
  <c r="A291" i="3"/>
  <c r="B291" i="3"/>
  <c r="C291" i="3"/>
  <c r="D291" i="3"/>
  <c r="E291" i="3"/>
  <c r="A292" i="3"/>
  <c r="B292" i="3"/>
  <c r="C292" i="3"/>
  <c r="F292" i="3" s="1"/>
  <c r="D292" i="3"/>
  <c r="E292" i="3"/>
  <c r="A293" i="3"/>
  <c r="B293" i="3"/>
  <c r="C293" i="3"/>
  <c r="D293" i="3"/>
  <c r="E293" i="3"/>
  <c r="A294" i="3"/>
  <c r="B294" i="3"/>
  <c r="C294" i="3"/>
  <c r="D294" i="3"/>
  <c r="E294" i="3"/>
  <c r="G294" i="3" s="1"/>
  <c r="A295" i="3"/>
  <c r="B295" i="3"/>
  <c r="C295" i="3"/>
  <c r="D295" i="3"/>
  <c r="E295" i="3"/>
  <c r="A296" i="3"/>
  <c r="B296" i="3"/>
  <c r="C296" i="3"/>
  <c r="D296" i="3"/>
  <c r="E296" i="3"/>
  <c r="A297" i="3"/>
  <c r="B297" i="3"/>
  <c r="C297" i="3"/>
  <c r="D297" i="3"/>
  <c r="E297" i="3"/>
  <c r="A298" i="3"/>
  <c r="B298" i="3"/>
  <c r="C298" i="3"/>
  <c r="D298" i="3"/>
  <c r="E298" i="3"/>
  <c r="A299" i="3"/>
  <c r="B299" i="3"/>
  <c r="C299" i="3"/>
  <c r="D299" i="3"/>
  <c r="E299" i="3"/>
  <c r="A300" i="3"/>
  <c r="B300" i="3"/>
  <c r="C300" i="3"/>
  <c r="D300" i="3"/>
  <c r="E300" i="3"/>
  <c r="A301" i="3"/>
  <c r="B301" i="3"/>
  <c r="C301" i="3"/>
  <c r="D301" i="3"/>
  <c r="E301" i="3"/>
  <c r="A302" i="3"/>
  <c r="B302" i="3"/>
  <c r="C302" i="3"/>
  <c r="D302" i="3"/>
  <c r="E302" i="3"/>
  <c r="A303" i="3"/>
  <c r="B303" i="3"/>
  <c r="C303" i="3"/>
  <c r="D303" i="3"/>
  <c r="E303" i="3"/>
  <c r="A304" i="3"/>
  <c r="B304" i="3"/>
  <c r="C304" i="3"/>
  <c r="F304" i="3" s="1"/>
  <c r="D304" i="3"/>
  <c r="E304" i="3"/>
  <c r="A305" i="3"/>
  <c r="B305" i="3"/>
  <c r="C305" i="3"/>
  <c r="D305" i="3"/>
  <c r="E305" i="3"/>
  <c r="A306" i="3"/>
  <c r="B306" i="3"/>
  <c r="C306" i="3"/>
  <c r="D306" i="3"/>
  <c r="E306" i="3"/>
  <c r="G306" i="3" s="1"/>
  <c r="A307" i="3"/>
  <c r="B307" i="3"/>
  <c r="C307" i="3"/>
  <c r="D307" i="3"/>
  <c r="E307" i="3"/>
  <c r="A308" i="3"/>
  <c r="B308" i="3"/>
  <c r="C308" i="3"/>
  <c r="D308" i="3"/>
  <c r="E308" i="3"/>
  <c r="A309" i="3"/>
  <c r="B309" i="3"/>
  <c r="C309" i="3"/>
  <c r="D309" i="3"/>
  <c r="E309" i="3"/>
  <c r="A310" i="3"/>
  <c r="B310" i="3"/>
  <c r="C310" i="3"/>
  <c r="D310" i="3"/>
  <c r="E310" i="3"/>
  <c r="A311" i="3"/>
  <c r="B311" i="3"/>
  <c r="C311" i="3"/>
  <c r="D311" i="3"/>
  <c r="E311" i="3"/>
  <c r="A312" i="3"/>
  <c r="B312" i="3"/>
  <c r="C312" i="3"/>
  <c r="D312" i="3"/>
  <c r="E312" i="3"/>
  <c r="A313" i="3"/>
  <c r="B313" i="3"/>
  <c r="C313" i="3"/>
  <c r="D313" i="3"/>
  <c r="E313" i="3"/>
  <c r="A314" i="3"/>
  <c r="B314" i="3"/>
  <c r="C314" i="3"/>
  <c r="D314" i="3"/>
  <c r="E314" i="3"/>
  <c r="A315" i="3"/>
  <c r="B315" i="3"/>
  <c r="C315" i="3"/>
  <c r="D315" i="3"/>
  <c r="E315" i="3"/>
  <c r="A316" i="3"/>
  <c r="B316" i="3"/>
  <c r="C316" i="3"/>
  <c r="F316" i="3" s="1"/>
  <c r="D316" i="3"/>
  <c r="E316" i="3"/>
  <c r="A317" i="3"/>
  <c r="B317" i="3"/>
  <c r="C317" i="3"/>
  <c r="D317" i="3"/>
  <c r="E317" i="3"/>
  <c r="A318" i="3"/>
  <c r="B318" i="3"/>
  <c r="C318" i="3"/>
  <c r="D318" i="3"/>
  <c r="E318" i="3"/>
  <c r="G318" i="3" s="1"/>
  <c r="A319" i="3"/>
  <c r="B319" i="3"/>
  <c r="C319" i="3"/>
  <c r="D319" i="3"/>
  <c r="E319" i="3"/>
  <c r="A320" i="3"/>
  <c r="B320" i="3"/>
  <c r="C320" i="3"/>
  <c r="D320" i="3"/>
  <c r="E320" i="3"/>
  <c r="A321" i="3"/>
  <c r="B321" i="3"/>
  <c r="C321" i="3"/>
  <c r="D321" i="3"/>
  <c r="E321" i="3"/>
  <c r="A322" i="3"/>
  <c r="B322" i="3"/>
  <c r="C322" i="3"/>
  <c r="D322" i="3"/>
  <c r="E322" i="3"/>
  <c r="A323" i="3"/>
  <c r="B323" i="3"/>
  <c r="C323" i="3"/>
  <c r="D323" i="3"/>
  <c r="E323" i="3"/>
  <c r="A324" i="3"/>
  <c r="B324" i="3"/>
  <c r="C324" i="3"/>
  <c r="D324" i="3"/>
  <c r="E324" i="3"/>
  <c r="A325" i="3"/>
  <c r="B325" i="3"/>
  <c r="C325" i="3"/>
  <c r="D325" i="3"/>
  <c r="E325" i="3"/>
  <c r="A326" i="3"/>
  <c r="B326" i="3"/>
  <c r="C326" i="3"/>
  <c r="D326" i="3"/>
  <c r="E326" i="3"/>
  <c r="A327" i="3"/>
  <c r="B327" i="3"/>
  <c r="C327" i="3"/>
  <c r="D327" i="3"/>
  <c r="E327" i="3"/>
  <c r="A328" i="3"/>
  <c r="B328" i="3"/>
  <c r="C328" i="3"/>
  <c r="F328" i="3" s="1"/>
  <c r="D328" i="3"/>
  <c r="E328" i="3"/>
  <c r="A329" i="3"/>
  <c r="B329" i="3"/>
  <c r="C329" i="3"/>
  <c r="D329" i="3"/>
  <c r="E329" i="3"/>
  <c r="A330" i="3"/>
  <c r="B330" i="3"/>
  <c r="C330" i="3"/>
  <c r="D330" i="3"/>
  <c r="E330" i="3"/>
  <c r="G330" i="3" s="1"/>
  <c r="A331" i="3"/>
  <c r="B331" i="3"/>
  <c r="C331" i="3"/>
  <c r="D331" i="3"/>
  <c r="E331" i="3"/>
  <c r="A332" i="3"/>
  <c r="B332" i="3"/>
  <c r="C332" i="3"/>
  <c r="D332" i="3"/>
  <c r="E332" i="3"/>
  <c r="A333" i="3"/>
  <c r="B333" i="3"/>
  <c r="C333" i="3"/>
  <c r="D333" i="3"/>
  <c r="E333" i="3"/>
  <c r="A334" i="3"/>
  <c r="B334" i="3"/>
  <c r="C334" i="3"/>
  <c r="D334" i="3"/>
  <c r="E334" i="3"/>
  <c r="A335" i="3"/>
  <c r="B335" i="3"/>
  <c r="C335" i="3"/>
  <c r="D335" i="3"/>
  <c r="E335" i="3"/>
  <c r="A336" i="3"/>
  <c r="B336" i="3"/>
  <c r="C336" i="3"/>
  <c r="D336" i="3"/>
  <c r="E336" i="3"/>
  <c r="A337" i="3"/>
  <c r="B337" i="3"/>
  <c r="C337" i="3"/>
  <c r="D337" i="3"/>
  <c r="E337" i="3"/>
  <c r="A338" i="3"/>
  <c r="B338" i="3"/>
  <c r="C338" i="3"/>
  <c r="D338" i="3"/>
  <c r="E338" i="3"/>
  <c r="A339" i="3"/>
  <c r="B339" i="3"/>
  <c r="C339" i="3"/>
  <c r="D339" i="3"/>
  <c r="E339" i="3"/>
  <c r="A340" i="3"/>
  <c r="B340" i="3"/>
  <c r="C340" i="3"/>
  <c r="F340" i="3" s="1"/>
  <c r="D340" i="3"/>
  <c r="E340" i="3"/>
  <c r="A341" i="3"/>
  <c r="B341" i="3"/>
  <c r="C341" i="3"/>
  <c r="D341" i="3"/>
  <c r="E341" i="3"/>
  <c r="A342" i="3"/>
  <c r="B342" i="3"/>
  <c r="C342" i="3"/>
  <c r="D342" i="3"/>
  <c r="E342" i="3"/>
  <c r="G342" i="3" s="1"/>
  <c r="A343" i="3"/>
  <c r="B343" i="3"/>
  <c r="C343" i="3"/>
  <c r="D343" i="3"/>
  <c r="E343" i="3"/>
  <c r="A344" i="3"/>
  <c r="B344" i="3"/>
  <c r="C344" i="3"/>
  <c r="D344" i="3"/>
  <c r="E344" i="3"/>
  <c r="A345" i="3"/>
  <c r="B345" i="3"/>
  <c r="C345" i="3"/>
  <c r="D345" i="3"/>
  <c r="E345" i="3"/>
  <c r="A346" i="3"/>
  <c r="B346" i="3"/>
  <c r="C346" i="3"/>
  <c r="D346" i="3"/>
  <c r="E346" i="3"/>
  <c r="A347" i="3"/>
  <c r="B347" i="3"/>
  <c r="C347" i="3"/>
  <c r="D347" i="3"/>
  <c r="E347" i="3"/>
  <c r="A348" i="3"/>
  <c r="B348" i="3"/>
  <c r="C348" i="3"/>
  <c r="D348" i="3"/>
  <c r="E348" i="3"/>
  <c r="A349" i="3"/>
  <c r="B349" i="3"/>
  <c r="C349" i="3"/>
  <c r="D349" i="3"/>
  <c r="E349" i="3"/>
  <c r="A350" i="3"/>
  <c r="B350" i="3"/>
  <c r="C350" i="3"/>
  <c r="D350" i="3"/>
  <c r="E350" i="3"/>
  <c r="A351" i="3"/>
  <c r="B351" i="3"/>
  <c r="C351" i="3"/>
  <c r="D351" i="3"/>
  <c r="E351" i="3"/>
  <c r="A352" i="3"/>
  <c r="B352" i="3"/>
  <c r="C352" i="3"/>
  <c r="D352" i="3"/>
  <c r="E352" i="3"/>
  <c r="A353" i="3"/>
  <c r="B353" i="3"/>
  <c r="C353" i="3"/>
  <c r="D353" i="3"/>
  <c r="E353" i="3"/>
  <c r="A354" i="3"/>
  <c r="B354" i="3"/>
  <c r="C354" i="3"/>
  <c r="D354" i="3"/>
  <c r="E354" i="3"/>
  <c r="G354" i="3" s="1"/>
  <c r="A355" i="3"/>
  <c r="B355" i="3"/>
  <c r="C355" i="3"/>
  <c r="D355" i="3"/>
  <c r="E355" i="3"/>
  <c r="A356" i="3"/>
  <c r="B356" i="3"/>
  <c r="C356" i="3"/>
  <c r="D356" i="3"/>
  <c r="E356" i="3"/>
  <c r="A357" i="3"/>
  <c r="B357" i="3"/>
  <c r="C357" i="3"/>
  <c r="D357" i="3"/>
  <c r="E357" i="3"/>
  <c r="A358" i="3"/>
  <c r="B358" i="3"/>
  <c r="C358" i="3"/>
  <c r="D358" i="3"/>
  <c r="E358" i="3"/>
  <c r="A359" i="3"/>
  <c r="B359" i="3"/>
  <c r="C359" i="3"/>
  <c r="D359" i="3"/>
  <c r="E359" i="3"/>
  <c r="A360" i="3"/>
  <c r="B360" i="3"/>
  <c r="C360" i="3"/>
  <c r="D360" i="3"/>
  <c r="E360" i="3"/>
  <c r="A361" i="3"/>
  <c r="B361" i="3"/>
  <c r="C361" i="3"/>
  <c r="D361" i="3"/>
  <c r="E361" i="3"/>
  <c r="A362" i="3"/>
  <c r="B362" i="3"/>
  <c r="C362" i="3"/>
  <c r="D362" i="3"/>
  <c r="E362" i="3"/>
  <c r="A363" i="3"/>
  <c r="B363" i="3"/>
  <c r="C363" i="3"/>
  <c r="D363" i="3"/>
  <c r="E363" i="3"/>
  <c r="A364" i="3"/>
  <c r="B364" i="3"/>
  <c r="C364" i="3"/>
  <c r="F364" i="3" s="1"/>
  <c r="D364" i="3"/>
  <c r="E364" i="3"/>
  <c r="A365" i="3"/>
  <c r="B365" i="3"/>
  <c r="C365" i="3"/>
  <c r="D365" i="3"/>
  <c r="E365" i="3"/>
  <c r="A366" i="3"/>
  <c r="B366" i="3"/>
  <c r="C366" i="3"/>
  <c r="D366" i="3"/>
  <c r="E366" i="3"/>
  <c r="G366" i="3" s="1"/>
  <c r="A367" i="3"/>
  <c r="B367" i="3"/>
  <c r="C367" i="3"/>
  <c r="D367" i="3"/>
  <c r="E367" i="3"/>
  <c r="A368" i="3"/>
  <c r="B368" i="3"/>
  <c r="C368" i="3"/>
  <c r="D368" i="3"/>
  <c r="E368" i="3"/>
  <c r="A369" i="3"/>
  <c r="B369" i="3"/>
  <c r="C369" i="3"/>
  <c r="D369" i="3"/>
  <c r="E369" i="3"/>
  <c r="A370" i="3"/>
  <c r="B370" i="3"/>
  <c r="C370" i="3"/>
  <c r="D370" i="3"/>
  <c r="E370" i="3"/>
  <c r="A371" i="3"/>
  <c r="B371" i="3"/>
  <c r="C371" i="3"/>
  <c r="D371" i="3"/>
  <c r="E371" i="3"/>
  <c r="A372" i="3"/>
  <c r="B372" i="3"/>
  <c r="C372" i="3"/>
  <c r="D372" i="3"/>
  <c r="E372" i="3"/>
  <c r="A373" i="3"/>
  <c r="B373" i="3"/>
  <c r="C373" i="3"/>
  <c r="D373" i="3"/>
  <c r="E373" i="3"/>
  <c r="A374" i="3"/>
  <c r="B374" i="3"/>
  <c r="C374" i="3"/>
  <c r="D374" i="3"/>
  <c r="E374" i="3"/>
  <c r="A375" i="3"/>
  <c r="B375" i="3"/>
  <c r="C375" i="3"/>
  <c r="D375" i="3"/>
  <c r="E375" i="3"/>
  <c r="A376" i="3"/>
  <c r="B376" i="3"/>
  <c r="C376" i="3"/>
  <c r="F376" i="3" s="1"/>
  <c r="D376" i="3"/>
  <c r="E376" i="3"/>
  <c r="A377" i="3"/>
  <c r="B377" i="3"/>
  <c r="C377" i="3"/>
  <c r="D377" i="3"/>
  <c r="E377" i="3"/>
  <c r="A378" i="3"/>
  <c r="B378" i="3"/>
  <c r="C378" i="3"/>
  <c r="D378" i="3"/>
  <c r="E378" i="3"/>
  <c r="G378" i="3" s="1"/>
  <c r="A379" i="3"/>
  <c r="B379" i="3"/>
  <c r="C379" i="3"/>
  <c r="D379" i="3"/>
  <c r="E379" i="3"/>
  <c r="A380" i="3"/>
  <c r="B380" i="3"/>
  <c r="C380" i="3"/>
  <c r="D380" i="3"/>
  <c r="E380" i="3"/>
  <c r="A381" i="3"/>
  <c r="B381" i="3"/>
  <c r="C381" i="3"/>
  <c r="D381" i="3"/>
  <c r="E381" i="3"/>
  <c r="A382" i="3"/>
  <c r="B382" i="3"/>
  <c r="C382" i="3"/>
  <c r="D382" i="3"/>
  <c r="E382" i="3"/>
  <c r="A383" i="3"/>
  <c r="B383" i="3"/>
  <c r="C383" i="3"/>
  <c r="D383" i="3"/>
  <c r="E383" i="3"/>
  <c r="A384" i="3"/>
  <c r="B384" i="3"/>
  <c r="C384" i="3"/>
  <c r="D384" i="3"/>
  <c r="E384" i="3"/>
  <c r="A385" i="3"/>
  <c r="B385" i="3"/>
  <c r="C385" i="3"/>
  <c r="D385" i="3"/>
  <c r="E385" i="3"/>
  <c r="A386" i="3"/>
  <c r="B386" i="3"/>
  <c r="C386" i="3"/>
  <c r="D386" i="3"/>
  <c r="E386" i="3"/>
  <c r="A387" i="3"/>
  <c r="B387" i="3"/>
  <c r="C387" i="3"/>
  <c r="D387" i="3"/>
  <c r="E387" i="3"/>
  <c r="A388" i="3"/>
  <c r="B388" i="3"/>
  <c r="C388" i="3"/>
  <c r="D388" i="3"/>
  <c r="E388" i="3"/>
  <c r="A389" i="3"/>
  <c r="B389" i="3"/>
  <c r="C389" i="3"/>
  <c r="D389" i="3"/>
  <c r="E389" i="3"/>
  <c r="A390" i="3"/>
  <c r="B390" i="3"/>
  <c r="C390" i="3"/>
  <c r="D390" i="3"/>
  <c r="E390" i="3"/>
  <c r="G390" i="3" s="1"/>
  <c r="A391" i="3"/>
  <c r="B391" i="3"/>
  <c r="C391" i="3"/>
  <c r="D391" i="3"/>
  <c r="E391" i="3"/>
  <c r="A392" i="3"/>
  <c r="B392" i="3"/>
  <c r="C392" i="3"/>
  <c r="D392" i="3"/>
  <c r="E392" i="3"/>
  <c r="A393" i="3"/>
  <c r="B393" i="3"/>
  <c r="C393" i="3"/>
  <c r="D393" i="3"/>
  <c r="E393" i="3"/>
  <c r="A394" i="3"/>
  <c r="B394" i="3"/>
  <c r="C394" i="3"/>
  <c r="D394" i="3"/>
  <c r="E394" i="3"/>
  <c r="A395" i="3"/>
  <c r="B395" i="3"/>
  <c r="C395" i="3"/>
  <c r="D395" i="3"/>
  <c r="E395" i="3"/>
  <c r="A396" i="3"/>
  <c r="B396" i="3"/>
  <c r="C396" i="3"/>
  <c r="D396" i="3"/>
  <c r="E396" i="3"/>
  <c r="A397" i="3"/>
  <c r="B397" i="3"/>
  <c r="C397" i="3"/>
  <c r="D397" i="3"/>
  <c r="E397" i="3"/>
  <c r="A398" i="3"/>
  <c r="B398" i="3"/>
  <c r="C398" i="3"/>
  <c r="D398" i="3"/>
  <c r="E398" i="3"/>
  <c r="A399" i="3"/>
  <c r="B399" i="3"/>
  <c r="C399" i="3"/>
  <c r="D399" i="3"/>
  <c r="E399" i="3"/>
  <c r="A400" i="3"/>
  <c r="B400" i="3"/>
  <c r="C400" i="3"/>
  <c r="F400" i="3" s="1"/>
  <c r="D400" i="3"/>
  <c r="E400" i="3"/>
  <c r="A401" i="3"/>
  <c r="B401" i="3"/>
  <c r="C401" i="3"/>
  <c r="D401" i="3"/>
  <c r="E401" i="3"/>
  <c r="A402" i="3"/>
  <c r="B402" i="3"/>
  <c r="C402" i="3"/>
  <c r="D402" i="3"/>
  <c r="E402" i="3"/>
  <c r="G402" i="3" s="1"/>
  <c r="A403" i="3"/>
  <c r="B403" i="3"/>
  <c r="C403" i="3"/>
  <c r="D403" i="3"/>
  <c r="E403" i="3"/>
  <c r="A404" i="3"/>
  <c r="B404" i="3"/>
  <c r="C404" i="3"/>
  <c r="D404" i="3"/>
  <c r="E404" i="3"/>
  <c r="A405" i="3"/>
  <c r="B405" i="3"/>
  <c r="C405" i="3"/>
  <c r="D405" i="3"/>
  <c r="E405" i="3"/>
  <c r="A406" i="3"/>
  <c r="B406" i="3"/>
  <c r="C406" i="3"/>
  <c r="D406" i="3"/>
  <c r="E406" i="3"/>
  <c r="A407" i="3"/>
  <c r="B407" i="3"/>
  <c r="C407" i="3"/>
  <c r="D407" i="3"/>
  <c r="E407" i="3"/>
  <c r="A408" i="3"/>
  <c r="B408" i="3"/>
  <c r="C408" i="3"/>
  <c r="D408" i="3"/>
  <c r="E408" i="3"/>
  <c r="A409" i="3"/>
  <c r="B409" i="3"/>
  <c r="C409" i="3"/>
  <c r="D409" i="3"/>
  <c r="E409" i="3"/>
  <c r="A410" i="3"/>
  <c r="B410" i="3"/>
  <c r="C410" i="3"/>
  <c r="D410" i="3"/>
  <c r="E410" i="3"/>
  <c r="A411" i="3"/>
  <c r="B411" i="3"/>
  <c r="C411" i="3"/>
  <c r="D411" i="3"/>
  <c r="E411" i="3"/>
  <c r="A412" i="3"/>
  <c r="B412" i="3"/>
  <c r="C412" i="3"/>
  <c r="D412" i="3"/>
  <c r="E412" i="3"/>
  <c r="A413" i="3"/>
  <c r="B413" i="3"/>
  <c r="C413" i="3"/>
  <c r="D413" i="3"/>
  <c r="E413" i="3"/>
  <c r="A414" i="3"/>
  <c r="B414" i="3"/>
  <c r="C414" i="3"/>
  <c r="D414" i="3"/>
  <c r="E414" i="3"/>
  <c r="G414" i="3" s="1"/>
  <c r="A415" i="3"/>
  <c r="B415" i="3"/>
  <c r="C415" i="3"/>
  <c r="D415" i="3"/>
  <c r="E415" i="3"/>
  <c r="A416" i="3"/>
  <c r="B416" i="3"/>
  <c r="C416" i="3"/>
  <c r="D416" i="3"/>
  <c r="E416" i="3"/>
  <c r="A417" i="3"/>
  <c r="B417" i="3"/>
  <c r="C417" i="3"/>
  <c r="D417" i="3"/>
  <c r="E417" i="3"/>
  <c r="A418" i="3"/>
  <c r="B418" i="3"/>
  <c r="C418" i="3"/>
  <c r="D418" i="3"/>
  <c r="E418" i="3"/>
  <c r="A419" i="3"/>
  <c r="B419" i="3"/>
  <c r="C419" i="3"/>
  <c r="D419" i="3"/>
  <c r="E419" i="3"/>
  <c r="A420" i="3"/>
  <c r="B420" i="3"/>
  <c r="C420" i="3"/>
  <c r="D420" i="3"/>
  <c r="E420" i="3"/>
  <c r="A421" i="3"/>
  <c r="B421" i="3"/>
  <c r="C421" i="3"/>
  <c r="D421" i="3"/>
  <c r="E421" i="3"/>
  <c r="A422" i="3"/>
  <c r="B422" i="3"/>
  <c r="C422" i="3"/>
  <c r="D422" i="3"/>
  <c r="E422" i="3"/>
  <c r="A423" i="3"/>
  <c r="B423" i="3"/>
  <c r="C423" i="3"/>
  <c r="D423" i="3"/>
  <c r="E423" i="3"/>
  <c r="A424" i="3"/>
  <c r="B424" i="3"/>
  <c r="C424" i="3"/>
  <c r="F424" i="3" s="1"/>
  <c r="D424" i="3"/>
  <c r="E424" i="3"/>
  <c r="A425" i="3"/>
  <c r="B425" i="3"/>
  <c r="C425" i="3"/>
  <c r="D425" i="3"/>
  <c r="E425" i="3"/>
  <c r="A426" i="3"/>
  <c r="B426" i="3"/>
  <c r="C426" i="3"/>
  <c r="D426" i="3"/>
  <c r="E426" i="3"/>
  <c r="G426" i="3" s="1"/>
  <c r="A427" i="3"/>
  <c r="B427" i="3"/>
  <c r="C427" i="3"/>
  <c r="D427" i="3"/>
  <c r="E427" i="3"/>
  <c r="A428" i="3"/>
  <c r="B428" i="3"/>
  <c r="C428" i="3"/>
  <c r="D428" i="3"/>
  <c r="E428" i="3"/>
  <c r="A429" i="3"/>
  <c r="B429" i="3"/>
  <c r="C429" i="3"/>
  <c r="D429" i="3"/>
  <c r="E429" i="3"/>
  <c r="A430" i="3"/>
  <c r="B430" i="3"/>
  <c r="C430" i="3"/>
  <c r="D430" i="3"/>
  <c r="E430" i="3"/>
  <c r="A431" i="3"/>
  <c r="B431" i="3"/>
  <c r="C431" i="3"/>
  <c r="D431" i="3"/>
  <c r="E431" i="3"/>
  <c r="A432" i="3"/>
  <c r="B432" i="3"/>
  <c r="C432" i="3"/>
  <c r="D432" i="3"/>
  <c r="E432" i="3"/>
  <c r="A433" i="3"/>
  <c r="B433" i="3"/>
  <c r="C433" i="3"/>
  <c r="D433" i="3"/>
  <c r="E433" i="3"/>
  <c r="A434" i="3"/>
  <c r="B434" i="3"/>
  <c r="C434" i="3"/>
  <c r="D434" i="3"/>
  <c r="E434" i="3"/>
  <c r="A435" i="3"/>
  <c r="B435" i="3"/>
  <c r="C435" i="3"/>
  <c r="D435" i="3"/>
  <c r="E435" i="3"/>
  <c r="A436" i="3"/>
  <c r="B436" i="3"/>
  <c r="C436" i="3"/>
  <c r="F436" i="3" s="1"/>
  <c r="D436" i="3"/>
  <c r="E436" i="3"/>
  <c r="A437" i="3"/>
  <c r="B437" i="3"/>
  <c r="C437" i="3"/>
  <c r="D437" i="3"/>
  <c r="E437" i="3"/>
  <c r="A438" i="3"/>
  <c r="B438" i="3"/>
  <c r="C438" i="3"/>
  <c r="D438" i="3"/>
  <c r="E438" i="3"/>
  <c r="G438" i="3" s="1"/>
  <c r="A439" i="3"/>
  <c r="B439" i="3"/>
  <c r="C439" i="3"/>
  <c r="D439" i="3"/>
  <c r="E439" i="3"/>
  <c r="A440" i="3"/>
  <c r="B440" i="3"/>
  <c r="C440" i="3"/>
  <c r="D440" i="3"/>
  <c r="E440" i="3"/>
  <c r="A441" i="3"/>
  <c r="B441" i="3"/>
  <c r="C441" i="3"/>
  <c r="D441" i="3"/>
  <c r="E441" i="3"/>
  <c r="A442" i="3"/>
  <c r="B442" i="3"/>
  <c r="C442" i="3"/>
  <c r="D442" i="3"/>
  <c r="E442" i="3"/>
  <c r="A443" i="3"/>
  <c r="B443" i="3"/>
  <c r="C443" i="3"/>
  <c r="D443" i="3"/>
  <c r="E443" i="3"/>
  <c r="A444" i="3"/>
  <c r="B444" i="3"/>
  <c r="C444" i="3"/>
  <c r="D444" i="3"/>
  <c r="E444" i="3"/>
  <c r="A445" i="3"/>
  <c r="B445" i="3"/>
  <c r="C445" i="3"/>
  <c r="D445" i="3"/>
  <c r="E445" i="3"/>
  <c r="A446" i="3"/>
  <c r="B446" i="3"/>
  <c r="C446" i="3"/>
  <c r="D446" i="3"/>
  <c r="E446" i="3"/>
  <c r="A447" i="3"/>
  <c r="B447" i="3"/>
  <c r="C447" i="3"/>
  <c r="D447" i="3"/>
  <c r="E447" i="3"/>
  <c r="A448" i="3"/>
  <c r="B448" i="3"/>
  <c r="C448" i="3"/>
  <c r="D448" i="3"/>
  <c r="E448" i="3"/>
  <c r="A449" i="3"/>
  <c r="B449" i="3"/>
  <c r="C449" i="3"/>
  <c r="D449" i="3"/>
  <c r="E449" i="3"/>
  <c r="A450" i="3"/>
  <c r="B450" i="3"/>
  <c r="C450" i="3"/>
  <c r="D450" i="3"/>
  <c r="E450" i="3"/>
  <c r="G450" i="3" s="1"/>
  <c r="A451" i="3"/>
  <c r="B451" i="3"/>
  <c r="C451" i="3"/>
  <c r="D451" i="3"/>
  <c r="E451" i="3"/>
  <c r="A452" i="3"/>
  <c r="B452" i="3"/>
  <c r="C452" i="3"/>
  <c r="D452" i="3"/>
  <c r="E452" i="3"/>
  <c r="A453" i="3"/>
  <c r="B453" i="3"/>
  <c r="C453" i="3"/>
  <c r="D453" i="3"/>
  <c r="E453" i="3"/>
  <c r="A454" i="3"/>
  <c r="B454" i="3"/>
  <c r="C454" i="3"/>
  <c r="D454" i="3"/>
  <c r="E454" i="3"/>
  <c r="A455" i="3"/>
  <c r="B455" i="3"/>
  <c r="C455" i="3"/>
  <c r="D455" i="3"/>
  <c r="E455" i="3"/>
  <c r="A456" i="3"/>
  <c r="B456" i="3"/>
  <c r="C456" i="3"/>
  <c r="D456" i="3"/>
  <c r="E456" i="3"/>
  <c r="A457" i="3"/>
  <c r="B457" i="3"/>
  <c r="C457" i="3"/>
  <c r="D457" i="3"/>
  <c r="E457" i="3"/>
  <c r="A458" i="3"/>
  <c r="B458" i="3"/>
  <c r="C458" i="3"/>
  <c r="D458" i="3"/>
  <c r="E458" i="3"/>
  <c r="A459" i="3"/>
  <c r="B459" i="3"/>
  <c r="C459" i="3"/>
  <c r="D459" i="3"/>
  <c r="E459" i="3"/>
  <c r="A460" i="3"/>
  <c r="B460" i="3"/>
  <c r="C460" i="3"/>
  <c r="D460" i="3"/>
  <c r="E460" i="3"/>
  <c r="A461" i="3"/>
  <c r="B461" i="3"/>
  <c r="C461" i="3"/>
  <c r="D461" i="3"/>
  <c r="E461" i="3"/>
  <c r="A462" i="3"/>
  <c r="B462" i="3"/>
  <c r="C462" i="3"/>
  <c r="D462" i="3"/>
  <c r="E462" i="3"/>
  <c r="G462" i="3" s="1"/>
  <c r="A463" i="3"/>
  <c r="B463" i="3"/>
  <c r="C463" i="3"/>
  <c r="D463" i="3"/>
  <c r="E463" i="3"/>
  <c r="A464" i="3"/>
  <c r="B464" i="3"/>
  <c r="C464" i="3"/>
  <c r="D464" i="3"/>
  <c r="E464" i="3"/>
  <c r="A465" i="3"/>
  <c r="B465" i="3"/>
  <c r="C465" i="3"/>
  <c r="D465" i="3"/>
  <c r="E465" i="3"/>
  <c r="A466" i="3"/>
  <c r="B466" i="3"/>
  <c r="C466" i="3"/>
  <c r="D466" i="3"/>
  <c r="E466" i="3"/>
  <c r="A467" i="3"/>
  <c r="B467" i="3"/>
  <c r="C467" i="3"/>
  <c r="D467" i="3"/>
  <c r="E467" i="3"/>
  <c r="A468" i="3"/>
  <c r="B468" i="3"/>
  <c r="C468" i="3"/>
  <c r="D468" i="3"/>
  <c r="E468" i="3"/>
  <c r="A469" i="3"/>
  <c r="B469" i="3"/>
  <c r="C469" i="3"/>
  <c r="D469" i="3"/>
  <c r="E469" i="3"/>
  <c r="A470" i="3"/>
  <c r="B470" i="3"/>
  <c r="C470" i="3"/>
  <c r="D470" i="3"/>
  <c r="E470" i="3"/>
  <c r="A471" i="3"/>
  <c r="B471" i="3"/>
  <c r="C471" i="3"/>
  <c r="D471" i="3"/>
  <c r="E471" i="3"/>
  <c r="A472" i="3"/>
  <c r="B472" i="3"/>
  <c r="C472" i="3"/>
  <c r="F472" i="3" s="1"/>
  <c r="D472" i="3"/>
  <c r="E472" i="3"/>
  <c r="A473" i="3"/>
  <c r="B473" i="3"/>
  <c r="C473" i="3"/>
  <c r="D473" i="3"/>
  <c r="E473" i="3"/>
  <c r="A474" i="3"/>
  <c r="B474" i="3"/>
  <c r="C474" i="3"/>
  <c r="D474" i="3"/>
  <c r="E474" i="3"/>
  <c r="G474" i="3" s="1"/>
  <c r="A475" i="3"/>
  <c r="B475" i="3"/>
  <c r="C475" i="3"/>
  <c r="D475" i="3"/>
  <c r="E475" i="3"/>
  <c r="A476" i="3"/>
  <c r="B476" i="3"/>
  <c r="C476" i="3"/>
  <c r="D476" i="3"/>
  <c r="E476" i="3"/>
  <c r="A477" i="3"/>
  <c r="B477" i="3"/>
  <c r="C477" i="3"/>
  <c r="D477" i="3"/>
  <c r="E477" i="3"/>
  <c r="A478" i="3"/>
  <c r="B478" i="3"/>
  <c r="C478" i="3"/>
  <c r="D478" i="3"/>
  <c r="E478" i="3"/>
  <c r="A479" i="3"/>
  <c r="B479" i="3"/>
  <c r="C479" i="3"/>
  <c r="D479" i="3"/>
  <c r="E479" i="3"/>
  <c r="A480" i="3"/>
  <c r="B480" i="3"/>
  <c r="C480" i="3"/>
  <c r="D480" i="3"/>
  <c r="E480" i="3"/>
  <c r="A481" i="3"/>
  <c r="B481" i="3"/>
  <c r="C481" i="3"/>
  <c r="D481" i="3"/>
  <c r="E481" i="3"/>
  <c r="A482" i="3"/>
  <c r="B482" i="3"/>
  <c r="C482" i="3"/>
  <c r="D482" i="3"/>
  <c r="E482" i="3"/>
  <c r="A483" i="3"/>
  <c r="B483" i="3"/>
  <c r="C483" i="3"/>
  <c r="D483" i="3"/>
  <c r="E483" i="3"/>
  <c r="A484" i="3"/>
  <c r="B484" i="3"/>
  <c r="C484" i="3"/>
  <c r="D484" i="3"/>
  <c r="E484" i="3"/>
  <c r="A485" i="3"/>
  <c r="B485" i="3"/>
  <c r="C485" i="3"/>
  <c r="D485" i="3"/>
  <c r="E485" i="3"/>
  <c r="A486" i="3"/>
  <c r="B486" i="3"/>
  <c r="C486" i="3"/>
  <c r="D486" i="3"/>
  <c r="E486" i="3"/>
  <c r="A487" i="3"/>
  <c r="B487" i="3"/>
  <c r="C487" i="3"/>
  <c r="D487" i="3"/>
  <c r="E487" i="3"/>
  <c r="A488" i="3"/>
  <c r="B488" i="3"/>
  <c r="C488" i="3"/>
  <c r="D488" i="3"/>
  <c r="E488" i="3"/>
  <c r="A489" i="3"/>
  <c r="B489" i="3"/>
  <c r="C489" i="3"/>
  <c r="D489" i="3"/>
  <c r="E489" i="3"/>
  <c r="A490" i="3"/>
  <c r="B490" i="3"/>
  <c r="C490" i="3"/>
  <c r="D490" i="3"/>
  <c r="E490" i="3"/>
  <c r="A491" i="3"/>
  <c r="B491" i="3"/>
  <c r="C491" i="3"/>
  <c r="D491" i="3"/>
  <c r="E491" i="3"/>
  <c r="A492" i="3"/>
  <c r="B492" i="3"/>
  <c r="C492" i="3"/>
  <c r="D492" i="3"/>
  <c r="E492" i="3"/>
  <c r="A493" i="3"/>
  <c r="B493" i="3"/>
  <c r="C493" i="3"/>
  <c r="D493" i="3"/>
  <c r="E493" i="3"/>
  <c r="A494" i="3"/>
  <c r="B494" i="3"/>
  <c r="C494" i="3"/>
  <c r="D494" i="3"/>
  <c r="E494" i="3"/>
  <c r="A495" i="3"/>
  <c r="B495" i="3"/>
  <c r="C495" i="3"/>
  <c r="D495" i="3"/>
  <c r="E495" i="3"/>
  <c r="A496" i="3"/>
  <c r="B496" i="3"/>
  <c r="C496" i="3"/>
  <c r="D496" i="3"/>
  <c r="E496" i="3"/>
  <c r="A497" i="3"/>
  <c r="B497" i="3"/>
  <c r="C497" i="3"/>
  <c r="D497" i="3"/>
  <c r="E497" i="3"/>
  <c r="A498" i="3"/>
  <c r="B498" i="3"/>
  <c r="C498" i="3"/>
  <c r="D498" i="3"/>
  <c r="E498" i="3"/>
  <c r="A499" i="3"/>
  <c r="B499" i="3"/>
  <c r="C499" i="3"/>
  <c r="D499" i="3"/>
  <c r="E499" i="3"/>
  <c r="A500" i="3"/>
  <c r="B500" i="3"/>
  <c r="C500" i="3"/>
  <c r="D500" i="3"/>
  <c r="E500" i="3"/>
  <c r="A501" i="3"/>
  <c r="B501" i="3"/>
  <c r="C501" i="3"/>
  <c r="D501" i="3"/>
  <c r="E501" i="3"/>
  <c r="A502" i="3"/>
  <c r="B502" i="3"/>
  <c r="C502" i="3"/>
  <c r="D502" i="3"/>
  <c r="E502" i="3"/>
  <c r="A503" i="3"/>
  <c r="B503" i="3"/>
  <c r="C503" i="3"/>
  <c r="D503" i="3"/>
  <c r="E503" i="3"/>
  <c r="A504" i="3"/>
  <c r="B504" i="3"/>
  <c r="C504" i="3"/>
  <c r="D504" i="3"/>
  <c r="E504" i="3"/>
  <c r="A505" i="3"/>
  <c r="B505" i="3"/>
  <c r="C505" i="3"/>
  <c r="D505" i="3"/>
  <c r="E505" i="3"/>
  <c r="A506" i="3"/>
  <c r="B506" i="3"/>
  <c r="C506" i="3"/>
  <c r="D506" i="3"/>
  <c r="E506" i="3"/>
  <c r="A507" i="3"/>
  <c r="B507" i="3"/>
  <c r="C507" i="3"/>
  <c r="D507" i="3"/>
  <c r="E507" i="3"/>
  <c r="A508" i="3"/>
  <c r="B508" i="3"/>
  <c r="C508" i="3"/>
  <c r="D508" i="3"/>
  <c r="E508" i="3"/>
  <c r="A509" i="3"/>
  <c r="B509" i="3"/>
  <c r="C509" i="3"/>
  <c r="D509" i="3"/>
  <c r="E509" i="3"/>
  <c r="A510" i="3"/>
  <c r="B510" i="3"/>
  <c r="C510" i="3"/>
  <c r="D510" i="3"/>
  <c r="E510" i="3"/>
  <c r="A511" i="3"/>
  <c r="B511" i="3"/>
  <c r="C511" i="3"/>
  <c r="D511" i="3"/>
  <c r="E511" i="3"/>
  <c r="A512" i="3"/>
  <c r="B512" i="3"/>
  <c r="C512" i="3"/>
  <c r="D512" i="3"/>
  <c r="E512" i="3"/>
  <c r="A513" i="3"/>
  <c r="B513" i="3"/>
  <c r="C513" i="3"/>
  <c r="D513" i="3"/>
  <c r="E513" i="3"/>
  <c r="A514" i="3"/>
  <c r="B514" i="3"/>
  <c r="C514" i="3"/>
  <c r="D514" i="3"/>
  <c r="E514" i="3"/>
  <c r="A515" i="3"/>
  <c r="B515" i="3"/>
  <c r="C515" i="3"/>
  <c r="D515" i="3"/>
  <c r="E515" i="3"/>
  <c r="A516" i="3"/>
  <c r="B516" i="3"/>
  <c r="C516" i="3"/>
  <c r="D516" i="3"/>
  <c r="E516" i="3"/>
  <c r="A517" i="3"/>
  <c r="B517" i="3"/>
  <c r="C517" i="3"/>
  <c r="D517" i="3"/>
  <c r="E517" i="3"/>
  <c r="A518" i="3"/>
  <c r="B518" i="3"/>
  <c r="C518" i="3"/>
  <c r="D518" i="3"/>
  <c r="E518" i="3"/>
  <c r="A519" i="3"/>
  <c r="B519" i="3"/>
  <c r="C519" i="3"/>
  <c r="D519" i="3"/>
  <c r="E519" i="3"/>
  <c r="A520" i="3"/>
  <c r="B520" i="3"/>
  <c r="C520" i="3"/>
  <c r="D520" i="3"/>
  <c r="E520" i="3"/>
  <c r="A521" i="3"/>
  <c r="B521" i="3"/>
  <c r="C521" i="3"/>
  <c r="D521" i="3"/>
  <c r="E521" i="3"/>
  <c r="A522" i="3"/>
  <c r="B522" i="3"/>
  <c r="C522" i="3"/>
  <c r="D522" i="3"/>
  <c r="E522" i="3"/>
  <c r="A523" i="3"/>
  <c r="B523" i="3"/>
  <c r="C523" i="3"/>
  <c r="D523" i="3"/>
  <c r="E523" i="3"/>
  <c r="A524" i="3"/>
  <c r="B524" i="3"/>
  <c r="C524" i="3"/>
  <c r="D524" i="3"/>
  <c r="E524" i="3"/>
  <c r="A525" i="3"/>
  <c r="B525" i="3"/>
  <c r="C525" i="3"/>
  <c r="D525" i="3"/>
  <c r="E525" i="3"/>
  <c r="A526" i="3"/>
  <c r="B526" i="3"/>
  <c r="C526" i="3"/>
  <c r="D526" i="3"/>
  <c r="E526" i="3"/>
  <c r="A527" i="3"/>
  <c r="B527" i="3"/>
  <c r="C527" i="3"/>
  <c r="D527" i="3"/>
  <c r="E527" i="3"/>
  <c r="A528" i="3"/>
  <c r="B528" i="3"/>
  <c r="C528" i="3"/>
  <c r="D528" i="3"/>
  <c r="E528" i="3"/>
  <c r="A529" i="3"/>
  <c r="B529" i="3"/>
  <c r="C529" i="3"/>
  <c r="D529" i="3"/>
  <c r="E529" i="3"/>
  <c r="A530" i="3"/>
  <c r="B530" i="3"/>
  <c r="C530" i="3"/>
  <c r="D530" i="3"/>
  <c r="E530" i="3"/>
  <c r="A531" i="3"/>
  <c r="B531" i="3"/>
  <c r="C531" i="3"/>
  <c r="D531" i="3"/>
  <c r="E531" i="3"/>
  <c r="A532" i="3"/>
  <c r="B532" i="3"/>
  <c r="C532" i="3"/>
  <c r="D532" i="3"/>
  <c r="E532" i="3"/>
  <c r="A533" i="3"/>
  <c r="B533" i="3"/>
  <c r="C533" i="3"/>
  <c r="D533" i="3"/>
  <c r="E533" i="3"/>
  <c r="A534" i="3"/>
  <c r="B534" i="3"/>
  <c r="C534" i="3"/>
  <c r="D534" i="3"/>
  <c r="E534" i="3"/>
  <c r="A535" i="3"/>
  <c r="B535" i="3"/>
  <c r="C535" i="3"/>
  <c r="D535" i="3"/>
  <c r="E535" i="3"/>
  <c r="A536" i="3"/>
  <c r="B536" i="3"/>
  <c r="C536" i="3"/>
  <c r="D536" i="3"/>
  <c r="E536" i="3"/>
  <c r="A537" i="3"/>
  <c r="B537" i="3"/>
  <c r="C537" i="3"/>
  <c r="D537" i="3"/>
  <c r="E537" i="3"/>
  <c r="A538" i="3"/>
  <c r="B538" i="3"/>
  <c r="C538" i="3"/>
  <c r="D538" i="3"/>
  <c r="E538" i="3"/>
  <c r="A539" i="3"/>
  <c r="B539" i="3"/>
  <c r="C539" i="3"/>
  <c r="D539" i="3"/>
  <c r="E539" i="3"/>
  <c r="A540" i="3"/>
  <c r="B540" i="3"/>
  <c r="C540" i="3"/>
  <c r="D540" i="3"/>
  <c r="E540" i="3"/>
  <c r="A541" i="3"/>
  <c r="B541" i="3"/>
  <c r="C541" i="3"/>
  <c r="D541" i="3"/>
  <c r="E541" i="3"/>
  <c r="A542" i="3"/>
  <c r="B542" i="3"/>
  <c r="C542" i="3"/>
  <c r="D542" i="3"/>
  <c r="E542" i="3"/>
  <c r="A543" i="3"/>
  <c r="B543" i="3"/>
  <c r="C543" i="3"/>
  <c r="D543" i="3"/>
  <c r="E543" i="3"/>
  <c r="A544" i="3"/>
  <c r="B544" i="3"/>
  <c r="C544" i="3"/>
  <c r="D544" i="3"/>
  <c r="E544" i="3"/>
  <c r="A545" i="3"/>
  <c r="B545" i="3"/>
  <c r="C545" i="3"/>
  <c r="D545" i="3"/>
  <c r="E545" i="3"/>
  <c r="A546" i="3"/>
  <c r="B546" i="3"/>
  <c r="C546" i="3"/>
  <c r="D546" i="3"/>
  <c r="E546" i="3"/>
  <c r="A547" i="3"/>
  <c r="B547" i="3"/>
  <c r="C547" i="3"/>
  <c r="D547" i="3"/>
  <c r="E547" i="3"/>
  <c r="A548" i="3"/>
  <c r="B548" i="3"/>
  <c r="C548" i="3"/>
  <c r="D548" i="3"/>
  <c r="E548" i="3"/>
  <c r="A549" i="3"/>
  <c r="B549" i="3"/>
  <c r="C549" i="3"/>
  <c r="D549" i="3"/>
  <c r="E549" i="3"/>
  <c r="A550" i="3"/>
  <c r="B550" i="3"/>
  <c r="C550" i="3"/>
  <c r="D550" i="3"/>
  <c r="E550" i="3"/>
  <c r="A551" i="3"/>
  <c r="B551" i="3"/>
  <c r="C551" i="3"/>
  <c r="D551" i="3"/>
  <c r="E551" i="3"/>
  <c r="A552" i="3"/>
  <c r="B552" i="3"/>
  <c r="C552" i="3"/>
  <c r="D552" i="3"/>
  <c r="E552" i="3"/>
  <c r="A553" i="3"/>
  <c r="B553" i="3"/>
  <c r="C553" i="3"/>
  <c r="D553" i="3"/>
  <c r="E553" i="3"/>
  <c r="A554" i="3"/>
  <c r="B554" i="3"/>
  <c r="C554" i="3"/>
  <c r="D554" i="3"/>
  <c r="E554" i="3"/>
  <c r="A555" i="3"/>
  <c r="B555" i="3"/>
  <c r="C555" i="3"/>
  <c r="D555" i="3"/>
  <c r="E555" i="3"/>
  <c r="A556" i="3"/>
  <c r="B556" i="3"/>
  <c r="C556" i="3"/>
  <c r="D556" i="3"/>
  <c r="E556" i="3"/>
  <c r="A557" i="3"/>
  <c r="B557" i="3"/>
  <c r="C557" i="3"/>
  <c r="D557" i="3"/>
  <c r="E557" i="3"/>
  <c r="A558" i="3"/>
  <c r="B558" i="3"/>
  <c r="C558" i="3"/>
  <c r="D558" i="3"/>
  <c r="E558" i="3"/>
  <c r="A559" i="3"/>
  <c r="B559" i="3"/>
  <c r="C559" i="3"/>
  <c r="D559" i="3"/>
  <c r="E559" i="3"/>
  <c r="A560" i="3"/>
  <c r="B560" i="3"/>
  <c r="C560" i="3"/>
  <c r="D560" i="3"/>
  <c r="E560" i="3"/>
  <c r="A561" i="3"/>
  <c r="B561" i="3"/>
  <c r="C561" i="3"/>
  <c r="D561" i="3"/>
  <c r="E561" i="3"/>
  <c r="A562" i="3"/>
  <c r="B562" i="3"/>
  <c r="C562" i="3"/>
  <c r="D562" i="3"/>
  <c r="E562" i="3"/>
  <c r="A563" i="3"/>
  <c r="B563" i="3"/>
  <c r="C563" i="3"/>
  <c r="D563" i="3"/>
  <c r="E563" i="3"/>
  <c r="A564" i="3"/>
  <c r="B564" i="3"/>
  <c r="C564" i="3"/>
  <c r="D564" i="3"/>
  <c r="E564" i="3"/>
  <c r="A565" i="3"/>
  <c r="B565" i="3"/>
  <c r="C565" i="3"/>
  <c r="D565" i="3"/>
  <c r="E565" i="3"/>
  <c r="A566" i="3"/>
  <c r="B566" i="3"/>
  <c r="C566" i="3"/>
  <c r="D566" i="3"/>
  <c r="E566" i="3"/>
  <c r="A567" i="3"/>
  <c r="B567" i="3"/>
  <c r="C567" i="3"/>
  <c r="D567" i="3"/>
  <c r="E567" i="3"/>
  <c r="A568" i="3"/>
  <c r="B568" i="3"/>
  <c r="C568" i="3"/>
  <c r="D568" i="3"/>
  <c r="E568" i="3"/>
  <c r="A569" i="3"/>
  <c r="B569" i="3"/>
  <c r="C569" i="3"/>
  <c r="D569" i="3"/>
  <c r="E569" i="3"/>
  <c r="A570" i="3"/>
  <c r="B570" i="3"/>
  <c r="C570" i="3"/>
  <c r="D570" i="3"/>
  <c r="E570" i="3"/>
  <c r="A571" i="3"/>
  <c r="B571" i="3"/>
  <c r="C571" i="3"/>
  <c r="D571" i="3"/>
  <c r="E571" i="3"/>
  <c r="A572" i="3"/>
  <c r="B572" i="3"/>
  <c r="C572" i="3"/>
  <c r="D572" i="3"/>
  <c r="E572" i="3"/>
  <c r="A573" i="3"/>
  <c r="B573" i="3"/>
  <c r="C573" i="3"/>
  <c r="D573" i="3"/>
  <c r="E573" i="3"/>
  <c r="A574" i="3"/>
  <c r="B574" i="3"/>
  <c r="C574" i="3"/>
  <c r="D574" i="3"/>
  <c r="E574" i="3"/>
  <c r="A575" i="3"/>
  <c r="B575" i="3"/>
  <c r="C575" i="3"/>
  <c r="D575" i="3"/>
  <c r="E575" i="3"/>
  <c r="A576" i="3"/>
  <c r="B576" i="3"/>
  <c r="C576" i="3"/>
  <c r="D576" i="3"/>
  <c r="E576" i="3"/>
  <c r="A577" i="3"/>
  <c r="B577" i="3"/>
  <c r="C577" i="3"/>
  <c r="D577" i="3"/>
  <c r="E577" i="3"/>
  <c r="A578" i="3"/>
  <c r="B578" i="3"/>
  <c r="C578" i="3"/>
  <c r="D578" i="3"/>
  <c r="E578" i="3"/>
  <c r="A579" i="3"/>
  <c r="B579" i="3"/>
  <c r="C579" i="3"/>
  <c r="D579" i="3"/>
  <c r="E579" i="3"/>
  <c r="A580" i="3"/>
  <c r="B580" i="3"/>
  <c r="C580" i="3"/>
  <c r="D580" i="3"/>
  <c r="E580" i="3"/>
  <c r="A581" i="3"/>
  <c r="B581" i="3"/>
  <c r="C581" i="3"/>
  <c r="D581" i="3"/>
  <c r="E581" i="3"/>
  <c r="A582" i="3"/>
  <c r="B582" i="3"/>
  <c r="C582" i="3"/>
  <c r="D582" i="3"/>
  <c r="E582" i="3"/>
  <c r="A583" i="3"/>
  <c r="B583" i="3"/>
  <c r="C583" i="3"/>
  <c r="D583" i="3"/>
  <c r="E583" i="3"/>
  <c r="A584" i="3"/>
  <c r="B584" i="3"/>
  <c r="C584" i="3"/>
  <c r="D584" i="3"/>
  <c r="E584" i="3"/>
  <c r="A585" i="3"/>
  <c r="B585" i="3"/>
  <c r="C585" i="3"/>
  <c r="D585" i="3"/>
  <c r="E585" i="3"/>
  <c r="A586" i="3"/>
  <c r="B586" i="3"/>
  <c r="C586" i="3"/>
  <c r="D586" i="3"/>
  <c r="E586" i="3"/>
  <c r="A587" i="3"/>
  <c r="B587" i="3"/>
  <c r="C587" i="3"/>
  <c r="D587" i="3"/>
  <c r="E587" i="3"/>
  <c r="A588" i="3"/>
  <c r="B588" i="3"/>
  <c r="C588" i="3"/>
  <c r="D588" i="3"/>
  <c r="E588" i="3"/>
  <c r="A589" i="3"/>
  <c r="B589" i="3"/>
  <c r="C589" i="3"/>
  <c r="D589" i="3"/>
  <c r="E589" i="3"/>
  <c r="A590" i="3"/>
  <c r="B590" i="3"/>
  <c r="C590" i="3"/>
  <c r="D590" i="3"/>
  <c r="E590" i="3"/>
  <c r="A591" i="3"/>
  <c r="B591" i="3"/>
  <c r="C591" i="3"/>
  <c r="D591" i="3"/>
  <c r="E591" i="3"/>
  <c r="A592" i="3"/>
  <c r="B592" i="3"/>
  <c r="C592" i="3"/>
  <c r="D592" i="3"/>
  <c r="E592" i="3"/>
  <c r="A593" i="3"/>
  <c r="B593" i="3"/>
  <c r="C593" i="3"/>
  <c r="D593" i="3"/>
  <c r="E593" i="3"/>
  <c r="A594" i="3"/>
  <c r="B594" i="3"/>
  <c r="C594" i="3"/>
  <c r="D594" i="3"/>
  <c r="E594" i="3"/>
  <c r="A595" i="3"/>
  <c r="B595" i="3"/>
  <c r="C595" i="3"/>
  <c r="D595" i="3"/>
  <c r="E595" i="3"/>
  <c r="A596" i="3"/>
  <c r="B596" i="3"/>
  <c r="C596" i="3"/>
  <c r="D596" i="3"/>
  <c r="E596" i="3"/>
  <c r="A597" i="3"/>
  <c r="B597" i="3"/>
  <c r="C597" i="3"/>
  <c r="D597" i="3"/>
  <c r="E597" i="3"/>
  <c r="A598" i="3"/>
  <c r="B598" i="3"/>
  <c r="C598" i="3"/>
  <c r="D598" i="3"/>
  <c r="E598" i="3"/>
  <c r="A599" i="3"/>
  <c r="B599" i="3"/>
  <c r="C599" i="3"/>
  <c r="D599" i="3"/>
  <c r="E599" i="3"/>
  <c r="A600" i="3"/>
  <c r="B600" i="3"/>
  <c r="C600" i="3"/>
  <c r="D600" i="3"/>
  <c r="E600" i="3"/>
  <c r="A601" i="3"/>
  <c r="B601" i="3"/>
  <c r="C601" i="3"/>
  <c r="D601" i="3"/>
  <c r="E601" i="3"/>
  <c r="A602" i="3"/>
  <c r="B602" i="3"/>
  <c r="C602" i="3"/>
  <c r="D602" i="3"/>
  <c r="E602" i="3"/>
  <c r="A603" i="3"/>
  <c r="B603" i="3"/>
  <c r="C603" i="3"/>
  <c r="D603" i="3"/>
  <c r="E603" i="3"/>
  <c r="A604" i="3"/>
  <c r="B604" i="3"/>
  <c r="C604" i="3"/>
  <c r="D604" i="3"/>
  <c r="E604" i="3"/>
  <c r="A605" i="3"/>
  <c r="B605" i="3"/>
  <c r="C605" i="3"/>
  <c r="D605" i="3"/>
  <c r="E605" i="3"/>
  <c r="A606" i="3"/>
  <c r="B606" i="3"/>
  <c r="C606" i="3"/>
  <c r="D606" i="3"/>
  <c r="E606" i="3"/>
  <c r="A607" i="3"/>
  <c r="B607" i="3"/>
  <c r="C607" i="3"/>
  <c r="D607" i="3"/>
  <c r="E607" i="3"/>
  <c r="A608" i="3"/>
  <c r="B608" i="3"/>
  <c r="C608" i="3"/>
  <c r="D608" i="3"/>
  <c r="E608" i="3"/>
  <c r="A609" i="3"/>
  <c r="B609" i="3"/>
  <c r="C609" i="3"/>
  <c r="D609" i="3"/>
  <c r="E609" i="3"/>
  <c r="A610" i="3"/>
  <c r="B610" i="3"/>
  <c r="C610" i="3"/>
  <c r="D610" i="3"/>
  <c r="E610" i="3"/>
  <c r="A611" i="3"/>
  <c r="B611" i="3"/>
  <c r="C611" i="3"/>
  <c r="D611" i="3"/>
  <c r="E611" i="3"/>
  <c r="A612" i="3"/>
  <c r="B612" i="3"/>
  <c r="C612" i="3"/>
  <c r="D612" i="3"/>
  <c r="E612" i="3"/>
  <c r="A613" i="3"/>
  <c r="B613" i="3"/>
  <c r="C613" i="3"/>
  <c r="D613" i="3"/>
  <c r="E613" i="3"/>
  <c r="A614" i="3"/>
  <c r="B614" i="3"/>
  <c r="C614" i="3"/>
  <c r="D614" i="3"/>
  <c r="E614" i="3"/>
  <c r="A615" i="3"/>
  <c r="B615" i="3"/>
  <c r="C615" i="3"/>
  <c r="D615" i="3"/>
  <c r="E615" i="3"/>
  <c r="A616" i="3"/>
  <c r="B616" i="3"/>
  <c r="C616" i="3"/>
  <c r="D616" i="3"/>
  <c r="E616" i="3"/>
  <c r="A617" i="3"/>
  <c r="B617" i="3"/>
  <c r="C617" i="3"/>
  <c r="D617" i="3"/>
  <c r="E617" i="3"/>
  <c r="A618" i="3"/>
  <c r="B618" i="3"/>
  <c r="C618" i="3"/>
  <c r="D618" i="3"/>
  <c r="E618" i="3"/>
  <c r="A619" i="3"/>
  <c r="B619" i="3"/>
  <c r="C619" i="3"/>
  <c r="D619" i="3"/>
  <c r="E619" i="3"/>
  <c r="A620" i="3"/>
  <c r="B620" i="3"/>
  <c r="C620" i="3"/>
  <c r="D620" i="3"/>
  <c r="E620" i="3"/>
  <c r="A621" i="3"/>
  <c r="B621" i="3"/>
  <c r="C621" i="3"/>
  <c r="D621" i="3"/>
  <c r="E621" i="3"/>
  <c r="A622" i="3"/>
  <c r="B622" i="3"/>
  <c r="C622" i="3"/>
  <c r="D622" i="3"/>
  <c r="E622" i="3"/>
  <c r="A623" i="3"/>
  <c r="B623" i="3"/>
  <c r="C623" i="3"/>
  <c r="D623" i="3"/>
  <c r="E623" i="3"/>
  <c r="A624" i="3"/>
  <c r="B624" i="3"/>
  <c r="C624" i="3"/>
  <c r="D624" i="3"/>
  <c r="E624" i="3"/>
  <c r="A625" i="3"/>
  <c r="B625" i="3"/>
  <c r="C625" i="3"/>
  <c r="D625" i="3"/>
  <c r="E625" i="3"/>
  <c r="A626" i="3"/>
  <c r="B626" i="3"/>
  <c r="C626" i="3"/>
  <c r="D626" i="3"/>
  <c r="E626" i="3"/>
  <c r="A627" i="3"/>
  <c r="B627" i="3"/>
  <c r="C627" i="3"/>
  <c r="D627" i="3"/>
  <c r="E627" i="3"/>
  <c r="A628" i="3"/>
  <c r="B628" i="3"/>
  <c r="C628" i="3"/>
  <c r="D628" i="3"/>
  <c r="E628" i="3"/>
  <c r="A629" i="3"/>
  <c r="B629" i="3"/>
  <c r="C629" i="3"/>
  <c r="D629" i="3"/>
  <c r="E629" i="3"/>
  <c r="A630" i="3"/>
  <c r="B630" i="3"/>
  <c r="C630" i="3"/>
  <c r="D630" i="3"/>
  <c r="E630" i="3"/>
  <c r="A631" i="3"/>
  <c r="B631" i="3"/>
  <c r="C631" i="3"/>
  <c r="D631" i="3"/>
  <c r="E631" i="3"/>
  <c r="A632" i="3"/>
  <c r="B632" i="3"/>
  <c r="C632" i="3"/>
  <c r="D632" i="3"/>
  <c r="E632" i="3"/>
  <c r="A633" i="3"/>
  <c r="B633" i="3"/>
  <c r="C633" i="3"/>
  <c r="D633" i="3"/>
  <c r="E633" i="3"/>
  <c r="A634" i="3"/>
  <c r="B634" i="3"/>
  <c r="C634" i="3"/>
  <c r="D634" i="3"/>
  <c r="E634" i="3"/>
  <c r="A635" i="3"/>
  <c r="B635" i="3"/>
  <c r="C635" i="3"/>
  <c r="D635" i="3"/>
  <c r="E635" i="3"/>
  <c r="A636" i="3"/>
  <c r="B636" i="3"/>
  <c r="C636" i="3"/>
  <c r="D636" i="3"/>
  <c r="E636" i="3"/>
  <c r="A637" i="3"/>
  <c r="B637" i="3"/>
  <c r="C637" i="3"/>
  <c r="D637" i="3"/>
  <c r="E637" i="3"/>
  <c r="A638" i="3"/>
  <c r="B638" i="3"/>
  <c r="C638" i="3"/>
  <c r="D638" i="3"/>
  <c r="E638" i="3"/>
  <c r="A639" i="3"/>
  <c r="B639" i="3"/>
  <c r="C639" i="3"/>
  <c r="D639" i="3"/>
  <c r="E639" i="3"/>
  <c r="A640" i="3"/>
  <c r="B640" i="3"/>
  <c r="C640" i="3"/>
  <c r="D640" i="3"/>
  <c r="E640" i="3"/>
  <c r="A641" i="3"/>
  <c r="B641" i="3"/>
  <c r="C641" i="3"/>
  <c r="D641" i="3"/>
  <c r="E641" i="3"/>
  <c r="A642" i="3"/>
  <c r="B642" i="3"/>
  <c r="C642" i="3"/>
  <c r="D642" i="3"/>
  <c r="E642" i="3"/>
  <c r="A643" i="3"/>
  <c r="B643" i="3"/>
  <c r="C643" i="3"/>
  <c r="D643" i="3"/>
  <c r="E643" i="3"/>
  <c r="A644" i="3"/>
  <c r="B644" i="3"/>
  <c r="C644" i="3"/>
  <c r="D644" i="3"/>
  <c r="E644" i="3"/>
  <c r="A645" i="3"/>
  <c r="B645" i="3"/>
  <c r="C645" i="3"/>
  <c r="D645" i="3"/>
  <c r="E645" i="3"/>
  <c r="A646" i="3"/>
  <c r="B646" i="3"/>
  <c r="C646" i="3"/>
  <c r="D646" i="3"/>
  <c r="E646" i="3"/>
  <c r="A647" i="3"/>
  <c r="B647" i="3"/>
  <c r="C647" i="3"/>
  <c r="D647" i="3"/>
  <c r="E647" i="3"/>
  <c r="A648" i="3"/>
  <c r="B648" i="3"/>
  <c r="C648" i="3"/>
  <c r="D648" i="3"/>
  <c r="E648" i="3"/>
  <c r="A649" i="3"/>
  <c r="B649" i="3"/>
  <c r="C649" i="3"/>
  <c r="D649" i="3"/>
  <c r="E649" i="3"/>
  <c r="A650" i="3"/>
  <c r="B650" i="3"/>
  <c r="C650" i="3"/>
  <c r="D650" i="3"/>
  <c r="E650" i="3"/>
  <c r="A651" i="3"/>
  <c r="B651" i="3"/>
  <c r="C651" i="3"/>
  <c r="D651" i="3"/>
  <c r="E651" i="3"/>
  <c r="A652" i="3"/>
  <c r="B652" i="3"/>
  <c r="C652" i="3"/>
  <c r="D652" i="3"/>
  <c r="E652" i="3"/>
  <c r="A653" i="3"/>
  <c r="B653" i="3"/>
  <c r="C653" i="3"/>
  <c r="D653" i="3"/>
  <c r="E653" i="3"/>
  <c r="A654" i="3"/>
  <c r="B654" i="3"/>
  <c r="C654" i="3"/>
  <c r="D654" i="3"/>
  <c r="E654" i="3"/>
  <c r="G654" i="3" s="1"/>
  <c r="A655" i="3"/>
  <c r="B655" i="3"/>
  <c r="C655" i="3"/>
  <c r="D655" i="3"/>
  <c r="E655" i="3"/>
  <c r="A656" i="3"/>
  <c r="B656" i="3"/>
  <c r="C656" i="3"/>
  <c r="D656" i="3"/>
  <c r="E656" i="3"/>
  <c r="A657" i="3"/>
  <c r="B657" i="3"/>
  <c r="C657" i="3"/>
  <c r="D657" i="3"/>
  <c r="E657" i="3"/>
  <c r="A658" i="3"/>
  <c r="B658" i="3"/>
  <c r="C658" i="3"/>
  <c r="D658" i="3"/>
  <c r="E658" i="3"/>
  <c r="A659" i="3"/>
  <c r="B659" i="3"/>
  <c r="C659" i="3"/>
  <c r="D659" i="3"/>
  <c r="E659" i="3"/>
  <c r="A660" i="3"/>
  <c r="B660" i="3"/>
  <c r="C660" i="3"/>
  <c r="D660" i="3"/>
  <c r="E660" i="3"/>
  <c r="A661" i="3"/>
  <c r="B661" i="3"/>
  <c r="C661" i="3"/>
  <c r="D661" i="3"/>
  <c r="E661" i="3"/>
  <c r="A662" i="3"/>
  <c r="B662" i="3"/>
  <c r="C662" i="3"/>
  <c r="D662" i="3"/>
  <c r="E662" i="3"/>
  <c r="A663" i="3"/>
  <c r="B663" i="3"/>
  <c r="C663" i="3"/>
  <c r="D663" i="3"/>
  <c r="E663" i="3"/>
  <c r="A664" i="3"/>
  <c r="B664" i="3"/>
  <c r="C664" i="3"/>
  <c r="D664" i="3"/>
  <c r="E664" i="3"/>
  <c r="A665" i="3"/>
  <c r="B665" i="3"/>
  <c r="C665" i="3"/>
  <c r="D665" i="3"/>
  <c r="E665" i="3"/>
  <c r="A666" i="3"/>
  <c r="B666" i="3"/>
  <c r="C666" i="3"/>
  <c r="D666" i="3"/>
  <c r="E666" i="3"/>
  <c r="G666" i="3" s="1"/>
  <c r="A667" i="3"/>
  <c r="B667" i="3"/>
  <c r="C667" i="3"/>
  <c r="D667" i="3"/>
  <c r="E667" i="3"/>
  <c r="A668" i="3"/>
  <c r="B668" i="3"/>
  <c r="C668" i="3"/>
  <c r="D668" i="3"/>
  <c r="E668" i="3"/>
  <c r="A669" i="3"/>
  <c r="B669" i="3"/>
  <c r="C669" i="3"/>
  <c r="D669" i="3"/>
  <c r="E669" i="3"/>
  <c r="A670" i="3"/>
  <c r="B670" i="3"/>
  <c r="C670" i="3"/>
  <c r="D670" i="3"/>
  <c r="E670" i="3"/>
  <c r="A671" i="3"/>
  <c r="B671" i="3"/>
  <c r="C671" i="3"/>
  <c r="D671" i="3"/>
  <c r="E671" i="3"/>
  <c r="A672" i="3"/>
  <c r="B672" i="3"/>
  <c r="C672" i="3"/>
  <c r="D672" i="3"/>
  <c r="E672" i="3"/>
  <c r="A673" i="3"/>
  <c r="B673" i="3"/>
  <c r="C673" i="3"/>
  <c r="D673" i="3"/>
  <c r="E673" i="3"/>
  <c r="A674" i="3"/>
  <c r="B674" i="3"/>
  <c r="C674" i="3"/>
  <c r="D674" i="3"/>
  <c r="E674" i="3"/>
  <c r="A675" i="3"/>
  <c r="B675" i="3"/>
  <c r="C675" i="3"/>
  <c r="D675" i="3"/>
  <c r="E675" i="3"/>
  <c r="A676" i="3"/>
  <c r="B676" i="3"/>
  <c r="C676" i="3"/>
  <c r="F676" i="3" s="1"/>
  <c r="D676" i="3"/>
  <c r="E676" i="3"/>
  <c r="A677" i="3"/>
  <c r="B677" i="3"/>
  <c r="C677" i="3"/>
  <c r="D677" i="3"/>
  <c r="E677" i="3"/>
  <c r="A678" i="3"/>
  <c r="B678" i="3"/>
  <c r="C678" i="3"/>
  <c r="D678" i="3"/>
  <c r="E678" i="3"/>
  <c r="G678" i="3" s="1"/>
  <c r="A679" i="3"/>
  <c r="B679" i="3"/>
  <c r="C679" i="3"/>
  <c r="D679" i="3"/>
  <c r="E679" i="3"/>
  <c r="A680" i="3"/>
  <c r="B680" i="3"/>
  <c r="C680" i="3"/>
  <c r="D680" i="3"/>
  <c r="E680" i="3"/>
  <c r="A681" i="3"/>
  <c r="B681" i="3"/>
  <c r="C681" i="3"/>
  <c r="D681" i="3"/>
  <c r="E681" i="3"/>
  <c r="A682" i="3"/>
  <c r="B682" i="3"/>
  <c r="C682" i="3"/>
  <c r="D682" i="3"/>
  <c r="E682" i="3"/>
  <c r="A683" i="3"/>
  <c r="B683" i="3"/>
  <c r="C683" i="3"/>
  <c r="D683" i="3"/>
  <c r="E683" i="3"/>
  <c r="A684" i="3"/>
  <c r="B684" i="3"/>
  <c r="C684" i="3"/>
  <c r="D684" i="3"/>
  <c r="E684" i="3"/>
  <c r="A685" i="3"/>
  <c r="B685" i="3"/>
  <c r="C685" i="3"/>
  <c r="D685" i="3"/>
  <c r="E685" i="3"/>
  <c r="A686" i="3"/>
  <c r="B686" i="3"/>
  <c r="C686" i="3"/>
  <c r="D686" i="3"/>
  <c r="E686" i="3"/>
  <c r="A687" i="3"/>
  <c r="B687" i="3"/>
  <c r="C687" i="3"/>
  <c r="D687" i="3"/>
  <c r="E687" i="3"/>
  <c r="A688" i="3"/>
  <c r="B688" i="3"/>
  <c r="C688" i="3"/>
  <c r="D688" i="3"/>
  <c r="E688" i="3"/>
  <c r="A689" i="3"/>
  <c r="B689" i="3"/>
  <c r="C689" i="3"/>
  <c r="D689" i="3"/>
  <c r="E689" i="3"/>
  <c r="A690" i="3"/>
  <c r="B690" i="3"/>
  <c r="C690" i="3"/>
  <c r="D690" i="3"/>
  <c r="E690" i="3"/>
  <c r="G690" i="3" s="1"/>
  <c r="A691" i="3"/>
  <c r="B691" i="3"/>
  <c r="C691" i="3"/>
  <c r="D691" i="3"/>
  <c r="E691" i="3"/>
  <c r="A692" i="3"/>
  <c r="B692" i="3"/>
  <c r="C692" i="3"/>
  <c r="D692" i="3"/>
  <c r="E692" i="3"/>
  <c r="A693" i="3"/>
  <c r="B693" i="3"/>
  <c r="C693" i="3"/>
  <c r="D693" i="3"/>
  <c r="E693" i="3"/>
  <c r="A694" i="3"/>
  <c r="B694" i="3"/>
  <c r="C694" i="3"/>
  <c r="D694" i="3"/>
  <c r="E694" i="3"/>
  <c r="A695" i="3"/>
  <c r="B695" i="3"/>
  <c r="C695" i="3"/>
  <c r="D695" i="3"/>
  <c r="E695" i="3"/>
  <c r="A696" i="3"/>
  <c r="B696" i="3"/>
  <c r="C696" i="3"/>
  <c r="D696" i="3"/>
  <c r="E696" i="3"/>
  <c r="A697" i="3"/>
  <c r="B697" i="3"/>
  <c r="C697" i="3"/>
  <c r="D697" i="3"/>
  <c r="E697" i="3"/>
  <c r="A698" i="3"/>
  <c r="B698" i="3"/>
  <c r="C698" i="3"/>
  <c r="D698" i="3"/>
  <c r="E698" i="3"/>
  <c r="A699" i="3"/>
  <c r="B699" i="3"/>
  <c r="C699" i="3"/>
  <c r="D699" i="3"/>
  <c r="E699" i="3"/>
  <c r="A700" i="3"/>
  <c r="B700" i="3"/>
  <c r="C700" i="3"/>
  <c r="F700" i="3" s="1"/>
  <c r="D700" i="3"/>
  <c r="E700" i="3"/>
  <c r="A701" i="3"/>
  <c r="B701" i="3"/>
  <c r="C701" i="3"/>
  <c r="D701" i="3"/>
  <c r="E701" i="3"/>
  <c r="A702" i="3"/>
  <c r="B702" i="3"/>
  <c r="C702" i="3"/>
  <c r="D702" i="3"/>
  <c r="E702" i="3"/>
  <c r="G702" i="3" s="1"/>
  <c r="A703" i="3"/>
  <c r="B703" i="3"/>
  <c r="C703" i="3"/>
  <c r="D703" i="3"/>
  <c r="E703" i="3"/>
  <c r="A704" i="3"/>
  <c r="B704" i="3"/>
  <c r="C704" i="3"/>
  <c r="D704" i="3"/>
  <c r="E704" i="3"/>
  <c r="A705" i="3"/>
  <c r="B705" i="3"/>
  <c r="C705" i="3"/>
  <c r="D705" i="3"/>
  <c r="E705" i="3"/>
  <c r="A706" i="3"/>
  <c r="B706" i="3"/>
  <c r="C706" i="3"/>
  <c r="D706" i="3"/>
  <c r="E706" i="3"/>
  <c r="A707" i="3"/>
  <c r="B707" i="3"/>
  <c r="C707" i="3"/>
  <c r="D707" i="3"/>
  <c r="E707" i="3"/>
  <c r="A708" i="3"/>
  <c r="B708" i="3"/>
  <c r="C708" i="3"/>
  <c r="D708" i="3"/>
  <c r="E708" i="3"/>
  <c r="A709" i="3"/>
  <c r="B709" i="3"/>
  <c r="C709" i="3"/>
  <c r="D709" i="3"/>
  <c r="E709" i="3"/>
  <c r="A710" i="3"/>
  <c r="B710" i="3"/>
  <c r="C710" i="3"/>
  <c r="D710" i="3"/>
  <c r="E710" i="3"/>
  <c r="A711" i="3"/>
  <c r="B711" i="3"/>
  <c r="C711" i="3"/>
  <c r="D711" i="3"/>
  <c r="E711" i="3"/>
  <c r="A712" i="3"/>
  <c r="B712" i="3"/>
  <c r="C712" i="3"/>
  <c r="D712" i="3"/>
  <c r="E712" i="3"/>
  <c r="A713" i="3"/>
  <c r="B713" i="3"/>
  <c r="C713" i="3"/>
  <c r="D713" i="3"/>
  <c r="E713" i="3"/>
  <c r="A714" i="3"/>
  <c r="B714" i="3"/>
  <c r="C714" i="3"/>
  <c r="D714" i="3"/>
  <c r="E714" i="3"/>
  <c r="G714" i="3" s="1"/>
  <c r="A715" i="3"/>
  <c r="B715" i="3"/>
  <c r="C715" i="3"/>
  <c r="D715" i="3"/>
  <c r="E715" i="3"/>
  <c r="A716" i="3"/>
  <c r="B716" i="3"/>
  <c r="C716" i="3"/>
  <c r="D716" i="3"/>
  <c r="E716" i="3"/>
  <c r="A717" i="3"/>
  <c r="B717" i="3"/>
  <c r="C717" i="3"/>
  <c r="D717" i="3"/>
  <c r="E717" i="3"/>
  <c r="A718" i="3"/>
  <c r="B718" i="3"/>
  <c r="C718" i="3"/>
  <c r="D718" i="3"/>
  <c r="E718" i="3"/>
  <c r="A719" i="3"/>
  <c r="B719" i="3"/>
  <c r="C719" i="3"/>
  <c r="D719" i="3"/>
  <c r="E719" i="3"/>
  <c r="A720" i="3"/>
  <c r="B720" i="3"/>
  <c r="C720" i="3"/>
  <c r="D720" i="3"/>
  <c r="E720" i="3"/>
  <c r="A721" i="3"/>
  <c r="B721" i="3"/>
  <c r="C721" i="3"/>
  <c r="D721" i="3"/>
  <c r="E721" i="3"/>
  <c r="A722" i="3"/>
  <c r="B722" i="3"/>
  <c r="C722" i="3"/>
  <c r="D722" i="3"/>
  <c r="E722" i="3"/>
  <c r="A723" i="3"/>
  <c r="B723" i="3"/>
  <c r="C723" i="3"/>
  <c r="D723" i="3"/>
  <c r="E723" i="3"/>
  <c r="A724" i="3"/>
  <c r="B724" i="3"/>
  <c r="C724" i="3"/>
  <c r="F724" i="3" s="1"/>
  <c r="D724" i="3"/>
  <c r="E724" i="3"/>
  <c r="A725" i="3"/>
  <c r="B725" i="3"/>
  <c r="C725" i="3"/>
  <c r="D725" i="3"/>
  <c r="E725" i="3"/>
  <c r="A726" i="3"/>
  <c r="B726" i="3"/>
  <c r="C726" i="3"/>
  <c r="D726" i="3"/>
  <c r="E726" i="3"/>
  <c r="G726" i="3" s="1"/>
  <c r="A727" i="3"/>
  <c r="B727" i="3"/>
  <c r="C727" i="3"/>
  <c r="D727" i="3"/>
  <c r="E727" i="3"/>
  <c r="A728" i="3"/>
  <c r="B728" i="3"/>
  <c r="C728" i="3"/>
  <c r="D728" i="3"/>
  <c r="E728" i="3"/>
  <c r="A729" i="3"/>
  <c r="B729" i="3"/>
  <c r="C729" i="3"/>
  <c r="D729" i="3"/>
  <c r="E729" i="3"/>
  <c r="A730" i="3"/>
  <c r="B730" i="3"/>
  <c r="C730" i="3"/>
  <c r="D730" i="3"/>
  <c r="E730" i="3"/>
  <c r="A731" i="3"/>
  <c r="B731" i="3"/>
  <c r="C731" i="3"/>
  <c r="D731" i="3"/>
  <c r="E731" i="3"/>
  <c r="A732" i="3"/>
  <c r="B732" i="3"/>
  <c r="C732" i="3"/>
  <c r="D732" i="3"/>
  <c r="E732" i="3"/>
  <c r="A733" i="3"/>
  <c r="B733" i="3"/>
  <c r="C733" i="3"/>
  <c r="D733" i="3"/>
  <c r="E733" i="3"/>
  <c r="A734" i="3"/>
  <c r="B734" i="3"/>
  <c r="C734" i="3"/>
  <c r="D734" i="3"/>
  <c r="E734" i="3"/>
  <c r="A735" i="3"/>
  <c r="B735" i="3"/>
  <c r="C735" i="3"/>
  <c r="D735" i="3"/>
  <c r="E735" i="3"/>
  <c r="A736" i="3"/>
  <c r="B736" i="3"/>
  <c r="C736" i="3"/>
  <c r="F736" i="3" s="1"/>
  <c r="D736" i="3"/>
  <c r="E736" i="3"/>
  <c r="A737" i="3"/>
  <c r="B737" i="3"/>
  <c r="C737" i="3"/>
  <c r="D737" i="3"/>
  <c r="E737" i="3"/>
  <c r="A738" i="3"/>
  <c r="B738" i="3"/>
  <c r="C738" i="3"/>
  <c r="D738" i="3"/>
  <c r="E738" i="3"/>
  <c r="G738" i="3" s="1"/>
  <c r="A739" i="3"/>
  <c r="B739" i="3"/>
  <c r="C739" i="3"/>
  <c r="D739" i="3"/>
  <c r="E739" i="3"/>
  <c r="A740" i="3"/>
  <c r="B740" i="3"/>
  <c r="C740" i="3"/>
  <c r="D740" i="3"/>
  <c r="E740" i="3"/>
  <c r="A741" i="3"/>
  <c r="B741" i="3"/>
  <c r="C741" i="3"/>
  <c r="D741" i="3"/>
  <c r="E741" i="3"/>
  <c r="A742" i="3"/>
  <c r="B742" i="3"/>
  <c r="C742" i="3"/>
  <c r="D742" i="3"/>
  <c r="E742" i="3"/>
  <c r="A743" i="3"/>
  <c r="B743" i="3"/>
  <c r="C743" i="3"/>
  <c r="D743" i="3"/>
  <c r="E743" i="3"/>
  <c r="A744" i="3"/>
  <c r="B744" i="3"/>
  <c r="C744" i="3"/>
  <c r="D744" i="3"/>
  <c r="E744" i="3"/>
  <c r="A745" i="3"/>
  <c r="B745" i="3"/>
  <c r="C745" i="3"/>
  <c r="D745" i="3"/>
  <c r="E745" i="3"/>
  <c r="A746" i="3"/>
  <c r="B746" i="3"/>
  <c r="C746" i="3"/>
  <c r="D746" i="3"/>
  <c r="E746" i="3"/>
  <c r="A747" i="3"/>
  <c r="B747" i="3"/>
  <c r="C747" i="3"/>
  <c r="D747" i="3"/>
  <c r="E747" i="3"/>
  <c r="A748" i="3"/>
  <c r="B748" i="3"/>
  <c r="C748" i="3"/>
  <c r="F748" i="3" s="1"/>
  <c r="D748" i="3"/>
  <c r="E748" i="3"/>
  <c r="A749" i="3"/>
  <c r="B749" i="3"/>
  <c r="C749" i="3"/>
  <c r="D749" i="3"/>
  <c r="E749" i="3"/>
  <c r="A750" i="3"/>
  <c r="B750" i="3"/>
  <c r="C750" i="3"/>
  <c r="D750" i="3"/>
  <c r="E750" i="3"/>
  <c r="G750" i="3" s="1"/>
  <c r="A751" i="3"/>
  <c r="B751" i="3"/>
  <c r="C751" i="3"/>
  <c r="D751" i="3"/>
  <c r="E751" i="3"/>
  <c r="A752" i="3"/>
  <c r="B752" i="3"/>
  <c r="C752" i="3"/>
  <c r="D752" i="3"/>
  <c r="E752" i="3"/>
  <c r="A753" i="3"/>
  <c r="B753" i="3"/>
  <c r="C753" i="3"/>
  <c r="D753" i="3"/>
  <c r="E753" i="3"/>
  <c r="A754" i="3"/>
  <c r="B754" i="3"/>
  <c r="C754" i="3"/>
  <c r="D754" i="3"/>
  <c r="E754" i="3"/>
  <c r="A755" i="3"/>
  <c r="B755" i="3"/>
  <c r="C755" i="3"/>
  <c r="D755" i="3"/>
  <c r="E755" i="3"/>
  <c r="A756" i="3"/>
  <c r="B756" i="3"/>
  <c r="C756" i="3"/>
  <c r="D756" i="3"/>
  <c r="E756" i="3"/>
  <c r="A757" i="3"/>
  <c r="B757" i="3"/>
  <c r="C757" i="3"/>
  <c r="D757" i="3"/>
  <c r="E757" i="3"/>
  <c r="A758" i="3"/>
  <c r="B758" i="3"/>
  <c r="C758" i="3"/>
  <c r="D758" i="3"/>
  <c r="E758" i="3"/>
  <c r="A759" i="3"/>
  <c r="B759" i="3"/>
  <c r="C759" i="3"/>
  <c r="D759" i="3"/>
  <c r="E759" i="3"/>
  <c r="A760" i="3"/>
  <c r="B760" i="3"/>
  <c r="C760" i="3"/>
  <c r="F760" i="3" s="1"/>
  <c r="D760" i="3"/>
  <c r="E760" i="3"/>
  <c r="A761" i="3"/>
  <c r="B761" i="3"/>
  <c r="C761" i="3"/>
  <c r="D761" i="3"/>
  <c r="E761" i="3"/>
  <c r="A762" i="3"/>
  <c r="B762" i="3"/>
  <c r="C762" i="3"/>
  <c r="D762" i="3"/>
  <c r="E762" i="3"/>
  <c r="G762" i="3" s="1"/>
  <c r="A763" i="3"/>
  <c r="B763" i="3"/>
  <c r="C763" i="3"/>
  <c r="D763" i="3"/>
  <c r="E763" i="3"/>
  <c r="A764" i="3"/>
  <c r="B764" i="3"/>
  <c r="C764" i="3"/>
  <c r="D764" i="3"/>
  <c r="E764" i="3"/>
  <c r="A765" i="3"/>
  <c r="B765" i="3"/>
  <c r="C765" i="3"/>
  <c r="D765" i="3"/>
  <c r="E765" i="3"/>
  <c r="A766" i="3"/>
  <c r="B766" i="3"/>
  <c r="C766" i="3"/>
  <c r="D766" i="3"/>
  <c r="E766" i="3"/>
  <c r="A767" i="3"/>
  <c r="B767" i="3"/>
  <c r="C767" i="3"/>
  <c r="D767" i="3"/>
  <c r="E767" i="3"/>
  <c r="A768" i="3"/>
  <c r="B768" i="3"/>
  <c r="C768" i="3"/>
  <c r="D768" i="3"/>
  <c r="E768" i="3"/>
  <c r="A769" i="3"/>
  <c r="B769" i="3"/>
  <c r="C769" i="3"/>
  <c r="D769" i="3"/>
  <c r="E769" i="3"/>
  <c r="A770" i="3"/>
  <c r="B770" i="3"/>
  <c r="C770" i="3"/>
  <c r="D770" i="3"/>
  <c r="E770" i="3"/>
  <c r="A771" i="3"/>
  <c r="B771" i="3"/>
  <c r="C771" i="3"/>
  <c r="D771" i="3"/>
  <c r="E771" i="3"/>
  <c r="A772" i="3"/>
  <c r="B772" i="3"/>
  <c r="C772" i="3"/>
  <c r="F772" i="3" s="1"/>
  <c r="D772" i="3"/>
  <c r="E772" i="3"/>
  <c r="A773" i="3"/>
  <c r="B773" i="3"/>
  <c r="C773" i="3"/>
  <c r="D773" i="3"/>
  <c r="E773" i="3"/>
  <c r="A774" i="3"/>
  <c r="B774" i="3"/>
  <c r="C774" i="3"/>
  <c r="D774" i="3"/>
  <c r="E774" i="3"/>
  <c r="G774" i="3" s="1"/>
  <c r="A775" i="3"/>
  <c r="B775" i="3"/>
  <c r="C775" i="3"/>
  <c r="D775" i="3"/>
  <c r="E775" i="3"/>
  <c r="A776" i="3"/>
  <c r="B776" i="3"/>
  <c r="C776" i="3"/>
  <c r="D776" i="3"/>
  <c r="E776" i="3"/>
  <c r="A777" i="3"/>
  <c r="B777" i="3"/>
  <c r="C777" i="3"/>
  <c r="D777" i="3"/>
  <c r="E777" i="3"/>
  <c r="A778" i="3"/>
  <c r="B778" i="3"/>
  <c r="C778" i="3"/>
  <c r="D778" i="3"/>
  <c r="E778" i="3"/>
  <c r="A779" i="3"/>
  <c r="B779" i="3"/>
  <c r="C779" i="3"/>
  <c r="D779" i="3"/>
  <c r="E779" i="3"/>
  <c r="A780" i="3"/>
  <c r="B780" i="3"/>
  <c r="C780" i="3"/>
  <c r="D780" i="3"/>
  <c r="E780" i="3"/>
  <c r="A781" i="3"/>
  <c r="B781" i="3"/>
  <c r="C781" i="3"/>
  <c r="D781" i="3"/>
  <c r="E781" i="3"/>
  <c r="A782" i="3"/>
  <c r="B782" i="3"/>
  <c r="C782" i="3"/>
  <c r="D782" i="3"/>
  <c r="E782" i="3"/>
  <c r="A783" i="3"/>
  <c r="B783" i="3"/>
  <c r="C783" i="3"/>
  <c r="D783" i="3"/>
  <c r="E783" i="3"/>
  <c r="A784" i="3"/>
  <c r="B784" i="3"/>
  <c r="C784" i="3"/>
  <c r="F784" i="3" s="1"/>
  <c r="D784" i="3"/>
  <c r="E784" i="3"/>
  <c r="A785" i="3"/>
  <c r="B785" i="3"/>
  <c r="C785" i="3"/>
  <c r="D785" i="3"/>
  <c r="E785" i="3"/>
  <c r="A786" i="3"/>
  <c r="B786" i="3"/>
  <c r="C786" i="3"/>
  <c r="D786" i="3"/>
  <c r="E786" i="3"/>
  <c r="G786" i="3" s="1"/>
  <c r="A787" i="3"/>
  <c r="B787" i="3"/>
  <c r="C787" i="3"/>
  <c r="D787" i="3"/>
  <c r="E787" i="3"/>
  <c r="A788" i="3"/>
  <c r="B788" i="3"/>
  <c r="C788" i="3"/>
  <c r="D788" i="3"/>
  <c r="E788" i="3"/>
  <c r="A789" i="3"/>
  <c r="B789" i="3"/>
  <c r="C789" i="3"/>
  <c r="D789" i="3"/>
  <c r="E789" i="3"/>
  <c r="A790" i="3"/>
  <c r="B790" i="3"/>
  <c r="C790" i="3"/>
  <c r="D790" i="3"/>
  <c r="E790" i="3"/>
  <c r="A791" i="3"/>
  <c r="B791" i="3"/>
  <c r="C791" i="3"/>
  <c r="D791" i="3"/>
  <c r="E791" i="3"/>
  <c r="A792" i="3"/>
  <c r="B792" i="3"/>
  <c r="C792" i="3"/>
  <c r="D792" i="3"/>
  <c r="E792" i="3"/>
  <c r="A793" i="3"/>
  <c r="B793" i="3"/>
  <c r="C793" i="3"/>
  <c r="D793" i="3"/>
  <c r="E793" i="3"/>
  <c r="A794" i="3"/>
  <c r="B794" i="3"/>
  <c r="C794" i="3"/>
  <c r="D794" i="3"/>
  <c r="E794" i="3"/>
  <c r="A795" i="3"/>
  <c r="B795" i="3"/>
  <c r="C795" i="3"/>
  <c r="D795" i="3"/>
  <c r="E795" i="3"/>
  <c r="A796" i="3"/>
  <c r="B796" i="3"/>
  <c r="C796" i="3"/>
  <c r="D796" i="3"/>
  <c r="E796" i="3"/>
  <c r="A797" i="3"/>
  <c r="B797" i="3"/>
  <c r="C797" i="3"/>
  <c r="D797" i="3"/>
  <c r="E797" i="3"/>
  <c r="A798" i="3"/>
  <c r="B798" i="3"/>
  <c r="C798" i="3"/>
  <c r="D798" i="3"/>
  <c r="E798" i="3"/>
  <c r="G798" i="3" s="1"/>
  <c r="A799" i="3"/>
  <c r="B799" i="3"/>
  <c r="C799" i="3"/>
  <c r="D799" i="3"/>
  <c r="E799" i="3"/>
  <c r="A800" i="3"/>
  <c r="B800" i="3"/>
  <c r="C800" i="3"/>
  <c r="D800" i="3"/>
  <c r="E800" i="3"/>
  <c r="A801" i="3"/>
  <c r="B801" i="3"/>
  <c r="C801" i="3"/>
  <c r="D801" i="3"/>
  <c r="E801" i="3"/>
  <c r="A802" i="3"/>
  <c r="B802" i="3"/>
  <c r="C802" i="3"/>
  <c r="D802" i="3"/>
  <c r="E802" i="3"/>
  <c r="A803" i="3"/>
  <c r="B803" i="3"/>
  <c r="C803" i="3"/>
  <c r="D803" i="3"/>
  <c r="E803" i="3"/>
  <c r="A804" i="3"/>
  <c r="B804" i="3"/>
  <c r="C804" i="3"/>
  <c r="D804" i="3"/>
  <c r="E804" i="3"/>
  <c r="A805" i="3"/>
  <c r="B805" i="3"/>
  <c r="C805" i="3"/>
  <c r="D805" i="3"/>
  <c r="E805" i="3"/>
  <c r="A806" i="3"/>
  <c r="B806" i="3"/>
  <c r="C806" i="3"/>
  <c r="D806" i="3"/>
  <c r="E806" i="3"/>
  <c r="A807" i="3"/>
  <c r="B807" i="3"/>
  <c r="C807" i="3"/>
  <c r="D807" i="3"/>
  <c r="E807" i="3"/>
  <c r="A808" i="3"/>
  <c r="B808" i="3"/>
  <c r="C808" i="3"/>
  <c r="F808" i="3" s="1"/>
  <c r="D808" i="3"/>
  <c r="E808" i="3"/>
  <c r="A809" i="3"/>
  <c r="B809" i="3"/>
  <c r="C809" i="3"/>
  <c r="D809" i="3"/>
  <c r="E809" i="3"/>
  <c r="A810" i="3"/>
  <c r="B810" i="3"/>
  <c r="C810" i="3"/>
  <c r="D810" i="3"/>
  <c r="E810" i="3"/>
  <c r="G810" i="3" s="1"/>
  <c r="A811" i="3"/>
  <c r="B811" i="3"/>
  <c r="C811" i="3"/>
  <c r="D811" i="3"/>
  <c r="E811" i="3"/>
  <c r="A812" i="3"/>
  <c r="B812" i="3"/>
  <c r="C812" i="3"/>
  <c r="D812" i="3"/>
  <c r="E812" i="3"/>
  <c r="A813" i="3"/>
  <c r="B813" i="3"/>
  <c r="C813" i="3"/>
  <c r="D813" i="3"/>
  <c r="E813" i="3"/>
  <c r="A814" i="3"/>
  <c r="B814" i="3"/>
  <c r="C814" i="3"/>
  <c r="D814" i="3"/>
  <c r="E814" i="3"/>
  <c r="A815" i="3"/>
  <c r="B815" i="3"/>
  <c r="C815" i="3"/>
  <c r="D815" i="3"/>
  <c r="E815" i="3"/>
  <c r="A816" i="3"/>
  <c r="B816" i="3"/>
  <c r="C816" i="3"/>
  <c r="D816" i="3"/>
  <c r="E816" i="3"/>
  <c r="A817" i="3"/>
  <c r="B817" i="3"/>
  <c r="C817" i="3"/>
  <c r="D817" i="3"/>
  <c r="E817" i="3"/>
  <c r="A818" i="3"/>
  <c r="B818" i="3"/>
  <c r="C818" i="3"/>
  <c r="D818" i="3"/>
  <c r="E818" i="3"/>
  <c r="A819" i="3"/>
  <c r="B819" i="3"/>
  <c r="C819" i="3"/>
  <c r="D819" i="3"/>
  <c r="E819" i="3"/>
  <c r="A820" i="3"/>
  <c r="B820" i="3"/>
  <c r="C820" i="3"/>
  <c r="D820" i="3"/>
  <c r="E820" i="3"/>
  <c r="A821" i="3"/>
  <c r="B821" i="3"/>
  <c r="C821" i="3"/>
  <c r="D821" i="3"/>
  <c r="E821" i="3"/>
  <c r="A822" i="3"/>
  <c r="B822" i="3"/>
  <c r="C822" i="3"/>
  <c r="D822" i="3"/>
  <c r="E822" i="3"/>
  <c r="G822" i="3" s="1"/>
  <c r="A823" i="3"/>
  <c r="B823" i="3"/>
  <c r="C823" i="3"/>
  <c r="D823" i="3"/>
  <c r="E823" i="3"/>
  <c r="A824" i="3"/>
  <c r="B824" i="3"/>
  <c r="C824" i="3"/>
  <c r="D824" i="3"/>
  <c r="E824" i="3"/>
  <c r="A825" i="3"/>
  <c r="B825" i="3"/>
  <c r="C825" i="3"/>
  <c r="D825" i="3"/>
  <c r="E825" i="3"/>
  <c r="A826" i="3"/>
  <c r="B826" i="3"/>
  <c r="C826" i="3"/>
  <c r="D826" i="3"/>
  <c r="E826" i="3"/>
  <c r="A827" i="3"/>
  <c r="B827" i="3"/>
  <c r="C827" i="3"/>
  <c r="D827" i="3"/>
  <c r="E827" i="3"/>
  <c r="A828" i="3"/>
  <c r="B828" i="3"/>
  <c r="C828" i="3"/>
  <c r="D828" i="3"/>
  <c r="E828" i="3"/>
  <c r="A829" i="3"/>
  <c r="B829" i="3"/>
  <c r="C829" i="3"/>
  <c r="D829" i="3"/>
  <c r="E829" i="3"/>
  <c r="A830" i="3"/>
  <c r="B830" i="3"/>
  <c r="C830" i="3"/>
  <c r="D830" i="3"/>
  <c r="E830" i="3"/>
  <c r="A831" i="3"/>
  <c r="B831" i="3"/>
  <c r="C831" i="3"/>
  <c r="D831" i="3"/>
  <c r="E831" i="3"/>
  <c r="A832" i="3"/>
  <c r="B832" i="3"/>
  <c r="C832" i="3"/>
  <c r="F832" i="3" s="1"/>
  <c r="D832" i="3"/>
  <c r="E832" i="3"/>
  <c r="A833" i="3"/>
  <c r="B833" i="3"/>
  <c r="C833" i="3"/>
  <c r="D833" i="3"/>
  <c r="E833" i="3"/>
  <c r="A834" i="3"/>
  <c r="B834" i="3"/>
  <c r="C834" i="3"/>
  <c r="D834" i="3"/>
  <c r="E834" i="3"/>
  <c r="G834" i="3" s="1"/>
  <c r="A835" i="3"/>
  <c r="B835" i="3"/>
  <c r="C835" i="3"/>
  <c r="D835" i="3"/>
  <c r="E835" i="3"/>
  <c r="A836" i="3"/>
  <c r="B836" i="3"/>
  <c r="C836" i="3"/>
  <c r="D836" i="3"/>
  <c r="E836" i="3"/>
  <c r="A837" i="3"/>
  <c r="B837" i="3"/>
  <c r="C837" i="3"/>
  <c r="D837" i="3"/>
  <c r="E837" i="3"/>
  <c r="A838" i="3"/>
  <c r="B838" i="3"/>
  <c r="C838" i="3"/>
  <c r="D838" i="3"/>
  <c r="E838" i="3"/>
  <c r="A839" i="3"/>
  <c r="B839" i="3"/>
  <c r="C839" i="3"/>
  <c r="D839" i="3"/>
  <c r="E839" i="3"/>
  <c r="A840" i="3"/>
  <c r="B840" i="3"/>
  <c r="C840" i="3"/>
  <c r="D840" i="3"/>
  <c r="E840" i="3"/>
  <c r="A841" i="3"/>
  <c r="B841" i="3"/>
  <c r="C841" i="3"/>
  <c r="D841" i="3"/>
  <c r="E841" i="3"/>
  <c r="A842" i="3"/>
  <c r="B842" i="3"/>
  <c r="C842" i="3"/>
  <c r="D842" i="3"/>
  <c r="E842" i="3"/>
  <c r="A843" i="3"/>
  <c r="B843" i="3"/>
  <c r="C843" i="3"/>
  <c r="D843" i="3"/>
  <c r="E843" i="3"/>
  <c r="A844" i="3"/>
  <c r="B844" i="3"/>
  <c r="C844" i="3"/>
  <c r="F844" i="3" s="1"/>
  <c r="D844" i="3"/>
  <c r="E844" i="3"/>
  <c r="A845" i="3"/>
  <c r="B845" i="3"/>
  <c r="C845" i="3"/>
  <c r="D845" i="3"/>
  <c r="E845" i="3"/>
  <c r="A846" i="3"/>
  <c r="B846" i="3"/>
  <c r="C846" i="3"/>
  <c r="D846" i="3"/>
  <c r="E846" i="3"/>
  <c r="G846" i="3" s="1"/>
  <c r="A847" i="3"/>
  <c r="B847" i="3"/>
  <c r="C847" i="3"/>
  <c r="D847" i="3"/>
  <c r="E847" i="3"/>
  <c r="A848" i="3"/>
  <c r="B848" i="3"/>
  <c r="C848" i="3"/>
  <c r="D848" i="3"/>
  <c r="E848" i="3"/>
  <c r="A849" i="3"/>
  <c r="B849" i="3"/>
  <c r="C849" i="3"/>
  <c r="D849" i="3"/>
  <c r="E849" i="3"/>
  <c r="A850" i="3"/>
  <c r="B850" i="3"/>
  <c r="C850" i="3"/>
  <c r="D850" i="3"/>
  <c r="E850" i="3"/>
  <c r="A851" i="3"/>
  <c r="B851" i="3"/>
  <c r="C851" i="3"/>
  <c r="D851" i="3"/>
  <c r="E851" i="3"/>
  <c r="A852" i="3"/>
  <c r="B852" i="3"/>
  <c r="C852" i="3"/>
  <c r="D852" i="3"/>
  <c r="E852" i="3"/>
  <c r="A853" i="3"/>
  <c r="B853" i="3"/>
  <c r="C853" i="3"/>
  <c r="D853" i="3"/>
  <c r="E853" i="3"/>
  <c r="A854" i="3"/>
  <c r="B854" i="3"/>
  <c r="C854" i="3"/>
  <c r="D854" i="3"/>
  <c r="E854" i="3"/>
  <c r="A855" i="3"/>
  <c r="B855" i="3"/>
  <c r="C855" i="3"/>
  <c r="D855" i="3"/>
  <c r="E855" i="3"/>
  <c r="A856" i="3"/>
  <c r="B856" i="3"/>
  <c r="C856" i="3"/>
  <c r="F856" i="3" s="1"/>
  <c r="D856" i="3"/>
  <c r="E856" i="3"/>
  <c r="A857" i="3"/>
  <c r="B857" i="3"/>
  <c r="C857" i="3"/>
  <c r="D857" i="3"/>
  <c r="E857" i="3"/>
  <c r="A858" i="3"/>
  <c r="B858" i="3"/>
  <c r="C858" i="3"/>
  <c r="D858" i="3"/>
  <c r="E858" i="3"/>
  <c r="G858" i="3" s="1"/>
  <c r="A859" i="3"/>
  <c r="B859" i="3"/>
  <c r="C859" i="3"/>
  <c r="D859" i="3"/>
  <c r="E859" i="3"/>
  <c r="A860" i="3"/>
  <c r="B860" i="3"/>
  <c r="C860" i="3"/>
  <c r="D860" i="3"/>
  <c r="E860" i="3"/>
  <c r="A861" i="3"/>
  <c r="B861" i="3"/>
  <c r="C861" i="3"/>
  <c r="D861" i="3"/>
  <c r="E861" i="3"/>
  <c r="A862" i="3"/>
  <c r="B862" i="3"/>
  <c r="C862" i="3"/>
  <c r="D862" i="3"/>
  <c r="E862" i="3"/>
  <c r="A863" i="3"/>
  <c r="B863" i="3"/>
  <c r="C863" i="3"/>
  <c r="D863" i="3"/>
  <c r="E863" i="3"/>
  <c r="A864" i="3"/>
  <c r="B864" i="3"/>
  <c r="C864" i="3"/>
  <c r="D864" i="3"/>
  <c r="E864" i="3"/>
  <c r="A865" i="3"/>
  <c r="B865" i="3"/>
  <c r="C865" i="3"/>
  <c r="D865" i="3"/>
  <c r="E865" i="3"/>
  <c r="A866" i="3"/>
  <c r="B866" i="3"/>
  <c r="C866" i="3"/>
  <c r="D866" i="3"/>
  <c r="E866" i="3"/>
  <c r="A867" i="3"/>
  <c r="B867" i="3"/>
  <c r="C867" i="3"/>
  <c r="D867" i="3"/>
  <c r="E867" i="3"/>
  <c r="A868" i="3"/>
  <c r="B868" i="3"/>
  <c r="C868" i="3"/>
  <c r="D868" i="3"/>
  <c r="E868" i="3"/>
  <c r="A869" i="3"/>
  <c r="B869" i="3"/>
  <c r="C869" i="3"/>
  <c r="D869" i="3"/>
  <c r="E869" i="3"/>
  <c r="A870" i="3"/>
  <c r="B870" i="3"/>
  <c r="C870" i="3"/>
  <c r="D870" i="3"/>
  <c r="E870" i="3"/>
  <c r="G870" i="3" s="1"/>
  <c r="A871" i="3"/>
  <c r="B871" i="3"/>
  <c r="C871" i="3"/>
  <c r="D871" i="3"/>
  <c r="E871" i="3"/>
  <c r="A872" i="3"/>
  <c r="B872" i="3"/>
  <c r="C872" i="3"/>
  <c r="D872" i="3"/>
  <c r="E872" i="3"/>
  <c r="A873" i="3"/>
  <c r="B873" i="3"/>
  <c r="C873" i="3"/>
  <c r="D873" i="3"/>
  <c r="E873" i="3"/>
  <c r="A874" i="3"/>
  <c r="B874" i="3"/>
  <c r="C874" i="3"/>
  <c r="D874" i="3"/>
  <c r="E874" i="3"/>
  <c r="A875" i="3"/>
  <c r="B875" i="3"/>
  <c r="C875" i="3"/>
  <c r="D875" i="3"/>
  <c r="E875" i="3"/>
  <c r="A876" i="3"/>
  <c r="B876" i="3"/>
  <c r="C876" i="3"/>
  <c r="D876" i="3"/>
  <c r="E876" i="3"/>
  <c r="A877" i="3"/>
  <c r="B877" i="3"/>
  <c r="C877" i="3"/>
  <c r="D877" i="3"/>
  <c r="E877" i="3"/>
  <c r="A878" i="3"/>
  <c r="B878" i="3"/>
  <c r="C878" i="3"/>
  <c r="D878" i="3"/>
  <c r="E878" i="3"/>
  <c r="A879" i="3"/>
  <c r="B879" i="3"/>
  <c r="C879" i="3"/>
  <c r="D879" i="3"/>
  <c r="E879" i="3"/>
  <c r="A880" i="3"/>
  <c r="B880" i="3"/>
  <c r="C880" i="3"/>
  <c r="D880" i="3"/>
  <c r="E880" i="3"/>
  <c r="A881" i="3"/>
  <c r="B881" i="3"/>
  <c r="C881" i="3"/>
  <c r="D881" i="3"/>
  <c r="E881" i="3"/>
  <c r="A882" i="3"/>
  <c r="B882" i="3"/>
  <c r="C882" i="3"/>
  <c r="D882" i="3"/>
  <c r="E882" i="3"/>
  <c r="G882" i="3" s="1"/>
  <c r="A883" i="3"/>
  <c r="B883" i="3"/>
  <c r="C883" i="3"/>
  <c r="D883" i="3"/>
  <c r="E883" i="3"/>
  <c r="A884" i="3"/>
  <c r="B884" i="3"/>
  <c r="C884" i="3"/>
  <c r="D884" i="3"/>
  <c r="E884" i="3"/>
  <c r="A885" i="3"/>
  <c r="B885" i="3"/>
  <c r="C885" i="3"/>
  <c r="D885" i="3"/>
  <c r="E885" i="3"/>
  <c r="A886" i="3"/>
  <c r="B886" i="3"/>
  <c r="C886" i="3"/>
  <c r="D886" i="3"/>
  <c r="E886" i="3"/>
  <c r="A887" i="3"/>
  <c r="B887" i="3"/>
  <c r="C887" i="3"/>
  <c r="D887" i="3"/>
  <c r="E887" i="3"/>
  <c r="A888" i="3"/>
  <c r="B888" i="3"/>
  <c r="C888" i="3"/>
  <c r="D888" i="3"/>
  <c r="E888" i="3"/>
  <c r="A889" i="3"/>
  <c r="B889" i="3"/>
  <c r="C889" i="3"/>
  <c r="D889" i="3"/>
  <c r="E889" i="3"/>
  <c r="A890" i="3"/>
  <c r="B890" i="3"/>
  <c r="C890" i="3"/>
  <c r="D890" i="3"/>
  <c r="E890" i="3"/>
  <c r="A891" i="3"/>
  <c r="B891" i="3"/>
  <c r="C891" i="3"/>
  <c r="D891" i="3"/>
  <c r="E891" i="3"/>
  <c r="A892" i="3"/>
  <c r="B892" i="3"/>
  <c r="C892" i="3"/>
  <c r="D892" i="3"/>
  <c r="E892" i="3"/>
  <c r="A893" i="3"/>
  <c r="B893" i="3"/>
  <c r="C893" i="3"/>
  <c r="D893" i="3"/>
  <c r="E893" i="3"/>
  <c r="A894" i="3"/>
  <c r="B894" i="3"/>
  <c r="C894" i="3"/>
  <c r="D894" i="3"/>
  <c r="E894" i="3"/>
  <c r="G894" i="3" s="1"/>
  <c r="A895" i="3"/>
  <c r="B895" i="3"/>
  <c r="C895" i="3"/>
  <c r="D895" i="3"/>
  <c r="E895" i="3"/>
  <c r="A896" i="3"/>
  <c r="B896" i="3"/>
  <c r="C896" i="3"/>
  <c r="D896" i="3"/>
  <c r="E896" i="3"/>
  <c r="A897" i="3"/>
  <c r="B897" i="3"/>
  <c r="C897" i="3"/>
  <c r="D897" i="3"/>
  <c r="E897" i="3"/>
  <c r="A898" i="3"/>
  <c r="B898" i="3"/>
  <c r="C898" i="3"/>
  <c r="D898" i="3"/>
  <c r="E898" i="3"/>
  <c r="A899" i="3"/>
  <c r="B899" i="3"/>
  <c r="C899" i="3"/>
  <c r="D899" i="3"/>
  <c r="E899" i="3"/>
  <c r="A900" i="3"/>
  <c r="B900" i="3"/>
  <c r="C900" i="3"/>
  <c r="D900" i="3"/>
  <c r="E900" i="3"/>
  <c r="A901" i="3"/>
  <c r="B901" i="3"/>
  <c r="C901" i="3"/>
  <c r="D901" i="3"/>
  <c r="E901" i="3"/>
  <c r="A902" i="3"/>
  <c r="B902" i="3"/>
  <c r="C902" i="3"/>
  <c r="D902" i="3"/>
  <c r="E902" i="3"/>
  <c r="A903" i="3"/>
  <c r="B903" i="3"/>
  <c r="C903" i="3"/>
  <c r="D903" i="3"/>
  <c r="E903" i="3"/>
  <c r="A904" i="3"/>
  <c r="B904" i="3"/>
  <c r="C904" i="3"/>
  <c r="F904" i="3" s="1"/>
  <c r="D904" i="3"/>
  <c r="E904" i="3"/>
  <c r="A905" i="3"/>
  <c r="B905" i="3"/>
  <c r="C905" i="3"/>
  <c r="D905" i="3"/>
  <c r="E905" i="3"/>
  <c r="A906" i="3"/>
  <c r="B906" i="3"/>
  <c r="C906" i="3"/>
  <c r="D906" i="3"/>
  <c r="E906" i="3"/>
  <c r="G906" i="3" s="1"/>
  <c r="A907" i="3"/>
  <c r="B907" i="3"/>
  <c r="C907" i="3"/>
  <c r="D907" i="3"/>
  <c r="E907" i="3"/>
  <c r="A908" i="3"/>
  <c r="B908" i="3"/>
  <c r="C908" i="3"/>
  <c r="D908" i="3"/>
  <c r="E908" i="3"/>
  <c r="A909" i="3"/>
  <c r="B909" i="3"/>
  <c r="C909" i="3"/>
  <c r="D909" i="3"/>
  <c r="E909" i="3"/>
  <c r="A910" i="3"/>
  <c r="B910" i="3"/>
  <c r="C910" i="3"/>
  <c r="D910" i="3"/>
  <c r="E910" i="3"/>
  <c r="A911" i="3"/>
  <c r="B911" i="3"/>
  <c r="C911" i="3"/>
  <c r="D911" i="3"/>
  <c r="E911" i="3"/>
  <c r="A912" i="3"/>
  <c r="B912" i="3"/>
  <c r="C912" i="3"/>
  <c r="D912" i="3"/>
  <c r="E912" i="3"/>
  <c r="A913" i="3"/>
  <c r="B913" i="3"/>
  <c r="C913" i="3"/>
  <c r="D913" i="3"/>
  <c r="E913" i="3"/>
  <c r="A914" i="3"/>
  <c r="B914" i="3"/>
  <c r="C914" i="3"/>
  <c r="D914" i="3"/>
  <c r="E914" i="3"/>
  <c r="A915" i="3"/>
  <c r="B915" i="3"/>
  <c r="C915" i="3"/>
  <c r="D915" i="3"/>
  <c r="E915" i="3"/>
  <c r="A916" i="3"/>
  <c r="B916" i="3"/>
  <c r="C916" i="3"/>
  <c r="D916" i="3"/>
  <c r="E916" i="3"/>
  <c r="A917" i="3"/>
  <c r="B917" i="3"/>
  <c r="C917" i="3"/>
  <c r="D917" i="3"/>
  <c r="E917" i="3"/>
  <c r="A918" i="3"/>
  <c r="B918" i="3"/>
  <c r="C918" i="3"/>
  <c r="D918" i="3"/>
  <c r="E918" i="3"/>
  <c r="G918" i="3" s="1"/>
  <c r="A919" i="3"/>
  <c r="B919" i="3"/>
  <c r="C919" i="3"/>
  <c r="D919" i="3"/>
  <c r="E919" i="3"/>
  <c r="A920" i="3"/>
  <c r="B920" i="3"/>
  <c r="C920" i="3"/>
  <c r="D920" i="3"/>
  <c r="E920" i="3"/>
  <c r="A921" i="3"/>
  <c r="B921" i="3"/>
  <c r="C921" i="3"/>
  <c r="D921" i="3"/>
  <c r="E921" i="3"/>
  <c r="A922" i="3"/>
  <c r="B922" i="3"/>
  <c r="C922" i="3"/>
  <c r="D922" i="3"/>
  <c r="E922" i="3"/>
  <c r="A923" i="3"/>
  <c r="B923" i="3"/>
  <c r="C923" i="3"/>
  <c r="D923" i="3"/>
  <c r="E923" i="3"/>
  <c r="A924" i="3"/>
  <c r="B924" i="3"/>
  <c r="C924" i="3"/>
  <c r="D924" i="3"/>
  <c r="E924" i="3"/>
  <c r="A925" i="3"/>
  <c r="B925" i="3"/>
  <c r="C925" i="3"/>
  <c r="D925" i="3"/>
  <c r="E925" i="3"/>
  <c r="A926" i="3"/>
  <c r="B926" i="3"/>
  <c r="C926" i="3"/>
  <c r="D926" i="3"/>
  <c r="E926" i="3"/>
  <c r="A927" i="3"/>
  <c r="B927" i="3"/>
  <c r="C927" i="3"/>
  <c r="D927" i="3"/>
  <c r="E927" i="3"/>
  <c r="A928" i="3"/>
  <c r="B928" i="3"/>
  <c r="C928" i="3"/>
  <c r="D928" i="3"/>
  <c r="E928" i="3"/>
  <c r="A929" i="3"/>
  <c r="B929" i="3"/>
  <c r="C929" i="3"/>
  <c r="D929" i="3"/>
  <c r="E929" i="3"/>
  <c r="A930" i="3"/>
  <c r="B930" i="3"/>
  <c r="C930" i="3"/>
  <c r="D930" i="3"/>
  <c r="E930" i="3"/>
  <c r="A931" i="3"/>
  <c r="B931" i="3"/>
  <c r="C931" i="3"/>
  <c r="D931" i="3"/>
  <c r="E931" i="3"/>
  <c r="A932" i="3"/>
  <c r="B932" i="3"/>
  <c r="C932" i="3"/>
  <c r="D932" i="3"/>
  <c r="E932" i="3"/>
  <c r="A933" i="3"/>
  <c r="B933" i="3"/>
  <c r="C933" i="3"/>
  <c r="D933" i="3"/>
  <c r="E933" i="3"/>
  <c r="A934" i="3"/>
  <c r="B934" i="3"/>
  <c r="C934" i="3"/>
  <c r="D934" i="3"/>
  <c r="E934" i="3"/>
  <c r="A935" i="3"/>
  <c r="B935" i="3"/>
  <c r="C935" i="3"/>
  <c r="D935" i="3"/>
  <c r="E935" i="3"/>
  <c r="A936" i="3"/>
  <c r="B936" i="3"/>
  <c r="C936" i="3"/>
  <c r="D936" i="3"/>
  <c r="E936" i="3"/>
  <c r="A937" i="3"/>
  <c r="B937" i="3"/>
  <c r="C937" i="3"/>
  <c r="D937" i="3"/>
  <c r="E937" i="3"/>
  <c r="A938" i="3"/>
  <c r="B938" i="3"/>
  <c r="C938" i="3"/>
  <c r="D938" i="3"/>
  <c r="E938" i="3"/>
  <c r="A939" i="3"/>
  <c r="B939" i="3"/>
  <c r="C939" i="3"/>
  <c r="D939" i="3"/>
  <c r="E939" i="3"/>
  <c r="A940" i="3"/>
  <c r="B940" i="3"/>
  <c r="C940" i="3"/>
  <c r="F940" i="3" s="1"/>
  <c r="D940" i="3"/>
  <c r="E940" i="3"/>
  <c r="A941" i="3"/>
  <c r="B941" i="3"/>
  <c r="C941" i="3"/>
  <c r="D941" i="3"/>
  <c r="E941" i="3"/>
  <c r="A942" i="3"/>
  <c r="B942" i="3"/>
  <c r="C942" i="3"/>
  <c r="D942" i="3"/>
  <c r="E942" i="3"/>
  <c r="G942" i="3" s="1"/>
  <c r="A943" i="3"/>
  <c r="B943" i="3"/>
  <c r="C943" i="3"/>
  <c r="D943" i="3"/>
  <c r="E943" i="3"/>
  <c r="A944" i="3"/>
  <c r="B944" i="3"/>
  <c r="C944" i="3"/>
  <c r="D944" i="3"/>
  <c r="E944" i="3"/>
  <c r="A945" i="3"/>
  <c r="B945" i="3"/>
  <c r="C945" i="3"/>
  <c r="D945" i="3"/>
  <c r="E945" i="3"/>
  <c r="A946" i="3"/>
  <c r="B946" i="3"/>
  <c r="C946" i="3"/>
  <c r="D946" i="3"/>
  <c r="E946" i="3"/>
  <c r="A947" i="3"/>
  <c r="B947" i="3"/>
  <c r="C947" i="3"/>
  <c r="D947" i="3"/>
  <c r="E947" i="3"/>
  <c r="A948" i="3"/>
  <c r="B948" i="3"/>
  <c r="C948" i="3"/>
  <c r="D948" i="3"/>
  <c r="E948" i="3"/>
  <c r="A949" i="3"/>
  <c r="B949" i="3"/>
  <c r="C949" i="3"/>
  <c r="D949" i="3"/>
  <c r="E949" i="3"/>
  <c r="A950" i="3"/>
  <c r="B950" i="3"/>
  <c r="C950" i="3"/>
  <c r="D950" i="3"/>
  <c r="E950" i="3"/>
  <c r="A951" i="3"/>
  <c r="B951" i="3"/>
  <c r="C951" i="3"/>
  <c r="D951" i="3"/>
  <c r="E951" i="3"/>
  <c r="A952" i="3"/>
  <c r="B952" i="3"/>
  <c r="C952" i="3"/>
  <c r="D952" i="3"/>
  <c r="E952" i="3"/>
  <c r="A953" i="3"/>
  <c r="B953" i="3"/>
  <c r="C953" i="3"/>
  <c r="D953" i="3"/>
  <c r="E953" i="3"/>
  <c r="A954" i="3"/>
  <c r="B954" i="3"/>
  <c r="C954" i="3"/>
  <c r="D954" i="3"/>
  <c r="E954" i="3"/>
  <c r="G954" i="3" s="1"/>
  <c r="A955" i="3"/>
  <c r="B955" i="3"/>
  <c r="C955" i="3"/>
  <c r="D955" i="3"/>
  <c r="E955" i="3"/>
  <c r="A956" i="3"/>
  <c r="B956" i="3"/>
  <c r="C956" i="3"/>
  <c r="D956" i="3"/>
  <c r="E956" i="3"/>
  <c r="A957" i="3"/>
  <c r="B957" i="3"/>
  <c r="C957" i="3"/>
  <c r="D957" i="3"/>
  <c r="E957" i="3"/>
  <c r="A958" i="3"/>
  <c r="B958" i="3"/>
  <c r="C958" i="3"/>
  <c r="D958" i="3"/>
  <c r="E958" i="3"/>
  <c r="A959" i="3"/>
  <c r="B959" i="3"/>
  <c r="C959" i="3"/>
  <c r="D959" i="3"/>
  <c r="E959" i="3"/>
  <c r="A960" i="3"/>
  <c r="B960" i="3"/>
  <c r="C960" i="3"/>
  <c r="D960" i="3"/>
  <c r="E960" i="3"/>
  <c r="A961" i="3"/>
  <c r="B961" i="3"/>
  <c r="C961" i="3"/>
  <c r="D961" i="3"/>
  <c r="E961" i="3"/>
  <c r="A962" i="3"/>
  <c r="B962" i="3"/>
  <c r="C962" i="3"/>
  <c r="D962" i="3"/>
  <c r="E962" i="3"/>
  <c r="A963" i="3"/>
  <c r="B963" i="3"/>
  <c r="C963" i="3"/>
  <c r="D963" i="3"/>
  <c r="E963" i="3"/>
  <c r="A964" i="3"/>
  <c r="B964" i="3"/>
  <c r="C964" i="3"/>
  <c r="F964" i="3" s="1"/>
  <c r="D964" i="3"/>
  <c r="E964" i="3"/>
  <c r="A965" i="3"/>
  <c r="B965" i="3"/>
  <c r="C965" i="3"/>
  <c r="D965" i="3"/>
  <c r="E965" i="3"/>
  <c r="A966" i="3"/>
  <c r="B966" i="3"/>
  <c r="C966" i="3"/>
  <c r="D966" i="3"/>
  <c r="E966" i="3"/>
  <c r="G966" i="3" s="1"/>
  <c r="A967" i="3"/>
  <c r="B967" i="3"/>
  <c r="C967" i="3"/>
  <c r="D967" i="3"/>
  <c r="E967" i="3"/>
  <c r="A968" i="3"/>
  <c r="B968" i="3"/>
  <c r="C968" i="3"/>
  <c r="D968" i="3"/>
  <c r="E968" i="3"/>
  <c r="A969" i="3"/>
  <c r="B969" i="3"/>
  <c r="C969" i="3"/>
  <c r="D969" i="3"/>
  <c r="E969" i="3"/>
  <c r="A970" i="3"/>
  <c r="B970" i="3"/>
  <c r="C970" i="3"/>
  <c r="D970" i="3"/>
  <c r="E970" i="3"/>
  <c r="A971" i="3"/>
  <c r="B971" i="3"/>
  <c r="C971" i="3"/>
  <c r="D971" i="3"/>
  <c r="E971" i="3"/>
  <c r="A972" i="3"/>
  <c r="B972" i="3"/>
  <c r="C972" i="3"/>
  <c r="D972" i="3"/>
  <c r="E972" i="3"/>
  <c r="A973" i="3"/>
  <c r="B973" i="3"/>
  <c r="C973" i="3"/>
  <c r="D973" i="3"/>
  <c r="E973" i="3"/>
  <c r="A974" i="3"/>
  <c r="B974" i="3"/>
  <c r="C974" i="3"/>
  <c r="D974" i="3"/>
  <c r="E974" i="3"/>
  <c r="A975" i="3"/>
  <c r="B975" i="3"/>
  <c r="C975" i="3"/>
  <c r="D975" i="3"/>
  <c r="E975" i="3"/>
  <c r="A976" i="3"/>
  <c r="B976" i="3"/>
  <c r="C976" i="3"/>
  <c r="D976" i="3"/>
  <c r="E976" i="3"/>
  <c r="A977" i="3"/>
  <c r="B977" i="3"/>
  <c r="C977" i="3"/>
  <c r="D977" i="3"/>
  <c r="E977" i="3"/>
  <c r="A978" i="3"/>
  <c r="B978" i="3"/>
  <c r="C978" i="3"/>
  <c r="D978" i="3"/>
  <c r="E978" i="3"/>
  <c r="G978" i="3" s="1"/>
  <c r="A979" i="3"/>
  <c r="B979" i="3"/>
  <c r="C979" i="3"/>
  <c r="D979" i="3"/>
  <c r="E979" i="3"/>
  <c r="A980" i="3"/>
  <c r="B980" i="3"/>
  <c r="C980" i="3"/>
  <c r="D980" i="3"/>
  <c r="E980" i="3"/>
  <c r="A981" i="3"/>
  <c r="B981" i="3"/>
  <c r="C981" i="3"/>
  <c r="D981" i="3"/>
  <c r="E981" i="3"/>
  <c r="A982" i="3"/>
  <c r="B982" i="3"/>
  <c r="C982" i="3"/>
  <c r="D982" i="3"/>
  <c r="E982" i="3"/>
  <c r="A983" i="3"/>
  <c r="B983" i="3"/>
  <c r="C983" i="3"/>
  <c r="D983" i="3"/>
  <c r="E983" i="3"/>
  <c r="A984" i="3"/>
  <c r="B984" i="3"/>
  <c r="C984" i="3"/>
  <c r="D984" i="3"/>
  <c r="E984" i="3"/>
  <c r="A985" i="3"/>
  <c r="B985" i="3"/>
  <c r="C985" i="3"/>
  <c r="D985" i="3"/>
  <c r="E985" i="3"/>
  <c r="A986" i="3"/>
  <c r="B986" i="3"/>
  <c r="C986" i="3"/>
  <c r="D986" i="3"/>
  <c r="E986" i="3"/>
  <c r="A987" i="3"/>
  <c r="B987" i="3"/>
  <c r="C987" i="3"/>
  <c r="D987" i="3"/>
  <c r="E987" i="3"/>
  <c r="A988" i="3"/>
  <c r="B988" i="3"/>
  <c r="C988" i="3"/>
  <c r="D988" i="3"/>
  <c r="E988" i="3"/>
  <c r="A989" i="3"/>
  <c r="B989" i="3"/>
  <c r="C989" i="3"/>
  <c r="D989" i="3"/>
  <c r="E989" i="3"/>
  <c r="A990" i="3"/>
  <c r="B990" i="3"/>
  <c r="C990" i="3"/>
  <c r="D990" i="3"/>
  <c r="E990" i="3"/>
  <c r="G990" i="3" s="1"/>
  <c r="A991" i="3"/>
  <c r="B991" i="3"/>
  <c r="C991" i="3"/>
  <c r="D991" i="3"/>
  <c r="E991" i="3"/>
  <c r="A992" i="3"/>
  <c r="B992" i="3"/>
  <c r="C992" i="3"/>
  <c r="D992" i="3"/>
  <c r="E992" i="3"/>
  <c r="A993" i="3"/>
  <c r="B993" i="3"/>
  <c r="C993" i="3"/>
  <c r="D993" i="3"/>
  <c r="E993" i="3"/>
  <c r="A994" i="3"/>
  <c r="B994" i="3"/>
  <c r="C994" i="3"/>
  <c r="D994" i="3"/>
  <c r="E994" i="3"/>
  <c r="A995" i="3"/>
  <c r="B995" i="3"/>
  <c r="C995" i="3"/>
  <c r="D995" i="3"/>
  <c r="E995" i="3"/>
  <c r="A996" i="3"/>
  <c r="B996" i="3"/>
  <c r="C996" i="3"/>
  <c r="D996" i="3"/>
  <c r="E996" i="3"/>
  <c r="A997" i="3"/>
  <c r="B997" i="3"/>
  <c r="C997" i="3"/>
  <c r="D997" i="3"/>
  <c r="E997" i="3"/>
  <c r="A998" i="3"/>
  <c r="B998" i="3"/>
  <c r="C998" i="3"/>
  <c r="D998" i="3"/>
  <c r="E998" i="3"/>
  <c r="A999" i="3"/>
  <c r="B999" i="3"/>
  <c r="C999" i="3"/>
  <c r="D999" i="3"/>
  <c r="E999" i="3"/>
  <c r="A1000" i="3"/>
  <c r="B1000" i="3"/>
  <c r="C1000" i="3"/>
  <c r="F1000" i="3" s="1"/>
  <c r="D1000" i="3"/>
  <c r="E1000" i="3"/>
  <c r="A1001" i="3"/>
  <c r="B1001" i="3"/>
  <c r="C1001" i="3"/>
  <c r="D1001" i="3"/>
  <c r="E1001" i="3"/>
  <c r="A1002" i="3"/>
  <c r="B1002" i="3"/>
  <c r="C1002" i="3"/>
  <c r="D1002" i="3"/>
  <c r="E1002" i="3"/>
  <c r="G1002" i="3" s="1"/>
  <c r="A1003" i="3"/>
  <c r="B1003" i="3"/>
  <c r="C1003" i="3"/>
  <c r="D1003" i="3"/>
  <c r="E1003" i="3"/>
  <c r="A1004" i="3"/>
  <c r="B1004" i="3"/>
  <c r="C1004" i="3"/>
  <c r="D1004" i="3"/>
  <c r="E1004" i="3"/>
  <c r="A1005" i="3"/>
  <c r="B1005" i="3"/>
  <c r="C1005" i="3"/>
  <c r="D1005" i="3"/>
  <c r="E1005" i="3"/>
  <c r="A1006" i="3"/>
  <c r="B1006" i="3"/>
  <c r="C1006" i="3"/>
  <c r="D1006" i="3"/>
  <c r="E1006" i="3"/>
  <c r="A1007" i="3"/>
  <c r="B1007" i="3"/>
  <c r="C1007" i="3"/>
  <c r="D1007" i="3"/>
  <c r="E1007" i="3"/>
  <c r="A1008" i="3"/>
  <c r="B1008" i="3"/>
  <c r="C1008" i="3"/>
  <c r="D1008" i="3"/>
  <c r="E1008" i="3"/>
  <c r="A1009" i="3"/>
  <c r="B1009" i="3"/>
  <c r="C1009" i="3"/>
  <c r="D1009" i="3"/>
  <c r="E1009" i="3"/>
  <c r="A1010" i="3"/>
  <c r="B1010" i="3"/>
  <c r="C1010" i="3"/>
  <c r="D1010" i="3"/>
  <c r="E1010" i="3"/>
  <c r="A1011" i="3"/>
  <c r="B1011" i="3"/>
  <c r="C1011" i="3"/>
  <c r="D1011" i="3"/>
  <c r="E1011" i="3"/>
  <c r="A1012" i="3"/>
  <c r="B1012" i="3"/>
  <c r="C1012" i="3"/>
  <c r="D1012" i="3"/>
  <c r="E1012" i="3"/>
  <c r="A1013" i="3"/>
  <c r="B1013" i="3"/>
  <c r="C1013" i="3"/>
  <c r="D1013" i="3"/>
  <c r="E1013" i="3"/>
  <c r="A1014" i="3"/>
  <c r="B1014" i="3"/>
  <c r="C1014" i="3"/>
  <c r="D1014" i="3"/>
  <c r="E1014" i="3"/>
  <c r="G1014" i="3" s="1"/>
  <c r="A1015" i="3"/>
  <c r="B1015" i="3"/>
  <c r="C1015" i="3"/>
  <c r="D1015" i="3"/>
  <c r="E1015" i="3"/>
  <c r="A1016" i="3"/>
  <c r="B1016" i="3"/>
  <c r="C1016" i="3"/>
  <c r="D1016" i="3"/>
  <c r="E1016" i="3"/>
  <c r="A1017" i="3"/>
  <c r="B1017" i="3"/>
  <c r="C1017" i="3"/>
  <c r="D1017" i="3"/>
  <c r="E1017" i="3"/>
  <c r="A1018" i="3"/>
  <c r="B1018" i="3"/>
  <c r="C1018" i="3"/>
  <c r="D1018" i="3"/>
  <c r="E1018" i="3"/>
  <c r="A1019" i="3"/>
  <c r="B1019" i="3"/>
  <c r="C1019" i="3"/>
  <c r="D1019" i="3"/>
  <c r="E1019" i="3"/>
  <c r="A1020" i="3"/>
  <c r="B1020" i="3"/>
  <c r="C1020" i="3"/>
  <c r="D1020" i="3"/>
  <c r="E1020" i="3"/>
  <c r="A1021" i="3"/>
  <c r="B1021" i="3"/>
  <c r="C1021" i="3"/>
  <c r="D1021" i="3"/>
  <c r="E1021" i="3"/>
  <c r="A1022" i="3"/>
  <c r="B1022" i="3"/>
  <c r="C1022" i="3"/>
  <c r="D1022" i="3"/>
  <c r="E1022" i="3"/>
  <c r="A1023" i="3"/>
  <c r="B1023" i="3"/>
  <c r="C1023" i="3"/>
  <c r="D1023" i="3"/>
  <c r="E1023" i="3"/>
  <c r="A1024" i="3"/>
  <c r="B1024" i="3"/>
  <c r="C1024" i="3"/>
  <c r="F1024" i="3" s="1"/>
  <c r="D1024" i="3"/>
  <c r="E1024" i="3"/>
  <c r="A1025" i="3"/>
  <c r="B1025" i="3"/>
  <c r="C1025" i="3"/>
  <c r="D1025" i="3"/>
  <c r="E1025" i="3"/>
  <c r="A1026" i="3"/>
  <c r="B1026" i="3"/>
  <c r="C1026" i="3"/>
  <c r="D1026" i="3"/>
  <c r="E1026" i="3"/>
  <c r="G1026" i="3" s="1"/>
  <c r="A1027" i="3"/>
  <c r="B1027" i="3"/>
  <c r="C1027" i="3"/>
  <c r="D1027" i="3"/>
  <c r="E1027" i="3"/>
  <c r="A1028" i="3"/>
  <c r="B1028" i="3"/>
  <c r="C1028" i="3"/>
  <c r="D1028" i="3"/>
  <c r="E1028" i="3"/>
  <c r="A1029" i="3"/>
  <c r="B1029" i="3"/>
  <c r="C1029" i="3"/>
  <c r="D1029" i="3"/>
  <c r="E1029" i="3"/>
  <c r="A1030" i="3"/>
  <c r="B1030" i="3"/>
  <c r="C1030" i="3"/>
  <c r="D1030" i="3"/>
  <c r="E1030" i="3"/>
  <c r="A1031" i="3"/>
  <c r="B1031" i="3"/>
  <c r="C1031" i="3"/>
  <c r="D1031" i="3"/>
  <c r="E1031" i="3"/>
  <c r="A1032" i="3"/>
  <c r="B1032" i="3"/>
  <c r="C1032" i="3"/>
  <c r="D1032" i="3"/>
  <c r="E1032" i="3"/>
  <c r="A1033" i="3"/>
  <c r="B1033" i="3"/>
  <c r="C1033" i="3"/>
  <c r="D1033" i="3"/>
  <c r="E1033" i="3"/>
  <c r="A1034" i="3"/>
  <c r="B1034" i="3"/>
  <c r="C1034" i="3"/>
  <c r="D1034" i="3"/>
  <c r="E1034" i="3"/>
  <c r="A1035" i="3"/>
  <c r="B1035" i="3"/>
  <c r="C1035" i="3"/>
  <c r="D1035" i="3"/>
  <c r="E1035" i="3"/>
  <c r="A1036" i="3"/>
  <c r="B1036" i="3"/>
  <c r="C1036" i="3"/>
  <c r="F1036" i="3" s="1"/>
  <c r="D1036" i="3"/>
  <c r="E1036" i="3"/>
  <c r="A1037" i="3"/>
  <c r="B1037" i="3"/>
  <c r="C1037" i="3"/>
  <c r="D1037" i="3"/>
  <c r="E1037" i="3"/>
  <c r="A1038" i="3"/>
  <c r="B1038" i="3"/>
  <c r="C1038" i="3"/>
  <c r="D1038" i="3"/>
  <c r="E1038" i="3"/>
  <c r="G1038" i="3" s="1"/>
  <c r="A1039" i="3"/>
  <c r="B1039" i="3"/>
  <c r="C1039" i="3"/>
  <c r="D1039" i="3"/>
  <c r="E1039" i="3"/>
  <c r="A1040" i="3"/>
  <c r="B1040" i="3"/>
  <c r="C1040" i="3"/>
  <c r="D1040" i="3"/>
  <c r="E1040" i="3"/>
  <c r="A1041" i="3"/>
  <c r="B1041" i="3"/>
  <c r="C1041" i="3"/>
  <c r="D1041" i="3"/>
  <c r="E1041" i="3"/>
  <c r="A1042" i="3"/>
  <c r="B1042" i="3"/>
  <c r="C1042" i="3"/>
  <c r="D1042" i="3"/>
  <c r="E1042" i="3"/>
  <c r="A1043" i="3"/>
  <c r="B1043" i="3"/>
  <c r="C1043" i="3"/>
  <c r="D1043" i="3"/>
  <c r="E1043" i="3"/>
  <c r="A1044" i="3"/>
  <c r="B1044" i="3"/>
  <c r="C1044" i="3"/>
  <c r="D1044" i="3"/>
  <c r="E1044" i="3"/>
  <c r="A1045" i="3"/>
  <c r="B1045" i="3"/>
  <c r="C1045" i="3"/>
  <c r="D1045" i="3"/>
  <c r="E1045" i="3"/>
  <c r="A1046" i="3"/>
  <c r="B1046" i="3"/>
  <c r="C1046" i="3"/>
  <c r="D1046" i="3"/>
  <c r="E1046" i="3"/>
  <c r="A1047" i="3"/>
  <c r="B1047" i="3"/>
  <c r="C1047" i="3"/>
  <c r="D1047" i="3"/>
  <c r="E1047" i="3"/>
  <c r="A1048" i="3"/>
  <c r="B1048" i="3"/>
  <c r="C1048" i="3"/>
  <c r="F1048" i="3" s="1"/>
  <c r="D1048" i="3"/>
  <c r="E1048" i="3"/>
  <c r="A1049" i="3"/>
  <c r="B1049" i="3"/>
  <c r="C1049" i="3"/>
  <c r="D1049" i="3"/>
  <c r="E1049" i="3"/>
  <c r="A1050" i="3"/>
  <c r="B1050" i="3"/>
  <c r="C1050" i="3"/>
  <c r="D1050" i="3"/>
  <c r="E1050" i="3"/>
  <c r="G1050" i="3" s="1"/>
  <c r="A1051" i="3"/>
  <c r="B1051" i="3"/>
  <c r="C1051" i="3"/>
  <c r="D1051" i="3"/>
  <c r="E1051" i="3"/>
  <c r="A1052" i="3"/>
  <c r="B1052" i="3"/>
  <c r="C1052" i="3"/>
  <c r="D1052" i="3"/>
  <c r="E1052" i="3"/>
  <c r="A1053" i="3"/>
  <c r="B1053" i="3"/>
  <c r="C1053" i="3"/>
  <c r="D1053" i="3"/>
  <c r="E1053" i="3"/>
  <c r="A1054" i="3"/>
  <c r="B1054" i="3"/>
  <c r="C1054" i="3"/>
  <c r="D1054" i="3"/>
  <c r="E1054" i="3"/>
  <c r="A1055" i="3"/>
  <c r="B1055" i="3"/>
  <c r="C1055" i="3"/>
  <c r="D1055" i="3"/>
  <c r="E1055" i="3"/>
  <c r="A1056" i="3"/>
  <c r="B1056" i="3"/>
  <c r="C1056" i="3"/>
  <c r="D1056" i="3"/>
  <c r="E1056" i="3"/>
  <c r="A1057" i="3"/>
  <c r="B1057" i="3"/>
  <c r="C1057" i="3"/>
  <c r="D1057" i="3"/>
  <c r="E1057" i="3"/>
  <c r="A1058" i="3"/>
  <c r="B1058" i="3"/>
  <c r="C1058" i="3"/>
  <c r="D1058" i="3"/>
  <c r="E1058" i="3"/>
  <c r="A1059" i="3"/>
  <c r="B1059" i="3"/>
  <c r="C1059" i="3"/>
  <c r="D1059" i="3"/>
  <c r="E1059" i="3"/>
  <c r="A1060" i="3"/>
  <c r="B1060" i="3"/>
  <c r="C1060" i="3"/>
  <c r="F1060" i="3" s="1"/>
  <c r="D1060" i="3"/>
  <c r="E1060" i="3"/>
  <c r="A1061" i="3"/>
  <c r="B1061" i="3"/>
  <c r="C1061" i="3"/>
  <c r="D1061" i="3"/>
  <c r="E1061" i="3"/>
  <c r="A1062" i="3"/>
  <c r="B1062" i="3"/>
  <c r="C1062" i="3"/>
  <c r="D1062" i="3"/>
  <c r="E1062" i="3"/>
  <c r="G1062" i="3" s="1"/>
  <c r="A1063" i="3"/>
  <c r="B1063" i="3"/>
  <c r="C1063" i="3"/>
  <c r="D1063" i="3"/>
  <c r="E1063" i="3"/>
  <c r="A1064" i="3"/>
  <c r="B1064" i="3"/>
  <c r="C1064" i="3"/>
  <c r="D1064" i="3"/>
  <c r="E1064" i="3"/>
  <c r="A1065" i="3"/>
  <c r="B1065" i="3"/>
  <c r="C1065" i="3"/>
  <c r="D1065" i="3"/>
  <c r="E1065" i="3"/>
  <c r="A1066" i="3"/>
  <c r="B1066" i="3"/>
  <c r="C1066" i="3"/>
  <c r="D1066" i="3"/>
  <c r="E1066" i="3"/>
  <c r="A1067" i="3"/>
  <c r="B1067" i="3"/>
  <c r="C1067" i="3"/>
  <c r="D1067" i="3"/>
  <c r="E1067" i="3"/>
  <c r="A1068" i="3"/>
  <c r="B1068" i="3"/>
  <c r="C1068" i="3"/>
  <c r="D1068" i="3"/>
  <c r="E1068" i="3"/>
  <c r="A1069" i="3"/>
  <c r="B1069" i="3"/>
  <c r="C1069" i="3"/>
  <c r="D1069" i="3"/>
  <c r="E1069" i="3"/>
  <c r="A1070" i="3"/>
  <c r="B1070" i="3"/>
  <c r="C1070" i="3"/>
  <c r="D1070" i="3"/>
  <c r="E1070" i="3"/>
  <c r="A1071" i="3"/>
  <c r="B1071" i="3"/>
  <c r="C1071" i="3"/>
  <c r="D1071" i="3"/>
  <c r="E1071" i="3"/>
  <c r="A1072" i="3"/>
  <c r="B1072" i="3"/>
  <c r="C1072" i="3"/>
  <c r="F1072" i="3" s="1"/>
  <c r="D1072" i="3"/>
  <c r="E1072" i="3"/>
  <c r="A1073" i="3"/>
  <c r="B1073" i="3"/>
  <c r="C1073" i="3"/>
  <c r="D1073" i="3"/>
  <c r="E1073" i="3"/>
  <c r="A1074" i="3"/>
  <c r="B1074" i="3"/>
  <c r="C1074" i="3"/>
  <c r="D1074" i="3"/>
  <c r="E1074" i="3"/>
  <c r="G1074" i="3" s="1"/>
  <c r="A1075" i="3"/>
  <c r="B1075" i="3"/>
  <c r="C1075" i="3"/>
  <c r="D1075" i="3"/>
  <c r="E1075" i="3"/>
  <c r="A1076" i="3"/>
  <c r="B1076" i="3"/>
  <c r="C1076" i="3"/>
  <c r="D1076" i="3"/>
  <c r="E1076" i="3"/>
  <c r="A1077" i="3"/>
  <c r="B1077" i="3"/>
  <c r="C1077" i="3"/>
  <c r="D1077" i="3"/>
  <c r="E1077" i="3"/>
  <c r="A1078" i="3"/>
  <c r="B1078" i="3"/>
  <c r="C1078" i="3"/>
  <c r="D1078" i="3"/>
  <c r="E1078" i="3"/>
  <c r="A1079" i="3"/>
  <c r="B1079" i="3"/>
  <c r="C1079" i="3"/>
  <c r="D1079" i="3"/>
  <c r="E1079" i="3"/>
  <c r="A1080" i="3"/>
  <c r="B1080" i="3"/>
  <c r="C1080" i="3"/>
  <c r="D1080" i="3"/>
  <c r="E1080" i="3"/>
  <c r="A1081" i="3"/>
  <c r="B1081" i="3"/>
  <c r="C1081" i="3"/>
  <c r="D1081" i="3"/>
  <c r="E1081" i="3"/>
  <c r="A1082" i="3"/>
  <c r="B1082" i="3"/>
  <c r="C1082" i="3"/>
  <c r="D1082" i="3"/>
  <c r="E1082" i="3"/>
  <c r="A1083" i="3"/>
  <c r="B1083" i="3"/>
  <c r="C1083" i="3"/>
  <c r="D1083" i="3"/>
  <c r="E1083" i="3"/>
  <c r="A1084" i="3"/>
  <c r="B1084" i="3"/>
  <c r="C1084" i="3"/>
  <c r="F1084" i="3" s="1"/>
  <c r="D1084" i="3"/>
  <c r="E1084" i="3"/>
  <c r="A1085" i="3"/>
  <c r="B1085" i="3"/>
  <c r="C1085" i="3"/>
  <c r="D1085" i="3"/>
  <c r="E1085" i="3"/>
  <c r="A1086" i="3"/>
  <c r="B1086" i="3"/>
  <c r="C1086" i="3"/>
  <c r="D1086" i="3"/>
  <c r="E1086" i="3"/>
  <c r="G1086" i="3" s="1"/>
  <c r="A1087" i="3"/>
  <c r="B1087" i="3"/>
  <c r="C1087" i="3"/>
  <c r="D1087" i="3"/>
  <c r="E1087" i="3"/>
  <c r="A1088" i="3"/>
  <c r="B1088" i="3"/>
  <c r="C1088" i="3"/>
  <c r="D1088" i="3"/>
  <c r="E1088" i="3"/>
  <c r="A1089" i="3"/>
  <c r="B1089" i="3"/>
  <c r="C1089" i="3"/>
  <c r="D1089" i="3"/>
  <c r="E1089" i="3"/>
  <c r="A1090" i="3"/>
  <c r="B1090" i="3"/>
  <c r="C1090" i="3"/>
  <c r="D1090" i="3"/>
  <c r="E1090" i="3"/>
  <c r="A1091" i="3"/>
  <c r="B1091" i="3"/>
  <c r="C1091" i="3"/>
  <c r="D1091" i="3"/>
  <c r="E1091" i="3"/>
  <c r="A1092" i="3"/>
  <c r="B1092" i="3"/>
  <c r="C1092" i="3"/>
  <c r="D1092" i="3"/>
  <c r="E1092" i="3"/>
  <c r="A1093" i="3"/>
  <c r="B1093" i="3"/>
  <c r="C1093" i="3"/>
  <c r="D1093" i="3"/>
  <c r="E1093" i="3"/>
  <c r="A1094" i="3"/>
  <c r="B1094" i="3"/>
  <c r="C1094" i="3"/>
  <c r="D1094" i="3"/>
  <c r="E1094" i="3"/>
  <c r="A1095" i="3"/>
  <c r="B1095" i="3"/>
  <c r="C1095" i="3"/>
  <c r="D1095" i="3"/>
  <c r="E1095" i="3"/>
  <c r="A1096" i="3"/>
  <c r="B1096" i="3"/>
  <c r="C1096" i="3"/>
  <c r="F1096" i="3" s="1"/>
  <c r="D1096" i="3"/>
  <c r="E1096" i="3"/>
  <c r="A1097" i="3"/>
  <c r="B1097" i="3"/>
  <c r="C1097" i="3"/>
  <c r="D1097" i="3"/>
  <c r="E1097" i="3"/>
  <c r="A1098" i="3"/>
  <c r="B1098" i="3"/>
  <c r="C1098" i="3"/>
  <c r="D1098" i="3"/>
  <c r="E1098" i="3"/>
  <c r="G1098" i="3" s="1"/>
  <c r="A1099" i="3"/>
  <c r="B1099" i="3"/>
  <c r="C1099" i="3"/>
  <c r="D1099" i="3"/>
  <c r="E1099" i="3"/>
  <c r="A1100" i="3"/>
  <c r="B1100" i="3"/>
  <c r="C1100" i="3"/>
  <c r="D1100" i="3"/>
  <c r="E1100" i="3"/>
  <c r="A1101" i="3"/>
  <c r="B1101" i="3"/>
  <c r="C1101" i="3"/>
  <c r="D1101" i="3"/>
  <c r="E1101" i="3"/>
  <c r="A1102" i="3"/>
  <c r="B1102" i="3"/>
  <c r="C1102" i="3"/>
  <c r="D1102" i="3"/>
  <c r="E1102" i="3"/>
  <c r="A1103" i="3"/>
  <c r="B1103" i="3"/>
  <c r="C1103" i="3"/>
  <c r="D1103" i="3"/>
  <c r="E1103" i="3"/>
  <c r="A1104" i="3"/>
  <c r="B1104" i="3"/>
  <c r="C1104" i="3"/>
  <c r="D1104" i="3"/>
  <c r="E1104" i="3"/>
  <c r="A1105" i="3"/>
  <c r="B1105" i="3"/>
  <c r="C1105" i="3"/>
  <c r="D1105" i="3"/>
  <c r="E1105" i="3"/>
  <c r="A1106" i="3"/>
  <c r="B1106" i="3"/>
  <c r="C1106" i="3"/>
  <c r="D1106" i="3"/>
  <c r="E1106" i="3"/>
  <c r="A1107" i="3"/>
  <c r="B1107" i="3"/>
  <c r="C1107" i="3"/>
  <c r="D1107" i="3"/>
  <c r="E1107" i="3"/>
  <c r="A1108" i="3"/>
  <c r="B1108" i="3"/>
  <c r="C1108" i="3"/>
  <c r="D1108" i="3"/>
  <c r="E1108" i="3"/>
  <c r="A1109" i="3"/>
  <c r="B1109" i="3"/>
  <c r="C1109" i="3"/>
  <c r="D1109" i="3"/>
  <c r="E1109" i="3"/>
  <c r="A1110" i="3"/>
  <c r="B1110" i="3"/>
  <c r="C1110" i="3"/>
  <c r="D1110" i="3"/>
  <c r="E1110" i="3"/>
  <c r="G1110" i="3" s="1"/>
  <c r="A1111" i="3"/>
  <c r="B1111" i="3"/>
  <c r="C1111" i="3"/>
  <c r="D1111" i="3"/>
  <c r="E1111" i="3"/>
  <c r="A1112" i="3"/>
  <c r="B1112" i="3"/>
  <c r="C1112" i="3"/>
  <c r="D1112" i="3"/>
  <c r="E1112" i="3"/>
  <c r="A1113" i="3"/>
  <c r="B1113" i="3"/>
  <c r="C1113" i="3"/>
  <c r="D1113" i="3"/>
  <c r="E1113" i="3"/>
  <c r="A1114" i="3"/>
  <c r="B1114" i="3"/>
  <c r="C1114" i="3"/>
  <c r="D1114" i="3"/>
  <c r="E1114" i="3"/>
  <c r="A1115" i="3"/>
  <c r="B1115" i="3"/>
  <c r="C1115" i="3"/>
  <c r="D1115" i="3"/>
  <c r="E1115" i="3"/>
  <c r="A1116" i="3"/>
  <c r="B1116" i="3"/>
  <c r="C1116" i="3"/>
  <c r="D1116" i="3"/>
  <c r="E1116" i="3"/>
  <c r="A1117" i="3"/>
  <c r="B1117" i="3"/>
  <c r="C1117" i="3"/>
  <c r="D1117" i="3"/>
  <c r="E1117" i="3"/>
  <c r="A1118" i="3"/>
  <c r="B1118" i="3"/>
  <c r="C1118" i="3"/>
  <c r="D1118" i="3"/>
  <c r="E1118" i="3"/>
  <c r="A1119" i="3"/>
  <c r="B1119" i="3"/>
  <c r="C1119" i="3"/>
  <c r="D1119" i="3"/>
  <c r="E1119" i="3"/>
  <c r="A1120" i="3"/>
  <c r="B1120" i="3"/>
  <c r="C1120" i="3"/>
  <c r="F1120" i="3" s="1"/>
  <c r="D1120" i="3"/>
  <c r="E1120" i="3"/>
  <c r="A1121" i="3"/>
  <c r="B1121" i="3"/>
  <c r="C1121" i="3"/>
  <c r="D1121" i="3"/>
  <c r="E1121" i="3"/>
  <c r="A1122" i="3"/>
  <c r="B1122" i="3"/>
  <c r="C1122" i="3"/>
  <c r="D1122" i="3"/>
  <c r="E1122" i="3"/>
  <c r="G1122" i="3" s="1"/>
  <c r="A1123" i="3"/>
  <c r="B1123" i="3"/>
  <c r="C1123" i="3"/>
  <c r="D1123" i="3"/>
  <c r="E1123" i="3"/>
  <c r="A1124" i="3"/>
  <c r="B1124" i="3"/>
  <c r="C1124" i="3"/>
  <c r="D1124" i="3"/>
  <c r="E1124" i="3"/>
  <c r="A1125" i="3"/>
  <c r="B1125" i="3"/>
  <c r="C1125" i="3"/>
  <c r="D1125" i="3"/>
  <c r="E1125" i="3"/>
  <c r="A1126" i="3"/>
  <c r="B1126" i="3"/>
  <c r="C1126" i="3"/>
  <c r="D1126" i="3"/>
  <c r="E1126" i="3"/>
  <c r="A1127" i="3"/>
  <c r="B1127" i="3"/>
  <c r="C1127" i="3"/>
  <c r="D1127" i="3"/>
  <c r="E1127" i="3"/>
  <c r="A1128" i="3"/>
  <c r="B1128" i="3"/>
  <c r="C1128" i="3"/>
  <c r="D1128" i="3"/>
  <c r="E1128" i="3"/>
  <c r="A1129" i="3"/>
  <c r="B1129" i="3"/>
  <c r="C1129" i="3"/>
  <c r="D1129" i="3"/>
  <c r="E1129" i="3"/>
  <c r="A1130" i="3"/>
  <c r="B1130" i="3"/>
  <c r="C1130" i="3"/>
  <c r="D1130" i="3"/>
  <c r="E1130" i="3"/>
  <c r="A1131" i="3"/>
  <c r="B1131" i="3"/>
  <c r="C1131" i="3"/>
  <c r="D1131" i="3"/>
  <c r="E1131" i="3"/>
  <c r="A1132" i="3"/>
  <c r="B1132" i="3"/>
  <c r="C1132" i="3"/>
  <c r="F1132" i="3" s="1"/>
  <c r="D1132" i="3"/>
  <c r="E1132" i="3"/>
  <c r="A1133" i="3"/>
  <c r="B1133" i="3"/>
  <c r="C1133" i="3"/>
  <c r="D1133" i="3"/>
  <c r="E1133" i="3"/>
  <c r="A1134" i="3"/>
  <c r="B1134" i="3"/>
  <c r="C1134" i="3"/>
  <c r="D1134" i="3"/>
  <c r="E1134" i="3"/>
  <c r="G1134" i="3" s="1"/>
  <c r="A1135" i="3"/>
  <c r="B1135" i="3"/>
  <c r="C1135" i="3"/>
  <c r="D1135" i="3"/>
  <c r="E1135" i="3"/>
  <c r="A1136" i="3"/>
  <c r="B1136" i="3"/>
  <c r="C1136" i="3"/>
  <c r="D1136" i="3"/>
  <c r="E1136" i="3"/>
  <c r="A1137" i="3"/>
  <c r="B1137" i="3"/>
  <c r="C1137" i="3"/>
  <c r="D1137" i="3"/>
  <c r="E1137" i="3"/>
  <c r="A1138" i="3"/>
  <c r="B1138" i="3"/>
  <c r="C1138" i="3"/>
  <c r="D1138" i="3"/>
  <c r="E1138" i="3"/>
  <c r="A1139" i="3"/>
  <c r="B1139" i="3"/>
  <c r="C1139" i="3"/>
  <c r="D1139" i="3"/>
  <c r="E1139" i="3"/>
  <c r="A1140" i="3"/>
  <c r="B1140" i="3"/>
  <c r="C1140" i="3"/>
  <c r="D1140" i="3"/>
  <c r="E1140" i="3"/>
  <c r="A1141" i="3"/>
  <c r="B1141" i="3"/>
  <c r="C1141" i="3"/>
  <c r="D1141" i="3"/>
  <c r="E1141" i="3"/>
  <c r="A1142" i="3"/>
  <c r="B1142" i="3"/>
  <c r="C1142" i="3"/>
  <c r="D1142" i="3"/>
  <c r="E1142" i="3"/>
  <c r="A1143" i="3"/>
  <c r="B1143" i="3"/>
  <c r="C1143" i="3"/>
  <c r="D1143" i="3"/>
  <c r="E1143" i="3"/>
  <c r="A1144" i="3"/>
  <c r="B1144" i="3"/>
  <c r="C1144" i="3"/>
  <c r="F1144" i="3" s="1"/>
  <c r="D1144" i="3"/>
  <c r="E1144" i="3"/>
  <c r="A1145" i="3"/>
  <c r="B1145" i="3"/>
  <c r="C1145" i="3"/>
  <c r="D1145" i="3"/>
  <c r="E1145" i="3"/>
  <c r="A1146" i="3"/>
  <c r="B1146" i="3"/>
  <c r="C1146" i="3"/>
  <c r="D1146" i="3"/>
  <c r="E1146" i="3"/>
  <c r="G1146" i="3" s="1"/>
  <c r="A1147" i="3"/>
  <c r="B1147" i="3"/>
  <c r="C1147" i="3"/>
  <c r="D1147" i="3"/>
  <c r="E1147" i="3"/>
  <c r="A1148" i="3"/>
  <c r="B1148" i="3"/>
  <c r="C1148" i="3"/>
  <c r="D1148" i="3"/>
  <c r="E1148" i="3"/>
  <c r="A1149" i="3"/>
  <c r="B1149" i="3"/>
  <c r="C1149" i="3"/>
  <c r="D1149" i="3"/>
  <c r="E1149" i="3"/>
  <c r="A1150" i="3"/>
  <c r="B1150" i="3"/>
  <c r="C1150" i="3"/>
  <c r="D1150" i="3"/>
  <c r="E1150" i="3"/>
  <c r="A1151" i="3"/>
  <c r="B1151" i="3"/>
  <c r="C1151" i="3"/>
  <c r="D1151" i="3"/>
  <c r="E1151" i="3"/>
  <c r="A1152" i="3"/>
  <c r="B1152" i="3"/>
  <c r="C1152" i="3"/>
  <c r="D1152" i="3"/>
  <c r="E1152" i="3"/>
  <c r="A1153" i="3"/>
  <c r="B1153" i="3"/>
  <c r="C1153" i="3"/>
  <c r="D1153" i="3"/>
  <c r="E1153" i="3"/>
  <c r="A1154" i="3"/>
  <c r="B1154" i="3"/>
  <c r="C1154" i="3"/>
  <c r="D1154" i="3"/>
  <c r="E1154" i="3"/>
  <c r="A1155" i="3"/>
  <c r="B1155" i="3"/>
  <c r="C1155" i="3"/>
  <c r="D1155" i="3"/>
  <c r="E1155" i="3"/>
  <c r="A1156" i="3"/>
  <c r="B1156" i="3"/>
  <c r="C1156" i="3"/>
  <c r="F1156" i="3" s="1"/>
  <c r="D1156" i="3"/>
  <c r="E1156" i="3"/>
  <c r="A1157" i="3"/>
  <c r="B1157" i="3"/>
  <c r="C1157" i="3"/>
  <c r="D1157" i="3"/>
  <c r="E1157" i="3"/>
  <c r="A1158" i="3"/>
  <c r="B1158" i="3"/>
  <c r="C1158" i="3"/>
  <c r="D1158" i="3"/>
  <c r="E1158" i="3"/>
  <c r="G1158" i="3" s="1"/>
  <c r="A1159" i="3"/>
  <c r="B1159" i="3"/>
  <c r="C1159" i="3"/>
  <c r="D1159" i="3"/>
  <c r="E1159" i="3"/>
  <c r="A1160" i="3"/>
  <c r="B1160" i="3"/>
  <c r="C1160" i="3"/>
  <c r="D1160" i="3"/>
  <c r="E1160" i="3"/>
  <c r="A1161" i="3"/>
  <c r="B1161" i="3"/>
  <c r="C1161" i="3"/>
  <c r="D1161" i="3"/>
  <c r="E1161" i="3"/>
  <c r="A1162" i="3"/>
  <c r="B1162" i="3"/>
  <c r="C1162" i="3"/>
  <c r="D1162" i="3"/>
  <c r="E1162" i="3"/>
  <c r="A1163" i="3"/>
  <c r="B1163" i="3"/>
  <c r="C1163" i="3"/>
  <c r="D1163" i="3"/>
  <c r="E1163" i="3"/>
  <c r="A1164" i="3"/>
  <c r="B1164" i="3"/>
  <c r="C1164" i="3"/>
  <c r="D1164" i="3"/>
  <c r="E1164" i="3"/>
  <c r="A1165" i="3"/>
  <c r="B1165" i="3"/>
  <c r="C1165" i="3"/>
  <c r="D1165" i="3"/>
  <c r="E1165" i="3"/>
  <c r="A1166" i="3"/>
  <c r="B1166" i="3"/>
  <c r="C1166" i="3"/>
  <c r="D1166" i="3"/>
  <c r="E1166" i="3"/>
  <c r="A1167" i="3"/>
  <c r="B1167" i="3"/>
  <c r="C1167" i="3"/>
  <c r="D1167" i="3"/>
  <c r="E1167" i="3"/>
  <c r="A1168" i="3"/>
  <c r="B1168" i="3"/>
  <c r="C1168" i="3"/>
  <c r="F1168" i="3" s="1"/>
  <c r="D1168" i="3"/>
  <c r="E1168" i="3"/>
  <c r="A1169" i="3"/>
  <c r="B1169" i="3"/>
  <c r="C1169" i="3"/>
  <c r="D1169" i="3"/>
  <c r="E1169" i="3"/>
  <c r="A1170" i="3"/>
  <c r="B1170" i="3"/>
  <c r="C1170" i="3"/>
  <c r="D1170" i="3"/>
  <c r="E1170" i="3"/>
  <c r="G1170" i="3" s="1"/>
  <c r="A1171" i="3"/>
  <c r="B1171" i="3"/>
  <c r="C1171" i="3"/>
  <c r="D1171" i="3"/>
  <c r="E1171" i="3"/>
  <c r="A1172" i="3"/>
  <c r="B1172" i="3"/>
  <c r="C1172" i="3"/>
  <c r="D1172" i="3"/>
  <c r="E1172" i="3"/>
  <c r="A1173" i="3"/>
  <c r="B1173" i="3"/>
  <c r="C1173" i="3"/>
  <c r="D1173" i="3"/>
  <c r="E1173" i="3"/>
  <c r="A1174" i="3"/>
  <c r="B1174" i="3"/>
  <c r="C1174" i="3"/>
  <c r="D1174" i="3"/>
  <c r="E1174" i="3"/>
  <c r="A1175" i="3"/>
  <c r="B1175" i="3"/>
  <c r="C1175" i="3"/>
  <c r="D1175" i="3"/>
  <c r="E1175" i="3"/>
  <c r="A1176" i="3"/>
  <c r="B1176" i="3"/>
  <c r="C1176" i="3"/>
  <c r="D1176" i="3"/>
  <c r="E1176" i="3"/>
  <c r="A1177" i="3"/>
  <c r="B1177" i="3"/>
  <c r="C1177" i="3"/>
  <c r="D1177" i="3"/>
  <c r="E1177" i="3"/>
  <c r="A1178" i="3"/>
  <c r="B1178" i="3"/>
  <c r="C1178" i="3"/>
  <c r="D1178" i="3"/>
  <c r="E1178" i="3"/>
  <c r="A1179" i="3"/>
  <c r="B1179" i="3"/>
  <c r="C1179" i="3"/>
  <c r="D1179" i="3"/>
  <c r="E1179" i="3"/>
  <c r="A1180" i="3"/>
  <c r="B1180" i="3"/>
  <c r="C1180" i="3"/>
  <c r="D1180" i="3"/>
  <c r="E1180" i="3"/>
  <c r="A1181" i="3"/>
  <c r="B1181" i="3"/>
  <c r="C1181" i="3"/>
  <c r="D1181" i="3"/>
  <c r="E1181" i="3"/>
  <c r="A1182" i="3"/>
  <c r="B1182" i="3"/>
  <c r="C1182" i="3"/>
  <c r="D1182" i="3"/>
  <c r="E1182" i="3"/>
  <c r="G1182" i="3" s="1"/>
  <c r="A1183" i="3"/>
  <c r="B1183" i="3"/>
  <c r="C1183" i="3"/>
  <c r="D1183" i="3"/>
  <c r="E1183" i="3"/>
  <c r="A1184" i="3"/>
  <c r="B1184" i="3"/>
  <c r="C1184" i="3"/>
  <c r="D1184" i="3"/>
  <c r="E1184" i="3"/>
  <c r="A1185" i="3"/>
  <c r="B1185" i="3"/>
  <c r="C1185" i="3"/>
  <c r="D1185" i="3"/>
  <c r="E1185" i="3"/>
  <c r="A1186" i="3"/>
  <c r="B1186" i="3"/>
  <c r="C1186" i="3"/>
  <c r="D1186" i="3"/>
  <c r="E1186" i="3"/>
  <c r="A1187" i="3"/>
  <c r="B1187" i="3"/>
  <c r="C1187" i="3"/>
  <c r="D1187" i="3"/>
  <c r="E1187" i="3"/>
  <c r="A1188" i="3"/>
  <c r="B1188" i="3"/>
  <c r="C1188" i="3"/>
  <c r="D1188" i="3"/>
  <c r="E1188" i="3"/>
  <c r="A1189" i="3"/>
  <c r="B1189" i="3"/>
  <c r="C1189" i="3"/>
  <c r="D1189" i="3"/>
  <c r="E1189" i="3"/>
  <c r="A1190" i="3"/>
  <c r="B1190" i="3"/>
  <c r="C1190" i="3"/>
  <c r="D1190" i="3"/>
  <c r="E1190" i="3"/>
  <c r="A1191" i="3"/>
  <c r="B1191" i="3"/>
  <c r="C1191" i="3"/>
  <c r="D1191" i="3"/>
  <c r="E1191" i="3"/>
  <c r="A1192" i="3"/>
  <c r="B1192" i="3"/>
  <c r="C1192" i="3"/>
  <c r="F1192" i="3" s="1"/>
  <c r="D1192" i="3"/>
  <c r="E1192" i="3"/>
  <c r="A1193" i="3"/>
  <c r="B1193" i="3"/>
  <c r="C1193" i="3"/>
  <c r="D1193" i="3"/>
  <c r="E1193" i="3"/>
  <c r="A1194" i="3"/>
  <c r="B1194" i="3"/>
  <c r="C1194" i="3"/>
  <c r="D1194" i="3"/>
  <c r="E1194" i="3"/>
  <c r="G1194" i="3" s="1"/>
  <c r="A1195" i="3"/>
  <c r="B1195" i="3"/>
  <c r="C1195" i="3"/>
  <c r="D1195" i="3"/>
  <c r="E1195" i="3"/>
  <c r="A1196" i="3"/>
  <c r="B1196" i="3"/>
  <c r="C1196" i="3"/>
  <c r="D1196" i="3"/>
  <c r="E1196" i="3"/>
  <c r="A1197" i="3"/>
  <c r="B1197" i="3"/>
  <c r="C1197" i="3"/>
  <c r="D1197" i="3"/>
  <c r="E1197" i="3"/>
  <c r="A1198" i="3"/>
  <c r="B1198" i="3"/>
  <c r="C1198" i="3"/>
  <c r="D1198" i="3"/>
  <c r="E1198" i="3"/>
  <c r="A1199" i="3"/>
  <c r="B1199" i="3"/>
  <c r="C1199" i="3"/>
  <c r="D1199" i="3"/>
  <c r="E1199" i="3"/>
  <c r="A1200" i="3"/>
  <c r="B1200" i="3"/>
  <c r="C1200" i="3"/>
  <c r="D1200" i="3"/>
  <c r="E1200" i="3"/>
  <c r="A1201" i="3"/>
  <c r="B1201" i="3"/>
  <c r="C1201" i="3"/>
  <c r="D1201" i="3"/>
  <c r="E1201" i="3"/>
  <c r="A1202" i="3"/>
  <c r="B1202" i="3"/>
  <c r="C1202" i="3"/>
  <c r="D1202" i="3"/>
  <c r="E1202" i="3"/>
  <c r="A1203" i="3"/>
  <c r="B1203" i="3"/>
  <c r="C1203" i="3"/>
  <c r="D1203" i="3"/>
  <c r="E1203" i="3"/>
  <c r="A1204" i="3"/>
  <c r="B1204" i="3"/>
  <c r="C1204" i="3"/>
  <c r="F1204" i="3" s="1"/>
  <c r="D1204" i="3"/>
  <c r="E1204" i="3"/>
  <c r="A1205" i="3"/>
  <c r="B1205" i="3"/>
  <c r="C1205" i="3"/>
  <c r="D1205" i="3"/>
  <c r="E1205" i="3"/>
  <c r="A1206" i="3"/>
  <c r="B1206" i="3"/>
  <c r="C1206" i="3"/>
  <c r="D1206" i="3"/>
  <c r="E1206" i="3"/>
  <c r="G1206" i="3" s="1"/>
  <c r="A1207" i="3"/>
  <c r="B1207" i="3"/>
  <c r="C1207" i="3"/>
  <c r="D1207" i="3"/>
  <c r="E1207" i="3"/>
  <c r="A1208" i="3"/>
  <c r="B1208" i="3"/>
  <c r="C1208" i="3"/>
  <c r="D1208" i="3"/>
  <c r="E1208" i="3"/>
  <c r="A1209" i="3"/>
  <c r="B1209" i="3"/>
  <c r="C1209" i="3"/>
  <c r="D1209" i="3"/>
  <c r="E1209" i="3"/>
  <c r="A1210" i="3"/>
  <c r="B1210" i="3"/>
  <c r="C1210" i="3"/>
  <c r="D1210" i="3"/>
  <c r="E1210" i="3"/>
  <c r="A1211" i="3"/>
  <c r="B1211" i="3"/>
  <c r="C1211" i="3"/>
  <c r="D1211" i="3"/>
  <c r="E1211" i="3"/>
  <c r="A1212" i="3"/>
  <c r="B1212" i="3"/>
  <c r="C1212" i="3"/>
  <c r="D1212" i="3"/>
  <c r="E1212" i="3"/>
  <c r="A1213" i="3"/>
  <c r="B1213" i="3"/>
  <c r="C1213" i="3"/>
  <c r="D1213" i="3"/>
  <c r="E1213" i="3"/>
  <c r="A1214" i="3"/>
  <c r="B1214" i="3"/>
  <c r="C1214" i="3"/>
  <c r="D1214" i="3"/>
  <c r="E1214" i="3"/>
  <c r="A1215" i="3"/>
  <c r="B1215" i="3"/>
  <c r="C1215" i="3"/>
  <c r="D1215" i="3"/>
  <c r="E1215" i="3"/>
  <c r="A1216" i="3"/>
  <c r="B1216" i="3"/>
  <c r="C1216" i="3"/>
  <c r="F1216" i="3" s="1"/>
  <c r="D1216" i="3"/>
  <c r="E1216" i="3"/>
  <c r="A1217" i="3"/>
  <c r="B1217" i="3"/>
  <c r="C1217" i="3"/>
  <c r="D1217" i="3"/>
  <c r="E1217" i="3"/>
  <c r="A1218" i="3"/>
  <c r="B1218" i="3"/>
  <c r="C1218" i="3"/>
  <c r="D1218" i="3"/>
  <c r="E1218" i="3"/>
  <c r="G1218" i="3" s="1"/>
  <c r="A1219" i="3"/>
  <c r="B1219" i="3"/>
  <c r="C1219" i="3"/>
  <c r="D1219" i="3"/>
  <c r="E1219" i="3"/>
  <c r="A1220" i="3"/>
  <c r="B1220" i="3"/>
  <c r="C1220" i="3"/>
  <c r="D1220" i="3"/>
  <c r="E1220" i="3"/>
  <c r="A1221" i="3"/>
  <c r="B1221" i="3"/>
  <c r="C1221" i="3"/>
  <c r="D1221" i="3"/>
  <c r="E1221" i="3"/>
  <c r="A1222" i="3"/>
  <c r="B1222" i="3"/>
  <c r="C1222" i="3"/>
  <c r="D1222" i="3"/>
  <c r="E1222" i="3"/>
  <c r="A1223" i="3"/>
  <c r="B1223" i="3"/>
  <c r="C1223" i="3"/>
  <c r="D1223" i="3"/>
  <c r="E1223" i="3"/>
  <c r="A1224" i="3"/>
  <c r="B1224" i="3"/>
  <c r="C1224" i="3"/>
  <c r="D1224" i="3"/>
  <c r="E1224" i="3"/>
  <c r="A1225" i="3"/>
  <c r="B1225" i="3"/>
  <c r="C1225" i="3"/>
  <c r="D1225" i="3"/>
  <c r="E1225" i="3"/>
  <c r="A1226" i="3"/>
  <c r="B1226" i="3"/>
  <c r="C1226" i="3"/>
  <c r="D1226" i="3"/>
  <c r="E1226" i="3"/>
  <c r="A1227" i="3"/>
  <c r="B1227" i="3"/>
  <c r="C1227" i="3"/>
  <c r="D1227" i="3"/>
  <c r="E1227" i="3"/>
  <c r="A1228" i="3"/>
  <c r="B1228" i="3"/>
  <c r="C1228" i="3"/>
  <c r="F1228" i="3" s="1"/>
  <c r="D1228" i="3"/>
  <c r="E1228" i="3"/>
  <c r="A1229" i="3"/>
  <c r="B1229" i="3"/>
  <c r="C1229" i="3"/>
  <c r="D1229" i="3"/>
  <c r="E1229" i="3"/>
  <c r="A1230" i="3"/>
  <c r="B1230" i="3"/>
  <c r="C1230" i="3"/>
  <c r="D1230" i="3"/>
  <c r="E1230" i="3"/>
  <c r="G1230" i="3" s="1"/>
  <c r="A1231" i="3"/>
  <c r="B1231" i="3"/>
  <c r="C1231" i="3"/>
  <c r="D1231" i="3"/>
  <c r="E1231" i="3"/>
  <c r="A1232" i="3"/>
  <c r="B1232" i="3"/>
  <c r="C1232" i="3"/>
  <c r="D1232" i="3"/>
  <c r="E1232" i="3"/>
  <c r="A1233" i="3"/>
  <c r="B1233" i="3"/>
  <c r="C1233" i="3"/>
  <c r="D1233" i="3"/>
  <c r="E1233" i="3"/>
  <c r="A1234" i="3"/>
  <c r="B1234" i="3"/>
  <c r="C1234" i="3"/>
  <c r="D1234" i="3"/>
  <c r="E1234" i="3"/>
  <c r="A1235" i="3"/>
  <c r="B1235" i="3"/>
  <c r="C1235" i="3"/>
  <c r="D1235" i="3"/>
  <c r="E1235" i="3"/>
  <c r="A1236" i="3"/>
  <c r="B1236" i="3"/>
  <c r="C1236" i="3"/>
  <c r="D1236" i="3"/>
  <c r="E1236" i="3"/>
  <c r="A1237" i="3"/>
  <c r="B1237" i="3"/>
  <c r="C1237" i="3"/>
  <c r="D1237" i="3"/>
  <c r="E1237" i="3"/>
  <c r="A1238" i="3"/>
  <c r="B1238" i="3"/>
  <c r="C1238" i="3"/>
  <c r="D1238" i="3"/>
  <c r="E1238" i="3"/>
  <c r="A1239" i="3"/>
  <c r="B1239" i="3"/>
  <c r="C1239" i="3"/>
  <c r="D1239" i="3"/>
  <c r="E1239" i="3"/>
  <c r="A1240" i="3"/>
  <c r="B1240" i="3"/>
  <c r="C1240" i="3"/>
  <c r="F1240" i="3" s="1"/>
  <c r="D1240" i="3"/>
  <c r="E1240" i="3"/>
  <c r="A1241" i="3"/>
  <c r="B1241" i="3"/>
  <c r="C1241" i="3"/>
  <c r="D1241" i="3"/>
  <c r="E1241" i="3"/>
  <c r="A1242" i="3"/>
  <c r="B1242" i="3"/>
  <c r="C1242" i="3"/>
  <c r="D1242" i="3"/>
  <c r="E1242" i="3"/>
  <c r="G1242" i="3" s="1"/>
  <c r="A1243" i="3"/>
  <c r="B1243" i="3"/>
  <c r="C1243" i="3"/>
  <c r="D1243" i="3"/>
  <c r="E1243" i="3"/>
  <c r="A1244" i="3"/>
  <c r="B1244" i="3"/>
  <c r="C1244" i="3"/>
  <c r="D1244" i="3"/>
  <c r="E1244" i="3"/>
  <c r="A1245" i="3"/>
  <c r="B1245" i="3"/>
  <c r="C1245" i="3"/>
  <c r="D1245" i="3"/>
  <c r="E1245" i="3"/>
  <c r="A1246" i="3"/>
  <c r="B1246" i="3"/>
  <c r="C1246" i="3"/>
  <c r="D1246" i="3"/>
  <c r="E1246" i="3"/>
  <c r="A1247" i="3"/>
  <c r="B1247" i="3"/>
  <c r="C1247" i="3"/>
  <c r="D1247" i="3"/>
  <c r="E1247" i="3"/>
  <c r="A1248" i="3"/>
  <c r="B1248" i="3"/>
  <c r="C1248" i="3"/>
  <c r="D1248" i="3"/>
  <c r="E1248" i="3"/>
  <c r="A1249" i="3"/>
  <c r="B1249" i="3"/>
  <c r="C1249" i="3"/>
  <c r="D1249" i="3"/>
  <c r="E1249" i="3"/>
  <c r="A1250" i="3"/>
  <c r="B1250" i="3"/>
  <c r="C1250" i="3"/>
  <c r="D1250" i="3"/>
  <c r="E1250" i="3"/>
  <c r="A1251" i="3"/>
  <c r="B1251" i="3"/>
  <c r="C1251" i="3"/>
  <c r="D1251" i="3"/>
  <c r="E1251" i="3"/>
  <c r="A1252" i="3"/>
  <c r="B1252" i="3"/>
  <c r="C1252" i="3"/>
  <c r="D1252" i="3"/>
  <c r="E1252" i="3"/>
  <c r="A1253" i="3"/>
  <c r="B1253" i="3"/>
  <c r="C1253" i="3"/>
  <c r="D1253" i="3"/>
  <c r="E1253" i="3"/>
  <c r="A1254" i="3"/>
  <c r="B1254" i="3"/>
  <c r="C1254" i="3"/>
  <c r="D1254" i="3"/>
  <c r="E1254" i="3"/>
  <c r="G1254" i="3" s="1"/>
  <c r="A1255" i="3"/>
  <c r="B1255" i="3"/>
  <c r="C1255" i="3"/>
  <c r="D1255" i="3"/>
  <c r="E1255" i="3"/>
  <c r="A1256" i="3"/>
  <c r="B1256" i="3"/>
  <c r="C1256" i="3"/>
  <c r="D1256" i="3"/>
  <c r="E1256" i="3"/>
  <c r="A1257" i="3"/>
  <c r="B1257" i="3"/>
  <c r="C1257" i="3"/>
  <c r="D1257" i="3"/>
  <c r="E1257" i="3"/>
  <c r="A1258" i="3"/>
  <c r="B1258" i="3"/>
  <c r="C1258" i="3"/>
  <c r="D1258" i="3"/>
  <c r="E1258" i="3"/>
  <c r="A1259" i="3"/>
  <c r="B1259" i="3"/>
  <c r="C1259" i="3"/>
  <c r="D1259" i="3"/>
  <c r="E1259" i="3"/>
  <c r="A1260" i="3"/>
  <c r="B1260" i="3"/>
  <c r="C1260" i="3"/>
  <c r="D1260" i="3"/>
  <c r="E1260" i="3"/>
  <c r="A1261" i="3"/>
  <c r="B1261" i="3"/>
  <c r="C1261" i="3"/>
  <c r="D1261" i="3"/>
  <c r="E1261" i="3"/>
  <c r="A1262" i="3"/>
  <c r="B1262" i="3"/>
  <c r="C1262" i="3"/>
  <c r="D1262" i="3"/>
  <c r="E1262" i="3"/>
  <c r="A1263" i="3"/>
  <c r="B1263" i="3"/>
  <c r="C1263" i="3"/>
  <c r="D1263" i="3"/>
  <c r="E1263" i="3"/>
  <c r="A1264" i="3"/>
  <c r="B1264" i="3"/>
  <c r="C1264" i="3"/>
  <c r="D1264" i="3"/>
  <c r="E1264" i="3"/>
  <c r="A1265" i="3"/>
  <c r="B1265" i="3"/>
  <c r="C1265" i="3"/>
  <c r="D1265" i="3"/>
  <c r="E1265" i="3"/>
  <c r="A1266" i="3"/>
  <c r="B1266" i="3"/>
  <c r="C1266" i="3"/>
  <c r="D1266" i="3"/>
  <c r="E1266" i="3"/>
  <c r="G1266" i="3" s="1"/>
  <c r="A1267" i="3"/>
  <c r="B1267" i="3"/>
  <c r="C1267" i="3"/>
  <c r="D1267" i="3"/>
  <c r="E1267" i="3"/>
  <c r="A1268" i="3"/>
  <c r="B1268" i="3"/>
  <c r="C1268" i="3"/>
  <c r="D1268" i="3"/>
  <c r="E1268" i="3"/>
  <c r="A1269" i="3"/>
  <c r="B1269" i="3"/>
  <c r="C1269" i="3"/>
  <c r="D1269" i="3"/>
  <c r="E1269" i="3"/>
  <c r="A1270" i="3"/>
  <c r="B1270" i="3"/>
  <c r="C1270" i="3"/>
  <c r="D1270" i="3"/>
  <c r="E1270" i="3"/>
  <c r="A1271" i="3"/>
  <c r="B1271" i="3"/>
  <c r="C1271" i="3"/>
  <c r="D1271" i="3"/>
  <c r="E1271" i="3"/>
  <c r="A1272" i="3"/>
  <c r="B1272" i="3"/>
  <c r="C1272" i="3"/>
  <c r="D1272" i="3"/>
  <c r="E1272" i="3"/>
  <c r="A1273" i="3"/>
  <c r="B1273" i="3"/>
  <c r="C1273" i="3"/>
  <c r="D1273" i="3"/>
  <c r="E1273" i="3"/>
  <c r="A1274" i="3"/>
  <c r="B1274" i="3"/>
  <c r="C1274" i="3"/>
  <c r="D1274" i="3"/>
  <c r="E1274" i="3"/>
  <c r="A1275" i="3"/>
  <c r="B1275" i="3"/>
  <c r="C1275" i="3"/>
  <c r="D1275" i="3"/>
  <c r="E1275" i="3"/>
  <c r="A1276" i="3"/>
  <c r="B1276" i="3"/>
  <c r="C1276" i="3"/>
  <c r="F1276" i="3" s="1"/>
  <c r="D1276" i="3"/>
  <c r="E1276" i="3"/>
  <c r="A1277" i="3"/>
  <c r="B1277" i="3"/>
  <c r="C1277" i="3"/>
  <c r="D1277" i="3"/>
  <c r="E1277" i="3"/>
  <c r="A1278" i="3"/>
  <c r="B1278" i="3"/>
  <c r="C1278" i="3"/>
  <c r="D1278" i="3"/>
  <c r="E1278" i="3"/>
  <c r="G1278" i="3" s="1"/>
  <c r="A1279" i="3"/>
  <c r="B1279" i="3"/>
  <c r="C1279" i="3"/>
  <c r="D1279" i="3"/>
  <c r="E1279" i="3"/>
  <c r="A1280" i="3"/>
  <c r="B1280" i="3"/>
  <c r="C1280" i="3"/>
  <c r="D1280" i="3"/>
  <c r="E1280" i="3"/>
  <c r="A1281" i="3"/>
  <c r="B1281" i="3"/>
  <c r="C1281" i="3"/>
  <c r="D1281" i="3"/>
  <c r="E1281" i="3"/>
  <c r="A1282" i="3"/>
  <c r="B1282" i="3"/>
  <c r="C1282" i="3"/>
  <c r="D1282" i="3"/>
  <c r="E1282" i="3"/>
  <c r="A1283" i="3"/>
  <c r="B1283" i="3"/>
  <c r="C1283" i="3"/>
  <c r="D1283" i="3"/>
  <c r="E1283" i="3"/>
  <c r="A1284" i="3"/>
  <c r="B1284" i="3"/>
  <c r="C1284" i="3"/>
  <c r="D1284" i="3"/>
  <c r="E1284" i="3"/>
  <c r="A1285" i="3"/>
  <c r="B1285" i="3"/>
  <c r="C1285" i="3"/>
  <c r="D1285" i="3"/>
  <c r="E1285" i="3"/>
  <c r="A1286" i="3"/>
  <c r="B1286" i="3"/>
  <c r="C1286" i="3"/>
  <c r="D1286" i="3"/>
  <c r="E1286" i="3"/>
  <c r="A1287" i="3"/>
  <c r="B1287" i="3"/>
  <c r="C1287" i="3"/>
  <c r="D1287" i="3"/>
  <c r="E1287" i="3"/>
  <c r="A1288" i="3"/>
  <c r="B1288" i="3"/>
  <c r="C1288" i="3"/>
  <c r="D1288" i="3"/>
  <c r="E1288" i="3"/>
  <c r="A1289" i="3"/>
  <c r="B1289" i="3"/>
  <c r="C1289" i="3"/>
  <c r="D1289" i="3"/>
  <c r="E1289" i="3"/>
  <c r="A1290" i="3"/>
  <c r="B1290" i="3"/>
  <c r="C1290" i="3"/>
  <c r="D1290" i="3"/>
  <c r="E1290" i="3"/>
  <c r="G1290" i="3" s="1"/>
  <c r="A1291" i="3"/>
  <c r="B1291" i="3"/>
  <c r="C1291" i="3"/>
  <c r="D1291" i="3"/>
  <c r="E1291" i="3"/>
  <c r="A1292" i="3"/>
  <c r="B1292" i="3"/>
  <c r="C1292" i="3"/>
  <c r="D1292" i="3"/>
  <c r="E1292" i="3"/>
  <c r="A1293" i="3"/>
  <c r="B1293" i="3"/>
  <c r="C1293" i="3"/>
  <c r="D1293" i="3"/>
  <c r="E1293" i="3"/>
  <c r="A1294" i="3"/>
  <c r="B1294" i="3"/>
  <c r="C1294" i="3"/>
  <c r="D1294" i="3"/>
  <c r="E1294" i="3"/>
  <c r="A1295" i="3"/>
  <c r="B1295" i="3"/>
  <c r="C1295" i="3"/>
  <c r="D1295" i="3"/>
  <c r="E1295" i="3"/>
  <c r="A1296" i="3"/>
  <c r="B1296" i="3"/>
  <c r="C1296" i="3"/>
  <c r="D1296" i="3"/>
  <c r="E1296" i="3"/>
  <c r="A1297" i="3"/>
  <c r="B1297" i="3"/>
  <c r="C1297" i="3"/>
  <c r="D1297" i="3"/>
  <c r="E1297" i="3"/>
  <c r="A1298" i="3"/>
  <c r="B1298" i="3"/>
  <c r="C1298" i="3"/>
  <c r="D1298" i="3"/>
  <c r="E1298" i="3"/>
  <c r="A1299" i="3"/>
  <c r="B1299" i="3"/>
  <c r="C1299" i="3"/>
  <c r="D1299" i="3"/>
  <c r="E1299" i="3"/>
  <c r="A1300" i="3"/>
  <c r="B1300" i="3"/>
  <c r="C1300" i="3"/>
  <c r="D1300" i="3"/>
  <c r="E1300" i="3"/>
  <c r="A1301" i="3"/>
  <c r="B1301" i="3"/>
  <c r="C1301" i="3"/>
  <c r="D1301" i="3"/>
  <c r="E1301" i="3"/>
  <c r="A1302" i="3"/>
  <c r="B1302" i="3"/>
  <c r="C1302" i="3"/>
  <c r="D1302" i="3"/>
  <c r="E1302" i="3"/>
  <c r="G1302" i="3" s="1"/>
  <c r="A1303" i="3"/>
  <c r="B1303" i="3"/>
  <c r="C1303" i="3"/>
  <c r="D1303" i="3"/>
  <c r="E1303" i="3"/>
  <c r="A1304" i="3"/>
  <c r="B1304" i="3"/>
  <c r="C1304" i="3"/>
  <c r="D1304" i="3"/>
  <c r="E1304" i="3"/>
  <c r="A1305" i="3"/>
  <c r="B1305" i="3"/>
  <c r="C1305" i="3"/>
  <c r="D1305" i="3"/>
  <c r="E1305" i="3"/>
  <c r="A1306" i="3"/>
  <c r="B1306" i="3"/>
  <c r="C1306" i="3"/>
  <c r="D1306" i="3"/>
  <c r="E1306" i="3"/>
  <c r="A1307" i="3"/>
  <c r="B1307" i="3"/>
  <c r="C1307" i="3"/>
  <c r="D1307" i="3"/>
  <c r="E1307" i="3"/>
  <c r="A1308" i="3"/>
  <c r="B1308" i="3"/>
  <c r="C1308" i="3"/>
  <c r="D1308" i="3"/>
  <c r="E1308" i="3"/>
  <c r="A1309" i="3"/>
  <c r="B1309" i="3"/>
  <c r="C1309" i="3"/>
  <c r="D1309" i="3"/>
  <c r="E1309" i="3"/>
  <c r="A1310" i="3"/>
  <c r="B1310" i="3"/>
  <c r="C1310" i="3"/>
  <c r="D1310" i="3"/>
  <c r="E1310" i="3"/>
  <c r="A1311" i="3"/>
  <c r="B1311" i="3"/>
  <c r="C1311" i="3"/>
  <c r="D1311" i="3"/>
  <c r="E1311" i="3"/>
  <c r="A1312" i="3"/>
  <c r="B1312" i="3"/>
  <c r="C1312" i="3"/>
  <c r="D1312" i="3"/>
  <c r="E1312" i="3"/>
  <c r="A1313" i="3"/>
  <c r="B1313" i="3"/>
  <c r="C1313" i="3"/>
  <c r="D1313" i="3"/>
  <c r="E1313" i="3"/>
  <c r="A1314" i="3"/>
  <c r="B1314" i="3"/>
  <c r="C1314" i="3"/>
  <c r="D1314" i="3"/>
  <c r="E1314" i="3"/>
  <c r="G1314" i="3" s="1"/>
  <c r="A1315" i="3"/>
  <c r="B1315" i="3"/>
  <c r="C1315" i="3"/>
  <c r="D1315" i="3"/>
  <c r="E1315" i="3"/>
  <c r="A1316" i="3"/>
  <c r="B1316" i="3"/>
  <c r="C1316" i="3"/>
  <c r="D1316" i="3"/>
  <c r="E1316" i="3"/>
  <c r="A1317" i="3"/>
  <c r="B1317" i="3"/>
  <c r="C1317" i="3"/>
  <c r="D1317" i="3"/>
  <c r="E1317" i="3"/>
  <c r="A1318" i="3"/>
  <c r="B1318" i="3"/>
  <c r="C1318" i="3"/>
  <c r="D1318" i="3"/>
  <c r="E1318" i="3"/>
  <c r="A1319" i="3"/>
  <c r="B1319" i="3"/>
  <c r="C1319" i="3"/>
  <c r="D1319" i="3"/>
  <c r="E1319" i="3"/>
  <c r="A1320" i="3"/>
  <c r="B1320" i="3"/>
  <c r="C1320" i="3"/>
  <c r="D1320" i="3"/>
  <c r="E1320" i="3"/>
  <c r="A1321" i="3"/>
  <c r="B1321" i="3"/>
  <c r="C1321" i="3"/>
  <c r="D1321" i="3"/>
  <c r="E1321" i="3"/>
  <c r="A1322" i="3"/>
  <c r="B1322" i="3"/>
  <c r="C1322" i="3"/>
  <c r="D1322" i="3"/>
  <c r="E1322" i="3"/>
  <c r="A1323" i="3"/>
  <c r="B1323" i="3"/>
  <c r="C1323" i="3"/>
  <c r="D1323" i="3"/>
  <c r="E1323" i="3"/>
  <c r="A1324" i="3"/>
  <c r="B1324" i="3"/>
  <c r="C1324" i="3"/>
  <c r="F1324" i="3" s="1"/>
  <c r="D1324" i="3"/>
  <c r="E1324" i="3"/>
  <c r="A1325" i="3"/>
  <c r="B1325" i="3"/>
  <c r="C1325" i="3"/>
  <c r="D1325" i="3"/>
  <c r="E1325" i="3"/>
  <c r="A1326" i="3"/>
  <c r="B1326" i="3"/>
  <c r="C1326" i="3"/>
  <c r="D1326" i="3"/>
  <c r="E1326" i="3"/>
  <c r="G1326" i="3" s="1"/>
  <c r="A1327" i="3"/>
  <c r="B1327" i="3"/>
  <c r="C1327" i="3"/>
  <c r="D1327" i="3"/>
  <c r="E1327" i="3"/>
  <c r="A1328" i="3"/>
  <c r="B1328" i="3"/>
  <c r="C1328" i="3"/>
  <c r="D1328" i="3"/>
  <c r="E1328" i="3"/>
  <c r="A1329" i="3"/>
  <c r="B1329" i="3"/>
  <c r="C1329" i="3"/>
  <c r="D1329" i="3"/>
  <c r="E1329" i="3"/>
  <c r="A1330" i="3"/>
  <c r="B1330" i="3"/>
  <c r="C1330" i="3"/>
  <c r="D1330" i="3"/>
  <c r="E1330" i="3"/>
  <c r="A1331" i="3"/>
  <c r="B1331" i="3"/>
  <c r="C1331" i="3"/>
  <c r="D1331" i="3"/>
  <c r="E1331" i="3"/>
  <c r="A1332" i="3"/>
  <c r="B1332" i="3"/>
  <c r="C1332" i="3"/>
  <c r="D1332" i="3"/>
  <c r="E1332" i="3"/>
  <c r="A1333" i="3"/>
  <c r="B1333" i="3"/>
  <c r="C1333" i="3"/>
  <c r="D1333" i="3"/>
  <c r="E1333" i="3"/>
  <c r="A1334" i="3"/>
  <c r="B1334" i="3"/>
  <c r="C1334" i="3"/>
  <c r="D1334" i="3"/>
  <c r="E1334" i="3"/>
  <c r="A1335" i="3"/>
  <c r="B1335" i="3"/>
  <c r="C1335" i="3"/>
  <c r="D1335" i="3"/>
  <c r="E1335" i="3"/>
  <c r="A1336" i="3"/>
  <c r="B1336" i="3"/>
  <c r="C1336" i="3"/>
  <c r="F1336" i="3" s="1"/>
  <c r="D1336" i="3"/>
  <c r="E1336" i="3"/>
  <c r="A1337" i="3"/>
  <c r="B1337" i="3"/>
  <c r="C1337" i="3"/>
  <c r="D1337" i="3"/>
  <c r="E1337" i="3"/>
  <c r="A1338" i="3"/>
  <c r="B1338" i="3"/>
  <c r="C1338" i="3"/>
  <c r="D1338" i="3"/>
  <c r="E1338" i="3"/>
  <c r="G1338" i="3" s="1"/>
  <c r="A1339" i="3"/>
  <c r="B1339" i="3"/>
  <c r="C1339" i="3"/>
  <c r="D1339" i="3"/>
  <c r="E1339" i="3"/>
  <c r="A1340" i="3"/>
  <c r="B1340" i="3"/>
  <c r="C1340" i="3"/>
  <c r="D1340" i="3"/>
  <c r="E1340" i="3"/>
  <c r="A1341" i="3"/>
  <c r="B1341" i="3"/>
  <c r="C1341" i="3"/>
  <c r="D1341" i="3"/>
  <c r="E1341" i="3"/>
  <c r="A1342" i="3"/>
  <c r="B1342" i="3"/>
  <c r="C1342" i="3"/>
  <c r="D1342" i="3"/>
  <c r="E1342" i="3"/>
  <c r="A1343" i="3"/>
  <c r="B1343" i="3"/>
  <c r="C1343" i="3"/>
  <c r="D1343" i="3"/>
  <c r="E1343" i="3"/>
  <c r="A1344" i="3"/>
  <c r="B1344" i="3"/>
  <c r="C1344" i="3"/>
  <c r="D1344" i="3"/>
  <c r="E1344" i="3"/>
  <c r="A1345" i="3"/>
  <c r="B1345" i="3"/>
  <c r="C1345" i="3"/>
  <c r="D1345" i="3"/>
  <c r="E1345" i="3"/>
  <c r="A1346" i="3"/>
  <c r="B1346" i="3"/>
  <c r="C1346" i="3"/>
  <c r="D1346" i="3"/>
  <c r="E1346" i="3"/>
  <c r="A1347" i="3"/>
  <c r="B1347" i="3"/>
  <c r="C1347" i="3"/>
  <c r="D1347" i="3"/>
  <c r="E1347" i="3"/>
  <c r="A1348" i="3"/>
  <c r="B1348" i="3"/>
  <c r="C1348" i="3"/>
  <c r="F1348" i="3" s="1"/>
  <c r="D1348" i="3"/>
  <c r="E1348" i="3"/>
  <c r="A1349" i="3"/>
  <c r="B1349" i="3"/>
  <c r="C1349" i="3"/>
  <c r="D1349" i="3"/>
  <c r="E1349" i="3"/>
  <c r="A1350" i="3"/>
  <c r="B1350" i="3"/>
  <c r="C1350" i="3"/>
  <c r="D1350" i="3"/>
  <c r="E1350" i="3"/>
  <c r="G1350" i="3" s="1"/>
  <c r="A1351" i="3"/>
  <c r="B1351" i="3"/>
  <c r="C1351" i="3"/>
  <c r="D1351" i="3"/>
  <c r="E1351" i="3"/>
  <c r="A1352" i="3"/>
  <c r="B1352" i="3"/>
  <c r="C1352" i="3"/>
  <c r="D1352" i="3"/>
  <c r="E1352" i="3"/>
  <c r="A1353" i="3"/>
  <c r="B1353" i="3"/>
  <c r="C1353" i="3"/>
  <c r="D1353" i="3"/>
  <c r="E1353" i="3"/>
  <c r="A1354" i="3"/>
  <c r="B1354" i="3"/>
  <c r="C1354" i="3"/>
  <c r="D1354" i="3"/>
  <c r="E1354" i="3"/>
  <c r="A1355" i="3"/>
  <c r="B1355" i="3"/>
  <c r="C1355" i="3"/>
  <c r="D1355" i="3"/>
  <c r="E1355" i="3"/>
  <c r="A1356" i="3"/>
  <c r="B1356" i="3"/>
  <c r="C1356" i="3"/>
  <c r="D1356" i="3"/>
  <c r="E1356" i="3"/>
  <c r="A1357" i="3"/>
  <c r="B1357" i="3"/>
  <c r="C1357" i="3"/>
  <c r="D1357" i="3"/>
  <c r="E1357" i="3"/>
  <c r="A1358" i="3"/>
  <c r="B1358" i="3"/>
  <c r="C1358" i="3"/>
  <c r="D1358" i="3"/>
  <c r="E1358" i="3"/>
  <c r="A1359" i="3"/>
  <c r="B1359" i="3"/>
  <c r="C1359" i="3"/>
  <c r="D1359" i="3"/>
  <c r="E1359" i="3"/>
  <c r="A1360" i="3"/>
  <c r="B1360" i="3"/>
  <c r="C1360" i="3"/>
  <c r="F1360" i="3" s="1"/>
  <c r="D1360" i="3"/>
  <c r="E1360" i="3"/>
  <c r="A1361" i="3"/>
  <c r="B1361" i="3"/>
  <c r="C1361" i="3"/>
  <c r="D1361" i="3"/>
  <c r="E1361" i="3"/>
  <c r="A1362" i="3"/>
  <c r="B1362" i="3"/>
  <c r="C1362" i="3"/>
  <c r="D1362" i="3"/>
  <c r="E1362" i="3"/>
  <c r="G1362" i="3" s="1"/>
  <c r="A1363" i="3"/>
  <c r="B1363" i="3"/>
  <c r="C1363" i="3"/>
  <c r="D1363" i="3"/>
  <c r="E1363" i="3"/>
  <c r="A1364" i="3"/>
  <c r="B1364" i="3"/>
  <c r="C1364" i="3"/>
  <c r="D1364" i="3"/>
  <c r="E1364" i="3"/>
  <c r="A1365" i="3"/>
  <c r="B1365" i="3"/>
  <c r="C1365" i="3"/>
  <c r="D1365" i="3"/>
  <c r="E1365" i="3"/>
  <c r="A1366" i="3"/>
  <c r="B1366" i="3"/>
  <c r="C1366" i="3"/>
  <c r="D1366" i="3"/>
  <c r="E1366" i="3"/>
  <c r="A1367" i="3"/>
  <c r="B1367" i="3"/>
  <c r="C1367" i="3"/>
  <c r="D1367" i="3"/>
  <c r="E1367" i="3"/>
  <c r="A1368" i="3"/>
  <c r="B1368" i="3"/>
  <c r="C1368" i="3"/>
  <c r="D1368" i="3"/>
  <c r="E1368" i="3"/>
  <c r="A1369" i="3"/>
  <c r="B1369" i="3"/>
  <c r="C1369" i="3"/>
  <c r="D1369" i="3"/>
  <c r="E1369" i="3"/>
  <c r="A1370" i="3"/>
  <c r="B1370" i="3"/>
  <c r="C1370" i="3"/>
  <c r="D1370" i="3"/>
  <c r="E1370" i="3"/>
  <c r="A1371" i="3"/>
  <c r="B1371" i="3"/>
  <c r="C1371" i="3"/>
  <c r="D1371" i="3"/>
  <c r="E1371" i="3"/>
  <c r="A1372" i="3"/>
  <c r="B1372" i="3"/>
  <c r="C1372" i="3"/>
  <c r="F1372" i="3" s="1"/>
  <c r="D1372" i="3"/>
  <c r="E1372" i="3"/>
  <c r="A1373" i="3"/>
  <c r="B1373" i="3"/>
  <c r="C1373" i="3"/>
  <c r="D1373" i="3"/>
  <c r="E1373" i="3"/>
  <c r="A1374" i="3"/>
  <c r="B1374" i="3"/>
  <c r="C1374" i="3"/>
  <c r="D1374" i="3"/>
  <c r="E1374" i="3"/>
  <c r="G1374" i="3" s="1"/>
  <c r="A1375" i="3"/>
  <c r="B1375" i="3"/>
  <c r="C1375" i="3"/>
  <c r="D1375" i="3"/>
  <c r="E1375" i="3"/>
  <c r="A1376" i="3"/>
  <c r="B1376" i="3"/>
  <c r="C1376" i="3"/>
  <c r="D1376" i="3"/>
  <c r="E1376" i="3"/>
  <c r="A1377" i="3"/>
  <c r="B1377" i="3"/>
  <c r="C1377" i="3"/>
  <c r="D1377" i="3"/>
  <c r="E1377" i="3"/>
  <c r="A1378" i="3"/>
  <c r="B1378" i="3"/>
  <c r="C1378" i="3"/>
  <c r="D1378" i="3"/>
  <c r="E1378" i="3"/>
  <c r="A1379" i="3"/>
  <c r="B1379" i="3"/>
  <c r="C1379" i="3"/>
  <c r="D1379" i="3"/>
  <c r="E1379" i="3"/>
  <c r="A1380" i="3"/>
  <c r="B1380" i="3"/>
  <c r="C1380" i="3"/>
  <c r="D1380" i="3"/>
  <c r="E1380" i="3"/>
  <c r="A1381" i="3"/>
  <c r="B1381" i="3"/>
  <c r="C1381" i="3"/>
  <c r="D1381" i="3"/>
  <c r="E1381" i="3"/>
  <c r="A1382" i="3"/>
  <c r="B1382" i="3"/>
  <c r="C1382" i="3"/>
  <c r="D1382" i="3"/>
  <c r="E1382" i="3"/>
  <c r="A1383" i="3"/>
  <c r="B1383" i="3"/>
  <c r="C1383" i="3"/>
  <c r="D1383" i="3"/>
  <c r="E1383" i="3"/>
  <c r="A1384" i="3"/>
  <c r="B1384" i="3"/>
  <c r="C1384" i="3"/>
  <c r="F1384" i="3" s="1"/>
  <c r="D1384" i="3"/>
  <c r="E1384" i="3"/>
  <c r="A1385" i="3"/>
  <c r="B1385" i="3"/>
  <c r="C1385" i="3"/>
  <c r="D1385" i="3"/>
  <c r="E1385" i="3"/>
  <c r="A1386" i="3"/>
  <c r="B1386" i="3"/>
  <c r="C1386" i="3"/>
  <c r="D1386" i="3"/>
  <c r="E1386" i="3"/>
  <c r="G1386" i="3" s="1"/>
  <c r="A1387" i="3"/>
  <c r="B1387" i="3"/>
  <c r="C1387" i="3"/>
  <c r="D1387" i="3"/>
  <c r="E1387" i="3"/>
  <c r="A1388" i="3"/>
  <c r="B1388" i="3"/>
  <c r="C1388" i="3"/>
  <c r="D1388" i="3"/>
  <c r="E1388" i="3"/>
  <c r="A1389" i="3"/>
  <c r="B1389" i="3"/>
  <c r="C1389" i="3"/>
  <c r="D1389" i="3"/>
  <c r="E1389" i="3"/>
  <c r="A1390" i="3"/>
  <c r="B1390" i="3"/>
  <c r="C1390" i="3"/>
  <c r="D1390" i="3"/>
  <c r="E1390" i="3"/>
  <c r="A1391" i="3"/>
  <c r="B1391" i="3"/>
  <c r="C1391" i="3"/>
  <c r="D1391" i="3"/>
  <c r="E1391" i="3"/>
  <c r="A1392" i="3"/>
  <c r="B1392" i="3"/>
  <c r="C1392" i="3"/>
  <c r="D1392" i="3"/>
  <c r="E1392" i="3"/>
  <c r="A1393" i="3"/>
  <c r="B1393" i="3"/>
  <c r="C1393" i="3"/>
  <c r="D1393" i="3"/>
  <c r="E1393" i="3"/>
  <c r="A1394" i="3"/>
  <c r="B1394" i="3"/>
  <c r="C1394" i="3"/>
  <c r="D1394" i="3"/>
  <c r="E1394" i="3"/>
  <c r="A1395" i="3"/>
  <c r="B1395" i="3"/>
  <c r="C1395" i="3"/>
  <c r="D1395" i="3"/>
  <c r="E1395" i="3"/>
  <c r="A1396" i="3"/>
  <c r="B1396" i="3"/>
  <c r="C1396" i="3"/>
  <c r="D1396" i="3"/>
  <c r="E1396" i="3"/>
  <c r="A1397" i="3"/>
  <c r="B1397" i="3"/>
  <c r="C1397" i="3"/>
  <c r="D1397" i="3"/>
  <c r="E1397" i="3"/>
  <c r="A1398" i="3"/>
  <c r="B1398" i="3"/>
  <c r="C1398" i="3"/>
  <c r="D1398" i="3"/>
  <c r="E1398" i="3"/>
  <c r="G1398" i="3" s="1"/>
  <c r="A1399" i="3"/>
  <c r="B1399" i="3"/>
  <c r="C1399" i="3"/>
  <c r="D1399" i="3"/>
  <c r="E1399" i="3"/>
  <c r="A1400" i="3"/>
  <c r="B1400" i="3"/>
  <c r="C1400" i="3"/>
  <c r="D1400" i="3"/>
  <c r="E1400" i="3"/>
  <c r="A1401" i="3"/>
  <c r="B1401" i="3"/>
  <c r="C1401" i="3"/>
  <c r="D1401" i="3"/>
  <c r="E1401" i="3"/>
  <c r="A1402" i="3"/>
  <c r="B1402" i="3"/>
  <c r="C1402" i="3"/>
  <c r="D1402" i="3"/>
  <c r="E1402" i="3"/>
  <c r="A1403" i="3"/>
  <c r="B1403" i="3"/>
  <c r="C1403" i="3"/>
  <c r="D1403" i="3"/>
  <c r="E1403" i="3"/>
  <c r="A1404" i="3"/>
  <c r="B1404" i="3"/>
  <c r="C1404" i="3"/>
  <c r="D1404" i="3"/>
  <c r="E1404" i="3"/>
  <c r="A1405" i="3"/>
  <c r="B1405" i="3"/>
  <c r="C1405" i="3"/>
  <c r="D1405" i="3"/>
  <c r="E1405" i="3"/>
  <c r="A1406" i="3"/>
  <c r="B1406" i="3"/>
  <c r="C1406" i="3"/>
  <c r="D1406" i="3"/>
  <c r="E1406" i="3"/>
  <c r="A1407" i="3"/>
  <c r="B1407" i="3"/>
  <c r="C1407" i="3"/>
  <c r="D1407" i="3"/>
  <c r="E1407" i="3"/>
  <c r="A1408" i="3"/>
  <c r="B1408" i="3"/>
  <c r="C1408" i="3"/>
  <c r="F1408" i="3" s="1"/>
  <c r="D1408" i="3"/>
  <c r="E1408" i="3"/>
  <c r="A1409" i="3"/>
  <c r="B1409" i="3"/>
  <c r="C1409" i="3"/>
  <c r="D1409" i="3"/>
  <c r="E1409" i="3"/>
  <c r="A1410" i="3"/>
  <c r="B1410" i="3"/>
  <c r="C1410" i="3"/>
  <c r="D1410" i="3"/>
  <c r="E1410" i="3"/>
  <c r="G1410" i="3" s="1"/>
  <c r="A1411" i="3"/>
  <c r="B1411" i="3"/>
  <c r="C1411" i="3"/>
  <c r="D1411" i="3"/>
  <c r="E1411" i="3"/>
  <c r="A1412" i="3"/>
  <c r="B1412" i="3"/>
  <c r="C1412" i="3"/>
  <c r="D1412" i="3"/>
  <c r="E1412" i="3"/>
  <c r="A1413" i="3"/>
  <c r="B1413" i="3"/>
  <c r="C1413" i="3"/>
  <c r="D1413" i="3"/>
  <c r="E1413" i="3"/>
  <c r="A1414" i="3"/>
  <c r="B1414" i="3"/>
  <c r="C1414" i="3"/>
  <c r="D1414" i="3"/>
  <c r="E1414" i="3"/>
  <c r="A1415" i="3"/>
  <c r="B1415" i="3"/>
  <c r="C1415" i="3"/>
  <c r="D1415" i="3"/>
  <c r="E1415" i="3"/>
  <c r="A1416" i="3"/>
  <c r="B1416" i="3"/>
  <c r="C1416" i="3"/>
  <c r="D1416" i="3"/>
  <c r="E1416" i="3"/>
  <c r="A1417" i="3"/>
  <c r="B1417" i="3"/>
  <c r="C1417" i="3"/>
  <c r="D1417" i="3"/>
  <c r="E1417" i="3"/>
  <c r="A1418" i="3"/>
  <c r="B1418" i="3"/>
  <c r="C1418" i="3"/>
  <c r="D1418" i="3"/>
  <c r="E1418" i="3"/>
  <c r="A1419" i="3"/>
  <c r="B1419" i="3"/>
  <c r="C1419" i="3"/>
  <c r="D1419" i="3"/>
  <c r="E1419" i="3"/>
  <c r="A1420" i="3"/>
  <c r="B1420" i="3"/>
  <c r="C1420" i="3"/>
  <c r="F1420" i="3" s="1"/>
  <c r="D1420" i="3"/>
  <c r="E1420" i="3"/>
  <c r="A1421" i="3"/>
  <c r="B1421" i="3"/>
  <c r="C1421" i="3"/>
  <c r="D1421" i="3"/>
  <c r="E1421" i="3"/>
  <c r="A1422" i="3"/>
  <c r="B1422" i="3"/>
  <c r="C1422" i="3"/>
  <c r="D1422" i="3"/>
  <c r="E1422" i="3"/>
  <c r="G1422" i="3" s="1"/>
  <c r="A1423" i="3"/>
  <c r="B1423" i="3"/>
  <c r="C1423" i="3"/>
  <c r="D1423" i="3"/>
  <c r="E1423" i="3"/>
  <c r="A1424" i="3"/>
  <c r="B1424" i="3"/>
  <c r="C1424" i="3"/>
  <c r="D1424" i="3"/>
  <c r="E1424" i="3"/>
  <c r="A1425" i="3"/>
  <c r="B1425" i="3"/>
  <c r="C1425" i="3"/>
  <c r="D1425" i="3"/>
  <c r="E1425" i="3"/>
  <c r="A1426" i="3"/>
  <c r="B1426" i="3"/>
  <c r="C1426" i="3"/>
  <c r="D1426" i="3"/>
  <c r="E1426" i="3"/>
  <c r="A1427" i="3"/>
  <c r="B1427" i="3"/>
  <c r="C1427" i="3"/>
  <c r="D1427" i="3"/>
  <c r="E1427" i="3"/>
  <c r="A1428" i="3"/>
  <c r="B1428" i="3"/>
  <c r="C1428" i="3"/>
  <c r="D1428" i="3"/>
  <c r="E1428" i="3"/>
  <c r="A1429" i="3"/>
  <c r="B1429" i="3"/>
  <c r="C1429" i="3"/>
  <c r="D1429" i="3"/>
  <c r="E1429" i="3"/>
  <c r="A1430" i="3"/>
  <c r="B1430" i="3"/>
  <c r="C1430" i="3"/>
  <c r="D1430" i="3"/>
  <c r="E1430" i="3"/>
  <c r="A1431" i="3"/>
  <c r="B1431" i="3"/>
  <c r="C1431" i="3"/>
  <c r="D1431" i="3"/>
  <c r="E1431" i="3"/>
  <c r="A1432" i="3"/>
  <c r="B1432" i="3"/>
  <c r="C1432" i="3"/>
  <c r="F1432" i="3" s="1"/>
  <c r="D1432" i="3"/>
  <c r="E1432" i="3"/>
  <c r="A1433" i="3"/>
  <c r="B1433" i="3"/>
  <c r="C1433" i="3"/>
  <c r="D1433" i="3"/>
  <c r="E1433" i="3"/>
  <c r="A1434" i="3"/>
  <c r="B1434" i="3"/>
  <c r="C1434" i="3"/>
  <c r="D1434" i="3"/>
  <c r="E1434" i="3"/>
  <c r="G1434" i="3" s="1"/>
  <c r="A1435" i="3"/>
  <c r="B1435" i="3"/>
  <c r="C1435" i="3"/>
  <c r="D1435" i="3"/>
  <c r="E1435" i="3"/>
  <c r="A1436" i="3"/>
  <c r="B1436" i="3"/>
  <c r="C1436" i="3"/>
  <c r="D1436" i="3"/>
  <c r="E1436" i="3"/>
  <c r="A1437" i="3"/>
  <c r="B1437" i="3"/>
  <c r="C1437" i="3"/>
  <c r="D1437" i="3"/>
  <c r="E1437" i="3"/>
  <c r="A1438" i="3"/>
  <c r="B1438" i="3"/>
  <c r="C1438" i="3"/>
  <c r="D1438" i="3"/>
  <c r="E1438" i="3"/>
  <c r="A1439" i="3"/>
  <c r="B1439" i="3"/>
  <c r="C1439" i="3"/>
  <c r="D1439" i="3"/>
  <c r="E1439" i="3"/>
  <c r="A1440" i="3"/>
  <c r="B1440" i="3"/>
  <c r="C1440" i="3"/>
  <c r="D1440" i="3"/>
  <c r="E1440" i="3"/>
  <c r="A1441" i="3"/>
  <c r="B1441" i="3"/>
  <c r="C1441" i="3"/>
  <c r="D1441" i="3"/>
  <c r="E1441" i="3"/>
  <c r="A1442" i="3"/>
  <c r="B1442" i="3"/>
  <c r="C1442" i="3"/>
  <c r="D1442" i="3"/>
  <c r="E1442" i="3"/>
  <c r="A1443" i="3"/>
  <c r="B1443" i="3"/>
  <c r="C1443" i="3"/>
  <c r="D1443" i="3"/>
  <c r="E1443" i="3"/>
  <c r="A1444" i="3"/>
  <c r="B1444" i="3"/>
  <c r="C1444" i="3"/>
  <c r="D1444" i="3"/>
  <c r="E1444" i="3"/>
  <c r="A1445" i="3"/>
  <c r="B1445" i="3"/>
  <c r="C1445" i="3"/>
  <c r="D1445" i="3"/>
  <c r="E1445" i="3"/>
  <c r="A1446" i="3"/>
  <c r="B1446" i="3"/>
  <c r="C1446" i="3"/>
  <c r="D1446" i="3"/>
  <c r="E1446" i="3"/>
  <c r="A1447" i="3"/>
  <c r="B1447" i="3"/>
  <c r="C1447" i="3"/>
  <c r="D1447" i="3"/>
  <c r="E1447" i="3"/>
  <c r="A1448" i="3"/>
  <c r="B1448" i="3"/>
  <c r="C1448" i="3"/>
  <c r="D1448" i="3"/>
  <c r="E1448" i="3"/>
  <c r="A1449" i="3"/>
  <c r="B1449" i="3"/>
  <c r="C1449" i="3"/>
  <c r="D1449" i="3"/>
  <c r="E1449" i="3"/>
  <c r="A1450" i="3"/>
  <c r="B1450" i="3"/>
  <c r="C1450" i="3"/>
  <c r="D1450" i="3"/>
  <c r="E1450" i="3"/>
  <c r="A1451" i="3"/>
  <c r="B1451" i="3"/>
  <c r="C1451" i="3"/>
  <c r="D1451" i="3"/>
  <c r="E1451" i="3"/>
  <c r="A1452" i="3"/>
  <c r="B1452" i="3"/>
  <c r="C1452" i="3"/>
  <c r="D1452" i="3"/>
  <c r="E1452" i="3"/>
  <c r="A1453" i="3"/>
  <c r="B1453" i="3"/>
  <c r="C1453" i="3"/>
  <c r="D1453" i="3"/>
  <c r="E1453" i="3"/>
  <c r="A1454" i="3"/>
  <c r="B1454" i="3"/>
  <c r="C1454" i="3"/>
  <c r="D1454" i="3"/>
  <c r="E1454" i="3"/>
  <c r="A1455" i="3"/>
  <c r="B1455" i="3"/>
  <c r="C1455" i="3"/>
  <c r="D1455" i="3"/>
  <c r="E1455" i="3"/>
  <c r="A1456" i="3"/>
  <c r="B1456" i="3"/>
  <c r="C1456" i="3"/>
  <c r="D1456" i="3"/>
  <c r="E1456" i="3"/>
  <c r="A1457" i="3"/>
  <c r="B1457" i="3"/>
  <c r="C1457" i="3"/>
  <c r="D1457" i="3"/>
  <c r="E1457" i="3"/>
  <c r="A1458" i="3"/>
  <c r="B1458" i="3"/>
  <c r="C1458" i="3"/>
  <c r="D1458" i="3"/>
  <c r="E1458" i="3"/>
  <c r="A1459" i="3"/>
  <c r="B1459" i="3"/>
  <c r="C1459" i="3"/>
  <c r="D1459" i="3"/>
  <c r="E1459" i="3"/>
  <c r="A1460" i="3"/>
  <c r="B1460" i="3"/>
  <c r="C1460" i="3"/>
  <c r="D1460" i="3"/>
  <c r="E1460" i="3"/>
  <c r="A1461" i="3"/>
  <c r="B1461" i="3"/>
  <c r="C1461" i="3"/>
  <c r="D1461" i="3"/>
  <c r="E1461" i="3"/>
  <c r="A1462" i="3"/>
  <c r="B1462" i="3"/>
  <c r="C1462" i="3"/>
  <c r="D1462" i="3"/>
  <c r="E1462" i="3"/>
  <c r="A1463" i="3"/>
  <c r="B1463" i="3"/>
  <c r="C1463" i="3"/>
  <c r="D1463" i="3"/>
  <c r="E1463" i="3"/>
  <c r="A1464" i="3"/>
  <c r="B1464" i="3"/>
  <c r="C1464" i="3"/>
  <c r="D1464" i="3"/>
  <c r="E1464" i="3"/>
  <c r="A1465" i="3"/>
  <c r="B1465" i="3"/>
  <c r="C1465" i="3"/>
  <c r="D1465" i="3"/>
  <c r="E1465" i="3"/>
  <c r="A1466" i="3"/>
  <c r="B1466" i="3"/>
  <c r="C1466" i="3"/>
  <c r="D1466" i="3"/>
  <c r="E1466" i="3"/>
  <c r="A1467" i="3"/>
  <c r="B1467" i="3"/>
  <c r="C1467" i="3"/>
  <c r="D1467" i="3"/>
  <c r="E1467" i="3"/>
  <c r="A1468" i="3"/>
  <c r="B1468" i="3"/>
  <c r="C1468" i="3"/>
  <c r="D1468" i="3"/>
  <c r="E1468" i="3"/>
  <c r="A1469" i="3"/>
  <c r="B1469" i="3"/>
  <c r="C1469" i="3"/>
  <c r="D1469" i="3"/>
  <c r="E1469" i="3"/>
  <c r="A1470" i="3"/>
  <c r="B1470" i="3"/>
  <c r="C1470" i="3"/>
  <c r="D1470" i="3"/>
  <c r="E1470" i="3"/>
  <c r="A1471" i="3"/>
  <c r="B1471" i="3"/>
  <c r="C1471" i="3"/>
  <c r="D1471" i="3"/>
  <c r="E1471" i="3"/>
  <c r="A1472" i="3"/>
  <c r="B1472" i="3"/>
  <c r="C1472" i="3"/>
  <c r="D1472" i="3"/>
  <c r="E1472" i="3"/>
  <c r="A1473" i="3"/>
  <c r="B1473" i="3"/>
  <c r="C1473" i="3"/>
  <c r="D1473" i="3"/>
  <c r="E1473" i="3"/>
  <c r="A1474" i="3"/>
  <c r="B1474" i="3"/>
  <c r="C1474" i="3"/>
  <c r="D1474" i="3"/>
  <c r="E1474" i="3"/>
  <c r="A1475" i="3"/>
  <c r="B1475" i="3"/>
  <c r="C1475" i="3"/>
  <c r="D1475" i="3"/>
  <c r="E1475" i="3"/>
  <c r="A1476" i="3"/>
  <c r="B1476" i="3"/>
  <c r="C1476" i="3"/>
  <c r="D1476" i="3"/>
  <c r="E1476" i="3"/>
  <c r="A1477" i="3"/>
  <c r="B1477" i="3"/>
  <c r="C1477" i="3"/>
  <c r="D1477" i="3"/>
  <c r="E1477" i="3"/>
  <c r="A1478" i="3"/>
  <c r="B1478" i="3"/>
  <c r="C1478" i="3"/>
  <c r="D1478" i="3"/>
  <c r="E1478" i="3"/>
  <c r="A1479" i="3"/>
  <c r="B1479" i="3"/>
  <c r="C1479" i="3"/>
  <c r="D1479" i="3"/>
  <c r="E1479" i="3"/>
  <c r="A1480" i="3"/>
  <c r="B1480" i="3"/>
  <c r="C1480" i="3"/>
  <c r="F1480" i="3" s="1"/>
  <c r="D1480" i="3"/>
  <c r="E1480" i="3"/>
  <c r="A1481" i="3"/>
  <c r="B1481" i="3"/>
  <c r="C1481" i="3"/>
  <c r="D1481" i="3"/>
  <c r="E1481" i="3"/>
  <c r="A1482" i="3"/>
  <c r="B1482" i="3"/>
  <c r="C1482" i="3"/>
  <c r="D1482" i="3"/>
  <c r="E1482" i="3"/>
  <c r="G1482" i="3" s="1"/>
  <c r="A1483" i="3"/>
  <c r="B1483" i="3"/>
  <c r="C1483" i="3"/>
  <c r="D1483" i="3"/>
  <c r="E1483" i="3"/>
  <c r="A1484" i="3"/>
  <c r="B1484" i="3"/>
  <c r="C1484" i="3"/>
  <c r="D1484" i="3"/>
  <c r="E1484" i="3"/>
  <c r="A1485" i="3"/>
  <c r="B1485" i="3"/>
  <c r="C1485" i="3"/>
  <c r="D1485" i="3"/>
  <c r="E1485" i="3"/>
  <c r="A1486" i="3"/>
  <c r="B1486" i="3"/>
  <c r="C1486" i="3"/>
  <c r="D1486" i="3"/>
  <c r="E1486" i="3"/>
  <c r="A1487" i="3"/>
  <c r="B1487" i="3"/>
  <c r="C1487" i="3"/>
  <c r="D1487" i="3"/>
  <c r="E1487" i="3"/>
  <c r="A1488" i="3"/>
  <c r="B1488" i="3"/>
  <c r="C1488" i="3"/>
  <c r="D1488" i="3"/>
  <c r="E1488" i="3"/>
  <c r="A1489" i="3"/>
  <c r="B1489" i="3"/>
  <c r="C1489" i="3"/>
  <c r="D1489" i="3"/>
  <c r="E1489" i="3"/>
  <c r="A1490" i="3"/>
  <c r="B1490" i="3"/>
  <c r="C1490" i="3"/>
  <c r="D1490" i="3"/>
  <c r="E1490" i="3"/>
  <c r="A1491" i="3"/>
  <c r="B1491" i="3"/>
  <c r="C1491" i="3"/>
  <c r="D1491" i="3"/>
  <c r="E1491" i="3"/>
  <c r="A1492" i="3"/>
  <c r="B1492" i="3"/>
  <c r="C1492" i="3"/>
  <c r="F1492" i="3" s="1"/>
  <c r="D1492" i="3"/>
  <c r="E1492" i="3"/>
  <c r="A1493" i="3"/>
  <c r="B1493" i="3"/>
  <c r="C1493" i="3"/>
  <c r="D1493" i="3"/>
  <c r="E1493" i="3"/>
  <c r="A1494" i="3"/>
  <c r="B1494" i="3"/>
  <c r="C1494" i="3"/>
  <c r="D1494" i="3"/>
  <c r="E1494" i="3"/>
  <c r="G1494" i="3" s="1"/>
  <c r="A1495" i="3"/>
  <c r="B1495" i="3"/>
  <c r="C1495" i="3"/>
  <c r="D1495" i="3"/>
  <c r="E1495" i="3"/>
  <c r="A1496" i="3"/>
  <c r="B1496" i="3"/>
  <c r="C1496" i="3"/>
  <c r="D1496" i="3"/>
  <c r="E1496" i="3"/>
  <c r="A1497" i="3"/>
  <c r="B1497" i="3"/>
  <c r="C1497" i="3"/>
  <c r="D1497" i="3"/>
  <c r="E1497" i="3"/>
  <c r="A1498" i="3"/>
  <c r="B1498" i="3"/>
  <c r="C1498" i="3"/>
  <c r="D1498" i="3"/>
  <c r="E1498" i="3"/>
  <c r="A1499" i="3"/>
  <c r="B1499" i="3"/>
  <c r="C1499" i="3"/>
  <c r="D1499" i="3"/>
  <c r="E1499" i="3"/>
  <c r="A1500" i="3"/>
  <c r="B1500" i="3"/>
  <c r="C1500" i="3"/>
  <c r="D1500" i="3"/>
  <c r="E1500" i="3"/>
  <c r="A1501" i="3"/>
  <c r="B1501" i="3"/>
  <c r="C1501" i="3"/>
  <c r="D1501" i="3"/>
  <c r="E1501" i="3"/>
  <c r="A1502" i="3"/>
  <c r="B1502" i="3"/>
  <c r="C1502" i="3"/>
  <c r="D1502" i="3"/>
  <c r="E1502" i="3"/>
  <c r="A1503" i="3"/>
  <c r="B1503" i="3"/>
  <c r="C1503" i="3"/>
  <c r="D1503" i="3"/>
  <c r="E1503" i="3"/>
  <c r="A1504" i="3"/>
  <c r="B1504" i="3"/>
  <c r="C1504" i="3"/>
  <c r="F1504" i="3" s="1"/>
  <c r="D1504" i="3"/>
  <c r="E1504" i="3"/>
  <c r="A1505" i="3"/>
  <c r="B1505" i="3"/>
  <c r="C1505" i="3"/>
  <c r="D1505" i="3"/>
  <c r="E1505" i="3"/>
  <c r="A1506" i="3"/>
  <c r="B1506" i="3"/>
  <c r="C1506" i="3"/>
  <c r="D1506" i="3"/>
  <c r="E1506" i="3"/>
  <c r="G1506" i="3" s="1"/>
  <c r="A1507" i="3"/>
  <c r="B1507" i="3"/>
  <c r="C1507" i="3"/>
  <c r="D1507" i="3"/>
  <c r="E1507" i="3"/>
  <c r="A1508" i="3"/>
  <c r="B1508" i="3"/>
  <c r="C1508" i="3"/>
  <c r="D1508" i="3"/>
  <c r="E1508" i="3"/>
  <c r="A1509" i="3"/>
  <c r="B1509" i="3"/>
  <c r="C1509" i="3"/>
  <c r="D1509" i="3"/>
  <c r="E1509" i="3"/>
  <c r="A1510" i="3"/>
  <c r="B1510" i="3"/>
  <c r="C1510" i="3"/>
  <c r="D1510" i="3"/>
  <c r="E1510" i="3"/>
  <c r="A1511" i="3"/>
  <c r="B1511" i="3"/>
  <c r="C1511" i="3"/>
  <c r="D1511" i="3"/>
  <c r="E1511" i="3"/>
  <c r="A1512" i="3"/>
  <c r="B1512" i="3"/>
  <c r="C1512" i="3"/>
  <c r="D1512" i="3"/>
  <c r="E1512" i="3"/>
  <c r="A1513" i="3"/>
  <c r="B1513" i="3"/>
  <c r="C1513" i="3"/>
  <c r="D1513" i="3"/>
  <c r="E1513" i="3"/>
  <c r="A1514" i="3"/>
  <c r="B1514" i="3"/>
  <c r="C1514" i="3"/>
  <c r="D1514" i="3"/>
  <c r="E1514" i="3"/>
  <c r="A1515" i="3"/>
  <c r="B1515" i="3"/>
  <c r="C1515" i="3"/>
  <c r="D1515" i="3"/>
  <c r="E1515" i="3"/>
  <c r="A1516" i="3"/>
  <c r="B1516" i="3"/>
  <c r="C1516" i="3"/>
  <c r="D1516" i="3"/>
  <c r="E1516" i="3"/>
  <c r="A1517" i="3"/>
  <c r="B1517" i="3"/>
  <c r="C1517" i="3"/>
  <c r="D1517" i="3"/>
  <c r="E1517" i="3"/>
  <c r="A1518" i="3"/>
  <c r="B1518" i="3"/>
  <c r="C1518" i="3"/>
  <c r="D1518" i="3"/>
  <c r="E1518" i="3"/>
  <c r="A1519" i="3"/>
  <c r="B1519" i="3"/>
  <c r="C1519" i="3"/>
  <c r="D1519" i="3"/>
  <c r="E1519" i="3"/>
  <c r="A1520" i="3"/>
  <c r="B1520" i="3"/>
  <c r="C1520" i="3"/>
  <c r="D1520" i="3"/>
  <c r="E1520" i="3"/>
  <c r="A1521" i="3"/>
  <c r="B1521" i="3"/>
  <c r="C1521" i="3"/>
  <c r="D1521" i="3"/>
  <c r="E1521" i="3"/>
  <c r="A1522" i="3"/>
  <c r="B1522" i="3"/>
  <c r="C1522" i="3"/>
  <c r="D1522" i="3"/>
  <c r="E1522" i="3"/>
  <c r="A1523" i="3"/>
  <c r="B1523" i="3"/>
  <c r="C1523" i="3"/>
  <c r="D1523" i="3"/>
  <c r="E1523" i="3"/>
  <c r="A1524" i="3"/>
  <c r="B1524" i="3"/>
  <c r="C1524" i="3"/>
  <c r="D1524" i="3"/>
  <c r="E1524" i="3"/>
  <c r="A1525" i="3"/>
  <c r="B1525" i="3"/>
  <c r="C1525" i="3"/>
  <c r="D1525" i="3"/>
  <c r="E1525" i="3"/>
  <c r="A1526" i="3"/>
  <c r="B1526" i="3"/>
  <c r="C1526" i="3"/>
  <c r="D1526" i="3"/>
  <c r="E1526" i="3"/>
  <c r="A1527" i="3"/>
  <c r="B1527" i="3"/>
  <c r="C1527" i="3"/>
  <c r="D1527" i="3"/>
  <c r="E1527" i="3"/>
  <c r="A1528" i="3"/>
  <c r="B1528" i="3"/>
  <c r="C1528" i="3"/>
  <c r="D1528" i="3"/>
  <c r="E1528" i="3"/>
  <c r="A1529" i="3"/>
  <c r="B1529" i="3"/>
  <c r="C1529" i="3"/>
  <c r="D1529" i="3"/>
  <c r="E1529" i="3"/>
  <c r="A1530" i="3"/>
  <c r="B1530" i="3"/>
  <c r="C1530" i="3"/>
  <c r="D1530" i="3"/>
  <c r="E1530" i="3"/>
  <c r="G1530" i="3" s="1"/>
  <c r="A1531" i="3"/>
  <c r="B1531" i="3"/>
  <c r="C1531" i="3"/>
  <c r="D1531" i="3"/>
  <c r="E1531" i="3"/>
  <c r="A1532" i="3"/>
  <c r="B1532" i="3"/>
  <c r="C1532" i="3"/>
  <c r="D1532" i="3"/>
  <c r="E1532" i="3"/>
  <c r="A1533" i="3"/>
  <c r="B1533" i="3"/>
  <c r="C1533" i="3"/>
  <c r="D1533" i="3"/>
  <c r="E1533" i="3"/>
  <c r="A1534" i="3"/>
  <c r="B1534" i="3"/>
  <c r="C1534" i="3"/>
  <c r="D1534" i="3"/>
  <c r="E1534" i="3"/>
  <c r="A1535" i="3"/>
  <c r="B1535" i="3"/>
  <c r="C1535" i="3"/>
  <c r="D1535" i="3"/>
  <c r="E1535" i="3"/>
  <c r="A1536" i="3"/>
  <c r="B1536" i="3"/>
  <c r="C1536" i="3"/>
  <c r="D1536" i="3"/>
  <c r="E1536" i="3"/>
  <c r="A1537" i="3"/>
  <c r="B1537" i="3"/>
  <c r="C1537" i="3"/>
  <c r="D1537" i="3"/>
  <c r="E1537" i="3"/>
  <c r="A1538" i="3"/>
  <c r="B1538" i="3"/>
  <c r="C1538" i="3"/>
  <c r="D1538" i="3"/>
  <c r="E1538" i="3"/>
  <c r="A1539" i="3"/>
  <c r="B1539" i="3"/>
  <c r="C1539" i="3"/>
  <c r="D1539" i="3"/>
  <c r="E1539" i="3"/>
  <c r="A1540" i="3"/>
  <c r="B1540" i="3"/>
  <c r="C1540" i="3"/>
  <c r="F1540" i="3" s="1"/>
  <c r="D1540" i="3"/>
  <c r="E1540" i="3"/>
  <c r="A1541" i="3"/>
  <c r="B1541" i="3"/>
  <c r="C1541" i="3"/>
  <c r="D1541" i="3"/>
  <c r="E1541" i="3"/>
  <c r="A1542" i="3"/>
  <c r="B1542" i="3"/>
  <c r="C1542" i="3"/>
  <c r="D1542" i="3"/>
  <c r="E1542" i="3"/>
  <c r="G1542" i="3" s="1"/>
  <c r="A1543" i="3"/>
  <c r="B1543" i="3"/>
  <c r="C1543" i="3"/>
  <c r="D1543" i="3"/>
  <c r="E1543" i="3"/>
  <c r="A1544" i="3"/>
  <c r="B1544" i="3"/>
  <c r="C1544" i="3"/>
  <c r="D1544" i="3"/>
  <c r="E1544" i="3"/>
  <c r="A1545" i="3"/>
  <c r="B1545" i="3"/>
  <c r="C1545" i="3"/>
  <c r="D1545" i="3"/>
  <c r="E1545" i="3"/>
  <c r="A1546" i="3"/>
  <c r="B1546" i="3"/>
  <c r="C1546" i="3"/>
  <c r="D1546" i="3"/>
  <c r="E1546" i="3"/>
  <c r="A1547" i="3"/>
  <c r="B1547" i="3"/>
  <c r="C1547" i="3"/>
  <c r="D1547" i="3"/>
  <c r="E1547" i="3"/>
  <c r="A1548" i="3"/>
  <c r="B1548" i="3"/>
  <c r="C1548" i="3"/>
  <c r="D1548" i="3"/>
  <c r="E1548" i="3"/>
  <c r="A1549" i="3"/>
  <c r="B1549" i="3"/>
  <c r="C1549" i="3"/>
  <c r="D1549" i="3"/>
  <c r="E1549" i="3"/>
  <c r="A1550" i="3"/>
  <c r="B1550" i="3"/>
  <c r="C1550" i="3"/>
  <c r="D1550" i="3"/>
  <c r="E1550" i="3"/>
  <c r="A1551" i="3"/>
  <c r="B1551" i="3"/>
  <c r="C1551" i="3"/>
  <c r="D1551" i="3"/>
  <c r="E1551" i="3"/>
  <c r="A1552" i="3"/>
  <c r="B1552" i="3"/>
  <c r="C1552" i="3"/>
  <c r="F1552" i="3" s="1"/>
  <c r="D1552" i="3"/>
  <c r="E1552" i="3"/>
  <c r="A1553" i="3"/>
  <c r="B1553" i="3"/>
  <c r="C1553" i="3"/>
  <c r="D1553" i="3"/>
  <c r="E1553" i="3"/>
  <c r="A1554" i="3"/>
  <c r="B1554" i="3"/>
  <c r="C1554" i="3"/>
  <c r="D1554" i="3"/>
  <c r="E1554" i="3"/>
  <c r="G1554" i="3" s="1"/>
  <c r="A1555" i="3"/>
  <c r="B1555" i="3"/>
  <c r="C1555" i="3"/>
  <c r="D1555" i="3"/>
  <c r="E1555" i="3"/>
  <c r="A1556" i="3"/>
  <c r="B1556" i="3"/>
  <c r="C1556" i="3"/>
  <c r="D1556" i="3"/>
  <c r="E1556" i="3"/>
  <c r="A1557" i="3"/>
  <c r="B1557" i="3"/>
  <c r="C1557" i="3"/>
  <c r="D1557" i="3"/>
  <c r="E1557" i="3"/>
  <c r="A1558" i="3"/>
  <c r="B1558" i="3"/>
  <c r="C1558" i="3"/>
  <c r="D1558" i="3"/>
  <c r="E1558" i="3"/>
  <c r="A1559" i="3"/>
  <c r="B1559" i="3"/>
  <c r="C1559" i="3"/>
  <c r="D1559" i="3"/>
  <c r="E1559" i="3"/>
  <c r="A1560" i="3"/>
  <c r="B1560" i="3"/>
  <c r="C1560" i="3"/>
  <c r="D1560" i="3"/>
  <c r="E1560" i="3"/>
  <c r="A1561" i="3"/>
  <c r="B1561" i="3"/>
  <c r="C1561" i="3"/>
  <c r="D1561" i="3"/>
  <c r="E1561" i="3"/>
  <c r="A1562" i="3"/>
  <c r="B1562" i="3"/>
  <c r="C1562" i="3"/>
  <c r="D1562" i="3"/>
  <c r="E1562" i="3"/>
  <c r="A1563" i="3"/>
  <c r="B1563" i="3"/>
  <c r="C1563" i="3"/>
  <c r="D1563" i="3"/>
  <c r="E1563" i="3"/>
  <c r="A1564" i="3"/>
  <c r="B1564" i="3"/>
  <c r="C1564" i="3"/>
  <c r="F1564" i="3" s="1"/>
  <c r="D1564" i="3"/>
  <c r="E1564" i="3"/>
  <c r="A1565" i="3"/>
  <c r="B1565" i="3"/>
  <c r="C1565" i="3"/>
  <c r="D1565" i="3"/>
  <c r="E1565" i="3"/>
  <c r="A1566" i="3"/>
  <c r="B1566" i="3"/>
  <c r="C1566" i="3"/>
  <c r="D1566" i="3"/>
  <c r="E1566" i="3"/>
  <c r="G1566" i="3" s="1"/>
  <c r="A1567" i="3"/>
  <c r="B1567" i="3"/>
  <c r="C1567" i="3"/>
  <c r="D1567" i="3"/>
  <c r="E1567" i="3"/>
  <c r="A1568" i="3"/>
  <c r="B1568" i="3"/>
  <c r="C1568" i="3"/>
  <c r="D1568" i="3"/>
  <c r="E1568" i="3"/>
  <c r="A1569" i="3"/>
  <c r="B1569" i="3"/>
  <c r="C1569" i="3"/>
  <c r="D1569" i="3"/>
  <c r="E1569" i="3"/>
  <c r="A1570" i="3"/>
  <c r="B1570" i="3"/>
  <c r="C1570" i="3"/>
  <c r="D1570" i="3"/>
  <c r="E1570" i="3"/>
  <c r="A1571" i="3"/>
  <c r="B1571" i="3"/>
  <c r="C1571" i="3"/>
  <c r="D1571" i="3"/>
  <c r="E1571" i="3"/>
  <c r="A1572" i="3"/>
  <c r="B1572" i="3"/>
  <c r="C1572" i="3"/>
  <c r="D1572" i="3"/>
  <c r="E1572" i="3"/>
  <c r="A1573" i="3"/>
  <c r="B1573" i="3"/>
  <c r="C1573" i="3"/>
  <c r="D1573" i="3"/>
  <c r="E1573" i="3"/>
  <c r="A1574" i="3"/>
  <c r="B1574" i="3"/>
  <c r="C1574" i="3"/>
  <c r="D1574" i="3"/>
  <c r="E1574" i="3"/>
  <c r="A1575" i="3"/>
  <c r="B1575" i="3"/>
  <c r="C1575" i="3"/>
  <c r="D1575" i="3"/>
  <c r="E1575" i="3"/>
  <c r="A1576" i="3"/>
  <c r="B1576" i="3"/>
  <c r="C1576" i="3"/>
  <c r="F1576" i="3" s="1"/>
  <c r="D1576" i="3"/>
  <c r="E1576" i="3"/>
  <c r="A1577" i="3"/>
  <c r="B1577" i="3"/>
  <c r="C1577" i="3"/>
  <c r="D1577" i="3"/>
  <c r="E1577" i="3"/>
  <c r="A1578" i="3"/>
  <c r="B1578" i="3"/>
  <c r="C1578" i="3"/>
  <c r="D1578" i="3"/>
  <c r="E1578" i="3"/>
  <c r="G1578" i="3" s="1"/>
  <c r="A1579" i="3"/>
  <c r="B1579" i="3"/>
  <c r="C1579" i="3"/>
  <c r="D1579" i="3"/>
  <c r="E1579" i="3"/>
  <c r="A1580" i="3"/>
  <c r="B1580" i="3"/>
  <c r="C1580" i="3"/>
  <c r="D1580" i="3"/>
  <c r="E1580" i="3"/>
  <c r="A1581" i="3"/>
  <c r="B1581" i="3"/>
  <c r="C1581" i="3"/>
  <c r="D1581" i="3"/>
  <c r="E1581" i="3"/>
  <c r="A1582" i="3"/>
  <c r="B1582" i="3"/>
  <c r="C1582" i="3"/>
  <c r="D1582" i="3"/>
  <c r="E1582" i="3"/>
  <c r="A1583" i="3"/>
  <c r="B1583" i="3"/>
  <c r="C1583" i="3"/>
  <c r="D1583" i="3"/>
  <c r="E1583" i="3"/>
  <c r="A1584" i="3"/>
  <c r="B1584" i="3"/>
  <c r="C1584" i="3"/>
  <c r="D1584" i="3"/>
  <c r="E1584" i="3"/>
  <c r="A1585" i="3"/>
  <c r="B1585" i="3"/>
  <c r="C1585" i="3"/>
  <c r="D1585" i="3"/>
  <c r="E1585" i="3"/>
  <c r="A1586" i="3"/>
  <c r="B1586" i="3"/>
  <c r="C1586" i="3"/>
  <c r="D1586" i="3"/>
  <c r="E1586" i="3"/>
  <c r="A1587" i="3"/>
  <c r="B1587" i="3"/>
  <c r="C1587" i="3"/>
  <c r="D1587" i="3"/>
  <c r="E1587" i="3"/>
  <c r="A1588" i="3"/>
  <c r="B1588" i="3"/>
  <c r="C1588" i="3"/>
  <c r="F1588" i="3" s="1"/>
  <c r="D1588" i="3"/>
  <c r="E1588" i="3"/>
  <c r="A1589" i="3"/>
  <c r="B1589" i="3"/>
  <c r="C1589" i="3"/>
  <c r="D1589" i="3"/>
  <c r="E1589" i="3"/>
  <c r="A1590" i="3"/>
  <c r="B1590" i="3"/>
  <c r="C1590" i="3"/>
  <c r="D1590" i="3"/>
  <c r="E1590" i="3"/>
  <c r="G1590" i="3" s="1"/>
  <c r="A1591" i="3"/>
  <c r="B1591" i="3"/>
  <c r="C1591" i="3"/>
  <c r="D1591" i="3"/>
  <c r="E1591" i="3"/>
  <c r="A1592" i="3"/>
  <c r="B1592" i="3"/>
  <c r="C1592" i="3"/>
  <c r="D1592" i="3"/>
  <c r="E1592" i="3"/>
  <c r="A1593" i="3"/>
  <c r="B1593" i="3"/>
  <c r="C1593" i="3"/>
  <c r="D1593" i="3"/>
  <c r="E1593" i="3"/>
  <c r="A1594" i="3"/>
  <c r="B1594" i="3"/>
  <c r="C1594" i="3"/>
  <c r="D1594" i="3"/>
  <c r="E1594" i="3"/>
  <c r="A1595" i="3"/>
  <c r="B1595" i="3"/>
  <c r="C1595" i="3"/>
  <c r="D1595" i="3"/>
  <c r="E1595" i="3"/>
  <c r="A1596" i="3"/>
  <c r="B1596" i="3"/>
  <c r="C1596" i="3"/>
  <c r="D1596" i="3"/>
  <c r="E1596" i="3"/>
  <c r="A1597" i="3"/>
  <c r="B1597" i="3"/>
  <c r="C1597" i="3"/>
  <c r="D1597" i="3"/>
  <c r="E1597" i="3"/>
  <c r="A1598" i="3"/>
  <c r="B1598" i="3"/>
  <c r="C1598" i="3"/>
  <c r="D1598" i="3"/>
  <c r="E1598" i="3"/>
  <c r="A1599" i="3"/>
  <c r="B1599" i="3"/>
  <c r="C1599" i="3"/>
  <c r="D1599" i="3"/>
  <c r="E1599" i="3"/>
  <c r="A1600" i="3"/>
  <c r="B1600" i="3"/>
  <c r="C1600" i="3"/>
  <c r="D1600" i="3"/>
  <c r="E1600" i="3"/>
  <c r="A1601" i="3"/>
  <c r="B1601" i="3"/>
  <c r="C1601" i="3"/>
  <c r="D1601" i="3"/>
  <c r="E1601" i="3"/>
  <c r="A1602" i="3"/>
  <c r="B1602" i="3"/>
  <c r="C1602" i="3"/>
  <c r="D1602" i="3"/>
  <c r="E1602" i="3"/>
  <c r="A1603" i="3"/>
  <c r="B1603" i="3"/>
  <c r="C1603" i="3"/>
  <c r="D1603" i="3"/>
  <c r="E1603" i="3"/>
  <c r="A1604" i="3"/>
  <c r="B1604" i="3"/>
  <c r="C1604" i="3"/>
  <c r="D1604" i="3"/>
  <c r="E1604" i="3"/>
  <c r="A1605" i="3"/>
  <c r="B1605" i="3"/>
  <c r="C1605" i="3"/>
  <c r="D1605" i="3"/>
  <c r="E1605" i="3"/>
  <c r="A1606" i="3"/>
  <c r="B1606" i="3"/>
  <c r="C1606" i="3"/>
  <c r="D1606" i="3"/>
  <c r="E1606" i="3"/>
  <c r="A1607" i="3"/>
  <c r="B1607" i="3"/>
  <c r="C1607" i="3"/>
  <c r="D1607" i="3"/>
  <c r="E1607" i="3"/>
  <c r="A1608" i="3"/>
  <c r="B1608" i="3"/>
  <c r="C1608" i="3"/>
  <c r="D1608" i="3"/>
  <c r="E1608" i="3"/>
  <c r="A1609" i="3"/>
  <c r="B1609" i="3"/>
  <c r="C1609" i="3"/>
  <c r="D1609" i="3"/>
  <c r="E1609" i="3"/>
  <c r="A1610" i="3"/>
  <c r="B1610" i="3"/>
  <c r="C1610" i="3"/>
  <c r="D1610" i="3"/>
  <c r="E1610" i="3"/>
  <c r="A1611" i="3"/>
  <c r="B1611" i="3"/>
  <c r="C1611" i="3"/>
  <c r="D1611" i="3"/>
  <c r="E1611" i="3"/>
  <c r="A1612" i="3"/>
  <c r="B1612" i="3"/>
  <c r="C1612" i="3"/>
  <c r="D1612" i="3"/>
  <c r="E1612" i="3"/>
  <c r="A1613" i="3"/>
  <c r="B1613" i="3"/>
  <c r="C1613" i="3"/>
  <c r="D1613" i="3"/>
  <c r="E1613" i="3"/>
  <c r="A1614" i="3"/>
  <c r="B1614" i="3"/>
  <c r="C1614" i="3"/>
  <c r="D1614" i="3"/>
  <c r="E1614" i="3"/>
  <c r="A1615" i="3"/>
  <c r="B1615" i="3"/>
  <c r="C1615" i="3"/>
  <c r="D1615" i="3"/>
  <c r="E1615" i="3"/>
  <c r="A1616" i="3"/>
  <c r="B1616" i="3"/>
  <c r="C1616" i="3"/>
  <c r="D1616" i="3"/>
  <c r="E1616" i="3"/>
  <c r="A1617" i="3"/>
  <c r="B1617" i="3"/>
  <c r="C1617" i="3"/>
  <c r="D1617" i="3"/>
  <c r="E1617" i="3"/>
  <c r="A1618" i="3"/>
  <c r="B1618" i="3"/>
  <c r="C1618" i="3"/>
  <c r="D1618" i="3"/>
  <c r="E1618" i="3"/>
  <c r="A1619" i="3"/>
  <c r="B1619" i="3"/>
  <c r="C1619" i="3"/>
  <c r="D1619" i="3"/>
  <c r="E1619" i="3"/>
  <c r="A1620" i="3"/>
  <c r="B1620" i="3"/>
  <c r="C1620" i="3"/>
  <c r="D1620" i="3"/>
  <c r="E1620" i="3"/>
  <c r="A1621" i="3"/>
  <c r="B1621" i="3"/>
  <c r="C1621" i="3"/>
  <c r="D1621" i="3"/>
  <c r="E1621" i="3"/>
  <c r="A1622" i="3"/>
  <c r="B1622" i="3"/>
  <c r="C1622" i="3"/>
  <c r="D1622" i="3"/>
  <c r="E1622" i="3"/>
  <c r="A1623" i="3"/>
  <c r="B1623" i="3"/>
  <c r="C1623" i="3"/>
  <c r="D1623" i="3"/>
  <c r="E1623" i="3"/>
  <c r="A1624" i="3"/>
  <c r="B1624" i="3"/>
  <c r="C1624" i="3"/>
  <c r="D1624" i="3"/>
  <c r="E1624" i="3"/>
  <c r="A1625" i="3"/>
  <c r="B1625" i="3"/>
  <c r="C1625" i="3"/>
  <c r="D1625" i="3"/>
  <c r="E1625" i="3"/>
  <c r="A1626" i="3"/>
  <c r="B1626" i="3"/>
  <c r="C1626" i="3"/>
  <c r="D1626" i="3"/>
  <c r="E1626" i="3"/>
  <c r="A1627" i="3"/>
  <c r="B1627" i="3"/>
  <c r="C1627" i="3"/>
  <c r="D1627" i="3"/>
  <c r="E1627" i="3"/>
  <c r="A1628" i="3"/>
  <c r="B1628" i="3"/>
  <c r="C1628" i="3"/>
  <c r="D1628" i="3"/>
  <c r="E1628" i="3"/>
  <c r="A1629" i="3"/>
  <c r="B1629" i="3"/>
  <c r="C1629" i="3"/>
  <c r="D1629" i="3"/>
  <c r="E1629" i="3"/>
  <c r="A1630" i="3"/>
  <c r="B1630" i="3"/>
  <c r="C1630" i="3"/>
  <c r="D1630" i="3"/>
  <c r="E1630" i="3"/>
  <c r="A1631" i="3"/>
  <c r="B1631" i="3"/>
  <c r="C1631" i="3"/>
  <c r="D1631" i="3"/>
  <c r="E1631" i="3"/>
  <c r="A1632" i="3"/>
  <c r="B1632" i="3"/>
  <c r="C1632" i="3"/>
  <c r="D1632" i="3"/>
  <c r="E1632" i="3"/>
  <c r="A1633" i="3"/>
  <c r="B1633" i="3"/>
  <c r="C1633" i="3"/>
  <c r="D1633" i="3"/>
  <c r="E1633" i="3"/>
  <c r="A1634" i="3"/>
  <c r="B1634" i="3"/>
  <c r="C1634" i="3"/>
  <c r="D1634" i="3"/>
  <c r="E1634" i="3"/>
  <c r="A1635" i="3"/>
  <c r="B1635" i="3"/>
  <c r="C1635" i="3"/>
  <c r="D1635" i="3"/>
  <c r="E1635" i="3"/>
  <c r="A1636" i="3"/>
  <c r="B1636" i="3"/>
  <c r="C1636" i="3"/>
  <c r="D1636" i="3"/>
  <c r="E1636" i="3"/>
  <c r="A1637" i="3"/>
  <c r="B1637" i="3"/>
  <c r="C1637" i="3"/>
  <c r="D1637" i="3"/>
  <c r="E1637" i="3"/>
  <c r="A1638" i="3"/>
  <c r="B1638" i="3"/>
  <c r="C1638" i="3"/>
  <c r="D1638" i="3"/>
  <c r="E1638" i="3"/>
  <c r="A1639" i="3"/>
  <c r="B1639" i="3"/>
  <c r="C1639" i="3"/>
  <c r="D1639" i="3"/>
  <c r="E1639" i="3"/>
  <c r="A1640" i="3"/>
  <c r="B1640" i="3"/>
  <c r="C1640" i="3"/>
  <c r="D1640" i="3"/>
  <c r="E1640" i="3"/>
  <c r="A1641" i="3"/>
  <c r="B1641" i="3"/>
  <c r="C1641" i="3"/>
  <c r="D1641" i="3"/>
  <c r="E1641" i="3"/>
  <c r="A1642" i="3"/>
  <c r="B1642" i="3"/>
  <c r="C1642" i="3"/>
  <c r="D1642" i="3"/>
  <c r="E1642" i="3"/>
  <c r="A1643" i="3"/>
  <c r="B1643" i="3"/>
  <c r="C1643" i="3"/>
  <c r="D1643" i="3"/>
  <c r="E1643" i="3"/>
  <c r="A1644" i="3"/>
  <c r="B1644" i="3"/>
  <c r="C1644" i="3"/>
  <c r="D1644" i="3"/>
  <c r="E1644" i="3"/>
  <c r="A1645" i="3"/>
  <c r="B1645" i="3"/>
  <c r="C1645" i="3"/>
  <c r="D1645" i="3"/>
  <c r="E1645" i="3"/>
  <c r="A1646" i="3"/>
  <c r="B1646" i="3"/>
  <c r="C1646" i="3"/>
  <c r="D1646" i="3"/>
  <c r="E1646" i="3"/>
  <c r="A1647" i="3"/>
  <c r="B1647" i="3"/>
  <c r="C1647" i="3"/>
  <c r="D1647" i="3"/>
  <c r="E1647" i="3"/>
  <c r="A1648" i="3"/>
  <c r="B1648" i="3"/>
  <c r="C1648" i="3"/>
  <c r="D1648" i="3"/>
  <c r="E1648" i="3"/>
  <c r="A1649" i="3"/>
  <c r="B1649" i="3"/>
  <c r="C1649" i="3"/>
  <c r="D1649" i="3"/>
  <c r="E1649" i="3"/>
  <c r="A1650" i="3"/>
  <c r="B1650" i="3"/>
  <c r="C1650" i="3"/>
  <c r="D1650" i="3"/>
  <c r="E1650" i="3"/>
  <c r="A1651" i="3"/>
  <c r="B1651" i="3"/>
  <c r="C1651" i="3"/>
  <c r="D1651" i="3"/>
  <c r="E1651" i="3"/>
  <c r="A1652" i="3"/>
  <c r="B1652" i="3"/>
  <c r="C1652" i="3"/>
  <c r="D1652" i="3"/>
  <c r="E1652" i="3"/>
  <c r="A1653" i="3"/>
  <c r="B1653" i="3"/>
  <c r="C1653" i="3"/>
  <c r="D1653" i="3"/>
  <c r="E1653" i="3"/>
  <c r="A1654" i="3"/>
  <c r="B1654" i="3"/>
  <c r="C1654" i="3"/>
  <c r="D1654" i="3"/>
  <c r="E1654" i="3"/>
  <c r="A1655" i="3"/>
  <c r="B1655" i="3"/>
  <c r="C1655" i="3"/>
  <c r="D1655" i="3"/>
  <c r="E1655" i="3"/>
  <c r="A1656" i="3"/>
  <c r="B1656" i="3"/>
  <c r="C1656" i="3"/>
  <c r="D1656" i="3"/>
  <c r="E1656" i="3"/>
  <c r="A1657" i="3"/>
  <c r="B1657" i="3"/>
  <c r="C1657" i="3"/>
  <c r="D1657" i="3"/>
  <c r="E1657" i="3"/>
  <c r="A1658" i="3"/>
  <c r="B1658" i="3"/>
  <c r="C1658" i="3"/>
  <c r="D1658" i="3"/>
  <c r="E1658" i="3"/>
  <c r="A1659" i="3"/>
  <c r="B1659" i="3"/>
  <c r="C1659" i="3"/>
  <c r="D1659" i="3"/>
  <c r="E1659" i="3"/>
  <c r="A1660" i="3"/>
  <c r="B1660" i="3"/>
  <c r="C1660" i="3"/>
  <c r="D1660" i="3"/>
  <c r="E1660" i="3"/>
  <c r="A1661" i="3"/>
  <c r="B1661" i="3"/>
  <c r="C1661" i="3"/>
  <c r="D1661" i="3"/>
  <c r="E1661" i="3"/>
  <c r="A1662" i="3"/>
  <c r="B1662" i="3"/>
  <c r="C1662" i="3"/>
  <c r="D1662" i="3"/>
  <c r="E1662" i="3"/>
  <c r="A1663" i="3"/>
  <c r="B1663" i="3"/>
  <c r="C1663" i="3"/>
  <c r="D1663" i="3"/>
  <c r="E1663" i="3"/>
  <c r="A1664" i="3"/>
  <c r="B1664" i="3"/>
  <c r="C1664" i="3"/>
  <c r="D1664" i="3"/>
  <c r="E1664" i="3"/>
  <c r="A1665" i="3"/>
  <c r="B1665" i="3"/>
  <c r="C1665" i="3"/>
  <c r="D1665" i="3"/>
  <c r="E1665" i="3"/>
  <c r="A1666" i="3"/>
  <c r="B1666" i="3"/>
  <c r="C1666" i="3"/>
  <c r="D1666" i="3"/>
  <c r="E1666" i="3"/>
  <c r="A1667" i="3"/>
  <c r="B1667" i="3"/>
  <c r="C1667" i="3"/>
  <c r="D1667" i="3"/>
  <c r="E1667" i="3"/>
  <c r="A1668" i="3"/>
  <c r="B1668" i="3"/>
  <c r="C1668" i="3"/>
  <c r="D1668" i="3"/>
  <c r="E1668" i="3"/>
  <c r="A1669" i="3"/>
  <c r="B1669" i="3"/>
  <c r="C1669" i="3"/>
  <c r="D1669" i="3"/>
  <c r="E1669" i="3"/>
  <c r="A1670" i="3"/>
  <c r="B1670" i="3"/>
  <c r="C1670" i="3"/>
  <c r="D1670" i="3"/>
  <c r="E1670" i="3"/>
  <c r="A1671" i="3"/>
  <c r="B1671" i="3"/>
  <c r="C1671" i="3"/>
  <c r="D1671" i="3"/>
  <c r="E1671" i="3"/>
  <c r="A1672" i="3"/>
  <c r="B1672" i="3"/>
  <c r="C1672" i="3"/>
  <c r="D1672" i="3"/>
  <c r="E1672" i="3"/>
  <c r="A1673" i="3"/>
  <c r="B1673" i="3"/>
  <c r="C1673" i="3"/>
  <c r="D1673" i="3"/>
  <c r="E1673" i="3"/>
  <c r="A1674" i="3"/>
  <c r="B1674" i="3"/>
  <c r="C1674" i="3"/>
  <c r="D1674" i="3"/>
  <c r="E1674" i="3"/>
  <c r="A1675" i="3"/>
  <c r="B1675" i="3"/>
  <c r="C1675" i="3"/>
  <c r="D1675" i="3"/>
  <c r="E1675" i="3"/>
  <c r="A1676" i="3"/>
  <c r="B1676" i="3"/>
  <c r="C1676" i="3"/>
  <c r="D1676" i="3"/>
  <c r="E1676" i="3"/>
  <c r="A1677" i="3"/>
  <c r="B1677" i="3"/>
  <c r="C1677" i="3"/>
  <c r="D1677" i="3"/>
  <c r="E1677" i="3"/>
  <c r="A1678" i="3"/>
  <c r="B1678" i="3"/>
  <c r="C1678" i="3"/>
  <c r="D1678" i="3"/>
  <c r="E1678" i="3"/>
  <c r="A1679" i="3"/>
  <c r="B1679" i="3"/>
  <c r="C1679" i="3"/>
  <c r="D1679" i="3"/>
  <c r="E1679" i="3"/>
  <c r="A1680" i="3"/>
  <c r="B1680" i="3"/>
  <c r="C1680" i="3"/>
  <c r="D1680" i="3"/>
  <c r="E1680" i="3"/>
  <c r="A1681" i="3"/>
  <c r="B1681" i="3"/>
  <c r="C1681" i="3"/>
  <c r="D1681" i="3"/>
  <c r="E1681" i="3"/>
  <c r="A1682" i="3"/>
  <c r="B1682" i="3"/>
  <c r="C1682" i="3"/>
  <c r="D1682" i="3"/>
  <c r="E1682" i="3"/>
  <c r="A1683" i="3"/>
  <c r="B1683" i="3"/>
  <c r="C1683" i="3"/>
  <c r="D1683" i="3"/>
  <c r="E1683" i="3"/>
  <c r="A1684" i="3"/>
  <c r="B1684" i="3"/>
  <c r="C1684" i="3"/>
  <c r="D1684" i="3"/>
  <c r="E1684" i="3"/>
  <c r="A1685" i="3"/>
  <c r="B1685" i="3"/>
  <c r="C1685" i="3"/>
  <c r="D1685" i="3"/>
  <c r="E1685" i="3"/>
  <c r="A1686" i="3"/>
  <c r="B1686" i="3"/>
  <c r="C1686" i="3"/>
  <c r="D1686" i="3"/>
  <c r="E1686" i="3"/>
  <c r="A1687" i="3"/>
  <c r="B1687" i="3"/>
  <c r="C1687" i="3"/>
  <c r="D1687" i="3"/>
  <c r="E1687" i="3"/>
  <c r="A1688" i="3"/>
  <c r="B1688" i="3"/>
  <c r="C1688" i="3"/>
  <c r="D1688" i="3"/>
  <c r="E1688" i="3"/>
  <c r="A1689" i="3"/>
  <c r="B1689" i="3"/>
  <c r="C1689" i="3"/>
  <c r="D1689" i="3"/>
  <c r="E1689" i="3"/>
  <c r="A1690" i="3"/>
  <c r="B1690" i="3"/>
  <c r="C1690" i="3"/>
  <c r="D1690" i="3"/>
  <c r="E1690" i="3"/>
  <c r="A1691" i="3"/>
  <c r="B1691" i="3"/>
  <c r="C1691" i="3"/>
  <c r="D1691" i="3"/>
  <c r="E1691" i="3"/>
  <c r="A1692" i="3"/>
  <c r="B1692" i="3"/>
  <c r="C1692" i="3"/>
  <c r="D1692" i="3"/>
  <c r="E1692" i="3"/>
  <c r="A1693" i="3"/>
  <c r="B1693" i="3"/>
  <c r="C1693" i="3"/>
  <c r="D1693" i="3"/>
  <c r="E1693" i="3"/>
  <c r="A1694" i="3"/>
  <c r="B1694" i="3"/>
  <c r="C1694" i="3"/>
  <c r="D1694" i="3"/>
  <c r="E1694" i="3"/>
  <c r="A1695" i="3"/>
  <c r="B1695" i="3"/>
  <c r="C1695" i="3"/>
  <c r="D1695" i="3"/>
  <c r="E1695" i="3"/>
  <c r="A1696" i="3"/>
  <c r="B1696" i="3"/>
  <c r="C1696" i="3"/>
  <c r="D1696" i="3"/>
  <c r="E1696" i="3"/>
  <c r="A1697" i="3"/>
  <c r="B1697" i="3"/>
  <c r="C1697" i="3"/>
  <c r="D1697" i="3"/>
  <c r="E1697" i="3"/>
  <c r="A1698" i="3"/>
  <c r="B1698" i="3"/>
  <c r="C1698" i="3"/>
  <c r="D1698" i="3"/>
  <c r="E1698" i="3"/>
  <c r="A1699" i="3"/>
  <c r="B1699" i="3"/>
  <c r="C1699" i="3"/>
  <c r="D1699" i="3"/>
  <c r="E1699" i="3"/>
  <c r="A1700" i="3"/>
  <c r="B1700" i="3"/>
  <c r="C1700" i="3"/>
  <c r="D1700" i="3"/>
  <c r="E1700" i="3"/>
  <c r="A1701" i="3"/>
  <c r="B1701" i="3"/>
  <c r="C1701" i="3"/>
  <c r="D1701" i="3"/>
  <c r="E1701" i="3"/>
  <c r="A1702" i="3"/>
  <c r="B1702" i="3"/>
  <c r="C1702" i="3"/>
  <c r="D1702" i="3"/>
  <c r="E1702" i="3"/>
  <c r="A1703" i="3"/>
  <c r="B1703" i="3"/>
  <c r="C1703" i="3"/>
  <c r="D1703" i="3"/>
  <c r="E1703" i="3"/>
  <c r="A1704" i="3"/>
  <c r="B1704" i="3"/>
  <c r="C1704" i="3"/>
  <c r="D1704" i="3"/>
  <c r="E1704" i="3"/>
  <c r="A1705" i="3"/>
  <c r="B1705" i="3"/>
  <c r="C1705" i="3"/>
  <c r="D1705" i="3"/>
  <c r="E1705" i="3"/>
  <c r="A1706" i="3"/>
  <c r="B1706" i="3"/>
  <c r="D1706" i="3"/>
  <c r="E1706" i="3"/>
  <c r="A1707" i="3"/>
  <c r="B1707" i="3"/>
  <c r="D1707" i="3"/>
  <c r="E1707" i="3"/>
  <c r="A1708" i="3"/>
  <c r="B1708" i="3"/>
  <c r="C1708" i="3"/>
  <c r="D1708" i="3"/>
  <c r="E1708" i="3"/>
  <c r="A1709" i="3"/>
  <c r="B1709" i="3"/>
  <c r="C1709" i="3"/>
  <c r="D1709" i="3"/>
  <c r="E1709" i="3"/>
  <c r="A1710" i="3"/>
  <c r="B1710" i="3"/>
  <c r="C1710" i="3"/>
  <c r="D1710" i="3"/>
  <c r="E1710" i="3"/>
  <c r="A1711" i="3"/>
  <c r="B1711" i="3"/>
  <c r="C1711" i="3"/>
  <c r="D1711" i="3"/>
  <c r="E1711" i="3"/>
  <c r="A1712" i="3"/>
  <c r="B1712" i="3"/>
  <c r="C1712" i="3"/>
  <c r="D1712" i="3"/>
  <c r="E1712" i="3"/>
  <c r="A1713" i="3"/>
  <c r="B1713" i="3"/>
  <c r="C1713" i="3"/>
  <c r="D1713" i="3"/>
  <c r="E1713" i="3"/>
  <c r="A1714" i="3"/>
  <c r="B1714" i="3"/>
  <c r="C1714" i="3"/>
  <c r="D1714" i="3"/>
  <c r="E1714" i="3"/>
  <c r="A1715" i="3"/>
  <c r="B1715" i="3"/>
  <c r="C1715" i="3"/>
  <c r="D1715" i="3"/>
  <c r="E1715" i="3"/>
  <c r="A1716" i="3"/>
  <c r="B1716" i="3"/>
  <c r="C1716" i="3"/>
  <c r="D1716" i="3"/>
  <c r="E1716" i="3"/>
  <c r="A1717" i="3"/>
  <c r="B1717" i="3"/>
  <c r="C1717" i="3"/>
  <c r="D1717" i="3"/>
  <c r="E1717" i="3"/>
  <c r="A1718" i="3"/>
  <c r="B1718" i="3"/>
  <c r="C1718" i="3"/>
  <c r="D1718" i="3"/>
  <c r="E1718" i="3"/>
  <c r="A1719" i="3"/>
  <c r="B1719" i="3"/>
  <c r="C1719" i="3"/>
  <c r="D1719" i="3"/>
  <c r="E1719" i="3"/>
  <c r="A1720" i="3"/>
  <c r="B1720" i="3"/>
  <c r="C1720" i="3"/>
  <c r="D1720" i="3"/>
  <c r="E1720" i="3"/>
  <c r="A1721" i="3"/>
  <c r="B1721" i="3"/>
  <c r="C1721" i="3"/>
  <c r="D1721" i="3"/>
  <c r="E1721" i="3"/>
  <c r="A1722" i="3"/>
  <c r="B1722" i="3"/>
  <c r="C1722" i="3"/>
  <c r="D1722" i="3"/>
  <c r="E1722" i="3"/>
  <c r="A1723" i="3"/>
  <c r="B1723" i="3"/>
  <c r="C1723" i="3"/>
  <c r="D1723" i="3"/>
  <c r="E1723" i="3"/>
  <c r="A1724" i="3"/>
  <c r="B1724" i="3"/>
  <c r="C1724" i="3"/>
  <c r="D1724" i="3"/>
  <c r="E1724" i="3"/>
  <c r="A1725" i="3"/>
  <c r="B1725" i="3"/>
  <c r="C1725" i="3"/>
  <c r="D1725" i="3"/>
  <c r="E1725" i="3"/>
  <c r="A1726" i="3"/>
  <c r="B1726" i="3"/>
  <c r="C1726" i="3"/>
  <c r="D1726" i="3"/>
  <c r="E1726" i="3"/>
  <c r="A1727" i="3"/>
  <c r="B1727" i="3"/>
  <c r="C1727" i="3"/>
  <c r="D1727" i="3"/>
  <c r="E1727" i="3"/>
  <c r="A1728" i="3"/>
  <c r="B1728" i="3"/>
  <c r="C1728" i="3"/>
  <c r="D1728" i="3"/>
  <c r="E1728" i="3"/>
  <c r="A1729" i="3"/>
  <c r="B1729" i="3"/>
  <c r="C1729" i="3"/>
  <c r="D1729" i="3"/>
  <c r="E1729" i="3"/>
  <c r="A1730" i="3"/>
  <c r="B1730" i="3"/>
  <c r="C1730" i="3"/>
  <c r="D1730" i="3"/>
  <c r="E1730" i="3"/>
  <c r="A1731" i="3"/>
  <c r="B1731" i="3"/>
  <c r="C1731" i="3"/>
  <c r="D1731" i="3"/>
  <c r="E1731" i="3"/>
  <c r="A1732" i="3"/>
  <c r="B1732" i="3"/>
  <c r="C1732" i="3"/>
  <c r="D1732" i="3"/>
  <c r="E1732" i="3"/>
  <c r="A1733" i="3"/>
  <c r="B1733" i="3"/>
  <c r="C1733" i="3"/>
  <c r="D1733" i="3"/>
  <c r="E1733" i="3"/>
  <c r="A1734" i="3"/>
  <c r="B1734" i="3"/>
  <c r="C1734" i="3"/>
  <c r="D1734" i="3"/>
  <c r="E1734" i="3"/>
  <c r="A1735" i="3"/>
  <c r="B1735" i="3"/>
  <c r="C1735" i="3"/>
  <c r="D1735" i="3"/>
  <c r="E1735" i="3"/>
  <c r="A1736" i="3"/>
  <c r="B1736" i="3"/>
  <c r="C1736" i="3"/>
  <c r="D1736" i="3"/>
  <c r="E1736" i="3"/>
  <c r="A1737" i="3"/>
  <c r="B1737" i="3"/>
  <c r="C1737" i="3"/>
  <c r="D1737" i="3"/>
  <c r="E1737" i="3"/>
  <c r="A1738" i="3"/>
  <c r="B1738" i="3"/>
  <c r="C1738" i="3"/>
  <c r="D1738" i="3"/>
  <c r="E1738" i="3"/>
  <c r="A1739" i="3"/>
  <c r="B1739" i="3"/>
  <c r="C1739" i="3"/>
  <c r="D1739" i="3"/>
  <c r="E1739" i="3"/>
  <c r="A1740" i="3"/>
  <c r="B1740" i="3"/>
  <c r="C1740" i="3"/>
  <c r="D1740" i="3"/>
  <c r="E1740" i="3"/>
  <c r="A1741" i="3"/>
  <c r="B1741" i="3"/>
  <c r="C1741" i="3"/>
  <c r="D1741" i="3"/>
  <c r="E1741" i="3"/>
  <c r="A1742" i="3"/>
  <c r="B1742" i="3"/>
  <c r="C1742" i="3"/>
  <c r="D1742" i="3"/>
  <c r="E1742" i="3"/>
  <c r="A1743" i="3"/>
  <c r="B1743" i="3"/>
  <c r="C1743" i="3"/>
  <c r="D1743" i="3"/>
  <c r="E1743" i="3"/>
  <c r="A1744" i="3"/>
  <c r="B1744" i="3"/>
  <c r="C1744" i="3"/>
  <c r="D1744" i="3"/>
  <c r="E1744" i="3"/>
  <c r="A1745" i="3"/>
  <c r="B1745" i="3"/>
  <c r="C1745" i="3"/>
  <c r="D1745" i="3"/>
  <c r="E1745" i="3"/>
  <c r="A1746" i="3"/>
  <c r="B1746" i="3"/>
  <c r="C1746" i="3"/>
  <c r="D1746" i="3"/>
  <c r="E1746" i="3"/>
  <c r="A1747" i="3"/>
  <c r="B1747" i="3"/>
  <c r="C1747" i="3"/>
  <c r="D1747" i="3"/>
  <c r="E1747" i="3"/>
  <c r="A1748" i="3"/>
  <c r="B1748" i="3"/>
  <c r="C1748" i="3"/>
  <c r="D1748" i="3"/>
  <c r="E1748" i="3"/>
  <c r="A1749" i="3"/>
  <c r="B1749" i="3"/>
  <c r="C1749" i="3"/>
  <c r="D1749" i="3"/>
  <c r="E1749" i="3"/>
  <c r="A1750" i="3"/>
  <c r="B1750" i="3"/>
  <c r="C1750" i="3"/>
  <c r="D1750" i="3"/>
  <c r="E1750" i="3"/>
  <c r="A1751" i="3"/>
  <c r="B1751" i="3"/>
  <c r="C1751" i="3"/>
  <c r="D1751" i="3"/>
  <c r="E1751" i="3"/>
  <c r="A1752" i="3"/>
  <c r="B1752" i="3"/>
  <c r="C1752" i="3"/>
  <c r="D1752" i="3"/>
  <c r="E1752" i="3"/>
  <c r="A1753" i="3"/>
  <c r="B1753" i="3"/>
  <c r="C1753" i="3"/>
  <c r="D1753" i="3"/>
  <c r="E1753" i="3"/>
  <c r="A1754" i="3"/>
  <c r="B1754" i="3"/>
  <c r="C1754" i="3"/>
  <c r="D1754" i="3"/>
  <c r="E1754" i="3"/>
  <c r="A1755" i="3"/>
  <c r="B1755" i="3"/>
  <c r="C1755" i="3"/>
  <c r="D1755" i="3"/>
  <c r="E1755" i="3"/>
  <c r="A1756" i="3"/>
  <c r="B1756" i="3"/>
  <c r="C1756" i="3"/>
  <c r="D1756" i="3"/>
  <c r="E1756" i="3"/>
  <c r="A1757" i="3"/>
  <c r="B1757" i="3"/>
  <c r="C1757" i="3"/>
  <c r="D1757" i="3"/>
  <c r="E1757" i="3"/>
  <c r="A1758" i="3"/>
  <c r="B1758" i="3"/>
  <c r="C1758" i="3"/>
  <c r="D1758" i="3"/>
  <c r="E1758" i="3"/>
  <c r="A1759" i="3"/>
  <c r="B1759" i="3"/>
  <c r="C1759" i="3"/>
  <c r="D1759" i="3"/>
  <c r="E1759" i="3"/>
  <c r="A1760" i="3"/>
  <c r="B1760" i="3"/>
  <c r="C1760" i="3"/>
  <c r="D1760" i="3"/>
  <c r="E1760" i="3"/>
  <c r="A1761" i="3"/>
  <c r="B1761" i="3"/>
  <c r="C1761" i="3"/>
  <c r="D1761" i="3"/>
  <c r="E1761" i="3"/>
  <c r="A1762" i="3"/>
  <c r="B1762" i="3"/>
  <c r="C1762" i="3"/>
  <c r="D1762" i="3"/>
  <c r="E1762" i="3"/>
  <c r="A1763" i="3"/>
  <c r="B1763" i="3"/>
  <c r="C1763" i="3"/>
  <c r="D1763" i="3"/>
  <c r="E1763" i="3"/>
  <c r="A1764" i="3"/>
  <c r="B1764" i="3"/>
  <c r="C1764" i="3"/>
  <c r="D1764" i="3"/>
  <c r="E1764" i="3"/>
  <c r="A1765" i="3"/>
  <c r="B1765" i="3"/>
  <c r="C1765" i="3"/>
  <c r="D1765" i="3"/>
  <c r="E1765" i="3"/>
  <c r="A1766" i="3"/>
  <c r="B1766" i="3"/>
  <c r="C1766" i="3"/>
  <c r="D1766" i="3"/>
  <c r="E1766" i="3"/>
  <c r="A1767" i="3"/>
  <c r="B1767" i="3"/>
  <c r="C1767" i="3"/>
  <c r="D1767" i="3"/>
  <c r="E1767" i="3"/>
  <c r="A1768" i="3"/>
  <c r="B1768" i="3"/>
  <c r="C1768" i="3"/>
  <c r="D1768" i="3"/>
  <c r="E1768" i="3"/>
  <c r="A1769" i="3"/>
  <c r="B1769" i="3"/>
  <c r="C1769" i="3"/>
  <c r="D1769" i="3"/>
  <c r="E1769" i="3"/>
  <c r="A1770" i="3"/>
  <c r="B1770" i="3"/>
  <c r="C1770" i="3"/>
  <c r="D1770" i="3"/>
  <c r="E1770" i="3"/>
  <c r="A1771" i="3"/>
  <c r="B1771" i="3"/>
  <c r="C1771" i="3"/>
  <c r="D1771" i="3"/>
  <c r="E1771" i="3"/>
  <c r="A1772" i="3"/>
  <c r="B1772" i="3"/>
  <c r="C1772" i="3"/>
  <c r="D1772" i="3"/>
  <c r="E1772" i="3"/>
  <c r="A1773" i="3"/>
  <c r="B1773" i="3"/>
  <c r="C1773" i="3"/>
  <c r="D1773" i="3"/>
  <c r="E1773" i="3"/>
  <c r="A1774" i="3"/>
  <c r="B1774" i="3"/>
  <c r="C1774" i="3"/>
  <c r="D1774" i="3"/>
  <c r="E1774" i="3"/>
  <c r="A1775" i="3"/>
  <c r="B1775" i="3"/>
  <c r="C1775" i="3"/>
  <c r="D1775" i="3"/>
  <c r="E1775" i="3"/>
  <c r="A1776" i="3"/>
  <c r="B1776" i="3"/>
  <c r="C1776" i="3"/>
  <c r="D1776" i="3"/>
  <c r="E1776" i="3"/>
  <c r="A1777" i="3"/>
  <c r="B1777" i="3"/>
  <c r="C1777" i="3"/>
  <c r="D1777" i="3"/>
  <c r="E1777" i="3"/>
  <c r="A1778" i="3"/>
  <c r="B1778" i="3"/>
  <c r="C1778" i="3"/>
  <c r="D1778" i="3"/>
  <c r="E1778" i="3"/>
  <c r="A1779" i="3"/>
  <c r="B1779" i="3"/>
  <c r="C1779" i="3"/>
  <c r="D1779" i="3"/>
  <c r="E1779" i="3"/>
  <c r="A1780" i="3"/>
  <c r="B1780" i="3"/>
  <c r="C1780" i="3"/>
  <c r="D1780" i="3"/>
  <c r="E1780" i="3"/>
  <c r="A1781" i="3"/>
  <c r="B1781" i="3"/>
  <c r="C1781" i="3"/>
  <c r="D1781" i="3"/>
  <c r="E1781" i="3"/>
  <c r="A1782" i="3"/>
  <c r="B1782" i="3"/>
  <c r="C1782" i="3"/>
  <c r="D1782" i="3"/>
  <c r="E1782" i="3"/>
  <c r="A1783" i="3"/>
  <c r="B1783" i="3"/>
  <c r="C1783" i="3"/>
  <c r="D1783" i="3"/>
  <c r="E1783" i="3"/>
  <c r="A1784" i="3"/>
  <c r="B1784" i="3"/>
  <c r="C1784" i="3"/>
  <c r="D1784" i="3"/>
  <c r="E1784" i="3"/>
  <c r="A1785" i="3"/>
  <c r="B1785" i="3"/>
  <c r="C1785" i="3"/>
  <c r="D1785" i="3"/>
  <c r="E1785" i="3"/>
  <c r="A1786" i="3"/>
  <c r="B1786" i="3"/>
  <c r="C1786" i="3"/>
  <c r="D1786" i="3"/>
  <c r="E1786" i="3"/>
  <c r="A1787" i="3"/>
  <c r="B1787" i="3"/>
  <c r="C1787" i="3"/>
  <c r="D1787" i="3"/>
  <c r="E1787" i="3"/>
  <c r="A1788" i="3"/>
  <c r="B1788" i="3"/>
  <c r="C1788" i="3"/>
  <c r="D1788" i="3"/>
  <c r="E1788" i="3"/>
  <c r="A1789" i="3"/>
  <c r="B1789" i="3"/>
  <c r="C1789" i="3"/>
  <c r="D1789" i="3"/>
  <c r="E1789" i="3"/>
  <c r="A1790" i="3"/>
  <c r="B1790" i="3"/>
  <c r="C1790" i="3"/>
  <c r="D1790" i="3"/>
  <c r="E1790" i="3"/>
  <c r="A1791" i="3"/>
  <c r="B1791" i="3"/>
  <c r="C1791" i="3"/>
  <c r="D1791" i="3"/>
  <c r="E1791" i="3"/>
  <c r="A1792" i="3"/>
  <c r="B1792" i="3"/>
  <c r="C1792" i="3"/>
  <c r="D1792" i="3"/>
  <c r="E1792" i="3"/>
  <c r="A1793" i="3"/>
  <c r="B1793" i="3"/>
  <c r="C1793" i="3"/>
  <c r="D1793" i="3"/>
  <c r="E1793" i="3"/>
  <c r="A1794" i="3"/>
  <c r="B1794" i="3"/>
  <c r="C1794" i="3"/>
  <c r="D1794" i="3"/>
  <c r="E1794" i="3"/>
  <c r="A1795" i="3"/>
  <c r="B1795" i="3"/>
  <c r="C1795" i="3"/>
  <c r="D1795" i="3"/>
  <c r="E1795" i="3"/>
  <c r="A1796" i="3"/>
  <c r="B1796" i="3"/>
  <c r="C1796" i="3"/>
  <c r="D1796" i="3"/>
  <c r="E1796" i="3"/>
  <c r="A1797" i="3"/>
  <c r="B1797" i="3"/>
  <c r="C1797" i="3"/>
  <c r="D1797" i="3"/>
  <c r="E1797" i="3"/>
  <c r="A1798" i="3"/>
  <c r="B1798" i="3"/>
  <c r="C1798" i="3"/>
  <c r="D1798" i="3"/>
  <c r="E1798" i="3"/>
  <c r="A1799" i="3"/>
  <c r="B1799" i="3"/>
  <c r="C1799" i="3"/>
  <c r="D1799" i="3"/>
  <c r="E1799" i="3"/>
  <c r="A1800" i="3"/>
  <c r="B1800" i="3"/>
  <c r="C1800" i="3"/>
  <c r="D1800" i="3"/>
  <c r="E1800" i="3"/>
  <c r="A1801" i="3"/>
  <c r="B1801" i="3"/>
  <c r="C1801" i="3"/>
  <c r="D1801" i="3"/>
  <c r="E1801" i="3"/>
  <c r="A1802" i="3"/>
  <c r="B1802" i="3"/>
  <c r="C1802" i="3"/>
  <c r="D1802" i="3"/>
  <c r="E1802" i="3"/>
  <c r="A1803" i="3"/>
  <c r="B1803" i="3"/>
  <c r="C1803" i="3"/>
  <c r="D1803" i="3"/>
  <c r="E1803" i="3"/>
  <c r="A1804" i="3"/>
  <c r="B1804" i="3"/>
  <c r="C1804" i="3"/>
  <c r="D1804" i="3"/>
  <c r="E1804" i="3"/>
  <c r="A1805" i="3"/>
  <c r="B1805" i="3"/>
  <c r="C1805" i="3"/>
  <c r="D1805" i="3"/>
  <c r="E1805" i="3"/>
  <c r="A1806" i="3"/>
  <c r="B1806" i="3"/>
  <c r="C1806" i="3"/>
  <c r="D1806" i="3"/>
  <c r="E1806" i="3"/>
  <c r="A1807" i="3"/>
  <c r="B1807" i="3"/>
  <c r="C1807" i="3"/>
  <c r="D1807" i="3"/>
  <c r="E1807" i="3"/>
  <c r="A1808" i="3"/>
  <c r="B1808" i="3"/>
  <c r="C1808" i="3"/>
  <c r="D1808" i="3"/>
  <c r="E1808" i="3"/>
  <c r="A1809" i="3"/>
  <c r="B1809" i="3"/>
  <c r="C1809" i="3"/>
  <c r="D1809" i="3"/>
  <c r="E1809" i="3"/>
  <c r="A1810" i="3"/>
  <c r="B1810" i="3"/>
  <c r="C1810" i="3"/>
  <c r="D1810" i="3"/>
  <c r="E1810" i="3"/>
  <c r="A1811" i="3"/>
  <c r="B1811" i="3"/>
  <c r="C1811" i="3"/>
  <c r="D1811" i="3"/>
  <c r="E1811" i="3"/>
  <c r="A1812" i="3"/>
  <c r="B1812" i="3"/>
  <c r="C1812" i="3"/>
  <c r="D1812" i="3"/>
  <c r="E1812" i="3"/>
  <c r="A1813" i="3"/>
  <c r="B1813" i="3"/>
  <c r="C1813" i="3"/>
  <c r="D1813" i="3"/>
  <c r="E1813" i="3"/>
  <c r="A1814" i="3"/>
  <c r="B1814" i="3"/>
  <c r="C1814" i="3"/>
  <c r="D1814" i="3"/>
  <c r="E1814" i="3"/>
  <c r="A1815" i="3"/>
  <c r="B1815" i="3"/>
  <c r="C1815" i="3"/>
  <c r="D1815" i="3"/>
  <c r="E1815" i="3"/>
  <c r="A1816" i="3"/>
  <c r="B1816" i="3"/>
  <c r="C1816" i="3"/>
  <c r="D1816" i="3"/>
  <c r="E1816" i="3"/>
  <c r="A1817" i="3"/>
  <c r="B1817" i="3"/>
  <c r="C1817" i="3"/>
  <c r="D1817" i="3"/>
  <c r="E1817" i="3"/>
  <c r="A1818" i="3"/>
  <c r="B1818" i="3"/>
  <c r="C1818" i="3"/>
  <c r="D1818" i="3"/>
  <c r="E1818" i="3"/>
  <c r="A1819" i="3"/>
  <c r="B1819" i="3"/>
  <c r="C1819" i="3"/>
  <c r="D1819" i="3"/>
  <c r="E1819" i="3"/>
  <c r="A1820" i="3"/>
  <c r="B1820" i="3"/>
  <c r="C1820" i="3"/>
  <c r="D1820" i="3"/>
  <c r="E1820" i="3"/>
  <c r="A1821" i="3"/>
  <c r="B1821" i="3"/>
  <c r="C1821" i="3"/>
  <c r="D1821" i="3"/>
  <c r="E1821" i="3"/>
  <c r="A1822" i="3"/>
  <c r="B1822" i="3"/>
  <c r="C1822" i="3"/>
  <c r="D1822" i="3"/>
  <c r="E1822" i="3"/>
  <c r="A1823" i="3"/>
  <c r="B1823" i="3"/>
  <c r="C1823" i="3"/>
  <c r="D1823" i="3"/>
  <c r="E1823" i="3"/>
  <c r="A1824" i="3"/>
  <c r="B1824" i="3"/>
  <c r="C1824" i="3"/>
  <c r="D1824" i="3"/>
  <c r="E1824" i="3"/>
  <c r="A1825" i="3"/>
  <c r="B1825" i="3"/>
  <c r="C1825" i="3"/>
  <c r="D1825" i="3"/>
  <c r="E1825" i="3"/>
  <c r="A1826" i="3"/>
  <c r="B1826" i="3"/>
  <c r="D1826" i="3"/>
  <c r="E1826" i="3"/>
  <c r="A1827" i="3"/>
  <c r="B1827" i="3"/>
  <c r="C1827" i="3"/>
  <c r="D1827" i="3"/>
  <c r="E1827" i="3"/>
  <c r="A1828" i="3"/>
  <c r="B1828" i="3"/>
  <c r="C1828" i="3"/>
  <c r="D1828" i="3"/>
  <c r="E1828" i="3"/>
  <c r="A1829" i="3"/>
  <c r="B1829" i="3"/>
  <c r="C1829" i="3"/>
  <c r="D1829" i="3"/>
  <c r="E1829" i="3"/>
  <c r="A1830" i="3"/>
  <c r="B1830" i="3"/>
  <c r="C1830" i="3"/>
  <c r="D1830" i="3"/>
  <c r="E1830" i="3"/>
  <c r="A1831" i="3"/>
  <c r="B1831" i="3"/>
  <c r="C1831" i="3"/>
  <c r="D1831" i="3"/>
  <c r="E1831" i="3"/>
  <c r="A1832" i="3"/>
  <c r="B1832" i="3"/>
  <c r="C1832" i="3"/>
  <c r="D1832" i="3"/>
  <c r="E1832" i="3"/>
  <c r="A1833" i="3"/>
  <c r="B1833" i="3"/>
  <c r="C1833" i="3"/>
  <c r="D1833" i="3"/>
  <c r="E1833" i="3"/>
  <c r="A1834" i="3"/>
  <c r="B1834" i="3"/>
  <c r="C1834" i="3"/>
  <c r="D1834" i="3"/>
  <c r="E1834" i="3"/>
  <c r="A1835" i="3"/>
  <c r="B1835" i="3"/>
  <c r="C1835" i="3"/>
  <c r="D1835" i="3"/>
  <c r="E1835" i="3"/>
  <c r="A1836" i="3"/>
  <c r="B1836" i="3"/>
  <c r="C1836" i="3"/>
  <c r="D1836" i="3"/>
  <c r="E1836" i="3"/>
  <c r="A1837" i="3"/>
  <c r="B1837" i="3"/>
  <c r="C1837" i="3"/>
  <c r="D1837" i="3"/>
  <c r="E1837" i="3"/>
  <c r="A1838" i="3"/>
  <c r="B1838" i="3"/>
  <c r="C1838" i="3"/>
  <c r="D1838" i="3"/>
  <c r="E1838" i="3"/>
  <c r="A1839" i="3"/>
  <c r="B1839" i="3"/>
  <c r="C1839" i="3"/>
  <c r="D1839" i="3"/>
  <c r="E1839" i="3"/>
  <c r="A1840" i="3"/>
  <c r="B1840" i="3"/>
  <c r="C1840" i="3"/>
  <c r="D1840" i="3"/>
  <c r="E1840" i="3"/>
  <c r="A1841" i="3"/>
  <c r="B1841" i="3"/>
  <c r="C1841" i="3"/>
  <c r="D1841" i="3"/>
  <c r="E1841" i="3"/>
  <c r="A1842" i="3"/>
  <c r="B1842" i="3"/>
  <c r="C1842" i="3"/>
  <c r="D1842" i="3"/>
  <c r="E1842" i="3"/>
  <c r="A1843" i="3"/>
  <c r="B1843" i="3"/>
  <c r="C1843" i="3"/>
  <c r="D1843" i="3"/>
  <c r="E1843" i="3"/>
  <c r="A1844" i="3"/>
  <c r="B1844" i="3"/>
  <c r="C1844" i="3"/>
  <c r="D1844" i="3"/>
  <c r="E1844" i="3"/>
  <c r="A1845" i="3"/>
  <c r="B1845" i="3"/>
  <c r="C1845" i="3"/>
  <c r="D1845" i="3"/>
  <c r="E1845" i="3"/>
  <c r="A1846" i="3"/>
  <c r="B1846" i="3"/>
  <c r="C1846" i="3"/>
  <c r="D1846" i="3"/>
  <c r="E1846" i="3"/>
  <c r="A1847" i="3"/>
  <c r="B1847" i="3"/>
  <c r="C1847" i="3"/>
  <c r="D1847" i="3"/>
  <c r="E1847" i="3"/>
  <c r="A1848" i="3"/>
  <c r="B1848" i="3"/>
  <c r="C1848" i="3"/>
  <c r="D1848" i="3"/>
  <c r="E1848" i="3"/>
  <c r="A1849" i="3"/>
  <c r="B1849" i="3"/>
  <c r="C1849" i="3"/>
  <c r="D1849" i="3"/>
  <c r="E1849" i="3"/>
  <c r="A1850" i="3"/>
  <c r="B1850" i="3"/>
  <c r="C1850" i="3"/>
  <c r="D1850" i="3"/>
  <c r="E1850" i="3"/>
  <c r="A1851" i="3"/>
  <c r="B1851" i="3"/>
  <c r="C1851" i="3"/>
  <c r="D1851" i="3"/>
  <c r="E1851" i="3"/>
  <c r="A1852" i="3"/>
  <c r="B1852" i="3"/>
  <c r="C1852" i="3"/>
  <c r="D1852" i="3"/>
  <c r="E1852" i="3"/>
  <c r="A1853" i="3"/>
  <c r="B1853" i="3"/>
  <c r="C1853" i="3"/>
  <c r="D1853" i="3"/>
  <c r="E1853" i="3"/>
  <c r="A1854" i="3"/>
  <c r="B1854" i="3"/>
  <c r="C1854" i="3"/>
  <c r="D1854" i="3"/>
  <c r="E1854" i="3"/>
  <c r="A1855" i="3"/>
  <c r="B1855" i="3"/>
  <c r="C1855" i="3"/>
  <c r="D1855" i="3"/>
  <c r="E1855" i="3"/>
  <c r="A1856" i="3"/>
  <c r="B1856" i="3"/>
  <c r="C1856" i="3"/>
  <c r="F1856" i="3" s="1"/>
  <c r="D1856" i="3"/>
  <c r="E1856" i="3"/>
  <c r="A1857" i="3"/>
  <c r="B1857" i="3"/>
  <c r="C1857" i="3"/>
  <c r="D1857" i="3"/>
  <c r="E1857" i="3"/>
  <c r="G1857" i="3" s="1"/>
  <c r="A1858" i="3"/>
  <c r="B1858" i="3"/>
  <c r="C1858" i="3"/>
  <c r="D1858" i="3"/>
  <c r="E1858" i="3"/>
  <c r="G1858" i="3" s="1"/>
  <c r="A1859" i="3"/>
  <c r="B1859" i="3"/>
  <c r="C1859" i="3"/>
  <c r="D1859" i="3"/>
  <c r="E1859" i="3"/>
  <c r="A1860" i="3"/>
  <c r="B1860" i="3"/>
  <c r="C1860" i="3"/>
  <c r="D1860" i="3"/>
  <c r="E1860" i="3"/>
  <c r="A1861" i="3"/>
  <c r="B1861" i="3"/>
  <c r="C1861" i="3"/>
  <c r="D1861" i="3"/>
  <c r="E1861" i="3"/>
  <c r="A1862" i="3"/>
  <c r="B1862" i="3"/>
  <c r="C1862" i="3"/>
  <c r="D1862" i="3"/>
  <c r="E1862" i="3"/>
  <c r="A1863" i="3"/>
  <c r="B1863" i="3"/>
  <c r="C1863" i="3"/>
  <c r="D1863" i="3"/>
  <c r="E1863" i="3"/>
  <c r="A1864" i="3"/>
  <c r="B1864" i="3"/>
  <c r="C1864" i="3"/>
  <c r="D1864" i="3"/>
  <c r="E1864" i="3"/>
  <c r="A1865" i="3"/>
  <c r="B1865" i="3"/>
  <c r="C1865" i="3"/>
  <c r="D1865" i="3"/>
  <c r="E1865" i="3"/>
  <c r="A1866" i="3"/>
  <c r="B1866" i="3"/>
  <c r="C1866" i="3"/>
  <c r="D1866" i="3"/>
  <c r="E1866" i="3"/>
  <c r="A1867" i="3"/>
  <c r="B1867" i="3"/>
  <c r="C1867" i="3"/>
  <c r="F1867" i="3" s="1"/>
  <c r="D1867" i="3"/>
  <c r="E1867" i="3"/>
  <c r="A1868" i="3"/>
  <c r="B1868" i="3"/>
  <c r="C1868" i="3"/>
  <c r="F1868" i="3" s="1"/>
  <c r="D1868" i="3"/>
  <c r="E1868" i="3"/>
  <c r="A1869" i="3"/>
  <c r="B1869" i="3"/>
  <c r="C1869" i="3"/>
  <c r="D1869" i="3"/>
  <c r="E1869" i="3"/>
  <c r="G1869" i="3" s="1"/>
  <c r="A1870" i="3"/>
  <c r="B1870" i="3"/>
  <c r="C1870" i="3"/>
  <c r="D1870" i="3"/>
  <c r="E1870" i="3"/>
  <c r="G1870" i="3" s="1"/>
  <c r="A1871" i="3"/>
  <c r="B1871" i="3"/>
  <c r="C1871" i="3"/>
  <c r="D1871" i="3"/>
  <c r="E1871" i="3"/>
  <c r="A1872" i="3"/>
  <c r="B1872" i="3"/>
  <c r="C1872" i="3"/>
  <c r="D1872" i="3"/>
  <c r="E1872" i="3"/>
  <c r="A1873" i="3"/>
  <c r="B1873" i="3"/>
  <c r="C1873" i="3"/>
  <c r="D1873" i="3"/>
  <c r="E1873" i="3"/>
  <c r="A1874" i="3"/>
  <c r="B1874" i="3"/>
  <c r="C1874" i="3"/>
  <c r="D1874" i="3"/>
  <c r="E1874" i="3"/>
  <c r="A1875" i="3"/>
  <c r="B1875" i="3"/>
  <c r="C1875" i="3"/>
  <c r="D1875" i="3"/>
  <c r="E1875" i="3"/>
  <c r="A1876" i="3"/>
  <c r="B1876" i="3"/>
  <c r="C1876" i="3"/>
  <c r="D1876" i="3"/>
  <c r="E1876" i="3"/>
  <c r="A1877" i="3"/>
  <c r="B1877" i="3"/>
  <c r="C1877" i="3"/>
  <c r="D1877" i="3"/>
  <c r="E1877" i="3"/>
  <c r="A1878" i="3"/>
  <c r="B1878" i="3"/>
  <c r="C1878" i="3"/>
  <c r="D1878" i="3"/>
  <c r="E1878" i="3"/>
  <c r="A1879" i="3"/>
  <c r="B1879" i="3"/>
  <c r="C1879" i="3"/>
  <c r="F1879" i="3" s="1"/>
  <c r="D1879" i="3"/>
  <c r="E1879" i="3"/>
  <c r="A1880" i="3"/>
  <c r="B1880" i="3"/>
  <c r="C1880" i="3"/>
  <c r="F1880" i="3" s="1"/>
  <c r="D1880" i="3"/>
  <c r="E1880" i="3"/>
  <c r="A1881" i="3"/>
  <c r="B1881" i="3"/>
  <c r="C1881" i="3"/>
  <c r="D1881" i="3"/>
  <c r="E1881" i="3"/>
  <c r="G1881" i="3" s="1"/>
  <c r="A1882" i="3"/>
  <c r="B1882" i="3"/>
  <c r="C1882" i="3"/>
  <c r="D1882" i="3"/>
  <c r="E1882" i="3"/>
  <c r="G1882" i="3" s="1"/>
  <c r="A1883" i="3"/>
  <c r="B1883" i="3"/>
  <c r="C1883" i="3"/>
  <c r="D1883" i="3"/>
  <c r="E1883" i="3"/>
  <c r="A1884" i="3"/>
  <c r="B1884" i="3"/>
  <c r="C1884" i="3"/>
  <c r="D1884" i="3"/>
  <c r="E1884" i="3"/>
  <c r="A1885" i="3"/>
  <c r="B1885" i="3"/>
  <c r="C1885" i="3"/>
  <c r="D1885" i="3"/>
  <c r="E1885" i="3"/>
  <c r="A1886" i="3"/>
  <c r="B1886" i="3"/>
  <c r="C1886" i="3"/>
  <c r="D1886" i="3"/>
  <c r="E1886" i="3"/>
  <c r="A1887" i="3"/>
  <c r="B1887" i="3"/>
  <c r="C1887" i="3"/>
  <c r="D1887" i="3"/>
  <c r="E1887" i="3"/>
  <c r="A1888" i="3"/>
  <c r="B1888" i="3"/>
  <c r="C1888" i="3"/>
  <c r="D1888" i="3"/>
  <c r="E1888" i="3"/>
  <c r="A1889" i="3"/>
  <c r="B1889" i="3"/>
  <c r="C1889" i="3"/>
  <c r="D1889" i="3"/>
  <c r="E1889" i="3"/>
  <c r="A1890" i="3"/>
  <c r="B1890" i="3"/>
  <c r="C1890" i="3"/>
  <c r="D1890" i="3"/>
  <c r="E1890" i="3"/>
  <c r="A1891" i="3"/>
  <c r="B1891" i="3"/>
  <c r="C1891" i="3"/>
  <c r="F1891" i="3" s="1"/>
  <c r="D1891" i="3"/>
  <c r="E1891" i="3"/>
  <c r="A1892" i="3"/>
  <c r="B1892" i="3"/>
  <c r="C1892" i="3"/>
  <c r="F1892" i="3" s="1"/>
  <c r="D1892" i="3"/>
  <c r="E1892" i="3"/>
  <c r="A1893" i="3"/>
  <c r="B1893" i="3"/>
  <c r="C1893" i="3"/>
  <c r="D1893" i="3"/>
  <c r="E1893" i="3"/>
  <c r="G1893" i="3" s="1"/>
  <c r="A1894" i="3"/>
  <c r="B1894" i="3"/>
  <c r="C1894" i="3"/>
  <c r="D1894" i="3"/>
  <c r="E1894" i="3"/>
  <c r="G1894" i="3" s="1"/>
  <c r="A1895" i="3"/>
  <c r="B1895" i="3"/>
  <c r="C1895" i="3"/>
  <c r="D1895" i="3"/>
  <c r="E1895" i="3"/>
  <c r="A1896" i="3"/>
  <c r="B1896" i="3"/>
  <c r="C1896" i="3"/>
  <c r="D1896" i="3"/>
  <c r="E1896" i="3"/>
  <c r="A1897" i="3"/>
  <c r="B1897" i="3"/>
  <c r="C1897" i="3"/>
  <c r="D1897" i="3"/>
  <c r="E1897" i="3"/>
  <c r="A1898" i="3"/>
  <c r="B1898" i="3"/>
  <c r="C1898" i="3"/>
  <c r="D1898" i="3"/>
  <c r="E1898" i="3"/>
  <c r="A1899" i="3"/>
  <c r="B1899" i="3"/>
  <c r="C1899" i="3"/>
  <c r="D1899" i="3"/>
  <c r="E1899" i="3"/>
  <c r="A1900" i="3"/>
  <c r="B1900" i="3"/>
  <c r="C1900" i="3"/>
  <c r="D1900" i="3"/>
  <c r="E1900" i="3"/>
  <c r="A1901" i="3"/>
  <c r="B1901" i="3"/>
  <c r="C1901" i="3"/>
  <c r="D1901" i="3"/>
  <c r="E1901" i="3"/>
  <c r="A1902" i="3"/>
  <c r="B1902" i="3"/>
  <c r="C1902" i="3"/>
  <c r="D1902" i="3"/>
  <c r="E1902" i="3"/>
  <c r="A1903" i="3"/>
  <c r="B1903" i="3"/>
  <c r="C1903" i="3"/>
  <c r="F1903" i="3" s="1"/>
  <c r="D1903" i="3"/>
  <c r="E1903" i="3"/>
  <c r="A1904" i="3"/>
  <c r="B1904" i="3"/>
  <c r="C1904" i="3"/>
  <c r="F1904" i="3" s="1"/>
  <c r="D1904" i="3"/>
  <c r="E1904" i="3"/>
  <c r="A1905" i="3"/>
  <c r="B1905" i="3"/>
  <c r="C1905" i="3"/>
  <c r="D1905" i="3"/>
  <c r="E1905" i="3"/>
  <c r="G1905" i="3" s="1"/>
  <c r="A1906" i="3"/>
  <c r="B1906" i="3"/>
  <c r="C1906" i="3"/>
  <c r="D1906" i="3"/>
  <c r="E1906" i="3"/>
  <c r="G1906" i="3" s="1"/>
  <c r="A1907" i="3"/>
  <c r="B1907" i="3"/>
  <c r="C1907" i="3"/>
  <c r="D1907" i="3"/>
  <c r="E1907" i="3"/>
  <c r="A1908" i="3"/>
  <c r="B1908" i="3"/>
  <c r="C1908" i="3"/>
  <c r="D1908" i="3"/>
  <c r="E1908" i="3"/>
  <c r="A1909" i="3"/>
  <c r="B1909" i="3"/>
  <c r="C1909" i="3"/>
  <c r="D1909" i="3"/>
  <c r="E1909" i="3"/>
  <c r="A1910" i="3"/>
  <c r="B1910" i="3"/>
  <c r="C1910" i="3"/>
  <c r="D1910" i="3"/>
  <c r="E1910" i="3"/>
  <c r="A1911" i="3"/>
  <c r="B1911" i="3"/>
  <c r="C1911" i="3"/>
  <c r="D1911" i="3"/>
  <c r="E1911" i="3"/>
  <c r="A1912" i="3"/>
  <c r="B1912" i="3"/>
  <c r="C1912" i="3"/>
  <c r="D1912" i="3"/>
  <c r="E1912" i="3"/>
  <c r="A1913" i="3"/>
  <c r="B1913" i="3"/>
  <c r="C1913" i="3"/>
  <c r="D1913" i="3"/>
  <c r="E1913" i="3"/>
  <c r="A1914" i="3"/>
  <c r="B1914" i="3"/>
  <c r="C1914" i="3"/>
  <c r="D1914" i="3"/>
  <c r="E1914" i="3"/>
  <c r="A1915" i="3"/>
  <c r="B1915" i="3"/>
  <c r="C1915" i="3"/>
  <c r="F1915" i="3" s="1"/>
  <c r="D1915" i="3"/>
  <c r="E1915" i="3"/>
  <c r="A1916" i="3"/>
  <c r="B1916" i="3"/>
  <c r="C1916" i="3"/>
  <c r="F1916" i="3" s="1"/>
  <c r="D1916" i="3"/>
  <c r="E1916" i="3"/>
  <c r="A1917" i="3"/>
  <c r="B1917" i="3"/>
  <c r="C1917" i="3"/>
  <c r="D1917" i="3"/>
  <c r="E1917" i="3"/>
  <c r="G1917" i="3" s="1"/>
  <c r="A1918" i="3"/>
  <c r="B1918" i="3"/>
  <c r="C1918" i="3"/>
  <c r="D1918" i="3"/>
  <c r="E1918" i="3"/>
  <c r="G1918" i="3" s="1"/>
  <c r="A1919" i="3"/>
  <c r="B1919" i="3"/>
  <c r="C1919" i="3"/>
  <c r="D1919" i="3"/>
  <c r="E1919" i="3"/>
  <c r="A1920" i="3"/>
  <c r="B1920" i="3"/>
  <c r="C1920" i="3"/>
  <c r="D1920" i="3"/>
  <c r="E1920" i="3"/>
  <c r="A1921" i="3"/>
  <c r="B1921" i="3"/>
  <c r="C1921" i="3"/>
  <c r="D1921" i="3"/>
  <c r="E1921" i="3"/>
  <c r="A1922" i="3"/>
  <c r="B1922" i="3"/>
  <c r="C1922" i="3"/>
  <c r="D1922" i="3"/>
  <c r="E1922" i="3"/>
  <c r="A1923" i="3"/>
  <c r="B1923" i="3"/>
  <c r="C1923" i="3"/>
  <c r="D1923" i="3"/>
  <c r="E1923" i="3"/>
  <c r="A1924" i="3"/>
  <c r="B1924" i="3"/>
  <c r="C1924" i="3"/>
  <c r="D1924" i="3"/>
  <c r="E1924" i="3"/>
  <c r="A1925" i="3"/>
  <c r="B1925" i="3"/>
  <c r="C1925" i="3"/>
  <c r="D1925" i="3"/>
  <c r="E1925" i="3"/>
  <c r="A1926" i="3"/>
  <c r="B1926" i="3"/>
  <c r="C1926" i="3"/>
  <c r="D1926" i="3"/>
  <c r="E1926" i="3"/>
  <c r="A1927" i="3"/>
  <c r="B1927" i="3"/>
  <c r="C1927" i="3"/>
  <c r="D1927" i="3"/>
  <c r="E1927" i="3"/>
  <c r="A1928" i="3"/>
  <c r="B1928" i="3"/>
  <c r="C1928" i="3"/>
  <c r="F1928" i="3" s="1"/>
  <c r="D1928" i="3"/>
  <c r="E1928" i="3"/>
  <c r="A1929" i="3"/>
  <c r="B1929" i="3"/>
  <c r="C1929" i="3"/>
  <c r="D1929" i="3"/>
  <c r="E1929" i="3"/>
  <c r="A1930" i="3"/>
  <c r="B1930" i="3"/>
  <c r="C1930" i="3"/>
  <c r="D1930" i="3"/>
  <c r="E1930" i="3"/>
  <c r="G1930" i="3" s="1"/>
  <c r="A1931" i="3"/>
  <c r="B1931" i="3"/>
  <c r="C1931" i="3"/>
  <c r="D1931" i="3"/>
  <c r="E1931" i="3"/>
  <c r="A1932" i="3"/>
  <c r="B1932" i="3"/>
  <c r="C1932" i="3"/>
  <c r="D1932" i="3"/>
  <c r="E1932" i="3"/>
  <c r="A1933" i="3"/>
  <c r="B1933" i="3"/>
  <c r="C1933" i="3"/>
  <c r="D1933" i="3"/>
  <c r="E1933" i="3"/>
  <c r="A1934" i="3"/>
  <c r="B1934" i="3"/>
  <c r="C1934" i="3"/>
  <c r="D1934" i="3"/>
  <c r="E1934" i="3"/>
  <c r="A1935" i="3"/>
  <c r="B1935" i="3"/>
  <c r="C1935" i="3"/>
  <c r="D1935" i="3"/>
  <c r="E1935" i="3"/>
  <c r="A1936" i="3"/>
  <c r="B1936" i="3"/>
  <c r="C1936" i="3"/>
  <c r="D1936" i="3"/>
  <c r="E1936" i="3"/>
  <c r="A1937" i="3"/>
  <c r="B1937" i="3"/>
  <c r="C1937" i="3"/>
  <c r="D1937" i="3"/>
  <c r="E1937" i="3"/>
  <c r="A1938" i="3"/>
  <c r="B1938" i="3"/>
  <c r="C1938" i="3"/>
  <c r="D1938" i="3"/>
  <c r="E1938" i="3"/>
  <c r="A1939" i="3"/>
  <c r="B1939" i="3"/>
  <c r="C1939" i="3"/>
  <c r="D1939" i="3"/>
  <c r="E1939" i="3"/>
  <c r="A1940" i="3"/>
  <c r="B1940" i="3"/>
  <c r="C1940" i="3"/>
  <c r="F1940" i="3" s="1"/>
  <c r="D1940" i="3"/>
  <c r="E1940" i="3"/>
  <c r="A1941" i="3"/>
  <c r="B1941" i="3"/>
  <c r="C1941" i="3"/>
  <c r="D1941" i="3"/>
  <c r="E1941" i="3"/>
  <c r="A1942" i="3"/>
  <c r="B1942" i="3"/>
  <c r="C1942" i="3"/>
  <c r="D1942" i="3"/>
  <c r="E1942" i="3"/>
  <c r="G1942" i="3" s="1"/>
  <c r="A1943" i="3"/>
  <c r="B1943" i="3"/>
  <c r="C1943" i="3"/>
  <c r="D1943" i="3"/>
  <c r="E1943" i="3"/>
  <c r="A1944" i="3"/>
  <c r="B1944" i="3"/>
  <c r="C1944" i="3"/>
  <c r="D1944" i="3"/>
  <c r="E1944" i="3"/>
  <c r="A1945" i="3"/>
  <c r="B1945" i="3"/>
  <c r="C1945" i="3"/>
  <c r="D1945" i="3"/>
  <c r="E1945" i="3"/>
  <c r="A1946" i="3"/>
  <c r="B1946" i="3"/>
  <c r="C1946" i="3"/>
  <c r="D1946" i="3"/>
  <c r="E1946" i="3"/>
  <c r="A1947" i="3"/>
  <c r="B1947" i="3"/>
  <c r="C1947" i="3"/>
  <c r="D1947" i="3"/>
  <c r="E1947" i="3"/>
  <c r="A1948" i="3"/>
  <c r="B1948" i="3"/>
  <c r="C1948" i="3"/>
  <c r="D1948" i="3"/>
  <c r="E1948" i="3"/>
  <c r="A1949" i="3"/>
  <c r="B1949" i="3"/>
  <c r="C1949" i="3"/>
  <c r="D1949" i="3"/>
  <c r="E1949" i="3"/>
  <c r="A1950" i="3"/>
  <c r="B1950" i="3"/>
  <c r="C1950" i="3"/>
  <c r="D1950" i="3"/>
  <c r="E1950" i="3"/>
  <c r="A1951" i="3"/>
  <c r="B1951" i="3"/>
  <c r="C1951" i="3"/>
  <c r="D1951" i="3"/>
  <c r="E1951" i="3"/>
  <c r="A1952" i="3"/>
  <c r="B1952" i="3"/>
  <c r="C1952" i="3"/>
  <c r="F1952" i="3" s="1"/>
  <c r="D1952" i="3"/>
  <c r="E1952" i="3"/>
  <c r="A1953" i="3"/>
  <c r="B1953" i="3"/>
  <c r="C1953" i="3"/>
  <c r="D1953" i="3"/>
  <c r="E1953" i="3"/>
  <c r="A1954" i="3"/>
  <c r="B1954" i="3"/>
  <c r="C1954" i="3"/>
  <c r="D1954" i="3"/>
  <c r="E1954" i="3"/>
  <c r="G1954" i="3" s="1"/>
  <c r="A1955" i="3"/>
  <c r="B1955" i="3"/>
  <c r="C1955" i="3"/>
  <c r="D1955" i="3"/>
  <c r="E1955" i="3"/>
  <c r="A1956" i="3"/>
  <c r="B1956" i="3"/>
  <c r="C1956" i="3"/>
  <c r="D1956" i="3"/>
  <c r="E1956" i="3"/>
  <c r="A1957" i="3"/>
  <c r="B1957" i="3"/>
  <c r="C1957" i="3"/>
  <c r="D1957" i="3"/>
  <c r="E1957" i="3"/>
  <c r="A1958" i="3"/>
  <c r="B1958" i="3"/>
  <c r="C1958" i="3"/>
  <c r="D1958" i="3"/>
  <c r="E1958" i="3"/>
  <c r="A1959" i="3"/>
  <c r="B1959" i="3"/>
  <c r="C1959" i="3"/>
  <c r="D1959" i="3"/>
  <c r="E1959" i="3"/>
  <c r="A1960" i="3"/>
  <c r="B1960" i="3"/>
  <c r="C1960" i="3"/>
  <c r="D1960" i="3"/>
  <c r="E1960" i="3"/>
  <c r="A1961" i="3"/>
  <c r="B1961" i="3"/>
  <c r="C1961" i="3"/>
  <c r="D1961" i="3"/>
  <c r="E1961" i="3"/>
  <c r="A1962" i="3"/>
  <c r="B1962" i="3"/>
  <c r="C1962" i="3"/>
  <c r="D1962" i="3"/>
  <c r="E1962" i="3"/>
  <c r="A1963" i="3"/>
  <c r="B1963" i="3"/>
  <c r="C1963" i="3"/>
  <c r="F1963" i="3" s="1"/>
  <c r="D1963" i="3"/>
  <c r="E1963" i="3"/>
  <c r="A1964" i="3"/>
  <c r="B1964" i="3"/>
  <c r="C1964" i="3"/>
  <c r="F1964" i="3" s="1"/>
  <c r="D1964" i="3"/>
  <c r="E1964" i="3"/>
  <c r="A1965" i="3"/>
  <c r="B1965" i="3"/>
  <c r="C1965" i="3"/>
  <c r="D1965" i="3"/>
  <c r="E1965" i="3"/>
  <c r="G1965" i="3" s="1"/>
  <c r="A1966" i="3"/>
  <c r="B1966" i="3"/>
  <c r="C1966" i="3"/>
  <c r="D1966" i="3"/>
  <c r="E1966" i="3"/>
  <c r="G1966" i="3" s="1"/>
  <c r="A1967" i="3"/>
  <c r="B1967" i="3"/>
  <c r="C1967" i="3"/>
  <c r="D1967" i="3"/>
  <c r="E1967" i="3"/>
  <c r="A1968" i="3"/>
  <c r="B1968" i="3"/>
  <c r="C1968" i="3"/>
  <c r="D1968" i="3"/>
  <c r="E1968" i="3"/>
  <c r="A1969" i="3"/>
  <c r="B1969" i="3"/>
  <c r="C1969" i="3"/>
  <c r="D1969" i="3"/>
  <c r="E1969" i="3"/>
  <c r="A1970" i="3"/>
  <c r="B1970" i="3"/>
  <c r="C1970" i="3"/>
  <c r="D1970" i="3"/>
  <c r="E1970" i="3"/>
  <c r="A1971" i="3"/>
  <c r="B1971" i="3"/>
  <c r="C1971" i="3"/>
  <c r="D1971" i="3"/>
  <c r="E1971" i="3"/>
  <c r="A1972" i="3"/>
  <c r="B1972" i="3"/>
  <c r="C1972" i="3"/>
  <c r="D1972" i="3"/>
  <c r="E1972" i="3"/>
  <c r="A1973" i="3"/>
  <c r="B1973" i="3"/>
  <c r="C1973" i="3"/>
  <c r="D1973" i="3"/>
  <c r="E1973" i="3"/>
  <c r="A1974" i="3"/>
  <c r="B1974" i="3"/>
  <c r="C1974" i="3"/>
  <c r="D1974" i="3"/>
  <c r="E1974" i="3"/>
  <c r="A1975" i="3"/>
  <c r="B1975" i="3"/>
  <c r="C1975" i="3"/>
  <c r="D1975" i="3"/>
  <c r="E1975" i="3"/>
  <c r="A1976" i="3"/>
  <c r="B1976" i="3"/>
  <c r="C1976" i="3"/>
  <c r="F1976" i="3" s="1"/>
  <c r="D1976" i="3"/>
  <c r="E1976" i="3"/>
  <c r="A1977" i="3"/>
  <c r="B1977" i="3"/>
  <c r="C1977" i="3"/>
  <c r="D1977" i="3"/>
  <c r="E1977" i="3"/>
  <c r="A1978" i="3"/>
  <c r="B1978" i="3"/>
  <c r="C1978" i="3"/>
  <c r="D1978" i="3"/>
  <c r="E1978" i="3"/>
  <c r="G1978" i="3" s="1"/>
  <c r="A1979" i="3"/>
  <c r="B1979" i="3"/>
  <c r="C1979" i="3"/>
  <c r="D1979" i="3"/>
  <c r="E1979" i="3"/>
  <c r="A1980" i="3"/>
  <c r="B1980" i="3"/>
  <c r="C1980" i="3"/>
  <c r="D1980" i="3"/>
  <c r="E1980" i="3"/>
  <c r="A1981" i="3"/>
  <c r="B1981" i="3"/>
  <c r="C1981" i="3"/>
  <c r="D1981" i="3"/>
  <c r="E1981" i="3"/>
  <c r="A1982" i="3"/>
  <c r="B1982" i="3"/>
  <c r="C1982" i="3"/>
  <c r="D1982" i="3"/>
  <c r="E1982" i="3"/>
  <c r="A1983" i="3"/>
  <c r="B1983" i="3"/>
  <c r="C1983" i="3"/>
  <c r="D1983" i="3"/>
  <c r="E1983" i="3"/>
  <c r="A1984" i="3"/>
  <c r="B1984" i="3"/>
  <c r="C1984" i="3"/>
  <c r="D1984" i="3"/>
  <c r="E1984" i="3"/>
  <c r="A1985" i="3"/>
  <c r="B1985" i="3"/>
  <c r="C1985" i="3"/>
  <c r="D1985" i="3"/>
  <c r="E1985" i="3"/>
  <c r="A1986" i="3"/>
  <c r="B1986" i="3"/>
  <c r="C1986" i="3"/>
  <c r="D1986" i="3"/>
  <c r="E1986" i="3"/>
  <c r="A1987" i="3"/>
  <c r="B1987" i="3"/>
  <c r="C1987" i="3"/>
  <c r="D1987" i="3"/>
  <c r="E1987" i="3"/>
  <c r="A1988" i="3"/>
  <c r="B1988" i="3"/>
  <c r="C1988" i="3"/>
  <c r="F1988" i="3" s="1"/>
  <c r="D1988" i="3"/>
  <c r="E1988" i="3"/>
  <c r="A1989" i="3"/>
  <c r="B1989" i="3"/>
  <c r="C1989" i="3"/>
  <c r="D1989" i="3"/>
  <c r="E1989" i="3"/>
  <c r="A1990" i="3"/>
  <c r="B1990" i="3"/>
  <c r="C1990" i="3"/>
  <c r="D1990" i="3"/>
  <c r="E1990" i="3"/>
  <c r="G1990" i="3" s="1"/>
  <c r="A1991" i="3"/>
  <c r="B1991" i="3"/>
  <c r="C1991" i="3"/>
  <c r="D1991" i="3"/>
  <c r="E1991" i="3"/>
  <c r="A1992" i="3"/>
  <c r="B1992" i="3"/>
  <c r="C1992" i="3"/>
  <c r="D1992" i="3"/>
  <c r="E1992" i="3"/>
  <c r="A1993" i="3"/>
  <c r="B1993" i="3"/>
  <c r="C1993" i="3"/>
  <c r="D1993" i="3"/>
  <c r="E1993" i="3"/>
  <c r="A1994" i="3"/>
  <c r="B1994" i="3"/>
  <c r="C1994" i="3"/>
  <c r="D1994" i="3"/>
  <c r="E1994" i="3"/>
  <c r="A1995" i="3"/>
  <c r="B1995" i="3"/>
  <c r="C1995" i="3"/>
  <c r="D1995" i="3"/>
  <c r="E1995" i="3"/>
  <c r="A1996" i="3"/>
  <c r="B1996" i="3"/>
  <c r="C1996" i="3"/>
  <c r="D1996" i="3"/>
  <c r="E1996" i="3"/>
  <c r="A1997" i="3"/>
  <c r="B1997" i="3"/>
  <c r="C1997" i="3"/>
  <c r="D1997" i="3"/>
  <c r="E1997" i="3"/>
  <c r="A1998" i="3"/>
  <c r="B1998" i="3"/>
  <c r="C1998" i="3"/>
  <c r="D1998" i="3"/>
  <c r="E1998" i="3"/>
  <c r="A1999" i="3"/>
  <c r="B1999" i="3"/>
  <c r="C1999" i="3"/>
  <c r="D1999" i="3"/>
  <c r="E1999" i="3"/>
  <c r="A2000" i="3"/>
  <c r="B2000" i="3"/>
  <c r="C2000" i="3"/>
  <c r="F2000" i="3" s="1"/>
  <c r="D2000" i="3"/>
  <c r="E2000" i="3"/>
  <c r="A2001" i="3"/>
  <c r="B2001" i="3"/>
  <c r="C2001" i="3"/>
  <c r="D2001" i="3"/>
  <c r="E2001" i="3"/>
  <c r="A2002" i="3"/>
  <c r="B2002" i="3"/>
  <c r="C2002" i="3"/>
  <c r="D2002" i="3"/>
  <c r="E2002" i="3"/>
  <c r="G2002" i="3" s="1"/>
  <c r="A2003" i="3"/>
  <c r="B2003" i="3"/>
  <c r="C2003" i="3"/>
  <c r="D2003" i="3"/>
  <c r="E2003" i="3"/>
  <c r="A2004" i="3"/>
  <c r="B2004" i="3"/>
  <c r="C2004" i="3"/>
  <c r="D2004" i="3"/>
  <c r="E2004" i="3"/>
  <c r="A2005" i="3"/>
  <c r="B2005" i="3"/>
  <c r="C2005" i="3"/>
  <c r="D2005" i="3"/>
  <c r="E2005" i="3"/>
  <c r="A2006" i="3"/>
  <c r="B2006" i="3"/>
  <c r="C2006" i="3"/>
  <c r="D2006" i="3"/>
  <c r="E2006" i="3"/>
  <c r="A2007" i="3"/>
  <c r="B2007" i="3"/>
  <c r="C2007" i="3"/>
  <c r="D2007" i="3"/>
  <c r="E2007" i="3"/>
  <c r="A2008" i="3"/>
  <c r="B2008" i="3"/>
  <c r="C2008" i="3"/>
  <c r="D2008" i="3"/>
  <c r="E2008" i="3"/>
  <c r="A2009" i="3"/>
  <c r="B2009" i="3"/>
  <c r="C2009" i="3"/>
  <c r="D2009" i="3"/>
  <c r="E2009" i="3"/>
  <c r="A2010" i="3"/>
  <c r="B2010" i="3"/>
  <c r="C2010" i="3"/>
  <c r="D2010" i="3"/>
  <c r="E2010" i="3"/>
  <c r="A2011" i="3"/>
  <c r="B2011" i="3"/>
  <c r="C2011" i="3"/>
  <c r="D2011" i="3"/>
  <c r="E2011" i="3"/>
  <c r="A2012" i="3"/>
  <c r="B2012" i="3"/>
  <c r="C2012" i="3"/>
  <c r="F2012" i="3" s="1"/>
  <c r="D2012" i="3"/>
  <c r="E2012" i="3"/>
  <c r="A2013" i="3"/>
  <c r="B2013" i="3"/>
  <c r="C2013" i="3"/>
  <c r="D2013" i="3"/>
  <c r="E2013" i="3"/>
  <c r="A2014" i="3"/>
  <c r="B2014" i="3"/>
  <c r="C2014" i="3"/>
  <c r="D2014" i="3"/>
  <c r="E2014" i="3"/>
  <c r="G2014" i="3" s="1"/>
  <c r="A2015" i="3"/>
  <c r="B2015" i="3"/>
  <c r="C2015" i="3"/>
  <c r="D2015" i="3"/>
  <c r="E2015" i="3"/>
  <c r="A2016" i="3"/>
  <c r="B2016" i="3"/>
  <c r="C2016" i="3"/>
  <c r="D2016" i="3"/>
  <c r="E2016" i="3"/>
  <c r="A2017" i="3"/>
  <c r="B2017" i="3"/>
  <c r="C2017" i="3"/>
  <c r="D2017" i="3"/>
  <c r="E2017" i="3"/>
  <c r="A2018" i="3"/>
  <c r="B2018" i="3"/>
  <c r="C2018" i="3"/>
  <c r="D2018" i="3"/>
  <c r="E2018" i="3"/>
  <c r="A2019" i="3"/>
  <c r="B2019" i="3"/>
  <c r="C2019" i="3"/>
  <c r="D2019" i="3"/>
  <c r="E2019" i="3"/>
  <c r="A2020" i="3"/>
  <c r="B2020" i="3"/>
  <c r="C2020" i="3"/>
  <c r="D2020" i="3"/>
  <c r="E2020" i="3"/>
  <c r="A2021" i="3"/>
  <c r="B2021" i="3"/>
  <c r="C2021" i="3"/>
  <c r="D2021" i="3"/>
  <c r="E2021" i="3"/>
  <c r="A2022" i="3"/>
  <c r="B2022" i="3"/>
  <c r="C2022" i="3"/>
  <c r="D2022" i="3"/>
  <c r="E2022" i="3"/>
  <c r="A2023" i="3"/>
  <c r="B2023" i="3"/>
  <c r="C2023" i="3"/>
  <c r="F2023" i="3" s="1"/>
  <c r="D2023" i="3"/>
  <c r="E2023" i="3"/>
  <c r="A2024" i="3"/>
  <c r="B2024" i="3"/>
  <c r="C2024" i="3"/>
  <c r="F2024" i="3" s="1"/>
  <c r="D2024" i="3"/>
  <c r="E2024" i="3"/>
  <c r="A2025" i="3"/>
  <c r="B2025" i="3"/>
  <c r="C2025" i="3"/>
  <c r="D2025" i="3"/>
  <c r="E2025" i="3"/>
  <c r="G2025" i="3" s="1"/>
  <c r="A2026" i="3"/>
  <c r="B2026" i="3"/>
  <c r="C2026" i="3"/>
  <c r="D2026" i="3"/>
  <c r="E2026" i="3"/>
  <c r="G2026" i="3" s="1"/>
  <c r="A2027" i="3"/>
  <c r="B2027" i="3"/>
  <c r="C2027" i="3"/>
  <c r="D2027" i="3"/>
  <c r="E2027" i="3"/>
  <c r="A2028" i="3"/>
  <c r="B2028" i="3"/>
  <c r="C2028" i="3"/>
  <c r="D2028" i="3"/>
  <c r="E2028" i="3"/>
  <c r="A2029" i="3"/>
  <c r="B2029" i="3"/>
  <c r="C2029" i="3"/>
  <c r="D2029" i="3"/>
  <c r="E2029" i="3"/>
  <c r="A2030" i="3"/>
  <c r="B2030" i="3"/>
  <c r="C2030" i="3"/>
  <c r="D2030" i="3"/>
  <c r="E2030" i="3"/>
  <c r="A2031" i="3"/>
  <c r="B2031" i="3"/>
  <c r="C2031" i="3"/>
  <c r="D2031" i="3"/>
  <c r="E2031" i="3"/>
  <c r="A2032" i="3"/>
  <c r="B2032" i="3"/>
  <c r="C2032" i="3"/>
  <c r="D2032" i="3"/>
  <c r="E2032" i="3"/>
  <c r="A2033" i="3"/>
  <c r="B2033" i="3"/>
  <c r="C2033" i="3"/>
  <c r="D2033" i="3"/>
  <c r="E2033" i="3"/>
  <c r="A2034" i="3"/>
  <c r="B2034" i="3"/>
  <c r="C2034" i="3"/>
  <c r="D2034" i="3"/>
  <c r="E2034" i="3"/>
  <c r="A2035" i="3"/>
  <c r="B2035" i="3"/>
  <c r="C2035" i="3"/>
  <c r="F2035" i="3" s="1"/>
  <c r="D2035" i="3"/>
  <c r="E2035" i="3"/>
  <c r="A2036" i="3"/>
  <c r="B2036" i="3"/>
  <c r="C2036" i="3"/>
  <c r="F2036" i="3" s="1"/>
  <c r="D2036" i="3"/>
  <c r="E2036" i="3"/>
  <c r="A2037" i="3"/>
  <c r="B2037" i="3"/>
  <c r="C2037" i="3"/>
  <c r="D2037" i="3"/>
  <c r="E2037" i="3"/>
  <c r="G2037" i="3" s="1"/>
  <c r="A2038" i="3"/>
  <c r="B2038" i="3"/>
  <c r="C2038" i="3"/>
  <c r="D2038" i="3"/>
  <c r="E2038" i="3"/>
  <c r="G2038" i="3" s="1"/>
  <c r="A2039" i="3"/>
  <c r="B2039" i="3"/>
  <c r="C2039" i="3"/>
  <c r="D2039" i="3"/>
  <c r="E2039" i="3"/>
  <c r="A2040" i="3"/>
  <c r="B2040" i="3"/>
  <c r="C2040" i="3"/>
  <c r="D2040" i="3"/>
  <c r="E2040" i="3"/>
  <c r="A2041" i="3"/>
  <c r="B2041" i="3"/>
  <c r="C2041" i="3"/>
  <c r="D2041" i="3"/>
  <c r="E2041" i="3"/>
  <c r="A2042" i="3"/>
  <c r="B2042" i="3"/>
  <c r="C2042" i="3"/>
  <c r="D2042" i="3"/>
  <c r="E2042" i="3"/>
  <c r="A2043" i="3"/>
  <c r="B2043" i="3"/>
  <c r="C2043" i="3"/>
  <c r="D2043" i="3"/>
  <c r="E2043" i="3"/>
  <c r="A2044" i="3"/>
  <c r="B2044" i="3"/>
  <c r="C2044" i="3"/>
  <c r="D2044" i="3"/>
  <c r="E2044" i="3"/>
  <c r="A2045" i="3"/>
  <c r="B2045" i="3"/>
  <c r="C2045" i="3"/>
  <c r="D2045" i="3"/>
  <c r="E2045" i="3"/>
  <c r="A2046" i="3"/>
  <c r="B2046" i="3"/>
  <c r="C2046" i="3"/>
  <c r="D2046" i="3"/>
  <c r="E2046" i="3"/>
  <c r="A2047" i="3"/>
  <c r="B2047" i="3"/>
  <c r="C2047" i="3"/>
  <c r="F2047" i="3" s="1"/>
  <c r="D2047" i="3"/>
  <c r="E2047" i="3"/>
  <c r="A2048" i="3"/>
  <c r="B2048" i="3"/>
  <c r="C2048" i="3"/>
  <c r="F2048" i="3" s="1"/>
  <c r="D2048" i="3"/>
  <c r="E2048" i="3"/>
  <c r="A2049" i="3"/>
  <c r="B2049" i="3"/>
  <c r="C2049" i="3"/>
  <c r="D2049" i="3"/>
  <c r="E2049" i="3"/>
  <c r="G2049" i="3" s="1"/>
  <c r="A2050" i="3"/>
  <c r="B2050" i="3"/>
  <c r="C2050" i="3"/>
  <c r="D2050" i="3"/>
  <c r="E2050" i="3"/>
  <c r="G2050" i="3" s="1"/>
  <c r="A2051" i="3"/>
  <c r="B2051" i="3"/>
  <c r="C2051" i="3"/>
  <c r="D2051" i="3"/>
  <c r="E2051" i="3"/>
  <c r="A2052" i="3"/>
  <c r="B2052" i="3"/>
  <c r="C2052" i="3"/>
  <c r="D2052" i="3"/>
  <c r="E2052" i="3"/>
  <c r="A2053" i="3"/>
  <c r="B2053" i="3"/>
  <c r="C2053" i="3"/>
  <c r="D2053" i="3"/>
  <c r="E2053" i="3"/>
  <c r="A2054" i="3"/>
  <c r="B2054" i="3"/>
  <c r="C2054" i="3"/>
  <c r="D2054" i="3"/>
  <c r="E2054" i="3"/>
  <c r="A2055" i="3"/>
  <c r="B2055" i="3"/>
  <c r="C2055" i="3"/>
  <c r="D2055" i="3"/>
  <c r="E2055" i="3"/>
  <c r="A2056" i="3"/>
  <c r="B2056" i="3"/>
  <c r="C2056" i="3"/>
  <c r="D2056" i="3"/>
  <c r="E2056" i="3"/>
  <c r="A2057" i="3"/>
  <c r="B2057" i="3"/>
  <c r="C2057" i="3"/>
  <c r="D2057" i="3"/>
  <c r="E2057" i="3"/>
  <c r="A2058" i="3"/>
  <c r="B2058" i="3"/>
  <c r="C2058" i="3"/>
  <c r="D2058" i="3"/>
  <c r="E2058" i="3"/>
  <c r="A2059" i="3"/>
  <c r="B2059" i="3"/>
  <c r="C2059" i="3"/>
  <c r="F2059" i="3" s="1"/>
  <c r="D2059" i="3"/>
  <c r="E2059" i="3"/>
  <c r="A2060" i="3"/>
  <c r="B2060" i="3"/>
  <c r="C2060" i="3"/>
  <c r="F2060" i="3" s="1"/>
  <c r="D2060" i="3"/>
  <c r="E2060" i="3"/>
  <c r="A2061" i="3"/>
  <c r="B2061" i="3"/>
  <c r="C2061" i="3"/>
  <c r="D2061" i="3"/>
  <c r="E2061" i="3"/>
  <c r="G2061" i="3" s="1"/>
  <c r="A2062" i="3"/>
  <c r="B2062" i="3"/>
  <c r="C2062" i="3"/>
  <c r="D2062" i="3"/>
  <c r="E2062" i="3"/>
  <c r="G2062" i="3" s="1"/>
  <c r="A2063" i="3"/>
  <c r="B2063" i="3"/>
  <c r="C2063" i="3"/>
  <c r="D2063" i="3"/>
  <c r="E2063" i="3"/>
  <c r="A2064" i="3"/>
  <c r="B2064" i="3"/>
  <c r="C2064" i="3"/>
  <c r="D2064" i="3"/>
  <c r="E2064" i="3"/>
  <c r="A2065" i="3"/>
  <c r="B2065" i="3"/>
  <c r="C2065" i="3"/>
  <c r="D2065" i="3"/>
  <c r="E2065" i="3"/>
  <c r="A2066" i="3"/>
  <c r="B2066" i="3"/>
  <c r="C2066" i="3"/>
  <c r="D2066" i="3"/>
  <c r="E2066" i="3"/>
  <c r="A2067" i="3"/>
  <c r="B2067" i="3"/>
  <c r="C2067" i="3"/>
  <c r="D2067" i="3"/>
  <c r="E2067" i="3"/>
  <c r="A2068" i="3"/>
  <c r="B2068" i="3"/>
  <c r="C2068" i="3"/>
  <c r="D2068" i="3"/>
  <c r="E2068" i="3"/>
  <c r="A2069" i="3"/>
  <c r="B2069" i="3"/>
  <c r="C2069" i="3"/>
  <c r="D2069" i="3"/>
  <c r="E2069" i="3"/>
  <c r="A2070" i="3"/>
  <c r="B2070" i="3"/>
  <c r="C2070" i="3"/>
  <c r="D2070" i="3"/>
  <c r="E2070" i="3"/>
  <c r="A2071" i="3"/>
  <c r="B2071" i="3"/>
  <c r="C2071" i="3"/>
  <c r="F2071" i="3" s="1"/>
  <c r="D2071" i="3"/>
  <c r="E2071" i="3"/>
  <c r="A2072" i="3"/>
  <c r="B2072" i="3"/>
  <c r="C2072" i="3"/>
  <c r="F2072" i="3" s="1"/>
  <c r="D2072" i="3"/>
  <c r="E2072" i="3"/>
  <c r="A2073" i="3"/>
  <c r="B2073" i="3"/>
  <c r="C2073" i="3"/>
  <c r="D2073" i="3"/>
  <c r="E2073" i="3"/>
  <c r="G2073" i="3" s="1"/>
  <c r="A2074" i="3"/>
  <c r="B2074" i="3"/>
  <c r="C2074" i="3"/>
  <c r="D2074" i="3"/>
  <c r="E2074" i="3"/>
  <c r="G2074" i="3" s="1"/>
  <c r="A2075" i="3"/>
  <c r="B2075" i="3"/>
  <c r="C2075" i="3"/>
  <c r="D2075" i="3"/>
  <c r="E2075" i="3"/>
  <c r="A2076" i="3"/>
  <c r="B2076" i="3"/>
  <c r="C2076" i="3"/>
  <c r="D2076" i="3"/>
  <c r="E2076" i="3"/>
  <c r="A2077" i="3"/>
  <c r="B2077" i="3"/>
  <c r="C2077" i="3"/>
  <c r="D2077" i="3"/>
  <c r="E2077" i="3"/>
  <c r="A2078" i="3"/>
  <c r="B2078" i="3"/>
  <c r="C2078" i="3"/>
  <c r="D2078" i="3"/>
  <c r="E2078" i="3"/>
  <c r="A2079" i="3"/>
  <c r="B2079" i="3"/>
  <c r="C2079" i="3"/>
  <c r="D2079" i="3"/>
  <c r="E2079" i="3"/>
  <c r="A2080" i="3"/>
  <c r="B2080" i="3"/>
  <c r="C2080" i="3"/>
  <c r="D2080" i="3"/>
  <c r="E2080" i="3"/>
  <c r="A2081" i="3"/>
  <c r="B2081" i="3"/>
  <c r="C2081" i="3"/>
  <c r="D2081" i="3"/>
  <c r="E2081" i="3"/>
  <c r="A2082" i="3"/>
  <c r="B2082" i="3"/>
  <c r="C2082" i="3"/>
  <c r="D2082" i="3"/>
  <c r="E2082" i="3"/>
  <c r="A2083" i="3"/>
  <c r="B2083" i="3"/>
  <c r="C2083" i="3"/>
  <c r="F2083" i="3" s="1"/>
  <c r="D2083" i="3"/>
  <c r="E2083" i="3"/>
  <c r="A2084" i="3"/>
  <c r="B2084" i="3"/>
  <c r="C2084" i="3"/>
  <c r="F2084" i="3" s="1"/>
  <c r="D2084" i="3"/>
  <c r="E2084" i="3"/>
  <c r="A2085" i="3"/>
  <c r="B2085" i="3"/>
  <c r="C2085" i="3"/>
  <c r="D2085" i="3"/>
  <c r="E2085" i="3"/>
  <c r="G2085" i="3" s="1"/>
  <c r="A2086" i="3"/>
  <c r="B2086" i="3"/>
  <c r="C2086" i="3"/>
  <c r="D2086" i="3"/>
  <c r="E2086" i="3"/>
  <c r="G2086" i="3" s="1"/>
  <c r="A2087" i="3"/>
  <c r="B2087" i="3"/>
  <c r="C2087" i="3"/>
  <c r="D2087" i="3"/>
  <c r="E2087" i="3"/>
  <c r="A2088" i="3"/>
  <c r="B2088" i="3"/>
  <c r="C2088" i="3"/>
  <c r="D2088" i="3"/>
  <c r="E2088" i="3"/>
  <c r="A2089" i="3"/>
  <c r="B2089" i="3"/>
  <c r="C2089" i="3"/>
  <c r="D2089" i="3"/>
  <c r="E2089" i="3"/>
  <c r="A2090" i="3"/>
  <c r="B2090" i="3"/>
  <c r="C2090" i="3"/>
  <c r="D2090" i="3"/>
  <c r="E2090" i="3"/>
  <c r="A2091" i="3"/>
  <c r="B2091" i="3"/>
  <c r="C2091" i="3"/>
  <c r="D2091" i="3"/>
  <c r="E2091" i="3"/>
  <c r="A2092" i="3"/>
  <c r="B2092" i="3"/>
  <c r="C2092" i="3"/>
  <c r="D2092" i="3"/>
  <c r="E2092" i="3"/>
  <c r="A2093" i="3"/>
  <c r="B2093" i="3"/>
  <c r="C2093" i="3"/>
  <c r="D2093" i="3"/>
  <c r="E2093" i="3"/>
  <c r="A2094" i="3"/>
  <c r="B2094" i="3"/>
  <c r="C2094" i="3"/>
  <c r="D2094" i="3"/>
  <c r="E2094" i="3"/>
  <c r="A2095" i="3"/>
  <c r="B2095" i="3"/>
  <c r="C2095" i="3"/>
  <c r="F2095" i="3" s="1"/>
  <c r="D2095" i="3"/>
  <c r="E2095" i="3"/>
  <c r="A2096" i="3"/>
  <c r="B2096" i="3"/>
  <c r="C2096" i="3"/>
  <c r="F2096" i="3" s="1"/>
  <c r="D2096" i="3"/>
  <c r="E2096" i="3"/>
  <c r="A2097" i="3"/>
  <c r="B2097" i="3"/>
  <c r="C2097" i="3"/>
  <c r="D2097" i="3"/>
  <c r="E2097" i="3"/>
  <c r="G2097" i="3" s="1"/>
  <c r="A2098" i="3"/>
  <c r="B2098" i="3"/>
  <c r="C2098" i="3"/>
  <c r="D2098" i="3"/>
  <c r="E2098" i="3"/>
  <c r="G2098" i="3" s="1"/>
  <c r="A2099" i="3"/>
  <c r="B2099" i="3"/>
  <c r="C2099" i="3"/>
  <c r="D2099" i="3"/>
  <c r="E2099" i="3"/>
  <c r="A2100" i="3"/>
  <c r="B2100" i="3"/>
  <c r="C2100" i="3"/>
  <c r="D2100" i="3"/>
  <c r="E2100" i="3"/>
  <c r="A2101" i="3"/>
  <c r="B2101" i="3"/>
  <c r="C2101" i="3"/>
  <c r="D2101" i="3"/>
  <c r="E2101" i="3"/>
  <c r="A2102" i="3"/>
  <c r="B2102" i="3"/>
  <c r="C2102" i="3"/>
  <c r="D2102" i="3"/>
  <c r="E2102" i="3"/>
  <c r="A2103" i="3"/>
  <c r="B2103" i="3"/>
  <c r="C2103" i="3"/>
  <c r="D2103" i="3"/>
  <c r="E2103" i="3"/>
  <c r="A2104" i="3"/>
  <c r="B2104" i="3"/>
  <c r="C2104" i="3"/>
  <c r="D2104" i="3"/>
  <c r="E2104" i="3"/>
  <c r="A2105" i="3"/>
  <c r="B2105" i="3"/>
  <c r="C2105" i="3"/>
  <c r="D2105" i="3"/>
  <c r="E2105" i="3"/>
  <c r="A2106" i="3"/>
  <c r="B2106" i="3"/>
  <c r="C2106" i="3"/>
  <c r="D2106" i="3"/>
  <c r="E2106" i="3"/>
  <c r="A2107" i="3"/>
  <c r="B2107" i="3"/>
  <c r="C2107" i="3"/>
  <c r="F2107" i="3" s="1"/>
  <c r="D2107" i="3"/>
  <c r="E2107" i="3"/>
  <c r="A2108" i="3"/>
  <c r="B2108" i="3"/>
  <c r="C2108" i="3"/>
  <c r="F2108" i="3" s="1"/>
  <c r="D2108" i="3"/>
  <c r="E2108" i="3"/>
  <c r="A2109" i="3"/>
  <c r="B2109" i="3"/>
  <c r="C2109" i="3"/>
  <c r="D2109" i="3"/>
  <c r="E2109" i="3"/>
  <c r="G2109" i="3" s="1"/>
  <c r="A2110" i="3"/>
  <c r="B2110" i="3"/>
  <c r="C2110" i="3"/>
  <c r="D2110" i="3"/>
  <c r="E2110" i="3"/>
  <c r="G2110" i="3" s="1"/>
  <c r="A2111" i="3"/>
  <c r="B2111" i="3"/>
  <c r="C2111" i="3"/>
  <c r="D2111" i="3"/>
  <c r="E2111" i="3"/>
  <c r="A2112" i="3"/>
  <c r="B2112" i="3"/>
  <c r="C2112" i="3"/>
  <c r="D2112" i="3"/>
  <c r="E2112" i="3"/>
  <c r="A2113" i="3"/>
  <c r="B2113" i="3"/>
  <c r="C2113" i="3"/>
  <c r="D2113" i="3"/>
  <c r="E2113" i="3"/>
  <c r="A2114" i="3"/>
  <c r="B2114" i="3"/>
  <c r="C2114" i="3"/>
  <c r="D2114" i="3"/>
  <c r="E2114" i="3"/>
  <c r="A2115" i="3"/>
  <c r="B2115" i="3"/>
  <c r="C2115" i="3"/>
  <c r="D2115" i="3"/>
  <c r="E2115" i="3"/>
  <c r="A2116" i="3"/>
  <c r="B2116" i="3"/>
  <c r="C2116" i="3"/>
  <c r="D2116" i="3"/>
  <c r="E2116" i="3"/>
  <c r="A2117" i="3"/>
  <c r="B2117" i="3"/>
  <c r="C2117" i="3"/>
  <c r="D2117" i="3"/>
  <c r="E2117" i="3"/>
  <c r="A2118" i="3"/>
  <c r="B2118" i="3"/>
  <c r="C2118" i="3"/>
  <c r="D2118" i="3"/>
  <c r="E2118" i="3"/>
  <c r="A2119" i="3"/>
  <c r="B2119" i="3"/>
  <c r="C2119" i="3"/>
  <c r="F2119" i="3" s="1"/>
  <c r="D2119" i="3"/>
  <c r="E2119" i="3"/>
  <c r="A2120" i="3"/>
  <c r="B2120" i="3"/>
  <c r="C2120" i="3"/>
  <c r="F2120" i="3" s="1"/>
  <c r="D2120" i="3"/>
  <c r="E2120" i="3"/>
  <c r="A2121" i="3"/>
  <c r="B2121" i="3"/>
  <c r="C2121" i="3"/>
  <c r="D2121" i="3"/>
  <c r="E2121" i="3"/>
  <c r="G2121" i="3" s="1"/>
  <c r="A2122" i="3"/>
  <c r="B2122" i="3"/>
  <c r="C2122" i="3"/>
  <c r="D2122" i="3"/>
  <c r="E2122" i="3"/>
  <c r="G2122" i="3" s="1"/>
  <c r="A2123" i="3"/>
  <c r="B2123" i="3"/>
  <c r="C2123" i="3"/>
  <c r="D2123" i="3"/>
  <c r="E2123" i="3"/>
  <c r="A2124" i="3"/>
  <c r="B2124" i="3"/>
  <c r="C2124" i="3"/>
  <c r="D2124" i="3"/>
  <c r="E2124" i="3"/>
  <c r="A2125" i="3"/>
  <c r="B2125" i="3"/>
  <c r="C2125" i="3"/>
  <c r="D2125" i="3"/>
  <c r="E2125" i="3"/>
  <c r="A2126" i="3"/>
  <c r="B2126" i="3"/>
  <c r="C2126" i="3"/>
  <c r="D2126" i="3"/>
  <c r="E2126" i="3"/>
  <c r="A2127" i="3"/>
  <c r="B2127" i="3"/>
  <c r="C2127" i="3"/>
  <c r="D2127" i="3"/>
  <c r="E2127" i="3"/>
  <c r="A2128" i="3"/>
  <c r="B2128" i="3"/>
  <c r="C2128" i="3"/>
  <c r="D2128" i="3"/>
  <c r="E2128" i="3"/>
  <c r="A2129" i="3"/>
  <c r="B2129" i="3"/>
  <c r="C2129" i="3"/>
  <c r="D2129" i="3"/>
  <c r="E2129" i="3"/>
  <c r="A2130" i="3"/>
  <c r="B2130" i="3"/>
  <c r="C2130" i="3"/>
  <c r="D2130" i="3"/>
  <c r="E2130" i="3"/>
  <c r="A2131" i="3"/>
  <c r="B2131" i="3"/>
  <c r="C2131" i="3"/>
  <c r="F2131" i="3" s="1"/>
  <c r="D2131" i="3"/>
  <c r="E2131" i="3"/>
  <c r="A2132" i="3"/>
  <c r="B2132" i="3"/>
  <c r="C2132" i="3"/>
  <c r="F2132" i="3" s="1"/>
  <c r="D2132" i="3"/>
  <c r="E2132" i="3"/>
  <c r="A2133" i="3"/>
  <c r="B2133" i="3"/>
  <c r="C2133" i="3"/>
  <c r="D2133" i="3"/>
  <c r="E2133" i="3"/>
  <c r="G2133" i="3" s="1"/>
  <c r="A2134" i="3"/>
  <c r="B2134" i="3"/>
  <c r="C2134" i="3"/>
  <c r="D2134" i="3"/>
  <c r="E2134" i="3"/>
  <c r="G2134" i="3" s="1"/>
  <c r="A2135" i="3"/>
  <c r="B2135" i="3"/>
  <c r="C2135" i="3"/>
  <c r="D2135" i="3"/>
  <c r="E2135" i="3"/>
  <c r="A2136" i="3"/>
  <c r="B2136" i="3"/>
  <c r="C2136" i="3"/>
  <c r="D2136" i="3"/>
  <c r="E2136" i="3"/>
  <c r="A2137" i="3"/>
  <c r="B2137" i="3"/>
  <c r="C2137" i="3"/>
  <c r="D2137" i="3"/>
  <c r="E2137" i="3"/>
  <c r="A2138" i="3"/>
  <c r="B2138" i="3"/>
  <c r="C2138" i="3"/>
  <c r="D2138" i="3"/>
  <c r="E2138" i="3"/>
  <c r="A2139" i="3"/>
  <c r="B2139" i="3"/>
  <c r="C2139" i="3"/>
  <c r="D2139" i="3"/>
  <c r="E2139" i="3"/>
  <c r="A2140" i="3"/>
  <c r="B2140" i="3"/>
  <c r="C2140" i="3"/>
  <c r="D2140" i="3"/>
  <c r="E2140" i="3"/>
  <c r="A2141" i="3"/>
  <c r="B2141" i="3"/>
  <c r="C2141" i="3"/>
  <c r="D2141" i="3"/>
  <c r="E2141" i="3"/>
  <c r="A2142" i="3"/>
  <c r="B2142" i="3"/>
  <c r="C2142" i="3"/>
  <c r="D2142" i="3"/>
  <c r="E2142" i="3"/>
  <c r="A2143" i="3"/>
  <c r="B2143" i="3"/>
  <c r="C2143" i="3"/>
  <c r="F2143" i="3" s="1"/>
  <c r="D2143" i="3"/>
  <c r="E2143" i="3"/>
  <c r="A2144" i="3"/>
  <c r="B2144" i="3"/>
  <c r="C2144" i="3"/>
  <c r="F2144" i="3" s="1"/>
  <c r="D2144" i="3"/>
  <c r="E2144" i="3"/>
  <c r="A2145" i="3"/>
  <c r="B2145" i="3"/>
  <c r="C2145" i="3"/>
  <c r="D2145" i="3"/>
  <c r="E2145" i="3"/>
  <c r="G2145" i="3" s="1"/>
  <c r="A2146" i="3"/>
  <c r="B2146" i="3"/>
  <c r="C2146" i="3"/>
  <c r="D2146" i="3"/>
  <c r="E2146" i="3"/>
  <c r="G2146" i="3" s="1"/>
  <c r="A2147" i="3"/>
  <c r="B2147" i="3"/>
  <c r="C2147" i="3"/>
  <c r="D2147" i="3"/>
  <c r="E2147" i="3"/>
  <c r="A2148" i="3"/>
  <c r="B2148" i="3"/>
  <c r="C2148" i="3"/>
  <c r="D2148" i="3"/>
  <c r="E2148" i="3"/>
  <c r="A2149" i="3"/>
  <c r="B2149" i="3"/>
  <c r="C2149" i="3"/>
  <c r="D2149" i="3"/>
  <c r="E2149" i="3"/>
  <c r="A2150" i="3"/>
  <c r="B2150" i="3"/>
  <c r="C2150" i="3"/>
  <c r="D2150" i="3"/>
  <c r="E2150" i="3"/>
  <c r="A2151" i="3"/>
  <c r="B2151" i="3"/>
  <c r="C2151" i="3"/>
  <c r="D2151" i="3"/>
  <c r="E2151" i="3"/>
  <c r="A2152" i="3"/>
  <c r="B2152" i="3"/>
  <c r="C2152" i="3"/>
  <c r="D2152" i="3"/>
  <c r="E2152" i="3"/>
  <c r="A2153" i="3"/>
  <c r="B2153" i="3"/>
  <c r="C2153" i="3"/>
  <c r="D2153" i="3"/>
  <c r="E2153" i="3"/>
  <c r="A2154" i="3"/>
  <c r="B2154" i="3"/>
  <c r="C2154" i="3"/>
  <c r="D2154" i="3"/>
  <c r="E2154" i="3"/>
  <c r="A2155" i="3"/>
  <c r="B2155" i="3"/>
  <c r="C2155" i="3"/>
  <c r="F2155" i="3" s="1"/>
  <c r="D2155" i="3"/>
  <c r="E2155" i="3"/>
  <c r="A2156" i="3"/>
  <c r="B2156" i="3"/>
  <c r="C2156" i="3"/>
  <c r="F2156" i="3" s="1"/>
  <c r="D2156" i="3"/>
  <c r="E2156" i="3"/>
  <c r="A2157" i="3"/>
  <c r="B2157" i="3"/>
  <c r="C2157" i="3"/>
  <c r="D2157" i="3"/>
  <c r="E2157" i="3"/>
  <c r="G2157" i="3" s="1"/>
  <c r="A2158" i="3"/>
  <c r="B2158" i="3"/>
  <c r="C2158" i="3"/>
  <c r="D2158" i="3"/>
  <c r="E2158" i="3"/>
  <c r="G2158" i="3" s="1"/>
  <c r="A2159" i="3"/>
  <c r="B2159" i="3"/>
  <c r="C2159" i="3"/>
  <c r="D2159" i="3"/>
  <c r="E2159" i="3"/>
  <c r="A2160" i="3"/>
  <c r="B2160" i="3"/>
  <c r="C2160" i="3"/>
  <c r="D2160" i="3"/>
  <c r="E2160" i="3"/>
  <c r="A2161" i="3"/>
  <c r="B2161" i="3"/>
  <c r="C2161" i="3"/>
  <c r="D2161" i="3"/>
  <c r="E2161" i="3"/>
  <c r="A2162" i="3"/>
  <c r="B2162" i="3"/>
  <c r="C2162" i="3"/>
  <c r="D2162" i="3"/>
  <c r="E2162" i="3"/>
  <c r="A2163" i="3"/>
  <c r="B2163" i="3"/>
  <c r="C2163" i="3"/>
  <c r="D2163" i="3"/>
  <c r="E2163" i="3"/>
  <c r="A2164" i="3"/>
  <c r="B2164" i="3"/>
  <c r="C2164" i="3"/>
  <c r="D2164" i="3"/>
  <c r="E2164" i="3"/>
  <c r="A2165" i="3"/>
  <c r="B2165" i="3"/>
  <c r="C2165" i="3"/>
  <c r="D2165" i="3"/>
  <c r="E2165" i="3"/>
  <c r="A2166" i="3"/>
  <c r="B2166" i="3"/>
  <c r="C2166" i="3"/>
  <c r="D2166" i="3"/>
  <c r="E2166" i="3"/>
  <c r="A2167" i="3"/>
  <c r="B2167" i="3"/>
  <c r="C2167" i="3"/>
  <c r="F2167" i="3" s="1"/>
  <c r="D2167" i="3"/>
  <c r="E2167" i="3"/>
  <c r="A2168" i="3"/>
  <c r="B2168" i="3"/>
  <c r="C2168" i="3"/>
  <c r="F2168" i="3" s="1"/>
  <c r="D2168" i="3"/>
  <c r="E2168" i="3"/>
  <c r="A2169" i="3"/>
  <c r="B2169" i="3"/>
  <c r="C2169" i="3"/>
  <c r="D2169" i="3"/>
  <c r="E2169" i="3"/>
  <c r="G2169" i="3" s="1"/>
  <c r="A2170" i="3"/>
  <c r="B2170" i="3"/>
  <c r="C2170" i="3"/>
  <c r="D2170" i="3"/>
  <c r="E2170" i="3"/>
  <c r="G2170" i="3" s="1"/>
  <c r="A2171" i="3"/>
  <c r="B2171" i="3"/>
  <c r="C2171" i="3"/>
  <c r="D2171" i="3"/>
  <c r="E2171" i="3"/>
  <c r="A2172" i="3"/>
  <c r="B2172" i="3"/>
  <c r="C2172" i="3"/>
  <c r="D2172" i="3"/>
  <c r="E2172" i="3"/>
  <c r="A2173" i="3"/>
  <c r="B2173" i="3"/>
  <c r="C2173" i="3"/>
  <c r="D2173" i="3"/>
  <c r="E2173" i="3"/>
  <c r="A2174" i="3"/>
  <c r="B2174" i="3"/>
  <c r="C2174" i="3"/>
  <c r="D2174" i="3"/>
  <c r="E2174" i="3"/>
  <c r="A2175" i="3"/>
  <c r="B2175" i="3"/>
  <c r="C2175" i="3"/>
  <c r="D2175" i="3"/>
  <c r="E2175" i="3"/>
  <c r="A2176" i="3"/>
  <c r="B2176" i="3"/>
  <c r="C2176" i="3"/>
  <c r="D2176" i="3"/>
  <c r="E2176" i="3"/>
  <c r="A2177" i="3"/>
  <c r="B2177" i="3"/>
  <c r="C2177" i="3"/>
  <c r="D2177" i="3"/>
  <c r="E2177" i="3"/>
  <c r="A2178" i="3"/>
  <c r="B2178" i="3"/>
  <c r="C2178" i="3"/>
  <c r="D2178" i="3"/>
  <c r="E2178" i="3"/>
  <c r="A2179" i="3"/>
  <c r="B2179" i="3"/>
  <c r="C2179" i="3"/>
  <c r="F2179" i="3" s="1"/>
  <c r="D2179" i="3"/>
  <c r="E2179" i="3"/>
  <c r="A2180" i="3"/>
  <c r="B2180" i="3"/>
  <c r="C2180" i="3"/>
  <c r="F2180" i="3" s="1"/>
  <c r="D2180" i="3"/>
  <c r="E2180" i="3"/>
  <c r="A2181" i="3"/>
  <c r="B2181" i="3"/>
  <c r="C2181" i="3"/>
  <c r="D2181" i="3"/>
  <c r="E2181" i="3"/>
  <c r="G2181" i="3" s="1"/>
  <c r="A2182" i="3"/>
  <c r="B2182" i="3"/>
  <c r="C2182" i="3"/>
  <c r="D2182" i="3"/>
  <c r="E2182" i="3"/>
  <c r="G2182" i="3" s="1"/>
  <c r="A2183" i="3"/>
  <c r="B2183" i="3"/>
  <c r="C2183" i="3"/>
  <c r="D2183" i="3"/>
  <c r="E2183" i="3"/>
  <c r="A2184" i="3"/>
  <c r="B2184" i="3"/>
  <c r="C2184" i="3"/>
  <c r="D2184" i="3"/>
  <c r="E2184" i="3"/>
  <c r="A2185" i="3"/>
  <c r="B2185" i="3"/>
  <c r="C2185" i="3"/>
  <c r="D2185" i="3"/>
  <c r="E2185" i="3"/>
  <c r="A2186" i="3"/>
  <c r="B2186" i="3"/>
  <c r="C2186" i="3"/>
  <c r="D2186" i="3"/>
  <c r="E2186" i="3"/>
  <c r="A2187" i="3"/>
  <c r="B2187" i="3"/>
  <c r="C2187" i="3"/>
  <c r="D2187" i="3"/>
  <c r="E2187" i="3"/>
  <c r="A2188" i="3"/>
  <c r="B2188" i="3"/>
  <c r="C2188" i="3"/>
  <c r="D2188" i="3"/>
  <c r="E2188" i="3"/>
  <c r="A2189" i="3"/>
  <c r="B2189" i="3"/>
  <c r="C2189" i="3"/>
  <c r="D2189" i="3"/>
  <c r="E2189" i="3"/>
  <c r="A2190" i="3"/>
  <c r="B2190" i="3"/>
  <c r="C2190" i="3"/>
  <c r="D2190" i="3"/>
  <c r="E2190" i="3"/>
  <c r="A2191" i="3"/>
  <c r="B2191" i="3"/>
  <c r="C2191" i="3"/>
  <c r="F2191" i="3" s="1"/>
  <c r="D2191" i="3"/>
  <c r="E2191" i="3"/>
  <c r="A2192" i="3"/>
  <c r="B2192" i="3"/>
  <c r="C2192" i="3"/>
  <c r="F2192" i="3" s="1"/>
  <c r="D2192" i="3"/>
  <c r="E2192" i="3"/>
  <c r="A2193" i="3"/>
  <c r="B2193" i="3"/>
  <c r="C2193" i="3"/>
  <c r="D2193" i="3"/>
  <c r="E2193" i="3"/>
  <c r="G2193" i="3" s="1"/>
  <c r="A2194" i="3"/>
  <c r="B2194" i="3"/>
  <c r="C2194" i="3"/>
  <c r="D2194" i="3"/>
  <c r="E2194" i="3"/>
  <c r="G2194" i="3" s="1"/>
  <c r="A2195" i="3"/>
  <c r="B2195" i="3"/>
  <c r="C2195" i="3"/>
  <c r="D2195" i="3"/>
  <c r="E2195" i="3"/>
  <c r="A2196" i="3"/>
  <c r="B2196" i="3"/>
  <c r="C2196" i="3"/>
  <c r="D2196" i="3"/>
  <c r="E2196" i="3"/>
  <c r="A2197" i="3"/>
  <c r="B2197" i="3"/>
  <c r="C2197" i="3"/>
  <c r="D2197" i="3"/>
  <c r="E2197" i="3"/>
  <c r="A2198" i="3"/>
  <c r="B2198" i="3"/>
  <c r="C2198" i="3"/>
  <c r="D2198" i="3"/>
  <c r="E2198" i="3"/>
  <c r="A2199" i="3"/>
  <c r="B2199" i="3"/>
  <c r="C2199" i="3"/>
  <c r="D2199" i="3"/>
  <c r="E2199" i="3"/>
  <c r="A2200" i="3"/>
  <c r="B2200" i="3"/>
  <c r="C2200" i="3"/>
  <c r="D2200" i="3"/>
  <c r="E2200" i="3"/>
  <c r="A2201" i="3"/>
  <c r="B2201" i="3"/>
  <c r="C2201" i="3"/>
  <c r="D2201" i="3"/>
  <c r="E2201" i="3"/>
  <c r="A2202" i="3"/>
  <c r="B2202" i="3"/>
  <c r="C2202" i="3"/>
  <c r="D2202" i="3"/>
  <c r="E2202" i="3"/>
  <c r="A2203" i="3"/>
  <c r="B2203" i="3"/>
  <c r="C2203" i="3"/>
  <c r="D2203" i="3"/>
  <c r="E2203" i="3"/>
  <c r="A2204" i="3"/>
  <c r="B2204" i="3"/>
  <c r="C2204" i="3"/>
  <c r="F2204" i="3" s="1"/>
  <c r="D2204" i="3"/>
  <c r="E2204" i="3"/>
  <c r="A2205" i="3"/>
  <c r="B2205" i="3"/>
  <c r="C2205" i="3"/>
  <c r="D2205" i="3"/>
  <c r="E2205" i="3"/>
  <c r="G2205" i="3" s="1"/>
  <c r="A2206" i="3"/>
  <c r="B2206" i="3"/>
  <c r="C2206" i="3"/>
  <c r="D2206" i="3"/>
  <c r="E2206" i="3"/>
  <c r="G2206" i="3" s="1"/>
  <c r="A2207" i="3"/>
  <c r="B2207" i="3"/>
  <c r="C2207" i="3"/>
  <c r="D2207" i="3"/>
  <c r="E2207" i="3"/>
  <c r="A2208" i="3"/>
  <c r="B2208" i="3"/>
  <c r="C2208" i="3"/>
  <c r="D2208" i="3"/>
  <c r="E2208" i="3"/>
  <c r="A2209" i="3"/>
  <c r="B2209" i="3"/>
  <c r="C2209" i="3"/>
  <c r="D2209" i="3"/>
  <c r="E2209" i="3"/>
  <c r="A2210" i="3"/>
  <c r="B2210" i="3"/>
  <c r="C2210" i="3"/>
  <c r="D2210" i="3"/>
  <c r="E2210" i="3"/>
  <c r="A2211" i="3"/>
  <c r="B2211" i="3"/>
  <c r="C2211" i="3"/>
  <c r="D2211" i="3"/>
  <c r="E2211" i="3"/>
  <c r="A2212" i="3"/>
  <c r="B2212" i="3"/>
  <c r="C2212" i="3"/>
  <c r="D2212" i="3"/>
  <c r="E2212" i="3"/>
  <c r="A2213" i="3"/>
  <c r="B2213" i="3"/>
  <c r="C2213" i="3"/>
  <c r="D2213" i="3"/>
  <c r="E2213" i="3"/>
  <c r="A2214" i="3"/>
  <c r="B2214" i="3"/>
  <c r="C2214" i="3"/>
  <c r="D2214" i="3"/>
  <c r="E2214" i="3"/>
  <c r="A2215" i="3"/>
  <c r="B2215" i="3"/>
  <c r="C2215" i="3"/>
  <c r="F2215" i="3" s="1"/>
  <c r="D2215" i="3"/>
  <c r="E2215" i="3"/>
  <c r="A2216" i="3"/>
  <c r="B2216" i="3"/>
  <c r="C2216" i="3"/>
  <c r="F2216" i="3" s="1"/>
  <c r="D2216" i="3"/>
  <c r="E2216" i="3"/>
  <c r="A2217" i="3"/>
  <c r="B2217" i="3"/>
  <c r="C2217" i="3"/>
  <c r="D2217" i="3"/>
  <c r="E2217" i="3"/>
  <c r="G2217" i="3" s="1"/>
  <c r="A2218" i="3"/>
  <c r="B2218" i="3"/>
  <c r="C2218" i="3"/>
  <c r="D2218" i="3"/>
  <c r="E2218" i="3"/>
  <c r="G2218" i="3" s="1"/>
  <c r="A2219" i="3"/>
  <c r="B2219" i="3"/>
  <c r="C2219" i="3"/>
  <c r="D2219" i="3"/>
  <c r="E2219" i="3"/>
  <c r="A2220" i="3"/>
  <c r="B2220" i="3"/>
  <c r="C2220" i="3"/>
  <c r="D2220" i="3"/>
  <c r="E2220" i="3"/>
  <c r="A2221" i="3"/>
  <c r="B2221" i="3"/>
  <c r="C2221" i="3"/>
  <c r="D2221" i="3"/>
  <c r="E2221" i="3"/>
  <c r="A2222" i="3"/>
  <c r="B2222" i="3"/>
  <c r="C2222" i="3"/>
  <c r="D2222" i="3"/>
  <c r="E2222" i="3"/>
  <c r="A2223" i="3"/>
  <c r="B2223" i="3"/>
  <c r="C2223" i="3"/>
  <c r="D2223" i="3"/>
  <c r="E2223" i="3"/>
  <c r="A2224" i="3"/>
  <c r="B2224" i="3"/>
  <c r="C2224" i="3"/>
  <c r="D2224" i="3"/>
  <c r="E2224" i="3"/>
  <c r="A2225" i="3"/>
  <c r="B2225" i="3"/>
  <c r="C2225" i="3"/>
  <c r="D2225" i="3"/>
  <c r="E2225" i="3"/>
  <c r="A2226" i="3"/>
  <c r="B2226" i="3"/>
  <c r="C2226" i="3"/>
  <c r="D2226" i="3"/>
  <c r="E2226" i="3"/>
  <c r="A2227" i="3"/>
  <c r="B2227" i="3"/>
  <c r="C2227" i="3"/>
  <c r="F2227" i="3" s="1"/>
  <c r="D2227" i="3"/>
  <c r="E2227" i="3"/>
  <c r="A2228" i="3"/>
  <c r="B2228" i="3"/>
  <c r="C2228" i="3"/>
  <c r="F2228" i="3" s="1"/>
  <c r="D2228" i="3"/>
  <c r="E2228" i="3"/>
  <c r="A2229" i="3"/>
  <c r="B2229" i="3"/>
  <c r="C2229" i="3"/>
  <c r="D2229" i="3"/>
  <c r="E2229" i="3"/>
  <c r="G2229" i="3" s="1"/>
  <c r="A2230" i="3"/>
  <c r="B2230" i="3"/>
  <c r="C2230" i="3"/>
  <c r="D2230" i="3"/>
  <c r="E2230" i="3"/>
  <c r="G2230" i="3" s="1"/>
  <c r="A2231" i="3"/>
  <c r="B2231" i="3"/>
  <c r="C2231" i="3"/>
  <c r="D2231" i="3"/>
  <c r="E2231" i="3"/>
  <c r="A2232" i="3"/>
  <c r="B2232" i="3"/>
  <c r="C2232" i="3"/>
  <c r="D2232" i="3"/>
  <c r="E2232" i="3"/>
  <c r="A2233" i="3"/>
  <c r="B2233" i="3"/>
  <c r="C2233" i="3"/>
  <c r="D2233" i="3"/>
  <c r="E2233" i="3"/>
  <c r="A2234" i="3"/>
  <c r="B2234" i="3"/>
  <c r="C2234" i="3"/>
  <c r="D2234" i="3"/>
  <c r="E2234" i="3"/>
  <c r="A2235" i="3"/>
  <c r="B2235" i="3"/>
  <c r="C2235" i="3"/>
  <c r="D2235" i="3"/>
  <c r="E2235" i="3"/>
  <c r="A2236" i="3"/>
  <c r="B2236" i="3"/>
  <c r="C2236" i="3"/>
  <c r="D2236" i="3"/>
  <c r="E2236" i="3"/>
  <c r="A2237" i="3"/>
  <c r="B2237" i="3"/>
  <c r="C2237" i="3"/>
  <c r="D2237" i="3"/>
  <c r="E2237" i="3"/>
  <c r="A2238" i="3"/>
  <c r="B2238" i="3"/>
  <c r="C2238" i="3"/>
  <c r="D2238" i="3"/>
  <c r="E2238" i="3"/>
  <c r="A2239" i="3"/>
  <c r="B2239" i="3"/>
  <c r="C2239" i="3"/>
  <c r="F2239" i="3" s="1"/>
  <c r="D2239" i="3"/>
  <c r="E2239" i="3"/>
  <c r="A2240" i="3"/>
  <c r="B2240" i="3"/>
  <c r="C2240" i="3"/>
  <c r="F2240" i="3" s="1"/>
  <c r="D2240" i="3"/>
  <c r="E2240" i="3"/>
  <c r="A2241" i="3"/>
  <c r="B2241" i="3"/>
  <c r="C2241" i="3"/>
  <c r="D2241" i="3"/>
  <c r="E2241" i="3"/>
  <c r="G2241" i="3" s="1"/>
  <c r="A2242" i="3"/>
  <c r="B2242" i="3"/>
  <c r="C2242" i="3"/>
  <c r="D2242" i="3"/>
  <c r="E2242" i="3"/>
  <c r="G2242" i="3" s="1"/>
  <c r="A2243" i="3"/>
  <c r="B2243" i="3"/>
  <c r="C2243" i="3"/>
  <c r="D2243" i="3"/>
  <c r="E2243" i="3"/>
  <c r="A2244" i="3"/>
  <c r="B2244" i="3"/>
  <c r="C2244" i="3"/>
  <c r="D2244" i="3"/>
  <c r="E2244" i="3"/>
  <c r="A2245" i="3"/>
  <c r="B2245" i="3"/>
  <c r="C2245" i="3"/>
  <c r="D2245" i="3"/>
  <c r="E2245" i="3"/>
  <c r="A2246" i="3"/>
  <c r="B2246" i="3"/>
  <c r="C2246" i="3"/>
  <c r="D2246" i="3"/>
  <c r="E2246" i="3"/>
  <c r="A2247" i="3"/>
  <c r="B2247" i="3"/>
  <c r="C2247" i="3"/>
  <c r="D2247" i="3"/>
  <c r="E2247" i="3"/>
  <c r="A2248" i="3"/>
  <c r="B2248" i="3"/>
  <c r="C2248" i="3"/>
  <c r="D2248" i="3"/>
  <c r="E2248" i="3"/>
  <c r="A2249" i="3"/>
  <c r="B2249" i="3"/>
  <c r="C2249" i="3"/>
  <c r="D2249" i="3"/>
  <c r="E2249" i="3"/>
  <c r="A2250" i="3"/>
  <c r="B2250" i="3"/>
  <c r="C2250" i="3"/>
  <c r="D2250" i="3"/>
  <c r="E2250" i="3"/>
  <c r="A2251" i="3"/>
  <c r="B2251" i="3"/>
  <c r="C2251" i="3"/>
  <c r="F2251" i="3" s="1"/>
  <c r="D2251" i="3"/>
  <c r="E2251" i="3"/>
  <c r="A2252" i="3"/>
  <c r="B2252" i="3"/>
  <c r="C2252" i="3"/>
  <c r="F2252" i="3" s="1"/>
  <c r="D2252" i="3"/>
  <c r="E2252" i="3"/>
  <c r="A2253" i="3"/>
  <c r="B2253" i="3"/>
  <c r="C2253" i="3"/>
  <c r="D2253" i="3"/>
  <c r="E2253" i="3"/>
  <c r="G2253" i="3" s="1"/>
  <c r="A2254" i="3"/>
  <c r="B2254" i="3"/>
  <c r="C2254" i="3"/>
  <c r="D2254" i="3"/>
  <c r="E2254" i="3"/>
  <c r="G2254" i="3" s="1"/>
  <c r="A2255" i="3"/>
  <c r="B2255" i="3"/>
  <c r="C2255" i="3"/>
  <c r="D2255" i="3"/>
  <c r="E2255" i="3"/>
  <c r="A2256" i="3"/>
  <c r="B2256" i="3"/>
  <c r="C2256" i="3"/>
  <c r="D2256" i="3"/>
  <c r="E2256" i="3"/>
  <c r="A2257" i="3"/>
  <c r="B2257" i="3"/>
  <c r="C2257" i="3"/>
  <c r="D2257" i="3"/>
  <c r="E2257" i="3"/>
  <c r="A2258" i="3"/>
  <c r="B2258" i="3"/>
  <c r="C2258" i="3"/>
  <c r="D2258" i="3"/>
  <c r="E2258" i="3"/>
  <c r="A2259" i="3"/>
  <c r="B2259" i="3"/>
  <c r="C2259" i="3"/>
  <c r="D2259" i="3"/>
  <c r="E2259" i="3"/>
  <c r="A2260" i="3"/>
  <c r="B2260" i="3"/>
  <c r="C2260" i="3"/>
  <c r="D2260" i="3"/>
  <c r="E2260" i="3"/>
  <c r="A2261" i="3"/>
  <c r="B2261" i="3"/>
  <c r="C2261" i="3"/>
  <c r="D2261" i="3"/>
  <c r="E2261" i="3"/>
  <c r="A2262" i="3"/>
  <c r="B2262" i="3"/>
  <c r="C2262" i="3"/>
  <c r="D2262" i="3"/>
  <c r="E2262" i="3"/>
  <c r="A2263" i="3"/>
  <c r="B2263" i="3"/>
  <c r="C2263" i="3"/>
  <c r="F2263" i="3" s="1"/>
  <c r="D2263" i="3"/>
  <c r="E2263" i="3"/>
  <c r="A2264" i="3"/>
  <c r="B2264" i="3"/>
  <c r="C2264" i="3"/>
  <c r="F2264" i="3" s="1"/>
  <c r="D2264" i="3"/>
  <c r="E2264" i="3"/>
  <c r="A2265" i="3"/>
  <c r="B2265" i="3"/>
  <c r="C2265" i="3"/>
  <c r="D2265" i="3"/>
  <c r="E2265" i="3"/>
  <c r="G2265" i="3" s="1"/>
  <c r="A2266" i="3"/>
  <c r="B2266" i="3"/>
  <c r="C2266" i="3"/>
  <c r="D2266" i="3"/>
  <c r="E2266" i="3"/>
  <c r="G2266" i="3" s="1"/>
  <c r="A2267" i="3"/>
  <c r="B2267" i="3"/>
  <c r="C2267" i="3"/>
  <c r="D2267" i="3"/>
  <c r="E2267" i="3"/>
  <c r="A2268" i="3"/>
  <c r="B2268" i="3"/>
  <c r="C2268" i="3"/>
  <c r="D2268" i="3"/>
  <c r="E2268" i="3"/>
  <c r="A2269" i="3"/>
  <c r="B2269" i="3"/>
  <c r="C2269" i="3"/>
  <c r="D2269" i="3"/>
  <c r="E2269" i="3"/>
  <c r="A2270" i="3"/>
  <c r="B2270" i="3"/>
  <c r="C2270" i="3"/>
  <c r="D2270" i="3"/>
  <c r="E2270" i="3"/>
  <c r="A2271" i="3"/>
  <c r="B2271" i="3"/>
  <c r="C2271" i="3"/>
  <c r="D2271" i="3"/>
  <c r="E2271" i="3"/>
  <c r="A2272" i="3"/>
  <c r="B2272" i="3"/>
  <c r="C2272" i="3"/>
  <c r="D2272" i="3"/>
  <c r="E2272" i="3"/>
  <c r="A2273" i="3"/>
  <c r="B2273" i="3"/>
  <c r="C2273" i="3"/>
  <c r="D2273" i="3"/>
  <c r="E2273" i="3"/>
  <c r="A2274" i="3"/>
  <c r="B2274" i="3"/>
  <c r="C2274" i="3"/>
  <c r="D2274" i="3"/>
  <c r="E2274" i="3"/>
  <c r="A2275" i="3"/>
  <c r="B2275" i="3"/>
  <c r="C2275" i="3"/>
  <c r="F2275" i="3" s="1"/>
  <c r="D2275" i="3"/>
  <c r="E2275" i="3"/>
  <c r="A2276" i="3"/>
  <c r="B2276" i="3"/>
  <c r="C2276" i="3"/>
  <c r="F2276" i="3" s="1"/>
  <c r="D2276" i="3"/>
  <c r="E2276" i="3"/>
  <c r="A2277" i="3"/>
  <c r="B2277" i="3"/>
  <c r="C2277" i="3"/>
  <c r="D2277" i="3"/>
  <c r="E2277" i="3"/>
  <c r="G2277" i="3" s="1"/>
  <c r="A2278" i="3"/>
  <c r="B2278" i="3"/>
  <c r="C2278" i="3"/>
  <c r="D2278" i="3"/>
  <c r="E2278" i="3"/>
  <c r="G2278" i="3" s="1"/>
  <c r="A2279" i="3"/>
  <c r="B2279" i="3"/>
  <c r="C2279" i="3"/>
  <c r="D2279" i="3"/>
  <c r="E2279" i="3"/>
  <c r="A2280" i="3"/>
  <c r="B2280" i="3"/>
  <c r="C2280" i="3"/>
  <c r="D2280" i="3"/>
  <c r="E2280" i="3"/>
  <c r="A2281" i="3"/>
  <c r="B2281" i="3"/>
  <c r="C2281" i="3"/>
  <c r="D2281" i="3"/>
  <c r="E2281" i="3"/>
  <c r="A2282" i="3"/>
  <c r="B2282" i="3"/>
  <c r="C2282" i="3"/>
  <c r="D2282" i="3"/>
  <c r="E2282" i="3"/>
  <c r="A2283" i="3"/>
  <c r="B2283" i="3"/>
  <c r="C2283" i="3"/>
  <c r="D2283" i="3"/>
  <c r="E2283" i="3"/>
  <c r="A2284" i="3"/>
  <c r="B2284" i="3"/>
  <c r="C2284" i="3"/>
  <c r="D2284" i="3"/>
  <c r="E2284" i="3"/>
  <c r="A2285" i="3"/>
  <c r="B2285" i="3"/>
  <c r="C2285" i="3"/>
  <c r="D2285" i="3"/>
  <c r="E2285" i="3"/>
  <c r="A2286" i="3"/>
  <c r="B2286" i="3"/>
  <c r="C2286" i="3"/>
  <c r="D2286" i="3"/>
  <c r="E2286" i="3"/>
  <c r="A2287" i="3"/>
  <c r="B2287" i="3"/>
  <c r="C2287" i="3"/>
  <c r="F2287" i="3" s="1"/>
  <c r="D2287" i="3"/>
  <c r="E2287" i="3"/>
  <c r="A2288" i="3"/>
  <c r="B2288" i="3"/>
  <c r="C2288" i="3"/>
  <c r="F2288" i="3" s="1"/>
  <c r="D2288" i="3"/>
  <c r="E2288" i="3"/>
  <c r="A2289" i="3"/>
  <c r="B2289" i="3"/>
  <c r="C2289" i="3"/>
  <c r="D2289" i="3"/>
  <c r="E2289" i="3"/>
  <c r="G2289" i="3" s="1"/>
  <c r="A2290" i="3"/>
  <c r="B2290" i="3"/>
  <c r="C2290" i="3"/>
  <c r="D2290" i="3"/>
  <c r="E2290" i="3"/>
  <c r="G2290" i="3" s="1"/>
  <c r="A2291" i="3"/>
  <c r="B2291" i="3"/>
  <c r="C2291" i="3"/>
  <c r="D2291" i="3"/>
  <c r="E2291" i="3"/>
  <c r="A2292" i="3"/>
  <c r="B2292" i="3"/>
  <c r="C2292" i="3"/>
  <c r="D2292" i="3"/>
  <c r="E2292" i="3"/>
  <c r="A2293" i="3"/>
  <c r="B2293" i="3"/>
  <c r="C2293" i="3"/>
  <c r="D2293" i="3"/>
  <c r="E2293" i="3"/>
  <c r="A2294" i="3"/>
  <c r="B2294" i="3"/>
  <c r="C2294" i="3"/>
  <c r="D2294" i="3"/>
  <c r="E2294" i="3"/>
  <c r="A2295" i="3"/>
  <c r="B2295" i="3"/>
  <c r="C2295" i="3"/>
  <c r="D2295" i="3"/>
  <c r="E2295" i="3"/>
  <c r="A2296" i="3"/>
  <c r="B2296" i="3"/>
  <c r="C2296" i="3"/>
  <c r="D2296" i="3"/>
  <c r="E2296" i="3"/>
  <c r="A2297" i="3"/>
  <c r="B2297" i="3"/>
  <c r="C2297" i="3"/>
  <c r="D2297" i="3"/>
  <c r="E2297" i="3"/>
  <c r="A2298" i="3"/>
  <c r="B2298" i="3"/>
  <c r="C2298" i="3"/>
  <c r="D2298" i="3"/>
  <c r="E2298" i="3"/>
  <c r="A2299" i="3"/>
  <c r="B2299" i="3"/>
  <c r="C2299" i="3"/>
  <c r="F2299" i="3" s="1"/>
  <c r="D2299" i="3"/>
  <c r="E2299" i="3"/>
  <c r="A2300" i="3"/>
  <c r="B2300" i="3"/>
  <c r="C2300" i="3"/>
  <c r="F2300" i="3" s="1"/>
  <c r="D2300" i="3"/>
  <c r="E2300" i="3"/>
  <c r="A2301" i="3"/>
  <c r="B2301" i="3"/>
  <c r="C2301" i="3"/>
  <c r="D2301" i="3"/>
  <c r="E2301" i="3"/>
  <c r="G2301" i="3" s="1"/>
  <c r="A2302" i="3"/>
  <c r="B2302" i="3"/>
  <c r="C2302" i="3"/>
  <c r="D2302" i="3"/>
  <c r="E2302" i="3"/>
  <c r="G2302" i="3" s="1"/>
  <c r="A2303" i="3"/>
  <c r="B2303" i="3"/>
  <c r="C2303" i="3"/>
  <c r="D2303" i="3"/>
  <c r="E2303" i="3"/>
  <c r="A2304" i="3"/>
  <c r="B2304" i="3"/>
  <c r="C2304" i="3"/>
  <c r="D2304" i="3"/>
  <c r="E2304" i="3"/>
  <c r="A2305" i="3"/>
  <c r="B2305" i="3"/>
  <c r="C2305" i="3"/>
  <c r="D2305" i="3"/>
  <c r="E2305" i="3"/>
  <c r="A2306" i="3"/>
  <c r="B2306" i="3"/>
  <c r="C2306" i="3"/>
  <c r="D2306" i="3"/>
  <c r="E2306" i="3"/>
  <c r="A2307" i="3"/>
  <c r="B2307" i="3"/>
  <c r="C2307" i="3"/>
  <c r="D2307" i="3"/>
  <c r="E2307" i="3"/>
  <c r="A2308" i="3"/>
  <c r="B2308" i="3"/>
  <c r="C2308" i="3"/>
  <c r="D2308" i="3"/>
  <c r="E2308" i="3"/>
  <c r="A2309" i="3"/>
  <c r="B2309" i="3"/>
  <c r="C2309" i="3"/>
  <c r="D2309" i="3"/>
  <c r="E2309" i="3"/>
  <c r="A2310" i="3"/>
  <c r="B2310" i="3"/>
  <c r="C2310" i="3"/>
  <c r="D2310" i="3"/>
  <c r="E2310" i="3"/>
  <c r="A2311" i="3"/>
  <c r="B2311" i="3"/>
  <c r="C2311" i="3"/>
  <c r="F2311" i="3" s="1"/>
  <c r="D2311" i="3"/>
  <c r="E2311" i="3"/>
  <c r="A2312" i="3"/>
  <c r="B2312" i="3"/>
  <c r="C2312" i="3"/>
  <c r="F2312" i="3" s="1"/>
  <c r="D2312" i="3"/>
  <c r="E2312" i="3"/>
  <c r="A2313" i="3"/>
  <c r="B2313" i="3"/>
  <c r="C2313" i="3"/>
  <c r="D2313" i="3"/>
  <c r="E2313" i="3"/>
  <c r="G2313" i="3" s="1"/>
  <c r="A2314" i="3"/>
  <c r="B2314" i="3"/>
  <c r="C2314" i="3"/>
  <c r="D2314" i="3"/>
  <c r="E2314" i="3"/>
  <c r="G2314" i="3" s="1"/>
  <c r="A2315" i="3"/>
  <c r="B2315" i="3"/>
  <c r="C2315" i="3"/>
  <c r="D2315" i="3"/>
  <c r="E2315" i="3"/>
  <c r="A2316" i="3"/>
  <c r="B2316" i="3"/>
  <c r="C2316" i="3"/>
  <c r="D2316" i="3"/>
  <c r="E2316" i="3"/>
  <c r="A2317" i="3"/>
  <c r="B2317" i="3"/>
  <c r="C2317" i="3"/>
  <c r="D2317" i="3"/>
  <c r="E2317" i="3"/>
  <c r="A2318" i="3"/>
  <c r="B2318" i="3"/>
  <c r="C2318" i="3"/>
  <c r="D2318" i="3"/>
  <c r="E2318" i="3"/>
  <c r="A2319" i="3"/>
  <c r="B2319" i="3"/>
  <c r="C2319" i="3"/>
  <c r="D2319" i="3"/>
  <c r="E2319" i="3"/>
  <c r="A2320" i="3"/>
  <c r="B2320" i="3"/>
  <c r="C2320" i="3"/>
  <c r="D2320" i="3"/>
  <c r="E2320" i="3"/>
  <c r="A2321" i="3"/>
  <c r="B2321" i="3"/>
  <c r="C2321" i="3"/>
  <c r="D2321" i="3"/>
  <c r="E2321" i="3"/>
  <c r="A2322" i="3"/>
  <c r="B2322" i="3"/>
  <c r="C2322" i="3"/>
  <c r="D2322" i="3"/>
  <c r="E2322" i="3"/>
  <c r="A2323" i="3"/>
  <c r="B2323" i="3"/>
  <c r="C2323" i="3"/>
  <c r="F2323" i="3" s="1"/>
  <c r="D2323" i="3"/>
  <c r="E2323" i="3"/>
  <c r="A2324" i="3"/>
  <c r="B2324" i="3"/>
  <c r="C2324" i="3"/>
  <c r="F2324" i="3" s="1"/>
  <c r="D2324" i="3"/>
  <c r="E2324" i="3"/>
  <c r="A2325" i="3"/>
  <c r="B2325" i="3"/>
  <c r="C2325" i="3"/>
  <c r="D2325" i="3"/>
  <c r="E2325" i="3"/>
  <c r="G2325" i="3" s="1"/>
  <c r="A2326" i="3"/>
  <c r="B2326" i="3"/>
  <c r="C2326" i="3"/>
  <c r="D2326" i="3"/>
  <c r="E2326" i="3"/>
  <c r="G2326" i="3" s="1"/>
  <c r="A2327" i="3"/>
  <c r="B2327" i="3"/>
  <c r="C2327" i="3"/>
  <c r="D2327" i="3"/>
  <c r="E2327" i="3"/>
  <c r="A2328" i="3"/>
  <c r="B2328" i="3"/>
  <c r="C2328" i="3"/>
  <c r="D2328" i="3"/>
  <c r="E2328" i="3"/>
  <c r="A2329" i="3"/>
  <c r="B2329" i="3"/>
  <c r="C2329" i="3"/>
  <c r="D2329" i="3"/>
  <c r="E2329" i="3"/>
  <c r="A2330" i="3"/>
  <c r="B2330" i="3"/>
  <c r="C2330" i="3"/>
  <c r="D2330" i="3"/>
  <c r="E2330" i="3"/>
  <c r="A2331" i="3"/>
  <c r="B2331" i="3"/>
  <c r="C2331" i="3"/>
  <c r="D2331" i="3"/>
  <c r="E2331" i="3"/>
  <c r="A2332" i="3"/>
  <c r="B2332" i="3"/>
  <c r="C2332" i="3"/>
  <c r="D2332" i="3"/>
  <c r="E2332" i="3"/>
  <c r="A2333" i="3"/>
  <c r="B2333" i="3"/>
  <c r="C2333" i="3"/>
  <c r="D2333" i="3"/>
  <c r="E2333" i="3"/>
  <c r="A2334" i="3"/>
  <c r="B2334" i="3"/>
  <c r="C2334" i="3"/>
  <c r="D2334" i="3"/>
  <c r="E2334" i="3"/>
  <c r="A2335" i="3"/>
  <c r="B2335" i="3"/>
  <c r="C2335" i="3"/>
  <c r="F2335" i="3" s="1"/>
  <c r="D2335" i="3"/>
  <c r="E2335" i="3"/>
  <c r="A2336" i="3"/>
  <c r="B2336" i="3"/>
  <c r="C2336" i="3"/>
  <c r="F2336" i="3" s="1"/>
  <c r="D2336" i="3"/>
  <c r="E2336" i="3"/>
  <c r="A2337" i="3"/>
  <c r="B2337" i="3"/>
  <c r="C2337" i="3"/>
  <c r="D2337" i="3"/>
  <c r="E2337" i="3"/>
  <c r="G2337" i="3" s="1"/>
  <c r="A2338" i="3"/>
  <c r="B2338" i="3"/>
  <c r="C2338" i="3"/>
  <c r="D2338" i="3"/>
  <c r="E2338" i="3"/>
  <c r="G2338" i="3" s="1"/>
  <c r="A2339" i="3"/>
  <c r="B2339" i="3"/>
  <c r="C2339" i="3"/>
  <c r="D2339" i="3"/>
  <c r="E2339" i="3"/>
  <c r="A2340" i="3"/>
  <c r="B2340" i="3"/>
  <c r="C2340" i="3"/>
  <c r="D2340" i="3"/>
  <c r="E2340" i="3"/>
  <c r="A2341" i="3"/>
  <c r="B2341" i="3"/>
  <c r="C2341" i="3"/>
  <c r="D2341" i="3"/>
  <c r="E2341" i="3"/>
  <c r="A2342" i="3"/>
  <c r="B2342" i="3"/>
  <c r="C2342" i="3"/>
  <c r="D2342" i="3"/>
  <c r="E2342" i="3"/>
  <c r="A2343" i="3"/>
  <c r="B2343" i="3"/>
  <c r="C2343" i="3"/>
  <c r="D2343" i="3"/>
  <c r="E2343" i="3"/>
  <c r="A2344" i="3"/>
  <c r="B2344" i="3"/>
  <c r="C2344" i="3"/>
  <c r="D2344" i="3"/>
  <c r="E2344" i="3"/>
  <c r="A2345" i="3"/>
  <c r="B2345" i="3"/>
  <c r="C2345" i="3"/>
  <c r="D2345" i="3"/>
  <c r="E2345" i="3"/>
  <c r="A2346" i="3"/>
  <c r="B2346" i="3"/>
  <c r="C2346" i="3"/>
  <c r="D2346" i="3"/>
  <c r="E2346" i="3"/>
  <c r="A2347" i="3"/>
  <c r="B2347" i="3"/>
  <c r="C2347" i="3"/>
  <c r="F2347" i="3" s="1"/>
  <c r="D2347" i="3"/>
  <c r="E2347" i="3"/>
  <c r="A2348" i="3"/>
  <c r="B2348" i="3"/>
  <c r="C2348" i="3"/>
  <c r="F2348" i="3" s="1"/>
  <c r="D2348" i="3"/>
  <c r="E2348" i="3"/>
  <c r="A2349" i="3"/>
  <c r="B2349" i="3"/>
  <c r="C2349" i="3"/>
  <c r="D2349" i="3"/>
  <c r="E2349" i="3"/>
  <c r="G2349" i="3" s="1"/>
  <c r="A2350" i="3"/>
  <c r="B2350" i="3"/>
  <c r="C2350" i="3"/>
  <c r="D2350" i="3"/>
  <c r="E2350" i="3"/>
  <c r="G2350" i="3" s="1"/>
  <c r="A2351" i="3"/>
  <c r="B2351" i="3"/>
  <c r="C2351" i="3"/>
  <c r="D2351" i="3"/>
  <c r="E2351" i="3"/>
  <c r="A2352" i="3"/>
  <c r="B2352" i="3"/>
  <c r="C2352" i="3"/>
  <c r="D2352" i="3"/>
  <c r="E2352" i="3"/>
  <c r="A2353" i="3"/>
  <c r="B2353" i="3"/>
  <c r="C2353" i="3"/>
  <c r="D2353" i="3"/>
  <c r="E2353" i="3"/>
  <c r="A2354" i="3"/>
  <c r="B2354" i="3"/>
  <c r="C2354" i="3"/>
  <c r="D2354" i="3"/>
  <c r="E2354" i="3"/>
  <c r="A2355" i="3"/>
  <c r="B2355" i="3"/>
  <c r="C2355" i="3"/>
  <c r="D2355" i="3"/>
  <c r="E2355" i="3"/>
  <c r="A2356" i="3"/>
  <c r="B2356" i="3"/>
  <c r="C2356" i="3"/>
  <c r="D2356" i="3"/>
  <c r="E2356" i="3"/>
  <c r="A2357" i="3"/>
  <c r="B2357" i="3"/>
  <c r="C2357" i="3"/>
  <c r="D2357" i="3"/>
  <c r="E2357" i="3"/>
  <c r="A2358" i="3"/>
  <c r="B2358" i="3"/>
  <c r="C2358" i="3"/>
  <c r="D2358" i="3"/>
  <c r="E2358" i="3"/>
  <c r="A2359" i="3"/>
  <c r="B2359" i="3"/>
  <c r="C2359" i="3"/>
  <c r="F2359" i="3" s="1"/>
  <c r="D2359" i="3"/>
  <c r="E2359" i="3"/>
  <c r="A2360" i="3"/>
  <c r="B2360" i="3"/>
  <c r="C2360" i="3"/>
  <c r="F2360" i="3" s="1"/>
  <c r="D2360" i="3"/>
  <c r="E2360" i="3"/>
  <c r="A2361" i="3"/>
  <c r="B2361" i="3"/>
  <c r="C2361" i="3"/>
  <c r="D2361" i="3"/>
  <c r="E2361" i="3"/>
  <c r="G2361" i="3" s="1"/>
  <c r="A2362" i="3"/>
  <c r="B2362" i="3"/>
  <c r="C2362" i="3"/>
  <c r="D2362" i="3"/>
  <c r="E2362" i="3"/>
  <c r="G2362" i="3" s="1"/>
  <c r="A2363" i="3"/>
  <c r="B2363" i="3"/>
  <c r="C2363" i="3"/>
  <c r="D2363" i="3"/>
  <c r="E2363" i="3"/>
  <c r="A2364" i="3"/>
  <c r="B2364" i="3"/>
  <c r="C2364" i="3"/>
  <c r="D2364" i="3"/>
  <c r="E2364" i="3"/>
  <c r="A2365" i="3"/>
  <c r="B2365" i="3"/>
  <c r="C2365" i="3"/>
  <c r="D2365" i="3"/>
  <c r="E2365" i="3"/>
  <c r="A2366" i="3"/>
  <c r="B2366" i="3"/>
  <c r="C2366" i="3"/>
  <c r="D2366" i="3"/>
  <c r="E2366" i="3"/>
  <c r="A2367" i="3"/>
  <c r="B2367" i="3"/>
  <c r="C2367" i="3"/>
  <c r="D2367" i="3"/>
  <c r="E2367" i="3"/>
  <c r="A2368" i="3"/>
  <c r="B2368" i="3"/>
  <c r="C2368" i="3"/>
  <c r="D2368" i="3"/>
  <c r="E2368" i="3"/>
  <c r="A2369" i="3"/>
  <c r="B2369" i="3"/>
  <c r="C2369" i="3"/>
  <c r="D2369" i="3"/>
  <c r="E2369" i="3"/>
  <c r="A2370" i="3"/>
  <c r="B2370" i="3"/>
  <c r="C2370" i="3"/>
  <c r="D2370" i="3"/>
  <c r="E2370" i="3"/>
  <c r="A2371" i="3"/>
  <c r="B2371" i="3"/>
  <c r="C2371" i="3"/>
  <c r="F2371" i="3" s="1"/>
  <c r="D2371" i="3"/>
  <c r="E2371" i="3"/>
  <c r="A2372" i="3"/>
  <c r="B2372" i="3"/>
  <c r="C2372" i="3"/>
  <c r="F2372" i="3" s="1"/>
  <c r="D2372" i="3"/>
  <c r="E2372" i="3"/>
  <c r="A2373" i="3"/>
  <c r="B2373" i="3"/>
  <c r="C2373" i="3"/>
  <c r="D2373" i="3"/>
  <c r="E2373" i="3"/>
  <c r="G2373" i="3" s="1"/>
  <c r="A2374" i="3"/>
  <c r="B2374" i="3"/>
  <c r="C2374" i="3"/>
  <c r="D2374" i="3"/>
  <c r="E2374" i="3"/>
  <c r="G2374" i="3" s="1"/>
  <c r="A2375" i="3"/>
  <c r="B2375" i="3"/>
  <c r="C2375" i="3"/>
  <c r="D2375" i="3"/>
  <c r="E2375" i="3"/>
  <c r="A2376" i="3"/>
  <c r="B2376" i="3"/>
  <c r="C2376" i="3"/>
  <c r="D2376" i="3"/>
  <c r="E2376" i="3"/>
  <c r="A2377" i="3"/>
  <c r="B2377" i="3"/>
  <c r="C2377" i="3"/>
  <c r="D2377" i="3"/>
  <c r="E2377" i="3"/>
  <c r="A2378" i="3"/>
  <c r="B2378" i="3"/>
  <c r="C2378" i="3"/>
  <c r="D2378" i="3"/>
  <c r="E2378" i="3"/>
  <c r="A2379" i="3"/>
  <c r="B2379" i="3"/>
  <c r="C2379" i="3"/>
  <c r="D2379" i="3"/>
  <c r="E2379" i="3"/>
  <c r="A2380" i="3"/>
  <c r="B2380" i="3"/>
  <c r="C2380" i="3"/>
  <c r="D2380" i="3"/>
  <c r="E2380" i="3"/>
  <c r="A2381" i="3"/>
  <c r="B2381" i="3"/>
  <c r="C2381" i="3"/>
  <c r="D2381" i="3"/>
  <c r="E2381" i="3"/>
  <c r="A2382" i="3"/>
  <c r="B2382" i="3"/>
  <c r="C2382" i="3"/>
  <c r="D2382" i="3"/>
  <c r="E2382" i="3"/>
  <c r="A2383" i="3"/>
  <c r="B2383" i="3"/>
  <c r="C2383" i="3"/>
  <c r="F2383" i="3" s="1"/>
  <c r="D2383" i="3"/>
  <c r="E2383" i="3"/>
  <c r="A2384" i="3"/>
  <c r="B2384" i="3"/>
  <c r="C2384" i="3"/>
  <c r="F2384" i="3" s="1"/>
  <c r="D2384" i="3"/>
  <c r="E2384" i="3"/>
  <c r="A2385" i="3"/>
  <c r="B2385" i="3"/>
  <c r="C2385" i="3"/>
  <c r="D2385" i="3"/>
  <c r="E2385" i="3"/>
  <c r="G2385" i="3" s="1"/>
  <c r="A2386" i="3"/>
  <c r="B2386" i="3"/>
  <c r="C2386" i="3"/>
  <c r="D2386" i="3"/>
  <c r="E2386" i="3"/>
  <c r="G2386" i="3" s="1"/>
  <c r="A2387" i="3"/>
  <c r="B2387" i="3"/>
  <c r="C2387" i="3"/>
  <c r="D2387" i="3"/>
  <c r="E2387" i="3"/>
  <c r="A2388" i="3"/>
  <c r="B2388" i="3"/>
  <c r="C2388" i="3"/>
  <c r="D2388" i="3"/>
  <c r="E2388" i="3"/>
  <c r="A2389" i="3"/>
  <c r="B2389" i="3"/>
  <c r="C2389" i="3"/>
  <c r="D2389" i="3"/>
  <c r="E2389" i="3"/>
  <c r="A2390" i="3"/>
  <c r="B2390" i="3"/>
  <c r="C2390" i="3"/>
  <c r="D2390" i="3"/>
  <c r="E2390" i="3"/>
  <c r="A2391" i="3"/>
  <c r="B2391" i="3"/>
  <c r="C2391" i="3"/>
  <c r="D2391" i="3"/>
  <c r="E2391" i="3"/>
  <c r="A2392" i="3"/>
  <c r="B2392" i="3"/>
  <c r="C2392" i="3"/>
  <c r="D2392" i="3"/>
  <c r="E2392" i="3"/>
  <c r="A2393" i="3"/>
  <c r="B2393" i="3"/>
  <c r="C2393" i="3"/>
  <c r="D2393" i="3"/>
  <c r="E2393" i="3"/>
  <c r="A2394" i="3"/>
  <c r="B2394" i="3"/>
  <c r="C2394" i="3"/>
  <c r="D2394" i="3"/>
  <c r="E2394" i="3"/>
  <c r="A2395" i="3"/>
  <c r="B2395" i="3"/>
  <c r="C2395" i="3"/>
  <c r="F2395" i="3" s="1"/>
  <c r="D2395" i="3"/>
  <c r="E2395" i="3"/>
  <c r="A2396" i="3"/>
  <c r="B2396" i="3"/>
  <c r="C2396" i="3"/>
  <c r="F2396" i="3" s="1"/>
  <c r="D2396" i="3"/>
  <c r="E2396" i="3"/>
  <c r="A2397" i="3"/>
  <c r="B2397" i="3"/>
  <c r="C2397" i="3"/>
  <c r="D2397" i="3"/>
  <c r="E2397" i="3"/>
  <c r="G2397" i="3" s="1"/>
  <c r="A2398" i="3"/>
  <c r="B2398" i="3"/>
  <c r="C2398" i="3"/>
  <c r="D2398" i="3"/>
  <c r="E2398" i="3"/>
  <c r="G2398" i="3" s="1"/>
  <c r="A2399" i="3"/>
  <c r="B2399" i="3"/>
  <c r="C2399" i="3"/>
  <c r="D2399" i="3"/>
  <c r="E2399" i="3"/>
  <c r="A2400" i="3"/>
  <c r="B2400" i="3"/>
  <c r="C2400" i="3"/>
  <c r="D2400" i="3"/>
  <c r="E2400" i="3"/>
  <c r="A2401" i="3"/>
  <c r="B2401" i="3"/>
  <c r="C2401" i="3"/>
  <c r="D2401" i="3"/>
  <c r="E2401" i="3"/>
  <c r="A2402" i="3"/>
  <c r="B2402" i="3"/>
  <c r="C2402" i="3"/>
  <c r="D2402" i="3"/>
  <c r="E2402" i="3"/>
  <c r="A2403" i="3"/>
  <c r="B2403" i="3"/>
  <c r="C2403" i="3"/>
  <c r="D2403" i="3"/>
  <c r="E2403" i="3"/>
  <c r="A2404" i="3"/>
  <c r="B2404" i="3"/>
  <c r="C2404" i="3"/>
  <c r="D2404" i="3"/>
  <c r="E2404" i="3"/>
  <c r="A2405" i="3"/>
  <c r="B2405" i="3"/>
  <c r="C2405" i="3"/>
  <c r="D2405" i="3"/>
  <c r="E2405" i="3"/>
  <c r="A2406" i="3"/>
  <c r="B2406" i="3"/>
  <c r="C2406" i="3"/>
  <c r="D2406" i="3"/>
  <c r="E2406" i="3"/>
  <c r="A2407" i="3"/>
  <c r="B2407" i="3"/>
  <c r="C2407" i="3"/>
  <c r="F2407" i="3" s="1"/>
  <c r="D2407" i="3"/>
  <c r="E2407" i="3"/>
  <c r="A2408" i="3"/>
  <c r="B2408" i="3"/>
  <c r="C2408" i="3"/>
  <c r="F2408" i="3" s="1"/>
  <c r="D2408" i="3"/>
  <c r="E2408" i="3"/>
  <c r="A2409" i="3"/>
  <c r="B2409" i="3"/>
  <c r="C2409" i="3"/>
  <c r="D2409" i="3"/>
  <c r="E2409" i="3"/>
  <c r="G2409" i="3" s="1"/>
  <c r="A2410" i="3"/>
  <c r="B2410" i="3"/>
  <c r="C2410" i="3"/>
  <c r="D2410" i="3"/>
  <c r="E2410" i="3"/>
  <c r="G2410" i="3" s="1"/>
  <c r="A2411" i="3"/>
  <c r="B2411" i="3"/>
  <c r="C2411" i="3"/>
  <c r="D2411" i="3"/>
  <c r="E2411" i="3"/>
  <c r="A2412" i="3"/>
  <c r="B2412" i="3"/>
  <c r="C2412" i="3"/>
  <c r="D2412" i="3"/>
  <c r="E2412" i="3"/>
  <c r="A2413" i="3"/>
  <c r="B2413" i="3"/>
  <c r="C2413" i="3"/>
  <c r="D2413" i="3"/>
  <c r="E2413" i="3"/>
  <c r="A2414" i="3"/>
  <c r="B2414" i="3"/>
  <c r="C2414" i="3"/>
  <c r="D2414" i="3"/>
  <c r="E2414" i="3"/>
  <c r="A2415" i="3"/>
  <c r="B2415" i="3"/>
  <c r="C2415" i="3"/>
  <c r="D2415" i="3"/>
  <c r="E2415" i="3"/>
  <c r="A2416" i="3"/>
  <c r="B2416" i="3"/>
  <c r="C2416" i="3"/>
  <c r="D2416" i="3"/>
  <c r="E2416" i="3"/>
  <c r="A2417" i="3"/>
  <c r="B2417" i="3"/>
  <c r="C2417" i="3"/>
  <c r="D2417" i="3"/>
  <c r="E2417" i="3"/>
  <c r="A2418" i="3"/>
  <c r="B2418" i="3"/>
  <c r="C2418" i="3"/>
  <c r="D2418" i="3"/>
  <c r="E2418" i="3"/>
  <c r="A2419" i="3"/>
  <c r="B2419" i="3"/>
  <c r="C2419" i="3"/>
  <c r="F2419" i="3" s="1"/>
  <c r="D2419" i="3"/>
  <c r="E2419" i="3"/>
  <c r="A2420" i="3"/>
  <c r="B2420" i="3"/>
  <c r="C2420" i="3"/>
  <c r="F2420" i="3" s="1"/>
  <c r="D2420" i="3"/>
  <c r="E2420" i="3"/>
  <c r="A2421" i="3"/>
  <c r="B2421" i="3"/>
  <c r="C2421" i="3"/>
  <c r="D2421" i="3"/>
  <c r="E2421" i="3"/>
  <c r="G2421" i="3" s="1"/>
  <c r="A2422" i="3"/>
  <c r="B2422" i="3"/>
  <c r="C2422" i="3"/>
  <c r="D2422" i="3"/>
  <c r="E2422" i="3"/>
  <c r="G2422" i="3" s="1"/>
  <c r="A2423" i="3"/>
  <c r="B2423" i="3"/>
  <c r="C2423" i="3"/>
  <c r="D2423" i="3"/>
  <c r="E2423" i="3"/>
  <c r="A2424" i="3"/>
  <c r="B2424" i="3"/>
  <c r="C2424" i="3"/>
  <c r="D2424" i="3"/>
  <c r="E2424" i="3"/>
  <c r="A2425" i="3"/>
  <c r="B2425" i="3"/>
  <c r="C2425" i="3"/>
  <c r="D2425" i="3"/>
  <c r="E2425" i="3"/>
  <c r="A2426" i="3"/>
  <c r="B2426" i="3"/>
  <c r="C2426" i="3"/>
  <c r="D2426" i="3"/>
  <c r="E2426" i="3"/>
  <c r="A2427" i="3"/>
  <c r="B2427" i="3"/>
  <c r="C2427" i="3"/>
  <c r="D2427" i="3"/>
  <c r="E2427" i="3"/>
  <c r="A2428" i="3"/>
  <c r="B2428" i="3"/>
  <c r="C2428" i="3"/>
  <c r="D2428" i="3"/>
  <c r="E2428" i="3"/>
  <c r="A2429" i="3"/>
  <c r="B2429" i="3"/>
  <c r="C2429" i="3"/>
  <c r="D2429" i="3"/>
  <c r="E2429" i="3"/>
  <c r="A2430" i="3"/>
  <c r="B2430" i="3"/>
  <c r="C2430" i="3"/>
  <c r="D2430" i="3"/>
  <c r="E2430" i="3"/>
  <c r="A2431" i="3"/>
  <c r="B2431" i="3"/>
  <c r="C2431" i="3"/>
  <c r="F2431" i="3" s="1"/>
  <c r="D2431" i="3"/>
  <c r="E2431" i="3"/>
  <c r="A2432" i="3"/>
  <c r="B2432" i="3"/>
  <c r="C2432" i="3"/>
  <c r="F2432" i="3" s="1"/>
  <c r="D2432" i="3"/>
  <c r="E2432" i="3"/>
  <c r="A2433" i="3"/>
  <c r="B2433" i="3"/>
  <c r="C2433" i="3"/>
  <c r="D2433" i="3"/>
  <c r="E2433" i="3"/>
  <c r="G2433" i="3" s="1"/>
  <c r="A2434" i="3"/>
  <c r="B2434" i="3"/>
  <c r="C2434" i="3"/>
  <c r="D2434" i="3"/>
  <c r="E2434" i="3"/>
  <c r="G2434" i="3" s="1"/>
  <c r="A2435" i="3"/>
  <c r="B2435" i="3"/>
  <c r="C2435" i="3"/>
  <c r="D2435" i="3"/>
  <c r="E2435" i="3"/>
  <c r="A2436" i="3"/>
  <c r="B2436" i="3"/>
  <c r="C2436" i="3"/>
  <c r="D2436" i="3"/>
  <c r="E2436" i="3"/>
  <c r="A2437" i="3"/>
  <c r="B2437" i="3"/>
  <c r="C2437" i="3"/>
  <c r="D2437" i="3"/>
  <c r="E2437" i="3"/>
  <c r="A2438" i="3"/>
  <c r="B2438" i="3"/>
  <c r="C2438" i="3"/>
  <c r="D2438" i="3"/>
  <c r="E2438" i="3"/>
  <c r="A2439" i="3"/>
  <c r="B2439" i="3"/>
  <c r="C2439" i="3"/>
  <c r="D2439" i="3"/>
  <c r="E2439" i="3"/>
  <c r="A2440" i="3"/>
  <c r="B2440" i="3"/>
  <c r="C2440" i="3"/>
  <c r="D2440" i="3"/>
  <c r="E2440" i="3"/>
  <c r="A2441" i="3"/>
  <c r="B2441" i="3"/>
  <c r="C2441" i="3"/>
  <c r="D2441" i="3"/>
  <c r="E2441" i="3"/>
  <c r="A2442" i="3"/>
  <c r="B2442" i="3"/>
  <c r="C2442" i="3"/>
  <c r="D2442" i="3"/>
  <c r="E2442" i="3"/>
  <c r="A2443" i="3"/>
  <c r="B2443" i="3"/>
  <c r="C2443" i="3"/>
  <c r="D2443" i="3"/>
  <c r="E2443" i="3"/>
  <c r="A2444" i="3"/>
  <c r="B2444" i="3"/>
  <c r="C2444" i="3"/>
  <c r="F2444" i="3" s="1"/>
  <c r="D2444" i="3"/>
  <c r="E2444" i="3"/>
  <c r="A2445" i="3"/>
  <c r="B2445" i="3"/>
  <c r="C2445" i="3"/>
  <c r="D2445" i="3"/>
  <c r="E2445" i="3"/>
  <c r="G2445" i="3" s="1"/>
  <c r="A2446" i="3"/>
  <c r="B2446" i="3"/>
  <c r="C2446" i="3"/>
  <c r="D2446" i="3"/>
  <c r="E2446" i="3"/>
  <c r="G2446" i="3" s="1"/>
  <c r="A2447" i="3"/>
  <c r="B2447" i="3"/>
  <c r="C2447" i="3"/>
  <c r="D2447" i="3"/>
  <c r="E2447" i="3"/>
  <c r="A2448" i="3"/>
  <c r="B2448" i="3"/>
  <c r="C2448" i="3"/>
  <c r="D2448" i="3"/>
  <c r="E2448" i="3"/>
  <c r="A2449" i="3"/>
  <c r="B2449" i="3"/>
  <c r="C2449" i="3"/>
  <c r="D2449" i="3"/>
  <c r="E2449" i="3"/>
  <c r="A2450" i="3"/>
  <c r="B2450" i="3"/>
  <c r="C2450" i="3"/>
  <c r="D2450" i="3"/>
  <c r="E2450" i="3"/>
  <c r="A2451" i="3"/>
  <c r="B2451" i="3"/>
  <c r="C2451" i="3"/>
  <c r="D2451" i="3"/>
  <c r="E2451" i="3"/>
  <c r="A2452" i="3"/>
  <c r="B2452" i="3"/>
  <c r="C2452" i="3"/>
  <c r="D2452" i="3"/>
  <c r="E2452" i="3"/>
  <c r="A2453" i="3"/>
  <c r="B2453" i="3"/>
  <c r="C2453" i="3"/>
  <c r="D2453" i="3"/>
  <c r="E2453" i="3"/>
  <c r="A2454" i="3"/>
  <c r="B2454" i="3"/>
  <c r="C2454" i="3"/>
  <c r="D2454" i="3"/>
  <c r="E2454" i="3"/>
  <c r="A2455" i="3"/>
  <c r="B2455" i="3"/>
  <c r="C2455" i="3"/>
  <c r="F2455" i="3" s="1"/>
  <c r="D2455" i="3"/>
  <c r="E2455" i="3"/>
  <c r="A2456" i="3"/>
  <c r="B2456" i="3"/>
  <c r="C2456" i="3"/>
  <c r="F2456" i="3" s="1"/>
  <c r="D2456" i="3"/>
  <c r="E2456" i="3"/>
  <c r="A2457" i="3"/>
  <c r="B2457" i="3"/>
  <c r="C2457" i="3"/>
  <c r="D2457" i="3"/>
  <c r="E2457" i="3"/>
  <c r="G2457" i="3" s="1"/>
  <c r="A2458" i="3"/>
  <c r="B2458" i="3"/>
  <c r="C2458" i="3"/>
  <c r="D2458" i="3"/>
  <c r="E2458" i="3"/>
  <c r="G2458" i="3" s="1"/>
  <c r="A2459" i="3"/>
  <c r="B2459" i="3"/>
  <c r="C2459" i="3"/>
  <c r="D2459" i="3"/>
  <c r="E2459" i="3"/>
  <c r="A2460" i="3"/>
  <c r="B2460" i="3"/>
  <c r="C2460" i="3"/>
  <c r="D2460" i="3"/>
  <c r="E2460" i="3"/>
  <c r="A2461" i="3"/>
  <c r="B2461" i="3"/>
  <c r="C2461" i="3"/>
  <c r="D2461" i="3"/>
  <c r="E2461" i="3"/>
  <c r="A2462" i="3"/>
  <c r="B2462" i="3"/>
  <c r="C2462" i="3"/>
  <c r="D2462" i="3"/>
  <c r="E2462" i="3"/>
  <c r="A2463" i="3"/>
  <c r="B2463" i="3"/>
  <c r="C2463" i="3"/>
  <c r="D2463" i="3"/>
  <c r="E2463" i="3"/>
  <c r="A2464" i="3"/>
  <c r="B2464" i="3"/>
  <c r="C2464" i="3"/>
  <c r="D2464" i="3"/>
  <c r="E2464" i="3"/>
  <c r="A2465" i="3"/>
  <c r="B2465" i="3"/>
  <c r="C2465" i="3"/>
  <c r="D2465" i="3"/>
  <c r="E2465" i="3"/>
  <c r="A2466" i="3"/>
  <c r="B2466" i="3"/>
  <c r="C2466" i="3"/>
  <c r="D2466" i="3"/>
  <c r="E2466" i="3"/>
  <c r="A2467" i="3"/>
  <c r="B2467" i="3"/>
  <c r="C2467" i="3"/>
  <c r="F2467" i="3" s="1"/>
  <c r="D2467" i="3"/>
  <c r="E2467" i="3"/>
  <c r="A2468" i="3"/>
  <c r="B2468" i="3"/>
  <c r="C2468" i="3"/>
  <c r="F2468" i="3" s="1"/>
  <c r="D2468" i="3"/>
  <c r="E2468" i="3"/>
  <c r="A2469" i="3"/>
  <c r="B2469" i="3"/>
  <c r="C2469" i="3"/>
  <c r="D2469" i="3"/>
  <c r="E2469" i="3"/>
  <c r="G2469" i="3" s="1"/>
  <c r="A2470" i="3"/>
  <c r="B2470" i="3"/>
  <c r="C2470" i="3"/>
  <c r="D2470" i="3"/>
  <c r="E2470" i="3"/>
  <c r="G2470" i="3" s="1"/>
  <c r="A2471" i="3"/>
  <c r="B2471" i="3"/>
  <c r="C2471" i="3"/>
  <c r="D2471" i="3"/>
  <c r="E2471" i="3"/>
  <c r="A2472" i="3"/>
  <c r="B2472" i="3"/>
  <c r="C2472" i="3"/>
  <c r="D2472" i="3"/>
  <c r="E2472" i="3"/>
  <c r="A2473" i="3"/>
  <c r="B2473" i="3"/>
  <c r="C2473" i="3"/>
  <c r="D2473" i="3"/>
  <c r="E2473" i="3"/>
  <c r="A2474" i="3"/>
  <c r="B2474" i="3"/>
  <c r="C2474" i="3"/>
  <c r="D2474" i="3"/>
  <c r="E2474" i="3"/>
  <c r="A2475" i="3"/>
  <c r="B2475" i="3"/>
  <c r="C2475" i="3"/>
  <c r="D2475" i="3"/>
  <c r="E2475" i="3"/>
  <c r="A2476" i="3"/>
  <c r="B2476" i="3"/>
  <c r="C2476" i="3"/>
  <c r="D2476" i="3"/>
  <c r="E2476" i="3"/>
  <c r="A2477" i="3"/>
  <c r="B2477" i="3"/>
  <c r="C2477" i="3"/>
  <c r="D2477" i="3"/>
  <c r="E2477" i="3"/>
  <c r="A2478" i="3"/>
  <c r="B2478" i="3"/>
  <c r="C2478" i="3"/>
  <c r="D2478" i="3"/>
  <c r="E2478" i="3"/>
  <c r="A2479" i="3"/>
  <c r="B2479" i="3"/>
  <c r="C2479" i="3"/>
  <c r="F2479" i="3" s="1"/>
  <c r="D2479" i="3"/>
  <c r="E2479" i="3"/>
  <c r="A2480" i="3"/>
  <c r="B2480" i="3"/>
  <c r="C2480" i="3"/>
  <c r="F2480" i="3" s="1"/>
  <c r="D2480" i="3"/>
  <c r="E2480" i="3"/>
  <c r="A2481" i="3"/>
  <c r="B2481" i="3"/>
  <c r="C2481" i="3"/>
  <c r="D2481" i="3"/>
  <c r="E2481" i="3"/>
  <c r="G2481" i="3" s="1"/>
  <c r="A2482" i="3"/>
  <c r="B2482" i="3"/>
  <c r="C2482" i="3"/>
  <c r="D2482" i="3"/>
  <c r="E2482" i="3"/>
  <c r="G2482" i="3" s="1"/>
  <c r="A2483" i="3"/>
  <c r="B2483" i="3"/>
  <c r="C2483" i="3"/>
  <c r="D2483" i="3"/>
  <c r="E2483" i="3"/>
  <c r="A2484" i="3"/>
  <c r="B2484" i="3"/>
  <c r="C2484" i="3"/>
  <c r="D2484" i="3"/>
  <c r="E2484" i="3"/>
  <c r="A2485" i="3"/>
  <c r="B2485" i="3"/>
  <c r="C2485" i="3"/>
  <c r="D2485" i="3"/>
  <c r="E2485" i="3"/>
  <c r="A2486" i="3"/>
  <c r="B2486" i="3"/>
  <c r="C2486" i="3"/>
  <c r="D2486" i="3"/>
  <c r="E2486" i="3"/>
  <c r="A2487" i="3"/>
  <c r="B2487" i="3"/>
  <c r="C2487" i="3"/>
  <c r="D2487" i="3"/>
  <c r="E2487" i="3"/>
  <c r="A2488" i="3"/>
  <c r="B2488" i="3"/>
  <c r="C2488" i="3"/>
  <c r="D2488" i="3"/>
  <c r="E2488" i="3"/>
  <c r="A2489" i="3"/>
  <c r="B2489" i="3"/>
  <c r="C2489" i="3"/>
  <c r="D2489" i="3"/>
  <c r="E2489" i="3"/>
  <c r="A2490" i="3"/>
  <c r="B2490" i="3"/>
  <c r="C2490" i="3"/>
  <c r="D2490" i="3"/>
  <c r="E2490" i="3"/>
  <c r="A2491" i="3"/>
  <c r="B2491" i="3"/>
  <c r="C2491" i="3"/>
  <c r="F2491" i="3" s="1"/>
  <c r="D2491" i="3"/>
  <c r="E2491" i="3"/>
  <c r="A2492" i="3"/>
  <c r="B2492" i="3"/>
  <c r="C2492" i="3"/>
  <c r="F2492" i="3" s="1"/>
  <c r="D2492" i="3"/>
  <c r="E2492" i="3"/>
  <c r="A2493" i="3"/>
  <c r="B2493" i="3"/>
  <c r="C2493" i="3"/>
  <c r="D2493" i="3"/>
  <c r="E2493" i="3"/>
  <c r="G2493" i="3" s="1"/>
  <c r="A2494" i="3"/>
  <c r="B2494" i="3"/>
  <c r="C2494" i="3"/>
  <c r="D2494" i="3"/>
  <c r="E2494" i="3"/>
  <c r="G2494" i="3" s="1"/>
  <c r="A2495" i="3"/>
  <c r="B2495" i="3"/>
  <c r="C2495" i="3"/>
  <c r="D2495" i="3"/>
  <c r="E2495" i="3"/>
  <c r="A2496" i="3"/>
  <c r="B2496" i="3"/>
  <c r="C2496" i="3"/>
  <c r="D2496" i="3"/>
  <c r="E2496" i="3"/>
  <c r="A2497" i="3"/>
  <c r="B2497" i="3"/>
  <c r="C2497" i="3"/>
  <c r="D2497" i="3"/>
  <c r="E2497" i="3"/>
  <c r="A2498" i="3"/>
  <c r="B2498" i="3"/>
  <c r="C2498" i="3"/>
  <c r="D2498" i="3"/>
  <c r="E2498" i="3"/>
  <c r="A2499" i="3"/>
  <c r="B2499" i="3"/>
  <c r="C2499" i="3"/>
  <c r="D2499" i="3"/>
  <c r="E2499" i="3"/>
  <c r="A2500" i="3"/>
  <c r="B2500" i="3"/>
  <c r="C2500" i="3"/>
  <c r="D2500" i="3"/>
  <c r="E2500" i="3"/>
  <c r="A2501" i="3"/>
  <c r="B2501" i="3"/>
  <c r="C2501" i="3"/>
  <c r="D2501" i="3"/>
  <c r="E2501" i="3"/>
  <c r="A2502" i="3"/>
  <c r="B2502" i="3"/>
  <c r="C2502" i="3"/>
  <c r="D2502" i="3"/>
  <c r="E2502" i="3"/>
  <c r="A2503" i="3"/>
  <c r="B2503" i="3"/>
  <c r="C2503" i="3"/>
  <c r="F2503" i="3" s="1"/>
  <c r="D2503" i="3"/>
  <c r="E2503" i="3"/>
  <c r="A2504" i="3"/>
  <c r="B2504" i="3"/>
  <c r="C2504" i="3"/>
  <c r="F2504" i="3" s="1"/>
  <c r="D2504" i="3"/>
  <c r="E2504" i="3"/>
  <c r="A2505" i="3"/>
  <c r="B2505" i="3"/>
  <c r="C2505" i="3"/>
  <c r="D2505" i="3"/>
  <c r="E2505" i="3"/>
  <c r="G2505" i="3" s="1"/>
  <c r="A2506" i="3"/>
  <c r="B2506" i="3"/>
  <c r="C2506" i="3"/>
  <c r="D2506" i="3"/>
  <c r="E2506" i="3"/>
  <c r="G2506" i="3" s="1"/>
  <c r="A2507" i="3"/>
  <c r="B2507" i="3"/>
  <c r="C2507" i="3"/>
  <c r="D2507" i="3"/>
  <c r="E2507" i="3"/>
  <c r="A2508" i="3"/>
  <c r="B2508" i="3"/>
  <c r="C2508" i="3"/>
  <c r="D2508" i="3"/>
  <c r="E2508" i="3"/>
  <c r="A2509" i="3"/>
  <c r="B2509" i="3"/>
  <c r="C2509" i="3"/>
  <c r="D2509" i="3"/>
  <c r="E2509" i="3"/>
  <c r="A2510" i="3"/>
  <c r="B2510" i="3"/>
  <c r="C2510" i="3"/>
  <c r="D2510" i="3"/>
  <c r="E2510" i="3"/>
  <c r="A2511" i="3"/>
  <c r="B2511" i="3"/>
  <c r="C2511" i="3"/>
  <c r="D2511" i="3"/>
  <c r="E2511" i="3"/>
  <c r="A2512" i="3"/>
  <c r="B2512" i="3"/>
  <c r="C2512" i="3"/>
  <c r="D2512" i="3"/>
  <c r="E2512" i="3"/>
  <c r="A2513" i="3"/>
  <c r="B2513" i="3"/>
  <c r="C2513" i="3"/>
  <c r="D2513" i="3"/>
  <c r="E2513" i="3"/>
  <c r="A2514" i="3"/>
  <c r="B2514" i="3"/>
  <c r="C2514" i="3"/>
  <c r="D2514" i="3"/>
  <c r="E2514" i="3"/>
  <c r="A2515" i="3"/>
  <c r="B2515" i="3"/>
  <c r="C2515" i="3"/>
  <c r="F2515" i="3" s="1"/>
  <c r="D2515" i="3"/>
  <c r="E2515" i="3"/>
  <c r="A2516" i="3"/>
  <c r="B2516" i="3"/>
  <c r="C2516" i="3"/>
  <c r="D2516" i="3"/>
  <c r="E2516" i="3"/>
  <c r="A2517" i="3"/>
  <c r="B2517" i="3"/>
  <c r="C2517" i="3"/>
  <c r="D2517" i="3"/>
  <c r="E2517" i="3"/>
  <c r="G2517" i="3" s="1"/>
  <c r="A2518" i="3"/>
  <c r="B2518" i="3"/>
  <c r="C2518" i="3"/>
  <c r="D2518" i="3"/>
  <c r="E2518" i="3"/>
  <c r="A2519" i="3"/>
  <c r="B2519" i="3"/>
  <c r="C2519" i="3"/>
  <c r="D2519" i="3"/>
  <c r="E2519" i="3"/>
  <c r="A2520" i="3"/>
  <c r="B2520" i="3"/>
  <c r="C2520" i="3"/>
  <c r="D2520" i="3"/>
  <c r="E2520" i="3"/>
  <c r="A2521" i="3"/>
  <c r="B2521" i="3"/>
  <c r="C2521" i="3"/>
  <c r="D2521" i="3"/>
  <c r="E2521" i="3"/>
  <c r="A2522" i="3"/>
  <c r="B2522" i="3"/>
  <c r="C2522" i="3"/>
  <c r="D2522" i="3"/>
  <c r="E2522" i="3"/>
  <c r="A2523" i="3"/>
  <c r="B2523" i="3"/>
  <c r="C2523" i="3"/>
  <c r="D2523" i="3"/>
  <c r="E2523" i="3"/>
  <c r="A2524" i="3"/>
  <c r="B2524" i="3"/>
  <c r="C2524" i="3"/>
  <c r="D2524" i="3"/>
  <c r="E2524" i="3"/>
  <c r="A2525" i="3"/>
  <c r="B2525" i="3"/>
  <c r="C2525" i="3"/>
  <c r="D2525" i="3"/>
  <c r="E2525" i="3"/>
  <c r="A2526" i="3"/>
  <c r="B2526" i="3"/>
  <c r="C2526" i="3"/>
  <c r="D2526" i="3"/>
  <c r="E2526" i="3"/>
  <c r="A2527" i="3"/>
  <c r="B2527" i="3"/>
  <c r="C2527" i="3"/>
  <c r="F2527" i="3" s="1"/>
  <c r="D2527" i="3"/>
  <c r="E2527" i="3"/>
  <c r="A2528" i="3"/>
  <c r="B2528" i="3"/>
  <c r="C2528" i="3"/>
  <c r="D2528" i="3"/>
  <c r="E2528" i="3"/>
  <c r="A2529" i="3"/>
  <c r="B2529" i="3"/>
  <c r="C2529" i="3"/>
  <c r="D2529" i="3"/>
  <c r="E2529" i="3"/>
  <c r="G2529" i="3" s="1"/>
  <c r="A2530" i="3"/>
  <c r="B2530" i="3"/>
  <c r="C2530" i="3"/>
  <c r="D2530" i="3"/>
  <c r="E2530" i="3"/>
  <c r="A2531" i="3"/>
  <c r="B2531" i="3"/>
  <c r="C2531" i="3"/>
  <c r="D2531" i="3"/>
  <c r="E2531" i="3"/>
  <c r="A2532" i="3"/>
  <c r="B2532" i="3"/>
  <c r="C2532" i="3"/>
  <c r="D2532" i="3"/>
  <c r="E2532" i="3"/>
  <c r="A2533" i="3"/>
  <c r="B2533" i="3"/>
  <c r="C2533" i="3"/>
  <c r="D2533" i="3"/>
  <c r="E2533" i="3"/>
  <c r="A2534" i="3"/>
  <c r="B2534" i="3"/>
  <c r="C2534" i="3"/>
  <c r="D2534" i="3"/>
  <c r="E2534" i="3"/>
  <c r="A2535" i="3"/>
  <c r="B2535" i="3"/>
  <c r="C2535" i="3"/>
  <c r="D2535" i="3"/>
  <c r="E2535" i="3"/>
  <c r="A2536" i="3"/>
  <c r="B2536" i="3"/>
  <c r="C2536" i="3"/>
  <c r="D2536" i="3"/>
  <c r="E2536" i="3"/>
  <c r="A2537" i="3"/>
  <c r="B2537" i="3"/>
  <c r="C2537" i="3"/>
  <c r="D2537" i="3"/>
  <c r="E2537" i="3"/>
  <c r="A2538" i="3"/>
  <c r="B2538" i="3"/>
  <c r="C2538" i="3"/>
  <c r="D2538" i="3"/>
  <c r="E2538" i="3"/>
  <c r="A2539" i="3"/>
  <c r="B2539" i="3"/>
  <c r="C2539" i="3"/>
  <c r="F2539" i="3" s="1"/>
  <c r="D2539" i="3"/>
  <c r="E2539" i="3"/>
  <c r="A2540" i="3"/>
  <c r="B2540" i="3"/>
  <c r="C2540" i="3"/>
  <c r="D2540" i="3"/>
  <c r="E2540" i="3"/>
  <c r="A2541" i="3"/>
  <c r="B2541" i="3"/>
  <c r="C2541" i="3"/>
  <c r="D2541" i="3"/>
  <c r="E2541" i="3"/>
  <c r="G2541" i="3" s="1"/>
  <c r="A2542" i="3"/>
  <c r="B2542" i="3"/>
  <c r="C2542" i="3"/>
  <c r="D2542" i="3"/>
  <c r="E2542" i="3"/>
  <c r="A2543" i="3"/>
  <c r="B2543" i="3"/>
  <c r="C2543" i="3"/>
  <c r="D2543" i="3"/>
  <c r="E2543" i="3"/>
  <c r="A2544" i="3"/>
  <c r="B2544" i="3"/>
  <c r="C2544" i="3"/>
  <c r="D2544" i="3"/>
  <c r="E2544" i="3"/>
  <c r="A2545" i="3"/>
  <c r="B2545" i="3"/>
  <c r="C2545" i="3"/>
  <c r="D2545" i="3"/>
  <c r="E2545" i="3"/>
  <c r="A2546" i="3"/>
  <c r="B2546" i="3"/>
  <c r="C2546" i="3"/>
  <c r="D2546" i="3"/>
  <c r="E2546" i="3"/>
  <c r="A2547" i="3"/>
  <c r="B2547" i="3"/>
  <c r="C2547" i="3"/>
  <c r="D2547" i="3"/>
  <c r="E2547" i="3"/>
  <c r="A2548" i="3"/>
  <c r="B2548" i="3"/>
  <c r="C2548" i="3"/>
  <c r="D2548" i="3"/>
  <c r="E2548" i="3"/>
  <c r="A2549" i="3"/>
  <c r="B2549" i="3"/>
  <c r="C2549" i="3"/>
  <c r="D2549" i="3"/>
  <c r="E2549" i="3"/>
  <c r="A2550" i="3"/>
  <c r="B2550" i="3"/>
  <c r="C2550" i="3"/>
  <c r="D2550" i="3"/>
  <c r="E2550" i="3"/>
  <c r="A2551" i="3"/>
  <c r="B2551" i="3"/>
  <c r="C2551" i="3"/>
  <c r="F2551" i="3" s="1"/>
  <c r="D2551" i="3"/>
  <c r="E2551" i="3"/>
  <c r="A2552" i="3"/>
  <c r="B2552" i="3"/>
  <c r="C2552" i="3"/>
  <c r="D2552" i="3"/>
  <c r="E2552" i="3"/>
  <c r="A2553" i="3"/>
  <c r="B2553" i="3"/>
  <c r="C2553" i="3"/>
  <c r="D2553" i="3"/>
  <c r="E2553" i="3"/>
  <c r="G2553" i="3" s="1"/>
  <c r="A2554" i="3"/>
  <c r="B2554" i="3"/>
  <c r="C2554" i="3"/>
  <c r="D2554" i="3"/>
  <c r="E2554" i="3"/>
  <c r="A2555" i="3"/>
  <c r="B2555" i="3"/>
  <c r="C2555" i="3"/>
  <c r="D2555" i="3"/>
  <c r="E2555" i="3"/>
  <c r="A2556" i="3"/>
  <c r="B2556" i="3"/>
  <c r="C2556" i="3"/>
  <c r="D2556" i="3"/>
  <c r="E2556" i="3"/>
  <c r="A2557" i="3"/>
  <c r="B2557" i="3"/>
  <c r="C2557" i="3"/>
  <c r="D2557" i="3"/>
  <c r="E2557" i="3"/>
  <c r="A2558" i="3"/>
  <c r="B2558" i="3"/>
  <c r="C2558" i="3"/>
  <c r="D2558" i="3"/>
  <c r="E2558" i="3"/>
  <c r="A2559" i="3"/>
  <c r="B2559" i="3"/>
  <c r="C2559" i="3"/>
  <c r="D2559" i="3"/>
  <c r="E2559" i="3"/>
  <c r="A2560" i="3"/>
  <c r="B2560" i="3"/>
  <c r="C2560" i="3"/>
  <c r="D2560" i="3"/>
  <c r="E2560" i="3"/>
  <c r="A2561" i="3"/>
  <c r="B2561" i="3"/>
  <c r="C2561" i="3"/>
  <c r="D2561" i="3"/>
  <c r="E2561" i="3"/>
  <c r="A2562" i="3"/>
  <c r="B2562" i="3"/>
  <c r="C2562" i="3"/>
  <c r="D2562" i="3"/>
  <c r="E2562" i="3"/>
  <c r="A2563" i="3"/>
  <c r="B2563" i="3"/>
  <c r="C2563" i="3"/>
  <c r="F2563" i="3" s="1"/>
  <c r="D2563" i="3"/>
  <c r="E2563" i="3"/>
  <c r="A2564" i="3"/>
  <c r="B2564" i="3"/>
  <c r="C2564" i="3"/>
  <c r="D2564" i="3"/>
  <c r="E2564" i="3"/>
  <c r="A2565" i="3"/>
  <c r="B2565" i="3"/>
  <c r="C2565" i="3"/>
  <c r="D2565" i="3"/>
  <c r="E2565" i="3"/>
  <c r="G2565" i="3" s="1"/>
  <c r="A2566" i="3"/>
  <c r="B2566" i="3"/>
  <c r="C2566" i="3"/>
  <c r="D2566" i="3"/>
  <c r="E2566" i="3"/>
  <c r="A2567" i="3"/>
  <c r="B2567" i="3"/>
  <c r="C2567" i="3"/>
  <c r="D2567" i="3"/>
  <c r="E2567" i="3"/>
  <c r="A2568" i="3"/>
  <c r="B2568" i="3"/>
  <c r="C2568" i="3"/>
  <c r="D2568" i="3"/>
  <c r="E2568" i="3"/>
  <c r="A2569" i="3"/>
  <c r="B2569" i="3"/>
  <c r="C2569" i="3"/>
  <c r="D2569" i="3"/>
  <c r="E2569" i="3"/>
  <c r="A2570" i="3"/>
  <c r="B2570" i="3"/>
  <c r="C2570" i="3"/>
  <c r="D2570" i="3"/>
  <c r="E2570" i="3"/>
  <c r="A2571" i="3"/>
  <c r="B2571" i="3"/>
  <c r="C2571" i="3"/>
  <c r="D2571" i="3"/>
  <c r="E2571" i="3"/>
  <c r="A2572" i="3"/>
  <c r="B2572" i="3"/>
  <c r="C2572" i="3"/>
  <c r="D2572" i="3"/>
  <c r="E2572" i="3"/>
  <c r="A2573" i="3"/>
  <c r="B2573" i="3"/>
  <c r="C2573" i="3"/>
  <c r="D2573" i="3"/>
  <c r="E2573" i="3"/>
  <c r="A2574" i="3"/>
  <c r="B2574" i="3"/>
  <c r="C2574" i="3"/>
  <c r="D2574" i="3"/>
  <c r="E2574" i="3"/>
  <c r="A2575" i="3"/>
  <c r="B2575" i="3"/>
  <c r="C2575" i="3"/>
  <c r="F2575" i="3" s="1"/>
  <c r="D2575" i="3"/>
  <c r="E2575" i="3"/>
  <c r="A2576" i="3"/>
  <c r="B2576" i="3"/>
  <c r="C2576" i="3"/>
  <c r="D2576" i="3"/>
  <c r="E2576" i="3"/>
  <c r="A2577" i="3"/>
  <c r="B2577" i="3"/>
  <c r="C2577" i="3"/>
  <c r="D2577" i="3"/>
  <c r="E2577" i="3"/>
  <c r="G2577" i="3" s="1"/>
  <c r="A2578" i="3"/>
  <c r="B2578" i="3"/>
  <c r="C2578" i="3"/>
  <c r="D2578" i="3"/>
  <c r="E2578" i="3"/>
  <c r="A2579" i="3"/>
  <c r="B2579" i="3"/>
  <c r="C2579" i="3"/>
  <c r="D2579" i="3"/>
  <c r="E2579" i="3"/>
  <c r="A2580" i="3"/>
  <c r="B2580" i="3"/>
  <c r="C2580" i="3"/>
  <c r="D2580" i="3"/>
  <c r="E2580" i="3"/>
  <c r="A2581" i="3"/>
  <c r="B2581" i="3"/>
  <c r="C2581" i="3"/>
  <c r="D2581" i="3"/>
  <c r="E2581" i="3"/>
  <c r="A2582" i="3"/>
  <c r="B2582" i="3"/>
  <c r="C2582" i="3"/>
  <c r="D2582" i="3"/>
  <c r="E2582" i="3"/>
  <c r="A2583" i="3"/>
  <c r="B2583" i="3"/>
  <c r="C2583" i="3"/>
  <c r="D2583" i="3"/>
  <c r="E2583" i="3"/>
  <c r="A2584" i="3"/>
  <c r="B2584" i="3"/>
  <c r="C2584" i="3"/>
  <c r="D2584" i="3"/>
  <c r="E2584" i="3"/>
  <c r="A2585" i="3"/>
  <c r="B2585" i="3"/>
  <c r="C2585" i="3"/>
  <c r="D2585" i="3"/>
  <c r="E2585" i="3"/>
  <c r="A2586" i="3"/>
  <c r="B2586" i="3"/>
  <c r="C2586" i="3"/>
  <c r="D2586" i="3"/>
  <c r="E2586" i="3"/>
  <c r="A2587" i="3"/>
  <c r="B2587" i="3"/>
  <c r="C2587" i="3"/>
  <c r="F2587" i="3" s="1"/>
  <c r="D2587" i="3"/>
  <c r="E2587" i="3"/>
  <c r="A2588" i="3"/>
  <c r="B2588" i="3"/>
  <c r="C2588" i="3"/>
  <c r="D2588" i="3"/>
  <c r="E2588" i="3"/>
  <c r="A2589" i="3"/>
  <c r="B2589" i="3"/>
  <c r="C2589" i="3"/>
  <c r="D2589" i="3"/>
  <c r="E2589" i="3"/>
  <c r="G2589" i="3" s="1"/>
  <c r="A2590" i="3"/>
  <c r="B2590" i="3"/>
  <c r="C2590" i="3"/>
  <c r="D2590" i="3"/>
  <c r="E2590" i="3"/>
  <c r="A2591" i="3"/>
  <c r="B2591" i="3"/>
  <c r="C2591" i="3"/>
  <c r="D2591" i="3"/>
  <c r="E2591" i="3"/>
  <c r="A2592" i="3"/>
  <c r="B2592" i="3"/>
  <c r="C2592" i="3"/>
  <c r="D2592" i="3"/>
  <c r="E2592" i="3"/>
  <c r="A2593" i="3"/>
  <c r="B2593" i="3"/>
  <c r="C2593" i="3"/>
  <c r="D2593" i="3"/>
  <c r="E2593" i="3"/>
  <c r="A2594" i="3"/>
  <c r="B2594" i="3"/>
  <c r="C2594" i="3"/>
  <c r="D2594" i="3"/>
  <c r="E2594" i="3"/>
  <c r="A2595" i="3"/>
  <c r="B2595" i="3"/>
  <c r="C2595" i="3"/>
  <c r="D2595" i="3"/>
  <c r="E2595" i="3"/>
  <c r="A2596" i="3"/>
  <c r="B2596" i="3"/>
  <c r="C2596" i="3"/>
  <c r="D2596" i="3"/>
  <c r="E2596" i="3"/>
  <c r="A2597" i="3"/>
  <c r="B2597" i="3"/>
  <c r="C2597" i="3"/>
  <c r="D2597" i="3"/>
  <c r="E2597" i="3"/>
  <c r="A2598" i="3"/>
  <c r="B2598" i="3"/>
  <c r="C2598" i="3"/>
  <c r="D2598" i="3"/>
  <c r="E2598" i="3"/>
  <c r="A2599" i="3"/>
  <c r="B2599" i="3"/>
  <c r="C2599" i="3"/>
  <c r="F2599" i="3" s="1"/>
  <c r="D2599" i="3"/>
  <c r="E2599" i="3"/>
  <c r="A2600" i="3"/>
  <c r="B2600" i="3"/>
  <c r="C2600" i="3"/>
  <c r="D2600" i="3"/>
  <c r="E2600" i="3"/>
  <c r="A2601" i="3"/>
  <c r="B2601" i="3"/>
  <c r="C2601" i="3"/>
  <c r="D2601" i="3"/>
  <c r="E2601" i="3"/>
  <c r="G2601" i="3" s="1"/>
  <c r="A2602" i="3"/>
  <c r="B2602" i="3"/>
  <c r="C2602" i="3"/>
  <c r="D2602" i="3"/>
  <c r="E2602" i="3"/>
  <c r="A2603" i="3"/>
  <c r="B2603" i="3"/>
  <c r="C2603" i="3"/>
  <c r="D2603" i="3"/>
  <c r="E2603" i="3"/>
  <c r="A2604" i="3"/>
  <c r="B2604" i="3"/>
  <c r="C2604" i="3"/>
  <c r="D2604" i="3"/>
  <c r="E2604" i="3"/>
  <c r="A2605" i="3"/>
  <c r="B2605" i="3"/>
  <c r="C2605" i="3"/>
  <c r="D2605" i="3"/>
  <c r="E2605" i="3"/>
  <c r="A2606" i="3"/>
  <c r="B2606" i="3"/>
  <c r="C2606" i="3"/>
  <c r="D2606" i="3"/>
  <c r="E2606" i="3"/>
  <c r="A2607" i="3"/>
  <c r="B2607" i="3"/>
  <c r="C2607" i="3"/>
  <c r="D2607" i="3"/>
  <c r="E2607" i="3"/>
  <c r="A2608" i="3"/>
  <c r="B2608" i="3"/>
  <c r="C2608" i="3"/>
  <c r="D2608" i="3"/>
  <c r="E2608" i="3"/>
  <c r="A2609" i="3"/>
  <c r="B2609" i="3"/>
  <c r="C2609" i="3"/>
  <c r="D2609" i="3"/>
  <c r="E2609" i="3"/>
  <c r="A2610" i="3"/>
  <c r="B2610" i="3"/>
  <c r="C2610" i="3"/>
  <c r="D2610" i="3"/>
  <c r="E2610" i="3"/>
  <c r="A2611" i="3"/>
  <c r="B2611" i="3"/>
  <c r="C2611" i="3"/>
  <c r="F2611" i="3" s="1"/>
  <c r="D2611" i="3"/>
  <c r="E2611" i="3"/>
  <c r="A2612" i="3"/>
  <c r="B2612" i="3"/>
  <c r="C2612" i="3"/>
  <c r="D2612" i="3"/>
  <c r="E2612" i="3"/>
  <c r="A2613" i="3"/>
  <c r="B2613" i="3"/>
  <c r="C2613" i="3"/>
  <c r="D2613" i="3"/>
  <c r="E2613" i="3"/>
  <c r="G2613" i="3" s="1"/>
  <c r="A2614" i="3"/>
  <c r="B2614" i="3"/>
  <c r="C2614" i="3"/>
  <c r="D2614" i="3"/>
  <c r="E2614" i="3"/>
  <c r="A2615" i="3"/>
  <c r="B2615" i="3"/>
  <c r="C2615" i="3"/>
  <c r="D2615" i="3"/>
  <c r="E2615" i="3"/>
  <c r="A2616" i="3"/>
  <c r="B2616" i="3"/>
  <c r="C2616" i="3"/>
  <c r="D2616" i="3"/>
  <c r="E2616" i="3"/>
  <c r="A2617" i="3"/>
  <c r="B2617" i="3"/>
  <c r="C2617" i="3"/>
  <c r="D2617" i="3"/>
  <c r="E2617" i="3"/>
  <c r="A2618" i="3"/>
  <c r="B2618" i="3"/>
  <c r="C2618" i="3"/>
  <c r="D2618" i="3"/>
  <c r="E2618" i="3"/>
  <c r="A2619" i="3"/>
  <c r="B2619" i="3"/>
  <c r="C2619" i="3"/>
  <c r="D2619" i="3"/>
  <c r="E2619" i="3"/>
  <c r="A2620" i="3"/>
  <c r="B2620" i="3"/>
  <c r="C2620" i="3"/>
  <c r="D2620" i="3"/>
  <c r="E2620" i="3"/>
  <c r="A2621" i="3"/>
  <c r="B2621" i="3"/>
  <c r="C2621" i="3"/>
  <c r="D2621" i="3"/>
  <c r="E2621" i="3"/>
  <c r="A2622" i="3"/>
  <c r="B2622" i="3"/>
  <c r="C2622" i="3"/>
  <c r="D2622" i="3"/>
  <c r="E2622" i="3"/>
  <c r="A2623" i="3"/>
  <c r="B2623" i="3"/>
  <c r="C2623" i="3"/>
  <c r="F2623" i="3" s="1"/>
  <c r="D2623" i="3"/>
  <c r="E2623" i="3"/>
  <c r="A2624" i="3"/>
  <c r="B2624" i="3"/>
  <c r="C2624" i="3"/>
  <c r="D2624" i="3"/>
  <c r="E2624" i="3"/>
  <c r="A2625" i="3"/>
  <c r="B2625" i="3"/>
  <c r="C2625" i="3"/>
  <c r="D2625" i="3"/>
  <c r="E2625" i="3"/>
  <c r="G2625" i="3" s="1"/>
  <c r="A2626" i="3"/>
  <c r="B2626" i="3"/>
  <c r="C2626" i="3"/>
  <c r="D2626" i="3"/>
  <c r="E2626" i="3"/>
  <c r="A2627" i="3"/>
  <c r="B2627" i="3"/>
  <c r="C2627" i="3"/>
  <c r="D2627" i="3"/>
  <c r="E2627" i="3"/>
  <c r="A2628" i="3"/>
  <c r="B2628" i="3"/>
  <c r="C2628" i="3"/>
  <c r="D2628" i="3"/>
  <c r="E2628" i="3"/>
  <c r="A2629" i="3"/>
  <c r="B2629" i="3"/>
  <c r="C2629" i="3"/>
  <c r="D2629" i="3"/>
  <c r="E2629" i="3"/>
  <c r="A2630" i="3"/>
  <c r="B2630" i="3"/>
  <c r="C2630" i="3"/>
  <c r="D2630" i="3"/>
  <c r="E2630" i="3"/>
  <c r="A2631" i="3"/>
  <c r="B2631" i="3"/>
  <c r="C2631" i="3"/>
  <c r="D2631" i="3"/>
  <c r="E2631" i="3"/>
  <c r="A2632" i="3"/>
  <c r="B2632" i="3"/>
  <c r="C2632" i="3"/>
  <c r="D2632" i="3"/>
  <c r="E2632" i="3"/>
  <c r="A2633" i="3"/>
  <c r="B2633" i="3"/>
  <c r="C2633" i="3"/>
  <c r="D2633" i="3"/>
  <c r="E2633" i="3"/>
  <c r="A2634" i="3"/>
  <c r="B2634" i="3"/>
  <c r="C2634" i="3"/>
  <c r="D2634" i="3"/>
  <c r="E2634" i="3"/>
  <c r="A2635" i="3"/>
  <c r="B2635" i="3"/>
  <c r="C2635" i="3"/>
  <c r="F2635" i="3" s="1"/>
  <c r="D2635" i="3"/>
  <c r="E2635" i="3"/>
  <c r="A2636" i="3"/>
  <c r="B2636" i="3"/>
  <c r="C2636" i="3"/>
  <c r="D2636" i="3"/>
  <c r="E2636" i="3"/>
  <c r="A2637" i="3"/>
  <c r="B2637" i="3"/>
  <c r="C2637" i="3"/>
  <c r="D2637" i="3"/>
  <c r="E2637" i="3"/>
  <c r="G2637" i="3" s="1"/>
  <c r="A2638" i="3"/>
  <c r="B2638" i="3"/>
  <c r="C2638" i="3"/>
  <c r="D2638" i="3"/>
  <c r="E2638" i="3"/>
  <c r="A2639" i="3"/>
  <c r="B2639" i="3"/>
  <c r="C2639" i="3"/>
  <c r="D2639" i="3"/>
  <c r="E2639" i="3"/>
  <c r="A2640" i="3"/>
  <c r="B2640" i="3"/>
  <c r="C2640" i="3"/>
  <c r="D2640" i="3"/>
  <c r="E2640" i="3"/>
  <c r="A2641" i="3"/>
  <c r="B2641" i="3"/>
  <c r="C2641" i="3"/>
  <c r="D2641" i="3"/>
  <c r="E2641" i="3"/>
  <c r="A2642" i="3"/>
  <c r="B2642" i="3"/>
  <c r="C2642" i="3"/>
  <c r="D2642" i="3"/>
  <c r="E2642" i="3"/>
  <c r="A2643" i="3"/>
  <c r="B2643" i="3"/>
  <c r="C2643" i="3"/>
  <c r="D2643" i="3"/>
  <c r="E2643" i="3"/>
  <c r="A2644" i="3"/>
  <c r="B2644" i="3"/>
  <c r="C2644" i="3"/>
  <c r="D2644" i="3"/>
  <c r="E2644" i="3"/>
  <c r="A2645" i="3"/>
  <c r="B2645" i="3"/>
  <c r="C2645" i="3"/>
  <c r="D2645" i="3"/>
  <c r="E2645" i="3"/>
  <c r="A2646" i="3"/>
  <c r="B2646" i="3"/>
  <c r="C2646" i="3"/>
  <c r="D2646" i="3"/>
  <c r="E2646" i="3"/>
  <c r="A2647" i="3"/>
  <c r="B2647" i="3"/>
  <c r="C2647" i="3"/>
  <c r="F2647" i="3" s="1"/>
  <c r="D2647" i="3"/>
  <c r="E2647" i="3"/>
  <c r="A2648" i="3"/>
  <c r="B2648" i="3"/>
  <c r="C2648" i="3"/>
  <c r="D2648" i="3"/>
  <c r="E2648" i="3"/>
  <c r="A2649" i="3"/>
  <c r="B2649" i="3"/>
  <c r="C2649" i="3"/>
  <c r="D2649" i="3"/>
  <c r="E2649" i="3"/>
  <c r="G2649" i="3" s="1"/>
  <c r="A2650" i="3"/>
  <c r="B2650" i="3"/>
  <c r="C2650" i="3"/>
  <c r="D2650" i="3"/>
  <c r="E2650" i="3"/>
  <c r="A2651" i="3"/>
  <c r="B2651" i="3"/>
  <c r="C2651" i="3"/>
  <c r="D2651" i="3"/>
  <c r="E2651" i="3"/>
  <c r="A2652" i="3"/>
  <c r="B2652" i="3"/>
  <c r="C2652" i="3"/>
  <c r="D2652" i="3"/>
  <c r="E2652" i="3"/>
  <c r="A2653" i="3"/>
  <c r="B2653" i="3"/>
  <c r="C2653" i="3"/>
  <c r="D2653" i="3"/>
  <c r="E2653" i="3"/>
  <c r="A2654" i="3"/>
  <c r="B2654" i="3"/>
  <c r="C2654" i="3"/>
  <c r="D2654" i="3"/>
  <c r="E2654" i="3"/>
  <c r="A2655" i="3"/>
  <c r="B2655" i="3"/>
  <c r="C2655" i="3"/>
  <c r="D2655" i="3"/>
  <c r="E2655" i="3"/>
  <c r="A2656" i="3"/>
  <c r="B2656" i="3"/>
  <c r="C2656" i="3"/>
  <c r="D2656" i="3"/>
  <c r="E2656" i="3"/>
  <c r="A2657" i="3"/>
  <c r="B2657" i="3"/>
  <c r="C2657" i="3"/>
  <c r="D2657" i="3"/>
  <c r="E2657" i="3"/>
  <c r="A2658" i="3"/>
  <c r="B2658" i="3"/>
  <c r="C2658" i="3"/>
  <c r="D2658" i="3"/>
  <c r="E2658" i="3"/>
  <c r="A2659" i="3"/>
  <c r="B2659" i="3"/>
  <c r="C2659" i="3"/>
  <c r="F2659" i="3" s="1"/>
  <c r="D2659" i="3"/>
  <c r="E2659" i="3"/>
  <c r="A2660" i="3"/>
  <c r="B2660" i="3"/>
  <c r="C2660" i="3"/>
  <c r="D2660" i="3"/>
  <c r="E2660" i="3"/>
  <c r="A2661" i="3"/>
  <c r="B2661" i="3"/>
  <c r="C2661" i="3"/>
  <c r="D2661" i="3"/>
  <c r="E2661" i="3"/>
  <c r="G2661" i="3" s="1"/>
  <c r="A2662" i="3"/>
  <c r="B2662" i="3"/>
  <c r="C2662" i="3"/>
  <c r="D2662" i="3"/>
  <c r="E2662" i="3"/>
  <c r="A2663" i="3"/>
  <c r="B2663" i="3"/>
  <c r="C2663" i="3"/>
  <c r="D2663" i="3"/>
  <c r="E2663" i="3"/>
  <c r="A2664" i="3"/>
  <c r="B2664" i="3"/>
  <c r="C2664" i="3"/>
  <c r="D2664" i="3"/>
  <c r="E2664" i="3"/>
  <c r="A2665" i="3"/>
  <c r="B2665" i="3"/>
  <c r="C2665" i="3"/>
  <c r="D2665" i="3"/>
  <c r="E2665" i="3"/>
  <c r="A2666" i="3"/>
  <c r="B2666" i="3"/>
  <c r="C2666" i="3"/>
  <c r="D2666" i="3"/>
  <c r="E2666" i="3"/>
  <c r="A2667" i="3"/>
  <c r="B2667" i="3"/>
  <c r="C2667" i="3"/>
  <c r="D2667" i="3"/>
  <c r="E2667" i="3"/>
  <c r="A2668" i="3"/>
  <c r="B2668" i="3"/>
  <c r="C2668" i="3"/>
  <c r="D2668" i="3"/>
  <c r="E2668" i="3"/>
  <c r="A2669" i="3"/>
  <c r="B2669" i="3"/>
  <c r="C2669" i="3"/>
  <c r="D2669" i="3"/>
  <c r="E2669" i="3"/>
  <c r="A2670" i="3"/>
  <c r="B2670" i="3"/>
  <c r="C2670" i="3"/>
  <c r="D2670" i="3"/>
  <c r="E2670" i="3"/>
  <c r="A2671" i="3"/>
  <c r="B2671" i="3"/>
  <c r="C2671" i="3"/>
  <c r="F2671" i="3" s="1"/>
  <c r="D2671" i="3"/>
  <c r="E2671" i="3"/>
  <c r="A2672" i="3"/>
  <c r="B2672" i="3"/>
  <c r="C2672" i="3"/>
  <c r="D2672" i="3"/>
  <c r="E2672" i="3"/>
  <c r="A2673" i="3"/>
  <c r="B2673" i="3"/>
  <c r="C2673" i="3"/>
  <c r="D2673" i="3"/>
  <c r="E2673" i="3"/>
  <c r="G2673" i="3" s="1"/>
  <c r="A2674" i="3"/>
  <c r="B2674" i="3"/>
  <c r="C2674" i="3"/>
  <c r="D2674" i="3"/>
  <c r="E2674" i="3"/>
  <c r="A2675" i="3"/>
  <c r="B2675" i="3"/>
  <c r="C2675" i="3"/>
  <c r="D2675" i="3"/>
  <c r="E2675" i="3"/>
  <c r="A2676" i="3"/>
  <c r="B2676" i="3"/>
  <c r="C2676" i="3"/>
  <c r="D2676" i="3"/>
  <c r="E2676" i="3"/>
  <c r="A2677" i="3"/>
  <c r="B2677" i="3"/>
  <c r="C2677" i="3"/>
  <c r="D2677" i="3"/>
  <c r="E2677" i="3"/>
  <c r="A2678" i="3"/>
  <c r="B2678" i="3"/>
  <c r="C2678" i="3"/>
  <c r="D2678" i="3"/>
  <c r="E2678" i="3"/>
  <c r="A2679" i="3"/>
  <c r="B2679" i="3"/>
  <c r="C2679" i="3"/>
  <c r="D2679" i="3"/>
  <c r="E2679" i="3"/>
  <c r="A2680" i="3"/>
  <c r="B2680" i="3"/>
  <c r="C2680" i="3"/>
  <c r="D2680" i="3"/>
  <c r="E2680" i="3"/>
  <c r="A2681" i="3"/>
  <c r="B2681" i="3"/>
  <c r="C2681" i="3"/>
  <c r="D2681" i="3"/>
  <c r="E2681" i="3"/>
  <c r="A2682" i="3"/>
  <c r="B2682" i="3"/>
  <c r="C2682" i="3"/>
  <c r="D2682" i="3"/>
  <c r="E2682" i="3"/>
  <c r="A2683" i="3"/>
  <c r="B2683" i="3"/>
  <c r="C2683" i="3"/>
  <c r="F2683" i="3" s="1"/>
  <c r="D2683" i="3"/>
  <c r="E2683" i="3"/>
  <c r="A2684" i="3"/>
  <c r="B2684" i="3"/>
  <c r="C2684" i="3"/>
  <c r="D2684" i="3"/>
  <c r="E2684" i="3"/>
  <c r="A2685" i="3"/>
  <c r="B2685" i="3"/>
  <c r="C2685" i="3"/>
  <c r="D2685" i="3"/>
  <c r="E2685" i="3"/>
  <c r="G2685" i="3" s="1"/>
  <c r="A2686" i="3"/>
  <c r="B2686" i="3"/>
  <c r="C2686" i="3"/>
  <c r="D2686" i="3"/>
  <c r="E2686" i="3"/>
  <c r="A2687" i="3"/>
  <c r="B2687" i="3"/>
  <c r="C2687" i="3"/>
  <c r="D2687" i="3"/>
  <c r="E2687" i="3"/>
  <c r="A2688" i="3"/>
  <c r="B2688" i="3"/>
  <c r="C2688" i="3"/>
  <c r="D2688" i="3"/>
  <c r="E2688" i="3"/>
  <c r="A2689" i="3"/>
  <c r="B2689" i="3"/>
  <c r="C2689" i="3"/>
  <c r="D2689" i="3"/>
  <c r="E2689" i="3"/>
  <c r="A2690" i="3"/>
  <c r="B2690" i="3"/>
  <c r="C2690" i="3"/>
  <c r="D2690" i="3"/>
  <c r="E2690" i="3"/>
  <c r="A2691" i="3"/>
  <c r="B2691" i="3"/>
  <c r="C2691" i="3"/>
  <c r="D2691" i="3"/>
  <c r="E2691" i="3"/>
  <c r="A2692" i="3"/>
  <c r="B2692" i="3"/>
  <c r="C2692" i="3"/>
  <c r="D2692" i="3"/>
  <c r="E2692" i="3"/>
  <c r="A2693" i="3"/>
  <c r="B2693" i="3"/>
  <c r="C2693" i="3"/>
  <c r="D2693" i="3"/>
  <c r="E2693" i="3"/>
  <c r="A2694" i="3"/>
  <c r="B2694" i="3"/>
  <c r="C2694" i="3"/>
  <c r="D2694" i="3"/>
  <c r="E2694" i="3"/>
  <c r="A2695" i="3"/>
  <c r="B2695" i="3"/>
  <c r="C2695" i="3"/>
  <c r="F2695" i="3" s="1"/>
  <c r="D2695" i="3"/>
  <c r="E2695" i="3"/>
  <c r="A2696" i="3"/>
  <c r="B2696" i="3"/>
  <c r="C2696" i="3"/>
  <c r="D2696" i="3"/>
  <c r="E2696" i="3"/>
  <c r="A2697" i="3"/>
  <c r="B2697" i="3"/>
  <c r="C2697" i="3"/>
  <c r="D2697" i="3"/>
  <c r="E2697" i="3"/>
  <c r="G2697" i="3" s="1"/>
  <c r="A2698" i="3"/>
  <c r="B2698" i="3"/>
  <c r="C2698" i="3"/>
  <c r="D2698" i="3"/>
  <c r="E2698" i="3"/>
  <c r="A2699" i="3"/>
  <c r="B2699" i="3"/>
  <c r="C2699" i="3"/>
  <c r="D2699" i="3"/>
  <c r="E2699" i="3"/>
  <c r="A2700" i="3"/>
  <c r="B2700" i="3"/>
  <c r="C2700" i="3"/>
  <c r="D2700" i="3"/>
  <c r="E2700" i="3"/>
  <c r="A2701" i="3"/>
  <c r="B2701" i="3"/>
  <c r="C2701" i="3"/>
  <c r="D2701" i="3"/>
  <c r="E2701" i="3"/>
  <c r="A2702" i="3"/>
  <c r="B2702" i="3"/>
  <c r="C2702" i="3"/>
  <c r="D2702" i="3"/>
  <c r="E2702" i="3"/>
  <c r="A2703" i="3"/>
  <c r="B2703" i="3"/>
  <c r="C2703" i="3"/>
  <c r="D2703" i="3"/>
  <c r="E2703" i="3"/>
  <c r="A2704" i="3"/>
  <c r="B2704" i="3"/>
  <c r="C2704" i="3"/>
  <c r="D2704" i="3"/>
  <c r="E2704" i="3"/>
  <c r="A2705" i="3"/>
  <c r="B2705" i="3"/>
  <c r="C2705" i="3"/>
  <c r="D2705" i="3"/>
  <c r="E2705" i="3"/>
  <c r="A2706" i="3"/>
  <c r="B2706" i="3"/>
  <c r="C2706" i="3"/>
  <c r="D2706" i="3"/>
  <c r="E2706" i="3"/>
  <c r="A2707" i="3"/>
  <c r="B2707" i="3"/>
  <c r="C2707" i="3"/>
  <c r="F2707" i="3" s="1"/>
  <c r="D2707" i="3"/>
  <c r="E2707" i="3"/>
  <c r="A2708" i="3"/>
  <c r="B2708" i="3"/>
  <c r="C2708" i="3"/>
  <c r="D2708" i="3"/>
  <c r="E2708" i="3"/>
  <c r="A2709" i="3"/>
  <c r="B2709" i="3"/>
  <c r="C2709" i="3"/>
  <c r="D2709" i="3"/>
  <c r="E2709" i="3"/>
  <c r="G2709" i="3" s="1"/>
  <c r="A2710" i="3"/>
  <c r="B2710" i="3"/>
  <c r="C2710" i="3"/>
  <c r="D2710" i="3"/>
  <c r="E2710" i="3"/>
  <c r="A2711" i="3"/>
  <c r="B2711" i="3"/>
  <c r="C2711" i="3"/>
  <c r="D2711" i="3"/>
  <c r="E2711" i="3"/>
  <c r="A2712" i="3"/>
  <c r="B2712" i="3"/>
  <c r="C2712" i="3"/>
  <c r="D2712" i="3"/>
  <c r="E2712" i="3"/>
  <c r="A2713" i="3"/>
  <c r="B2713" i="3"/>
  <c r="C2713" i="3"/>
  <c r="D2713" i="3"/>
  <c r="E2713" i="3"/>
  <c r="A2714" i="3"/>
  <c r="B2714" i="3"/>
  <c r="C2714" i="3"/>
  <c r="D2714" i="3"/>
  <c r="E2714" i="3"/>
  <c r="A2715" i="3"/>
  <c r="B2715" i="3"/>
  <c r="C2715" i="3"/>
  <c r="D2715" i="3"/>
  <c r="E2715" i="3"/>
  <c r="A2716" i="3"/>
  <c r="B2716" i="3"/>
  <c r="C2716" i="3"/>
  <c r="D2716" i="3"/>
  <c r="E2716" i="3"/>
  <c r="A2717" i="3"/>
  <c r="B2717" i="3"/>
  <c r="C2717" i="3"/>
  <c r="D2717" i="3"/>
  <c r="E2717" i="3"/>
  <c r="A2718" i="3"/>
  <c r="B2718" i="3"/>
  <c r="C2718" i="3"/>
  <c r="D2718" i="3"/>
  <c r="E2718" i="3"/>
  <c r="A2719" i="3"/>
  <c r="B2719" i="3"/>
  <c r="C2719" i="3"/>
  <c r="F2719" i="3" s="1"/>
  <c r="D2719" i="3"/>
  <c r="E2719" i="3"/>
  <c r="A2720" i="3"/>
  <c r="B2720" i="3"/>
  <c r="C2720" i="3"/>
  <c r="D2720" i="3"/>
  <c r="E2720" i="3"/>
  <c r="A2721" i="3"/>
  <c r="B2721" i="3"/>
  <c r="C2721" i="3"/>
  <c r="D2721" i="3"/>
  <c r="E2721" i="3"/>
  <c r="G2721" i="3" s="1"/>
  <c r="A2722" i="3"/>
  <c r="B2722" i="3"/>
  <c r="C2722" i="3"/>
  <c r="D2722" i="3"/>
  <c r="E2722" i="3"/>
  <c r="A2723" i="3"/>
  <c r="B2723" i="3"/>
  <c r="C2723" i="3"/>
  <c r="D2723" i="3"/>
  <c r="E2723" i="3"/>
  <c r="A2724" i="3"/>
  <c r="B2724" i="3"/>
  <c r="C2724" i="3"/>
  <c r="D2724" i="3"/>
  <c r="E2724" i="3"/>
  <c r="A2725" i="3"/>
  <c r="B2725" i="3"/>
  <c r="C2725" i="3"/>
  <c r="D2725" i="3"/>
  <c r="E2725" i="3"/>
  <c r="A2726" i="3"/>
  <c r="B2726" i="3"/>
  <c r="C2726" i="3"/>
  <c r="D2726" i="3"/>
  <c r="E2726" i="3"/>
  <c r="A2727" i="3"/>
  <c r="B2727" i="3"/>
  <c r="C2727" i="3"/>
  <c r="D2727" i="3"/>
  <c r="E2727" i="3"/>
  <c r="A2728" i="3"/>
  <c r="B2728" i="3"/>
  <c r="C2728" i="3"/>
  <c r="D2728" i="3"/>
  <c r="E2728" i="3"/>
  <c r="A2729" i="3"/>
  <c r="B2729" i="3"/>
  <c r="C2729" i="3"/>
  <c r="D2729" i="3"/>
  <c r="E2729" i="3"/>
  <c r="A2730" i="3"/>
  <c r="B2730" i="3"/>
  <c r="C2730" i="3"/>
  <c r="D2730" i="3"/>
  <c r="E2730" i="3"/>
  <c r="A2731" i="3"/>
  <c r="B2731" i="3"/>
  <c r="C2731" i="3"/>
  <c r="F2731" i="3" s="1"/>
  <c r="D2731" i="3"/>
  <c r="E2731" i="3"/>
  <c r="A2732" i="3"/>
  <c r="B2732" i="3"/>
  <c r="C2732" i="3"/>
  <c r="D2732" i="3"/>
  <c r="E2732" i="3"/>
  <c r="A2733" i="3"/>
  <c r="B2733" i="3"/>
  <c r="C2733" i="3"/>
  <c r="D2733" i="3"/>
  <c r="E2733" i="3"/>
  <c r="G2733" i="3" s="1"/>
  <c r="A2734" i="3"/>
  <c r="B2734" i="3"/>
  <c r="C2734" i="3"/>
  <c r="D2734" i="3"/>
  <c r="E2734" i="3"/>
  <c r="A2735" i="3"/>
  <c r="B2735" i="3"/>
  <c r="C2735" i="3"/>
  <c r="D2735" i="3"/>
  <c r="E2735" i="3"/>
  <c r="A2736" i="3"/>
  <c r="B2736" i="3"/>
  <c r="C2736" i="3"/>
  <c r="D2736" i="3"/>
  <c r="E2736" i="3"/>
  <c r="A2737" i="3"/>
  <c r="B2737" i="3"/>
  <c r="C2737" i="3"/>
  <c r="D2737" i="3"/>
  <c r="E2737" i="3"/>
  <c r="A2738" i="3"/>
  <c r="B2738" i="3"/>
  <c r="C2738" i="3"/>
  <c r="D2738" i="3"/>
  <c r="E2738" i="3"/>
  <c r="A2739" i="3"/>
  <c r="B2739" i="3"/>
  <c r="C2739" i="3"/>
  <c r="D2739" i="3"/>
  <c r="E2739" i="3"/>
  <c r="A2740" i="3"/>
  <c r="B2740" i="3"/>
  <c r="C2740" i="3"/>
  <c r="D2740" i="3"/>
  <c r="E2740" i="3"/>
  <c r="A2741" i="3"/>
  <c r="B2741" i="3"/>
  <c r="C2741" i="3"/>
  <c r="D2741" i="3"/>
  <c r="E2741" i="3"/>
  <c r="A2742" i="3"/>
  <c r="B2742" i="3"/>
  <c r="C2742" i="3"/>
  <c r="D2742" i="3"/>
  <c r="E2742" i="3"/>
  <c r="A2743" i="3"/>
  <c r="B2743" i="3"/>
  <c r="C2743" i="3"/>
  <c r="F2743" i="3" s="1"/>
  <c r="D2743" i="3"/>
  <c r="E2743" i="3"/>
  <c r="A2744" i="3"/>
  <c r="B2744" i="3"/>
  <c r="C2744" i="3"/>
  <c r="D2744" i="3"/>
  <c r="E2744" i="3"/>
  <c r="A2745" i="3"/>
  <c r="B2745" i="3"/>
  <c r="C2745" i="3"/>
  <c r="D2745" i="3"/>
  <c r="E2745" i="3"/>
  <c r="G2745" i="3" s="1"/>
  <c r="A2746" i="3"/>
  <c r="B2746" i="3"/>
  <c r="C2746" i="3"/>
  <c r="D2746" i="3"/>
  <c r="E2746" i="3"/>
  <c r="A2747" i="3"/>
  <c r="B2747" i="3"/>
  <c r="C2747" i="3"/>
  <c r="D2747" i="3"/>
  <c r="E2747" i="3"/>
  <c r="A2748" i="3"/>
  <c r="B2748" i="3"/>
  <c r="C2748" i="3"/>
  <c r="D2748" i="3"/>
  <c r="E2748" i="3"/>
  <c r="A2749" i="3"/>
  <c r="B2749" i="3"/>
  <c r="C2749" i="3"/>
  <c r="D2749" i="3"/>
  <c r="E2749" i="3"/>
  <c r="A2750" i="3"/>
  <c r="B2750" i="3"/>
  <c r="C2750" i="3"/>
  <c r="D2750" i="3"/>
  <c r="E2750" i="3"/>
  <c r="A2751" i="3"/>
  <c r="B2751" i="3"/>
  <c r="C2751" i="3"/>
  <c r="D2751" i="3"/>
  <c r="E2751" i="3"/>
  <c r="A2752" i="3"/>
  <c r="B2752" i="3"/>
  <c r="C2752" i="3"/>
  <c r="D2752" i="3"/>
  <c r="E2752" i="3"/>
  <c r="A2753" i="3"/>
  <c r="B2753" i="3"/>
  <c r="C2753" i="3"/>
  <c r="D2753" i="3"/>
  <c r="E2753" i="3"/>
  <c r="A2754" i="3"/>
  <c r="B2754" i="3"/>
  <c r="C2754" i="3"/>
  <c r="D2754" i="3"/>
  <c r="E2754" i="3"/>
  <c r="A2755" i="3"/>
  <c r="B2755" i="3"/>
  <c r="C2755" i="3"/>
  <c r="F2755" i="3" s="1"/>
  <c r="D2755" i="3"/>
  <c r="E2755" i="3"/>
  <c r="A2756" i="3"/>
  <c r="B2756" i="3"/>
  <c r="C2756" i="3"/>
  <c r="D2756" i="3"/>
  <c r="E2756" i="3"/>
  <c r="A2757" i="3"/>
  <c r="B2757" i="3"/>
  <c r="C2757" i="3"/>
  <c r="D2757" i="3"/>
  <c r="E2757" i="3"/>
  <c r="G2757" i="3" s="1"/>
  <c r="A2758" i="3"/>
  <c r="B2758" i="3"/>
  <c r="C2758" i="3"/>
  <c r="D2758" i="3"/>
  <c r="E2758" i="3"/>
  <c r="A2759" i="3"/>
  <c r="B2759" i="3"/>
  <c r="C2759" i="3"/>
  <c r="D2759" i="3"/>
  <c r="E2759" i="3"/>
  <c r="A2760" i="3"/>
  <c r="B2760" i="3"/>
  <c r="C2760" i="3"/>
  <c r="D2760" i="3"/>
  <c r="E2760" i="3"/>
  <c r="A2761" i="3"/>
  <c r="B2761" i="3"/>
  <c r="C2761" i="3"/>
  <c r="D2761" i="3"/>
  <c r="E2761" i="3"/>
  <c r="A2762" i="3"/>
  <c r="B2762" i="3"/>
  <c r="C2762" i="3"/>
  <c r="D2762" i="3"/>
  <c r="E2762" i="3"/>
  <c r="A2763" i="3"/>
  <c r="B2763" i="3"/>
  <c r="C2763" i="3"/>
  <c r="D2763" i="3"/>
  <c r="E2763" i="3"/>
  <c r="A2764" i="3"/>
  <c r="B2764" i="3"/>
  <c r="C2764" i="3"/>
  <c r="D2764" i="3"/>
  <c r="E2764" i="3"/>
  <c r="A2765" i="3"/>
  <c r="B2765" i="3"/>
  <c r="C2765" i="3"/>
  <c r="D2765" i="3"/>
  <c r="E2765" i="3"/>
  <c r="A2766" i="3"/>
  <c r="B2766" i="3"/>
  <c r="C2766" i="3"/>
  <c r="D2766" i="3"/>
  <c r="E2766" i="3"/>
  <c r="A2767" i="3"/>
  <c r="B2767" i="3"/>
  <c r="C2767" i="3"/>
  <c r="F2767" i="3" s="1"/>
  <c r="D2767" i="3"/>
  <c r="E2767" i="3"/>
  <c r="A2768" i="3"/>
  <c r="B2768" i="3"/>
  <c r="C2768" i="3"/>
  <c r="D2768" i="3"/>
  <c r="E2768" i="3"/>
  <c r="A2769" i="3"/>
  <c r="B2769" i="3"/>
  <c r="C2769" i="3"/>
  <c r="D2769" i="3"/>
  <c r="E2769" i="3"/>
  <c r="G2769" i="3" s="1"/>
  <c r="A2770" i="3"/>
  <c r="B2770" i="3"/>
  <c r="C2770" i="3"/>
  <c r="D2770" i="3"/>
  <c r="E2770" i="3"/>
  <c r="A2771" i="3"/>
  <c r="B2771" i="3"/>
  <c r="C2771" i="3"/>
  <c r="D2771" i="3"/>
  <c r="E2771" i="3"/>
  <c r="A2772" i="3"/>
  <c r="B2772" i="3"/>
  <c r="C2772" i="3"/>
  <c r="D2772" i="3"/>
  <c r="E2772" i="3"/>
  <c r="A2773" i="3"/>
  <c r="B2773" i="3"/>
  <c r="C2773" i="3"/>
  <c r="D2773" i="3"/>
  <c r="E2773" i="3"/>
  <c r="A2774" i="3"/>
  <c r="B2774" i="3"/>
  <c r="C2774" i="3"/>
  <c r="D2774" i="3"/>
  <c r="E2774" i="3"/>
  <c r="A2775" i="3"/>
  <c r="B2775" i="3"/>
  <c r="C2775" i="3"/>
  <c r="D2775" i="3"/>
  <c r="E2775" i="3"/>
  <c r="A2776" i="3"/>
  <c r="B2776" i="3"/>
  <c r="C2776" i="3"/>
  <c r="D2776" i="3"/>
  <c r="E2776" i="3"/>
  <c r="A2777" i="3"/>
  <c r="B2777" i="3"/>
  <c r="C2777" i="3"/>
  <c r="D2777" i="3"/>
  <c r="E2777" i="3"/>
  <c r="A2778" i="3"/>
  <c r="B2778" i="3"/>
  <c r="C2778" i="3"/>
  <c r="D2778" i="3"/>
  <c r="E2778" i="3"/>
  <c r="A2779" i="3"/>
  <c r="B2779" i="3"/>
  <c r="C2779" i="3"/>
  <c r="F2779" i="3" s="1"/>
  <c r="D2779" i="3"/>
  <c r="E2779" i="3"/>
  <c r="A2780" i="3"/>
  <c r="B2780" i="3"/>
  <c r="C2780" i="3"/>
  <c r="D2780" i="3"/>
  <c r="E2780" i="3"/>
  <c r="A2781" i="3"/>
  <c r="B2781" i="3"/>
  <c r="C2781" i="3"/>
  <c r="D2781" i="3"/>
  <c r="E2781" i="3"/>
  <c r="G2781" i="3" s="1"/>
  <c r="A2782" i="3"/>
  <c r="B2782" i="3"/>
  <c r="C2782" i="3"/>
  <c r="D2782" i="3"/>
  <c r="E2782" i="3"/>
  <c r="A2783" i="3"/>
  <c r="B2783" i="3"/>
  <c r="C2783" i="3"/>
  <c r="D2783" i="3"/>
  <c r="E2783" i="3"/>
  <c r="A2784" i="3"/>
  <c r="B2784" i="3"/>
  <c r="C2784" i="3"/>
  <c r="D2784" i="3"/>
  <c r="E2784" i="3"/>
  <c r="A2785" i="3"/>
  <c r="B2785" i="3"/>
  <c r="C2785" i="3"/>
  <c r="D2785" i="3"/>
  <c r="E2785" i="3"/>
  <c r="A2786" i="3"/>
  <c r="B2786" i="3"/>
  <c r="C2786" i="3"/>
  <c r="D2786" i="3"/>
  <c r="E2786" i="3"/>
  <c r="A2787" i="3"/>
  <c r="B2787" i="3"/>
  <c r="C2787" i="3"/>
  <c r="D2787" i="3"/>
  <c r="E2787" i="3"/>
  <c r="A2788" i="3"/>
  <c r="B2788" i="3"/>
  <c r="C2788" i="3"/>
  <c r="D2788" i="3"/>
  <c r="E2788" i="3"/>
  <c r="A2789" i="3"/>
  <c r="B2789" i="3"/>
  <c r="C2789" i="3"/>
  <c r="D2789" i="3"/>
  <c r="E2789" i="3"/>
  <c r="A2790" i="3"/>
  <c r="B2790" i="3"/>
  <c r="C2790" i="3"/>
  <c r="D2790" i="3"/>
  <c r="E2790" i="3"/>
  <c r="A2791" i="3"/>
  <c r="B2791" i="3"/>
  <c r="C2791" i="3"/>
  <c r="F2791" i="3" s="1"/>
  <c r="D2791" i="3"/>
  <c r="E2791" i="3"/>
  <c r="A2792" i="3"/>
  <c r="B2792" i="3"/>
  <c r="C2792" i="3"/>
  <c r="D2792" i="3"/>
  <c r="E2792" i="3"/>
  <c r="A2793" i="3"/>
  <c r="B2793" i="3"/>
  <c r="C2793" i="3"/>
  <c r="D2793" i="3"/>
  <c r="E2793" i="3"/>
  <c r="G2793" i="3" s="1"/>
  <c r="A2794" i="3"/>
  <c r="B2794" i="3"/>
  <c r="C2794" i="3"/>
  <c r="D2794" i="3"/>
  <c r="E2794" i="3"/>
  <c r="A2795" i="3"/>
  <c r="B2795" i="3"/>
  <c r="C2795" i="3"/>
  <c r="D2795" i="3"/>
  <c r="E2795" i="3"/>
  <c r="A2796" i="3"/>
  <c r="B2796" i="3"/>
  <c r="C2796" i="3"/>
  <c r="D2796" i="3"/>
  <c r="E2796" i="3"/>
  <c r="A2797" i="3"/>
  <c r="B2797" i="3"/>
  <c r="C2797" i="3"/>
  <c r="D2797" i="3"/>
  <c r="E2797" i="3"/>
  <c r="A2798" i="3"/>
  <c r="B2798" i="3"/>
  <c r="C2798" i="3"/>
  <c r="D2798" i="3"/>
  <c r="E2798" i="3"/>
  <c r="A2799" i="3"/>
  <c r="B2799" i="3"/>
  <c r="C2799" i="3"/>
  <c r="D2799" i="3"/>
  <c r="E2799" i="3"/>
  <c r="A2800" i="3"/>
  <c r="B2800" i="3"/>
  <c r="C2800" i="3"/>
  <c r="D2800" i="3"/>
  <c r="E2800" i="3"/>
  <c r="A2801" i="3"/>
  <c r="B2801" i="3"/>
  <c r="C2801" i="3"/>
  <c r="D2801" i="3"/>
  <c r="E2801" i="3"/>
  <c r="A2802" i="3"/>
  <c r="B2802" i="3"/>
  <c r="C2802" i="3"/>
  <c r="D2802" i="3"/>
  <c r="E2802" i="3"/>
  <c r="A2803" i="3"/>
  <c r="B2803" i="3"/>
  <c r="C2803" i="3"/>
  <c r="F2803" i="3" s="1"/>
  <c r="D2803" i="3"/>
  <c r="E2803" i="3"/>
  <c r="A2804" i="3"/>
  <c r="B2804" i="3"/>
  <c r="C2804" i="3"/>
  <c r="D2804" i="3"/>
  <c r="E2804" i="3"/>
  <c r="A2805" i="3"/>
  <c r="B2805" i="3"/>
  <c r="C2805" i="3"/>
  <c r="D2805" i="3"/>
  <c r="E2805" i="3"/>
  <c r="G2805" i="3" s="1"/>
  <c r="A2806" i="3"/>
  <c r="B2806" i="3"/>
  <c r="C2806" i="3"/>
  <c r="D2806" i="3"/>
  <c r="E2806" i="3"/>
  <c r="A2807" i="3"/>
  <c r="B2807" i="3"/>
  <c r="C2807" i="3"/>
  <c r="D2807" i="3"/>
  <c r="E2807" i="3"/>
  <c r="A2808" i="3"/>
  <c r="B2808" i="3"/>
  <c r="C2808" i="3"/>
  <c r="D2808" i="3"/>
  <c r="E2808" i="3"/>
  <c r="A2809" i="3"/>
  <c r="B2809" i="3"/>
  <c r="C2809" i="3"/>
  <c r="D2809" i="3"/>
  <c r="E2809" i="3"/>
  <c r="A2810" i="3"/>
  <c r="B2810" i="3"/>
  <c r="C2810" i="3"/>
  <c r="D2810" i="3"/>
  <c r="E2810" i="3"/>
  <c r="A2811" i="3"/>
  <c r="B2811" i="3"/>
  <c r="C2811" i="3"/>
  <c r="D2811" i="3"/>
  <c r="E2811" i="3"/>
  <c r="A2812" i="3"/>
  <c r="B2812" i="3"/>
  <c r="C2812" i="3"/>
  <c r="D2812" i="3"/>
  <c r="E2812" i="3"/>
  <c r="A2813" i="3"/>
  <c r="B2813" i="3"/>
  <c r="C2813" i="3"/>
  <c r="D2813" i="3"/>
  <c r="E2813" i="3"/>
  <c r="A2814" i="3"/>
  <c r="B2814" i="3"/>
  <c r="C2814" i="3"/>
  <c r="D2814" i="3"/>
  <c r="E2814" i="3"/>
  <c r="A2815" i="3"/>
  <c r="B2815" i="3"/>
  <c r="C2815" i="3"/>
  <c r="F2815" i="3" s="1"/>
  <c r="D2815" i="3"/>
  <c r="E2815" i="3"/>
  <c r="A2816" i="3"/>
  <c r="B2816" i="3"/>
  <c r="C2816" i="3"/>
  <c r="D2816" i="3"/>
  <c r="E2816" i="3"/>
  <c r="A2817" i="3"/>
  <c r="B2817" i="3"/>
  <c r="C2817" i="3"/>
  <c r="D2817" i="3"/>
  <c r="E2817" i="3"/>
  <c r="G2817" i="3" s="1"/>
  <c r="A2818" i="3"/>
  <c r="B2818" i="3"/>
  <c r="C2818" i="3"/>
  <c r="D2818" i="3"/>
  <c r="E2818" i="3"/>
  <c r="A2819" i="3"/>
  <c r="B2819" i="3"/>
  <c r="C2819" i="3"/>
  <c r="D2819" i="3"/>
  <c r="E2819" i="3"/>
  <c r="A2820" i="3"/>
  <c r="B2820" i="3"/>
  <c r="C2820" i="3"/>
  <c r="D2820" i="3"/>
  <c r="E2820" i="3"/>
  <c r="A2821" i="3"/>
  <c r="B2821" i="3"/>
  <c r="C2821" i="3"/>
  <c r="D2821" i="3"/>
  <c r="E2821" i="3"/>
  <c r="A2822" i="3"/>
  <c r="B2822" i="3"/>
  <c r="C2822" i="3"/>
  <c r="D2822" i="3"/>
  <c r="E2822" i="3"/>
  <c r="A2823" i="3"/>
  <c r="B2823" i="3"/>
  <c r="C2823" i="3"/>
  <c r="D2823" i="3"/>
  <c r="E2823" i="3"/>
  <c r="A2824" i="3"/>
  <c r="B2824" i="3"/>
  <c r="C2824" i="3"/>
  <c r="D2824" i="3"/>
  <c r="E2824" i="3"/>
  <c r="A2825" i="3"/>
  <c r="B2825" i="3"/>
  <c r="C2825" i="3"/>
  <c r="D2825" i="3"/>
  <c r="E2825" i="3"/>
  <c r="A2826" i="3"/>
  <c r="B2826" i="3"/>
  <c r="C2826" i="3"/>
  <c r="D2826" i="3"/>
  <c r="E2826" i="3"/>
  <c r="A2827" i="3"/>
  <c r="B2827" i="3"/>
  <c r="C2827" i="3"/>
  <c r="F2827" i="3" s="1"/>
  <c r="D2827" i="3"/>
  <c r="E2827" i="3"/>
  <c r="A2828" i="3"/>
  <c r="B2828" i="3"/>
  <c r="C2828" i="3"/>
  <c r="D2828" i="3"/>
  <c r="E2828" i="3"/>
  <c r="A2829" i="3"/>
  <c r="B2829" i="3"/>
  <c r="C2829" i="3"/>
  <c r="D2829" i="3"/>
  <c r="E2829" i="3"/>
  <c r="G2829" i="3" s="1"/>
  <c r="A2830" i="3"/>
  <c r="B2830" i="3"/>
  <c r="C2830" i="3"/>
  <c r="D2830" i="3"/>
  <c r="E2830" i="3"/>
  <c r="A2831" i="3"/>
  <c r="B2831" i="3"/>
  <c r="C2831" i="3"/>
  <c r="D2831" i="3"/>
  <c r="E2831" i="3"/>
  <c r="A2832" i="3"/>
  <c r="B2832" i="3"/>
  <c r="C2832" i="3"/>
  <c r="D2832" i="3"/>
  <c r="E2832" i="3"/>
  <c r="A2833" i="3"/>
  <c r="B2833" i="3"/>
  <c r="C2833" i="3"/>
  <c r="D2833" i="3"/>
  <c r="E2833" i="3"/>
  <c r="A2834" i="3"/>
  <c r="B2834" i="3"/>
  <c r="C2834" i="3"/>
  <c r="D2834" i="3"/>
  <c r="E2834" i="3"/>
  <c r="A2835" i="3"/>
  <c r="B2835" i="3"/>
  <c r="C2835" i="3"/>
  <c r="D2835" i="3"/>
  <c r="E2835" i="3"/>
  <c r="A2836" i="3"/>
  <c r="B2836" i="3"/>
  <c r="C2836" i="3"/>
  <c r="D2836" i="3"/>
  <c r="E2836" i="3"/>
  <c r="A2837" i="3"/>
  <c r="B2837" i="3"/>
  <c r="C2837" i="3"/>
  <c r="D2837" i="3"/>
  <c r="E2837" i="3"/>
  <c r="A2838" i="3"/>
  <c r="B2838" i="3"/>
  <c r="C2838" i="3"/>
  <c r="D2838" i="3"/>
  <c r="E2838" i="3"/>
  <c r="A2839" i="3"/>
  <c r="B2839" i="3"/>
  <c r="C2839" i="3"/>
  <c r="F2839" i="3" s="1"/>
  <c r="D2839" i="3"/>
  <c r="E2839" i="3"/>
  <c r="A2840" i="3"/>
  <c r="B2840" i="3"/>
  <c r="C2840" i="3"/>
  <c r="D2840" i="3"/>
  <c r="E2840" i="3"/>
  <c r="A2841" i="3"/>
  <c r="B2841" i="3"/>
  <c r="C2841" i="3"/>
  <c r="D2841" i="3"/>
  <c r="E2841" i="3"/>
  <c r="G2841" i="3" s="1"/>
  <c r="A2842" i="3"/>
  <c r="B2842" i="3"/>
  <c r="C2842" i="3"/>
  <c r="D2842" i="3"/>
  <c r="E2842" i="3"/>
  <c r="A2843" i="3"/>
  <c r="B2843" i="3"/>
  <c r="C2843" i="3"/>
  <c r="D2843" i="3"/>
  <c r="E2843" i="3"/>
  <c r="A2844" i="3"/>
  <c r="B2844" i="3"/>
  <c r="C2844" i="3"/>
  <c r="D2844" i="3"/>
  <c r="E2844" i="3"/>
  <c r="A2845" i="3"/>
  <c r="B2845" i="3"/>
  <c r="C2845" i="3"/>
  <c r="D2845" i="3"/>
  <c r="E2845" i="3"/>
  <c r="A2846" i="3"/>
  <c r="B2846" i="3"/>
  <c r="C2846" i="3"/>
  <c r="D2846" i="3"/>
  <c r="E2846" i="3"/>
  <c r="A2847" i="3"/>
  <c r="B2847" i="3"/>
  <c r="C2847" i="3"/>
  <c r="D2847" i="3"/>
  <c r="E2847" i="3"/>
  <c r="A2848" i="3"/>
  <c r="B2848" i="3"/>
  <c r="C2848" i="3"/>
  <c r="D2848" i="3"/>
  <c r="E2848" i="3"/>
  <c r="A2849" i="3"/>
  <c r="B2849" i="3"/>
  <c r="C2849" i="3"/>
  <c r="D2849" i="3"/>
  <c r="E2849" i="3"/>
  <c r="A2850" i="3"/>
  <c r="B2850" i="3"/>
  <c r="C2850" i="3"/>
  <c r="D2850" i="3"/>
  <c r="E2850" i="3"/>
  <c r="A2851" i="3"/>
  <c r="B2851" i="3"/>
  <c r="C2851" i="3"/>
  <c r="F2851" i="3" s="1"/>
  <c r="D2851" i="3"/>
  <c r="E2851" i="3"/>
  <c r="A2852" i="3"/>
  <c r="B2852" i="3"/>
  <c r="C2852" i="3"/>
  <c r="D2852" i="3"/>
  <c r="E2852" i="3"/>
  <c r="A2853" i="3"/>
  <c r="B2853" i="3"/>
  <c r="C2853" i="3"/>
  <c r="D2853" i="3"/>
  <c r="E2853" i="3"/>
  <c r="G2853" i="3" s="1"/>
  <c r="A2854" i="3"/>
  <c r="B2854" i="3"/>
  <c r="C2854" i="3"/>
  <c r="D2854" i="3"/>
  <c r="E2854" i="3"/>
  <c r="A2855" i="3"/>
  <c r="B2855" i="3"/>
  <c r="C2855" i="3"/>
  <c r="D2855" i="3"/>
  <c r="E2855" i="3"/>
  <c r="A2856" i="3"/>
  <c r="B2856" i="3"/>
  <c r="C2856" i="3"/>
  <c r="D2856" i="3"/>
  <c r="E2856" i="3"/>
  <c r="A2857" i="3"/>
  <c r="B2857" i="3"/>
  <c r="C2857" i="3"/>
  <c r="D2857" i="3"/>
  <c r="E2857" i="3"/>
  <c r="A2858" i="3"/>
  <c r="B2858" i="3"/>
  <c r="C2858" i="3"/>
  <c r="D2858" i="3"/>
  <c r="E2858" i="3"/>
  <c r="A2859" i="3"/>
  <c r="B2859" i="3"/>
  <c r="C2859" i="3"/>
  <c r="D2859" i="3"/>
  <c r="E2859" i="3"/>
  <c r="A2860" i="3"/>
  <c r="B2860" i="3"/>
  <c r="C2860" i="3"/>
  <c r="D2860" i="3"/>
  <c r="E2860" i="3"/>
  <c r="A2861" i="3"/>
  <c r="B2861" i="3"/>
  <c r="C2861" i="3"/>
  <c r="D2861" i="3"/>
  <c r="E2861" i="3"/>
  <c r="A2862" i="3"/>
  <c r="B2862" i="3"/>
  <c r="C2862" i="3"/>
  <c r="D2862" i="3"/>
  <c r="E2862" i="3"/>
  <c r="A2863" i="3"/>
  <c r="B2863" i="3"/>
  <c r="C2863" i="3"/>
  <c r="F2863" i="3" s="1"/>
  <c r="D2863" i="3"/>
  <c r="E2863" i="3"/>
  <c r="A2864" i="3"/>
  <c r="B2864" i="3"/>
  <c r="C2864" i="3"/>
  <c r="D2864" i="3"/>
  <c r="E2864" i="3"/>
  <c r="A2865" i="3"/>
  <c r="B2865" i="3"/>
  <c r="C2865" i="3"/>
  <c r="D2865" i="3"/>
  <c r="E2865" i="3"/>
  <c r="G2865" i="3" s="1"/>
  <c r="A2866" i="3"/>
  <c r="B2866" i="3"/>
  <c r="C2866" i="3"/>
  <c r="D2866" i="3"/>
  <c r="E2866" i="3"/>
  <c r="A2867" i="3"/>
  <c r="B2867" i="3"/>
  <c r="C2867" i="3"/>
  <c r="D2867" i="3"/>
  <c r="E2867" i="3"/>
  <c r="A2868" i="3"/>
  <c r="B2868" i="3"/>
  <c r="C2868" i="3"/>
  <c r="D2868" i="3"/>
  <c r="E2868" i="3"/>
  <c r="A2869" i="3"/>
  <c r="B2869" i="3"/>
  <c r="C2869" i="3"/>
  <c r="D2869" i="3"/>
  <c r="E2869" i="3"/>
  <c r="A2870" i="3"/>
  <c r="B2870" i="3"/>
  <c r="C2870" i="3"/>
  <c r="D2870" i="3"/>
  <c r="E2870" i="3"/>
  <c r="A2871" i="3"/>
  <c r="B2871" i="3"/>
  <c r="C2871" i="3"/>
  <c r="D2871" i="3"/>
  <c r="E2871" i="3"/>
  <c r="A2872" i="3"/>
  <c r="B2872" i="3"/>
  <c r="C2872" i="3"/>
  <c r="D2872" i="3"/>
  <c r="E2872" i="3"/>
  <c r="A2873" i="3"/>
  <c r="B2873" i="3"/>
  <c r="C2873" i="3"/>
  <c r="D2873" i="3"/>
  <c r="E2873" i="3"/>
  <c r="A2874" i="3"/>
  <c r="B2874" i="3"/>
  <c r="C2874" i="3"/>
  <c r="D2874" i="3"/>
  <c r="E2874" i="3"/>
  <c r="A2875" i="3"/>
  <c r="B2875" i="3"/>
  <c r="C2875" i="3"/>
  <c r="F2875" i="3" s="1"/>
  <c r="D2875" i="3"/>
  <c r="E2875" i="3"/>
  <c r="A2876" i="3"/>
  <c r="B2876" i="3"/>
  <c r="C2876" i="3"/>
  <c r="D2876" i="3"/>
  <c r="E2876" i="3"/>
  <c r="A2877" i="3"/>
  <c r="B2877" i="3"/>
  <c r="C2877" i="3"/>
  <c r="D2877" i="3"/>
  <c r="E2877" i="3"/>
  <c r="G2877" i="3" s="1"/>
  <c r="A2878" i="3"/>
  <c r="B2878" i="3"/>
  <c r="C2878" i="3"/>
  <c r="D2878" i="3"/>
  <c r="E2878" i="3"/>
  <c r="A2879" i="3"/>
  <c r="B2879" i="3"/>
  <c r="C2879" i="3"/>
  <c r="D2879" i="3"/>
  <c r="E2879" i="3"/>
  <c r="A2880" i="3"/>
  <c r="B2880" i="3"/>
  <c r="C2880" i="3"/>
  <c r="D2880" i="3"/>
  <c r="E2880" i="3"/>
  <c r="A2881" i="3"/>
  <c r="B2881" i="3"/>
  <c r="C2881" i="3"/>
  <c r="D2881" i="3"/>
  <c r="E2881" i="3"/>
  <c r="A2882" i="3"/>
  <c r="B2882" i="3"/>
  <c r="C2882" i="3"/>
  <c r="D2882" i="3"/>
  <c r="E2882" i="3"/>
  <c r="A2883" i="3"/>
  <c r="B2883" i="3"/>
  <c r="C2883" i="3"/>
  <c r="D2883" i="3"/>
  <c r="E2883" i="3"/>
  <c r="A2884" i="3"/>
  <c r="B2884" i="3"/>
  <c r="C2884" i="3"/>
  <c r="D2884" i="3"/>
  <c r="E2884" i="3"/>
  <c r="A2885" i="3"/>
  <c r="B2885" i="3"/>
  <c r="C2885" i="3"/>
  <c r="D2885" i="3"/>
  <c r="E2885" i="3"/>
  <c r="A2886" i="3"/>
  <c r="B2886" i="3"/>
  <c r="C2886" i="3"/>
  <c r="D2886" i="3"/>
  <c r="E2886" i="3"/>
  <c r="A2887" i="3"/>
  <c r="B2887" i="3"/>
  <c r="C2887" i="3"/>
  <c r="F2887" i="3" s="1"/>
  <c r="D2887" i="3"/>
  <c r="E2887" i="3"/>
  <c r="A2888" i="3"/>
  <c r="B2888" i="3"/>
  <c r="C2888" i="3"/>
  <c r="D2888" i="3"/>
  <c r="E2888" i="3"/>
  <c r="A2889" i="3"/>
  <c r="B2889" i="3"/>
  <c r="C2889" i="3"/>
  <c r="D2889" i="3"/>
  <c r="E2889" i="3"/>
  <c r="G2889" i="3" s="1"/>
  <c r="A2890" i="3"/>
  <c r="B2890" i="3"/>
  <c r="C2890" i="3"/>
  <c r="D2890" i="3"/>
  <c r="E2890" i="3"/>
  <c r="A2891" i="3"/>
  <c r="B2891" i="3"/>
  <c r="C2891" i="3"/>
  <c r="D2891" i="3"/>
  <c r="E2891" i="3"/>
  <c r="A2892" i="3"/>
  <c r="B2892" i="3"/>
  <c r="C2892" i="3"/>
  <c r="D2892" i="3"/>
  <c r="E2892" i="3"/>
  <c r="A2893" i="3"/>
  <c r="B2893" i="3"/>
  <c r="C2893" i="3"/>
  <c r="D2893" i="3"/>
  <c r="E2893" i="3"/>
  <c r="A2894" i="3"/>
  <c r="B2894" i="3"/>
  <c r="C2894" i="3"/>
  <c r="D2894" i="3"/>
  <c r="E2894" i="3"/>
  <c r="A2895" i="3"/>
  <c r="B2895" i="3"/>
  <c r="C2895" i="3"/>
  <c r="D2895" i="3"/>
  <c r="E2895" i="3"/>
  <c r="A2896" i="3"/>
  <c r="B2896" i="3"/>
  <c r="C2896" i="3"/>
  <c r="D2896" i="3"/>
  <c r="E2896" i="3"/>
  <c r="A2897" i="3"/>
  <c r="B2897" i="3"/>
  <c r="C2897" i="3"/>
  <c r="D2897" i="3"/>
  <c r="E2897" i="3"/>
  <c r="A2898" i="3"/>
  <c r="B2898" i="3"/>
  <c r="C2898" i="3"/>
  <c r="D2898" i="3"/>
  <c r="E2898" i="3"/>
  <c r="A2899" i="3"/>
  <c r="B2899" i="3"/>
  <c r="C2899" i="3"/>
  <c r="D2899" i="3"/>
  <c r="E2899" i="3"/>
  <c r="A2900" i="3"/>
  <c r="B2900" i="3"/>
  <c r="C2900" i="3"/>
  <c r="D2900" i="3"/>
  <c r="E2900" i="3"/>
  <c r="A2901" i="3"/>
  <c r="B2901" i="3"/>
  <c r="C2901" i="3"/>
  <c r="D2901" i="3"/>
  <c r="E2901" i="3"/>
  <c r="A2902" i="3"/>
  <c r="B2902" i="3"/>
  <c r="C2902" i="3"/>
  <c r="D2902" i="3"/>
  <c r="E2902" i="3"/>
  <c r="A2903" i="3"/>
  <c r="B2903" i="3"/>
  <c r="C2903" i="3"/>
  <c r="D2903" i="3"/>
  <c r="E2903" i="3"/>
  <c r="A2904" i="3"/>
  <c r="B2904" i="3"/>
  <c r="C2904" i="3"/>
  <c r="D2904" i="3"/>
  <c r="E2904" i="3"/>
  <c r="A2905" i="3"/>
  <c r="B2905" i="3"/>
  <c r="C2905" i="3"/>
  <c r="D2905" i="3"/>
  <c r="E2905" i="3"/>
  <c r="A2906" i="3"/>
  <c r="B2906" i="3"/>
  <c r="C2906" i="3"/>
  <c r="D2906" i="3"/>
  <c r="E2906" i="3"/>
  <c r="A2907" i="3"/>
  <c r="B2907" i="3"/>
  <c r="C2907" i="3"/>
  <c r="D2907" i="3"/>
  <c r="E2907" i="3"/>
  <c r="A2908" i="3"/>
  <c r="B2908" i="3"/>
  <c r="C2908" i="3"/>
  <c r="D2908" i="3"/>
  <c r="E2908" i="3"/>
  <c r="A2909" i="3"/>
  <c r="B2909" i="3"/>
  <c r="C2909" i="3"/>
  <c r="D2909" i="3"/>
  <c r="E2909" i="3"/>
  <c r="A2910" i="3"/>
  <c r="B2910" i="3"/>
  <c r="C2910" i="3"/>
  <c r="D2910" i="3"/>
  <c r="E2910" i="3"/>
  <c r="A2911" i="3"/>
  <c r="B2911" i="3"/>
  <c r="C2911" i="3"/>
  <c r="D2911" i="3"/>
  <c r="E2911" i="3"/>
  <c r="A2912" i="3"/>
  <c r="B2912" i="3"/>
  <c r="C2912" i="3"/>
  <c r="D2912" i="3"/>
  <c r="E2912" i="3"/>
  <c r="A2913" i="3"/>
  <c r="B2913" i="3"/>
  <c r="C2913" i="3"/>
  <c r="D2913" i="3"/>
  <c r="E2913" i="3"/>
  <c r="A2914" i="3"/>
  <c r="B2914" i="3"/>
  <c r="C2914" i="3"/>
  <c r="D2914" i="3"/>
  <c r="E2914" i="3"/>
  <c r="A2915" i="3"/>
  <c r="B2915" i="3"/>
  <c r="C2915" i="3"/>
  <c r="D2915" i="3"/>
  <c r="E2915" i="3"/>
  <c r="A2916" i="3"/>
  <c r="B2916" i="3"/>
  <c r="C2916" i="3"/>
  <c r="D2916" i="3"/>
  <c r="E2916" i="3"/>
  <c r="A2917" i="3"/>
  <c r="B2917" i="3"/>
  <c r="C2917" i="3"/>
  <c r="D2917" i="3"/>
  <c r="E2917" i="3"/>
  <c r="A2918" i="3"/>
  <c r="B2918" i="3"/>
  <c r="C2918" i="3"/>
  <c r="D2918" i="3"/>
  <c r="E2918" i="3"/>
  <c r="A2919" i="3"/>
  <c r="B2919" i="3"/>
  <c r="C2919" i="3"/>
  <c r="D2919" i="3"/>
  <c r="E2919" i="3"/>
  <c r="A2920" i="3"/>
  <c r="B2920" i="3"/>
  <c r="C2920" i="3"/>
  <c r="D2920" i="3"/>
  <c r="E2920" i="3"/>
  <c r="A2921" i="3"/>
  <c r="B2921" i="3"/>
  <c r="C2921" i="3"/>
  <c r="D2921" i="3"/>
  <c r="E2921" i="3"/>
  <c r="A2922" i="3"/>
  <c r="B2922" i="3"/>
  <c r="C2922" i="3"/>
  <c r="D2922" i="3"/>
  <c r="E2922" i="3"/>
  <c r="A2923" i="3"/>
  <c r="B2923" i="3"/>
  <c r="C2923" i="3"/>
  <c r="F2923" i="3" s="1"/>
  <c r="D2923" i="3"/>
  <c r="E2923" i="3"/>
  <c r="A2924" i="3"/>
  <c r="B2924" i="3"/>
  <c r="C2924" i="3"/>
  <c r="D2924" i="3"/>
  <c r="E2924" i="3"/>
  <c r="A2925" i="3"/>
  <c r="B2925" i="3"/>
  <c r="C2925" i="3"/>
  <c r="D2925" i="3"/>
  <c r="E2925" i="3"/>
  <c r="G2925" i="3" s="1"/>
  <c r="A2926" i="3"/>
  <c r="B2926" i="3"/>
  <c r="C2926" i="3"/>
  <c r="D2926" i="3"/>
  <c r="E2926" i="3"/>
  <c r="A2927" i="3"/>
  <c r="B2927" i="3"/>
  <c r="C2927" i="3"/>
  <c r="D2927" i="3"/>
  <c r="E2927" i="3"/>
  <c r="A2928" i="3"/>
  <c r="B2928" i="3"/>
  <c r="C2928" i="3"/>
  <c r="D2928" i="3"/>
  <c r="E2928" i="3"/>
  <c r="A2929" i="3"/>
  <c r="B2929" i="3"/>
  <c r="C2929" i="3"/>
  <c r="D2929" i="3"/>
  <c r="E2929" i="3"/>
  <c r="A2930" i="3"/>
  <c r="B2930" i="3"/>
  <c r="C2930" i="3"/>
  <c r="D2930" i="3"/>
  <c r="E2930" i="3"/>
  <c r="A2931" i="3"/>
  <c r="B2931" i="3"/>
  <c r="C2931" i="3"/>
  <c r="D2931" i="3"/>
  <c r="E2931" i="3"/>
  <c r="A2932" i="3"/>
  <c r="B2932" i="3"/>
  <c r="C2932" i="3"/>
  <c r="D2932" i="3"/>
  <c r="E2932" i="3"/>
  <c r="A2933" i="3"/>
  <c r="B2933" i="3"/>
  <c r="C2933" i="3"/>
  <c r="D2933" i="3"/>
  <c r="E2933" i="3"/>
  <c r="A2934" i="3"/>
  <c r="B2934" i="3"/>
  <c r="C2934" i="3"/>
  <c r="D2934" i="3"/>
  <c r="E2934" i="3"/>
  <c r="A2935" i="3"/>
  <c r="B2935" i="3"/>
  <c r="C2935" i="3"/>
  <c r="F2935" i="3" s="1"/>
  <c r="D2935" i="3"/>
  <c r="E2935" i="3"/>
  <c r="A2936" i="3"/>
  <c r="B2936" i="3"/>
  <c r="C2936" i="3"/>
  <c r="D2936" i="3"/>
  <c r="E2936" i="3"/>
  <c r="A2937" i="3"/>
  <c r="B2937" i="3"/>
  <c r="C2937" i="3"/>
  <c r="D2937" i="3"/>
  <c r="E2937" i="3"/>
  <c r="G2937" i="3" s="1"/>
  <c r="A2938" i="3"/>
  <c r="B2938" i="3"/>
  <c r="C2938" i="3"/>
  <c r="D2938" i="3"/>
  <c r="E2938" i="3"/>
  <c r="A2939" i="3"/>
  <c r="B2939" i="3"/>
  <c r="C2939" i="3"/>
  <c r="D2939" i="3"/>
  <c r="E2939" i="3"/>
  <c r="A2940" i="3"/>
  <c r="B2940" i="3"/>
  <c r="C2940" i="3"/>
  <c r="D2940" i="3"/>
  <c r="E2940" i="3"/>
  <c r="A2941" i="3"/>
  <c r="B2941" i="3"/>
  <c r="C2941" i="3"/>
  <c r="D2941" i="3"/>
  <c r="E2941" i="3"/>
  <c r="A2942" i="3"/>
  <c r="B2942" i="3"/>
  <c r="C2942" i="3"/>
  <c r="D2942" i="3"/>
  <c r="E2942" i="3"/>
  <c r="A2943" i="3"/>
  <c r="B2943" i="3"/>
  <c r="C2943" i="3"/>
  <c r="D2943" i="3"/>
  <c r="E2943" i="3"/>
  <c r="A2944" i="3"/>
  <c r="B2944" i="3"/>
  <c r="C2944" i="3"/>
  <c r="D2944" i="3"/>
  <c r="E2944" i="3"/>
  <c r="A2945" i="3"/>
  <c r="B2945" i="3"/>
  <c r="C2945" i="3"/>
  <c r="D2945" i="3"/>
  <c r="E2945" i="3"/>
  <c r="A2946" i="3"/>
  <c r="B2946" i="3"/>
  <c r="C2946" i="3"/>
  <c r="D2946" i="3"/>
  <c r="E2946" i="3"/>
  <c r="A2947" i="3"/>
  <c r="B2947" i="3"/>
  <c r="C2947" i="3"/>
  <c r="F2947" i="3" s="1"/>
  <c r="D2947" i="3"/>
  <c r="E2947" i="3"/>
  <c r="A2948" i="3"/>
  <c r="B2948" i="3"/>
  <c r="C2948" i="3"/>
  <c r="D2948" i="3"/>
  <c r="E2948" i="3"/>
  <c r="A2949" i="3"/>
  <c r="B2949" i="3"/>
  <c r="C2949" i="3"/>
  <c r="D2949" i="3"/>
  <c r="E2949" i="3"/>
  <c r="G2949" i="3" s="1"/>
  <c r="A2950" i="3"/>
  <c r="B2950" i="3"/>
  <c r="C2950" i="3"/>
  <c r="D2950" i="3"/>
  <c r="E2950" i="3"/>
  <c r="A2951" i="3"/>
  <c r="B2951" i="3"/>
  <c r="C2951" i="3"/>
  <c r="D2951" i="3"/>
  <c r="E2951" i="3"/>
  <c r="A2952" i="3"/>
  <c r="B2952" i="3"/>
  <c r="C2952" i="3"/>
  <c r="D2952" i="3"/>
  <c r="E2952" i="3"/>
  <c r="A2953" i="3"/>
  <c r="B2953" i="3"/>
  <c r="C2953" i="3"/>
  <c r="D2953" i="3"/>
  <c r="E2953" i="3"/>
  <c r="A2954" i="3"/>
  <c r="B2954" i="3"/>
  <c r="C2954" i="3"/>
  <c r="D2954" i="3"/>
  <c r="E2954" i="3"/>
  <c r="A2955" i="3"/>
  <c r="B2955" i="3"/>
  <c r="C2955" i="3"/>
  <c r="D2955" i="3"/>
  <c r="E2955" i="3"/>
  <c r="A2956" i="3"/>
  <c r="B2956" i="3"/>
  <c r="C2956" i="3"/>
  <c r="D2956" i="3"/>
  <c r="E2956" i="3"/>
  <c r="A2957" i="3"/>
  <c r="B2957" i="3"/>
  <c r="C2957" i="3"/>
  <c r="D2957" i="3"/>
  <c r="E2957" i="3"/>
  <c r="A2958" i="3"/>
  <c r="B2958" i="3"/>
  <c r="C2958" i="3"/>
  <c r="D2958" i="3"/>
  <c r="E2958" i="3"/>
  <c r="A2959" i="3"/>
  <c r="B2959" i="3"/>
  <c r="C2959" i="3"/>
  <c r="D2959" i="3"/>
  <c r="E2959" i="3"/>
  <c r="A2960" i="3"/>
  <c r="B2960" i="3"/>
  <c r="C2960" i="3"/>
  <c r="D2960" i="3"/>
  <c r="E2960" i="3"/>
  <c r="A2961" i="3"/>
  <c r="B2961" i="3"/>
  <c r="C2961" i="3"/>
  <c r="D2961" i="3"/>
  <c r="E2961" i="3"/>
  <c r="G2961" i="3" s="1"/>
  <c r="A2962" i="3"/>
  <c r="B2962" i="3"/>
  <c r="C2962" i="3"/>
  <c r="D2962" i="3"/>
  <c r="E2962" i="3"/>
  <c r="A2963" i="3"/>
  <c r="B2963" i="3"/>
  <c r="C2963" i="3"/>
  <c r="D2963" i="3"/>
  <c r="E2963" i="3"/>
  <c r="A2964" i="3"/>
  <c r="B2964" i="3"/>
  <c r="C2964" i="3"/>
  <c r="D2964" i="3"/>
  <c r="E2964" i="3"/>
  <c r="A2965" i="3"/>
  <c r="B2965" i="3"/>
  <c r="C2965" i="3"/>
  <c r="D2965" i="3"/>
  <c r="E2965" i="3"/>
  <c r="A2966" i="3"/>
  <c r="B2966" i="3"/>
  <c r="C2966" i="3"/>
  <c r="D2966" i="3"/>
  <c r="E2966" i="3"/>
  <c r="A2967" i="3"/>
  <c r="B2967" i="3"/>
  <c r="C2967" i="3"/>
  <c r="D2967" i="3"/>
  <c r="E2967" i="3"/>
  <c r="A2968" i="3"/>
  <c r="B2968" i="3"/>
  <c r="C2968" i="3"/>
  <c r="D2968" i="3"/>
  <c r="E2968" i="3"/>
  <c r="A2969" i="3"/>
  <c r="B2969" i="3"/>
  <c r="C2969" i="3"/>
  <c r="D2969" i="3"/>
  <c r="E2969" i="3"/>
  <c r="A2970" i="3"/>
  <c r="B2970" i="3"/>
  <c r="C2970" i="3"/>
  <c r="D2970" i="3"/>
  <c r="E2970" i="3"/>
  <c r="A2971" i="3"/>
  <c r="B2971" i="3"/>
  <c r="C2971" i="3"/>
  <c r="D2971" i="3"/>
  <c r="E2971" i="3"/>
  <c r="A2972" i="3"/>
  <c r="B2972" i="3"/>
  <c r="C2972" i="3"/>
  <c r="D2972" i="3"/>
  <c r="E2972" i="3"/>
  <c r="A2973" i="3"/>
  <c r="B2973" i="3"/>
  <c r="C2973" i="3"/>
  <c r="D2973" i="3"/>
  <c r="E2973" i="3"/>
  <c r="A2974" i="3"/>
  <c r="B2974" i="3"/>
  <c r="C2974" i="3"/>
  <c r="D2974" i="3"/>
  <c r="E2974" i="3"/>
  <c r="A2975" i="3"/>
  <c r="B2975" i="3"/>
  <c r="C2975" i="3"/>
  <c r="D2975" i="3"/>
  <c r="E2975" i="3"/>
  <c r="A2976" i="3"/>
  <c r="B2976" i="3"/>
  <c r="C2976" i="3"/>
  <c r="D2976" i="3"/>
  <c r="E2976" i="3"/>
  <c r="A2977" i="3"/>
  <c r="B2977" i="3"/>
  <c r="C2977" i="3"/>
  <c r="D2977" i="3"/>
  <c r="E2977" i="3"/>
  <c r="A2978" i="3"/>
  <c r="B2978" i="3"/>
  <c r="C2978" i="3"/>
  <c r="D2978" i="3"/>
  <c r="E2978" i="3"/>
  <c r="A2979" i="3"/>
  <c r="B2979" i="3"/>
  <c r="C2979" i="3"/>
  <c r="D2979" i="3"/>
  <c r="E2979" i="3"/>
  <c r="A2980" i="3"/>
  <c r="B2980" i="3"/>
  <c r="C2980" i="3"/>
  <c r="D2980" i="3"/>
  <c r="E2980" i="3"/>
  <c r="A2981" i="3"/>
  <c r="B2981" i="3"/>
  <c r="C2981" i="3"/>
  <c r="D2981" i="3"/>
  <c r="E2981" i="3"/>
  <c r="A2982" i="3"/>
  <c r="B2982" i="3"/>
  <c r="C2982" i="3"/>
  <c r="D2982" i="3"/>
  <c r="E2982" i="3"/>
  <c r="A2983" i="3"/>
  <c r="B2983" i="3"/>
  <c r="C2983" i="3"/>
  <c r="D2983" i="3"/>
  <c r="E2983" i="3"/>
  <c r="A2984" i="3"/>
  <c r="B2984" i="3"/>
  <c r="C2984" i="3"/>
  <c r="D2984" i="3"/>
  <c r="E2984" i="3"/>
  <c r="A2985" i="3"/>
  <c r="B2985" i="3"/>
  <c r="C2985" i="3"/>
  <c r="D2985" i="3"/>
  <c r="E2985" i="3"/>
  <c r="G2985" i="3" s="1"/>
  <c r="A2986" i="3"/>
  <c r="B2986" i="3"/>
  <c r="C2986" i="3"/>
  <c r="D2986" i="3"/>
  <c r="E2986" i="3"/>
  <c r="A2987" i="3"/>
  <c r="B2987" i="3"/>
  <c r="C2987" i="3"/>
  <c r="D2987" i="3"/>
  <c r="E2987" i="3"/>
  <c r="A2988" i="3"/>
  <c r="B2988" i="3"/>
  <c r="C2988" i="3"/>
  <c r="D2988" i="3"/>
  <c r="E2988" i="3"/>
  <c r="A2989" i="3"/>
  <c r="B2989" i="3"/>
  <c r="C2989" i="3"/>
  <c r="D2989" i="3"/>
  <c r="E2989" i="3"/>
  <c r="A2990" i="3"/>
  <c r="B2990" i="3"/>
  <c r="C2990" i="3"/>
  <c r="D2990" i="3"/>
  <c r="E2990" i="3"/>
  <c r="A2991" i="3"/>
  <c r="B2991" i="3"/>
  <c r="C2991" i="3"/>
  <c r="D2991" i="3"/>
  <c r="E2991" i="3"/>
  <c r="A2992" i="3"/>
  <c r="B2992" i="3"/>
  <c r="C2992" i="3"/>
  <c r="D2992" i="3"/>
  <c r="E2992" i="3"/>
  <c r="A2993" i="3"/>
  <c r="B2993" i="3"/>
  <c r="C2993" i="3"/>
  <c r="D2993" i="3"/>
  <c r="E2993" i="3"/>
  <c r="A2994" i="3"/>
  <c r="B2994" i="3"/>
  <c r="C2994" i="3"/>
  <c r="D2994" i="3"/>
  <c r="E2994" i="3"/>
  <c r="A2995" i="3"/>
  <c r="B2995" i="3"/>
  <c r="C2995" i="3"/>
  <c r="D2995" i="3"/>
  <c r="E2995" i="3"/>
  <c r="A2996" i="3"/>
  <c r="B2996" i="3"/>
  <c r="C2996" i="3"/>
  <c r="F2996" i="3" s="1"/>
  <c r="D2996" i="3"/>
  <c r="E2996" i="3"/>
  <c r="A2997" i="3"/>
  <c r="B2997" i="3"/>
  <c r="C2997" i="3"/>
  <c r="D2997" i="3"/>
  <c r="E2997" i="3"/>
  <c r="G2997" i="3" s="1"/>
  <c r="A2998" i="3"/>
  <c r="B2998" i="3"/>
  <c r="C2998" i="3"/>
  <c r="D2998" i="3"/>
  <c r="E2998" i="3"/>
  <c r="G2998" i="3" s="1"/>
  <c r="A2999" i="3"/>
  <c r="B2999" i="3"/>
  <c r="C2999" i="3"/>
  <c r="D2999" i="3"/>
  <c r="E2999" i="3"/>
  <c r="A3000" i="3"/>
  <c r="B3000" i="3"/>
  <c r="C3000" i="3"/>
  <c r="D3000" i="3"/>
  <c r="E3000" i="3"/>
  <c r="A3001" i="3"/>
  <c r="B3001" i="3"/>
  <c r="C3001" i="3"/>
  <c r="D3001" i="3"/>
  <c r="E3001" i="3"/>
  <c r="A3002" i="3"/>
  <c r="B3002" i="3"/>
  <c r="C3002" i="3"/>
  <c r="D3002" i="3"/>
  <c r="E3002" i="3"/>
  <c r="A3003" i="3"/>
  <c r="B3003" i="3"/>
  <c r="C3003" i="3"/>
  <c r="D3003" i="3"/>
  <c r="E3003" i="3"/>
  <c r="A3004" i="3"/>
  <c r="B3004" i="3"/>
  <c r="C3004" i="3"/>
  <c r="D3004" i="3"/>
  <c r="E3004" i="3"/>
  <c r="A3005" i="3"/>
  <c r="B3005" i="3"/>
  <c r="C3005" i="3"/>
  <c r="D3005" i="3"/>
  <c r="E3005" i="3"/>
  <c r="A3006" i="3"/>
  <c r="B3006" i="3"/>
  <c r="C3006" i="3"/>
  <c r="D3006" i="3"/>
  <c r="E3006" i="3"/>
  <c r="A3007" i="3"/>
  <c r="B3007" i="3"/>
  <c r="C3007" i="3"/>
  <c r="D3007" i="3"/>
  <c r="E3007" i="3"/>
  <c r="A3008" i="3"/>
  <c r="B3008" i="3"/>
  <c r="C3008" i="3"/>
  <c r="F3008" i="3" s="1"/>
  <c r="D3008" i="3"/>
  <c r="E3008" i="3"/>
  <c r="A3009" i="3"/>
  <c r="B3009" i="3"/>
  <c r="C3009" i="3"/>
  <c r="D3009" i="3"/>
  <c r="E3009" i="3"/>
  <c r="G3009" i="3" s="1"/>
  <c r="A3010" i="3"/>
  <c r="B3010" i="3"/>
  <c r="C3010" i="3"/>
  <c r="D3010" i="3"/>
  <c r="E3010" i="3"/>
  <c r="G3010" i="3" s="1"/>
  <c r="A3011" i="3"/>
  <c r="B3011" i="3"/>
  <c r="C3011" i="3"/>
  <c r="D3011" i="3"/>
  <c r="E3011" i="3"/>
  <c r="A3012" i="3"/>
  <c r="B3012" i="3"/>
  <c r="C3012" i="3"/>
  <c r="D3012" i="3"/>
  <c r="E3012" i="3"/>
  <c r="A3013" i="3"/>
  <c r="B3013" i="3"/>
  <c r="C3013" i="3"/>
  <c r="D3013" i="3"/>
  <c r="E3013" i="3"/>
  <c r="A3014" i="3"/>
  <c r="B3014" i="3"/>
  <c r="C3014" i="3"/>
  <c r="D3014" i="3"/>
  <c r="E3014" i="3"/>
  <c r="A3015" i="3"/>
  <c r="B3015" i="3"/>
  <c r="C3015" i="3"/>
  <c r="D3015" i="3"/>
  <c r="E3015" i="3"/>
  <c r="A3016" i="3"/>
  <c r="B3016" i="3"/>
  <c r="C3016" i="3"/>
  <c r="D3016" i="3"/>
  <c r="E3016" i="3"/>
  <c r="A3017" i="3"/>
  <c r="B3017" i="3"/>
  <c r="C3017" i="3"/>
  <c r="D3017" i="3"/>
  <c r="E3017" i="3"/>
  <c r="A3018" i="3"/>
  <c r="B3018" i="3"/>
  <c r="C3018" i="3"/>
  <c r="D3018" i="3"/>
  <c r="E3018" i="3"/>
  <c r="A3019" i="3"/>
  <c r="B3019" i="3"/>
  <c r="C3019" i="3"/>
  <c r="D3019" i="3"/>
  <c r="E3019" i="3"/>
  <c r="A3020" i="3"/>
  <c r="B3020" i="3"/>
  <c r="C3020" i="3"/>
  <c r="F3020" i="3" s="1"/>
  <c r="D3020" i="3"/>
  <c r="E3020" i="3"/>
  <c r="A3021" i="3"/>
  <c r="B3021" i="3"/>
  <c r="C3021" i="3"/>
  <c r="D3021" i="3"/>
  <c r="E3021" i="3"/>
  <c r="A3022" i="3"/>
  <c r="B3022" i="3"/>
  <c r="C3022" i="3"/>
  <c r="D3022" i="3"/>
  <c r="E3022" i="3"/>
  <c r="G3022" i="3" s="1"/>
  <c r="A3023" i="3"/>
  <c r="B3023" i="3"/>
  <c r="C3023" i="3"/>
  <c r="D3023" i="3"/>
  <c r="E3023" i="3"/>
  <c r="A3024" i="3"/>
  <c r="B3024" i="3"/>
  <c r="C3024" i="3"/>
  <c r="D3024" i="3"/>
  <c r="E3024" i="3"/>
  <c r="A3025" i="3"/>
  <c r="B3025" i="3"/>
  <c r="C3025" i="3"/>
  <c r="D3025" i="3"/>
  <c r="E3025" i="3"/>
  <c r="A3026" i="3"/>
  <c r="B3026" i="3"/>
  <c r="C3026" i="3"/>
  <c r="D3026" i="3"/>
  <c r="E3026" i="3"/>
  <c r="A3027" i="3"/>
  <c r="B3027" i="3"/>
  <c r="C3027" i="3"/>
  <c r="D3027" i="3"/>
  <c r="E3027" i="3"/>
  <c r="A3028" i="3"/>
  <c r="B3028" i="3"/>
  <c r="C3028" i="3"/>
  <c r="D3028" i="3"/>
  <c r="E3028" i="3"/>
  <c r="A3029" i="3"/>
  <c r="B3029" i="3"/>
  <c r="C3029" i="3"/>
  <c r="D3029" i="3"/>
  <c r="E3029" i="3"/>
  <c r="A3030" i="3"/>
  <c r="B3030" i="3"/>
  <c r="C3030" i="3"/>
  <c r="D3030" i="3"/>
  <c r="E3030" i="3"/>
  <c r="A3031" i="3"/>
  <c r="B3031" i="3"/>
  <c r="C3031" i="3"/>
  <c r="D3031" i="3"/>
  <c r="E3031" i="3"/>
  <c r="A3032" i="3"/>
  <c r="B3032" i="3"/>
  <c r="C3032" i="3"/>
  <c r="D3032" i="3"/>
  <c r="E3032" i="3"/>
  <c r="A3033" i="3"/>
  <c r="B3033" i="3"/>
  <c r="C3033" i="3"/>
  <c r="D3033" i="3"/>
  <c r="E3033" i="3"/>
  <c r="G3033" i="3" s="1"/>
  <c r="A3034" i="3"/>
  <c r="B3034" i="3"/>
  <c r="C3034" i="3"/>
  <c r="D3034" i="3"/>
  <c r="E3034" i="3"/>
  <c r="G3034" i="3" s="1"/>
  <c r="A3035" i="3"/>
  <c r="B3035" i="3"/>
  <c r="C3035" i="3"/>
  <c r="D3035" i="3"/>
  <c r="E3035" i="3"/>
  <c r="A3036" i="3"/>
  <c r="B3036" i="3"/>
  <c r="C3036" i="3"/>
  <c r="D3036" i="3"/>
  <c r="E3036" i="3"/>
  <c r="A3037" i="3"/>
  <c r="B3037" i="3"/>
  <c r="C3037" i="3"/>
  <c r="D3037" i="3"/>
  <c r="E3037" i="3"/>
  <c r="A3038" i="3"/>
  <c r="B3038" i="3"/>
  <c r="C3038" i="3"/>
  <c r="D3038" i="3"/>
  <c r="E3038" i="3"/>
  <c r="A3039" i="3"/>
  <c r="B3039" i="3"/>
  <c r="C3039" i="3"/>
  <c r="D3039" i="3"/>
  <c r="E3039" i="3"/>
  <c r="A3040" i="3"/>
  <c r="B3040" i="3"/>
  <c r="C3040" i="3"/>
  <c r="D3040" i="3"/>
  <c r="E3040" i="3"/>
  <c r="A3041" i="3"/>
  <c r="B3041" i="3"/>
  <c r="C3041" i="3"/>
  <c r="D3041" i="3"/>
  <c r="E3041" i="3"/>
  <c r="A3042" i="3"/>
  <c r="B3042" i="3"/>
  <c r="C3042" i="3"/>
  <c r="D3042" i="3"/>
  <c r="E3042" i="3"/>
  <c r="A3043" i="3"/>
  <c r="B3043" i="3"/>
  <c r="C3043" i="3"/>
  <c r="D3043" i="3"/>
  <c r="E3043" i="3"/>
  <c r="E2" i="3"/>
  <c r="D2" i="3"/>
  <c r="C2" i="3"/>
  <c r="B2" i="3"/>
  <c r="A2" i="3"/>
  <c r="AT4790" i="2"/>
  <c r="G4371" i="3" l="1"/>
  <c r="F4369" i="3"/>
  <c r="G4359" i="3"/>
  <c r="F4357" i="3"/>
  <c r="G4347" i="3"/>
  <c r="F4345" i="3"/>
  <c r="G4335" i="3"/>
  <c r="F4333" i="3"/>
  <c r="G4323" i="3"/>
  <c r="F4321" i="3"/>
  <c r="G4311" i="3"/>
  <c r="F4309" i="3"/>
  <c r="G4299" i="3"/>
  <c r="F4297" i="3"/>
  <c r="G4287" i="3"/>
  <c r="F4285" i="3"/>
  <c r="G4275" i="3"/>
  <c r="F4273" i="3"/>
  <c r="G4263" i="3"/>
  <c r="F4261" i="3"/>
  <c r="G4251" i="3"/>
  <c r="F4249" i="3"/>
  <c r="G4239" i="3"/>
  <c r="F4237" i="3"/>
  <c r="G4227" i="3"/>
  <c r="F4225" i="3"/>
  <c r="G4215" i="3"/>
  <c r="F4213" i="3"/>
  <c r="G4203" i="3"/>
  <c r="F4201" i="3"/>
  <c r="G4191" i="3"/>
  <c r="F4189" i="3"/>
  <c r="G4179" i="3"/>
  <c r="F4177" i="3"/>
  <c r="G4167" i="3"/>
  <c r="F4165" i="3"/>
  <c r="G4155" i="3"/>
  <c r="F4153" i="3"/>
  <c r="G4143" i="3"/>
  <c r="F4141" i="3"/>
  <c r="G4131" i="3"/>
  <c r="F4129" i="3"/>
  <c r="G4119" i="3"/>
  <c r="F4117" i="3"/>
  <c r="G4107" i="3"/>
  <c r="F4105" i="3"/>
  <c r="G4095" i="3"/>
  <c r="F4093" i="3"/>
  <c r="G4083" i="3"/>
  <c r="F4081" i="3"/>
  <c r="G4071" i="3"/>
  <c r="F4069" i="3"/>
  <c r="G4059" i="3"/>
  <c r="F4057" i="3"/>
  <c r="G4047" i="3"/>
  <c r="F4045" i="3"/>
  <c r="G4035" i="3"/>
  <c r="F4033" i="3"/>
  <c r="G4023" i="3"/>
  <c r="F4021" i="3"/>
  <c r="G4011" i="3"/>
  <c r="F4009" i="3"/>
  <c r="G3999" i="3"/>
  <c r="F3997" i="3"/>
  <c r="G3987" i="3"/>
  <c r="F3985" i="3"/>
  <c r="G3975" i="3"/>
  <c r="F3973" i="3"/>
  <c r="G3963" i="3"/>
  <c r="F3961" i="3"/>
  <c r="F3949" i="3"/>
  <c r="G3939" i="3"/>
  <c r="F3937" i="3"/>
  <c r="G3927" i="3"/>
  <c r="F3925" i="3"/>
  <c r="G3915" i="3"/>
  <c r="F3913" i="3"/>
  <c r="G3903" i="3"/>
  <c r="F3901" i="3"/>
  <c r="G3891" i="3"/>
  <c r="F3889" i="3"/>
  <c r="G3855" i="3"/>
  <c r="F3853" i="3"/>
  <c r="G3843" i="3"/>
  <c r="F3841" i="3"/>
  <c r="G3831" i="3"/>
  <c r="F3829" i="3"/>
  <c r="G3819" i="3"/>
  <c r="G3807" i="3"/>
  <c r="G3795" i="3"/>
  <c r="F3793" i="3"/>
  <c r="G3783" i="3"/>
  <c r="F3781" i="3"/>
  <c r="G3771" i="3"/>
  <c r="F3769" i="3"/>
  <c r="G3759" i="3"/>
  <c r="F3757" i="3"/>
  <c r="G3747" i="3"/>
  <c r="F3745" i="3"/>
  <c r="G3735" i="3"/>
  <c r="F3733" i="3"/>
  <c r="G3723" i="3"/>
  <c r="F3721" i="3"/>
  <c r="G3711" i="3"/>
  <c r="F3709" i="3"/>
  <c r="G3699" i="3"/>
  <c r="F3697" i="3"/>
  <c r="G3687" i="3"/>
  <c r="F3685" i="3"/>
  <c r="G3675" i="3"/>
  <c r="F3673" i="3"/>
  <c r="G3663" i="3"/>
  <c r="F3661" i="3"/>
  <c r="G3651" i="3"/>
  <c r="F3649" i="3"/>
  <c r="G3639" i="3"/>
  <c r="F3637" i="3"/>
  <c r="F3632" i="3"/>
  <c r="G3622" i="3"/>
  <c r="F3620" i="3"/>
  <c r="G3610" i="3"/>
  <c r="F3608" i="3"/>
  <c r="G3598" i="3"/>
  <c r="F3596" i="3"/>
  <c r="G3586" i="3"/>
  <c r="F3584" i="3"/>
  <c r="G3574" i="3"/>
  <c r="F3572" i="3"/>
  <c r="G3562" i="3"/>
  <c r="F3560" i="3"/>
  <c r="G3550" i="3"/>
  <c r="F3548" i="3"/>
  <c r="G3538" i="3"/>
  <c r="F3536" i="3"/>
  <c r="G3526" i="3"/>
  <c r="F3524" i="3"/>
  <c r="G3514" i="3"/>
  <c r="F3512" i="3"/>
  <c r="G3490" i="3"/>
  <c r="F3488" i="3"/>
  <c r="G3478" i="3"/>
  <c r="F3476" i="3"/>
  <c r="F3440" i="3"/>
  <c r="G3406" i="3"/>
  <c r="G3394" i="3"/>
  <c r="G3382" i="3"/>
  <c r="G3370" i="3"/>
  <c r="G3358" i="3"/>
  <c r="F3356" i="3"/>
  <c r="G3346" i="3"/>
  <c r="F3344" i="3"/>
  <c r="G3334" i="3"/>
  <c r="G3322" i="3"/>
  <c r="F3320" i="3"/>
  <c r="G3310" i="3"/>
  <c r="F3308" i="3"/>
  <c r="G3298" i="3"/>
  <c r="F3296" i="3"/>
  <c r="G3286" i="3"/>
  <c r="G3274" i="3"/>
  <c r="F3272" i="3"/>
  <c r="G3262" i="3"/>
  <c r="G3250" i="3"/>
  <c r="F3248" i="3"/>
  <c r="G3238" i="3"/>
  <c r="F3236" i="3"/>
  <c r="G3226" i="3"/>
  <c r="F3224" i="3"/>
  <c r="G3214" i="3"/>
  <c r="G3202" i="3"/>
  <c r="G3190" i="3"/>
  <c r="F3176" i="3"/>
  <c r="G3166" i="3"/>
  <c r="F3164" i="3"/>
  <c r="G3154" i="3"/>
  <c r="F3152" i="3"/>
  <c r="G3142" i="3"/>
  <c r="F3140" i="3"/>
  <c r="G3130" i="3"/>
  <c r="F3128" i="3"/>
  <c r="G3118" i="3"/>
  <c r="F3116" i="3"/>
  <c r="F3663" i="3"/>
  <c r="G3516" i="3"/>
  <c r="F3514" i="3"/>
  <c r="G3504" i="3"/>
  <c r="F3502" i="3"/>
  <c r="G3492" i="3"/>
  <c r="F3490" i="3"/>
  <c r="G3480" i="3"/>
  <c r="F3478" i="3"/>
  <c r="G3468" i="3"/>
  <c r="F3466" i="3"/>
  <c r="G3456" i="3"/>
  <c r="G3444" i="3"/>
  <c r="G3432" i="3"/>
  <c r="F3430" i="3"/>
  <c r="G3420" i="3"/>
  <c r="F3418" i="3"/>
  <c r="G3408" i="3"/>
  <c r="F3406" i="3"/>
  <c r="G3396" i="3"/>
  <c r="F3394" i="3"/>
  <c r="G3384" i="3"/>
  <c r="F3382" i="3"/>
  <c r="G3372" i="3"/>
  <c r="F3370" i="3"/>
  <c r="G3360" i="3"/>
  <c r="F3358" i="3"/>
  <c r="G3348" i="3"/>
  <c r="F3346" i="3"/>
  <c r="G3336" i="3"/>
  <c r="F3334" i="3"/>
  <c r="G3324" i="3"/>
  <c r="F3322" i="3"/>
  <c r="G3312" i="3"/>
  <c r="F3310" i="3"/>
  <c r="G3300" i="3"/>
  <c r="F3298" i="3"/>
  <c r="G3288" i="3"/>
  <c r="F3286" i="3"/>
  <c r="G3276" i="3"/>
  <c r="F3274" i="3"/>
  <c r="G3264" i="3"/>
  <c r="F3262" i="3"/>
  <c r="G3252" i="3"/>
  <c r="F3250" i="3"/>
  <c r="G3240" i="3"/>
  <c r="F3238" i="3"/>
  <c r="G3228" i="3"/>
  <c r="F3226" i="3"/>
  <c r="G3216" i="3"/>
  <c r="F3214" i="3"/>
  <c r="G3204" i="3"/>
  <c r="F3202" i="3"/>
  <c r="G3192" i="3"/>
  <c r="F3190" i="3"/>
  <c r="G3180" i="3"/>
  <c r="G3168" i="3"/>
  <c r="F3166" i="3"/>
  <c r="G3156" i="3"/>
  <c r="F3154" i="3"/>
  <c r="G3144" i="3"/>
  <c r="F3142" i="3"/>
  <c r="G3132" i="3"/>
  <c r="F3130" i="3"/>
  <c r="G3120" i="3"/>
  <c r="F3118" i="3"/>
  <c r="G3108" i="3"/>
  <c r="F3106" i="3"/>
  <c r="G3096" i="3"/>
  <c r="F3094" i="3"/>
  <c r="G3084" i="3"/>
  <c r="F3082" i="3"/>
  <c r="G3072" i="3"/>
  <c r="F3070" i="3"/>
  <c r="G3048" i="3"/>
  <c r="G3040" i="3"/>
  <c r="F3038" i="3"/>
  <c r="G3028" i="3"/>
  <c r="F3026" i="3"/>
  <c r="G3016" i="3"/>
  <c r="F3014" i="3"/>
  <c r="G3004" i="3"/>
  <c r="F3002" i="3"/>
  <c r="G2992" i="3"/>
  <c r="F2990" i="3"/>
  <c r="G2980" i="3"/>
  <c r="F2978" i="3"/>
  <c r="G2968" i="3"/>
  <c r="F2966" i="3"/>
  <c r="G2956" i="3"/>
  <c r="F2954" i="3"/>
  <c r="G2944" i="3"/>
  <c r="F2942" i="3"/>
  <c r="G2932" i="3"/>
  <c r="F2930" i="3"/>
  <c r="G2920" i="3"/>
  <c r="G2908" i="3"/>
  <c r="F2906" i="3"/>
  <c r="G1697" i="3"/>
  <c r="G1673" i="3"/>
  <c r="G1649" i="3"/>
  <c r="G1625" i="3"/>
  <c r="F1623" i="3"/>
  <c r="G1613" i="3"/>
  <c r="G1589" i="3"/>
  <c r="G1577" i="3"/>
  <c r="G1565" i="3"/>
  <c r="G1541" i="3"/>
  <c r="G1529" i="3"/>
  <c r="F1527" i="3"/>
  <c r="G1517" i="3"/>
  <c r="F1515" i="3"/>
  <c r="G1505" i="3"/>
  <c r="G1493" i="3"/>
  <c r="G1481" i="3"/>
  <c r="F1479" i="3"/>
  <c r="G1469" i="3"/>
  <c r="G1445" i="3"/>
  <c r="F1443" i="3"/>
  <c r="G1433" i="3"/>
  <c r="F1431" i="3"/>
  <c r="G1385" i="3"/>
  <c r="G1313" i="3"/>
  <c r="F1311" i="3"/>
  <c r="F1299" i="3"/>
  <c r="G1289" i="3"/>
  <c r="G1277" i="3"/>
  <c r="G1253" i="3"/>
  <c r="F1251" i="3"/>
  <c r="G1241" i="3"/>
  <c r="F1239" i="3"/>
  <c r="G1229" i="3"/>
  <c r="G1217" i="3"/>
  <c r="F1215" i="3"/>
  <c r="G1205" i="3"/>
  <c r="F1203" i="3"/>
  <c r="G1181" i="3"/>
  <c r="G1169" i="3"/>
  <c r="G1145" i="3"/>
  <c r="F1143" i="3"/>
  <c r="G1109" i="3"/>
  <c r="G1085" i="3"/>
  <c r="F1083" i="3"/>
  <c r="G1061" i="3"/>
  <c r="G1049" i="3"/>
  <c r="G1037" i="3"/>
  <c r="G1025" i="3"/>
  <c r="G1013" i="3"/>
  <c r="F1011" i="3"/>
  <c r="G1001" i="3"/>
  <c r="G989" i="3"/>
  <c r="F987" i="3"/>
  <c r="G977" i="3"/>
  <c r="G953" i="3"/>
  <c r="G893" i="3"/>
  <c r="G881" i="3"/>
  <c r="F879" i="3"/>
  <c r="G869" i="3"/>
  <c r="F867" i="3"/>
  <c r="G857" i="3"/>
  <c r="G845" i="3"/>
  <c r="G821" i="3"/>
  <c r="G797" i="3"/>
  <c r="G737" i="3"/>
  <c r="G713" i="3"/>
  <c r="G701" i="3"/>
  <c r="G689" i="3"/>
  <c r="G677" i="3"/>
  <c r="G593" i="3"/>
  <c r="G497" i="3"/>
  <c r="F495" i="3"/>
  <c r="G473" i="3"/>
  <c r="F471" i="3"/>
  <c r="G461" i="3"/>
  <c r="F459" i="3"/>
  <c r="G437" i="3"/>
  <c r="F435" i="3"/>
  <c r="G425" i="3"/>
  <c r="F423" i="3"/>
  <c r="G401" i="3"/>
  <c r="F399" i="3"/>
  <c r="G389" i="3"/>
  <c r="F375" i="3"/>
  <c r="G365" i="3"/>
  <c r="F363" i="3"/>
  <c r="G341" i="3"/>
  <c r="F339" i="3"/>
  <c r="G329" i="3"/>
  <c r="F327" i="3"/>
  <c r="G305" i="3"/>
  <c r="F303" i="3"/>
  <c r="F291" i="3"/>
  <c r="G281" i="3"/>
  <c r="G257" i="3"/>
  <c r="F255" i="3"/>
  <c r="G245" i="3"/>
  <c r="F243" i="3"/>
  <c r="G233" i="3"/>
  <c r="F231" i="3"/>
  <c r="G221" i="3"/>
  <c r="F219" i="3"/>
  <c r="G209" i="3"/>
  <c r="F207" i="3"/>
  <c r="G197" i="3"/>
  <c r="F195" i="3"/>
  <c r="G185" i="3"/>
  <c r="F183" i="3"/>
  <c r="G173" i="3"/>
  <c r="F171" i="3"/>
  <c r="G161" i="3"/>
  <c r="F159" i="3"/>
  <c r="G149" i="3"/>
  <c r="F147" i="3"/>
  <c r="G137" i="3"/>
  <c r="F135" i="3"/>
  <c r="G125" i="3"/>
  <c r="F123" i="3"/>
  <c r="G113" i="3"/>
  <c r="F111" i="3"/>
  <c r="G101" i="3"/>
  <c r="F99" i="3"/>
  <c r="G89" i="3"/>
  <c r="F87" i="3"/>
  <c r="G77" i="3"/>
  <c r="F75" i="3"/>
  <c r="G65" i="3"/>
  <c r="F63" i="3"/>
  <c r="G53" i="3"/>
  <c r="F51" i="3"/>
  <c r="G41" i="3"/>
  <c r="F39" i="3"/>
  <c r="G29" i="3"/>
  <c r="F27" i="3"/>
  <c r="G17" i="3"/>
  <c r="F15" i="3"/>
  <c r="G5" i="3"/>
  <c r="F3" i="3"/>
  <c r="G4742" i="3"/>
  <c r="F4740" i="3"/>
  <c r="G4730" i="3"/>
  <c r="F4728" i="3"/>
  <c r="G4718" i="3"/>
  <c r="F4716" i="3"/>
  <c r="G4706" i="3"/>
  <c r="F4704" i="3"/>
  <c r="G4694" i="3"/>
  <c r="F4692" i="3"/>
  <c r="G4682" i="3"/>
  <c r="F4680" i="3"/>
  <c r="G4670" i="3"/>
  <c r="F4668" i="3"/>
  <c r="G4658" i="3"/>
  <c r="F4656" i="3"/>
  <c r="G4634" i="3"/>
  <c r="F4632" i="3"/>
  <c r="G4622" i="3"/>
  <c r="F4620" i="3"/>
  <c r="G4610" i="3"/>
  <c r="F4608" i="3"/>
  <c r="G4598" i="3"/>
  <c r="F4596" i="3"/>
  <c r="G4586" i="3"/>
  <c r="F4584" i="3"/>
  <c r="G4574" i="3"/>
  <c r="G4562" i="3"/>
  <c r="F4560" i="3"/>
  <c r="G4550" i="3"/>
  <c r="F4548" i="3"/>
  <c r="G4538" i="3"/>
  <c r="F4536" i="3"/>
  <c r="G4514" i="3"/>
  <c r="F4512" i="3"/>
  <c r="G4502" i="3"/>
  <c r="F4500" i="3"/>
  <c r="G4478" i="3"/>
  <c r="F4476" i="3"/>
  <c r="G4466" i="3"/>
  <c r="F4464" i="3"/>
  <c r="G4454" i="3"/>
  <c r="G2" i="3"/>
  <c r="G3951" i="3"/>
  <c r="F3805" i="3"/>
  <c r="F4452" i="3"/>
  <c r="G4442" i="3"/>
  <c r="F4440" i="3"/>
  <c r="G4418" i="3"/>
  <c r="F4416" i="3"/>
  <c r="G4406" i="3"/>
  <c r="F4392" i="3"/>
  <c r="G4382" i="3"/>
  <c r="F4380" i="3"/>
  <c r="G4370" i="3"/>
  <c r="F4368" i="3"/>
  <c r="G4358" i="3"/>
  <c r="F4356" i="3"/>
  <c r="G4346" i="3"/>
  <c r="F4344" i="3"/>
  <c r="G4334" i="3"/>
  <c r="F4332" i="3"/>
  <c r="G4322" i="3"/>
  <c r="F4320" i="3"/>
  <c r="G4310" i="3"/>
  <c r="F4308" i="3"/>
  <c r="G4298" i="3"/>
  <c r="F4296" i="3"/>
  <c r="G4286" i="3"/>
  <c r="F4284" i="3"/>
  <c r="G4274" i="3"/>
  <c r="F4272" i="3"/>
  <c r="G4262" i="3"/>
  <c r="F4260" i="3"/>
  <c r="G4250" i="3"/>
  <c r="F4248" i="3"/>
  <c r="G4238" i="3"/>
  <c r="F4236" i="3"/>
  <c r="G4226" i="3"/>
  <c r="F4224" i="3"/>
  <c r="G4214" i="3"/>
  <c r="F4212" i="3"/>
  <c r="G4202" i="3"/>
  <c r="F4200" i="3"/>
  <c r="G4190" i="3"/>
  <c r="F4188" i="3"/>
  <c r="G4178" i="3"/>
  <c r="F4176" i="3"/>
  <c r="G4166" i="3"/>
  <c r="F4164" i="3"/>
  <c r="G4154" i="3"/>
  <c r="F4152" i="3"/>
  <c r="G4142" i="3"/>
  <c r="F4140" i="3"/>
  <c r="G4130" i="3"/>
  <c r="F4128" i="3"/>
  <c r="G4118" i="3"/>
  <c r="F4116" i="3"/>
  <c r="G4106" i="3"/>
  <c r="F4104" i="3"/>
  <c r="G4094" i="3"/>
  <c r="F4092" i="3"/>
  <c r="G4082" i="3"/>
  <c r="F4080" i="3"/>
  <c r="G4070" i="3"/>
  <c r="F4068" i="3"/>
  <c r="G4046" i="3"/>
  <c r="G4034" i="3"/>
  <c r="G4022" i="3"/>
  <c r="G4010" i="3"/>
  <c r="G3998" i="3"/>
  <c r="G3986" i="3"/>
  <c r="F3984" i="3"/>
  <c r="G3974" i="3"/>
  <c r="G3962" i="3"/>
  <c r="F3960" i="3"/>
  <c r="G3950" i="3"/>
  <c r="G3938" i="3"/>
  <c r="G3902" i="3"/>
  <c r="F3900" i="3"/>
  <c r="G3890" i="3"/>
  <c r="F3888" i="3"/>
  <c r="G3878" i="3"/>
  <c r="G3866" i="3"/>
  <c r="G3842" i="3"/>
  <c r="G3830" i="3"/>
  <c r="G3818" i="3"/>
  <c r="G3806" i="3"/>
  <c r="G3794" i="3"/>
  <c r="G3782" i="3"/>
  <c r="F3532" i="3"/>
  <c r="G3517" i="3"/>
  <c r="F3388" i="3"/>
  <c r="G3038" i="3"/>
  <c r="F3036" i="3"/>
  <c r="G3026" i="3"/>
  <c r="F3024" i="3"/>
  <c r="G3014" i="3"/>
  <c r="G3002" i="3"/>
  <c r="F3000" i="3"/>
  <c r="G2990" i="3"/>
  <c r="F2988" i="3"/>
  <c r="G2978" i="3"/>
  <c r="F2976" i="3"/>
  <c r="G2966" i="3"/>
  <c r="F2964" i="3"/>
  <c r="G2954" i="3"/>
  <c r="F2952" i="3"/>
  <c r="G2942" i="3"/>
  <c r="F2940" i="3"/>
  <c r="G2930" i="3"/>
  <c r="F2928" i="3"/>
  <c r="G2918" i="3"/>
  <c r="F2916" i="3"/>
  <c r="G2906" i="3"/>
  <c r="F2904" i="3"/>
  <c r="G2894" i="3"/>
  <c r="F2892" i="3"/>
  <c r="G2882" i="3"/>
  <c r="F2880" i="3"/>
  <c r="G2870" i="3"/>
  <c r="F2868" i="3"/>
  <c r="G2858" i="3"/>
  <c r="F2856" i="3"/>
  <c r="G2846" i="3"/>
  <c r="G2834" i="3"/>
  <c r="F2832" i="3"/>
  <c r="F2820" i="3"/>
  <c r="F2808" i="3"/>
  <c r="G2798" i="3"/>
  <c r="F2796" i="3"/>
  <c r="G2786" i="3"/>
  <c r="F2784" i="3"/>
  <c r="G2774" i="3"/>
  <c r="G2762" i="3"/>
  <c r="F2760" i="3"/>
  <c r="G2738" i="3"/>
  <c r="F2736" i="3"/>
  <c r="G2726" i="3"/>
  <c r="F2724" i="3"/>
  <c r="G2714" i="3"/>
  <c r="F2712" i="3"/>
  <c r="G2702" i="3"/>
  <c r="F2700" i="3"/>
  <c r="G2690" i="3"/>
  <c r="F2688" i="3"/>
  <c r="G2678" i="3"/>
  <c r="F2676" i="3"/>
  <c r="G2666" i="3"/>
  <c r="F2664" i="3"/>
  <c r="G2654" i="3"/>
  <c r="F2652" i="3"/>
  <c r="G2642" i="3"/>
  <c r="F2640" i="3"/>
  <c r="G2630" i="3"/>
  <c r="G2618" i="3"/>
  <c r="F2616" i="3"/>
  <c r="G2606" i="3"/>
  <c r="F2604" i="3"/>
  <c r="G2594" i="3"/>
  <c r="F2592" i="3"/>
  <c r="G2582" i="3"/>
  <c r="F2580" i="3"/>
  <c r="G2570" i="3"/>
  <c r="F2568" i="3"/>
  <c r="G2558" i="3"/>
  <c r="F2556" i="3"/>
  <c r="G2546" i="3"/>
  <c r="F2544" i="3"/>
  <c r="G2534" i="3"/>
  <c r="F2532" i="3"/>
  <c r="G2522" i="3"/>
  <c r="F2520" i="3"/>
  <c r="F2508" i="3"/>
  <c r="G2498" i="3"/>
  <c r="F2496" i="3"/>
  <c r="G2486" i="3"/>
  <c r="F2484" i="3"/>
  <c r="G2474" i="3"/>
  <c r="F2472" i="3"/>
  <c r="G2462" i="3"/>
  <c r="F2460" i="3"/>
  <c r="G2450" i="3"/>
  <c r="F2448" i="3"/>
  <c r="G2438" i="3"/>
  <c r="G2426" i="3"/>
  <c r="G2414" i="3"/>
  <c r="G2402" i="3"/>
  <c r="F2400" i="3"/>
  <c r="G995" i="3"/>
  <c r="F993" i="3"/>
  <c r="G947" i="3"/>
  <c r="F945" i="3"/>
  <c r="G935" i="3"/>
  <c r="F933" i="3"/>
  <c r="G923" i="3"/>
  <c r="F921" i="3"/>
  <c r="G899" i="3"/>
  <c r="F897" i="3"/>
  <c r="G887" i="3"/>
  <c r="G839" i="3"/>
  <c r="F837" i="3"/>
  <c r="G779" i="3"/>
  <c r="F777" i="3"/>
  <c r="G755" i="3"/>
  <c r="F753" i="3"/>
  <c r="G3036" i="3"/>
  <c r="F3034" i="3"/>
  <c r="G3024" i="3"/>
  <c r="F3022" i="3"/>
  <c r="G3012" i="3"/>
  <c r="F3010" i="3"/>
  <c r="G3000" i="3"/>
  <c r="F2998" i="3"/>
  <c r="G2988" i="3"/>
  <c r="F2986" i="3"/>
  <c r="G2976" i="3"/>
  <c r="F2974" i="3"/>
  <c r="G2964" i="3"/>
  <c r="F2962" i="3"/>
  <c r="G2952" i="3"/>
  <c r="F2950" i="3"/>
  <c r="G2940" i="3"/>
  <c r="F2938" i="3"/>
  <c r="G2928" i="3"/>
  <c r="F2926" i="3"/>
  <c r="G2916" i="3"/>
  <c r="F2914" i="3"/>
  <c r="G2904" i="3"/>
  <c r="F2902" i="3"/>
  <c r="G2892" i="3"/>
  <c r="F2890" i="3"/>
  <c r="G2880" i="3"/>
  <c r="F2878" i="3"/>
  <c r="G2868" i="3"/>
  <c r="F2866" i="3"/>
  <c r="G2856" i="3"/>
  <c r="F2854" i="3"/>
  <c r="G2844" i="3"/>
  <c r="F2842" i="3"/>
  <c r="G2832" i="3"/>
  <c r="F2830" i="3"/>
  <c r="G2820" i="3"/>
  <c r="F2818" i="3"/>
  <c r="G2808" i="3"/>
  <c r="F2806" i="3"/>
  <c r="G2796" i="3"/>
  <c r="F2794" i="3"/>
  <c r="G2784" i="3"/>
  <c r="F2782" i="3"/>
  <c r="G2772" i="3"/>
  <c r="F2770" i="3"/>
  <c r="G2760" i="3"/>
  <c r="F2758" i="3"/>
  <c r="G2748" i="3"/>
  <c r="F2746" i="3"/>
  <c r="G2736" i="3"/>
  <c r="F2734" i="3"/>
  <c r="G2724" i="3"/>
  <c r="F2722" i="3"/>
  <c r="G2712" i="3"/>
  <c r="F2710" i="3"/>
  <c r="G2700" i="3"/>
  <c r="F2698" i="3"/>
  <c r="G2688" i="3"/>
  <c r="F2686" i="3"/>
  <c r="G2676" i="3"/>
  <c r="F2674" i="3"/>
  <c r="G2664" i="3"/>
  <c r="F2662" i="3"/>
  <c r="G2652" i="3"/>
  <c r="F2650" i="3"/>
  <c r="G2640" i="3"/>
  <c r="F2638" i="3"/>
  <c r="G2628" i="3"/>
  <c r="F2626" i="3"/>
  <c r="G2616" i="3"/>
  <c r="F2614" i="3"/>
  <c r="G2604" i="3"/>
  <c r="G1819" i="3"/>
  <c r="F1817" i="3"/>
  <c r="G1807" i="3"/>
  <c r="F1805" i="3"/>
  <c r="G1795" i="3"/>
  <c r="F1793" i="3"/>
  <c r="G1783" i="3"/>
  <c r="F1781" i="3"/>
  <c r="G1771" i="3"/>
  <c r="F1769" i="3"/>
  <c r="G1759" i="3"/>
  <c r="F1757" i="3"/>
  <c r="G1747" i="3"/>
  <c r="F1745" i="3"/>
  <c r="G743" i="3"/>
  <c r="F741" i="3"/>
  <c r="G1735" i="3"/>
  <c r="F1733" i="3"/>
  <c r="G1723" i="3"/>
  <c r="F1721" i="3"/>
  <c r="G1711" i="3"/>
  <c r="F1709" i="3"/>
  <c r="G1706" i="3"/>
  <c r="G1701" i="3"/>
  <c r="F1699" i="3"/>
  <c r="G1689" i="3"/>
  <c r="F1687" i="3"/>
  <c r="G1677" i="3"/>
  <c r="F1675" i="3"/>
  <c r="G1665" i="3"/>
  <c r="F1663" i="3"/>
  <c r="G1653" i="3"/>
  <c r="F1651" i="3"/>
  <c r="G1641" i="3"/>
  <c r="F1639" i="3"/>
  <c r="G1629" i="3"/>
  <c r="F1627" i="3"/>
  <c r="G1617" i="3"/>
  <c r="F1615" i="3"/>
  <c r="G1605" i="3"/>
  <c r="F1603" i="3"/>
  <c r="G1593" i="3"/>
  <c r="F1591" i="3"/>
  <c r="G1581" i="3"/>
  <c r="F1579" i="3"/>
  <c r="G1569" i="3"/>
  <c r="F1567" i="3"/>
  <c r="G1557" i="3"/>
  <c r="F1555" i="3"/>
  <c r="G1545" i="3"/>
  <c r="F1543" i="3"/>
  <c r="G1533" i="3"/>
  <c r="F1531" i="3"/>
  <c r="G1521" i="3"/>
  <c r="F1519" i="3"/>
  <c r="G1509" i="3"/>
  <c r="F1507" i="3"/>
  <c r="G1497" i="3"/>
  <c r="F1495" i="3"/>
  <c r="G1485" i="3"/>
  <c r="F1483" i="3"/>
  <c r="G1473" i="3"/>
  <c r="F1471" i="3"/>
  <c r="G1461" i="3"/>
  <c r="F1459" i="3"/>
  <c r="G1449" i="3"/>
  <c r="F1447" i="3"/>
  <c r="G1437" i="3"/>
  <c r="F1435" i="3"/>
  <c r="G1425" i="3"/>
  <c r="F1423" i="3"/>
  <c r="G1413" i="3"/>
  <c r="F1411" i="3"/>
  <c r="G1401" i="3"/>
  <c r="F1399" i="3"/>
  <c r="G1389" i="3"/>
  <c r="F1387" i="3"/>
  <c r="G1377" i="3"/>
  <c r="F1375" i="3"/>
  <c r="G1365" i="3"/>
  <c r="F1363" i="3"/>
  <c r="G1353" i="3"/>
  <c r="F1351" i="3"/>
  <c r="G1341" i="3"/>
  <c r="F1339" i="3"/>
  <c r="G1329" i="3"/>
  <c r="F1327" i="3"/>
  <c r="G1317" i="3"/>
  <c r="F1315" i="3"/>
  <c r="G1305" i="3"/>
  <c r="F1303" i="3"/>
  <c r="G1293" i="3"/>
  <c r="F1291" i="3"/>
  <c r="G1281" i="3"/>
  <c r="F1279" i="3"/>
  <c r="G1269" i="3"/>
  <c r="F1267" i="3"/>
  <c r="G1257" i="3"/>
  <c r="F1255" i="3"/>
  <c r="G1245" i="3"/>
  <c r="F1243" i="3"/>
  <c r="G1233" i="3"/>
  <c r="F1231" i="3"/>
  <c r="G1221" i="3"/>
  <c r="F1219" i="3"/>
  <c r="G1209" i="3"/>
  <c r="F1207" i="3"/>
  <c r="G1197" i="3"/>
  <c r="F1195" i="3"/>
  <c r="G1185" i="3"/>
  <c r="F1183" i="3"/>
  <c r="G1173" i="3"/>
  <c r="F1171" i="3"/>
  <c r="G1161" i="3"/>
  <c r="F1159" i="3"/>
  <c r="G1149" i="3"/>
  <c r="F1147" i="3"/>
  <c r="G1137" i="3"/>
  <c r="F1135" i="3"/>
  <c r="G1125" i="3"/>
  <c r="F1123" i="3"/>
  <c r="G1113" i="3"/>
  <c r="F1111" i="3"/>
  <c r="G1101" i="3"/>
  <c r="F1099" i="3"/>
  <c r="G1089" i="3"/>
  <c r="F1087" i="3"/>
  <c r="G1077" i="3"/>
  <c r="F1075" i="3"/>
  <c r="G1065" i="3"/>
  <c r="F1063" i="3"/>
  <c r="G1053" i="3"/>
  <c r="F1051" i="3"/>
  <c r="G1041" i="3"/>
  <c r="F1039" i="3"/>
  <c r="G1029" i="3"/>
  <c r="F1027" i="3"/>
  <c r="G1017" i="3"/>
  <c r="F1015" i="3"/>
  <c r="G1005" i="3"/>
  <c r="F1003" i="3"/>
  <c r="G993" i="3"/>
  <c r="F991" i="3"/>
  <c r="G981" i="3"/>
  <c r="F979" i="3"/>
  <c r="G969" i="3"/>
  <c r="F967" i="3"/>
  <c r="G957" i="3"/>
  <c r="F955" i="3"/>
  <c r="G945" i="3"/>
  <c r="F943" i="3"/>
  <c r="G933" i="3"/>
  <c r="F931" i="3"/>
  <c r="G921" i="3"/>
  <c r="F919" i="3"/>
  <c r="G909" i="3"/>
  <c r="F907" i="3"/>
  <c r="G897" i="3"/>
  <c r="F895" i="3"/>
  <c r="G885" i="3"/>
  <c r="F883" i="3"/>
  <c r="G873" i="3"/>
  <c r="F871" i="3"/>
  <c r="G861" i="3"/>
  <c r="F859" i="3"/>
  <c r="G849" i="3"/>
  <c r="F847" i="3"/>
  <c r="G837" i="3"/>
  <c r="F835" i="3"/>
  <c r="G825" i="3"/>
  <c r="F823" i="3"/>
  <c r="G813" i="3"/>
  <c r="F811" i="3"/>
  <c r="G801" i="3"/>
  <c r="F799" i="3"/>
  <c r="G789" i="3"/>
  <c r="F787" i="3"/>
  <c r="G777" i="3"/>
  <c r="F775" i="3"/>
  <c r="G765" i="3"/>
  <c r="F763" i="3"/>
  <c r="G753" i="3"/>
  <c r="F751" i="3"/>
  <c r="G741" i="3"/>
  <c r="F739" i="3"/>
  <c r="G729" i="3"/>
  <c r="G71" i="3"/>
  <c r="F69" i="3"/>
  <c r="G59" i="3"/>
  <c r="F57" i="3"/>
  <c r="G47" i="3"/>
  <c r="F45" i="3"/>
  <c r="G35" i="3"/>
  <c r="F33" i="3"/>
  <c r="G23" i="3"/>
  <c r="F727" i="3"/>
  <c r="G717" i="3"/>
  <c r="F715" i="3"/>
  <c r="G705" i="3"/>
  <c r="F703" i="3"/>
  <c r="G693" i="3"/>
  <c r="F691" i="3"/>
  <c r="G681" i="3"/>
  <c r="F679" i="3"/>
  <c r="G669" i="3"/>
  <c r="F667" i="3"/>
  <c r="G657" i="3"/>
  <c r="F655" i="3"/>
  <c r="G645" i="3"/>
  <c r="F643" i="3"/>
  <c r="G633" i="3"/>
  <c r="F631" i="3"/>
  <c r="G621" i="3"/>
  <c r="F619" i="3"/>
  <c r="G609" i="3"/>
  <c r="F607" i="3"/>
  <c r="G597" i="3"/>
  <c r="F595" i="3"/>
  <c r="G585" i="3"/>
  <c r="F583" i="3"/>
  <c r="G573" i="3"/>
  <c r="F571" i="3"/>
  <c r="G561" i="3"/>
  <c r="F559" i="3"/>
  <c r="G549" i="3"/>
  <c r="F547" i="3"/>
  <c r="G537" i="3"/>
  <c r="F535" i="3"/>
  <c r="G525" i="3"/>
  <c r="F523" i="3"/>
  <c r="G513" i="3"/>
  <c r="F511" i="3"/>
  <c r="G501" i="3"/>
  <c r="F499" i="3"/>
  <c r="G489" i="3"/>
  <c r="F487" i="3"/>
  <c r="G477" i="3"/>
  <c r="F475" i="3"/>
  <c r="G465" i="3"/>
  <c r="F463" i="3"/>
  <c r="G453" i="3"/>
  <c r="F451" i="3"/>
  <c r="G441" i="3"/>
  <c r="F439" i="3"/>
  <c r="G429" i="3"/>
  <c r="F427" i="3"/>
  <c r="G417" i="3"/>
  <c r="F415" i="3"/>
  <c r="G405" i="3"/>
  <c r="F403" i="3"/>
  <c r="G393" i="3"/>
  <c r="F391" i="3"/>
  <c r="G381" i="3"/>
  <c r="F379" i="3"/>
  <c r="G369" i="3"/>
  <c r="F367" i="3"/>
  <c r="G357" i="3"/>
  <c r="F355" i="3"/>
  <c r="G345" i="3"/>
  <c r="F343" i="3"/>
  <c r="G333" i="3"/>
  <c r="F331" i="3"/>
  <c r="G321" i="3"/>
  <c r="F319" i="3"/>
  <c r="G309" i="3"/>
  <c r="F307" i="3"/>
  <c r="G297" i="3"/>
  <c r="F295" i="3"/>
  <c r="G285" i="3"/>
  <c r="F283" i="3"/>
  <c r="G273" i="3"/>
  <c r="F271" i="3"/>
  <c r="G261" i="3"/>
  <c r="F259" i="3"/>
  <c r="G249" i="3"/>
  <c r="F247" i="3"/>
  <c r="G237" i="3"/>
  <c r="F235" i="3"/>
  <c r="G225" i="3"/>
  <c r="F223" i="3"/>
  <c r="F21" i="3"/>
  <c r="G11" i="3"/>
  <c r="F9" i="3"/>
  <c r="G4748" i="3"/>
  <c r="F4746" i="3"/>
  <c r="G4736" i="3"/>
  <c r="F4734" i="3"/>
  <c r="G4724" i="3"/>
  <c r="F4722" i="3"/>
  <c r="G4712" i="3"/>
  <c r="F4710" i="3"/>
  <c r="G4700" i="3"/>
  <c r="F4698" i="3"/>
  <c r="G4688" i="3"/>
  <c r="F4686" i="3"/>
  <c r="G4676" i="3"/>
  <c r="F4674" i="3"/>
  <c r="G4664" i="3"/>
  <c r="F4662" i="3"/>
  <c r="G4652" i="3"/>
  <c r="F4650" i="3"/>
  <c r="G4640" i="3"/>
  <c r="F4638" i="3"/>
  <c r="G4628" i="3"/>
  <c r="F4626" i="3"/>
  <c r="G4616" i="3"/>
  <c r="F4614" i="3"/>
  <c r="G4604" i="3"/>
  <c r="F4602" i="3"/>
  <c r="G4592" i="3"/>
  <c r="F4590" i="3"/>
  <c r="G4580" i="3"/>
  <c r="F4578" i="3"/>
  <c r="G4568" i="3"/>
  <c r="F4566" i="3"/>
  <c r="G4556" i="3"/>
  <c r="F4554" i="3"/>
  <c r="G4544" i="3"/>
  <c r="F4542" i="3"/>
  <c r="G4532" i="3"/>
  <c r="F4530" i="3"/>
  <c r="G4520" i="3"/>
  <c r="F4518" i="3"/>
  <c r="F4506" i="3"/>
  <c r="G4496" i="3"/>
  <c r="F4494" i="3"/>
  <c r="G4484" i="3"/>
  <c r="F4482" i="3"/>
  <c r="G4472" i="3"/>
  <c r="F4470" i="3"/>
  <c r="G4448" i="3"/>
  <c r="F4434" i="3"/>
  <c r="G4424" i="3"/>
  <c r="F4422" i="3"/>
  <c r="G4400" i="3"/>
  <c r="F4398" i="3"/>
  <c r="G4388" i="3"/>
  <c r="F4386" i="3"/>
  <c r="G4376" i="3"/>
  <c r="F4374" i="3"/>
  <c r="G4364" i="3"/>
  <c r="F4362" i="3"/>
  <c r="G4352" i="3"/>
  <c r="F4350" i="3"/>
  <c r="G4340" i="3"/>
  <c r="F4338" i="3"/>
  <c r="G4328" i="3"/>
  <c r="F4326" i="3"/>
  <c r="G4316" i="3"/>
  <c r="F4314" i="3"/>
  <c r="G4304" i="3"/>
  <c r="F4302" i="3"/>
  <c r="G4292" i="3"/>
  <c r="F4290" i="3"/>
  <c r="G4280" i="3"/>
  <c r="F4278" i="3"/>
  <c r="G4268" i="3"/>
  <c r="F4266" i="3"/>
  <c r="G4256" i="3"/>
  <c r="F4254" i="3"/>
  <c r="G4244" i="3"/>
  <c r="F4242" i="3"/>
  <c r="G4232" i="3"/>
  <c r="F4230" i="3"/>
  <c r="G4220" i="3"/>
  <c r="F4218" i="3"/>
  <c r="G4208" i="3"/>
  <c r="F4206" i="3"/>
  <c r="G4196" i="3"/>
  <c r="F4194" i="3"/>
  <c r="G4184" i="3"/>
  <c r="F4182" i="3"/>
  <c r="G4172" i="3"/>
  <c r="F4170" i="3"/>
  <c r="G4160" i="3"/>
  <c r="F4158" i="3"/>
  <c r="G4148" i="3"/>
  <c r="F4146" i="3"/>
  <c r="G4136" i="3"/>
  <c r="F4134" i="3"/>
  <c r="G4124" i="3"/>
  <c r="F4122" i="3"/>
  <c r="G4112" i="3"/>
  <c r="F4110" i="3"/>
  <c r="G4100" i="3"/>
  <c r="F4098" i="3"/>
  <c r="G4088" i="3"/>
  <c r="F4086" i="3"/>
  <c r="G4076" i="3"/>
  <c r="F4074" i="3"/>
  <c r="G4064" i="3"/>
  <c r="F4062" i="3"/>
  <c r="G4052" i="3"/>
  <c r="F4050" i="3"/>
  <c r="G4040" i="3"/>
  <c r="F4038" i="3"/>
  <c r="G4028" i="3"/>
  <c r="F4026" i="3"/>
  <c r="G4016" i="3"/>
  <c r="F4014" i="3"/>
  <c r="G4004" i="3"/>
  <c r="F4002" i="3"/>
  <c r="G3992" i="3"/>
  <c r="F3990" i="3"/>
  <c r="G3980" i="3"/>
  <c r="G3968" i="3"/>
  <c r="F3966" i="3"/>
  <c r="G3956" i="3"/>
  <c r="F3954" i="3"/>
  <c r="G3944" i="3"/>
  <c r="F3942" i="3"/>
  <c r="G3932" i="3"/>
  <c r="F3930" i="3"/>
  <c r="G3920" i="3"/>
  <c r="G3908" i="3"/>
  <c r="G3884" i="3"/>
  <c r="F3882" i="3"/>
  <c r="G3872" i="3"/>
  <c r="F3870" i="3"/>
  <c r="G3860" i="3"/>
  <c r="F3858" i="3"/>
  <c r="G3812" i="3"/>
  <c r="F3810" i="3"/>
  <c r="G3800" i="3"/>
  <c r="F3798" i="3"/>
  <c r="G3788" i="3"/>
  <c r="F3786" i="3"/>
  <c r="G3776" i="3"/>
  <c r="F3774" i="3"/>
  <c r="G3764" i="3"/>
  <c r="F3762" i="3"/>
  <c r="G3752" i="3"/>
  <c r="F3750" i="3"/>
  <c r="G3740" i="3"/>
  <c r="F3738" i="3"/>
  <c r="G3728" i="3"/>
  <c r="F3726" i="3"/>
  <c r="G3716" i="3"/>
  <c r="F3714" i="3"/>
  <c r="G3704" i="3"/>
  <c r="G3692" i="3"/>
  <c r="F3690" i="3"/>
  <c r="G3680" i="3"/>
  <c r="G3668" i="3"/>
  <c r="G3644" i="3"/>
  <c r="F3642" i="3"/>
  <c r="G3627" i="3"/>
  <c r="F3625" i="3"/>
  <c r="G3615" i="3"/>
  <c r="G3603" i="3"/>
  <c r="G213" i="3"/>
  <c r="F211" i="3"/>
  <c r="G201" i="3"/>
  <c r="F199" i="3"/>
  <c r="G189" i="3"/>
  <c r="F187" i="3"/>
  <c r="G177" i="3"/>
  <c r="F175" i="3"/>
  <c r="G165" i="3"/>
  <c r="F163" i="3"/>
  <c r="G153" i="3"/>
  <c r="F151" i="3"/>
  <c r="G141" i="3"/>
  <c r="F139" i="3"/>
  <c r="G129" i="3"/>
  <c r="F127" i="3"/>
  <c r="G117" i="3"/>
  <c r="F115" i="3"/>
  <c r="G105" i="3"/>
  <c r="F103" i="3"/>
  <c r="G93" i="3"/>
  <c r="F91" i="3"/>
  <c r="G81" i="3"/>
  <c r="F79" i="3"/>
  <c r="G69" i="3"/>
  <c r="F67" i="3"/>
  <c r="G57" i="3"/>
  <c r="F55" i="3"/>
  <c r="G45" i="3"/>
  <c r="F43" i="3"/>
  <c r="G33" i="3"/>
  <c r="F31" i="3"/>
  <c r="G21" i="3"/>
  <c r="F19" i="3"/>
  <c r="G9" i="3"/>
  <c r="F7" i="3"/>
  <c r="G4746" i="3"/>
  <c r="F4744" i="3"/>
  <c r="G4734" i="3"/>
  <c r="F4732" i="3"/>
  <c r="G4722" i="3"/>
  <c r="F4720" i="3"/>
  <c r="G4710" i="3"/>
  <c r="F4708" i="3"/>
  <c r="G4698" i="3"/>
  <c r="F4696" i="3"/>
  <c r="G4686" i="3"/>
  <c r="F4684" i="3"/>
  <c r="G4674" i="3"/>
  <c r="F4672" i="3"/>
  <c r="G4662" i="3"/>
  <c r="F4660" i="3"/>
  <c r="G4650" i="3"/>
  <c r="F4648" i="3"/>
  <c r="G4638" i="3"/>
  <c r="F4636" i="3"/>
  <c r="G4626" i="3"/>
  <c r="F4624" i="3"/>
  <c r="G4614" i="3"/>
  <c r="F4612" i="3"/>
  <c r="G4602" i="3"/>
  <c r="F4600" i="3"/>
  <c r="G4590" i="3"/>
  <c r="F4588" i="3"/>
  <c r="G4578" i="3"/>
  <c r="F4576" i="3"/>
  <c r="G4566" i="3"/>
  <c r="F4564" i="3"/>
  <c r="G4554" i="3"/>
  <c r="F4552" i="3"/>
  <c r="G4542" i="3"/>
  <c r="F4540" i="3"/>
  <c r="G4530" i="3"/>
  <c r="F4528" i="3"/>
  <c r="G4518" i="3"/>
  <c r="F4516" i="3"/>
  <c r="G4506" i="3"/>
  <c r="F4504" i="3"/>
  <c r="G4494" i="3"/>
  <c r="F4396" i="3"/>
  <c r="F4288" i="3"/>
  <c r="G3591" i="3"/>
  <c r="G3579" i="3"/>
  <c r="F3577" i="3"/>
  <c r="G3567" i="3"/>
  <c r="F3565" i="3"/>
  <c r="G3555" i="3"/>
  <c r="F3553" i="3"/>
  <c r="G3543" i="3"/>
  <c r="F3541" i="3"/>
  <c r="G3531" i="3"/>
  <c r="F3529" i="3"/>
  <c r="G3519" i="3"/>
  <c r="F3517" i="3"/>
  <c r="G3507" i="3"/>
  <c r="F3505" i="3"/>
  <c r="G3495" i="3"/>
  <c r="F3493" i="3"/>
  <c r="G3483" i="3"/>
  <c r="F3481" i="3"/>
  <c r="G3471" i="3"/>
  <c r="F3469" i="3"/>
  <c r="G3459" i="3"/>
  <c r="F3457" i="3"/>
  <c r="G3447" i="3"/>
  <c r="F3445" i="3"/>
  <c r="G3435" i="3"/>
  <c r="F3433" i="3"/>
  <c r="G3423" i="3"/>
  <c r="F3421" i="3"/>
  <c r="G3411" i="3"/>
  <c r="F3409" i="3"/>
  <c r="G3399" i="3"/>
  <c r="F3397" i="3"/>
  <c r="F3385" i="3"/>
  <c r="G3375" i="3"/>
  <c r="F3373" i="3"/>
  <c r="G3363" i="3"/>
  <c r="F3361" i="3"/>
  <c r="G3351" i="3"/>
  <c r="F3349" i="3"/>
  <c r="G3339" i="3"/>
  <c r="F3337" i="3"/>
  <c r="G3327" i="3"/>
  <c r="F3325" i="3"/>
  <c r="G3315" i="3"/>
  <c r="F3313" i="3"/>
  <c r="G3303" i="3"/>
  <c r="F3301" i="3"/>
  <c r="G3291" i="3"/>
  <c r="F3289" i="3"/>
  <c r="G3279" i="3"/>
  <c r="F3277" i="3"/>
  <c r="G3267" i="3"/>
  <c r="F3265" i="3"/>
  <c r="G3255" i="3"/>
  <c r="F3253" i="3"/>
  <c r="G3243" i="3"/>
  <c r="F3241" i="3"/>
  <c r="G3231" i="3"/>
  <c r="F3229" i="3"/>
  <c r="G3219" i="3"/>
  <c r="F3217" i="3"/>
  <c r="G3195" i="3"/>
  <c r="F3193" i="3"/>
  <c r="G3183" i="3"/>
  <c r="F3181" i="3"/>
  <c r="G3171" i="3"/>
  <c r="F3169" i="3"/>
  <c r="G3159" i="3"/>
  <c r="G3135" i="3"/>
  <c r="F3133" i="3"/>
  <c r="G3123" i="3"/>
  <c r="F3121" i="3"/>
  <c r="G3111" i="3"/>
  <c r="F3109" i="3"/>
  <c r="G3099" i="3"/>
  <c r="F3097" i="3"/>
  <c r="G3087" i="3"/>
  <c r="F3085" i="3"/>
  <c r="G3075" i="3"/>
  <c r="F3073" i="3"/>
  <c r="G3063" i="3"/>
  <c r="F3061" i="3"/>
  <c r="G3051" i="3"/>
  <c r="F3049" i="3"/>
  <c r="G3106" i="3"/>
  <c r="F3104" i="3"/>
  <c r="G3094" i="3"/>
  <c r="F3092" i="3"/>
  <c r="G3082" i="3"/>
  <c r="F3080" i="3"/>
  <c r="G3070" i="3"/>
  <c r="F3068" i="3"/>
  <c r="G3058" i="3"/>
  <c r="F3056" i="3"/>
  <c r="G3046" i="3"/>
  <c r="F3044" i="3"/>
  <c r="F3075" i="3"/>
  <c r="G3655" i="3"/>
  <c r="F3653" i="3"/>
  <c r="G3643" i="3"/>
  <c r="F3641" i="3"/>
  <c r="G3626" i="3"/>
  <c r="F3624" i="3"/>
  <c r="G3614" i="3"/>
  <c r="F3612" i="3"/>
  <c r="G3602" i="3"/>
  <c r="F3600" i="3"/>
  <c r="G3590" i="3"/>
  <c r="F3588" i="3"/>
  <c r="G3578" i="3"/>
  <c r="F3576" i="3"/>
  <c r="G3566" i="3"/>
  <c r="F3564" i="3"/>
  <c r="G3554" i="3"/>
  <c r="F3552" i="3"/>
  <c r="G3542" i="3"/>
  <c r="F3540" i="3"/>
  <c r="G3530" i="3"/>
  <c r="F3528" i="3"/>
  <c r="G3518" i="3"/>
  <c r="F3516" i="3"/>
  <c r="G3506" i="3"/>
  <c r="F3504" i="3"/>
  <c r="G3494" i="3"/>
  <c r="F3492" i="3"/>
  <c r="G3482" i="3"/>
  <c r="F3480" i="3"/>
  <c r="G3470" i="3"/>
  <c r="F3468" i="3"/>
  <c r="G3458" i="3"/>
  <c r="F3456" i="3"/>
  <c r="G3446" i="3"/>
  <c r="F3444" i="3"/>
  <c r="G3434" i="3"/>
  <c r="F3432" i="3"/>
  <c r="G3422" i="3"/>
  <c r="F3420" i="3"/>
  <c r="G3410" i="3"/>
  <c r="F3408" i="3"/>
  <c r="G3398" i="3"/>
  <c r="G3374" i="3"/>
  <c r="F3372" i="3"/>
  <c r="G3362" i="3"/>
  <c r="G3350" i="3"/>
  <c r="F3348" i="3"/>
  <c r="G3338" i="3"/>
  <c r="F3336" i="3"/>
  <c r="G3326" i="3"/>
  <c r="F3324" i="3"/>
  <c r="G3314" i="3"/>
  <c r="G3290" i="3"/>
  <c r="G3278" i="3"/>
  <c r="G3266" i="3"/>
  <c r="F3264" i="3"/>
  <c r="G3242" i="3"/>
  <c r="F3240" i="3"/>
  <c r="G3230" i="3"/>
  <c r="F3228" i="3"/>
  <c r="G3218" i="3"/>
  <c r="F3216" i="3"/>
  <c r="G3194" i="3"/>
  <c r="G3182" i="3"/>
  <c r="F3180" i="3"/>
  <c r="G3170" i="3"/>
  <c r="F3168" i="3"/>
  <c r="G3158" i="3"/>
  <c r="F3156" i="3"/>
  <c r="G3134" i="3"/>
  <c r="F3132" i="3"/>
  <c r="G3122" i="3"/>
  <c r="F3120" i="3"/>
  <c r="G3110" i="3"/>
  <c r="F3108" i="3"/>
  <c r="G3098" i="3"/>
  <c r="G3086" i="3"/>
  <c r="G3074" i="3"/>
  <c r="F3072" i="3"/>
  <c r="G3062" i="3"/>
  <c r="F3060" i="3"/>
  <c r="G3050" i="3"/>
  <c r="F3048" i="3"/>
  <c r="G3081" i="3"/>
  <c r="F3484" i="3"/>
  <c r="F2844" i="3"/>
  <c r="G2822" i="3"/>
  <c r="F2772" i="3"/>
  <c r="G2750" i="3"/>
  <c r="F2748" i="3"/>
  <c r="F2628" i="3"/>
  <c r="G2510" i="3"/>
  <c r="F2436" i="3"/>
  <c r="F2424" i="3"/>
  <c r="F2412" i="3"/>
  <c r="G2390" i="3"/>
  <c r="F2388" i="3"/>
  <c r="G2378" i="3"/>
  <c r="F2376" i="3"/>
  <c r="G2366" i="3"/>
  <c r="F2364" i="3"/>
  <c r="G2354" i="3"/>
  <c r="F2352" i="3"/>
  <c r="G2342" i="3"/>
  <c r="G2330" i="3"/>
  <c r="F2328" i="3"/>
  <c r="G2318" i="3"/>
  <c r="F2316" i="3"/>
  <c r="G2306" i="3"/>
  <c r="F2304" i="3"/>
  <c r="G2294" i="3"/>
  <c r="F2292" i="3"/>
  <c r="G2282" i="3"/>
  <c r="F2280" i="3"/>
  <c r="G2270" i="3"/>
  <c r="F2268" i="3"/>
  <c r="G2258" i="3"/>
  <c r="F2256" i="3"/>
  <c r="G2246" i="3"/>
  <c r="F2244" i="3"/>
  <c r="G2234" i="3"/>
  <c r="F2232" i="3"/>
  <c r="G2222" i="3"/>
  <c r="F3012" i="3"/>
  <c r="F2220" i="3"/>
  <c r="G2210" i="3"/>
  <c r="F2208" i="3"/>
  <c r="G2198" i="3"/>
  <c r="F2196" i="3"/>
  <c r="G2186" i="3"/>
  <c r="F2184" i="3"/>
  <c r="G2174" i="3"/>
  <c r="F2172" i="3"/>
  <c r="G2162" i="3"/>
  <c r="F2160" i="3"/>
  <c r="G2150" i="3"/>
  <c r="F2148" i="3"/>
  <c r="G2138" i="3"/>
  <c r="F2136" i="3"/>
  <c r="G2126" i="3"/>
  <c r="F2124" i="3"/>
  <c r="G2114" i="3"/>
  <c r="F2112" i="3"/>
  <c r="G2102" i="3"/>
  <c r="F2100" i="3"/>
  <c r="G2090" i="3"/>
  <c r="F2088" i="3"/>
  <c r="G2078" i="3"/>
  <c r="F2076" i="3"/>
  <c r="G2066" i="3"/>
  <c r="F2064" i="3"/>
  <c r="G2054" i="3"/>
  <c r="F2052" i="3"/>
  <c r="G2042" i="3"/>
  <c r="F2040" i="3"/>
  <c r="G2030" i="3"/>
  <c r="F2028" i="3"/>
  <c r="G2018" i="3"/>
  <c r="F2016" i="3"/>
  <c r="G2006" i="3"/>
  <c r="F2004" i="3"/>
  <c r="G1994" i="3"/>
  <c r="F1992" i="3"/>
  <c r="G1982" i="3"/>
  <c r="F1980" i="3"/>
  <c r="G1970" i="3"/>
  <c r="F1968" i="3"/>
  <c r="G1958" i="3"/>
  <c r="F1956" i="3"/>
  <c r="G1946" i="3"/>
  <c r="F1944" i="3"/>
  <c r="G1934" i="3"/>
  <c r="F1932" i="3"/>
  <c r="G1922" i="3"/>
  <c r="F1920" i="3"/>
  <c r="G1910" i="3"/>
  <c r="F1908" i="3"/>
  <c r="G1898" i="3"/>
  <c r="F1896" i="3"/>
  <c r="G1886" i="3"/>
  <c r="F1884" i="3"/>
  <c r="G1874" i="3"/>
  <c r="G1199" i="3"/>
  <c r="F1197" i="3"/>
  <c r="G1187" i="3"/>
  <c r="F1185" i="3"/>
  <c r="G1151" i="3"/>
  <c r="F1149" i="3"/>
  <c r="G1139" i="3"/>
  <c r="F1137" i="3"/>
  <c r="G1127" i="3"/>
  <c r="F1125" i="3"/>
  <c r="F1113" i="3"/>
  <c r="G1103" i="3"/>
  <c r="F1101" i="3"/>
  <c r="G1091" i="3"/>
  <c r="F1089" i="3"/>
  <c r="G1079" i="3"/>
  <c r="F1077" i="3"/>
  <c r="G1067" i="3"/>
  <c r="F1065" i="3"/>
  <c r="F1053" i="3"/>
  <c r="G1043" i="3"/>
  <c r="F1041" i="3"/>
  <c r="G1031" i="3"/>
  <c r="F1029" i="3"/>
  <c r="G971" i="3"/>
  <c r="F969" i="3"/>
  <c r="F885" i="3"/>
  <c r="F2918" i="3"/>
  <c r="G1457" i="3"/>
  <c r="F2" i="3"/>
  <c r="G1846" i="3"/>
  <c r="F1844" i="3"/>
  <c r="G1834" i="3"/>
  <c r="F1832" i="3"/>
  <c r="G1793" i="3"/>
  <c r="F1791" i="3"/>
  <c r="G1781" i="3"/>
  <c r="G1757" i="3"/>
  <c r="G1745" i="3"/>
  <c r="G1721" i="3"/>
  <c r="G1709" i="3"/>
  <c r="G1699" i="3"/>
  <c r="F1697" i="3"/>
  <c r="G1687" i="3"/>
  <c r="F1685" i="3"/>
  <c r="G1675" i="3"/>
  <c r="F1673" i="3"/>
  <c r="G1663" i="3"/>
  <c r="F1661" i="3"/>
  <c r="G1651" i="3"/>
  <c r="F1649" i="3"/>
  <c r="G1639" i="3"/>
  <c r="F1637" i="3"/>
  <c r="G1627" i="3"/>
  <c r="F1625" i="3"/>
  <c r="G1615" i="3"/>
  <c r="F1613" i="3"/>
  <c r="G1603" i="3"/>
  <c r="F1601" i="3"/>
  <c r="G1591" i="3"/>
  <c r="F3978" i="3"/>
  <c r="F1589" i="3"/>
  <c r="G1579" i="3"/>
  <c r="F1577" i="3"/>
  <c r="G1567" i="3"/>
  <c r="F1565" i="3"/>
  <c r="G1555" i="3"/>
  <c r="F1553" i="3"/>
  <c r="G1543" i="3"/>
  <c r="F1541" i="3"/>
  <c r="G1531" i="3"/>
  <c r="F1529" i="3"/>
  <c r="G1519" i="3"/>
  <c r="F1517" i="3"/>
  <c r="G1507" i="3"/>
  <c r="F1505" i="3"/>
  <c r="G1495" i="3"/>
  <c r="F1493" i="3"/>
  <c r="G1483" i="3"/>
  <c r="F1481" i="3"/>
  <c r="G1471" i="3"/>
  <c r="F1469" i="3"/>
  <c r="G1459" i="3"/>
  <c r="F1457" i="3"/>
  <c r="G1447" i="3"/>
  <c r="F1445" i="3"/>
  <c r="G1435" i="3"/>
  <c r="F1433" i="3"/>
  <c r="G1423" i="3"/>
  <c r="F1421" i="3"/>
  <c r="G1411" i="3"/>
  <c r="F1409" i="3"/>
  <c r="G1399" i="3"/>
  <c r="F1397" i="3"/>
  <c r="G1387" i="3"/>
  <c r="F1385" i="3"/>
  <c r="G1375" i="3"/>
  <c r="F1373" i="3"/>
  <c r="G1363" i="3"/>
  <c r="F1361" i="3"/>
  <c r="G1351" i="3"/>
  <c r="F1349" i="3"/>
  <c r="G1339" i="3"/>
  <c r="F1337" i="3"/>
  <c r="G1327" i="3"/>
  <c r="F1325" i="3"/>
  <c r="G1315" i="3"/>
  <c r="F1313" i="3"/>
  <c r="G1303" i="3"/>
  <c r="F1301" i="3"/>
  <c r="G1291" i="3"/>
  <c r="F1289" i="3"/>
  <c r="G1279" i="3"/>
  <c r="F1277" i="3"/>
  <c r="G1267" i="3"/>
  <c r="F1265" i="3"/>
  <c r="G1255" i="3"/>
  <c r="F1253" i="3"/>
  <c r="G1243" i="3"/>
  <c r="F1241" i="3"/>
  <c r="G1231" i="3"/>
  <c r="F1229" i="3"/>
  <c r="G1219" i="3"/>
  <c r="F1217" i="3"/>
  <c r="G1207" i="3"/>
  <c r="F1205" i="3"/>
  <c r="G1195" i="3"/>
  <c r="F1193" i="3"/>
  <c r="G1183" i="3"/>
  <c r="F1181" i="3"/>
  <c r="G1171" i="3"/>
  <c r="F1169" i="3"/>
  <c r="G1159" i="3"/>
  <c r="F1157" i="3"/>
  <c r="G1147" i="3"/>
  <c r="F1145" i="3"/>
  <c r="G1135" i="3"/>
  <c r="F1133" i="3"/>
  <c r="G1123" i="3"/>
  <c r="F1121" i="3"/>
  <c r="G1111" i="3"/>
  <c r="F1109" i="3"/>
  <c r="G1099" i="3"/>
  <c r="F1097" i="3"/>
  <c r="G1087" i="3"/>
  <c r="F1085" i="3"/>
  <c r="G1075" i="3"/>
  <c r="F1073" i="3"/>
  <c r="G1063" i="3"/>
  <c r="F1061" i="3"/>
  <c r="G1051" i="3"/>
  <c r="F1049" i="3"/>
  <c r="G1039" i="3"/>
  <c r="F1037" i="3"/>
  <c r="G1027" i="3"/>
  <c r="F1025" i="3"/>
  <c r="G1015" i="3"/>
  <c r="F1013" i="3"/>
  <c r="G1003" i="3"/>
  <c r="F1001" i="3"/>
  <c r="G991" i="3"/>
  <c r="F989" i="3"/>
  <c r="G979" i="3"/>
  <c r="F977" i="3"/>
  <c r="G967" i="3"/>
  <c r="F965" i="3"/>
  <c r="G955" i="3"/>
  <c r="F953" i="3"/>
  <c r="G943" i="3"/>
  <c r="F941" i="3"/>
  <c r="G931" i="3"/>
  <c r="F929" i="3"/>
  <c r="G919" i="3"/>
  <c r="F917" i="3"/>
  <c r="G907" i="3"/>
  <c r="F905" i="3"/>
  <c r="G895" i="3"/>
  <c r="F893" i="3"/>
  <c r="G883" i="3"/>
  <c r="F881" i="3"/>
  <c r="G871" i="3"/>
  <c r="F869" i="3"/>
  <c r="G859" i="3"/>
  <c r="F857" i="3"/>
  <c r="G847" i="3"/>
  <c r="F845" i="3"/>
  <c r="G835" i="3"/>
  <c r="F833" i="3"/>
  <c r="G823" i="3"/>
  <c r="F821" i="3"/>
  <c r="G811" i="3"/>
  <c r="F809" i="3"/>
  <c r="G799" i="3"/>
  <c r="F797" i="3"/>
  <c r="G787" i="3"/>
  <c r="F785" i="3"/>
  <c r="G775" i="3"/>
  <c r="F773" i="3"/>
  <c r="G763" i="3"/>
  <c r="F761" i="3"/>
  <c r="G751" i="3"/>
  <c r="F749" i="3"/>
  <c r="G739" i="3"/>
  <c r="F737" i="3"/>
  <c r="G727" i="3"/>
  <c r="F725" i="3"/>
  <c r="G715" i="3"/>
  <c r="F713" i="3"/>
  <c r="G703" i="3"/>
  <c r="F701" i="3"/>
  <c r="G691" i="3"/>
  <c r="F689" i="3"/>
  <c r="G679" i="3"/>
  <c r="F677" i="3"/>
  <c r="G667" i="3"/>
  <c r="F665" i="3"/>
  <c r="G655" i="3"/>
  <c r="F653" i="3"/>
  <c r="G643" i="3"/>
  <c r="F641" i="3"/>
  <c r="G631" i="3"/>
  <c r="F629" i="3"/>
  <c r="G619" i="3"/>
  <c r="F617" i="3"/>
  <c r="G607" i="3"/>
  <c r="F605" i="3"/>
  <c r="G595" i="3"/>
  <c r="F593" i="3"/>
  <c r="G583" i="3"/>
  <c r="F581" i="3"/>
  <c r="G571" i="3"/>
  <c r="F3918" i="3"/>
  <c r="F3906" i="3"/>
  <c r="G3896" i="3"/>
  <c r="F3894" i="3"/>
  <c r="G3848" i="3"/>
  <c r="F3846" i="3"/>
  <c r="G3836" i="3"/>
  <c r="F3834" i="3"/>
  <c r="G3824" i="3"/>
  <c r="F3822" i="3"/>
  <c r="F3702" i="3"/>
  <c r="F3678" i="3"/>
  <c r="F3666" i="3"/>
  <c r="G3656" i="3"/>
  <c r="F3654" i="3"/>
  <c r="F3613" i="3"/>
  <c r="F3601" i="3"/>
  <c r="F3589" i="3"/>
  <c r="G3387" i="3"/>
  <c r="G3879" i="3"/>
  <c r="F3877" i="3"/>
  <c r="G3867" i="3"/>
  <c r="F3865" i="3"/>
  <c r="F3817" i="3"/>
  <c r="F3046" i="3"/>
  <c r="F3425" i="3"/>
  <c r="G3331" i="3"/>
  <c r="F3305" i="3"/>
  <c r="F3137" i="3"/>
  <c r="F569" i="3"/>
  <c r="G559" i="3"/>
  <c r="F557" i="3"/>
  <c r="G547" i="3"/>
  <c r="F545" i="3"/>
  <c r="G535" i="3"/>
  <c r="F533" i="3"/>
  <c r="G523" i="3"/>
  <c r="F521" i="3"/>
  <c r="G511" i="3"/>
  <c r="F509" i="3"/>
  <c r="G499" i="3"/>
  <c r="F497" i="3"/>
  <c r="G487" i="3"/>
  <c r="F485" i="3"/>
  <c r="G475" i="3"/>
  <c r="F473" i="3"/>
  <c r="G463" i="3"/>
  <c r="F461" i="3"/>
  <c r="G451" i="3"/>
  <c r="F449" i="3"/>
  <c r="G439" i="3"/>
  <c r="F437" i="3"/>
  <c r="G427" i="3"/>
  <c r="F425" i="3"/>
  <c r="G415" i="3"/>
  <c r="F413" i="3"/>
  <c r="G403" i="3"/>
  <c r="F401" i="3"/>
  <c r="G391" i="3"/>
  <c r="F389" i="3"/>
  <c r="G379" i="3"/>
  <c r="F377" i="3"/>
  <c r="G367" i="3"/>
  <c r="F365" i="3"/>
  <c r="G355" i="3"/>
  <c r="F353" i="3"/>
  <c r="G343" i="3"/>
  <c r="F341" i="3"/>
  <c r="G331" i="3"/>
  <c r="F329" i="3"/>
  <c r="G319" i="3"/>
  <c r="F317" i="3"/>
  <c r="G307" i="3"/>
  <c r="F305" i="3"/>
  <c r="G295" i="3"/>
  <c r="F293" i="3"/>
  <c r="G283" i="3"/>
  <c r="F281" i="3"/>
  <c r="G3652" i="3"/>
  <c r="F3650" i="3"/>
  <c r="G3640" i="3"/>
  <c r="F3638" i="3"/>
  <c r="G3623" i="3"/>
  <c r="F3621" i="3"/>
  <c r="G3599" i="3"/>
  <c r="G3575" i="3"/>
  <c r="F3573" i="3"/>
  <c r="G3551" i="3"/>
  <c r="G3539" i="3"/>
  <c r="G3527" i="3"/>
  <c r="G3515" i="3"/>
  <c r="G3503" i="3"/>
  <c r="F3501" i="3"/>
  <c r="G3491" i="3"/>
  <c r="G3479" i="3"/>
  <c r="G3467" i="3"/>
  <c r="F3465" i="3"/>
  <c r="G3443" i="3"/>
  <c r="G3431" i="3"/>
  <c r="G3419" i="3"/>
  <c r="G3407" i="3"/>
  <c r="F3405" i="3"/>
  <c r="G3395" i="3"/>
  <c r="F3393" i="3"/>
  <c r="G3383" i="3"/>
  <c r="G3371" i="3"/>
  <c r="F3369" i="3"/>
  <c r="G3359" i="3"/>
  <c r="F3357" i="3"/>
  <c r="G3335" i="3"/>
  <c r="G3323" i="3"/>
  <c r="F3321" i="3"/>
  <c r="F3309" i="3"/>
  <c r="F3290" i="3"/>
  <c r="D14" i="5"/>
  <c r="D26" i="5"/>
  <c r="D38" i="5"/>
  <c r="D3" i="5"/>
  <c r="D15" i="5"/>
  <c r="D27" i="5"/>
  <c r="D4" i="5"/>
  <c r="D16" i="5"/>
  <c r="D28" i="5"/>
  <c r="D5" i="5"/>
  <c r="D17" i="5"/>
  <c r="D29" i="5"/>
  <c r="D6" i="5"/>
  <c r="D18" i="5"/>
  <c r="D30" i="5"/>
  <c r="D7" i="5"/>
  <c r="D19" i="5"/>
  <c r="D31" i="5"/>
  <c r="D8" i="5"/>
  <c r="D20" i="5"/>
  <c r="D32" i="5"/>
  <c r="D9" i="5"/>
  <c r="D21" i="5"/>
  <c r="D33" i="5"/>
  <c r="D10" i="5"/>
  <c r="D22" i="5"/>
  <c r="D34" i="5"/>
  <c r="D11" i="5"/>
  <c r="D23" i="5"/>
  <c r="D35" i="5"/>
  <c r="D12" i="5"/>
  <c r="D24" i="5"/>
  <c r="D36" i="5"/>
  <c r="D13" i="5"/>
  <c r="D25" i="5"/>
  <c r="D37" i="5"/>
  <c r="B3" i="5"/>
  <c r="B15" i="5"/>
  <c r="B27" i="5"/>
  <c r="B4" i="5"/>
  <c r="B16" i="5"/>
  <c r="B28" i="5"/>
  <c r="B5" i="5"/>
  <c r="B17" i="5"/>
  <c r="B29" i="5"/>
  <c r="B6" i="5"/>
  <c r="B18" i="5"/>
  <c r="B30" i="5"/>
  <c r="B7" i="5"/>
  <c r="B19" i="5"/>
  <c r="B31" i="5"/>
  <c r="B20" i="5"/>
  <c r="B32" i="5"/>
  <c r="B8" i="5"/>
  <c r="B9" i="5"/>
  <c r="B21" i="5"/>
  <c r="B33" i="5"/>
  <c r="B10" i="5"/>
  <c r="B22" i="5"/>
  <c r="B34" i="5"/>
  <c r="B11" i="5"/>
  <c r="B23" i="5"/>
  <c r="B35" i="5"/>
  <c r="B12" i="5"/>
  <c r="B24" i="5"/>
  <c r="B36" i="5"/>
  <c r="B13" i="5"/>
  <c r="B25" i="5"/>
  <c r="B37" i="5"/>
  <c r="B14" i="5"/>
  <c r="B26" i="5"/>
  <c r="B38" i="5"/>
  <c r="A2" i="5"/>
  <c r="F3032" i="3"/>
  <c r="G2986" i="3"/>
  <c r="F2984" i="3"/>
  <c r="G2974" i="3"/>
  <c r="F2972" i="3"/>
  <c r="G2962" i="3"/>
  <c r="F2960" i="3"/>
  <c r="G2950" i="3"/>
  <c r="F2948" i="3"/>
  <c r="G2938" i="3"/>
  <c r="F2936" i="3"/>
  <c r="G2926" i="3"/>
  <c r="F2924" i="3"/>
  <c r="G2914" i="3"/>
  <c r="F2912" i="3"/>
  <c r="G2902" i="3"/>
  <c r="F2900" i="3"/>
  <c r="G2890" i="3"/>
  <c r="F2888" i="3"/>
  <c r="G2878" i="3"/>
  <c r="F2876" i="3"/>
  <c r="G2866" i="3"/>
  <c r="F2864" i="3"/>
  <c r="G2854" i="3"/>
  <c r="F2852" i="3"/>
  <c r="G2842" i="3"/>
  <c r="F2840" i="3"/>
  <c r="G2830" i="3"/>
  <c r="F2828" i="3"/>
  <c r="G2818" i="3"/>
  <c r="F2816" i="3"/>
  <c r="G2806" i="3"/>
  <c r="F2804" i="3"/>
  <c r="G2794" i="3"/>
  <c r="F2792" i="3"/>
  <c r="G2782" i="3"/>
  <c r="F2780" i="3"/>
  <c r="G2770" i="3"/>
  <c r="F2768" i="3"/>
  <c r="G2758" i="3"/>
  <c r="F2756" i="3"/>
  <c r="G2746" i="3"/>
  <c r="F2744" i="3"/>
  <c r="G2734" i="3"/>
  <c r="F2732" i="3"/>
  <c r="G2722" i="3"/>
  <c r="F2720" i="3"/>
  <c r="G2710" i="3"/>
  <c r="F2708" i="3"/>
  <c r="G2698" i="3"/>
  <c r="F2696" i="3"/>
  <c r="G2686" i="3"/>
  <c r="F2684" i="3"/>
  <c r="G2674" i="3"/>
  <c r="F2672" i="3"/>
  <c r="G2662" i="3"/>
  <c r="F2660" i="3"/>
  <c r="G2650" i="3"/>
  <c r="F2648" i="3"/>
  <c r="G2638" i="3"/>
  <c r="F2636" i="3"/>
  <c r="G2626" i="3"/>
  <c r="F2624" i="3"/>
  <c r="G2614" i="3"/>
  <c r="F2612" i="3"/>
  <c r="G2602" i="3"/>
  <c r="F2600" i="3"/>
  <c r="G2590" i="3"/>
  <c r="F2588" i="3"/>
  <c r="G2578" i="3"/>
  <c r="F2576" i="3"/>
  <c r="G2566" i="3"/>
  <c r="F2564" i="3"/>
  <c r="G2554" i="3"/>
  <c r="F2552" i="3"/>
  <c r="G2542" i="3"/>
  <c r="F2540" i="3"/>
  <c r="G2530" i="3"/>
  <c r="F2528" i="3"/>
  <c r="G2518" i="3"/>
  <c r="F2516" i="3"/>
  <c r="F3043" i="3"/>
  <c r="F3031" i="3"/>
  <c r="G3021" i="3"/>
  <c r="F3019" i="3"/>
  <c r="F3007" i="3"/>
  <c r="F2995" i="3"/>
  <c r="F2983" i="3"/>
  <c r="G2973" i="3"/>
  <c r="F2971" i="3"/>
  <c r="F2959" i="3"/>
  <c r="G2913" i="3"/>
  <c r="F2911" i="3"/>
  <c r="G2901" i="3"/>
  <c r="F2899" i="3"/>
  <c r="F2443" i="3"/>
  <c r="F2203" i="3"/>
  <c r="G2013" i="3"/>
  <c r="F2011" i="3"/>
  <c r="G2001" i="3"/>
  <c r="F1999" i="3"/>
  <c r="G1989" i="3"/>
  <c r="F1987" i="3"/>
  <c r="G1977" i="3"/>
  <c r="F1975" i="3"/>
  <c r="G1953" i="3"/>
  <c r="F1951" i="3"/>
  <c r="G1941" i="3"/>
  <c r="F1939" i="3"/>
  <c r="G1929" i="3"/>
  <c r="F1927" i="3"/>
  <c r="F1855" i="3"/>
  <c r="G1845" i="3"/>
  <c r="F1843" i="3"/>
  <c r="G1833" i="3"/>
  <c r="F1831" i="3"/>
  <c r="G1816" i="3"/>
  <c r="F1814" i="3"/>
  <c r="G1804" i="3"/>
  <c r="F1802" i="3"/>
  <c r="G1792" i="3"/>
  <c r="F1790" i="3"/>
  <c r="G1780" i="3"/>
  <c r="F1778" i="3"/>
  <c r="G1768" i="3"/>
  <c r="F1766" i="3"/>
  <c r="G1756" i="3"/>
  <c r="F1754" i="3"/>
  <c r="G1744" i="3"/>
  <c r="F1742" i="3"/>
  <c r="G1732" i="3"/>
  <c r="F1730" i="3"/>
  <c r="G1720" i="3"/>
  <c r="F1718" i="3"/>
  <c r="G1708" i="3"/>
  <c r="G1698" i="3"/>
  <c r="F1696" i="3"/>
  <c r="G1686" i="3"/>
  <c r="F1684" i="3"/>
  <c r="G1674" i="3"/>
  <c r="F1672" i="3"/>
  <c r="G1662" i="3"/>
  <c r="F1660" i="3"/>
  <c r="G1650" i="3"/>
  <c r="F1648" i="3"/>
  <c r="G1638" i="3"/>
  <c r="F1636" i="3"/>
  <c r="G1626" i="3"/>
  <c r="F1624" i="3"/>
  <c r="G1614" i="3"/>
  <c r="F1612" i="3"/>
  <c r="G1602" i="3"/>
  <c r="F1600" i="3"/>
  <c r="G2896" i="3"/>
  <c r="G3251" i="3"/>
  <c r="G3239" i="3"/>
  <c r="G3227" i="3"/>
  <c r="G3215" i="3"/>
  <c r="F3213" i="3"/>
  <c r="G3203" i="3"/>
  <c r="F3201" i="3"/>
  <c r="G3191" i="3"/>
  <c r="F3189" i="3"/>
  <c r="G3179" i="3"/>
  <c r="F3177" i="3"/>
  <c r="G3167" i="3"/>
  <c r="F3165" i="3"/>
  <c r="G3155" i="3"/>
  <c r="F3153" i="3"/>
  <c r="G3148" i="3"/>
  <c r="G3143" i="3"/>
  <c r="F3141" i="3"/>
  <c r="G3131" i="3"/>
  <c r="F3129" i="3"/>
  <c r="G3119" i="3"/>
  <c r="F3117" i="3"/>
  <c r="G3107" i="3"/>
  <c r="F3105" i="3"/>
  <c r="G3095" i="3"/>
  <c r="F3093" i="3"/>
  <c r="G3083" i="3"/>
  <c r="F3081" i="3"/>
  <c r="G3071" i="3"/>
  <c r="F3069" i="3"/>
  <c r="G3059" i="3"/>
  <c r="F3057" i="3"/>
  <c r="G3047" i="3"/>
  <c r="F3045" i="3"/>
  <c r="G3164" i="3"/>
  <c r="F3162" i="3"/>
  <c r="G3152" i="3"/>
  <c r="F3150" i="3"/>
  <c r="G3140" i="3"/>
  <c r="F1528" i="3"/>
  <c r="G1518" i="3"/>
  <c r="F1516" i="3"/>
  <c r="G1470" i="3"/>
  <c r="F1468" i="3"/>
  <c r="G1458" i="3"/>
  <c r="F1456" i="3"/>
  <c r="G1446" i="3"/>
  <c r="F1444" i="3"/>
  <c r="F1396" i="3"/>
  <c r="F1312" i="3"/>
  <c r="F1300" i="3"/>
  <c r="F1288" i="3"/>
  <c r="F1264" i="3"/>
  <c r="F1252" i="3"/>
  <c r="F1180" i="3"/>
  <c r="F1108" i="3"/>
  <c r="F1012" i="3"/>
  <c r="F988" i="3"/>
  <c r="F976" i="3"/>
  <c r="F952" i="3"/>
  <c r="G930" i="3"/>
  <c r="F928" i="3"/>
  <c r="F916" i="3"/>
  <c r="F892" i="3"/>
  <c r="F880" i="3"/>
  <c r="F868" i="3"/>
  <c r="F820" i="3"/>
  <c r="F796" i="3"/>
  <c r="F712" i="3"/>
  <c r="F688" i="3"/>
  <c r="F664" i="3"/>
  <c r="F652" i="3"/>
  <c r="G642" i="3"/>
  <c r="F640" i="3"/>
  <c r="G630" i="3"/>
  <c r="F628" i="3"/>
  <c r="G618" i="3"/>
  <c r="F616" i="3"/>
  <c r="G606" i="3"/>
  <c r="F604" i="3"/>
  <c r="G594" i="3"/>
  <c r="F592" i="3"/>
  <c r="G582" i="3"/>
  <c r="F580" i="3"/>
  <c r="G570" i="3"/>
  <c r="F568" i="3"/>
  <c r="G558" i="3"/>
  <c r="F556" i="3"/>
  <c r="G546" i="3"/>
  <c r="F544" i="3"/>
  <c r="G534" i="3"/>
  <c r="F532" i="3"/>
  <c r="G522" i="3"/>
  <c r="F520" i="3"/>
  <c r="G510" i="3"/>
  <c r="F508" i="3"/>
  <c r="G498" i="3"/>
  <c r="F496" i="3"/>
  <c r="G486" i="3"/>
  <c r="F484" i="3"/>
  <c r="F460" i="3"/>
  <c r="F448" i="3"/>
  <c r="F412" i="3"/>
  <c r="F388" i="3"/>
  <c r="F352" i="3"/>
  <c r="F256" i="3"/>
  <c r="F244" i="3"/>
  <c r="F208" i="3"/>
  <c r="G3502" i="3"/>
  <c r="F3500" i="3"/>
  <c r="G3466" i="3"/>
  <c r="F3464" i="3"/>
  <c r="G3454" i="3"/>
  <c r="F3452" i="3"/>
  <c r="G3430" i="3"/>
  <c r="F3428" i="3"/>
  <c r="G3418" i="3"/>
  <c r="F3416" i="3"/>
  <c r="F3392" i="3"/>
  <c r="F3380" i="3"/>
  <c r="F3368" i="3"/>
  <c r="F3332" i="3"/>
  <c r="F3212" i="3"/>
  <c r="F3200" i="3"/>
  <c r="G3060" i="3"/>
  <c r="F3058" i="3"/>
  <c r="G941" i="3"/>
  <c r="G929" i="3"/>
  <c r="G905" i="3"/>
  <c r="G809" i="3"/>
  <c r="G773" i="3"/>
  <c r="G749" i="3"/>
  <c r="G665" i="3"/>
  <c r="G629" i="3"/>
  <c r="F627" i="3"/>
  <c r="G617" i="3"/>
  <c r="F615" i="3"/>
  <c r="G605" i="3"/>
  <c r="F603" i="3"/>
  <c r="F591" i="3"/>
  <c r="G581" i="3"/>
  <c r="F579" i="3"/>
  <c r="G569" i="3"/>
  <c r="F567" i="3"/>
  <c r="G557" i="3"/>
  <c r="F555" i="3"/>
  <c r="G545" i="3"/>
  <c r="F543" i="3"/>
  <c r="G533" i="3"/>
  <c r="F531" i="3"/>
  <c r="G521" i="3"/>
  <c r="F519" i="3"/>
  <c r="G509" i="3"/>
  <c r="F507" i="3"/>
  <c r="G485" i="3"/>
  <c r="F483" i="3"/>
  <c r="G449" i="3"/>
  <c r="F447" i="3"/>
  <c r="G413" i="3"/>
  <c r="F411" i="3"/>
  <c r="F387" i="3"/>
  <c r="G377" i="3"/>
  <c r="G353" i="3"/>
  <c r="F351" i="3"/>
  <c r="G317" i="3"/>
  <c r="F315" i="3"/>
  <c r="G293" i="3"/>
  <c r="F279" i="3"/>
  <c r="G269" i="3"/>
  <c r="F267" i="3"/>
  <c r="G4646" i="3"/>
  <c r="F4644" i="3"/>
  <c r="F4572" i="3"/>
  <c r="G4526" i="3"/>
  <c r="F4524" i="3"/>
  <c r="G4490" i="3"/>
  <c r="F4488" i="3"/>
  <c r="G4430" i="3"/>
  <c r="F4428" i="3"/>
  <c r="F4404" i="3"/>
  <c r="G4394" i="3"/>
  <c r="G3758" i="3"/>
  <c r="G3746" i="3"/>
  <c r="F3744" i="3"/>
  <c r="G3734" i="3"/>
  <c r="G3710" i="3"/>
  <c r="F3708" i="3"/>
  <c r="G3698" i="3"/>
  <c r="G3042" i="3"/>
  <c r="F3040" i="3"/>
  <c r="G3030" i="3"/>
  <c r="F3028" i="3"/>
  <c r="G3018" i="3"/>
  <c r="F3016" i="3"/>
  <c r="G3006" i="3"/>
  <c r="F3004" i="3"/>
  <c r="G2994" i="3"/>
  <c r="F2992" i="3"/>
  <c r="G2982" i="3"/>
  <c r="F2980" i="3"/>
  <c r="G2970" i="3"/>
  <c r="F2968" i="3"/>
  <c r="G2958" i="3"/>
  <c r="F2956" i="3"/>
  <c r="G2946" i="3"/>
  <c r="F2944" i="3"/>
  <c r="G2934" i="3"/>
  <c r="F2932" i="3"/>
  <c r="G2922" i="3"/>
  <c r="F2920" i="3"/>
  <c r="G2910" i="3"/>
  <c r="F2908" i="3"/>
  <c r="G2898" i="3"/>
  <c r="F2896" i="3"/>
  <c r="G2886" i="3"/>
  <c r="F2884" i="3"/>
  <c r="G2874" i="3"/>
  <c r="F2872" i="3"/>
  <c r="G2862" i="3"/>
  <c r="F2860" i="3"/>
  <c r="G2850" i="3"/>
  <c r="F2848" i="3"/>
  <c r="G2838" i="3"/>
  <c r="F2836" i="3"/>
  <c r="G2826" i="3"/>
  <c r="F2824" i="3"/>
  <c r="G2814" i="3"/>
  <c r="F2812" i="3"/>
  <c r="G2802" i="3"/>
  <c r="F2800" i="3"/>
  <c r="G2790" i="3"/>
  <c r="F2788" i="3"/>
  <c r="G2778" i="3"/>
  <c r="F2776" i="3"/>
  <c r="G2766" i="3"/>
  <c r="F2764" i="3"/>
  <c r="G2754" i="3"/>
  <c r="F2752" i="3"/>
  <c r="G2742" i="3"/>
  <c r="F2740" i="3"/>
  <c r="G2730" i="3"/>
  <c r="F2728" i="3"/>
  <c r="G2718" i="3"/>
  <c r="F2716" i="3"/>
  <c r="G2706" i="3"/>
  <c r="F2704" i="3"/>
  <c r="G2694" i="3"/>
  <c r="F2692" i="3"/>
  <c r="G2682" i="3"/>
  <c r="F2680" i="3"/>
  <c r="G2670" i="3"/>
  <c r="F2668" i="3"/>
  <c r="G2658" i="3"/>
  <c r="F2656" i="3"/>
  <c r="G2646" i="3"/>
  <c r="F2644" i="3"/>
  <c r="G2634" i="3"/>
  <c r="F2632" i="3"/>
  <c r="G2622" i="3"/>
  <c r="F2620" i="3"/>
  <c r="G2610" i="3"/>
  <c r="F2608" i="3"/>
  <c r="G2598" i="3"/>
  <c r="F2596" i="3"/>
  <c r="G2586" i="3"/>
  <c r="F2584" i="3"/>
  <c r="G2574" i="3"/>
  <c r="F2572" i="3"/>
  <c r="G2562" i="3"/>
  <c r="F2560" i="3"/>
  <c r="G2550" i="3"/>
  <c r="G2365" i="3"/>
  <c r="G2353" i="3"/>
  <c r="F2351" i="3"/>
  <c r="G2341" i="3"/>
  <c r="F2339" i="3"/>
  <c r="G2329" i="3"/>
  <c r="F2327" i="3"/>
  <c r="G2317" i="3"/>
  <c r="F2315" i="3"/>
  <c r="G2305" i="3"/>
  <c r="F2303" i="3"/>
  <c r="G2281" i="3"/>
  <c r="F2243" i="3"/>
  <c r="G2233" i="3"/>
  <c r="G2209" i="3"/>
  <c r="F2207" i="3"/>
  <c r="G2125" i="3"/>
  <c r="G2101" i="3"/>
  <c r="F2099" i="3"/>
  <c r="F2087" i="3"/>
  <c r="G2077" i="3"/>
  <c r="F2075" i="3"/>
  <c r="G2017" i="3"/>
  <c r="G1981" i="3"/>
  <c r="G1885" i="3"/>
  <c r="F1883" i="3"/>
  <c r="G1849" i="3"/>
  <c r="F1847" i="3"/>
  <c r="G1702" i="3"/>
  <c r="F1700" i="3"/>
  <c r="G1690" i="3"/>
  <c r="F1688" i="3"/>
  <c r="G1678" i="3"/>
  <c r="F1676" i="3"/>
  <c r="G1666" i="3"/>
  <c r="F1664" i="3"/>
  <c r="F2548" i="3"/>
  <c r="G2538" i="3"/>
  <c r="F2536" i="3"/>
  <c r="G2526" i="3"/>
  <c r="F2524" i="3"/>
  <c r="G2514" i="3"/>
  <c r="F2512" i="3"/>
  <c r="G2502" i="3"/>
  <c r="F2500" i="3"/>
  <c r="G2490" i="3"/>
  <c r="F2488" i="3"/>
  <c r="G2478" i="3"/>
  <c r="F2476" i="3"/>
  <c r="G2466" i="3"/>
  <c r="F2464" i="3"/>
  <c r="G2454" i="3"/>
  <c r="F2452" i="3"/>
  <c r="G2442" i="3"/>
  <c r="F2440" i="3"/>
  <c r="G2430" i="3"/>
  <c r="F2428" i="3"/>
  <c r="G2418" i="3"/>
  <c r="F2416" i="3"/>
  <c r="G2406" i="3"/>
  <c r="F2404" i="3"/>
  <c r="G2394" i="3"/>
  <c r="F2392" i="3"/>
  <c r="G2382" i="3"/>
  <c r="F2380" i="3"/>
  <c r="G2370" i="3"/>
  <c r="F2368" i="3"/>
  <c r="G2358" i="3"/>
  <c r="F2356" i="3"/>
  <c r="G2346" i="3"/>
  <c r="F2344" i="3"/>
  <c r="G2334" i="3"/>
  <c r="F2332" i="3"/>
  <c r="G2322" i="3"/>
  <c r="F2320" i="3"/>
  <c r="G2310" i="3"/>
  <c r="F2308" i="3"/>
  <c r="G2298" i="3"/>
  <c r="F2296" i="3"/>
  <c r="G2286" i="3"/>
  <c r="F2284" i="3"/>
  <c r="G2274" i="3"/>
  <c r="F2272" i="3"/>
  <c r="G2262" i="3"/>
  <c r="F2260" i="3"/>
  <c r="G2250" i="3"/>
  <c r="F2248" i="3"/>
  <c r="G2238" i="3"/>
  <c r="F2236" i="3"/>
  <c r="G2226" i="3"/>
  <c r="F2224" i="3"/>
  <c r="G2214" i="3"/>
  <c r="F2212" i="3"/>
  <c r="G2202" i="3"/>
  <c r="F2200" i="3"/>
  <c r="G2190" i="3"/>
  <c r="F2188" i="3"/>
  <c r="G2178" i="3"/>
  <c r="F2176" i="3"/>
  <c r="G2166" i="3"/>
  <c r="F2164" i="3"/>
  <c r="G2154" i="3"/>
  <c r="F2152" i="3"/>
  <c r="G2142" i="3"/>
  <c r="F2140" i="3"/>
  <c r="G2130" i="3"/>
  <c r="F2128" i="3"/>
  <c r="G2118" i="3"/>
  <c r="F2116" i="3"/>
  <c r="G2106" i="3"/>
  <c r="F2104" i="3"/>
  <c r="G2094" i="3"/>
  <c r="F2092" i="3"/>
  <c r="G2082" i="3"/>
  <c r="F2080" i="3"/>
  <c r="G2070" i="3"/>
  <c r="F2068" i="3"/>
  <c r="G2058" i="3"/>
  <c r="F2056" i="3"/>
  <c r="G2046" i="3"/>
  <c r="F2044" i="3"/>
  <c r="G1654" i="3"/>
  <c r="F1652" i="3"/>
  <c r="G1642" i="3"/>
  <c r="F1640" i="3"/>
  <c r="G1630" i="3"/>
  <c r="F1628" i="3"/>
  <c r="G1618" i="3"/>
  <c r="F1616" i="3"/>
  <c r="G1606" i="3"/>
  <c r="F1604" i="3"/>
  <c r="G1594" i="3"/>
  <c r="F1592" i="3"/>
  <c r="G1582" i="3"/>
  <c r="F1580" i="3"/>
  <c r="G1570" i="3"/>
  <c r="F1568" i="3"/>
  <c r="G1558" i="3"/>
  <c r="F1556" i="3"/>
  <c r="G1546" i="3"/>
  <c r="F1544" i="3"/>
  <c r="G1534" i="3"/>
  <c r="F1532" i="3"/>
  <c r="G1522" i="3"/>
  <c r="F1520" i="3"/>
  <c r="G1510" i="3"/>
  <c r="F1508" i="3"/>
  <c r="G1498" i="3"/>
  <c r="F1496" i="3"/>
  <c r="G1486" i="3"/>
  <c r="F1484" i="3"/>
  <c r="G1474" i="3"/>
  <c r="F1472" i="3"/>
  <c r="G1462" i="3"/>
  <c r="F1460" i="3"/>
  <c r="G1450" i="3"/>
  <c r="F1448" i="3"/>
  <c r="G1438" i="3"/>
  <c r="F1436" i="3"/>
  <c r="G1426" i="3"/>
  <c r="F1424" i="3"/>
  <c r="G1414" i="3"/>
  <c r="F1412" i="3"/>
  <c r="G1402" i="3"/>
  <c r="F1400" i="3"/>
  <c r="G1390" i="3"/>
  <c r="F1388" i="3"/>
  <c r="G1378" i="3"/>
  <c r="F1376" i="3"/>
  <c r="G1366" i="3"/>
  <c r="F1364" i="3"/>
  <c r="G1354" i="3"/>
  <c r="F1352" i="3"/>
  <c r="G1342" i="3"/>
  <c r="F1340" i="3"/>
  <c r="G1330" i="3"/>
  <c r="F1328" i="3"/>
  <c r="G1318" i="3"/>
  <c r="F1316" i="3"/>
  <c r="G1306" i="3"/>
  <c r="F1304" i="3"/>
  <c r="G1294" i="3"/>
  <c r="F1292" i="3"/>
  <c r="G1282" i="3"/>
  <c r="F1280" i="3"/>
  <c r="G1270" i="3"/>
  <c r="F1268" i="3"/>
  <c r="G1258" i="3"/>
  <c r="F1256" i="3"/>
  <c r="G1246" i="3"/>
  <c r="F1244" i="3"/>
  <c r="G1234" i="3"/>
  <c r="F1232" i="3"/>
  <c r="G1222" i="3"/>
  <c r="F1220" i="3"/>
  <c r="G1210" i="3"/>
  <c r="F1208" i="3"/>
  <c r="G1198" i="3"/>
  <c r="F1196" i="3"/>
  <c r="G1186" i="3"/>
  <c r="F1184" i="3"/>
  <c r="G1174" i="3"/>
  <c r="F1172" i="3"/>
  <c r="G1162" i="3"/>
  <c r="F1160" i="3"/>
  <c r="G1150" i="3"/>
  <c r="F1148" i="3"/>
  <c r="G1138" i="3"/>
  <c r="F1136" i="3"/>
  <c r="G1126" i="3"/>
  <c r="F1124" i="3"/>
  <c r="G1114" i="3"/>
  <c r="F1112" i="3"/>
  <c r="G1102" i="3"/>
  <c r="F1100" i="3"/>
  <c r="G1090" i="3"/>
  <c r="F1088" i="3"/>
  <c r="G1078" i="3"/>
  <c r="F1076" i="3"/>
  <c r="G1066" i="3"/>
  <c r="F1064" i="3"/>
  <c r="G1054" i="3"/>
  <c r="F1052" i="3"/>
  <c r="G1042" i="3"/>
  <c r="F1040" i="3"/>
  <c r="G1030" i="3"/>
  <c r="F1028" i="3"/>
  <c r="G1018" i="3"/>
  <c r="F1016" i="3"/>
  <c r="G1006" i="3"/>
  <c r="F1004" i="3"/>
  <c r="G994" i="3"/>
  <c r="F992" i="3"/>
  <c r="G982" i="3"/>
  <c r="F980" i="3"/>
  <c r="G970" i="3"/>
  <c r="G2810" i="3"/>
  <c r="F2340" i="3"/>
  <c r="G2034" i="3"/>
  <c r="F2032" i="3"/>
  <c r="G2022" i="3"/>
  <c r="F2020" i="3"/>
  <c r="G2010" i="3"/>
  <c r="F2008" i="3"/>
  <c r="G1998" i="3"/>
  <c r="F1996" i="3"/>
  <c r="G1986" i="3"/>
  <c r="F1984" i="3"/>
  <c r="G1974" i="3"/>
  <c r="F1972" i="3"/>
  <c r="G1962" i="3"/>
  <c r="F1960" i="3"/>
  <c r="G1950" i="3"/>
  <c r="F1948" i="3"/>
  <c r="G1938" i="3"/>
  <c r="F1936" i="3"/>
  <c r="G1926" i="3"/>
  <c r="F1924" i="3"/>
  <c r="G1914" i="3"/>
  <c r="F1912" i="3"/>
  <c r="G1902" i="3"/>
  <c r="F1900" i="3"/>
  <c r="G1890" i="3"/>
  <c r="F1888" i="3"/>
  <c r="G1878" i="3"/>
  <c r="F1876" i="3"/>
  <c r="G1866" i="3"/>
  <c r="F1864" i="3"/>
  <c r="G1854" i="3"/>
  <c r="F1852" i="3"/>
  <c r="G1842" i="3"/>
  <c r="F1840" i="3"/>
  <c r="G1830" i="3"/>
  <c r="F1828" i="3"/>
  <c r="G1825" i="3"/>
  <c r="F1823" i="3"/>
  <c r="G1789" i="3"/>
  <c r="F1787" i="3"/>
  <c r="G1777" i="3"/>
  <c r="F1775" i="3"/>
  <c r="G1765" i="3"/>
  <c r="F1763" i="3"/>
  <c r="G1753" i="3"/>
  <c r="F1751" i="3"/>
  <c r="G1741" i="3"/>
  <c r="F1739" i="3"/>
  <c r="G1729" i="3"/>
  <c r="F1727" i="3"/>
  <c r="G1717" i="3"/>
  <c r="F1715" i="3"/>
  <c r="F968" i="3"/>
  <c r="G958" i="3"/>
  <c r="F956" i="3"/>
  <c r="G946" i="3"/>
  <c r="F944" i="3"/>
  <c r="G934" i="3"/>
  <c r="F932" i="3"/>
  <c r="G922" i="3"/>
  <c r="F920" i="3"/>
  <c r="G910" i="3"/>
  <c r="F908" i="3"/>
  <c r="G898" i="3"/>
  <c r="F896" i="3"/>
  <c r="G886" i="3"/>
  <c r="F884" i="3"/>
  <c r="G874" i="3"/>
  <c r="F872" i="3"/>
  <c r="G862" i="3"/>
  <c r="F860" i="3"/>
  <c r="G850" i="3"/>
  <c r="F848" i="3"/>
  <c r="G838" i="3"/>
  <c r="F836" i="3"/>
  <c r="G826" i="3"/>
  <c r="F824" i="3"/>
  <c r="G814" i="3"/>
  <c r="F812" i="3"/>
  <c r="G802" i="3"/>
  <c r="F800" i="3"/>
  <c r="G790" i="3"/>
  <c r="F788" i="3"/>
  <c r="G778" i="3"/>
  <c r="F776" i="3"/>
  <c r="G766" i="3"/>
  <c r="F764" i="3"/>
  <c r="G754" i="3"/>
  <c r="F752" i="3"/>
  <c r="G742" i="3"/>
  <c r="F740" i="3"/>
  <c r="G730" i="3"/>
  <c r="F728" i="3"/>
  <c r="G718" i="3"/>
  <c r="F716" i="3"/>
  <c r="G706" i="3"/>
  <c r="F704" i="3"/>
  <c r="G694" i="3"/>
  <c r="F692" i="3"/>
  <c r="G682" i="3"/>
  <c r="F680" i="3"/>
  <c r="G670" i="3"/>
  <c r="F668" i="3"/>
  <c r="G658" i="3"/>
  <c r="F656" i="3"/>
  <c r="G646" i="3"/>
  <c r="F644" i="3"/>
  <c r="G634" i="3"/>
  <c r="F632" i="3"/>
  <c r="G622" i="3"/>
  <c r="F620" i="3"/>
  <c r="G610" i="3"/>
  <c r="F608" i="3"/>
  <c r="G598" i="3"/>
  <c r="F596" i="3"/>
  <c r="G586" i="3"/>
  <c r="F584" i="3"/>
  <c r="G574" i="3"/>
  <c r="F572" i="3"/>
  <c r="G562" i="3"/>
  <c r="F560" i="3"/>
  <c r="G550" i="3"/>
  <c r="F548" i="3"/>
  <c r="G538" i="3"/>
  <c r="F536" i="3"/>
  <c r="G526" i="3"/>
  <c r="F524" i="3"/>
  <c r="G514" i="3"/>
  <c r="F512" i="3"/>
  <c r="G502" i="3"/>
  <c r="F500" i="3"/>
  <c r="G490" i="3"/>
  <c r="F488" i="3"/>
  <c r="G478" i="3"/>
  <c r="F476" i="3"/>
  <c r="G466" i="3"/>
  <c r="F464" i="3"/>
  <c r="G1822" i="3"/>
  <c r="F1820" i="3"/>
  <c r="G1810" i="3"/>
  <c r="F1808" i="3"/>
  <c r="G1798" i="3"/>
  <c r="F1796" i="3"/>
  <c r="G1786" i="3"/>
  <c r="F1784" i="3"/>
  <c r="G1774" i="3"/>
  <c r="F1772" i="3"/>
  <c r="G1762" i="3"/>
  <c r="F1760" i="3"/>
  <c r="G1750" i="3"/>
  <c r="F1748" i="3"/>
  <c r="G1738" i="3"/>
  <c r="F1736" i="3"/>
  <c r="G1726" i="3"/>
  <c r="F1724" i="3"/>
  <c r="G1714" i="3"/>
  <c r="F1712" i="3"/>
  <c r="G1937" i="3"/>
  <c r="F1935" i="3"/>
  <c r="G1925" i="3"/>
  <c r="G1901" i="3"/>
  <c r="F1899" i="3"/>
  <c r="G1889" i="3"/>
  <c r="G1865" i="3"/>
  <c r="F1863" i="3"/>
  <c r="G1853" i="3"/>
  <c r="F1851" i="3"/>
  <c r="G1829" i="3"/>
  <c r="G1696" i="3"/>
  <c r="F1694" i="3"/>
  <c r="G1684" i="3"/>
  <c r="F1682" i="3"/>
  <c r="G1672" i="3"/>
  <c r="F1670" i="3"/>
  <c r="G1660" i="3"/>
  <c r="F1658" i="3"/>
  <c r="G1648" i="3"/>
  <c r="F1646" i="3"/>
  <c r="G1636" i="3"/>
  <c r="F1634" i="3"/>
  <c r="G1624" i="3"/>
  <c r="F1622" i="3"/>
  <c r="G1612" i="3"/>
  <c r="F1610" i="3"/>
  <c r="G1600" i="3"/>
  <c r="F1598" i="3"/>
  <c r="G1588" i="3"/>
  <c r="F1586" i="3"/>
  <c r="G1576" i="3"/>
  <c r="F1574" i="3"/>
  <c r="G1564" i="3"/>
  <c r="F1562" i="3"/>
  <c r="G1552" i="3"/>
  <c r="F1550" i="3"/>
  <c r="G1540" i="3"/>
  <c r="F1538" i="3"/>
  <c r="G1528" i="3"/>
  <c r="F1526" i="3"/>
  <c r="G1516" i="3"/>
  <c r="F1514" i="3"/>
  <c r="G1504" i="3"/>
  <c r="F1502" i="3"/>
  <c r="G1492" i="3"/>
  <c r="F1490" i="3"/>
  <c r="G1480" i="3"/>
  <c r="F1478" i="3"/>
  <c r="G1468" i="3"/>
  <c r="F1466" i="3"/>
  <c r="G1456" i="3"/>
  <c r="F1454" i="3"/>
  <c r="G1444" i="3"/>
  <c r="F1442" i="3"/>
  <c r="G1432" i="3"/>
  <c r="F1872" i="3"/>
  <c r="G1862" i="3"/>
  <c r="F1860" i="3"/>
  <c r="G1850" i="3"/>
  <c r="F1848" i="3"/>
  <c r="G1838" i="3"/>
  <c r="F1836" i="3"/>
  <c r="G1826" i="3"/>
  <c r="G1821" i="3"/>
  <c r="F1819" i="3"/>
  <c r="G1809" i="3"/>
  <c r="F1807" i="3"/>
  <c r="G1797" i="3"/>
  <c r="F1795" i="3"/>
  <c r="G1785" i="3"/>
  <c r="F1783" i="3"/>
  <c r="G1773" i="3"/>
  <c r="F1771" i="3"/>
  <c r="G1761" i="3"/>
  <c r="F1759" i="3"/>
  <c r="G1749" i="3"/>
  <c r="F1747" i="3"/>
  <c r="G1737" i="3"/>
  <c r="F1735" i="3"/>
  <c r="G1725" i="3"/>
  <c r="F1723" i="3"/>
  <c r="G1713" i="3"/>
  <c r="F1711" i="3"/>
  <c r="G1175" i="3"/>
  <c r="F1173" i="3"/>
  <c r="G1163" i="3"/>
  <c r="F1161" i="3"/>
  <c r="G1115" i="3"/>
  <c r="G1055" i="3"/>
  <c r="G1019" i="3"/>
  <c r="F1017" i="3"/>
  <c r="G1007" i="3"/>
  <c r="F1005" i="3"/>
  <c r="G983" i="3"/>
  <c r="F981" i="3"/>
  <c r="G959" i="3"/>
  <c r="F957" i="3"/>
  <c r="G911" i="3"/>
  <c r="F909" i="3"/>
  <c r="G875" i="3"/>
  <c r="F873" i="3"/>
  <c r="G863" i="3"/>
  <c r="F861" i="3"/>
  <c r="G851" i="3"/>
  <c r="F849" i="3"/>
  <c r="G827" i="3"/>
  <c r="F825" i="3"/>
  <c r="G815" i="3"/>
  <c r="G454" i="3"/>
  <c r="F452" i="3"/>
  <c r="G442" i="3"/>
  <c r="F440" i="3"/>
  <c r="G430" i="3"/>
  <c r="F428" i="3"/>
  <c r="G418" i="3"/>
  <c r="F416" i="3"/>
  <c r="G406" i="3"/>
  <c r="F404" i="3"/>
  <c r="G394" i="3"/>
  <c r="F392" i="3"/>
  <c r="G382" i="3"/>
  <c r="F380" i="3"/>
  <c r="G370" i="3"/>
  <c r="F368" i="3"/>
  <c r="G358" i="3"/>
  <c r="F356" i="3"/>
  <c r="G346" i="3"/>
  <c r="F344" i="3"/>
  <c r="G334" i="3"/>
  <c r="F332" i="3"/>
  <c r="G322" i="3"/>
  <c r="F320" i="3"/>
  <c r="G310" i="3"/>
  <c r="F308" i="3"/>
  <c r="G298" i="3"/>
  <c r="F296" i="3"/>
  <c r="G286" i="3"/>
  <c r="F284" i="3"/>
  <c r="G274" i="3"/>
  <c r="F272" i="3"/>
  <c r="G468" i="3"/>
  <c r="F466" i="3"/>
  <c r="G456" i="3"/>
  <c r="F454" i="3"/>
  <c r="G444" i="3"/>
  <c r="F442" i="3"/>
  <c r="G432" i="3"/>
  <c r="F430" i="3"/>
  <c r="G420" i="3"/>
  <c r="F418" i="3"/>
  <c r="G408" i="3"/>
  <c r="F406" i="3"/>
  <c r="G396" i="3"/>
  <c r="F394" i="3"/>
  <c r="G384" i="3"/>
  <c r="F382" i="3"/>
  <c r="G372" i="3"/>
  <c r="F370" i="3"/>
  <c r="G360" i="3"/>
  <c r="F358" i="3"/>
  <c r="G348" i="3"/>
  <c r="F346" i="3"/>
  <c r="G336" i="3"/>
  <c r="F334" i="3"/>
  <c r="G324" i="3"/>
  <c r="F322" i="3"/>
  <c r="G312" i="3"/>
  <c r="F310" i="3"/>
  <c r="G300" i="3"/>
  <c r="F298" i="3"/>
  <c r="G288" i="3"/>
  <c r="F286" i="3"/>
  <c r="G276" i="3"/>
  <c r="F274" i="3"/>
  <c r="G264" i="3"/>
  <c r="F262" i="3"/>
  <c r="G252" i="3"/>
  <c r="F250" i="3"/>
  <c r="G240" i="3"/>
  <c r="F238" i="3"/>
  <c r="G228" i="3"/>
  <c r="F1430" i="3"/>
  <c r="G1420" i="3"/>
  <c r="F1418" i="3"/>
  <c r="G1408" i="3"/>
  <c r="F1406" i="3"/>
  <c r="G1396" i="3"/>
  <c r="F1394" i="3"/>
  <c r="G1384" i="3"/>
  <c r="F1382" i="3"/>
  <c r="G1372" i="3"/>
  <c r="F1370" i="3"/>
  <c r="G1360" i="3"/>
  <c r="F1358" i="3"/>
  <c r="G1348" i="3"/>
  <c r="F1346" i="3"/>
  <c r="G1336" i="3"/>
  <c r="F1334" i="3"/>
  <c r="G1324" i="3"/>
  <c r="F1322" i="3"/>
  <c r="G1312" i="3"/>
  <c r="F1310" i="3"/>
  <c r="G1300" i="3"/>
  <c r="F1298" i="3"/>
  <c r="G1288" i="3"/>
  <c r="F1286" i="3"/>
  <c r="G1276" i="3"/>
  <c r="F1274" i="3"/>
  <c r="G1264" i="3"/>
  <c r="F1262" i="3"/>
  <c r="G1252" i="3"/>
  <c r="F1250" i="3"/>
  <c r="G1240" i="3"/>
  <c r="F1238" i="3"/>
  <c r="G1228" i="3"/>
  <c r="F1226" i="3"/>
  <c r="G1216" i="3"/>
  <c r="F1214" i="3"/>
  <c r="F813" i="3"/>
  <c r="G803" i="3"/>
  <c r="F801" i="3"/>
  <c r="G791" i="3"/>
  <c r="F789" i="3"/>
  <c r="G767" i="3"/>
  <c r="F765" i="3"/>
  <c r="G731" i="3"/>
  <c r="F729" i="3"/>
  <c r="G719" i="3"/>
  <c r="F717" i="3"/>
  <c r="G707" i="3"/>
  <c r="F705" i="3"/>
  <c r="G695" i="3"/>
  <c r="F693" i="3"/>
  <c r="G683" i="3"/>
  <c r="F681" i="3"/>
  <c r="G671" i="3"/>
  <c r="F669" i="3"/>
  <c r="G659" i="3"/>
  <c r="F657" i="3"/>
  <c r="G647" i="3"/>
  <c r="F645" i="3"/>
  <c r="G635" i="3"/>
  <c r="F633" i="3"/>
  <c r="G623" i="3"/>
  <c r="F621" i="3"/>
  <c r="G611" i="3"/>
  <c r="F609" i="3"/>
  <c r="G599" i="3"/>
  <c r="F597" i="3"/>
  <c r="G587" i="3"/>
  <c r="F585" i="3"/>
  <c r="G575" i="3"/>
  <c r="F573" i="3"/>
  <c r="G563" i="3"/>
  <c r="F561" i="3"/>
  <c r="G551" i="3"/>
  <c r="F549" i="3"/>
  <c r="G539" i="3"/>
  <c r="F537" i="3"/>
  <c r="G527" i="3"/>
  <c r="F525" i="3"/>
  <c r="G515" i="3"/>
  <c r="F513" i="3"/>
  <c r="G503" i="3"/>
  <c r="F501" i="3"/>
  <c r="G491" i="3"/>
  <c r="F489" i="3"/>
  <c r="G479" i="3"/>
  <c r="F477" i="3"/>
  <c r="G467" i="3"/>
  <c r="F465" i="3"/>
  <c r="G455" i="3"/>
  <c r="F453" i="3"/>
  <c r="G443" i="3"/>
  <c r="F441" i="3"/>
  <c r="G431" i="3"/>
  <c r="F429" i="3"/>
  <c r="G419" i="3"/>
  <c r="F417" i="3"/>
  <c r="G407" i="3"/>
  <c r="F405" i="3"/>
  <c r="G395" i="3"/>
  <c r="F393" i="3"/>
  <c r="G383" i="3"/>
  <c r="F381" i="3"/>
  <c r="G371" i="3"/>
  <c r="F369" i="3"/>
  <c r="G359" i="3"/>
  <c r="F357" i="3"/>
  <c r="G347" i="3"/>
  <c r="F345" i="3"/>
  <c r="G335" i="3"/>
  <c r="F333" i="3"/>
  <c r="G323" i="3"/>
  <c r="F321" i="3"/>
  <c r="G311" i="3"/>
  <c r="F309" i="3"/>
  <c r="G299" i="3"/>
  <c r="F297" i="3"/>
  <c r="G287" i="3"/>
  <c r="F285" i="3"/>
  <c r="G275" i="3"/>
  <c r="F273" i="3"/>
  <c r="F2894" i="3"/>
  <c r="G2884" i="3"/>
  <c r="F2882" i="3"/>
  <c r="G2872" i="3"/>
  <c r="F2870" i="3"/>
  <c r="G2860" i="3"/>
  <c r="F2858" i="3"/>
  <c r="G2848" i="3"/>
  <c r="F2846" i="3"/>
  <c r="G2836" i="3"/>
  <c r="F2834" i="3"/>
  <c r="G2824" i="3"/>
  <c r="F2822" i="3"/>
  <c r="G2812" i="3"/>
  <c r="F2810" i="3"/>
  <c r="G2800" i="3"/>
  <c r="F2798" i="3"/>
  <c r="G2788" i="3"/>
  <c r="F2786" i="3"/>
  <c r="G2776" i="3"/>
  <c r="F2774" i="3"/>
  <c r="G2764" i="3"/>
  <c r="F2762" i="3"/>
  <c r="G2752" i="3"/>
  <c r="F2750" i="3"/>
  <c r="G2740" i="3"/>
  <c r="F2738" i="3"/>
  <c r="G2728" i="3"/>
  <c r="F2726" i="3"/>
  <c r="G2716" i="3"/>
  <c r="F2714" i="3"/>
  <c r="G2704" i="3"/>
  <c r="F2702" i="3"/>
  <c r="G2692" i="3"/>
  <c r="F2690" i="3"/>
  <c r="G2680" i="3"/>
  <c r="F2678" i="3"/>
  <c r="G2668" i="3"/>
  <c r="F2666" i="3"/>
  <c r="G2656" i="3"/>
  <c r="F2654" i="3"/>
  <c r="G2644" i="3"/>
  <c r="F2642" i="3"/>
  <c r="G2632" i="3"/>
  <c r="F2630" i="3"/>
  <c r="G2620" i="3"/>
  <c r="F2618" i="3"/>
  <c r="G2608" i="3"/>
  <c r="F2606" i="3"/>
  <c r="G2596" i="3"/>
  <c r="F2594" i="3"/>
  <c r="G2584" i="3"/>
  <c r="F2582" i="3"/>
  <c r="G2572" i="3"/>
  <c r="F2570" i="3"/>
  <c r="G2560" i="3"/>
  <c r="F2558" i="3"/>
  <c r="G2548" i="3"/>
  <c r="F2546" i="3"/>
  <c r="G2536" i="3"/>
  <c r="F2534" i="3"/>
  <c r="G2524" i="3"/>
  <c r="F2522" i="3"/>
  <c r="G2512" i="3"/>
  <c r="F2510" i="3"/>
  <c r="G2500" i="3"/>
  <c r="F2498" i="3"/>
  <c r="G2488" i="3"/>
  <c r="F2486" i="3"/>
  <c r="G2476" i="3"/>
  <c r="F2474" i="3"/>
  <c r="G2464" i="3"/>
  <c r="F2462" i="3"/>
  <c r="G2452" i="3"/>
  <c r="F2450" i="3"/>
  <c r="G2440" i="3"/>
  <c r="F2438" i="3"/>
  <c r="G2428" i="3"/>
  <c r="F2426" i="3"/>
  <c r="G2416" i="3"/>
  <c r="F2414" i="3"/>
  <c r="G2404" i="3"/>
  <c r="F2402" i="3"/>
  <c r="G2392" i="3"/>
  <c r="G262" i="3"/>
  <c r="F260" i="3"/>
  <c r="G250" i="3"/>
  <c r="F248" i="3"/>
  <c r="G238" i="3"/>
  <c r="F236" i="3"/>
  <c r="G226" i="3"/>
  <c r="F226" i="3"/>
  <c r="G216" i="3"/>
  <c r="F214" i="3"/>
  <c r="G204" i="3"/>
  <c r="F202" i="3"/>
  <c r="G192" i="3"/>
  <c r="F190" i="3"/>
  <c r="G180" i="3"/>
  <c r="F178" i="3"/>
  <c r="G168" i="3"/>
  <c r="F166" i="3"/>
  <c r="G156" i="3"/>
  <c r="F154" i="3"/>
  <c r="G144" i="3"/>
  <c r="F142" i="3"/>
  <c r="G132" i="3"/>
  <c r="F130" i="3"/>
  <c r="G120" i="3"/>
  <c r="F118" i="3"/>
  <c r="G108" i="3"/>
  <c r="F106" i="3"/>
  <c r="G96" i="3"/>
  <c r="F94" i="3"/>
  <c r="G84" i="3"/>
  <c r="F82" i="3"/>
  <c r="G72" i="3"/>
  <c r="F70" i="3"/>
  <c r="G60" i="3"/>
  <c r="F58" i="3"/>
  <c r="G48" i="3"/>
  <c r="F46" i="3"/>
  <c r="G36" i="3"/>
  <c r="F34" i="3"/>
  <c r="G24" i="3"/>
  <c r="F22" i="3"/>
  <c r="G12" i="3"/>
  <c r="F10" i="3"/>
  <c r="G4749" i="3"/>
  <c r="F4747" i="3"/>
  <c r="G4737" i="3"/>
  <c r="F4735" i="3"/>
  <c r="G4725" i="3"/>
  <c r="F4723" i="3"/>
  <c r="G4713" i="3"/>
  <c r="F4711" i="3"/>
  <c r="G4701" i="3"/>
  <c r="F4699" i="3"/>
  <c r="G4689" i="3"/>
  <c r="F4687" i="3"/>
  <c r="G4677" i="3"/>
  <c r="F4675" i="3"/>
  <c r="G4665" i="3"/>
  <c r="F4663" i="3"/>
  <c r="G4653" i="3"/>
  <c r="F4651" i="3"/>
  <c r="G4641" i="3"/>
  <c r="F4639" i="3"/>
  <c r="G4629" i="3"/>
  <c r="F4627" i="3"/>
  <c r="G4617" i="3"/>
  <c r="F4615" i="3"/>
  <c r="G4605" i="3"/>
  <c r="F4603" i="3"/>
  <c r="G4593" i="3"/>
  <c r="F4591" i="3"/>
  <c r="G4581" i="3"/>
  <c r="F4579" i="3"/>
  <c r="G4569" i="3"/>
  <c r="F4567" i="3"/>
  <c r="G4557" i="3"/>
  <c r="F4555" i="3"/>
  <c r="G4545" i="3"/>
  <c r="F4543" i="3"/>
  <c r="G4533" i="3"/>
  <c r="F4531" i="3"/>
  <c r="G4521" i="3"/>
  <c r="F4519" i="3"/>
  <c r="G4509" i="3"/>
  <c r="F4507" i="3"/>
  <c r="G4497" i="3"/>
  <c r="F4495" i="3"/>
  <c r="G4485" i="3"/>
  <c r="F4483" i="3"/>
  <c r="G4473" i="3"/>
  <c r="F4471" i="3"/>
  <c r="G4487" i="3"/>
  <c r="F4485" i="3"/>
  <c r="G4475" i="3"/>
  <c r="F4473" i="3"/>
  <c r="G263" i="3"/>
  <c r="F261" i="3"/>
  <c r="G251" i="3"/>
  <c r="F249" i="3"/>
  <c r="G239" i="3"/>
  <c r="F237" i="3"/>
  <c r="G227" i="3"/>
  <c r="F225" i="3"/>
  <c r="G215" i="3"/>
  <c r="F213" i="3"/>
  <c r="G203" i="3"/>
  <c r="F201" i="3"/>
  <c r="G191" i="3"/>
  <c r="F189" i="3"/>
  <c r="G179" i="3"/>
  <c r="F177" i="3"/>
  <c r="G167" i="3"/>
  <c r="F165" i="3"/>
  <c r="G155" i="3"/>
  <c r="F153" i="3"/>
  <c r="G143" i="3"/>
  <c r="F141" i="3"/>
  <c r="G131" i="3"/>
  <c r="F129" i="3"/>
  <c r="G119" i="3"/>
  <c r="F117" i="3"/>
  <c r="G107" i="3"/>
  <c r="F105" i="3"/>
  <c r="G95" i="3"/>
  <c r="F93" i="3"/>
  <c r="G83" i="3"/>
  <c r="F81" i="3"/>
  <c r="G4508" i="3"/>
  <c r="G4460" i="3"/>
  <c r="F4458" i="3"/>
  <c r="F4446" i="3"/>
  <c r="F2390" i="3"/>
  <c r="G2380" i="3"/>
  <c r="F2378" i="3"/>
  <c r="G2368" i="3"/>
  <c r="F2366" i="3"/>
  <c r="G2356" i="3"/>
  <c r="F2354" i="3"/>
  <c r="G2344" i="3"/>
  <c r="F2342" i="3"/>
  <c r="G2332" i="3"/>
  <c r="F2330" i="3"/>
  <c r="G2320" i="3"/>
  <c r="F2318" i="3"/>
  <c r="G2308" i="3"/>
  <c r="F2306" i="3"/>
  <c r="G2296" i="3"/>
  <c r="F2294" i="3"/>
  <c r="G2284" i="3"/>
  <c r="F2282" i="3"/>
  <c r="G2272" i="3"/>
  <c r="F2270" i="3"/>
  <c r="G2260" i="3"/>
  <c r="F2258" i="3"/>
  <c r="G2248" i="3"/>
  <c r="F2246" i="3"/>
  <c r="G2236" i="3"/>
  <c r="F2234" i="3"/>
  <c r="G2224" i="3"/>
  <c r="F2222" i="3"/>
  <c r="G2212" i="3"/>
  <c r="F2210" i="3"/>
  <c r="G2200" i="3"/>
  <c r="F2198" i="3"/>
  <c r="G2188" i="3"/>
  <c r="F2186" i="3"/>
  <c r="G2176" i="3"/>
  <c r="F2174" i="3"/>
  <c r="G2164" i="3"/>
  <c r="F2162" i="3"/>
  <c r="G2152" i="3"/>
  <c r="F2150" i="3"/>
  <c r="G2140" i="3"/>
  <c r="F2138" i="3"/>
  <c r="G2128" i="3"/>
  <c r="F2126" i="3"/>
  <c r="G2116" i="3"/>
  <c r="F2114" i="3"/>
  <c r="G2104" i="3"/>
  <c r="F2102" i="3"/>
  <c r="G2092" i="3"/>
  <c r="F2090" i="3"/>
  <c r="G2080" i="3"/>
  <c r="F2078" i="3"/>
  <c r="G2068" i="3"/>
  <c r="F2066" i="3"/>
  <c r="G2056" i="3"/>
  <c r="F2054" i="3"/>
  <c r="G2044" i="3"/>
  <c r="F2042" i="3"/>
  <c r="G2032" i="3"/>
  <c r="F2030" i="3"/>
  <c r="G2020" i="3"/>
  <c r="F2018" i="3"/>
  <c r="G2008" i="3"/>
  <c r="F2006" i="3"/>
  <c r="G1996" i="3"/>
  <c r="F1994" i="3"/>
  <c r="G1984" i="3"/>
  <c r="F1982" i="3"/>
  <c r="G1972" i="3"/>
  <c r="F1970" i="3"/>
  <c r="G1960" i="3"/>
  <c r="F1958" i="3"/>
  <c r="G1948" i="3"/>
  <c r="F1946" i="3"/>
  <c r="G1936" i="3"/>
  <c r="F1934" i="3"/>
  <c r="G1924" i="3"/>
  <c r="F1922" i="3"/>
  <c r="G1912" i="3"/>
  <c r="F1910" i="3"/>
  <c r="G1900" i="3"/>
  <c r="F1898" i="3"/>
  <c r="G1888" i="3"/>
  <c r="F1886" i="3"/>
  <c r="G1876" i="3"/>
  <c r="F1874" i="3"/>
  <c r="G1864" i="3"/>
  <c r="F1862" i="3"/>
  <c r="G1852" i="3"/>
  <c r="F1850" i="3"/>
  <c r="G1840" i="3"/>
  <c r="F1838" i="3"/>
  <c r="G1828" i="3"/>
  <c r="G1705" i="3"/>
  <c r="F1703" i="3"/>
  <c r="G1693" i="3"/>
  <c r="F1691" i="3"/>
  <c r="G1681" i="3"/>
  <c r="G1669" i="3"/>
  <c r="F1667" i="3"/>
  <c r="G1657" i="3"/>
  <c r="F1655" i="3"/>
  <c r="G1645" i="3"/>
  <c r="G1633" i="3"/>
  <c r="G1621" i="3"/>
  <c r="G1609" i="3"/>
  <c r="G1597" i="3"/>
  <c r="G1585" i="3"/>
  <c r="G1573" i="3"/>
  <c r="F1571" i="3"/>
  <c r="G1561" i="3"/>
  <c r="F1559" i="3"/>
  <c r="G1549" i="3"/>
  <c r="G1818" i="3"/>
  <c r="F1816" i="3"/>
  <c r="G1806" i="3"/>
  <c r="F1804" i="3"/>
  <c r="G1794" i="3"/>
  <c r="F1792" i="3"/>
  <c r="G1782" i="3"/>
  <c r="F1780" i="3"/>
  <c r="G1770" i="3"/>
  <c r="F1768" i="3"/>
  <c r="G1758" i="3"/>
  <c r="F1756" i="3"/>
  <c r="G1746" i="3"/>
  <c r="F1744" i="3"/>
  <c r="G1734" i="3"/>
  <c r="F1732" i="3"/>
  <c r="G1722" i="3"/>
  <c r="F1720" i="3"/>
  <c r="G1710" i="3"/>
  <c r="F1708" i="3"/>
  <c r="G4461" i="3"/>
  <c r="F4459" i="3"/>
  <c r="G4449" i="3"/>
  <c r="F4447" i="3"/>
  <c r="G4437" i="3"/>
  <c r="F4435" i="3"/>
  <c r="G4425" i="3"/>
  <c r="F4423" i="3"/>
  <c r="G4413" i="3"/>
  <c r="F4411" i="3"/>
  <c r="G4401" i="3"/>
  <c r="F4399" i="3"/>
  <c r="G4389" i="3"/>
  <c r="F4387" i="3"/>
  <c r="G4377" i="3"/>
  <c r="F4375" i="3"/>
  <c r="G4365" i="3"/>
  <c r="F4363" i="3"/>
  <c r="G4353" i="3"/>
  <c r="F4351" i="3"/>
  <c r="G4341" i="3"/>
  <c r="F4339" i="3"/>
  <c r="G4329" i="3"/>
  <c r="F4327" i="3"/>
  <c r="G4317" i="3"/>
  <c r="F4315" i="3"/>
  <c r="G4305" i="3"/>
  <c r="F4303" i="3"/>
  <c r="G4293" i="3"/>
  <c r="F4291" i="3"/>
  <c r="G4281" i="3"/>
  <c r="F4279" i="3"/>
  <c r="G4269" i="3"/>
  <c r="F4267" i="3"/>
  <c r="G4257" i="3"/>
  <c r="F4255" i="3"/>
  <c r="G4245" i="3"/>
  <c r="F4243" i="3"/>
  <c r="G4233" i="3"/>
  <c r="F4231" i="3"/>
  <c r="G4221" i="3"/>
  <c r="F4219" i="3"/>
  <c r="G4209" i="3"/>
  <c r="F4207" i="3"/>
  <c r="G4197" i="3"/>
  <c r="F4195" i="3"/>
  <c r="G4185" i="3"/>
  <c r="F4183" i="3"/>
  <c r="G4173" i="3"/>
  <c r="F4171" i="3"/>
  <c r="G4161" i="3"/>
  <c r="F4159" i="3"/>
  <c r="G4149" i="3"/>
  <c r="F4147" i="3"/>
  <c r="G4137" i="3"/>
  <c r="F4135" i="3"/>
  <c r="G4125" i="3"/>
  <c r="F4123" i="3"/>
  <c r="G4113" i="3"/>
  <c r="F4111" i="3"/>
  <c r="G4101" i="3"/>
  <c r="F4099" i="3"/>
  <c r="G4089" i="3"/>
  <c r="F4087" i="3"/>
  <c r="G4077" i="3"/>
  <c r="F4075" i="3"/>
  <c r="G4463" i="3"/>
  <c r="F4461" i="3"/>
  <c r="G4451" i="3"/>
  <c r="F4449" i="3"/>
  <c r="G4439" i="3"/>
  <c r="F4437" i="3"/>
  <c r="G4427" i="3"/>
  <c r="F4425" i="3"/>
  <c r="G4415" i="3"/>
  <c r="F4413" i="3"/>
  <c r="G4403" i="3"/>
  <c r="F4401" i="3"/>
  <c r="G4391" i="3"/>
  <c r="F4389" i="3"/>
  <c r="G4379" i="3"/>
  <c r="F4377" i="3"/>
  <c r="G4367" i="3"/>
  <c r="F4365" i="3"/>
  <c r="G4360" i="3"/>
  <c r="G4355" i="3"/>
  <c r="F4353" i="3"/>
  <c r="G4343" i="3"/>
  <c r="F4341" i="3"/>
  <c r="G4331" i="3"/>
  <c r="F4329" i="3"/>
  <c r="G4319" i="3"/>
  <c r="F4317" i="3"/>
  <c r="G4307" i="3"/>
  <c r="F4305" i="3"/>
  <c r="G4295" i="3"/>
  <c r="F4293" i="3"/>
  <c r="G4283" i="3"/>
  <c r="F4281" i="3"/>
  <c r="G4271" i="3"/>
  <c r="F4269" i="3"/>
  <c r="G4259" i="3"/>
  <c r="F4257" i="3"/>
  <c r="G4247" i="3"/>
  <c r="F4245" i="3"/>
  <c r="G4235" i="3"/>
  <c r="F4233" i="3"/>
  <c r="G4223" i="3"/>
  <c r="F4221" i="3"/>
  <c r="G4211" i="3"/>
  <c r="F4209" i="3"/>
  <c r="G4199" i="3"/>
  <c r="F4197" i="3"/>
  <c r="G4187" i="3"/>
  <c r="F4185" i="3"/>
  <c r="G4175" i="3"/>
  <c r="F4173" i="3"/>
  <c r="G4163" i="3"/>
  <c r="F4161" i="3"/>
  <c r="G4151" i="3"/>
  <c r="F4149" i="3"/>
  <c r="G4139" i="3"/>
  <c r="F4137" i="3"/>
  <c r="G4127" i="3"/>
  <c r="F4125" i="3"/>
  <c r="G4115" i="3"/>
  <c r="F4113" i="3"/>
  <c r="G4103" i="3"/>
  <c r="F4101" i="3"/>
  <c r="G4091" i="3"/>
  <c r="F4089" i="3"/>
  <c r="G4079" i="3"/>
  <c r="F4077" i="3"/>
  <c r="G4067" i="3"/>
  <c r="F4065" i="3"/>
  <c r="G4055" i="3"/>
  <c r="F4053" i="3"/>
  <c r="F4739" i="3"/>
  <c r="G4436" i="3"/>
  <c r="G4412" i="3"/>
  <c r="F4410" i="3"/>
  <c r="G1525" i="3"/>
  <c r="F1523" i="3"/>
  <c r="G1513" i="3"/>
  <c r="G1501" i="3"/>
  <c r="F1499" i="3"/>
  <c r="G1489" i="3"/>
  <c r="G1477" i="3"/>
  <c r="F1475" i="3"/>
  <c r="G1465" i="3"/>
  <c r="F1463" i="3"/>
  <c r="G1453" i="3"/>
  <c r="F1451" i="3"/>
  <c r="G1441" i="3"/>
  <c r="F1439" i="3"/>
  <c r="G1429" i="3"/>
  <c r="G1417" i="3"/>
  <c r="F1415" i="3"/>
  <c r="G1405" i="3"/>
  <c r="F1403" i="3"/>
  <c r="G1393" i="3"/>
  <c r="F1391" i="3"/>
  <c r="G1381" i="3"/>
  <c r="G1369" i="3"/>
  <c r="F1367" i="3"/>
  <c r="G1357" i="3"/>
  <c r="F1355" i="3"/>
  <c r="G1345" i="3"/>
  <c r="F1343" i="3"/>
  <c r="G1333" i="3"/>
  <c r="F1331" i="3"/>
  <c r="G1321" i="3"/>
  <c r="G1309" i="3"/>
  <c r="F1307" i="3"/>
  <c r="G1297" i="3"/>
  <c r="G1285" i="3"/>
  <c r="F1283" i="3"/>
  <c r="G1273" i="3"/>
  <c r="F1271" i="3"/>
  <c r="G1261" i="3"/>
  <c r="F1259" i="3"/>
  <c r="G1249" i="3"/>
  <c r="F1247" i="3"/>
  <c r="G1237" i="3"/>
  <c r="F1235" i="3"/>
  <c r="G1225" i="3"/>
  <c r="F1223" i="3"/>
  <c r="G1213" i="3"/>
  <c r="F1211" i="3"/>
  <c r="G1201" i="3"/>
  <c r="F1199" i="3"/>
  <c r="G1189" i="3"/>
  <c r="F1187" i="3"/>
  <c r="G1177" i="3"/>
  <c r="G1165" i="3"/>
  <c r="G1153" i="3"/>
  <c r="F1151" i="3"/>
  <c r="G1141" i="3"/>
  <c r="F1139" i="3"/>
  <c r="G1129" i="3"/>
  <c r="G1117" i="3"/>
  <c r="G1105" i="3"/>
  <c r="F1103" i="3"/>
  <c r="G1093" i="3"/>
  <c r="F1091" i="3"/>
  <c r="G1081" i="3"/>
  <c r="G1069" i="3"/>
  <c r="F1067" i="3"/>
  <c r="G1057" i="3"/>
  <c r="F1055" i="3"/>
  <c r="G1045" i="3"/>
  <c r="F1043" i="3"/>
  <c r="G1033" i="3"/>
  <c r="F1031" i="3"/>
  <c r="G1021" i="3"/>
  <c r="G1009" i="3"/>
  <c r="F1007" i="3"/>
  <c r="G997" i="3"/>
  <c r="F995" i="3"/>
  <c r="G985" i="3"/>
  <c r="G961" i="3"/>
  <c r="F959" i="3"/>
  <c r="G949" i="3"/>
  <c r="F947" i="3"/>
  <c r="G937" i="3"/>
  <c r="F935" i="3"/>
  <c r="G4058" i="3"/>
  <c r="F4056" i="3"/>
  <c r="F4044" i="3"/>
  <c r="F4032" i="3"/>
  <c r="F4020" i="3"/>
  <c r="F4008" i="3"/>
  <c r="F3996" i="3"/>
  <c r="F3972" i="3"/>
  <c r="F3948" i="3"/>
  <c r="F3936" i="3"/>
  <c r="G3926" i="3"/>
  <c r="F3924" i="3"/>
  <c r="G3914" i="3"/>
  <c r="F3912" i="3"/>
  <c r="F3876" i="3"/>
  <c r="F3864" i="3"/>
  <c r="G3854" i="3"/>
  <c r="F3852" i="3"/>
  <c r="F3840" i="3"/>
  <c r="F3828" i="3"/>
  <c r="F3816" i="3"/>
  <c r="F3804" i="3"/>
  <c r="F3792" i="3"/>
  <c r="F3780" i="3"/>
  <c r="G3770" i="3"/>
  <c r="F3768" i="3"/>
  <c r="F3756" i="3"/>
  <c r="F3732" i="3"/>
  <c r="G3722" i="3"/>
  <c r="F3720" i="3"/>
  <c r="F3696" i="3"/>
  <c r="G3686" i="3"/>
  <c r="F3684" i="3"/>
  <c r="G3674" i="3"/>
  <c r="F3672" i="3"/>
  <c r="G3662" i="3"/>
  <c r="F3660" i="3"/>
  <c r="G3650" i="3"/>
  <c r="F3648" i="3"/>
  <c r="G3638" i="3"/>
  <c r="F3636" i="3"/>
  <c r="F3631" i="3"/>
  <c r="G3621" i="3"/>
  <c r="F3619" i="3"/>
  <c r="G3609" i="3"/>
  <c r="F3607" i="3"/>
  <c r="G4065" i="3"/>
  <c r="F4063" i="3"/>
  <c r="G4053" i="3"/>
  <c r="F4051" i="3"/>
  <c r="G4041" i="3"/>
  <c r="F4039" i="3"/>
  <c r="G4029" i="3"/>
  <c r="F4027" i="3"/>
  <c r="G4017" i="3"/>
  <c r="F4015" i="3"/>
  <c r="G4005" i="3"/>
  <c r="F4003" i="3"/>
  <c r="G3993" i="3"/>
  <c r="F3991" i="3"/>
  <c r="G3981" i="3"/>
  <c r="F3979" i="3"/>
  <c r="G3969" i="3"/>
  <c r="F3967" i="3"/>
  <c r="G3957" i="3"/>
  <c r="F3955" i="3"/>
  <c r="G3945" i="3"/>
  <c r="F3943" i="3"/>
  <c r="G3933" i="3"/>
  <c r="F3931" i="3"/>
  <c r="G3921" i="3"/>
  <c r="F3919" i="3"/>
  <c r="G3909" i="3"/>
  <c r="F3907" i="3"/>
  <c r="G3897" i="3"/>
  <c r="F3895" i="3"/>
  <c r="G3885" i="3"/>
  <c r="F3883" i="3"/>
  <c r="G3873" i="3"/>
  <c r="F3871" i="3"/>
  <c r="G3861" i="3"/>
  <c r="F3859" i="3"/>
  <c r="G3849" i="3"/>
  <c r="F3847" i="3"/>
  <c r="G3837" i="3"/>
  <c r="F3835" i="3"/>
  <c r="G3825" i="3"/>
  <c r="F3823" i="3"/>
  <c r="G3813" i="3"/>
  <c r="F3811" i="3"/>
  <c r="G3801" i="3"/>
  <c r="F3799" i="3"/>
  <c r="G3789" i="3"/>
  <c r="F3787" i="3"/>
  <c r="G3777" i="3"/>
  <c r="F3775" i="3"/>
  <c r="G3765" i="3"/>
  <c r="F3763" i="3"/>
  <c r="G3753" i="3"/>
  <c r="F3751" i="3"/>
  <c r="G3741" i="3"/>
  <c r="F3739" i="3"/>
  <c r="G3729" i="3"/>
  <c r="F3727" i="3"/>
  <c r="G3717" i="3"/>
  <c r="F3715" i="3"/>
  <c r="G3705" i="3"/>
  <c r="F3703" i="3"/>
  <c r="G3693" i="3"/>
  <c r="F3691" i="3"/>
  <c r="G3681" i="3"/>
  <c r="F3679" i="3"/>
  <c r="G3669" i="3"/>
  <c r="F3667" i="3"/>
  <c r="G3657" i="3"/>
  <c r="F3655" i="3"/>
  <c r="G3645" i="3"/>
  <c r="F3643" i="3"/>
  <c r="G3633" i="3"/>
  <c r="G3628" i="3"/>
  <c r="F3626" i="3"/>
  <c r="G3616" i="3"/>
  <c r="F3614" i="3"/>
  <c r="G3604" i="3"/>
  <c r="F3602" i="3"/>
  <c r="G3592" i="3"/>
  <c r="F3590" i="3"/>
  <c r="G4043" i="3"/>
  <c r="F4041" i="3"/>
  <c r="G4031" i="3"/>
  <c r="F4029" i="3"/>
  <c r="G4019" i="3"/>
  <c r="F4017" i="3"/>
  <c r="G4007" i="3"/>
  <c r="F4005" i="3"/>
  <c r="G3995" i="3"/>
  <c r="F3993" i="3"/>
  <c r="G3983" i="3"/>
  <c r="F3981" i="3"/>
  <c r="G3971" i="3"/>
  <c r="F3969" i="3"/>
  <c r="G3959" i="3"/>
  <c r="F3957" i="3"/>
  <c r="G3947" i="3"/>
  <c r="F3945" i="3"/>
  <c r="G3935" i="3"/>
  <c r="F3933" i="3"/>
  <c r="G3923" i="3"/>
  <c r="F3921" i="3"/>
  <c r="G3911" i="3"/>
  <c r="F3909" i="3"/>
  <c r="G3899" i="3"/>
  <c r="F3897" i="3"/>
  <c r="G3887" i="3"/>
  <c r="F3885" i="3"/>
  <c r="G3875" i="3"/>
  <c r="F3873" i="3"/>
  <c r="G3863" i="3"/>
  <c r="F3861" i="3"/>
  <c r="G3851" i="3"/>
  <c r="F3849" i="3"/>
  <c r="G3839" i="3"/>
  <c r="F3837" i="3"/>
  <c r="G3827" i="3"/>
  <c r="F3825" i="3"/>
  <c r="G3815" i="3"/>
  <c r="F3813" i="3"/>
  <c r="G3803" i="3"/>
  <c r="F3801" i="3"/>
  <c r="G3791" i="3"/>
  <c r="F3789" i="3"/>
  <c r="G3779" i="3"/>
  <c r="F3777" i="3"/>
  <c r="G3767" i="3"/>
  <c r="F3765" i="3"/>
  <c r="G3755" i="3"/>
  <c r="F3753" i="3"/>
  <c r="G3743" i="3"/>
  <c r="F3741" i="3"/>
  <c r="G3731" i="3"/>
  <c r="F3729" i="3"/>
  <c r="G3719" i="3"/>
  <c r="F3717" i="3"/>
  <c r="G3707" i="3"/>
  <c r="F3705" i="3"/>
  <c r="G3695" i="3"/>
  <c r="F3693" i="3"/>
  <c r="G3683" i="3"/>
  <c r="F3681" i="3"/>
  <c r="G3671" i="3"/>
  <c r="F3669" i="3"/>
  <c r="G3659" i="3"/>
  <c r="G3647" i="3"/>
  <c r="F3645" i="3"/>
  <c r="G3635" i="3"/>
  <c r="F3628" i="3"/>
  <c r="F3616" i="3"/>
  <c r="F3580" i="3"/>
  <c r="F3568" i="3"/>
  <c r="F3460" i="3"/>
  <c r="F3364" i="3"/>
  <c r="F3292" i="3"/>
  <c r="F3268" i="3"/>
  <c r="F3196" i="3"/>
  <c r="F3172" i="3"/>
  <c r="G3596" i="3"/>
  <c r="G3380" i="3"/>
  <c r="F3330" i="3"/>
  <c r="G3248" i="3"/>
  <c r="G3236" i="3"/>
  <c r="F3234" i="3"/>
  <c r="G3224" i="3"/>
  <c r="F3222" i="3"/>
  <c r="F3138" i="3"/>
  <c r="G3128" i="3"/>
  <c r="F3126" i="3"/>
  <c r="G3116" i="3"/>
  <c r="F3114" i="3"/>
  <c r="G3104" i="3"/>
  <c r="F3102" i="3"/>
  <c r="G3092" i="3"/>
  <c r="F3090" i="3"/>
  <c r="G3080" i="3"/>
  <c r="F3078" i="3"/>
  <c r="G3068" i="3"/>
  <c r="F3066" i="3"/>
  <c r="G3056" i="3"/>
  <c r="F3054" i="3"/>
  <c r="G3044" i="3"/>
  <c r="G3207" i="3"/>
  <c r="F3205" i="3"/>
  <c r="F3157" i="3"/>
  <c r="G3147" i="3"/>
  <c r="F3145" i="3"/>
  <c r="F4748" i="3"/>
  <c r="G4738" i="3"/>
  <c r="F4724" i="3"/>
  <c r="G4714" i="3"/>
  <c r="F4700" i="3"/>
  <c r="G4690" i="3"/>
  <c r="F4676" i="3"/>
  <c r="G4666" i="3"/>
  <c r="F4652" i="3"/>
  <c r="G4642" i="3"/>
  <c r="F4628" i="3"/>
  <c r="G4618" i="3"/>
  <c r="G4606" i="3"/>
  <c r="G4582" i="3"/>
  <c r="G4570" i="3"/>
  <c r="G4546" i="3"/>
  <c r="G4534" i="3"/>
  <c r="G4510" i="3"/>
  <c r="G4498" i="3"/>
  <c r="G4474" i="3"/>
  <c r="G4462" i="3"/>
  <c r="G4450" i="3"/>
  <c r="G4438" i="3"/>
  <c r="G4366" i="3"/>
  <c r="F4352" i="3"/>
  <c r="F3195" i="3"/>
  <c r="G3139" i="3"/>
  <c r="F3113" i="3"/>
  <c r="F224" i="3"/>
  <c r="G214" i="3"/>
  <c r="F212" i="3"/>
  <c r="G202" i="3"/>
  <c r="F200" i="3"/>
  <c r="G190" i="3"/>
  <c r="F188" i="3"/>
  <c r="G178" i="3"/>
  <c r="F176" i="3"/>
  <c r="G166" i="3"/>
  <c r="F164" i="3"/>
  <c r="G154" i="3"/>
  <c r="F152" i="3"/>
  <c r="G142" i="3"/>
  <c r="F140" i="3"/>
  <c r="G130" i="3"/>
  <c r="F128" i="3"/>
  <c r="G118" i="3"/>
  <c r="F116" i="3"/>
  <c r="G106" i="3"/>
  <c r="F104" i="3"/>
  <c r="G94" i="3"/>
  <c r="F92" i="3"/>
  <c r="G82" i="3"/>
  <c r="F80" i="3"/>
  <c r="G70" i="3"/>
  <c r="F68" i="3"/>
  <c r="G58" i="3"/>
  <c r="F56" i="3"/>
  <c r="G46" i="3"/>
  <c r="F44" i="3"/>
  <c r="G34" i="3"/>
  <c r="F32" i="3"/>
  <c r="G22" i="3"/>
  <c r="F20" i="3"/>
  <c r="G10" i="3"/>
  <c r="F8" i="3"/>
  <c r="G4747" i="3"/>
  <c r="G4735" i="3"/>
  <c r="F4733" i="3"/>
  <c r="G4723" i="3"/>
  <c r="G4711" i="3"/>
  <c r="F4709" i="3"/>
  <c r="G4687" i="3"/>
  <c r="F4685" i="3"/>
  <c r="G4675" i="3"/>
  <c r="F4673" i="3"/>
  <c r="G4663" i="3"/>
  <c r="F4661" i="3"/>
  <c r="G4651" i="3"/>
  <c r="F4649" i="3"/>
  <c r="G4639" i="3"/>
  <c r="F4637" i="3"/>
  <c r="G4627" i="3"/>
  <c r="F4625" i="3"/>
  <c r="G4615" i="3"/>
  <c r="F4613" i="3"/>
  <c r="G4603" i="3"/>
  <c r="G4591" i="3"/>
  <c r="G4579" i="3"/>
  <c r="G4567" i="3"/>
  <c r="G4555" i="3"/>
  <c r="F4553" i="3"/>
  <c r="G4543" i="3"/>
  <c r="F4541" i="3"/>
  <c r="G4531" i="3"/>
  <c r="F4529" i="3"/>
  <c r="G4519" i="3"/>
  <c r="F4517" i="3"/>
  <c r="G4507" i="3"/>
  <c r="F4505" i="3"/>
  <c r="G4495" i="3"/>
  <c r="G4483" i="3"/>
  <c r="G4471" i="3"/>
  <c r="G4459" i="3"/>
  <c r="F4457" i="3"/>
  <c r="G4447" i="3"/>
  <c r="G4435" i="3"/>
  <c r="G4423" i="3"/>
  <c r="G4411" i="3"/>
  <c r="F4409" i="3"/>
  <c r="G4375" i="3"/>
  <c r="G4363" i="3"/>
  <c r="G4339" i="3"/>
  <c r="G4327" i="3"/>
  <c r="F4325" i="3"/>
  <c r="G4315" i="3"/>
  <c r="F4313" i="3"/>
  <c r="G4303" i="3"/>
  <c r="F4301" i="3"/>
  <c r="G4291" i="3"/>
  <c r="G4279" i="3"/>
  <c r="F4277" i="3"/>
  <c r="G4267" i="3"/>
  <c r="G4255" i="3"/>
  <c r="G4243" i="3"/>
  <c r="G4231" i="3"/>
  <c r="F4229" i="3"/>
  <c r="G4219" i="3"/>
  <c r="F4217" i="3"/>
  <c r="G4207" i="3"/>
  <c r="G4195" i="3"/>
  <c r="G4183" i="3"/>
  <c r="G4171" i="3"/>
  <c r="G4159" i="3"/>
  <c r="F4157" i="3"/>
  <c r="G4147" i="3"/>
  <c r="F4145" i="3"/>
  <c r="G4135" i="3"/>
  <c r="G4123" i="3"/>
  <c r="F4121" i="3"/>
  <c r="G4111" i="3"/>
  <c r="G4087" i="3"/>
  <c r="G4075" i="3"/>
  <c r="G4063" i="3"/>
  <c r="F4061" i="3"/>
  <c r="G4039" i="3"/>
  <c r="G4027" i="3"/>
  <c r="F4025" i="3"/>
  <c r="G4015" i="3"/>
  <c r="G4003" i="3"/>
  <c r="F4001" i="3"/>
  <c r="G3991" i="3"/>
  <c r="G3979" i="3"/>
  <c r="F3977" i="3"/>
  <c r="G3967" i="3"/>
  <c r="F3965" i="3"/>
  <c r="G3955" i="3"/>
  <c r="F3953" i="3"/>
  <c r="G3943" i="3"/>
  <c r="F3941" i="3"/>
  <c r="G3931" i="3"/>
  <c r="F3929" i="3"/>
  <c r="G3871" i="3"/>
  <c r="F3869" i="3"/>
  <c r="G3859" i="3"/>
  <c r="F3857" i="3"/>
  <c r="G3847" i="3"/>
  <c r="F3845" i="3"/>
  <c r="G3835" i="3"/>
  <c r="F3833" i="3"/>
  <c r="G3823" i="3"/>
  <c r="F3821" i="3"/>
  <c r="G3811" i="3"/>
  <c r="F3809" i="3"/>
  <c r="G3799" i="3"/>
  <c r="F3797" i="3"/>
  <c r="G3787" i="3"/>
  <c r="F3785" i="3"/>
  <c r="G3775" i="3"/>
  <c r="F3773" i="3"/>
  <c r="G3763" i="3"/>
  <c r="F3761" i="3"/>
  <c r="G3751" i="3"/>
  <c r="F3749" i="3"/>
  <c r="G3739" i="3"/>
  <c r="F3737" i="3"/>
  <c r="G3727" i="3"/>
  <c r="F3725" i="3"/>
  <c r="G3715" i="3"/>
  <c r="F3713" i="3"/>
  <c r="G3703" i="3"/>
  <c r="F3701" i="3"/>
  <c r="G3691" i="3"/>
  <c r="F3689" i="3"/>
  <c r="G3679" i="3"/>
  <c r="F3677" i="3"/>
  <c r="G3667" i="3"/>
  <c r="F3665" i="3"/>
  <c r="F3555" i="3"/>
  <c r="F3329" i="3"/>
  <c r="G3235" i="3"/>
  <c r="F3233" i="3"/>
  <c r="F3209" i="3"/>
  <c r="G3199" i="3"/>
  <c r="G3187" i="3"/>
  <c r="F3125" i="3"/>
  <c r="G3115" i="3"/>
  <c r="G3103" i="3"/>
  <c r="F3101" i="3"/>
  <c r="G3091" i="3"/>
  <c r="F3089" i="3"/>
  <c r="G3079" i="3"/>
  <c r="G3067" i="3"/>
  <c r="F3065" i="3"/>
  <c r="G3597" i="3"/>
  <c r="F3595" i="3"/>
  <c r="G3585" i="3"/>
  <c r="F3583" i="3"/>
  <c r="G3573" i="3"/>
  <c r="F3571" i="3"/>
  <c r="G3561" i="3"/>
  <c r="F3559" i="3"/>
  <c r="G3549" i="3"/>
  <c r="F3547" i="3"/>
  <c r="G3537" i="3"/>
  <c r="F3535" i="3"/>
  <c r="G3525" i="3"/>
  <c r="F3523" i="3"/>
  <c r="G3513" i="3"/>
  <c r="F3511" i="3"/>
  <c r="G3501" i="3"/>
  <c r="F3499" i="3"/>
  <c r="G3489" i="3"/>
  <c r="F3487" i="3"/>
  <c r="G3477" i="3"/>
  <c r="F3475" i="3"/>
  <c r="G3465" i="3"/>
  <c r="F3463" i="3"/>
  <c r="G3453" i="3"/>
  <c r="F3451" i="3"/>
  <c r="G3441" i="3"/>
  <c r="F3439" i="3"/>
  <c r="G3429" i="3"/>
  <c r="F3427" i="3"/>
  <c r="G3417" i="3"/>
  <c r="F3415" i="3"/>
  <c r="G3405" i="3"/>
  <c r="F3403" i="3"/>
  <c r="G3393" i="3"/>
  <c r="F3391" i="3"/>
  <c r="G3381" i="3"/>
  <c r="F3379" i="3"/>
  <c r="G3369" i="3"/>
  <c r="F3367" i="3"/>
  <c r="G3357" i="3"/>
  <c r="F3355" i="3"/>
  <c r="G3345" i="3"/>
  <c r="F3343" i="3"/>
  <c r="G3333" i="3"/>
  <c r="F3331" i="3"/>
  <c r="G3321" i="3"/>
  <c r="F3319" i="3"/>
  <c r="G3309" i="3"/>
  <c r="F3307" i="3"/>
  <c r="G3297" i="3"/>
  <c r="F3295" i="3"/>
  <c r="G3285" i="3"/>
  <c r="F3283" i="3"/>
  <c r="G3273" i="3"/>
  <c r="F3271" i="3"/>
  <c r="G3261" i="3"/>
  <c r="F3259" i="3"/>
  <c r="G3249" i="3"/>
  <c r="F3247" i="3"/>
  <c r="G3237" i="3"/>
  <c r="F3235" i="3"/>
  <c r="G3225" i="3"/>
  <c r="F3223" i="3"/>
  <c r="G3213" i="3"/>
  <c r="F3211" i="3"/>
  <c r="G3201" i="3"/>
  <c r="F3199" i="3"/>
  <c r="G3189" i="3"/>
  <c r="F3187" i="3"/>
  <c r="G3177" i="3"/>
  <c r="F3175" i="3"/>
  <c r="G3165" i="3"/>
  <c r="F3163" i="3"/>
  <c r="G3153" i="3"/>
  <c r="F3151" i="3"/>
  <c r="G3129" i="3"/>
  <c r="G3105" i="3"/>
  <c r="G3057" i="3"/>
  <c r="G3580" i="3"/>
  <c r="F3578" i="3"/>
  <c r="G3568" i="3"/>
  <c r="F3566" i="3"/>
  <c r="G3556" i="3"/>
  <c r="F3554" i="3"/>
  <c r="G3544" i="3"/>
  <c r="F3542" i="3"/>
  <c r="G3532" i="3"/>
  <c r="F3530" i="3"/>
  <c r="G3520" i="3"/>
  <c r="F3518" i="3"/>
  <c r="G3508" i="3"/>
  <c r="F3506" i="3"/>
  <c r="G3496" i="3"/>
  <c r="F3494" i="3"/>
  <c r="G3484" i="3"/>
  <c r="F3482" i="3"/>
  <c r="G3472" i="3"/>
  <c r="G3460" i="3"/>
  <c r="F3458" i="3"/>
  <c r="G3448" i="3"/>
  <c r="F3446" i="3"/>
  <c r="G3436" i="3"/>
  <c r="F3434" i="3"/>
  <c r="G3424" i="3"/>
  <c r="F3422" i="3"/>
  <c r="G3412" i="3"/>
  <c r="F3410" i="3"/>
  <c r="G3400" i="3"/>
  <c r="F3398" i="3"/>
  <c r="G3388" i="3"/>
  <c r="F3386" i="3"/>
  <c r="G3376" i="3"/>
  <c r="F3374" i="3"/>
  <c r="G3364" i="3"/>
  <c r="G3352" i="3"/>
  <c r="F3350" i="3"/>
  <c r="G3340" i="3"/>
  <c r="F3338" i="3"/>
  <c r="G3328" i="3"/>
  <c r="G3316" i="3"/>
  <c r="F3314" i="3"/>
  <c r="G3304" i="3"/>
  <c r="G3280" i="3"/>
  <c r="F3278" i="3"/>
  <c r="G3268" i="3"/>
  <c r="F3266" i="3"/>
  <c r="G3256" i="3"/>
  <c r="F3254" i="3"/>
  <c r="G3244" i="3"/>
  <c r="F3242" i="3"/>
  <c r="G3232" i="3"/>
  <c r="F3230" i="3"/>
  <c r="G3220" i="3"/>
  <c r="F3218" i="3"/>
  <c r="G3208" i="3"/>
  <c r="F3206" i="3"/>
  <c r="G3196" i="3"/>
  <c r="F3194" i="3"/>
  <c r="G3184" i="3"/>
  <c r="F3182" i="3"/>
  <c r="G3172" i="3"/>
  <c r="F3170" i="3"/>
  <c r="G3160" i="3"/>
  <c r="F3158" i="3"/>
  <c r="F3146" i="3"/>
  <c r="G3136" i="3"/>
  <c r="F3134" i="3"/>
  <c r="G3124" i="3"/>
  <c r="F3122" i="3"/>
  <c r="G3112" i="3"/>
  <c r="F3110" i="3"/>
  <c r="G3100" i="3"/>
  <c r="F3098" i="3"/>
  <c r="G3088" i="3"/>
  <c r="F3086" i="3"/>
  <c r="G3076" i="3"/>
  <c r="F3074" i="3"/>
  <c r="G3064" i="3"/>
  <c r="F3062" i="3"/>
  <c r="G3052" i="3"/>
  <c r="F3050" i="3"/>
  <c r="G3041" i="3"/>
  <c r="F3039" i="3"/>
  <c r="G3029" i="3"/>
  <c r="F3027" i="3"/>
  <c r="G3017" i="3"/>
  <c r="F3015" i="3"/>
  <c r="G3005" i="3"/>
  <c r="F3003" i="3"/>
  <c r="G2993" i="3"/>
  <c r="F2991" i="3"/>
  <c r="G2981" i="3"/>
  <c r="F2979" i="3"/>
  <c r="G2969" i="3"/>
  <c r="F2967" i="3"/>
  <c r="G2957" i="3"/>
  <c r="F2955" i="3"/>
  <c r="G2945" i="3"/>
  <c r="F2943" i="3"/>
  <c r="G2933" i="3"/>
  <c r="F2931" i="3"/>
  <c r="G2921" i="3"/>
  <c r="F2919" i="3"/>
  <c r="G2909" i="3"/>
  <c r="F2907" i="3"/>
  <c r="G2897" i="3"/>
  <c r="F2895" i="3"/>
  <c r="G2885" i="3"/>
  <c r="F2883" i="3"/>
  <c r="G2873" i="3"/>
  <c r="F2871" i="3"/>
  <c r="G2861" i="3"/>
  <c r="F2859" i="3"/>
  <c r="G2849" i="3"/>
  <c r="F2847" i="3"/>
  <c r="G2837" i="3"/>
  <c r="F2835" i="3"/>
  <c r="G2825" i="3"/>
  <c r="F2823" i="3"/>
  <c r="G2813" i="3"/>
  <c r="F2811" i="3"/>
  <c r="G2801" i="3"/>
  <c r="F2799" i="3"/>
  <c r="G2789" i="3"/>
  <c r="F2787" i="3"/>
  <c r="G2777" i="3"/>
  <c r="F2775" i="3"/>
  <c r="G2765" i="3"/>
  <c r="F2763" i="3"/>
  <c r="G2753" i="3"/>
  <c r="F2751" i="3"/>
  <c r="G2741" i="3"/>
  <c r="F2739" i="3"/>
  <c r="G2729" i="3"/>
  <c r="F2727" i="3"/>
  <c r="G2717" i="3"/>
  <c r="F2715" i="3"/>
  <c r="G2705" i="3"/>
  <c r="F2703" i="3"/>
  <c r="G2693" i="3"/>
  <c r="F2691" i="3"/>
  <c r="G2681" i="3"/>
  <c r="F2679" i="3"/>
  <c r="G2669" i="3"/>
  <c r="F2667" i="3"/>
  <c r="G2657" i="3"/>
  <c r="G3043" i="3"/>
  <c r="F3041" i="3"/>
  <c r="G3031" i="3"/>
  <c r="F3029" i="3"/>
  <c r="G3019" i="3"/>
  <c r="F3017" i="3"/>
  <c r="G3007" i="3"/>
  <c r="F3005" i="3"/>
  <c r="G2995" i="3"/>
  <c r="F2993" i="3"/>
  <c r="G2983" i="3"/>
  <c r="F2981" i="3"/>
  <c r="G2971" i="3"/>
  <c r="F2969" i="3"/>
  <c r="G2959" i="3"/>
  <c r="F2957" i="3"/>
  <c r="G2947" i="3"/>
  <c r="F2945" i="3"/>
  <c r="G2935" i="3"/>
  <c r="F2933" i="3"/>
  <c r="G2923" i="3"/>
  <c r="F2921" i="3"/>
  <c r="G2911" i="3"/>
  <c r="F2909" i="3"/>
  <c r="G2899" i="3"/>
  <c r="F2897" i="3"/>
  <c r="G2887" i="3"/>
  <c r="F2885" i="3"/>
  <c r="G2875" i="3"/>
  <c r="F2873" i="3"/>
  <c r="G2863" i="3"/>
  <c r="F2861" i="3"/>
  <c r="G2851" i="3"/>
  <c r="F2849" i="3"/>
  <c r="G2839" i="3"/>
  <c r="F2837" i="3"/>
  <c r="G2827" i="3"/>
  <c r="F2825" i="3"/>
  <c r="G2815" i="3"/>
  <c r="F2813" i="3"/>
  <c r="G2803" i="3"/>
  <c r="F2801" i="3"/>
  <c r="G2791" i="3"/>
  <c r="F2789" i="3"/>
  <c r="G2779" i="3"/>
  <c r="F2777" i="3"/>
  <c r="G2767" i="3"/>
  <c r="F2765" i="3"/>
  <c r="G2755" i="3"/>
  <c r="F2753" i="3"/>
  <c r="G2743" i="3"/>
  <c r="F2741" i="3"/>
  <c r="G2731" i="3"/>
  <c r="F1704" i="3"/>
  <c r="G1694" i="3"/>
  <c r="F1692" i="3"/>
  <c r="F2729" i="3"/>
  <c r="G2719" i="3"/>
  <c r="F2717" i="3"/>
  <c r="G2707" i="3"/>
  <c r="F2705" i="3"/>
  <c r="G2695" i="3"/>
  <c r="F2693" i="3"/>
  <c r="G2683" i="3"/>
  <c r="F2681" i="3"/>
  <c r="G2671" i="3"/>
  <c r="F2669" i="3"/>
  <c r="G2659" i="3"/>
  <c r="F2657" i="3"/>
  <c r="G2647" i="3"/>
  <c r="F2645" i="3"/>
  <c r="G2635" i="3"/>
  <c r="F2633" i="3"/>
  <c r="G2623" i="3"/>
  <c r="F2621" i="3"/>
  <c r="G2611" i="3"/>
  <c r="F2609" i="3"/>
  <c r="G2599" i="3"/>
  <c r="F2597" i="3"/>
  <c r="G2587" i="3"/>
  <c r="F2585" i="3"/>
  <c r="G2575" i="3"/>
  <c r="F2573" i="3"/>
  <c r="G2563" i="3"/>
  <c r="F2561" i="3"/>
  <c r="G2551" i="3"/>
  <c r="F2549" i="3"/>
  <c r="G2539" i="3"/>
  <c r="F2537" i="3"/>
  <c r="G2527" i="3"/>
  <c r="F2525" i="3"/>
  <c r="G2515" i="3"/>
  <c r="F2513" i="3"/>
  <c r="G2503" i="3"/>
  <c r="F2501" i="3"/>
  <c r="G2491" i="3"/>
  <c r="F2489" i="3"/>
  <c r="G2479" i="3"/>
  <c r="F2477" i="3"/>
  <c r="G2467" i="3"/>
  <c r="F2465" i="3"/>
  <c r="G2455" i="3"/>
  <c r="F2453" i="3"/>
  <c r="G2443" i="3"/>
  <c r="F2441" i="3"/>
  <c r="G2431" i="3"/>
  <c r="F2429" i="3"/>
  <c r="G2419" i="3"/>
  <c r="F2417" i="3"/>
  <c r="G2407" i="3"/>
  <c r="F2405" i="3"/>
  <c r="G2395" i="3"/>
  <c r="F2393" i="3"/>
  <c r="G2383" i="3"/>
  <c r="F2381" i="3"/>
  <c r="G2371" i="3"/>
  <c r="F2369" i="3"/>
  <c r="G2359" i="3"/>
  <c r="F2357" i="3"/>
  <c r="G2347" i="3"/>
  <c r="F2345" i="3"/>
  <c r="G2335" i="3"/>
  <c r="F2333" i="3"/>
  <c r="G2323" i="3"/>
  <c r="F2321" i="3"/>
  <c r="G2311" i="3"/>
  <c r="F2309" i="3"/>
  <c r="G2299" i="3"/>
  <c r="F2297" i="3"/>
  <c r="G2287" i="3"/>
  <c r="F2285" i="3"/>
  <c r="G2275" i="3"/>
  <c r="F2273" i="3"/>
  <c r="G2263" i="3"/>
  <c r="F2261" i="3"/>
  <c r="G2251" i="3"/>
  <c r="F2249" i="3"/>
  <c r="G2239" i="3"/>
  <c r="F2237" i="3"/>
  <c r="G2227" i="3"/>
  <c r="F2225" i="3"/>
  <c r="G2215" i="3"/>
  <c r="F2213" i="3"/>
  <c r="G2203" i="3"/>
  <c r="F2201" i="3"/>
  <c r="G2191" i="3"/>
  <c r="F2189" i="3"/>
  <c r="G2179" i="3"/>
  <c r="F2177" i="3"/>
  <c r="G2167" i="3"/>
  <c r="F2165" i="3"/>
  <c r="G2155" i="3"/>
  <c r="F2153" i="3"/>
  <c r="G2143" i="3"/>
  <c r="F2141" i="3"/>
  <c r="G2131" i="3"/>
  <c r="F2129" i="3"/>
  <c r="G2119" i="3"/>
  <c r="F2117" i="3"/>
  <c r="G2107" i="3"/>
  <c r="F2105" i="3"/>
  <c r="G2095" i="3"/>
  <c r="F2093" i="3"/>
  <c r="G2083" i="3"/>
  <c r="F2081" i="3"/>
  <c r="G2071" i="3"/>
  <c r="F2069" i="3"/>
  <c r="G2059" i="3"/>
  <c r="F2057" i="3"/>
  <c r="G2047" i="3"/>
  <c r="F2045" i="3"/>
  <c r="G2035" i="3"/>
  <c r="F2033" i="3"/>
  <c r="G2023" i="3"/>
  <c r="F2021" i="3"/>
  <c r="G2011" i="3"/>
  <c r="F2009" i="3"/>
  <c r="G1999" i="3"/>
  <c r="F1997" i="3"/>
  <c r="G1987" i="3"/>
  <c r="F1985" i="3"/>
  <c r="G1975" i="3"/>
  <c r="F1973" i="3"/>
  <c r="G1963" i="3"/>
  <c r="F1961" i="3"/>
  <c r="G1951" i="3"/>
  <c r="F1949" i="3"/>
  <c r="G1939" i="3"/>
  <c r="F1937" i="3"/>
  <c r="G1927" i="3"/>
  <c r="F1925" i="3"/>
  <c r="G1915" i="3"/>
  <c r="F1913" i="3"/>
  <c r="G1903" i="3"/>
  <c r="F1901" i="3"/>
  <c r="G1891" i="3"/>
  <c r="F1889" i="3"/>
  <c r="G1879" i="3"/>
  <c r="F1877" i="3"/>
  <c r="G1867" i="3"/>
  <c r="F1865" i="3"/>
  <c r="G1855" i="3"/>
  <c r="F1853" i="3"/>
  <c r="G1843" i="3"/>
  <c r="F1841" i="3"/>
  <c r="G1831" i="3"/>
  <c r="F1829" i="3"/>
  <c r="F1824" i="3"/>
  <c r="G1814" i="3"/>
  <c r="F1812" i="3"/>
  <c r="G1802" i="3"/>
  <c r="F1800" i="3"/>
  <c r="G1790" i="3"/>
  <c r="F1788" i="3"/>
  <c r="G1778" i="3"/>
  <c r="F1776" i="3"/>
  <c r="G1766" i="3"/>
  <c r="F1764" i="3"/>
  <c r="G1754" i="3"/>
  <c r="F1752" i="3"/>
  <c r="G1742" i="3"/>
  <c r="F1740" i="3"/>
  <c r="G1730" i="3"/>
  <c r="F1728" i="3"/>
  <c r="G1718" i="3"/>
  <c r="F1716" i="3"/>
  <c r="G1682" i="3"/>
  <c r="F1680" i="3"/>
  <c r="G1670" i="3"/>
  <c r="F1668" i="3"/>
  <c r="G1658" i="3"/>
  <c r="F1656" i="3"/>
  <c r="G1646" i="3"/>
  <c r="F1644" i="3"/>
  <c r="G1634" i="3"/>
  <c r="F1632" i="3"/>
  <c r="G1622" i="3"/>
  <c r="F1620" i="3"/>
  <c r="G1610" i="3"/>
  <c r="F1608" i="3"/>
  <c r="G1598" i="3"/>
  <c r="F1596" i="3"/>
  <c r="G1586" i="3"/>
  <c r="F1584" i="3"/>
  <c r="G1574" i="3"/>
  <c r="F1572" i="3"/>
  <c r="G1562" i="3"/>
  <c r="F1560" i="3"/>
  <c r="G1550" i="3"/>
  <c r="F1548" i="3"/>
  <c r="G1538" i="3"/>
  <c r="F1536" i="3"/>
  <c r="G1526" i="3"/>
  <c r="F1524" i="3"/>
  <c r="G1514" i="3"/>
  <c r="F1512" i="3"/>
  <c r="G1502" i="3"/>
  <c r="F1500" i="3"/>
  <c r="G1490" i="3"/>
  <c r="F1488" i="3"/>
  <c r="G1478" i="3"/>
  <c r="F1476" i="3"/>
  <c r="G1466" i="3"/>
  <c r="F1464" i="3"/>
  <c r="G1454" i="3"/>
  <c r="F1452" i="3"/>
  <c r="G1442" i="3"/>
  <c r="F1440" i="3"/>
  <c r="G1430" i="3"/>
  <c r="F1428" i="3"/>
  <c r="G1418" i="3"/>
  <c r="F1416" i="3"/>
  <c r="G1406" i="3"/>
  <c r="F1404" i="3"/>
  <c r="G1394" i="3"/>
  <c r="F1392" i="3"/>
  <c r="G1382" i="3"/>
  <c r="F1380" i="3"/>
  <c r="G1370" i="3"/>
  <c r="F1368" i="3"/>
  <c r="G1358" i="3"/>
  <c r="F1356" i="3"/>
  <c r="G1346" i="3"/>
  <c r="F1344" i="3"/>
  <c r="G1334" i="3"/>
  <c r="F1332" i="3"/>
  <c r="G1322" i="3"/>
  <c r="F1320" i="3"/>
  <c r="G1310" i="3"/>
  <c r="F1308" i="3"/>
  <c r="G1298" i="3"/>
  <c r="F1296" i="3"/>
  <c r="G1286" i="3"/>
  <c r="F1284" i="3"/>
  <c r="G1274" i="3"/>
  <c r="F1272" i="3"/>
  <c r="G1262" i="3"/>
  <c r="F1260" i="3"/>
  <c r="G1250" i="3"/>
  <c r="F1248" i="3"/>
  <c r="G1238" i="3"/>
  <c r="F1236" i="3"/>
  <c r="G1226" i="3"/>
  <c r="F1224" i="3"/>
  <c r="G1214" i="3"/>
  <c r="F1212" i="3"/>
  <c r="G1202" i="3"/>
  <c r="F1200" i="3"/>
  <c r="G1190" i="3"/>
  <c r="F1188" i="3"/>
  <c r="G1178" i="3"/>
  <c r="G3035" i="3"/>
  <c r="F3033" i="3"/>
  <c r="G3023" i="3"/>
  <c r="F3021" i="3"/>
  <c r="G3011" i="3"/>
  <c r="F3009" i="3"/>
  <c r="G2999" i="3"/>
  <c r="F2997" i="3"/>
  <c r="G2987" i="3"/>
  <c r="F2985" i="3"/>
  <c r="G2975" i="3"/>
  <c r="F2973" i="3"/>
  <c r="G2963" i="3"/>
  <c r="F2961" i="3"/>
  <c r="G2951" i="3"/>
  <c r="F2949" i="3"/>
  <c r="G2939" i="3"/>
  <c r="F2937" i="3"/>
  <c r="G2927" i="3"/>
  <c r="F2925" i="3"/>
  <c r="G2915" i="3"/>
  <c r="F2913" i="3"/>
  <c r="G2903" i="3"/>
  <c r="F2901" i="3"/>
  <c r="G2891" i="3"/>
  <c r="F2889" i="3"/>
  <c r="G2879" i="3"/>
  <c r="F2877" i="3"/>
  <c r="G2867" i="3"/>
  <c r="F2865" i="3"/>
  <c r="G2855" i="3"/>
  <c r="F2853" i="3"/>
  <c r="G2843" i="3"/>
  <c r="F2841" i="3"/>
  <c r="G2831" i="3"/>
  <c r="F2829" i="3"/>
  <c r="G2819" i="3"/>
  <c r="F2817" i="3"/>
  <c r="G2807" i="3"/>
  <c r="F2805" i="3"/>
  <c r="G2795" i="3"/>
  <c r="F2793" i="3"/>
  <c r="G2783" i="3"/>
  <c r="F2781" i="3"/>
  <c r="G2771" i="3"/>
  <c r="F2769" i="3"/>
  <c r="G2759" i="3"/>
  <c r="F2757" i="3"/>
  <c r="G2747" i="3"/>
  <c r="F2745" i="3"/>
  <c r="G2735" i="3"/>
  <c r="F2733" i="3"/>
  <c r="G2723" i="3"/>
  <c r="F2721" i="3"/>
  <c r="G2711" i="3"/>
  <c r="F2709" i="3"/>
  <c r="G2699" i="3"/>
  <c r="F2697" i="3"/>
  <c r="G2687" i="3"/>
  <c r="F2685" i="3"/>
  <c r="G2675" i="3"/>
  <c r="F2673" i="3"/>
  <c r="G2663" i="3"/>
  <c r="F2661" i="3"/>
  <c r="G2651" i="3"/>
  <c r="F2649" i="3"/>
  <c r="G2639" i="3"/>
  <c r="F2637" i="3"/>
  <c r="G2627" i="3"/>
  <c r="F2625" i="3"/>
  <c r="G2615" i="3"/>
  <c r="F2613" i="3"/>
  <c r="G2603" i="3"/>
  <c r="F2601" i="3"/>
  <c r="G2591" i="3"/>
  <c r="F2589" i="3"/>
  <c r="G2579" i="3"/>
  <c r="F2577" i="3"/>
  <c r="G2567" i="3"/>
  <c r="F2565" i="3"/>
  <c r="G2555" i="3"/>
  <c r="F2553" i="3"/>
  <c r="G2543" i="3"/>
  <c r="F2541" i="3"/>
  <c r="G2531" i="3"/>
  <c r="F2529" i="3"/>
  <c r="G2519" i="3"/>
  <c r="F2517" i="3"/>
  <c r="G2507" i="3"/>
  <c r="F2505" i="3"/>
  <c r="G2495" i="3"/>
  <c r="F2493" i="3"/>
  <c r="G2483" i="3"/>
  <c r="F2481" i="3"/>
  <c r="G2471" i="3"/>
  <c r="F2469" i="3"/>
  <c r="G2459" i="3"/>
  <c r="F2457" i="3"/>
  <c r="G2447" i="3"/>
  <c r="F2445" i="3"/>
  <c r="G2435" i="3"/>
  <c r="F2433" i="3"/>
  <c r="G2423" i="3"/>
  <c r="F2421" i="3"/>
  <c r="G2411" i="3"/>
  <c r="F2409" i="3"/>
  <c r="G2399" i="3"/>
  <c r="F2397" i="3"/>
  <c r="G2387" i="3"/>
  <c r="F2385" i="3"/>
  <c r="G2375" i="3"/>
  <c r="F2373" i="3"/>
  <c r="G2363" i="3"/>
  <c r="F2361" i="3"/>
  <c r="G2351" i="3"/>
  <c r="F2349" i="3"/>
  <c r="G2339" i="3"/>
  <c r="F2337" i="3"/>
  <c r="G2327" i="3"/>
  <c r="F2325" i="3"/>
  <c r="G2315" i="3"/>
  <c r="F2313" i="3"/>
  <c r="G2303" i="3"/>
  <c r="F2301" i="3"/>
  <c r="G2291" i="3"/>
  <c r="F2289" i="3"/>
  <c r="G2279" i="3"/>
  <c r="F2277" i="3"/>
  <c r="G2267" i="3"/>
  <c r="F2265" i="3"/>
  <c r="G2255" i="3"/>
  <c r="F2253" i="3"/>
  <c r="G2243" i="3"/>
  <c r="F2241" i="3"/>
  <c r="G2231" i="3"/>
  <c r="F2229" i="3"/>
  <c r="G2219" i="3"/>
  <c r="F2217" i="3"/>
  <c r="G2207" i="3"/>
  <c r="F2205" i="3"/>
  <c r="G2195" i="3"/>
  <c r="F2193" i="3"/>
  <c r="G2183" i="3"/>
  <c r="F2181" i="3"/>
  <c r="G2171" i="3"/>
  <c r="F2169" i="3"/>
  <c r="G2159" i="3"/>
  <c r="F2157" i="3"/>
  <c r="G2147" i="3"/>
  <c r="F2145" i="3"/>
  <c r="G2135" i="3"/>
  <c r="F2133" i="3"/>
  <c r="G3037" i="3"/>
  <c r="F3035" i="3"/>
  <c r="G3025" i="3"/>
  <c r="F3023" i="3"/>
  <c r="G3013" i="3"/>
  <c r="F3011" i="3"/>
  <c r="G3001" i="3"/>
  <c r="F2999" i="3"/>
  <c r="G2989" i="3"/>
  <c r="F2987" i="3"/>
  <c r="G2977" i="3"/>
  <c r="F2975" i="3"/>
  <c r="G2965" i="3"/>
  <c r="F2963" i="3"/>
  <c r="G2953" i="3"/>
  <c r="F2951" i="3"/>
  <c r="G2941" i="3"/>
  <c r="F2939" i="3"/>
  <c r="G2929" i="3"/>
  <c r="F2927" i="3"/>
  <c r="G2917" i="3"/>
  <c r="F2915" i="3"/>
  <c r="G2905" i="3"/>
  <c r="F2903" i="3"/>
  <c r="G2893" i="3"/>
  <c r="F2891" i="3"/>
  <c r="G2881" i="3"/>
  <c r="F2879" i="3"/>
  <c r="G2869" i="3"/>
  <c r="F2867" i="3"/>
  <c r="G2857" i="3"/>
  <c r="F2855" i="3"/>
  <c r="G2845" i="3"/>
  <c r="F2843" i="3"/>
  <c r="G2833" i="3"/>
  <c r="F2831" i="3"/>
  <c r="G2821" i="3"/>
  <c r="F2819" i="3"/>
  <c r="G2809" i="3"/>
  <c r="F2807" i="3"/>
  <c r="G2797" i="3"/>
  <c r="F2795" i="3"/>
  <c r="G2785" i="3"/>
  <c r="F2783" i="3"/>
  <c r="G2773" i="3"/>
  <c r="F2771" i="3"/>
  <c r="G2761" i="3"/>
  <c r="F2759" i="3"/>
  <c r="G2749" i="3"/>
  <c r="F2747" i="3"/>
  <c r="G2737" i="3"/>
  <c r="F2735" i="3"/>
  <c r="G2725" i="3"/>
  <c r="F2723" i="3"/>
  <c r="G2713" i="3"/>
  <c r="F2711" i="3"/>
  <c r="G2701" i="3"/>
  <c r="F2699" i="3"/>
  <c r="G2689" i="3"/>
  <c r="F2687" i="3"/>
  <c r="G2677" i="3"/>
  <c r="F2675" i="3"/>
  <c r="G2665" i="3"/>
  <c r="F2663" i="3"/>
  <c r="G2653" i="3"/>
  <c r="F2651" i="3"/>
  <c r="G2641" i="3"/>
  <c r="F2639" i="3"/>
  <c r="G2629" i="3"/>
  <c r="F2627" i="3"/>
  <c r="G2617" i="3"/>
  <c r="F2615" i="3"/>
  <c r="G2605" i="3"/>
  <c r="F2603" i="3"/>
  <c r="G2593" i="3"/>
  <c r="F2591" i="3"/>
  <c r="G2581" i="3"/>
  <c r="F2579" i="3"/>
  <c r="G2569" i="3"/>
  <c r="F2567" i="3"/>
  <c r="G2557" i="3"/>
  <c r="F2555" i="3"/>
  <c r="G2545" i="3"/>
  <c r="F2543" i="3"/>
  <c r="G2533" i="3"/>
  <c r="F2531" i="3"/>
  <c r="G2521" i="3"/>
  <c r="F2519" i="3"/>
  <c r="G2509" i="3"/>
  <c r="F2507" i="3"/>
  <c r="G2497" i="3"/>
  <c r="F2495" i="3"/>
  <c r="G2485" i="3"/>
  <c r="F2483" i="3"/>
  <c r="G2473" i="3"/>
  <c r="F2471" i="3"/>
  <c r="G2461" i="3"/>
  <c r="F2459" i="3"/>
  <c r="G2449" i="3"/>
  <c r="F2447" i="3"/>
  <c r="G2437" i="3"/>
  <c r="F2435" i="3"/>
  <c r="G2425" i="3"/>
  <c r="F2423" i="3"/>
  <c r="G2413" i="3"/>
  <c r="F2411" i="3"/>
  <c r="G2401" i="3"/>
  <c r="F2399" i="3"/>
  <c r="F3042" i="3"/>
  <c r="G3032" i="3"/>
  <c r="F3030" i="3"/>
  <c r="G3020" i="3"/>
  <c r="F3018" i="3"/>
  <c r="G3008" i="3"/>
  <c r="F3006" i="3"/>
  <c r="G2996" i="3"/>
  <c r="F2994" i="3"/>
  <c r="G2984" i="3"/>
  <c r="F2982" i="3"/>
  <c r="G2972" i="3"/>
  <c r="F2970" i="3"/>
  <c r="G2960" i="3"/>
  <c r="F2958" i="3"/>
  <c r="G2948" i="3"/>
  <c r="F2946" i="3"/>
  <c r="G2936" i="3"/>
  <c r="F2934" i="3"/>
  <c r="G2924" i="3"/>
  <c r="F2922" i="3"/>
  <c r="G2912" i="3"/>
  <c r="F2910" i="3"/>
  <c r="G2900" i="3"/>
  <c r="F2898" i="3"/>
  <c r="G2888" i="3"/>
  <c r="F2886" i="3"/>
  <c r="G2876" i="3"/>
  <c r="F2874" i="3"/>
  <c r="G2864" i="3"/>
  <c r="F2862" i="3"/>
  <c r="G2852" i="3"/>
  <c r="F2850" i="3"/>
  <c r="G2840" i="3"/>
  <c r="F2838" i="3"/>
  <c r="G2828" i="3"/>
  <c r="F2826" i="3"/>
  <c r="G2816" i="3"/>
  <c r="F2814" i="3"/>
  <c r="G2804" i="3"/>
  <c r="F2802" i="3"/>
  <c r="G2792" i="3"/>
  <c r="F2790" i="3"/>
  <c r="G2780" i="3"/>
  <c r="F2778" i="3"/>
  <c r="G2768" i="3"/>
  <c r="F2766" i="3"/>
  <c r="G2756" i="3"/>
  <c r="F2754" i="3"/>
  <c r="G2744" i="3"/>
  <c r="F2742" i="3"/>
  <c r="G2732" i="3"/>
  <c r="F2730" i="3"/>
  <c r="G2720" i="3"/>
  <c r="F2718" i="3"/>
  <c r="G2708" i="3"/>
  <c r="F2706" i="3"/>
  <c r="G2696" i="3"/>
  <c r="F2694" i="3"/>
  <c r="G2684" i="3"/>
  <c r="F2682" i="3"/>
  <c r="G2672" i="3"/>
  <c r="F2670" i="3"/>
  <c r="G2660" i="3"/>
  <c r="F2658" i="3"/>
  <c r="G2648" i="3"/>
  <c r="F2646" i="3"/>
  <c r="G2636" i="3"/>
  <c r="F2634" i="3"/>
  <c r="G2624" i="3"/>
  <c r="F2622" i="3"/>
  <c r="G2612" i="3"/>
  <c r="F2610" i="3"/>
  <c r="G2600" i="3"/>
  <c r="F2598" i="3"/>
  <c r="G2588" i="3"/>
  <c r="F2586" i="3"/>
  <c r="G2576" i="3"/>
  <c r="F2574" i="3"/>
  <c r="G2564" i="3"/>
  <c r="F2562" i="3"/>
  <c r="G2552" i="3"/>
  <c r="F2550" i="3"/>
  <c r="G2540" i="3"/>
  <c r="F2538" i="3"/>
  <c r="G2528" i="3"/>
  <c r="F2526" i="3"/>
  <c r="G2516" i="3"/>
  <c r="F2514" i="3"/>
  <c r="G2504" i="3"/>
  <c r="F2502" i="3"/>
  <c r="G2492" i="3"/>
  <c r="F2490" i="3"/>
  <c r="G2480" i="3"/>
  <c r="F2478" i="3"/>
  <c r="G2468" i="3"/>
  <c r="F2466" i="3"/>
  <c r="G2456" i="3"/>
  <c r="F2454" i="3"/>
  <c r="G2444" i="3"/>
  <c r="F2442" i="3"/>
  <c r="G2432" i="3"/>
  <c r="F2430" i="3"/>
  <c r="G2420" i="3"/>
  <c r="F2418" i="3"/>
  <c r="G2408" i="3"/>
  <c r="F2406" i="3"/>
  <c r="G2396" i="3"/>
  <c r="G3039" i="3"/>
  <c r="F3037" i="3"/>
  <c r="G3027" i="3"/>
  <c r="F3025" i="3"/>
  <c r="G3015" i="3"/>
  <c r="F3013" i="3"/>
  <c r="G3003" i="3"/>
  <c r="F3001" i="3"/>
  <c r="G2991" i="3"/>
  <c r="F2989" i="3"/>
  <c r="G2979" i="3"/>
  <c r="F2977" i="3"/>
  <c r="G2967" i="3"/>
  <c r="F2965" i="3"/>
  <c r="G2955" i="3"/>
  <c r="F2953" i="3"/>
  <c r="G2943" i="3"/>
  <c r="F2941" i="3"/>
  <c r="G2931" i="3"/>
  <c r="F2929" i="3"/>
  <c r="G2919" i="3"/>
  <c r="F2917" i="3"/>
  <c r="G2907" i="3"/>
  <c r="F2905" i="3"/>
  <c r="G2895" i="3"/>
  <c r="F2893" i="3"/>
  <c r="G2883" i="3"/>
  <c r="F2881" i="3"/>
  <c r="G2871" i="3"/>
  <c r="F2869" i="3"/>
  <c r="G2859" i="3"/>
  <c r="F2857" i="3"/>
  <c r="G2847" i="3"/>
  <c r="F2845" i="3"/>
  <c r="G2835" i="3"/>
  <c r="F2833" i="3"/>
  <c r="G2823" i="3"/>
  <c r="F2821" i="3"/>
  <c r="G2811" i="3"/>
  <c r="F2809" i="3"/>
  <c r="G2799" i="3"/>
  <c r="F2797" i="3"/>
  <c r="G2787" i="3"/>
  <c r="F2785" i="3"/>
  <c r="G2775" i="3"/>
  <c r="F2773" i="3"/>
  <c r="G2763" i="3"/>
  <c r="F2761" i="3"/>
  <c r="G2751" i="3"/>
  <c r="F2749" i="3"/>
  <c r="G2739" i="3"/>
  <c r="F2737" i="3"/>
  <c r="G2727" i="3"/>
  <c r="F2725" i="3"/>
  <c r="G2715" i="3"/>
  <c r="F2713" i="3"/>
  <c r="G2703" i="3"/>
  <c r="F2701" i="3"/>
  <c r="G2691" i="3"/>
  <c r="F2689" i="3"/>
  <c r="G2679" i="3"/>
  <c r="F2677" i="3"/>
  <c r="G2667" i="3"/>
  <c r="F2665" i="3"/>
  <c r="G2655" i="3"/>
  <c r="F2653" i="3"/>
  <c r="G2643" i="3"/>
  <c r="F2641" i="3"/>
  <c r="G2631" i="3"/>
  <c r="F2629" i="3"/>
  <c r="G2619" i="3"/>
  <c r="F2617" i="3"/>
  <c r="G2607" i="3"/>
  <c r="F2605" i="3"/>
  <c r="G2595" i="3"/>
  <c r="F2593" i="3"/>
  <c r="G2583" i="3"/>
  <c r="F2581" i="3"/>
  <c r="G2571" i="3"/>
  <c r="F2569" i="3"/>
  <c r="G2559" i="3"/>
  <c r="F2557" i="3"/>
  <c r="G2547" i="3"/>
  <c r="F2545" i="3"/>
  <c r="G2535" i="3"/>
  <c r="F2533" i="3"/>
  <c r="G2523" i="3"/>
  <c r="F2521" i="3"/>
  <c r="G2511" i="3"/>
  <c r="F2509" i="3"/>
  <c r="G2499" i="3"/>
  <c r="F2497" i="3"/>
  <c r="G2487" i="3"/>
  <c r="F2485" i="3"/>
  <c r="G2475" i="3"/>
  <c r="F2473" i="3"/>
  <c r="G2463" i="3"/>
  <c r="F2461" i="3"/>
  <c r="G2451" i="3"/>
  <c r="F2449" i="3"/>
  <c r="G2439" i="3"/>
  <c r="F2437" i="3"/>
  <c r="G2427" i="3"/>
  <c r="F2425" i="3"/>
  <c r="G2415" i="3"/>
  <c r="F2413" i="3"/>
  <c r="G2403" i="3"/>
  <c r="F2401" i="3"/>
  <c r="G2391" i="3"/>
  <c r="F2389" i="3"/>
  <c r="G2379" i="3"/>
  <c r="F2377" i="3"/>
  <c r="G2367" i="3"/>
  <c r="F2365" i="3"/>
  <c r="G2355" i="3"/>
  <c r="F2353" i="3"/>
  <c r="G2343" i="3"/>
  <c r="F2341" i="3"/>
  <c r="G2331" i="3"/>
  <c r="F2329" i="3"/>
  <c r="G2319" i="3"/>
  <c r="F2317" i="3"/>
  <c r="G2307" i="3"/>
  <c r="F2305" i="3"/>
  <c r="G2295" i="3"/>
  <c r="F2293" i="3"/>
  <c r="G2283" i="3"/>
  <c r="F2281" i="3"/>
  <c r="G2271" i="3"/>
  <c r="F2269" i="3"/>
  <c r="G2259" i="3"/>
  <c r="F2257" i="3"/>
  <c r="G2247" i="3"/>
  <c r="F2245" i="3"/>
  <c r="G2235" i="3"/>
  <c r="F2233" i="3"/>
  <c r="G2223" i="3"/>
  <c r="F2655" i="3"/>
  <c r="G2645" i="3"/>
  <c r="F2643" i="3"/>
  <c r="G2633" i="3"/>
  <c r="F2631" i="3"/>
  <c r="G2621" i="3"/>
  <c r="F2619" i="3"/>
  <c r="G2609" i="3"/>
  <c r="F2607" i="3"/>
  <c r="G2597" i="3"/>
  <c r="F2595" i="3"/>
  <c r="G2585" i="3"/>
  <c r="F2583" i="3"/>
  <c r="G2573" i="3"/>
  <c r="F2571" i="3"/>
  <c r="G2561" i="3"/>
  <c r="F2559" i="3"/>
  <c r="G2549" i="3"/>
  <c r="F2547" i="3"/>
  <c r="G2537" i="3"/>
  <c r="F2535" i="3"/>
  <c r="G2525" i="3"/>
  <c r="F2523" i="3"/>
  <c r="G2513" i="3"/>
  <c r="F2511" i="3"/>
  <c r="G2501" i="3"/>
  <c r="F2499" i="3"/>
  <c r="G2489" i="3"/>
  <c r="F2487" i="3"/>
  <c r="G2477" i="3"/>
  <c r="F2475" i="3"/>
  <c r="G2465" i="3"/>
  <c r="F2463" i="3"/>
  <c r="G2453" i="3"/>
  <c r="F2451" i="3"/>
  <c r="G2441" i="3"/>
  <c r="F2439" i="3"/>
  <c r="G2429" i="3"/>
  <c r="F2427" i="3"/>
  <c r="G2417" i="3"/>
  <c r="F2415" i="3"/>
  <c r="G2405" i="3"/>
  <c r="F2403" i="3"/>
  <c r="G2393" i="3"/>
  <c r="F2391" i="3"/>
  <c r="G2381" i="3"/>
  <c r="F2379" i="3"/>
  <c r="G2369" i="3"/>
  <c r="F2367" i="3"/>
  <c r="G2357" i="3"/>
  <c r="F2355" i="3"/>
  <c r="G2345" i="3"/>
  <c r="F2343" i="3"/>
  <c r="G2333" i="3"/>
  <c r="F2331" i="3"/>
  <c r="G2321" i="3"/>
  <c r="F2319" i="3"/>
  <c r="G2309" i="3"/>
  <c r="F2307" i="3"/>
  <c r="G2297" i="3"/>
  <c r="F2295" i="3"/>
  <c r="G2285" i="3"/>
  <c r="F2283" i="3"/>
  <c r="G2273" i="3"/>
  <c r="F2271" i="3"/>
  <c r="G2261" i="3"/>
  <c r="F2259" i="3"/>
  <c r="G2249" i="3"/>
  <c r="F2247" i="3"/>
  <c r="G2237" i="3"/>
  <c r="F2235" i="3"/>
  <c r="G2225" i="3"/>
  <c r="F2223" i="3"/>
  <c r="G2213" i="3"/>
  <c r="F2211" i="3"/>
  <c r="G2201" i="3"/>
  <c r="F2199" i="3"/>
  <c r="G2189" i="3"/>
  <c r="F2187" i="3"/>
  <c r="G2177" i="3"/>
  <c r="F2175" i="3"/>
  <c r="G2165" i="3"/>
  <c r="F2163" i="3"/>
  <c r="G2153" i="3"/>
  <c r="F2151" i="3"/>
  <c r="G2141" i="3"/>
  <c r="F2139" i="3"/>
  <c r="G2129" i="3"/>
  <c r="F2127" i="3"/>
  <c r="G2117" i="3"/>
  <c r="F2115" i="3"/>
  <c r="G2105" i="3"/>
  <c r="F2103" i="3"/>
  <c r="G2093" i="3"/>
  <c r="F2091" i="3"/>
  <c r="G2081" i="3"/>
  <c r="F2079" i="3"/>
  <c r="G2069" i="3"/>
  <c r="F2067" i="3"/>
  <c r="G2057" i="3"/>
  <c r="F2055" i="3"/>
  <c r="G2045" i="3"/>
  <c r="F2043" i="3"/>
  <c r="G2033" i="3"/>
  <c r="F2031" i="3"/>
  <c r="G2021" i="3"/>
  <c r="F2019" i="3"/>
  <c r="G2009" i="3"/>
  <c r="F2007" i="3"/>
  <c r="G1997" i="3"/>
  <c r="F1995" i="3"/>
  <c r="G1985" i="3"/>
  <c r="F1983" i="3"/>
  <c r="G1973" i="3"/>
  <c r="F1971" i="3"/>
  <c r="G1961" i="3"/>
  <c r="F1959" i="3"/>
  <c r="G1949" i="3"/>
  <c r="F1947" i="3"/>
  <c r="F1923" i="3"/>
  <c r="G1913" i="3"/>
  <c r="F1911" i="3"/>
  <c r="F1887" i="3"/>
  <c r="G1877" i="3"/>
  <c r="F1875" i="3"/>
  <c r="G1841" i="3"/>
  <c r="F1839" i="3"/>
  <c r="F1827" i="3"/>
  <c r="G1817" i="3"/>
  <c r="F1815" i="3"/>
  <c r="G1805" i="3"/>
  <c r="F1803" i="3"/>
  <c r="F1779" i="3"/>
  <c r="G1769" i="3"/>
  <c r="F1767" i="3"/>
  <c r="F1755" i="3"/>
  <c r="F1743" i="3"/>
  <c r="G1733" i="3"/>
  <c r="F1731" i="3"/>
  <c r="F1719" i="3"/>
  <c r="F1695" i="3"/>
  <c r="G1685" i="3"/>
  <c r="F1683" i="3"/>
  <c r="F1671" i="3"/>
  <c r="G1661" i="3"/>
  <c r="F1659" i="3"/>
  <c r="F1647" i="3"/>
  <c r="G1637" i="3"/>
  <c r="F1635" i="3"/>
  <c r="F1611" i="3"/>
  <c r="G1601" i="3"/>
  <c r="F1599" i="3"/>
  <c r="F1587" i="3"/>
  <c r="F1575" i="3"/>
  <c r="F1563" i="3"/>
  <c r="G1553" i="3"/>
  <c r="F1551" i="3"/>
  <c r="F1539" i="3"/>
  <c r="F1503" i="3"/>
  <c r="F1491" i="3"/>
  <c r="F1467" i="3"/>
  <c r="F1455" i="3"/>
  <c r="G1421" i="3"/>
  <c r="F1419" i="3"/>
  <c r="G1409" i="3"/>
  <c r="F1407" i="3"/>
  <c r="G1397" i="3"/>
  <c r="F1395" i="3"/>
  <c r="F1383" i="3"/>
  <c r="G1373" i="3"/>
  <c r="F1371" i="3"/>
  <c r="G1361" i="3"/>
  <c r="F1359" i="3"/>
  <c r="G1349" i="3"/>
  <c r="F1347" i="3"/>
  <c r="G1337" i="3"/>
  <c r="F1335" i="3"/>
  <c r="G1325" i="3"/>
  <c r="F1323" i="3"/>
  <c r="F2602" i="3"/>
  <c r="G2592" i="3"/>
  <c r="F2590" i="3"/>
  <c r="G2580" i="3"/>
  <c r="F2578" i="3"/>
  <c r="G2568" i="3"/>
  <c r="F2566" i="3"/>
  <c r="G2556" i="3"/>
  <c r="F2554" i="3"/>
  <c r="G2544" i="3"/>
  <c r="F2542" i="3"/>
  <c r="G2532" i="3"/>
  <c r="F2530" i="3"/>
  <c r="G2520" i="3"/>
  <c r="F2518" i="3"/>
  <c r="G2508" i="3"/>
  <c r="F2506" i="3"/>
  <c r="G2496" i="3"/>
  <c r="F2494" i="3"/>
  <c r="G2484" i="3"/>
  <c r="F2482" i="3"/>
  <c r="G2472" i="3"/>
  <c r="F2470" i="3"/>
  <c r="G2460" i="3"/>
  <c r="F2458" i="3"/>
  <c r="G2448" i="3"/>
  <c r="F2446" i="3"/>
  <c r="G2436" i="3"/>
  <c r="F2434" i="3"/>
  <c r="G2424" i="3"/>
  <c r="F2422" i="3"/>
  <c r="G2412" i="3"/>
  <c r="F2410" i="3"/>
  <c r="G2400" i="3"/>
  <c r="F2398" i="3"/>
  <c r="G2388" i="3"/>
  <c r="F2386" i="3"/>
  <c r="G2376" i="3"/>
  <c r="F2374" i="3"/>
  <c r="G2364" i="3"/>
  <c r="F2362" i="3"/>
  <c r="G2352" i="3"/>
  <c r="F2350" i="3"/>
  <c r="G2340" i="3"/>
  <c r="F2338" i="3"/>
  <c r="G2328" i="3"/>
  <c r="F2326" i="3"/>
  <c r="G2316" i="3"/>
  <c r="F2314" i="3"/>
  <c r="G2304" i="3"/>
  <c r="F2302" i="3"/>
  <c r="G2292" i="3"/>
  <c r="F2290" i="3"/>
  <c r="G2280" i="3"/>
  <c r="F2278" i="3"/>
  <c r="G2268" i="3"/>
  <c r="F2266" i="3"/>
  <c r="G2256" i="3"/>
  <c r="F2254" i="3"/>
  <c r="G2244" i="3"/>
  <c r="F2242" i="3"/>
  <c r="G2232" i="3"/>
  <c r="F2230" i="3"/>
  <c r="G2220" i="3"/>
  <c r="F2218" i="3"/>
  <c r="G2208" i="3"/>
  <c r="F2206" i="3"/>
  <c r="G2196" i="3"/>
  <c r="F2194" i="3"/>
  <c r="G2184" i="3"/>
  <c r="F2182" i="3"/>
  <c r="G2172" i="3"/>
  <c r="F2170" i="3"/>
  <c r="G2160" i="3"/>
  <c r="F2158" i="3"/>
  <c r="G2148" i="3"/>
  <c r="F2146" i="3"/>
  <c r="G2136" i="3"/>
  <c r="F2134" i="3"/>
  <c r="G2124" i="3"/>
  <c r="F2122" i="3"/>
  <c r="G2112" i="3"/>
  <c r="F2110" i="3"/>
  <c r="G2100" i="3"/>
  <c r="F2098" i="3"/>
  <c r="G2088" i="3"/>
  <c r="F2086" i="3"/>
  <c r="G2076" i="3"/>
  <c r="F2074" i="3"/>
  <c r="G2064" i="3"/>
  <c r="F2062" i="3"/>
  <c r="G2052" i="3"/>
  <c r="F2050" i="3"/>
  <c r="G2040" i="3"/>
  <c r="F2038" i="3"/>
  <c r="G2028" i="3"/>
  <c r="F2026" i="3"/>
  <c r="G2016" i="3"/>
  <c r="F2014" i="3"/>
  <c r="G2004" i="3"/>
  <c r="F2002" i="3"/>
  <c r="G1992" i="3"/>
  <c r="F1990" i="3"/>
  <c r="G1980" i="3"/>
  <c r="F1978" i="3"/>
  <c r="G1968" i="3"/>
  <c r="F1966" i="3"/>
  <c r="G1956" i="3"/>
  <c r="F1954" i="3"/>
  <c r="G1944" i="3"/>
  <c r="F1942" i="3"/>
  <c r="G1932" i="3"/>
  <c r="F1930" i="3"/>
  <c r="G1920" i="3"/>
  <c r="F1918" i="3"/>
  <c r="G1908" i="3"/>
  <c r="F1906" i="3"/>
  <c r="G1896" i="3"/>
  <c r="F1894" i="3"/>
  <c r="G1884" i="3"/>
  <c r="F1882" i="3"/>
  <c r="G1872" i="3"/>
  <c r="F1870" i="3"/>
  <c r="G1860" i="3"/>
  <c r="F1858" i="3"/>
  <c r="G1848" i="3"/>
  <c r="F1846" i="3"/>
  <c r="G1836" i="3"/>
  <c r="F1834" i="3"/>
  <c r="G1824" i="3"/>
  <c r="F1822" i="3"/>
  <c r="G1812" i="3"/>
  <c r="F1810" i="3"/>
  <c r="G1800" i="3"/>
  <c r="F1798" i="3"/>
  <c r="G1788" i="3"/>
  <c r="F1786" i="3"/>
  <c r="G1776" i="3"/>
  <c r="F1774" i="3"/>
  <c r="G1764" i="3"/>
  <c r="F1762" i="3"/>
  <c r="G1752" i="3"/>
  <c r="F1750" i="3"/>
  <c r="G1740" i="3"/>
  <c r="F1738" i="3"/>
  <c r="G1728" i="3"/>
  <c r="F1726" i="3"/>
  <c r="G1716" i="3"/>
  <c r="F1714" i="3"/>
  <c r="G1704" i="3"/>
  <c r="F1702" i="3"/>
  <c r="G1692" i="3"/>
  <c r="F1690" i="3"/>
  <c r="G1680" i="3"/>
  <c r="F1678" i="3"/>
  <c r="G1668" i="3"/>
  <c r="F1666" i="3"/>
  <c r="G1656" i="3"/>
  <c r="F1654" i="3"/>
  <c r="G1644" i="3"/>
  <c r="F1642" i="3"/>
  <c r="G1632" i="3"/>
  <c r="F1630" i="3"/>
  <c r="G1620" i="3"/>
  <c r="F1618" i="3"/>
  <c r="G1608" i="3"/>
  <c r="F1606" i="3"/>
  <c r="G1596" i="3"/>
  <c r="F1594" i="3"/>
  <c r="G1584" i="3"/>
  <c r="F1582" i="3"/>
  <c r="G1572" i="3"/>
  <c r="F1570" i="3"/>
  <c r="G1560" i="3"/>
  <c r="F1558" i="3"/>
  <c r="G1548" i="3"/>
  <c r="F1546" i="3"/>
  <c r="G1536" i="3"/>
  <c r="F1534" i="3"/>
  <c r="G1524" i="3"/>
  <c r="F1522" i="3"/>
  <c r="G1512" i="3"/>
  <c r="F1510" i="3"/>
  <c r="G1500" i="3"/>
  <c r="F1498" i="3"/>
  <c r="G1488" i="3"/>
  <c r="F1486" i="3"/>
  <c r="G1476" i="3"/>
  <c r="F1474" i="3"/>
  <c r="G1464" i="3"/>
  <c r="F1462" i="3"/>
  <c r="G1452" i="3"/>
  <c r="F1450" i="3"/>
  <c r="G1440" i="3"/>
  <c r="F1438" i="3"/>
  <c r="G1428" i="3"/>
  <c r="F1426" i="3"/>
  <c r="G1416" i="3"/>
  <c r="F1414" i="3"/>
  <c r="G1404" i="3"/>
  <c r="F1402" i="3"/>
  <c r="G1392" i="3"/>
  <c r="F1390" i="3"/>
  <c r="G1380" i="3"/>
  <c r="F1378" i="3"/>
  <c r="G1368" i="3"/>
  <c r="F1366" i="3"/>
  <c r="G1356" i="3"/>
  <c r="F1354" i="3"/>
  <c r="G1344" i="3"/>
  <c r="F1342" i="3"/>
  <c r="G1332" i="3"/>
  <c r="F1330" i="3"/>
  <c r="G1320" i="3"/>
  <c r="F1318" i="3"/>
  <c r="G1308" i="3"/>
  <c r="F1306" i="3"/>
  <c r="F1176" i="3"/>
  <c r="G1166" i="3"/>
  <c r="F1164" i="3"/>
  <c r="G1154" i="3"/>
  <c r="F1152" i="3"/>
  <c r="G1142" i="3"/>
  <c r="F1140" i="3"/>
  <c r="G1130" i="3"/>
  <c r="F1128" i="3"/>
  <c r="G1118" i="3"/>
  <c r="F1116" i="3"/>
  <c r="G1106" i="3"/>
  <c r="F1104" i="3"/>
  <c r="G1094" i="3"/>
  <c r="F1092" i="3"/>
  <c r="G1082" i="3"/>
  <c r="F1080" i="3"/>
  <c r="G1070" i="3"/>
  <c r="F1068" i="3"/>
  <c r="G1058" i="3"/>
  <c r="F1056" i="3"/>
  <c r="G1046" i="3"/>
  <c r="F1044" i="3"/>
  <c r="G1034" i="3"/>
  <c r="F1032" i="3"/>
  <c r="G1022" i="3"/>
  <c r="F1020" i="3"/>
  <c r="G1010" i="3"/>
  <c r="F1008" i="3"/>
  <c r="G998" i="3"/>
  <c r="F996" i="3"/>
  <c r="G986" i="3"/>
  <c r="F984" i="3"/>
  <c r="G974" i="3"/>
  <c r="F972" i="3"/>
  <c r="G962" i="3"/>
  <c r="F960" i="3"/>
  <c r="G950" i="3"/>
  <c r="F948" i="3"/>
  <c r="G938" i="3"/>
  <c r="F936" i="3"/>
  <c r="G926" i="3"/>
  <c r="F924" i="3"/>
  <c r="G914" i="3"/>
  <c r="F912" i="3"/>
  <c r="G902" i="3"/>
  <c r="F900" i="3"/>
  <c r="G890" i="3"/>
  <c r="F888" i="3"/>
  <c r="G878" i="3"/>
  <c r="F876" i="3"/>
  <c r="G866" i="3"/>
  <c r="F864" i="3"/>
  <c r="G854" i="3"/>
  <c r="F852" i="3"/>
  <c r="G842" i="3"/>
  <c r="F840" i="3"/>
  <c r="G830" i="3"/>
  <c r="F828" i="3"/>
  <c r="G818" i="3"/>
  <c r="F816" i="3"/>
  <c r="G2123" i="3"/>
  <c r="F2121" i="3"/>
  <c r="G2111" i="3"/>
  <c r="F2109" i="3"/>
  <c r="G2099" i="3"/>
  <c r="F2097" i="3"/>
  <c r="G2087" i="3"/>
  <c r="F2085" i="3"/>
  <c r="G2075" i="3"/>
  <c r="F2073" i="3"/>
  <c r="G2063" i="3"/>
  <c r="F2061" i="3"/>
  <c r="G2051" i="3"/>
  <c r="F2049" i="3"/>
  <c r="G2039" i="3"/>
  <c r="F2037" i="3"/>
  <c r="G2027" i="3"/>
  <c r="F2025" i="3"/>
  <c r="G2015" i="3"/>
  <c r="F2013" i="3"/>
  <c r="G2003" i="3"/>
  <c r="F2001" i="3"/>
  <c r="G1991" i="3"/>
  <c r="F1989" i="3"/>
  <c r="G1979" i="3"/>
  <c r="F1977" i="3"/>
  <c r="G1967" i="3"/>
  <c r="F1965" i="3"/>
  <c r="G1955" i="3"/>
  <c r="F1953" i="3"/>
  <c r="G1943" i="3"/>
  <c r="F1941" i="3"/>
  <c r="G1931" i="3"/>
  <c r="F1929" i="3"/>
  <c r="G1919" i="3"/>
  <c r="F1917" i="3"/>
  <c r="G1907" i="3"/>
  <c r="F1905" i="3"/>
  <c r="G1895" i="3"/>
  <c r="F1893" i="3"/>
  <c r="G1883" i="3"/>
  <c r="F1881" i="3"/>
  <c r="G1871" i="3"/>
  <c r="F1869" i="3"/>
  <c r="G1859" i="3"/>
  <c r="F1857" i="3"/>
  <c r="G1847" i="3"/>
  <c r="F1845" i="3"/>
  <c r="G1835" i="3"/>
  <c r="F1833" i="3"/>
  <c r="G1823" i="3"/>
  <c r="F1821" i="3"/>
  <c r="G1811" i="3"/>
  <c r="F1809" i="3"/>
  <c r="G1799" i="3"/>
  <c r="F1797" i="3"/>
  <c r="G1787" i="3"/>
  <c r="F1785" i="3"/>
  <c r="G1775" i="3"/>
  <c r="F1773" i="3"/>
  <c r="G1763" i="3"/>
  <c r="F1761" i="3"/>
  <c r="G1751" i="3"/>
  <c r="F1749" i="3"/>
  <c r="G1739" i="3"/>
  <c r="F1737" i="3"/>
  <c r="G1727" i="3"/>
  <c r="F1725" i="3"/>
  <c r="G1715" i="3"/>
  <c r="F1713" i="3"/>
  <c r="G1703" i="3"/>
  <c r="F1701" i="3"/>
  <c r="G1691" i="3"/>
  <c r="F1689" i="3"/>
  <c r="G1679" i="3"/>
  <c r="F1677" i="3"/>
  <c r="G1667" i="3"/>
  <c r="F1665" i="3"/>
  <c r="G1655" i="3"/>
  <c r="F1653" i="3"/>
  <c r="G1643" i="3"/>
  <c r="F1641" i="3"/>
  <c r="G1631" i="3"/>
  <c r="F1629" i="3"/>
  <c r="G1619" i="3"/>
  <c r="F1617" i="3"/>
  <c r="G1607" i="3"/>
  <c r="F1605" i="3"/>
  <c r="G1595" i="3"/>
  <c r="F1593" i="3"/>
  <c r="G1583" i="3"/>
  <c r="F1581" i="3"/>
  <c r="G1571" i="3"/>
  <c r="F1569" i="3"/>
  <c r="G1559" i="3"/>
  <c r="F1557" i="3"/>
  <c r="G1547" i="3"/>
  <c r="F1545" i="3"/>
  <c r="G1535" i="3"/>
  <c r="F1533" i="3"/>
  <c r="G1523" i="3"/>
  <c r="F1521" i="3"/>
  <c r="G1511" i="3"/>
  <c r="F1509" i="3"/>
  <c r="G1499" i="3"/>
  <c r="F1497" i="3"/>
  <c r="G1487" i="3"/>
  <c r="F1485" i="3"/>
  <c r="G1475" i="3"/>
  <c r="F1473" i="3"/>
  <c r="G1463" i="3"/>
  <c r="F1461" i="3"/>
  <c r="G1451" i="3"/>
  <c r="F1449" i="3"/>
  <c r="G1439" i="3"/>
  <c r="F1437" i="3"/>
  <c r="G1427" i="3"/>
  <c r="F1425" i="3"/>
  <c r="G1415" i="3"/>
  <c r="F1413" i="3"/>
  <c r="G1403" i="3"/>
  <c r="F1401" i="3"/>
  <c r="G1391" i="3"/>
  <c r="F1389" i="3"/>
  <c r="G1379" i="3"/>
  <c r="F1377" i="3"/>
  <c r="G1367" i="3"/>
  <c r="F1365" i="3"/>
  <c r="G1355" i="3"/>
  <c r="F1353" i="3"/>
  <c r="G1343" i="3"/>
  <c r="F1341" i="3"/>
  <c r="G1331" i="3"/>
  <c r="F1329" i="3"/>
  <c r="G1319" i="3"/>
  <c r="F1317" i="3"/>
  <c r="G1307" i="3"/>
  <c r="F1305" i="3"/>
  <c r="G1295" i="3"/>
  <c r="F1293" i="3"/>
  <c r="G1283" i="3"/>
  <c r="F1281" i="3"/>
  <c r="G1271" i="3"/>
  <c r="F1269" i="3"/>
  <c r="G1259" i="3"/>
  <c r="F1257" i="3"/>
  <c r="G1247" i="3"/>
  <c r="F1245" i="3"/>
  <c r="G1235" i="3"/>
  <c r="F1233" i="3"/>
  <c r="G1223" i="3"/>
  <c r="F1221" i="3"/>
  <c r="G1211" i="3"/>
  <c r="F1209" i="3"/>
  <c r="G2389" i="3"/>
  <c r="F2387" i="3"/>
  <c r="G2377" i="3"/>
  <c r="F2375" i="3"/>
  <c r="F2363" i="3"/>
  <c r="G2293" i="3"/>
  <c r="F2291" i="3"/>
  <c r="F2279" i="3"/>
  <c r="G2269" i="3"/>
  <c r="F2267" i="3"/>
  <c r="G2257" i="3"/>
  <c r="F2255" i="3"/>
  <c r="G2245" i="3"/>
  <c r="F2231" i="3"/>
  <c r="G2221" i="3"/>
  <c r="F2219" i="3"/>
  <c r="G2197" i="3"/>
  <c r="F2195" i="3"/>
  <c r="G2185" i="3"/>
  <c r="F2183" i="3"/>
  <c r="G2173" i="3"/>
  <c r="F2171" i="3"/>
  <c r="G2161" i="3"/>
  <c r="F2159" i="3"/>
  <c r="G2149" i="3"/>
  <c r="F2147" i="3"/>
  <c r="G2137" i="3"/>
  <c r="F2135" i="3"/>
  <c r="F2123" i="3"/>
  <c r="G2113" i="3"/>
  <c r="F2111" i="3"/>
  <c r="G2089" i="3"/>
  <c r="G2065" i="3"/>
  <c r="F2063" i="3"/>
  <c r="G2053" i="3"/>
  <c r="F2051" i="3"/>
  <c r="G2041" i="3"/>
  <c r="F2039" i="3"/>
  <c r="G2029" i="3"/>
  <c r="F2027" i="3"/>
  <c r="F2015" i="3"/>
  <c r="G2005" i="3"/>
  <c r="F2003" i="3"/>
  <c r="G1993" i="3"/>
  <c r="F1991" i="3"/>
  <c r="F1979" i="3"/>
  <c r="G1969" i="3"/>
  <c r="F1967" i="3"/>
  <c r="G1957" i="3"/>
  <c r="F1955" i="3"/>
  <c r="G1945" i="3"/>
  <c r="F1943" i="3"/>
  <c r="G1933" i="3"/>
  <c r="F1931" i="3"/>
  <c r="G1921" i="3"/>
  <c r="F1919" i="3"/>
  <c r="G1909" i="3"/>
  <c r="F1907" i="3"/>
  <c r="G1897" i="3"/>
  <c r="F1895" i="3"/>
  <c r="G1873" i="3"/>
  <c r="F1871" i="3"/>
  <c r="G1861" i="3"/>
  <c r="F1859" i="3"/>
  <c r="G1837" i="3"/>
  <c r="F1835" i="3"/>
  <c r="G1813" i="3"/>
  <c r="F1811" i="3"/>
  <c r="G1801" i="3"/>
  <c r="F1799" i="3"/>
  <c r="F2394" i="3"/>
  <c r="G2384" i="3"/>
  <c r="F2382" i="3"/>
  <c r="G2372" i="3"/>
  <c r="F2370" i="3"/>
  <c r="G2360" i="3"/>
  <c r="F2358" i="3"/>
  <c r="G2348" i="3"/>
  <c r="F2346" i="3"/>
  <c r="G2336" i="3"/>
  <c r="F2334" i="3"/>
  <c r="G2324" i="3"/>
  <c r="F2322" i="3"/>
  <c r="G2312" i="3"/>
  <c r="F2310" i="3"/>
  <c r="G2300" i="3"/>
  <c r="F2298" i="3"/>
  <c r="G2288" i="3"/>
  <c r="F2286" i="3"/>
  <c r="G2276" i="3"/>
  <c r="F2274" i="3"/>
  <c r="G2264" i="3"/>
  <c r="F2262" i="3"/>
  <c r="G2252" i="3"/>
  <c r="F2250" i="3"/>
  <c r="G2240" i="3"/>
  <c r="F2238" i="3"/>
  <c r="G2228" i="3"/>
  <c r="F2226" i="3"/>
  <c r="G2216" i="3"/>
  <c r="F2214" i="3"/>
  <c r="G2204" i="3"/>
  <c r="F2202" i="3"/>
  <c r="G2192" i="3"/>
  <c r="F2190" i="3"/>
  <c r="G2180" i="3"/>
  <c r="F2178" i="3"/>
  <c r="G2168" i="3"/>
  <c r="F2166" i="3"/>
  <c r="G2156" i="3"/>
  <c r="F2154" i="3"/>
  <c r="G2144" i="3"/>
  <c r="F2142" i="3"/>
  <c r="G2132" i="3"/>
  <c r="F2130" i="3"/>
  <c r="G2120" i="3"/>
  <c r="F2118" i="3"/>
  <c r="G2108" i="3"/>
  <c r="F2106" i="3"/>
  <c r="G2096" i="3"/>
  <c r="F2094" i="3"/>
  <c r="G2084" i="3"/>
  <c r="F2082" i="3"/>
  <c r="G2072" i="3"/>
  <c r="F2070" i="3"/>
  <c r="G2060" i="3"/>
  <c r="F2058" i="3"/>
  <c r="G2048" i="3"/>
  <c r="F2046" i="3"/>
  <c r="G2036" i="3"/>
  <c r="F2034" i="3"/>
  <c r="G2024" i="3"/>
  <c r="F2022" i="3"/>
  <c r="G2012" i="3"/>
  <c r="F2010" i="3"/>
  <c r="G2000" i="3"/>
  <c r="F1998" i="3"/>
  <c r="G1988" i="3"/>
  <c r="F1986" i="3"/>
  <c r="G1976" i="3"/>
  <c r="F1974" i="3"/>
  <c r="G1964" i="3"/>
  <c r="F1962" i="3"/>
  <c r="G1952" i="3"/>
  <c r="F1950" i="3"/>
  <c r="G1940" i="3"/>
  <c r="F1938" i="3"/>
  <c r="G1928" i="3"/>
  <c r="F1926" i="3"/>
  <c r="G1916" i="3"/>
  <c r="F1914" i="3"/>
  <c r="G1904" i="3"/>
  <c r="F1902" i="3"/>
  <c r="G1892" i="3"/>
  <c r="F1890" i="3"/>
  <c r="G1880" i="3"/>
  <c r="F1878" i="3"/>
  <c r="G1868" i="3"/>
  <c r="F1866" i="3"/>
  <c r="G1856" i="3"/>
  <c r="F1854" i="3"/>
  <c r="G1844" i="3"/>
  <c r="F1842" i="3"/>
  <c r="G1832" i="3"/>
  <c r="F1830" i="3"/>
  <c r="G1820" i="3"/>
  <c r="F1818" i="3"/>
  <c r="G1808" i="3"/>
  <c r="F1806" i="3"/>
  <c r="G1796" i="3"/>
  <c r="F1794" i="3"/>
  <c r="G1784" i="3"/>
  <c r="F1782" i="3"/>
  <c r="G1772" i="3"/>
  <c r="F1770" i="3"/>
  <c r="G1760" i="3"/>
  <c r="F1758" i="3"/>
  <c r="G1748" i="3"/>
  <c r="F1746" i="3"/>
  <c r="G1736" i="3"/>
  <c r="F1734" i="3"/>
  <c r="G1724" i="3"/>
  <c r="F1722" i="3"/>
  <c r="F2221" i="3"/>
  <c r="G2211" i="3"/>
  <c r="F2209" i="3"/>
  <c r="G2199" i="3"/>
  <c r="F2197" i="3"/>
  <c r="G2187" i="3"/>
  <c r="F2185" i="3"/>
  <c r="G2175" i="3"/>
  <c r="F2173" i="3"/>
  <c r="G2163" i="3"/>
  <c r="F2161" i="3"/>
  <c r="G2151" i="3"/>
  <c r="F2149" i="3"/>
  <c r="G2139" i="3"/>
  <c r="F2137" i="3"/>
  <c r="G2127" i="3"/>
  <c r="F2125" i="3"/>
  <c r="G2115" i="3"/>
  <c r="F2113" i="3"/>
  <c r="G2103" i="3"/>
  <c r="F2101" i="3"/>
  <c r="G2091" i="3"/>
  <c r="F2089" i="3"/>
  <c r="G2079" i="3"/>
  <c r="F2077" i="3"/>
  <c r="G2067" i="3"/>
  <c r="F2065" i="3"/>
  <c r="G2055" i="3"/>
  <c r="F2053" i="3"/>
  <c r="G2043" i="3"/>
  <c r="F2041" i="3"/>
  <c r="G2031" i="3"/>
  <c r="F2029" i="3"/>
  <c r="G2019" i="3"/>
  <c r="F2017" i="3"/>
  <c r="G2007" i="3"/>
  <c r="F2005" i="3"/>
  <c r="G1995" i="3"/>
  <c r="F1993" i="3"/>
  <c r="G1983" i="3"/>
  <c r="F1981" i="3"/>
  <c r="G1971" i="3"/>
  <c r="F1969" i="3"/>
  <c r="G1959" i="3"/>
  <c r="F1957" i="3"/>
  <c r="G1947" i="3"/>
  <c r="F1945" i="3"/>
  <c r="G1935" i="3"/>
  <c r="F1933" i="3"/>
  <c r="G1923" i="3"/>
  <c r="F1921" i="3"/>
  <c r="G1911" i="3"/>
  <c r="F1909" i="3"/>
  <c r="G1899" i="3"/>
  <c r="F1897" i="3"/>
  <c r="G1887" i="3"/>
  <c r="F1885" i="3"/>
  <c r="G1875" i="3"/>
  <c r="F1873" i="3"/>
  <c r="G1863" i="3"/>
  <c r="F1861" i="3"/>
  <c r="G1851" i="3"/>
  <c r="F1849" i="3"/>
  <c r="G1839" i="3"/>
  <c r="F1837" i="3"/>
  <c r="G1827" i="3"/>
  <c r="F1825" i="3"/>
  <c r="G1815" i="3"/>
  <c r="F1813" i="3"/>
  <c r="G1803" i="3"/>
  <c r="F1801" i="3"/>
  <c r="G1791" i="3"/>
  <c r="F1789" i="3"/>
  <c r="G1779" i="3"/>
  <c r="F1777" i="3"/>
  <c r="G1767" i="3"/>
  <c r="F1765" i="3"/>
  <c r="G1755" i="3"/>
  <c r="F1753" i="3"/>
  <c r="G1743" i="3"/>
  <c r="F1741" i="3"/>
  <c r="G1731" i="3"/>
  <c r="F1729" i="3"/>
  <c r="G1719" i="3"/>
  <c r="F1717" i="3"/>
  <c r="G1707" i="3"/>
  <c r="F1705" i="3"/>
  <c r="G1695" i="3"/>
  <c r="F1693" i="3"/>
  <c r="G1683" i="3"/>
  <c r="F1681" i="3"/>
  <c r="G1671" i="3"/>
  <c r="F1669" i="3"/>
  <c r="G1659" i="3"/>
  <c r="F1657" i="3"/>
  <c r="G1647" i="3"/>
  <c r="F1645" i="3"/>
  <c r="G1635" i="3"/>
  <c r="F1633" i="3"/>
  <c r="G1623" i="3"/>
  <c r="F1621" i="3"/>
  <c r="G1611" i="3"/>
  <c r="F1609" i="3"/>
  <c r="G1599" i="3"/>
  <c r="F1597" i="3"/>
  <c r="G1587" i="3"/>
  <c r="F1585" i="3"/>
  <c r="G1575" i="3"/>
  <c r="F1573" i="3"/>
  <c r="G1563" i="3"/>
  <c r="F1561" i="3"/>
  <c r="G1551" i="3"/>
  <c r="F1549" i="3"/>
  <c r="G1539" i="3"/>
  <c r="F1537" i="3"/>
  <c r="G1527" i="3"/>
  <c r="F1525" i="3"/>
  <c r="G1515" i="3"/>
  <c r="F1513" i="3"/>
  <c r="G1503" i="3"/>
  <c r="F1501" i="3"/>
  <c r="G1491" i="3"/>
  <c r="F1489" i="3"/>
  <c r="G1479" i="3"/>
  <c r="F1477" i="3"/>
  <c r="G1467" i="3"/>
  <c r="F1465" i="3"/>
  <c r="G1455" i="3"/>
  <c r="F1453" i="3"/>
  <c r="G1443" i="3"/>
  <c r="F1441" i="3"/>
  <c r="G1431" i="3"/>
  <c r="F1429" i="3"/>
  <c r="G1419" i="3"/>
  <c r="F1417" i="3"/>
  <c r="G1407" i="3"/>
  <c r="F1405" i="3"/>
  <c r="G1395" i="3"/>
  <c r="F1393" i="3"/>
  <c r="G1383" i="3"/>
  <c r="F1381" i="3"/>
  <c r="G1371" i="3"/>
  <c r="F1369" i="3"/>
  <c r="G1359" i="3"/>
  <c r="F1357" i="3"/>
  <c r="G1347" i="3"/>
  <c r="F1345" i="3"/>
  <c r="G1335" i="3"/>
  <c r="F1333" i="3"/>
  <c r="G1323" i="3"/>
  <c r="F1321" i="3"/>
  <c r="G1311" i="3"/>
  <c r="F1309" i="3"/>
  <c r="G1299" i="3"/>
  <c r="F1297" i="3"/>
  <c r="G1287" i="3"/>
  <c r="F1285" i="3"/>
  <c r="G1275" i="3"/>
  <c r="F1273" i="3"/>
  <c r="G1263" i="3"/>
  <c r="F1261" i="3"/>
  <c r="G1251" i="3"/>
  <c r="F1249" i="3"/>
  <c r="G1239" i="3"/>
  <c r="F1237" i="3"/>
  <c r="G1227" i="3"/>
  <c r="F1225" i="3"/>
  <c r="G1215" i="3"/>
  <c r="F1213" i="3"/>
  <c r="G1203" i="3"/>
  <c r="F4745" i="3"/>
  <c r="F4721" i="3"/>
  <c r="G4699" i="3"/>
  <c r="F4697" i="3"/>
  <c r="G1301" i="3"/>
  <c r="F1287" i="3"/>
  <c r="F1275" i="3"/>
  <c r="G1265" i="3"/>
  <c r="F1263" i="3"/>
  <c r="F1227" i="3"/>
  <c r="G1193" i="3"/>
  <c r="F1191" i="3"/>
  <c r="F1179" i="3"/>
  <c r="F1167" i="3"/>
  <c r="G1157" i="3"/>
  <c r="F1155" i="3"/>
  <c r="G1133" i="3"/>
  <c r="F1131" i="3"/>
  <c r="G1121" i="3"/>
  <c r="F1119" i="3"/>
  <c r="F1107" i="3"/>
  <c r="G1097" i="3"/>
  <c r="F1095" i="3"/>
  <c r="G1073" i="3"/>
  <c r="F1071" i="3"/>
  <c r="F1059" i="3"/>
  <c r="F1047" i="3"/>
  <c r="F1035" i="3"/>
  <c r="F1023" i="3"/>
  <c r="F999" i="3"/>
  <c r="F975" i="3"/>
  <c r="G965" i="3"/>
  <c r="F963" i="3"/>
  <c r="F951" i="3"/>
  <c r="F939" i="3"/>
  <c r="F927" i="3"/>
  <c r="G917" i="3"/>
  <c r="F915" i="3"/>
  <c r="F903" i="3"/>
  <c r="F891" i="3"/>
  <c r="F855" i="3"/>
  <c r="F843" i="3"/>
  <c r="G833" i="3"/>
  <c r="F831" i="3"/>
  <c r="F819" i="3"/>
  <c r="F807" i="3"/>
  <c r="F795" i="3"/>
  <c r="G785" i="3"/>
  <c r="F783" i="3"/>
  <c r="F771" i="3"/>
  <c r="G761" i="3"/>
  <c r="F759" i="3"/>
  <c r="F747" i="3"/>
  <c r="F735" i="3"/>
  <c r="G725" i="3"/>
  <c r="F723" i="3"/>
  <c r="F711" i="3"/>
  <c r="F699" i="3"/>
  <c r="F687" i="3"/>
  <c r="F675" i="3"/>
  <c r="F663" i="3"/>
  <c r="G653" i="3"/>
  <c r="F651" i="3"/>
  <c r="G641" i="3"/>
  <c r="F639" i="3"/>
  <c r="G1296" i="3"/>
  <c r="F1294" i="3"/>
  <c r="G1284" i="3"/>
  <c r="F1282" i="3"/>
  <c r="G1272" i="3"/>
  <c r="F1270" i="3"/>
  <c r="G1260" i="3"/>
  <c r="F1258" i="3"/>
  <c r="G1248" i="3"/>
  <c r="F1246" i="3"/>
  <c r="G1236" i="3"/>
  <c r="F1234" i="3"/>
  <c r="G1224" i="3"/>
  <c r="F1222" i="3"/>
  <c r="G1212" i="3"/>
  <c r="F1210" i="3"/>
  <c r="G1200" i="3"/>
  <c r="F1198" i="3"/>
  <c r="G1188" i="3"/>
  <c r="F1186" i="3"/>
  <c r="G1176" i="3"/>
  <c r="F1174" i="3"/>
  <c r="G1164" i="3"/>
  <c r="F1162" i="3"/>
  <c r="G1152" i="3"/>
  <c r="F1150" i="3"/>
  <c r="G1140" i="3"/>
  <c r="F1138" i="3"/>
  <c r="G1128" i="3"/>
  <c r="F1126" i="3"/>
  <c r="G1116" i="3"/>
  <c r="F1114" i="3"/>
  <c r="G1104" i="3"/>
  <c r="F1102" i="3"/>
  <c r="G1092" i="3"/>
  <c r="F1090" i="3"/>
  <c r="G1080" i="3"/>
  <c r="F1078" i="3"/>
  <c r="G1068" i="3"/>
  <c r="F1066" i="3"/>
  <c r="G1056" i="3"/>
  <c r="F1054" i="3"/>
  <c r="G1044" i="3"/>
  <c r="F1042" i="3"/>
  <c r="G1032" i="3"/>
  <c r="F1030" i="3"/>
  <c r="G1020" i="3"/>
  <c r="F1018" i="3"/>
  <c r="G1008" i="3"/>
  <c r="F1006" i="3"/>
  <c r="G996" i="3"/>
  <c r="F994" i="3"/>
  <c r="G984" i="3"/>
  <c r="F982" i="3"/>
  <c r="G972" i="3"/>
  <c r="F970" i="3"/>
  <c r="G960" i="3"/>
  <c r="F958" i="3"/>
  <c r="G948" i="3"/>
  <c r="F946" i="3"/>
  <c r="G936" i="3"/>
  <c r="F934" i="3"/>
  <c r="G924" i="3"/>
  <c r="F922" i="3"/>
  <c r="G912" i="3"/>
  <c r="F910" i="3"/>
  <c r="G900" i="3"/>
  <c r="F898" i="3"/>
  <c r="G888" i="3"/>
  <c r="F886" i="3"/>
  <c r="G876" i="3"/>
  <c r="F874" i="3"/>
  <c r="G864" i="3"/>
  <c r="F862" i="3"/>
  <c r="G852" i="3"/>
  <c r="F850" i="3"/>
  <c r="G840" i="3"/>
  <c r="F838" i="3"/>
  <c r="G828" i="3"/>
  <c r="F826" i="3"/>
  <c r="G816" i="3"/>
  <c r="F814" i="3"/>
  <c r="G804" i="3"/>
  <c r="F802" i="3"/>
  <c r="G792" i="3"/>
  <c r="F790" i="3"/>
  <c r="G780" i="3"/>
  <c r="F778" i="3"/>
  <c r="G768" i="3"/>
  <c r="F766" i="3"/>
  <c r="G756" i="3"/>
  <c r="F754" i="3"/>
  <c r="G744" i="3"/>
  <c r="F742" i="3"/>
  <c r="G732" i="3"/>
  <c r="F730" i="3"/>
  <c r="G720" i="3"/>
  <c r="F718" i="3"/>
  <c r="G708" i="3"/>
  <c r="F706" i="3"/>
  <c r="G696" i="3"/>
  <c r="F694" i="3"/>
  <c r="G684" i="3"/>
  <c r="F682" i="3"/>
  <c r="G672" i="3"/>
  <c r="F670" i="3"/>
  <c r="G660" i="3"/>
  <c r="F658" i="3"/>
  <c r="G648" i="3"/>
  <c r="F646" i="3"/>
  <c r="G636" i="3"/>
  <c r="F634" i="3"/>
  <c r="G624" i="3"/>
  <c r="F622" i="3"/>
  <c r="G612" i="3"/>
  <c r="F610" i="3"/>
  <c r="G600" i="3"/>
  <c r="F598" i="3"/>
  <c r="G588" i="3"/>
  <c r="F586" i="3"/>
  <c r="G576" i="3"/>
  <c r="F574" i="3"/>
  <c r="G564" i="3"/>
  <c r="F562" i="3"/>
  <c r="G552" i="3"/>
  <c r="F550" i="3"/>
  <c r="G540" i="3"/>
  <c r="F538" i="3"/>
  <c r="G528" i="3"/>
  <c r="F526" i="3"/>
  <c r="G516" i="3"/>
  <c r="F514" i="3"/>
  <c r="G504" i="3"/>
  <c r="F502" i="3"/>
  <c r="G492" i="3"/>
  <c r="F490" i="3"/>
  <c r="G480" i="3"/>
  <c r="F478" i="3"/>
  <c r="F4601" i="3"/>
  <c r="F4589" i="3"/>
  <c r="F4577" i="3"/>
  <c r="F4565" i="3"/>
  <c r="F4493" i="3"/>
  <c r="F4481" i="3"/>
  <c r="F4469" i="3"/>
  <c r="F4445" i="3"/>
  <c r="F4433" i="3"/>
  <c r="F4421" i="3"/>
  <c r="G4399" i="3"/>
  <c r="F4397" i="3"/>
  <c r="G4387" i="3"/>
  <c r="F4385" i="3"/>
  <c r="F4373" i="3"/>
  <c r="F4361" i="3"/>
  <c r="G4351" i="3"/>
  <c r="F4349" i="3"/>
  <c r="F4337" i="3"/>
  <c r="F4289" i="3"/>
  <c r="F4265" i="3"/>
  <c r="F4253" i="3"/>
  <c r="F4241" i="3"/>
  <c r="F4205" i="3"/>
  <c r="F4193" i="3"/>
  <c r="F4181" i="3"/>
  <c r="F4169" i="3"/>
  <c r="F4133" i="3"/>
  <c r="F4109" i="3"/>
  <c r="G4099" i="3"/>
  <c r="F4097" i="3"/>
  <c r="F4085" i="3"/>
  <c r="F4073" i="3"/>
  <c r="G4051" i="3"/>
  <c r="F4049" i="3"/>
  <c r="F4037" i="3"/>
  <c r="F4013" i="3"/>
  <c r="F3989" i="3"/>
  <c r="G3919" i="3"/>
  <c r="F3917" i="3"/>
  <c r="G3907" i="3"/>
  <c r="F3905" i="3"/>
  <c r="G3895" i="3"/>
  <c r="F3893" i="3"/>
  <c r="G271" i="3"/>
  <c r="F269" i="3"/>
  <c r="G259" i="3"/>
  <c r="F257" i="3"/>
  <c r="G247" i="3"/>
  <c r="F245" i="3"/>
  <c r="G235" i="3"/>
  <c r="F233" i="3"/>
  <c r="G223" i="3"/>
  <c r="F221" i="3"/>
  <c r="G211" i="3"/>
  <c r="F209" i="3"/>
  <c r="G199" i="3"/>
  <c r="F197" i="3"/>
  <c r="G187" i="3"/>
  <c r="F185" i="3"/>
  <c r="G175" i="3"/>
  <c r="F173" i="3"/>
  <c r="G163" i="3"/>
  <c r="F161" i="3"/>
  <c r="G151" i="3"/>
  <c r="F149" i="3"/>
  <c r="G139" i="3"/>
  <c r="F137" i="3"/>
  <c r="G127" i="3"/>
  <c r="F125" i="3"/>
  <c r="G115" i="3"/>
  <c r="F113" i="3"/>
  <c r="G103" i="3"/>
  <c r="F101" i="3"/>
  <c r="G91" i="3"/>
  <c r="F89" i="3"/>
  <c r="G79" i="3"/>
  <c r="F4730" i="3"/>
  <c r="F4706" i="3"/>
  <c r="G4600" i="3"/>
  <c r="G4588" i="3"/>
  <c r="G4564" i="3"/>
  <c r="G4552" i="3"/>
  <c r="G4528" i="3"/>
  <c r="G4516" i="3"/>
  <c r="G4492" i="3"/>
  <c r="G4480" i="3"/>
  <c r="G4432" i="3"/>
  <c r="G4408" i="3"/>
  <c r="G4288" i="3"/>
  <c r="G806" i="3"/>
  <c r="F804" i="3"/>
  <c r="G794" i="3"/>
  <c r="F792" i="3"/>
  <c r="G782" i="3"/>
  <c r="F780" i="3"/>
  <c r="G770" i="3"/>
  <c r="F768" i="3"/>
  <c r="G758" i="3"/>
  <c r="F756" i="3"/>
  <c r="G746" i="3"/>
  <c r="F744" i="3"/>
  <c r="G734" i="3"/>
  <c r="F732" i="3"/>
  <c r="G722" i="3"/>
  <c r="F720" i="3"/>
  <c r="G710" i="3"/>
  <c r="F708" i="3"/>
  <c r="G698" i="3"/>
  <c r="F696" i="3"/>
  <c r="G686" i="3"/>
  <c r="F684" i="3"/>
  <c r="G674" i="3"/>
  <c r="F672" i="3"/>
  <c r="G662" i="3"/>
  <c r="F660" i="3"/>
  <c r="G650" i="3"/>
  <c r="F648" i="3"/>
  <c r="G638" i="3"/>
  <c r="F636" i="3"/>
  <c r="G626" i="3"/>
  <c r="F624" i="3"/>
  <c r="G614" i="3"/>
  <c r="F612" i="3"/>
  <c r="G602" i="3"/>
  <c r="F600" i="3"/>
  <c r="G590" i="3"/>
  <c r="F588" i="3"/>
  <c r="G578" i="3"/>
  <c r="F576" i="3"/>
  <c r="G566" i="3"/>
  <c r="F564" i="3"/>
  <c r="G554" i="3"/>
  <c r="F552" i="3"/>
  <c r="G542" i="3"/>
  <c r="F540" i="3"/>
  <c r="G530" i="3"/>
  <c r="F528" i="3"/>
  <c r="G518" i="3"/>
  <c r="F516" i="3"/>
  <c r="G506" i="3"/>
  <c r="F504" i="3"/>
  <c r="G494" i="3"/>
  <c r="F492" i="3"/>
  <c r="G482" i="3"/>
  <c r="F480" i="3"/>
  <c r="G470" i="3"/>
  <c r="F468" i="3"/>
  <c r="G458" i="3"/>
  <c r="F456" i="3"/>
  <c r="G446" i="3"/>
  <c r="F444" i="3"/>
  <c r="G434" i="3"/>
  <c r="F432" i="3"/>
  <c r="G422" i="3"/>
  <c r="F420" i="3"/>
  <c r="G410" i="3"/>
  <c r="F408" i="3"/>
  <c r="G398" i="3"/>
  <c r="F396" i="3"/>
  <c r="G386" i="3"/>
  <c r="F384" i="3"/>
  <c r="G374" i="3"/>
  <c r="F372" i="3"/>
  <c r="G362" i="3"/>
  <c r="F360" i="3"/>
  <c r="G350" i="3"/>
  <c r="F348" i="3"/>
  <c r="G338" i="3"/>
  <c r="F336" i="3"/>
  <c r="G326" i="3"/>
  <c r="F324" i="3"/>
  <c r="G314" i="3"/>
  <c r="F312" i="3"/>
  <c r="G302" i="3"/>
  <c r="F300" i="3"/>
  <c r="G290" i="3"/>
  <c r="F288" i="3"/>
  <c r="G278" i="3"/>
  <c r="F276" i="3"/>
  <c r="G266" i="3"/>
  <c r="F264" i="3"/>
  <c r="G254" i="3"/>
  <c r="F252" i="3"/>
  <c r="G242" i="3"/>
  <c r="F240" i="3"/>
  <c r="G230" i="3"/>
  <c r="F228" i="3"/>
  <c r="G218" i="3"/>
  <c r="F216" i="3"/>
  <c r="G206" i="3"/>
  <c r="F204" i="3"/>
  <c r="G194" i="3"/>
  <c r="F192" i="3"/>
  <c r="G182" i="3"/>
  <c r="F180" i="3"/>
  <c r="G170" i="3"/>
  <c r="F168" i="3"/>
  <c r="G158" i="3"/>
  <c r="F156" i="3"/>
  <c r="G146" i="3"/>
  <c r="F144" i="3"/>
  <c r="G134" i="3"/>
  <c r="F132" i="3"/>
  <c r="G122" i="3"/>
  <c r="F120" i="3"/>
  <c r="G110" i="3"/>
  <c r="F108" i="3"/>
  <c r="G98" i="3"/>
  <c r="F96" i="3"/>
  <c r="G86" i="3"/>
  <c r="F84" i="3"/>
  <c r="G74" i="3"/>
  <c r="F72" i="3"/>
  <c r="G62" i="3"/>
  <c r="F60" i="3"/>
  <c r="G50" i="3"/>
  <c r="F48" i="3"/>
  <c r="G38" i="3"/>
  <c r="F36" i="3"/>
  <c r="G26" i="3"/>
  <c r="F24" i="3"/>
  <c r="G14" i="3"/>
  <c r="F12" i="3"/>
  <c r="G4751" i="3"/>
  <c r="F4749" i="3"/>
  <c r="G4739" i="3"/>
  <c r="F4737" i="3"/>
  <c r="G4727" i="3"/>
  <c r="F4725" i="3"/>
  <c r="G4715" i="3"/>
  <c r="F4713" i="3"/>
  <c r="G4703" i="3"/>
  <c r="F4701" i="3"/>
  <c r="G4691" i="3"/>
  <c r="F4689" i="3"/>
  <c r="G4679" i="3"/>
  <c r="F4677" i="3"/>
  <c r="G4667" i="3"/>
  <c r="F4665" i="3"/>
  <c r="G4655" i="3"/>
  <c r="F4653" i="3"/>
  <c r="G4643" i="3"/>
  <c r="F4641" i="3"/>
  <c r="G4631" i="3"/>
  <c r="F4629" i="3"/>
  <c r="G4619" i="3"/>
  <c r="F4617" i="3"/>
  <c r="G4607" i="3"/>
  <c r="F4605" i="3"/>
  <c r="G4595" i="3"/>
  <c r="F4593" i="3"/>
  <c r="G4583" i="3"/>
  <c r="F4581" i="3"/>
  <c r="G4571" i="3"/>
  <c r="F4569" i="3"/>
  <c r="G4559" i="3"/>
  <c r="F4557" i="3"/>
  <c r="G4547" i="3"/>
  <c r="F4545" i="3"/>
  <c r="G4535" i="3"/>
  <c r="F4533" i="3"/>
  <c r="G4523" i="3"/>
  <c r="F4521" i="3"/>
  <c r="G4511" i="3"/>
  <c r="F4509" i="3"/>
  <c r="G4499" i="3"/>
  <c r="F4497" i="3"/>
  <c r="G1204" i="3"/>
  <c r="F1202" i="3"/>
  <c r="G1192" i="3"/>
  <c r="F1190" i="3"/>
  <c r="G1180" i="3"/>
  <c r="F1178" i="3"/>
  <c r="G1168" i="3"/>
  <c r="F1166" i="3"/>
  <c r="G1156" i="3"/>
  <c r="F1154" i="3"/>
  <c r="G1144" i="3"/>
  <c r="F1142" i="3"/>
  <c r="G1132" i="3"/>
  <c r="F1130" i="3"/>
  <c r="G1120" i="3"/>
  <c r="F1118" i="3"/>
  <c r="G1108" i="3"/>
  <c r="F1106" i="3"/>
  <c r="G1096" i="3"/>
  <c r="F1094" i="3"/>
  <c r="G1084" i="3"/>
  <c r="F1082" i="3"/>
  <c r="G1072" i="3"/>
  <c r="F1070" i="3"/>
  <c r="G1060" i="3"/>
  <c r="F1058" i="3"/>
  <c r="G1048" i="3"/>
  <c r="F1046" i="3"/>
  <c r="G1036" i="3"/>
  <c r="F1034" i="3"/>
  <c r="G1024" i="3"/>
  <c r="F1022" i="3"/>
  <c r="G1012" i="3"/>
  <c r="F1010" i="3"/>
  <c r="G1000" i="3"/>
  <c r="F998" i="3"/>
  <c r="G988" i="3"/>
  <c r="F986" i="3"/>
  <c r="G976" i="3"/>
  <c r="F974" i="3"/>
  <c r="G964" i="3"/>
  <c r="F962" i="3"/>
  <c r="G952" i="3"/>
  <c r="F950" i="3"/>
  <c r="G940" i="3"/>
  <c r="F938" i="3"/>
  <c r="G928" i="3"/>
  <c r="F926" i="3"/>
  <c r="G916" i="3"/>
  <c r="F914" i="3"/>
  <c r="G904" i="3"/>
  <c r="F902" i="3"/>
  <c r="G892" i="3"/>
  <c r="F890" i="3"/>
  <c r="G880" i="3"/>
  <c r="F878" i="3"/>
  <c r="G868" i="3"/>
  <c r="F866" i="3"/>
  <c r="G856" i="3"/>
  <c r="F854" i="3"/>
  <c r="G844" i="3"/>
  <c r="F842" i="3"/>
  <c r="G832" i="3"/>
  <c r="F830" i="3"/>
  <c r="G820" i="3"/>
  <c r="F818" i="3"/>
  <c r="G808" i="3"/>
  <c r="F806" i="3"/>
  <c r="G796" i="3"/>
  <c r="F794" i="3"/>
  <c r="G784" i="3"/>
  <c r="F782" i="3"/>
  <c r="G772" i="3"/>
  <c r="F770" i="3"/>
  <c r="G760" i="3"/>
  <c r="F758" i="3"/>
  <c r="G748" i="3"/>
  <c r="F746" i="3"/>
  <c r="G736" i="3"/>
  <c r="F734" i="3"/>
  <c r="G724" i="3"/>
  <c r="F722" i="3"/>
  <c r="G712" i="3"/>
  <c r="F710" i="3"/>
  <c r="G700" i="3"/>
  <c r="F698" i="3"/>
  <c r="G688" i="3"/>
  <c r="F686" i="3"/>
  <c r="G676" i="3"/>
  <c r="F674" i="3"/>
  <c r="G664" i="3"/>
  <c r="F662" i="3"/>
  <c r="G652" i="3"/>
  <c r="F650" i="3"/>
  <c r="G640" i="3"/>
  <c r="F638" i="3"/>
  <c r="G628" i="3"/>
  <c r="F626" i="3"/>
  <c r="G616" i="3"/>
  <c r="F614" i="3"/>
  <c r="G604" i="3"/>
  <c r="F602" i="3"/>
  <c r="G592" i="3"/>
  <c r="F590" i="3"/>
  <c r="G580" i="3"/>
  <c r="F578" i="3"/>
  <c r="G568" i="3"/>
  <c r="F566" i="3"/>
  <c r="G556" i="3"/>
  <c r="F554" i="3"/>
  <c r="G544" i="3"/>
  <c r="F542" i="3"/>
  <c r="G532" i="3"/>
  <c r="F530" i="3"/>
  <c r="G520" i="3"/>
  <c r="F518" i="3"/>
  <c r="G508" i="3"/>
  <c r="F506" i="3"/>
  <c r="G496" i="3"/>
  <c r="F494" i="3"/>
  <c r="G484" i="3"/>
  <c r="F482" i="3"/>
  <c r="G472" i="3"/>
  <c r="F470" i="3"/>
  <c r="G460" i="3"/>
  <c r="F458" i="3"/>
  <c r="G448" i="3"/>
  <c r="F446" i="3"/>
  <c r="G436" i="3"/>
  <c r="F434" i="3"/>
  <c r="G424" i="3"/>
  <c r="F422" i="3"/>
  <c r="G412" i="3"/>
  <c r="F410" i="3"/>
  <c r="G400" i="3"/>
  <c r="F398" i="3"/>
  <c r="G388" i="3"/>
  <c r="F386" i="3"/>
  <c r="G376" i="3"/>
  <c r="F374" i="3"/>
  <c r="G364" i="3"/>
  <c r="F362" i="3"/>
  <c r="G352" i="3"/>
  <c r="F350" i="3"/>
  <c r="G340" i="3"/>
  <c r="F338" i="3"/>
  <c r="G328" i="3"/>
  <c r="F326" i="3"/>
  <c r="G316" i="3"/>
  <c r="F314" i="3"/>
  <c r="G304" i="3"/>
  <c r="F302" i="3"/>
  <c r="G292" i="3"/>
  <c r="F290" i="3"/>
  <c r="G280" i="3"/>
  <c r="F278" i="3"/>
  <c r="G268" i="3"/>
  <c r="F266" i="3"/>
  <c r="G256" i="3"/>
  <c r="F254" i="3"/>
  <c r="G244" i="3"/>
  <c r="F242" i="3"/>
  <c r="G232" i="3"/>
  <c r="F230" i="3"/>
  <c r="G220" i="3"/>
  <c r="F218" i="3"/>
  <c r="G208" i="3"/>
  <c r="F206" i="3"/>
  <c r="G196" i="3"/>
  <c r="F194" i="3"/>
  <c r="G184" i="3"/>
  <c r="F182" i="3"/>
  <c r="G172" i="3"/>
  <c r="F170" i="3"/>
  <c r="G160" i="3"/>
  <c r="F158" i="3"/>
  <c r="G148" i="3"/>
  <c r="F146" i="3"/>
  <c r="G136" i="3"/>
  <c r="F134" i="3"/>
  <c r="G124" i="3"/>
  <c r="F122" i="3"/>
  <c r="G112" i="3"/>
  <c r="F110" i="3"/>
  <c r="G100" i="3"/>
  <c r="F98" i="3"/>
  <c r="G88" i="3"/>
  <c r="F86" i="3"/>
  <c r="G76" i="3"/>
  <c r="F74" i="3"/>
  <c r="G64" i="3"/>
  <c r="F62" i="3"/>
  <c r="G52" i="3"/>
  <c r="F50" i="3"/>
  <c r="G40" i="3"/>
  <c r="F38" i="3"/>
  <c r="G28" i="3"/>
  <c r="F26" i="3"/>
  <c r="G16" i="3"/>
  <c r="F14" i="3"/>
  <c r="G4" i="3"/>
  <c r="F4751" i="3"/>
  <c r="G4741" i="3"/>
  <c r="G4729" i="3"/>
  <c r="F4727" i="3"/>
  <c r="G4717" i="3"/>
  <c r="F4715" i="3"/>
  <c r="G4705" i="3"/>
  <c r="F4703" i="3"/>
  <c r="G4693" i="3"/>
  <c r="F4691" i="3"/>
  <c r="G4681" i="3"/>
  <c r="F4679" i="3"/>
  <c r="G4669" i="3"/>
  <c r="F4667" i="3"/>
  <c r="G4657" i="3"/>
  <c r="F4655" i="3"/>
  <c r="G4645" i="3"/>
  <c r="F4643" i="3"/>
  <c r="G4633" i="3"/>
  <c r="F4631" i="3"/>
  <c r="G4621" i="3"/>
  <c r="F4619" i="3"/>
  <c r="G4609" i="3"/>
  <c r="F4607" i="3"/>
  <c r="G4597" i="3"/>
  <c r="F4595" i="3"/>
  <c r="G4585" i="3"/>
  <c r="F4583" i="3"/>
  <c r="G4573" i="3"/>
  <c r="F4571" i="3"/>
  <c r="G4561" i="3"/>
  <c r="F4559" i="3"/>
  <c r="G4549" i="3"/>
  <c r="F4547" i="3"/>
  <c r="G4537" i="3"/>
  <c r="F4535" i="3"/>
  <c r="G4525" i="3"/>
  <c r="F4523" i="3"/>
  <c r="G4513" i="3"/>
  <c r="F4511" i="3"/>
  <c r="G4501" i="3"/>
  <c r="F4499" i="3"/>
  <c r="G4489" i="3"/>
  <c r="F4487" i="3"/>
  <c r="G4477" i="3"/>
  <c r="F4475" i="3"/>
  <c r="G4465" i="3"/>
  <c r="F4463" i="3"/>
  <c r="G4453" i="3"/>
  <c r="F4451" i="3"/>
  <c r="G4441" i="3"/>
  <c r="F4439" i="3"/>
  <c r="G4429" i="3"/>
  <c r="F4427" i="3"/>
  <c r="G4417" i="3"/>
  <c r="F4415" i="3"/>
  <c r="G4405" i="3"/>
  <c r="F4403" i="3"/>
  <c r="G4393" i="3"/>
  <c r="F4391" i="3"/>
  <c r="G4381" i="3"/>
  <c r="F4379" i="3"/>
  <c r="G4369" i="3"/>
  <c r="F4367" i="3"/>
  <c r="G4357" i="3"/>
  <c r="F4355" i="3"/>
  <c r="G4345" i="3"/>
  <c r="F4343" i="3"/>
  <c r="G4333" i="3"/>
  <c r="F4331" i="3"/>
  <c r="F1679" i="3"/>
  <c r="F1643" i="3"/>
  <c r="F1631" i="3"/>
  <c r="F1619" i="3"/>
  <c r="F1607" i="3"/>
  <c r="F1595" i="3"/>
  <c r="F1583" i="3"/>
  <c r="F1547" i="3"/>
  <c r="G1537" i="3"/>
  <c r="F1535" i="3"/>
  <c r="F1511" i="3"/>
  <c r="F1487" i="3"/>
  <c r="F1427" i="3"/>
  <c r="F1379" i="3"/>
  <c r="F1319" i="3"/>
  <c r="F1295" i="3"/>
  <c r="F1175" i="3"/>
  <c r="F1163" i="3"/>
  <c r="F1127" i="3"/>
  <c r="F1115" i="3"/>
  <c r="F1079" i="3"/>
  <c r="F1019" i="3"/>
  <c r="F983" i="3"/>
  <c r="G973" i="3"/>
  <c r="F971" i="3"/>
  <c r="G925" i="3"/>
  <c r="F923" i="3"/>
  <c r="G913" i="3"/>
  <c r="F911" i="3"/>
  <c r="G901" i="3"/>
  <c r="F899" i="3"/>
  <c r="G889" i="3"/>
  <c r="F887" i="3"/>
  <c r="G877" i="3"/>
  <c r="F875" i="3"/>
  <c r="G865" i="3"/>
  <c r="F863" i="3"/>
  <c r="G853" i="3"/>
  <c r="F851" i="3"/>
  <c r="G841" i="3"/>
  <c r="F839" i="3"/>
  <c r="G829" i="3"/>
  <c r="F827" i="3"/>
  <c r="G817" i="3"/>
  <c r="F815" i="3"/>
  <c r="G805" i="3"/>
  <c r="F803" i="3"/>
  <c r="G793" i="3"/>
  <c r="F791" i="3"/>
  <c r="G781" i="3"/>
  <c r="F779" i="3"/>
  <c r="G769" i="3"/>
  <c r="F767" i="3"/>
  <c r="G757" i="3"/>
  <c r="F755" i="3"/>
  <c r="G745" i="3"/>
  <c r="F743" i="3"/>
  <c r="G733" i="3"/>
  <c r="F731" i="3"/>
  <c r="G721" i="3"/>
  <c r="F719" i="3"/>
  <c r="G709" i="3"/>
  <c r="F707" i="3"/>
  <c r="G697" i="3"/>
  <c r="F695" i="3"/>
  <c r="G685" i="3"/>
  <c r="F683" i="3"/>
  <c r="G673" i="3"/>
  <c r="F671" i="3"/>
  <c r="G661" i="3"/>
  <c r="F659" i="3"/>
  <c r="G649" i="3"/>
  <c r="F647" i="3"/>
  <c r="G637" i="3"/>
  <c r="F635" i="3"/>
  <c r="G625" i="3"/>
  <c r="F623" i="3"/>
  <c r="G613" i="3"/>
  <c r="F611" i="3"/>
  <c r="G601" i="3"/>
  <c r="F599" i="3"/>
  <c r="G589" i="3"/>
  <c r="F587" i="3"/>
  <c r="G577" i="3"/>
  <c r="F575" i="3"/>
  <c r="G565" i="3"/>
  <c r="F563" i="3"/>
  <c r="G553" i="3"/>
  <c r="F551" i="3"/>
  <c r="G541" i="3"/>
  <c r="F539" i="3"/>
  <c r="G529" i="3"/>
  <c r="F527" i="3"/>
  <c r="G517" i="3"/>
  <c r="F515" i="3"/>
  <c r="G505" i="3"/>
  <c r="F503" i="3"/>
  <c r="G493" i="3"/>
  <c r="F491" i="3"/>
  <c r="G481" i="3"/>
  <c r="F479" i="3"/>
  <c r="G469" i="3"/>
  <c r="F467" i="3"/>
  <c r="G457" i="3"/>
  <c r="F455" i="3"/>
  <c r="G445" i="3"/>
  <c r="F443" i="3"/>
  <c r="G433" i="3"/>
  <c r="F431" i="3"/>
  <c r="G421" i="3"/>
  <c r="F419" i="3"/>
  <c r="G409" i="3"/>
  <c r="F407" i="3"/>
  <c r="G397" i="3"/>
  <c r="F395" i="3"/>
  <c r="G385" i="3"/>
  <c r="F383" i="3"/>
  <c r="G373" i="3"/>
  <c r="F371" i="3"/>
  <c r="G361" i="3"/>
  <c r="F359" i="3"/>
  <c r="G349" i="3"/>
  <c r="F347" i="3"/>
  <c r="G337" i="3"/>
  <c r="F335" i="3"/>
  <c r="G1712" i="3"/>
  <c r="F1710" i="3"/>
  <c r="G1700" i="3"/>
  <c r="F1698" i="3"/>
  <c r="G1688" i="3"/>
  <c r="F1686" i="3"/>
  <c r="G1676" i="3"/>
  <c r="F1674" i="3"/>
  <c r="G1664" i="3"/>
  <c r="F1662" i="3"/>
  <c r="G1652" i="3"/>
  <c r="F1650" i="3"/>
  <c r="G1640" i="3"/>
  <c r="F1638" i="3"/>
  <c r="G1628" i="3"/>
  <c r="F1626" i="3"/>
  <c r="G1616" i="3"/>
  <c r="F1614" i="3"/>
  <c r="G1604" i="3"/>
  <c r="F1602" i="3"/>
  <c r="G1592" i="3"/>
  <c r="F1590" i="3"/>
  <c r="G1580" i="3"/>
  <c r="F1578" i="3"/>
  <c r="G1568" i="3"/>
  <c r="F1566" i="3"/>
  <c r="G1556" i="3"/>
  <c r="F1554" i="3"/>
  <c r="G1544" i="3"/>
  <c r="F1542" i="3"/>
  <c r="G1532" i="3"/>
  <c r="F1530" i="3"/>
  <c r="G1520" i="3"/>
  <c r="F1518" i="3"/>
  <c r="G1508" i="3"/>
  <c r="F1506" i="3"/>
  <c r="G1496" i="3"/>
  <c r="F1494" i="3"/>
  <c r="G1484" i="3"/>
  <c r="F1482" i="3"/>
  <c r="G1472" i="3"/>
  <c r="F1470" i="3"/>
  <c r="G1460" i="3"/>
  <c r="F1458" i="3"/>
  <c r="G1448" i="3"/>
  <c r="F1446" i="3"/>
  <c r="G1436" i="3"/>
  <c r="F1434" i="3"/>
  <c r="G1424" i="3"/>
  <c r="F1422" i="3"/>
  <c r="G1412" i="3"/>
  <c r="F1410" i="3"/>
  <c r="G1400" i="3"/>
  <c r="F1398" i="3"/>
  <c r="G1388" i="3"/>
  <c r="F1386" i="3"/>
  <c r="G1376" i="3"/>
  <c r="F1374" i="3"/>
  <c r="G1364" i="3"/>
  <c r="F1362" i="3"/>
  <c r="G1352" i="3"/>
  <c r="F1350" i="3"/>
  <c r="G1340" i="3"/>
  <c r="F1338" i="3"/>
  <c r="G1328" i="3"/>
  <c r="F1326" i="3"/>
  <c r="G1316" i="3"/>
  <c r="F1314" i="3"/>
  <c r="G1304" i="3"/>
  <c r="F1302" i="3"/>
  <c r="G1292" i="3"/>
  <c r="F1290" i="3"/>
  <c r="G1280" i="3"/>
  <c r="F1278" i="3"/>
  <c r="G1268" i="3"/>
  <c r="F1266" i="3"/>
  <c r="G1256" i="3"/>
  <c r="F1254" i="3"/>
  <c r="G1244" i="3"/>
  <c r="F1242" i="3"/>
  <c r="G1232" i="3"/>
  <c r="F1230" i="3"/>
  <c r="G1220" i="3"/>
  <c r="F1218" i="3"/>
  <c r="G1208" i="3"/>
  <c r="F1206" i="3"/>
  <c r="G1196" i="3"/>
  <c r="F1194" i="3"/>
  <c r="G1184" i="3"/>
  <c r="F1182" i="3"/>
  <c r="G1172" i="3"/>
  <c r="F1170" i="3"/>
  <c r="G1160" i="3"/>
  <c r="F1158" i="3"/>
  <c r="G1148" i="3"/>
  <c r="F1146" i="3"/>
  <c r="G1136" i="3"/>
  <c r="F1134" i="3"/>
  <c r="G1124" i="3"/>
  <c r="F1122" i="3"/>
  <c r="G1112" i="3"/>
  <c r="F1110" i="3"/>
  <c r="G1100" i="3"/>
  <c r="F1098" i="3"/>
  <c r="G1088" i="3"/>
  <c r="F1086" i="3"/>
  <c r="G1076" i="3"/>
  <c r="F1074" i="3"/>
  <c r="G1064" i="3"/>
  <c r="F1062" i="3"/>
  <c r="G1052" i="3"/>
  <c r="F1050" i="3"/>
  <c r="G1040" i="3"/>
  <c r="F1038" i="3"/>
  <c r="G1028" i="3"/>
  <c r="F1026" i="3"/>
  <c r="G1016" i="3"/>
  <c r="F1014" i="3"/>
  <c r="G1004" i="3"/>
  <c r="F1002" i="3"/>
  <c r="G992" i="3"/>
  <c r="F990" i="3"/>
  <c r="G980" i="3"/>
  <c r="F978" i="3"/>
  <c r="G968" i="3"/>
  <c r="F966" i="3"/>
  <c r="G956" i="3"/>
  <c r="F954" i="3"/>
  <c r="G944" i="3"/>
  <c r="F942" i="3"/>
  <c r="G932" i="3"/>
  <c r="F930" i="3"/>
  <c r="G920" i="3"/>
  <c r="F918" i="3"/>
  <c r="G908" i="3"/>
  <c r="F906" i="3"/>
  <c r="G896" i="3"/>
  <c r="F894" i="3"/>
  <c r="G884" i="3"/>
  <c r="F882" i="3"/>
  <c r="G872" i="3"/>
  <c r="F870" i="3"/>
  <c r="G860" i="3"/>
  <c r="F858" i="3"/>
  <c r="G848" i="3"/>
  <c r="F846" i="3"/>
  <c r="G836" i="3"/>
  <c r="F834" i="3"/>
  <c r="G824" i="3"/>
  <c r="F822" i="3"/>
  <c r="G812" i="3"/>
  <c r="F810" i="3"/>
  <c r="G800" i="3"/>
  <c r="F798" i="3"/>
  <c r="G788" i="3"/>
  <c r="F786" i="3"/>
  <c r="G776" i="3"/>
  <c r="F774" i="3"/>
  <c r="G764" i="3"/>
  <c r="F762" i="3"/>
  <c r="G752" i="3"/>
  <c r="F750" i="3"/>
  <c r="G740" i="3"/>
  <c r="F738" i="3"/>
  <c r="G728" i="3"/>
  <c r="F726" i="3"/>
  <c r="G716" i="3"/>
  <c r="F714" i="3"/>
  <c r="G704" i="3"/>
  <c r="F702" i="3"/>
  <c r="G692" i="3"/>
  <c r="F690" i="3"/>
  <c r="G680" i="3"/>
  <c r="F678" i="3"/>
  <c r="G668" i="3"/>
  <c r="F666" i="3"/>
  <c r="G656" i="3"/>
  <c r="F654" i="3"/>
  <c r="G644" i="3"/>
  <c r="F642" i="3"/>
  <c r="G632" i="3"/>
  <c r="F630" i="3"/>
  <c r="G620" i="3"/>
  <c r="F618" i="3"/>
  <c r="G608" i="3"/>
  <c r="F606" i="3"/>
  <c r="G596" i="3"/>
  <c r="F594" i="3"/>
  <c r="G584" i="3"/>
  <c r="F582" i="3"/>
  <c r="G572" i="3"/>
  <c r="F570" i="3"/>
  <c r="G560" i="3"/>
  <c r="F558" i="3"/>
  <c r="G548" i="3"/>
  <c r="F546" i="3"/>
  <c r="G536" i="3"/>
  <c r="F534" i="3"/>
  <c r="G524" i="3"/>
  <c r="F522" i="3"/>
  <c r="G512" i="3"/>
  <c r="F510" i="3"/>
  <c r="G500" i="3"/>
  <c r="F498" i="3"/>
  <c r="G488" i="3"/>
  <c r="F486" i="3"/>
  <c r="G476" i="3"/>
  <c r="F474" i="3"/>
  <c r="G464" i="3"/>
  <c r="F462" i="3"/>
  <c r="G452" i="3"/>
  <c r="F450" i="3"/>
  <c r="G440" i="3"/>
  <c r="F438" i="3"/>
  <c r="G428" i="3"/>
  <c r="F426" i="3"/>
  <c r="G416" i="3"/>
  <c r="F414" i="3"/>
  <c r="G404" i="3"/>
  <c r="F402" i="3"/>
  <c r="G392" i="3"/>
  <c r="F390" i="3"/>
  <c r="G380" i="3"/>
  <c r="F378" i="3"/>
  <c r="G368" i="3"/>
  <c r="F366" i="3"/>
  <c r="G356" i="3"/>
  <c r="F354" i="3"/>
  <c r="G344" i="3"/>
  <c r="F342" i="3"/>
  <c r="G332" i="3"/>
  <c r="F330" i="3"/>
  <c r="G320" i="3"/>
  <c r="F318" i="3"/>
  <c r="G308" i="3"/>
  <c r="F306" i="3"/>
  <c r="G296" i="3"/>
  <c r="F294" i="3"/>
  <c r="G284" i="3"/>
  <c r="F282" i="3"/>
  <c r="G272" i="3"/>
  <c r="F270" i="3"/>
  <c r="G260" i="3"/>
  <c r="F258" i="3"/>
  <c r="G248" i="3"/>
  <c r="F246" i="3"/>
  <c r="G236" i="3"/>
  <c r="F234" i="3"/>
  <c r="G224" i="3"/>
  <c r="F222" i="3"/>
  <c r="G212" i="3"/>
  <c r="F210" i="3"/>
  <c r="G200" i="3"/>
  <c r="F198" i="3"/>
  <c r="G188" i="3"/>
  <c r="F186" i="3"/>
  <c r="G176" i="3"/>
  <c r="F174" i="3"/>
  <c r="G164" i="3"/>
  <c r="F162" i="3"/>
  <c r="G152" i="3"/>
  <c r="F150" i="3"/>
  <c r="G140" i="3"/>
  <c r="F138" i="3"/>
  <c r="G128" i="3"/>
  <c r="F126" i="3"/>
  <c r="G116" i="3"/>
  <c r="F114" i="3"/>
  <c r="G104" i="3"/>
  <c r="F102" i="3"/>
  <c r="G92" i="3"/>
  <c r="F4731" i="3"/>
  <c r="F4707" i="3"/>
  <c r="F4683" i="3"/>
  <c r="F4659" i="3"/>
  <c r="F4635" i="3"/>
  <c r="F4611" i="3"/>
  <c r="F4575" i="3"/>
  <c r="F4539" i="3"/>
  <c r="F4503" i="3"/>
  <c r="F4335" i="3"/>
  <c r="F1201" i="3"/>
  <c r="G1191" i="3"/>
  <c r="F1189" i="3"/>
  <c r="G1179" i="3"/>
  <c r="F1177" i="3"/>
  <c r="G1167" i="3"/>
  <c r="F1165" i="3"/>
  <c r="G1155" i="3"/>
  <c r="F1153" i="3"/>
  <c r="G1143" i="3"/>
  <c r="F1141" i="3"/>
  <c r="G1131" i="3"/>
  <c r="F1129" i="3"/>
  <c r="G1119" i="3"/>
  <c r="F1117" i="3"/>
  <c r="G1107" i="3"/>
  <c r="F1105" i="3"/>
  <c r="G1095" i="3"/>
  <c r="F1093" i="3"/>
  <c r="G1083" i="3"/>
  <c r="F1081" i="3"/>
  <c r="G1071" i="3"/>
  <c r="F1069" i="3"/>
  <c r="G1059" i="3"/>
  <c r="F1057" i="3"/>
  <c r="G1047" i="3"/>
  <c r="F1045" i="3"/>
  <c r="G1035" i="3"/>
  <c r="F1033" i="3"/>
  <c r="G1023" i="3"/>
  <c r="F1021" i="3"/>
  <c r="G1011" i="3"/>
  <c r="F1009" i="3"/>
  <c r="G999" i="3"/>
  <c r="F997" i="3"/>
  <c r="G987" i="3"/>
  <c r="F985" i="3"/>
  <c r="G975" i="3"/>
  <c r="F973" i="3"/>
  <c r="G963" i="3"/>
  <c r="F961" i="3"/>
  <c r="G951" i="3"/>
  <c r="F949" i="3"/>
  <c r="G939" i="3"/>
  <c r="F937" i="3"/>
  <c r="G927" i="3"/>
  <c r="F925" i="3"/>
  <c r="G915" i="3"/>
  <c r="F913" i="3"/>
  <c r="G903" i="3"/>
  <c r="F901" i="3"/>
  <c r="G891" i="3"/>
  <c r="F889" i="3"/>
  <c r="G879" i="3"/>
  <c r="F877" i="3"/>
  <c r="G867" i="3"/>
  <c r="F865" i="3"/>
  <c r="G855" i="3"/>
  <c r="F853" i="3"/>
  <c r="G843" i="3"/>
  <c r="F841" i="3"/>
  <c r="G831" i="3"/>
  <c r="F829" i="3"/>
  <c r="G819" i="3"/>
  <c r="F817" i="3"/>
  <c r="G807" i="3"/>
  <c r="F805" i="3"/>
  <c r="G795" i="3"/>
  <c r="F793" i="3"/>
  <c r="G783" i="3"/>
  <c r="F781" i="3"/>
  <c r="G771" i="3"/>
  <c r="F769" i="3"/>
  <c r="G759" i="3"/>
  <c r="F757" i="3"/>
  <c r="G747" i="3"/>
  <c r="F745" i="3"/>
  <c r="G735" i="3"/>
  <c r="F733" i="3"/>
  <c r="G723" i="3"/>
  <c r="F721" i="3"/>
  <c r="G711" i="3"/>
  <c r="F709" i="3"/>
  <c r="G699" i="3"/>
  <c r="F697" i="3"/>
  <c r="G687" i="3"/>
  <c r="F685" i="3"/>
  <c r="G675" i="3"/>
  <c r="F673" i="3"/>
  <c r="G663" i="3"/>
  <c r="F661" i="3"/>
  <c r="G651" i="3"/>
  <c r="F649" i="3"/>
  <c r="G639" i="3"/>
  <c r="F637" i="3"/>
  <c r="G627" i="3"/>
  <c r="F625" i="3"/>
  <c r="G615" i="3"/>
  <c r="F613" i="3"/>
  <c r="G603" i="3"/>
  <c r="F601" i="3"/>
  <c r="G591" i="3"/>
  <c r="F589" i="3"/>
  <c r="G579" i="3"/>
  <c r="F577" i="3"/>
  <c r="G567" i="3"/>
  <c r="F565" i="3"/>
  <c r="G555" i="3"/>
  <c r="F553" i="3"/>
  <c r="G543" i="3"/>
  <c r="F541" i="3"/>
  <c r="G531" i="3"/>
  <c r="F529" i="3"/>
  <c r="G519" i="3"/>
  <c r="F517" i="3"/>
  <c r="G507" i="3"/>
  <c r="F505" i="3"/>
  <c r="G495" i="3"/>
  <c r="F493" i="3"/>
  <c r="G483" i="3"/>
  <c r="F481" i="3"/>
  <c r="G471" i="3"/>
  <c r="F469" i="3"/>
  <c r="G459" i="3"/>
  <c r="F457" i="3"/>
  <c r="G447" i="3"/>
  <c r="F445" i="3"/>
  <c r="G435" i="3"/>
  <c r="F433" i="3"/>
  <c r="G423" i="3"/>
  <c r="F421" i="3"/>
  <c r="G411" i="3"/>
  <c r="F409" i="3"/>
  <c r="G399" i="3"/>
  <c r="F397" i="3"/>
  <c r="G387" i="3"/>
  <c r="F385" i="3"/>
  <c r="G375" i="3"/>
  <c r="F373" i="3"/>
  <c r="G363" i="3"/>
  <c r="F361" i="3"/>
  <c r="G351" i="3"/>
  <c r="F349" i="3"/>
  <c r="G339" i="3"/>
  <c r="F337" i="3"/>
  <c r="G327" i="3"/>
  <c r="F325" i="3"/>
  <c r="G315" i="3"/>
  <c r="F313" i="3"/>
  <c r="G303" i="3"/>
  <c r="F301" i="3"/>
  <c r="G291" i="3"/>
  <c r="F289" i="3"/>
  <c r="G279" i="3"/>
  <c r="F277" i="3"/>
  <c r="G267" i="3"/>
  <c r="F265" i="3"/>
  <c r="G255" i="3"/>
  <c r="F253" i="3"/>
  <c r="G243" i="3"/>
  <c r="F241" i="3"/>
  <c r="G231" i="3"/>
  <c r="F229" i="3"/>
  <c r="G219" i="3"/>
  <c r="F217" i="3"/>
  <c r="G207" i="3"/>
  <c r="F205" i="3"/>
  <c r="G195" i="3"/>
  <c r="F193" i="3"/>
  <c r="G183" i="3"/>
  <c r="F181" i="3"/>
  <c r="G171" i="3"/>
  <c r="F169" i="3"/>
  <c r="G159" i="3"/>
  <c r="F157" i="3"/>
  <c r="G147" i="3"/>
  <c r="F145" i="3"/>
  <c r="G135" i="3"/>
  <c r="F133" i="3"/>
  <c r="G123" i="3"/>
  <c r="F121" i="3"/>
  <c r="G111" i="3"/>
  <c r="F109" i="3"/>
  <c r="G99" i="3"/>
  <c r="F97" i="3"/>
  <c r="G87" i="3"/>
  <c r="F85" i="3"/>
  <c r="G75" i="3"/>
  <c r="F73" i="3"/>
  <c r="G63" i="3"/>
  <c r="F61" i="3"/>
  <c r="G51" i="3"/>
  <c r="F49" i="3"/>
  <c r="G39" i="3"/>
  <c r="F37" i="3"/>
  <c r="G27" i="3"/>
  <c r="F25" i="3"/>
  <c r="G15" i="3"/>
  <c r="F13" i="3"/>
  <c r="G3" i="3"/>
  <c r="F4750" i="3"/>
  <c r="G4740" i="3"/>
  <c r="F4738" i="3"/>
  <c r="G4728" i="3"/>
  <c r="F4726" i="3"/>
  <c r="G4716" i="3"/>
  <c r="F4714" i="3"/>
  <c r="G4704" i="3"/>
  <c r="F4702" i="3"/>
  <c r="G4692" i="3"/>
  <c r="F4690" i="3"/>
  <c r="G4680" i="3"/>
  <c r="F4678" i="3"/>
  <c r="G4668" i="3"/>
  <c r="F4666" i="3"/>
  <c r="G4656" i="3"/>
  <c r="F4654" i="3"/>
  <c r="G4644" i="3"/>
  <c r="F4642" i="3"/>
  <c r="G4632" i="3"/>
  <c r="F4630" i="3"/>
  <c r="G4620" i="3"/>
  <c r="F4618" i="3"/>
  <c r="G4608" i="3"/>
  <c r="F4606" i="3"/>
  <c r="G4596" i="3"/>
  <c r="F4594" i="3"/>
  <c r="G4584" i="3"/>
  <c r="F4582" i="3"/>
  <c r="G4572" i="3"/>
  <c r="F4570" i="3"/>
  <c r="G4560" i="3"/>
  <c r="F4558" i="3"/>
  <c r="G4548" i="3"/>
  <c r="F4546" i="3"/>
  <c r="G4536" i="3"/>
  <c r="F4534" i="3"/>
  <c r="G4524" i="3"/>
  <c r="F4522" i="3"/>
  <c r="G4512" i="3"/>
  <c r="F4510" i="3"/>
  <c r="G4500" i="3"/>
  <c r="F4498" i="3"/>
  <c r="G4488" i="3"/>
  <c r="F4486" i="3"/>
  <c r="G4476" i="3"/>
  <c r="F4474" i="3"/>
  <c r="G4464" i="3"/>
  <c r="F4462" i="3"/>
  <c r="G4452" i="3"/>
  <c r="F4450" i="3"/>
  <c r="G4440" i="3"/>
  <c r="F4438" i="3"/>
  <c r="G4428" i="3"/>
  <c r="F4426" i="3"/>
  <c r="G4416" i="3"/>
  <c r="F4414" i="3"/>
  <c r="G4404" i="3"/>
  <c r="F4402" i="3"/>
  <c r="G4392" i="3"/>
  <c r="F4390" i="3"/>
  <c r="G4380" i="3"/>
  <c r="F4378" i="3"/>
  <c r="G4368" i="3"/>
  <c r="F4366" i="3"/>
  <c r="G4356" i="3"/>
  <c r="F4354" i="3"/>
  <c r="G4344" i="3"/>
  <c r="F4342" i="3"/>
  <c r="G4332" i="3"/>
  <c r="F4330" i="3"/>
  <c r="G4320" i="3"/>
  <c r="F4318" i="3"/>
  <c r="G4308" i="3"/>
  <c r="F4306" i="3"/>
  <c r="G4296" i="3"/>
  <c r="F4294" i="3"/>
  <c r="G4284" i="3"/>
  <c r="F4282" i="3"/>
  <c r="G4272" i="3"/>
  <c r="F4270" i="3"/>
  <c r="G4260" i="3"/>
  <c r="F4258" i="3"/>
  <c r="G4248" i="3"/>
  <c r="F4246" i="3"/>
  <c r="G4236" i="3"/>
  <c r="F4234" i="3"/>
  <c r="G4224" i="3"/>
  <c r="F4222" i="3"/>
  <c r="G4212" i="3"/>
  <c r="F4210" i="3"/>
  <c r="G4200" i="3"/>
  <c r="F4198" i="3"/>
  <c r="G4188" i="3"/>
  <c r="F4186" i="3"/>
  <c r="G4176" i="3"/>
  <c r="F4174" i="3"/>
  <c r="G4164" i="3"/>
  <c r="F4162" i="3"/>
  <c r="G4152" i="3"/>
  <c r="F4150" i="3"/>
  <c r="G4140" i="3"/>
  <c r="F4138" i="3"/>
  <c r="G4128" i="3"/>
  <c r="F4126" i="3"/>
  <c r="G4116" i="3"/>
  <c r="F4114" i="3"/>
  <c r="G4104" i="3"/>
  <c r="F4102" i="3"/>
  <c r="G4092" i="3"/>
  <c r="F4090" i="3"/>
  <c r="G4080" i="3"/>
  <c r="F4078" i="3"/>
  <c r="G4068" i="3"/>
  <c r="F4066" i="3"/>
  <c r="G4056" i="3"/>
  <c r="F4054" i="3"/>
  <c r="G4044" i="3"/>
  <c r="F4042" i="3"/>
  <c r="G4032" i="3"/>
  <c r="F4030" i="3"/>
  <c r="G4020" i="3"/>
  <c r="F4018" i="3"/>
  <c r="G4008" i="3"/>
  <c r="F4006" i="3"/>
  <c r="G3996" i="3"/>
  <c r="F3994" i="3"/>
  <c r="G3984" i="3"/>
  <c r="F3982" i="3"/>
  <c r="G3972" i="3"/>
  <c r="F3970" i="3"/>
  <c r="G3960" i="3"/>
  <c r="F3958" i="3"/>
  <c r="G3948" i="3"/>
  <c r="F3946" i="3"/>
  <c r="G3936" i="3"/>
  <c r="F3934" i="3"/>
  <c r="G3924" i="3"/>
  <c r="F3922" i="3"/>
  <c r="G3912" i="3"/>
  <c r="F3910" i="3"/>
  <c r="G3900" i="3"/>
  <c r="F3898" i="3"/>
  <c r="G3888" i="3"/>
  <c r="F3886" i="3"/>
  <c r="G3876" i="3"/>
  <c r="F3874" i="3"/>
  <c r="G3864" i="3"/>
  <c r="F3862" i="3"/>
  <c r="G3852" i="3"/>
  <c r="F3850" i="3"/>
  <c r="G3840" i="3"/>
  <c r="F3838" i="3"/>
  <c r="G3828" i="3"/>
  <c r="F3826" i="3"/>
  <c r="G3816" i="3"/>
  <c r="F3814" i="3"/>
  <c r="G3804" i="3"/>
  <c r="F3802" i="3"/>
  <c r="G3792" i="3"/>
  <c r="F3790" i="3"/>
  <c r="G3780" i="3"/>
  <c r="F3778" i="3"/>
  <c r="G3768" i="3"/>
  <c r="F3766" i="3"/>
  <c r="G3756" i="3"/>
  <c r="F3754" i="3"/>
  <c r="G3744" i="3"/>
  <c r="F3742" i="3"/>
  <c r="G3732" i="3"/>
  <c r="F3730" i="3"/>
  <c r="G3720" i="3"/>
  <c r="F3718" i="3"/>
  <c r="G3708" i="3"/>
  <c r="F3706" i="3"/>
  <c r="G3696" i="3"/>
  <c r="F3694" i="3"/>
  <c r="G3684" i="3"/>
  <c r="F3682" i="3"/>
  <c r="G3672" i="3"/>
  <c r="F3670" i="3"/>
  <c r="G3660" i="3"/>
  <c r="F3658" i="3"/>
  <c r="G3648" i="3"/>
  <c r="F3646" i="3"/>
  <c r="G3636" i="3"/>
  <c r="F3634" i="3"/>
  <c r="G3631" i="3"/>
  <c r="F3629" i="3"/>
  <c r="G3619" i="3"/>
  <c r="F3617" i="3"/>
  <c r="G3607" i="3"/>
  <c r="F3605" i="3"/>
  <c r="G3595" i="3"/>
  <c r="F3593" i="3"/>
  <c r="G3583" i="3"/>
  <c r="F3581" i="3"/>
  <c r="G3571" i="3"/>
  <c r="F3569" i="3"/>
  <c r="G3559" i="3"/>
  <c r="F3557" i="3"/>
  <c r="G3547" i="3"/>
  <c r="F3545" i="3"/>
  <c r="G3535" i="3"/>
  <c r="F3533" i="3"/>
  <c r="G3523" i="3"/>
  <c r="F3521" i="3"/>
  <c r="F3497" i="3"/>
  <c r="G3427" i="3"/>
  <c r="F3401" i="3"/>
  <c r="G3883" i="3"/>
  <c r="F3881" i="3"/>
  <c r="F77" i="3"/>
  <c r="G67" i="3"/>
  <c r="F65" i="3"/>
  <c r="G55" i="3"/>
  <c r="F53" i="3"/>
  <c r="G43" i="3"/>
  <c r="F41" i="3"/>
  <c r="G31" i="3"/>
  <c r="F29" i="3"/>
  <c r="G19" i="3"/>
  <c r="F17" i="3"/>
  <c r="G7" i="3"/>
  <c r="F5" i="3"/>
  <c r="G4744" i="3"/>
  <c r="F4742" i="3"/>
  <c r="G4732" i="3"/>
  <c r="G4720" i="3"/>
  <c r="F4718" i="3"/>
  <c r="G4708" i="3"/>
  <c r="G4696" i="3"/>
  <c r="F4694" i="3"/>
  <c r="G4684" i="3"/>
  <c r="F4682" i="3"/>
  <c r="G4672" i="3"/>
  <c r="F4670" i="3"/>
  <c r="G4660" i="3"/>
  <c r="F4658" i="3"/>
  <c r="G4648" i="3"/>
  <c r="F4646" i="3"/>
  <c r="G4636" i="3"/>
  <c r="F4634" i="3"/>
  <c r="G4624" i="3"/>
  <c r="F4622" i="3"/>
  <c r="G4612" i="3"/>
  <c r="F4610" i="3"/>
  <c r="F4598" i="3"/>
  <c r="F4586" i="3"/>
  <c r="G4576" i="3"/>
  <c r="F4574" i="3"/>
  <c r="F4562" i="3"/>
  <c r="F4550" i="3"/>
  <c r="G4540" i="3"/>
  <c r="F4538" i="3"/>
  <c r="F4526" i="3"/>
  <c r="F4514" i="3"/>
  <c r="G4504" i="3"/>
  <c r="F4502" i="3"/>
  <c r="F4490" i="3"/>
  <c r="F4478" i="3"/>
  <c r="G4468" i="3"/>
  <c r="F4466" i="3"/>
  <c r="G4456" i="3"/>
  <c r="F4454" i="3"/>
  <c r="G4444" i="3"/>
  <c r="F4442" i="3"/>
  <c r="F4430" i="3"/>
  <c r="G4420" i="3"/>
  <c r="F4418" i="3"/>
  <c r="F4406" i="3"/>
  <c r="G4396" i="3"/>
  <c r="F4394" i="3"/>
  <c r="G4384" i="3"/>
  <c r="F4382" i="3"/>
  <c r="G4372" i="3"/>
  <c r="F4370" i="3"/>
  <c r="F4358" i="3"/>
  <c r="G4348" i="3"/>
  <c r="F4346" i="3"/>
  <c r="G4336" i="3"/>
  <c r="F4334" i="3"/>
  <c r="G4324" i="3"/>
  <c r="F4322" i="3"/>
  <c r="G4312" i="3"/>
  <c r="F4310" i="3"/>
  <c r="G4300" i="3"/>
  <c r="F4298" i="3"/>
  <c r="F4286" i="3"/>
  <c r="G4276" i="3"/>
  <c r="F4274" i="3"/>
  <c r="G4264" i="3"/>
  <c r="F4262" i="3"/>
  <c r="G4252" i="3"/>
  <c r="F4250" i="3"/>
  <c r="G4240" i="3"/>
  <c r="F4238" i="3"/>
  <c r="G4228" i="3"/>
  <c r="F4226" i="3"/>
  <c r="G4216" i="3"/>
  <c r="F4214" i="3"/>
  <c r="G4204" i="3"/>
  <c r="F4202" i="3"/>
  <c r="G4192" i="3"/>
  <c r="F4190" i="3"/>
  <c r="G4180" i="3"/>
  <c r="F4178" i="3"/>
  <c r="G4168" i="3"/>
  <c r="F4166" i="3"/>
  <c r="G4156" i="3"/>
  <c r="F4154" i="3"/>
  <c r="G4144" i="3"/>
  <c r="F4142" i="3"/>
  <c r="G4132" i="3"/>
  <c r="F4130" i="3"/>
  <c r="G4120" i="3"/>
  <c r="F4118" i="3"/>
  <c r="G4108" i="3"/>
  <c r="F4106" i="3"/>
  <c r="G4096" i="3"/>
  <c r="F4094" i="3"/>
  <c r="G4084" i="3"/>
  <c r="F4082" i="3"/>
  <c r="G4072" i="3"/>
  <c r="F4070" i="3"/>
  <c r="G4060" i="3"/>
  <c r="F4058" i="3"/>
  <c r="G4048" i="3"/>
  <c r="F4046" i="3"/>
  <c r="G4036" i="3"/>
  <c r="F4034" i="3"/>
  <c r="G4024" i="3"/>
  <c r="F4022" i="3"/>
  <c r="G4012" i="3"/>
  <c r="F4010" i="3"/>
  <c r="G4000" i="3"/>
  <c r="F3998" i="3"/>
  <c r="G3988" i="3"/>
  <c r="F3986" i="3"/>
  <c r="G3976" i="3"/>
  <c r="F3974" i="3"/>
  <c r="G3964" i="3"/>
  <c r="F3962" i="3"/>
  <c r="G3952" i="3"/>
  <c r="F3950" i="3"/>
  <c r="G3940" i="3"/>
  <c r="F3938" i="3"/>
  <c r="G3928" i="3"/>
  <c r="F3926" i="3"/>
  <c r="G3916" i="3"/>
  <c r="F3914" i="3"/>
  <c r="G3904" i="3"/>
  <c r="F3902" i="3"/>
  <c r="G3892" i="3"/>
  <c r="F3890" i="3"/>
  <c r="G3880" i="3"/>
  <c r="F3878" i="3"/>
  <c r="G3868" i="3"/>
  <c r="F3866" i="3"/>
  <c r="G3856" i="3"/>
  <c r="F3854" i="3"/>
  <c r="G3844" i="3"/>
  <c r="F3842" i="3"/>
  <c r="G3832" i="3"/>
  <c r="F3830" i="3"/>
  <c r="G3820" i="3"/>
  <c r="F3818" i="3"/>
  <c r="G3808" i="3"/>
  <c r="F3806" i="3"/>
  <c r="G3796" i="3"/>
  <c r="F3794" i="3"/>
  <c r="G3784" i="3"/>
  <c r="F3782" i="3"/>
  <c r="G3772" i="3"/>
  <c r="F3770" i="3"/>
  <c r="G3760" i="3"/>
  <c r="F3758" i="3"/>
  <c r="G3748" i="3"/>
  <c r="F3746" i="3"/>
  <c r="G3736" i="3"/>
  <c r="F3734" i="3"/>
  <c r="G3724" i="3"/>
  <c r="F3722" i="3"/>
  <c r="G3712" i="3"/>
  <c r="F3710" i="3"/>
  <c r="G3700" i="3"/>
  <c r="F3698" i="3"/>
  <c r="G3688" i="3"/>
  <c r="F3686" i="3"/>
  <c r="G3676" i="3"/>
  <c r="F3674" i="3"/>
  <c r="G3664" i="3"/>
  <c r="F3662" i="3"/>
  <c r="F4492" i="3"/>
  <c r="G4482" i="3"/>
  <c r="F4480" i="3"/>
  <c r="G4470" i="3"/>
  <c r="F4468" i="3"/>
  <c r="G4458" i="3"/>
  <c r="F4456" i="3"/>
  <c r="G4446" i="3"/>
  <c r="F4444" i="3"/>
  <c r="G4434" i="3"/>
  <c r="F4432" i="3"/>
  <c r="G4422" i="3"/>
  <c r="F4420" i="3"/>
  <c r="G4410" i="3"/>
  <c r="F4408" i="3"/>
  <c r="G4398" i="3"/>
  <c r="G4386" i="3"/>
  <c r="F4384" i="3"/>
  <c r="G4374" i="3"/>
  <c r="F4372" i="3"/>
  <c r="G4362" i="3"/>
  <c r="F4360" i="3"/>
  <c r="G4350" i="3"/>
  <c r="F4348" i="3"/>
  <c r="G4338" i="3"/>
  <c r="F4336" i="3"/>
  <c r="G4326" i="3"/>
  <c r="F4324" i="3"/>
  <c r="G4314" i="3"/>
  <c r="F4312" i="3"/>
  <c r="G4302" i="3"/>
  <c r="F4300" i="3"/>
  <c r="G4290" i="3"/>
  <c r="G4278" i="3"/>
  <c r="F4276" i="3"/>
  <c r="G4266" i="3"/>
  <c r="F4264" i="3"/>
  <c r="G4254" i="3"/>
  <c r="F4252" i="3"/>
  <c r="G4242" i="3"/>
  <c r="F4240" i="3"/>
  <c r="G4230" i="3"/>
  <c r="F4228" i="3"/>
  <c r="G4218" i="3"/>
  <c r="F4216" i="3"/>
  <c r="G4206" i="3"/>
  <c r="F4204" i="3"/>
  <c r="G4194" i="3"/>
  <c r="F4192" i="3"/>
  <c r="G4182" i="3"/>
  <c r="F4180" i="3"/>
  <c r="G4170" i="3"/>
  <c r="F4168" i="3"/>
  <c r="G4158" i="3"/>
  <c r="F4156" i="3"/>
  <c r="G4146" i="3"/>
  <c r="F4144" i="3"/>
  <c r="G4134" i="3"/>
  <c r="F4132" i="3"/>
  <c r="G4122" i="3"/>
  <c r="F4120" i="3"/>
  <c r="G4110" i="3"/>
  <c r="F4108" i="3"/>
  <c r="G4098" i="3"/>
  <c r="F4096" i="3"/>
  <c r="G4086" i="3"/>
  <c r="F4084" i="3"/>
  <c r="G4074" i="3"/>
  <c r="F4072" i="3"/>
  <c r="G4062" i="3"/>
  <c r="F4060" i="3"/>
  <c r="G4050" i="3"/>
  <c r="F4048" i="3"/>
  <c r="G4038" i="3"/>
  <c r="F4036" i="3"/>
  <c r="G4026" i="3"/>
  <c r="F4024" i="3"/>
  <c r="G4014" i="3"/>
  <c r="F4012" i="3"/>
  <c r="G4002" i="3"/>
  <c r="F4000" i="3"/>
  <c r="G3990" i="3"/>
  <c r="F3988" i="3"/>
  <c r="G3978" i="3"/>
  <c r="F3976" i="3"/>
  <c r="G3966" i="3"/>
  <c r="F3964" i="3"/>
  <c r="G3954" i="3"/>
  <c r="F3952" i="3"/>
  <c r="G3942" i="3"/>
  <c r="F3940" i="3"/>
  <c r="G3930" i="3"/>
  <c r="F3928" i="3"/>
  <c r="G3918" i="3"/>
  <c r="F3916" i="3"/>
  <c r="G3906" i="3"/>
  <c r="F3904" i="3"/>
  <c r="G3894" i="3"/>
  <c r="F3892" i="3"/>
  <c r="G3882" i="3"/>
  <c r="F3880" i="3"/>
  <c r="G3870" i="3"/>
  <c r="F3868" i="3"/>
  <c r="G3858" i="3"/>
  <c r="F3856" i="3"/>
  <c r="G3846" i="3"/>
  <c r="F3844" i="3"/>
  <c r="G3834" i="3"/>
  <c r="F3832" i="3"/>
  <c r="G3822" i="3"/>
  <c r="F3820" i="3"/>
  <c r="G3810" i="3"/>
  <c r="F3808" i="3"/>
  <c r="G3798" i="3"/>
  <c r="F3796" i="3"/>
  <c r="G3786" i="3"/>
  <c r="F3784" i="3"/>
  <c r="G3774" i="3"/>
  <c r="F3772" i="3"/>
  <c r="G3762" i="3"/>
  <c r="F3760" i="3"/>
  <c r="G3750" i="3"/>
  <c r="F3748" i="3"/>
  <c r="G3738" i="3"/>
  <c r="F3736" i="3"/>
  <c r="G3726" i="3"/>
  <c r="F3724" i="3"/>
  <c r="G3714" i="3"/>
  <c r="F3712" i="3"/>
  <c r="G3702" i="3"/>
  <c r="F3700" i="3"/>
  <c r="G3690" i="3"/>
  <c r="F3688" i="3"/>
  <c r="G3678" i="3"/>
  <c r="F3676" i="3"/>
  <c r="G3666" i="3"/>
  <c r="F3664" i="3"/>
  <c r="G3625" i="3"/>
  <c r="F3623" i="3"/>
  <c r="G3613" i="3"/>
  <c r="F3611" i="3"/>
  <c r="G3601" i="3"/>
  <c r="F3599" i="3"/>
  <c r="G3589" i="3"/>
  <c r="F3587" i="3"/>
  <c r="G3577" i="3"/>
  <c r="F3575" i="3"/>
  <c r="G3565" i="3"/>
  <c r="F3563" i="3"/>
  <c r="G3553" i="3"/>
  <c r="F3551" i="3"/>
  <c r="G3541" i="3"/>
  <c r="F3539" i="3"/>
  <c r="G3529" i="3"/>
  <c r="F3527" i="3"/>
  <c r="F3515" i="3"/>
  <c r="G3505" i="3"/>
  <c r="F3503" i="3"/>
  <c r="G3493" i="3"/>
  <c r="F3491" i="3"/>
  <c r="G3481" i="3"/>
  <c r="F3479" i="3"/>
  <c r="G3469" i="3"/>
  <c r="F3467" i="3"/>
  <c r="G3457" i="3"/>
  <c r="F3455" i="3"/>
  <c r="G3445" i="3"/>
  <c r="F3443" i="3"/>
  <c r="G3433" i="3"/>
  <c r="F3431" i="3"/>
  <c r="G3421" i="3"/>
  <c r="F3419" i="3"/>
  <c r="G3409" i="3"/>
  <c r="F3407" i="3"/>
  <c r="G3397" i="3"/>
  <c r="F3395" i="3"/>
  <c r="G3385" i="3"/>
  <c r="F3383" i="3"/>
  <c r="G3373" i="3"/>
  <c r="F3371" i="3"/>
  <c r="G3361" i="3"/>
  <c r="F3359" i="3"/>
  <c r="G3349" i="3"/>
  <c r="F3347" i="3"/>
  <c r="G3337" i="3"/>
  <c r="F3335" i="3"/>
  <c r="G3325" i="3"/>
  <c r="F3323" i="3"/>
  <c r="G3313" i="3"/>
  <c r="F3311" i="3"/>
  <c r="G3301" i="3"/>
  <c r="F3299" i="3"/>
  <c r="G3289" i="3"/>
  <c r="F3287" i="3"/>
  <c r="G3277" i="3"/>
  <c r="F3275" i="3"/>
  <c r="G3265" i="3"/>
  <c r="F3263" i="3"/>
  <c r="G3253" i="3"/>
  <c r="F3251" i="3"/>
  <c r="G3241" i="3"/>
  <c r="F3239" i="3"/>
  <c r="G3229" i="3"/>
  <c r="F3227" i="3"/>
  <c r="G3217" i="3"/>
  <c r="F3215" i="3"/>
  <c r="G3205" i="3"/>
  <c r="F3203" i="3"/>
  <c r="G3193" i="3"/>
  <c r="F3191" i="3"/>
  <c r="G3181" i="3"/>
  <c r="F3179" i="3"/>
  <c r="G3169" i="3"/>
  <c r="F3167" i="3"/>
  <c r="G3157" i="3"/>
  <c r="F3155" i="3"/>
  <c r="G3145" i="3"/>
  <c r="F3143" i="3"/>
  <c r="G3133" i="3"/>
  <c r="F3131" i="3"/>
  <c r="G3121" i="3"/>
  <c r="F3119" i="3"/>
  <c r="G3109" i="3"/>
  <c r="F3107" i="3"/>
  <c r="G3097" i="3"/>
  <c r="F3095" i="3"/>
  <c r="G3085" i="3"/>
  <c r="F3083" i="3"/>
  <c r="G3073" i="3"/>
  <c r="F3071" i="3"/>
  <c r="G3061" i="3"/>
  <c r="F3059" i="3"/>
  <c r="G3049" i="3"/>
  <c r="F3047" i="3"/>
  <c r="G4321" i="3"/>
  <c r="F4319" i="3"/>
  <c r="G4309" i="3"/>
  <c r="F4307" i="3"/>
  <c r="G4297" i="3"/>
  <c r="F4295" i="3"/>
  <c r="G4285" i="3"/>
  <c r="F4283" i="3"/>
  <c r="G4273" i="3"/>
  <c r="F4271" i="3"/>
  <c r="G4261" i="3"/>
  <c r="F4259" i="3"/>
  <c r="G4249" i="3"/>
  <c r="F4247" i="3"/>
  <c r="G4237" i="3"/>
  <c r="F4235" i="3"/>
  <c r="G4225" i="3"/>
  <c r="F4223" i="3"/>
  <c r="G4213" i="3"/>
  <c r="F4211" i="3"/>
  <c r="G4201" i="3"/>
  <c r="F4199" i="3"/>
  <c r="G4189" i="3"/>
  <c r="F4187" i="3"/>
  <c r="G4177" i="3"/>
  <c r="F4175" i="3"/>
  <c r="G4165" i="3"/>
  <c r="F4163" i="3"/>
  <c r="G4153" i="3"/>
  <c r="F4151" i="3"/>
  <c r="G4141" i="3"/>
  <c r="F4139" i="3"/>
  <c r="G4129" i="3"/>
  <c r="F4127" i="3"/>
  <c r="G4117" i="3"/>
  <c r="F4115" i="3"/>
  <c r="G4105" i="3"/>
  <c r="F4103" i="3"/>
  <c r="G4093" i="3"/>
  <c r="F4091" i="3"/>
  <c r="G4081" i="3"/>
  <c r="F4079" i="3"/>
  <c r="G4069" i="3"/>
  <c r="F4067" i="3"/>
  <c r="G4057" i="3"/>
  <c r="F4055" i="3"/>
  <c r="G4045" i="3"/>
  <c r="F4043" i="3"/>
  <c r="G4033" i="3"/>
  <c r="F4031" i="3"/>
  <c r="G4021" i="3"/>
  <c r="F4019" i="3"/>
  <c r="G4009" i="3"/>
  <c r="F4007" i="3"/>
  <c r="G3997" i="3"/>
  <c r="F3995" i="3"/>
  <c r="G3985" i="3"/>
  <c r="F3983" i="3"/>
  <c r="G3973" i="3"/>
  <c r="F3971" i="3"/>
  <c r="G3961" i="3"/>
  <c r="F3959" i="3"/>
  <c r="G3949" i="3"/>
  <c r="F3947" i="3"/>
  <c r="G3937" i="3"/>
  <c r="F3935" i="3"/>
  <c r="G3925" i="3"/>
  <c r="F3923" i="3"/>
  <c r="G3913" i="3"/>
  <c r="F3911" i="3"/>
  <c r="G3901" i="3"/>
  <c r="F3899" i="3"/>
  <c r="G3889" i="3"/>
  <c r="F3887" i="3"/>
  <c r="G3877" i="3"/>
  <c r="F3875" i="3"/>
  <c r="G3865" i="3"/>
  <c r="F3863" i="3"/>
  <c r="G3853" i="3"/>
  <c r="F3851" i="3"/>
  <c r="G3841" i="3"/>
  <c r="F3839" i="3"/>
  <c r="G3829" i="3"/>
  <c r="F3827" i="3"/>
  <c r="G3817" i="3"/>
  <c r="F3815" i="3"/>
  <c r="G3805" i="3"/>
  <c r="F3803" i="3"/>
  <c r="G3793" i="3"/>
  <c r="F3791" i="3"/>
  <c r="G3781" i="3"/>
  <c r="F3779" i="3"/>
  <c r="G3769" i="3"/>
  <c r="F3767" i="3"/>
  <c r="G3757" i="3"/>
  <c r="F3755" i="3"/>
  <c r="G3745" i="3"/>
  <c r="F3743" i="3"/>
  <c r="G3733" i="3"/>
  <c r="F3731" i="3"/>
  <c r="G3721" i="3"/>
  <c r="F3719" i="3"/>
  <c r="G3709" i="3"/>
  <c r="F3707" i="3"/>
  <c r="G3697" i="3"/>
  <c r="F3695" i="3"/>
  <c r="G3685" i="3"/>
  <c r="F3683" i="3"/>
  <c r="G3673" i="3"/>
  <c r="F3671" i="3"/>
  <c r="G3661" i="3"/>
  <c r="F3659" i="3"/>
  <c r="G3649" i="3"/>
  <c r="F3647" i="3"/>
  <c r="G3637" i="3"/>
  <c r="F3635" i="3"/>
  <c r="G3632" i="3"/>
  <c r="F3630" i="3"/>
  <c r="G3620" i="3"/>
  <c r="F3618" i="3"/>
  <c r="G3608" i="3"/>
  <c r="F3606" i="3"/>
  <c r="F3594" i="3"/>
  <c r="G3584" i="3"/>
  <c r="F3582" i="3"/>
  <c r="G3572" i="3"/>
  <c r="F3570" i="3"/>
  <c r="G3560" i="3"/>
  <c r="F3558" i="3"/>
  <c r="G3548" i="3"/>
  <c r="F3546" i="3"/>
  <c r="G3536" i="3"/>
  <c r="F3534" i="3"/>
  <c r="G3524" i="3"/>
  <c r="F3522" i="3"/>
  <c r="G3512" i="3"/>
  <c r="F3510" i="3"/>
  <c r="G3500" i="3"/>
  <c r="F3498" i="3"/>
  <c r="G3488" i="3"/>
  <c r="F3486" i="3"/>
  <c r="G3476" i="3"/>
  <c r="F3474" i="3"/>
  <c r="G3464" i="3"/>
  <c r="F3462" i="3"/>
  <c r="G3452" i="3"/>
  <c r="F3450" i="3"/>
  <c r="G3440" i="3"/>
  <c r="F3438" i="3"/>
  <c r="G3428" i="3"/>
  <c r="F3426" i="3"/>
  <c r="G3416" i="3"/>
  <c r="F3414" i="3"/>
  <c r="G3404" i="3"/>
  <c r="F3402" i="3"/>
  <c r="G3392" i="3"/>
  <c r="F3390" i="3"/>
  <c r="F3378" i="3"/>
  <c r="G3368" i="3"/>
  <c r="F3366" i="3"/>
  <c r="G3356" i="3"/>
  <c r="F3354" i="3"/>
  <c r="G3344" i="3"/>
  <c r="F3342" i="3"/>
  <c r="G3332" i="3"/>
  <c r="G3320" i="3"/>
  <c r="F3318" i="3"/>
  <c r="G3308" i="3"/>
  <c r="F3306" i="3"/>
  <c r="G3296" i="3"/>
  <c r="F3294" i="3"/>
  <c r="G3284" i="3"/>
  <c r="F3282" i="3"/>
  <c r="G3272" i="3"/>
  <c r="F3270" i="3"/>
  <c r="G3260" i="3"/>
  <c r="F3258" i="3"/>
  <c r="F3246" i="3"/>
  <c r="G3212" i="3"/>
  <c r="F3210" i="3"/>
  <c r="G3200" i="3"/>
  <c r="F3198" i="3"/>
  <c r="G3188" i="3"/>
  <c r="F3186" i="3"/>
  <c r="G3176" i="3"/>
  <c r="F3174" i="3"/>
  <c r="G325" i="3"/>
  <c r="F323" i="3"/>
  <c r="G313" i="3"/>
  <c r="F311" i="3"/>
  <c r="G301" i="3"/>
  <c r="F299" i="3"/>
  <c r="G289" i="3"/>
  <c r="F287" i="3"/>
  <c r="G277" i="3"/>
  <c r="F275" i="3"/>
  <c r="G265" i="3"/>
  <c r="F263" i="3"/>
  <c r="G253" i="3"/>
  <c r="F251" i="3"/>
  <c r="G241" i="3"/>
  <c r="F239" i="3"/>
  <c r="G229" i="3"/>
  <c r="F227" i="3"/>
  <c r="G217" i="3"/>
  <c r="F215" i="3"/>
  <c r="G205" i="3"/>
  <c r="F203" i="3"/>
  <c r="G193" i="3"/>
  <c r="F191" i="3"/>
  <c r="G181" i="3"/>
  <c r="F179" i="3"/>
  <c r="G169" i="3"/>
  <c r="F167" i="3"/>
  <c r="G157" i="3"/>
  <c r="F155" i="3"/>
  <c r="G145" i="3"/>
  <c r="F143" i="3"/>
  <c r="G133" i="3"/>
  <c r="F131" i="3"/>
  <c r="G121" i="3"/>
  <c r="F119" i="3"/>
  <c r="G109" i="3"/>
  <c r="F107" i="3"/>
  <c r="G97" i="3"/>
  <c r="F95" i="3"/>
  <c r="G85" i="3"/>
  <c r="F83" i="3"/>
  <c r="G73" i="3"/>
  <c r="F71" i="3"/>
  <c r="G61" i="3"/>
  <c r="F59" i="3"/>
  <c r="G49" i="3"/>
  <c r="F47" i="3"/>
  <c r="G37" i="3"/>
  <c r="F35" i="3"/>
  <c r="G25" i="3"/>
  <c r="F23" i="3"/>
  <c r="G13" i="3"/>
  <c r="F11" i="3"/>
  <c r="G4750" i="3"/>
  <c r="F4736" i="3"/>
  <c r="G4726" i="3"/>
  <c r="F4712" i="3"/>
  <c r="G4702" i="3"/>
  <c r="F4688" i="3"/>
  <c r="G4678" i="3"/>
  <c r="F4664" i="3"/>
  <c r="G4654" i="3"/>
  <c r="F4640" i="3"/>
  <c r="G4630" i="3"/>
  <c r="F4616" i="3"/>
  <c r="F4604" i="3"/>
  <c r="G4594" i="3"/>
  <c r="F4592" i="3"/>
  <c r="F4580" i="3"/>
  <c r="F4568" i="3"/>
  <c r="G4558" i="3"/>
  <c r="F4556" i="3"/>
  <c r="F4544" i="3"/>
  <c r="F4532" i="3"/>
  <c r="G4522" i="3"/>
  <c r="F4520" i="3"/>
  <c r="F4508" i="3"/>
  <c r="F4496" i="3"/>
  <c r="G4486" i="3"/>
  <c r="F4484" i="3"/>
  <c r="F4472" i="3"/>
  <c r="F4460" i="3"/>
  <c r="F4448" i="3"/>
  <c r="F4436" i="3"/>
  <c r="G4426" i="3"/>
  <c r="F4424" i="3"/>
  <c r="G4414" i="3"/>
  <c r="F4412" i="3"/>
  <c r="G4402" i="3"/>
  <c r="F4400" i="3"/>
  <c r="G4390" i="3"/>
  <c r="F4388" i="3"/>
  <c r="G4378" i="3"/>
  <c r="F4376" i="3"/>
  <c r="F4364" i="3"/>
  <c r="G4354" i="3"/>
  <c r="G4342" i="3"/>
  <c r="F4340" i="3"/>
  <c r="G4330" i="3"/>
  <c r="F4328" i="3"/>
  <c r="G4318" i="3"/>
  <c r="F4316" i="3"/>
  <c r="G4306" i="3"/>
  <c r="F4304" i="3"/>
  <c r="G4294" i="3"/>
  <c r="F4292" i="3"/>
  <c r="G4282" i="3"/>
  <c r="F4280" i="3"/>
  <c r="G4270" i="3"/>
  <c r="F4268" i="3"/>
  <c r="G4258" i="3"/>
  <c r="F4256" i="3"/>
  <c r="G4246" i="3"/>
  <c r="F4244" i="3"/>
  <c r="G4234" i="3"/>
  <c r="F4232" i="3"/>
  <c r="G4222" i="3"/>
  <c r="F4220" i="3"/>
  <c r="G4210" i="3"/>
  <c r="F4208" i="3"/>
  <c r="G4198" i="3"/>
  <c r="F4196" i="3"/>
  <c r="G4186" i="3"/>
  <c r="F4184" i="3"/>
  <c r="G4174" i="3"/>
  <c r="F4172" i="3"/>
  <c r="G4162" i="3"/>
  <c r="F4160" i="3"/>
  <c r="G4150" i="3"/>
  <c r="F4148" i="3"/>
  <c r="G4138" i="3"/>
  <c r="F4136" i="3"/>
  <c r="G4126" i="3"/>
  <c r="F4124" i="3"/>
  <c r="G4114" i="3"/>
  <c r="F4112" i="3"/>
  <c r="G4102" i="3"/>
  <c r="F4100" i="3"/>
  <c r="G4090" i="3"/>
  <c r="F4088" i="3"/>
  <c r="G4078" i="3"/>
  <c r="F4076" i="3"/>
  <c r="G4066" i="3"/>
  <c r="F4064" i="3"/>
  <c r="G4054" i="3"/>
  <c r="F4052" i="3"/>
  <c r="G4042" i="3"/>
  <c r="F4040" i="3"/>
  <c r="G4030" i="3"/>
  <c r="F4028" i="3"/>
  <c r="G4018" i="3"/>
  <c r="F4016" i="3"/>
  <c r="G4006" i="3"/>
  <c r="F4004" i="3"/>
  <c r="G3994" i="3"/>
  <c r="F3992" i="3"/>
  <c r="G3982" i="3"/>
  <c r="F3980" i="3"/>
  <c r="G3970" i="3"/>
  <c r="F3968" i="3"/>
  <c r="G3958" i="3"/>
  <c r="F3956" i="3"/>
  <c r="G3946" i="3"/>
  <c r="F3944" i="3"/>
  <c r="G3934" i="3"/>
  <c r="F3932" i="3"/>
  <c r="G3922" i="3"/>
  <c r="F3920" i="3"/>
  <c r="G3910" i="3"/>
  <c r="F3908" i="3"/>
  <c r="G3898" i="3"/>
  <c r="F3896" i="3"/>
  <c r="G3886" i="3"/>
  <c r="F3884" i="3"/>
  <c r="G3874" i="3"/>
  <c r="F3872" i="3"/>
  <c r="G3862" i="3"/>
  <c r="F3860" i="3"/>
  <c r="G3850" i="3"/>
  <c r="F3848" i="3"/>
  <c r="G3838" i="3"/>
  <c r="F3836" i="3"/>
  <c r="G3826" i="3"/>
  <c r="F3824" i="3"/>
  <c r="G3814" i="3"/>
  <c r="F3812" i="3"/>
  <c r="G3802" i="3"/>
  <c r="F3800" i="3"/>
  <c r="G3790" i="3"/>
  <c r="F3788" i="3"/>
  <c r="G3778" i="3"/>
  <c r="F3776" i="3"/>
  <c r="G3766" i="3"/>
  <c r="F3764" i="3"/>
  <c r="G3754" i="3"/>
  <c r="F3752" i="3"/>
  <c r="G3742" i="3"/>
  <c r="F3740" i="3"/>
  <c r="G3730" i="3"/>
  <c r="F3728" i="3"/>
  <c r="G3718" i="3"/>
  <c r="F3716" i="3"/>
  <c r="G3706" i="3"/>
  <c r="F3704" i="3"/>
  <c r="G3694" i="3"/>
  <c r="F3692" i="3"/>
  <c r="G3682" i="3"/>
  <c r="F3680" i="3"/>
  <c r="G3670" i="3"/>
  <c r="F3668" i="3"/>
  <c r="G3658" i="3"/>
  <c r="F3656" i="3"/>
  <c r="G3646" i="3"/>
  <c r="F3644" i="3"/>
  <c r="G3634" i="3"/>
  <c r="G3629" i="3"/>
  <c r="F3627" i="3"/>
  <c r="G3617" i="3"/>
  <c r="F3615" i="3"/>
  <c r="G3605" i="3"/>
  <c r="F3603" i="3"/>
  <c r="G3593" i="3"/>
  <c r="F3591" i="3"/>
  <c r="G3581" i="3"/>
  <c r="F3579" i="3"/>
  <c r="G3569" i="3"/>
  <c r="F3567" i="3"/>
  <c r="G3557" i="3"/>
  <c r="G3545" i="3"/>
  <c r="F3543" i="3"/>
  <c r="G3533" i="3"/>
  <c r="F3531" i="3"/>
  <c r="G3521" i="3"/>
  <c r="F3519" i="3"/>
  <c r="G3509" i="3"/>
  <c r="F3507" i="3"/>
  <c r="G3497" i="3"/>
  <c r="F3495" i="3"/>
  <c r="G3485" i="3"/>
  <c r="F3483" i="3"/>
  <c r="G3473" i="3"/>
  <c r="F3471" i="3"/>
  <c r="G3461" i="3"/>
  <c r="F3459" i="3"/>
  <c r="G3449" i="3"/>
  <c r="F3447" i="3"/>
  <c r="G3437" i="3"/>
  <c r="F3435" i="3"/>
  <c r="G3425" i="3"/>
  <c r="F3423" i="3"/>
  <c r="F3387" i="3"/>
  <c r="F3363" i="3"/>
  <c r="F3291" i="3"/>
  <c r="F3267" i="3"/>
  <c r="F90" i="3"/>
  <c r="G80" i="3"/>
  <c r="F78" i="3"/>
  <c r="G68" i="3"/>
  <c r="F66" i="3"/>
  <c r="G56" i="3"/>
  <c r="F54" i="3"/>
  <c r="G44" i="3"/>
  <c r="F42" i="3"/>
  <c r="G32" i="3"/>
  <c r="F30" i="3"/>
  <c r="G20" i="3"/>
  <c r="F18" i="3"/>
  <c r="G8" i="3"/>
  <c r="F6" i="3"/>
  <c r="G4745" i="3"/>
  <c r="F4743" i="3"/>
  <c r="G4733" i="3"/>
  <c r="G4721" i="3"/>
  <c r="F4719" i="3"/>
  <c r="G4709" i="3"/>
  <c r="G4697" i="3"/>
  <c r="F4695" i="3"/>
  <c r="G4685" i="3"/>
  <c r="G4673" i="3"/>
  <c r="F4671" i="3"/>
  <c r="G4661" i="3"/>
  <c r="G4649" i="3"/>
  <c r="F4647" i="3"/>
  <c r="G4637" i="3"/>
  <c r="G4625" i="3"/>
  <c r="F4623" i="3"/>
  <c r="G4613" i="3"/>
  <c r="G4601" i="3"/>
  <c r="F4599" i="3"/>
  <c r="G4589" i="3"/>
  <c r="F4587" i="3"/>
  <c r="G4577" i="3"/>
  <c r="G4565" i="3"/>
  <c r="F4563" i="3"/>
  <c r="G4553" i="3"/>
  <c r="F4551" i="3"/>
  <c r="G4541" i="3"/>
  <c r="G4529" i="3"/>
  <c r="F4527" i="3"/>
  <c r="G4517" i="3"/>
  <c r="F4515" i="3"/>
  <c r="G4505" i="3"/>
  <c r="G4493" i="3"/>
  <c r="F4491" i="3"/>
  <c r="G4481" i="3"/>
  <c r="F4479" i="3"/>
  <c r="G4469" i="3"/>
  <c r="F4467" i="3"/>
  <c r="G4457" i="3"/>
  <c r="F4455" i="3"/>
  <c r="G4445" i="3"/>
  <c r="F4443" i="3"/>
  <c r="G4433" i="3"/>
  <c r="F4431" i="3"/>
  <c r="G4421" i="3"/>
  <c r="F4419" i="3"/>
  <c r="G4409" i="3"/>
  <c r="F4407" i="3"/>
  <c r="G4397" i="3"/>
  <c r="F4395" i="3"/>
  <c r="G4385" i="3"/>
  <c r="F4383" i="3"/>
  <c r="G4373" i="3"/>
  <c r="F4371" i="3"/>
  <c r="G4361" i="3"/>
  <c r="F4359" i="3"/>
  <c r="G4349" i="3"/>
  <c r="F4347" i="3"/>
  <c r="G4337" i="3"/>
  <c r="G4325" i="3"/>
  <c r="F4323" i="3"/>
  <c r="G4313" i="3"/>
  <c r="F4311" i="3"/>
  <c r="G4301" i="3"/>
  <c r="F4299" i="3"/>
  <c r="G4289" i="3"/>
  <c r="F4287" i="3"/>
  <c r="G4277" i="3"/>
  <c r="F4275" i="3"/>
  <c r="G4265" i="3"/>
  <c r="F4263" i="3"/>
  <c r="G4253" i="3"/>
  <c r="F4251" i="3"/>
  <c r="G4241" i="3"/>
  <c r="F4239" i="3"/>
  <c r="G4229" i="3"/>
  <c r="F4227" i="3"/>
  <c r="G4217" i="3"/>
  <c r="F4215" i="3"/>
  <c r="G4205" i="3"/>
  <c r="F4203" i="3"/>
  <c r="G4193" i="3"/>
  <c r="F4191" i="3"/>
  <c r="G4181" i="3"/>
  <c r="F4179" i="3"/>
  <c r="G4169" i="3"/>
  <c r="F4167" i="3"/>
  <c r="G4157" i="3"/>
  <c r="F4155" i="3"/>
  <c r="G4145" i="3"/>
  <c r="F4143" i="3"/>
  <c r="G4133" i="3"/>
  <c r="F4131" i="3"/>
  <c r="G4121" i="3"/>
  <c r="F4119" i="3"/>
  <c r="G4109" i="3"/>
  <c r="F4107" i="3"/>
  <c r="G4097" i="3"/>
  <c r="F4095" i="3"/>
  <c r="G4085" i="3"/>
  <c r="F4083" i="3"/>
  <c r="G4073" i="3"/>
  <c r="F4071" i="3"/>
  <c r="G4061" i="3"/>
  <c r="F4059" i="3"/>
  <c r="G4049" i="3"/>
  <c r="F4047" i="3"/>
  <c r="G4037" i="3"/>
  <c r="F4035" i="3"/>
  <c r="G4025" i="3"/>
  <c r="F4023" i="3"/>
  <c r="G4013" i="3"/>
  <c r="F4011" i="3"/>
  <c r="G4001" i="3"/>
  <c r="F3999" i="3"/>
  <c r="G3989" i="3"/>
  <c r="F3987" i="3"/>
  <c r="G3977" i="3"/>
  <c r="F3975" i="3"/>
  <c r="G3965" i="3"/>
  <c r="F3963" i="3"/>
  <c r="G3953" i="3"/>
  <c r="F3951" i="3"/>
  <c r="G3941" i="3"/>
  <c r="F3939" i="3"/>
  <c r="G3929" i="3"/>
  <c r="F3927" i="3"/>
  <c r="G3917" i="3"/>
  <c r="F3915" i="3"/>
  <c r="G3905" i="3"/>
  <c r="F3903" i="3"/>
  <c r="G3893" i="3"/>
  <c r="F3891" i="3"/>
  <c r="G3881" i="3"/>
  <c r="F3879" i="3"/>
  <c r="G3869" i="3"/>
  <c r="F3867" i="3"/>
  <c r="G3857" i="3"/>
  <c r="F3855" i="3"/>
  <c r="G3845" i="3"/>
  <c r="F3843" i="3"/>
  <c r="G3833" i="3"/>
  <c r="F3831" i="3"/>
  <c r="G3821" i="3"/>
  <c r="F3819" i="3"/>
  <c r="G3809" i="3"/>
  <c r="F3807" i="3"/>
  <c r="G3797" i="3"/>
  <c r="F3795" i="3"/>
  <c r="G3785" i="3"/>
  <c r="F3783" i="3"/>
  <c r="G3773" i="3"/>
  <c r="F3771" i="3"/>
  <c r="G3761" i="3"/>
  <c r="F3759" i="3"/>
  <c r="G3749" i="3"/>
  <c r="F3747" i="3"/>
  <c r="G3737" i="3"/>
  <c r="F3735" i="3"/>
  <c r="G3725" i="3"/>
  <c r="F3723" i="3"/>
  <c r="G3713" i="3"/>
  <c r="F3711" i="3"/>
  <c r="G3701" i="3"/>
  <c r="F3699" i="3"/>
  <c r="G3689" i="3"/>
  <c r="F3687" i="3"/>
  <c r="G3677" i="3"/>
  <c r="F3675" i="3"/>
  <c r="G3665" i="3"/>
  <c r="G3653" i="3"/>
  <c r="F3651" i="3"/>
  <c r="G3641" i="3"/>
  <c r="F3639" i="3"/>
  <c r="G3624" i="3"/>
  <c r="F3622" i="3"/>
  <c r="G3612" i="3"/>
  <c r="F3610" i="3"/>
  <c r="G3600" i="3"/>
  <c r="F3598" i="3"/>
  <c r="G3588" i="3"/>
  <c r="F3586" i="3"/>
  <c r="G3576" i="3"/>
  <c r="F3574" i="3"/>
  <c r="G3564" i="3"/>
  <c r="F3562" i="3"/>
  <c r="G3552" i="3"/>
  <c r="F3550" i="3"/>
  <c r="G3540" i="3"/>
  <c r="F3538" i="3"/>
  <c r="G3528" i="3"/>
  <c r="F3526" i="3"/>
  <c r="G3413" i="3"/>
  <c r="F3411" i="3"/>
  <c r="G3401" i="3"/>
  <c r="F3399" i="3"/>
  <c r="G3389" i="3"/>
  <c r="G3377" i="3"/>
  <c r="F3375" i="3"/>
  <c r="G3365" i="3"/>
  <c r="G3353" i="3"/>
  <c r="F3351" i="3"/>
  <c r="G3341" i="3"/>
  <c r="F3339" i="3"/>
  <c r="G3329" i="3"/>
  <c r="F3327" i="3"/>
  <c r="G3317" i="3"/>
  <c r="F3315" i="3"/>
  <c r="G3305" i="3"/>
  <c r="F3303" i="3"/>
  <c r="G3293" i="3"/>
  <c r="G3281" i="3"/>
  <c r="F3279" i="3"/>
  <c r="G3269" i="3"/>
  <c r="G3257" i="3"/>
  <c r="F3255" i="3"/>
  <c r="G3245" i="3"/>
  <c r="F3243" i="3"/>
  <c r="G3233" i="3"/>
  <c r="F3231" i="3"/>
  <c r="G3221" i="3"/>
  <c r="F3219" i="3"/>
  <c r="G3209" i="3"/>
  <c r="F3207" i="3"/>
  <c r="G3197" i="3"/>
  <c r="G3185" i="3"/>
  <c r="F3183" i="3"/>
  <c r="G3173" i="3"/>
  <c r="G3161" i="3"/>
  <c r="F3159" i="3"/>
  <c r="G3149" i="3"/>
  <c r="F3147" i="3"/>
  <c r="G3137" i="3"/>
  <c r="F3135" i="3"/>
  <c r="G3125" i="3"/>
  <c r="F3123" i="3"/>
  <c r="G3113" i="3"/>
  <c r="F3111" i="3"/>
  <c r="G3101" i="3"/>
  <c r="F3099" i="3"/>
  <c r="G3089" i="3"/>
  <c r="F3087" i="3"/>
  <c r="G3077" i="3"/>
  <c r="G3065" i="3"/>
  <c r="F3063" i="3"/>
  <c r="G3053" i="3"/>
  <c r="F3051" i="3"/>
  <c r="G3511" i="3"/>
  <c r="F3509" i="3"/>
  <c r="G3499" i="3"/>
  <c r="G3487" i="3"/>
  <c r="F3485" i="3"/>
  <c r="G3475" i="3"/>
  <c r="F3473" i="3"/>
  <c r="G3463" i="3"/>
  <c r="F3461" i="3"/>
  <c r="G3451" i="3"/>
  <c r="F3449" i="3"/>
  <c r="G3439" i="3"/>
  <c r="F3437" i="3"/>
  <c r="G3415" i="3"/>
  <c r="F3413" i="3"/>
  <c r="G3403" i="3"/>
  <c r="G3391" i="3"/>
  <c r="F3389" i="3"/>
  <c r="G3379" i="3"/>
  <c r="F3377" i="3"/>
  <c r="G3367" i="3"/>
  <c r="F3365" i="3"/>
  <c r="G3355" i="3"/>
  <c r="F3353" i="3"/>
  <c r="G3343" i="3"/>
  <c r="F3341" i="3"/>
  <c r="G3319" i="3"/>
  <c r="F3317" i="3"/>
  <c r="G3307" i="3"/>
  <c r="G3295" i="3"/>
  <c r="F3293" i="3"/>
  <c r="G3283" i="3"/>
  <c r="F3281" i="3"/>
  <c r="G3271" i="3"/>
  <c r="F3269" i="3"/>
  <c r="G3259" i="3"/>
  <c r="F3257" i="3"/>
  <c r="G3247" i="3"/>
  <c r="F3245" i="3"/>
  <c r="G3223" i="3"/>
  <c r="F3221" i="3"/>
  <c r="G3211" i="3"/>
  <c r="F3197" i="3"/>
  <c r="F3185" i="3"/>
  <c r="G3175" i="3"/>
  <c r="F3173" i="3"/>
  <c r="G3163" i="3"/>
  <c r="F3161" i="3"/>
  <c r="G3151" i="3"/>
  <c r="F3396" i="3"/>
  <c r="G3386" i="3"/>
  <c r="F3384" i="3"/>
  <c r="F3360" i="3"/>
  <c r="F3312" i="3"/>
  <c r="G3302" i="3"/>
  <c r="F3300" i="3"/>
  <c r="F3288" i="3"/>
  <c r="F3276" i="3"/>
  <c r="G3254" i="3"/>
  <c r="F3252" i="3"/>
  <c r="G3206" i="3"/>
  <c r="F3204" i="3"/>
  <c r="F3192" i="3"/>
  <c r="F3470" i="3"/>
  <c r="F3362" i="3"/>
  <c r="F3326" i="3"/>
  <c r="F3302" i="3"/>
  <c r="G3292" i="3"/>
  <c r="F3657" i="3"/>
  <c r="G3611" i="3"/>
  <c r="F3609" i="3"/>
  <c r="F3597" i="3"/>
  <c r="G3587" i="3"/>
  <c r="F3585" i="3"/>
  <c r="G3563" i="3"/>
  <c r="F3561" i="3"/>
  <c r="F3549" i="3"/>
  <c r="F3537" i="3"/>
  <c r="F3525" i="3"/>
  <c r="F3513" i="3"/>
  <c r="F3489" i="3"/>
  <c r="F3477" i="3"/>
  <c r="G3455" i="3"/>
  <c r="F3453" i="3"/>
  <c r="F3441" i="3"/>
  <c r="F3429" i="3"/>
  <c r="F3417" i="3"/>
  <c r="F3381" i="3"/>
  <c r="G3347" i="3"/>
  <c r="F3345" i="3"/>
  <c r="F3333" i="3"/>
  <c r="G3311" i="3"/>
  <c r="F3285" i="3"/>
  <c r="F3273" i="3"/>
  <c r="G3263" i="3"/>
  <c r="F3261" i="3"/>
  <c r="F3249" i="3"/>
  <c r="F3237" i="3"/>
  <c r="F3225" i="3"/>
  <c r="G3654" i="3"/>
  <c r="F3652" i="3"/>
  <c r="G3642" i="3"/>
  <c r="F3640" i="3"/>
  <c r="G3630" i="3"/>
  <c r="G3618" i="3"/>
  <c r="G3606" i="3"/>
  <c r="F3604" i="3"/>
  <c r="G3594" i="3"/>
  <c r="F3592" i="3"/>
  <c r="G3582" i="3"/>
  <c r="G3570" i="3"/>
  <c r="G3558" i="3"/>
  <c r="F3556" i="3"/>
  <c r="G3546" i="3"/>
  <c r="F3544" i="3"/>
  <c r="G3534" i="3"/>
  <c r="G3522" i="3"/>
  <c r="F3520" i="3"/>
  <c r="G3510" i="3"/>
  <c r="F3508" i="3"/>
  <c r="G3498" i="3"/>
  <c r="F3496" i="3"/>
  <c r="G3486" i="3"/>
  <c r="G3474" i="3"/>
  <c r="F3472" i="3"/>
  <c r="G3462" i="3"/>
  <c r="G3450" i="3"/>
  <c r="F3448" i="3"/>
  <c r="G3438" i="3"/>
  <c r="F3436" i="3"/>
  <c r="G3426" i="3"/>
  <c r="F3424" i="3"/>
  <c r="G3414" i="3"/>
  <c r="F3412" i="3"/>
  <c r="G3402" i="3"/>
  <c r="F3400" i="3"/>
  <c r="G3390" i="3"/>
  <c r="G3378" i="3"/>
  <c r="F3376" i="3"/>
  <c r="G3366" i="3"/>
  <c r="G3354" i="3"/>
  <c r="F3352" i="3"/>
  <c r="G3342" i="3"/>
  <c r="F3340" i="3"/>
  <c r="G3330" i="3"/>
  <c r="F3328" i="3"/>
  <c r="G3318" i="3"/>
  <c r="F3316" i="3"/>
  <c r="G3306" i="3"/>
  <c r="F3304" i="3"/>
  <c r="G3294" i="3"/>
  <c r="G3282" i="3"/>
  <c r="F3280" i="3"/>
  <c r="G3270" i="3"/>
  <c r="G3258" i="3"/>
  <c r="F3256" i="3"/>
  <c r="G3246" i="3"/>
  <c r="F3244" i="3"/>
  <c r="G3234" i="3"/>
  <c r="F3232" i="3"/>
  <c r="G3222" i="3"/>
  <c r="F3220" i="3"/>
  <c r="G3210" i="3"/>
  <c r="F3208" i="3"/>
  <c r="G3198" i="3"/>
  <c r="G3186" i="3"/>
  <c r="F3184" i="3"/>
  <c r="G3174" i="3"/>
  <c r="G3162" i="3"/>
  <c r="F3160" i="3"/>
  <c r="G3150" i="3"/>
  <c r="F3148" i="3"/>
  <c r="G3138" i="3"/>
  <c r="F3136" i="3"/>
  <c r="G3126" i="3"/>
  <c r="F3124" i="3"/>
  <c r="G3114" i="3"/>
  <c r="F3112" i="3"/>
  <c r="G3102" i="3"/>
  <c r="F3100" i="3"/>
  <c r="G3090" i="3"/>
  <c r="F3088" i="3"/>
  <c r="G3078" i="3"/>
  <c r="F3076" i="3"/>
  <c r="G3066" i="3"/>
  <c r="F3064" i="3"/>
  <c r="G3054" i="3"/>
  <c r="F3052" i="3"/>
  <c r="F3149" i="3"/>
  <c r="G3127" i="3"/>
  <c r="F3077" i="3"/>
  <c r="G3055" i="3"/>
  <c r="F3053" i="3"/>
  <c r="G3146" i="3"/>
  <c r="F3144" i="3"/>
  <c r="F3096" i="3"/>
  <c r="F3084" i="3"/>
  <c r="G3141" i="3"/>
  <c r="F3139" i="3"/>
  <c r="F3127" i="3"/>
  <c r="G3117" i="3"/>
  <c r="F3115" i="3"/>
  <c r="F3103" i="3"/>
  <c r="G3093" i="3"/>
  <c r="F3091" i="3"/>
  <c r="F3079" i="3"/>
  <c r="G3069" i="3"/>
  <c r="F3067" i="3"/>
  <c r="F3055" i="3"/>
  <c r="G3045" i="3"/>
  <c r="AR4790" i="2"/>
  <c r="AS4790" i="2"/>
  <c r="H10" i="5" l="1"/>
  <c r="H37" i="5"/>
  <c r="H33" i="5"/>
  <c r="H29" i="5"/>
  <c r="H25" i="5"/>
  <c r="H21" i="5"/>
  <c r="H17" i="5"/>
  <c r="H13" i="5"/>
  <c r="H9" i="5"/>
  <c r="H5" i="5"/>
  <c r="H36" i="5"/>
  <c r="H32" i="5"/>
  <c r="H28" i="5"/>
  <c r="B2" i="5"/>
  <c r="D2" i="5"/>
  <c r="H24" i="5"/>
  <c r="H20" i="5"/>
  <c r="H16" i="5"/>
  <c r="H12" i="5"/>
  <c r="H8" i="5"/>
  <c r="H4" i="5"/>
  <c r="H35" i="5"/>
  <c r="H31" i="5"/>
  <c r="H27" i="5"/>
  <c r="H23" i="5"/>
  <c r="H19" i="5"/>
  <c r="H15" i="5"/>
  <c r="H11" i="5"/>
  <c r="H7" i="5"/>
  <c r="H3" i="5"/>
  <c r="H34" i="5"/>
  <c r="H30" i="5"/>
  <c r="H38" i="5"/>
  <c r="H22" i="5"/>
  <c r="H18" i="5"/>
  <c r="H26" i="5"/>
  <c r="H6" i="5"/>
  <c r="H14" i="5"/>
  <c r="AQ4790" i="2"/>
  <c r="AP4790" i="2"/>
  <c r="AO4790" i="2"/>
  <c r="N2414" i="2"/>
  <c r="AN4790" i="2"/>
  <c r="AM4790" i="2"/>
  <c r="AL4165" i="2"/>
  <c r="AL4164" i="2"/>
  <c r="H2" i="5" l="1"/>
  <c r="AL4790" i="2"/>
  <c r="AK3533" i="2"/>
  <c r="AK4790" i="2" s="1"/>
  <c r="AJ4706" i="2"/>
  <c r="AJ4790" i="2" s="1"/>
  <c r="X4706" i="2"/>
  <c r="Q4706" i="2"/>
  <c r="Q3461" i="2"/>
  <c r="Q2872" i="2"/>
  <c r="N4255" i="2" l="1"/>
  <c r="AI2464" i="2"/>
  <c r="N3464" i="2"/>
  <c r="N3648" i="2"/>
  <c r="AI4738" i="2"/>
  <c r="AI4737" i="2"/>
  <c r="AI4655" i="2"/>
  <c r="AI4649" i="2"/>
  <c r="AI4647" i="2"/>
  <c r="AI4636" i="2"/>
  <c r="AI4635" i="2"/>
  <c r="AI4602" i="2"/>
  <c r="AI4570" i="2"/>
  <c r="AI4502" i="2"/>
  <c r="AI4461" i="2"/>
  <c r="AI4444" i="2"/>
  <c r="AI4428" i="2"/>
  <c r="AI4426" i="2"/>
  <c r="AI4412" i="2"/>
  <c r="AI4406" i="2"/>
  <c r="AI4361" i="2"/>
  <c r="AI4259" i="2"/>
  <c r="AI4221" i="2"/>
  <c r="AI4175" i="2"/>
  <c r="AI4161" i="2"/>
  <c r="AI4151" i="2"/>
  <c r="AI4147" i="2"/>
  <c r="AI4124" i="2"/>
  <c r="AI4121" i="2"/>
  <c r="AI4119" i="2"/>
  <c r="AI4073" i="2"/>
  <c r="AI4065" i="2"/>
  <c r="AI4061" i="2"/>
  <c r="AI4058" i="2"/>
  <c r="AI4055" i="2"/>
  <c r="AI4001" i="2"/>
  <c r="AI3991" i="2"/>
  <c r="AI3967" i="2"/>
  <c r="AI3964" i="2"/>
  <c r="AI3963" i="2"/>
  <c r="AI3962" i="2"/>
  <c r="AI3953" i="2"/>
  <c r="AI3951" i="2"/>
  <c r="AI3946" i="2"/>
  <c r="AI3942" i="2"/>
  <c r="AI3936" i="2"/>
  <c r="AI3918" i="2"/>
  <c r="AI3815" i="2"/>
  <c r="AI3811" i="2"/>
  <c r="AI3776" i="2"/>
  <c r="AI3775" i="2"/>
  <c r="AI3696" i="2"/>
  <c r="AI3640" i="2"/>
  <c r="AI3639" i="2"/>
  <c r="AI3592" i="2"/>
  <c r="AI3574" i="2"/>
  <c r="AI3573" i="2"/>
  <c r="AI3572" i="2"/>
  <c r="AI3530" i="2"/>
  <c r="AI3382" i="2"/>
  <c r="AI3240" i="2"/>
  <c r="AI3239" i="2"/>
  <c r="AI3235" i="2"/>
  <c r="AI3234" i="2"/>
  <c r="AI3185" i="2"/>
  <c r="AI3141" i="2"/>
  <c r="AI3128" i="2"/>
  <c r="AI3127" i="2"/>
  <c r="AI3048" i="2"/>
  <c r="AI3019" i="2"/>
  <c r="AI3018" i="2"/>
  <c r="AI3017" i="2"/>
  <c r="AI2811" i="2"/>
  <c r="AI2790" i="2"/>
  <c r="AI2579" i="2"/>
  <c r="AI2575" i="2"/>
  <c r="AI2574" i="2"/>
  <c r="AI2573" i="2"/>
  <c r="AI2463" i="2"/>
  <c r="AI2462" i="2"/>
  <c r="AI2419" i="2"/>
  <c r="AI2418" i="2"/>
  <c r="AI2382" i="2"/>
  <c r="AI2381" i="2"/>
  <c r="AI2380" i="2"/>
  <c r="AI2315" i="2"/>
  <c r="AI2314" i="2"/>
  <c r="AI2298" i="2"/>
  <c r="AI2297" i="2"/>
  <c r="AI2262" i="2"/>
  <c r="AI2187" i="2"/>
  <c r="AI2186" i="2"/>
  <c r="AI2185" i="2"/>
  <c r="AI2179" i="2"/>
  <c r="AI2178" i="2"/>
  <c r="AI1996" i="2"/>
  <c r="AI1974" i="2"/>
  <c r="AI1949" i="2"/>
  <c r="AI1948" i="2"/>
  <c r="AI1850" i="2"/>
  <c r="AI1814" i="2"/>
  <c r="AI1812" i="2"/>
  <c r="AI1787" i="2"/>
  <c r="AI1709" i="2"/>
  <c r="AI1688" i="2"/>
  <c r="AI1687" i="2"/>
  <c r="AI1686" i="2"/>
  <c r="AI1667" i="2"/>
  <c r="AI1666" i="2"/>
  <c r="AI1665" i="2"/>
  <c r="AI1664" i="2"/>
  <c r="AI1663" i="2"/>
  <c r="AI1662" i="2"/>
  <c r="AI1619" i="2"/>
  <c r="AI1617" i="2"/>
  <c r="AI1607" i="2"/>
  <c r="AI1523" i="2"/>
  <c r="AI1412" i="2"/>
  <c r="AI1411" i="2"/>
  <c r="AI1410" i="2"/>
  <c r="AI1409" i="2"/>
  <c r="AI1362" i="2"/>
  <c r="AI1361" i="2"/>
  <c r="AI1360" i="2"/>
  <c r="AI1274" i="2"/>
  <c r="AI1273" i="2"/>
  <c r="AI1272" i="2"/>
  <c r="AI1268" i="2"/>
  <c r="AI1205" i="2"/>
  <c r="AI1204" i="2"/>
  <c r="AI1129" i="2"/>
  <c r="AI1080" i="2"/>
  <c r="AI1079" i="2"/>
  <c r="AI934" i="2"/>
  <c r="AI933" i="2"/>
  <c r="AI868" i="2"/>
  <c r="AI844" i="2"/>
  <c r="AI777" i="2"/>
  <c r="AI654" i="2"/>
  <c r="AI589" i="2"/>
  <c r="AI588" i="2"/>
  <c r="AI587" i="2"/>
  <c r="AI586" i="2"/>
  <c r="AI555" i="2"/>
  <c r="AI554" i="2"/>
  <c r="AI523" i="2"/>
  <c r="AI522" i="2"/>
  <c r="AI507" i="2"/>
  <c r="AI506" i="2"/>
  <c r="AI505" i="2"/>
  <c r="AI407" i="2"/>
  <c r="AI406" i="2"/>
  <c r="AI295" i="2"/>
  <c r="AI258" i="2"/>
  <c r="AI148" i="2"/>
  <c r="AI10" i="2"/>
  <c r="AH4415" i="2"/>
  <c r="AH4405" i="2"/>
  <c r="AH4401" i="2"/>
  <c r="AH4400" i="2"/>
  <c r="AH4396" i="2"/>
  <c r="AH4395" i="2"/>
  <c r="AH4384" i="2"/>
  <c r="AH4383" i="2"/>
  <c r="AH4380" i="2"/>
  <c r="AH4357" i="2"/>
  <c r="AH4349" i="2"/>
  <c r="AH4295" i="2"/>
  <c r="AH4294" i="2"/>
  <c r="AH4292" i="2"/>
  <c r="AH4291" i="2"/>
  <c r="AH4279" i="2"/>
  <c r="AH4256" i="2"/>
  <c r="AH4250" i="2"/>
  <c r="AH4243" i="2"/>
  <c r="AH4239" i="2"/>
  <c r="AH4217" i="2"/>
  <c r="AH4197" i="2"/>
  <c r="AH4196" i="2"/>
  <c r="AH4190" i="2"/>
  <c r="AH4189" i="2"/>
  <c r="AH4188" i="2"/>
  <c r="AH4178" i="2"/>
  <c r="AH4177" i="2"/>
  <c r="AH4174" i="2"/>
  <c r="AH4168" i="2"/>
  <c r="AH4167" i="2"/>
  <c r="AH4137" i="2"/>
  <c r="AH4123" i="2"/>
  <c r="AH4099" i="2"/>
  <c r="AH4096" i="2"/>
  <c r="AH4095" i="2"/>
  <c r="AH4093" i="2"/>
  <c r="AH4092" i="2"/>
  <c r="AH4086" i="2"/>
  <c r="AH4070" i="2"/>
  <c r="AH4050" i="2"/>
  <c r="AH4046" i="2"/>
  <c r="AH4045" i="2"/>
  <c r="AH4005" i="2"/>
  <c r="AH4004" i="2"/>
  <c r="AH4002" i="2"/>
  <c r="AH3999" i="2"/>
  <c r="AH3998" i="2"/>
  <c r="AH3982" i="2"/>
  <c r="AH3973" i="2"/>
  <c r="AH3966" i="2"/>
  <c r="AH3965" i="2"/>
  <c r="AH3954" i="2"/>
  <c r="AH3952" i="2"/>
  <c r="AH3950" i="2"/>
  <c r="AH3944" i="2"/>
  <c r="AH3932" i="2"/>
  <c r="AH3931" i="2"/>
  <c r="AH3924" i="2"/>
  <c r="AH3905" i="2"/>
  <c r="AH3904" i="2"/>
  <c r="AH3900" i="2"/>
  <c r="AH3892" i="2"/>
  <c r="AH3885" i="2"/>
  <c r="AH3884" i="2"/>
  <c r="AH3883" i="2"/>
  <c r="AH3865" i="2"/>
  <c r="AH3848" i="2"/>
  <c r="AH3833" i="2"/>
  <c r="AH3826" i="2"/>
  <c r="AH3813" i="2"/>
  <c r="AH3812" i="2"/>
  <c r="AH3806" i="2"/>
  <c r="AH3805" i="2"/>
  <c r="AH3804" i="2"/>
  <c r="AH3792" i="2"/>
  <c r="AH3791" i="2"/>
  <c r="AH3790" i="2"/>
  <c r="AH3785" i="2"/>
  <c r="AH3784" i="2"/>
  <c r="AH3760" i="2"/>
  <c r="AH3759" i="2"/>
  <c r="AH3724" i="2"/>
  <c r="AH3723" i="2"/>
  <c r="AH3719" i="2"/>
  <c r="AH3718" i="2"/>
  <c r="AH3717" i="2"/>
  <c r="AH3705" i="2"/>
  <c r="AH3704" i="2"/>
  <c r="AH3692" i="2"/>
  <c r="AH3691" i="2"/>
  <c r="AH3664" i="2"/>
  <c r="AH3654" i="2"/>
  <c r="AH3647" i="2"/>
  <c r="AH3632" i="2"/>
  <c r="AH3629" i="2"/>
  <c r="AH3621" i="2"/>
  <c r="AH3608" i="2"/>
  <c r="AH3607" i="2"/>
  <c r="AH3606" i="2"/>
  <c r="AH3605" i="2"/>
  <c r="AH3593" i="2"/>
  <c r="AH3589" i="2"/>
  <c r="AH3588" i="2"/>
  <c r="AH3587" i="2"/>
  <c r="AH3586" i="2"/>
  <c r="AH3584" i="2"/>
  <c r="AH3583" i="2"/>
  <c r="AH3567" i="2"/>
  <c r="AH3554" i="2"/>
  <c r="AH3536" i="2"/>
  <c r="AH3527" i="2"/>
  <c r="AH3493" i="2"/>
  <c r="AH3492" i="2"/>
  <c r="AH3480" i="2"/>
  <c r="AH3479" i="2"/>
  <c r="AH3478" i="2"/>
  <c r="AH3459" i="2"/>
  <c r="AH3458" i="2"/>
  <c r="AH3446" i="2"/>
  <c r="AH3445" i="2"/>
  <c r="AH3425" i="2"/>
  <c r="AH3424" i="2"/>
  <c r="AH3417" i="2"/>
  <c r="AH3416" i="2"/>
  <c r="AH3415" i="2"/>
  <c r="AH3414" i="2"/>
  <c r="AH3386" i="2"/>
  <c r="AH3385" i="2"/>
  <c r="AH3384" i="2"/>
  <c r="AH3362" i="2"/>
  <c r="AH3361" i="2"/>
  <c r="AH3360" i="2"/>
  <c r="AH3359" i="2"/>
  <c r="AH3358" i="2"/>
  <c r="AH3332" i="2"/>
  <c r="AH3329" i="2"/>
  <c r="AH3328" i="2"/>
  <c r="AH3327" i="2"/>
  <c r="AH3320" i="2"/>
  <c r="AH3319" i="2"/>
  <c r="AH3318" i="2"/>
  <c r="AH3317" i="2"/>
  <c r="AH3305" i="2"/>
  <c r="AH3304" i="2"/>
  <c r="AH3303" i="2"/>
  <c r="AH3302" i="2"/>
  <c r="AH3301" i="2"/>
  <c r="AH3300" i="2"/>
  <c r="AH3299" i="2"/>
  <c r="AH3254" i="2"/>
  <c r="AH3243" i="2"/>
  <c r="AH3231" i="2"/>
  <c r="AH3193" i="2"/>
  <c r="AH3192" i="2"/>
  <c r="AH3177" i="2"/>
  <c r="AH3176" i="2"/>
  <c r="AH3175" i="2"/>
  <c r="AH3174" i="2"/>
  <c r="AH3170" i="2"/>
  <c r="AH3147" i="2"/>
  <c r="AH3143" i="2"/>
  <c r="AH3142" i="2"/>
  <c r="AH3095" i="2"/>
  <c r="AH3078" i="2"/>
  <c r="AH3077" i="2"/>
  <c r="AH3052" i="2"/>
  <c r="AH3047" i="2"/>
  <c r="AH3011" i="2"/>
  <c r="AH3010" i="2"/>
  <c r="AH2990" i="2"/>
  <c r="AH2989" i="2"/>
  <c r="AH2978" i="2"/>
  <c r="AH2977" i="2"/>
  <c r="AH2953" i="2"/>
  <c r="AH2952" i="2"/>
  <c r="AH2951" i="2"/>
  <c r="AH2950" i="2"/>
  <c r="AH2949" i="2"/>
  <c r="AH2913" i="2"/>
  <c r="AH2896" i="2"/>
  <c r="AH2884" i="2"/>
  <c r="AH2883" i="2"/>
  <c r="AH2876" i="2"/>
  <c r="AH2870" i="2"/>
  <c r="AH2869" i="2"/>
  <c r="AH2868" i="2"/>
  <c r="AH2867" i="2"/>
  <c r="AH2866" i="2"/>
  <c r="AH2861" i="2"/>
  <c r="AH2860" i="2"/>
  <c r="AH2845" i="2"/>
  <c r="AH2842" i="2"/>
  <c r="AH2778" i="2"/>
  <c r="AH2721" i="2"/>
  <c r="AH2684" i="2"/>
  <c r="AH2683" i="2"/>
  <c r="AH2682" i="2"/>
  <c r="AH2681" i="2"/>
  <c r="AH2671" i="2"/>
  <c r="AH2659" i="2"/>
  <c r="AH2658" i="2"/>
  <c r="AH2636" i="2"/>
  <c r="AH2591" i="2"/>
  <c r="AH2587" i="2"/>
  <c r="AH2586" i="2"/>
  <c r="AH2585" i="2"/>
  <c r="AH2516" i="2"/>
  <c r="AH2515" i="2"/>
  <c r="AH2514" i="2"/>
  <c r="AH2513" i="2"/>
  <c r="AH2512" i="2"/>
  <c r="AH2511" i="2"/>
  <c r="AH2500" i="2"/>
  <c r="AH2494" i="2"/>
  <c r="AH2471" i="2"/>
  <c r="AH2436" i="2"/>
  <c r="AH2435" i="2"/>
  <c r="AH2434" i="2"/>
  <c r="AH2433" i="2"/>
  <c r="AH2404" i="2"/>
  <c r="AH2403" i="2"/>
  <c r="AH2402" i="2"/>
  <c r="AH2401" i="2"/>
  <c r="AH2400" i="2"/>
  <c r="AH2388" i="2"/>
  <c r="AH2387" i="2"/>
  <c r="AH2385" i="2"/>
  <c r="AH2383" i="2"/>
  <c r="AH2371" i="2"/>
  <c r="AH2366" i="2"/>
  <c r="AH2365" i="2"/>
  <c r="AH2364" i="2"/>
  <c r="AH2320" i="2"/>
  <c r="AH2319" i="2"/>
  <c r="AH2274" i="2"/>
  <c r="AH2268" i="2"/>
  <c r="AH2267" i="2"/>
  <c r="AH2259" i="2"/>
  <c r="AH2249" i="2"/>
  <c r="AH2248" i="2"/>
  <c r="AH2247" i="2"/>
  <c r="AH2246" i="2"/>
  <c r="AH2245" i="2"/>
  <c r="AH2239" i="2"/>
  <c r="AH2235" i="2"/>
  <c r="AH2215" i="2"/>
  <c r="AH2214" i="2"/>
  <c r="AH2213" i="2"/>
  <c r="AH2212" i="2"/>
  <c r="AH2203" i="2"/>
  <c r="AH2129" i="2"/>
  <c r="AH2128" i="2"/>
  <c r="AH2127" i="2"/>
  <c r="AH2126" i="2"/>
  <c r="AH2111" i="2"/>
  <c r="AH2107" i="2"/>
  <c r="AH2106" i="2"/>
  <c r="AH2105" i="2"/>
  <c r="AH2104" i="2"/>
  <c r="AH2096" i="2"/>
  <c r="AH2095" i="2"/>
  <c r="AH2094" i="2"/>
  <c r="AH2093" i="2"/>
  <c r="AH2092" i="2"/>
  <c r="AH2021" i="2"/>
  <c r="AH2020" i="2"/>
  <c r="AH2019" i="2"/>
  <c r="AH2016" i="2"/>
  <c r="AH2015" i="2"/>
  <c r="AH2014" i="2"/>
  <c r="AH2013" i="2"/>
  <c r="AH2012" i="2"/>
  <c r="AH1931" i="2"/>
  <c r="AH1930" i="2"/>
  <c r="AH1929" i="2"/>
  <c r="AH1928" i="2"/>
  <c r="AH1927" i="2"/>
  <c r="AH1914" i="2"/>
  <c r="AH1913" i="2"/>
  <c r="AH1912" i="2"/>
  <c r="AH1911" i="2"/>
  <c r="AH1894" i="2"/>
  <c r="AH1893" i="2"/>
  <c r="AH1892" i="2"/>
  <c r="AH1878" i="2"/>
  <c r="AH1877" i="2"/>
  <c r="AH1838" i="2"/>
  <c r="AH1828" i="2"/>
  <c r="AH1822" i="2"/>
  <c r="AH1821" i="2"/>
  <c r="AH1790" i="2"/>
  <c r="AH1789" i="2"/>
  <c r="AH1769" i="2"/>
  <c r="AH1765" i="2"/>
  <c r="AH1764" i="2"/>
  <c r="AH1760" i="2"/>
  <c r="AH1748" i="2"/>
  <c r="AH1747" i="2"/>
  <c r="AH1745" i="2"/>
  <c r="AH1744" i="2"/>
  <c r="AH1743" i="2"/>
  <c r="AH1733" i="2"/>
  <c r="AH1732" i="2"/>
  <c r="AH1731" i="2"/>
  <c r="AH1730" i="2"/>
  <c r="AH1726" i="2"/>
  <c r="AH1720" i="2"/>
  <c r="AH1715" i="2"/>
  <c r="AH1714" i="2"/>
  <c r="AH1713" i="2"/>
  <c r="AH1710" i="2"/>
  <c r="AH1708" i="2"/>
  <c r="AH1707" i="2"/>
  <c r="AH1706" i="2"/>
  <c r="AH1681" i="2"/>
  <c r="AH1670" i="2"/>
  <c r="AH1669" i="2"/>
  <c r="AH1668" i="2"/>
  <c r="AH1660" i="2"/>
  <c r="AH1659" i="2"/>
  <c r="AH1658" i="2"/>
  <c r="AH1630" i="2"/>
  <c r="AH1629" i="2"/>
  <c r="AH1628" i="2"/>
  <c r="AH1594" i="2"/>
  <c r="AH1593" i="2"/>
  <c r="AH1592" i="2"/>
  <c r="AH1591" i="2"/>
  <c r="AH1590" i="2"/>
  <c r="AH1589" i="2"/>
  <c r="AH1575" i="2"/>
  <c r="AH1574" i="2"/>
  <c r="AH1573" i="2"/>
  <c r="AH1572" i="2"/>
  <c r="AH1510" i="2"/>
  <c r="AH1498" i="2"/>
  <c r="AH1471" i="2"/>
  <c r="AH1470" i="2"/>
  <c r="AH1469" i="2"/>
  <c r="AH1435" i="2"/>
  <c r="AH1403" i="2"/>
  <c r="AH1402" i="2"/>
  <c r="AH1396" i="2"/>
  <c r="AH1370" i="2"/>
  <c r="AH1369" i="2"/>
  <c r="AH1348" i="2"/>
  <c r="AH1347" i="2"/>
  <c r="AH1344" i="2"/>
  <c r="AH1304" i="2"/>
  <c r="AH1303" i="2"/>
  <c r="AH1302" i="2"/>
  <c r="AH1301" i="2"/>
  <c r="AH1282" i="2"/>
  <c r="AH1271" i="2"/>
  <c r="AH1270" i="2"/>
  <c r="AH1259" i="2"/>
  <c r="AH1258" i="2"/>
  <c r="AH1257" i="2"/>
  <c r="AH1256" i="2"/>
  <c r="AH1232" i="2"/>
  <c r="AH1229" i="2"/>
  <c r="AH1225" i="2"/>
  <c r="AH1224" i="2"/>
  <c r="AH1223" i="2"/>
  <c r="AH1209" i="2"/>
  <c r="AH1187" i="2"/>
  <c r="AH1186" i="2"/>
  <c r="AH1185" i="2"/>
  <c r="AH1184" i="2"/>
  <c r="AH1160" i="2"/>
  <c r="AH1151" i="2"/>
  <c r="AH1150" i="2"/>
  <c r="AH1130" i="2"/>
  <c r="AH1106" i="2"/>
  <c r="AH1105" i="2"/>
  <c r="AH1097" i="2"/>
  <c r="AH1087" i="2"/>
  <c r="AH1084" i="2"/>
  <c r="AH1083" i="2"/>
  <c r="AH1082" i="2"/>
  <c r="AH1069" i="2"/>
  <c r="AH1068" i="2"/>
  <c r="AH1067" i="2"/>
  <c r="AH1066" i="2"/>
  <c r="AH1065" i="2"/>
  <c r="AH1064" i="2"/>
  <c r="AH1063" i="2"/>
  <c r="AH1053" i="2"/>
  <c r="AH1052" i="2"/>
  <c r="AH1051" i="2"/>
  <c r="AH1040" i="2"/>
  <c r="AH1038" i="2"/>
  <c r="AH1037" i="2"/>
  <c r="AH1036" i="2"/>
  <c r="AH1035" i="2"/>
  <c r="AH1034" i="2"/>
  <c r="AH1033" i="2"/>
  <c r="AH1032" i="2"/>
  <c r="AH1031" i="2"/>
  <c r="AH1012" i="2"/>
  <c r="AH1011" i="2"/>
  <c r="AH1010" i="2"/>
  <c r="AH1009" i="2"/>
  <c r="AH1008" i="2"/>
  <c r="AH995" i="2"/>
  <c r="AH992" i="2"/>
  <c r="AH991" i="2"/>
  <c r="AH990" i="2"/>
  <c r="AH989" i="2"/>
  <c r="AH988" i="2"/>
  <c r="AH987" i="2"/>
  <c r="AH974" i="2"/>
  <c r="AH973" i="2"/>
  <c r="AH967" i="2"/>
  <c r="AH964" i="2"/>
  <c r="AH946" i="2"/>
  <c r="AH930" i="2"/>
  <c r="AH929" i="2"/>
  <c r="AH928" i="2"/>
  <c r="AH919" i="2"/>
  <c r="AH918" i="2"/>
  <c r="AH917" i="2"/>
  <c r="AH916" i="2"/>
  <c r="AH915" i="2"/>
  <c r="AH914" i="2"/>
  <c r="AH911" i="2"/>
  <c r="AH905" i="2"/>
  <c r="AH904" i="2"/>
  <c r="AH903" i="2"/>
  <c r="AH882" i="2"/>
  <c r="AH881" i="2"/>
  <c r="AH880" i="2"/>
  <c r="AH873" i="2"/>
  <c r="AH872" i="2"/>
  <c r="AH867" i="2"/>
  <c r="AH861" i="2"/>
  <c r="AH860" i="2"/>
  <c r="AH859" i="2"/>
  <c r="AH858" i="2"/>
  <c r="AH857" i="2"/>
  <c r="AH856" i="2"/>
  <c r="AH800" i="2"/>
  <c r="AH799" i="2"/>
  <c r="AH798" i="2"/>
  <c r="AH797" i="2"/>
  <c r="AH786" i="2"/>
  <c r="AH785" i="2"/>
  <c r="AH784" i="2"/>
  <c r="AH782" i="2"/>
  <c r="AH767" i="2"/>
  <c r="AH766" i="2"/>
  <c r="AH765" i="2"/>
  <c r="AH764" i="2"/>
  <c r="AH763" i="2"/>
  <c r="AH732" i="2"/>
  <c r="AH731" i="2"/>
  <c r="AH730" i="2"/>
  <c r="AH729" i="2"/>
  <c r="AH723" i="2"/>
  <c r="AH712" i="2"/>
  <c r="AH711" i="2"/>
  <c r="AH706" i="2"/>
  <c r="AH705" i="2"/>
  <c r="AH697" i="2"/>
  <c r="AH696" i="2"/>
  <c r="AH695" i="2"/>
  <c r="AH694" i="2"/>
  <c r="AH693" i="2"/>
  <c r="AH655" i="2"/>
  <c r="AH611" i="2"/>
  <c r="AH610" i="2"/>
  <c r="AH591" i="2"/>
  <c r="AH590" i="2"/>
  <c r="AH580" i="2"/>
  <c r="AH579" i="2"/>
  <c r="AH578" i="2"/>
  <c r="AH559" i="2"/>
  <c r="AH558" i="2"/>
  <c r="AH557" i="2"/>
  <c r="AH517" i="2"/>
  <c r="AH516" i="2"/>
  <c r="AH508" i="2"/>
  <c r="AH496" i="2"/>
  <c r="AH495" i="2"/>
  <c r="AH450" i="2"/>
  <c r="AH449" i="2"/>
  <c r="AH419" i="2"/>
  <c r="AH405" i="2"/>
  <c r="AH404" i="2"/>
  <c r="AH395" i="2"/>
  <c r="AH394" i="2"/>
  <c r="AH393" i="2"/>
  <c r="AH392" i="2"/>
  <c r="AH391" i="2"/>
  <c r="AH383" i="2"/>
  <c r="AH382" i="2"/>
  <c r="AH381" i="2"/>
  <c r="AH373" i="2"/>
  <c r="AH372" i="2"/>
  <c r="AH371" i="2"/>
  <c r="AH311" i="2"/>
  <c r="AH283" i="2"/>
  <c r="AH282" i="2"/>
  <c r="AH273" i="2"/>
  <c r="AH269" i="2"/>
  <c r="AH262" i="2"/>
  <c r="AH249" i="2"/>
  <c r="AH248" i="2"/>
  <c r="AH247" i="2"/>
  <c r="AH246" i="2"/>
  <c r="AH245" i="2"/>
  <c r="AH244" i="2"/>
  <c r="AH243" i="2"/>
  <c r="AH196" i="2"/>
  <c r="AH189" i="2"/>
  <c r="AH187" i="2"/>
  <c r="AH186" i="2"/>
  <c r="AH185" i="2"/>
  <c r="AH184" i="2"/>
  <c r="AH165" i="2"/>
  <c r="AH159" i="2"/>
  <c r="AH133" i="2"/>
  <c r="AH132" i="2"/>
  <c r="AH42" i="2"/>
  <c r="AH38" i="2"/>
  <c r="AH31" i="2"/>
  <c r="AH13" i="2"/>
  <c r="AH4419" i="2"/>
  <c r="AI4790" i="2" l="1"/>
  <c r="N4212" i="2"/>
  <c r="N4211" i="2"/>
  <c r="N3658" i="2"/>
  <c r="AH4690" i="2"/>
  <c r="AH4465" i="2"/>
  <c r="AH4691" i="2"/>
  <c r="AH4557" i="2"/>
  <c r="X1831" i="2"/>
  <c r="C1826" i="3" s="1"/>
  <c r="F1826" i="3" s="1"/>
  <c r="AH4508" i="2"/>
  <c r="AH4519" i="2"/>
  <c r="AH4518" i="2"/>
  <c r="AH4597" i="2"/>
  <c r="AH4583" i="2"/>
  <c r="AH4582" i="2"/>
  <c r="X1711" i="2"/>
  <c r="C1706" i="3" s="1"/>
  <c r="F1706" i="3" s="1"/>
  <c r="X1712" i="2"/>
  <c r="C1707" i="3" s="1"/>
  <c r="F1707" i="3" s="1"/>
  <c r="AH1712" i="2" l="1"/>
  <c r="AH1831" i="2"/>
  <c r="AH1711" i="2"/>
  <c r="AH4740" i="2"/>
  <c r="AH4730" i="2"/>
  <c r="AH4728" i="2"/>
  <c r="AH4721" i="2"/>
  <c r="AH4708" i="2"/>
  <c r="AH4592" i="2"/>
  <c r="AH4585" i="2"/>
  <c r="AH4584" i="2"/>
  <c r="AH4573" i="2"/>
  <c r="AH4558" i="2"/>
  <c r="AH4551" i="2"/>
  <c r="AH4545" i="2"/>
  <c r="AH4544" i="2"/>
  <c r="AH4539" i="2"/>
  <c r="AH4523" i="2"/>
  <c r="AH4517" i="2"/>
  <c r="AH4483" i="2"/>
  <c r="AH4423" i="2"/>
  <c r="N4695" i="2"/>
  <c r="AH4790" i="2" l="1"/>
  <c r="X966" i="2"/>
  <c r="Q966" i="2"/>
  <c r="X4790" i="2" l="1"/>
  <c r="N4698" i="2"/>
  <c r="N4735" i="2"/>
  <c r="Q2953" i="2"/>
  <c r="N4559" i="2"/>
  <c r="N4560" i="2"/>
  <c r="N4700" i="2"/>
  <c r="N4701" i="2"/>
  <c r="N2189" i="2"/>
  <c r="N2190" i="2"/>
  <c r="N4726" i="2"/>
  <c r="N4725" i="2"/>
  <c r="N4737" i="2"/>
  <c r="N4279" i="2"/>
  <c r="N4595" i="2"/>
  <c r="N4533" i="2"/>
  <c r="N4587" i="2"/>
  <c r="N4729" i="2"/>
  <c r="N4068" i="2"/>
  <c r="Q873" i="2"/>
  <c r="N3548" i="2"/>
  <c r="X3428" i="2"/>
  <c r="Q3428" i="2"/>
  <c r="N1314" i="2"/>
  <c r="N1312" i="2"/>
  <c r="N1882" i="2"/>
  <c r="N4534" i="2"/>
  <c r="N4690" i="2"/>
  <c r="N2949" i="2"/>
  <c r="N2213" i="2"/>
  <c r="N2214" i="2"/>
  <c r="N2212" i="2"/>
  <c r="AG4654" i="2" l="1"/>
  <c r="AG4653" i="2"/>
  <c r="AG4646" i="2"/>
  <c r="AG4547" i="2"/>
  <c r="AG4540" i="2"/>
  <c r="AG4529" i="2"/>
  <c r="AG4507" i="2"/>
  <c r="AG4478" i="2"/>
  <c r="AG4456" i="2"/>
  <c r="AG4441" i="2"/>
  <c r="AG4418" i="2"/>
  <c r="AG4416" i="2"/>
  <c r="AG4358" i="2"/>
  <c r="AG4326" i="2"/>
  <c r="AG4293" i="2"/>
  <c r="AG4284" i="2"/>
  <c r="AG4260" i="2"/>
  <c r="AG4240" i="2"/>
  <c r="AG4227" i="2"/>
  <c r="AG4226" i="2"/>
  <c r="AG4225" i="2"/>
  <c r="AG4224" i="2"/>
  <c r="AG4223" i="2"/>
  <c r="AG4216" i="2"/>
  <c r="AG4162" i="2"/>
  <c r="AG4136" i="2"/>
  <c r="AG4135" i="2"/>
  <c r="AG4130" i="2"/>
  <c r="AG4126" i="2"/>
  <c r="AG4097" i="2"/>
  <c r="AG3997" i="2"/>
  <c r="AG3976" i="2"/>
  <c r="AG3968" i="2"/>
  <c r="AG3930" i="2"/>
  <c r="AG3927" i="2"/>
  <c r="AG3912" i="2"/>
  <c r="AG3816" i="2"/>
  <c r="AG3665" i="2"/>
  <c r="AG3662" i="2"/>
  <c r="AG3661" i="2"/>
  <c r="AG3622" i="2"/>
  <c r="AG3591" i="2"/>
  <c r="AG3590" i="2"/>
  <c r="AG3580" i="2"/>
  <c r="AG3575" i="2"/>
  <c r="AG3548" i="2"/>
  <c r="AG3538" i="2"/>
  <c r="AG3537" i="2"/>
  <c r="AG3513" i="2"/>
  <c r="AG3509" i="2"/>
  <c r="AG3508" i="2"/>
  <c r="AG3500" i="2"/>
  <c r="AG3481" i="2"/>
  <c r="AG3447" i="2"/>
  <c r="AG3441" i="2"/>
  <c r="AG3438" i="2"/>
  <c r="AG3437" i="2"/>
  <c r="AG3423" i="2"/>
  <c r="AG3422" i="2"/>
  <c r="AG3421" i="2"/>
  <c r="AG3420" i="2"/>
  <c r="AG3413" i="2"/>
  <c r="AG3412" i="2"/>
  <c r="AG3411" i="2"/>
  <c r="AG3410" i="2"/>
  <c r="AG3395" i="2"/>
  <c r="AG3394" i="2"/>
  <c r="AG3393" i="2"/>
  <c r="AG3392" i="2"/>
  <c r="AG3380" i="2"/>
  <c r="AG3379" i="2"/>
  <c r="AG3378" i="2"/>
  <c r="AG3377" i="2"/>
  <c r="AG3365" i="2"/>
  <c r="AG3364" i="2"/>
  <c r="AG3363" i="2"/>
  <c r="AG3352" i="2"/>
  <c r="AG3350" i="2"/>
  <c r="AG3349" i="2"/>
  <c r="AG3326" i="2"/>
  <c r="AG3298" i="2"/>
  <c r="AG3288" i="2"/>
  <c r="AG3287" i="2"/>
  <c r="AG3271" i="2"/>
  <c r="AG3242" i="2"/>
  <c r="AG3241" i="2"/>
  <c r="AG3190" i="2"/>
  <c r="AG3169" i="2"/>
  <c r="AG3168" i="2"/>
  <c r="AG3167" i="2"/>
  <c r="AG3164" i="2"/>
  <c r="AG3155" i="2"/>
  <c r="AG3154" i="2"/>
  <c r="AG3137" i="2"/>
  <c r="AG3123" i="2"/>
  <c r="AG3122" i="2"/>
  <c r="AG3116" i="2"/>
  <c r="AG3111" i="2"/>
  <c r="AG3110" i="2"/>
  <c r="AG3109" i="2"/>
  <c r="AG3108" i="2"/>
  <c r="AG3107" i="2"/>
  <c r="AG3106" i="2"/>
  <c r="AG3105" i="2"/>
  <c r="AG3074" i="2"/>
  <c r="AG3072" i="2"/>
  <c r="AG3051" i="2"/>
  <c r="AG3040" i="2"/>
  <c r="AG3039" i="2"/>
  <c r="AG3035" i="2"/>
  <c r="AG3009" i="2"/>
  <c r="AG3007" i="2"/>
  <c r="AG3006" i="2"/>
  <c r="AG2998" i="2"/>
  <c r="AG2972" i="2"/>
  <c r="AG2962" i="2"/>
  <c r="AG2959" i="2"/>
  <c r="AG2945" i="2"/>
  <c r="AG2932" i="2"/>
  <c r="AG2926" i="2"/>
  <c r="AG2900" i="2"/>
  <c r="AG2885" i="2"/>
  <c r="AG2880" i="2"/>
  <c r="AG2879" i="2"/>
  <c r="AG2878" i="2"/>
  <c r="AG2877" i="2"/>
  <c r="AG2875" i="2"/>
  <c r="AG2874" i="2"/>
  <c r="AG2873" i="2"/>
  <c r="AG2862" i="2"/>
  <c r="AG2839" i="2"/>
  <c r="AG2838" i="2"/>
  <c r="AG2837" i="2"/>
  <c r="AG2835" i="2"/>
  <c r="AG2834" i="2"/>
  <c r="AG2830" i="2"/>
  <c r="AG2828" i="2"/>
  <c r="AG2827" i="2"/>
  <c r="AG2826" i="2"/>
  <c r="AG2825" i="2"/>
  <c r="AG2824" i="2"/>
  <c r="AG2823" i="2"/>
  <c r="AG2817" i="2"/>
  <c r="AG2812" i="2"/>
  <c r="AG2806" i="2"/>
  <c r="AG2805" i="2"/>
  <c r="AG2804" i="2"/>
  <c r="AG2803" i="2"/>
  <c r="AG2802" i="2"/>
  <c r="AG2798" i="2"/>
  <c r="AG2797" i="2"/>
  <c r="AG2796" i="2"/>
  <c r="AG2795" i="2"/>
  <c r="AG2777" i="2"/>
  <c r="AG2776" i="2"/>
  <c r="AG2775" i="2"/>
  <c r="AG2774" i="2"/>
  <c r="AG2773" i="2"/>
  <c r="AG2770" i="2"/>
  <c r="AG2769" i="2"/>
  <c r="AG2767" i="2"/>
  <c r="AG2766" i="2"/>
  <c r="AG2765" i="2"/>
  <c r="AG2764" i="2"/>
  <c r="AG2741" i="2"/>
  <c r="AG2740" i="2"/>
  <c r="AG2739" i="2"/>
  <c r="AG2732" i="2"/>
  <c r="AG2731" i="2"/>
  <c r="AG2730" i="2"/>
  <c r="AG2704" i="2"/>
  <c r="AG2703" i="2"/>
  <c r="AG2690" i="2"/>
  <c r="AG2689" i="2"/>
  <c r="AG2687" i="2"/>
  <c r="AG2686" i="2"/>
  <c r="AG2672" i="2"/>
  <c r="AG2662" i="2"/>
  <c r="AG2661" i="2"/>
  <c r="AG2660" i="2"/>
  <c r="AG2643" i="2"/>
  <c r="AG2642" i="2"/>
  <c r="AG2641" i="2"/>
  <c r="AG2637" i="2"/>
  <c r="AG2635" i="2"/>
  <c r="AG2634" i="2"/>
  <c r="AG2632" i="2"/>
  <c r="AG2544" i="2"/>
  <c r="AG2543" i="2"/>
  <c r="AG2540" i="2"/>
  <c r="AG2539" i="2"/>
  <c r="AG2538" i="2"/>
  <c r="AG2537" i="2"/>
  <c r="AG2510" i="2"/>
  <c r="AG2509" i="2"/>
  <c r="AG2508" i="2"/>
  <c r="AG2502" i="2"/>
  <c r="AG2501" i="2"/>
  <c r="AG2486" i="2"/>
  <c r="AG2474" i="2"/>
  <c r="AG2470" i="2"/>
  <c r="AG2468" i="2"/>
  <c r="AG2467" i="2"/>
  <c r="AG2466" i="2"/>
  <c r="AG2460" i="2"/>
  <c r="AG2459" i="2"/>
  <c r="AG2450" i="2"/>
  <c r="AG2449" i="2"/>
  <c r="AG2448" i="2"/>
  <c r="AG2438" i="2"/>
  <c r="AG2437" i="2"/>
  <c r="AG2429" i="2"/>
  <c r="AG2428" i="2"/>
  <c r="AG2427" i="2"/>
  <c r="AG2426" i="2"/>
  <c r="AG2425" i="2"/>
  <c r="AG2386" i="2"/>
  <c r="AG2374" i="2"/>
  <c r="AG2369" i="2"/>
  <c r="AG2335" i="2"/>
  <c r="AG2334" i="2"/>
  <c r="AG2332" i="2"/>
  <c r="AG2331" i="2"/>
  <c r="AG2330" i="2"/>
  <c r="AG2329" i="2"/>
  <c r="AG2328" i="2"/>
  <c r="AG2327" i="2"/>
  <c r="AG2296" i="2"/>
  <c r="AG2271" i="2"/>
  <c r="AG2269" i="2"/>
  <c r="AG2236" i="2"/>
  <c r="AG2202" i="2"/>
  <c r="AG2198" i="2"/>
  <c r="AG2169" i="2"/>
  <c r="AG2163" i="2"/>
  <c r="AG2154" i="2"/>
  <c r="AG2151" i="2"/>
  <c r="AG2138" i="2"/>
  <c r="AG2137" i="2"/>
  <c r="AG2136" i="2"/>
  <c r="AG2134" i="2"/>
  <c r="AG2133" i="2"/>
  <c r="AG2132" i="2"/>
  <c r="AG2122" i="2"/>
  <c r="AG2109" i="2"/>
  <c r="AG2108" i="2"/>
  <c r="AG2088" i="2"/>
  <c r="AG2087" i="2"/>
  <c r="AG2080" i="2"/>
  <c r="AG2079" i="2"/>
  <c r="AG2062" i="2"/>
  <c r="AG2058" i="2"/>
  <c r="AG2057" i="2"/>
  <c r="AG2056" i="2"/>
  <c r="AG2055" i="2"/>
  <c r="AG2045" i="2"/>
  <c r="AG2044" i="2"/>
  <c r="AG2037" i="2"/>
  <c r="AG2036" i="2"/>
  <c r="AG2035" i="2"/>
  <c r="AG2028" i="2"/>
  <c r="AG2027" i="2"/>
  <c r="AG2026" i="2"/>
  <c r="AG2025" i="2"/>
  <c r="AG2010" i="2"/>
  <c r="AG2009" i="2"/>
  <c r="AG2008" i="2"/>
  <c r="AG2007" i="2"/>
  <c r="AG2003" i="2"/>
  <c r="AG2001" i="2"/>
  <c r="AG1989" i="2"/>
  <c r="AG1986" i="2"/>
  <c r="AG1985" i="2"/>
  <c r="AG1976" i="2"/>
  <c r="AG1969" i="2"/>
  <c r="AG1968" i="2"/>
  <c r="AG1967" i="2"/>
  <c r="AG1966" i="2"/>
  <c r="AG1965" i="2"/>
  <c r="AG1964" i="2"/>
  <c r="AG1963" i="2"/>
  <c r="AG1962" i="2"/>
  <c r="AG1951" i="2"/>
  <c r="AG1936" i="2"/>
  <c r="AG1935" i="2"/>
  <c r="AG1934" i="2"/>
  <c r="AG1933" i="2"/>
  <c r="AG1906" i="2"/>
  <c r="AG1905" i="2"/>
  <c r="AG1904" i="2"/>
  <c r="AG1903" i="2"/>
  <c r="AG1902" i="2"/>
  <c r="AG1901" i="2"/>
  <c r="AG1900" i="2"/>
  <c r="AG1898" i="2"/>
  <c r="AG1897" i="2"/>
  <c r="AG1896" i="2"/>
  <c r="AG1895" i="2"/>
  <c r="AG1867" i="2"/>
  <c r="AG1866" i="2"/>
  <c r="AG1865" i="2"/>
  <c r="AG1864" i="2"/>
  <c r="AG1863" i="2"/>
  <c r="AG1862" i="2"/>
  <c r="AG1861" i="2"/>
  <c r="AG1860" i="2"/>
  <c r="AG1859" i="2"/>
  <c r="AG1823" i="2"/>
  <c r="AG1808" i="2"/>
  <c r="AG1793" i="2"/>
  <c r="AG1792" i="2"/>
  <c r="AG1791" i="2"/>
  <c r="AG1786" i="2"/>
  <c r="AG1785" i="2"/>
  <c r="AG1784" i="2"/>
  <c r="AG1783" i="2"/>
  <c r="AG1755" i="2"/>
  <c r="AG1751" i="2"/>
  <c r="AG1750" i="2"/>
  <c r="AG1749" i="2"/>
  <c r="AG1695" i="2"/>
  <c r="AG1694" i="2"/>
  <c r="AG1693" i="2"/>
  <c r="AG1692" i="2"/>
  <c r="AG1626" i="2"/>
  <c r="AG1625" i="2"/>
  <c r="AG1624" i="2"/>
  <c r="AG1588" i="2"/>
  <c r="AG1587" i="2"/>
  <c r="AG1586" i="2"/>
  <c r="AG1585" i="2"/>
  <c r="AG1576" i="2"/>
  <c r="AG1570" i="2"/>
  <c r="AG1569" i="2"/>
  <c r="AG1568" i="2"/>
  <c r="AG1567" i="2"/>
  <c r="AG1566" i="2"/>
  <c r="AG1536" i="2"/>
  <c r="AG1535" i="2"/>
  <c r="AG1534" i="2"/>
  <c r="AG1533" i="2"/>
  <c r="AG1532" i="2"/>
  <c r="AG1526" i="2"/>
  <c r="AG1525" i="2"/>
  <c r="AG1524" i="2"/>
  <c r="AG1522" i="2"/>
  <c r="AG1521" i="2"/>
  <c r="AG1520" i="2"/>
  <c r="AG1519" i="2"/>
  <c r="AG1518" i="2"/>
  <c r="AG1517" i="2"/>
  <c r="AG1501" i="2"/>
  <c r="AG1500" i="2"/>
  <c r="AG1499" i="2"/>
  <c r="AG1482" i="2"/>
  <c r="AG1481" i="2"/>
  <c r="AG1480" i="2"/>
  <c r="AG1422" i="2"/>
  <c r="AG1416" i="2"/>
  <c r="AG1415" i="2"/>
  <c r="AG1414" i="2"/>
  <c r="AG1413" i="2"/>
  <c r="AG1408" i="2"/>
  <c r="AG1405" i="2"/>
  <c r="AG1404" i="2"/>
  <c r="AG1387" i="2"/>
  <c r="AG1386" i="2"/>
  <c r="AG1385" i="2"/>
  <c r="AG1381" i="2"/>
  <c r="AG1380" i="2"/>
  <c r="AG1377" i="2"/>
  <c r="AG1366" i="2"/>
  <c r="AG1365" i="2"/>
  <c r="AG1364" i="2"/>
  <c r="AG1352" i="2"/>
  <c r="AG1351" i="2"/>
  <c r="AG1328" i="2"/>
  <c r="AG1327" i="2"/>
  <c r="AG1326" i="2"/>
  <c r="AG1325" i="2"/>
  <c r="AG1323" i="2"/>
  <c r="AG1322" i="2"/>
  <c r="AG1321" i="2"/>
  <c r="AG1319" i="2"/>
  <c r="AG1317" i="2"/>
  <c r="AG1295" i="2"/>
  <c r="AG1294" i="2"/>
  <c r="AG1293" i="2"/>
  <c r="AG1292" i="2"/>
  <c r="AG1290" i="2"/>
  <c r="AG1289" i="2"/>
  <c r="AG1288" i="2"/>
  <c r="AG1287" i="2"/>
  <c r="AG1281" i="2"/>
  <c r="AG1280" i="2"/>
  <c r="AG1267" i="2"/>
  <c r="AG1266" i="2"/>
  <c r="AG1260" i="2"/>
  <c r="AG1255" i="2"/>
  <c r="AG1254" i="2"/>
  <c r="AG1253" i="2"/>
  <c r="AG1247" i="2"/>
  <c r="AG1220" i="2"/>
  <c r="AG1208" i="2"/>
  <c r="AG1207" i="2"/>
  <c r="AG1182" i="2"/>
  <c r="AG1181" i="2"/>
  <c r="AG1180" i="2"/>
  <c r="AG1179" i="2"/>
  <c r="AG1177" i="2"/>
  <c r="AG1176" i="2"/>
  <c r="AG1175" i="2"/>
  <c r="AG1174" i="2"/>
  <c r="AG1173" i="2"/>
  <c r="AG1170" i="2"/>
  <c r="AG1169" i="2"/>
  <c r="AG1168" i="2"/>
  <c r="AG1157" i="2"/>
  <c r="AG1156" i="2"/>
  <c r="AG1154" i="2"/>
  <c r="AG1153" i="2"/>
  <c r="AG1152" i="2"/>
  <c r="AG1149" i="2"/>
  <c r="AG1148" i="2"/>
  <c r="AG1147" i="2"/>
  <c r="AG1146" i="2"/>
  <c r="AG1145" i="2"/>
  <c r="AG1144" i="2"/>
  <c r="AG1143" i="2"/>
  <c r="AG1142" i="2"/>
  <c r="AG1140" i="2"/>
  <c r="AG1139" i="2"/>
  <c r="AG1133" i="2"/>
  <c r="AG1062" i="2"/>
  <c r="AG1061" i="2"/>
  <c r="AG1042" i="2"/>
  <c r="AG1041" i="2"/>
  <c r="AG999" i="2"/>
  <c r="AG998" i="2"/>
  <c r="AG996" i="2"/>
  <c r="AG980" i="2"/>
  <c r="AG976" i="2"/>
  <c r="AG975" i="2"/>
  <c r="AG968" i="2"/>
  <c r="AG965" i="2"/>
  <c r="AG951" i="2"/>
  <c r="AG950" i="2"/>
  <c r="AG949" i="2"/>
  <c r="AG948" i="2"/>
  <c r="AG913" i="2"/>
  <c r="AG912" i="2"/>
  <c r="AG910" i="2"/>
  <c r="AG909" i="2"/>
  <c r="AG908" i="2"/>
  <c r="AG907" i="2"/>
  <c r="AG906" i="2"/>
  <c r="AG890" i="2"/>
  <c r="AG866" i="2"/>
  <c r="AG865" i="2"/>
  <c r="AG864" i="2"/>
  <c r="AG862" i="2"/>
  <c r="AG792" i="2"/>
  <c r="AG791" i="2"/>
  <c r="AG790" i="2"/>
  <c r="AG789" i="2"/>
  <c r="AG787" i="2"/>
  <c r="AG760" i="2"/>
  <c r="AG759" i="2"/>
  <c r="AG758" i="2"/>
  <c r="AG757" i="2"/>
  <c r="AG756" i="2"/>
  <c r="AG722" i="2"/>
  <c r="AG707" i="2"/>
  <c r="AG692" i="2"/>
  <c r="AG666" i="2"/>
  <c r="AG658" i="2"/>
  <c r="AG628" i="2"/>
  <c r="AG627" i="2"/>
  <c r="AG585" i="2"/>
  <c r="AG581" i="2"/>
  <c r="AG538" i="2"/>
  <c r="AG532" i="2"/>
  <c r="AG518" i="2"/>
  <c r="AG482" i="2"/>
  <c r="AG481" i="2"/>
  <c r="AG480" i="2"/>
  <c r="AG470" i="2"/>
  <c r="AG469" i="2"/>
  <c r="AG468" i="2"/>
  <c r="AG452" i="2"/>
  <c r="AG451" i="2"/>
  <c r="AG448" i="2"/>
  <c r="AG447" i="2"/>
  <c r="AG446" i="2"/>
  <c r="AG440" i="2"/>
  <c r="AG438" i="2"/>
  <c r="AG436" i="2"/>
  <c r="AG435" i="2"/>
  <c r="AG430" i="2"/>
  <c r="AG429" i="2"/>
  <c r="AG409" i="2"/>
  <c r="AG288" i="2"/>
  <c r="AG265" i="2"/>
  <c r="AG263" i="2"/>
  <c r="AG240" i="2"/>
  <c r="AG239" i="2"/>
  <c r="AG238" i="2"/>
  <c r="AG237" i="2"/>
  <c r="AG227" i="2"/>
  <c r="AG226" i="2"/>
  <c r="AG225" i="2"/>
  <c r="AG216" i="2"/>
  <c r="AG215" i="2"/>
  <c r="AG195" i="2"/>
  <c r="AG194" i="2"/>
  <c r="AG193" i="2"/>
  <c r="AG192" i="2"/>
  <c r="AG191" i="2"/>
  <c r="AG188" i="2"/>
  <c r="AG176" i="2"/>
  <c r="AG175" i="2"/>
  <c r="AG174" i="2"/>
  <c r="AG158" i="2"/>
  <c r="AG107" i="2"/>
  <c r="AG101" i="2"/>
  <c r="AG100" i="2"/>
  <c r="AG95" i="2"/>
  <c r="AG94" i="2"/>
  <c r="AG64" i="2"/>
  <c r="AG44" i="2"/>
  <c r="AG20" i="2"/>
  <c r="AG19" i="2"/>
  <c r="AG4790" i="2" l="1"/>
  <c r="Q4611" i="2"/>
  <c r="Q4520" i="2"/>
  <c r="Q4571" i="2"/>
  <c r="N4542" i="2"/>
  <c r="N4541" i="2"/>
  <c r="N4543" i="2"/>
  <c r="N3463" i="2"/>
  <c r="N1829" i="2"/>
  <c r="N1827" i="2"/>
  <c r="N3836" i="2"/>
  <c r="N4164" i="2"/>
  <c r="N4348" i="2"/>
  <c r="N4612" i="2"/>
  <c r="N4618" i="2"/>
  <c r="N4311" i="2"/>
  <c r="AF2154" i="2"/>
  <c r="Q3994" i="2"/>
  <c r="N3741" i="2" l="1"/>
  <c r="N3443" i="2"/>
  <c r="N3444" i="2"/>
  <c r="AF1281" i="2"/>
  <c r="AF1280" i="2"/>
  <c r="Q4054" i="2" l="1"/>
  <c r="AF4028" i="2" l="1"/>
  <c r="AF4027" i="2"/>
  <c r="AF3940" i="2"/>
  <c r="AF3851" i="2"/>
  <c r="AF3810" i="2"/>
  <c r="AF3774" i="2"/>
  <c r="AF3768" i="2"/>
  <c r="AF3628" i="2"/>
  <c r="AF3611" i="2"/>
  <c r="AF3597" i="2"/>
  <c r="AF3596" i="2"/>
  <c r="AF3571" i="2"/>
  <c r="AF3570" i="2"/>
  <c r="AF3565" i="2"/>
  <c r="AF3556" i="2"/>
  <c r="AF3555" i="2"/>
  <c r="AF3546" i="2"/>
  <c r="AF3540" i="2"/>
  <c r="AF3532" i="2"/>
  <c r="AF3529" i="2"/>
  <c r="AF3505" i="2"/>
  <c r="AF3502" i="2"/>
  <c r="AF3501" i="2"/>
  <c r="AF3494" i="2"/>
  <c r="AF3491" i="2"/>
  <c r="AF3473" i="2"/>
  <c r="AF3471" i="2"/>
  <c r="AF3470" i="2"/>
  <c r="AF3469" i="2"/>
  <c r="AF3467" i="2"/>
  <c r="AF3466" i="2"/>
  <c r="AF3465" i="2"/>
  <c r="AF3457" i="2"/>
  <c r="AF3455" i="2"/>
  <c r="AF3454" i="2"/>
  <c r="AF3453" i="2"/>
  <c r="AF3452" i="2"/>
  <c r="AF3451" i="2"/>
  <c r="AF3450" i="2"/>
  <c r="AF3439" i="2"/>
  <c r="AF3429" i="2"/>
  <c r="AF3407" i="2"/>
  <c r="AF3399" i="2"/>
  <c r="AF3398" i="2"/>
  <c r="AF3397" i="2"/>
  <c r="AF3396" i="2"/>
  <c r="AF3391" i="2"/>
  <c r="AF3381" i="2"/>
  <c r="AF3373" i="2"/>
  <c r="AF3372" i="2"/>
  <c r="AF3371" i="2"/>
  <c r="AF3370" i="2"/>
  <c r="AF3341" i="2"/>
  <c r="AF3340" i="2"/>
  <c r="AF3339" i="2"/>
  <c r="AF3338" i="2"/>
  <c r="AF3330" i="2"/>
  <c r="AF3324" i="2"/>
  <c r="AF3323" i="2"/>
  <c r="AF3295" i="2"/>
  <c r="AF3293" i="2"/>
  <c r="AF3279" i="2"/>
  <c r="AF3278" i="2"/>
  <c r="AF3277" i="2"/>
  <c r="AF3276" i="2"/>
  <c r="AF3267" i="2"/>
  <c r="AF3266" i="2"/>
  <c r="AF3265" i="2"/>
  <c r="AF3264" i="2"/>
  <c r="AF3263" i="2"/>
  <c r="AF3261" i="2"/>
  <c r="AF3260" i="2"/>
  <c r="AF3247" i="2"/>
  <c r="AF3246" i="2"/>
  <c r="AF3245" i="2"/>
  <c r="AF3244" i="2"/>
  <c r="AF3226" i="2"/>
  <c r="AF3221" i="2"/>
  <c r="AF3220" i="2"/>
  <c r="AF3184" i="2"/>
  <c r="AF3183" i="2"/>
  <c r="AF3182" i="2"/>
  <c r="AF3166" i="2"/>
  <c r="AF3163" i="2"/>
  <c r="AF3151" i="2"/>
  <c r="AF3149" i="2"/>
  <c r="AF3100" i="2"/>
  <c r="AF3063" i="2"/>
  <c r="AF3026" i="2"/>
  <c r="AF2991" i="2"/>
  <c r="AF2985" i="2"/>
  <c r="AF2957" i="2"/>
  <c r="AF2956" i="2"/>
  <c r="AF2955" i="2"/>
  <c r="AF2954" i="2"/>
  <c r="AF2939" i="2"/>
  <c r="AF2846" i="2"/>
  <c r="AF2815" i="2"/>
  <c r="AF2780" i="2"/>
  <c r="AF2779" i="2"/>
  <c r="AF2763" i="2"/>
  <c r="AF2760" i="2"/>
  <c r="AF2751" i="2"/>
  <c r="AF2742" i="2"/>
  <c r="AF2714" i="2"/>
  <c r="AF2673" i="2"/>
  <c r="AF2669" i="2"/>
  <c r="AF2668" i="2"/>
  <c r="AF2656" i="2"/>
  <c r="AF2655" i="2"/>
  <c r="AF2654" i="2"/>
  <c r="AF2653" i="2"/>
  <c r="AF2651" i="2"/>
  <c r="AF2633" i="2"/>
  <c r="AF2619" i="2"/>
  <c r="AF2612" i="2"/>
  <c r="AF2611" i="2"/>
  <c r="AF2610" i="2"/>
  <c r="AF2609" i="2"/>
  <c r="AF2608" i="2"/>
  <c r="AF2607" i="2"/>
  <c r="AF2588" i="2"/>
  <c r="AF2583" i="2"/>
  <c r="AF2571" i="2"/>
  <c r="AF2570" i="2"/>
  <c r="AF2565" i="2"/>
  <c r="AF2564" i="2"/>
  <c r="AF2563" i="2"/>
  <c r="AF2562" i="2"/>
  <c r="AF2561" i="2"/>
  <c r="AF2560" i="2"/>
  <c r="AF2559" i="2"/>
  <c r="AF2558" i="2"/>
  <c r="AF2551" i="2"/>
  <c r="AF2550" i="2"/>
  <c r="AF2549" i="2"/>
  <c r="AF2542" i="2"/>
  <c r="AF2541" i="2"/>
  <c r="AF2533" i="2"/>
  <c r="AF2532" i="2"/>
  <c r="AF2531" i="2"/>
  <c r="AF2530" i="2"/>
  <c r="AF2529" i="2"/>
  <c r="AF2528" i="2"/>
  <c r="AF2523" i="2"/>
  <c r="AF2521" i="2"/>
  <c r="AF2520" i="2"/>
  <c r="AF2507" i="2"/>
  <c r="AF2497" i="2"/>
  <c r="AF2496" i="2"/>
  <c r="AF2493" i="2"/>
  <c r="AF2492" i="2"/>
  <c r="AF2491" i="2"/>
  <c r="AF2490" i="2"/>
  <c r="AF2489" i="2"/>
  <c r="AF2488" i="2"/>
  <c r="AF2447" i="2"/>
  <c r="AF2432" i="2"/>
  <c r="AF2431" i="2"/>
  <c r="AF2430" i="2"/>
  <c r="AF2424" i="2"/>
  <c r="AF2423" i="2"/>
  <c r="AF2422" i="2"/>
  <c r="AF2421" i="2"/>
  <c r="AF2420" i="2"/>
  <c r="AF2413" i="2"/>
  <c r="AF2397" i="2"/>
  <c r="AF2396" i="2"/>
  <c r="AF2395" i="2"/>
  <c r="AF2393" i="2"/>
  <c r="AF2373" i="2"/>
  <c r="AF2372" i="2"/>
  <c r="AF2363" i="2"/>
  <c r="AF2352" i="2"/>
  <c r="AF2316" i="2"/>
  <c r="AF2313" i="2"/>
  <c r="AF2289" i="2"/>
  <c r="AF2288" i="2"/>
  <c r="AF2287" i="2"/>
  <c r="AF2286" i="2"/>
  <c r="AF2281" i="2"/>
  <c r="AF2280" i="2"/>
  <c r="AF2232" i="2"/>
  <c r="AF2230" i="2"/>
  <c r="AF2233" i="2"/>
  <c r="AF2181" i="2"/>
  <c r="AF2180" i="2"/>
  <c r="AF2172" i="2"/>
  <c r="AF2171" i="2"/>
  <c r="AF2167" i="2"/>
  <c r="AF2166" i="2"/>
  <c r="AF2165" i="2"/>
  <c r="AF2162" i="2"/>
  <c r="AF2161" i="2"/>
  <c r="AF2155" i="2"/>
  <c r="AF2153" i="2"/>
  <c r="AF2152" i="2"/>
  <c r="AF2150" i="2"/>
  <c r="AF2149" i="2"/>
  <c r="AF2148" i="2"/>
  <c r="AF2143" i="2"/>
  <c r="AF2142" i="2"/>
  <c r="AF2125" i="2"/>
  <c r="AF2124" i="2"/>
  <c r="AF2103" i="2"/>
  <c r="AF2102" i="2"/>
  <c r="AF2101" i="2"/>
  <c r="AF2091" i="2"/>
  <c r="AF2090" i="2"/>
  <c r="AF2089" i="2"/>
  <c r="AF2075" i="2"/>
  <c r="AF2073" i="2"/>
  <c r="AF2072" i="2"/>
  <c r="AF2064" i="2"/>
  <c r="AF2063" i="2"/>
  <c r="AF2054" i="2"/>
  <c r="AF2053" i="2"/>
  <c r="AF2052" i="2"/>
  <c r="AF2032" i="2"/>
  <c r="AF2031" i="2"/>
  <c r="AF2030" i="2"/>
  <c r="AF1994" i="2"/>
  <c r="AF1977" i="2"/>
  <c r="AF1952" i="2"/>
  <c r="AF1950" i="2"/>
  <c r="AF1932" i="2"/>
  <c r="AF1907" i="2"/>
  <c r="AF1852" i="2"/>
  <c r="AF1851" i="2"/>
  <c r="AF1840" i="2"/>
  <c r="AF1839" i="2"/>
  <c r="AF1837" i="2"/>
  <c r="AF1825" i="2"/>
  <c r="AF1824" i="2"/>
  <c r="AF1807" i="2"/>
  <c r="AF1805" i="2"/>
  <c r="AF1804" i="2"/>
  <c r="AF1788" i="2"/>
  <c r="AF1779" i="2"/>
  <c r="AF1778" i="2"/>
  <c r="AF1758" i="2"/>
  <c r="AF1757" i="2"/>
  <c r="AF1756" i="2"/>
  <c r="AF1754" i="2"/>
  <c r="AF1753" i="2"/>
  <c r="AF1698" i="2"/>
  <c r="AF1697" i="2"/>
  <c r="AF1696" i="2"/>
  <c r="AF1685" i="2"/>
  <c r="AF1684" i="2"/>
  <c r="AF1645" i="2"/>
  <c r="AF1644" i="2"/>
  <c r="AF1643" i="2"/>
  <c r="AF1641" i="2"/>
  <c r="AF1640" i="2"/>
  <c r="AF1639" i="2"/>
  <c r="AF1638" i="2"/>
  <c r="AF1637" i="2"/>
  <c r="AF1636" i="2"/>
  <c r="AF1627" i="2"/>
  <c r="AF1616" i="2"/>
  <c r="AF1615" i="2"/>
  <c r="AF1614" i="2"/>
  <c r="AF1613" i="2"/>
  <c r="AF1598" i="2"/>
  <c r="AF1548" i="2"/>
  <c r="AF1547" i="2"/>
  <c r="AF1546" i="2"/>
  <c r="AF1497" i="2"/>
  <c r="AF1496" i="2"/>
  <c r="AF1495" i="2"/>
  <c r="AF1494" i="2"/>
  <c r="AF1493" i="2"/>
  <c r="AF1478" i="2"/>
  <c r="AF1477" i="2"/>
  <c r="AF1476" i="2"/>
  <c r="AF1475" i="2"/>
  <c r="AF1473" i="2"/>
  <c r="AF1472" i="2"/>
  <c r="AF1467" i="2"/>
  <c r="AF1466" i="2"/>
  <c r="AF1465" i="2"/>
  <c r="AF1464" i="2"/>
  <c r="AF1463" i="2"/>
  <c r="AF1462" i="2"/>
  <c r="AF1448" i="2"/>
  <c r="AF1447" i="2"/>
  <c r="AF1446" i="2"/>
  <c r="AF1445" i="2"/>
  <c r="AF1441" i="2"/>
  <c r="AF1421" i="2"/>
  <c r="AF1420" i="2"/>
  <c r="AF1419" i="2"/>
  <c r="AF1399" i="2"/>
  <c r="AF1383" i="2"/>
  <c r="AF1382" i="2"/>
  <c r="AF1373" i="2"/>
  <c r="AF1372" i="2"/>
  <c r="AF1371" i="2"/>
  <c r="AF1359" i="2"/>
  <c r="AF1358" i="2"/>
  <c r="AF1357" i="2"/>
  <c r="AF1356" i="2"/>
  <c r="AF1355" i="2"/>
  <c r="AF1354" i="2"/>
  <c r="AF1353" i="2"/>
  <c r="AF1300" i="2"/>
  <c r="AF1299" i="2"/>
  <c r="AF1298" i="2"/>
  <c r="AF1297" i="2"/>
  <c r="AF1296" i="2"/>
  <c r="AF1286" i="2"/>
  <c r="AF1285" i="2"/>
  <c r="AF1284" i="2"/>
  <c r="AF1283" i="2"/>
  <c r="AF1279" i="2"/>
  <c r="AF1278" i="2"/>
  <c r="AF1249" i="2"/>
  <c r="AF1248" i="2"/>
  <c r="AF1191" i="2"/>
  <c r="AF1190" i="2"/>
  <c r="AF1189" i="2"/>
  <c r="AF1188" i="2"/>
  <c r="AF1178" i="2"/>
  <c r="AF1135" i="2"/>
  <c r="AF1134" i="2"/>
  <c r="AF1132" i="2"/>
  <c r="AF1128" i="2"/>
  <c r="AF1126" i="2"/>
  <c r="AF1125" i="2"/>
  <c r="AF1102" i="2"/>
  <c r="AF1101" i="2"/>
  <c r="AF1099" i="2"/>
  <c r="AF1098" i="2"/>
  <c r="AF1050" i="2"/>
  <c r="AF972" i="2"/>
  <c r="AF962" i="2"/>
  <c r="AF961" i="2"/>
  <c r="AF960" i="2"/>
  <c r="AF953" i="2"/>
  <c r="AF952" i="2"/>
  <c r="AF940" i="2"/>
  <c r="AF939" i="2"/>
  <c r="AF938" i="2"/>
  <c r="AF937" i="2"/>
  <c r="AF900" i="2"/>
  <c r="AF899" i="2"/>
  <c r="AF838" i="2"/>
  <c r="AF837" i="2"/>
  <c r="AF836" i="2"/>
  <c r="AF835" i="2"/>
  <c r="AF834" i="2"/>
  <c r="AF816" i="2"/>
  <c r="AF794" i="2"/>
  <c r="AF793" i="2"/>
  <c r="AF761" i="2"/>
  <c r="AF738" i="2"/>
  <c r="AF737" i="2"/>
  <c r="AF728" i="2"/>
  <c r="AF716" i="2"/>
  <c r="AF715" i="2"/>
  <c r="AF714" i="2"/>
  <c r="AF713" i="2"/>
  <c r="AF700" i="2"/>
  <c r="AF670" i="2"/>
  <c r="AF669" i="2"/>
  <c r="AF668" i="2"/>
  <c r="AF667" i="2"/>
  <c r="AF660" i="2"/>
  <c r="AF659" i="2"/>
  <c r="AF631" i="2"/>
  <c r="AF630" i="2"/>
  <c r="AF621" i="2"/>
  <c r="AF620" i="2"/>
  <c r="AF619" i="2"/>
  <c r="AF618" i="2"/>
  <c r="AF617" i="2"/>
  <c r="AF616" i="2"/>
  <c r="AF615" i="2"/>
  <c r="AF612" i="2"/>
  <c r="AF574" i="2"/>
  <c r="AF569" i="2"/>
  <c r="AF568" i="2"/>
  <c r="AF567" i="2"/>
  <c r="AF566" i="2"/>
  <c r="AF565" i="2"/>
  <c r="AF564" i="2"/>
  <c r="AF563" i="2"/>
  <c r="AF562" i="2"/>
  <c r="AF561" i="2"/>
  <c r="AF541" i="2"/>
  <c r="AF540" i="2"/>
  <c r="AF510" i="2"/>
  <c r="AF499" i="2"/>
  <c r="AF453" i="2"/>
  <c r="AF442" i="2"/>
  <c r="AF441" i="2"/>
  <c r="AF439" i="2"/>
  <c r="AF437" i="2"/>
  <c r="AF434" i="2"/>
  <c r="AF424" i="2"/>
  <c r="AF423" i="2"/>
  <c r="AF422" i="2"/>
  <c r="AF417" i="2"/>
  <c r="AF416" i="2"/>
  <c r="AF380" i="2"/>
  <c r="AF365" i="2"/>
  <c r="AF363" i="2"/>
  <c r="AF362" i="2"/>
  <c r="AF361" i="2"/>
  <c r="AF360" i="2"/>
  <c r="AF359" i="2"/>
  <c r="AF302" i="2"/>
  <c r="AF301" i="2"/>
  <c r="AF300" i="2"/>
  <c r="AF299" i="2"/>
  <c r="AF284" i="2"/>
  <c r="AF281" i="2"/>
  <c r="AF280" i="2"/>
  <c r="AF279" i="2"/>
  <c r="AF278" i="2"/>
  <c r="AF277" i="2"/>
  <c r="AF276" i="2"/>
  <c r="AF275" i="2"/>
  <c r="AF230" i="2"/>
  <c r="AF229" i="2"/>
  <c r="AF228" i="2"/>
  <c r="AF173" i="2"/>
  <c r="AF147" i="2"/>
  <c r="AF146" i="2"/>
  <c r="AF145" i="2"/>
  <c r="AF144" i="2"/>
  <c r="AF140" i="2"/>
  <c r="AF139" i="2"/>
  <c r="AF138" i="2"/>
  <c r="AF128" i="2"/>
  <c r="AF127" i="2"/>
  <c r="AF122" i="2"/>
  <c r="AF121" i="2"/>
  <c r="AF120" i="2"/>
  <c r="AF119" i="2"/>
  <c r="AF118" i="2"/>
  <c r="AF117" i="2"/>
  <c r="AF114" i="2"/>
  <c r="AF113" i="2"/>
  <c r="AF112" i="2"/>
  <c r="AF111" i="2"/>
  <c r="AF110" i="2"/>
  <c r="AF109" i="2"/>
  <c r="AF106" i="2"/>
  <c r="AF105" i="2"/>
  <c r="AF103" i="2"/>
  <c r="AF10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2" i="2"/>
  <c r="AF71" i="2"/>
  <c r="AF70" i="2"/>
  <c r="AF69" i="2"/>
  <c r="AF66" i="2"/>
  <c r="AF58" i="2"/>
  <c r="AF51" i="2"/>
  <c r="AF41" i="2"/>
  <c r="AF37" i="2"/>
  <c r="AF34" i="2"/>
  <c r="AF33" i="2"/>
  <c r="AF23" i="2"/>
  <c r="AF15" i="2"/>
  <c r="N4132" i="2"/>
  <c r="N2033" i="2"/>
  <c r="N2293" i="2"/>
  <c r="N2292" i="2" s="1"/>
  <c r="Q3928" i="2"/>
  <c r="Q3883" i="2"/>
  <c r="N3879" i="2"/>
  <c r="N3878" i="2"/>
  <c r="N3877" i="2"/>
  <c r="N3751" i="2"/>
  <c r="N3503" i="2"/>
  <c r="M3976" i="2"/>
  <c r="N2882" i="2"/>
  <c r="N2881" i="2"/>
  <c r="N3867" i="2" l="1"/>
  <c r="AF4790" i="2"/>
  <c r="N3827" i="2"/>
  <c r="N3828" i="2"/>
  <c r="N3705" i="2"/>
  <c r="N3776" i="2" l="1"/>
  <c r="N3805" i="2"/>
  <c r="N3294" i="2"/>
  <c r="N3388" i="2"/>
  <c r="N3641" i="2"/>
  <c r="Q3703" i="2"/>
  <c r="N3515" i="2"/>
  <c r="N690" i="2"/>
  <c r="N2862" i="2"/>
  <c r="N2860" i="2"/>
  <c r="N2861" i="2"/>
  <c r="N3642" i="2" l="1"/>
  <c r="N3701" i="2"/>
  <c r="N3650" i="2"/>
  <c r="N3759" i="2"/>
  <c r="Q3111" i="2" l="1"/>
  <c r="Q3109" i="2"/>
  <c r="Q3105" i="2"/>
  <c r="N2885" i="2" l="1"/>
  <c r="J3638" i="2"/>
  <c r="B3633" i="3" s="1"/>
  <c r="F3633" i="3" s="1"/>
  <c r="M3638" i="2"/>
  <c r="N3596" i="2" l="1"/>
  <c r="N1901" i="2"/>
  <c r="N2863" i="2"/>
  <c r="N2193" i="2"/>
  <c r="N2844" i="2" l="1"/>
  <c r="N3590" i="2" l="1"/>
  <c r="N3050" i="2" l="1"/>
  <c r="N2794" i="2"/>
  <c r="N3467" i="2"/>
  <c r="N3608" i="2" l="1"/>
  <c r="N3567" i="2"/>
  <c r="N3487" i="2"/>
  <c r="N3492" i="2" l="1"/>
  <c r="N3436" i="2"/>
  <c r="N3438" i="2"/>
  <c r="N3493" i="2"/>
  <c r="Q3539" i="2"/>
  <c r="N2854" i="2"/>
  <c r="N3210" i="2"/>
  <c r="N3209" i="2"/>
  <c r="N3205" i="2"/>
  <c r="J2416" i="2"/>
  <c r="J2417" i="2"/>
  <c r="V2416" i="2"/>
  <c r="N3329" i="2"/>
  <c r="N3213" i="2"/>
  <c r="N3202" i="2"/>
  <c r="N2636" i="2"/>
  <c r="N3499" i="2"/>
  <c r="N2630" i="2"/>
  <c r="N2631" i="2"/>
  <c r="N2967" i="2"/>
  <c r="N2966" i="2"/>
  <c r="N2937" i="2"/>
  <c r="N2938" i="2"/>
  <c r="N3460" i="2"/>
  <c r="N2663" i="2"/>
  <c r="Q3602" i="2" l="1"/>
  <c r="N2459" i="2"/>
  <c r="N3281" i="2"/>
  <c r="N2890" i="2"/>
  <c r="N2888" i="2"/>
  <c r="N2931" i="2"/>
  <c r="N2978" i="2"/>
  <c r="N3564" i="2"/>
  <c r="N2895" i="2"/>
  <c r="N2896" i="2"/>
  <c r="N2893" i="2"/>
  <c r="AE3498" i="2" l="1"/>
  <c r="AE3497" i="2"/>
  <c r="AE3477" i="2"/>
  <c r="AE3456" i="2"/>
  <c r="AE3406" i="2"/>
  <c r="AE3400" i="2"/>
  <c r="AE3342" i="2"/>
  <c r="AE3325" i="2"/>
  <c r="AE3227" i="2"/>
  <c r="AE3191" i="2"/>
  <c r="AE3189" i="2"/>
  <c r="AE3162" i="2"/>
  <c r="AE3150" i="2"/>
  <c r="AE3096" i="2"/>
  <c r="AE3059" i="2"/>
  <c r="AE3058" i="2"/>
  <c r="AE2965" i="2"/>
  <c r="AE2964" i="2"/>
  <c r="AE2927" i="2"/>
  <c r="AE2836" i="2"/>
  <c r="AE2829" i="2"/>
  <c r="AE2800" i="2"/>
  <c r="AE2799" i="2"/>
  <c r="AE2772" i="2"/>
  <c r="AE2771" i="2"/>
  <c r="AE2768" i="2"/>
  <c r="AE2738" i="2"/>
  <c r="AE2676" i="2"/>
  <c r="AE2657" i="2"/>
  <c r="AE2652" i="2"/>
  <c r="AE2598" i="2"/>
  <c r="AE2569" i="2"/>
  <c r="AE2545" i="2"/>
  <c r="AE2522" i="2"/>
  <c r="AE2505" i="2"/>
  <c r="AE2469" i="2"/>
  <c r="AE2439" i="2"/>
  <c r="AE2394" i="2"/>
  <c r="AE2355" i="2"/>
  <c r="AE2354" i="2"/>
  <c r="AE2302" i="2"/>
  <c r="AE2300" i="2"/>
  <c r="AE2299" i="2"/>
  <c r="AE2291" i="2"/>
  <c r="AE2290" i="2"/>
  <c r="AE2275" i="2"/>
  <c r="AE2273" i="2"/>
  <c r="AE2272" i="2"/>
  <c r="AE2270" i="2"/>
  <c r="AE2265" i="2"/>
  <c r="AE2264" i="2"/>
  <c r="AE2263" i="2"/>
  <c r="AE2237" i="2"/>
  <c r="AE2229" i="2"/>
  <c r="AE2199" i="2"/>
  <c r="AE2130" i="2"/>
  <c r="AE2097" i="2"/>
  <c r="AE2071" i="2"/>
  <c r="AE2070" i="2"/>
  <c r="AE2011" i="2"/>
  <c r="AE1809" i="2"/>
  <c r="AE1806" i="2"/>
  <c r="AE1803" i="2"/>
  <c r="AE1802" i="2"/>
  <c r="AE1801" i="2"/>
  <c r="AE1781" i="2"/>
  <c r="AE1780" i="2"/>
  <c r="AE1773" i="2"/>
  <c r="AE1675" i="2"/>
  <c r="AE1649" i="2"/>
  <c r="AE1611" i="2"/>
  <c r="AE1400" i="2"/>
  <c r="AE1340" i="2"/>
  <c r="AE1339" i="2"/>
  <c r="AE1338" i="2"/>
  <c r="AE1337" i="2"/>
  <c r="AE1336" i="2"/>
  <c r="AE1335" i="2"/>
  <c r="AE1334" i="2"/>
  <c r="AE1320" i="2"/>
  <c r="AE1310" i="2"/>
  <c r="AE1265" i="2"/>
  <c r="AE1233" i="2"/>
  <c r="AE1231" i="2"/>
  <c r="AE1216" i="2"/>
  <c r="AE1166" i="2"/>
  <c r="AE1165" i="2"/>
  <c r="AE1164" i="2"/>
  <c r="AE1163" i="2"/>
  <c r="AE1162" i="2"/>
  <c r="AE1161" i="2"/>
  <c r="AE1159" i="2"/>
  <c r="AE1131" i="2"/>
  <c r="AE971" i="2"/>
  <c r="AE796" i="2"/>
  <c r="AE772" i="2"/>
  <c r="AE762" i="2"/>
  <c r="AE755" i="2"/>
  <c r="AE748" i="2"/>
  <c r="AE747" i="2"/>
  <c r="AE746" i="2"/>
  <c r="AE720" i="2"/>
  <c r="AE674" i="2"/>
  <c r="AE673" i="2"/>
  <c r="AE672" i="2"/>
  <c r="AE671" i="2"/>
  <c r="AE656" i="2"/>
  <c r="AE637" i="2"/>
  <c r="AE636" i="2"/>
  <c r="AE635" i="2"/>
  <c r="AE634" i="2"/>
  <c r="AE633" i="2"/>
  <c r="AE577" i="2"/>
  <c r="AE576" i="2"/>
  <c r="AE575" i="2"/>
  <c r="AE544" i="2"/>
  <c r="AE543" i="2"/>
  <c r="AE542" i="2"/>
  <c r="AE512" i="2"/>
  <c r="AE511" i="2"/>
  <c r="AE504" i="2"/>
  <c r="AE503" i="2"/>
  <c r="AE502" i="2"/>
  <c r="AE479" i="2"/>
  <c r="AE478" i="2"/>
  <c r="AE477" i="2"/>
  <c r="AE476" i="2"/>
  <c r="AE475" i="2"/>
  <c r="AE467" i="2"/>
  <c r="AE459" i="2"/>
  <c r="AE433" i="2"/>
  <c r="AE432" i="2"/>
  <c r="AE431" i="2"/>
  <c r="AE427" i="2"/>
  <c r="AE426" i="2"/>
  <c r="AE384" i="2"/>
  <c r="AE370" i="2"/>
  <c r="AE339" i="2"/>
  <c r="AE338" i="2"/>
  <c r="AE337" i="2"/>
  <c r="AE336" i="2"/>
  <c r="AE310" i="2"/>
  <c r="AE309" i="2"/>
  <c r="AE308" i="2"/>
  <c r="AE272" i="2"/>
  <c r="AE271" i="2"/>
  <c r="AE270" i="2"/>
  <c r="AE224" i="2"/>
  <c r="AE214" i="2"/>
  <c r="AE213" i="2"/>
  <c r="AE212" i="2"/>
  <c r="AE211" i="2"/>
  <c r="AE199" i="2"/>
  <c r="AE198" i="2"/>
  <c r="AE197" i="2"/>
  <c r="AE149" i="2"/>
  <c r="AE57" i="2"/>
  <c r="AE49" i="2"/>
  <c r="AE27" i="2"/>
  <c r="AE4790" i="2" l="1"/>
  <c r="N2006" i="2"/>
  <c r="N3148" i="2"/>
  <c r="N3138" i="2"/>
  <c r="N3037" i="2"/>
  <c r="Q3346" i="2" l="1"/>
  <c r="Q3345" i="2"/>
  <c r="Q3344" i="2"/>
  <c r="Q3343" i="2"/>
  <c r="J3581" i="2" l="1"/>
  <c r="N3512" i="2"/>
  <c r="N3513" i="2"/>
  <c r="N3049" i="2" l="1"/>
  <c r="N2922" i="2"/>
  <c r="N2715" i="2"/>
  <c r="N3094" i="2"/>
  <c r="N2773" i="2"/>
  <c r="N3474" i="2"/>
  <c r="N3445" i="2"/>
  <c r="N3442" i="2"/>
  <c r="N3441" i="2"/>
  <c r="N3458" i="2"/>
  <c r="N3416" i="2"/>
  <c r="N3428" i="2"/>
  <c r="N3429" i="2"/>
  <c r="N3246" i="2"/>
  <c r="N3421" i="2"/>
  <c r="N3407" i="2"/>
  <c r="N3244" i="2"/>
  <c r="N3030" i="2"/>
  <c r="Q3030" i="2" s="1"/>
  <c r="N2180" i="2"/>
  <c r="N417" i="2"/>
  <c r="N3081" i="2"/>
  <c r="N3320" i="2" l="1"/>
  <c r="N3318" i="2"/>
  <c r="N3316" i="2"/>
  <c r="N3317" i="2"/>
  <c r="N908" i="2"/>
  <c r="N2008" i="2" l="1"/>
  <c r="N1782" i="2"/>
  <c r="N1220" i="2"/>
  <c r="N1001" i="2" l="1"/>
  <c r="Q1001" i="2" s="1"/>
  <c r="N1005" i="2"/>
  <c r="N1393" i="2"/>
  <c r="N1390" i="2"/>
  <c r="N1389" i="2"/>
  <c r="Q1388" i="2"/>
  <c r="N3200" i="2" l="1"/>
  <c r="N3233" i="2"/>
  <c r="N3232" i="2"/>
  <c r="N3229" i="2"/>
  <c r="N3228" i="2"/>
  <c r="N1914" i="2" l="1"/>
  <c r="N1912" i="2"/>
  <c r="N1746" i="2"/>
  <c r="N1748" i="2"/>
  <c r="N1747" i="2"/>
  <c r="N1751" i="2"/>
  <c r="N1750" i="2"/>
  <c r="N1749" i="2"/>
  <c r="N2801" i="2"/>
  <c r="M2796" i="2"/>
  <c r="N1690" i="2" l="1"/>
  <c r="N3146" i="2" l="1"/>
  <c r="N3087" i="2"/>
  <c r="N3127" i="2"/>
  <c r="N3061" i="2"/>
  <c r="N3053" i="2"/>
  <c r="N3116" i="2"/>
  <c r="N2795" i="2"/>
  <c r="N2793" i="2" s="1"/>
  <c r="N2668" i="2"/>
  <c r="N2333" i="2"/>
  <c r="N2266" i="2"/>
  <c r="N2268" i="2"/>
  <c r="N2267" i="2"/>
  <c r="N2002" i="2"/>
  <c r="N2004" i="2"/>
  <c r="N2003" i="2"/>
  <c r="N2269" i="2"/>
  <c r="N2271" i="2"/>
  <c r="N2353" i="2"/>
  <c r="N3154" i="2"/>
  <c r="N3153" i="2"/>
  <c r="N3152" i="2"/>
  <c r="N3126" i="2"/>
  <c r="N3125" i="2"/>
  <c r="N3124" i="2"/>
  <c r="N3033" i="2"/>
  <c r="N3032" i="2"/>
  <c r="N3035" i="2"/>
  <c r="N2899" i="2"/>
  <c r="N2898" i="2"/>
  <c r="N2900" i="2"/>
  <c r="N3063" i="2"/>
  <c r="N3062" i="2"/>
  <c r="N2816" i="2"/>
  <c r="N2811" i="2"/>
  <c r="Q2811" i="2" s="1"/>
  <c r="N2813" i="2"/>
  <c r="N2812" i="2"/>
  <c r="N1851" i="2"/>
  <c r="N2705" i="2"/>
  <c r="N2526" i="2" l="1"/>
  <c r="N2548" i="2"/>
  <c r="N2547" i="2"/>
  <c r="N2546" i="2"/>
  <c r="N2622" i="2"/>
  <c r="N2621" i="2"/>
  <c r="N2518" i="2"/>
  <c r="N2917" i="2"/>
  <c r="N2034" i="2"/>
  <c r="N3007" i="2"/>
  <c r="N3006" i="2"/>
  <c r="N2156" i="2"/>
  <c r="N1871" i="2"/>
  <c r="N1959" i="2"/>
  <c r="N1958" i="2"/>
  <c r="N1854" i="2"/>
  <c r="Q1854" i="2" s="1"/>
  <c r="N1853" i="2"/>
  <c r="Q1853" i="2" s="1"/>
  <c r="N1990" i="2" l="1"/>
  <c r="Q1990" i="2" s="1"/>
  <c r="N2169" i="2"/>
  <c r="N1936" i="2"/>
  <c r="N1935" i="2"/>
  <c r="N1934" i="2"/>
  <c r="N1933" i="2"/>
  <c r="N1932" i="2"/>
  <c r="N1128" i="2" l="1"/>
  <c r="N499" i="2"/>
  <c r="N2656" i="2"/>
  <c r="N2121" i="2"/>
  <c r="N2122" i="2"/>
  <c r="N2606" i="2"/>
  <c r="N2604" i="2"/>
  <c r="N2603" i="2"/>
  <c r="N2448" i="2" l="1"/>
  <c r="N2683" i="2"/>
  <c r="N1266" i="2"/>
  <c r="N2537" i="2" l="1"/>
  <c r="N2509" i="2"/>
  <c r="N2508" i="2"/>
  <c r="N1962" i="2" l="1"/>
  <c r="N1964" i="2"/>
  <c r="N1966" i="2"/>
  <c r="N2408" i="2"/>
  <c r="N2407" i="2"/>
  <c r="N2406" i="2"/>
  <c r="N2227" i="2"/>
  <c r="N2225" i="2"/>
  <c r="N2224" i="2"/>
  <c r="N2223" i="2"/>
  <c r="N2279" i="2"/>
  <c r="N2278" i="2"/>
  <c r="N2277" i="2"/>
  <c r="N2276" i="2"/>
  <c r="J2495" i="2" l="1"/>
  <c r="N1125" i="2"/>
  <c r="N345" i="2"/>
  <c r="N344" i="2"/>
  <c r="N1218" i="2" l="1"/>
  <c r="N1215" i="2"/>
  <c r="N1217" i="2"/>
  <c r="N1219" i="2"/>
  <c r="AD2123" i="2"/>
  <c r="AD2005" i="2"/>
  <c r="AD1810" i="2"/>
  <c r="AD1767" i="2"/>
  <c r="AD1766" i="2"/>
  <c r="AD1683" i="2"/>
  <c r="AD1682" i="2"/>
  <c r="AD1676" i="2"/>
  <c r="AD1674" i="2"/>
  <c r="AD1650" i="2"/>
  <c r="AD1602" i="2"/>
  <c r="AD1601" i="2"/>
  <c r="AD1509" i="2"/>
  <c r="AD1442" i="2"/>
  <c r="AD1318" i="2"/>
  <c r="AD1315" i="2"/>
  <c r="AD1234" i="2"/>
  <c r="AD1228" i="2"/>
  <c r="AD1222" i="2"/>
  <c r="AD1214" i="2"/>
  <c r="AD1100" i="2"/>
  <c r="AD932" i="2"/>
  <c r="AD931" i="2"/>
  <c r="AD897" i="2"/>
  <c r="AD896" i="2"/>
  <c r="AD895" i="2"/>
  <c r="AD894" i="2"/>
  <c r="AD893" i="2"/>
  <c r="AD811" i="2"/>
  <c r="AD810" i="2"/>
  <c r="AD795" i="2"/>
  <c r="AD781" i="2"/>
  <c r="AD780" i="2"/>
  <c r="AD779" i="2"/>
  <c r="AD753" i="2"/>
  <c r="AD752" i="2"/>
  <c r="AD751" i="2"/>
  <c r="AD750" i="2"/>
  <c r="AD749" i="2"/>
  <c r="AD744" i="2"/>
  <c r="AD733" i="2"/>
  <c r="AD727" i="2"/>
  <c r="AD726" i="2"/>
  <c r="AD718" i="2"/>
  <c r="AD717" i="2"/>
  <c r="AD703" i="2"/>
  <c r="AD689" i="2"/>
  <c r="AD688" i="2"/>
  <c r="AD687" i="2"/>
  <c r="AD684" i="2"/>
  <c r="AD683" i="2"/>
  <c r="AD680" i="2"/>
  <c r="AD678" i="2"/>
  <c r="AD677" i="2"/>
  <c r="AD676" i="2"/>
  <c r="AD675" i="2"/>
  <c r="AD662" i="2"/>
  <c r="AD649" i="2"/>
  <c r="AD648" i="2"/>
  <c r="AD647" i="2"/>
  <c r="AD646" i="2"/>
  <c r="AD645" i="2"/>
  <c r="AD644" i="2"/>
  <c r="AD643" i="2"/>
  <c r="AD632" i="2"/>
  <c r="AD629" i="2"/>
  <c r="AD624" i="2"/>
  <c r="AD623" i="2"/>
  <c r="AD622" i="2"/>
  <c r="AD609" i="2"/>
  <c r="AD608" i="2"/>
  <c r="AD607" i="2"/>
  <c r="AD606" i="2"/>
  <c r="AD605" i="2"/>
  <c r="AD604" i="2"/>
  <c r="AD603" i="2"/>
  <c r="AD602" i="2"/>
  <c r="AD601" i="2"/>
  <c r="AD600" i="2"/>
  <c r="AD596" i="2"/>
  <c r="AD595" i="2"/>
  <c r="AD594" i="2"/>
  <c r="AD584" i="2"/>
  <c r="AD583" i="2"/>
  <c r="AD582" i="2"/>
  <c r="AD573" i="2"/>
  <c r="AD572" i="2"/>
  <c r="AD571" i="2"/>
  <c r="AD570" i="2"/>
  <c r="AD560" i="2"/>
  <c r="AD553" i="2"/>
  <c r="AD552" i="2"/>
  <c r="AD551" i="2"/>
  <c r="AD548" i="2"/>
  <c r="AD547" i="2"/>
  <c r="AD546" i="2"/>
  <c r="AD537" i="2"/>
  <c r="AD536" i="2"/>
  <c r="AD535" i="2"/>
  <c r="AD534" i="2"/>
  <c r="AD533" i="2"/>
  <c r="AD531" i="2"/>
  <c r="AD529" i="2"/>
  <c r="AD528" i="2"/>
  <c r="AD520" i="2"/>
  <c r="AD509" i="2"/>
  <c r="AD501" i="2"/>
  <c r="AD500" i="2"/>
  <c r="AD498" i="2"/>
  <c r="AD497" i="2"/>
  <c r="AD494" i="2"/>
  <c r="AD493" i="2"/>
  <c r="AD492" i="2"/>
  <c r="AD491" i="2"/>
  <c r="AD490" i="2"/>
  <c r="AD489" i="2"/>
  <c r="AD485" i="2"/>
  <c r="AD484" i="2"/>
  <c r="AD463" i="2"/>
  <c r="AD462" i="2"/>
  <c r="AD445" i="2"/>
  <c r="AD415" i="2"/>
  <c r="AD414" i="2"/>
  <c r="AD413" i="2"/>
  <c r="AD412" i="2"/>
  <c r="AD411" i="2"/>
  <c r="AD410" i="2"/>
  <c r="AD408" i="2"/>
  <c r="AD398" i="2"/>
  <c r="AD397" i="2"/>
  <c r="AD396" i="2"/>
  <c r="AD386" i="2"/>
  <c r="AD385" i="2"/>
  <c r="AD379" i="2"/>
  <c r="AD378" i="2"/>
  <c r="AD377" i="2"/>
  <c r="AD376" i="2"/>
  <c r="AD375" i="2"/>
  <c r="AD374" i="2"/>
  <c r="AD367" i="2"/>
  <c r="AD366" i="2"/>
  <c r="AD358" i="2"/>
  <c r="AD357" i="2"/>
  <c r="AD356" i="2"/>
  <c r="AD349" i="2"/>
  <c r="AD342" i="2"/>
  <c r="AD341" i="2"/>
  <c r="AD340" i="2"/>
  <c r="AD335" i="2"/>
  <c r="AD334" i="2"/>
  <c r="AD333" i="2"/>
  <c r="AD332" i="2"/>
  <c r="AD331" i="2"/>
  <c r="AD330" i="2"/>
  <c r="AD329" i="2"/>
  <c r="AD328" i="2"/>
  <c r="AD321" i="2"/>
  <c r="AD320" i="2"/>
  <c r="AD319" i="2"/>
  <c r="AD317" i="2"/>
  <c r="AD316" i="2"/>
  <c r="AD315" i="2"/>
  <c r="AD314" i="2"/>
  <c r="AD313" i="2"/>
  <c r="AD312" i="2"/>
  <c r="AD304" i="2"/>
  <c r="AD303" i="2"/>
  <c r="AD291" i="2"/>
  <c r="AD290" i="2"/>
  <c r="AD289" i="2"/>
  <c r="AD287" i="2"/>
  <c r="AD286" i="2"/>
  <c r="AD285" i="2"/>
  <c r="AD264" i="2"/>
  <c r="AD261" i="2"/>
  <c r="AD260" i="2"/>
  <c r="AD259" i="2"/>
  <c r="AD257" i="2"/>
  <c r="AD256" i="2"/>
  <c r="AD255" i="2"/>
  <c r="AD254" i="2"/>
  <c r="AD251" i="2"/>
  <c r="AD242" i="2"/>
  <c r="AD233" i="2"/>
  <c r="AD204" i="2"/>
  <c r="AD203" i="2"/>
  <c r="AD202" i="2"/>
  <c r="AD201" i="2"/>
  <c r="AD200" i="2"/>
  <c r="AD172" i="2"/>
  <c r="AD171" i="2"/>
  <c r="AD170" i="2"/>
  <c r="AD166" i="2"/>
  <c r="AD163" i="2"/>
  <c r="AD162" i="2"/>
  <c r="AD161" i="2"/>
  <c r="AD160" i="2"/>
  <c r="AD125" i="2"/>
  <c r="AD124" i="2"/>
  <c r="AD123" i="2"/>
  <c r="AD24" i="2"/>
  <c r="AD11" i="2"/>
  <c r="N1291" i="2"/>
  <c r="N1264" i="2"/>
  <c r="N1010" i="2"/>
  <c r="N1921" i="2"/>
  <c r="N1926" i="2"/>
  <c r="N945" i="2"/>
  <c r="N874" i="2"/>
  <c r="N878" i="2"/>
  <c r="N778" i="2"/>
  <c r="N1944" i="2"/>
  <c r="N1942" i="2"/>
  <c r="N922" i="2"/>
  <c r="N1978" i="2"/>
  <c r="N991" i="2"/>
  <c r="N989" i="2"/>
  <c r="N1307" i="2"/>
  <c r="N825" i="2"/>
  <c r="N824" i="2"/>
  <c r="N176" i="2"/>
  <c r="N935" i="2"/>
  <c r="Q935" i="2" s="1"/>
  <c r="N829" i="2"/>
  <c r="N792" i="2"/>
  <c r="N297" i="2"/>
  <c r="N295" i="2"/>
  <c r="N771" i="2"/>
  <c r="Q771" i="2" s="1"/>
  <c r="N770" i="2"/>
  <c r="Q770" i="2" s="1"/>
  <c r="N1068" i="2"/>
  <c r="N1067" i="2"/>
  <c r="N1343" i="2"/>
  <c r="N1428" i="2"/>
  <c r="N1633" i="2"/>
  <c r="N2382" i="2"/>
  <c r="N813" i="2"/>
  <c r="N1619" i="2"/>
  <c r="N1876" i="2"/>
  <c r="N775" i="2"/>
  <c r="N657" i="2"/>
  <c r="N1711" i="2"/>
  <c r="N787" i="2"/>
  <c r="N786" i="2"/>
  <c r="N1528" i="2"/>
  <c r="N1205" i="2"/>
  <c r="N1678" i="2"/>
  <c r="N2057" i="2"/>
  <c r="N950" i="2"/>
  <c r="N1332" i="2"/>
  <c r="N420" i="2"/>
  <c r="N1427" i="2"/>
  <c r="N776" i="2"/>
  <c r="N1295" i="2"/>
  <c r="N164" i="2"/>
  <c r="N879" i="2"/>
  <c r="N877" i="2"/>
  <c r="N875" i="2"/>
  <c r="N2359" i="2"/>
  <c r="N2358" i="2"/>
  <c r="N2356" i="2"/>
  <c r="N1771" i="2"/>
  <c r="N1772" i="2"/>
  <c r="N707" i="2"/>
  <c r="N430" i="2"/>
  <c r="N857" i="2"/>
  <c r="N856" i="2"/>
  <c r="N987" i="2"/>
  <c r="N992" i="2"/>
  <c r="N247" i="2"/>
  <c r="N249" i="2"/>
  <c r="N1306" i="2"/>
  <c r="N1940" i="2"/>
  <c r="N1938" i="2"/>
  <c r="N934" i="2"/>
  <c r="N587" i="2"/>
  <c r="N2361" i="2"/>
  <c r="N2316" i="2"/>
  <c r="N146" i="2"/>
  <c r="AD4790" i="2" l="1"/>
  <c r="N725" i="2"/>
  <c r="N724" i="2"/>
  <c r="N1894" i="2"/>
  <c r="N1892" i="2"/>
  <c r="N865" i="2"/>
  <c r="N863" i="2"/>
  <c r="N2366" i="2"/>
  <c r="N2364" i="2"/>
  <c r="N218" i="2"/>
  <c r="N1185" i="2"/>
  <c r="N1184" i="2"/>
  <c r="N995" i="2"/>
  <c r="N1881" i="2"/>
  <c r="N1880" i="2"/>
  <c r="N1877" i="2"/>
  <c r="N169" i="2"/>
  <c r="N167" i="2"/>
  <c r="N1759" i="2"/>
  <c r="N1760" i="2"/>
  <c r="N1204" i="2"/>
  <c r="N1203" i="2"/>
  <c r="N807" i="2"/>
  <c r="N801" i="2"/>
  <c r="N949" i="2"/>
  <c r="N948" i="2"/>
  <c r="N2187" i="2"/>
  <c r="N2185" i="2"/>
  <c r="N892" i="2"/>
  <c r="N1012" i="2"/>
  <c r="N1009" i="2"/>
  <c r="N1008" i="2"/>
  <c r="N231" i="2"/>
  <c r="N1236" i="2"/>
  <c r="N1235" i="2"/>
  <c r="N1258" i="2"/>
  <c r="Q1258" i="2" s="1"/>
  <c r="N13" i="2"/>
  <c r="N2243" i="2"/>
  <c r="N2244" i="2" s="1"/>
  <c r="N21" i="2" l="1"/>
  <c r="N2446" i="2" l="1"/>
  <c r="N2445" i="2"/>
  <c r="Q2444" i="2"/>
  <c r="N2444" i="2"/>
  <c r="N2447" i="2"/>
  <c r="N2443" i="2"/>
  <c r="N2374" i="2" l="1"/>
  <c r="N2375" i="2"/>
  <c r="N2245" i="2" l="1"/>
  <c r="N1482" i="2"/>
  <c r="N1481" i="2"/>
  <c r="N1480" i="2"/>
  <c r="N1523" i="2"/>
  <c r="N1526" i="2"/>
  <c r="N1087" i="2" l="1"/>
  <c r="N1788" i="2"/>
  <c r="N2037" i="2"/>
  <c r="N2036" i="2"/>
  <c r="N2035" i="2"/>
  <c r="N1982" i="2"/>
  <c r="N1000" i="2"/>
  <c r="N1311" i="2"/>
  <c r="N107" i="2" l="1"/>
  <c r="N1584" i="2"/>
  <c r="N1583" i="2"/>
  <c r="N1582" i="2"/>
  <c r="N1581" i="2"/>
  <c r="N1346" i="2"/>
  <c r="N1105" i="2"/>
  <c r="N1651" i="2"/>
  <c r="N1648" i="2"/>
  <c r="N1608" i="2"/>
  <c r="N1807" i="2"/>
  <c r="N1891" i="2"/>
  <c r="N2011" i="2"/>
  <c r="N1319" i="2"/>
  <c r="N799" i="2"/>
  <c r="N1365" i="2"/>
  <c r="N1364" i="2"/>
  <c r="N1366" i="2"/>
  <c r="N1180" i="2"/>
  <c r="N1179" i="2"/>
  <c r="N240" i="2"/>
  <c r="N239" i="2"/>
  <c r="N238" i="2"/>
  <c r="N237" i="2"/>
  <c r="N208" i="2"/>
  <c r="N207" i="2"/>
  <c r="N206" i="2"/>
  <c r="N205" i="2"/>
  <c r="N1149" i="2"/>
  <c r="Q1149" i="2" s="1"/>
  <c r="N1143" i="2"/>
  <c r="N1147" i="2"/>
  <c r="N1146" i="2"/>
  <c r="N1148" i="2"/>
  <c r="N625" i="2"/>
  <c r="N626" i="2"/>
  <c r="N532" i="2"/>
  <c r="N447" i="2"/>
  <c r="Q447" i="2" s="1"/>
  <c r="N446" i="2"/>
  <c r="N1167" i="2"/>
  <c r="N968" i="2"/>
  <c r="N966" i="2"/>
  <c r="N967" i="2"/>
  <c r="N965" i="2"/>
  <c r="N760" i="2" l="1"/>
  <c r="N759" i="2"/>
  <c r="Q759" i="2" s="1"/>
  <c r="N758" i="2"/>
  <c r="N277" i="2" l="1"/>
  <c r="N276" i="2"/>
  <c r="N1124" i="2" l="1"/>
  <c r="N1123" i="2" s="1"/>
  <c r="N1347" i="2" l="1"/>
  <c r="N1348" i="2"/>
  <c r="N1403" i="2" l="1"/>
  <c r="N1400" i="2"/>
  <c r="N1231" i="2"/>
  <c r="N1385" i="2" l="1"/>
  <c r="N1386" i="2"/>
  <c r="N983" i="2"/>
  <c r="N982" i="2"/>
  <c r="N985" i="2"/>
  <c r="N1506" i="2"/>
  <c r="J1709" i="2"/>
  <c r="N618" i="2"/>
  <c r="N615" i="2"/>
  <c r="N1398" i="2"/>
  <c r="N1397" i="2"/>
  <c r="N1396" i="2"/>
  <c r="N470" i="2"/>
  <c r="N469" i="2"/>
  <c r="N468" i="2"/>
  <c r="N1135" i="2"/>
  <c r="N1134" i="2"/>
  <c r="N1133" i="2"/>
  <c r="N1132" i="2"/>
  <c r="N1443" i="2"/>
  <c r="N1350" i="2"/>
  <c r="N1313" i="2"/>
  <c r="N1249" i="2"/>
  <c r="N1248" i="2"/>
  <c r="N1246" i="2"/>
  <c r="N1247" i="2"/>
  <c r="N1098" i="2"/>
  <c r="N1099" i="2"/>
  <c r="N642" i="2"/>
  <c r="N380" i="2"/>
  <c r="N359" i="2"/>
  <c r="N732" i="2"/>
  <c r="N969" i="2"/>
  <c r="N939" i="2"/>
  <c r="N938" i="2"/>
  <c r="N940" i="2"/>
  <c r="N937" i="2"/>
  <c r="N1141" i="2"/>
  <c r="J1155" i="2"/>
  <c r="J1154" i="2"/>
  <c r="J1153" i="2"/>
  <c r="J1152" i="2"/>
  <c r="Z25" i="2"/>
  <c r="AC25" i="2" s="1"/>
  <c r="AC28" i="2"/>
  <c r="AC18" i="2"/>
  <c r="AC1017" i="2"/>
  <c r="AC743" i="2"/>
  <c r="AC702" i="2"/>
  <c r="AC701" i="2"/>
  <c r="AC679" i="2"/>
  <c r="AC539" i="2"/>
  <c r="AC428" i="2"/>
  <c r="AC418" i="2"/>
  <c r="AC318" i="2"/>
  <c r="AC220" i="2"/>
  <c r="AC219" i="2"/>
  <c r="AC156" i="2"/>
  <c r="AC76" i="2"/>
  <c r="AC59" i="2"/>
  <c r="AC43" i="2"/>
  <c r="AC40" i="2"/>
  <c r="AC17" i="2"/>
  <c r="AC16" i="2"/>
  <c r="AC14" i="2"/>
  <c r="AC4790" i="2" l="1"/>
  <c r="N340" i="2"/>
  <c r="N342" i="2"/>
  <c r="N343" i="2"/>
  <c r="N341" i="2" l="1"/>
  <c r="N720" i="2"/>
  <c r="M887" i="2"/>
  <c r="N480" i="2" l="1"/>
  <c r="N385" i="2" l="1"/>
  <c r="N386" i="2"/>
  <c r="N708" i="2"/>
  <c r="N564" i="2"/>
  <c r="N510" i="2"/>
  <c r="N442" i="2"/>
  <c r="N591" i="2"/>
  <c r="N590" i="2"/>
  <c r="N515" i="2"/>
  <c r="N15" i="2" l="1"/>
  <c r="AB346" i="2" l="1"/>
  <c r="AB323" i="2"/>
  <c r="AB322" i="2"/>
  <c r="AB274" i="2"/>
  <c r="AB241" i="2"/>
  <c r="AB223" i="2"/>
  <c r="AB222" i="2"/>
  <c r="AB151" i="2"/>
  <c r="AB150" i="2"/>
  <c r="AB63" i="2"/>
  <c r="AB62" i="2"/>
  <c r="AB61" i="2"/>
  <c r="AB60" i="2"/>
  <c r="AB32" i="2"/>
  <c r="N284" i="2"/>
  <c r="N310" i="2"/>
  <c r="N309" i="2"/>
  <c r="N308" i="2"/>
  <c r="J267" i="2"/>
  <c r="J266" i="2"/>
  <c r="J265" i="2"/>
  <c r="AA54" i="2"/>
  <c r="AA22" i="2"/>
  <c r="N93" i="2"/>
  <c r="N92" i="2"/>
  <c r="N134" i="2"/>
  <c r="N108" i="2"/>
  <c r="Q4790" i="2"/>
  <c r="N141" i="2"/>
  <c r="N91" i="2"/>
  <c r="N82" i="2"/>
  <c r="N80" i="2"/>
  <c r="N19" i="2"/>
  <c r="N20" i="2"/>
  <c r="N12" i="2"/>
  <c r="AA4790" i="2" l="1"/>
  <c r="AB4790" i="2"/>
  <c r="Z56" i="2"/>
  <c r="Z50" i="2"/>
  <c r="Z47" i="2"/>
  <c r="Z36" i="2"/>
  <c r="Z30" i="2"/>
  <c r="Z26" i="2"/>
  <c r="Z9" i="2"/>
  <c r="Z7" i="2"/>
  <c r="V4790" i="2"/>
  <c r="N7" i="2"/>
  <c r="Z4790" i="2" l="1"/>
  <c r="AM1048569" i="2" s="1"/>
  <c r="AK104856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<sst xmlns="http://schemas.openxmlformats.org/spreadsheetml/2006/main" count="87978" uniqueCount="7327">
  <si>
    <r>
      <rPr>
        <b/>
        <sz val="10"/>
        <rFont val="SwissReSans"/>
      </rPr>
      <t xml:space="preserve">     </t>
    </r>
    <r>
      <rPr>
        <b/>
        <u/>
        <sz val="10"/>
        <rFont val="SwissReSans"/>
        <family val="2"/>
      </rPr>
      <t>SOMPO INTERNATIONAL</t>
    </r>
  </si>
  <si>
    <t>Date of Loss</t>
  </si>
  <si>
    <t>Date of Claim</t>
  </si>
  <si>
    <t>Claim Number</t>
  </si>
  <si>
    <t>Name of Insured</t>
  </si>
  <si>
    <t>Insurance contract number</t>
  </si>
  <si>
    <t>Crop</t>
  </si>
  <si>
    <t>Climatic hazard</t>
  </si>
  <si>
    <t>Sum Insured (Crop level) (€)</t>
  </si>
  <si>
    <t>Sum Insured (Plot level) (€)</t>
  </si>
  <si>
    <t>Total Acreage (ha)</t>
  </si>
  <si>
    <t>Affeced area (ha)</t>
  </si>
  <si>
    <t>Maximum Assessment (€)</t>
  </si>
  <si>
    <t>Crop Deductible (%)</t>
  </si>
  <si>
    <t>Plot Deductible (Hail...) (%)</t>
  </si>
  <si>
    <t>Estimated Maximum Pay-out (€)</t>
  </si>
  <si>
    <t>Name of Loss Adjuster</t>
  </si>
  <si>
    <t>Co-op</t>
  </si>
  <si>
    <t>Department</t>
  </si>
  <si>
    <t>Status</t>
  </si>
  <si>
    <t>Expected Fees (reseeding…) (€)</t>
  </si>
  <si>
    <t>Comment</t>
  </si>
  <si>
    <t>Proposed Indemnity (€)</t>
  </si>
  <si>
    <t>Total Paid (€)</t>
  </si>
  <si>
    <t>Rdt</t>
  </si>
  <si>
    <t>0001INT-22</t>
  </si>
  <si>
    <t>DE MIARLE</t>
  </si>
  <si>
    <t>Colza d'hiver</t>
  </si>
  <si>
    <t>Inondation, excès d'eau</t>
  </si>
  <si>
    <t>BAUDIER</t>
  </si>
  <si>
    <t>INTERVAL</t>
  </si>
  <si>
    <t>0002CEA-22</t>
  </si>
  <si>
    <t>BENOIST</t>
  </si>
  <si>
    <t>Sécheresse</t>
  </si>
  <si>
    <t>CEA LOULAY</t>
  </si>
  <si>
    <t>POMMERAUD</t>
  </si>
  <si>
    <t>0003INT-22</t>
  </si>
  <si>
    <t>CUDEY</t>
  </si>
  <si>
    <t>Pluies violentes, orageuses, torrentielles, sécheresse</t>
  </si>
  <si>
    <t>0004OCE-22</t>
  </si>
  <si>
    <t>GENDRE</t>
  </si>
  <si>
    <t>OCEALIA</t>
  </si>
  <si>
    <t>FERRON</t>
  </si>
  <si>
    <t>0005OCE-22</t>
  </si>
  <si>
    <t>FOUCHER</t>
  </si>
  <si>
    <t>0006NAT-22</t>
  </si>
  <si>
    <t>LETERRIER</t>
  </si>
  <si>
    <t>NAT UP</t>
  </si>
  <si>
    <t>0007EMC-22</t>
  </si>
  <si>
    <t>DE LA CASCADE</t>
  </si>
  <si>
    <t>KOESSLER</t>
  </si>
  <si>
    <t>EMC2</t>
  </si>
  <si>
    <t>0008EMC-22</t>
  </si>
  <si>
    <t>DES GALETS BLEUS</t>
  </si>
  <si>
    <t>CREPIN</t>
  </si>
  <si>
    <t>0009EMC-22</t>
  </si>
  <si>
    <t>DE LA TANNERIE</t>
  </si>
  <si>
    <t>OUDIN 55</t>
  </si>
  <si>
    <t>0010EMC-22</t>
  </si>
  <si>
    <t>0011OCE-22</t>
  </si>
  <si>
    <t>BILLEROT</t>
  </si>
  <si>
    <t>0012EMC-22</t>
  </si>
  <si>
    <t>VIJVERBERG</t>
  </si>
  <si>
    <t>0013ALT-22</t>
  </si>
  <si>
    <t>MARCHEUX</t>
  </si>
  <si>
    <t>ALTERNAE</t>
  </si>
  <si>
    <t>0014EMC-22</t>
  </si>
  <si>
    <t>DE FICQUELMONT</t>
  </si>
  <si>
    <t>ROUCHER</t>
  </si>
  <si>
    <t>LAROCHE</t>
  </si>
  <si>
    <t>0015OCE-22</t>
  </si>
  <si>
    <t>0016VDG-22</t>
  </si>
  <si>
    <t>GIORDA</t>
  </si>
  <si>
    <t>MONTSERRET</t>
  </si>
  <si>
    <t>VAL DE GASCOGNE</t>
  </si>
  <si>
    <t>0017OCE-22</t>
  </si>
  <si>
    <t>GENDRON</t>
  </si>
  <si>
    <t>LYS</t>
  </si>
  <si>
    <t>0018OCE-22</t>
  </si>
  <si>
    <t>FRISSONNET</t>
  </si>
  <si>
    <t>0019OCE-22</t>
  </si>
  <si>
    <t>DELABRISE</t>
  </si>
  <si>
    <t>CHRISTIAN LETIERCE</t>
  </si>
  <si>
    <t>0020ALT-22</t>
  </si>
  <si>
    <t>0021EMC-22</t>
  </si>
  <si>
    <t>COLLIN ERIC</t>
  </si>
  <si>
    <t>0022EMC-22</t>
  </si>
  <si>
    <t>DE L'ABEAU</t>
  </si>
  <si>
    <t>0023EMC-22</t>
  </si>
  <si>
    <t>GUILLAUME</t>
  </si>
  <si>
    <t>0024OCE-22</t>
  </si>
  <si>
    <t>DE LA FONTAINE</t>
  </si>
  <si>
    <t>0427</t>
  </si>
  <si>
    <t>0025OCE-22</t>
  </si>
  <si>
    <t>DU MOULIN</t>
  </si>
  <si>
    <t>0026EMC-22</t>
  </si>
  <si>
    <t>DES COURTEILLES</t>
  </si>
  <si>
    <t>0027EMC-22</t>
  </si>
  <si>
    <t>PROCELEG</t>
  </si>
  <si>
    <t>Blé tendre d'hiver</t>
  </si>
  <si>
    <t>0469</t>
  </si>
  <si>
    <t>0028EMC-22</t>
  </si>
  <si>
    <t>JACQUET</t>
  </si>
  <si>
    <t>0029INT-22</t>
  </si>
  <si>
    <t>CHASSEUR</t>
  </si>
  <si>
    <t>CHAUVIN</t>
  </si>
  <si>
    <t>DE COURLANDE</t>
  </si>
  <si>
    <t>BEAUFFILS</t>
  </si>
  <si>
    <t>0031EMC-22</t>
  </si>
  <si>
    <t>AU CASTET</t>
  </si>
  <si>
    <t>0153</t>
  </si>
  <si>
    <t>Coup de chaleur</t>
  </si>
  <si>
    <t>TESTEMALE</t>
  </si>
  <si>
    <t>LUR BERRI</t>
  </si>
  <si>
    <t>0030EMC-22</t>
  </si>
  <si>
    <t>0032LUR-22</t>
  </si>
  <si>
    <t>0033SEV-22</t>
  </si>
  <si>
    <t>LES PLANTES</t>
  </si>
  <si>
    <t>SEVRE ET BELLE</t>
  </si>
  <si>
    <t>0034EMC-22</t>
  </si>
  <si>
    <t>DES GRUES CENDREES</t>
  </si>
  <si>
    <t>0035OCE-22</t>
  </si>
  <si>
    <t>NAFFRECHOUX</t>
  </si>
  <si>
    <t>0419</t>
  </si>
  <si>
    <t>0036INT-22</t>
  </si>
  <si>
    <t>MOREAU LUCOT</t>
  </si>
  <si>
    <t>0037OCE-22</t>
  </si>
  <si>
    <t>ROUZEAU</t>
  </si>
  <si>
    <t>BRUNET</t>
  </si>
  <si>
    <t>MALLINGER</t>
  </si>
  <si>
    <t>0039OCE-22</t>
  </si>
  <si>
    <t>MALAGNOUX</t>
  </si>
  <si>
    <t>0040OCE-22</t>
  </si>
  <si>
    <t>DELAVEAU</t>
  </si>
  <si>
    <t>Colza d'hiver BIO</t>
  </si>
  <si>
    <t>0041VDG-22</t>
  </si>
  <si>
    <t>TAURIGNAN</t>
  </si>
  <si>
    <t>Orge de printemps</t>
  </si>
  <si>
    <t>Blé de force</t>
  </si>
  <si>
    <t xml:space="preserve">BOUFFIER </t>
  </si>
  <si>
    <t>Blé dur d'hiver</t>
  </si>
  <si>
    <t>Gel</t>
  </si>
  <si>
    <t>LANDAIS</t>
  </si>
  <si>
    <t>0042OCE-22</t>
  </si>
  <si>
    <t>0043VDG-22</t>
  </si>
  <si>
    <t>BERGES</t>
  </si>
  <si>
    <t>CASTEX</t>
  </si>
  <si>
    <t>0044AGR-22</t>
  </si>
  <si>
    <t>Inondation, excès d'eau, Grêle</t>
  </si>
  <si>
    <t>SARRES</t>
  </si>
  <si>
    <t>AGROD'OC</t>
  </si>
  <si>
    <t>0045OCE-22</t>
  </si>
  <si>
    <t>BONNIEURE</t>
  </si>
  <si>
    <t>0046LUR-22</t>
  </si>
  <si>
    <t>DUCOS SOPHIE</t>
  </si>
  <si>
    <t>0477</t>
  </si>
  <si>
    <t>Grêle</t>
  </si>
  <si>
    <t>Seigle et méteil BIO</t>
  </si>
  <si>
    <t>0047LUR-22</t>
  </si>
  <si>
    <t>PRAT DE LILLE</t>
  </si>
  <si>
    <t>0048OCE-22</t>
  </si>
  <si>
    <t>NIORT</t>
  </si>
  <si>
    <t>Féveroles et fèves</t>
  </si>
  <si>
    <t>Triticale</t>
  </si>
  <si>
    <t>clos</t>
  </si>
  <si>
    <t>0049VDG-22</t>
  </si>
  <si>
    <t>TONIAZZO</t>
  </si>
  <si>
    <t>Inondation, excès d'eau, pluies violentes, orageuses, torrentielles</t>
  </si>
  <si>
    <t>0050OCE-22</t>
  </si>
  <si>
    <t>CONTHE</t>
  </si>
  <si>
    <t>Excès d'humidité, inondation, excès d'eau</t>
  </si>
  <si>
    <t>0051LUR-22</t>
  </si>
  <si>
    <t>BORDES BERNARD</t>
  </si>
  <si>
    <t>0158</t>
  </si>
  <si>
    <t>Excès d'humidité</t>
  </si>
  <si>
    <t>0052CPL-22</t>
  </si>
  <si>
    <t>BARRALET</t>
  </si>
  <si>
    <t>CAPLA</t>
  </si>
  <si>
    <t>09</t>
  </si>
  <si>
    <t>0057LUR-22</t>
  </si>
  <si>
    <t>D'EN BUSQUERE</t>
  </si>
  <si>
    <t>0053LUR-22</t>
  </si>
  <si>
    <t>DES 2 ORMEAUX</t>
  </si>
  <si>
    <t>Orge d'hiver</t>
  </si>
  <si>
    <t>0054VDG-22</t>
  </si>
  <si>
    <t>MORVAN</t>
  </si>
  <si>
    <t>0055LUR-22</t>
  </si>
  <si>
    <t>BEGUE</t>
  </si>
  <si>
    <t>0056LUR-22</t>
  </si>
  <si>
    <t>TREMBOWSKI</t>
  </si>
  <si>
    <t>0058VDG-22</t>
  </si>
  <si>
    <t>LA METAIRIE</t>
  </si>
  <si>
    <t>Blé tendre d'hiver BIO</t>
  </si>
  <si>
    <t>0059LUR-22</t>
  </si>
  <si>
    <t>0060LUR-22</t>
  </si>
  <si>
    <t>BORDES SANDRINE</t>
  </si>
  <si>
    <t>0160</t>
  </si>
  <si>
    <t>0061LUR-22</t>
  </si>
  <si>
    <t>FAVARO</t>
  </si>
  <si>
    <t>0062VDG-22</t>
  </si>
  <si>
    <t>DELAS CYRILLE</t>
  </si>
  <si>
    <t>0063VDG-22</t>
  </si>
  <si>
    <t>DU PEYROT</t>
  </si>
  <si>
    <t>Inondation, excès d'eau, excès d'humidité</t>
  </si>
  <si>
    <t>LES BOURRUTS</t>
  </si>
  <si>
    <t>0064VDG-22</t>
  </si>
  <si>
    <t>BEROS</t>
  </si>
  <si>
    <t>Seigle et méteil</t>
  </si>
  <si>
    <t>0065VDG-22</t>
  </si>
  <si>
    <t>PERAYNES</t>
  </si>
  <si>
    <t>0066VDG-22</t>
  </si>
  <si>
    <t>TOURNIER</t>
  </si>
  <si>
    <t>0067VDG-22</t>
  </si>
  <si>
    <t>COUGET</t>
  </si>
  <si>
    <t>0068VDG-22</t>
  </si>
  <si>
    <t>FRACKOWIAK</t>
  </si>
  <si>
    <t>0792</t>
  </si>
  <si>
    <t>0069VDG-22</t>
  </si>
  <si>
    <t>0070AGR-22</t>
  </si>
  <si>
    <t>CADOURS</t>
  </si>
  <si>
    <t>0071LUR-22</t>
  </si>
  <si>
    <t>SAJOUS</t>
  </si>
  <si>
    <t>0072LUR-22</t>
  </si>
  <si>
    <t>LES SEMADES</t>
  </si>
  <si>
    <t>0073OCE-22</t>
  </si>
  <si>
    <t>LA SEIGNEURIE</t>
  </si>
  <si>
    <t>0074AXE-22</t>
  </si>
  <si>
    <t>BOISSEAU</t>
  </si>
  <si>
    <t>AXEREAL</t>
  </si>
  <si>
    <t>VERNON</t>
  </si>
  <si>
    <t>0075VDG-22</t>
  </si>
  <si>
    <t>0076VDG-22</t>
  </si>
  <si>
    <t>SPERTINO</t>
  </si>
  <si>
    <t>0077VDG-22</t>
  </si>
  <si>
    <t>0078VDG-22</t>
  </si>
  <si>
    <t>0762</t>
  </si>
  <si>
    <t>LAFFORGUE</t>
  </si>
  <si>
    <t>0079LUR-22</t>
  </si>
  <si>
    <t>OLMOS FAVARO</t>
  </si>
  <si>
    <t>BARON</t>
  </si>
  <si>
    <t>0080VDG-22</t>
  </si>
  <si>
    <t>0081LUR-22</t>
  </si>
  <si>
    <t>JUSTICE</t>
  </si>
  <si>
    <t>0584</t>
  </si>
  <si>
    <t>0082OCE-22</t>
  </si>
  <si>
    <t>RULLAND</t>
  </si>
  <si>
    <t>0083LUR-22</t>
  </si>
  <si>
    <t>0038EMC-22</t>
  </si>
  <si>
    <t>0084VDG-22</t>
  </si>
  <si>
    <t>0598</t>
  </si>
  <si>
    <t>Féveroles et fèves BIO</t>
  </si>
  <si>
    <t>DUCOS</t>
  </si>
  <si>
    <t>0085OCE-22</t>
  </si>
  <si>
    <t>HERON</t>
  </si>
  <si>
    <t>0086VDG-22</t>
  </si>
  <si>
    <t>DU HOURESTE</t>
  </si>
  <si>
    <t>0679</t>
  </si>
  <si>
    <t>RODARY</t>
  </si>
  <si>
    <t>First Payment 15/02/2022</t>
  </si>
  <si>
    <t>0087INT-22</t>
  </si>
  <si>
    <t>0088OCE-22</t>
  </si>
  <si>
    <t>TOI ET MOI</t>
  </si>
  <si>
    <t>0594</t>
  </si>
  <si>
    <t>Températures basses</t>
  </si>
  <si>
    <t>0089OCE-22</t>
  </si>
  <si>
    <t>THEVENET</t>
  </si>
  <si>
    <t>Tempête, inondation, excès d'eau</t>
  </si>
  <si>
    <t>0090EMC-22</t>
  </si>
  <si>
    <t>MATHIEU</t>
  </si>
  <si>
    <t>Excès d'humidité, coup de froid</t>
  </si>
  <si>
    <t>0091VDG-22</t>
  </si>
  <si>
    <t>BUSOLLO</t>
  </si>
  <si>
    <t>0092DIJ-22</t>
  </si>
  <si>
    <t>CALINON</t>
  </si>
  <si>
    <t>0760</t>
  </si>
  <si>
    <t>DIJON CEREALES</t>
  </si>
  <si>
    <t>0093INT-22</t>
  </si>
  <si>
    <t>TAMISIER</t>
  </si>
  <si>
    <t>Second Payment 15/03/2022</t>
  </si>
  <si>
    <t>0094AXE-22</t>
  </si>
  <si>
    <t>0844</t>
  </si>
  <si>
    <t>MAUGARS</t>
  </si>
  <si>
    <t>0095DIJ-22</t>
  </si>
  <si>
    <t>DE COTELOGNE</t>
  </si>
  <si>
    <t>0516</t>
  </si>
  <si>
    <t>DELAYAT</t>
  </si>
  <si>
    <t>0096DIJ-22</t>
  </si>
  <si>
    <t>GIRARD PITOLLET</t>
  </si>
  <si>
    <t>0454</t>
  </si>
  <si>
    <t>Type</t>
  </si>
  <si>
    <t>Arable Crop Hail</t>
  </si>
  <si>
    <t>Arable Crop MPCI</t>
  </si>
  <si>
    <t>0097OCE-22</t>
  </si>
  <si>
    <t>PASANPEINE</t>
  </si>
  <si>
    <t>0597</t>
  </si>
  <si>
    <t>Avoine d'hiver</t>
  </si>
  <si>
    <t>0098OCE-22</t>
  </si>
  <si>
    <t>COUTURE</t>
  </si>
  <si>
    <t>0099LUR-22</t>
  </si>
  <si>
    <t>0151</t>
  </si>
  <si>
    <t>0100OCE-22</t>
  </si>
  <si>
    <t>PITAUD</t>
  </si>
  <si>
    <t>0101OCE-22</t>
  </si>
  <si>
    <t>DES TERRES ROUGES</t>
  </si>
  <si>
    <t>0102CEA-22</t>
  </si>
  <si>
    <t>DES FOUGERES</t>
  </si>
  <si>
    <t>0103OCE-22</t>
  </si>
  <si>
    <t>TALON</t>
  </si>
  <si>
    <t>0104CEA-22</t>
  </si>
  <si>
    <t>LES GRANDS COLOMBEAUX</t>
  </si>
  <si>
    <t>Pois protéagineux</t>
  </si>
  <si>
    <t>Third Payment 15/04/2022</t>
  </si>
  <si>
    <t>0105OCE-22</t>
  </si>
  <si>
    <t>Grêle, gel</t>
  </si>
  <si>
    <t>0106OCE-22</t>
  </si>
  <si>
    <t>LA CHAUME DE L'AGE</t>
  </si>
  <si>
    <t xml:space="preserve">Orge d'hiver </t>
  </si>
  <si>
    <t>0107DIJ-22</t>
  </si>
  <si>
    <t>MIGNARDOT</t>
  </si>
  <si>
    <t>0437</t>
  </si>
  <si>
    <t>0108OCE-22</t>
  </si>
  <si>
    <t>DE LA JARROUE</t>
  </si>
  <si>
    <t>DE GORCE</t>
  </si>
  <si>
    <t>0109OCE-22</t>
  </si>
  <si>
    <t>0110NAT-22</t>
  </si>
  <si>
    <t>Poids de la neige et du givre, Gel</t>
  </si>
  <si>
    <t>DU MESNIL TREFLET</t>
  </si>
  <si>
    <t>0111NAT-22</t>
  </si>
  <si>
    <t>BENARD</t>
  </si>
  <si>
    <t>0112OCE-22</t>
  </si>
  <si>
    <t>MAROLLEAU</t>
  </si>
  <si>
    <t>0113OCE-22</t>
  </si>
  <si>
    <t>BOUDEAU</t>
  </si>
  <si>
    <t>0506</t>
  </si>
  <si>
    <t>Gel, sécheresse</t>
  </si>
  <si>
    <t>0114OCE-22</t>
  </si>
  <si>
    <t>Blé tendre d'hiver semences</t>
  </si>
  <si>
    <t>0115OCE-22</t>
  </si>
  <si>
    <t>DU BRANDEAU</t>
  </si>
  <si>
    <t>0548</t>
  </si>
  <si>
    <t>Gel, coup de froid</t>
  </si>
  <si>
    <t>0116OCE-22</t>
  </si>
  <si>
    <t>DE MALEFFE</t>
  </si>
  <si>
    <t>0117OCE-22</t>
  </si>
  <si>
    <t>GAUVIN</t>
  </si>
  <si>
    <t>0118CAP-22</t>
  </si>
  <si>
    <t>CHAIGNE</t>
  </si>
  <si>
    <t>CAP FAYE</t>
  </si>
  <si>
    <t>0119CAP-22</t>
  </si>
  <si>
    <t>BOUTIER</t>
  </si>
  <si>
    <t>0120OCE-22</t>
  </si>
  <si>
    <t>LES 2 HORIZONS</t>
  </si>
  <si>
    <t>0121OCE-22</t>
  </si>
  <si>
    <t>GABORIEAU</t>
  </si>
  <si>
    <t>0122CAP-22</t>
  </si>
  <si>
    <t>LA RENEAMIERE</t>
  </si>
  <si>
    <t>Triticale BIO</t>
  </si>
  <si>
    <t>0123OCE-22</t>
  </si>
  <si>
    <t>0124AGR-22</t>
  </si>
  <si>
    <t>DE LA MEUNIERE</t>
  </si>
  <si>
    <t>0510</t>
  </si>
  <si>
    <t>0125CAP-22</t>
  </si>
  <si>
    <t>LA ROUERE</t>
  </si>
  <si>
    <t>0126LUR-22</t>
  </si>
  <si>
    <t>JOUET</t>
  </si>
  <si>
    <t>0127OCE-22</t>
  </si>
  <si>
    <t>AUDOUIN</t>
  </si>
  <si>
    <t>0128OCE-22</t>
  </si>
  <si>
    <t>DE LEGONIE</t>
  </si>
  <si>
    <t>MAGNE</t>
  </si>
  <si>
    <t>0129OCE-22</t>
  </si>
  <si>
    <t>LOHUES</t>
  </si>
  <si>
    <t>0130LUR-22</t>
  </si>
  <si>
    <t>DU SENTIER</t>
  </si>
  <si>
    <t>0612</t>
  </si>
  <si>
    <t>0131OCE-22</t>
  </si>
  <si>
    <t>DES CHATAIGNIERS</t>
  </si>
  <si>
    <t>0132SDA-22</t>
  </si>
  <si>
    <t>DU PERRIER</t>
  </si>
  <si>
    <t>0739</t>
  </si>
  <si>
    <t>0133CEA-22</t>
  </si>
  <si>
    <t>DES FRUITIERS</t>
  </si>
  <si>
    <t>0752</t>
  </si>
  <si>
    <t>0134SEV-22</t>
  </si>
  <si>
    <t>0135OCE-22</t>
  </si>
  <si>
    <t>COIFFARD</t>
  </si>
  <si>
    <t>Orge d'hiver BIO</t>
  </si>
  <si>
    <t>0136CEA-22</t>
  </si>
  <si>
    <t>0137OCE-22</t>
  </si>
  <si>
    <t>DUCHER</t>
  </si>
  <si>
    <t>Vineyard MPCI</t>
  </si>
  <si>
    <t>0143OCE-22</t>
  </si>
  <si>
    <t>VIGNOBLE DU PETIT PARIS</t>
  </si>
  <si>
    <t>Vigne à raisin de cuve (VCU1)</t>
  </si>
  <si>
    <t>0900</t>
  </si>
  <si>
    <t>0138ALL-22</t>
  </si>
  <si>
    <t>CHÂTEAU D'EAU</t>
  </si>
  <si>
    <t>ALLIANCE NEGOCE</t>
  </si>
  <si>
    <t>0139OCE-22</t>
  </si>
  <si>
    <t>LA CROIX VINETTE</t>
  </si>
  <si>
    <t>0456</t>
  </si>
  <si>
    <t>0140OCE-22</t>
  </si>
  <si>
    <t>DE NADELIN</t>
  </si>
  <si>
    <t>0141OCE-22</t>
  </si>
  <si>
    <t>DE CHATEAUNEUF</t>
  </si>
  <si>
    <t>0142NAT-22</t>
  </si>
  <si>
    <t>DE BEAUMONTEL</t>
  </si>
  <si>
    <t>Lin textile</t>
  </si>
  <si>
    <t>Betteraves industrielles</t>
  </si>
  <si>
    <t>0144LUR-22</t>
  </si>
  <si>
    <t>LAMARCADE</t>
  </si>
  <si>
    <t>0147</t>
  </si>
  <si>
    <t>0145OCE-22</t>
  </si>
  <si>
    <t>LAPIERRE</t>
  </si>
  <si>
    <t>0146LUR-22</t>
  </si>
  <si>
    <t>0147OCE-22</t>
  </si>
  <si>
    <t>RIVIER</t>
  </si>
  <si>
    <t>0148VDG-22</t>
  </si>
  <si>
    <t>DU MUGUET</t>
  </si>
  <si>
    <t>DE BOUMERGUETTE</t>
  </si>
  <si>
    <t>0674</t>
  </si>
  <si>
    <t>0150OCE-22</t>
  </si>
  <si>
    <t>LES COTEAUX DE LOIRE</t>
  </si>
  <si>
    <t>0151OCE-22</t>
  </si>
  <si>
    <t>0152NAT-22</t>
  </si>
  <si>
    <t>DELANNAY</t>
  </si>
  <si>
    <t xml:space="preserve">NAT UP </t>
  </si>
  <si>
    <t>0149TDS-22</t>
  </si>
  <si>
    <t>0153OCE-22</t>
  </si>
  <si>
    <t>DE LA SOURCE</t>
  </si>
  <si>
    <t>0154OCE-22</t>
  </si>
  <si>
    <t>L'ARCANADE</t>
  </si>
  <si>
    <t>Avoine d'hiver SEMENCES</t>
  </si>
  <si>
    <t>Triticale SEMENCES</t>
  </si>
  <si>
    <t>0155AGR-22</t>
  </si>
  <si>
    <t>0156OCE-22</t>
  </si>
  <si>
    <t>NEAU</t>
  </si>
  <si>
    <t>0424</t>
  </si>
  <si>
    <t>0157OCE-22</t>
  </si>
  <si>
    <t>PERRIN</t>
  </si>
  <si>
    <t>0158CEA-22</t>
  </si>
  <si>
    <t>PLANTARD</t>
  </si>
  <si>
    <t>Lin oléagineux</t>
  </si>
  <si>
    <t>0159OCE-22</t>
  </si>
  <si>
    <t>Pois protéagineux BIO</t>
  </si>
  <si>
    <t>0160OCE-22</t>
  </si>
  <si>
    <t>GUYARD</t>
  </si>
  <si>
    <t>0161OCE-22</t>
  </si>
  <si>
    <t>DIET</t>
  </si>
  <si>
    <t>0162AXE-22</t>
  </si>
  <si>
    <t>LIMOUSIN</t>
  </si>
  <si>
    <t>0750</t>
  </si>
  <si>
    <t>0163OCE-22</t>
  </si>
  <si>
    <t>COUTAND</t>
  </si>
  <si>
    <t>0164OCE-22</t>
  </si>
  <si>
    <t>0165CEA-22</t>
  </si>
  <si>
    <t>LE BERNUSSEAU</t>
  </si>
  <si>
    <t>0166OCE-22</t>
  </si>
  <si>
    <t>0167OCE-22</t>
  </si>
  <si>
    <t>VOGEL</t>
  </si>
  <si>
    <t>0168CEA-22</t>
  </si>
  <si>
    <t>BALLAND</t>
  </si>
  <si>
    <t>0169VDG-22</t>
  </si>
  <si>
    <t>0170OCE-22</t>
  </si>
  <si>
    <t>HAYS</t>
  </si>
  <si>
    <t>0464</t>
  </si>
  <si>
    <t>0171CEA-22</t>
  </si>
  <si>
    <t>MONTPENSIER</t>
  </si>
  <si>
    <t>0172AXE-22</t>
  </si>
  <si>
    <t>DES BRUYERES</t>
  </si>
  <si>
    <t>0223</t>
  </si>
  <si>
    <t>Coup de froid, gel</t>
  </si>
  <si>
    <t>0173INT-22</t>
  </si>
  <si>
    <t>DE TALUJEAU</t>
  </si>
  <si>
    <t>0653</t>
  </si>
  <si>
    <t>0175OCE-22</t>
  </si>
  <si>
    <t>BONNEAUD</t>
  </si>
  <si>
    <t>0176OCE-22</t>
  </si>
  <si>
    <t>0177OCE-22</t>
  </si>
  <si>
    <t>CHAIGNEAU</t>
  </si>
  <si>
    <t>0178OCE-22</t>
  </si>
  <si>
    <t>JOUBERT</t>
  </si>
  <si>
    <t>0157</t>
  </si>
  <si>
    <t>0179OCE-22</t>
  </si>
  <si>
    <t>DOMEJEAN</t>
  </si>
  <si>
    <t>0174VDG-22</t>
  </si>
  <si>
    <t>PROUD ALAIN</t>
  </si>
  <si>
    <t>0180OCE-22</t>
  </si>
  <si>
    <t>0181OCE-22</t>
  </si>
  <si>
    <t>GIREAU</t>
  </si>
  <si>
    <t>0182OCE-22</t>
  </si>
  <si>
    <t>CHAMPAGNE</t>
  </si>
  <si>
    <t>Pois protéagineux SEMENCES</t>
  </si>
  <si>
    <t>Orge d'hiver SEMENCES</t>
  </si>
  <si>
    <t>0183VDG-22</t>
  </si>
  <si>
    <t>0184OCE-22</t>
  </si>
  <si>
    <t xml:space="preserve">Colza d'hiver </t>
  </si>
  <si>
    <t>0185OCE-22</t>
  </si>
  <si>
    <t xml:space="preserve">Pois protéagineux </t>
  </si>
  <si>
    <t>0186OCE-22</t>
  </si>
  <si>
    <t>SAINT GERMAIN</t>
  </si>
  <si>
    <t>0187VDG-22</t>
  </si>
  <si>
    <t>MENASPA</t>
  </si>
  <si>
    <t>Blé dur d'hiver BIO</t>
  </si>
  <si>
    <t>0188OCE-22</t>
  </si>
  <si>
    <t>LA CHAPELLE BROCHET</t>
  </si>
  <si>
    <t>0189OCE-22</t>
  </si>
  <si>
    <t>DES FONDS DU FRAISSE</t>
  </si>
  <si>
    <t>0190OCE-22</t>
  </si>
  <si>
    <t>CHAUNUX</t>
  </si>
  <si>
    <t xml:space="preserve">Blé tendre d'hiver </t>
  </si>
  <si>
    <t>POINSET</t>
  </si>
  <si>
    <t>0191OCE-22</t>
  </si>
  <si>
    <t>0192OCE-22</t>
  </si>
  <si>
    <t>0601</t>
  </si>
  <si>
    <t>0193VDG-22</t>
  </si>
  <si>
    <t>GAEC TOURNIER</t>
  </si>
  <si>
    <t>0194OCE-22</t>
  </si>
  <si>
    <t>0195OCE-22</t>
  </si>
  <si>
    <t>LES ECUREUILS</t>
  </si>
  <si>
    <t>0196CEA-22</t>
  </si>
  <si>
    <t>BARBAUD</t>
  </si>
  <si>
    <t>0197VDG-22</t>
  </si>
  <si>
    <t>0852</t>
  </si>
  <si>
    <t>0198EMC-22</t>
  </si>
  <si>
    <t>DE CREPAIRE</t>
  </si>
  <si>
    <t>0199VDG-22</t>
  </si>
  <si>
    <t>DE JUAU</t>
  </si>
  <si>
    <t>Lin oléagineux BIO</t>
  </si>
  <si>
    <t>0200OCE-22</t>
  </si>
  <si>
    <t>0425</t>
  </si>
  <si>
    <t>0387</t>
  </si>
  <si>
    <t>0201OCE-22</t>
  </si>
  <si>
    <t>GUIET</t>
  </si>
  <si>
    <t>0202OCE-22</t>
  </si>
  <si>
    <t>DES RIVAUDELLES</t>
  </si>
  <si>
    <t>0203OCE-22</t>
  </si>
  <si>
    <t>SAUMON ASSOCIES</t>
  </si>
  <si>
    <t>0204OCE-22</t>
  </si>
  <si>
    <t>GUILLIEN</t>
  </si>
  <si>
    <t xml:space="preserve">LYS </t>
  </si>
  <si>
    <t>0205OCE-22</t>
  </si>
  <si>
    <t xml:space="preserve">LES OMBRES </t>
  </si>
  <si>
    <t>0417</t>
  </si>
  <si>
    <t>0206OCE-22</t>
  </si>
  <si>
    <t>NIVELLE</t>
  </si>
  <si>
    <t>0207OCE-22</t>
  </si>
  <si>
    <t>LA BREMAUDIERE</t>
  </si>
  <si>
    <t>0208OCE-22</t>
  </si>
  <si>
    <t>PRECILOSOL</t>
  </si>
  <si>
    <t>Lentilles</t>
  </si>
  <si>
    <t>0209LUR-22</t>
  </si>
  <si>
    <t>0210OCE-22</t>
  </si>
  <si>
    <t>LA FIGEASSE</t>
  </si>
  <si>
    <t>0613</t>
  </si>
  <si>
    <t>0212OCE-22</t>
  </si>
  <si>
    <t>0573</t>
  </si>
  <si>
    <t>0213OCE-22</t>
  </si>
  <si>
    <t>DE LA TUILERIE</t>
  </si>
  <si>
    <t>0214LUR-22</t>
  </si>
  <si>
    <t>0215DIJ-22</t>
  </si>
  <si>
    <t>GUENEAU</t>
  </si>
  <si>
    <t>0596</t>
  </si>
  <si>
    <t>0216OCE-22</t>
  </si>
  <si>
    <t xml:space="preserve">Triticale </t>
  </si>
  <si>
    <t>0217ALT-22</t>
  </si>
  <si>
    <t>0218OCE-22</t>
  </si>
  <si>
    <t>GENETEIX</t>
  </si>
  <si>
    <t>0219OCE-22</t>
  </si>
  <si>
    <t>PORTEJOIE</t>
  </si>
  <si>
    <t>0220OCE-22</t>
  </si>
  <si>
    <t>LES CHAMPS</t>
  </si>
  <si>
    <t>0221OCE-22</t>
  </si>
  <si>
    <t>BEZAULT</t>
  </si>
  <si>
    <t>0222CAP-22</t>
  </si>
  <si>
    <t>DU MARCHAIS</t>
  </si>
  <si>
    <t>LUCAS</t>
  </si>
  <si>
    <t>0223OCE-22</t>
  </si>
  <si>
    <t>AZARD</t>
  </si>
  <si>
    <t>0224OCE-22</t>
  </si>
  <si>
    <t>CALVEZ</t>
  </si>
  <si>
    <t>DE LA PLAINE DE RIVIERE</t>
  </si>
  <si>
    <t>0774</t>
  </si>
  <si>
    <t>0211VDG-22</t>
  </si>
  <si>
    <t>0225CAP-22</t>
  </si>
  <si>
    <t>LA PETITE JACQUERIE</t>
  </si>
  <si>
    <t>0576</t>
  </si>
  <si>
    <t>0226OCE-22</t>
  </si>
  <si>
    <t>DU PANSART</t>
  </si>
  <si>
    <t>Lupin doux</t>
  </si>
  <si>
    <t>0227OCE-22</t>
  </si>
  <si>
    <t>DE LA CHENAIE</t>
  </si>
  <si>
    <t>0228VDG-22</t>
  </si>
  <si>
    <t>MOULIN</t>
  </si>
  <si>
    <t>0229OCE-22</t>
  </si>
  <si>
    <t>DU PONT DE VAUX</t>
  </si>
  <si>
    <t>0230OCE-22</t>
  </si>
  <si>
    <t>GADON</t>
  </si>
  <si>
    <t>0231OCE-22</t>
  </si>
  <si>
    <t>0232OCE-22</t>
  </si>
  <si>
    <t>0233OCE-22</t>
  </si>
  <si>
    <t>BREILLAT</t>
  </si>
  <si>
    <t>0234OCE-22</t>
  </si>
  <si>
    <t>DU SAUDOUR</t>
  </si>
  <si>
    <t>0235OCE-22</t>
  </si>
  <si>
    <t>DU PORTAIL</t>
  </si>
  <si>
    <t>0236LUR-22</t>
  </si>
  <si>
    <t>0237OCE-22</t>
  </si>
  <si>
    <t>DE BROUTIQUA</t>
  </si>
  <si>
    <t>0238OCE-22</t>
  </si>
  <si>
    <t>0239OCE-22</t>
  </si>
  <si>
    <t>0240AGR-22</t>
  </si>
  <si>
    <t>DE BRANAS</t>
  </si>
  <si>
    <t>0241VDG-22</t>
  </si>
  <si>
    <t>DE MATORE</t>
  </si>
  <si>
    <t>0743</t>
  </si>
  <si>
    <t>0242VDG-22</t>
  </si>
  <si>
    <t>DU CAP DE LA PLANTE</t>
  </si>
  <si>
    <t>0243OCE-22</t>
  </si>
  <si>
    <t xml:space="preserve">SARDIN </t>
  </si>
  <si>
    <t>0244OCE-22</t>
  </si>
  <si>
    <t>DANIAU</t>
  </si>
  <si>
    <t>0245OGR-22</t>
  </si>
  <si>
    <t>REUZEAU</t>
  </si>
  <si>
    <t>OGR (VAL DE GASCOGNE)</t>
  </si>
  <si>
    <t>0246VDG-22</t>
  </si>
  <si>
    <t>POURTEAU</t>
  </si>
  <si>
    <t>0775</t>
  </si>
  <si>
    <t>0247OCE-22</t>
  </si>
  <si>
    <t>CHAGNAUD</t>
  </si>
  <si>
    <t>0248OCE-22</t>
  </si>
  <si>
    <t>GAUTIER</t>
  </si>
  <si>
    <t>0249OCE-22</t>
  </si>
  <si>
    <t>DU PASSAGE</t>
  </si>
  <si>
    <t>0250OCE-22</t>
  </si>
  <si>
    <t>LE GRAND VERSENNE</t>
  </si>
  <si>
    <t>0251OCE-22</t>
  </si>
  <si>
    <t>DES CHIRONS</t>
  </si>
  <si>
    <t>0252OCE-22</t>
  </si>
  <si>
    <t>JOCELYN AUDE</t>
  </si>
  <si>
    <t>0664</t>
  </si>
  <si>
    <t>0253OCE-22</t>
  </si>
  <si>
    <t>CROIZARD</t>
  </si>
  <si>
    <t>0254OCE-22</t>
  </si>
  <si>
    <t>MERCIER</t>
  </si>
  <si>
    <t>0689</t>
  </si>
  <si>
    <t>0255OCE-22</t>
  </si>
  <si>
    <t>DES CHARMILLES</t>
  </si>
  <si>
    <t>0256OCE-22</t>
  </si>
  <si>
    <t>0257LUR-22</t>
  </si>
  <si>
    <t>ARNAUBAIGT</t>
  </si>
  <si>
    <t>0258OCE-22</t>
  </si>
  <si>
    <t>MAISTRE</t>
  </si>
  <si>
    <t>0542</t>
  </si>
  <si>
    <t>0259LUR-22</t>
  </si>
  <si>
    <t>0260AXE-22</t>
  </si>
  <si>
    <t>DALLOT</t>
  </si>
  <si>
    <t>0744</t>
  </si>
  <si>
    <t>0261LUR-22</t>
  </si>
  <si>
    <t>DES CAMOUS</t>
  </si>
  <si>
    <t>0227</t>
  </si>
  <si>
    <t>0262OCE-22</t>
  </si>
  <si>
    <t>VILLENEUVE</t>
  </si>
  <si>
    <t>0263OCE-22</t>
  </si>
  <si>
    <t>LES RENASSONS</t>
  </si>
  <si>
    <t>0786</t>
  </si>
  <si>
    <t>0264VDG-22</t>
  </si>
  <si>
    <t>0265OCE-22</t>
  </si>
  <si>
    <t>MARAIS</t>
  </si>
  <si>
    <t>0266OCE-22</t>
  </si>
  <si>
    <t>DES ORS</t>
  </si>
  <si>
    <t>0267OCE-22</t>
  </si>
  <si>
    <t>DE LA PINETIERE</t>
  </si>
  <si>
    <t>0268NAT-22</t>
  </si>
  <si>
    <t>0269OCE-22</t>
  </si>
  <si>
    <t>LARDANT</t>
  </si>
  <si>
    <t>0382</t>
  </si>
  <si>
    <t>0270OCE-22</t>
  </si>
  <si>
    <t>DE SAINT JOSEPH</t>
  </si>
  <si>
    <t>0271OCE-22</t>
  </si>
  <si>
    <t>LES PATUREAUX</t>
  </si>
  <si>
    <t>0272CEA-22</t>
  </si>
  <si>
    <t>POULAILLEAU</t>
  </si>
  <si>
    <t>0748</t>
  </si>
  <si>
    <t>Lentilles BIO</t>
  </si>
  <si>
    <t>Pois secs / Pois Chiches BIO</t>
  </si>
  <si>
    <t>0273OCE-22</t>
  </si>
  <si>
    <t>DESBORDES</t>
  </si>
  <si>
    <t>0274OCE-22</t>
  </si>
  <si>
    <t>DU PUITS RAYMONDIERE</t>
  </si>
  <si>
    <t>0275VDG-22</t>
  </si>
  <si>
    <t xml:space="preserve">Arable Crop Hail </t>
  </si>
  <si>
    <t>0276SEV-22</t>
  </si>
  <si>
    <t>LA GRANGE</t>
  </si>
  <si>
    <t>0817</t>
  </si>
  <si>
    <t>Tempête, grêle</t>
  </si>
  <si>
    <t>0277OCE-22</t>
  </si>
  <si>
    <t>Tempête, excès d'humidité</t>
  </si>
  <si>
    <t>0278OCE-22</t>
  </si>
  <si>
    <t>Tempête</t>
  </si>
  <si>
    <t>0279OCE-22</t>
  </si>
  <si>
    <t>0280OCE-22</t>
  </si>
  <si>
    <t>DE TAILLEPIED</t>
  </si>
  <si>
    <t>Sécheresse, gel</t>
  </si>
  <si>
    <t>0282CEA-22</t>
  </si>
  <si>
    <t>DAUBIGNE</t>
  </si>
  <si>
    <t>0283OCE-22</t>
  </si>
  <si>
    <t>DU CHAMPS PALET</t>
  </si>
  <si>
    <t>0284OCE-22</t>
  </si>
  <si>
    <t>0285ALT-22</t>
  </si>
  <si>
    <t>0286VDG-22</t>
  </si>
  <si>
    <t>COMEILLE</t>
  </si>
  <si>
    <t>0797</t>
  </si>
  <si>
    <t>0287HOU-22</t>
  </si>
  <si>
    <t>DU PRIEUR</t>
  </si>
  <si>
    <t>SA HOUPIEZ</t>
  </si>
  <si>
    <t>0281LUR-22</t>
  </si>
  <si>
    <t>0288VDG-22</t>
  </si>
  <si>
    <t>ROUANET</t>
  </si>
  <si>
    <t>0289OCE-22</t>
  </si>
  <si>
    <t>0290OCE-22</t>
  </si>
  <si>
    <t>CAROLLE</t>
  </si>
  <si>
    <t>0291OCE-22</t>
  </si>
  <si>
    <t>0292VDG-22</t>
  </si>
  <si>
    <t>SANSAS</t>
  </si>
  <si>
    <t>0293OCE-22</t>
  </si>
  <si>
    <t>DU PLANTIER DE LARSAC</t>
  </si>
  <si>
    <t>0294VDG-22</t>
  </si>
  <si>
    <t>DATAS</t>
  </si>
  <si>
    <t>Maïs grain irrigué SEMENCES STERILES</t>
  </si>
  <si>
    <t>0295OCE-22</t>
  </si>
  <si>
    <t xml:space="preserve">Maïs grain irrigué </t>
  </si>
  <si>
    <t>Pluies violentes, orageuses, torrentielles</t>
  </si>
  <si>
    <t>0296OCE-22</t>
  </si>
  <si>
    <t>LEROUX</t>
  </si>
  <si>
    <t>0808</t>
  </si>
  <si>
    <t>0297OCE-22</t>
  </si>
  <si>
    <t>LE LOGIS</t>
  </si>
  <si>
    <t>0298OCE-22</t>
  </si>
  <si>
    <t>DU DOLMEN</t>
  </si>
  <si>
    <t>0299ALT-22</t>
  </si>
  <si>
    <t>0300OCE-22</t>
  </si>
  <si>
    <t>GORICHON</t>
  </si>
  <si>
    <t>0301VDG-22</t>
  </si>
  <si>
    <t>DE LA PRADE</t>
  </si>
  <si>
    <t>0711</t>
  </si>
  <si>
    <t>0302ALT-22</t>
  </si>
  <si>
    <t>DE CAHOUAN</t>
  </si>
  <si>
    <t>0458</t>
  </si>
  <si>
    <t>0303DIJ-22</t>
  </si>
  <si>
    <t>GIRAD</t>
  </si>
  <si>
    <t>0453</t>
  </si>
  <si>
    <t>0304OCE-22</t>
  </si>
  <si>
    <t>VASSELIN</t>
  </si>
  <si>
    <t>0305OCE-22</t>
  </si>
  <si>
    <t>ZELICOR</t>
  </si>
  <si>
    <t>0687</t>
  </si>
  <si>
    <t>0306OCE-22</t>
  </si>
  <si>
    <t>TILLEUL</t>
  </si>
  <si>
    <t>0307ALT-22</t>
  </si>
  <si>
    <t>DES CAILLETOTS</t>
  </si>
  <si>
    <t>0943</t>
  </si>
  <si>
    <t>0308OCE-22</t>
  </si>
  <si>
    <t>DU VIEUX CHENE</t>
  </si>
  <si>
    <t>0309INT-22</t>
  </si>
  <si>
    <t>Tournesol</t>
  </si>
  <si>
    <t>0310OCE-22</t>
  </si>
  <si>
    <t>BOUCHET ETIENNE</t>
  </si>
  <si>
    <t>0813</t>
  </si>
  <si>
    <t>Tempête, coup de froid</t>
  </si>
  <si>
    <t>0311CEA-22</t>
  </si>
  <si>
    <t>DU POUZAT</t>
  </si>
  <si>
    <t>0723</t>
  </si>
  <si>
    <t>0312OCE-22</t>
  </si>
  <si>
    <t>DU TREFLE</t>
  </si>
  <si>
    <t>0313OCE-22</t>
  </si>
  <si>
    <t>DE LA PAIX</t>
  </si>
  <si>
    <t>0314OCE-22</t>
  </si>
  <si>
    <t>GAEC DES CHATAIGNIERS</t>
  </si>
  <si>
    <t>0315ALT-22</t>
  </si>
  <si>
    <t>GERARD MARCHAND</t>
  </si>
  <si>
    <t>0905</t>
  </si>
  <si>
    <t>DAVESNE</t>
  </si>
  <si>
    <t>0316OCE-22</t>
  </si>
  <si>
    <t>DU GAZON</t>
  </si>
  <si>
    <t>0818</t>
  </si>
  <si>
    <t>0317INT-22</t>
  </si>
  <si>
    <t>DU RONDEAU</t>
  </si>
  <si>
    <t>0318OCE-22</t>
  </si>
  <si>
    <t>0319ALT-22</t>
  </si>
  <si>
    <t>DOISY VEDRINES</t>
  </si>
  <si>
    <t>0868</t>
  </si>
  <si>
    <t>0320ALT-22</t>
  </si>
  <si>
    <t>GUINABERT</t>
  </si>
  <si>
    <t>0862</t>
  </si>
  <si>
    <t>0321OCE-22</t>
  </si>
  <si>
    <t>CHARRIER</t>
  </si>
  <si>
    <t>0702</t>
  </si>
  <si>
    <t>0322OCE-22</t>
  </si>
  <si>
    <t>VENTENAT</t>
  </si>
  <si>
    <t>0757</t>
  </si>
  <si>
    <t>Fourth Payment 15/05/2022</t>
  </si>
  <si>
    <t>See n°214</t>
  </si>
  <si>
    <t>0323OCE-22</t>
  </si>
  <si>
    <t>DUPUY</t>
  </si>
  <si>
    <t>0324OCE-22</t>
  </si>
  <si>
    <t>VALLEE DES PUITS</t>
  </si>
  <si>
    <t>0707</t>
  </si>
  <si>
    <t>0325OCE-22</t>
  </si>
  <si>
    <t>ESTEVE</t>
  </si>
  <si>
    <t>0326OCE-22</t>
  </si>
  <si>
    <t>0327LUR-22</t>
  </si>
  <si>
    <t>AUGE</t>
  </si>
  <si>
    <t>0139</t>
  </si>
  <si>
    <t>Soja</t>
  </si>
  <si>
    <t>Inondation, excès d'eau, manque de rayonnement</t>
  </si>
  <si>
    <t>0328OCE-22</t>
  </si>
  <si>
    <t>0329VDG-22</t>
  </si>
  <si>
    <t>ROBINEAU</t>
  </si>
  <si>
    <t>Grêle, pluies violentes, orageuses, torrentielles</t>
  </si>
  <si>
    <t>See n°239</t>
  </si>
  <si>
    <t>0330ALT-22</t>
  </si>
  <si>
    <t>0899</t>
  </si>
  <si>
    <t>0331ALT-22</t>
  </si>
  <si>
    <t>VINCENT CAREME</t>
  </si>
  <si>
    <t>0922</t>
  </si>
  <si>
    <t>BRUNET LUCIEN</t>
  </si>
  <si>
    <t>0332VDG-22</t>
  </si>
  <si>
    <t>0333OCE-22</t>
  </si>
  <si>
    <t>BODIN ET FILS</t>
  </si>
  <si>
    <t>0833</t>
  </si>
  <si>
    <t>0334LUR-22</t>
  </si>
  <si>
    <t>0335OCE-22</t>
  </si>
  <si>
    <t>0336NAT-22</t>
  </si>
  <si>
    <t>DU MANOIR (BERTRAND MARIE)</t>
  </si>
  <si>
    <t>0337AXE-22</t>
  </si>
  <si>
    <t>DE L'ARON</t>
  </si>
  <si>
    <t>0338AXE-22</t>
  </si>
  <si>
    <t>LHUGNOT</t>
  </si>
  <si>
    <t>0339OCE-22</t>
  </si>
  <si>
    <t>0340LUR-22</t>
  </si>
  <si>
    <t>VIDAL</t>
  </si>
  <si>
    <t>0341VDG-22</t>
  </si>
  <si>
    <t>0342OCE-22</t>
  </si>
  <si>
    <t>LA CHAMPENOISE</t>
  </si>
  <si>
    <t>0343VDG-22</t>
  </si>
  <si>
    <t>LA FERME FERAUT</t>
  </si>
  <si>
    <t>0692</t>
  </si>
  <si>
    <t>0344OCE-22</t>
  </si>
  <si>
    <t>0345OCE-22</t>
  </si>
  <si>
    <t>0346OCE-22</t>
  </si>
  <si>
    <t>0347OCE-22</t>
  </si>
  <si>
    <t>0348CEA-22</t>
  </si>
  <si>
    <t>0349EMC-22</t>
  </si>
  <si>
    <t>Coup de froid, pluies violentes, orageuses, torrentielles</t>
  </si>
  <si>
    <t>0350OCE-22</t>
  </si>
  <si>
    <t>LADHOUE</t>
  </si>
  <si>
    <t>0351LUR-22</t>
  </si>
  <si>
    <t>BAREILLES</t>
  </si>
  <si>
    <t>0946</t>
  </si>
  <si>
    <t>0352VDG-22</t>
  </si>
  <si>
    <t>0353VDG-22</t>
  </si>
  <si>
    <t>0354LUR-22</t>
  </si>
  <si>
    <t>MAISONNAVE</t>
  </si>
  <si>
    <t>0932</t>
  </si>
  <si>
    <t xml:space="preserve">Maïs waxy non irrigué </t>
  </si>
  <si>
    <t>Maïs grain non irrigué</t>
  </si>
  <si>
    <t>0355SEV-22</t>
  </si>
  <si>
    <t>BONNET</t>
  </si>
  <si>
    <t>0356OCE-22</t>
  </si>
  <si>
    <t>ROLLAND</t>
  </si>
  <si>
    <t>0357AGR-22</t>
  </si>
  <si>
    <t>0361</t>
  </si>
  <si>
    <t>0358AGR-22</t>
  </si>
  <si>
    <t>LAMARQUE</t>
  </si>
  <si>
    <t>DE LA PREUGNE</t>
  </si>
  <si>
    <t>0359OCE-22</t>
  </si>
  <si>
    <t>0360OCE-22</t>
  </si>
  <si>
    <t>0361BOU-22</t>
  </si>
  <si>
    <t>BILLARD</t>
  </si>
  <si>
    <t>0668</t>
  </si>
  <si>
    <t>Pluies violentes, orageuses, torrentielles, inondation, excès d'eau</t>
  </si>
  <si>
    <t>110 BOURGOGNE</t>
  </si>
  <si>
    <t>0362OCE-22</t>
  </si>
  <si>
    <t>0363CEA-22</t>
  </si>
  <si>
    <t>RENELIER</t>
  </si>
  <si>
    <t>0364OCE-22</t>
  </si>
  <si>
    <t>0365CEA-22</t>
  </si>
  <si>
    <t>Sécheresse, coup de chaleur</t>
  </si>
  <si>
    <t>0366OCE-22</t>
  </si>
  <si>
    <t>0367OCE-22</t>
  </si>
  <si>
    <t>DE METRY</t>
  </si>
  <si>
    <t>0368LUR-22</t>
  </si>
  <si>
    <t>ESTANGUET</t>
  </si>
  <si>
    <t>0957</t>
  </si>
  <si>
    <t>Pluies violentes, orageuses, torrentielles, excès d'humidité</t>
  </si>
  <si>
    <t>0369OCE-22</t>
  </si>
  <si>
    <t>0370OCE-22</t>
  </si>
  <si>
    <t>Maïs ensilage non irrigué</t>
  </si>
  <si>
    <t>0371OCE-22</t>
  </si>
  <si>
    <t>0372OCE-22</t>
  </si>
  <si>
    <t>GUILLIEN GERARD</t>
  </si>
  <si>
    <t>0803</t>
  </si>
  <si>
    <t>0373CEA-22</t>
  </si>
  <si>
    <t>0374VDG-22</t>
  </si>
  <si>
    <t>0375OCE-22</t>
  </si>
  <si>
    <t>0376OCE-22</t>
  </si>
  <si>
    <t>0377EMC-22</t>
  </si>
  <si>
    <t>DE LEROUVILLE</t>
  </si>
  <si>
    <t>0378OCE-22</t>
  </si>
  <si>
    <t>Maïs grain irrigué</t>
  </si>
  <si>
    <t>Maïs pop corn irrigué</t>
  </si>
  <si>
    <t>Pois secs / Pois Chiches</t>
  </si>
  <si>
    <t>0379OCE-22</t>
  </si>
  <si>
    <t>LAUBRUNE</t>
  </si>
  <si>
    <t>0787</t>
  </si>
  <si>
    <t>Blé dur d'hiver SEMENCES</t>
  </si>
  <si>
    <t xml:space="preserve">Maïs waxy irrigué </t>
  </si>
  <si>
    <t>0380OCE-22</t>
  </si>
  <si>
    <t>PETIT BENITIER</t>
  </si>
  <si>
    <t>0751</t>
  </si>
  <si>
    <t>0381ALL-22</t>
  </si>
  <si>
    <t>JARRON</t>
  </si>
  <si>
    <t>03</t>
  </si>
  <si>
    <t>0382OCE-22</t>
  </si>
  <si>
    <t>0383OCE-22</t>
  </si>
  <si>
    <t>0384OCE-22</t>
  </si>
  <si>
    <t>LASFONT J-SEBASTIEN</t>
  </si>
  <si>
    <t>Lupin doux SEMENCES</t>
  </si>
  <si>
    <t>0385OCE-22</t>
  </si>
  <si>
    <t>0386OCE-22</t>
  </si>
  <si>
    <t>0387OCE-22</t>
  </si>
  <si>
    <t>0388OCE-22</t>
  </si>
  <si>
    <t>0389OCE-22</t>
  </si>
  <si>
    <t>0390OCE-22</t>
  </si>
  <si>
    <t>CEANSAKA</t>
  </si>
  <si>
    <t>0391OCE-22</t>
  </si>
  <si>
    <t>0392OCE-22</t>
  </si>
  <si>
    <t>0393OCE-22</t>
  </si>
  <si>
    <t>0394OCE-22</t>
  </si>
  <si>
    <t>LA TAUPELLE</t>
  </si>
  <si>
    <t>Avoine de printemps</t>
  </si>
  <si>
    <t>0395OCE-22</t>
  </si>
  <si>
    <t>DELOUME LE CLOS</t>
  </si>
  <si>
    <t>0858</t>
  </si>
  <si>
    <t>0396OCE-22</t>
  </si>
  <si>
    <t>NEVEU JOUTEAU</t>
  </si>
  <si>
    <t>0397CEA-22</t>
  </si>
  <si>
    <t>See n°169</t>
  </si>
  <si>
    <t>0398OCE-22</t>
  </si>
  <si>
    <t>LAMY</t>
  </si>
  <si>
    <t>0399OCE-22</t>
  </si>
  <si>
    <t>COUTURIER</t>
  </si>
  <si>
    <t>0400OCE-22</t>
  </si>
  <si>
    <t>ROUVREAU</t>
  </si>
  <si>
    <t>0401OCE-22</t>
  </si>
  <si>
    <t>VIAUD SANDRINE</t>
  </si>
  <si>
    <t>0402OCE-22</t>
  </si>
  <si>
    <t>Sécheresse, excès de températures</t>
  </si>
  <si>
    <t>0403OCE-22</t>
  </si>
  <si>
    <t>GARNIER</t>
  </si>
  <si>
    <t>Coup de chaleur, sécheresse</t>
  </si>
  <si>
    <t>0404AXE-22</t>
  </si>
  <si>
    <t>PLISSON</t>
  </si>
  <si>
    <t>0405OCE-22</t>
  </si>
  <si>
    <t>0406OCE-22</t>
  </si>
  <si>
    <t>0407CEA-22</t>
  </si>
  <si>
    <t>0408OCE-22</t>
  </si>
  <si>
    <t>0409AGR-22</t>
  </si>
  <si>
    <t>0410MAT-22</t>
  </si>
  <si>
    <t>SILLARD</t>
  </si>
  <si>
    <t>MATHA</t>
  </si>
  <si>
    <t>0411OCE-22</t>
  </si>
  <si>
    <t>Sécheresse, pluies violentes, orageuses, torrentielles</t>
  </si>
  <si>
    <t>0412DIJ-22</t>
  </si>
  <si>
    <t>0413OCE-22</t>
  </si>
  <si>
    <t>0414OCE-22</t>
  </si>
  <si>
    <t>PETIT</t>
  </si>
  <si>
    <t>EPRONCHARD</t>
  </si>
  <si>
    <t>0415CEA-22</t>
  </si>
  <si>
    <t>0416OCE-22</t>
  </si>
  <si>
    <t>0417OCE-22</t>
  </si>
  <si>
    <t>0418CEA-22</t>
  </si>
  <si>
    <t>0419LUR-22</t>
  </si>
  <si>
    <t>LES AMARYLLYS</t>
  </si>
  <si>
    <t>0950</t>
  </si>
  <si>
    <t>BOIS COUTEAU</t>
  </si>
  <si>
    <t>0420OCE-22</t>
  </si>
  <si>
    <t>DES PLAGNES</t>
  </si>
  <si>
    <t>0421OCE-22</t>
  </si>
  <si>
    <t>0422OCE-22</t>
  </si>
  <si>
    <t>0423CEA-22</t>
  </si>
  <si>
    <t>0424OCE-22</t>
  </si>
  <si>
    <t>Maïs grain irrigué BIO</t>
  </si>
  <si>
    <t>CHATEAU DE PLASSAC</t>
  </si>
  <si>
    <t>0425CEA-22</t>
  </si>
  <si>
    <t>0426DIJ-22</t>
  </si>
  <si>
    <t>GIRAUX JULIEN</t>
  </si>
  <si>
    <t>0604</t>
  </si>
  <si>
    <t>0427OCE-22</t>
  </si>
  <si>
    <t>0428CEA-22</t>
  </si>
  <si>
    <t>0429OCE-22</t>
  </si>
  <si>
    <t>0430EMC-22</t>
  </si>
  <si>
    <t>DE MAUCOURT</t>
  </si>
  <si>
    <t>0431LUR-22</t>
  </si>
  <si>
    <t>PUYET</t>
  </si>
  <si>
    <t>0204</t>
  </si>
  <si>
    <t>HH</t>
  </si>
  <si>
    <t>0432OCE-22</t>
  </si>
  <si>
    <t>Maïs ensilage irrigué</t>
  </si>
  <si>
    <t>0433DIJ-22</t>
  </si>
  <si>
    <t>GIRAUX</t>
  </si>
  <si>
    <t>0605</t>
  </si>
  <si>
    <t>0434OCE-22</t>
  </si>
  <si>
    <t>0435CAP-22</t>
  </si>
  <si>
    <t>Maïs grain non irrigué BIO</t>
  </si>
  <si>
    <t>0436CAP-22</t>
  </si>
  <si>
    <t>0437CAP-22</t>
  </si>
  <si>
    <t>Tournesol BIO</t>
  </si>
  <si>
    <t>0438CAP-22</t>
  </si>
  <si>
    <t>0439CAP-22</t>
  </si>
  <si>
    <t>0440CAP-22</t>
  </si>
  <si>
    <t>Sécheresse, coup de soleil</t>
  </si>
  <si>
    <t>0441OCE-22</t>
  </si>
  <si>
    <t>GUILLET GERALD</t>
  </si>
  <si>
    <t>0442AXE-22</t>
  </si>
  <si>
    <t>VEILLAT</t>
  </si>
  <si>
    <t>Blé tendre de printemps</t>
  </si>
  <si>
    <t>0443TDS-22</t>
  </si>
  <si>
    <t>BASEGGIO</t>
  </si>
  <si>
    <t xml:space="preserve">RODARY </t>
  </si>
  <si>
    <t>0444TDS-22</t>
  </si>
  <si>
    <t>BASEGGIO PASCAL</t>
  </si>
  <si>
    <t>0445OCE-22</t>
  </si>
  <si>
    <t>0446OCE-22</t>
  </si>
  <si>
    <t>0447ALT-22</t>
  </si>
  <si>
    <t>DOMAINE DE LA RENNE</t>
  </si>
  <si>
    <t>0914</t>
  </si>
  <si>
    <t>0448OCE-22</t>
  </si>
  <si>
    <t>0449OCE-22</t>
  </si>
  <si>
    <t>0450OCE-22</t>
  </si>
  <si>
    <t>GUICHARD</t>
  </si>
  <si>
    <t>0451OCE-22</t>
  </si>
  <si>
    <t>0452OCE-22</t>
  </si>
  <si>
    <t>0453OCE-22</t>
  </si>
  <si>
    <t>0454VDG-22</t>
  </si>
  <si>
    <t>ARANCINI</t>
  </si>
  <si>
    <t>0726</t>
  </si>
  <si>
    <t>0455OCE-22</t>
  </si>
  <si>
    <t xml:space="preserve">Lupin doux </t>
  </si>
  <si>
    <t>0456OCE-22</t>
  </si>
  <si>
    <t>0457CEA-22</t>
  </si>
  <si>
    <t>Orge de printemps BIO</t>
  </si>
  <si>
    <t>0458OCE-22</t>
  </si>
  <si>
    <t>0459AGR-22</t>
  </si>
  <si>
    <t>0460OCE-22</t>
  </si>
  <si>
    <t>Excès de températures</t>
  </si>
  <si>
    <t>0461OCE-22</t>
  </si>
  <si>
    <t>0462OCE-22</t>
  </si>
  <si>
    <t>0463CEA-22</t>
  </si>
  <si>
    <t>LA BARBOUTE</t>
  </si>
  <si>
    <t>0464OCE-22</t>
  </si>
  <si>
    <t>BREUILLET</t>
  </si>
  <si>
    <t>0465LUR-22</t>
  </si>
  <si>
    <t>LAS CAILLABERES</t>
  </si>
  <si>
    <t>0958</t>
  </si>
  <si>
    <t>0466ALT-22</t>
  </si>
  <si>
    <t>0467OCE-22</t>
  </si>
  <si>
    <t>DES JOURDANNERIES</t>
  </si>
  <si>
    <t>0468NAT-22</t>
  </si>
  <si>
    <t>0469ALT-22</t>
  </si>
  <si>
    <t>0470ALT-22</t>
  </si>
  <si>
    <t>INDIVISION LETIERCE</t>
  </si>
  <si>
    <t>0471LUR-22</t>
  </si>
  <si>
    <t>DAGUERRE</t>
  </si>
  <si>
    <t>0129</t>
  </si>
  <si>
    <t>0472ALT-22</t>
  </si>
  <si>
    <t>D'ORSIGNY</t>
  </si>
  <si>
    <t>0473NAT-22</t>
  </si>
  <si>
    <t>RELLO</t>
  </si>
  <si>
    <t>0474OCE-22</t>
  </si>
  <si>
    <t>RAINAUD</t>
  </si>
  <si>
    <t>0475ALT-22</t>
  </si>
  <si>
    <t>EARL CAMGUILHEM</t>
  </si>
  <si>
    <t>0641</t>
  </si>
  <si>
    <t>FOURNIER</t>
  </si>
  <si>
    <t>0766</t>
  </si>
  <si>
    <t>0476OCE-22</t>
  </si>
  <si>
    <t>CHARRUYER</t>
  </si>
  <si>
    <t>0477OCE-22</t>
  </si>
  <si>
    <t>NICOLAUD</t>
  </si>
  <si>
    <t>0537</t>
  </si>
  <si>
    <t>0478OCE-22</t>
  </si>
  <si>
    <t>MONTAUFIER</t>
  </si>
  <si>
    <t>0479OCE-22</t>
  </si>
  <si>
    <t>0480OCE-22</t>
  </si>
  <si>
    <t>0481SEV-22</t>
  </si>
  <si>
    <t>LA MOTTE SAINT DENIS</t>
  </si>
  <si>
    <t>0639</t>
  </si>
  <si>
    <t>0482OCE-22</t>
  </si>
  <si>
    <t>DES DEUX RUISSEAUX</t>
  </si>
  <si>
    <t>0483OCE-22</t>
  </si>
  <si>
    <t>DE LA GARENNE</t>
  </si>
  <si>
    <t>0484OCE-22</t>
  </si>
  <si>
    <t>0485ALL-22</t>
  </si>
  <si>
    <t>0486DIJ-22</t>
  </si>
  <si>
    <t>RIOTTE</t>
  </si>
  <si>
    <t>0662</t>
  </si>
  <si>
    <t>0487OCE-22</t>
  </si>
  <si>
    <t>HORTENSIA</t>
  </si>
  <si>
    <t>0488OCE-22</t>
  </si>
  <si>
    <t>0489OCE-22</t>
  </si>
  <si>
    <t>SERVANT</t>
  </si>
  <si>
    <t>0490OCE-22</t>
  </si>
  <si>
    <t>DU TERRIER</t>
  </si>
  <si>
    <t>0491LUR-22</t>
  </si>
  <si>
    <t>LORANGE</t>
  </si>
  <si>
    <t>0492LUR-22</t>
  </si>
  <si>
    <t>0677</t>
  </si>
  <si>
    <t>0493LUR-22</t>
  </si>
  <si>
    <t>SOFIPORC</t>
  </si>
  <si>
    <t>0974</t>
  </si>
  <si>
    <t>0494OCE-22</t>
  </si>
  <si>
    <t>AIRAUD</t>
  </si>
  <si>
    <t>0495OCE-22</t>
  </si>
  <si>
    <t>DU BESSON</t>
  </si>
  <si>
    <t>0496LUR-22</t>
  </si>
  <si>
    <t>ROUGLAN</t>
  </si>
  <si>
    <t>0725</t>
  </si>
  <si>
    <t>0497EMC-22</t>
  </si>
  <si>
    <t>JANIN</t>
  </si>
  <si>
    <t>0498DIJ-22</t>
  </si>
  <si>
    <t>0499OCE-22</t>
  </si>
  <si>
    <t>0500DIJ-22</t>
  </si>
  <si>
    <t>0501OCE-22</t>
  </si>
  <si>
    <t>0502OCE-22</t>
  </si>
  <si>
    <t>BASSOULET</t>
  </si>
  <si>
    <t>0503TDS-22</t>
  </si>
  <si>
    <t>Soja BIO</t>
  </si>
  <si>
    <t>0504OCE-22</t>
  </si>
  <si>
    <t>ROCHER</t>
  </si>
  <si>
    <t>Sorgho</t>
  </si>
  <si>
    <t>0505VDG-22</t>
  </si>
  <si>
    <t>0506OCE-22</t>
  </si>
  <si>
    <t>0507SDA-22</t>
  </si>
  <si>
    <t>CLUGNAC</t>
  </si>
  <si>
    <t>0508OCE-22</t>
  </si>
  <si>
    <t>0509OCE-22</t>
  </si>
  <si>
    <t>DE TREPILLIERS</t>
  </si>
  <si>
    <t>BOURDALLE</t>
  </si>
  <si>
    <t>0210</t>
  </si>
  <si>
    <t>Grêle, inondations, excès d'eau</t>
  </si>
  <si>
    <t>0510AXE-22</t>
  </si>
  <si>
    <t>ANDRE</t>
  </si>
  <si>
    <t>0511OCE-22</t>
  </si>
  <si>
    <t>LE PORTAIL ROUGE</t>
  </si>
  <si>
    <t>DU CHEMIN BLANC</t>
  </si>
  <si>
    <t>0512OCE-22</t>
  </si>
  <si>
    <t>LES FONTAINES</t>
  </si>
  <si>
    <t>DES EPILLETS</t>
  </si>
  <si>
    <t>0514NAT-22</t>
  </si>
  <si>
    <t>0976</t>
  </si>
  <si>
    <t>MARLINE</t>
  </si>
  <si>
    <t>0513LUR-22</t>
  </si>
  <si>
    <t>Maïs grain irrigué SEMENCES FERTILES</t>
  </si>
  <si>
    <t>0515LUR-22</t>
  </si>
  <si>
    <t>BONNEFON</t>
  </si>
  <si>
    <t>0982</t>
  </si>
  <si>
    <t>Grêle, tempête</t>
  </si>
  <si>
    <t>0516OCE-22</t>
  </si>
  <si>
    <t>MARTIN-CHARDONNIER</t>
  </si>
  <si>
    <t>0517LUR-22</t>
  </si>
  <si>
    <t>0518OCE-22</t>
  </si>
  <si>
    <t>BASTARD</t>
  </si>
  <si>
    <t>0812</t>
  </si>
  <si>
    <t>0519CEA-22</t>
  </si>
  <si>
    <t>0520OCE-22</t>
  </si>
  <si>
    <t>Sorgho BIO</t>
  </si>
  <si>
    <t>0521OCE-22</t>
  </si>
  <si>
    <t>Seigle et méteil SEMENCES</t>
  </si>
  <si>
    <t>0522OCE-22</t>
  </si>
  <si>
    <t>GRAND CHAMP</t>
  </si>
  <si>
    <t>0523VDG-22</t>
  </si>
  <si>
    <t>0524OCE-22</t>
  </si>
  <si>
    <t>0525LUR-22</t>
  </si>
  <si>
    <t>SANSOULET</t>
  </si>
  <si>
    <t>0316</t>
  </si>
  <si>
    <t>0526OCE-22</t>
  </si>
  <si>
    <t>MARRIER</t>
  </si>
  <si>
    <t>0527AXE-22</t>
  </si>
  <si>
    <t>DES CLOS</t>
  </si>
  <si>
    <t>0528AXE-22</t>
  </si>
  <si>
    <t>CHAMBON</t>
  </si>
  <si>
    <t>0529OCE-22</t>
  </si>
  <si>
    <t>CHÂTEAU</t>
  </si>
  <si>
    <t>Coup de chaleur, excès de températures</t>
  </si>
  <si>
    <t>0530OCE-22</t>
  </si>
  <si>
    <t>0531OGR-22</t>
  </si>
  <si>
    <t>EARL DUGROS</t>
  </si>
  <si>
    <t>0825</t>
  </si>
  <si>
    <t>0532OCE-22</t>
  </si>
  <si>
    <t>Tournesol SEMENCES</t>
  </si>
  <si>
    <t>0533OCE-22</t>
  </si>
  <si>
    <t>BESSE</t>
  </si>
  <si>
    <t>0534AGR-22</t>
  </si>
  <si>
    <t>0535OGR-22</t>
  </si>
  <si>
    <t>CHRISTOPHE DUGROS</t>
  </si>
  <si>
    <t>0823</t>
  </si>
  <si>
    <t>0536CEA-22</t>
  </si>
  <si>
    <t>COUTON</t>
  </si>
  <si>
    <t>0659</t>
  </si>
  <si>
    <t>Sécheresse, arrêté sécheresse, interdiction d'irrigué</t>
  </si>
  <si>
    <t>0537OCE-22</t>
  </si>
  <si>
    <t>DUVERGER</t>
  </si>
  <si>
    <t>0538LUR-22</t>
  </si>
  <si>
    <t>0539INT-22</t>
  </si>
  <si>
    <t>GAILLARD</t>
  </si>
  <si>
    <t>0540OCE-22</t>
  </si>
  <si>
    <t xml:space="preserve">Maïs grain non irrigué </t>
  </si>
  <si>
    <t>0541LUR-22</t>
  </si>
  <si>
    <t>0542LUR-22</t>
  </si>
  <si>
    <t>0543LUR-22</t>
  </si>
  <si>
    <t>0544OCE-22</t>
  </si>
  <si>
    <t>0545LUR-22</t>
  </si>
  <si>
    <t>0546OCE-22</t>
  </si>
  <si>
    <t>PETERS</t>
  </si>
  <si>
    <t>0773</t>
  </si>
  <si>
    <t>0547OCE-22</t>
  </si>
  <si>
    <t>CHEGARAY</t>
  </si>
  <si>
    <t>0548ALT-22</t>
  </si>
  <si>
    <t>DE LA PREE</t>
  </si>
  <si>
    <t>Quinoa</t>
  </si>
  <si>
    <t>0549LUR-22</t>
  </si>
  <si>
    <t>0550OCE-22</t>
  </si>
  <si>
    <t>DES VALLEES</t>
  </si>
  <si>
    <t>0551OCE-22</t>
  </si>
  <si>
    <t>0552OCE-22</t>
  </si>
  <si>
    <t>0553CEA-22</t>
  </si>
  <si>
    <t>0554LUR-22</t>
  </si>
  <si>
    <t>LANSALOT</t>
  </si>
  <si>
    <t>LOU NIEY</t>
  </si>
  <si>
    <t>0556LUR-22</t>
  </si>
  <si>
    <t>0555LUR-22</t>
  </si>
  <si>
    <t>Fifth Payment 15/06/2022</t>
  </si>
  <si>
    <t>See n°451</t>
  </si>
  <si>
    <t>See n°460</t>
  </si>
  <si>
    <t>0557LUR-22</t>
  </si>
  <si>
    <t>0558OCE-22</t>
  </si>
  <si>
    <t>0559LUR-22</t>
  </si>
  <si>
    <t>0560OCE-22</t>
  </si>
  <si>
    <t>DES VERGNAUDIERES</t>
  </si>
  <si>
    <t>0718</t>
  </si>
  <si>
    <t>0561LUR-22</t>
  </si>
  <si>
    <t>CROUQUET</t>
  </si>
  <si>
    <t>0294</t>
  </si>
  <si>
    <t>0562AXB-22</t>
  </si>
  <si>
    <t>DE LA MIGENNE</t>
  </si>
  <si>
    <t>0571</t>
  </si>
  <si>
    <t>AXEREAL BIO</t>
  </si>
  <si>
    <t>0563LUR-22</t>
  </si>
  <si>
    <t>0564OCE-22</t>
  </si>
  <si>
    <t>DE PUYGRELIER</t>
  </si>
  <si>
    <t>0565OCE-22</t>
  </si>
  <si>
    <t>0566LUR-22</t>
  </si>
  <si>
    <t>BEAULIEU</t>
  </si>
  <si>
    <t>0228</t>
  </si>
  <si>
    <t>0567AXE-22</t>
  </si>
  <si>
    <t>0568LUR-22</t>
  </si>
  <si>
    <t>0569OCE-22</t>
  </si>
  <si>
    <t>DES RECLAUDS</t>
  </si>
  <si>
    <t>0570OCE-22</t>
  </si>
  <si>
    <t>0571COS-22</t>
  </si>
  <si>
    <t>GUICHET</t>
  </si>
  <si>
    <t>0758</t>
  </si>
  <si>
    <t>COSSET</t>
  </si>
  <si>
    <t>0572OCE-22</t>
  </si>
  <si>
    <t>0573LUR-22</t>
  </si>
  <si>
    <t>0574OCE-22</t>
  </si>
  <si>
    <t>0575LUR-22</t>
  </si>
  <si>
    <t>0576OCE-22</t>
  </si>
  <si>
    <t>SURREAUX</t>
  </si>
  <si>
    <t>0577ALT-22</t>
  </si>
  <si>
    <t>VALLEZ ERIC</t>
  </si>
  <si>
    <t>0578ALT-22</t>
  </si>
  <si>
    <t>SCEA VALLEZ</t>
  </si>
  <si>
    <t>0579SDA-22</t>
  </si>
  <si>
    <t>0580OCE-22</t>
  </si>
  <si>
    <t>0581OCE-22</t>
  </si>
  <si>
    <t>0582OCE-22</t>
  </si>
  <si>
    <t>0583OCE-22</t>
  </si>
  <si>
    <t>SOULARD</t>
  </si>
  <si>
    <t>0584AXE-22</t>
  </si>
  <si>
    <t>0585LUR-22</t>
  </si>
  <si>
    <t>0586OCE-22</t>
  </si>
  <si>
    <t>0587VDG-22</t>
  </si>
  <si>
    <t>0588VDG-22</t>
  </si>
  <si>
    <t>Excès de températures, sécheresse</t>
  </si>
  <si>
    <t>0589DIJ-22</t>
  </si>
  <si>
    <t>MORNAND</t>
  </si>
  <si>
    <t>0680</t>
  </si>
  <si>
    <t>Colza de printemps</t>
  </si>
  <si>
    <t>0590LUR-22</t>
  </si>
  <si>
    <t>0591OCE-22</t>
  </si>
  <si>
    <t>0592OCE-22</t>
  </si>
  <si>
    <t>0593LUR-22</t>
  </si>
  <si>
    <t>MARREQUESTE</t>
  </si>
  <si>
    <t>0594AXE-22</t>
  </si>
  <si>
    <t>0595EMC-22</t>
  </si>
  <si>
    <t>0596VDG-22</t>
  </si>
  <si>
    <t>0597ALL-22</t>
  </si>
  <si>
    <t>0598VDG-22</t>
  </si>
  <si>
    <t>0599ALL-22</t>
  </si>
  <si>
    <t>0600OCE-22</t>
  </si>
  <si>
    <t>Avoine de printemps BIO</t>
  </si>
  <si>
    <t>0601EMC-22</t>
  </si>
  <si>
    <t>DE MONTANT RAIES</t>
  </si>
  <si>
    <t>0602LUR-22</t>
  </si>
  <si>
    <t>0603VDG-22</t>
  </si>
  <si>
    <t>DAUBAN</t>
  </si>
  <si>
    <t>0710</t>
  </si>
  <si>
    <t>0604OCE-22</t>
  </si>
  <si>
    <t>0605OCE-22</t>
  </si>
  <si>
    <t>DES GRANDS VALLONS</t>
  </si>
  <si>
    <t>0606OCE-22</t>
  </si>
  <si>
    <t>MITON</t>
  </si>
  <si>
    <t>0607LUR-22</t>
  </si>
  <si>
    <t>0608OCE-22</t>
  </si>
  <si>
    <t>ROLLIN STEPHANIE</t>
  </si>
  <si>
    <t>0609OCE-22</t>
  </si>
  <si>
    <t>GAUTHIER EARL</t>
  </si>
  <si>
    <t>0610LUR-22</t>
  </si>
  <si>
    <t>BOUCHET</t>
  </si>
  <si>
    <t>0293</t>
  </si>
  <si>
    <t>0611OCE-22</t>
  </si>
  <si>
    <t>SOUCHE</t>
  </si>
  <si>
    <t>0613LUR-22</t>
  </si>
  <si>
    <t>Sécheresse, grêle</t>
  </si>
  <si>
    <t>0614LUR-22</t>
  </si>
  <si>
    <t>0615EMC-22</t>
  </si>
  <si>
    <t>DU VAL DE MEUSE</t>
  </si>
  <si>
    <t>0522</t>
  </si>
  <si>
    <t>0616AXE-22</t>
  </si>
  <si>
    <t>0617OCE-22</t>
  </si>
  <si>
    <t>LES SEIGELARDS</t>
  </si>
  <si>
    <t>0618BOU-22</t>
  </si>
  <si>
    <t>BOUSSARD</t>
  </si>
  <si>
    <t>0619BOU-22</t>
  </si>
  <si>
    <t>BOUSSARD CEREALES</t>
  </si>
  <si>
    <t>0620OCE-22</t>
  </si>
  <si>
    <t>0612OCE-22</t>
  </si>
  <si>
    <t>0621OCE-22</t>
  </si>
  <si>
    <t>Grêle, sécheresse</t>
  </si>
  <si>
    <t>0622EMC-22</t>
  </si>
  <si>
    <t>DU FOND DE VAUX</t>
  </si>
  <si>
    <t>0623OCE-22</t>
  </si>
  <si>
    <t>Féveroles et fèves SEMENCES</t>
  </si>
  <si>
    <t>Grêle, coup de chaleur</t>
  </si>
  <si>
    <t>0624OCE-22</t>
  </si>
  <si>
    <t>0625EMC-22</t>
  </si>
  <si>
    <t>DE L'EPINE</t>
  </si>
  <si>
    <t>Grêle, sécheresse, excès de températures</t>
  </si>
  <si>
    <t>BARRE</t>
  </si>
  <si>
    <t>0626OCE-22</t>
  </si>
  <si>
    <t>0627OCE-22</t>
  </si>
  <si>
    <t>0628OCE-22</t>
  </si>
  <si>
    <t>DE LA HAUTE VALADE</t>
  </si>
  <si>
    <t>0629OCE-22</t>
  </si>
  <si>
    <t>0630OCE-22</t>
  </si>
  <si>
    <t>0631VDG-22</t>
  </si>
  <si>
    <t>0632OCE-22</t>
  </si>
  <si>
    <t>0633CEA-22</t>
  </si>
  <si>
    <t>DES PETITS BOIS</t>
  </si>
  <si>
    <t>Oeillette</t>
  </si>
  <si>
    <t>0634OCE-22</t>
  </si>
  <si>
    <t>0635OCE-22</t>
  </si>
  <si>
    <t>GAUTHIER</t>
  </si>
  <si>
    <t>Blé tendre de printemps BIO</t>
  </si>
  <si>
    <t>0636OCE-22</t>
  </si>
  <si>
    <t>0637OCE-22</t>
  </si>
  <si>
    <t>0638SEV-22</t>
  </si>
  <si>
    <t>0639LUR-22</t>
  </si>
  <si>
    <t>BOULP</t>
  </si>
  <si>
    <t>0640OCE-22</t>
  </si>
  <si>
    <t>BRAIME</t>
  </si>
  <si>
    <t>0701</t>
  </si>
  <si>
    <t>0641OCE-22</t>
  </si>
  <si>
    <t>DAVID FRANCOIS</t>
  </si>
  <si>
    <t>0642OCE-22</t>
  </si>
  <si>
    <t>0643ALT-22</t>
  </si>
  <si>
    <t>DE FRESLES</t>
  </si>
  <si>
    <t>0644OCE-22</t>
  </si>
  <si>
    <t>LA COUSSINELIERE</t>
  </si>
  <si>
    <t>0926</t>
  </si>
  <si>
    <t>0645OCE-22</t>
  </si>
  <si>
    <t>0646OCE-22</t>
  </si>
  <si>
    <t>DUBREUIL</t>
  </si>
  <si>
    <t>0647VDG-22</t>
  </si>
  <si>
    <t>0648ALL-22</t>
  </si>
  <si>
    <t>MERLET</t>
  </si>
  <si>
    <t>0214</t>
  </si>
  <si>
    <t>0649VDG-22</t>
  </si>
  <si>
    <t>0650OCE-22</t>
  </si>
  <si>
    <t>0651LUR-22</t>
  </si>
  <si>
    <t>MESPLE</t>
  </si>
  <si>
    <t>0652OCE-22</t>
  </si>
  <si>
    <t>0653OCE-22</t>
  </si>
  <si>
    <t>PUY BRUN</t>
  </si>
  <si>
    <t>PRADERA</t>
  </si>
  <si>
    <t>0654OCE-22</t>
  </si>
  <si>
    <t>0655CEA-22</t>
  </si>
  <si>
    <t>0656OCE-22</t>
  </si>
  <si>
    <t>DE L'ARGENTOR</t>
  </si>
  <si>
    <t>0657AXE-22</t>
  </si>
  <si>
    <t>DE L'ETANG</t>
  </si>
  <si>
    <t>0658OCE-22</t>
  </si>
  <si>
    <t>LAVILLE</t>
  </si>
  <si>
    <t>0659LUR-22</t>
  </si>
  <si>
    <t>D'AUTRY</t>
  </si>
  <si>
    <t>0665EMC-22</t>
  </si>
  <si>
    <t>0942</t>
  </si>
  <si>
    <t xml:space="preserve">SPYCHIGER </t>
  </si>
  <si>
    <t>0664LUR-22</t>
  </si>
  <si>
    <t>0663VDG-22</t>
  </si>
  <si>
    <t>CAPA</t>
  </si>
  <si>
    <t>BOURSAQUET</t>
  </si>
  <si>
    <t>0662CPA-22</t>
  </si>
  <si>
    <t>Excès de températures, coup de chaleur</t>
  </si>
  <si>
    <t>0661VDG-22</t>
  </si>
  <si>
    <t>0730</t>
  </si>
  <si>
    <t>LES VERGERS</t>
  </si>
  <si>
    <t>0660SEV-22</t>
  </si>
  <si>
    <t>0666VDG-22</t>
  </si>
  <si>
    <t>SCREMIN</t>
  </si>
  <si>
    <t>0667OCE-22</t>
  </si>
  <si>
    <t>0668EMC-22</t>
  </si>
  <si>
    <t>LA FRAISERAIE</t>
  </si>
  <si>
    <t>0669NAT-22</t>
  </si>
  <si>
    <t>JOBBIN</t>
  </si>
  <si>
    <t>0670SEV-22</t>
  </si>
  <si>
    <t>0671EMC-22</t>
  </si>
  <si>
    <t>0672EMC-22</t>
  </si>
  <si>
    <t>0673DIJ-22</t>
  </si>
  <si>
    <t>COURBEVOIE</t>
  </si>
  <si>
    <t>0557</t>
  </si>
  <si>
    <t>0674OCE-22</t>
  </si>
  <si>
    <t>0675OCE-22</t>
  </si>
  <si>
    <t>0676OCE-22</t>
  </si>
  <si>
    <t>0677OCE-22</t>
  </si>
  <si>
    <t>0678EMC-22</t>
  </si>
  <si>
    <t>0679VDG-22</t>
  </si>
  <si>
    <t>0680OCE-22</t>
  </si>
  <si>
    <t>0681LUR-22</t>
  </si>
  <si>
    <t>0241</t>
  </si>
  <si>
    <t>0682NAT-22</t>
  </si>
  <si>
    <t>Températures basses, sécheresse</t>
  </si>
  <si>
    <t>0683NAT-22</t>
  </si>
  <si>
    <t>Températures basses, manque de rayonnement, sécheresse</t>
  </si>
  <si>
    <t>0684CEA-22</t>
  </si>
  <si>
    <t>SAMBERLAIT</t>
  </si>
  <si>
    <t>0554</t>
  </si>
  <si>
    <t>0685CEA-22</t>
  </si>
  <si>
    <t>MIALON</t>
  </si>
  <si>
    <t>0686CEA-22</t>
  </si>
  <si>
    <t>LA FOSSE AURE</t>
  </si>
  <si>
    <t>0687OCE-22</t>
  </si>
  <si>
    <t>D'AVERNANT</t>
  </si>
  <si>
    <t>See n°572</t>
  </si>
  <si>
    <t>0688EMC-22</t>
  </si>
  <si>
    <t>MOUTAUX</t>
  </si>
  <si>
    <t>0689AXE-22</t>
  </si>
  <si>
    <t>0690DIJ-22</t>
  </si>
  <si>
    <t>SAUSSIER</t>
  </si>
  <si>
    <t>0643</t>
  </si>
  <si>
    <t>0691OCE-22</t>
  </si>
  <si>
    <t>0692LUR-22</t>
  </si>
  <si>
    <t>0693OCE-22</t>
  </si>
  <si>
    <t>0694OCE-22</t>
  </si>
  <si>
    <t>DE LA ROUILLERE</t>
  </si>
  <si>
    <t>DE TRICONVILLE</t>
  </si>
  <si>
    <t>0695HOU-22</t>
  </si>
  <si>
    <t>0696OCE-22</t>
  </si>
  <si>
    <t>0697OCE-22</t>
  </si>
  <si>
    <t>0698OCE-22</t>
  </si>
  <si>
    <t>DE LA LUNE</t>
  </si>
  <si>
    <t>0699AXE-22</t>
  </si>
  <si>
    <t>0700AXE-22</t>
  </si>
  <si>
    <t>0701OCE-22</t>
  </si>
  <si>
    <t>Arrêté sécheresse, interdiction d'irrigué</t>
  </si>
  <si>
    <t>0702OCE-22</t>
  </si>
  <si>
    <t>0703OCE-22</t>
  </si>
  <si>
    <t>0704OCE-22</t>
  </si>
  <si>
    <t>0705CEA-22</t>
  </si>
  <si>
    <t>Chanvre BIO</t>
  </si>
  <si>
    <t>0706OCE-22</t>
  </si>
  <si>
    <t>0707INT-22</t>
  </si>
  <si>
    <t>DU VAL D'ORAIN</t>
  </si>
  <si>
    <t>0708OCE-22</t>
  </si>
  <si>
    <t>0709CEA-22</t>
  </si>
  <si>
    <t>0710OCE-22</t>
  </si>
  <si>
    <t>0711OCE-22</t>
  </si>
  <si>
    <t>LA GANTERIE</t>
  </si>
  <si>
    <t>0676</t>
  </si>
  <si>
    <t xml:space="preserve">Sécheresse </t>
  </si>
  <si>
    <t>0712OCE-22</t>
  </si>
  <si>
    <t>TIXIER</t>
  </si>
  <si>
    <t>0593</t>
  </si>
  <si>
    <t>0713VDG-22</t>
  </si>
  <si>
    <t>0714DIJ-22</t>
  </si>
  <si>
    <t>BOLOT</t>
  </si>
  <si>
    <t>0672</t>
  </si>
  <si>
    <t>0715VDG-22</t>
  </si>
  <si>
    <t>See n°524</t>
  </si>
  <si>
    <t>0716INT-22</t>
  </si>
  <si>
    <t>DE LA FERME DE CHARMONT</t>
  </si>
  <si>
    <t>0717OCE-22</t>
  </si>
  <si>
    <t>FORTON</t>
  </si>
  <si>
    <t>0718OCE-22</t>
  </si>
  <si>
    <t>BOUREAU</t>
  </si>
  <si>
    <t>0719EMC-22</t>
  </si>
  <si>
    <t>0720ALT-22</t>
  </si>
  <si>
    <t>POUPART</t>
  </si>
  <si>
    <t>0592</t>
  </si>
  <si>
    <t>0721AGR-22</t>
  </si>
  <si>
    <t>LA PAILLERE</t>
  </si>
  <si>
    <t>0722CEA-22</t>
  </si>
  <si>
    <t>0723INT-22</t>
  </si>
  <si>
    <t>BEC</t>
  </si>
  <si>
    <t>0724DIJ-22</t>
  </si>
  <si>
    <t>JACQUAND</t>
  </si>
  <si>
    <t>0463</t>
  </si>
  <si>
    <t>0725EMC-22</t>
  </si>
  <si>
    <t>DE LA PALOUSE</t>
  </si>
  <si>
    <t>0726OCE-22</t>
  </si>
  <si>
    <t>0727OCE-22</t>
  </si>
  <si>
    <t>0728ALL-22</t>
  </si>
  <si>
    <t>CUVIER</t>
  </si>
  <si>
    <t>Blé dur de printemps</t>
  </si>
  <si>
    <t>0729VDG-22</t>
  </si>
  <si>
    <t>0730VDG-22</t>
  </si>
  <si>
    <t>CASSIN</t>
  </si>
  <si>
    <t>0582</t>
  </si>
  <si>
    <t>0731LUR-22</t>
  </si>
  <si>
    <t>YAQUET</t>
  </si>
  <si>
    <t>0980</t>
  </si>
  <si>
    <t>0732OCE-22</t>
  </si>
  <si>
    <t>0733ALT-22</t>
  </si>
  <si>
    <t>0734OCE-22</t>
  </si>
  <si>
    <t>Sécheresse, coup de vent</t>
  </si>
  <si>
    <t>0735CEA-22</t>
  </si>
  <si>
    <t>Coup de soleil, sécheresse</t>
  </si>
  <si>
    <t>0736VDG-22</t>
  </si>
  <si>
    <t>0737VDG-22</t>
  </si>
  <si>
    <t>0738OCE-22</t>
  </si>
  <si>
    <t>0739VDG-22</t>
  </si>
  <si>
    <t>0566</t>
  </si>
  <si>
    <t>MENGUAL GABRIEL</t>
  </si>
  <si>
    <t>0740LUR-22</t>
  </si>
  <si>
    <t>NARBAIS</t>
  </si>
  <si>
    <t>0135</t>
  </si>
  <si>
    <t>0741INT-22</t>
  </si>
  <si>
    <t>0742VDG-22</t>
  </si>
  <si>
    <t>LARREY</t>
  </si>
  <si>
    <t>0743VDG-22</t>
  </si>
  <si>
    <t>NOCART</t>
  </si>
  <si>
    <t>0564</t>
  </si>
  <si>
    <t xml:space="preserve">Soja </t>
  </si>
  <si>
    <t>0744VDG-22</t>
  </si>
  <si>
    <t>METGE</t>
  </si>
  <si>
    <t>0745VDG-22</t>
  </si>
  <si>
    <t>0746OCE-22</t>
  </si>
  <si>
    <t>DE CHEZ BELEAU</t>
  </si>
  <si>
    <t>0747VDG-22</t>
  </si>
  <si>
    <t>FONTAINE</t>
  </si>
  <si>
    <t>0748VDG-22</t>
  </si>
  <si>
    <t>MANFRIN</t>
  </si>
  <si>
    <t>0502</t>
  </si>
  <si>
    <t>0749VDG-22</t>
  </si>
  <si>
    <t>LA BACHOULETTE</t>
  </si>
  <si>
    <t>0750OCE-22</t>
  </si>
  <si>
    <t>CARTAUD</t>
  </si>
  <si>
    <t>0757OCE-22</t>
  </si>
  <si>
    <t>LES JARDINS DE JAUNAY</t>
  </si>
  <si>
    <t>0756SEV-22</t>
  </si>
  <si>
    <t>LA CHEVAUCHERIE</t>
  </si>
  <si>
    <t>0755OCE-22</t>
  </si>
  <si>
    <t>LA VERNOUXAISE</t>
  </si>
  <si>
    <t>0754CEA-22</t>
  </si>
  <si>
    <t>LES TEMPLERIES</t>
  </si>
  <si>
    <t>0753OCE-22</t>
  </si>
  <si>
    <t>0520</t>
  </si>
  <si>
    <t>GAVA ELODIE</t>
  </si>
  <si>
    <t>0752VDG-22</t>
  </si>
  <si>
    <t>GAVA RICHARD</t>
  </si>
  <si>
    <t>0751VDG-22</t>
  </si>
  <si>
    <t>0758VDG-22</t>
  </si>
  <si>
    <t>BACILIERI</t>
  </si>
  <si>
    <t>0555</t>
  </si>
  <si>
    <t>0759LUR-22</t>
  </si>
  <si>
    <t>0760VDG-22</t>
  </si>
  <si>
    <t>DU HOURQUET</t>
  </si>
  <si>
    <t>0761VDG-22</t>
  </si>
  <si>
    <t>SAINT JEAN</t>
  </si>
  <si>
    <t>0762VDG-22</t>
  </si>
  <si>
    <t>0763DIJ-22</t>
  </si>
  <si>
    <t>DE LA COMBE AUX NOYERS</t>
  </si>
  <si>
    <t>0527</t>
  </si>
  <si>
    <t>0764VDG-22</t>
  </si>
  <si>
    <t>Sécheresse, coup de chaleur, grêle</t>
  </si>
  <si>
    <t>0765DIJ-22</t>
  </si>
  <si>
    <t>DE LA CRESSENELLE</t>
  </si>
  <si>
    <t>0807</t>
  </si>
  <si>
    <t>0766OGR-22</t>
  </si>
  <si>
    <t>0768CEA-22</t>
  </si>
  <si>
    <t>0767VDG-22</t>
  </si>
  <si>
    <t>0769DIJ-22</t>
  </si>
  <si>
    <t>DE LA SAONE</t>
  </si>
  <si>
    <t>0588</t>
  </si>
  <si>
    <t>0770OCE-22</t>
  </si>
  <si>
    <t xml:space="preserve">0771VDG-22 </t>
  </si>
  <si>
    <t>DE LAVERAN</t>
  </si>
  <si>
    <t>0772VDG-22</t>
  </si>
  <si>
    <t>JEAN LOUIS DARIO</t>
  </si>
  <si>
    <t>0773VDG-22</t>
  </si>
  <si>
    <t>0774VDG-22</t>
  </si>
  <si>
    <t>0775VDG-22</t>
  </si>
  <si>
    <t>CAZAMAJOU</t>
  </si>
  <si>
    <t xml:space="preserve">0776LUR-22 </t>
  </si>
  <si>
    <t>0777LUR-22</t>
  </si>
  <si>
    <t>LABOUYRIE</t>
  </si>
  <si>
    <t>0140</t>
  </si>
  <si>
    <t>0778VDG-22</t>
  </si>
  <si>
    <t xml:space="preserve">0778VDG-22 </t>
  </si>
  <si>
    <t>0779OCE-22</t>
  </si>
  <si>
    <t xml:space="preserve"> 03/06/2022</t>
  </si>
  <si>
    <t>0780VDG-22</t>
  </si>
  <si>
    <t>DE PICAYNE</t>
  </si>
  <si>
    <t>0536</t>
  </si>
  <si>
    <t>0781OCE-22</t>
  </si>
  <si>
    <t>0782OCE-22</t>
  </si>
  <si>
    <t>0783OCE-22</t>
  </si>
  <si>
    <t>LA BOUCHETTERIE</t>
  </si>
  <si>
    <t>0784OCE-22</t>
  </si>
  <si>
    <t>0785VDG-22</t>
  </si>
  <si>
    <t>0745</t>
  </si>
  <si>
    <t>0786LUR-22</t>
  </si>
  <si>
    <t>SASPITURRY</t>
  </si>
  <si>
    <t>0253</t>
  </si>
  <si>
    <t>0787OCE-22</t>
  </si>
  <si>
    <t>Grêle, coup de vent</t>
  </si>
  <si>
    <t>0788OCE-22</t>
  </si>
  <si>
    <t>0789VDG-22</t>
  </si>
  <si>
    <t>0790LUR-22</t>
  </si>
  <si>
    <t>0791OCE-22</t>
  </si>
  <si>
    <t>0792ALL-22</t>
  </si>
  <si>
    <t>DE LA RIVIERE</t>
  </si>
  <si>
    <t xml:space="preserve">0793LUR-22 </t>
  </si>
  <si>
    <t xml:space="preserve">0794VDG-22 </t>
  </si>
  <si>
    <t>0714</t>
  </si>
  <si>
    <t>0795VDG-22</t>
  </si>
  <si>
    <t>DE MONTCLAR</t>
  </si>
  <si>
    <t>0547</t>
  </si>
  <si>
    <t>0796AGR-22</t>
  </si>
  <si>
    <t>0797OCE-22</t>
  </si>
  <si>
    <t>0798OCE-22</t>
  </si>
  <si>
    <t>0799VDG-22</t>
  </si>
  <si>
    <t>DE LAGROUERA</t>
  </si>
  <si>
    <t>0856</t>
  </si>
  <si>
    <t>Colza d'hiver SEMENCES</t>
  </si>
  <si>
    <t>0800CEA-22</t>
  </si>
  <si>
    <t>DE VIELLE BOUTONNE</t>
  </si>
  <si>
    <t>0801OCE-22</t>
  </si>
  <si>
    <t>0802OCE-22</t>
  </si>
  <si>
    <t>0803OCE-22</t>
  </si>
  <si>
    <t>0804LUR-22</t>
  </si>
  <si>
    <t>0805EMC-22</t>
  </si>
  <si>
    <t>DU CHAMP ROUGET</t>
  </si>
  <si>
    <t>0647</t>
  </si>
  <si>
    <t>0806DIJ-22</t>
  </si>
  <si>
    <t>BIETRY</t>
  </si>
  <si>
    <t>0610</t>
  </si>
  <si>
    <t xml:space="preserve">0807DIJ-22 </t>
  </si>
  <si>
    <t>LE MEIX PHILIPPON</t>
  </si>
  <si>
    <t>0700</t>
  </si>
  <si>
    <t>0807DIJ-22</t>
  </si>
  <si>
    <t>0808AXE-22</t>
  </si>
  <si>
    <t>0809VDG-22</t>
  </si>
  <si>
    <t>DE LUZENT</t>
  </si>
  <si>
    <t>0989</t>
  </si>
  <si>
    <t>0810VDG-22</t>
  </si>
  <si>
    <t>COCIMANO PROSPERO</t>
  </si>
  <si>
    <t>0854</t>
  </si>
  <si>
    <t>0811VDG-22</t>
  </si>
  <si>
    <t>0855</t>
  </si>
  <si>
    <t>0812EMC-22</t>
  </si>
  <si>
    <t>DES COTEAUX</t>
  </si>
  <si>
    <t>0813ALT-22</t>
  </si>
  <si>
    <t>0814DIJ-22</t>
  </si>
  <si>
    <t>0491</t>
  </si>
  <si>
    <t>MEURIOT</t>
  </si>
  <si>
    <t>0815OCE-22</t>
  </si>
  <si>
    <t>0816DIJ-22</t>
  </si>
  <si>
    <t>GUERREAU</t>
  </si>
  <si>
    <t>0489</t>
  </si>
  <si>
    <t>0817VDG-22</t>
  </si>
  <si>
    <t>0818VDG-22</t>
  </si>
  <si>
    <t>0709</t>
  </si>
  <si>
    <t>0819VDG-22</t>
  </si>
  <si>
    <t>0783</t>
  </si>
  <si>
    <t>MAZZOLENI</t>
  </si>
  <si>
    <t>SOUVIRON</t>
  </si>
  <si>
    <t>LAS HOURQUES</t>
  </si>
  <si>
    <t>METADIER</t>
  </si>
  <si>
    <t>DOMAINE DU PEYRA</t>
  </si>
  <si>
    <t>HUARD</t>
  </si>
  <si>
    <t>PRUDHOMME</t>
  </si>
  <si>
    <t>ROUGE</t>
  </si>
  <si>
    <t>LACROIX</t>
  </si>
  <si>
    <t>Températures basses, tempête</t>
  </si>
  <si>
    <t>0820EMC-22</t>
  </si>
  <si>
    <t>KURZ</t>
  </si>
  <si>
    <t>0821ALL-22</t>
  </si>
  <si>
    <t>DES DIMES</t>
  </si>
  <si>
    <t>0822VDG-22</t>
  </si>
  <si>
    <t>0823DIJ-22</t>
  </si>
  <si>
    <t>DE MERCET</t>
  </si>
  <si>
    <t>0678</t>
  </si>
  <si>
    <t>0824LUR-22</t>
  </si>
  <si>
    <t>DE LESLUYES</t>
  </si>
  <si>
    <t>0282</t>
  </si>
  <si>
    <t>0825VDG-22</t>
  </si>
  <si>
    <t>DARIO PIERRE</t>
  </si>
  <si>
    <t>0669</t>
  </si>
  <si>
    <t>0826CEA-22</t>
  </si>
  <si>
    <t>MARTINEAU</t>
  </si>
  <si>
    <t>0827DIJ-22</t>
  </si>
  <si>
    <t>0828DIJ-22</t>
  </si>
  <si>
    <t>DE LA BORDE MARTENNE</t>
  </si>
  <si>
    <t>0577</t>
  </si>
  <si>
    <t>0829OGR-22</t>
  </si>
  <si>
    <t>See n°829</t>
  </si>
  <si>
    <t>0830OCE-22</t>
  </si>
  <si>
    <t>0831LUR-22</t>
  </si>
  <si>
    <t xml:space="preserve">Maïs doux irrigué </t>
  </si>
  <si>
    <t>0832LUR-22</t>
  </si>
  <si>
    <t>DE LA CAPERADE</t>
  </si>
  <si>
    <t>0829</t>
  </si>
  <si>
    <t>0833VDG-22</t>
  </si>
  <si>
    <t>LACAZE</t>
  </si>
  <si>
    <t>0541</t>
  </si>
  <si>
    <t>0834OCE-22</t>
  </si>
  <si>
    <t>OLIVIER</t>
  </si>
  <si>
    <t>0806</t>
  </si>
  <si>
    <t>0835OCE-22</t>
  </si>
  <si>
    <t>0836OCE-22</t>
  </si>
  <si>
    <t>0837ALL-22</t>
  </si>
  <si>
    <t>BANDON</t>
  </si>
  <si>
    <t>0838INT-22</t>
  </si>
  <si>
    <t>DE LA GAZAGNE</t>
  </si>
  <si>
    <t>0521</t>
  </si>
  <si>
    <t>0839VDG-22</t>
  </si>
  <si>
    <t>RIBAGET</t>
  </si>
  <si>
    <t>0840INT-22</t>
  </si>
  <si>
    <t>MEDIGUE</t>
  </si>
  <si>
    <t>0841OCE-22</t>
  </si>
  <si>
    <t>0842OCE-22</t>
  </si>
  <si>
    <t>0843VDG-22</t>
  </si>
  <si>
    <t>WOLSZCZAK</t>
  </si>
  <si>
    <t>0742</t>
  </si>
  <si>
    <t>0844ALT-22</t>
  </si>
  <si>
    <t>DE L'ESPERANCE</t>
  </si>
  <si>
    <t>0845LUR-22</t>
  </si>
  <si>
    <t>0846OCE-22</t>
  </si>
  <si>
    <t>SARDIN</t>
  </si>
  <si>
    <t>0847OCE-22</t>
  </si>
  <si>
    <t>0848OCE-22</t>
  </si>
  <si>
    <t>0849OCE-22</t>
  </si>
  <si>
    <t>CONDEMINE</t>
  </si>
  <si>
    <t>0850OCE-22</t>
  </si>
  <si>
    <t>0851CEA-22</t>
  </si>
  <si>
    <t>0704</t>
  </si>
  <si>
    <t>0852OGR-22</t>
  </si>
  <si>
    <t>PORT REAL</t>
  </si>
  <si>
    <t>0854LUR-22</t>
  </si>
  <si>
    <t>DES MOULINS</t>
  </si>
  <si>
    <t>0317</t>
  </si>
  <si>
    <t>0855VDG-22</t>
  </si>
  <si>
    <t>0856OCE-22</t>
  </si>
  <si>
    <t>GAILLOU</t>
  </si>
  <si>
    <t>0857INT-22</t>
  </si>
  <si>
    <t>0858ALL-22</t>
  </si>
  <si>
    <t>PANNETIER</t>
  </si>
  <si>
    <t>0859INT-22</t>
  </si>
  <si>
    <t>DE BINAN</t>
  </si>
  <si>
    <t>01</t>
  </si>
  <si>
    <t>0860OCE-22</t>
  </si>
  <si>
    <t>NICOLEAU</t>
  </si>
  <si>
    <t>0861INT-22</t>
  </si>
  <si>
    <t>0862CEA-22</t>
  </si>
  <si>
    <t>LES 2 FONTAINES</t>
  </si>
  <si>
    <t>0863OCE-22</t>
  </si>
  <si>
    <t>0864OCE-22</t>
  </si>
  <si>
    <t>0865LUR-22</t>
  </si>
  <si>
    <t>0126</t>
  </si>
  <si>
    <t>0866SEV-22</t>
  </si>
  <si>
    <t>LA PILOTERIE</t>
  </si>
  <si>
    <t>0867OCE-22</t>
  </si>
  <si>
    <t>0868LUR-22</t>
  </si>
  <si>
    <t>CLOUZET</t>
  </si>
  <si>
    <t>0845</t>
  </si>
  <si>
    <t>0869LUR-22</t>
  </si>
  <si>
    <t>ALEU</t>
  </si>
  <si>
    <t>0777</t>
  </si>
  <si>
    <t>0870VDG-22</t>
  </si>
  <si>
    <t>DE MAGNAN</t>
  </si>
  <si>
    <t>0685</t>
  </si>
  <si>
    <t>0871LUR-22</t>
  </si>
  <si>
    <t>ALEU FREDERIC</t>
  </si>
  <si>
    <t>0778</t>
  </si>
  <si>
    <t>0872EMC-22</t>
  </si>
  <si>
    <t>DES BOIS</t>
  </si>
  <si>
    <t>0428</t>
  </si>
  <si>
    <t>0873OCE-22</t>
  </si>
  <si>
    <t>Coup de vent, pluies violentes, orageuses, torrentielles</t>
  </si>
  <si>
    <t>0874INT-22</t>
  </si>
  <si>
    <t>0875VDG-22</t>
  </si>
  <si>
    <t>LARRIEU</t>
  </si>
  <si>
    <t>0580</t>
  </si>
  <si>
    <t>0876CEA-22</t>
  </si>
  <si>
    <t>0877EMC-22</t>
  </si>
  <si>
    <t>VINOT</t>
  </si>
  <si>
    <t>0429</t>
  </si>
  <si>
    <t>0878BOU-22</t>
  </si>
  <si>
    <t>0879OCE-22</t>
  </si>
  <si>
    <t>LEYCOUSSAUDIE</t>
  </si>
  <si>
    <t>0880VDG-22</t>
  </si>
  <si>
    <t>ARTICO</t>
  </si>
  <si>
    <t>0736</t>
  </si>
  <si>
    <t>LA VERRIE</t>
  </si>
  <si>
    <t>0550</t>
  </si>
  <si>
    <t>Coup de vent</t>
  </si>
  <si>
    <t>0882OCE-22</t>
  </si>
  <si>
    <t>0883OCE-22</t>
  </si>
  <si>
    <t>GALLARD</t>
  </si>
  <si>
    <t>0884DIJ-22</t>
  </si>
  <si>
    <t>0885AXE-22</t>
  </si>
  <si>
    <t>TABOURET</t>
  </si>
  <si>
    <t>0992</t>
  </si>
  <si>
    <t>0886LUR-22</t>
  </si>
  <si>
    <t>DE LATASTE</t>
  </si>
  <si>
    <t>0964</t>
  </si>
  <si>
    <t>0887CEA-22</t>
  </si>
  <si>
    <t>0888OCE-22</t>
  </si>
  <si>
    <t>0889OCE-22</t>
  </si>
  <si>
    <t>See n°741</t>
  </si>
  <si>
    <t>See n°432</t>
  </si>
  <si>
    <t>See n°579</t>
  </si>
  <si>
    <t>See n°485</t>
  </si>
  <si>
    <t>See n°590</t>
  </si>
  <si>
    <t>See n°830</t>
  </si>
  <si>
    <t>See n°428</t>
  </si>
  <si>
    <t>See n°413</t>
  </si>
  <si>
    <t>See n°558</t>
  </si>
  <si>
    <t>See n°501</t>
  </si>
  <si>
    <t>See n°632</t>
  </si>
  <si>
    <t>See n°645</t>
  </si>
  <si>
    <t>See n°735</t>
  </si>
  <si>
    <t>See n°455</t>
  </si>
  <si>
    <t>See n°667</t>
  </si>
  <si>
    <t>See n°456</t>
  </si>
  <si>
    <t>See n°425</t>
  </si>
  <si>
    <t>See n°479</t>
  </si>
  <si>
    <t>See n°393</t>
  </si>
  <si>
    <t>See n°388</t>
  </si>
  <si>
    <t>See n°674</t>
  </si>
  <si>
    <t>See n°452</t>
  </si>
  <si>
    <t>See n°360</t>
  </si>
  <si>
    <t>See n°848</t>
  </si>
  <si>
    <t>See n°365</t>
  </si>
  <si>
    <t>See n°424</t>
  </si>
  <si>
    <t>See n°386</t>
  </si>
  <si>
    <t>See n°318</t>
  </si>
  <si>
    <t>See n°709</t>
  </si>
  <si>
    <t>See n°705</t>
  </si>
  <si>
    <t>See n°164</t>
  </si>
  <si>
    <t>See n°392</t>
  </si>
  <si>
    <t>See n°586</t>
  </si>
  <si>
    <t>See n°348</t>
  </si>
  <si>
    <t>See n°624</t>
  </si>
  <si>
    <t>See n°407</t>
  </si>
  <si>
    <t>See n°889</t>
  </si>
  <si>
    <t>See n°385</t>
  </si>
  <si>
    <t>See n°691</t>
  </si>
  <si>
    <t>See n°604</t>
  </si>
  <si>
    <t>See n°779</t>
  </si>
  <si>
    <t>See n°378</t>
  </si>
  <si>
    <t>See n°722</t>
  </si>
  <si>
    <t>See n°520</t>
  </si>
  <si>
    <t>See n°383</t>
  </si>
  <si>
    <t>See n°706</t>
  </si>
  <si>
    <t>See n°179</t>
  </si>
  <si>
    <t>See n°654</t>
  </si>
  <si>
    <t>See n°401</t>
  </si>
  <si>
    <t>See n°757</t>
  </si>
  <si>
    <t>See n°736</t>
  </si>
  <si>
    <t>See n°594</t>
  </si>
  <si>
    <t>Gel, températures basses</t>
  </si>
  <si>
    <t>See n°863</t>
  </si>
  <si>
    <t>See n°801</t>
  </si>
  <si>
    <t>See n°459</t>
  </si>
  <si>
    <t>0890OCE-22</t>
  </si>
  <si>
    <t>0891OCE-22</t>
  </si>
  <si>
    <t>0892VDG-22</t>
  </si>
  <si>
    <t>LECHOR LES FRENES</t>
  </si>
  <si>
    <t>0893VDG-22</t>
  </si>
  <si>
    <t>BALLERINI</t>
  </si>
  <si>
    <t>0894VDG-22</t>
  </si>
  <si>
    <t>DE BONNEFONDS</t>
  </si>
  <si>
    <t>0895VDG-22</t>
  </si>
  <si>
    <t>AVERON</t>
  </si>
  <si>
    <t>0896VDG-22</t>
  </si>
  <si>
    <t>CAPURON MONTHUS</t>
  </si>
  <si>
    <t>0897VDG-22</t>
  </si>
  <si>
    <t>DE VERONE</t>
  </si>
  <si>
    <t>0898VDG-22</t>
  </si>
  <si>
    <t>0899TDS-22</t>
  </si>
  <si>
    <t>0900OCE-22</t>
  </si>
  <si>
    <t>DU BOULET</t>
  </si>
  <si>
    <t>0901INT-22</t>
  </si>
  <si>
    <t>0902OCE-22</t>
  </si>
  <si>
    <t>0903DIJ-22</t>
  </si>
  <si>
    <t>DE LA CONTREE</t>
  </si>
  <si>
    <t>0565</t>
  </si>
  <si>
    <t>0904NAT-22</t>
  </si>
  <si>
    <t>SOLFERINO</t>
  </si>
  <si>
    <t>0905NAT-22</t>
  </si>
  <si>
    <t>COVEC</t>
  </si>
  <si>
    <t>0906DIJ-22</t>
  </si>
  <si>
    <t>0907INT-22</t>
  </si>
  <si>
    <t>PIROULEY</t>
  </si>
  <si>
    <t>Chanvre</t>
  </si>
  <si>
    <t>0908OGR-22</t>
  </si>
  <si>
    <t>0909INT-22</t>
  </si>
  <si>
    <t>BAUDIN</t>
  </si>
  <si>
    <t>0910INT-22</t>
  </si>
  <si>
    <t>MEUNIER</t>
  </si>
  <si>
    <t>0911VDG-22</t>
  </si>
  <si>
    <t>DE LA PICHE</t>
  </si>
  <si>
    <t>0912EMC-22</t>
  </si>
  <si>
    <t>0913ALT-22</t>
  </si>
  <si>
    <t>0914ALT-22</t>
  </si>
  <si>
    <t>0915OCE-22</t>
  </si>
  <si>
    <t>0916DIJ-22</t>
  </si>
  <si>
    <t>0630</t>
  </si>
  <si>
    <t>LES LONGS CHAMPS</t>
  </si>
  <si>
    <t>0917VDG-22</t>
  </si>
  <si>
    <t>0918DIJ-22</t>
  </si>
  <si>
    <t>DE L'ABBAYOTTE</t>
  </si>
  <si>
    <t>0603</t>
  </si>
  <si>
    <t>0919EMC-22</t>
  </si>
  <si>
    <t xml:space="preserve">CAVIN ET FILLES </t>
  </si>
  <si>
    <t>0481</t>
  </si>
  <si>
    <t>0920VDG-22</t>
  </si>
  <si>
    <t>0568</t>
  </si>
  <si>
    <t>ALLARD</t>
  </si>
  <si>
    <t>0922AXE-22</t>
  </si>
  <si>
    <t>0923VDG-22</t>
  </si>
  <si>
    <t>NAUDON</t>
  </si>
  <si>
    <t>0924OCE-22</t>
  </si>
  <si>
    <t>DESTRAIT</t>
  </si>
  <si>
    <t>0779</t>
  </si>
  <si>
    <t>0925VDG-22</t>
  </si>
  <si>
    <t>0926INT-22</t>
  </si>
  <si>
    <t>L'AINSON</t>
  </si>
  <si>
    <t>0927OCE-22</t>
  </si>
  <si>
    <t>DAVIAUD</t>
  </si>
  <si>
    <t>0928DIJ-22</t>
  </si>
  <si>
    <t>DES CRAIES</t>
  </si>
  <si>
    <t>0635</t>
  </si>
  <si>
    <t>0929AXE-22</t>
  </si>
  <si>
    <t>0930VDG-22</t>
  </si>
  <si>
    <t>BEFFEYTE</t>
  </si>
  <si>
    <t>0931VDG-22</t>
  </si>
  <si>
    <t>BRETAGNE</t>
  </si>
  <si>
    <t>0727</t>
  </si>
  <si>
    <t>0932VDG-22</t>
  </si>
  <si>
    <t>0665</t>
  </si>
  <si>
    <t>0933OCE-22</t>
  </si>
  <si>
    <t>0934SDA-22</t>
  </si>
  <si>
    <t>DEFFIEUX</t>
  </si>
  <si>
    <t>0935LUR-22</t>
  </si>
  <si>
    <t>TAMBOURE</t>
  </si>
  <si>
    <t>0351</t>
  </si>
  <si>
    <t>0936OCE-22</t>
  </si>
  <si>
    <t>0937CEA-22</t>
  </si>
  <si>
    <t>PLAISANCE</t>
  </si>
  <si>
    <t>Coup de soleil</t>
  </si>
  <si>
    <t>0938LUR-22</t>
  </si>
  <si>
    <t>0939OCE-22</t>
  </si>
  <si>
    <t>0940INT-22</t>
  </si>
  <si>
    <t>VIROT</t>
  </si>
  <si>
    <t>0569</t>
  </si>
  <si>
    <t>Soja SEMENCES</t>
  </si>
  <si>
    <t>0941VDG-22</t>
  </si>
  <si>
    <t>0942DIJ-22</t>
  </si>
  <si>
    <t>THIBAULT</t>
  </si>
  <si>
    <t>0628</t>
  </si>
  <si>
    <t>Coup de chaleur, coup de soleil</t>
  </si>
  <si>
    <t>0943VDG-22</t>
  </si>
  <si>
    <t>SERIGNAC</t>
  </si>
  <si>
    <t>0741</t>
  </si>
  <si>
    <t>0944OCE-22</t>
  </si>
  <si>
    <t>0945EMC-22</t>
  </si>
  <si>
    <t>DES PERSPECTIVES</t>
  </si>
  <si>
    <t>0378</t>
  </si>
  <si>
    <t>0946EMC-22</t>
  </si>
  <si>
    <t>0947EMC-22</t>
  </si>
  <si>
    <t>DES JEAN</t>
  </si>
  <si>
    <t>0948EMC-22</t>
  </si>
  <si>
    <t>BAUDOT</t>
  </si>
  <si>
    <t>0949OCE-22</t>
  </si>
  <si>
    <t>0950OCE-22</t>
  </si>
  <si>
    <t>DE REJOLLES</t>
  </si>
  <si>
    <t>0951OCE-22</t>
  </si>
  <si>
    <t>PIMPRENELLE</t>
  </si>
  <si>
    <t>0952LUR-22</t>
  </si>
  <si>
    <t>0953VDG-22</t>
  </si>
  <si>
    <t>DE LA CROZE</t>
  </si>
  <si>
    <t>0954DIJ-22</t>
  </si>
  <si>
    <t>MAL</t>
  </si>
  <si>
    <t>0540</t>
  </si>
  <si>
    <t>0955OCE-22</t>
  </si>
  <si>
    <t>DU BOIS CHAUMINET</t>
  </si>
  <si>
    <t>0698</t>
  </si>
  <si>
    <t>0956EMC-22</t>
  </si>
  <si>
    <t>LEGOT</t>
  </si>
  <si>
    <t>0455</t>
  </si>
  <si>
    <t>0957ALT-22</t>
  </si>
  <si>
    <t>DOMAINE SEBASTIEN BRUNET</t>
  </si>
  <si>
    <t>0913</t>
  </si>
  <si>
    <t>0958AGP-22</t>
  </si>
  <si>
    <t>MADRE</t>
  </si>
  <si>
    <t>AGROPITHIVIERS</t>
  </si>
  <si>
    <t>0959INT-22</t>
  </si>
  <si>
    <t>LACAILLE</t>
  </si>
  <si>
    <t>0960OCE-22</t>
  </si>
  <si>
    <t>Excès de températures, coup de soleil</t>
  </si>
  <si>
    <t>0961OCE-22</t>
  </si>
  <si>
    <t>0962VDG-22</t>
  </si>
  <si>
    <t>DU BROUCARON</t>
  </si>
  <si>
    <t>0963DIJ-22</t>
  </si>
  <si>
    <t>0964OCE-22</t>
  </si>
  <si>
    <t>0965SEV-22</t>
  </si>
  <si>
    <t xml:space="preserve">Maïs ensilage irrigué </t>
  </si>
  <si>
    <t>0966DIJ-22</t>
  </si>
  <si>
    <t>BABOUILLARD</t>
  </si>
  <si>
    <t>0567</t>
  </si>
  <si>
    <t>0967ALT-22</t>
  </si>
  <si>
    <t>0968OCE-22</t>
  </si>
  <si>
    <t>0969OCE-22</t>
  </si>
  <si>
    <t>0970ALT-22</t>
  </si>
  <si>
    <t>0971OCE-22</t>
  </si>
  <si>
    <t>DU PRE NEUF</t>
  </si>
  <si>
    <t>0621</t>
  </si>
  <si>
    <t>0972VDG-22</t>
  </si>
  <si>
    <t>PIERRE VIVIES</t>
  </si>
  <si>
    <t>0973DIJ-22</t>
  </si>
  <si>
    <t>RAILLARD</t>
  </si>
  <si>
    <t>0728</t>
  </si>
  <si>
    <t>0974CEA-22</t>
  </si>
  <si>
    <t>L'EPINAY</t>
  </si>
  <si>
    <t>0648</t>
  </si>
  <si>
    <t>0975ALT-22</t>
  </si>
  <si>
    <t>0976ALT-22</t>
  </si>
  <si>
    <t>PILLOT</t>
  </si>
  <si>
    <t>0940</t>
  </si>
  <si>
    <t>0977ALT-22</t>
  </si>
  <si>
    <t>MIEL ET PRODUITS</t>
  </si>
  <si>
    <t>0939</t>
  </si>
  <si>
    <t>0978SEV-22</t>
  </si>
  <si>
    <t>DUCOURTIEUX</t>
  </si>
  <si>
    <t>0979LUR-22</t>
  </si>
  <si>
    <t>A MIQUEU</t>
  </si>
  <si>
    <t>0303</t>
  </si>
  <si>
    <t>0980AXE-22</t>
  </si>
  <si>
    <t>0981OCE-22</t>
  </si>
  <si>
    <t>0982OCE-22</t>
  </si>
  <si>
    <t>COTTIN</t>
  </si>
  <si>
    <t>0916</t>
  </si>
  <si>
    <t>0983OCE-22</t>
  </si>
  <si>
    <t>0984NAT-22</t>
  </si>
  <si>
    <t>Pommes de terre PLANTS</t>
  </si>
  <si>
    <t xml:space="preserve">Pommes de terre </t>
  </si>
  <si>
    <t>Pommes de terre de féculerie</t>
  </si>
  <si>
    <t>0985LUR-22</t>
  </si>
  <si>
    <t>0251</t>
  </si>
  <si>
    <t>0986INT-22</t>
  </si>
  <si>
    <t>0988OCE-22</t>
  </si>
  <si>
    <t>0989DIJ-22</t>
  </si>
  <si>
    <t>GUENEAU FRERES</t>
  </si>
  <si>
    <t>0683</t>
  </si>
  <si>
    <t>0990OCE-22</t>
  </si>
  <si>
    <t>LA ROMADE</t>
  </si>
  <si>
    <t>0991OCE-22</t>
  </si>
  <si>
    <t>PATIS DES DOUVES</t>
  </si>
  <si>
    <t>Féveroles</t>
  </si>
  <si>
    <t>0992LUR-22</t>
  </si>
  <si>
    <t>0993OCE-22</t>
  </si>
  <si>
    <t>Excès de température, grêle</t>
  </si>
  <si>
    <t>0994ALT-22</t>
  </si>
  <si>
    <t>0995ALT-22</t>
  </si>
  <si>
    <t>0997AXE-22</t>
  </si>
  <si>
    <t>0998VDG-22</t>
  </si>
  <si>
    <t>SAINT TROUGNAN</t>
  </si>
  <si>
    <t>0805</t>
  </si>
  <si>
    <t>0999CEA-22</t>
  </si>
  <si>
    <t>1000OCE-22</t>
  </si>
  <si>
    <t>HIMONNET</t>
  </si>
  <si>
    <t>0519</t>
  </si>
  <si>
    <t>1001VDG-22</t>
  </si>
  <si>
    <t>1002OCE-22</t>
  </si>
  <si>
    <t>Sécheresse, coup de chaleur, excès d'eau</t>
  </si>
  <si>
    <t>1003OCE-22</t>
  </si>
  <si>
    <t>1004DIJ-22</t>
  </si>
  <si>
    <t>DE L'ILE</t>
  </si>
  <si>
    <t>0822</t>
  </si>
  <si>
    <t>0987OCE-22</t>
  </si>
  <si>
    <t>0996ALT-22</t>
  </si>
  <si>
    <t>1005LUR-22</t>
  </si>
  <si>
    <t>MAYSONNABE</t>
  </si>
  <si>
    <t>0732</t>
  </si>
  <si>
    <t>1006DIJ-22</t>
  </si>
  <si>
    <t>AUBRY</t>
  </si>
  <si>
    <t>0716</t>
  </si>
  <si>
    <t>1007OCE-22</t>
  </si>
  <si>
    <t>1008OCE-22</t>
  </si>
  <si>
    <t>L'OREE DES BOIS</t>
  </si>
  <si>
    <t>0599</t>
  </si>
  <si>
    <t>1009OCE-22</t>
  </si>
  <si>
    <t>DES CINQ CLOS</t>
  </si>
  <si>
    <t>0600</t>
  </si>
  <si>
    <t>1010LUR-22</t>
  </si>
  <si>
    <t>1011AXE-22</t>
  </si>
  <si>
    <t>DABARD</t>
  </si>
  <si>
    <t>0837</t>
  </si>
  <si>
    <t>1012DIJ-22</t>
  </si>
  <si>
    <t>0633</t>
  </si>
  <si>
    <t>1013DIJ-22</t>
  </si>
  <si>
    <t>1014DIJ-22</t>
  </si>
  <si>
    <t>GIRARD BENJAMIN</t>
  </si>
  <si>
    <t>0631</t>
  </si>
  <si>
    <t>1015AXE-22</t>
  </si>
  <si>
    <t>DU FEE</t>
  </si>
  <si>
    <t>0620</t>
  </si>
  <si>
    <t>1016DIJ-22</t>
  </si>
  <si>
    <t>1017OGR-22</t>
  </si>
  <si>
    <t>EXPERT</t>
  </si>
  <si>
    <t>1018CEA-22</t>
  </si>
  <si>
    <t>1019VDG-22</t>
  </si>
  <si>
    <t>1020VDG-22</t>
  </si>
  <si>
    <t>1021OCE-22</t>
  </si>
  <si>
    <t>1022LUR-22</t>
  </si>
  <si>
    <t>1023CEA-22</t>
  </si>
  <si>
    <t>1024CEA-22</t>
  </si>
  <si>
    <t>1025LUR-22</t>
  </si>
  <si>
    <t>DUBERNET</t>
  </si>
  <si>
    <t>0956</t>
  </si>
  <si>
    <t>1026LUR-22</t>
  </si>
  <si>
    <t>1027VDG-22</t>
  </si>
  <si>
    <t>1028LUR-22</t>
  </si>
  <si>
    <t>COUMEIGT</t>
  </si>
  <si>
    <t>1029OCE-22</t>
  </si>
  <si>
    <t>Maïs waxy non irrigué</t>
  </si>
  <si>
    <t>1030ALL-22</t>
  </si>
  <si>
    <t>1031SEV-22</t>
  </si>
  <si>
    <t>1032OCE-22</t>
  </si>
  <si>
    <t>1033OCE-22</t>
  </si>
  <si>
    <t>1034EMC-22</t>
  </si>
  <si>
    <t>1035OCE-22</t>
  </si>
  <si>
    <t>1036AGR-22</t>
  </si>
  <si>
    <t>1037OCE-22</t>
  </si>
  <si>
    <t>1038OCE-22</t>
  </si>
  <si>
    <t>1039OCE-22</t>
  </si>
  <si>
    <t>1040OCE-22</t>
  </si>
  <si>
    <t>NOULETTE</t>
  </si>
  <si>
    <t>1041OCE-22</t>
  </si>
  <si>
    <t>1042OCE-22</t>
  </si>
  <si>
    <t>0879</t>
  </si>
  <si>
    <t>1043LUR-22</t>
  </si>
  <si>
    <t>1044OCE-22</t>
  </si>
  <si>
    <t>MARTY</t>
  </si>
  <si>
    <t>1045DIJ-22</t>
  </si>
  <si>
    <t>ROCHE-CORTOT</t>
  </si>
  <si>
    <t>0515</t>
  </si>
  <si>
    <t>1046DIJ-22</t>
  </si>
  <si>
    <t>1047OCE-22</t>
  </si>
  <si>
    <t>1048OCE-22</t>
  </si>
  <si>
    <t>1049DIJ-22</t>
  </si>
  <si>
    <t>ROYER</t>
  </si>
  <si>
    <t>0533</t>
  </si>
  <si>
    <t xml:space="preserve">Orge de printemps </t>
  </si>
  <si>
    <t>1050SEV-22</t>
  </si>
  <si>
    <t>1051LUR-22</t>
  </si>
  <si>
    <t>CAMI</t>
  </si>
  <si>
    <t>0283</t>
  </si>
  <si>
    <t>1052OCE-22</t>
  </si>
  <si>
    <t>1053OCE-22</t>
  </si>
  <si>
    <t>SCEA DE REJOLLES</t>
  </si>
  <si>
    <t>0935</t>
  </si>
  <si>
    <t>1054OCE-22</t>
  </si>
  <si>
    <t>1055OCE-22</t>
  </si>
  <si>
    <t>1056OCE-22</t>
  </si>
  <si>
    <t>1057EMC-22</t>
  </si>
  <si>
    <t>DES CHARRIERES</t>
  </si>
  <si>
    <t>Lin textile SEMENCES</t>
  </si>
  <si>
    <t>02</t>
  </si>
  <si>
    <t>1058HOU-22</t>
  </si>
  <si>
    <t>1059OCE-22</t>
  </si>
  <si>
    <t>1060OCE-22</t>
  </si>
  <si>
    <t>1061EMC-22</t>
  </si>
  <si>
    <t>VACON</t>
  </si>
  <si>
    <t>0660</t>
  </si>
  <si>
    <t>1062SDA-22</t>
  </si>
  <si>
    <t>1063EMC-22</t>
  </si>
  <si>
    <t>FERREIRA</t>
  </si>
  <si>
    <t>1064VDG-22</t>
  </si>
  <si>
    <t>1065OCE-22</t>
  </si>
  <si>
    <t>1066OCE-22</t>
  </si>
  <si>
    <t>DE LA BERGERIE</t>
  </si>
  <si>
    <t>1067VDG-22</t>
  </si>
  <si>
    <t>1068OCE-22</t>
  </si>
  <si>
    <t>1069OCE-22</t>
  </si>
  <si>
    <t>1070OCE-22</t>
  </si>
  <si>
    <t>1071OCE-22</t>
  </si>
  <si>
    <t>1072OCE-22</t>
  </si>
  <si>
    <t>1073OCE-22</t>
  </si>
  <si>
    <t>1074OCE-22</t>
  </si>
  <si>
    <t>1075OCE-22</t>
  </si>
  <si>
    <t>1076OCE-22</t>
  </si>
  <si>
    <t>1077OCE-22</t>
  </si>
  <si>
    <t>1078OCE-22</t>
  </si>
  <si>
    <t>1079DIJ-22</t>
  </si>
  <si>
    <t>DES TROIS FERMES</t>
  </si>
  <si>
    <t>0505</t>
  </si>
  <si>
    <t>1080LUR-22</t>
  </si>
  <si>
    <t>1081OCE-22</t>
  </si>
  <si>
    <t>1082EMC-22</t>
  </si>
  <si>
    <t>DE SAINT GREGOIRE</t>
  </si>
  <si>
    <t>1083OCE-22</t>
  </si>
  <si>
    <t>1084OCE-22</t>
  </si>
  <si>
    <t>DES TROIS GRANGES</t>
  </si>
  <si>
    <t>1085OCE-22</t>
  </si>
  <si>
    <t>Lupin</t>
  </si>
  <si>
    <t>1086OCE-22</t>
  </si>
  <si>
    <t>1087SEV-22</t>
  </si>
  <si>
    <t>LA FAVRIE</t>
  </si>
  <si>
    <t>1088OCE-22</t>
  </si>
  <si>
    <t>1089AGR-22</t>
  </si>
  <si>
    <t>LABORDE LOUSTAU</t>
  </si>
  <si>
    <t>0579</t>
  </si>
  <si>
    <t>1090VDG-22</t>
  </si>
  <si>
    <t>1091LUR-22</t>
  </si>
  <si>
    <t>DES 3 FERMES</t>
  </si>
  <si>
    <t>0995</t>
  </si>
  <si>
    <t>1092OCE-22</t>
  </si>
  <si>
    <t>1093LUR-22</t>
  </si>
  <si>
    <t>0250</t>
  </si>
  <si>
    <t>Maïs doux irrigué</t>
  </si>
  <si>
    <t>Maïs waxy irrigué</t>
  </si>
  <si>
    <t>1094AGR-22</t>
  </si>
  <si>
    <t>BOUSCAT</t>
  </si>
  <si>
    <t>0985</t>
  </si>
  <si>
    <t>1095LUR-22</t>
  </si>
  <si>
    <t>1096OCE-22</t>
  </si>
  <si>
    <t>1097OCE-22</t>
  </si>
  <si>
    <t>1098OCE-22</t>
  </si>
  <si>
    <t>1099OCE-22</t>
  </si>
  <si>
    <t>1100OCE-22</t>
  </si>
  <si>
    <t>Excès de température, sécheresse</t>
  </si>
  <si>
    <t>See n°827</t>
  </si>
  <si>
    <t>See n°915</t>
  </si>
  <si>
    <t>See n°727</t>
  </si>
  <si>
    <t>See n°1080</t>
  </si>
  <si>
    <t>FREMATHOLI</t>
  </si>
  <si>
    <t>1101LUR-22</t>
  </si>
  <si>
    <t>BORDENAVE</t>
  </si>
  <si>
    <t>0279</t>
  </si>
  <si>
    <t>1102LUR-22</t>
  </si>
  <si>
    <t>LABORDE</t>
  </si>
  <si>
    <t>0969</t>
  </si>
  <si>
    <t>1103AGR-22</t>
  </si>
  <si>
    <t>DE FLORIMOND</t>
  </si>
  <si>
    <t>1104OCE-22</t>
  </si>
  <si>
    <t>1105LUR-22</t>
  </si>
  <si>
    <t>1106LUR-22</t>
  </si>
  <si>
    <t>LEBAT</t>
  </si>
  <si>
    <t>0133</t>
  </si>
  <si>
    <t>URRUSPIL</t>
  </si>
  <si>
    <t>1107LUR-22</t>
  </si>
  <si>
    <t>CAZABAN</t>
  </si>
  <si>
    <t>0132</t>
  </si>
  <si>
    <t>1108AGR-22</t>
  </si>
  <si>
    <t>AMISTAD</t>
  </si>
  <si>
    <t>0362</t>
  </si>
  <si>
    <t>1109LUR-22</t>
  </si>
  <si>
    <t>THEIL</t>
  </si>
  <si>
    <t>0145</t>
  </si>
  <si>
    <t>1110LUR-22</t>
  </si>
  <si>
    <t>DU PLATEAU</t>
  </si>
  <si>
    <t>0239</t>
  </si>
  <si>
    <t>1111LUR-22</t>
  </si>
  <si>
    <t>BANTAA-DABAN</t>
  </si>
  <si>
    <t>0262</t>
  </si>
  <si>
    <t>1112LUR-22</t>
  </si>
  <si>
    <t>1113OCE-22</t>
  </si>
  <si>
    <t>1114OCE-22</t>
  </si>
  <si>
    <t>LA BERGERIE</t>
  </si>
  <si>
    <t>1115OCE-22</t>
  </si>
  <si>
    <t>1116OCE-22</t>
  </si>
  <si>
    <t>DSECHAMPS</t>
  </si>
  <si>
    <t>0717</t>
  </si>
  <si>
    <t>1118OCE-22</t>
  </si>
  <si>
    <t>1119OCE-22</t>
  </si>
  <si>
    <t>COUBRAN</t>
  </si>
  <si>
    <t>1120OCE-22</t>
  </si>
  <si>
    <t>DU MIDI</t>
  </si>
  <si>
    <t>0256</t>
  </si>
  <si>
    <t>1121OCE-22</t>
  </si>
  <si>
    <t>1122LUR-22</t>
  </si>
  <si>
    <t>L'UCHANE</t>
  </si>
  <si>
    <t>0345</t>
  </si>
  <si>
    <t>1123OCE-22</t>
  </si>
  <si>
    <t>1124OCE-22</t>
  </si>
  <si>
    <t>BABAUD</t>
  </si>
  <si>
    <t>1125LUR-22</t>
  </si>
  <si>
    <t>DE BEDOU</t>
  </si>
  <si>
    <t>Maïs doux non irrigué</t>
  </si>
  <si>
    <t>1126OCE-22</t>
  </si>
  <si>
    <t>1127DIJ-22</t>
  </si>
  <si>
    <t>1128EMC-22</t>
  </si>
  <si>
    <t>1129AXE-22</t>
  </si>
  <si>
    <t>DOMAINE DE REUILLET</t>
  </si>
  <si>
    <t>1130OCE-22</t>
  </si>
  <si>
    <t>1131OCE-22</t>
  </si>
  <si>
    <t>DE NOAILLES</t>
  </si>
  <si>
    <t>0624</t>
  </si>
  <si>
    <t>1132OCE-22</t>
  </si>
  <si>
    <t>1133BOU-22</t>
  </si>
  <si>
    <t>1134VDG-22</t>
  </si>
  <si>
    <t>DAVILA</t>
  </si>
  <si>
    <t>1135DIJ-22</t>
  </si>
  <si>
    <t>1136LUR-22</t>
  </si>
  <si>
    <t>DU RUISSEAU</t>
  </si>
  <si>
    <t>0128</t>
  </si>
  <si>
    <t>1137DIJ-22</t>
  </si>
  <si>
    <t>DUPAQUIER</t>
  </si>
  <si>
    <t>0820</t>
  </si>
  <si>
    <t>Sécheresse, inondation, excès d'eau</t>
  </si>
  <si>
    <t>1138OCE-22</t>
  </si>
  <si>
    <t>1139LUR-22</t>
  </si>
  <si>
    <t>DU BOURGUET</t>
  </si>
  <si>
    <t>0322</t>
  </si>
  <si>
    <t>1140LUR-22</t>
  </si>
  <si>
    <t>DE L'AUBIOSSE</t>
  </si>
  <si>
    <t>0236</t>
  </si>
  <si>
    <t>1141LUR-22</t>
  </si>
  <si>
    <t>1142OCE-22</t>
  </si>
  <si>
    <t>SEINE</t>
  </si>
  <si>
    <t>1143OCE-22</t>
  </si>
  <si>
    <t>1144LUR-22</t>
  </si>
  <si>
    <t>1145LUR-22</t>
  </si>
  <si>
    <t>ESLOUS</t>
  </si>
  <si>
    <t>1146LUR-22</t>
  </si>
  <si>
    <t>CHODERNIC</t>
  </si>
  <si>
    <t>0333</t>
  </si>
  <si>
    <t>1147LUR-22</t>
  </si>
  <si>
    <t>0332</t>
  </si>
  <si>
    <t>1148LUR-22</t>
  </si>
  <si>
    <t>1149OCE-22</t>
  </si>
  <si>
    <t>1150OCE-22</t>
  </si>
  <si>
    <t>FAURIE</t>
  </si>
  <si>
    <t>0869</t>
  </si>
  <si>
    <t>1151DIJ-22</t>
  </si>
  <si>
    <t>ROSSELIN</t>
  </si>
  <si>
    <t>0810</t>
  </si>
  <si>
    <t>1152EMC-22</t>
  </si>
  <si>
    <t>1153OCE-22</t>
  </si>
  <si>
    <t>1154AXE-22</t>
  </si>
  <si>
    <t>1155DIJ-22</t>
  </si>
  <si>
    <t>DES CHAMPS FLEURIS</t>
  </si>
  <si>
    <t>0461</t>
  </si>
  <si>
    <t>1156OCE-22</t>
  </si>
  <si>
    <t>1157OCE-22</t>
  </si>
  <si>
    <t>MARTIN</t>
  </si>
  <si>
    <t>0544</t>
  </si>
  <si>
    <t>1158OCE-22</t>
  </si>
  <si>
    <t>1159OCE-22</t>
  </si>
  <si>
    <t>Pluies violentes, orageuses, torrentielles, grêle</t>
  </si>
  <si>
    <t>1160EMC-22</t>
  </si>
  <si>
    <t>1161OCE-22</t>
  </si>
  <si>
    <t>1162VDG-22</t>
  </si>
  <si>
    <t>BIRAN</t>
  </si>
  <si>
    <t>1163DIJ-22</t>
  </si>
  <si>
    <t>1164OCE-22</t>
  </si>
  <si>
    <t>1165LUR-22</t>
  </si>
  <si>
    <t>DE MAZOUAS</t>
  </si>
  <si>
    <t>0297</t>
  </si>
  <si>
    <t>1166LUR-22</t>
  </si>
  <si>
    <t>1167LUR-22</t>
  </si>
  <si>
    <t>CASAURANCQ</t>
  </si>
  <si>
    <t>0188</t>
  </si>
  <si>
    <t>1168LUR-22</t>
  </si>
  <si>
    <t>1169EMC-22</t>
  </si>
  <si>
    <t>1171INT-22</t>
  </si>
  <si>
    <t>1172DIJ-22</t>
  </si>
  <si>
    <t>LES GROSEILLERS</t>
  </si>
  <si>
    <t>0609</t>
  </si>
  <si>
    <t>1173OCE-22</t>
  </si>
  <si>
    <t>1174INT-22</t>
  </si>
  <si>
    <t>ST ANNE</t>
  </si>
  <si>
    <t>1175OCE-22</t>
  </si>
  <si>
    <t>LES ROBINS</t>
  </si>
  <si>
    <t>See n°738</t>
  </si>
  <si>
    <t>See n°1095</t>
  </si>
  <si>
    <t>See n°703</t>
  </si>
  <si>
    <t>See n°734</t>
  </si>
  <si>
    <t>RECEVEUR</t>
  </si>
  <si>
    <t>1177EMC-22</t>
  </si>
  <si>
    <t>GAEC DE LA PREE</t>
  </si>
  <si>
    <t>1178OCE-22</t>
  </si>
  <si>
    <t>PATRIER</t>
  </si>
  <si>
    <t>1176INT-22</t>
  </si>
  <si>
    <t>1179INT-22</t>
  </si>
  <si>
    <t>1180LUR-22</t>
  </si>
  <si>
    <t>FAURE</t>
  </si>
  <si>
    <t>0347</t>
  </si>
  <si>
    <t>1181LUR-22</t>
  </si>
  <si>
    <t>CANTOU</t>
  </si>
  <si>
    <t>0329</t>
  </si>
  <si>
    <t>1182LUR-22</t>
  </si>
  <si>
    <t>DU HAMEAU</t>
  </si>
  <si>
    <t>0323</t>
  </si>
  <si>
    <t>1183LUR-22</t>
  </si>
  <si>
    <t>AUGA-BASCOU</t>
  </si>
  <si>
    <t>0136</t>
  </si>
  <si>
    <t>1184LUR-22</t>
  </si>
  <si>
    <t>DE CAPERAN</t>
  </si>
  <si>
    <t>0178</t>
  </si>
  <si>
    <t>1185OCE-22</t>
  </si>
  <si>
    <t>1186LUR-22</t>
  </si>
  <si>
    <t>DU BARRAT</t>
  </si>
  <si>
    <t>0353</t>
  </si>
  <si>
    <t>1187AXB-22</t>
  </si>
  <si>
    <t>1188VDG-22</t>
  </si>
  <si>
    <t>BORIES</t>
  </si>
  <si>
    <t>0590</t>
  </si>
  <si>
    <t>1189INT-22</t>
  </si>
  <si>
    <t>PERROT</t>
  </si>
  <si>
    <t>Excès de températures, coup de vent</t>
  </si>
  <si>
    <t>1190LUR-22</t>
  </si>
  <si>
    <t>1191OCE-22</t>
  </si>
  <si>
    <t>1192VDG-22</t>
  </si>
  <si>
    <t>1193OCE-22</t>
  </si>
  <si>
    <t>1194LUR-22</t>
  </si>
  <si>
    <t>ARETTE</t>
  </si>
  <si>
    <t>0298</t>
  </si>
  <si>
    <t>1195VDG-22</t>
  </si>
  <si>
    <t>BOUAS</t>
  </si>
  <si>
    <t>0788</t>
  </si>
  <si>
    <t>1196OCE-22</t>
  </si>
  <si>
    <t>BONNEAU</t>
  </si>
  <si>
    <t>1197INT-22</t>
  </si>
  <si>
    <t>1198VDG-22</t>
  </si>
  <si>
    <t>BROUSSET</t>
  </si>
  <si>
    <t>0617</t>
  </si>
  <si>
    <t>1199VDG-22</t>
  </si>
  <si>
    <t>1200VDG-22</t>
  </si>
  <si>
    <t>1201AXE-22</t>
  </si>
  <si>
    <t>DESCHAMPS</t>
  </si>
  <si>
    <t>1202DIJ-22</t>
  </si>
  <si>
    <t>JAUGEY</t>
  </si>
  <si>
    <t>0821</t>
  </si>
  <si>
    <t>1203VDG-22</t>
  </si>
  <si>
    <t>GOURDAIN</t>
  </si>
  <si>
    <t>1204VDG-22</t>
  </si>
  <si>
    <t>1205OCE-22</t>
  </si>
  <si>
    <t>1206VDG-22</t>
  </si>
  <si>
    <t>LE BOUCHARD</t>
  </si>
  <si>
    <t>0572</t>
  </si>
  <si>
    <t>1207ALT-22</t>
  </si>
  <si>
    <t>DURUP</t>
  </si>
  <si>
    <t>0860</t>
  </si>
  <si>
    <t>1208VDG-22</t>
  </si>
  <si>
    <t>1209DIJ-22</t>
  </si>
  <si>
    <t>1210DIJ-22</t>
  </si>
  <si>
    <t>LUCOTTE</t>
  </si>
  <si>
    <t>0754</t>
  </si>
  <si>
    <t>1211VDG-22</t>
  </si>
  <si>
    <t>1170VDG-22</t>
  </si>
  <si>
    <t>1212INT-22</t>
  </si>
  <si>
    <t>L'AUBEPINE</t>
  </si>
  <si>
    <t>1213VDG-22</t>
  </si>
  <si>
    <t>1214VDG-22</t>
  </si>
  <si>
    <t>1215VDG-22</t>
  </si>
  <si>
    <t>1216VDG-22</t>
  </si>
  <si>
    <t>DE LA TOUR</t>
  </si>
  <si>
    <t>1217VDG-22</t>
  </si>
  <si>
    <t>1218LUR-22</t>
  </si>
  <si>
    <t>0539</t>
  </si>
  <si>
    <t>1219DIJ-22</t>
  </si>
  <si>
    <t>1220DIJ-22</t>
  </si>
  <si>
    <t>1221LUR-22</t>
  </si>
  <si>
    <t>1222VDG-22</t>
  </si>
  <si>
    <t>1223VDG-22</t>
  </si>
  <si>
    <t>1224DIJ-22</t>
  </si>
  <si>
    <t>1225DIJ-22</t>
  </si>
  <si>
    <t>DES FONTENOIS</t>
  </si>
  <si>
    <t>0524</t>
  </si>
  <si>
    <t>1226DIJ-22</t>
  </si>
  <si>
    <t>FLEUROT</t>
  </si>
  <si>
    <t>0525</t>
  </si>
  <si>
    <t>1227VDG-22</t>
  </si>
  <si>
    <t>1228VDG-22</t>
  </si>
  <si>
    <t>DES ACACIAS</t>
  </si>
  <si>
    <t>0737</t>
  </si>
  <si>
    <t>1229VDG-22</t>
  </si>
  <si>
    <t>1230VDG-22</t>
  </si>
  <si>
    <t>GAVA GUY</t>
  </si>
  <si>
    <t>0815</t>
  </si>
  <si>
    <t>1232VDG-22</t>
  </si>
  <si>
    <t>1233VDG-22</t>
  </si>
  <si>
    <t>1231VDG-22</t>
  </si>
  <si>
    <t>1234VDG-22</t>
  </si>
  <si>
    <t>1235TDS-22</t>
  </si>
  <si>
    <t>1236DIJ-22</t>
  </si>
  <si>
    <t>1237ALT-22</t>
  </si>
  <si>
    <t>PAPILLON</t>
  </si>
  <si>
    <t>1238VDG-22</t>
  </si>
  <si>
    <t>1239EMC-22</t>
  </si>
  <si>
    <t>1240EMC-22</t>
  </si>
  <si>
    <t>1241EMC-22</t>
  </si>
  <si>
    <t>1242LUR-22</t>
  </si>
  <si>
    <t>LACOMME</t>
  </si>
  <si>
    <t>0215</t>
  </si>
  <si>
    <t>1243OCE-22</t>
  </si>
  <si>
    <t>1244OCE-22</t>
  </si>
  <si>
    <t>1245LUR-22</t>
  </si>
  <si>
    <t>1246EMC-22</t>
  </si>
  <si>
    <t>1247INT-22</t>
  </si>
  <si>
    <t>1248INT-22</t>
  </si>
  <si>
    <t>1249INT-22</t>
  </si>
  <si>
    <t>1250INT-22</t>
  </si>
  <si>
    <t>CATY</t>
  </si>
  <si>
    <t>0581</t>
  </si>
  <si>
    <t>1251VDG-22</t>
  </si>
  <si>
    <t>1252INT-22</t>
  </si>
  <si>
    <t>1253DIJ-22</t>
  </si>
  <si>
    <t>LES TULIPES</t>
  </si>
  <si>
    <t>0826</t>
  </si>
  <si>
    <t>1254VDG-22</t>
  </si>
  <si>
    <t>1255INT-22</t>
  </si>
  <si>
    <t>DU TERROIR</t>
  </si>
  <si>
    <t>1256INT-22</t>
  </si>
  <si>
    <t>LA PIERRE MILLIERE</t>
  </si>
  <si>
    <t>1257INT-22</t>
  </si>
  <si>
    <t>SCHOUWEY</t>
  </si>
  <si>
    <t>1258INT-22</t>
  </si>
  <si>
    <t>DU RAVIN</t>
  </si>
  <si>
    <t>1259INT-22</t>
  </si>
  <si>
    <t>Blé tendre d'hiver SEMENCES</t>
  </si>
  <si>
    <t>1260DIJ-22</t>
  </si>
  <si>
    <t>1261DIJ-22</t>
  </si>
  <si>
    <t>1262INT-22</t>
  </si>
  <si>
    <t>BEURTON MANIÈRE</t>
  </si>
  <si>
    <t>0682</t>
  </si>
  <si>
    <t>DU PRE FOUCHARD</t>
  </si>
  <si>
    <t>1263INT-22</t>
  </si>
  <si>
    <t>MAIGNAN</t>
  </si>
  <si>
    <t>1264INT-22</t>
  </si>
  <si>
    <t>DU PRIEURE</t>
  </si>
  <si>
    <t>0769</t>
  </si>
  <si>
    <t>1265INT-22</t>
  </si>
  <si>
    <t>FOLLOT</t>
  </si>
  <si>
    <t>1266INT-22</t>
  </si>
  <si>
    <t>DE LA MOTTE</t>
  </si>
  <si>
    <t>1267VDG-22</t>
  </si>
  <si>
    <t>TRILLE</t>
  </si>
  <si>
    <t>0634</t>
  </si>
  <si>
    <t>1268INT-22</t>
  </si>
  <si>
    <t>BELLEVILLE</t>
  </si>
  <si>
    <t>1269EMC-22</t>
  </si>
  <si>
    <t>See n°1240</t>
  </si>
  <si>
    <t>1270OCE-22</t>
  </si>
  <si>
    <t>1271DIJ-22</t>
  </si>
  <si>
    <t>1272VDG-22</t>
  </si>
  <si>
    <t>1273OCE-22</t>
  </si>
  <si>
    <t>1274LUR-22</t>
  </si>
  <si>
    <t>1275OCE-22</t>
  </si>
  <si>
    <t>1276VDG-22</t>
  </si>
  <si>
    <t>1277VDG-22</t>
  </si>
  <si>
    <t>1278INT-22</t>
  </si>
  <si>
    <t>CUENOT</t>
  </si>
  <si>
    <t>1279INT-22</t>
  </si>
  <si>
    <t>1280INT-22</t>
  </si>
  <si>
    <t>TISSOT</t>
  </si>
  <si>
    <t>1281VDG-22</t>
  </si>
  <si>
    <t>1282INT-22</t>
  </si>
  <si>
    <t>BOUVIER</t>
  </si>
  <si>
    <t>1283VDG-22</t>
  </si>
  <si>
    <t>SCEA LARRIEU</t>
  </si>
  <si>
    <t>0784</t>
  </si>
  <si>
    <t>1284LUR-22</t>
  </si>
  <si>
    <t>TAUZIA</t>
  </si>
  <si>
    <t>0176</t>
  </si>
  <si>
    <t>1285LUR-22</t>
  </si>
  <si>
    <t>1286VER-22</t>
  </si>
  <si>
    <t>TREPALOUP</t>
  </si>
  <si>
    <t>0912</t>
  </si>
  <si>
    <t>VERNAZOBRES</t>
  </si>
  <si>
    <t>1287ALT-22</t>
  </si>
  <si>
    <t>1288VDG-22</t>
  </si>
  <si>
    <t>MICALOUE</t>
  </si>
  <si>
    <t>1289VDG-22</t>
  </si>
  <si>
    <t>1290OCE-22</t>
  </si>
  <si>
    <t>1291INT-22</t>
  </si>
  <si>
    <t>1292OCE-22</t>
  </si>
  <si>
    <t>1293AXE-22</t>
  </si>
  <si>
    <t>1294DIJ-22</t>
  </si>
  <si>
    <t>Inondation, excès d'eau, sécheresse</t>
  </si>
  <si>
    <t>1295OCE-22</t>
  </si>
  <si>
    <t>1296DIJ-22</t>
  </si>
  <si>
    <t>DES VIGNES</t>
  </si>
  <si>
    <t>0684</t>
  </si>
  <si>
    <t>Avoine d'hiver BIO</t>
  </si>
  <si>
    <t>1297DIJ-22</t>
  </si>
  <si>
    <t>1298EMC-22</t>
  </si>
  <si>
    <t>JYP</t>
  </si>
  <si>
    <t>0479</t>
  </si>
  <si>
    <t>1299EMC-22</t>
  </si>
  <si>
    <t>1300OCE-22</t>
  </si>
  <si>
    <t>1301DIJ-22</t>
  </si>
  <si>
    <t>DE LA FORGE</t>
  </si>
  <si>
    <t>0494</t>
  </si>
  <si>
    <t>1302OCE-22</t>
  </si>
  <si>
    <t>BOULESTIN</t>
  </si>
  <si>
    <t>0934</t>
  </si>
  <si>
    <t>1303DIJ-22</t>
  </si>
  <si>
    <t>1304OCE-22</t>
  </si>
  <si>
    <t>1305OCE-22</t>
  </si>
  <si>
    <t>1306DIJ-22</t>
  </si>
  <si>
    <t>BRAJON</t>
  </si>
  <si>
    <t>0828</t>
  </si>
  <si>
    <t>1307AXE-22</t>
  </si>
  <si>
    <t xml:space="preserve">POIRIER </t>
  </si>
  <si>
    <t>0103</t>
  </si>
  <si>
    <t>Coup de chaleur, inondations, excès d'eau</t>
  </si>
  <si>
    <t>1308DIJ-22</t>
  </si>
  <si>
    <t>JUNON</t>
  </si>
  <si>
    <t>0961</t>
  </si>
  <si>
    <t>1309AXE-22</t>
  </si>
  <si>
    <t>MOES HORTUCULTURE</t>
  </si>
  <si>
    <t>1310DIJ-22</t>
  </si>
  <si>
    <t>COUCHENEY</t>
  </si>
  <si>
    <t>0543</t>
  </si>
  <si>
    <t>1311AXE-22</t>
  </si>
  <si>
    <t>SAVTCHENKO</t>
  </si>
  <si>
    <t>See n°540</t>
  </si>
  <si>
    <t>See n°480</t>
  </si>
  <si>
    <t>See n°457</t>
  </si>
  <si>
    <t>See n°427</t>
  </si>
  <si>
    <t>See n°429</t>
  </si>
  <si>
    <t>See n°488</t>
  </si>
  <si>
    <t>See n°732</t>
  </si>
  <si>
    <t>1312INT-22</t>
  </si>
  <si>
    <t>1313HOU-22</t>
  </si>
  <si>
    <t>1314EMC-22</t>
  </si>
  <si>
    <t>1315DIJ-22</t>
  </si>
  <si>
    <t>PETITGUYOT</t>
  </si>
  <si>
    <t>See n°1285</t>
  </si>
  <si>
    <t>CHEVALIER JM</t>
  </si>
  <si>
    <t>CHEVALIER EARL</t>
  </si>
  <si>
    <t>See n°996</t>
  </si>
  <si>
    <t>See n°994</t>
  </si>
  <si>
    <t>See n°995</t>
  </si>
  <si>
    <t>See n°461</t>
  </si>
  <si>
    <t>See n°680</t>
  </si>
  <si>
    <t>See n°448</t>
  </si>
  <si>
    <t>See n°677</t>
  </si>
  <si>
    <t>1316LUR-22</t>
  </si>
  <si>
    <t>1317OCE-22</t>
  </si>
  <si>
    <t>BOULARDIE</t>
  </si>
  <si>
    <t>1318INT-22</t>
  </si>
  <si>
    <t>DU POIRIER</t>
  </si>
  <si>
    <t>1319DIJ-22</t>
  </si>
  <si>
    <t>1320BOU-22</t>
  </si>
  <si>
    <t xml:space="preserve">BILLARD </t>
  </si>
  <si>
    <t>1321ALT-22</t>
  </si>
  <si>
    <t>Pommes de terre</t>
  </si>
  <si>
    <t>see n°438</t>
  </si>
  <si>
    <t>see n°1112</t>
  </si>
  <si>
    <t>See n°1291</t>
  </si>
  <si>
    <t>See n°436</t>
  </si>
  <si>
    <t>0538</t>
  </si>
  <si>
    <t>See n°1115</t>
  </si>
  <si>
    <t>See n°545</t>
  </si>
  <si>
    <t>See n°759</t>
  </si>
  <si>
    <t>See n°1275</t>
  </si>
  <si>
    <t>Sixth Payment 15/07/2022</t>
  </si>
  <si>
    <t>1322DIJ-22</t>
  </si>
  <si>
    <t>PREVOTAT</t>
  </si>
  <si>
    <t>0830</t>
  </si>
  <si>
    <t>1323DIJ-22</t>
  </si>
  <si>
    <t>0627</t>
  </si>
  <si>
    <t>See n°1041</t>
  </si>
  <si>
    <t>See n°445</t>
  </si>
  <si>
    <t>LA SOURCE AUX LOUPS</t>
  </si>
  <si>
    <t>1324DIJ-22</t>
  </si>
  <si>
    <t>1325LUR-22</t>
  </si>
  <si>
    <t>RAYNA</t>
  </si>
  <si>
    <t>0983</t>
  </si>
  <si>
    <t>1326EMC-22</t>
  </si>
  <si>
    <t>1327EMC-22</t>
  </si>
  <si>
    <t>JODIN</t>
  </si>
  <si>
    <t>1328SEV-22</t>
  </si>
  <si>
    <t>1329EMC-22</t>
  </si>
  <si>
    <t>1330EMC-22</t>
  </si>
  <si>
    <t>1331LUR-22</t>
  </si>
  <si>
    <t>1332DIJ-22</t>
  </si>
  <si>
    <t>1333NAT-22</t>
  </si>
  <si>
    <t>DE BEAUMONTEL (3882)</t>
  </si>
  <si>
    <t>ROUSSIGNOL</t>
  </si>
  <si>
    <t>1335LUR-22</t>
  </si>
  <si>
    <t>LA DESIRADE</t>
  </si>
  <si>
    <t>0335</t>
  </si>
  <si>
    <t>1336DIJ-22</t>
  </si>
  <si>
    <t>0517</t>
  </si>
  <si>
    <t>1337OCE-22</t>
  </si>
  <si>
    <t>LE GRAND GILLOU</t>
  </si>
  <si>
    <t>1338DIJ-22</t>
  </si>
  <si>
    <t>1339DIJ-22</t>
  </si>
  <si>
    <t>1340OCE-22</t>
  </si>
  <si>
    <t>See n°1169</t>
  </si>
  <si>
    <t>See n°1220</t>
  </si>
  <si>
    <t>1341OCE-22</t>
  </si>
  <si>
    <t>1342VDG-22</t>
  </si>
  <si>
    <t>LABORDE JEAN-CHRISTOPHE</t>
  </si>
  <si>
    <t>0789</t>
  </si>
  <si>
    <t>1343ALT-22</t>
  </si>
  <si>
    <t>See n°1313</t>
  </si>
  <si>
    <t>See n°1171</t>
  </si>
  <si>
    <t>1344DIJ-22</t>
  </si>
  <si>
    <t>See n°762</t>
  </si>
  <si>
    <t>See n°1148</t>
  </si>
  <si>
    <t>1345LUR-22</t>
  </si>
  <si>
    <t>See n°597</t>
  </si>
  <si>
    <t>1346LUR-22</t>
  </si>
  <si>
    <t>See n°567</t>
  </si>
  <si>
    <t>1347VDG-22</t>
  </si>
  <si>
    <t>1348DIJ-22</t>
  </si>
  <si>
    <t>0749</t>
  </si>
  <si>
    <t>PRUDHON</t>
  </si>
  <si>
    <t>1349VDG-22</t>
  </si>
  <si>
    <t>1350LUR-22</t>
  </si>
  <si>
    <t>0291</t>
  </si>
  <si>
    <t>1351LUR-22</t>
  </si>
  <si>
    <t>1352OCE-22</t>
  </si>
  <si>
    <t>1353DIJ-22</t>
  </si>
  <si>
    <t>A D'ANE</t>
  </si>
  <si>
    <t>1354DIJ-22</t>
  </si>
  <si>
    <t>SULLIOT</t>
  </si>
  <si>
    <t>0518</t>
  </si>
  <si>
    <t>1355VDG-22</t>
  </si>
  <si>
    <t>1356LUR-22</t>
  </si>
  <si>
    <t>1357LUR-22</t>
  </si>
  <si>
    <t>1358AGR-22</t>
  </si>
  <si>
    <t>1359OCE-22</t>
  </si>
  <si>
    <t>1360OCE-22</t>
  </si>
  <si>
    <t>1361INT-22</t>
  </si>
  <si>
    <t>1362VDG-22</t>
  </si>
  <si>
    <t>1363EMC-22</t>
  </si>
  <si>
    <t>1364VDG-22</t>
  </si>
  <si>
    <t>1365LUR-22</t>
  </si>
  <si>
    <t>LAS PALOUMES</t>
  </si>
  <si>
    <t>0342</t>
  </si>
  <si>
    <t>See n°1062</t>
  </si>
  <si>
    <t>See n°1036</t>
  </si>
  <si>
    <t>See n°710</t>
  </si>
  <si>
    <t>See n°981</t>
  </si>
  <si>
    <t>1366OCE-22</t>
  </si>
  <si>
    <t>LA PETITE RAAINETTE</t>
  </si>
  <si>
    <t>1367NAT-22</t>
  </si>
  <si>
    <t>1368SEV-22</t>
  </si>
  <si>
    <t>1369VDG-22</t>
  </si>
  <si>
    <t>DOUX VERONIQUE</t>
  </si>
  <si>
    <t>0583</t>
  </si>
  <si>
    <t>1370COS-22</t>
  </si>
  <si>
    <t>See n°1154</t>
  </si>
  <si>
    <t>1371TDS-22</t>
  </si>
  <si>
    <t>1372VDG-22</t>
  </si>
  <si>
    <t>1373TDS-22</t>
  </si>
  <si>
    <t>1374LUR-22</t>
  </si>
  <si>
    <t>1375OGR-22</t>
  </si>
  <si>
    <t>Coup de soleil, coup de chaleur</t>
  </si>
  <si>
    <t>1376OGR-22</t>
  </si>
  <si>
    <t>1377OCE-22</t>
  </si>
  <si>
    <t>1378VDG-22</t>
  </si>
  <si>
    <t>LES ALIOTS</t>
  </si>
  <si>
    <t>1379OCE-22</t>
  </si>
  <si>
    <t>1381LUR-22</t>
  </si>
  <si>
    <t>PERILLOU</t>
  </si>
  <si>
    <t>0299</t>
  </si>
  <si>
    <t>1382OCE-22</t>
  </si>
  <si>
    <t>LA POMMERIE</t>
  </si>
  <si>
    <t>See n°1010</t>
  </si>
  <si>
    <t>See n°699</t>
  </si>
  <si>
    <t>See n° 0700</t>
  </si>
  <si>
    <t>See n° 1187</t>
  </si>
  <si>
    <t>1380OCE-22</t>
  </si>
  <si>
    <t>LA PERUSE</t>
  </si>
  <si>
    <t>0694</t>
  </si>
  <si>
    <t>1383OCE-22</t>
  </si>
  <si>
    <t>1384LUR-22</t>
  </si>
  <si>
    <t>1385LUR-22</t>
  </si>
  <si>
    <t>HAYET</t>
  </si>
  <si>
    <t>0977</t>
  </si>
  <si>
    <t>1386LUR-22</t>
  </si>
  <si>
    <t>TROUILLET</t>
  </si>
  <si>
    <t>0141</t>
  </si>
  <si>
    <t>1387LUR-22</t>
  </si>
  <si>
    <t>1388EMC-22</t>
  </si>
  <si>
    <t>1389LUR-22</t>
  </si>
  <si>
    <t>1390LUR-22</t>
  </si>
  <si>
    <t>EARL DE LA METAIRIE</t>
  </si>
  <si>
    <t>PETRAU MATHIEU</t>
  </si>
  <si>
    <t>PETRAU FREDERIC</t>
  </si>
  <si>
    <t>PETRAU LILIAN</t>
  </si>
  <si>
    <t>See n°506</t>
  </si>
  <si>
    <t>See n°1081</t>
  </si>
  <si>
    <t>See n°484</t>
  </si>
  <si>
    <t>See n°508</t>
  </si>
  <si>
    <t>See n°1130</t>
  </si>
  <si>
    <t>1391LUR-22</t>
  </si>
  <si>
    <t>1392OCE-22</t>
  </si>
  <si>
    <t>1393LUR-22</t>
  </si>
  <si>
    <t>1394LUR-22</t>
  </si>
  <si>
    <t>1395LUR-22</t>
  </si>
  <si>
    <t>PETRAU VINCENT</t>
  </si>
  <si>
    <t>0148</t>
  </si>
  <si>
    <t>1396LUR-22</t>
  </si>
  <si>
    <t>1397VDG-22</t>
  </si>
  <si>
    <t>1398OCE-22</t>
  </si>
  <si>
    <t>1399LUR-22</t>
  </si>
  <si>
    <t>ALCETEGARAY</t>
  </si>
  <si>
    <t>0984</t>
  </si>
  <si>
    <t>1400ALT-22</t>
  </si>
  <si>
    <t>LA MOSELLERIE</t>
  </si>
  <si>
    <t>0691</t>
  </si>
  <si>
    <t>1401LUR-22</t>
  </si>
  <si>
    <t>DU BIALET</t>
  </si>
  <si>
    <t>0330</t>
  </si>
  <si>
    <t>See n°1071</t>
  </si>
  <si>
    <t>See n°1038</t>
  </si>
  <si>
    <t>1402OCE-22</t>
  </si>
  <si>
    <t>1403LUR-22</t>
  </si>
  <si>
    <t>1404SDA-22</t>
  </si>
  <si>
    <t>POIRIER BENJAMIN</t>
  </si>
  <si>
    <t>0675</t>
  </si>
  <si>
    <t>TERRES DU SUD NEG</t>
  </si>
  <si>
    <t>n°1075</t>
  </si>
  <si>
    <t>1405SEV-22</t>
  </si>
  <si>
    <t>1406NAT-22</t>
  </si>
  <si>
    <t>1407NAT-22</t>
  </si>
  <si>
    <t>DE BELLEFONTAINE</t>
  </si>
  <si>
    <t>1408EMC-22</t>
  </si>
  <si>
    <t>1409ALT-22</t>
  </si>
  <si>
    <t>1410OCE-22</t>
  </si>
  <si>
    <t>1411OCE-22</t>
  </si>
  <si>
    <t>1412INT-22</t>
  </si>
  <si>
    <t>1413LUR-22</t>
  </si>
  <si>
    <t>1414VDG-22</t>
  </si>
  <si>
    <t>ABADIE</t>
  </si>
  <si>
    <t>0667</t>
  </si>
  <si>
    <t>1415LUR-22</t>
  </si>
  <si>
    <t>1416OCE-22</t>
  </si>
  <si>
    <t>1417LUR-22</t>
  </si>
  <si>
    <t>0220</t>
  </si>
  <si>
    <t>1418VDG-22</t>
  </si>
  <si>
    <t>1419OCE-22</t>
  </si>
  <si>
    <t>1420AGR-22</t>
  </si>
  <si>
    <t>1421LUR-22</t>
  </si>
  <si>
    <t>CORNU</t>
  </si>
  <si>
    <t>0927</t>
  </si>
  <si>
    <t>1422LUR-22</t>
  </si>
  <si>
    <t>Sorgho SEMENCES</t>
  </si>
  <si>
    <t>1423LUR-22</t>
  </si>
  <si>
    <t>1424OCE-22</t>
  </si>
  <si>
    <t>1425LUR-22</t>
  </si>
  <si>
    <t>MLABADIE</t>
  </si>
  <si>
    <t>0226</t>
  </si>
  <si>
    <t>1426LUR-22</t>
  </si>
  <si>
    <t>1427OCE-22</t>
  </si>
  <si>
    <t>Arrêté sécheresse, interdiction d'irrigué, coup de chaleur</t>
  </si>
  <si>
    <t>1428LUR-22</t>
  </si>
  <si>
    <t>LAHARGUE</t>
  </si>
  <si>
    <t>0963</t>
  </si>
  <si>
    <t>1429INT-22</t>
  </si>
  <si>
    <t>KUENY</t>
  </si>
  <si>
    <t>Grêle, excès de températures</t>
  </si>
  <si>
    <t>1430DIJ-22</t>
  </si>
  <si>
    <t>COTIBY</t>
  </si>
  <si>
    <t>0849</t>
  </si>
  <si>
    <t>1431OCE-22</t>
  </si>
  <si>
    <t>1432VDG-22</t>
  </si>
  <si>
    <t>1433OCE-22</t>
  </si>
  <si>
    <t>See n°1241</t>
  </si>
  <si>
    <t>1434LUR-22</t>
  </si>
  <si>
    <t>1435LUR-22</t>
  </si>
  <si>
    <t>LAFOURCADE</t>
  </si>
  <si>
    <t>0987</t>
  </si>
  <si>
    <t>1436OCE-22</t>
  </si>
  <si>
    <t>1437LUR-22</t>
  </si>
  <si>
    <t>1438VDG-22</t>
  </si>
  <si>
    <t>See n°1321</t>
  </si>
  <si>
    <t>See n°676</t>
  </si>
  <si>
    <t>See n°1357</t>
  </si>
  <si>
    <t>See n°1356</t>
  </si>
  <si>
    <t>See n°1393</t>
  </si>
  <si>
    <t>See n°1351</t>
  </si>
  <si>
    <t>1439LUR-22</t>
  </si>
  <si>
    <t>1440VDG-22</t>
  </si>
  <si>
    <t>1441SDA-22</t>
  </si>
  <si>
    <t>1442OCE-22</t>
  </si>
  <si>
    <t>1443EMC-22</t>
  </si>
  <si>
    <t>1444LUR-22</t>
  </si>
  <si>
    <t>1445EMC-22</t>
  </si>
  <si>
    <t>SAINT CATHERINE</t>
  </si>
  <si>
    <t>1446CEA-22</t>
  </si>
  <si>
    <t>1447OCE-22</t>
  </si>
  <si>
    <t>HERAUT</t>
  </si>
  <si>
    <t>See n°0784</t>
  </si>
  <si>
    <t>1448LUR-22</t>
  </si>
  <si>
    <t>DE SARRAILLOT</t>
  </si>
  <si>
    <t>0290</t>
  </si>
  <si>
    <t>1449AGR-22</t>
  </si>
  <si>
    <t>1450LUR-22</t>
  </si>
  <si>
    <t>DE PENE</t>
  </si>
  <si>
    <t>0255</t>
  </si>
  <si>
    <t>1451VDG-22</t>
  </si>
  <si>
    <t>1452VDG-22</t>
  </si>
  <si>
    <t>1453VDG-22</t>
  </si>
  <si>
    <t>1454LUR-22</t>
  </si>
  <si>
    <t>MASSY</t>
  </si>
  <si>
    <t>0944</t>
  </si>
  <si>
    <t>1455VDG-22</t>
  </si>
  <si>
    <t>1456CEA-22</t>
  </si>
  <si>
    <t>DE LA COMBE</t>
  </si>
  <si>
    <t>0185</t>
  </si>
  <si>
    <t>1457EMC-22</t>
  </si>
  <si>
    <t>1458LUR-22</t>
  </si>
  <si>
    <t>DE LENY</t>
  </si>
  <si>
    <t>0181</t>
  </si>
  <si>
    <t>1459VDG-22</t>
  </si>
  <si>
    <t>DUBECH THIERRY</t>
  </si>
  <si>
    <t>0673</t>
  </si>
  <si>
    <t>See n°993</t>
  </si>
  <si>
    <t>1460EMC-22</t>
  </si>
  <si>
    <t>1461LUR-22</t>
  </si>
  <si>
    <t>DU FOURRE</t>
  </si>
  <si>
    <t>0309</t>
  </si>
  <si>
    <t>1462ALT-22</t>
  </si>
  <si>
    <t>1463DIJ-22</t>
  </si>
  <si>
    <t>1464OCE-22</t>
  </si>
  <si>
    <t>CAMGUILHEM MARTINE</t>
  </si>
  <si>
    <t>See n°764</t>
  </si>
  <si>
    <t>1465LUR-22</t>
  </si>
  <si>
    <t>MAMPRIN</t>
  </si>
  <si>
    <t>0975</t>
  </si>
  <si>
    <t>1466LUR-22</t>
  </si>
  <si>
    <t>See n°1444</t>
  </si>
  <si>
    <t>1467CEA-22</t>
  </si>
  <si>
    <t>DE LA FROMAGERE</t>
  </si>
  <si>
    <t>1468EMC-22</t>
  </si>
  <si>
    <t>1469DIJ-22</t>
  </si>
  <si>
    <t>Coup de chaleur, Sécheresse</t>
  </si>
  <si>
    <t>1470INT-22</t>
  </si>
  <si>
    <t>1471OCE-22</t>
  </si>
  <si>
    <t>1472VDG-22</t>
  </si>
  <si>
    <t>See n°1231</t>
  </si>
  <si>
    <t>See n°409</t>
  </si>
  <si>
    <t>See n°776</t>
  </si>
  <si>
    <t>1474VDG-22</t>
  </si>
  <si>
    <t>1475LUR-22</t>
  </si>
  <si>
    <t>Excès de températures, excès de températures</t>
  </si>
  <si>
    <t>1476LUR-22</t>
  </si>
  <si>
    <t>1477LUR-22</t>
  </si>
  <si>
    <t>BELLEVUE</t>
  </si>
  <si>
    <t>0143</t>
  </si>
  <si>
    <t>See n°1112</t>
  </si>
  <si>
    <t>See n°992</t>
  </si>
  <si>
    <t>1478CEA-22</t>
  </si>
  <si>
    <t>1479LUR-22</t>
  </si>
  <si>
    <t>BRET-DIBAT</t>
  </si>
  <si>
    <t>0179</t>
  </si>
  <si>
    <t>1480ALT-22</t>
  </si>
  <si>
    <t>DOUVILLE</t>
  </si>
  <si>
    <t>0819</t>
  </si>
  <si>
    <t>Excès de températures, coup de chaleur, sécheresse</t>
  </si>
  <si>
    <t>1481OCE-22</t>
  </si>
  <si>
    <t>1482VDG-22</t>
  </si>
  <si>
    <t>LAS PLANES</t>
  </si>
  <si>
    <t>0811</t>
  </si>
  <si>
    <t>1483OCE-22</t>
  </si>
  <si>
    <t>1484CEA-22</t>
  </si>
  <si>
    <t>1485NAT-22</t>
  </si>
  <si>
    <t>DES VERGUIS</t>
  </si>
  <si>
    <t>1486OCE-22</t>
  </si>
  <si>
    <t>1487LUR-22</t>
  </si>
  <si>
    <t>FORCADE</t>
  </si>
  <si>
    <t>0965</t>
  </si>
  <si>
    <t>1488AXE-22</t>
  </si>
  <si>
    <t>1489LUR-22</t>
  </si>
  <si>
    <t>1490LUR-22</t>
  </si>
  <si>
    <t>1491CEA-22</t>
  </si>
  <si>
    <t>Arrêté sécheresse, interdiction d'irrigué, sécheresse</t>
  </si>
  <si>
    <t>1492OCE-22</t>
  </si>
  <si>
    <t>1493LUR-22</t>
  </si>
  <si>
    <t>1494LUR-22</t>
  </si>
  <si>
    <t>VELLO</t>
  </si>
  <si>
    <t>0149</t>
  </si>
  <si>
    <t>1495OCE-22</t>
  </si>
  <si>
    <t>BERNARDEAU</t>
  </si>
  <si>
    <t>1496VDG-22</t>
  </si>
  <si>
    <t>1497LUR-22</t>
  </si>
  <si>
    <t>1498INT-22</t>
  </si>
  <si>
    <t>1499DIJ-22</t>
  </si>
  <si>
    <t>1500EMC-22</t>
  </si>
  <si>
    <t>1501OCE-22</t>
  </si>
  <si>
    <t>1502LUR-22</t>
  </si>
  <si>
    <t>1503LUR-22</t>
  </si>
  <si>
    <t>CASTAING</t>
  </si>
  <si>
    <t>0955</t>
  </si>
  <si>
    <t>1504OCE-22</t>
  </si>
  <si>
    <t>1505OCE-22</t>
  </si>
  <si>
    <t>1506DIJ-22</t>
  </si>
  <si>
    <t>1507CAP-22</t>
  </si>
  <si>
    <t>See n°1234</t>
  </si>
  <si>
    <t>1508VDG-22</t>
  </si>
  <si>
    <t>1509DIJ-22</t>
  </si>
  <si>
    <t>DE CHENOVE</t>
  </si>
  <si>
    <t>0552</t>
  </si>
  <si>
    <t>DEMOULIN</t>
  </si>
  <si>
    <t>1510DIJ-22</t>
  </si>
  <si>
    <t>0553</t>
  </si>
  <si>
    <t>1511OCE-22</t>
  </si>
  <si>
    <t>1512EMC-22</t>
  </si>
  <si>
    <t>1513VDG-22</t>
  </si>
  <si>
    <t>1514DIJ-22</t>
  </si>
  <si>
    <t>See n°767</t>
  </si>
  <si>
    <t>1515VDG-22</t>
  </si>
  <si>
    <t>1516LUR-22</t>
  </si>
  <si>
    <t>PELETACH</t>
  </si>
  <si>
    <t>0252</t>
  </si>
  <si>
    <t>1517LUR-22</t>
  </si>
  <si>
    <t>1518OCE-22</t>
  </si>
  <si>
    <t>1519ALT-22</t>
  </si>
  <si>
    <t>1520CEA-22</t>
  </si>
  <si>
    <t>1521OCE-22</t>
  </si>
  <si>
    <t>PERINET</t>
  </si>
  <si>
    <t>1522INT-22</t>
  </si>
  <si>
    <t>VIRCONDELET</t>
  </si>
  <si>
    <t>1523ALT-22</t>
  </si>
  <si>
    <t>FABRE</t>
  </si>
  <si>
    <t>0903</t>
  </si>
  <si>
    <t xml:space="preserve">Sécheresse, coup de chaleur  </t>
  </si>
  <si>
    <t>1524OCE-22</t>
  </si>
  <si>
    <t>1525OCE-22</t>
  </si>
  <si>
    <t>1526OCE-22</t>
  </si>
  <si>
    <t xml:space="preserve">1527INT-22 </t>
  </si>
  <si>
    <t>1528NAT-22</t>
  </si>
  <si>
    <t>TERRES DU SUD COOP</t>
  </si>
  <si>
    <t>See n°1396</t>
  </si>
  <si>
    <t>See n°549</t>
  </si>
  <si>
    <t>1529TDS-22</t>
  </si>
  <si>
    <t>DE LASTAILLADES</t>
  </si>
  <si>
    <t>1530AGR-22</t>
  </si>
  <si>
    <t>1531OCE-22</t>
  </si>
  <si>
    <t>1532HOU-22</t>
  </si>
  <si>
    <t>1533DIJ-22</t>
  </si>
  <si>
    <t>NEUGNOT</t>
  </si>
  <si>
    <t>0731</t>
  </si>
  <si>
    <t>1534DIJ-22</t>
  </si>
  <si>
    <t>1535VDG-22</t>
  </si>
  <si>
    <t>PANGRAZI</t>
  </si>
  <si>
    <t>1536INT-22</t>
  </si>
  <si>
    <t>1537VDG-22</t>
  </si>
  <si>
    <t>1538LUR-22</t>
  </si>
  <si>
    <t>1539EMC-22</t>
  </si>
  <si>
    <t>1540DIJ-22</t>
  </si>
  <si>
    <t>1541DIJ-22</t>
  </si>
  <si>
    <t>1542AXE-22</t>
  </si>
  <si>
    <t>1543NAT-22</t>
  </si>
  <si>
    <t>1544INT-22</t>
  </si>
  <si>
    <t>See n°988</t>
  </si>
  <si>
    <t>QUEUE DE L'ETANG</t>
  </si>
  <si>
    <t>See n°822</t>
  </si>
  <si>
    <t>VAN DEN BOSCH</t>
  </si>
  <si>
    <t>1545LUR-22</t>
  </si>
  <si>
    <t>HOURQUET</t>
  </si>
  <si>
    <t>0243</t>
  </si>
  <si>
    <t>1547VDG-22</t>
  </si>
  <si>
    <t>1548VDG-22</t>
  </si>
  <si>
    <t>1549VDG-22</t>
  </si>
  <si>
    <t>1550VDG-22</t>
  </si>
  <si>
    <t>1551VDG-22</t>
  </si>
  <si>
    <t>1552VDG-22</t>
  </si>
  <si>
    <t>1553VDG-22</t>
  </si>
  <si>
    <t>1554OCE-22</t>
  </si>
  <si>
    <t>1555DIJ-22</t>
  </si>
  <si>
    <t>1556LUR-22</t>
  </si>
  <si>
    <t>See n°1217</t>
  </si>
  <si>
    <t>See n°745</t>
  </si>
  <si>
    <t>See n°917</t>
  </si>
  <si>
    <t>See n°1223</t>
  </si>
  <si>
    <t>See n°941</t>
  </si>
  <si>
    <t>See n°568</t>
  </si>
  <si>
    <t>See n°1260</t>
  </si>
  <si>
    <t>See n°1037</t>
  </si>
  <si>
    <t>See n°659</t>
  </si>
  <si>
    <t>See n°557</t>
  </si>
  <si>
    <t>1557OCE-22</t>
  </si>
  <si>
    <t>LYNA</t>
  </si>
  <si>
    <t>1558OCE-22</t>
  </si>
  <si>
    <t>1559OCE-22</t>
  </si>
  <si>
    <t>LES BAUDRITS</t>
  </si>
  <si>
    <t>1560OCE-22</t>
  </si>
  <si>
    <t>1561INT-22</t>
  </si>
  <si>
    <t>BUGUET</t>
  </si>
  <si>
    <t>1562OCE-22</t>
  </si>
  <si>
    <t>TARTRE</t>
  </si>
  <si>
    <t>1563VDG-22</t>
  </si>
  <si>
    <t>1564AXE-22</t>
  </si>
  <si>
    <t>1565OCE-22</t>
  </si>
  <si>
    <t>1566OCE-22</t>
  </si>
  <si>
    <t>1567VDG-22</t>
  </si>
  <si>
    <t>Grêle, sécheresse, coup de chaleur</t>
  </si>
  <si>
    <t>See n°614</t>
  </si>
  <si>
    <t>See n°613</t>
  </si>
  <si>
    <t>1568INT-22</t>
  </si>
  <si>
    <t>BRUNNER DES CARRONS</t>
  </si>
  <si>
    <t>1569VDG-22</t>
  </si>
  <si>
    <t>1570OCE-22</t>
  </si>
  <si>
    <t>1571LUR-22</t>
  </si>
  <si>
    <t>MENDRIBIL</t>
  </si>
  <si>
    <t>0154</t>
  </si>
  <si>
    <t>1572OCE-22</t>
  </si>
  <si>
    <t>1573ALT-22</t>
  </si>
  <si>
    <t>1574OCE-22</t>
  </si>
  <si>
    <t>1575OCE-22</t>
  </si>
  <si>
    <t>DE VIEILLE ABBAYE</t>
  </si>
  <si>
    <t>1576LUR-22</t>
  </si>
  <si>
    <t>ALAIN HOURQUET</t>
  </si>
  <si>
    <t>0308</t>
  </si>
  <si>
    <t>See n°559</t>
  </si>
  <si>
    <t>See n°559/dept 82</t>
  </si>
  <si>
    <t>1577LUR-22</t>
  </si>
  <si>
    <t>1578OCE-22</t>
  </si>
  <si>
    <t>LA RALIERE</t>
  </si>
  <si>
    <t>1579INT-22</t>
  </si>
  <si>
    <t>1580VDG-22</t>
  </si>
  <si>
    <t>1581OCE-22</t>
  </si>
  <si>
    <t>1582LUR-22</t>
  </si>
  <si>
    <t>1583CAP-22</t>
  </si>
  <si>
    <t>1584CAP-22</t>
  </si>
  <si>
    <t>1585LUR-22</t>
  </si>
  <si>
    <t>MONJET</t>
  </si>
  <si>
    <t>0190</t>
  </si>
  <si>
    <t>1586DIJ-22</t>
  </si>
  <si>
    <t>CHEVALIER FRERES</t>
  </si>
  <si>
    <t>0765</t>
  </si>
  <si>
    <t>1587TDS-22</t>
  </si>
  <si>
    <t>NICOLAS LAINE</t>
  </si>
  <si>
    <t>0112</t>
  </si>
  <si>
    <t>See n°538</t>
  </si>
  <si>
    <t>See n°542</t>
  </si>
  <si>
    <t>See n°778</t>
  </si>
  <si>
    <t>1588DIJ-22</t>
  </si>
  <si>
    <t>1589DIJ-22</t>
  </si>
  <si>
    <t>1590INT-22</t>
  </si>
  <si>
    <t>ALLEMAND FREDERIC</t>
  </si>
  <si>
    <t>0738</t>
  </si>
  <si>
    <t>1591OCE-22</t>
  </si>
  <si>
    <t>1592LUR-22</t>
  </si>
  <si>
    <t>LAULHE</t>
  </si>
  <si>
    <t>0328</t>
  </si>
  <si>
    <t>1593DIJ-22</t>
  </si>
  <si>
    <t>DES GRANDES NOUES</t>
  </si>
  <si>
    <t>0523</t>
  </si>
  <si>
    <t>1594DIJ-22</t>
  </si>
  <si>
    <t>PHILISOT</t>
  </si>
  <si>
    <t>0545</t>
  </si>
  <si>
    <t>1595OCE-22</t>
  </si>
  <si>
    <t>1596VDG-22</t>
  </si>
  <si>
    <t>1597INT-22</t>
  </si>
  <si>
    <t>1598NAT-22</t>
  </si>
  <si>
    <t>1599CEA-22</t>
  </si>
  <si>
    <t>1602CAP-22</t>
  </si>
  <si>
    <t>1600OCE-22</t>
  </si>
  <si>
    <t>1601OCE-22</t>
  </si>
  <si>
    <t>1606LUR-22</t>
  </si>
  <si>
    <t>1603VDG-22</t>
  </si>
  <si>
    <t>1604INT-22</t>
  </si>
  <si>
    <t>1605AGR-22</t>
  </si>
  <si>
    <t>MENGUAL JEAN-LOUIS</t>
  </si>
  <si>
    <t>1607OCE-22</t>
  </si>
  <si>
    <t>1608LUR-22</t>
  </si>
  <si>
    <t>1609LUR-22</t>
  </si>
  <si>
    <t>DE TELOUZE</t>
  </si>
  <si>
    <t>0896</t>
  </si>
  <si>
    <t>1610DIJ-22</t>
  </si>
  <si>
    <t>1611OCE-22</t>
  </si>
  <si>
    <t>1613DIJ-22</t>
  </si>
  <si>
    <t>LAUDET</t>
  </si>
  <si>
    <t>1612TDS-22</t>
  </si>
  <si>
    <t>1614INT-22</t>
  </si>
  <si>
    <t>1615OCE-22</t>
  </si>
  <si>
    <t>1616AXE-22</t>
  </si>
  <si>
    <t>PILON</t>
  </si>
  <si>
    <t>0795</t>
  </si>
  <si>
    <t>1617VDG-22</t>
  </si>
  <si>
    <t>1618SDA-22</t>
  </si>
  <si>
    <t>VETTORELLO</t>
  </si>
  <si>
    <t>1619AXE-22</t>
  </si>
  <si>
    <t>NOUVELLON</t>
  </si>
  <si>
    <t>0848</t>
  </si>
  <si>
    <t>1620OCE-22</t>
  </si>
  <si>
    <t>1621INT-22</t>
  </si>
  <si>
    <t>1623DIJ-22</t>
  </si>
  <si>
    <t>1624LUR-22</t>
  </si>
  <si>
    <t>LACASSAGNE</t>
  </si>
  <si>
    <t>0192</t>
  </si>
  <si>
    <t>1625INT-22</t>
  </si>
  <si>
    <t>1626OCE-22</t>
  </si>
  <si>
    <t>1627LUR-22</t>
  </si>
  <si>
    <t>1628VDG-22</t>
  </si>
  <si>
    <t>SABATHIER</t>
  </si>
  <si>
    <t>1629VDG-22</t>
  </si>
  <si>
    <t>1630VDG-22</t>
  </si>
  <si>
    <t>BARON CEDRIC</t>
  </si>
  <si>
    <t>See n°1073</t>
  </si>
  <si>
    <t>See n°1200</t>
  </si>
  <si>
    <t>See below</t>
  </si>
  <si>
    <t>See n°773</t>
  </si>
  <si>
    <t>See n°563</t>
  </si>
  <si>
    <t>See n°1281</t>
  </si>
  <si>
    <t>See n°1238</t>
  </si>
  <si>
    <t>See n°652</t>
  </si>
  <si>
    <t>See n°277</t>
  </si>
  <si>
    <t>See n°1475</t>
  </si>
  <si>
    <t>See n°1549</t>
  </si>
  <si>
    <t>See n°1567</t>
  </si>
  <si>
    <t>1631OCE-22</t>
  </si>
  <si>
    <t>1632OCE-22</t>
  </si>
  <si>
    <t>1633OCE-22</t>
  </si>
  <si>
    <t>1634EMC-22</t>
  </si>
  <si>
    <t>DES SEPT FONTAINES</t>
  </si>
  <si>
    <t>1635OCE-22</t>
  </si>
  <si>
    <t>1636EMC-22</t>
  </si>
  <si>
    <t>L'OREE DES CHAMPS</t>
  </si>
  <si>
    <t>1637VDG-22</t>
  </si>
  <si>
    <t>1638LUR-22</t>
  </si>
  <si>
    <t>1639LUR-22</t>
  </si>
  <si>
    <t>0276</t>
  </si>
  <si>
    <t>PARDISIENNE</t>
  </si>
  <si>
    <t>1640OCE-22</t>
  </si>
  <si>
    <t>1641LUR-22</t>
  </si>
  <si>
    <t>COTTON</t>
  </si>
  <si>
    <t>0348</t>
  </si>
  <si>
    <t>1642AGR-22</t>
  </si>
  <si>
    <t>MOGNI</t>
  </si>
  <si>
    <t>0300</t>
  </si>
  <si>
    <t>Coup de chaleur, arrêté sécheresse, interdiction d'irrigué</t>
  </si>
  <si>
    <t>1643EMC-22</t>
  </si>
  <si>
    <t>DU ROND POIRIER</t>
  </si>
  <si>
    <t>0426</t>
  </si>
  <si>
    <t>1644OCE-22</t>
  </si>
  <si>
    <t>1645LUR-22</t>
  </si>
  <si>
    <t>1646VDG-22</t>
  </si>
  <si>
    <t>See n°1412</t>
  </si>
  <si>
    <t>1647LUR-22</t>
  </si>
  <si>
    <t>1648OCE-22</t>
  </si>
  <si>
    <t>FEYTOUT</t>
  </si>
  <si>
    <t>1649HOU-22</t>
  </si>
  <si>
    <t>1650OCE-22</t>
  </si>
  <si>
    <t>1651DIJ-22</t>
  </si>
  <si>
    <t>1652OCE-22</t>
  </si>
  <si>
    <t>1653DIJ-22</t>
  </si>
  <si>
    <t>1654VDG-22</t>
  </si>
  <si>
    <t>1655OCE-22</t>
  </si>
  <si>
    <t>1656VDG-22</t>
  </si>
  <si>
    <t>See n°577</t>
  </si>
  <si>
    <t>1657INT-22</t>
  </si>
  <si>
    <t>DE LA GRIFFONNIERE</t>
  </si>
  <si>
    <t>1658OCE-22</t>
  </si>
  <si>
    <t>1659DIJ-22</t>
  </si>
  <si>
    <t>1660OCE-22</t>
  </si>
  <si>
    <t>1661OCE-22</t>
  </si>
  <si>
    <t>PINEAU</t>
  </si>
  <si>
    <t>1662SDA-22</t>
  </si>
  <si>
    <t>1663DIJ-22</t>
  </si>
  <si>
    <t>1664LUR-22</t>
  </si>
  <si>
    <t>LAJUS</t>
  </si>
  <si>
    <t>0189</t>
  </si>
  <si>
    <t>1665OCE-22</t>
  </si>
  <si>
    <t>1666OCE-22</t>
  </si>
  <si>
    <t>L'EMARIERE</t>
  </si>
  <si>
    <t>1667LUR-22</t>
  </si>
  <si>
    <t>FARDIEL</t>
  </si>
  <si>
    <t>0310</t>
  </si>
  <si>
    <t>1668OCE-22</t>
  </si>
  <si>
    <t>1669OCE-22</t>
  </si>
  <si>
    <t>AUDURIER</t>
  </si>
  <si>
    <t>0611</t>
  </si>
  <si>
    <t>See n°1579</t>
  </si>
  <si>
    <t>See n°1597</t>
  </si>
  <si>
    <t>1670DIJ-22</t>
  </si>
  <si>
    <t>LERAT</t>
  </si>
  <si>
    <t>0478</t>
  </si>
  <si>
    <t>1671OCE-22</t>
  </si>
  <si>
    <t>See n°607</t>
  </si>
  <si>
    <t>1672LUR-22</t>
  </si>
  <si>
    <t>AGRISOL</t>
  </si>
  <si>
    <t>0325</t>
  </si>
  <si>
    <t>1673LUR-22</t>
  </si>
  <si>
    <t>1674LUR-22</t>
  </si>
  <si>
    <t>1675MAT-22</t>
  </si>
  <si>
    <t>BACH ET FILS</t>
  </si>
  <si>
    <t>1676MAT-22</t>
  </si>
  <si>
    <t>THOMAS BACH</t>
  </si>
  <si>
    <t>Excès de températures, arrêté sécheresse, interdiction d'irrigué</t>
  </si>
  <si>
    <t>1677OCE-22</t>
  </si>
  <si>
    <t>1678VDG-22</t>
  </si>
  <si>
    <t>DE LA BOUPATERE</t>
  </si>
  <si>
    <t>1679EMC-22</t>
  </si>
  <si>
    <t>1680EMC-22</t>
  </si>
  <si>
    <t>DE LA DOUCE PRAIRIE</t>
  </si>
  <si>
    <t>0589</t>
  </si>
  <si>
    <t>Seventh Payment 15/08/2022</t>
  </si>
  <si>
    <t>1681OCE-22</t>
  </si>
  <si>
    <t>1682VDG-22</t>
  </si>
  <si>
    <t>1683DIJ-22</t>
  </si>
  <si>
    <t>1684OCE-22</t>
  </si>
  <si>
    <t>1685LUR-22</t>
  </si>
  <si>
    <t>DE BANNIERES</t>
  </si>
  <si>
    <t>0622</t>
  </si>
  <si>
    <t>1686EMC-22</t>
  </si>
  <si>
    <t>1690OCE-22</t>
  </si>
  <si>
    <t>1691OCE-22</t>
  </si>
  <si>
    <t>1687OCE-22</t>
  </si>
  <si>
    <t>1688OCE-22</t>
  </si>
  <si>
    <t>1689OCE-22</t>
  </si>
  <si>
    <t>1692OGR-22</t>
  </si>
  <si>
    <t>1693LUR-22</t>
  </si>
  <si>
    <t>1694OCE-22</t>
  </si>
  <si>
    <t>1695MAT-22</t>
  </si>
  <si>
    <t>1696OCE-22</t>
  </si>
  <si>
    <t>1697TDS-22</t>
  </si>
  <si>
    <t>1698EMC-22</t>
  </si>
  <si>
    <t>SAINT MARTIN DE LORRAINE</t>
  </si>
  <si>
    <t>1699EMC-22</t>
  </si>
  <si>
    <t>SAINT PIERRE</t>
  </si>
  <si>
    <t>0790</t>
  </si>
  <si>
    <t>1700LUR-22</t>
  </si>
  <si>
    <t>1701DIJ-22</t>
  </si>
  <si>
    <t>1702OCE-22</t>
  </si>
  <si>
    <t>1703DIJ-22</t>
  </si>
  <si>
    <t>1704LUR-22</t>
  </si>
  <si>
    <t>GESTAS</t>
  </si>
  <si>
    <t>1705SDA-22</t>
  </si>
  <si>
    <t>BOGAERTS</t>
  </si>
  <si>
    <t>1706LUR-22</t>
  </si>
  <si>
    <t>LANGLES</t>
  </si>
  <si>
    <t>0146</t>
  </si>
  <si>
    <t>1707OCE-22</t>
  </si>
  <si>
    <t>1761OCE-22</t>
  </si>
  <si>
    <t>1708OCE-22</t>
  </si>
  <si>
    <t>1709SDA-22</t>
  </si>
  <si>
    <t>FAUGERE</t>
  </si>
  <si>
    <t>Excès de température</t>
  </si>
  <si>
    <t>1710INT-22</t>
  </si>
  <si>
    <t>DU PRE CHENY</t>
  </si>
  <si>
    <t>1711LUR-22</t>
  </si>
  <si>
    <t>1712LUR-22</t>
  </si>
  <si>
    <t>MaÏs waxy non irrigué</t>
  </si>
  <si>
    <t>1713OCE-22</t>
  </si>
  <si>
    <t>Sécheresse, Arrêté sécheresse, interdiction d'irrigué</t>
  </si>
  <si>
    <t>1714OCE-22</t>
  </si>
  <si>
    <t>1715INT-22</t>
  </si>
  <si>
    <t>1716CPL-22</t>
  </si>
  <si>
    <t>RIVES</t>
  </si>
  <si>
    <t>1717OCE-22</t>
  </si>
  <si>
    <t>DE LA GRELIERE</t>
  </si>
  <si>
    <t>1718OCE-22</t>
  </si>
  <si>
    <t>1719OCE-22</t>
  </si>
  <si>
    <t>1720LUR-22</t>
  </si>
  <si>
    <t>1721VDG-22</t>
  </si>
  <si>
    <t>1722OCE-22</t>
  </si>
  <si>
    <t>1723JAL-22</t>
  </si>
  <si>
    <t>LE BRAS DE L'HOMME</t>
  </si>
  <si>
    <t>0101</t>
  </si>
  <si>
    <t>ETS JALADI</t>
  </si>
  <si>
    <t>1724EMC-22</t>
  </si>
  <si>
    <t>1725OCE-22</t>
  </si>
  <si>
    <t>1726LUR-22</t>
  </si>
  <si>
    <t>MANIORT</t>
  </si>
  <si>
    <t>0195</t>
  </si>
  <si>
    <t>1727VDG-22</t>
  </si>
  <si>
    <t>DE SAINT TROUGNAN</t>
  </si>
  <si>
    <t>1728VDG-22</t>
  </si>
  <si>
    <t>1729LUR-22</t>
  </si>
  <si>
    <t>1730VDG-22</t>
  </si>
  <si>
    <t>1731LUR-22</t>
  </si>
  <si>
    <t>1732VDG-22</t>
  </si>
  <si>
    <t>1733VDG-22</t>
  </si>
  <si>
    <t>1734EMC-22</t>
  </si>
  <si>
    <t>1735OCE-22</t>
  </si>
  <si>
    <t>1736LUR-22</t>
  </si>
  <si>
    <t>1737OCE-22</t>
  </si>
  <si>
    <t>1738VDG-22</t>
  </si>
  <si>
    <t>1739AXE-22</t>
  </si>
  <si>
    <t>1740DIJ-22</t>
  </si>
  <si>
    <t>1741LUR-22</t>
  </si>
  <si>
    <t>1742OCE-22</t>
  </si>
  <si>
    <t>LA MARJOLAINE</t>
  </si>
  <si>
    <t>1743LUR-22</t>
  </si>
  <si>
    <t>1744TDS-22</t>
  </si>
  <si>
    <t>LYS DE VERGNE</t>
  </si>
  <si>
    <t>1745OCE-22</t>
  </si>
  <si>
    <t>FITY</t>
  </si>
  <si>
    <t>1746ALT-22</t>
  </si>
  <si>
    <t>1747TDS-22</t>
  </si>
  <si>
    <t>SEBASTIEN MERCIER</t>
  </si>
  <si>
    <t>1748VDG-22</t>
  </si>
  <si>
    <t>DE BEOURIS</t>
  </si>
  <si>
    <t>0693</t>
  </si>
  <si>
    <t>1749VDG-22</t>
  </si>
  <si>
    <t>1750NAT-22</t>
  </si>
  <si>
    <t>1751LUR-22</t>
  </si>
  <si>
    <t>1752LUR-22</t>
  </si>
  <si>
    <t>1753INT-22</t>
  </si>
  <si>
    <t>1754CEA-22</t>
  </si>
  <si>
    <t>1755VDG-22</t>
  </si>
  <si>
    <t>Arrêté sécheresse, interdiction d'irrigué, grêle</t>
  </si>
  <si>
    <t>1756VDG-22</t>
  </si>
  <si>
    <t>1757LUR-22</t>
  </si>
  <si>
    <t>1758LUR-22</t>
  </si>
  <si>
    <t>1759VDG-22</t>
  </si>
  <si>
    <t>RAMOUNEDA</t>
  </si>
  <si>
    <t>1760DIJ-22</t>
  </si>
  <si>
    <t>1762EMC-22</t>
  </si>
  <si>
    <t>1763VER-22</t>
  </si>
  <si>
    <t>SAUSSINE THIERRY</t>
  </si>
  <si>
    <t>0941</t>
  </si>
  <si>
    <t>1764LUR-22</t>
  </si>
  <si>
    <t>ARROUZE</t>
  </si>
  <si>
    <t>0284</t>
  </si>
  <si>
    <t>1765DIJ-22</t>
  </si>
  <si>
    <t>1766DIJ-22</t>
  </si>
  <si>
    <t>1117DIJ-22</t>
  </si>
  <si>
    <t>1767LUR-22</t>
  </si>
  <si>
    <t>LAGUERRE</t>
  </si>
  <si>
    <t>0360</t>
  </si>
  <si>
    <t>1768VER-22</t>
  </si>
  <si>
    <t>MARUEGE</t>
  </si>
  <si>
    <t>0881</t>
  </si>
  <si>
    <t>1769LUR-22</t>
  </si>
  <si>
    <t>BAILLENX</t>
  </si>
  <si>
    <t>0257</t>
  </si>
  <si>
    <t>1770INT-22</t>
  </si>
  <si>
    <t>DE LA BRENNE</t>
  </si>
  <si>
    <t>1771OCE-22</t>
  </si>
  <si>
    <t>1772NAT-22</t>
  </si>
  <si>
    <t>LESUEUR</t>
  </si>
  <si>
    <t>1773DIJ-22</t>
  </si>
  <si>
    <t>Eight Payment 15/09/2022</t>
  </si>
  <si>
    <t>See n°1723</t>
  </si>
  <si>
    <t>1622JAL-22</t>
  </si>
  <si>
    <t>See n°588</t>
  </si>
  <si>
    <t>See n°1067</t>
  </si>
  <si>
    <t>See n°1064</t>
  </si>
  <si>
    <t>MARTIN F</t>
  </si>
  <si>
    <t>DAVIAUD S</t>
  </si>
  <si>
    <t>1783OCE-22</t>
  </si>
  <si>
    <t>1784OCE-22</t>
  </si>
  <si>
    <t>1785ALT-22</t>
  </si>
  <si>
    <t>1786EMC-22</t>
  </si>
  <si>
    <t>1789ALT-22</t>
  </si>
  <si>
    <t>1774INT-22</t>
  </si>
  <si>
    <t>BORNIER LOIS</t>
  </si>
  <si>
    <t>1775INT-22</t>
  </si>
  <si>
    <t>1776OCE-22</t>
  </si>
  <si>
    <t>1777SDA-22</t>
  </si>
  <si>
    <t>GOUDELIN</t>
  </si>
  <si>
    <t>1778LUR-22</t>
  </si>
  <si>
    <t>CDROMAT</t>
  </si>
  <si>
    <t>0952</t>
  </si>
  <si>
    <t>1779OCE-22</t>
  </si>
  <si>
    <t>1780LUR-22</t>
  </si>
  <si>
    <t>VAISSIERE</t>
  </si>
  <si>
    <t>1781OCE-22</t>
  </si>
  <si>
    <t>1782OCE-22</t>
  </si>
  <si>
    <t>GUIET CLEMENT</t>
  </si>
  <si>
    <t>0356</t>
  </si>
  <si>
    <t>1791OCE-22</t>
  </si>
  <si>
    <t>SAULET</t>
  </si>
  <si>
    <t>1787LUR-22</t>
  </si>
  <si>
    <t>LACOUR</t>
  </si>
  <si>
    <t>0240</t>
  </si>
  <si>
    <t>Arrêté sécheresse, interdiction d'irrigué, excès de températures</t>
  </si>
  <si>
    <t>1788LUR-22</t>
  </si>
  <si>
    <t>DU LAC</t>
  </si>
  <si>
    <t>0966</t>
  </si>
  <si>
    <t>1790LUR-22</t>
  </si>
  <si>
    <t>GALLINARO</t>
  </si>
  <si>
    <t>See n°1677</t>
  </si>
  <si>
    <t>1792DIJ-22</t>
  </si>
  <si>
    <t>1793OCE-22</t>
  </si>
  <si>
    <t>1794AGR-22</t>
  </si>
  <si>
    <t>1795AGR-22</t>
  </si>
  <si>
    <t>1796ALT-22</t>
  </si>
  <si>
    <t>1797ALT-22</t>
  </si>
  <si>
    <t>DU BROUSSEAU</t>
  </si>
  <si>
    <t>0646</t>
  </si>
  <si>
    <t>1798DIJ-22</t>
  </si>
  <si>
    <t>1799TDS-22</t>
  </si>
  <si>
    <t>1800LUR-22</t>
  </si>
  <si>
    <t>DOMECQ</t>
  </si>
  <si>
    <t>0990</t>
  </si>
  <si>
    <t>See n° 1398</t>
  </si>
  <si>
    <t>See n° 1411</t>
  </si>
  <si>
    <t>See n° 1717</t>
  </si>
  <si>
    <t>1801VDG-22</t>
  </si>
  <si>
    <t>1802LUR-22</t>
  </si>
  <si>
    <t>1803ALT-22</t>
  </si>
  <si>
    <t>DE L'EPINAY</t>
  </si>
  <si>
    <t>1804LUR-22</t>
  </si>
  <si>
    <t>Maïs non irrigué</t>
  </si>
  <si>
    <t>0953</t>
  </si>
  <si>
    <t>See n°581</t>
  </si>
  <si>
    <t>See n°440</t>
  </si>
  <si>
    <t>See n°697</t>
  </si>
  <si>
    <t>See n°1055</t>
  </si>
  <si>
    <t>See n°499</t>
  </si>
  <si>
    <t>Seen°1164</t>
  </si>
  <si>
    <t>EARL MAL</t>
  </si>
  <si>
    <t>1805OCE-22</t>
  </si>
  <si>
    <t>1806OCE-22</t>
  </si>
  <si>
    <t>LAGARDE</t>
  </si>
  <si>
    <t>1807OGR-22</t>
  </si>
  <si>
    <t>1808OGR-22</t>
  </si>
  <si>
    <t>1810INT-22</t>
  </si>
  <si>
    <t>1811OCE-22</t>
  </si>
  <si>
    <t>1812VDG-22</t>
  </si>
  <si>
    <t>1809LUR-22</t>
  </si>
  <si>
    <t>POUYT</t>
  </si>
  <si>
    <t>0205</t>
  </si>
  <si>
    <t>See n°1209</t>
  </si>
  <si>
    <t>1813AXE-22</t>
  </si>
  <si>
    <t>LE BOIS RACINE</t>
  </si>
  <si>
    <t>1814LUR-22</t>
  </si>
  <si>
    <t>CASTAGNET</t>
  </si>
  <si>
    <t>0962</t>
  </si>
  <si>
    <t>1815LUR-22</t>
  </si>
  <si>
    <t>MATOT</t>
  </si>
  <si>
    <t>0288</t>
  </si>
  <si>
    <t>1816DIJ-22</t>
  </si>
  <si>
    <t>1817VDG-22</t>
  </si>
  <si>
    <t>DE GIMAT</t>
  </si>
  <si>
    <t>0364</t>
  </si>
  <si>
    <t>1818VDG-22</t>
  </si>
  <si>
    <t>CAILLAVET</t>
  </si>
  <si>
    <t>0363</t>
  </si>
  <si>
    <t>1819LUR-22</t>
  </si>
  <si>
    <t>DU PEYRON</t>
  </si>
  <si>
    <t>0997</t>
  </si>
  <si>
    <t>1820LUR-22</t>
  </si>
  <si>
    <t>1821DIJ-22</t>
  </si>
  <si>
    <t>1822LUR-22</t>
  </si>
  <si>
    <t>FARDET</t>
  </si>
  <si>
    <t>0219</t>
  </si>
  <si>
    <t>1823DIJ -22</t>
  </si>
  <si>
    <t>1824LUR-22</t>
  </si>
  <si>
    <t>1825VDG-22</t>
  </si>
  <si>
    <t>1826LUR-22</t>
  </si>
  <si>
    <t>CAPBOSCQ</t>
  </si>
  <si>
    <t>0263</t>
  </si>
  <si>
    <t>1827LUR-22</t>
  </si>
  <si>
    <t>MARTINOU</t>
  </si>
  <si>
    <t>0341</t>
  </si>
  <si>
    <t>1828SDA-22</t>
  </si>
  <si>
    <t>DE LIAUROU</t>
  </si>
  <si>
    <t>1829LUR-22</t>
  </si>
  <si>
    <t>LASCASSIES</t>
  </si>
  <si>
    <t>0352</t>
  </si>
  <si>
    <t>1830LUR-22</t>
  </si>
  <si>
    <t>1831LUR-22</t>
  </si>
  <si>
    <t>1832OCE-22</t>
  </si>
  <si>
    <t>1833OCE-22</t>
  </si>
  <si>
    <t>See n°984</t>
  </si>
  <si>
    <t>See n°1625</t>
  </si>
  <si>
    <t>1834OCE-22</t>
  </si>
  <si>
    <t>1835ALT-22</t>
  </si>
  <si>
    <t>Coup de vent, tempête</t>
  </si>
  <si>
    <t>1836OCE-22</t>
  </si>
  <si>
    <t>PIGNON</t>
  </si>
  <si>
    <t>1837LUR-22</t>
  </si>
  <si>
    <t>CASSE</t>
  </si>
  <si>
    <t>0354</t>
  </si>
  <si>
    <t>1838TDS-22</t>
  </si>
  <si>
    <t>1839INT-22</t>
  </si>
  <si>
    <t>1840LUR-22</t>
  </si>
  <si>
    <t>Tempête, coup de vent</t>
  </si>
  <si>
    <t>1841EMC-22</t>
  </si>
  <si>
    <t>FRANCOIS CEDRIC</t>
  </si>
  <si>
    <t>0441</t>
  </si>
  <si>
    <t>1842LUR-22</t>
  </si>
  <si>
    <t>Tempête, pluies violentes, orageuses, torrentielles</t>
  </si>
  <si>
    <t>1843AGR-22</t>
  </si>
  <si>
    <t>1844AGR-22</t>
  </si>
  <si>
    <t>1845LUR-22</t>
  </si>
  <si>
    <t>1846VDG-22</t>
  </si>
  <si>
    <t>1847LUR-22</t>
  </si>
  <si>
    <t>1848NAT-22</t>
  </si>
  <si>
    <t>1849LUR-22</t>
  </si>
  <si>
    <t>BOUHEBENT</t>
  </si>
  <si>
    <t>0201</t>
  </si>
  <si>
    <t>1850LUR-22</t>
  </si>
  <si>
    <t>1851VDG-22</t>
  </si>
  <si>
    <t>Tempête, Pluies violentes, orageuses, torrentielles</t>
  </si>
  <si>
    <t>1852LUR-22</t>
  </si>
  <si>
    <t>LAUCEFA</t>
  </si>
  <si>
    <t>0929</t>
  </si>
  <si>
    <t>Sécheresse, tempête</t>
  </si>
  <si>
    <t>1853LUR-22</t>
  </si>
  <si>
    <t xml:space="preserve">LUR BERRI </t>
  </si>
  <si>
    <t>1854LUR-22</t>
  </si>
  <si>
    <t>1855LUR-22</t>
  </si>
  <si>
    <t>1856LUR-22</t>
  </si>
  <si>
    <t>1857LUR-22</t>
  </si>
  <si>
    <t>1858LUR-22</t>
  </si>
  <si>
    <t xml:space="preserve">  clos</t>
  </si>
  <si>
    <t>See n°925</t>
  </si>
  <si>
    <t>1859NAT-22</t>
  </si>
  <si>
    <t>1860LUR-22</t>
  </si>
  <si>
    <t>1861LUR-22</t>
  </si>
  <si>
    <t>1862LUR-22</t>
  </si>
  <si>
    <t>1863LUR-22</t>
  </si>
  <si>
    <t>MALHERBE</t>
  </si>
  <si>
    <t>0931</t>
  </si>
  <si>
    <t>1864ALT-22</t>
  </si>
  <si>
    <t>EMILE BLANC</t>
  </si>
  <si>
    <t>0861</t>
  </si>
  <si>
    <t>See n°1206</t>
  </si>
  <si>
    <t>Coup de vent, arrêté sécheresse, interdiction d'irrigué</t>
  </si>
  <si>
    <t>0853NAT-22</t>
  </si>
  <si>
    <t>1334NAT-22</t>
  </si>
  <si>
    <t>See n°796</t>
  </si>
  <si>
    <t>1865LUR-22</t>
  </si>
  <si>
    <t>1866LUR-22</t>
  </si>
  <si>
    <t>1867LUR-22</t>
  </si>
  <si>
    <t>1868OCE-22</t>
  </si>
  <si>
    <t>1869LUR-22</t>
  </si>
  <si>
    <t>BAYLOCQ</t>
  </si>
  <si>
    <t>0337</t>
  </si>
  <si>
    <t>1870LUR-22</t>
  </si>
  <si>
    <t>1871VDG-22</t>
  </si>
  <si>
    <t>DESPAX</t>
  </si>
  <si>
    <t>0798</t>
  </si>
  <si>
    <t>1872LUR-22</t>
  </si>
  <si>
    <t>1873LUR-22</t>
  </si>
  <si>
    <t>1874LUR-22</t>
  </si>
  <si>
    <t>1875CPA-22</t>
  </si>
  <si>
    <t>FUMET</t>
  </si>
  <si>
    <t>1876LUR-22</t>
  </si>
  <si>
    <t>CHRISTIAN ARNAUD</t>
  </si>
  <si>
    <t>0358</t>
  </si>
  <si>
    <t>1877DIJ-22</t>
  </si>
  <si>
    <t>GUENIFFEY</t>
  </si>
  <si>
    <t>0654</t>
  </si>
  <si>
    <t>See n°1233</t>
  </si>
  <si>
    <t>See n°1043</t>
  </si>
  <si>
    <t>See n°967</t>
  </si>
  <si>
    <t>1878LUR-22</t>
  </si>
  <si>
    <t>1879AXE-22</t>
  </si>
  <si>
    <t>1880AGR-22</t>
  </si>
  <si>
    <t>1881LUR-22</t>
  </si>
  <si>
    <t>1882TDS-22</t>
  </si>
  <si>
    <t>BAZZOLI</t>
  </si>
  <si>
    <t>1883LUR-22</t>
  </si>
  <si>
    <t>DU BIELLE</t>
  </si>
  <si>
    <t>0768</t>
  </si>
  <si>
    <t>1884LUR-22</t>
  </si>
  <si>
    <t>1885LUR-22</t>
  </si>
  <si>
    <t>1886LUR-22</t>
  </si>
  <si>
    <t>1887LUR-22</t>
  </si>
  <si>
    <t>1888LUR-22</t>
  </si>
  <si>
    <t>1889LUR-22</t>
  </si>
  <si>
    <t>1890LUR-22</t>
  </si>
  <si>
    <t>1891LUR-22</t>
  </si>
  <si>
    <t>1892LUR-22</t>
  </si>
  <si>
    <t>CUYALA PROVENCE</t>
  </si>
  <si>
    <t>0296</t>
  </si>
  <si>
    <t>1893LUR-22</t>
  </si>
  <si>
    <t>1894LUR-22</t>
  </si>
  <si>
    <t>1895INT-22</t>
  </si>
  <si>
    <t>1896LUR-22</t>
  </si>
  <si>
    <t>1897LUR-22</t>
  </si>
  <si>
    <t>1898TDS-22</t>
  </si>
  <si>
    <t>1899VDG-22</t>
  </si>
  <si>
    <t>1900NAT-22</t>
  </si>
  <si>
    <t>HAUT BRAY</t>
  </si>
  <si>
    <t>1901LUR-22</t>
  </si>
  <si>
    <t>1902LUR-22</t>
  </si>
  <si>
    <t>1903LUR-22</t>
  </si>
  <si>
    <t>1904LUR-22</t>
  </si>
  <si>
    <t>0339</t>
  </si>
  <si>
    <t>1905LUR-22</t>
  </si>
  <si>
    <t>CHRISTOPHE LASCASSIES</t>
  </si>
  <si>
    <t>See n°1249</t>
  </si>
  <si>
    <t>See n°1156</t>
  </si>
  <si>
    <t>See n°1052</t>
  </si>
  <si>
    <t>1906OCE-22</t>
  </si>
  <si>
    <t>1907LUR-22</t>
  </si>
  <si>
    <t>BIAK BAT</t>
  </si>
  <si>
    <t>0217</t>
  </si>
  <si>
    <t>1908LUR-22</t>
  </si>
  <si>
    <t>1909LUR-22</t>
  </si>
  <si>
    <t>1910LUR-22</t>
  </si>
  <si>
    <t>1911LUR-22</t>
  </si>
  <si>
    <t>DUBOSC ELEVAGE</t>
  </si>
  <si>
    <t>Sécheresse, Coup de vent</t>
  </si>
  <si>
    <t>1912LUR-22</t>
  </si>
  <si>
    <t>1913LUR-22</t>
  </si>
  <si>
    <t>BEAUME</t>
  </si>
  <si>
    <t>0344</t>
  </si>
  <si>
    <t>1914LUR-22</t>
  </si>
  <si>
    <t>1915LUR-22</t>
  </si>
  <si>
    <t>1916LUR-22</t>
  </si>
  <si>
    <t>1917LUR-22</t>
  </si>
  <si>
    <t>1918LUR-22</t>
  </si>
  <si>
    <t>1919SEV-22</t>
  </si>
  <si>
    <t>AGRI ATLANTIQUE</t>
  </si>
  <si>
    <t>0832</t>
  </si>
  <si>
    <t>1920LUR-22</t>
  </si>
  <si>
    <t>1921OCE-22</t>
  </si>
  <si>
    <t>MOULIN JOLI</t>
  </si>
  <si>
    <t>0640</t>
  </si>
  <si>
    <t>See n°874</t>
  </si>
  <si>
    <t>See n°1227</t>
  </si>
  <si>
    <t>See n°435</t>
  </si>
  <si>
    <t>0881OCE-22</t>
  </si>
  <si>
    <t>1473OCE-22</t>
  </si>
  <si>
    <t>1922OCE-22</t>
  </si>
  <si>
    <t>1923SEV-22</t>
  </si>
  <si>
    <t>1924INT-22</t>
  </si>
  <si>
    <t>DE LA VILLENEUVE</t>
  </si>
  <si>
    <t>1925OCE-22</t>
  </si>
  <si>
    <t>1926OCE-22</t>
  </si>
  <si>
    <t>1927VDG-22</t>
  </si>
  <si>
    <t>1928VDG-22</t>
  </si>
  <si>
    <t>1929ALT-22</t>
  </si>
  <si>
    <t>1930INT-22</t>
  </si>
  <si>
    <t>HAUT DE VILLERS</t>
  </si>
  <si>
    <t>FOURCADE STEPHANE</t>
  </si>
  <si>
    <t>FOURCADE FLORENT</t>
  </si>
  <si>
    <t>1931ALL-22</t>
  </si>
  <si>
    <t>ISLE ET SORNAY</t>
  </si>
  <si>
    <t>0764</t>
  </si>
  <si>
    <t>1932VDG-22</t>
  </si>
  <si>
    <t>1933ALT-22</t>
  </si>
  <si>
    <t>DU BLANC BATON</t>
  </si>
  <si>
    <t>1934CEA-22</t>
  </si>
  <si>
    <t>1935DIJ-22</t>
  </si>
  <si>
    <t>1936OCE-22</t>
  </si>
  <si>
    <t>DE LABROUSSE</t>
  </si>
  <si>
    <t>1937INT-22</t>
  </si>
  <si>
    <t>See n°1855</t>
  </si>
  <si>
    <t>See n°1711</t>
  </si>
  <si>
    <t>See n°1135</t>
  </si>
  <si>
    <t>See n°1601</t>
  </si>
  <si>
    <t>See n°387</t>
  </si>
  <si>
    <t>See n°1441</t>
  </si>
  <si>
    <t>See n°1013</t>
  </si>
  <si>
    <t>1938OCE-22</t>
  </si>
  <si>
    <t>1939ALT-22</t>
  </si>
  <si>
    <t>1940DIJ-22</t>
  </si>
  <si>
    <t>DUGIED</t>
  </si>
  <si>
    <t>0528</t>
  </si>
  <si>
    <t>1941VDG-22</t>
  </si>
  <si>
    <t>1942VDG-22</t>
  </si>
  <si>
    <t>1943VDG-22</t>
  </si>
  <si>
    <t>1944VDG-22</t>
  </si>
  <si>
    <t>1945VDG-22</t>
  </si>
  <si>
    <t>1946ALL-22</t>
  </si>
  <si>
    <t>1947DIJ-22</t>
  </si>
  <si>
    <t>See n°986</t>
  </si>
  <si>
    <t>1948OCE-22</t>
  </si>
  <si>
    <t>GAEC DE LA GARENNE</t>
  </si>
  <si>
    <t>See n°1035</t>
  </si>
  <si>
    <t>See n°1271</t>
  </si>
  <si>
    <t>See n°1802</t>
  </si>
  <si>
    <t>See n°421</t>
  </si>
  <si>
    <t>See n°1536</t>
  </si>
  <si>
    <t>1949OCE-22</t>
  </si>
  <si>
    <t>1950OCE-22</t>
  </si>
  <si>
    <t>1951LUR-22</t>
  </si>
  <si>
    <t>LAFFITEAU</t>
  </si>
  <si>
    <t>0558</t>
  </si>
  <si>
    <t>See n°1149</t>
  </si>
  <si>
    <t>1952LUR-22</t>
  </si>
  <si>
    <t>1953INT-22</t>
  </si>
  <si>
    <t>1954VDG-22</t>
  </si>
  <si>
    <t>PHILIPPE CLAUDE</t>
  </si>
  <si>
    <t>0715</t>
  </si>
  <si>
    <t>1955INT-22</t>
  </si>
  <si>
    <t>ROLLIN GAEC</t>
  </si>
  <si>
    <t>See n°1270</t>
  </si>
  <si>
    <t>IMPASSE DES ABREUVOIRS</t>
  </si>
  <si>
    <t>GUYARD CHRISTIAN</t>
  </si>
  <si>
    <t>See n°1519</t>
  </si>
  <si>
    <t>1956EMC-22</t>
  </si>
  <si>
    <t>1957INT-22</t>
  </si>
  <si>
    <t>1958LUR-22</t>
  </si>
  <si>
    <t>1959VDG-22</t>
  </si>
  <si>
    <t>1960VDG-22</t>
  </si>
  <si>
    <t>1961AXE-22</t>
  </si>
  <si>
    <t>1962AXE-22</t>
  </si>
  <si>
    <t>GAEC DES BRUYERES</t>
  </si>
  <si>
    <t>1963VDG-22</t>
  </si>
  <si>
    <t>1964VDG-22</t>
  </si>
  <si>
    <t>1965LUR-22</t>
  </si>
  <si>
    <t>1966OCE-22</t>
  </si>
  <si>
    <t>1967LUR-22</t>
  </si>
  <si>
    <t>1968VDG-22</t>
  </si>
  <si>
    <t>LABARTHASSE</t>
  </si>
  <si>
    <t>1969VDG-22</t>
  </si>
  <si>
    <t>Nine Payment
15/10/2022</t>
  </si>
  <si>
    <t>See n°1158</t>
  </si>
  <si>
    <t>See n° 1952</t>
  </si>
  <si>
    <t>See n° 1905</t>
  </si>
  <si>
    <t>1970LUR-22</t>
  </si>
  <si>
    <t>PIZEL</t>
  </si>
  <si>
    <t>1972OCE-22</t>
  </si>
  <si>
    <t>DORET</t>
  </si>
  <si>
    <t>1973DIJ-22</t>
  </si>
  <si>
    <t>1974LUR-22</t>
  </si>
  <si>
    <t>1975OCE-22</t>
  </si>
  <si>
    <t>BREILLAD</t>
  </si>
  <si>
    <t>1976SDA-22</t>
  </si>
  <si>
    <t>1977LUR-22</t>
  </si>
  <si>
    <t>L'ESCOU</t>
  </si>
  <si>
    <t>0365</t>
  </si>
  <si>
    <t>0921VDG-22</t>
  </si>
  <si>
    <t>1971EMC-22</t>
  </si>
  <si>
    <t>Déjà payé 3 568,73 € au 15/08/22</t>
  </si>
  <si>
    <t>1978VDG-22</t>
  </si>
  <si>
    <t>1979LUR-22</t>
  </si>
  <si>
    <t>Coup de soleil, excès de températures</t>
  </si>
  <si>
    <t>1980INT-22</t>
  </si>
  <si>
    <t>1981LUR-22</t>
  </si>
  <si>
    <t>DAHETZE</t>
  </si>
  <si>
    <t>0349</t>
  </si>
  <si>
    <t>1982ALT-22</t>
  </si>
  <si>
    <t>CHATEAU DE CAMARSAC</t>
  </si>
  <si>
    <t>0921</t>
  </si>
  <si>
    <t>1983LUR-22</t>
  </si>
  <si>
    <t>1984VDG-22</t>
  </si>
  <si>
    <t>1985LUR-22</t>
  </si>
  <si>
    <t>1986DIJ-22</t>
  </si>
  <si>
    <t>CHATEAU DE ROSIERES</t>
  </si>
  <si>
    <t>0625</t>
  </si>
  <si>
    <t>Sécheresse,coup de vent</t>
  </si>
  <si>
    <t>1987LUR-22</t>
  </si>
  <si>
    <t>Excès de températures, tempête</t>
  </si>
  <si>
    <t>See n°1205</t>
  </si>
  <si>
    <t>See n°817</t>
  </si>
  <si>
    <t>See n°1584</t>
  </si>
  <si>
    <t>See n°797</t>
  </si>
  <si>
    <t>See n°596</t>
  </si>
  <si>
    <t>See n°696</t>
  </si>
  <si>
    <t>See n°850</t>
  </si>
  <si>
    <t>See n°836</t>
  </si>
  <si>
    <t>See n°670</t>
  </si>
  <si>
    <t>See n°1568 dept 70</t>
  </si>
  <si>
    <t>See n°1235</t>
  </si>
  <si>
    <t>x</t>
  </si>
  <si>
    <t>See n°359</t>
  </si>
  <si>
    <t>See n°933</t>
  </si>
  <si>
    <t>See n°1537</t>
  </si>
  <si>
    <t>See n°1116</t>
  </si>
  <si>
    <t>See n°1222</t>
  </si>
  <si>
    <t>See n°634</t>
  </si>
  <si>
    <t>See n°638</t>
  </si>
  <si>
    <t>See n°1033</t>
  </si>
  <si>
    <t>See n°1143</t>
  </si>
  <si>
    <t>See n°1118</t>
  </si>
  <si>
    <t>See n°1885</t>
  </si>
  <si>
    <t>See n°1290</t>
  </si>
  <si>
    <t>See n°500</t>
  </si>
  <si>
    <t>1988LUR-22</t>
  </si>
  <si>
    <t>Total = 7076,06 (-6510,65-57,51 versés en V7)</t>
  </si>
  <si>
    <t>See n°1979</t>
  </si>
  <si>
    <t>1989DIJ-22</t>
  </si>
  <si>
    <t>c</t>
  </si>
  <si>
    <t>voir 1708OCE</t>
  </si>
  <si>
    <t>see n°1069</t>
  </si>
  <si>
    <t>D'EMBARRAQUE</t>
  </si>
  <si>
    <t>1990LUR-22</t>
  </si>
  <si>
    <t>1991LUR-22</t>
  </si>
  <si>
    <t>CABANNE</t>
  </si>
  <si>
    <t>0960</t>
  </si>
  <si>
    <t>Seen n°841</t>
  </si>
  <si>
    <t>Déjà payé 1945,03 € au 15/09/22</t>
  </si>
  <si>
    <t>See n°1538</t>
  </si>
  <si>
    <t>See n°616</t>
  </si>
  <si>
    <t xml:space="preserve"> </t>
  </si>
  <si>
    <t>1992CEA-22</t>
  </si>
  <si>
    <t>Tenth Payment
15/11/2022</t>
  </si>
  <si>
    <t>1 593,35€ Payé en Surplus, après BL reçu en V10 I =3 096,60€</t>
  </si>
  <si>
    <t>2 614,55€ Payé en Surplus, après BL reçu en V10 I=0</t>
  </si>
  <si>
    <t>V10, I = 14 840,01€ - 2 614,55€ (surplus COLZA V6) - 1 593, 35€ (surplus ORGE H V6) = 10 632,11€</t>
  </si>
  <si>
    <t>1993LUR-22</t>
  </si>
  <si>
    <t>ODDE</t>
  </si>
  <si>
    <t>0991</t>
  </si>
  <si>
    <t>See n° 1781</t>
  </si>
  <si>
    <t>See n° 1002</t>
  </si>
  <si>
    <t>See n° 1914</t>
  </si>
  <si>
    <t>See n° 1914  dept64</t>
  </si>
  <si>
    <t>See n°623</t>
  </si>
  <si>
    <t>See n°980</t>
  </si>
  <si>
    <t>Indemnity 16 and 17</t>
  </si>
  <si>
    <t>Eleventh Payment
15/12/2022</t>
  </si>
  <si>
    <t>1994AXE-22</t>
  </si>
  <si>
    <t>MARY</t>
  </si>
  <si>
    <t>0632</t>
  </si>
  <si>
    <t>1995DIJ-22</t>
  </si>
  <si>
    <t>GRANDS EPIS</t>
  </si>
  <si>
    <t>0761</t>
  </si>
  <si>
    <t xml:space="preserve"> Réel 33355,55-2919,30 trop versé blé T</t>
  </si>
  <si>
    <t>Déjà payé OCT 5 655,10€</t>
  </si>
  <si>
    <t>1996OCE-22</t>
  </si>
  <si>
    <t>Excès d'humidité, coup de vent</t>
  </si>
  <si>
    <t>LA BERTHONNIERE</t>
  </si>
  <si>
    <t>annutation 2160€ versés 2 fois/Aline</t>
  </si>
  <si>
    <t>complément COLZA 4 123,62€</t>
  </si>
  <si>
    <t>complément mais GNI</t>
  </si>
  <si>
    <t>paid in excess =&gt;</t>
  </si>
  <si>
    <t>Dejà versée 1869,21</t>
  </si>
  <si>
    <t>déjà payé 3542,20 - 21 528,49= 17 986,29€</t>
  </si>
  <si>
    <t>1546EMC-22</t>
  </si>
  <si>
    <t>-</t>
  </si>
  <si>
    <t xml:space="preserve">  See n° 1741</t>
  </si>
  <si>
    <t>See n° 1202</t>
  </si>
  <si>
    <t>Twelfth Payment 15/01/2023</t>
  </si>
  <si>
    <t>Thirteenth Payment15/02/2023</t>
  </si>
  <si>
    <t>Fourteenth Payment 15/03/2023</t>
  </si>
  <si>
    <t>Fifteenth Payment 15/04/2023</t>
  </si>
  <si>
    <t>Sixteenth Payment 15/06/2023</t>
  </si>
  <si>
    <t>Seventeenth Payment 15/07/2023</t>
  </si>
  <si>
    <t>Eighteenth Payment 15/08/2023</t>
  </si>
  <si>
    <t>Nineteenth Payment 15/09/2023</t>
  </si>
  <si>
    <t>Twentieth Payment 15/11/2023</t>
  </si>
  <si>
    <t>Twenty-first Payment 15/02/2024</t>
  </si>
  <si>
    <t>Culture</t>
  </si>
  <si>
    <t>Somme assurée</t>
  </si>
  <si>
    <t>Somme indemnisée</t>
  </si>
  <si>
    <t>Surface assurée</t>
  </si>
  <si>
    <t>Surface touchée</t>
  </si>
  <si>
    <t>Pourcentage somme touchée</t>
  </si>
  <si>
    <t>Pourcentage surface touchée</t>
  </si>
  <si>
    <t>Étiquettes de lignes</t>
  </si>
  <si>
    <t>Total général</t>
  </si>
  <si>
    <t>Moyenne de Pourcentage somme touchée</t>
  </si>
  <si>
    <t>Moyenne de Pourcentage surface touchée</t>
  </si>
  <si>
    <t>Somme assurée dans les sinistres</t>
  </si>
  <si>
    <t>Surface assurée dans les sinistres</t>
  </si>
  <si>
    <t>Surface indemnisée</t>
  </si>
  <si>
    <t>Indemnités/Sommes assurées</t>
  </si>
  <si>
    <t>Indemnité/Somme assurée dans les sinistres</t>
  </si>
  <si>
    <t>Surface indemnisée/Surface assurée</t>
  </si>
  <si>
    <t>Date d'effet</t>
  </si>
  <si>
    <t xml:space="preserve">Coopérative </t>
  </si>
  <si>
    <t>Département</t>
  </si>
  <si>
    <t>REGION</t>
  </si>
  <si>
    <t>Assuré</t>
  </si>
  <si>
    <t>Contract category</t>
  </si>
  <si>
    <t>Renewal - New contract</t>
  </si>
  <si>
    <t>Contrat d'Assurance</t>
  </si>
  <si>
    <t xml:space="preserve">N° PACAGE </t>
  </si>
  <si>
    <t>Franchise</t>
  </si>
  <si>
    <t>Seasonality</t>
  </si>
  <si>
    <t>Sum Insured (€)</t>
  </si>
  <si>
    <t>Insured acreage (ha)</t>
  </si>
  <si>
    <t xml:space="preserve">Rendement (t/ha) </t>
  </si>
  <si>
    <t>Prix assuré (€/t)</t>
  </si>
  <si>
    <t>PREMIUM (€)</t>
  </si>
  <si>
    <t>Prime Subventionnable N1</t>
  </si>
  <si>
    <t>Prime Subventionnable N2</t>
  </si>
  <si>
    <t>Prime Subventionnable N3</t>
  </si>
  <si>
    <t>Modifié le</t>
  </si>
  <si>
    <t>Dordogne</t>
  </si>
  <si>
    <t>Nouvelle Aquitaine</t>
  </si>
  <si>
    <t>MONDOUT</t>
  </si>
  <si>
    <t>Arable - MPCI</t>
  </si>
  <si>
    <t>SI22BI026004276-0</t>
  </si>
  <si>
    <t>024037224</t>
  </si>
  <si>
    <t>SPRING CROPS</t>
  </si>
  <si>
    <t>Haute-Marne</t>
  </si>
  <si>
    <t>Grand-Est</t>
  </si>
  <si>
    <t>GAEC DU TILLET</t>
  </si>
  <si>
    <t>SIGC220190000645-2</t>
  </si>
  <si>
    <t>052001735</t>
  </si>
  <si>
    <t>Nievre</t>
  </si>
  <si>
    <t>Bourgogne-Franche-Comté</t>
  </si>
  <si>
    <t>GAEC MAULLAULT</t>
  </si>
  <si>
    <t>SI22BI053004025-1</t>
  </si>
  <si>
    <t>058021210</t>
  </si>
  <si>
    <t>DIJON Céréales</t>
  </si>
  <si>
    <t>Cote-d'Or</t>
  </si>
  <si>
    <t>SCEA CHEVALIER FRERES</t>
  </si>
  <si>
    <t>New Contract</t>
  </si>
  <si>
    <t>SIGC220560000765-2</t>
  </si>
  <si>
    <t>021011293</t>
  </si>
  <si>
    <t>DUPAQUIER RENE EARL</t>
  </si>
  <si>
    <t>SIGC220560000820-2</t>
  </si>
  <si>
    <t>021154734</t>
  </si>
  <si>
    <t>janick marty</t>
  </si>
  <si>
    <t>SI22BI026004560-3</t>
  </si>
  <si>
    <t>024010915</t>
  </si>
  <si>
    <t>Gers</t>
  </si>
  <si>
    <t>Occitanie</t>
  </si>
  <si>
    <t>EARL DUGROS christophe</t>
  </si>
  <si>
    <t>SIGC220270000825-2</t>
  </si>
  <si>
    <t>032165378</t>
  </si>
  <si>
    <t>Meuse</t>
  </si>
  <si>
    <t>GAEC SAINT PIERRE</t>
  </si>
  <si>
    <t>SIGC220190000790-3</t>
  </si>
  <si>
    <t>055008656</t>
  </si>
  <si>
    <t>BARRAUD FLORIAN</t>
  </si>
  <si>
    <t>SI22BI026003734-1</t>
  </si>
  <si>
    <t>024033902</t>
  </si>
  <si>
    <t>BERILLE EARL</t>
  </si>
  <si>
    <t>SIGC220560000733-2</t>
  </si>
  <si>
    <t>021010669</t>
  </si>
  <si>
    <t>Yonne</t>
  </si>
  <si>
    <t>bretagne  benjamin</t>
  </si>
  <si>
    <t>SIGC220560000727-2</t>
  </si>
  <si>
    <t>089163802</t>
  </si>
  <si>
    <t>EARL ROSSELIN</t>
  </si>
  <si>
    <t>SIGC220560000810-2</t>
  </si>
  <si>
    <t>021154117</t>
  </si>
  <si>
    <t>SCEA WOLSZCZAK</t>
  </si>
  <si>
    <t>SIGC220320000742-2</t>
  </si>
  <si>
    <t>032170262</t>
  </si>
  <si>
    <t>EARL DU CHAMP ROUGET</t>
  </si>
  <si>
    <t>SIGC220190000647-2</t>
  </si>
  <si>
    <t>052000236</t>
  </si>
  <si>
    <t>chevalier  philippe</t>
  </si>
  <si>
    <t>Arable - HAIL</t>
  </si>
  <si>
    <t>SIGC220560000915-1</t>
  </si>
  <si>
    <t>021005118</t>
  </si>
  <si>
    <t>SI22BI018003695-2</t>
  </si>
  <si>
    <t>052012030</t>
  </si>
  <si>
    <t>Vienne</t>
  </si>
  <si>
    <t>earl la taupelle</t>
  </si>
  <si>
    <t>SI22BI026003966-1</t>
  </si>
  <si>
    <t>086015908</t>
  </si>
  <si>
    <t>EARL DE CHENOVE</t>
  </si>
  <si>
    <t>SIGC220560000552-1</t>
  </si>
  <si>
    <t>021999999</t>
  </si>
  <si>
    <t>GAEC PREVOTAT</t>
  </si>
  <si>
    <t>SIGC220560000830-1</t>
  </si>
  <si>
    <t>021160563</t>
  </si>
  <si>
    <t xml:space="preserve">Avoine de printemps BIO </t>
  </si>
  <si>
    <t>Charente-Maritime</t>
  </si>
  <si>
    <t>poulailleau eric</t>
  </si>
  <si>
    <t>SIGC220140000748-5</t>
  </si>
  <si>
    <t>017161051</t>
  </si>
  <si>
    <t>Axel THEVENET</t>
  </si>
  <si>
    <t>SI22BI026004601-5</t>
  </si>
  <si>
    <t>086158982</t>
  </si>
  <si>
    <t>Haute-Saone</t>
  </si>
  <si>
    <t>SIGC220200000738-1</t>
  </si>
  <si>
    <t>070001707</t>
  </si>
  <si>
    <t>Charente</t>
  </si>
  <si>
    <t>Franck GOURDIEN</t>
  </si>
  <si>
    <t>SI22BI026004617-1</t>
  </si>
  <si>
    <t>016162985</t>
  </si>
  <si>
    <t>WINTER CROPS</t>
  </si>
  <si>
    <t>Haute-Garonne</t>
  </si>
  <si>
    <t>Sebastien SANSAS</t>
  </si>
  <si>
    <t>SI22BI032004102-2</t>
  </si>
  <si>
    <t>031155909</t>
  </si>
  <si>
    <t>Eure</t>
  </si>
  <si>
    <t>Normandie</t>
  </si>
  <si>
    <t>EARL des Epillets</t>
  </si>
  <si>
    <t>SI22BI025004472-2</t>
  </si>
  <si>
    <t>027161911</t>
  </si>
  <si>
    <t>SCEA DES DEUX RUISSEAUX</t>
  </si>
  <si>
    <t>SI22BI026003788-2</t>
  </si>
  <si>
    <t>086164225</t>
  </si>
  <si>
    <t>SCEA PORT REAL</t>
  </si>
  <si>
    <t>SI22BI027004161-2</t>
  </si>
  <si>
    <t>032169114</t>
  </si>
  <si>
    <t>SI22BI026003643-2</t>
  </si>
  <si>
    <t>086157031</t>
  </si>
  <si>
    <t>SCEA LUCOTTE JEAN MARC</t>
  </si>
  <si>
    <t>SIGC220560000754-2</t>
  </si>
  <si>
    <t>021158049</t>
  </si>
  <si>
    <t>SI22BI026003733-2</t>
  </si>
  <si>
    <t>016164094</t>
  </si>
  <si>
    <t>SI22BI026004416-2</t>
  </si>
  <si>
    <t>086163018</t>
  </si>
  <si>
    <t>Haute-Vienne</t>
  </si>
  <si>
    <t>gaec de legonie</t>
  </si>
  <si>
    <t>SI22BI026004351-3</t>
  </si>
  <si>
    <t>087022530</t>
  </si>
  <si>
    <t>EARL DE LABROUSSE</t>
  </si>
  <si>
    <t>SI22BI026004154-1</t>
  </si>
  <si>
    <t>016166377</t>
  </si>
  <si>
    <t>OLIVIER RAINAUD</t>
  </si>
  <si>
    <t>SI22BI026004216-3</t>
  </si>
  <si>
    <t>016162211</t>
  </si>
  <si>
    <t>EARL De La Bonnieure</t>
  </si>
  <si>
    <t>SI22BI026003912-1</t>
  </si>
  <si>
    <t>016162130</t>
  </si>
  <si>
    <t>ABADIE GERARD</t>
  </si>
  <si>
    <t>SIGC220320000667-1</t>
  </si>
  <si>
    <t>031004378</t>
  </si>
  <si>
    <t>SI22BI026003627-4</t>
  </si>
  <si>
    <t>086015229</t>
  </si>
  <si>
    <t>Deux-Sèvres</t>
  </si>
  <si>
    <t>SIGC220260000594-2</t>
  </si>
  <si>
    <t>079153553</t>
  </si>
  <si>
    <t>SI22BI026003629-3</t>
  </si>
  <si>
    <t>086163461</t>
  </si>
  <si>
    <t>gerard rouvreau</t>
  </si>
  <si>
    <t>SI22BI026003864-2</t>
  </si>
  <si>
    <t>079003762</t>
  </si>
  <si>
    <t>DESBORDES J-F</t>
  </si>
  <si>
    <t>SI22BI026003644-3</t>
  </si>
  <si>
    <t>086162366</t>
  </si>
  <si>
    <t>SI22BI026003895-3</t>
  </si>
  <si>
    <t>017012529</t>
  </si>
  <si>
    <t>Calvados</t>
  </si>
  <si>
    <t>SI22BI005004463-3</t>
  </si>
  <si>
    <t>014030251</t>
  </si>
  <si>
    <t>GAEC GUENEAU FRERES</t>
  </si>
  <si>
    <t>SIGC220560000683-2</t>
  </si>
  <si>
    <t>021007512</t>
  </si>
  <si>
    <t>GAEC DES FONTENOIS</t>
  </si>
  <si>
    <t>SIGC220560000524-5</t>
  </si>
  <si>
    <t>021156878</t>
  </si>
  <si>
    <t>SI22BI026003584-3</t>
  </si>
  <si>
    <t>016164016</t>
  </si>
  <si>
    <t>guillaume lhugnot</t>
  </si>
  <si>
    <t>SI22BI053004446-2</t>
  </si>
  <si>
    <t>058020407</t>
  </si>
  <si>
    <t>SI22BI026003731-3</t>
  </si>
  <si>
    <t>086159878</t>
  </si>
  <si>
    <t>guerin charles</t>
  </si>
  <si>
    <t>SIGC220560001016-1</t>
  </si>
  <si>
    <t>021002656</t>
  </si>
  <si>
    <t>arnaud geneteix</t>
  </si>
  <si>
    <t>SI22BI026004236-2</t>
  </si>
  <si>
    <t>087022166</t>
  </si>
  <si>
    <t>GAUVIN TEDDY</t>
  </si>
  <si>
    <t>SI22BI026003606-2</t>
  </si>
  <si>
    <t>086164329</t>
  </si>
  <si>
    <t>SCEA PATRICK RIOTTE</t>
  </si>
  <si>
    <t>SIGC220560000662-3</t>
  </si>
  <si>
    <t>089004696</t>
  </si>
  <si>
    <t>marie laurence marais</t>
  </si>
  <si>
    <t>SI22BI026003855-2</t>
  </si>
  <si>
    <t>017168425</t>
  </si>
  <si>
    <t>GAEC DE VIEILLE ABBAYE</t>
  </si>
  <si>
    <t>SI22BI026004496-1</t>
  </si>
  <si>
    <t>024010470</t>
  </si>
  <si>
    <t>scea pasanpeine</t>
  </si>
  <si>
    <t>SIGC220260000597-3</t>
  </si>
  <si>
    <t>017012541</t>
  </si>
  <si>
    <t>Stephanie Rollin</t>
  </si>
  <si>
    <t>SI22BI026004164-2</t>
  </si>
  <si>
    <t>086160839</t>
  </si>
  <si>
    <t>Indre</t>
  </si>
  <si>
    <t>Centre-Val-de-Loire</t>
  </si>
  <si>
    <t>DES GRANDS MAS</t>
  </si>
  <si>
    <t>SI22BI026003611-1</t>
  </si>
  <si>
    <t>036160699</t>
  </si>
  <si>
    <t>EARL DU CAP DE LA PLANTE</t>
  </si>
  <si>
    <t>SI22BI032004532-1</t>
  </si>
  <si>
    <t>032167545</t>
  </si>
  <si>
    <t>SI22BI029003532-1</t>
  </si>
  <si>
    <t>079156541</t>
  </si>
  <si>
    <t>earl l'arcanade</t>
  </si>
  <si>
    <t>SI22BI026004114-1</t>
  </si>
  <si>
    <t>079155226</t>
  </si>
  <si>
    <t>GINDREY JEAN LOUIS</t>
  </si>
  <si>
    <t>SIGC220560000607-1</t>
  </si>
  <si>
    <t>021005000</t>
  </si>
  <si>
    <t>CLOS DES SERVRES</t>
  </si>
  <si>
    <t>SIGC220260000616-1</t>
  </si>
  <si>
    <t>016166366</t>
  </si>
  <si>
    <t>calvez Alexandre</t>
  </si>
  <si>
    <t>SI22BI026004357-2</t>
  </si>
  <si>
    <t>016167470</t>
  </si>
  <si>
    <t>DAUBAN REMI</t>
  </si>
  <si>
    <t>SIGC220320000710-1</t>
  </si>
  <si>
    <t>032165759</t>
  </si>
  <si>
    <t>clerc bertrand</t>
  </si>
  <si>
    <t>SIGC220560000468-1</t>
  </si>
  <si>
    <t>021007599</t>
  </si>
  <si>
    <t>NICOLAUD Philippe</t>
  </si>
  <si>
    <t>SIGC220260000537-1</t>
  </si>
  <si>
    <t>087010044</t>
  </si>
  <si>
    <t>SI22BI026004336-1</t>
  </si>
  <si>
    <t>016161683</t>
  </si>
  <si>
    <t>EARL ROCHE -CORTOT</t>
  </si>
  <si>
    <t>SIGC220560000515-1</t>
  </si>
  <si>
    <t>021159099</t>
  </si>
  <si>
    <t>EARL DE COTELOGNE</t>
  </si>
  <si>
    <t>SIGC220560000516-1</t>
  </si>
  <si>
    <t>021159846</t>
  </si>
  <si>
    <t>EARL DES VIGNES</t>
  </si>
  <si>
    <t>SIGC220560000684-2</t>
  </si>
  <si>
    <t>021010772</t>
  </si>
  <si>
    <t>Avoine d'hiver semences</t>
  </si>
  <si>
    <t>SIGC220290000639-2</t>
  </si>
  <si>
    <t>079161478</t>
  </si>
  <si>
    <t>SIGC220260000573-2</t>
  </si>
  <si>
    <t>079155429</t>
  </si>
  <si>
    <t>Jura</t>
  </si>
  <si>
    <t>SI22BI020003748-12</t>
  </si>
  <si>
    <t>039155836</t>
  </si>
  <si>
    <t>SI22BI053004437-1</t>
  </si>
  <si>
    <t>058007983</t>
  </si>
  <si>
    <t>Seine-Maritime</t>
  </si>
  <si>
    <t>SI22BI025003522-2</t>
  </si>
  <si>
    <t>076166020</t>
  </si>
  <si>
    <t>Essonne</t>
  </si>
  <si>
    <t>Ile-de-France</t>
  </si>
  <si>
    <t>SI22BI053004182-2</t>
  </si>
  <si>
    <t>091003650</t>
  </si>
  <si>
    <t>Eure-et-Loir</t>
  </si>
  <si>
    <t>SI22BI025004349-3</t>
  </si>
  <si>
    <t>028003956</t>
  </si>
  <si>
    <t>Covec</t>
  </si>
  <si>
    <t>SI22BI025004312-4</t>
  </si>
  <si>
    <t>028003939</t>
  </si>
  <si>
    <t>Nord</t>
  </si>
  <si>
    <t>Hauts-de-France</t>
  </si>
  <si>
    <t>EARL MARCHEUX</t>
  </si>
  <si>
    <t>SI22BI005004450-2</t>
  </si>
  <si>
    <t>027160905</t>
  </si>
  <si>
    <t>SI22BI025003869-5</t>
  </si>
  <si>
    <t>027158907</t>
  </si>
  <si>
    <t>Marne</t>
  </si>
  <si>
    <t>EARL POUPART</t>
  </si>
  <si>
    <t>SIGC220050000592-2</t>
  </si>
  <si>
    <t>051003355</t>
  </si>
  <si>
    <t>Cyrille Delas</t>
  </si>
  <si>
    <t>SI22BI032004348-1</t>
  </si>
  <si>
    <t>031158210</t>
  </si>
  <si>
    <t>Mathieu GOURDAIN</t>
  </si>
  <si>
    <t>SI22BI032004423-1</t>
  </si>
  <si>
    <t>032165412</t>
  </si>
  <si>
    <t>Ariège</t>
  </si>
  <si>
    <t>GAEC de Barralet</t>
  </si>
  <si>
    <t>SI22BI013004279-1</t>
  </si>
  <si>
    <t>009007352</t>
  </si>
  <si>
    <t>laborde jean-Christophe</t>
  </si>
  <si>
    <t>SIGC220320000789-1</t>
  </si>
  <si>
    <t>032020562</t>
  </si>
  <si>
    <t>GAEC LAS PLANES</t>
  </si>
  <si>
    <t>SIGC220320000811-1</t>
  </si>
  <si>
    <t>031152343</t>
  </si>
  <si>
    <t>EARL TONIAZZO</t>
  </si>
  <si>
    <t>SI22BI032004074-3</t>
  </si>
  <si>
    <t>031012488</t>
  </si>
  <si>
    <t>EARL de l'émarière</t>
  </si>
  <si>
    <t>SI22BI026004515-1</t>
  </si>
  <si>
    <t>086161720</t>
  </si>
  <si>
    <t>MAURICE ALLARD</t>
  </si>
  <si>
    <t>SI22BI032004075-2</t>
  </si>
  <si>
    <t>032019702</t>
  </si>
  <si>
    <t>NATHALIE BARON</t>
  </si>
  <si>
    <t>SI22BI032004175-3</t>
  </si>
  <si>
    <t>031158890</t>
  </si>
  <si>
    <t>earl des ors</t>
  </si>
  <si>
    <t>SI22BI026004185-2</t>
  </si>
  <si>
    <t>079153899</t>
  </si>
  <si>
    <t>SI22BI014003512-2</t>
  </si>
  <si>
    <t>079016243</t>
  </si>
  <si>
    <t>scea des CHATAIGNIERS</t>
  </si>
  <si>
    <t>SI22BI026003797-2</t>
  </si>
  <si>
    <t>016158000</t>
  </si>
  <si>
    <t>Thierry BIRAN</t>
  </si>
  <si>
    <t>SI22BI032004228-2</t>
  </si>
  <si>
    <t>032158772</t>
  </si>
  <si>
    <t>Philippe REUZEAU</t>
  </si>
  <si>
    <t>SI22BI027004290-2</t>
  </si>
  <si>
    <t>032164335</t>
  </si>
  <si>
    <t>Boudeau Jeremy</t>
  </si>
  <si>
    <t>SIGC220260000506-4</t>
  </si>
  <si>
    <t>016166389</t>
  </si>
  <si>
    <t>Du Gros Poirier</t>
  </si>
  <si>
    <t>SI22BI026003857-2</t>
  </si>
  <si>
    <t>086006822</t>
  </si>
  <si>
    <t>SI22BI032004526-4</t>
  </si>
  <si>
    <t>032165297</t>
  </si>
  <si>
    <t>SI22BI026003578-4</t>
  </si>
  <si>
    <t>016164467</t>
  </si>
  <si>
    <t>SI22BI032004133-2</t>
  </si>
  <si>
    <t>031009911</t>
  </si>
  <si>
    <t>EARL Peraynes</t>
  </si>
  <si>
    <t>SI22BI032004621-1</t>
  </si>
  <si>
    <t>031157622</t>
  </si>
  <si>
    <t>ALAIN CASTEX</t>
  </si>
  <si>
    <t>SI22BI032003793-1</t>
  </si>
  <si>
    <t>032160282</t>
  </si>
  <si>
    <t>JOEL TOURNIER</t>
  </si>
  <si>
    <t>SI22BI032004254-1</t>
  </si>
  <si>
    <t>031159245</t>
  </si>
  <si>
    <t>EARL du garouilla</t>
  </si>
  <si>
    <t>SIGC220320000853-1</t>
  </si>
  <si>
    <t>032169479</t>
  </si>
  <si>
    <t>GFA DU DOMAINE DU PEYRA</t>
  </si>
  <si>
    <t>SIGC220320000855-1</t>
  </si>
  <si>
    <t>032165447</t>
  </si>
  <si>
    <t>EARL DE MAGNAN</t>
  </si>
  <si>
    <t>SIGC220320000685-1</t>
  </si>
  <si>
    <t>031011458</t>
  </si>
  <si>
    <t>zelicor aurelien</t>
  </si>
  <si>
    <t>SIGC220260000687-1</t>
  </si>
  <si>
    <t>016162555</t>
  </si>
  <si>
    <t>EARL D'EMBARRAQUE</t>
  </si>
  <si>
    <t>SIGC220320000665-1</t>
  </si>
  <si>
    <t>032166281</t>
  </si>
  <si>
    <t>SI22BI032004127-1</t>
  </si>
  <si>
    <t>031004408</t>
  </si>
  <si>
    <t>DARIO Pierre</t>
  </si>
  <si>
    <t>SIGC220320000669-1</t>
  </si>
  <si>
    <t>031157342</t>
  </si>
  <si>
    <t>EARL DE BEOURIS</t>
  </si>
  <si>
    <t>SIGC220320000693-1</t>
  </si>
  <si>
    <t>032169153</t>
  </si>
  <si>
    <t>Creuse</t>
  </si>
  <si>
    <t>Domaine de Relibert</t>
  </si>
  <si>
    <t>SI22BI026003916-2</t>
  </si>
  <si>
    <t>023020464</t>
  </si>
  <si>
    <t>OLIVIER BEROS</t>
  </si>
  <si>
    <t>SI22BI032004337-2</t>
  </si>
  <si>
    <t>032018870</t>
  </si>
  <si>
    <t>ARTICO FRANCIS</t>
  </si>
  <si>
    <t>SIGC220320000736-2</t>
  </si>
  <si>
    <t>031018272</t>
  </si>
  <si>
    <t>CEDRIC BARON</t>
  </si>
  <si>
    <t>SI22BI032004174-3</t>
  </si>
  <si>
    <t>031153682</t>
  </si>
  <si>
    <t>GAEC DU MUGUET</t>
  </si>
  <si>
    <t>SI22BI032003983-2</t>
  </si>
  <si>
    <t>031159300</t>
  </si>
  <si>
    <t>EARL DE LA PICHE</t>
  </si>
  <si>
    <t>SI22BI032004065-2</t>
  </si>
  <si>
    <t>031154204</t>
  </si>
  <si>
    <t>Philippe TREMBOWSKI</t>
  </si>
  <si>
    <t>SI22BI022003814-3</t>
  </si>
  <si>
    <t>031007229</t>
  </si>
  <si>
    <t>Tarn-et-Garonne</t>
  </si>
  <si>
    <t>Les Semades</t>
  </si>
  <si>
    <t>SI22BI022003628-5</t>
  </si>
  <si>
    <t>031155999</t>
  </si>
  <si>
    <t>LACROIX PIERRE</t>
  </si>
  <si>
    <t>SIGC220320000783-2</t>
  </si>
  <si>
    <t>031017235</t>
  </si>
  <si>
    <t>SI22BI014003516-4</t>
  </si>
  <si>
    <t>079008046</t>
  </si>
  <si>
    <t>EARL CAZAMAJOU</t>
  </si>
  <si>
    <t>SI22BI032004122-2</t>
  </si>
  <si>
    <t>031156757</t>
  </si>
  <si>
    <t>SI22BI032004522-2</t>
  </si>
  <si>
    <t>032020167</t>
  </si>
  <si>
    <t>gaec bouas</t>
  </si>
  <si>
    <t>SIGC220320000788-2</t>
  </si>
  <si>
    <t>031151215</t>
  </si>
  <si>
    <t>GAEC LABARTHASSE</t>
  </si>
  <si>
    <t>SI22BI032004445-1</t>
  </si>
  <si>
    <t>032020997</t>
  </si>
  <si>
    <t>PANGRAZI JEAN PIERRE</t>
  </si>
  <si>
    <t>SI22BI032004241-2</t>
  </si>
  <si>
    <t>032018547</t>
  </si>
  <si>
    <t>MANFRIN DENISE</t>
  </si>
  <si>
    <t>SIGC220320000502-2</t>
  </si>
  <si>
    <t>031157298</t>
  </si>
  <si>
    <t>EARL RIBAGET</t>
  </si>
  <si>
    <t>SI22BI032004051-2</t>
  </si>
  <si>
    <t>031157206</t>
  </si>
  <si>
    <t>GAEC BOIS COUTEAU</t>
  </si>
  <si>
    <t>SI22BI014004614-2</t>
  </si>
  <si>
    <t>079156830</t>
  </si>
  <si>
    <t>thierry couget</t>
  </si>
  <si>
    <t>SI22BI032004130-5</t>
  </si>
  <si>
    <t>031152840</t>
  </si>
  <si>
    <t>SCEA Moulin</t>
  </si>
  <si>
    <t>SI22BI032003917-3</t>
  </si>
  <si>
    <t>031160720</t>
  </si>
  <si>
    <t>Lot-et-Garonne</t>
  </si>
  <si>
    <t>SI22BI031003939-2</t>
  </si>
  <si>
    <t>047175987</t>
  </si>
  <si>
    <t>Loiret</t>
  </si>
  <si>
    <t>Rolland Jocelyn</t>
  </si>
  <si>
    <t>SI22BI0530000107-1</t>
  </si>
  <si>
    <t>045010269</t>
  </si>
  <si>
    <t>SIGC220320000856-1</t>
  </si>
  <si>
    <t>032167685</t>
  </si>
  <si>
    <t>POURTEAU Nathalie</t>
  </si>
  <si>
    <t>SIGC220320000775-1</t>
  </si>
  <si>
    <t>031158254</t>
  </si>
  <si>
    <t>mazzoleni patrice</t>
  </si>
  <si>
    <t>SIGC220320000745-1</t>
  </si>
  <si>
    <t>047010387</t>
  </si>
  <si>
    <t>GAEC DE LA PLAINE DE RIVIERE</t>
  </si>
  <si>
    <t>SIGC220320000774-1</t>
  </si>
  <si>
    <t>031000233</t>
  </si>
  <si>
    <t>Lafforgue Joel</t>
  </si>
  <si>
    <t>SIGC220320000762-1</t>
  </si>
  <si>
    <t>031004409</t>
  </si>
  <si>
    <t>SIGC220320000784-1</t>
  </si>
  <si>
    <t>031158381</t>
  </si>
  <si>
    <t>ERIC BUSOLLO</t>
  </si>
  <si>
    <t>SI22BI032004137-2</t>
  </si>
  <si>
    <t>031006385</t>
  </si>
  <si>
    <t>EARL MORVAN</t>
  </si>
  <si>
    <t>SI22BI032003951-1</t>
  </si>
  <si>
    <t>032158673</t>
  </si>
  <si>
    <t>EARL TAURIGNAN</t>
  </si>
  <si>
    <t>SI22BI032004150-1</t>
  </si>
  <si>
    <t>031151703</t>
  </si>
  <si>
    <t>BROUSSET  CHRISTIAN</t>
  </si>
  <si>
    <t>SIGC220320000617-1</t>
  </si>
  <si>
    <t>031013552</t>
  </si>
  <si>
    <t>Francine Dupouy</t>
  </si>
  <si>
    <t>SI22BI031004168-3</t>
  </si>
  <si>
    <t>047164451</t>
  </si>
  <si>
    <t>Cedric DOMEJEAN</t>
  </si>
  <si>
    <t>SI22BI032004096-1</t>
  </si>
  <si>
    <t>032168632</t>
  </si>
  <si>
    <t>GAEC DE NAUDON</t>
  </si>
  <si>
    <t>SI22BI032004181-1</t>
  </si>
  <si>
    <t>031159414</t>
  </si>
  <si>
    <t>SARL ST JEAN</t>
  </si>
  <si>
    <t>SI22BI032003922-1</t>
  </si>
  <si>
    <t>032000144</t>
  </si>
  <si>
    <t>EARL DE MATORE</t>
  </si>
  <si>
    <t>SIGC220320000743-1</t>
  </si>
  <si>
    <t>031152860</t>
  </si>
  <si>
    <t>EARL LES ALIOTS</t>
  </si>
  <si>
    <t>SI22BI032004376-2</t>
  </si>
  <si>
    <t>031013490</t>
  </si>
  <si>
    <t>SI22BI020003542-1</t>
  </si>
  <si>
    <t>039155337</t>
  </si>
  <si>
    <t>EARL GIORDA</t>
  </si>
  <si>
    <t>SI22BI032004179-2</t>
  </si>
  <si>
    <t>031018461</t>
  </si>
  <si>
    <t>SIGC220320000547-1</t>
  </si>
  <si>
    <t>031152802</t>
  </si>
  <si>
    <t>SI22BI032003528-1</t>
  </si>
  <si>
    <t>031006096</t>
  </si>
  <si>
    <t>nocart marie</t>
  </si>
  <si>
    <t>SIGC220320000564-1</t>
  </si>
  <si>
    <t>031160422</t>
  </si>
  <si>
    <t>Laurent ABADIE</t>
  </si>
  <si>
    <t>SIGC220320000504-2</t>
  </si>
  <si>
    <t>031156333</t>
  </si>
  <si>
    <t>SCEA FONTAINE</t>
  </si>
  <si>
    <t>SI22BI032004012-2</t>
  </si>
  <si>
    <t>031159936</t>
  </si>
  <si>
    <t>EARL DE LAVERAN</t>
  </si>
  <si>
    <t>SI22BI032004042-1</t>
  </si>
  <si>
    <t>031158370</t>
  </si>
  <si>
    <t>LACAZE BRICE</t>
  </si>
  <si>
    <t>SIGC220320000541-1</t>
  </si>
  <si>
    <t>031160179</t>
  </si>
  <si>
    <t>Indre-et-Loire</t>
  </si>
  <si>
    <t>FREDERIC CUVIER</t>
  </si>
  <si>
    <t>SI22BI004004495-2</t>
  </si>
  <si>
    <t>037157846</t>
  </si>
  <si>
    <t>earl des vallées</t>
  </si>
  <si>
    <t>SI22BI026003565-1</t>
  </si>
  <si>
    <t>079016655</t>
  </si>
  <si>
    <t>SI22BI026003568-1</t>
  </si>
  <si>
    <t>017007867</t>
  </si>
  <si>
    <t>Pascal Metge</t>
  </si>
  <si>
    <t>SI22BI032004090-0</t>
  </si>
  <si>
    <t>031154226</t>
  </si>
  <si>
    <t>SCEA DEPREZ</t>
  </si>
  <si>
    <t>SI22BI026004383-0</t>
  </si>
  <si>
    <t>024005563</t>
  </si>
  <si>
    <t>SI22BI026004568-0</t>
  </si>
  <si>
    <t>017161073</t>
  </si>
  <si>
    <t>EARL LA BACHOULETTE</t>
  </si>
  <si>
    <t>SI22BI032004055-0</t>
  </si>
  <si>
    <t>031158234</t>
  </si>
  <si>
    <t>Allier</t>
  </si>
  <si>
    <t>Auvergne-Rhône-Alpes</t>
  </si>
  <si>
    <t>SI22BI004004352-0</t>
  </si>
  <si>
    <t>003013011</t>
  </si>
  <si>
    <t>EARL LES COTEAUX DE LOIRE</t>
  </si>
  <si>
    <t>SI22BI026004475-1</t>
  </si>
  <si>
    <t>017158423</t>
  </si>
  <si>
    <t>EARL LYNA</t>
  </si>
  <si>
    <t>SI22BI026004100-1</t>
  </si>
  <si>
    <t>017169123</t>
  </si>
  <si>
    <t>SI22BI026003616-1</t>
  </si>
  <si>
    <t>017163869</t>
  </si>
  <si>
    <t>EARL RIVIER</t>
  </si>
  <si>
    <t>SI22BI026004340-3</t>
  </si>
  <si>
    <t>017012770</t>
  </si>
  <si>
    <t>EARL SOUCHE</t>
  </si>
  <si>
    <t>SI22BI026004363-4</t>
  </si>
  <si>
    <t>086162681</t>
  </si>
  <si>
    <t>EARL DE LA HAUTE VALADE</t>
  </si>
  <si>
    <t>SI22BI026004625-2</t>
  </si>
  <si>
    <t>016014713</t>
  </si>
  <si>
    <t>EARL LA BOUCHETTERIE</t>
  </si>
  <si>
    <t>SI22BI026004379-6</t>
  </si>
  <si>
    <t>079154171</t>
  </si>
  <si>
    <t>earl gauthier</t>
  </si>
  <si>
    <t>SI22BI026004630-3</t>
  </si>
  <si>
    <t>016156373</t>
  </si>
  <si>
    <t>SI22BI026004031-3</t>
  </si>
  <si>
    <t>017012363</t>
  </si>
  <si>
    <t>ERIC  VALLEZ</t>
  </si>
  <si>
    <t>SI22BI005004578-3</t>
  </si>
  <si>
    <t>011001987</t>
  </si>
  <si>
    <t>Aude</t>
  </si>
  <si>
    <t>EARL MONTPENSIER</t>
  </si>
  <si>
    <t>SI22BI014004483-6</t>
  </si>
  <si>
    <t>079006795</t>
  </si>
  <si>
    <t>SI22BI005004577-2</t>
  </si>
  <si>
    <t>011163042</t>
  </si>
  <si>
    <t>Fourcade  Florent</t>
  </si>
  <si>
    <t>SIGC220320000852-1</t>
  </si>
  <si>
    <t>032168637</t>
  </si>
  <si>
    <t>scea les fontaines</t>
  </si>
  <si>
    <t>SI22BI026004080-1</t>
  </si>
  <si>
    <t>017162131</t>
  </si>
  <si>
    <t>EARLde la CAPERADE</t>
  </si>
  <si>
    <t>SIGC220320000829-1</t>
  </si>
  <si>
    <t>031017139</t>
  </si>
  <si>
    <t>SCEA BODIN ET FILS</t>
  </si>
  <si>
    <t>SIGC220260000833-1</t>
  </si>
  <si>
    <t>017160118</t>
  </si>
  <si>
    <t>SI22BI032004628-2</t>
  </si>
  <si>
    <t>032165830</t>
  </si>
  <si>
    <t>GAEC FOUCHER</t>
  </si>
  <si>
    <t>SI22BI026003991-2</t>
  </si>
  <si>
    <t>079010868</t>
  </si>
  <si>
    <t>earl gemon</t>
  </si>
  <si>
    <t>SI22BI026004484-2</t>
  </si>
  <si>
    <t>017166746</t>
  </si>
  <si>
    <t>AZARD DIDIER</t>
  </si>
  <si>
    <t>SI22BI026003566-4</t>
  </si>
  <si>
    <t>016004170</t>
  </si>
  <si>
    <t>fabien DAVILA</t>
  </si>
  <si>
    <t>SI22BI032004239-2</t>
  </si>
  <si>
    <t>032164426</t>
  </si>
  <si>
    <t>SI22BI026003573-2</t>
  </si>
  <si>
    <t>016156280</t>
  </si>
  <si>
    <t>EARL BOUFFIER</t>
  </si>
  <si>
    <t>SI22BI026003738-2</t>
  </si>
  <si>
    <t>024034120</t>
  </si>
  <si>
    <t>SI22BI026004037-3</t>
  </si>
  <si>
    <t>017166886</t>
  </si>
  <si>
    <t>Loir-et-Cher</t>
  </si>
  <si>
    <t>PILON Sandrine</t>
  </si>
  <si>
    <t>SIGC220530000795-2</t>
  </si>
  <si>
    <t>041155075</t>
  </si>
  <si>
    <t>Braime Michael</t>
  </si>
  <si>
    <t>SIGC220260000701-2</t>
  </si>
  <si>
    <t>023018466</t>
  </si>
  <si>
    <t>SIGC220260000548-2</t>
  </si>
  <si>
    <t>016160062</t>
  </si>
  <si>
    <t>SI22BI026004294-2</t>
  </si>
  <si>
    <t>017162148</t>
  </si>
  <si>
    <t>DAUBIGNE MELANIE</t>
  </si>
  <si>
    <t>SI22BI014003509-1</t>
  </si>
  <si>
    <t>017163031</t>
  </si>
  <si>
    <t>SI22BI026003746-3</t>
  </si>
  <si>
    <t>017156886</t>
  </si>
  <si>
    <t>Landes</t>
  </si>
  <si>
    <t>earl ferme labouyrie</t>
  </si>
  <si>
    <t>SI22BI0220000140-3</t>
  </si>
  <si>
    <t>040156379</t>
  </si>
  <si>
    <t>Tarn</t>
  </si>
  <si>
    <t>Jean philippe ROUANET</t>
  </si>
  <si>
    <t>SI22BI032004142-3</t>
  </si>
  <si>
    <t>081014743</t>
  </si>
  <si>
    <t>Pyrénées-Atlantiques</t>
  </si>
  <si>
    <t>Eric NARBAIS</t>
  </si>
  <si>
    <t>SI22BI0220000135-2</t>
  </si>
  <si>
    <t>064017531</t>
  </si>
  <si>
    <t>GAEC DES DIMES</t>
  </si>
  <si>
    <t>SI22BI004004380-1</t>
  </si>
  <si>
    <t>003025152</t>
  </si>
  <si>
    <t>Brune Anthony</t>
  </si>
  <si>
    <t>SIGC220320000642-1</t>
  </si>
  <si>
    <t>031008606</t>
  </si>
  <si>
    <t>SCEA SAUMON ASSOCIES</t>
  </si>
  <si>
    <t>SI22BI026004611-1</t>
  </si>
  <si>
    <t>016161755</t>
  </si>
  <si>
    <t>EARL MORAN</t>
  </si>
  <si>
    <t>SI22BI026004511-1</t>
  </si>
  <si>
    <t>024016642</t>
  </si>
  <si>
    <t>JARRON HUBERT</t>
  </si>
  <si>
    <t>SI22BI004004545-2</t>
  </si>
  <si>
    <t>003026277</t>
  </si>
  <si>
    <t>Yvelines</t>
  </si>
  <si>
    <t>SCEA DU TROU MOREAU</t>
  </si>
  <si>
    <t>SIGC220530000561-3</t>
  </si>
  <si>
    <t>078564587</t>
  </si>
  <si>
    <t>Emmanuel RENELIER</t>
  </si>
  <si>
    <t>SI22BI014004063-2</t>
  </si>
  <si>
    <t>017161275</t>
  </si>
  <si>
    <t>SARL THIBAUDEAU</t>
  </si>
  <si>
    <t>SI22BI026004517-2</t>
  </si>
  <si>
    <t>017166660</t>
  </si>
  <si>
    <t>micaloue</t>
  </si>
  <si>
    <t>SI22BI032003880-2</t>
  </si>
  <si>
    <t>031159008</t>
  </si>
  <si>
    <t>JG RELLO</t>
  </si>
  <si>
    <t>SI22BI025003524-2</t>
  </si>
  <si>
    <t>027001432</t>
  </si>
  <si>
    <t>GENDRON DAMIEN</t>
  </si>
  <si>
    <t>SI22BI026003590-4</t>
  </si>
  <si>
    <t>016165835</t>
  </si>
  <si>
    <t>D'En Busquère</t>
  </si>
  <si>
    <t>SI22BI022003815-4</t>
  </si>
  <si>
    <t>031000886</t>
  </si>
  <si>
    <t>Dallot Sébastien</t>
  </si>
  <si>
    <t>SIGC220530000744-3</t>
  </si>
  <si>
    <t>023018834</t>
  </si>
  <si>
    <t>earl du champs palet</t>
  </si>
  <si>
    <t>SI22BI026004356-3</t>
  </si>
  <si>
    <t>017163423</t>
  </si>
  <si>
    <t>NOUVELLON ALAIN</t>
  </si>
  <si>
    <t>SIGC220530000848-2</t>
  </si>
  <si>
    <t>041007163</t>
  </si>
  <si>
    <t>BARBAUD PATRICE</t>
  </si>
  <si>
    <t>SI22BI014003518-2</t>
  </si>
  <si>
    <t>017165395</t>
  </si>
  <si>
    <t>SI22BI026003591-3</t>
  </si>
  <si>
    <t>016014577</t>
  </si>
  <si>
    <t>STEPHANE  BONNEAU</t>
  </si>
  <si>
    <t>SI22BI026003816-2</t>
  </si>
  <si>
    <t>017167587</t>
  </si>
  <si>
    <t>VOGEL EARL</t>
  </si>
  <si>
    <t>SI22BI026004189-2</t>
  </si>
  <si>
    <t>017157956</t>
  </si>
  <si>
    <t>SIGC220040001013-2</t>
  </si>
  <si>
    <t>030246620</t>
  </si>
  <si>
    <t>fournier jean-charles</t>
  </si>
  <si>
    <t>SIGC220140000766-2</t>
  </si>
  <si>
    <t>079159018</t>
  </si>
  <si>
    <t>DUCHER SEBASTIEN</t>
  </si>
  <si>
    <t>SI22BI026003585-3</t>
  </si>
  <si>
    <t>016160396</t>
  </si>
  <si>
    <t>Cher</t>
  </si>
  <si>
    <t>Poirier Laurant</t>
  </si>
  <si>
    <t>SI22BI0530000103-4</t>
  </si>
  <si>
    <t>018155781</t>
  </si>
  <si>
    <t>EARL DE NOULETTE</t>
  </si>
  <si>
    <t>SI22BI026004249-2</t>
  </si>
  <si>
    <t>017162082</t>
  </si>
  <si>
    <t>EARL FIEF DES LUGUETS</t>
  </si>
  <si>
    <t>SI22BI026003894-1</t>
  </si>
  <si>
    <t>017012384</t>
  </si>
  <si>
    <t>SI22BI026004377-4</t>
  </si>
  <si>
    <t>017165919</t>
  </si>
  <si>
    <t>EARL villeneuve</t>
  </si>
  <si>
    <t>SI22BI026003856-2</t>
  </si>
  <si>
    <t>017158365</t>
  </si>
  <si>
    <t>SCEA DES PETITS BOIS</t>
  </si>
  <si>
    <t>SI22BI014003770-3</t>
  </si>
  <si>
    <t>017166281</t>
  </si>
  <si>
    <t>cyril DATAS</t>
  </si>
  <si>
    <t>SI22BI032004461-1</t>
  </si>
  <si>
    <t>032166411</t>
  </si>
  <si>
    <t>yannick vasselin</t>
  </si>
  <si>
    <t>SI22BI026004361-1</t>
  </si>
  <si>
    <t>016163824</t>
  </si>
  <si>
    <t>BEZAULT arnaud</t>
  </si>
  <si>
    <t>SI22BI026004590-1</t>
  </si>
  <si>
    <t>017167153</t>
  </si>
  <si>
    <t>EARL DU MANOIR</t>
  </si>
  <si>
    <t>SI22BI025004519-3</t>
  </si>
  <si>
    <t>027007089</t>
  </si>
  <si>
    <t>EARL LE BOUCHARD</t>
  </si>
  <si>
    <t>SIGC220320000572-1</t>
  </si>
  <si>
    <t>031158622</t>
  </si>
  <si>
    <t>GAEC Samberlait</t>
  </si>
  <si>
    <t>SIGC220140000554-2</t>
  </si>
  <si>
    <t>079009983</t>
  </si>
  <si>
    <t>claude ULIAN</t>
  </si>
  <si>
    <t>SIGC220320000575-1</t>
  </si>
  <si>
    <t>032012428</t>
  </si>
  <si>
    <t>Guiet Clément</t>
  </si>
  <si>
    <t>SI22BI0260000356-1</t>
  </si>
  <si>
    <t>017169536</t>
  </si>
  <si>
    <t>Thierry JUSTICE</t>
  </si>
  <si>
    <t>SIGC220220000584-1</t>
  </si>
  <si>
    <t>082001837</t>
  </si>
  <si>
    <t>VIAUD Sandrine</t>
  </si>
  <si>
    <t>SI22BI026003646-1</t>
  </si>
  <si>
    <t>017001616</t>
  </si>
  <si>
    <t>BELLEGARDE</t>
  </si>
  <si>
    <t>SIGC220320000706-1</t>
  </si>
  <si>
    <t>032015564</t>
  </si>
  <si>
    <t>earl BERGES</t>
  </si>
  <si>
    <t>SI22BI032004455-2</t>
  </si>
  <si>
    <t>031156755</t>
  </si>
  <si>
    <t>charrier</t>
  </si>
  <si>
    <t>SIGC220260000702-1</t>
  </si>
  <si>
    <t>017165825</t>
  </si>
  <si>
    <t>EARL DE PICAYNE</t>
  </si>
  <si>
    <t>SIGC220320000536-1</t>
  </si>
  <si>
    <t>031157929</t>
  </si>
  <si>
    <t>EARL de la Rivière</t>
  </si>
  <si>
    <t>SI22BI004004263-1</t>
  </si>
  <si>
    <t>003024733</t>
  </si>
  <si>
    <t>Samuel ROBINEAU</t>
  </si>
  <si>
    <t>SI22BI032004451-1</t>
  </si>
  <si>
    <t>031158472</t>
  </si>
  <si>
    <t>SCEA DE VIEILLE BOUTONNE</t>
  </si>
  <si>
    <t>SI22BI014003954-2</t>
  </si>
  <si>
    <t>017168112</t>
  </si>
  <si>
    <t>DU FUMET</t>
  </si>
  <si>
    <t>SI22BI012003504-0</t>
  </si>
  <si>
    <t>031155536</t>
  </si>
  <si>
    <t>ALBOUY</t>
  </si>
  <si>
    <t>SIGC220320000637-2</t>
  </si>
  <si>
    <t>031158368</t>
  </si>
  <si>
    <t>GAEC DE SAINT TROUGNAN</t>
  </si>
  <si>
    <t>SIGC220320000805-2</t>
  </si>
  <si>
    <t>032002490</t>
  </si>
  <si>
    <t>jean menaspa</t>
  </si>
  <si>
    <t>SI22BI032004139-1</t>
  </si>
  <si>
    <t>032011535</t>
  </si>
  <si>
    <t>EARL de LAUBRUNE</t>
  </si>
  <si>
    <t>SIGC220260000787-1</t>
  </si>
  <si>
    <t>016165294</t>
  </si>
  <si>
    <t>Blé dur d'hiver semences</t>
  </si>
  <si>
    <t>VACON Maximilien</t>
  </si>
  <si>
    <t>SIGC220190000660-3</t>
  </si>
  <si>
    <t>055015637</t>
  </si>
  <si>
    <t>VINCENT LAGARDE</t>
  </si>
  <si>
    <t>SI22BI026004341-2</t>
  </si>
  <si>
    <t>016162159</t>
  </si>
  <si>
    <t>EARL MAECA</t>
  </si>
  <si>
    <t>SIGC220530000851-3</t>
  </si>
  <si>
    <t>045019836</t>
  </si>
  <si>
    <t>GAEC BRUNNER DES CARRONS</t>
  </si>
  <si>
    <t>SI22BI020004610-1</t>
  </si>
  <si>
    <t>025004548</t>
  </si>
  <si>
    <t>earl virely</t>
  </si>
  <si>
    <t>SIGC220560001004-1</t>
  </si>
  <si>
    <t>021007235</t>
  </si>
  <si>
    <t>EARL JAUGEY CHRISTOPHE</t>
  </si>
  <si>
    <t>SIGC220560000821-2</t>
  </si>
  <si>
    <t>021159002</t>
  </si>
  <si>
    <t>SEBASTIEN JEAN GAUTHIER</t>
  </si>
  <si>
    <t>SI22BI026004631-3</t>
  </si>
  <si>
    <t>016166542</t>
  </si>
  <si>
    <t>prudhon PIERRE</t>
  </si>
  <si>
    <t>SIGC220560000749-1</t>
  </si>
  <si>
    <t>021011531</t>
  </si>
  <si>
    <t>SCEA QUEUE de LL'ETANG</t>
  </si>
  <si>
    <t>SI22BI053004493-1</t>
  </si>
  <si>
    <t>058020357</t>
  </si>
  <si>
    <t>HIMONNET Pierre-Vincent</t>
  </si>
  <si>
    <t>SIGC220260000519-1</t>
  </si>
  <si>
    <t>016167218</t>
  </si>
  <si>
    <t>BOUTIER MARTINE</t>
  </si>
  <si>
    <t>SI22BI010003520-2</t>
  </si>
  <si>
    <t>079158018</t>
  </si>
  <si>
    <t>EARL BLANC</t>
  </si>
  <si>
    <t>SI22BI020003859-1</t>
  </si>
  <si>
    <t>070016355</t>
  </si>
  <si>
    <t>Meurthe-et-Moselle</t>
  </si>
  <si>
    <t>MALLINGER MONIQUE</t>
  </si>
  <si>
    <t>SI22BI018003718-4</t>
  </si>
  <si>
    <t>054014815</t>
  </si>
  <si>
    <t>DE LA CHARTRIE</t>
  </si>
  <si>
    <t>SI22BI026003659-1</t>
  </si>
  <si>
    <t>016166085</t>
  </si>
  <si>
    <t>EARL DUGIED DOMINIQUE</t>
  </si>
  <si>
    <t>SIGC220560000528-1</t>
  </si>
  <si>
    <t>021155541</t>
  </si>
  <si>
    <t>GAEC DE LIAUROU</t>
  </si>
  <si>
    <t>SI22BI028004505-0</t>
  </si>
  <si>
    <t>024026596</t>
  </si>
  <si>
    <t>SI22BI020003562-0</t>
  </si>
  <si>
    <t>070011177</t>
  </si>
  <si>
    <t>DE CHOPPEY</t>
  </si>
  <si>
    <t>SI22BI018003662-0</t>
  </si>
  <si>
    <t>055010103</t>
  </si>
  <si>
    <t>Jean François VIAUD</t>
  </si>
  <si>
    <t>SI22BI026004386-0</t>
  </si>
  <si>
    <t>017007550</t>
  </si>
  <si>
    <t>EARL DE L'oustal</t>
  </si>
  <si>
    <t>SI22BI032004524-0</t>
  </si>
  <si>
    <t>031155876</t>
  </si>
  <si>
    <t>Julien  Couturier</t>
  </si>
  <si>
    <t>SI22BI026004620-0</t>
  </si>
  <si>
    <t>086006857</t>
  </si>
  <si>
    <t>EARL MAISON DES VIGNES</t>
  </si>
  <si>
    <t>SI22BI026003920-0</t>
  </si>
  <si>
    <t>016156673</t>
  </si>
  <si>
    <t>SCA de CHAMBON</t>
  </si>
  <si>
    <t>SI22BI053004274-1</t>
  </si>
  <si>
    <t>036008516</t>
  </si>
  <si>
    <t>SI22BI014004325-0</t>
  </si>
  <si>
    <t>017013453</t>
  </si>
  <si>
    <t>scea de boursaquet</t>
  </si>
  <si>
    <t>SI22BI025004453-0</t>
  </si>
  <si>
    <t>031017835</t>
  </si>
  <si>
    <t>Somme</t>
  </si>
  <si>
    <t>EARL Lesueur</t>
  </si>
  <si>
    <t>SI22BI025004616-0</t>
  </si>
  <si>
    <t>080151057</t>
  </si>
  <si>
    <t>Earl haute belle</t>
  </si>
  <si>
    <t>SI22BI026004247-0</t>
  </si>
  <si>
    <t>086162221</t>
  </si>
  <si>
    <t>Monseau stéphane</t>
  </si>
  <si>
    <t>SI22BI0530000104-0</t>
  </si>
  <si>
    <t>018154094</t>
  </si>
  <si>
    <t>PHILIPPE MATIVON</t>
  </si>
  <si>
    <t>SI22BI053004516-0</t>
  </si>
  <si>
    <t>018052213</t>
  </si>
  <si>
    <t>Aube</t>
  </si>
  <si>
    <t>de champmarin</t>
  </si>
  <si>
    <t>SI22BI053004549-0</t>
  </si>
  <si>
    <t>010008954</t>
  </si>
  <si>
    <t>EARL DES CLOS</t>
  </si>
  <si>
    <t>SI22BI053004270-1</t>
  </si>
  <si>
    <t>036008587</t>
  </si>
  <si>
    <t>EARL CEANSAKA</t>
  </si>
  <si>
    <t>SI22BI026003946-2</t>
  </si>
  <si>
    <t>016165841</t>
  </si>
  <si>
    <t>SI22BI026003835-1</t>
  </si>
  <si>
    <t>079159333</t>
  </si>
  <si>
    <t>GAVA Elodie</t>
  </si>
  <si>
    <t>SIGC220320000520-1</t>
  </si>
  <si>
    <t>031160546</t>
  </si>
  <si>
    <t>CHARLOT LUCIE</t>
  </si>
  <si>
    <t>SI22BI026003614-1</t>
  </si>
  <si>
    <t>086160891</t>
  </si>
  <si>
    <t>EARL DE LA FONTAINE</t>
  </si>
  <si>
    <t>SIGC220260000427-3</t>
  </si>
  <si>
    <t>016158988</t>
  </si>
  <si>
    <t>MARANGON Marie josé</t>
  </si>
  <si>
    <t>SIGC220320000791-1</t>
  </si>
  <si>
    <t>032163643</t>
  </si>
  <si>
    <t>SI22BI0220000276-2</t>
  </si>
  <si>
    <t>064177197</t>
  </si>
  <si>
    <t>SI22BI018003679-1</t>
  </si>
  <si>
    <t>052013634</t>
  </si>
  <si>
    <t>SI22BI018003665-1</t>
  </si>
  <si>
    <t>054013474</t>
  </si>
  <si>
    <t>SI22BI026003596-1</t>
  </si>
  <si>
    <t>016167244</t>
  </si>
  <si>
    <t>SI22BI026003592-2</t>
  </si>
  <si>
    <t>017161184</t>
  </si>
  <si>
    <t>GAEC GUENEAU</t>
  </si>
  <si>
    <t>SIGC220560000596-5</t>
  </si>
  <si>
    <t>021004260</t>
  </si>
  <si>
    <t>SCEA GIRAUX</t>
  </si>
  <si>
    <t>SIGC220560000605-2</t>
  </si>
  <si>
    <t>021161276</t>
  </si>
  <si>
    <t>Surreaux Henri</t>
  </si>
  <si>
    <t>SI22BI026003902-2</t>
  </si>
  <si>
    <t>086163766</t>
  </si>
  <si>
    <t>GUENIFFEY CHRISTIAN</t>
  </si>
  <si>
    <t>SIGC220560000654-2</t>
  </si>
  <si>
    <t>021154121</t>
  </si>
  <si>
    <t>Ain</t>
  </si>
  <si>
    <t>EARL DE LA GAZAGNE</t>
  </si>
  <si>
    <t>SIGC220200000521-3</t>
  </si>
  <si>
    <t>039155530</t>
  </si>
  <si>
    <t>SI22BI026003918-3</t>
  </si>
  <si>
    <t>086160754</t>
  </si>
  <si>
    <t>FREDERIC HERAUT</t>
  </si>
  <si>
    <t>SI22BI026003901-3</t>
  </si>
  <si>
    <t>079152162</t>
  </si>
  <si>
    <t>SI22BI018003688-4</t>
  </si>
  <si>
    <t>055010982</t>
  </si>
  <si>
    <t>SCEA OUDIN 55</t>
  </si>
  <si>
    <t>SI22BI018004253-4</t>
  </si>
  <si>
    <t>055014605</t>
  </si>
  <si>
    <t>SCEA DU CHATEAU D'EAU</t>
  </si>
  <si>
    <t>SI22BI004004224-6</t>
  </si>
  <si>
    <t>036159936</t>
  </si>
  <si>
    <t>SCEA LES 2 HORIZONS</t>
  </si>
  <si>
    <t>SI22BI0260000387-2</t>
  </si>
  <si>
    <t>079161247</t>
  </si>
  <si>
    <t>MICHEL HUARD</t>
  </si>
  <si>
    <t>SI22BI005004503-1</t>
  </si>
  <si>
    <t>028154765</t>
  </si>
  <si>
    <t>Orne</t>
  </si>
  <si>
    <t>EARL LERAT</t>
  </si>
  <si>
    <t>SIGC220560000478-3</t>
  </si>
  <si>
    <t>021005414</t>
  </si>
  <si>
    <t>SIGC220040000764-2</t>
  </si>
  <si>
    <t>058018954</t>
  </si>
  <si>
    <t>Jean-Frederic Jean-Frederic</t>
  </si>
  <si>
    <t>SIGC220250000753-2</t>
  </si>
  <si>
    <t>076159477</t>
  </si>
  <si>
    <t>Antoine LARDANT</t>
  </si>
  <si>
    <t>SI22BI0260000382-2</t>
  </si>
  <si>
    <t>086164747</t>
  </si>
  <si>
    <t>GAEC DE LA COURTAUBOUT</t>
  </si>
  <si>
    <t>SI22BI053004565-1</t>
  </si>
  <si>
    <t>018007827</t>
  </si>
  <si>
    <t>francois belleville</t>
  </si>
  <si>
    <t>SI22BI020003932-2</t>
  </si>
  <si>
    <t>039154717</t>
  </si>
  <si>
    <t>francis pirouley</t>
  </si>
  <si>
    <t>SI22BI020003805-2</t>
  </si>
  <si>
    <t>070003381</t>
  </si>
  <si>
    <t>SI22BI020003783-3</t>
  </si>
  <si>
    <t>071155887</t>
  </si>
  <si>
    <t>Saone-et-Loire</t>
  </si>
  <si>
    <t>earl de la vallée du dropt</t>
  </si>
  <si>
    <t>SIGC220280001006-1</t>
  </si>
  <si>
    <t>047159866</t>
  </si>
  <si>
    <t>DEMOULIN  THOMAS</t>
  </si>
  <si>
    <t>SIGC220560000553-3</t>
  </si>
  <si>
    <t>021157488</t>
  </si>
  <si>
    <t>GAEC LA PAILLERE</t>
  </si>
  <si>
    <t>SI22BI002004494-3</t>
  </si>
  <si>
    <t>032020241</t>
  </si>
  <si>
    <t>DE LA GRANGE NEUVE</t>
  </si>
  <si>
    <t>SI22BI026003873-3</t>
  </si>
  <si>
    <t>086164215</t>
  </si>
  <si>
    <t>GAEC LES VERGERS</t>
  </si>
  <si>
    <t>SIGC220290000730-4</t>
  </si>
  <si>
    <t>079013058</t>
  </si>
  <si>
    <t>SIGC220560000540-4</t>
  </si>
  <si>
    <t>021155404</t>
  </si>
  <si>
    <t>SI22BI026003572-2</t>
  </si>
  <si>
    <t>079154260</t>
  </si>
  <si>
    <t>SI22BI005003741-2</t>
  </si>
  <si>
    <t>076159696</t>
  </si>
  <si>
    <t>scea jacquand</t>
  </si>
  <si>
    <t>SIGC220560000463-3</t>
  </si>
  <si>
    <t>021159198</t>
  </si>
  <si>
    <t>SCEA DE COURBEVOIE</t>
  </si>
  <si>
    <t>SIGC220560000557-5</t>
  </si>
  <si>
    <t>052005997</t>
  </si>
  <si>
    <t>GAEC ST ANNE</t>
  </si>
  <si>
    <t>SI22BI020003913-1</t>
  </si>
  <si>
    <t>070013049</t>
  </si>
  <si>
    <t>BENOIST ROBERT</t>
  </si>
  <si>
    <t>SI22BI014004101-2</t>
  </si>
  <si>
    <t>017007914</t>
  </si>
  <si>
    <t>EARL ROYER</t>
  </si>
  <si>
    <t>SIGC220560000533-2</t>
  </si>
  <si>
    <t>021158193</t>
  </si>
  <si>
    <t>EARL DE LA PEDRIX</t>
  </si>
  <si>
    <t>SIGC220190000655-2</t>
  </si>
  <si>
    <t>055014006</t>
  </si>
  <si>
    <t>GAEC DU HAUT BRAY</t>
  </si>
  <si>
    <t>SI22BI025004260-2</t>
  </si>
  <si>
    <t>076160593</t>
  </si>
  <si>
    <t>SI22BI026003765-3</t>
  </si>
  <si>
    <t>016003867</t>
  </si>
  <si>
    <t>EARL GIRARD PITOLLET</t>
  </si>
  <si>
    <t>SIGC220560000454-1</t>
  </si>
  <si>
    <t>021000000</t>
  </si>
  <si>
    <t>EARL Du Ravin</t>
  </si>
  <si>
    <t>SI22BI020003945-1</t>
  </si>
  <si>
    <t>070017371</t>
  </si>
  <si>
    <t>BEC GEORGES</t>
  </si>
  <si>
    <t>SI22BI020003950-1</t>
  </si>
  <si>
    <t>070011928</t>
  </si>
  <si>
    <t>Yannick Nivelle</t>
  </si>
  <si>
    <t>SI22BI026004178-1</t>
  </si>
  <si>
    <t>079152063</t>
  </si>
  <si>
    <t>SI22BI018003692-3</t>
  </si>
  <si>
    <t>054001623</t>
  </si>
  <si>
    <t>LEGOT JULIEN</t>
  </si>
  <si>
    <t>SIGC220190000455-1</t>
  </si>
  <si>
    <t>052011700</t>
  </si>
  <si>
    <t>SI22BI020003558-1</t>
  </si>
  <si>
    <t>071161261</t>
  </si>
  <si>
    <t>SI22BI020003559-1</t>
  </si>
  <si>
    <t>070014923</t>
  </si>
  <si>
    <t>laville</t>
  </si>
  <si>
    <t>SI22BI026004008-1</t>
  </si>
  <si>
    <t>024025412</t>
  </si>
  <si>
    <t>COTIBY THOMAS</t>
  </si>
  <si>
    <t>SIGC220560000849-1</t>
  </si>
  <si>
    <t>021161595</t>
  </si>
  <si>
    <t>SCEA LA FRESLONNIERE</t>
  </si>
  <si>
    <t>SIGC220530000850-1</t>
  </si>
  <si>
    <t>028158064</t>
  </si>
  <si>
    <t>FRANCOIS Cedric</t>
  </si>
  <si>
    <t>SIGC220190000441-1</t>
  </si>
  <si>
    <t>055014981</t>
  </si>
  <si>
    <t>Gaec des Chataigniers</t>
  </si>
  <si>
    <t>SI22BI026004502-2</t>
  </si>
  <si>
    <t>086006702</t>
  </si>
  <si>
    <t>SI22BI018003664-1</t>
  </si>
  <si>
    <t>055015293</t>
  </si>
  <si>
    <t>MIBESSE</t>
  </si>
  <si>
    <t>SI22BI026003725-1</t>
  </si>
  <si>
    <t>024037750</t>
  </si>
  <si>
    <t>SIGC220290000817-1</t>
  </si>
  <si>
    <t>079160234</t>
  </si>
  <si>
    <t>SI22BI032004414-1</t>
  </si>
  <si>
    <t>065156139</t>
  </si>
  <si>
    <t>agri atlantique</t>
  </si>
  <si>
    <t>SIGC220290000832-1</t>
  </si>
  <si>
    <t>079157471</t>
  </si>
  <si>
    <t>DABARD JEAN</t>
  </si>
  <si>
    <t>SIGC220530000837-2</t>
  </si>
  <si>
    <t>045010239</t>
  </si>
  <si>
    <t>de taillepied</t>
  </si>
  <si>
    <t>SI22BI026004317-2</t>
  </si>
  <si>
    <t>079015396</t>
  </si>
  <si>
    <t>philippe boucher</t>
  </si>
  <si>
    <t>SIGC220250000838-1</t>
  </si>
  <si>
    <t>061019664</t>
  </si>
  <si>
    <t>GAEC DES GRANDS CHAMPS</t>
  </si>
  <si>
    <t>SIGC220200000840-1</t>
  </si>
  <si>
    <t>039002849</t>
  </si>
  <si>
    <t>jean-luc clouzet</t>
  </si>
  <si>
    <t>SIGC220220000845-1</t>
  </si>
  <si>
    <t>031004457</t>
  </si>
  <si>
    <t>EARL LEGRAND</t>
  </si>
  <si>
    <t>SI22BI020004076-2</t>
  </si>
  <si>
    <t>070015688</t>
  </si>
  <si>
    <t>Daniel Bernardeau</t>
  </si>
  <si>
    <t>SI22BI026003903-1</t>
  </si>
  <si>
    <t>079012303</t>
  </si>
  <si>
    <t>SI22BI018003672-4</t>
  </si>
  <si>
    <t>055013204</t>
  </si>
  <si>
    <t>SI22BI022003817-7</t>
  </si>
  <si>
    <t>064172467</t>
  </si>
  <si>
    <t>Hervé Deschamps</t>
  </si>
  <si>
    <t>SI22BI053004365-3</t>
  </si>
  <si>
    <t>058000487</t>
  </si>
  <si>
    <t>EARL LE MEIX PHILIPPON</t>
  </si>
  <si>
    <t>SIGC220560000700-4</t>
  </si>
  <si>
    <t>021159187</t>
  </si>
  <si>
    <t>SARDIN ERIC</t>
  </si>
  <si>
    <t>SI22BI026003598-7</t>
  </si>
  <si>
    <t>016014849</t>
  </si>
  <si>
    <t>PETITGUYOT DENIS</t>
  </si>
  <si>
    <t>SIGC220560001011-1</t>
  </si>
  <si>
    <t>039005928</t>
  </si>
  <si>
    <t>DIET PATRICK</t>
  </si>
  <si>
    <t>SI22BI026003652-2</t>
  </si>
  <si>
    <t>017010405</t>
  </si>
  <si>
    <t>Estelle Martin-Chardonnier</t>
  </si>
  <si>
    <t>SI22BI026004576-2</t>
  </si>
  <si>
    <t>086164281</t>
  </si>
  <si>
    <t>BAUDOT FRANCIS</t>
  </si>
  <si>
    <t>SI22BI018003717-3</t>
  </si>
  <si>
    <t>052006567</t>
  </si>
  <si>
    <t>martin frederic</t>
  </si>
  <si>
    <t>SIGC220260000544-2</t>
  </si>
  <si>
    <t>016165607</t>
  </si>
  <si>
    <t>earl Pimprenelle</t>
  </si>
  <si>
    <t>SI22BI026004434-4</t>
  </si>
  <si>
    <t>079158320</t>
  </si>
  <si>
    <t>MAROLLEAU ROMAIN</t>
  </si>
  <si>
    <t>SI22BI026003618-4</t>
  </si>
  <si>
    <t>086162301</t>
  </si>
  <si>
    <t>jean pierre BOISSEAU</t>
  </si>
  <si>
    <t>SI22BI053004579-4</t>
  </si>
  <si>
    <t>041002956</t>
  </si>
  <si>
    <t>Jean-Christophe Gallard</t>
  </si>
  <si>
    <t>SI22BI026003911-4</t>
  </si>
  <si>
    <t>079156259</t>
  </si>
  <si>
    <t>SCEA DU MARRONNIER</t>
  </si>
  <si>
    <t>SI22BI026004227-3</t>
  </si>
  <si>
    <t>079160401</t>
  </si>
  <si>
    <t>edwige pineau</t>
  </si>
  <si>
    <t>SI22BI026003766-3</t>
  </si>
  <si>
    <t>086163360</t>
  </si>
  <si>
    <t>EARL LES OMBRES</t>
  </si>
  <si>
    <t>SIGC220260000417-4</t>
  </si>
  <si>
    <t>079151831</t>
  </si>
  <si>
    <t>la piloterie</t>
  </si>
  <si>
    <t>SI22BI029003899-2</t>
  </si>
  <si>
    <t>079017688</t>
  </si>
  <si>
    <t>FERREIRA JEAN MARC</t>
  </si>
  <si>
    <t>SI22BI018003680-2</t>
  </si>
  <si>
    <t>054008894</t>
  </si>
  <si>
    <t>SI22BI026003603-3</t>
  </si>
  <si>
    <t>017165405</t>
  </si>
  <si>
    <t>SI22BI018003673-2</t>
  </si>
  <si>
    <t>055014013</t>
  </si>
  <si>
    <t>CHEVALIER J-M</t>
  </si>
  <si>
    <t>SI22BI020003536-2</t>
  </si>
  <si>
    <t>039154371</t>
  </si>
  <si>
    <t>SI22BI025003523-3</t>
  </si>
  <si>
    <t>076162201</t>
  </si>
  <si>
    <t>EARL GIRAD PIERRE</t>
  </si>
  <si>
    <t>SIGC220560000453-2</t>
  </si>
  <si>
    <t>021161960</t>
  </si>
  <si>
    <t>earl du sentier</t>
  </si>
  <si>
    <t>SIGC220220000612-3</t>
  </si>
  <si>
    <t>081015286</t>
  </si>
  <si>
    <t>EARL BABOUILLARD</t>
  </si>
  <si>
    <t>SIGC220560000567-4</t>
  </si>
  <si>
    <t>021159430</t>
  </si>
  <si>
    <t>SI22BI018004159-2</t>
  </si>
  <si>
    <t>055014828</t>
  </si>
  <si>
    <t>SI22BI026003735-5</t>
  </si>
  <si>
    <t>086014176</t>
  </si>
  <si>
    <t>SI22BI026003637-3</t>
  </si>
  <si>
    <t>079159911</t>
  </si>
  <si>
    <t>alain proud</t>
  </si>
  <si>
    <t>SI22BI026003923-4</t>
  </si>
  <si>
    <t>017010128</t>
  </si>
  <si>
    <t>SI22BI026003604-4</t>
  </si>
  <si>
    <t>086164080</t>
  </si>
  <si>
    <t>CHASSEUR JEAN-PIERRE</t>
  </si>
  <si>
    <t>SI22BI020003553-3</t>
  </si>
  <si>
    <t>039005037</t>
  </si>
  <si>
    <t>SI22BI026003650-3</t>
  </si>
  <si>
    <t>086007886</t>
  </si>
  <si>
    <t>SI22BI020003554-4</t>
  </si>
  <si>
    <t>039155463</t>
  </si>
  <si>
    <t>PERROT ALAIN</t>
  </si>
  <si>
    <t>SI22BI020003722-3</t>
  </si>
  <si>
    <t>071011279</t>
  </si>
  <si>
    <t>LAMY PASCAL</t>
  </si>
  <si>
    <t>SI22BI026003600-3</t>
  </si>
  <si>
    <t>086014631</t>
  </si>
  <si>
    <t>SI22BI018003720-3</t>
  </si>
  <si>
    <t>055004868</t>
  </si>
  <si>
    <t>SI22BI026003623-6</t>
  </si>
  <si>
    <t>016009817</t>
  </si>
  <si>
    <t>SCEA DU VAL DE MEUSE</t>
  </si>
  <si>
    <t>SIGC220190000522-3</t>
  </si>
  <si>
    <t>055014158</t>
  </si>
  <si>
    <t>EARL CLUGNAC</t>
  </si>
  <si>
    <t>SI22BI028003884-2</t>
  </si>
  <si>
    <t>024016472</t>
  </si>
  <si>
    <t>PEROCHEAU CHANTAL</t>
  </si>
  <si>
    <t>SI22BI026003654-2</t>
  </si>
  <si>
    <t>017165415</t>
  </si>
  <si>
    <t>Vinot Lucie</t>
  </si>
  <si>
    <t>SIGC220190000429-2</t>
  </si>
  <si>
    <t>054013885</t>
  </si>
  <si>
    <t>Tristan Métadier</t>
  </si>
  <si>
    <t>SI22BI053004618-3</t>
  </si>
  <si>
    <t>037160692</t>
  </si>
  <si>
    <t>RAILLARD EAMMANUEL</t>
  </si>
  <si>
    <t>SIGC220560000728-2</t>
  </si>
  <si>
    <t>021215711</t>
  </si>
  <si>
    <t>Francis Cadours</t>
  </si>
  <si>
    <t>SI22BI002004141-3</t>
  </si>
  <si>
    <t>031152401</t>
  </si>
  <si>
    <t>DOUVILLE BRUGGEMANN TIPHAINE</t>
  </si>
  <si>
    <t>SIGC220050000819-5</t>
  </si>
  <si>
    <t>037163483</t>
  </si>
  <si>
    <t>EARL POINSET</t>
  </si>
  <si>
    <t>SI22BI026004256-6</t>
  </si>
  <si>
    <t>016161998</t>
  </si>
  <si>
    <t>EARL LA CHAMPENOISE</t>
  </si>
  <si>
    <t>SI22BI026004449-2</t>
  </si>
  <si>
    <t>079157265</t>
  </si>
  <si>
    <t>SCEA DE LA PREUGNE</t>
  </si>
  <si>
    <t>SIGC220530000844-2</t>
  </si>
  <si>
    <t>018156883</t>
  </si>
  <si>
    <t>DU PRE DE L'ETANG</t>
  </si>
  <si>
    <t>SI22BI018003699-3</t>
  </si>
  <si>
    <t>055001407</t>
  </si>
  <si>
    <t>SI22BI018003681-2</t>
  </si>
  <si>
    <t>052013076</t>
  </si>
  <si>
    <t>EARL des GALETS BLEUS</t>
  </si>
  <si>
    <t>SI22BI018004273-2</t>
  </si>
  <si>
    <t>055015758</t>
  </si>
  <si>
    <t>earl les champs</t>
  </si>
  <si>
    <t>SI22BI026004199-3</t>
  </si>
  <si>
    <t>016014163</t>
  </si>
  <si>
    <t>CHARRUYER LAURENCE</t>
  </si>
  <si>
    <t>SI22BI026003632-3</t>
  </si>
  <si>
    <t>086157528</t>
  </si>
  <si>
    <t>earl de ventenat</t>
  </si>
  <si>
    <t>SIGC220260000757-2</t>
  </si>
  <si>
    <t>016160372</t>
  </si>
  <si>
    <t>gaec lohues</t>
  </si>
  <si>
    <t>SI22BI026003763-4</t>
  </si>
  <si>
    <t>016165087</t>
  </si>
  <si>
    <t>DU BOULET JACQUELINE</t>
  </si>
  <si>
    <t>SI22BI026003580-5</t>
  </si>
  <si>
    <t>086004927</t>
  </si>
  <si>
    <t>EARL SERIGNAC</t>
  </si>
  <si>
    <t>SIGC220320000741-2</t>
  </si>
  <si>
    <t>031151153</t>
  </si>
  <si>
    <t>Doubs</t>
  </si>
  <si>
    <t>SI22BI020003563-2</t>
  </si>
  <si>
    <t>025019383</t>
  </si>
  <si>
    <t>GORICHON PASCAL</t>
  </si>
  <si>
    <t>SI22BI026003670-2</t>
  </si>
  <si>
    <t>017004266</t>
  </si>
  <si>
    <t>EARL LYS DE VERGNE</t>
  </si>
  <si>
    <t>SIGC220310001014-1</t>
  </si>
  <si>
    <t>047019073</t>
  </si>
  <si>
    <t>GAEC LA BERGERIE</t>
  </si>
  <si>
    <t>SI22BI026004424-3</t>
  </si>
  <si>
    <t>036155530</t>
  </si>
  <si>
    <t>DE L'OREE DES CHAMPS</t>
  </si>
  <si>
    <t>SI22BI018003693-5</t>
  </si>
  <si>
    <t>055015231</t>
  </si>
  <si>
    <t>SI22BI026003641-3</t>
  </si>
  <si>
    <t>016158858</t>
  </si>
  <si>
    <t>Sabrina PITAUD</t>
  </si>
  <si>
    <t>SI22BI026003849-5</t>
  </si>
  <si>
    <t>016165150</t>
  </si>
  <si>
    <t>EARL PHILISOT JEAN CLAUDE</t>
  </si>
  <si>
    <t>SIGC220560000545-4</t>
  </si>
  <si>
    <t>021007346</t>
  </si>
  <si>
    <t>CHARRIER Guillaume</t>
  </si>
  <si>
    <t>SIGC220530000703-2</t>
  </si>
  <si>
    <t>028158936</t>
  </si>
  <si>
    <t>GAEC PERROT BRUNO</t>
  </si>
  <si>
    <t>SIGC220560000663-2</t>
  </si>
  <si>
    <t>021623235</t>
  </si>
  <si>
    <t>Eric Vettorello</t>
  </si>
  <si>
    <t>SI22BI028003910-1</t>
  </si>
  <si>
    <t>047019496</t>
  </si>
  <si>
    <t>christel coutand</t>
  </si>
  <si>
    <t>SI22BI026004390-2</t>
  </si>
  <si>
    <t>016166770</t>
  </si>
  <si>
    <t>SI22BI018003697-2</t>
  </si>
  <si>
    <t>055015944</t>
  </si>
  <si>
    <t>SI22BI018003667-3</t>
  </si>
  <si>
    <t>055003172</t>
  </si>
  <si>
    <t>SIGC220260000653-2</t>
  </si>
  <si>
    <t>016014753</t>
  </si>
  <si>
    <t>EARL DANIAU</t>
  </si>
  <si>
    <t>SI22BI026003850-3</t>
  </si>
  <si>
    <t>016156350</t>
  </si>
  <si>
    <t>gaec des champs fleuris</t>
  </si>
  <si>
    <t>SIGC220560000461-3</t>
  </si>
  <si>
    <t>021004588</t>
  </si>
  <si>
    <t>SI22BI0220000160-2</t>
  </si>
  <si>
    <t>031158750</t>
  </si>
  <si>
    <t>SI22BI026003671-2</t>
  </si>
  <si>
    <t>017155498</t>
  </si>
  <si>
    <t>TISSOT JULIEN</t>
  </si>
  <si>
    <t>SI22BI020003541-3</t>
  </si>
  <si>
    <t>039156522</t>
  </si>
  <si>
    <t>PASCAL SERVANT</t>
  </si>
  <si>
    <t>SI22BI026003999-2</t>
  </si>
  <si>
    <t>017160289</t>
  </si>
  <si>
    <t>Pierre Perrin</t>
  </si>
  <si>
    <t>SI22BI026003851-4</t>
  </si>
  <si>
    <t>016162554</t>
  </si>
  <si>
    <t>EARL HAYS</t>
  </si>
  <si>
    <t>SIGC220260000464-3</t>
  </si>
  <si>
    <t>016163910</t>
  </si>
  <si>
    <t>DE LA CHATAIGNIERE</t>
  </si>
  <si>
    <t>SI22BI026004331-2</t>
  </si>
  <si>
    <t>016161822</t>
  </si>
  <si>
    <t>EARL DE LA VALLEE DES PUITS</t>
  </si>
  <si>
    <t>SIGC220260000707-2</t>
  </si>
  <si>
    <t>016161627</t>
  </si>
  <si>
    <t>BONNET PATRICE</t>
  </si>
  <si>
    <t>SI22BI029003533-3</t>
  </si>
  <si>
    <t>079006390</t>
  </si>
  <si>
    <t>LARRIEU Joël</t>
  </si>
  <si>
    <t>SIGC220320000580-3</t>
  </si>
  <si>
    <t>031155162</t>
  </si>
  <si>
    <t>Jean marie Epronchard</t>
  </si>
  <si>
    <t>SI22BI014004479-1</t>
  </si>
  <si>
    <t>079154980</t>
  </si>
  <si>
    <t>SCEA JUNON</t>
  </si>
  <si>
    <t>SIGC220560000961-1</t>
  </si>
  <si>
    <t>021161338</t>
  </si>
  <si>
    <t>SI22BI018003701-2</t>
  </si>
  <si>
    <t>052008382</t>
  </si>
  <si>
    <t>scea des plagnes</t>
  </si>
  <si>
    <t>SI22BI026003997-2</t>
  </si>
  <si>
    <t>024032899</t>
  </si>
  <si>
    <t>GAEC DU DOLMEN</t>
  </si>
  <si>
    <t>SI22BI026004162-3</t>
  </si>
  <si>
    <t>016165184</t>
  </si>
  <si>
    <t>SI22BI039003656-3</t>
  </si>
  <si>
    <t>055014063</t>
  </si>
  <si>
    <t>SI22BI020003547-5</t>
  </si>
  <si>
    <t>039154997</t>
  </si>
  <si>
    <t>SI22BI032004527-2</t>
  </si>
  <si>
    <t>032167457</t>
  </si>
  <si>
    <t>SI22BI032004528-2</t>
  </si>
  <si>
    <t>032167606</t>
  </si>
  <si>
    <t>SCEA du Pont de Vaux</t>
  </si>
  <si>
    <t>SI22BI026004507-4</t>
  </si>
  <si>
    <t>086007053</t>
  </si>
  <si>
    <t>Gironde</t>
  </si>
  <si>
    <t>GAEC FERME DE LA MEUNIERE</t>
  </si>
  <si>
    <t>SIGC220020000510-2</t>
  </si>
  <si>
    <t>033175402</t>
  </si>
  <si>
    <t>SI22BI018003666-8</t>
  </si>
  <si>
    <t>055002018</t>
  </si>
  <si>
    <t>EARL des FRuitiers</t>
  </si>
  <si>
    <t>SIGC220140000752-4</t>
  </si>
  <si>
    <t>017012620</t>
  </si>
  <si>
    <t>SIGC220260000813-2</t>
  </si>
  <si>
    <t>023022392</t>
  </si>
  <si>
    <t>Jan Bogaerts</t>
  </si>
  <si>
    <t>SI22BI028004188-1</t>
  </si>
  <si>
    <t>047172431</t>
  </si>
  <si>
    <t>scea du saudour</t>
  </si>
  <si>
    <t>SI22BI026003866-4</t>
  </si>
  <si>
    <t>086162955</t>
  </si>
  <si>
    <t>SI22BI018003707-5</t>
  </si>
  <si>
    <t>052011822</t>
  </si>
  <si>
    <t>Bruno Héron</t>
  </si>
  <si>
    <t>SI22BI026003900-2</t>
  </si>
  <si>
    <t>017010987</t>
  </si>
  <si>
    <t>GAEC NEVEU JOUTEAU</t>
  </si>
  <si>
    <t>SI22BI026004123-2</t>
  </si>
  <si>
    <t>086163909</t>
  </si>
  <si>
    <t>GAUTIER LAURENT</t>
  </si>
  <si>
    <t>SI22BI026003622-4</t>
  </si>
  <si>
    <t>016156752</t>
  </si>
  <si>
    <t>DELAVAUT JEAN</t>
  </si>
  <si>
    <t>SIGC220560000650-1</t>
  </si>
  <si>
    <t>021008335</t>
  </si>
  <si>
    <t>CHERRUAULT ISABELLE</t>
  </si>
  <si>
    <t>SIGC220250000651-2</t>
  </si>
  <si>
    <t>061103429</t>
  </si>
  <si>
    <t>michel malagnoux</t>
  </si>
  <si>
    <t>SI22BI026004152-2</t>
  </si>
  <si>
    <t>086002485</t>
  </si>
  <si>
    <t>GAEC LA HERSERIE</t>
  </si>
  <si>
    <t>SI22BI053004306-2</t>
  </si>
  <si>
    <t>041158116</t>
  </si>
  <si>
    <t>GAEC DE MIARLE</t>
  </si>
  <si>
    <t>SI22BI020003840-3</t>
  </si>
  <si>
    <t>039000087</t>
  </si>
  <si>
    <t>Patrick Mougeot</t>
  </si>
  <si>
    <t>SIGC220200000638-1</t>
  </si>
  <si>
    <t>039004348</t>
  </si>
  <si>
    <t>SI22BI026003730-1</t>
  </si>
  <si>
    <t>086006667</t>
  </si>
  <si>
    <t>Philippe Miton</t>
  </si>
  <si>
    <t>SI22BI026004226-2</t>
  </si>
  <si>
    <t>017164655</t>
  </si>
  <si>
    <t>EARL DU CHATEAU DE ROSIERES</t>
  </si>
  <si>
    <t>SIGC220560000625-1</t>
  </si>
  <si>
    <t>021158651</t>
  </si>
  <si>
    <t>GAEC MARY</t>
  </si>
  <si>
    <t>SIGC220530000632-1</t>
  </si>
  <si>
    <t>037162257</t>
  </si>
  <si>
    <t>JEAN LUC TRILLE</t>
  </si>
  <si>
    <t>SIGC220320000634-1</t>
  </si>
  <si>
    <t>031152112</t>
  </si>
  <si>
    <t>SIGC220320000673-1</t>
  </si>
  <si>
    <t>031154691</t>
  </si>
  <si>
    <t>CHAMP CHINE</t>
  </si>
  <si>
    <t>SI22BI018003708-2</t>
  </si>
  <si>
    <t>055015465</t>
  </si>
  <si>
    <t>Cocimano Prospero</t>
  </si>
  <si>
    <t>SIGC220320000854-1</t>
  </si>
  <si>
    <t>032161517</t>
  </si>
  <si>
    <t>SI22BI002004556-3</t>
  </si>
  <si>
    <t>040170227</t>
  </si>
  <si>
    <t>CATY Pierre</t>
  </si>
  <si>
    <t>SIGC220200000581-2</t>
  </si>
  <si>
    <t>039156296</t>
  </si>
  <si>
    <t>VALERIE BEFFEYTE</t>
  </si>
  <si>
    <t>SI22BI032004124-1</t>
  </si>
  <si>
    <t>031159203</t>
  </si>
  <si>
    <t>RIGAL - DE LAROUSET</t>
  </si>
  <si>
    <t>SI22BI022004543-1</t>
  </si>
  <si>
    <t>031160323</t>
  </si>
  <si>
    <t>RIGAL</t>
  </si>
  <si>
    <t>SI22BI022004544-1</t>
  </si>
  <si>
    <t>031015336</t>
  </si>
  <si>
    <t>EARL LA MOSELLERIE</t>
  </si>
  <si>
    <t>SIGC220050000691-1</t>
  </si>
  <si>
    <t>037003510</t>
  </si>
  <si>
    <t>OlMOS FAVARO</t>
  </si>
  <si>
    <t>SI22BI022004539-1</t>
  </si>
  <si>
    <t>031160018</t>
  </si>
  <si>
    <t>SI22BI020003556-2</t>
  </si>
  <si>
    <t>070017064</t>
  </si>
  <si>
    <t>de la vallee moutonniere</t>
  </si>
  <si>
    <t>SIGC220200000657-1</t>
  </si>
  <si>
    <t>070016353</t>
  </si>
  <si>
    <t>De maleffe</t>
  </si>
  <si>
    <t>SIGC220260000425-2</t>
  </si>
  <si>
    <t>086861609</t>
  </si>
  <si>
    <t>sameline Daviaud</t>
  </si>
  <si>
    <t>SI22BI026004466-1</t>
  </si>
  <si>
    <t>017168304</t>
  </si>
  <si>
    <t>Gaec La ferme Feraut</t>
  </si>
  <si>
    <t>SIGC220320000692-1</t>
  </si>
  <si>
    <t>031159214</t>
  </si>
  <si>
    <t>EARL BEURTON MANIERE</t>
  </si>
  <si>
    <t>SIGC220560000682-1</t>
  </si>
  <si>
    <t>021010214</t>
  </si>
  <si>
    <t>DU PRE DE LABORIE</t>
  </si>
  <si>
    <t>SIGC220220000623-2</t>
  </si>
  <si>
    <t>031158427</t>
  </si>
  <si>
    <t>SCEA DU HOURESTE</t>
  </si>
  <si>
    <t>SIGC220320000679-1</t>
  </si>
  <si>
    <t>032167164</t>
  </si>
  <si>
    <t>MICHEL DUBREUIL</t>
  </si>
  <si>
    <t>SI22BI026003737-1</t>
  </si>
  <si>
    <t>016011783</t>
  </si>
  <si>
    <t>SCEA La Morelle</t>
  </si>
  <si>
    <t>SIGC220260000690-1</t>
  </si>
  <si>
    <t>016010463</t>
  </si>
  <si>
    <t>JARDIN DE MARIGNY</t>
  </si>
  <si>
    <t>SI22BI004004403-1</t>
  </si>
  <si>
    <t>058019713</t>
  </si>
  <si>
    <t>SI22BI032004564-1</t>
  </si>
  <si>
    <t>032170336</t>
  </si>
  <si>
    <t>GAEC SAINT GERMAIN</t>
  </si>
  <si>
    <t>SI22BI026004057-3</t>
  </si>
  <si>
    <t>017006057</t>
  </si>
  <si>
    <t>SI22BI020003769-2</t>
  </si>
  <si>
    <t>039152835</t>
  </si>
  <si>
    <t>TALON CLEMENT</t>
  </si>
  <si>
    <t>SI22BI026003715-3</t>
  </si>
  <si>
    <t>079154631</t>
  </si>
  <si>
    <t>SENANGE Alain</t>
  </si>
  <si>
    <t>SIGC220190000442-3</t>
  </si>
  <si>
    <t>055000964</t>
  </si>
  <si>
    <t>JEAN PAUL PETIT</t>
  </si>
  <si>
    <t>SI22BI026003881-2</t>
  </si>
  <si>
    <t>016010085</t>
  </si>
  <si>
    <t>Des 2 Ormeaux</t>
  </si>
  <si>
    <t>SI22BI022003842-2</t>
  </si>
  <si>
    <t>031000248</t>
  </si>
  <si>
    <t>scea de la chenaie</t>
  </si>
  <si>
    <t>SI22BI026003545-5</t>
  </si>
  <si>
    <t>016160157</t>
  </si>
  <si>
    <t>SCEA DU PASSAGE</t>
  </si>
  <si>
    <t>SI22BI026003597-2</t>
  </si>
  <si>
    <t>017161949</t>
  </si>
  <si>
    <t>EURL DOMAINE DE LA BERTHONNIERE</t>
  </si>
  <si>
    <t>SI22BI026003854-3</t>
  </si>
  <si>
    <t>079159629</t>
  </si>
  <si>
    <t>EARL GRAND CHAMP</t>
  </si>
  <si>
    <t>SI22BI026004374-2</t>
  </si>
  <si>
    <t>079156685</t>
  </si>
  <si>
    <t>NICOLAS BAZZOLI</t>
  </si>
  <si>
    <t>SI22BI031004217-2</t>
  </si>
  <si>
    <t>024025570</t>
  </si>
  <si>
    <t>SI22BI026003647-2</t>
  </si>
  <si>
    <t>016166818</t>
  </si>
  <si>
    <t>SI22BI018003703-3</t>
  </si>
  <si>
    <t>055001569</t>
  </si>
  <si>
    <t>EARL de BOEMONT</t>
  </si>
  <si>
    <t>SIGC220190000970-1</t>
  </si>
  <si>
    <t>055012595</t>
  </si>
  <si>
    <t>LAPIERRE CHRISTOPHE</t>
  </si>
  <si>
    <t>SI22BI026003645-3</t>
  </si>
  <si>
    <t>016013619</t>
  </si>
  <si>
    <t>GAEC DE LA CONTREE</t>
  </si>
  <si>
    <t>SIGC220560000565-2</t>
  </si>
  <si>
    <t>021160429</t>
  </si>
  <si>
    <t>SCEA TAMBOURE</t>
  </si>
  <si>
    <t>SI22BI0220000351-2</t>
  </si>
  <si>
    <t>040177079</t>
  </si>
  <si>
    <t>MOËS HORTICULTURE Société Agricole</t>
  </si>
  <si>
    <t>SI22BI053004559-3</t>
  </si>
  <si>
    <t>058020803</t>
  </si>
  <si>
    <t>LEFRAND</t>
  </si>
  <si>
    <t>SI22BI018003686-2</t>
  </si>
  <si>
    <t>055012166</t>
  </si>
  <si>
    <t>Moselle</t>
  </si>
  <si>
    <t>MATHIEU ALBERT</t>
  </si>
  <si>
    <t>SI22BI018003687-3</t>
  </si>
  <si>
    <t>057000995</t>
  </si>
  <si>
    <t>Vincent VIDAL</t>
  </si>
  <si>
    <t>SI22BI022003813-3</t>
  </si>
  <si>
    <t>031158471</t>
  </si>
  <si>
    <t>de la grelière</t>
  </si>
  <si>
    <t>SI22BI026004083-2</t>
  </si>
  <si>
    <t>024036666</t>
  </si>
  <si>
    <t>SI22BI018003678-2</t>
  </si>
  <si>
    <t>055008770</t>
  </si>
  <si>
    <t>BEAUFFILS ERIC</t>
  </si>
  <si>
    <t>SI22BI018003657-2</t>
  </si>
  <si>
    <t>055001676</t>
  </si>
  <si>
    <t>LA BAUMETTE</t>
  </si>
  <si>
    <t>SI22BI020003560-7</t>
  </si>
  <si>
    <t>070012287</t>
  </si>
  <si>
    <t>SI22BI029003529-3</t>
  </si>
  <si>
    <t>079010264</t>
  </si>
  <si>
    <t>thierry ladhoue</t>
  </si>
  <si>
    <t>SI22BI026004268-3</t>
  </si>
  <si>
    <t>017012133</t>
  </si>
  <si>
    <t>SI22BI018003663-2</t>
  </si>
  <si>
    <t>055001219</t>
  </si>
  <si>
    <t>SCEA BOUSSARD CEREALES</t>
  </si>
  <si>
    <t>SI22BI001004230-3</t>
  </si>
  <si>
    <t>089161302</t>
  </si>
  <si>
    <t>MARREQUESTE NICOLAS</t>
  </si>
  <si>
    <t>SI22BI022004580-1</t>
  </si>
  <si>
    <t>031155171</t>
  </si>
  <si>
    <t>jean-pierre barré</t>
  </si>
  <si>
    <t>SI22BI026003943-2</t>
  </si>
  <si>
    <t>087007159</t>
  </si>
  <si>
    <t>Jean-Baptiste Rocher</t>
  </si>
  <si>
    <t>SI22BI026004421-2</t>
  </si>
  <si>
    <t>086161732</t>
  </si>
  <si>
    <t>GAEC VYE DE DOLE</t>
  </si>
  <si>
    <t>SI22BI020004490-4</t>
  </si>
  <si>
    <t>039155931</t>
  </si>
  <si>
    <t>EARL Leycoussaudie</t>
  </si>
  <si>
    <t>SI22BI026004009-2</t>
  </si>
  <si>
    <t>024037806</t>
  </si>
  <si>
    <t>Jean-François BASSOULET</t>
  </si>
  <si>
    <t>SI22BI026003847-3</t>
  </si>
  <si>
    <t>024030929</t>
  </si>
  <si>
    <t>MICKAEL CARTAUD</t>
  </si>
  <si>
    <t>SI22BI026004001-3</t>
  </si>
  <si>
    <t>024037169</t>
  </si>
  <si>
    <t>CYRIL NEAU</t>
  </si>
  <si>
    <t>SIGC220260000424-4</t>
  </si>
  <si>
    <t>017166607</t>
  </si>
  <si>
    <t>Benoit VERNET</t>
  </si>
  <si>
    <t>SI22BI053004474-2</t>
  </si>
  <si>
    <t>018159066</t>
  </si>
  <si>
    <t>CUDEY PHILIPPE</t>
  </si>
  <si>
    <t>SI22BI020003538-3</t>
  </si>
  <si>
    <t>070002244</t>
  </si>
  <si>
    <t>EARL DE LA SOURCE AUX LOUPS</t>
  </si>
  <si>
    <t>SIGC220560000627-3</t>
  </si>
  <si>
    <t>021011311</t>
  </si>
  <si>
    <t>SIGC220220000983-1</t>
  </si>
  <si>
    <t>064180619</t>
  </si>
  <si>
    <t>EARL FLEUROT</t>
  </si>
  <si>
    <t>SIGC220560000525-3</t>
  </si>
  <si>
    <t>021010613</t>
  </si>
  <si>
    <t>EARL FITY</t>
  </si>
  <si>
    <t>SI22BI026004196-1</t>
  </si>
  <si>
    <t>024021867</t>
  </si>
  <si>
    <t>earl des charmilles</t>
  </si>
  <si>
    <t>SI22BI026004280-3</t>
  </si>
  <si>
    <t>016164553</t>
  </si>
  <si>
    <t>SI22BI018003689-3</t>
  </si>
  <si>
    <t>055014826</t>
  </si>
  <si>
    <t>SI22BI026003624-3</t>
  </si>
  <si>
    <t>017166689</t>
  </si>
  <si>
    <t>SCEA PETERS</t>
  </si>
  <si>
    <t>SIGC220260000773-2</t>
  </si>
  <si>
    <t>086158931</t>
  </si>
  <si>
    <t>EARL GUICHET</t>
  </si>
  <si>
    <t>SIGC220550000758-2</t>
  </si>
  <si>
    <t>079156943</t>
  </si>
  <si>
    <t>MERCIER Franck</t>
  </si>
  <si>
    <t>SIGC220260000689-2</t>
  </si>
  <si>
    <t>086010500</t>
  </si>
  <si>
    <t>SCEA du Fée</t>
  </si>
  <si>
    <t>SIGC220530000620-2</t>
  </si>
  <si>
    <t>028160041</t>
  </si>
  <si>
    <t>Gilles  Martin</t>
  </si>
  <si>
    <t>SI22BI032004316-2</t>
  </si>
  <si>
    <t>031004426</t>
  </si>
  <si>
    <t>SI22BI026003648-4</t>
  </si>
  <si>
    <t>086015849</t>
  </si>
  <si>
    <t>SI22BI018003753-3</t>
  </si>
  <si>
    <t>055014178</t>
  </si>
  <si>
    <t>SI22BI020003539-2</t>
  </si>
  <si>
    <t>039154721</t>
  </si>
  <si>
    <t>vincent  ducourtieux</t>
  </si>
  <si>
    <t>SI22BI029004425-4</t>
  </si>
  <si>
    <t>079160609</t>
  </si>
  <si>
    <t>EARL GIRARD BENJAMIN</t>
  </si>
  <si>
    <t>SIGC220560000631-2</t>
  </si>
  <si>
    <t>021159052</t>
  </si>
  <si>
    <t>SI22BI026003615-2</t>
  </si>
  <si>
    <t>016163262</t>
  </si>
  <si>
    <t>NAFFRECHOUX CHRISTIAN</t>
  </si>
  <si>
    <t>SIGC220260000419-4</t>
  </si>
  <si>
    <t>086003307</t>
  </si>
  <si>
    <t>EARL DESTRAIT</t>
  </si>
  <si>
    <t>SIGC220260000779-4</t>
  </si>
  <si>
    <t>016160212</t>
  </si>
  <si>
    <t>EARL LES ROBINS</t>
  </si>
  <si>
    <t>SI22BI026004491-2</t>
  </si>
  <si>
    <t>017166007</t>
  </si>
  <si>
    <t>SCEA de MAUCOURT</t>
  </si>
  <si>
    <t>SI22BI018004277-3</t>
  </si>
  <si>
    <t>055015825</t>
  </si>
  <si>
    <t>SI22BI026003577-2</t>
  </si>
  <si>
    <t>016004237</t>
  </si>
  <si>
    <t>GIREAU ERIC</t>
  </si>
  <si>
    <t>SI22BI026003602-2</t>
  </si>
  <si>
    <t>016005423</t>
  </si>
  <si>
    <t>SCEA SCHOUWEY</t>
  </si>
  <si>
    <t>SI22BI020004471-3</t>
  </si>
  <si>
    <t>039156063</t>
  </si>
  <si>
    <t>EARL DE LA BORDE MARTENNE</t>
  </si>
  <si>
    <t>SIGC220560000577-2</t>
  </si>
  <si>
    <t>021011488</t>
  </si>
  <si>
    <t>PORTEJOIE MICHEL</t>
  </si>
  <si>
    <t>SI22BI026003649-2</t>
  </si>
  <si>
    <t>016003683</t>
  </si>
  <si>
    <t>du pré neuf</t>
  </si>
  <si>
    <t>SIGC220260000621-2</t>
  </si>
  <si>
    <t>016162571</t>
  </si>
  <si>
    <t>GAEC CREU</t>
  </si>
  <si>
    <t>SI22BI018004169-2</t>
  </si>
  <si>
    <t>052007177</t>
  </si>
  <si>
    <t>SI22BI026003745-6</t>
  </si>
  <si>
    <t>079155960</t>
  </si>
  <si>
    <t>Bernard  Caillé</t>
  </si>
  <si>
    <t>SI22BI026004246-2</t>
  </si>
  <si>
    <t>086007543</t>
  </si>
  <si>
    <t>gaec rollin</t>
  </si>
  <si>
    <t>SI22BI026004000-3</t>
  </si>
  <si>
    <t>086163137</t>
  </si>
  <si>
    <t>SI22BI0530000223-5</t>
  </si>
  <si>
    <t>036161341</t>
  </si>
  <si>
    <t>COLLIN Eric</t>
  </si>
  <si>
    <t>SI22BI018003979-2</t>
  </si>
  <si>
    <t>055013534</t>
  </si>
  <si>
    <t>DE L'AINSON</t>
  </si>
  <si>
    <t>SI22BI020003543-3</t>
  </si>
  <si>
    <t>039152062</t>
  </si>
  <si>
    <t>DES LILAS</t>
  </si>
  <si>
    <t>SI22BI018003719-4</t>
  </si>
  <si>
    <t>055002499</t>
  </si>
  <si>
    <t>SCEA DOMAINE DE NADELIN</t>
  </si>
  <si>
    <t>SI22BI026003928-3</t>
  </si>
  <si>
    <t>016004791</t>
  </si>
  <si>
    <t>SI22BI018003658-3</t>
  </si>
  <si>
    <t>055014209</t>
  </si>
  <si>
    <t>EARL SEBASTIEN MERCIER</t>
  </si>
  <si>
    <t>SIGC220310001029-2</t>
  </si>
  <si>
    <t>024035057</t>
  </si>
  <si>
    <t>EARL DU BOIS CHAUMINET</t>
  </si>
  <si>
    <t>SIGC220260000698-2</t>
  </si>
  <si>
    <t>016163338</t>
  </si>
  <si>
    <t>Seine-et-Marne</t>
  </si>
  <si>
    <t>Billard Arnaud</t>
  </si>
  <si>
    <t>SIGC220010000668-5</t>
  </si>
  <si>
    <t>077002297</t>
  </si>
  <si>
    <t>Fabrice Croizard</t>
  </si>
  <si>
    <t>SI22BI026004302-2</t>
  </si>
  <si>
    <t>016162143</t>
  </si>
  <si>
    <t>SI22BI026003638-4</t>
  </si>
  <si>
    <t>017164883</t>
  </si>
  <si>
    <t>Nicolas BEGUE</t>
  </si>
  <si>
    <t>SI22BI022003841-4</t>
  </si>
  <si>
    <t>031158828</t>
  </si>
  <si>
    <t>SI22BI026003810-2</t>
  </si>
  <si>
    <t>016160963</t>
  </si>
  <si>
    <t>gaec de l'aron</t>
  </si>
  <si>
    <t>SI22BI053004438-3</t>
  </si>
  <si>
    <t>058020627</t>
  </si>
  <si>
    <t>roussignol bruno</t>
  </si>
  <si>
    <t>SI22BI025004117-1</t>
  </si>
  <si>
    <t>076162136</t>
  </si>
  <si>
    <t>SI22BI018003704-2</t>
  </si>
  <si>
    <t>055013717</t>
  </si>
  <si>
    <t>SCEA LA SEIGNEURIE</t>
  </si>
  <si>
    <t>SI22BI026004261-8</t>
  </si>
  <si>
    <t>024037992</t>
  </si>
  <si>
    <t>SI22BI026003630-3</t>
  </si>
  <si>
    <t>016161569</t>
  </si>
  <si>
    <t>JEAN PIERRE SAULET</t>
  </si>
  <si>
    <t>SI22BI026004370-3</t>
  </si>
  <si>
    <t>086002376</t>
  </si>
  <si>
    <t>GAEC BAUDOT ELEVAGE</t>
  </si>
  <si>
    <t>SIGC220560000814-2</t>
  </si>
  <si>
    <t>021004584</t>
  </si>
  <si>
    <t>DAUBRIVE CL</t>
  </si>
  <si>
    <t>SI22BI018003705-2</t>
  </si>
  <si>
    <t>052006553</t>
  </si>
  <si>
    <t>PHELIPOT</t>
  </si>
  <si>
    <t>SI22BI026004431-1</t>
  </si>
  <si>
    <t>017168174</t>
  </si>
  <si>
    <t>EARL BOLOT ERIC ET ANNE MARIE</t>
  </si>
  <si>
    <t>SIGC220560000672-3</t>
  </si>
  <si>
    <t>021010652</t>
  </si>
  <si>
    <t>earl de plaisance</t>
  </si>
  <si>
    <t>SI22BI014004259-3</t>
  </si>
  <si>
    <t>079153598</t>
  </si>
  <si>
    <t>laudet</t>
  </si>
  <si>
    <t>SI22BI031004272-2</t>
  </si>
  <si>
    <t>047010351</t>
  </si>
  <si>
    <t>GAEC DE LA GANTERIE</t>
  </si>
  <si>
    <t>SIGC220260000676-3</t>
  </si>
  <si>
    <t>024027913</t>
  </si>
  <si>
    <t>SI22BI026004324-1</t>
  </si>
  <si>
    <t>086006501</t>
  </si>
  <si>
    <t>JACQUET AURELIEN</t>
  </si>
  <si>
    <t>SI22BI018003682-3</t>
  </si>
  <si>
    <t>055014282</t>
  </si>
  <si>
    <t>STEPHANE DEFFIEUX</t>
  </si>
  <si>
    <t>SI22BI028004482-3</t>
  </si>
  <si>
    <t>024015684</t>
  </si>
  <si>
    <t>earl de la roussetiere</t>
  </si>
  <si>
    <t>SI22BI053004413-4</t>
  </si>
  <si>
    <t>041011548</t>
  </si>
  <si>
    <t>du gazon</t>
  </si>
  <si>
    <t>SIGC220260000818-2</t>
  </si>
  <si>
    <t>017157698</t>
  </si>
  <si>
    <t>PIGNON DIDIER</t>
  </si>
  <si>
    <t>SI22BI026003631-2</t>
  </si>
  <si>
    <t>079012000</t>
  </si>
  <si>
    <t>EARL LES LONGS CHAMPS</t>
  </si>
  <si>
    <t>SIGC220560000630-3</t>
  </si>
  <si>
    <t>021161340</t>
  </si>
  <si>
    <t>SIGC220320000815-2</t>
  </si>
  <si>
    <t>031160831</t>
  </si>
  <si>
    <t>GUILLET JULIEN</t>
  </si>
  <si>
    <t>SI22BI026003752-3</t>
  </si>
  <si>
    <t>017162750</t>
  </si>
  <si>
    <t>EARL CLEST</t>
  </si>
  <si>
    <t>SI22BI020003933-3</t>
  </si>
  <si>
    <t>039154057</t>
  </si>
  <si>
    <t>yves rouzeau</t>
  </si>
  <si>
    <t>SI22BI026004197-4</t>
  </si>
  <si>
    <t>017000900</t>
  </si>
  <si>
    <t>EARL SAUSSIER GILLES</t>
  </si>
  <si>
    <t>SIGC220560000633-3</t>
  </si>
  <si>
    <t>021005579</t>
  </si>
  <si>
    <t>SAUSSIER  PHILIPPE</t>
  </si>
  <si>
    <t>SIGC220560000643-3</t>
  </si>
  <si>
    <t>021155211</t>
  </si>
  <si>
    <t>GAEC DES GRANDES NOUES</t>
  </si>
  <si>
    <t>SIGC220560000523-2</t>
  </si>
  <si>
    <t>021157603</t>
  </si>
  <si>
    <t>christophe dugros</t>
  </si>
  <si>
    <t>SIGC220270000823-2</t>
  </si>
  <si>
    <t>032159853</t>
  </si>
  <si>
    <t>DSECHAMPS JEAN CLAUDE EARL</t>
  </si>
  <si>
    <t>SIGC220560000717-2</t>
  </si>
  <si>
    <t>021159558</t>
  </si>
  <si>
    <t>FRANCOISE GUYARD</t>
  </si>
  <si>
    <t>SI22BI020004220-2</t>
  </si>
  <si>
    <t>039156570</t>
  </si>
  <si>
    <t>EARL MEURIOT</t>
  </si>
  <si>
    <t>SIGC220560000491-2</t>
  </si>
  <si>
    <t>089008505</t>
  </si>
  <si>
    <t>scea de la tuilerie</t>
  </si>
  <si>
    <t>SI22BI026004478-3</t>
  </si>
  <si>
    <t>016164075</t>
  </si>
  <si>
    <t>cyril boureau</t>
  </si>
  <si>
    <t>SI22BI026004303-3</t>
  </si>
  <si>
    <t>079011702</t>
  </si>
  <si>
    <t>GAEC DE LA CRESSENELLE</t>
  </si>
  <si>
    <t>SIGC220560000807-3</t>
  </si>
  <si>
    <t>021115477</t>
  </si>
  <si>
    <t>La cHAUME DE l'Age</t>
  </si>
  <si>
    <t>SI22BI026003964-3</t>
  </si>
  <si>
    <t>079159946</t>
  </si>
  <si>
    <t>SI22BI026003727-2</t>
  </si>
  <si>
    <t>016162788</t>
  </si>
  <si>
    <t>SC CHATEAU DE PLASSAC</t>
  </si>
  <si>
    <t>SI22BI026003823-3</t>
  </si>
  <si>
    <t>017008192</t>
  </si>
  <si>
    <t>CHAIGNE BERTRAND</t>
  </si>
  <si>
    <t>SI22BI010003521-2</t>
  </si>
  <si>
    <t>079013972</t>
  </si>
  <si>
    <t>EARL LA ROUERE</t>
  </si>
  <si>
    <t>SI22BI010003820-2</t>
  </si>
  <si>
    <t>079159346</t>
  </si>
  <si>
    <t>SI22BI026004332-2</t>
  </si>
  <si>
    <t>086161765</t>
  </si>
  <si>
    <t>SCEA du Pansart</t>
  </si>
  <si>
    <t>SI22BI026004500-3</t>
  </si>
  <si>
    <t>016004953</t>
  </si>
  <si>
    <t>ROMAIN SCHELLEKENS</t>
  </si>
  <si>
    <t>SI22BI026004275-3</t>
  </si>
  <si>
    <t>016167062</t>
  </si>
  <si>
    <t>OLIVIER ISABELLE</t>
  </si>
  <si>
    <t>SIGC220260000806-3</t>
  </si>
  <si>
    <t>086165039</t>
  </si>
  <si>
    <t>SI22BI026003588-4</t>
  </si>
  <si>
    <t>016164519</t>
  </si>
  <si>
    <t>SI22BI005003962-3</t>
  </si>
  <si>
    <t>076160945</t>
  </si>
  <si>
    <t>EARL Spertino</t>
  </si>
  <si>
    <t>SI22BI032004225-4</t>
  </si>
  <si>
    <t>031159489</t>
  </si>
  <si>
    <t>CHEVALIER</t>
  </si>
  <si>
    <t>SI22BI020003535-4</t>
  </si>
  <si>
    <t>039005970</t>
  </si>
  <si>
    <t>alain guichard</t>
  </si>
  <si>
    <t>SI22BI026004627-5</t>
  </si>
  <si>
    <t>086157796</t>
  </si>
  <si>
    <t>EARL BIETRY</t>
  </si>
  <si>
    <t>SIGC220560000610-4</t>
  </si>
  <si>
    <t>021161272</t>
  </si>
  <si>
    <t>EARL DES TROIS FERMES</t>
  </si>
  <si>
    <t>SIGC220560000505-5</t>
  </si>
  <si>
    <t>021161738</t>
  </si>
  <si>
    <t>DES ALLEES</t>
  </si>
  <si>
    <t>SI22BI018003694-4</t>
  </si>
  <si>
    <t>052013482</t>
  </si>
  <si>
    <t>GAEC ANDRE</t>
  </si>
  <si>
    <t>SI22BI053004604-4</t>
  </si>
  <si>
    <t>058020343</t>
  </si>
  <si>
    <t>EARL la Verrie</t>
  </si>
  <si>
    <t>SIGC220260000550-2</t>
  </si>
  <si>
    <t>079014119</t>
  </si>
  <si>
    <t>la bremaudiere</t>
  </si>
  <si>
    <t>SI22BI026004546-5</t>
  </si>
  <si>
    <t>079152504</t>
  </si>
  <si>
    <t>les patureaux</t>
  </si>
  <si>
    <t>SI22BI026004347-3</t>
  </si>
  <si>
    <t>079159324</t>
  </si>
  <si>
    <t>SI22BI020003561-2</t>
  </si>
  <si>
    <t>025018486</t>
  </si>
  <si>
    <t>Corrèze</t>
  </si>
  <si>
    <t>Bourgeade Eric</t>
  </si>
  <si>
    <t>SIGC220260000666-2</t>
  </si>
  <si>
    <t>019023618</t>
  </si>
  <si>
    <t>GAEC de la douce prairie</t>
  </si>
  <si>
    <t>SIGC220190000589-2</t>
  </si>
  <si>
    <t>055014969</t>
  </si>
  <si>
    <t>EARL LA SABLIERE</t>
  </si>
  <si>
    <t>SI22BI020004073-1</t>
  </si>
  <si>
    <t>070016741</t>
  </si>
  <si>
    <t>nief ludivic</t>
  </si>
  <si>
    <t>SIGC220560000951-1</t>
  </si>
  <si>
    <t>021159227</t>
  </si>
  <si>
    <t>ALEXANDRE ROUCHER</t>
  </si>
  <si>
    <t>SI22BI026003915-3</t>
  </si>
  <si>
    <t>079160254</t>
  </si>
  <si>
    <t>receveur</t>
  </si>
  <si>
    <t>SI22BI020004305-2</t>
  </si>
  <si>
    <t>070011188</t>
  </si>
  <si>
    <t>earl du carre</t>
  </si>
  <si>
    <t>SI22BI031003506-2</t>
  </si>
  <si>
    <t>047160881</t>
  </si>
  <si>
    <t>SIGC220560000680-2</t>
  </si>
  <si>
    <t>021010215</t>
  </si>
  <si>
    <t>EARL DUVERGER</t>
  </si>
  <si>
    <t>SI22BI026004210-3</t>
  </si>
  <si>
    <t>086162764</t>
  </si>
  <si>
    <t>SI22BI020003750-1</t>
  </si>
  <si>
    <t>025004079</t>
  </si>
  <si>
    <t>SCEA DES CRAIES</t>
  </si>
  <si>
    <t>SIGC220560000635-2</t>
  </si>
  <si>
    <t>089002182</t>
  </si>
  <si>
    <t>Oise</t>
  </si>
  <si>
    <t>SI22BI005003872-5</t>
  </si>
  <si>
    <t>060151050</t>
  </si>
  <si>
    <t>GAEC  de la Pierre Milliere</t>
  </si>
  <si>
    <t>SI22BI020003723-2</t>
  </si>
  <si>
    <t>039156689</t>
  </si>
  <si>
    <t>EARL DE LA PLACE</t>
  </si>
  <si>
    <t>SI22BI018004157-4</t>
  </si>
  <si>
    <t>055008323</t>
  </si>
  <si>
    <t>EARL PIERRET</t>
  </si>
  <si>
    <t>SI22BI018004052-3</t>
  </si>
  <si>
    <t>055002386</t>
  </si>
  <si>
    <t>SI22BI020004113-5</t>
  </si>
  <si>
    <t>039156619</t>
  </si>
  <si>
    <t>SCEA DE LA SAONE</t>
  </si>
  <si>
    <t>SIGC220560000588-2</t>
  </si>
  <si>
    <t>021002985</t>
  </si>
  <si>
    <t>SI22BI018003674-4</t>
  </si>
  <si>
    <t>052004575</t>
  </si>
  <si>
    <t>SCEA DE LA COMBE AUX NOYERS</t>
  </si>
  <si>
    <t>SIGC220560000527-2</t>
  </si>
  <si>
    <t>021161087</t>
  </si>
  <si>
    <t>DES MERISIERS</t>
  </si>
  <si>
    <t>SIGC220200001023-1</t>
  </si>
  <si>
    <t>071012053</t>
  </si>
  <si>
    <t>DESCHAMPS stephanie</t>
  </si>
  <si>
    <t>SIGC220250001025-1</t>
  </si>
  <si>
    <t>076167522</t>
  </si>
  <si>
    <t>EARL DE MERCET</t>
  </si>
  <si>
    <t>SIGC220560000678-2</t>
  </si>
  <si>
    <t>089011721</t>
  </si>
  <si>
    <t>SI22BI0220000158-9</t>
  </si>
  <si>
    <t>031015236</t>
  </si>
  <si>
    <t>EARL DU PRE CHENY</t>
  </si>
  <si>
    <t>SI22BI020003944-1</t>
  </si>
  <si>
    <t>052011964</t>
  </si>
  <si>
    <t>EARL des BOIS</t>
  </si>
  <si>
    <t>SIGC220190000428-5</t>
  </si>
  <si>
    <t>055008404</t>
  </si>
  <si>
    <t>EARL du puits raymondière</t>
  </si>
  <si>
    <t>SI22BI026003938-2</t>
  </si>
  <si>
    <t>079155729</t>
  </si>
  <si>
    <t>earl chegaray</t>
  </si>
  <si>
    <t>SI22BI026003879-3</t>
  </si>
  <si>
    <t>086157736</t>
  </si>
  <si>
    <t>earl des jourdanneries</t>
  </si>
  <si>
    <t>SI22BI026004163-2</t>
  </si>
  <si>
    <t>086162520</t>
  </si>
  <si>
    <t>SCEA La Croix Vinette</t>
  </si>
  <si>
    <t>SIGC220260000456-8</t>
  </si>
  <si>
    <t>086164243</t>
  </si>
  <si>
    <t>Scea proceleg</t>
  </si>
  <si>
    <t>SIGC220190000469-2</t>
  </si>
  <si>
    <t>055015382</t>
  </si>
  <si>
    <t>EARL DES MASCAREIGNES</t>
  </si>
  <si>
    <t>SI22BI031004015-2</t>
  </si>
  <si>
    <t>047170340</t>
  </si>
  <si>
    <t>BALLAND FRANCOISE</t>
  </si>
  <si>
    <t>SI22BI014003513-4</t>
  </si>
  <si>
    <t>017157845</t>
  </si>
  <si>
    <t>DUPUY ELODIE</t>
  </si>
  <si>
    <t>SI22BI026004389-3</t>
  </si>
  <si>
    <t>016166828</t>
  </si>
  <si>
    <t>SI22BI026003601-3</t>
  </si>
  <si>
    <t>079157774</t>
  </si>
  <si>
    <t>GIRAUX  JULIEN</t>
  </si>
  <si>
    <t>SIGC220560000604-2</t>
  </si>
  <si>
    <t>021159386</t>
  </si>
  <si>
    <t>jacques  Marrier</t>
  </si>
  <si>
    <t>SI22BI026004418-4</t>
  </si>
  <si>
    <t>017165554</t>
  </si>
  <si>
    <t>SI22BI026003605-3</t>
  </si>
  <si>
    <t>079155897</t>
  </si>
  <si>
    <t>DE BEAUPRE</t>
  </si>
  <si>
    <t>SI22BI018003698-2</t>
  </si>
  <si>
    <t>055001751</t>
  </si>
  <si>
    <t>SI22BI018003677-4</t>
  </si>
  <si>
    <t>055008896</t>
  </si>
  <si>
    <t>Maistre Aurélien</t>
  </si>
  <si>
    <t>SIGC220260000542-3</t>
  </si>
  <si>
    <t>017165171</t>
  </si>
  <si>
    <t>les pinquelies</t>
  </si>
  <si>
    <t>SI22BI026003990-2</t>
  </si>
  <si>
    <t>024024373</t>
  </si>
  <si>
    <t>de la Coussinelière</t>
  </si>
  <si>
    <t>SIGC220260000926-1</t>
  </si>
  <si>
    <t>086160701</t>
  </si>
  <si>
    <t>Annie SAVTCHENKO</t>
  </si>
  <si>
    <t>SI22BI053004595-1</t>
  </si>
  <si>
    <t>089001639</t>
  </si>
  <si>
    <t>scea l'aubepine</t>
  </si>
  <si>
    <t>SI22BI020003834-1</t>
  </si>
  <si>
    <t>070016398</t>
  </si>
  <si>
    <t>benoit Niort</t>
  </si>
  <si>
    <t>SI22BI026003832-3</t>
  </si>
  <si>
    <t>086161150</t>
  </si>
  <si>
    <t>CLERGET SYLVAIN</t>
  </si>
  <si>
    <t>SI22BI020003552-4</t>
  </si>
  <si>
    <t>039155070</t>
  </si>
  <si>
    <t>SI22BI026003651-4</t>
  </si>
  <si>
    <t>016156461</t>
  </si>
  <si>
    <t>SI22BI018003683-3</t>
  </si>
  <si>
    <t>054014264</t>
  </si>
  <si>
    <t>Teddy Faugere</t>
  </si>
  <si>
    <t>SI22BI028004498-1</t>
  </si>
  <si>
    <t>024035513</t>
  </si>
  <si>
    <t>SI22BI014003510-3</t>
  </si>
  <si>
    <t>079158679</t>
  </si>
  <si>
    <t>GAEC des grands vallons</t>
  </si>
  <si>
    <t>SI22BI026004476-1</t>
  </si>
  <si>
    <t>079156224</t>
  </si>
  <si>
    <t>SI22BI0220000149-3</t>
  </si>
  <si>
    <t>040174024</t>
  </si>
  <si>
    <t>Territoire-de-Belfort</t>
  </si>
  <si>
    <t>Earl Follot</t>
  </si>
  <si>
    <t>SI22BI020004255-1</t>
  </si>
  <si>
    <t>090000951</t>
  </si>
  <si>
    <t>SI22BI014004382-1</t>
  </si>
  <si>
    <t>017164465</t>
  </si>
  <si>
    <t>Sebastien  Rousseau</t>
  </si>
  <si>
    <t>SI22BI025004603-2</t>
  </si>
  <si>
    <t>027157599</t>
  </si>
  <si>
    <t>BAREILLES JEAN FRANCOIS</t>
  </si>
  <si>
    <t>SIGC220220000946-1</t>
  </si>
  <si>
    <t>031157952</t>
  </si>
  <si>
    <t>Du Rond Poirier</t>
  </si>
  <si>
    <t>SIGC220190000426-2</t>
  </si>
  <si>
    <t>055014031</t>
  </si>
  <si>
    <t>SCEA DU PEYROT</t>
  </si>
  <si>
    <t>SI22BI032003992-4</t>
  </si>
  <si>
    <t>031158453</t>
  </si>
  <si>
    <t>Bernard LACOMME</t>
  </si>
  <si>
    <t>SI22BI0220000215-1</t>
  </si>
  <si>
    <t>064010750</t>
  </si>
  <si>
    <t>SCEA DU PERRIER</t>
  </si>
  <si>
    <t>SIGC220280000739-2</t>
  </si>
  <si>
    <t>024030455</t>
  </si>
  <si>
    <t>SI22BI026003594-2</t>
  </si>
  <si>
    <t>079155650</t>
  </si>
  <si>
    <t>EARL Plantard</t>
  </si>
  <si>
    <t>SI22BI014004492-2</t>
  </si>
  <si>
    <t>079160258</t>
  </si>
  <si>
    <t>GAEC le portail rouge</t>
  </si>
  <si>
    <t>SI22BI026004104-1</t>
  </si>
  <si>
    <t>079012836</t>
  </si>
  <si>
    <t>GAEC DU PRIEURE</t>
  </si>
  <si>
    <t>SIGC220200000769-1</t>
  </si>
  <si>
    <t>039155830</t>
  </si>
  <si>
    <t>Chantal LANSALOT</t>
  </si>
  <si>
    <t>SI22BI022003941-1</t>
  </si>
  <si>
    <t>064009945</t>
  </si>
  <si>
    <t>EARL LES RENASSONS</t>
  </si>
  <si>
    <t>SIGC220260000786-1</t>
  </si>
  <si>
    <t>016163519</t>
  </si>
  <si>
    <t>EARL LIMOUSIN M</t>
  </si>
  <si>
    <t>SIGC220530000750-1</t>
  </si>
  <si>
    <t>036010552</t>
  </si>
  <si>
    <t>CALINON PIERRE</t>
  </si>
  <si>
    <t>SIGC220560000760-1</t>
  </si>
  <si>
    <t>039000051</t>
  </si>
  <si>
    <t>christiane aleu</t>
  </si>
  <si>
    <t>SIGC220220000777-1</t>
  </si>
  <si>
    <t>031155020</t>
  </si>
  <si>
    <t>DE LA ROCHETTE</t>
  </si>
  <si>
    <t>SI22BI026003612-1</t>
  </si>
  <si>
    <t>086161549</t>
  </si>
  <si>
    <t>EARL domaine de chagnots</t>
  </si>
  <si>
    <t>SIGC220530000756-1</t>
  </si>
  <si>
    <t>058017384</t>
  </si>
  <si>
    <t>Loctor Guillaume</t>
  </si>
  <si>
    <t>SIGC220530000771-1</t>
  </si>
  <si>
    <t>058020697</t>
  </si>
  <si>
    <t>EARL FURTIN Didier</t>
  </si>
  <si>
    <t>SI22BI020004488-1</t>
  </si>
  <si>
    <t>070014969</t>
  </si>
  <si>
    <t>SCEA DES GRANDS EPIS</t>
  </si>
  <si>
    <t>SIGC220560000761-1</t>
  </si>
  <si>
    <t>039005779</t>
  </si>
  <si>
    <t>SIGC220220000768-1</t>
  </si>
  <si>
    <t>040156667</t>
  </si>
  <si>
    <t>earl de la source</t>
  </si>
  <si>
    <t>SI22BI026004398-2</t>
  </si>
  <si>
    <t>086160719</t>
  </si>
  <si>
    <t>DURAND Emmanuel</t>
  </si>
  <si>
    <t>SI22BI005003724-1</t>
  </si>
  <si>
    <t>061015489</t>
  </si>
  <si>
    <t>earl du petit benitier</t>
  </si>
  <si>
    <t>SIGC220260000751-1</t>
  </si>
  <si>
    <t>086158661</t>
  </si>
  <si>
    <t>SCEA DES VERGERS</t>
  </si>
  <si>
    <t>SIGC220560000759-1</t>
  </si>
  <si>
    <t>039155272</t>
  </si>
  <si>
    <t>frederic aleu</t>
  </si>
  <si>
    <t>SIGC220220000778-1</t>
  </si>
  <si>
    <t>031158344</t>
  </si>
  <si>
    <t>SI22BI026003589-1</t>
  </si>
  <si>
    <t>079015403</t>
  </si>
  <si>
    <t>JODIN THIERRY</t>
  </si>
  <si>
    <t>SI22BI018003684-1</t>
  </si>
  <si>
    <t>057013684</t>
  </si>
  <si>
    <t>JOUBERT THOMAS</t>
  </si>
  <si>
    <t>SI22BI0260000157-1</t>
  </si>
  <si>
    <t>017169509</t>
  </si>
  <si>
    <t>GAEC DU HAUT DE VILLERS</t>
  </si>
  <si>
    <t>SI22BI020003929-1</t>
  </si>
  <si>
    <t>070017173</t>
  </si>
  <si>
    <t>Christian VIJVERBERG</t>
  </si>
  <si>
    <t>SI22BI018004214-1</t>
  </si>
  <si>
    <t>055014695</t>
  </si>
  <si>
    <t>SI22BI020003548-1</t>
  </si>
  <si>
    <t>039156577</t>
  </si>
  <si>
    <t>EARL DU MAYNE</t>
  </si>
  <si>
    <t>SI22BI028004266-1</t>
  </si>
  <si>
    <t>047018549</t>
  </si>
  <si>
    <t>SI22BI026004155-1</t>
  </si>
  <si>
    <t>017166335</t>
  </si>
  <si>
    <t>Maine-et-Loire</t>
  </si>
  <si>
    <t>Pays de la Loire</t>
  </si>
  <si>
    <t>SI22BI005004026-1</t>
  </si>
  <si>
    <t>049171082</t>
  </si>
  <si>
    <t>SI22BI026003889-1</t>
  </si>
  <si>
    <t>086161875</t>
  </si>
  <si>
    <t>EARL LES GROSEILLERS</t>
  </si>
  <si>
    <t>SIGC220560000609-1</t>
  </si>
  <si>
    <t>021010354</t>
  </si>
  <si>
    <t>SI22BI026003587-4</t>
  </si>
  <si>
    <t>086157300</t>
  </si>
  <si>
    <t>Jerome SILLARD</t>
  </si>
  <si>
    <t>SI22BI024003876-1</t>
  </si>
  <si>
    <t>017166287</t>
  </si>
  <si>
    <t>SCEA DE BRONELLE</t>
  </si>
  <si>
    <t>SI22BI018004504-4</t>
  </si>
  <si>
    <t>055014400</t>
  </si>
  <si>
    <t>SI22BI031003743-1</t>
  </si>
  <si>
    <t>047159507</t>
  </si>
  <si>
    <t>SI22BI031003744-1</t>
  </si>
  <si>
    <t>047170268</t>
  </si>
  <si>
    <t>des cinq clos</t>
  </si>
  <si>
    <t>SIGC220260000600-1</t>
  </si>
  <si>
    <t>017166883</t>
  </si>
  <si>
    <t>Gaec Tournier</t>
  </si>
  <si>
    <t>SIGC220260000601-1</t>
  </si>
  <si>
    <t>023022527</t>
  </si>
  <si>
    <t>EARL DE L'ABBAYOTTE</t>
  </si>
  <si>
    <t>SIGC220560000603-1</t>
  </si>
  <si>
    <t>021161699</t>
  </si>
  <si>
    <t>EARL PC BREILLAD</t>
  </si>
  <si>
    <t>SI22BI026004501-1</t>
  </si>
  <si>
    <t>079157426</t>
  </si>
  <si>
    <t>PATRIER THERESE</t>
  </si>
  <si>
    <t>SI22BI026003808-2</t>
  </si>
  <si>
    <t>086163965</t>
  </si>
  <si>
    <t>SI22BI026003599-1</t>
  </si>
  <si>
    <t>079159128</t>
  </si>
  <si>
    <t>GAEC DU MARCHAIS</t>
  </si>
  <si>
    <t>SI22BI010003787-1</t>
  </si>
  <si>
    <t>079016347</t>
  </si>
  <si>
    <t>THIERRY VIRCONDELET</t>
  </si>
  <si>
    <t>SI22BI020003862-1</t>
  </si>
  <si>
    <t>070004248</t>
  </si>
  <si>
    <t>SI22BI022004537-1</t>
  </si>
  <si>
    <t>081163682</t>
  </si>
  <si>
    <t>de la paix</t>
  </si>
  <si>
    <t>SI22BI026004156-1</t>
  </si>
  <si>
    <t>017006771</t>
  </si>
  <si>
    <t>EARL DU MESNIL TREFLET</t>
  </si>
  <si>
    <t>SI22BI025004153-3</t>
  </si>
  <si>
    <t>076164367</t>
  </si>
  <si>
    <t>doux  veronique</t>
  </si>
  <si>
    <t>SIGC220320000583-1</t>
  </si>
  <si>
    <t>032164818</t>
  </si>
  <si>
    <t>l'orée des bois</t>
  </si>
  <si>
    <t>SIGC220260000599-1</t>
  </si>
  <si>
    <t>017008166</t>
  </si>
  <si>
    <t>SI22BI025004582-1</t>
  </si>
  <si>
    <t>076003626</t>
  </si>
  <si>
    <t>SI22BI022004540-1</t>
  </si>
  <si>
    <t>031160300</t>
  </si>
  <si>
    <t>SI22BI018003696-1</t>
  </si>
  <si>
    <t>055013850</t>
  </si>
  <si>
    <t>MAGALI BENARD</t>
  </si>
  <si>
    <t>SI22BI025004151-4</t>
  </si>
  <si>
    <t>076166232</t>
  </si>
  <si>
    <t>SI22BI026003613-2</t>
  </si>
  <si>
    <t>086011579</t>
  </si>
  <si>
    <t>DES EOLES</t>
  </si>
  <si>
    <t>SI22BI025003525-1</t>
  </si>
  <si>
    <t>076159501</t>
  </si>
  <si>
    <t>EARL BREUILLET</t>
  </si>
  <si>
    <t>SI22BI026004269-1</t>
  </si>
  <si>
    <t>016014189</t>
  </si>
  <si>
    <t>AUDURIER DOMINIQUE</t>
  </si>
  <si>
    <t>SIGC220260000611-1</t>
  </si>
  <si>
    <t>079005747</t>
  </si>
  <si>
    <t>GAEC des SEPT CHENES</t>
  </si>
  <si>
    <t>SI22BI018004465-1</t>
  </si>
  <si>
    <t>055010793</t>
  </si>
  <si>
    <t>gaec kueny</t>
  </si>
  <si>
    <t>SI22BI020004070-1</t>
  </si>
  <si>
    <t>090002336</t>
  </si>
  <si>
    <t>SI22BI026003625-1</t>
  </si>
  <si>
    <t>016166361</t>
  </si>
  <si>
    <t>SI22BI018003685-1</t>
  </si>
  <si>
    <t>054014957</t>
  </si>
  <si>
    <t>EARL MIGNARDOT</t>
  </si>
  <si>
    <t>SIGC220560000437-1</t>
  </si>
  <si>
    <t>021158821</t>
  </si>
  <si>
    <t>SI22BI026003586-1</t>
  </si>
  <si>
    <t>016155336</t>
  </si>
  <si>
    <t>GAEC DE L'ILE</t>
  </si>
  <si>
    <t>SIGC220560000822-1</t>
  </si>
  <si>
    <t>021155142</t>
  </si>
  <si>
    <t>earl scremin</t>
  </si>
  <si>
    <t>SI22BI032004613-1</t>
  </si>
  <si>
    <t>032169923</t>
  </si>
  <si>
    <t>Bastard Fabien</t>
  </si>
  <si>
    <t>SIGC220260000812-1</t>
  </si>
  <si>
    <t>016012171</t>
  </si>
  <si>
    <t>SI22BI024003821-1</t>
  </si>
  <si>
    <t>016156596</t>
  </si>
  <si>
    <t>SI22BI032004081-1</t>
  </si>
  <si>
    <t>031156132</t>
  </si>
  <si>
    <t>SCEA des CHAUMES</t>
  </si>
  <si>
    <t>SI22BI018004053-1</t>
  </si>
  <si>
    <t>055014072</t>
  </si>
  <si>
    <t>SI22BI026003564-2</t>
  </si>
  <si>
    <t>086162438</t>
  </si>
  <si>
    <t>le grand gillou</t>
  </si>
  <si>
    <t>SI22BI026004211-1</t>
  </si>
  <si>
    <t>024035572</t>
  </si>
  <si>
    <t>SIGC220320000715-1</t>
  </si>
  <si>
    <t>031013486</t>
  </si>
  <si>
    <t>AUBRY GAEC</t>
  </si>
  <si>
    <t>SIGC220560000716-1</t>
  </si>
  <si>
    <t>021004631</t>
  </si>
  <si>
    <t>SI22BI022004542-1</t>
  </si>
  <si>
    <t>031004340</t>
  </si>
  <si>
    <t>EARL Bonneaud JP</t>
  </si>
  <si>
    <t>SI22BI026004585-2</t>
  </si>
  <si>
    <t>017013121</t>
  </si>
  <si>
    <t>EARL SAINT ANTOINE</t>
  </si>
  <si>
    <t>SIGC220260000724-1</t>
  </si>
  <si>
    <t>086160403</t>
  </si>
  <si>
    <t>EARL RIVES</t>
  </si>
  <si>
    <t>SI22BI013004480-1</t>
  </si>
  <si>
    <t>009008798</t>
  </si>
  <si>
    <t>EARL LA MARJOLAINE</t>
  </si>
  <si>
    <t>SI22BI026004499-1</t>
  </si>
  <si>
    <t>086161699</t>
  </si>
  <si>
    <t>EARL LAROCHE</t>
  </si>
  <si>
    <t>SIGC220140000704-1</t>
  </si>
  <si>
    <t>079152347</t>
  </si>
  <si>
    <t>EARL NEUGNOT</t>
  </si>
  <si>
    <t>SIGC220560000731-1</t>
  </si>
  <si>
    <t>021158869</t>
  </si>
  <si>
    <t>SI22BI032004629-1</t>
  </si>
  <si>
    <t>032015369</t>
  </si>
  <si>
    <t>Les Luneaux</t>
  </si>
  <si>
    <t>SI22BI026004623-2</t>
  </si>
  <si>
    <t>086164562</t>
  </si>
  <si>
    <t>SCEA Des acacias</t>
  </si>
  <si>
    <t>SIGC220320000737-1</t>
  </si>
  <si>
    <t>031154465</t>
  </si>
  <si>
    <t>Camguilhem Martine</t>
  </si>
  <si>
    <t>SI22BI0020000361-1</t>
  </si>
  <si>
    <t>064176078</t>
  </si>
  <si>
    <t>Philippe Boisseau</t>
  </si>
  <si>
    <t>SI22BI026004221-1</t>
  </si>
  <si>
    <t>086159975</t>
  </si>
  <si>
    <t>Jean Marc Prudhomme</t>
  </si>
  <si>
    <t>SI22BI026004520-1</t>
  </si>
  <si>
    <t>016005748</t>
  </si>
  <si>
    <t>GAEC BERNARD</t>
  </si>
  <si>
    <t>SI22BI020003891-1</t>
  </si>
  <si>
    <t>070010979</t>
  </si>
  <si>
    <t>SI22BI022004541-1</t>
  </si>
  <si>
    <t>031158014</t>
  </si>
  <si>
    <t>EARL LAMARQUE</t>
  </si>
  <si>
    <t>SI22BI002004477-1</t>
  </si>
  <si>
    <t>064178684</t>
  </si>
  <si>
    <t>MARC PLISSON</t>
  </si>
  <si>
    <t>SI22BI053004131-1</t>
  </si>
  <si>
    <t>036158824</t>
  </si>
  <si>
    <t>MENOUX Loic</t>
  </si>
  <si>
    <t>SIGC220190000466-1</t>
  </si>
  <si>
    <t>055014151</t>
  </si>
  <si>
    <t>SI22BI022004538-1</t>
  </si>
  <si>
    <t>031158220</t>
  </si>
  <si>
    <t>mengual gabriel</t>
  </si>
  <si>
    <t>SIGC220320000566-1</t>
  </si>
  <si>
    <t>031159941</t>
  </si>
  <si>
    <t>mengual jean-louis</t>
  </si>
  <si>
    <t>SIGC220320000568-1</t>
  </si>
  <si>
    <t>031014696</t>
  </si>
  <si>
    <t>SCEA DE LA BOULARDIE</t>
  </si>
  <si>
    <t>SIGC220260000538-1</t>
  </si>
  <si>
    <t>016156840</t>
  </si>
  <si>
    <t>Earl de Chez Roucher</t>
  </si>
  <si>
    <t>SI22BI026004320-1</t>
  </si>
  <si>
    <t>086160247</t>
  </si>
  <si>
    <t>LA VENELLE</t>
  </si>
  <si>
    <t>SI22BI053004469-1</t>
  </si>
  <si>
    <t>045013432</t>
  </si>
  <si>
    <t>SI22BI005003874-2</t>
  </si>
  <si>
    <t>060005043</t>
  </si>
  <si>
    <t>EARL PUY BRUN</t>
  </si>
  <si>
    <t>SI22BI026003824-1</t>
  </si>
  <si>
    <t>024029820</t>
  </si>
  <si>
    <t>Domaine de Reuillet</t>
  </si>
  <si>
    <t>SI22BI053004440-1</t>
  </si>
  <si>
    <t>058017974</t>
  </si>
  <si>
    <t>EARL GUERREAU CHRISTIAN</t>
  </si>
  <si>
    <t>SIGC220560000489-1</t>
  </si>
  <si>
    <t>089153143</t>
  </si>
  <si>
    <t>Aisne</t>
  </si>
  <si>
    <t>FOURNIER ALEXIS</t>
  </si>
  <si>
    <t>SI22BI0050000156-1</t>
  </si>
  <si>
    <t>002161067</t>
  </si>
  <si>
    <t>SI22BI018004002-1</t>
  </si>
  <si>
    <t>054013957</t>
  </si>
  <si>
    <t>EARL de la GRAND COUTURE</t>
  </si>
  <si>
    <t>SIGC220190000487-1</t>
  </si>
  <si>
    <t>055013725</t>
  </si>
  <si>
    <t>GAEC LA RALIERE</t>
  </si>
  <si>
    <t>SI22BI026003807-1</t>
  </si>
  <si>
    <t>079014953</t>
  </si>
  <si>
    <t>Guillaume Besse</t>
  </si>
  <si>
    <t>SI22BI026003758-2</t>
  </si>
  <si>
    <t>024037183</t>
  </si>
  <si>
    <t>DUPEYRE DENIS</t>
  </si>
  <si>
    <t>SIGC220220000457-3</t>
  </si>
  <si>
    <t>082006318</t>
  </si>
  <si>
    <t>ERIC LARREY</t>
  </si>
  <si>
    <t>SI22BI032004571-1</t>
  </si>
  <si>
    <t>031152889</t>
  </si>
  <si>
    <t>EARL COUCHENEY JEROME</t>
  </si>
  <si>
    <t>SIGC220560000543-1</t>
  </si>
  <si>
    <t>021010420</t>
  </si>
  <si>
    <t>VIRELY  CHARLES</t>
  </si>
  <si>
    <t>SIGC220560000495-1</t>
  </si>
  <si>
    <t>021156021</t>
  </si>
  <si>
    <t>De La Bergerie</t>
  </si>
  <si>
    <t>SIGC220200000465-2</t>
  </si>
  <si>
    <t>070009448</t>
  </si>
  <si>
    <t>earl du terrier</t>
  </si>
  <si>
    <t>SI22BI026003994-1</t>
  </si>
  <si>
    <t>086015667</t>
  </si>
  <si>
    <t>Hautes-Pyrénées</t>
  </si>
  <si>
    <t>407 DUBOSC ELEVAGE</t>
  </si>
  <si>
    <t>SI22BI032004407-1</t>
  </si>
  <si>
    <t>065154825</t>
  </si>
  <si>
    <t>SI22BI020003557-1</t>
  </si>
  <si>
    <t>071161077</t>
  </si>
  <si>
    <t>JEAN-PHILIPPE DAVIAUD</t>
  </si>
  <si>
    <t>SI22BI026003729-1</t>
  </si>
  <si>
    <t>079020336</t>
  </si>
  <si>
    <t>CHAIGNEAU CATHERINE</t>
  </si>
  <si>
    <t>SI22BI026003640-2</t>
  </si>
  <si>
    <t>079160610</t>
  </si>
  <si>
    <t>patrick CHAGNAUD</t>
  </si>
  <si>
    <t>SI22BI026004362-1</t>
  </si>
  <si>
    <t>016158032</t>
  </si>
  <si>
    <t>SI22BI020003551-1</t>
  </si>
  <si>
    <t>070009117</t>
  </si>
  <si>
    <t>Earl de la lune</t>
  </si>
  <si>
    <t>SI22BI026004609-1</t>
  </si>
  <si>
    <t>086015736</t>
  </si>
  <si>
    <t>CAVIN ET FILLES</t>
  </si>
  <si>
    <t>SIGC220190000481-1</t>
  </si>
  <si>
    <t>052012754</t>
  </si>
  <si>
    <t>EARL DE JYP</t>
  </si>
  <si>
    <t>SIGC220190000479-1</t>
  </si>
  <si>
    <t>055014044</t>
  </si>
  <si>
    <t>EARL LES  2 BOIS</t>
  </si>
  <si>
    <t>SI22BI026003798-1</t>
  </si>
  <si>
    <t>079159678</t>
  </si>
  <si>
    <t>le champ du village</t>
  </si>
  <si>
    <t>SI22BI026003967-1</t>
  </si>
  <si>
    <t>079159180</t>
  </si>
  <si>
    <t>SCEA BOUSSARD</t>
  </si>
  <si>
    <t>SI22BI001004245-2</t>
  </si>
  <si>
    <t>089011252</t>
  </si>
  <si>
    <t>SAUMON J-L</t>
  </si>
  <si>
    <t>SI22BI026003655-1</t>
  </si>
  <si>
    <t>016003377</t>
  </si>
  <si>
    <t>CHAMPAGNE J-P</t>
  </si>
  <si>
    <t>SI22BI026003653-1</t>
  </si>
  <si>
    <t>017013449</t>
  </si>
  <si>
    <t>SI22BI026004447-1</t>
  </si>
  <si>
    <t>079013062</t>
  </si>
  <si>
    <t>SI22BI018003660-1</t>
  </si>
  <si>
    <t>055013658</t>
  </si>
  <si>
    <t>MEDIGUE THIERRY</t>
  </si>
  <si>
    <t>SI22BI020003540-1</t>
  </si>
  <si>
    <t>039152155</t>
  </si>
  <si>
    <t>EARL GAILLOU PERE ET FILS</t>
  </si>
  <si>
    <t>SI22BI026004583-1</t>
  </si>
  <si>
    <t>017006833</t>
  </si>
  <si>
    <t>EARL DU TILLEUL</t>
  </si>
  <si>
    <t>SI22BI026004126-1</t>
  </si>
  <si>
    <t>079014666</t>
  </si>
  <si>
    <t>SYLVIE DELAS</t>
  </si>
  <si>
    <t>SIGC220320000503-2</t>
  </si>
  <si>
    <t>031157380</t>
  </si>
  <si>
    <t>RICHARD GAVA</t>
  </si>
  <si>
    <t>SI22BI032004088-3</t>
  </si>
  <si>
    <t>031018265</t>
  </si>
  <si>
    <t>SI22BI026003595-2</t>
  </si>
  <si>
    <t>079158930</t>
  </si>
  <si>
    <t>SIGC220260000808-1</t>
  </si>
  <si>
    <t>079001225</t>
  </si>
  <si>
    <t>thierry goudelin</t>
  </si>
  <si>
    <t>SI22BI028004619-1</t>
  </si>
  <si>
    <t>024037126</t>
  </si>
  <si>
    <t>Jean claude  madre</t>
  </si>
  <si>
    <t>SI22BI003004271-2</t>
  </si>
  <si>
    <t>045007543</t>
  </si>
  <si>
    <t>SI22BI039003505-2</t>
  </si>
  <si>
    <t>055015666</t>
  </si>
  <si>
    <t>BOUVIER GUY</t>
  </si>
  <si>
    <t>SI22BI020003898-3</t>
  </si>
  <si>
    <t>039005906</t>
  </si>
  <si>
    <t>du gué</t>
  </si>
  <si>
    <t>SI22BI026004509-1</t>
  </si>
  <si>
    <t>079161341</t>
  </si>
  <si>
    <t>despax Marc</t>
  </si>
  <si>
    <t>SIGC220320000798-1</t>
  </si>
  <si>
    <t>032009230</t>
  </si>
  <si>
    <t>SUBERCAZE RACHEL</t>
  </si>
  <si>
    <t>SIGC220320000799-1</t>
  </si>
  <si>
    <t>031157788</t>
  </si>
  <si>
    <t>Pascal Montaufier</t>
  </si>
  <si>
    <t>SI22BI026003897-1</t>
  </si>
  <si>
    <t>086014679</t>
  </si>
  <si>
    <t>Nathalie MARTINEAU</t>
  </si>
  <si>
    <t>SI22BI014003960-2</t>
  </si>
  <si>
    <t>017010034</t>
  </si>
  <si>
    <t>SCEA JUSSIÉ JOHANET</t>
  </si>
  <si>
    <t>SIGC220260000423-3</t>
  </si>
  <si>
    <t>086164753</t>
  </si>
  <si>
    <t>SI22BI026003639-1</t>
  </si>
  <si>
    <t>017008328</t>
  </si>
  <si>
    <t>GOUSSEAU PATRICK</t>
  </si>
  <si>
    <t>SI22BI026003732-1</t>
  </si>
  <si>
    <t>017006150</t>
  </si>
  <si>
    <t>GAEC AIRAUD</t>
  </si>
  <si>
    <t>SI22BI026003789-1</t>
  </si>
  <si>
    <t>087008759</t>
  </si>
  <si>
    <t>EARL Estève</t>
  </si>
  <si>
    <t>SI22BI026004029-1</t>
  </si>
  <si>
    <t>017161189</t>
  </si>
  <si>
    <t>EARL les écureuils</t>
  </si>
  <si>
    <t>SI22BI026004486-1</t>
  </si>
  <si>
    <t>079156606</t>
  </si>
  <si>
    <t>SIGC220560000517-2</t>
  </si>
  <si>
    <t>021156401</t>
  </si>
  <si>
    <t>EARL LES TULIPES</t>
  </si>
  <si>
    <t>SIGC220560000826-1</t>
  </si>
  <si>
    <t>021158422</t>
  </si>
  <si>
    <t>Remy frackowiak</t>
  </si>
  <si>
    <t>SIGC220320000792-1</t>
  </si>
  <si>
    <t>032000000</t>
  </si>
  <si>
    <t>SI22BI005003877-4</t>
  </si>
  <si>
    <t>091004453</t>
  </si>
  <si>
    <t>SCEA DE BOUMERGUETTE</t>
  </si>
  <si>
    <t>SIGC220310000674-3</t>
  </si>
  <si>
    <t>047172004</t>
  </si>
  <si>
    <t>de la boupatere</t>
  </si>
  <si>
    <t>SI22BI032004288-1</t>
  </si>
  <si>
    <t>032166727</t>
  </si>
  <si>
    <t>SCEA BRAJON</t>
  </si>
  <si>
    <t>SIGC220560000828-1</t>
  </si>
  <si>
    <t>021011087</t>
  </si>
  <si>
    <t>EARL DE LAMARTINE</t>
  </si>
  <si>
    <t>SIGC220560000841-1</t>
  </si>
  <si>
    <t>021008182</t>
  </si>
  <si>
    <t>La Petite Jacquerie</t>
  </si>
  <si>
    <t>SIGC220100000576-3</t>
  </si>
  <si>
    <t>079159929</t>
  </si>
  <si>
    <t>EARL TABOURET</t>
  </si>
  <si>
    <t>SIGC220530000993-1</t>
  </si>
  <si>
    <t>010003921</t>
  </si>
  <si>
    <t>arancini Philippe</t>
  </si>
  <si>
    <t>SIGC220320000726-2</t>
  </si>
  <si>
    <t>032019210</t>
  </si>
  <si>
    <t>DOMAINE DE PUYGRELIER</t>
  </si>
  <si>
    <t>SI22BI026003852-3</t>
  </si>
  <si>
    <t>016165261</t>
  </si>
  <si>
    <t>Mathieu MIALON</t>
  </si>
  <si>
    <t>SI22BI014004321-2</t>
  </si>
  <si>
    <t>079157626</t>
  </si>
  <si>
    <t>SARL LES 2 FONTAINES</t>
  </si>
  <si>
    <t>SI22BI014004322-2</t>
  </si>
  <si>
    <t>079151335</t>
  </si>
  <si>
    <t>SI22BI010004572-2</t>
  </si>
  <si>
    <t>079014164</t>
  </si>
  <si>
    <t>EARL THIBAULT</t>
  </si>
  <si>
    <t>SIGC220560000628-3</t>
  </si>
  <si>
    <t>021009338</t>
  </si>
  <si>
    <t>chevalier  jacqueline</t>
  </si>
  <si>
    <t>SIGC220560000954-1</t>
  </si>
  <si>
    <t>021158915</t>
  </si>
  <si>
    <t>EARL DE CAHOUAN</t>
  </si>
  <si>
    <t>SIGC220050000458-3</t>
  </si>
  <si>
    <t>082021199</t>
  </si>
  <si>
    <t>comeille Philippe</t>
  </si>
  <si>
    <t>SIGC220320000797-2</t>
  </si>
  <si>
    <t>032007715</t>
  </si>
  <si>
    <t>ludovic bacilieri</t>
  </si>
  <si>
    <t>SIGC220320000555-4</t>
  </si>
  <si>
    <t>031152703</t>
  </si>
  <si>
    <t>Victor Delaveau</t>
  </si>
  <si>
    <t>SI22BI026004441-5</t>
  </si>
  <si>
    <t>086163491</t>
  </si>
  <si>
    <t>SIGC220280000675-1</t>
  </si>
  <si>
    <t>024035308</t>
  </si>
  <si>
    <t>Earl du patis des douves</t>
  </si>
  <si>
    <t>SI22BI026004460-3</t>
  </si>
  <si>
    <t>086160733</t>
  </si>
  <si>
    <t>Thierry COUTON</t>
  </si>
  <si>
    <t>SIGC220140000659-2</t>
  </si>
  <si>
    <t>017007159</t>
  </si>
  <si>
    <t>GAEC DU HOURQUET</t>
  </si>
  <si>
    <t>SI22BI032004283-2</t>
  </si>
  <si>
    <t>031157455</t>
  </si>
  <si>
    <t>EARL LA FOSSE AURE</t>
  </si>
  <si>
    <t>SI22BI014004318-2</t>
  </si>
  <si>
    <t>079013544</t>
  </si>
  <si>
    <t>EARL du POUZAT</t>
  </si>
  <si>
    <t>SIGC220140000723-2</t>
  </si>
  <si>
    <t>017168668</t>
  </si>
  <si>
    <t>EARL DU MOULIN JOLI</t>
  </si>
  <si>
    <t>SIGC220260000640-4</t>
  </si>
  <si>
    <t>016162366</t>
  </si>
  <si>
    <t>DOMAINE COIFFARD</t>
  </si>
  <si>
    <t>SI22BI026004129-4</t>
  </si>
  <si>
    <t>086163975</t>
  </si>
  <si>
    <t>gfa des chirons</t>
  </si>
  <si>
    <t>SI22BI026004250-3</t>
  </si>
  <si>
    <t>086007055</t>
  </si>
  <si>
    <t>SCEA CONDEMINE</t>
  </si>
  <si>
    <t>SI22BI026004364-4</t>
  </si>
  <si>
    <t>016164082</t>
  </si>
  <si>
    <t>GAEC DE LA METAIRIE</t>
  </si>
  <si>
    <t>SI22BI032004079-2</t>
  </si>
  <si>
    <t>031158853</t>
  </si>
  <si>
    <t>RENAUD BERTHON</t>
  </si>
  <si>
    <t>SI22BI001004573-2</t>
  </si>
  <si>
    <t>089156923</t>
  </si>
  <si>
    <t>DESGRANGES</t>
  </si>
  <si>
    <t>SI22BI026003771-2</t>
  </si>
  <si>
    <t>086160400</t>
  </si>
  <si>
    <t>EARL DE LAS HOURQUES</t>
  </si>
  <si>
    <t>SIGC220320000714-2</t>
  </si>
  <si>
    <t>031154206</t>
  </si>
  <si>
    <t>GAEC DES COUDRIERES</t>
  </si>
  <si>
    <t>SI22BI026004514-1</t>
  </si>
  <si>
    <t>086164098</t>
  </si>
  <si>
    <t>Ludovic Devalle</t>
  </si>
  <si>
    <t>SI22BI032004436-1</t>
  </si>
  <si>
    <t>032169445</t>
  </si>
  <si>
    <t>Rouge  Dominique</t>
  </si>
  <si>
    <t>SIGC220320000709-1</t>
  </si>
  <si>
    <t>031018298</t>
  </si>
  <si>
    <t>EARL DE LA PRADE</t>
  </si>
  <si>
    <t>SIGC220320000711-1</t>
  </si>
  <si>
    <t>065159455</t>
  </si>
  <si>
    <t>EARL GUILLET</t>
  </si>
  <si>
    <t>SI22BI026004091-1</t>
  </si>
  <si>
    <t>017162735</t>
  </si>
  <si>
    <t>EARL DE LA FORGE</t>
  </si>
  <si>
    <t>SIGC220560000494-1</t>
  </si>
  <si>
    <t>021157491</t>
  </si>
  <si>
    <t>EARL DE LA VALLEE DU SEREIN</t>
  </si>
  <si>
    <t>SIGC220560000551-1</t>
  </si>
  <si>
    <t>021157798</t>
  </si>
  <si>
    <t>earl la figeasse</t>
  </si>
  <si>
    <t>SIGC220260000613-2</t>
  </si>
  <si>
    <t>017115663</t>
  </si>
  <si>
    <t>SI22BI0310000112-3</t>
  </si>
  <si>
    <t>047159463</t>
  </si>
  <si>
    <t>EARL DE LA CROZE</t>
  </si>
  <si>
    <t>SI22BI032004506-1</t>
  </si>
  <si>
    <t>032000745</t>
  </si>
  <si>
    <t>EARL VIROT</t>
  </si>
  <si>
    <t>SIGC220200000569-1</t>
  </si>
  <si>
    <t>070014113</t>
  </si>
  <si>
    <t xml:space="preserve">Colza de printemps BIO </t>
  </si>
  <si>
    <t>SCEA AU CASTET</t>
  </si>
  <si>
    <t>SIGC220220001005-1</t>
  </si>
  <si>
    <t>064417691</t>
  </si>
  <si>
    <t>SIGC220560000539-5</t>
  </si>
  <si>
    <t>MIBAINE</t>
  </si>
  <si>
    <t>SI22BI026003726-1</t>
  </si>
  <si>
    <t>024037651</t>
  </si>
  <si>
    <t>Tixier Clément</t>
  </si>
  <si>
    <t>SIGC220260000593-2</t>
  </si>
  <si>
    <t>023022463</t>
  </si>
  <si>
    <t>SCEA BOURDALLE</t>
  </si>
  <si>
    <t>SI22BI0220000210-2</t>
  </si>
  <si>
    <t>064019189</t>
  </si>
  <si>
    <t>philippe lamarcade</t>
  </si>
  <si>
    <t>SI22BI0220000147-2</t>
  </si>
  <si>
    <t>040011502</t>
  </si>
  <si>
    <t>SI22BI0220000227-3</t>
  </si>
  <si>
    <t>064167091</t>
  </si>
  <si>
    <t>earl de noailles</t>
  </si>
  <si>
    <t>SIGC220260000624-1</t>
  </si>
  <si>
    <t>016164524</t>
  </si>
  <si>
    <t>Thierry Feytout</t>
  </si>
  <si>
    <t>SI22BI026004010-1</t>
  </si>
  <si>
    <t>024013057</t>
  </si>
  <si>
    <t>gaec epagnoux</t>
  </si>
  <si>
    <t>SIGC220140000688-1</t>
  </si>
  <si>
    <t>017167222</t>
  </si>
  <si>
    <t>scea</t>
  </si>
  <si>
    <t>SIGC220260001019-1</t>
  </si>
  <si>
    <t>086163119</t>
  </si>
  <si>
    <t>SI22BI026004112-2</t>
  </si>
  <si>
    <t>024030572</t>
  </si>
  <si>
    <t>EARL LANGLES</t>
  </si>
  <si>
    <t>SI22BI0220000146-2</t>
  </si>
  <si>
    <t>064166432</t>
  </si>
  <si>
    <t>Gaec Biak bat</t>
  </si>
  <si>
    <t>SI22BI0220000217-1</t>
  </si>
  <si>
    <t>064176682</t>
  </si>
  <si>
    <t>Jocelyn Aude</t>
  </si>
  <si>
    <t>SIGC220260000664-2</t>
  </si>
  <si>
    <t>079161001</t>
  </si>
  <si>
    <t>SI22BI0220000143-4</t>
  </si>
  <si>
    <t>064019520</t>
  </si>
  <si>
    <t>Cottin Ludovic</t>
  </si>
  <si>
    <t>SIGC220260000916-1</t>
  </si>
  <si>
    <t>087020179</t>
  </si>
  <si>
    <t>vagner yvette</t>
  </si>
  <si>
    <t>SIGC220560001008-1</t>
  </si>
  <si>
    <t>070015749</t>
  </si>
  <si>
    <t>SCEA DES CAILLETOTS</t>
  </si>
  <si>
    <t>SIGC220050000943-1</t>
  </si>
  <si>
    <t>060007679</t>
  </si>
  <si>
    <t>Jocelyne Renoncet</t>
  </si>
  <si>
    <t>SI22BI053004468-1</t>
  </si>
  <si>
    <t>036005432</t>
  </si>
  <si>
    <t>agriculteur</t>
  </si>
  <si>
    <t>SIGC220550000708-1</t>
  </si>
  <si>
    <t>079004482</t>
  </si>
  <si>
    <t>goubet</t>
  </si>
  <si>
    <t>SIGC220220000699-1</t>
  </si>
  <si>
    <t>031160503</t>
  </si>
  <si>
    <t>SIGC220220000558-1</t>
  </si>
  <si>
    <t>064167654</t>
  </si>
  <si>
    <t>mas franck</t>
  </si>
  <si>
    <t>SIGC220260000796-1</t>
  </si>
  <si>
    <t>016156457</t>
  </si>
  <si>
    <t>SCEA DU BROUSSEAU</t>
  </si>
  <si>
    <t>SIGC220050000646-2</t>
  </si>
  <si>
    <t>079159030</t>
  </si>
  <si>
    <t>EARL DE L'EPINAY</t>
  </si>
  <si>
    <t>SIGC220050000648-2</t>
  </si>
  <si>
    <t>079003262</t>
  </si>
  <si>
    <t>Vendée</t>
  </si>
  <si>
    <t>Isabelle Pillot</t>
  </si>
  <si>
    <t>SIGC220050000940-1</t>
  </si>
  <si>
    <t>086015701</t>
  </si>
  <si>
    <t>DUCOS Sophie</t>
  </si>
  <si>
    <t>SIGC220220000477-1</t>
  </si>
  <si>
    <t>064172327</t>
  </si>
  <si>
    <t>Colza d'hiver semences</t>
  </si>
  <si>
    <t>SCEA de JUAU</t>
  </si>
  <si>
    <t>SIGC220320000598-4</t>
  </si>
  <si>
    <t>032168645</t>
  </si>
  <si>
    <t>scea miel et produits</t>
  </si>
  <si>
    <t>SIGC220050000939-2</t>
  </si>
  <si>
    <t>079160764</t>
  </si>
  <si>
    <t>gaec de la migenne</t>
  </si>
  <si>
    <t>SIGC220370000571-1</t>
  </si>
  <si>
    <t>036160782</t>
  </si>
  <si>
    <t>Féveroles et fèves semences</t>
  </si>
  <si>
    <t>EARL DE PENE</t>
  </si>
  <si>
    <t>SI22BI0220000255-1</t>
  </si>
  <si>
    <t>064166017</t>
  </si>
  <si>
    <t>Harocot de conserverie</t>
  </si>
  <si>
    <t>EARL DE GIMAT</t>
  </si>
  <si>
    <t>SI22BI0320000364-0</t>
  </si>
  <si>
    <t>032162742</t>
  </si>
  <si>
    <t>Caillavet Isabelle</t>
  </si>
  <si>
    <t>SI22BI0320000363-0</t>
  </si>
  <si>
    <t>032160100</t>
  </si>
  <si>
    <t>Lin textile BIO</t>
  </si>
  <si>
    <t>Lupin Doux semences</t>
  </si>
  <si>
    <t>EARL PETRAU FREDERIC</t>
  </si>
  <si>
    <t>SI22BI0220000250-1</t>
  </si>
  <si>
    <t>064172859</t>
  </si>
  <si>
    <t>Amistad</t>
  </si>
  <si>
    <t>SI22BI0020000362-0</t>
  </si>
  <si>
    <t>064163975</t>
  </si>
  <si>
    <t>EARL BOUCHET PATRICK</t>
  </si>
  <si>
    <t>SI22BI0220000293-1</t>
  </si>
  <si>
    <t>064168480</t>
  </si>
  <si>
    <t>HUBERT AUGA-BASCOU</t>
  </si>
  <si>
    <t>SI22BI0220000136-2</t>
  </si>
  <si>
    <t>064002320</t>
  </si>
  <si>
    <t>scea des moulins</t>
  </si>
  <si>
    <t>SI22BI0220000317-1</t>
  </si>
  <si>
    <t>040177076</t>
  </si>
  <si>
    <t>GAEC DU RUISSEAU</t>
  </si>
  <si>
    <t>SI22BI0220000128-2</t>
  </si>
  <si>
    <t>064010531</t>
  </si>
  <si>
    <t>REMY CUYALA PROVENCE</t>
  </si>
  <si>
    <t>SI22BI0220000296-0</t>
  </si>
  <si>
    <t>032163994</t>
  </si>
  <si>
    <t>Earl PEYRE LACOUME</t>
  </si>
  <si>
    <t>SI22BI0220000326-0</t>
  </si>
  <si>
    <t>064022401</t>
  </si>
  <si>
    <t>jean marc baylocq</t>
  </si>
  <si>
    <t>SI22BI0220000337-0</t>
  </si>
  <si>
    <t>064008863</t>
  </si>
  <si>
    <t>SCEA  LAS PALOUMES</t>
  </si>
  <si>
    <t>SI22BI0220000342-2</t>
  </si>
  <si>
    <t>064022399</t>
  </si>
  <si>
    <t>des BRUYERES</t>
  </si>
  <si>
    <t>SI22BI0220000220-1</t>
  </si>
  <si>
    <t>064007686</t>
  </si>
  <si>
    <t>lahargue pierre</t>
  </si>
  <si>
    <t>SIGC220220000963-1</t>
  </si>
  <si>
    <t>064163080</t>
  </si>
  <si>
    <t>GAEC DES VERGNAUDIERES</t>
  </si>
  <si>
    <t>SIGC220260000718-1</t>
  </si>
  <si>
    <t>079013226</t>
  </si>
  <si>
    <t>EARL DU BARRAT</t>
  </si>
  <si>
    <t>SI22BI0220000353-0</t>
  </si>
  <si>
    <t>064164666</t>
  </si>
  <si>
    <t>SI22BI022003804-1</t>
  </si>
  <si>
    <t>064022142</t>
  </si>
  <si>
    <t>Jerome  Sabathier</t>
  </si>
  <si>
    <t>SI22BI032003827-0</t>
  </si>
  <si>
    <t>065158852</t>
  </si>
  <si>
    <t>CHOUDYNAMIE</t>
  </si>
  <si>
    <t>SI22BI0220000346-0</t>
  </si>
  <si>
    <t>040178280</t>
  </si>
  <si>
    <t>SI22BI0220000201-2</t>
  </si>
  <si>
    <t>064163379</t>
  </si>
  <si>
    <t>Thomas BACH</t>
  </si>
  <si>
    <t>SI22BI024003924-1</t>
  </si>
  <si>
    <t>016166859</t>
  </si>
  <si>
    <t>Lilian PETRAU</t>
  </si>
  <si>
    <t>SI22BI0220000332-1</t>
  </si>
  <si>
    <t>064166588</t>
  </si>
  <si>
    <t>SI22BI0220000339-1</t>
  </si>
  <si>
    <t>064169142</t>
  </si>
  <si>
    <t>SCEA BONNEFON</t>
  </si>
  <si>
    <t>SIGC220220000982-1</t>
  </si>
  <si>
    <t>064163116</t>
  </si>
  <si>
    <t>Didier PREUILH</t>
  </si>
  <si>
    <t>SI22BI0220000290-1</t>
  </si>
  <si>
    <t>040007024</t>
  </si>
  <si>
    <t>SI22BI0220000365-1</t>
  </si>
  <si>
    <t>064021607</t>
  </si>
  <si>
    <t>SIGC220220000995-1</t>
  </si>
  <si>
    <t>040157479</t>
  </si>
  <si>
    <t>Scea Castaing</t>
  </si>
  <si>
    <t>SIGC220220000955-1</t>
  </si>
  <si>
    <t>064170894</t>
  </si>
  <si>
    <t>SI22BI022003716-1</t>
  </si>
  <si>
    <t>064021630</t>
  </si>
  <si>
    <t>EARL SOFIPORC</t>
  </si>
  <si>
    <t>SIGC220220000974-1</t>
  </si>
  <si>
    <t>064016238</t>
  </si>
  <si>
    <t>Marc ARROUZE</t>
  </si>
  <si>
    <t>SI22BI0220000284-2</t>
  </si>
  <si>
    <t>064007006</t>
  </si>
  <si>
    <t>GAEC BAILLENX</t>
  </si>
  <si>
    <t>SI22BI0220000257-1</t>
  </si>
  <si>
    <t>064176555</t>
  </si>
  <si>
    <t>SI22BI0220000309-1</t>
  </si>
  <si>
    <t>064172419</t>
  </si>
  <si>
    <t>EARL CAPBOSCQ</t>
  </si>
  <si>
    <t>SI22BI0220000263-2</t>
  </si>
  <si>
    <t>064166921</t>
  </si>
  <si>
    <t>SCEA LA DESIRADE</t>
  </si>
  <si>
    <t>SI22BI0220000335-2</t>
  </si>
  <si>
    <t>064172641</t>
  </si>
  <si>
    <t>EARL ARETTE</t>
  </si>
  <si>
    <t>SI22BI0220000298-1</t>
  </si>
  <si>
    <t>064013417</t>
  </si>
  <si>
    <t>SCEA DU BIALET</t>
  </si>
  <si>
    <t>SI22BI0220000330-2</t>
  </si>
  <si>
    <t>064018941</t>
  </si>
  <si>
    <t>SIGC220220001007-2</t>
  </si>
  <si>
    <t>064166167</t>
  </si>
  <si>
    <t>SIGC220220000950-2</t>
  </si>
  <si>
    <t>064021580</t>
  </si>
  <si>
    <t>maniort</t>
  </si>
  <si>
    <t>SI22BI0220000195-1</t>
  </si>
  <si>
    <t>040172130</t>
  </si>
  <si>
    <t>francoise casaurancq</t>
  </si>
  <si>
    <t>SI22BI0220000188-1</t>
  </si>
  <si>
    <t>064179198</t>
  </si>
  <si>
    <t>SI22BI0220000243-1</t>
  </si>
  <si>
    <t>064168209</t>
  </si>
  <si>
    <t>SCEA DE LATASTE</t>
  </si>
  <si>
    <t>SIGC220220000964-1</t>
  </si>
  <si>
    <t>040011765</t>
  </si>
  <si>
    <t>SCEA A D'ANÉ</t>
  </si>
  <si>
    <t>SI22BI0220000291-2</t>
  </si>
  <si>
    <t>064179749</t>
  </si>
  <si>
    <t>earl de la gesse</t>
  </si>
  <si>
    <t>SI22BI0320000312-1</t>
  </si>
  <si>
    <t>031158414</t>
  </si>
  <si>
    <t>Earl Maisonnave</t>
  </si>
  <si>
    <t>SIGC220220000932-1</t>
  </si>
  <si>
    <t>064171362</t>
  </si>
  <si>
    <t>De l'AUBIOSSE</t>
  </si>
  <si>
    <t>SI22BI0220000236-1</t>
  </si>
  <si>
    <t>064171943</t>
  </si>
  <si>
    <t>SIGC220220000929-1</t>
  </si>
  <si>
    <t>064417249</t>
  </si>
  <si>
    <t>SI22BI0220000141-1</t>
  </si>
  <si>
    <t>064170654</t>
  </si>
  <si>
    <t>COUSTE Catherine</t>
  </si>
  <si>
    <t>SIGC220220000930-1</t>
  </si>
  <si>
    <t>064176239</t>
  </si>
  <si>
    <t>Mélissa Cotton</t>
  </si>
  <si>
    <t>SI22BI0220000348-2</t>
  </si>
  <si>
    <t>064177199</t>
  </si>
  <si>
    <t>GAEC ARNAUBAIGT</t>
  </si>
  <si>
    <t>SI22BI022003819-1</t>
  </si>
  <si>
    <t>064176834</t>
  </si>
  <si>
    <t>SI22BI0220000325-1</t>
  </si>
  <si>
    <t>064173519</t>
  </si>
  <si>
    <t>SCEA PUYET</t>
  </si>
  <si>
    <t>SI22BI0220000204-1</t>
  </si>
  <si>
    <t>064175342</t>
  </si>
  <si>
    <t>marline</t>
  </si>
  <si>
    <t>SIGC220220000976-1</t>
  </si>
  <si>
    <t>064170543</t>
  </si>
  <si>
    <t>EARL BOUSCAT</t>
  </si>
  <si>
    <t>SIGC220020000985-1</t>
  </si>
  <si>
    <t>064022388</t>
  </si>
  <si>
    <t>SI22BI002003875-4</t>
  </si>
  <si>
    <t>033011315</t>
  </si>
  <si>
    <t>EARL DU BOURGUET</t>
  </si>
  <si>
    <t>SI22BI0220000322-0</t>
  </si>
  <si>
    <t>064169067</t>
  </si>
  <si>
    <t>SCEA DE LA COMBE</t>
  </si>
  <si>
    <t>SI22BI0140000185-0</t>
  </si>
  <si>
    <t>086162984</t>
  </si>
  <si>
    <t>SI22BI0220000297-0</t>
  </si>
  <si>
    <t>064178221</t>
  </si>
  <si>
    <t>PEGUILHE Christophe</t>
  </si>
  <si>
    <t>SI22BI0220000306-0</t>
  </si>
  <si>
    <t>064167403</t>
  </si>
  <si>
    <t>Gaec Meunier</t>
  </si>
  <si>
    <t>SI22BI020003959-0</t>
  </si>
  <si>
    <t>071164109</t>
  </si>
  <si>
    <t>Hervé MENDRIBIL</t>
  </si>
  <si>
    <t>SI22BI0220000154-0</t>
  </si>
  <si>
    <t>064173919</t>
  </si>
  <si>
    <t>EARL DAHETZE</t>
  </si>
  <si>
    <t>SI22BI0220000349-0</t>
  </si>
  <si>
    <t>064163049</t>
  </si>
  <si>
    <t>christian arnaud</t>
  </si>
  <si>
    <t>SI22BI0220000358-0</t>
  </si>
  <si>
    <t>040003411</t>
  </si>
  <si>
    <t>Nicolas Sansoulet</t>
  </si>
  <si>
    <t>SI22BI0220000316-1</t>
  </si>
  <si>
    <t>064169832</t>
  </si>
  <si>
    <t>Stéphane tartre</t>
  </si>
  <si>
    <t>SI22BI026003969-1</t>
  </si>
  <si>
    <t>017165055</t>
  </si>
  <si>
    <t>CHODERNIC Magali</t>
  </si>
  <si>
    <t>SI22BI0220000333-1</t>
  </si>
  <si>
    <t>064179438</t>
  </si>
  <si>
    <t>dubernet florent</t>
  </si>
  <si>
    <t>SIGC220220000956-2</t>
  </si>
  <si>
    <t>040047024</t>
  </si>
  <si>
    <t>earl du peyron</t>
  </si>
  <si>
    <t>SIGC220220000997-2</t>
  </si>
  <si>
    <t>040166677</t>
  </si>
  <si>
    <t>GERARD ROQUES</t>
  </si>
  <si>
    <t>SIGC220220001000-1</t>
  </si>
  <si>
    <t>065012344</t>
  </si>
  <si>
    <t>Sarl Souviron</t>
  </si>
  <si>
    <t>SIGC220220001002-1</t>
  </si>
  <si>
    <t>064175212</t>
  </si>
  <si>
    <t>bordenave  francois</t>
  </si>
  <si>
    <t>SI22BI0220000279-1</t>
  </si>
  <si>
    <t>064179761</t>
  </si>
  <si>
    <t>SI22BI0220000288-1</t>
  </si>
  <si>
    <t>064174665</t>
  </si>
  <si>
    <t>SIGC220220000980-2</t>
  </si>
  <si>
    <t>064165857</t>
  </si>
  <si>
    <t>scea lou niey</t>
  </si>
  <si>
    <t>SIGC220220001003-1</t>
  </si>
  <si>
    <t>064172441</t>
  </si>
  <si>
    <t>Gilbert CASSIN</t>
  </si>
  <si>
    <t>SIGC220320000582-3</t>
  </si>
  <si>
    <t>032014649</t>
  </si>
  <si>
    <t>EARL Hayet</t>
  </si>
  <si>
    <t>SIGC220220000977-1</t>
  </si>
  <si>
    <t>064165608</t>
  </si>
  <si>
    <t>serge BEAUME</t>
  </si>
  <si>
    <t>SI22BI0220000344-1</t>
  </si>
  <si>
    <t>064006379</t>
  </si>
  <si>
    <t>SI22BI0220000347-1</t>
  </si>
  <si>
    <t>064174740</t>
  </si>
  <si>
    <t>earl odde</t>
  </si>
  <si>
    <t>SIGC220220000991-1</t>
  </si>
  <si>
    <t>064020221</t>
  </si>
  <si>
    <t>Alain HOURQUET</t>
  </si>
  <si>
    <t>SI22BI0220000308-1</t>
  </si>
  <si>
    <t>064019191</t>
  </si>
  <si>
    <t>SI22BI0220000328-1</t>
  </si>
  <si>
    <t>064168172</t>
  </si>
  <si>
    <t>SIGC220220000958-1</t>
  </si>
  <si>
    <t>064175917</t>
  </si>
  <si>
    <t>VAISSIERE Patricia</t>
  </si>
  <si>
    <t>SIGC220220000953-1</t>
  </si>
  <si>
    <t>064180370</t>
  </si>
  <si>
    <t>SCEA DE LESLUYES</t>
  </si>
  <si>
    <t>SI22BI0220000282-1</t>
  </si>
  <si>
    <t>040176602</t>
  </si>
  <si>
    <t>Jean Louis DESPORT</t>
  </si>
  <si>
    <t>SI22BI026004160-1</t>
  </si>
  <si>
    <t>024004449</t>
  </si>
  <si>
    <t>Casse  fabien</t>
  </si>
  <si>
    <t>SI22BI0220000354-1</t>
  </si>
  <si>
    <t>064178764</t>
  </si>
  <si>
    <t>SI22BI0220000329-1</t>
  </si>
  <si>
    <t>064022476</t>
  </si>
  <si>
    <t>SI22BI0220000341-1</t>
  </si>
  <si>
    <t>064168999</t>
  </si>
  <si>
    <t>SIGC220020000579-2</t>
  </si>
  <si>
    <t>064021742</t>
  </si>
  <si>
    <t>SCEA la péruse</t>
  </si>
  <si>
    <t>SIGC220260000694-1</t>
  </si>
  <si>
    <t>079161308</t>
  </si>
  <si>
    <t>andre cazaban</t>
  </si>
  <si>
    <t>SI22BI0220000132-1</t>
  </si>
  <si>
    <t>064008851</t>
  </si>
  <si>
    <t>SI22BI0220000226-1</t>
  </si>
  <si>
    <t>064173109</t>
  </si>
  <si>
    <t>ALAIN DAUGENE</t>
  </si>
  <si>
    <t>SI22BI0220000340-1</t>
  </si>
  <si>
    <t>064019364</t>
  </si>
  <si>
    <t>Domecq isabelle</t>
  </si>
  <si>
    <t>SIGC220220000990-1</t>
  </si>
  <si>
    <t>064022227</t>
  </si>
  <si>
    <t>SIGC220220000969-1</t>
  </si>
  <si>
    <t>065155285</t>
  </si>
  <si>
    <t>lebat</t>
  </si>
  <si>
    <t>SI22BI0220000133-1</t>
  </si>
  <si>
    <t>064177580</t>
  </si>
  <si>
    <t>stephane FOURCADE</t>
  </si>
  <si>
    <t>SI22BI0220000126-2</t>
  </si>
  <si>
    <t>064013290</t>
  </si>
  <si>
    <t>EARL FARDIEL</t>
  </si>
  <si>
    <t>SI22BI0220000310-2</t>
  </si>
  <si>
    <t>064166128</t>
  </si>
  <si>
    <t>Lou Tauzia</t>
  </si>
  <si>
    <t>SI22BI0220000176-1</t>
  </si>
  <si>
    <t>064176427</t>
  </si>
  <si>
    <t>Alcetegaray Laurent</t>
  </si>
  <si>
    <t>SIGC220220000984-1</t>
  </si>
  <si>
    <t>064180388</t>
  </si>
  <si>
    <t>LAFOURCADE Eric</t>
  </si>
  <si>
    <t>SIGC220220000987-1</t>
  </si>
  <si>
    <t>040156649</t>
  </si>
  <si>
    <t>SCEA PELETACH</t>
  </si>
  <si>
    <t>SI22BI0220000252-3</t>
  </si>
  <si>
    <t>064173133</t>
  </si>
  <si>
    <t>Vincent PETRAU</t>
  </si>
  <si>
    <t>SI22BI0220000148-3</t>
  </si>
  <si>
    <t>064164009</t>
  </si>
  <si>
    <t>Laguerre Basse</t>
  </si>
  <si>
    <t>SI22BI0220000360-1</t>
  </si>
  <si>
    <t>064167250</t>
  </si>
  <si>
    <t>EARL DU PLATEAU</t>
  </si>
  <si>
    <t>SI22BI0220000239-1</t>
  </si>
  <si>
    <t>064170388</t>
  </si>
  <si>
    <t>de leny</t>
  </si>
  <si>
    <t>SI22BI0220000181-1</t>
  </si>
  <si>
    <t>064171693</t>
  </si>
  <si>
    <t>martine GESTAS</t>
  </si>
  <si>
    <t>SIGC220220001012-1</t>
  </si>
  <si>
    <t>064018201</t>
  </si>
  <si>
    <t>earl camguilhem</t>
  </si>
  <si>
    <t>SIGC220050000641-3</t>
  </si>
  <si>
    <t>064021333</t>
  </si>
  <si>
    <t>Jean Bernard AUGE</t>
  </si>
  <si>
    <t>SI22BI0220000139-2</t>
  </si>
  <si>
    <t>064168320</t>
  </si>
  <si>
    <t>SI22BI026003634-2</t>
  </si>
  <si>
    <t>079156799</t>
  </si>
  <si>
    <t>jean-marie bernard Daguerre</t>
  </si>
  <si>
    <t>SI22BI0220000129-1</t>
  </si>
  <si>
    <t>064019168</t>
  </si>
  <si>
    <t>SI22BI0220000299-1</t>
  </si>
  <si>
    <t>064172898</t>
  </si>
  <si>
    <t>DAVID COUTURE</t>
  </si>
  <si>
    <t>SI22BI0220000151-3</t>
  </si>
  <si>
    <t>064171807</t>
  </si>
  <si>
    <t>didier BORDENAVE</t>
  </si>
  <si>
    <t>SIGC220220000947-1</t>
  </si>
  <si>
    <t>064022551</t>
  </si>
  <si>
    <t>EARL CDROMAT</t>
  </si>
  <si>
    <t>SIGC220220000952-1</t>
  </si>
  <si>
    <t>064174080</t>
  </si>
  <si>
    <t>SI22BI0220000256-2</t>
  </si>
  <si>
    <t>064173380</t>
  </si>
  <si>
    <t>SI22BI0220000283-2</t>
  </si>
  <si>
    <t>064017410</t>
  </si>
  <si>
    <t>Jean Castagnet</t>
  </si>
  <si>
    <t>SIGC220220000962-1</t>
  </si>
  <si>
    <t>064017202</t>
  </si>
  <si>
    <t>EARL DE CAPERAN</t>
  </si>
  <si>
    <t>SI22BI0220000178-1</t>
  </si>
  <si>
    <t>040002289</t>
  </si>
  <si>
    <t>EARL FORCADE</t>
  </si>
  <si>
    <t>SIGC220220000965-1</t>
  </si>
  <si>
    <t>064017314</t>
  </si>
  <si>
    <t>de la beauviniere</t>
  </si>
  <si>
    <t>SI22BI026004044-1</t>
  </si>
  <si>
    <t>024037008</t>
  </si>
  <si>
    <t>Earl a Miqueu</t>
  </si>
  <si>
    <t>SI22BI0220000303-1</t>
  </si>
  <si>
    <t>064174881</t>
  </si>
  <si>
    <t>HENRI JEAN MICHEL BANTAA-DABAN</t>
  </si>
  <si>
    <t>SI22BI0220000262-1</t>
  </si>
  <si>
    <t>064021063</t>
  </si>
  <si>
    <t>du hameau</t>
  </si>
  <si>
    <t>SI22BI0220000323-1</t>
  </si>
  <si>
    <t>064179298</t>
  </si>
  <si>
    <t>LAJUS ERIC</t>
  </si>
  <si>
    <t>SI22BI0220000189-1</t>
  </si>
  <si>
    <t>064021978</t>
  </si>
  <si>
    <t>patrick GAEC MOGNI</t>
  </si>
  <si>
    <t>SI22BI0020000300-2</t>
  </si>
  <si>
    <t>032165951</t>
  </si>
  <si>
    <t>GAEC CHAMBON</t>
  </si>
  <si>
    <t>SIGC220260000924-1</t>
  </si>
  <si>
    <t>086160641</t>
  </si>
  <si>
    <t>SI22BI0220000219-1</t>
  </si>
  <si>
    <t>064164132</t>
  </si>
  <si>
    <t>SIGC220560001010-1</t>
  </si>
  <si>
    <t>Christophe LASCASSIES</t>
  </si>
  <si>
    <t>SI22BI0220000352-1</t>
  </si>
  <si>
    <t>064169630</t>
  </si>
  <si>
    <t>malherbe catherine</t>
  </si>
  <si>
    <t>SIGC220220000931-1</t>
  </si>
  <si>
    <t>064177460</t>
  </si>
  <si>
    <t>SCEA BRET-DIBAT</t>
  </si>
  <si>
    <t>SI22BI0220000179-2</t>
  </si>
  <si>
    <t>064020605</t>
  </si>
  <si>
    <t>SI22BI0220000345-1</t>
  </si>
  <si>
    <t>064009158</t>
  </si>
  <si>
    <t>monjet</t>
  </si>
  <si>
    <t>SI22BI0220000190-1</t>
  </si>
  <si>
    <t>064178333</t>
  </si>
  <si>
    <t>sarl saspiturry</t>
  </si>
  <si>
    <t>SI22BI0220000253-1</t>
  </si>
  <si>
    <t>064176248</t>
  </si>
  <si>
    <t>EARL DABID</t>
  </si>
  <si>
    <t>SI22BI0220000193-1</t>
  </si>
  <si>
    <t>064176017</t>
  </si>
  <si>
    <t>SPYCHIGER MARC</t>
  </si>
  <si>
    <t>SIGC220220000942-1</t>
  </si>
  <si>
    <t>064176547</t>
  </si>
  <si>
    <t>thierry lacassagne</t>
  </si>
  <si>
    <t>SI22BI0220000192-1</t>
  </si>
  <si>
    <t>064008779</t>
  </si>
  <si>
    <t>pierre THEIL</t>
  </si>
  <si>
    <t>SI22BI0220000145-3</t>
  </si>
  <si>
    <t>065002813</t>
  </si>
  <si>
    <t>EARL MASSY</t>
  </si>
  <si>
    <t>SIGC220220000944-2</t>
  </si>
  <si>
    <t>040010323</t>
  </si>
  <si>
    <t>Gaec Crouquet</t>
  </si>
  <si>
    <t>SI22BI0220000294-1</t>
  </si>
  <si>
    <t>064177708</t>
  </si>
  <si>
    <t>SIGC220220000732-1</t>
  </si>
  <si>
    <t>064006708</t>
  </si>
  <si>
    <t>SIGC220220000725-1</t>
  </si>
  <si>
    <t>064178760</t>
  </si>
  <si>
    <t>EARL BOUYER</t>
  </si>
  <si>
    <t>SIGC220260000697-1</t>
  </si>
  <si>
    <t>017157863</t>
  </si>
  <si>
    <t>SCEA DE TELOUZE</t>
  </si>
  <si>
    <t>SIGC220220000896-1</t>
  </si>
  <si>
    <t>040173722</t>
  </si>
  <si>
    <t>SI22BI0220000251-0</t>
  </si>
  <si>
    <t>064177638</t>
  </si>
  <si>
    <t>Mathieu PETRAU</t>
  </si>
  <si>
    <t>SI22BI0220000241-1</t>
  </si>
  <si>
    <t>064168214</t>
  </si>
  <si>
    <t>Thierry Beaulieu</t>
  </si>
  <si>
    <t>SI22BI0220000228-1</t>
  </si>
  <si>
    <t>040173794</t>
  </si>
  <si>
    <t>EARL LACOUR</t>
  </si>
  <si>
    <t>SI22BI0220000240-6</t>
  </si>
  <si>
    <t>064177516</t>
  </si>
  <si>
    <t>DASTOUET-GABAS</t>
  </si>
  <si>
    <t>SIGC220220001021-1</t>
  </si>
  <si>
    <t>064169425</t>
  </si>
  <si>
    <t>Didier CORNU</t>
  </si>
  <si>
    <t>SIGC220220000927-1</t>
  </si>
  <si>
    <t>040008091</t>
  </si>
  <si>
    <t>regis coubran</t>
  </si>
  <si>
    <t>SI22BI026004011-1</t>
  </si>
  <si>
    <t>024014906</t>
  </si>
  <si>
    <t>CABANNE DENIS</t>
  </si>
  <si>
    <t>SIGC220220000960-1</t>
  </si>
  <si>
    <t>064169809</t>
  </si>
  <si>
    <t>estanguet gaetan</t>
  </si>
  <si>
    <t>SIGC220220000957-1</t>
  </si>
  <si>
    <t>064179273</t>
  </si>
  <si>
    <t>Oignon</t>
  </si>
  <si>
    <t>des perspectives</t>
  </si>
  <si>
    <t>SI22BI0190000378-4</t>
  </si>
  <si>
    <t>052011767</t>
  </si>
  <si>
    <t>SULLIOT  ANGELIQUE</t>
  </si>
  <si>
    <t>SIGC220560000518-2</t>
  </si>
  <si>
    <t>089089089</t>
  </si>
  <si>
    <t>DE ROQUEFEUIL RODOLPHE</t>
  </si>
  <si>
    <t>SIGC220560000842-1</t>
  </si>
  <si>
    <t>021000878</t>
  </si>
  <si>
    <t>ERIC VAN DEN BOSCH</t>
  </si>
  <si>
    <t>SI22BI032004531-2</t>
  </si>
  <si>
    <t>032169467</t>
  </si>
  <si>
    <t>Orge de printemps semences</t>
  </si>
  <si>
    <t>GAEC la vallée de la Bertonne</t>
  </si>
  <si>
    <t>SI22BI0540000102-0</t>
  </si>
  <si>
    <t>024033545</t>
  </si>
  <si>
    <t>Gallinaro</t>
  </si>
  <si>
    <t>SI22BI022004536-2</t>
  </si>
  <si>
    <t>031011554</t>
  </si>
  <si>
    <t>Couturier Julien</t>
  </si>
  <si>
    <t>SIGC220260001009-1</t>
  </si>
  <si>
    <t>086164474</t>
  </si>
  <si>
    <t>SI22BI014004462-2</t>
  </si>
  <si>
    <t>079158096</t>
  </si>
  <si>
    <t>Mallinger Monique</t>
  </si>
  <si>
    <t>SIGC220190000526-2</t>
  </si>
  <si>
    <t>054014810</t>
  </si>
  <si>
    <t>SIGC220220000677-1</t>
  </si>
  <si>
    <t>SCEA de l'etang</t>
  </si>
  <si>
    <t>SI22BI053004419-2</t>
  </si>
  <si>
    <t>018158008</t>
  </si>
  <si>
    <t>SIGC220560000671-7</t>
  </si>
  <si>
    <t>de la salamandre</t>
  </si>
  <si>
    <t>SIGC220260000681-2</t>
  </si>
  <si>
    <t>016163687</t>
  </si>
  <si>
    <t>Haut-Rhin</t>
  </si>
  <si>
    <t>Orge d'hiver semences</t>
  </si>
  <si>
    <t>Pois protéagineux semences</t>
  </si>
  <si>
    <t>SI22BI025003882-3</t>
  </si>
  <si>
    <t>027001100</t>
  </si>
  <si>
    <t>GAEC SUREAU CLERGET</t>
  </si>
  <si>
    <t>SIGC220560000734-3</t>
  </si>
  <si>
    <t>021154482</t>
  </si>
  <si>
    <t>SI22BI0220000205-1</t>
  </si>
  <si>
    <t>064171490</t>
  </si>
  <si>
    <t>ROUANET AGRIBIO</t>
  </si>
  <si>
    <t>SI22BI032004121-2</t>
  </si>
  <si>
    <t>081166235</t>
  </si>
  <si>
    <t>MAMPRIN Matthieu</t>
  </si>
  <si>
    <t>SIGC220220000975-1</t>
  </si>
  <si>
    <t>082026358</t>
  </si>
  <si>
    <t>CANTALOUP Thomas</t>
  </si>
  <si>
    <t>SIGC220320000636-1</t>
  </si>
  <si>
    <t>032169462</t>
  </si>
  <si>
    <t>Merlet Franck</t>
  </si>
  <si>
    <t>SI22BI0040000214-0</t>
  </si>
  <si>
    <t>037156584</t>
  </si>
  <si>
    <t>PATRICK EXPERT</t>
  </si>
  <si>
    <t>SI22BI027004289-1</t>
  </si>
  <si>
    <t>032169977</t>
  </si>
  <si>
    <t>SCEA DE LUZENT</t>
  </si>
  <si>
    <t>SIGC220320000989-1</t>
  </si>
  <si>
    <t>032019916</t>
  </si>
  <si>
    <t>COUMEIGT JEAN-CLAUDE</t>
  </si>
  <si>
    <t>SIGC220220001001-1</t>
  </si>
  <si>
    <t>064018171</t>
  </si>
  <si>
    <t>Devalle Ludovic</t>
  </si>
  <si>
    <t>SIGC220320000959-1</t>
  </si>
  <si>
    <t>Deschamps Olivier</t>
  </si>
  <si>
    <t>SIGC220260001026-1</t>
  </si>
  <si>
    <t>086157933</t>
  </si>
  <si>
    <t>bories christian</t>
  </si>
  <si>
    <t>SIGC220320000590-2</t>
  </si>
  <si>
    <t>032004867</t>
  </si>
  <si>
    <t>SCEA le bras de l'homme</t>
  </si>
  <si>
    <t>SI22BI0540000101-1</t>
  </si>
  <si>
    <t>024031229</t>
  </si>
  <si>
    <t>gaec de la cressenelle</t>
  </si>
  <si>
    <t>SIGC220560000809-1</t>
  </si>
  <si>
    <t>021154773</t>
  </si>
  <si>
    <t>Triticale semences</t>
  </si>
  <si>
    <t>LE VIGNOBLE DU PETIT PARIS</t>
  </si>
  <si>
    <t>Vineyard - MPCI</t>
  </si>
  <si>
    <t>SIGC220260000900-2</t>
  </si>
  <si>
    <t>016166875</t>
  </si>
  <si>
    <t>25 *10</t>
  </si>
  <si>
    <t xml:space="preserve">Vigne à raisin de cuve (VCU1) </t>
  </si>
  <si>
    <t>VINEYARD</t>
  </si>
  <si>
    <t>LAROCHE Delphine</t>
  </si>
  <si>
    <t>SIGC220260000879-2</t>
  </si>
  <si>
    <t>016163171</t>
  </si>
  <si>
    <t>Gard</t>
  </si>
  <si>
    <t>DUMAS ALAIN</t>
  </si>
  <si>
    <t>SIGC220590000880-1</t>
  </si>
  <si>
    <t>030154629</t>
  </si>
  <si>
    <t>EARL DES ABELINS</t>
  </si>
  <si>
    <t>SIGC220260000886-1</t>
  </si>
  <si>
    <t>017165453</t>
  </si>
  <si>
    <t>Philippe Nouvel</t>
  </si>
  <si>
    <t>SIGC220590000871-2</t>
  </si>
  <si>
    <t>030164292</t>
  </si>
  <si>
    <t>SIGC220260000869-2</t>
  </si>
  <si>
    <t>016167457</t>
  </si>
  <si>
    <t>EARL MARUEGE</t>
  </si>
  <si>
    <t>SIGC220590000881-2</t>
  </si>
  <si>
    <t>030000535</t>
  </si>
  <si>
    <t>Société Fermière du Château de Camarsac</t>
  </si>
  <si>
    <t>SIGC220050000921-2</t>
  </si>
  <si>
    <t>033165659</t>
  </si>
  <si>
    <t>SCEA JEAN DURUP</t>
  </si>
  <si>
    <t>SIGC220050000860-1</t>
  </si>
  <si>
    <t>089162523</t>
  </si>
  <si>
    <t>DOMAINE CATHERINE PAPILLON</t>
  </si>
  <si>
    <t>SIGC220050001022-1</t>
  </si>
  <si>
    <t>071155563</t>
  </si>
  <si>
    <t>EARL Domaine de la Blinière</t>
  </si>
  <si>
    <t>SIGC220050000928-3</t>
  </si>
  <si>
    <t>041154489</t>
  </si>
  <si>
    <t>EARL Domaine de la Renne</t>
  </si>
  <si>
    <t>SIGC220050000914-4</t>
  </si>
  <si>
    <t>041999999</t>
  </si>
  <si>
    <t>EARL DAVAUX SIMONEAU</t>
  </si>
  <si>
    <t>SIGC220050000917-1</t>
  </si>
  <si>
    <t>041155146</t>
  </si>
  <si>
    <t>EARL Domaine de la Grange</t>
  </si>
  <si>
    <t>SIGC220050000918-2</t>
  </si>
  <si>
    <t>037006513</t>
  </si>
  <si>
    <t>PCEB</t>
  </si>
  <si>
    <t>EXPERT Nicolas</t>
  </si>
  <si>
    <t>SIGC220600000923-1</t>
  </si>
  <si>
    <t>011161805</t>
  </si>
  <si>
    <t>Domaine de Trépaloup</t>
  </si>
  <si>
    <t>SIGC220590000912-1</t>
  </si>
  <si>
    <t>030158446</t>
  </si>
  <si>
    <t>EARL DOMAINE PRIOU</t>
  </si>
  <si>
    <t>SIGC220050000920-1</t>
  </si>
  <si>
    <t>041041041</t>
  </si>
  <si>
    <t>EARL DOMAINE VINCENT CAREME</t>
  </si>
  <si>
    <t>SIGC220050000922-1</t>
  </si>
  <si>
    <t>037000123</t>
  </si>
  <si>
    <t>EARL CHATEAU SAINT ANDRE</t>
  </si>
  <si>
    <t>SIGC220590000911-2</t>
  </si>
  <si>
    <t>030161457</t>
  </si>
  <si>
    <t>EARL Domaine Sebastien BRUNET</t>
  </si>
  <si>
    <t>SIGC220050000913-1</t>
  </si>
  <si>
    <t>037987000</t>
  </si>
  <si>
    <t>SARL Domaine Ostara</t>
  </si>
  <si>
    <t>SIGC220050000919-1</t>
  </si>
  <si>
    <t>037987625</t>
  </si>
  <si>
    <t>BOULESTIN MICHEL</t>
  </si>
  <si>
    <t>SIGC220260000934-1</t>
  </si>
  <si>
    <t>017010248</t>
  </si>
  <si>
    <t>SIGC220260000935-1</t>
  </si>
  <si>
    <t>017166888</t>
  </si>
  <si>
    <t>SARL SANDRA BORGEOT</t>
  </si>
  <si>
    <t>SIGC220050000859-3</t>
  </si>
  <si>
    <t>021123456</t>
  </si>
  <si>
    <t>SIGC220590000941-1</t>
  </si>
  <si>
    <t>030123456</t>
  </si>
  <si>
    <t>GUINABERT BENOIT</t>
  </si>
  <si>
    <t>SIGC220050000862-2</t>
  </si>
  <si>
    <t>033123456</t>
  </si>
  <si>
    <t>SCEV EMILE BLANC</t>
  </si>
  <si>
    <t>SIGC220050000861-1</t>
  </si>
  <si>
    <t>071166738</t>
  </si>
  <si>
    <t>BONNIN Jean Philippe</t>
  </si>
  <si>
    <t>SIGC220050000867-1</t>
  </si>
  <si>
    <t>033123499</t>
  </si>
  <si>
    <t>SC Château Doisy Védrines</t>
  </si>
  <si>
    <t>SIGC220050000868-1</t>
  </si>
  <si>
    <t>033123544</t>
  </si>
  <si>
    <t>SARL DELOUME LE CLOS</t>
  </si>
  <si>
    <t>SIGC220260000858-2</t>
  </si>
  <si>
    <t>016162616</t>
  </si>
  <si>
    <t>SCEA DES VIGNOBLES HOSTEIN BONNIN</t>
  </si>
  <si>
    <t>SIGC220050000866-1</t>
  </si>
  <si>
    <t>033123466</t>
  </si>
  <si>
    <t>SAS PERIS</t>
  </si>
  <si>
    <t>SARL LE BOSQUET DU SOMAIL</t>
  </si>
  <si>
    <t>SIGC220580000893-2</t>
  </si>
  <si>
    <t>011000000</t>
  </si>
  <si>
    <t>SIGC220050000899-2</t>
  </si>
  <si>
    <t>037005860</t>
  </si>
  <si>
    <t>Var</t>
  </si>
  <si>
    <t>Provence-Alpes-Côte-d'Azur</t>
  </si>
  <si>
    <t>FABRE LAURENT</t>
  </si>
  <si>
    <t>SIGC220050000903-1</t>
  </si>
  <si>
    <t>083001880</t>
  </si>
  <si>
    <t>EARL</t>
  </si>
  <si>
    <t>SIGC220260000895-2</t>
  </si>
  <si>
    <t>016157536</t>
  </si>
  <si>
    <t>LAINE NICOLAS</t>
  </si>
  <si>
    <t>SIGC220590000898-2</t>
  </si>
  <si>
    <t>030168757</t>
  </si>
  <si>
    <t>EARL GUILLIEN GERARD</t>
  </si>
  <si>
    <t>SIGC220260000803-1</t>
  </si>
  <si>
    <t>016014557</t>
  </si>
  <si>
    <t>Philippe  MEIFFRE</t>
  </si>
  <si>
    <t>SIGC220590000902-1</t>
  </si>
  <si>
    <t>030888555</t>
  </si>
  <si>
    <t>SCEAV GERARD MARCHAND</t>
  </si>
  <si>
    <t>SIGC220050000905-1</t>
  </si>
  <si>
    <t>051026855</t>
  </si>
  <si>
    <t>SI22BI020003550-4</t>
  </si>
  <si>
    <t>071159607</t>
  </si>
  <si>
    <t>Surface indemnisée/Surface assurée dans les sinistres</t>
  </si>
  <si>
    <t>Coefficient</t>
  </si>
  <si>
    <t>Code culture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</si>
  <si>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</si>
  <si>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</si>
  <si>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</si>
  <si>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</si>
  <si>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</si>
  <si>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</si>
  <si>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</si>
  <si>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</si>
  <si>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</si>
  <si>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</si>
  <si>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</si>
  <si>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</si>
  <si>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</si>
  <si>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</si>
  <si>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</si>
  <si>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</si>
  <si>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</si>
  <si>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</si>
  <si>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</si>
  <si>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</si>
  <si>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</si>
  <si>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</si>
  <si>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</si>
  <si>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</si>
  <si>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</si>
  <si>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</si>
  <si>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</si>
  <si>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</si>
  <si>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</si>
  <si>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</si>
  <si>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</si>
  <si>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</si>
  <si>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</si>
  <si>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</si>
  <si>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Betterave industrielle</t>
  </si>
  <si>
    <t>Haricots à écosser et demi-secs (grain)</t>
  </si>
  <si>
    <t>Haricots secs (y compris semences)</t>
  </si>
  <si>
    <t>Maïs doux</t>
  </si>
  <si>
    <t>Maïs semence</t>
  </si>
  <si>
    <t>Oignon blanc</t>
  </si>
  <si>
    <t>Oignon de couleur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</si>
</sst>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#,##0.00\ &quot;€&quot;"/>
    <numFmt numFmtId="166" formatCode="_-* #,##0.00_-;\-* #,##0.00_-;_-* &quot;-&quot;??_-;_-@_-"/>
  </numFmts>
  <fonts count="23">
    <font>
      <sz val="11"/>
      <color indexed="8"/>
      <name val="Calibri"/>
      <family val="2"/>
      <scheme val="minor"/>
    </font>
    <font>
      <b/>
      <sz val="9"/>
      <color indexed="8"/>
      <name val="SwissReSans"/>
      <family val="2"/>
    </font>
    <font>
      <b/>
      <sz val="16"/>
      <color indexed="9"/>
      <name val="SwissReSans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sz val="8"/>
      <color rgb="FFFF0000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9"/>
      <name val="SwissReSans"/>
    </font>
    <font>
      <b/>
      <sz val="11"/>
      <color indexed="8"/>
      <name val="Calibri"/>
      <family val="2"/>
      <scheme val="minor"/>
    </font>
    <font>
      <sz val="8"/>
      <color theme="1"/>
      <name val="Arial"/>
      <family val="2"/>
    </font>
    <font>
      <b/>
      <u/>
      <sz val="10"/>
      <name val="SwissReSans"/>
      <family val="2"/>
    </font>
    <font>
      <u/>
      <sz val="11"/>
      <color indexed="8"/>
      <name val="Calibri"/>
      <family val="2"/>
      <scheme val="minor"/>
    </font>
    <font>
      <b/>
      <sz val="10"/>
      <name val="SwissReSans"/>
    </font>
    <font>
      <b/>
      <u/>
      <sz val="10"/>
      <name val="SwissReSans"/>
    </font>
    <font>
      <sz val="8"/>
      <name val="Calibri"/>
      <family val="2"/>
      <scheme val="minor"/>
    </font>
    <font>
      <b/>
      <sz val="8"/>
      <color theme="1"/>
      <name val="Arial"/>
      <family val="2"/>
    </font>
    <font>
      <sz val="8"/>
      <color rgb="FF00B05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A365D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33CC"/>
        <bgColor indexed="64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21" fillId="0" borderId="0"/>
    <xf numFmtId="166" fontId="21" fillId="0" borderId="0" applyFont="0" applyFill="0" applyBorder="0" applyAlignment="0" applyProtection="0"/>
  </cellStyleXfs>
  <cellXfs count="801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3" fillId="3" borderId="0" xfId="0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6" fillId="3" borderId="0" xfId="0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164" fontId="3" fillId="3" borderId="0" xfId="1" applyFont="1" applyFill="1"/>
    <xf numFmtId="0" fontId="4" fillId="3" borderId="0" xfId="0" applyFont="1" applyFill="1"/>
    <xf numFmtId="164" fontId="4" fillId="3" borderId="0" xfId="1" applyFont="1" applyFill="1"/>
    <xf numFmtId="9" fontId="3" fillId="3" borderId="0" xfId="0" applyNumberFormat="1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5" borderId="0" xfId="0" applyFill="1"/>
    <xf numFmtId="0" fontId="3" fillId="4" borderId="0" xfId="0" applyFont="1" applyFill="1"/>
    <xf numFmtId="0" fontId="0" fillId="4" borderId="0" xfId="0" applyFill="1"/>
    <xf numFmtId="0" fontId="3" fillId="6" borderId="0" xfId="0" applyFont="1" applyFill="1"/>
    <xf numFmtId="0" fontId="0" fillId="6" borderId="0" xfId="0" applyFill="1"/>
    <xf numFmtId="164" fontId="4" fillId="3" borderId="0" xfId="1" applyFont="1" applyFill="1" applyAlignment="1">
      <alignment horizontal="right"/>
    </xf>
    <xf numFmtId="9" fontId="3" fillId="3" borderId="0" xfId="2" applyFont="1" applyFill="1" applyAlignment="1">
      <alignment horizontal="center"/>
    </xf>
    <xf numFmtId="14" fontId="4" fillId="3" borderId="0" xfId="0" applyNumberFormat="1" applyFont="1" applyFill="1" applyAlignment="1">
      <alignment horizontal="center"/>
    </xf>
    <xf numFmtId="0" fontId="5" fillId="3" borderId="0" xfId="0" applyFont="1" applyFill="1"/>
    <xf numFmtId="0" fontId="4" fillId="3" borderId="0" xfId="0" applyFont="1" applyFill="1" applyAlignment="1">
      <alignment horizontal="center"/>
    </xf>
    <xf numFmtId="164" fontId="4" fillId="3" borderId="0" xfId="1" applyFont="1" applyFill="1" applyAlignment="1">
      <alignment horizontal="center"/>
    </xf>
    <xf numFmtId="0" fontId="4" fillId="3" borderId="0" xfId="0" applyFont="1" applyFill="1" applyAlignment="1">
      <alignment horizontal="right"/>
    </xf>
    <xf numFmtId="164" fontId="4" fillId="3" borderId="0" xfId="0" applyNumberFormat="1" applyFont="1" applyFill="1"/>
    <xf numFmtId="9" fontId="4" fillId="3" borderId="0" xfId="0" applyNumberFormat="1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4" fontId="6" fillId="3" borderId="0" xfId="0" applyNumberFormat="1" applyFont="1" applyFill="1" applyAlignment="1">
      <alignment horizontal="left"/>
    </xf>
    <xf numFmtId="0" fontId="9" fillId="3" borderId="0" xfId="0" applyFont="1" applyFill="1"/>
    <xf numFmtId="1" fontId="3" fillId="3" borderId="0" xfId="0" applyNumberFormat="1" applyFont="1" applyFill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9" fillId="0" borderId="0" xfId="0" applyFont="1"/>
    <xf numFmtId="0" fontId="12" fillId="0" borderId="0" xfId="0" applyFont="1"/>
    <xf numFmtId="2" fontId="4" fillId="3" borderId="0" xfId="0" applyNumberFormat="1" applyFont="1" applyFill="1"/>
    <xf numFmtId="2" fontId="4" fillId="3" borderId="0" xfId="0" applyNumberFormat="1" applyFont="1" applyFill="1" applyAlignment="1">
      <alignment horizontal="center"/>
    </xf>
    <xf numFmtId="14" fontId="7" fillId="3" borderId="0" xfId="0" applyNumberFormat="1" applyFont="1" applyFill="1" applyAlignment="1">
      <alignment horizontal="center"/>
    </xf>
    <xf numFmtId="14" fontId="3" fillId="3" borderId="0" xfId="0" applyNumberFormat="1" applyFont="1" applyFill="1"/>
    <xf numFmtId="4" fontId="4" fillId="3" borderId="0" xfId="0" applyNumberFormat="1" applyFont="1" applyFill="1"/>
    <xf numFmtId="164" fontId="3" fillId="3" borderId="0" xfId="1" applyFont="1" applyFill="1" applyAlignment="1"/>
    <xf numFmtId="4" fontId="4" fillId="3" borderId="0" xfId="0" applyNumberFormat="1" applyFont="1" applyFill="1" applyAlignment="1">
      <alignment horizontal="center"/>
    </xf>
    <xf numFmtId="164" fontId="7" fillId="3" borderId="0" xfId="1" applyFont="1" applyFill="1" applyAlignment="1">
      <alignment horizontal="center"/>
    </xf>
    <xf numFmtId="9" fontId="0" fillId="0" borderId="0" xfId="0" applyNumberFormat="1" applyAlignment="1">
      <alignment horizontal="center"/>
    </xf>
    <xf numFmtId="4" fontId="3" fillId="3" borderId="0" xfId="0" applyNumberFormat="1" applyFont="1" applyFill="1" applyAlignment="1">
      <alignment horizontal="center"/>
    </xf>
    <xf numFmtId="0" fontId="3" fillId="3" borderId="0" xfId="1" applyNumberFormat="1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4" fillId="3" borderId="0" xfId="0" quotePrefix="1" applyFont="1" applyFill="1" applyAlignment="1">
      <alignment horizontal="right"/>
    </xf>
    <xf numFmtId="0" fontId="9" fillId="0" borderId="0" xfId="0" applyFont="1" applyAlignment="1">
      <alignment horizontal="right"/>
    </xf>
    <xf numFmtId="0" fontId="0" fillId="0" borderId="0" xfId="0" applyAlignment="1">
      <alignment horizontal="right"/>
    </xf>
    <xf numFmtId="0" fontId="4" fillId="3" borderId="0" xfId="1" applyNumberFormat="1" applyFont="1" applyFill="1" applyAlignment="1">
      <alignment horizontal="right"/>
    </xf>
    <xf numFmtId="0" fontId="7" fillId="3" borderId="0" xfId="0" applyFont="1" applyFill="1"/>
    <xf numFmtId="0" fontId="7" fillId="3" borderId="0" xfId="1" applyNumberFormat="1" applyFont="1" applyFill="1" applyAlignment="1">
      <alignment horizontal="right"/>
    </xf>
    <xf numFmtId="164" fontId="4" fillId="3" borderId="0" xfId="0" applyNumberFormat="1" applyFont="1" applyFill="1" applyAlignment="1">
      <alignment horizontal="center"/>
    </xf>
    <xf numFmtId="0" fontId="9" fillId="0" borderId="0" xfId="0" applyFont="1" applyAlignment="1">
      <alignment horizontal="center"/>
    </xf>
    <xf numFmtId="0" fontId="13" fillId="3" borderId="0" xfId="0" applyFont="1" applyFill="1" applyAlignment="1">
      <alignment horizontal="right"/>
    </xf>
    <xf numFmtId="9" fontId="3" fillId="3" borderId="0" xfId="1" applyNumberFormat="1" applyFont="1" applyFill="1" applyAlignment="1">
      <alignment horizontal="center"/>
    </xf>
    <xf numFmtId="164" fontId="3" fillId="3" borderId="0" xfId="0" applyNumberFormat="1" applyFont="1" applyFill="1"/>
    <xf numFmtId="0" fontId="3" fillId="0" borderId="0" xfId="0" applyFont="1" applyAlignment="1">
      <alignment horizontal="center"/>
    </xf>
    <xf numFmtId="0" fontId="6" fillId="0" borderId="0" xfId="0" applyFont="1"/>
    <xf numFmtId="1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9" fontId="3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center"/>
    </xf>
    <xf numFmtId="0" fontId="7" fillId="0" borderId="0" xfId="0" applyFont="1" applyAlignment="1">
      <alignment horizontal="right"/>
    </xf>
    <xf numFmtId="14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64" fontId="4" fillId="0" borderId="0" xfId="1" applyFont="1"/>
    <xf numFmtId="0" fontId="6" fillId="4" borderId="0" xfId="0" applyFont="1" applyFill="1"/>
    <xf numFmtId="0" fontId="7" fillId="0" borderId="0" xfId="0" applyFont="1" applyAlignment="1">
      <alignment horizontal="center"/>
    </xf>
    <xf numFmtId="0" fontId="1" fillId="7" borderId="1" xfId="0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9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1" fontId="3" fillId="3" borderId="0" xfId="0" quotePrefix="1" applyNumberFormat="1" applyFont="1" applyFill="1" applyAlignment="1">
      <alignment horizontal="center"/>
    </xf>
    <xf numFmtId="164" fontId="3" fillId="3" borderId="0" xfId="0" applyNumberFormat="1" applyFont="1" applyFill="1" applyAlignment="1">
      <alignment horizontal="center"/>
    </xf>
    <xf numFmtId="164" fontId="0" fillId="3" borderId="0" xfId="0" applyNumberFormat="1" applyFill="1"/>
    <xf numFmtId="164" fontId="1" fillId="7" borderId="1" xfId="0" applyNumberFormat="1" applyFont="1" applyFill="1" applyBorder="1" applyAlignment="1">
      <alignment horizontal="center" vertical="center" wrapText="1"/>
    </xf>
    <xf numFmtId="164" fontId="0" fillId="3" borderId="0" xfId="1" applyFont="1" applyFill="1"/>
    <xf numFmtId="164" fontId="0" fillId="0" borderId="0" xfId="0" applyNumberFormat="1"/>
    <xf numFmtId="14" fontId="3" fillId="4" borderId="0" xfId="0" applyNumberFormat="1" applyFont="1" applyFill="1" applyAlignment="1">
      <alignment horizontal="center"/>
    </xf>
    <xf numFmtId="1" fontId="3" fillId="4" borderId="0" xfId="0" quotePrefix="1" applyNumberFormat="1" applyFont="1" applyFill="1" applyAlignment="1">
      <alignment horizontal="center"/>
    </xf>
    <xf numFmtId="164" fontId="4" fillId="4" borderId="0" xfId="1" applyFont="1" applyFill="1" applyAlignment="1">
      <alignment horizontal="center"/>
    </xf>
    <xf numFmtId="0" fontId="4" fillId="4" borderId="0" xfId="0" applyFont="1" applyFill="1"/>
    <xf numFmtId="164" fontId="3" fillId="4" borderId="0" xfId="1" applyFont="1" applyFill="1"/>
    <xf numFmtId="9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right"/>
    </xf>
    <xf numFmtId="164" fontId="3" fillId="4" borderId="0" xfId="0" applyNumberFormat="1" applyFont="1" applyFill="1"/>
    <xf numFmtId="14" fontId="3" fillId="8" borderId="0" xfId="0" applyNumberFormat="1" applyFont="1" applyFill="1" applyAlignment="1">
      <alignment horizontal="center"/>
    </xf>
    <xf numFmtId="0" fontId="6" fillId="8" borderId="0" xfId="0" applyFont="1" applyFill="1"/>
    <xf numFmtId="0" fontId="3" fillId="8" borderId="0" xfId="0" applyFont="1" applyFill="1"/>
    <xf numFmtId="1" fontId="3" fillId="8" borderId="0" xfId="0" quotePrefix="1" applyNumberFormat="1" applyFont="1" applyFill="1" applyAlignment="1">
      <alignment horizontal="center"/>
    </xf>
    <xf numFmtId="164" fontId="4" fillId="8" borderId="0" xfId="1" applyFont="1" applyFill="1" applyAlignment="1">
      <alignment horizontal="center"/>
    </xf>
    <xf numFmtId="0" fontId="4" fillId="8" borderId="0" xfId="0" applyFont="1" applyFill="1"/>
    <xf numFmtId="164" fontId="3" fillId="8" borderId="0" xfId="1" applyFont="1" applyFill="1"/>
    <xf numFmtId="9" fontId="3" fillId="8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8" borderId="0" xfId="0" applyFont="1" applyFill="1" applyAlignment="1">
      <alignment horizontal="right"/>
    </xf>
    <xf numFmtId="164" fontId="3" fillId="8" borderId="0" xfId="0" applyNumberFormat="1" applyFont="1" applyFill="1"/>
    <xf numFmtId="0" fontId="12" fillId="7" borderId="0" xfId="0" applyFont="1" applyFill="1" applyAlignment="1">
      <alignment horizontal="center" vertical="center" wrapText="1"/>
    </xf>
    <xf numFmtId="0" fontId="3" fillId="10" borderId="0" xfId="0" applyFont="1" applyFill="1"/>
    <xf numFmtId="14" fontId="3" fillId="10" borderId="0" xfId="0" applyNumberFormat="1" applyFont="1" applyFill="1" applyAlignment="1">
      <alignment horizontal="center"/>
    </xf>
    <xf numFmtId="0" fontId="6" fillId="10" borderId="0" xfId="0" applyFont="1" applyFill="1"/>
    <xf numFmtId="1" fontId="3" fillId="10" borderId="0" xfId="0" quotePrefix="1" applyNumberFormat="1" applyFont="1" applyFill="1" applyAlignment="1">
      <alignment horizontal="center"/>
    </xf>
    <xf numFmtId="164" fontId="4" fillId="10" borderId="0" xfId="1" applyFont="1" applyFill="1" applyAlignment="1">
      <alignment horizontal="center"/>
    </xf>
    <xf numFmtId="0" fontId="4" fillId="10" borderId="0" xfId="0" applyFont="1" applyFill="1"/>
    <xf numFmtId="164" fontId="3" fillId="10" borderId="0" xfId="1" applyFont="1" applyFill="1"/>
    <xf numFmtId="9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 applyAlignment="1">
      <alignment horizontal="right"/>
    </xf>
    <xf numFmtId="164" fontId="3" fillId="10" borderId="0" xfId="0" applyNumberFormat="1" applyFont="1" applyFill="1" applyAlignment="1">
      <alignment horizontal="center"/>
    </xf>
    <xf numFmtId="0" fontId="13" fillId="3" borderId="0" xfId="0" applyFont="1" applyFill="1"/>
    <xf numFmtId="14" fontId="3" fillId="10" borderId="0" xfId="0" applyNumberFormat="1" applyFont="1" applyFill="1"/>
    <xf numFmtId="164" fontId="3" fillId="10" borderId="0" xfId="0" applyNumberFormat="1" applyFont="1" applyFill="1"/>
    <xf numFmtId="0" fontId="3" fillId="11" borderId="0" xfId="0" applyFont="1" applyFill="1"/>
    <xf numFmtId="14" fontId="3" fillId="11" borderId="0" xfId="0" applyNumberFormat="1" applyFont="1" applyFill="1" applyAlignment="1">
      <alignment horizontal="center"/>
    </xf>
    <xf numFmtId="0" fontId="6" fillId="11" borderId="0" xfId="0" applyFont="1" applyFill="1"/>
    <xf numFmtId="1" fontId="3" fillId="11" borderId="0" xfId="0" quotePrefix="1" applyNumberFormat="1" applyFont="1" applyFill="1" applyAlignment="1">
      <alignment horizontal="center"/>
    </xf>
    <xf numFmtId="164" fontId="4" fillId="11" borderId="0" xfId="1" applyFont="1" applyFill="1" applyAlignment="1">
      <alignment horizontal="center"/>
    </xf>
    <xf numFmtId="0" fontId="4" fillId="11" borderId="0" xfId="0" applyFont="1" applyFill="1"/>
    <xf numFmtId="164" fontId="3" fillId="11" borderId="0" xfId="1" applyFont="1" applyFill="1"/>
    <xf numFmtId="9" fontId="3" fillId="11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1" borderId="0" xfId="0" applyFont="1" applyFill="1" applyAlignment="1">
      <alignment horizontal="right"/>
    </xf>
    <xf numFmtId="0" fontId="3" fillId="12" borderId="0" xfId="0" applyFont="1" applyFill="1"/>
    <xf numFmtId="14" fontId="3" fillId="12" borderId="0" xfId="0" applyNumberFormat="1" applyFont="1" applyFill="1" applyAlignment="1">
      <alignment horizontal="center"/>
    </xf>
    <xf numFmtId="0" fontId="6" fillId="12" borderId="0" xfId="0" applyFont="1" applyFill="1"/>
    <xf numFmtId="1" fontId="3" fillId="12" borderId="0" xfId="0" quotePrefix="1" applyNumberFormat="1" applyFont="1" applyFill="1" applyAlignment="1">
      <alignment horizontal="center"/>
    </xf>
    <xf numFmtId="164" fontId="4" fillId="12" borderId="0" xfId="1" applyFont="1" applyFill="1" applyAlignment="1">
      <alignment horizontal="center"/>
    </xf>
    <xf numFmtId="0" fontId="4" fillId="12" borderId="0" xfId="0" applyFont="1" applyFill="1"/>
    <xf numFmtId="164" fontId="3" fillId="12" borderId="0" xfId="1" applyFont="1" applyFill="1"/>
    <xf numFmtId="9" fontId="3" fillId="12" borderId="0" xfId="0" applyNumberFormat="1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2" borderId="0" xfId="0" applyFont="1" applyFill="1" applyAlignment="1">
      <alignment horizontal="right"/>
    </xf>
    <xf numFmtId="164" fontId="3" fillId="12" borderId="0" xfId="0" applyNumberFormat="1" applyFont="1" applyFill="1" applyAlignment="1">
      <alignment horizontal="center"/>
    </xf>
    <xf numFmtId="14" fontId="3" fillId="12" borderId="0" xfId="0" applyNumberFormat="1" applyFont="1" applyFill="1"/>
    <xf numFmtId="164" fontId="3" fillId="13" borderId="0" xfId="1" applyFont="1" applyFill="1"/>
    <xf numFmtId="164" fontId="3" fillId="11" borderId="0" xfId="0" applyNumberFormat="1" applyFont="1" applyFill="1"/>
    <xf numFmtId="164" fontId="3" fillId="12" borderId="0" xfId="0" applyNumberFormat="1" applyFont="1" applyFill="1"/>
    <xf numFmtId="14" fontId="13" fillId="3" borderId="0" xfId="0" applyNumberFormat="1" applyFont="1" applyFill="1"/>
    <xf numFmtId="14" fontId="13" fillId="3" borderId="0" xfId="0" applyNumberFormat="1" applyFont="1" applyFill="1" applyAlignment="1">
      <alignment horizontal="center"/>
    </xf>
    <xf numFmtId="0" fontId="19" fillId="3" borderId="0" xfId="0" applyFont="1" applyFill="1"/>
    <xf numFmtId="1" fontId="13" fillId="3" borderId="0" xfId="0" quotePrefix="1" applyNumberFormat="1" applyFont="1" applyFill="1" applyAlignment="1">
      <alignment horizontal="center"/>
    </xf>
    <xf numFmtId="164" fontId="13" fillId="3" borderId="0" xfId="1" applyFont="1" applyFill="1" applyAlignment="1">
      <alignment horizontal="center"/>
    </xf>
    <xf numFmtId="164" fontId="13" fillId="3" borderId="0" xfId="1" applyFont="1" applyFill="1"/>
    <xf numFmtId="9" fontId="13" fillId="3" borderId="0" xfId="0" applyNumberFormat="1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3" fillId="14" borderId="0" xfId="0" applyFont="1" applyFill="1"/>
    <xf numFmtId="14" fontId="3" fillId="14" borderId="0" xfId="0" applyNumberFormat="1" applyFont="1" applyFill="1"/>
    <xf numFmtId="14" fontId="3" fillId="14" borderId="0" xfId="0" applyNumberFormat="1" applyFont="1" applyFill="1" applyAlignment="1">
      <alignment horizontal="center"/>
    </xf>
    <xf numFmtId="0" fontId="6" fillId="14" borderId="0" xfId="0" applyFont="1" applyFill="1"/>
    <xf numFmtId="1" fontId="3" fillId="14" borderId="0" xfId="0" quotePrefix="1" applyNumberFormat="1" applyFont="1" applyFill="1" applyAlignment="1">
      <alignment horizontal="center"/>
    </xf>
    <xf numFmtId="164" fontId="4" fillId="14" borderId="0" xfId="1" applyFont="1" applyFill="1" applyAlignment="1">
      <alignment horizontal="center"/>
    </xf>
    <xf numFmtId="164" fontId="3" fillId="14" borderId="0" xfId="1" applyFont="1" applyFill="1"/>
    <xf numFmtId="9" fontId="3" fillId="14" borderId="0" xfId="0" applyNumberFormat="1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4" borderId="0" xfId="0" applyFont="1" applyFill="1" applyAlignment="1">
      <alignment horizontal="right"/>
    </xf>
    <xf numFmtId="0" fontId="4" fillId="14" borderId="0" xfId="0" applyFont="1" applyFill="1"/>
    <xf numFmtId="0" fontId="13" fillId="14" borderId="0" xfId="0" applyFont="1" applyFill="1"/>
    <xf numFmtId="14" fontId="13" fillId="14" borderId="0" xfId="0" applyNumberFormat="1" applyFont="1" applyFill="1"/>
    <xf numFmtId="14" fontId="13" fillId="14" borderId="0" xfId="0" applyNumberFormat="1" applyFont="1" applyFill="1" applyAlignment="1">
      <alignment horizontal="center"/>
    </xf>
    <xf numFmtId="0" fontId="19" fillId="14" borderId="0" xfId="0" applyFont="1" applyFill="1"/>
    <xf numFmtId="1" fontId="13" fillId="14" borderId="0" xfId="0" quotePrefix="1" applyNumberFormat="1" applyFont="1" applyFill="1" applyAlignment="1">
      <alignment horizontal="center"/>
    </xf>
    <xf numFmtId="164" fontId="13" fillId="14" borderId="0" xfId="1" applyFont="1" applyFill="1" applyAlignment="1">
      <alignment horizontal="center"/>
    </xf>
    <xf numFmtId="164" fontId="13" fillId="14" borderId="0" xfId="1" applyFont="1" applyFill="1"/>
    <xf numFmtId="9" fontId="13" fillId="14" borderId="0" xfId="0" applyNumberFormat="1" applyFont="1" applyFill="1" applyAlignment="1">
      <alignment horizontal="center"/>
    </xf>
    <xf numFmtId="0" fontId="13" fillId="14" borderId="0" xfId="0" applyFont="1" applyFill="1" applyAlignment="1">
      <alignment horizontal="center"/>
    </xf>
    <xf numFmtId="0" fontId="13" fillId="14" borderId="0" xfId="0" applyFont="1" applyFill="1" applyAlignment="1">
      <alignment horizontal="right"/>
    </xf>
    <xf numFmtId="164" fontId="4" fillId="14" borderId="0" xfId="1" applyFont="1" applyFill="1"/>
    <xf numFmtId="164" fontId="3" fillId="15" borderId="0" xfId="1" applyFont="1" applyFill="1"/>
    <xf numFmtId="164" fontId="3" fillId="14" borderId="0" xfId="0" applyNumberFormat="1" applyFont="1" applyFill="1"/>
    <xf numFmtId="164" fontId="13" fillId="14" borderId="0" xfId="0" applyNumberFormat="1" applyFont="1" applyFill="1"/>
    <xf numFmtId="14" fontId="3" fillId="16" borderId="0" xfId="0" applyNumberFormat="1" applyFont="1" applyFill="1"/>
    <xf numFmtId="14" fontId="3" fillId="16" borderId="0" xfId="0" applyNumberFormat="1" applyFont="1" applyFill="1" applyAlignment="1">
      <alignment horizontal="center"/>
    </xf>
    <xf numFmtId="0" fontId="6" fillId="16" borderId="0" xfId="0" applyFont="1" applyFill="1"/>
    <xf numFmtId="0" fontId="3" fillId="16" borderId="0" xfId="0" applyFont="1" applyFill="1"/>
    <xf numFmtId="1" fontId="3" fillId="16" borderId="0" xfId="0" quotePrefix="1" applyNumberFormat="1" applyFont="1" applyFill="1" applyAlignment="1">
      <alignment horizontal="center"/>
    </xf>
    <xf numFmtId="164" fontId="4" fillId="16" borderId="0" xfId="1" applyFont="1" applyFill="1" applyAlignment="1">
      <alignment horizontal="center"/>
    </xf>
    <xf numFmtId="0" fontId="13" fillId="16" borderId="0" xfId="0" applyFont="1" applyFill="1"/>
    <xf numFmtId="164" fontId="3" fillId="16" borderId="0" xfId="1" applyFont="1" applyFill="1"/>
    <xf numFmtId="9" fontId="3" fillId="16" borderId="0" xfId="0" applyNumberFormat="1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6" borderId="0" xfId="0" applyFont="1" applyFill="1" applyAlignment="1">
      <alignment horizontal="right"/>
    </xf>
    <xf numFmtId="164" fontId="3" fillId="16" borderId="0" xfId="0" applyNumberFormat="1" applyFont="1" applyFill="1" applyAlignment="1">
      <alignment horizontal="center"/>
    </xf>
    <xf numFmtId="0" fontId="4" fillId="16" borderId="0" xfId="0" applyFont="1" applyFill="1"/>
    <xf numFmtId="164" fontId="4" fillId="16" borderId="0" xfId="1" applyFont="1" applyFill="1"/>
    <xf numFmtId="14" fontId="13" fillId="16" borderId="0" xfId="0" applyNumberFormat="1" applyFont="1" applyFill="1" applyAlignment="1">
      <alignment horizontal="center"/>
    </xf>
    <xf numFmtId="0" fontId="19" fillId="16" borderId="0" xfId="0" applyFont="1" applyFill="1"/>
    <xf numFmtId="1" fontId="13" fillId="16" borderId="0" xfId="0" quotePrefix="1" applyNumberFormat="1" applyFont="1" applyFill="1" applyAlignment="1">
      <alignment horizontal="center"/>
    </xf>
    <xf numFmtId="164" fontId="13" fillId="16" borderId="0" xfId="1" applyFont="1" applyFill="1" applyAlignment="1">
      <alignment horizontal="center"/>
    </xf>
    <xf numFmtId="164" fontId="13" fillId="16" borderId="0" xfId="1" applyFont="1" applyFill="1"/>
    <xf numFmtId="9" fontId="13" fillId="16" borderId="0" xfId="0" applyNumberFormat="1" applyFont="1" applyFill="1" applyAlignment="1">
      <alignment horizontal="center"/>
    </xf>
    <xf numFmtId="0" fontId="13" fillId="16" borderId="0" xfId="0" applyFont="1" applyFill="1" applyAlignment="1">
      <alignment horizontal="right"/>
    </xf>
    <xf numFmtId="0" fontId="13" fillId="16" borderId="0" xfId="0" applyFont="1" applyFill="1" applyAlignment="1">
      <alignment horizontal="center"/>
    </xf>
    <xf numFmtId="164" fontId="13" fillId="13" borderId="0" xfId="1" applyFont="1" applyFill="1"/>
    <xf numFmtId="1" fontId="3" fillId="16" borderId="0" xfId="0" applyNumberFormat="1" applyFont="1" applyFill="1" applyAlignment="1">
      <alignment horizontal="center"/>
    </xf>
    <xf numFmtId="14" fontId="13" fillId="16" borderId="0" xfId="0" applyNumberFormat="1" applyFont="1" applyFill="1"/>
    <xf numFmtId="14" fontId="4" fillId="3" borderId="0" xfId="0" applyNumberFormat="1" applyFont="1" applyFill="1"/>
    <xf numFmtId="164" fontId="3" fillId="16" borderId="0" xfId="0" applyNumberFormat="1" applyFont="1" applyFill="1"/>
    <xf numFmtId="0" fontId="3" fillId="17" borderId="0" xfId="0" applyFont="1" applyFill="1"/>
    <xf numFmtId="14" fontId="3" fillId="17" borderId="0" xfId="0" applyNumberFormat="1" applyFont="1" applyFill="1"/>
    <xf numFmtId="14" fontId="3" fillId="17" borderId="0" xfId="0" applyNumberFormat="1" applyFont="1" applyFill="1" applyAlignment="1">
      <alignment horizontal="center"/>
    </xf>
    <xf numFmtId="0" fontId="6" fillId="17" borderId="0" xfId="0" applyFont="1" applyFill="1"/>
    <xf numFmtId="1" fontId="3" fillId="17" borderId="0" xfId="0" quotePrefix="1" applyNumberFormat="1" applyFont="1" applyFill="1" applyAlignment="1">
      <alignment horizontal="center"/>
    </xf>
    <xf numFmtId="164" fontId="4" fillId="17" borderId="0" xfId="1" applyFont="1" applyFill="1" applyAlignment="1">
      <alignment horizontal="center"/>
    </xf>
    <xf numFmtId="164" fontId="4" fillId="17" borderId="0" xfId="1" applyFont="1" applyFill="1"/>
    <xf numFmtId="9" fontId="3" fillId="17" borderId="0" xfId="0" applyNumberFormat="1" applyFont="1" applyFill="1" applyAlignment="1">
      <alignment horizontal="center"/>
    </xf>
    <xf numFmtId="164" fontId="3" fillId="17" borderId="0" xfId="1" applyFont="1" applyFill="1"/>
    <xf numFmtId="0" fontId="3" fillId="17" borderId="0" xfId="0" applyFont="1" applyFill="1" applyAlignment="1">
      <alignment horizontal="center"/>
    </xf>
    <xf numFmtId="0" fontId="3" fillId="17" borderId="0" xfId="0" applyFont="1" applyFill="1" applyAlignment="1">
      <alignment horizontal="right"/>
    </xf>
    <xf numFmtId="164" fontId="3" fillId="17" borderId="0" xfId="0" applyNumberFormat="1" applyFont="1" applyFill="1" applyAlignment="1">
      <alignment horizontal="center"/>
    </xf>
    <xf numFmtId="1" fontId="3" fillId="17" borderId="0" xfId="0" applyNumberFormat="1" applyFont="1" applyFill="1" applyAlignment="1">
      <alignment horizontal="center"/>
    </xf>
    <xf numFmtId="0" fontId="13" fillId="17" borderId="0" xfId="0" applyFont="1" applyFill="1"/>
    <xf numFmtId="0" fontId="4" fillId="17" borderId="0" xfId="0" applyFont="1" applyFill="1"/>
    <xf numFmtId="1" fontId="13" fillId="17" borderId="0" xfId="0" quotePrefix="1" applyNumberFormat="1" applyFont="1" applyFill="1" applyAlignment="1">
      <alignment horizontal="center"/>
    </xf>
    <xf numFmtId="0" fontId="13" fillId="17" borderId="0" xfId="0" applyFont="1" applyFill="1" applyAlignment="1">
      <alignment horizontal="center"/>
    </xf>
    <xf numFmtId="164" fontId="13" fillId="17" borderId="0" xfId="1" applyFont="1" applyFill="1" applyAlignment="1">
      <alignment horizontal="center"/>
    </xf>
    <xf numFmtId="164" fontId="13" fillId="17" borderId="0" xfId="1" applyFont="1" applyFill="1"/>
    <xf numFmtId="9" fontId="13" fillId="17" borderId="0" xfId="0" applyNumberFormat="1" applyFont="1" applyFill="1" applyAlignment="1">
      <alignment horizontal="center"/>
    </xf>
    <xf numFmtId="14" fontId="13" fillId="17" borderId="0" xfId="0" applyNumberFormat="1" applyFont="1" applyFill="1" applyAlignment="1">
      <alignment horizontal="center"/>
    </xf>
    <xf numFmtId="0" fontId="19" fillId="17" borderId="0" xfId="0" applyFont="1" applyFill="1"/>
    <xf numFmtId="0" fontId="13" fillId="17" borderId="0" xfId="0" applyFont="1" applyFill="1" applyAlignment="1">
      <alignment horizontal="right"/>
    </xf>
    <xf numFmtId="164" fontId="13" fillId="17" borderId="0" xfId="0" applyNumberFormat="1" applyFont="1" applyFill="1" applyAlignment="1">
      <alignment horizontal="center"/>
    </xf>
    <xf numFmtId="14" fontId="13" fillId="17" borderId="0" xfId="0" applyNumberFormat="1" applyFont="1" applyFill="1"/>
    <xf numFmtId="164" fontId="3" fillId="17" borderId="0" xfId="0" applyNumberFormat="1" applyFont="1" applyFill="1"/>
    <xf numFmtId="0" fontId="3" fillId="17" borderId="0" xfId="0" quotePrefix="1" applyFont="1" applyFill="1" applyAlignment="1">
      <alignment horizontal="center"/>
    </xf>
    <xf numFmtId="164" fontId="3" fillId="17" borderId="0" xfId="1" applyFont="1" applyFill="1" applyAlignment="1">
      <alignment horizontal="center"/>
    </xf>
    <xf numFmtId="14" fontId="4" fillId="17" borderId="0" xfId="0" applyNumberFormat="1" applyFont="1" applyFill="1"/>
    <xf numFmtId="164" fontId="13" fillId="17" borderId="0" xfId="0" applyNumberFormat="1" applyFont="1" applyFill="1"/>
    <xf numFmtId="164" fontId="13" fillId="16" borderId="0" xfId="0" applyNumberFormat="1" applyFont="1" applyFill="1"/>
    <xf numFmtId="0" fontId="3" fillId="18" borderId="0" xfId="0" applyFont="1" applyFill="1"/>
    <xf numFmtId="14" fontId="3" fillId="18" borderId="0" xfId="0" applyNumberFormat="1" applyFont="1" applyFill="1" applyAlignment="1">
      <alignment horizontal="center"/>
    </xf>
    <xf numFmtId="0" fontId="6" fillId="18" borderId="0" xfId="0" applyFont="1" applyFill="1"/>
    <xf numFmtId="1" fontId="3" fillId="18" borderId="0" xfId="0" quotePrefix="1" applyNumberFormat="1" applyFont="1" applyFill="1" applyAlignment="1">
      <alignment horizontal="center"/>
    </xf>
    <xf numFmtId="164" fontId="4" fillId="18" borderId="0" xfId="1" applyFont="1" applyFill="1" applyAlignment="1">
      <alignment horizontal="center"/>
    </xf>
    <xf numFmtId="0" fontId="4" fillId="18" borderId="0" xfId="0" applyFont="1" applyFill="1"/>
    <xf numFmtId="164" fontId="3" fillId="18" borderId="0" xfId="1" applyFont="1" applyFill="1"/>
    <xf numFmtId="9" fontId="3" fillId="18" borderId="0" xfId="0" applyNumberFormat="1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8" borderId="0" xfId="0" applyFont="1" applyFill="1" applyAlignment="1">
      <alignment horizontal="right"/>
    </xf>
    <xf numFmtId="14" fontId="3" fillId="18" borderId="0" xfId="0" applyNumberFormat="1" applyFont="1" applyFill="1"/>
    <xf numFmtId="164" fontId="4" fillId="18" borderId="0" xfId="1" applyFont="1" applyFill="1"/>
    <xf numFmtId="14" fontId="13" fillId="18" borderId="0" xfId="0" applyNumberFormat="1" applyFont="1" applyFill="1" applyAlignment="1">
      <alignment horizontal="center"/>
    </xf>
    <xf numFmtId="0" fontId="19" fillId="18" borderId="0" xfId="0" applyFont="1" applyFill="1"/>
    <xf numFmtId="0" fontId="13" fillId="18" borderId="0" xfId="0" applyFont="1" applyFill="1"/>
    <xf numFmtId="164" fontId="13" fillId="18" borderId="0" xfId="1" applyFont="1" applyFill="1" applyAlignment="1">
      <alignment horizontal="center"/>
    </xf>
    <xf numFmtId="164" fontId="13" fillId="18" borderId="0" xfId="1" applyFont="1" applyFill="1"/>
    <xf numFmtId="9" fontId="13" fillId="18" borderId="0" xfId="0" applyNumberFormat="1" applyFont="1" applyFill="1" applyAlignment="1">
      <alignment horizontal="center"/>
    </xf>
    <xf numFmtId="0" fontId="13" fillId="18" borderId="0" xfId="0" applyFont="1" applyFill="1" applyAlignment="1">
      <alignment horizontal="right"/>
    </xf>
    <xf numFmtId="1" fontId="13" fillId="18" borderId="0" xfId="0" quotePrefix="1" applyNumberFormat="1" applyFont="1" applyFill="1" applyAlignment="1">
      <alignment horizontal="center"/>
    </xf>
    <xf numFmtId="0" fontId="13" fillId="18" borderId="0" xfId="0" applyFont="1" applyFill="1" applyAlignment="1">
      <alignment horizontal="center"/>
    </xf>
    <xf numFmtId="164" fontId="3" fillId="19" borderId="0" xfId="0" applyNumberFormat="1" applyFont="1" applyFill="1"/>
    <xf numFmtId="14" fontId="3" fillId="19" borderId="0" xfId="0" applyNumberFormat="1" applyFont="1" applyFill="1"/>
    <xf numFmtId="14" fontId="3" fillId="19" borderId="0" xfId="0" applyNumberFormat="1" applyFont="1" applyFill="1" applyAlignment="1">
      <alignment horizontal="center"/>
    </xf>
    <xf numFmtId="0" fontId="6" fillId="19" borderId="0" xfId="0" applyFont="1" applyFill="1"/>
    <xf numFmtId="0" fontId="3" fillId="19" borderId="0" xfId="0" applyFont="1" applyFill="1"/>
    <xf numFmtId="1" fontId="3" fillId="19" borderId="0" xfId="0" quotePrefix="1" applyNumberFormat="1" applyFont="1" applyFill="1" applyAlignment="1">
      <alignment horizontal="center"/>
    </xf>
    <xf numFmtId="164" fontId="4" fillId="19" borderId="0" xfId="1" applyFont="1" applyFill="1" applyAlignment="1">
      <alignment horizontal="center"/>
    </xf>
    <xf numFmtId="0" fontId="4" fillId="19" borderId="0" xfId="0" applyFont="1" applyFill="1"/>
    <xf numFmtId="164" fontId="3" fillId="19" borderId="0" xfId="1" applyFont="1" applyFill="1"/>
    <xf numFmtId="9" fontId="3" fillId="19" borderId="0" xfId="0" applyNumberFormat="1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19" borderId="0" xfId="0" applyFont="1" applyFill="1" applyAlignment="1">
      <alignment horizontal="right"/>
    </xf>
    <xf numFmtId="164" fontId="3" fillId="19" borderId="0" xfId="1" applyFont="1" applyFill="1" applyAlignment="1">
      <alignment horizontal="center"/>
    </xf>
    <xf numFmtId="14" fontId="13" fillId="19" borderId="0" xfId="0" applyNumberFormat="1" applyFont="1" applyFill="1"/>
    <xf numFmtId="14" fontId="13" fillId="19" borderId="0" xfId="0" applyNumberFormat="1" applyFont="1" applyFill="1" applyAlignment="1">
      <alignment horizontal="center"/>
    </xf>
    <xf numFmtId="0" fontId="19" fillId="19" borderId="0" xfId="0" applyFont="1" applyFill="1"/>
    <xf numFmtId="0" fontId="13" fillId="19" borderId="0" xfId="0" applyFont="1" applyFill="1"/>
    <xf numFmtId="0" fontId="13" fillId="19" borderId="0" xfId="0" applyFont="1" applyFill="1" applyAlignment="1">
      <alignment horizontal="right"/>
    </xf>
    <xf numFmtId="164" fontId="13" fillId="19" borderId="0" xfId="1" applyFont="1" applyFill="1"/>
    <xf numFmtId="1" fontId="13" fillId="19" borderId="0" xfId="0" quotePrefix="1" applyNumberFormat="1" applyFont="1" applyFill="1" applyAlignment="1">
      <alignment horizontal="center"/>
    </xf>
    <xf numFmtId="164" fontId="13" fillId="19" borderId="0" xfId="1" applyFont="1" applyFill="1" applyAlignment="1">
      <alignment horizontal="center"/>
    </xf>
    <xf numFmtId="9" fontId="13" fillId="19" borderId="0" xfId="0" applyNumberFormat="1" applyFont="1" applyFill="1" applyAlignment="1">
      <alignment horizontal="center"/>
    </xf>
    <xf numFmtId="0" fontId="13" fillId="19" borderId="0" xfId="0" applyFont="1" applyFill="1" applyAlignment="1">
      <alignment horizontal="center"/>
    </xf>
    <xf numFmtId="1" fontId="3" fillId="19" borderId="0" xfId="0" applyNumberFormat="1" applyFont="1" applyFill="1" applyAlignment="1">
      <alignment horizontal="center"/>
    </xf>
    <xf numFmtId="164" fontId="4" fillId="19" borderId="0" xfId="1" applyFont="1" applyFill="1"/>
    <xf numFmtId="9" fontId="13" fillId="3" borderId="0" xfId="2" applyFont="1" applyFill="1" applyAlignment="1">
      <alignment horizontal="center"/>
    </xf>
    <xf numFmtId="164" fontId="4" fillId="19" borderId="0" xfId="1" applyFont="1" applyFill="1" applyBorder="1" applyAlignment="1">
      <alignment horizontal="center"/>
    </xf>
    <xf numFmtId="164" fontId="3" fillId="19" borderId="0" xfId="1" applyFont="1" applyFill="1" applyBorder="1"/>
    <xf numFmtId="0" fontId="3" fillId="19" borderId="0" xfId="0" applyFont="1" applyFill="1" applyAlignment="1">
      <alignment horizontal="left"/>
    </xf>
    <xf numFmtId="14" fontId="4" fillId="19" borderId="0" xfId="0" applyNumberFormat="1" applyFont="1" applyFill="1"/>
    <xf numFmtId="9" fontId="4" fillId="19" borderId="0" xfId="0" applyNumberFormat="1" applyFont="1" applyFill="1" applyAlignment="1">
      <alignment horizontal="center"/>
    </xf>
    <xf numFmtId="0" fontId="4" fillId="19" borderId="0" xfId="0" applyFont="1" applyFill="1" applyAlignment="1">
      <alignment horizontal="center"/>
    </xf>
    <xf numFmtId="9" fontId="13" fillId="19" borderId="0" xfId="2" applyFont="1" applyFill="1" applyAlignment="1">
      <alignment horizontal="center"/>
    </xf>
    <xf numFmtId="164" fontId="13" fillId="19" borderId="0" xfId="0" applyNumberFormat="1" applyFont="1" applyFill="1"/>
    <xf numFmtId="0" fontId="3" fillId="20" borderId="0" xfId="0" applyFont="1" applyFill="1"/>
    <xf numFmtId="14" fontId="3" fillId="20" borderId="0" xfId="0" applyNumberFormat="1" applyFont="1" applyFill="1" applyAlignment="1">
      <alignment horizontal="center"/>
    </xf>
    <xf numFmtId="0" fontId="6" fillId="20" borderId="0" xfId="0" applyFont="1" applyFill="1"/>
    <xf numFmtId="1" fontId="3" fillId="20" borderId="0" xfId="0" quotePrefix="1" applyNumberFormat="1" applyFont="1" applyFill="1" applyAlignment="1">
      <alignment horizontal="center"/>
    </xf>
    <xf numFmtId="0" fontId="4" fillId="20" borderId="0" xfId="0" applyFont="1" applyFill="1"/>
    <xf numFmtId="164" fontId="4" fillId="20" borderId="0" xfId="1" applyFont="1" applyFill="1" applyAlignment="1">
      <alignment horizontal="center"/>
    </xf>
    <xf numFmtId="164" fontId="3" fillId="20" borderId="0" xfId="1" applyFont="1" applyFill="1"/>
    <xf numFmtId="9" fontId="3" fillId="20" borderId="0" xfId="0" applyNumberFormat="1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0" borderId="0" xfId="0" applyFont="1" applyFill="1" applyAlignment="1">
      <alignment horizontal="right"/>
    </xf>
    <xf numFmtId="14" fontId="13" fillId="20" borderId="0" xfId="0" applyNumberFormat="1" applyFont="1" applyFill="1" applyAlignment="1">
      <alignment horizontal="center"/>
    </xf>
    <xf numFmtId="0" fontId="19" fillId="20" borderId="0" xfId="0" applyFont="1" applyFill="1"/>
    <xf numFmtId="0" fontId="13" fillId="20" borderId="0" xfId="0" applyFont="1" applyFill="1"/>
    <xf numFmtId="1" fontId="13" fillId="20" borderId="0" xfId="0" quotePrefix="1" applyNumberFormat="1" applyFont="1" applyFill="1" applyAlignment="1">
      <alignment horizontal="center"/>
    </xf>
    <xf numFmtId="164" fontId="13" fillId="20" borderId="0" xfId="1" applyFont="1" applyFill="1" applyAlignment="1">
      <alignment horizontal="center"/>
    </xf>
    <xf numFmtId="164" fontId="13" fillId="20" borderId="0" xfId="1" applyFont="1" applyFill="1"/>
    <xf numFmtId="9" fontId="13" fillId="20" borderId="0" xfId="0" applyNumberFormat="1" applyFont="1" applyFill="1" applyAlignment="1">
      <alignment horizontal="center"/>
    </xf>
    <xf numFmtId="0" fontId="13" fillId="20" borderId="0" xfId="0" applyFont="1" applyFill="1" applyAlignment="1">
      <alignment horizontal="center"/>
    </xf>
    <xf numFmtId="0" fontId="13" fillId="20" borderId="0" xfId="0" applyFont="1" applyFill="1" applyAlignment="1">
      <alignment horizontal="right"/>
    </xf>
    <xf numFmtId="14" fontId="3" fillId="20" borderId="0" xfId="0" applyNumberFormat="1" applyFont="1" applyFill="1"/>
    <xf numFmtId="164" fontId="3" fillId="20" borderId="0" xfId="0" applyNumberFormat="1" applyFont="1" applyFill="1"/>
    <xf numFmtId="164" fontId="4" fillId="20" borderId="0" xfId="1" applyFont="1" applyFill="1"/>
    <xf numFmtId="14" fontId="13" fillId="20" borderId="0" xfId="0" applyNumberFormat="1" applyFont="1" applyFill="1"/>
    <xf numFmtId="1" fontId="3" fillId="20" borderId="0" xfId="0" applyNumberFormat="1" applyFont="1" applyFill="1" applyAlignment="1">
      <alignment horizontal="center"/>
    </xf>
    <xf numFmtId="14" fontId="13" fillId="20" borderId="0" xfId="0" applyNumberFormat="1" applyFont="1" applyFill="1" applyAlignment="1">
      <alignment horizontal="left"/>
    </xf>
    <xf numFmtId="9" fontId="13" fillId="20" borderId="0" xfId="2" applyFont="1" applyFill="1" applyAlignment="1">
      <alignment horizontal="center"/>
    </xf>
    <xf numFmtId="14" fontId="4" fillId="20" borderId="0" xfId="0" applyNumberFormat="1" applyFont="1" applyFill="1"/>
    <xf numFmtId="14" fontId="4" fillId="20" borderId="0" xfId="0" applyNumberFormat="1" applyFont="1" applyFill="1" applyAlignment="1">
      <alignment horizontal="center"/>
    </xf>
    <xf numFmtId="0" fontId="5" fillId="20" borderId="0" xfId="0" applyFont="1" applyFill="1"/>
    <xf numFmtId="1" fontId="4" fillId="20" borderId="0" xfId="0" quotePrefix="1" applyNumberFormat="1" applyFont="1" applyFill="1" applyAlignment="1">
      <alignment horizontal="center"/>
    </xf>
    <xf numFmtId="9" fontId="4" fillId="20" borderId="0" xfId="0" applyNumberFormat="1" applyFont="1" applyFill="1" applyAlignment="1">
      <alignment horizontal="center"/>
    </xf>
    <xf numFmtId="0" fontId="4" fillId="20" borderId="0" xfId="0" applyFont="1" applyFill="1" applyAlignment="1">
      <alignment horizontal="center"/>
    </xf>
    <xf numFmtId="0" fontId="4" fillId="20" borderId="0" xfId="0" applyFont="1" applyFill="1" applyAlignment="1">
      <alignment horizontal="right"/>
    </xf>
    <xf numFmtId="164" fontId="3" fillId="20" borderId="0" xfId="1" applyFont="1" applyFill="1" applyAlignment="1">
      <alignment horizontal="center"/>
    </xf>
    <xf numFmtId="0" fontId="0" fillId="3" borderId="0" xfId="0" applyFill="1" applyAlignment="1">
      <alignment horizontal="center"/>
    </xf>
    <xf numFmtId="0" fontId="9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3" fillId="6" borderId="0" xfId="0" applyFont="1" applyFill="1" applyAlignment="1">
      <alignment horizontal="center"/>
    </xf>
    <xf numFmtId="164" fontId="13" fillId="20" borderId="0" xfId="0" applyNumberFormat="1" applyFont="1" applyFill="1"/>
    <xf numFmtId="164" fontId="3" fillId="20" borderId="0" xfId="0" applyNumberFormat="1" applyFont="1" applyFill="1" applyAlignment="1">
      <alignment horizontal="right"/>
    </xf>
    <xf numFmtId="164" fontId="4" fillId="20" borderId="0" xfId="1" applyFont="1" applyFill="1" applyBorder="1" applyAlignment="1">
      <alignment horizontal="center"/>
    </xf>
    <xf numFmtId="164" fontId="3" fillId="20" borderId="0" xfId="1" applyFont="1" applyFill="1" applyBorder="1"/>
    <xf numFmtId="0" fontId="3" fillId="20" borderId="0" xfId="0" applyFont="1" applyFill="1" applyAlignment="1">
      <alignment horizontal="left"/>
    </xf>
    <xf numFmtId="0" fontId="3" fillId="21" borderId="0" xfId="0" applyFont="1" applyFill="1"/>
    <xf numFmtId="14" fontId="3" fillId="21" borderId="0" xfId="0" applyNumberFormat="1" applyFont="1" applyFill="1"/>
    <xf numFmtId="14" fontId="13" fillId="21" borderId="0" xfId="0" applyNumberFormat="1" applyFont="1" applyFill="1" applyAlignment="1">
      <alignment horizontal="center"/>
    </xf>
    <xf numFmtId="0" fontId="19" fillId="21" borderId="0" xfId="0" applyFont="1" applyFill="1"/>
    <xf numFmtId="0" fontId="13" fillId="21" borderId="0" xfId="0" applyFont="1" applyFill="1"/>
    <xf numFmtId="1" fontId="13" fillId="21" borderId="0" xfId="0" quotePrefix="1" applyNumberFormat="1" applyFont="1" applyFill="1" applyAlignment="1">
      <alignment horizontal="center"/>
    </xf>
    <xf numFmtId="164" fontId="13" fillId="21" borderId="0" xfId="1" applyFont="1" applyFill="1" applyAlignment="1">
      <alignment horizontal="center"/>
    </xf>
    <xf numFmtId="164" fontId="13" fillId="21" borderId="0" xfId="1" applyFont="1" applyFill="1"/>
    <xf numFmtId="9" fontId="13" fillId="21" borderId="0" xfId="0" applyNumberFormat="1" applyFont="1" applyFill="1" applyAlignment="1">
      <alignment horizontal="center"/>
    </xf>
    <xf numFmtId="0" fontId="13" fillId="21" borderId="0" xfId="0" applyFont="1" applyFill="1" applyAlignment="1">
      <alignment horizontal="center"/>
    </xf>
    <xf numFmtId="0" fontId="13" fillId="21" borderId="0" xfId="0" applyFont="1" applyFill="1" applyAlignment="1">
      <alignment horizontal="right"/>
    </xf>
    <xf numFmtId="164" fontId="13" fillId="21" borderId="0" xfId="0" applyNumberFormat="1" applyFont="1" applyFill="1" applyAlignment="1">
      <alignment horizontal="center"/>
    </xf>
    <xf numFmtId="14" fontId="3" fillId="21" borderId="0" xfId="0" applyNumberFormat="1" applyFont="1" applyFill="1" applyAlignment="1">
      <alignment horizontal="center"/>
    </xf>
    <xf numFmtId="0" fontId="6" fillId="21" borderId="0" xfId="0" applyFont="1" applyFill="1"/>
    <xf numFmtId="1" fontId="3" fillId="21" borderId="0" xfId="0" quotePrefix="1" applyNumberFormat="1" applyFont="1" applyFill="1" applyAlignment="1">
      <alignment horizontal="center"/>
    </xf>
    <xf numFmtId="164" fontId="4" fillId="21" borderId="0" xfId="1" applyFont="1" applyFill="1" applyAlignment="1">
      <alignment horizontal="center"/>
    </xf>
    <xf numFmtId="0" fontId="4" fillId="21" borderId="0" xfId="0" applyFont="1" applyFill="1"/>
    <xf numFmtId="164" fontId="3" fillId="21" borderId="0" xfId="1" applyFont="1" applyFill="1"/>
    <xf numFmtId="9" fontId="3" fillId="21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1" borderId="0" xfId="0" applyFont="1" applyFill="1" applyAlignment="1">
      <alignment horizontal="right"/>
    </xf>
    <xf numFmtId="164" fontId="3" fillId="21" borderId="0" xfId="0" applyNumberFormat="1" applyFont="1" applyFill="1" applyAlignment="1">
      <alignment horizontal="center"/>
    </xf>
    <xf numFmtId="9" fontId="13" fillId="21" borderId="0" xfId="2" applyFont="1" applyFill="1" applyAlignment="1">
      <alignment horizontal="center"/>
    </xf>
    <xf numFmtId="164" fontId="4" fillId="21" borderId="0" xfId="1" applyFont="1" applyFill="1"/>
    <xf numFmtId="14" fontId="4" fillId="21" borderId="0" xfId="0" applyNumberFormat="1" applyFont="1" applyFill="1"/>
    <xf numFmtId="14" fontId="4" fillId="21" borderId="0" xfId="0" applyNumberFormat="1" applyFont="1" applyFill="1" applyAlignment="1">
      <alignment horizontal="center"/>
    </xf>
    <xf numFmtId="0" fontId="5" fillId="21" borderId="0" xfId="0" applyFont="1" applyFill="1"/>
    <xf numFmtId="9" fontId="4" fillId="21" borderId="0" xfId="0" applyNumberFormat="1" applyFont="1" applyFill="1" applyAlignment="1">
      <alignment horizontal="center"/>
    </xf>
    <xf numFmtId="0" fontId="4" fillId="21" borderId="0" xfId="0" applyFont="1" applyFill="1" applyAlignment="1">
      <alignment horizontal="center"/>
    </xf>
    <xf numFmtId="0" fontId="4" fillId="21" borderId="0" xfId="0" applyFont="1" applyFill="1" applyAlignment="1">
      <alignment horizontal="right"/>
    </xf>
    <xf numFmtId="14" fontId="13" fillId="21" borderId="0" xfId="0" applyNumberFormat="1" applyFont="1" applyFill="1"/>
    <xf numFmtId="1" fontId="3" fillId="21" borderId="0" xfId="0" applyNumberFormat="1" applyFont="1" applyFill="1" applyAlignment="1">
      <alignment horizontal="center"/>
    </xf>
    <xf numFmtId="164" fontId="3" fillId="21" borderId="0" xfId="0" applyNumberFormat="1" applyFont="1" applyFill="1"/>
    <xf numFmtId="164" fontId="13" fillId="21" borderId="0" xfId="0" applyNumberFormat="1" applyFont="1" applyFill="1"/>
    <xf numFmtId="1" fontId="4" fillId="21" borderId="0" xfId="0" quotePrefix="1" applyNumberFormat="1" applyFont="1" applyFill="1" applyAlignment="1">
      <alignment horizontal="center"/>
    </xf>
    <xf numFmtId="164" fontId="3" fillId="21" borderId="0" xfId="1" applyFont="1" applyFill="1" applyAlignment="1">
      <alignment horizontal="center"/>
    </xf>
    <xf numFmtId="164" fontId="4" fillId="21" borderId="0" xfId="1" applyFont="1" applyFill="1" applyBorder="1" applyAlignment="1">
      <alignment horizontal="center"/>
    </xf>
    <xf numFmtId="164" fontId="3" fillId="21" borderId="0" xfId="1" applyFont="1" applyFill="1" applyBorder="1"/>
    <xf numFmtId="0" fontId="3" fillId="21" borderId="0" xfId="0" applyFont="1" applyFill="1" applyAlignment="1">
      <alignment horizontal="left"/>
    </xf>
    <xf numFmtId="14" fontId="13" fillId="21" borderId="0" xfId="0" applyNumberFormat="1" applyFont="1" applyFill="1" applyAlignment="1">
      <alignment horizontal="left"/>
    </xf>
    <xf numFmtId="9" fontId="3" fillId="21" borderId="0" xfId="0" applyNumberFormat="1" applyFont="1" applyFill="1" applyAlignment="1">
      <alignment horizontal="left"/>
    </xf>
    <xf numFmtId="9" fontId="20" fillId="21" borderId="0" xfId="0" applyNumberFormat="1" applyFont="1" applyFill="1" applyAlignment="1">
      <alignment horizontal="center"/>
    </xf>
    <xf numFmtId="0" fontId="3" fillId="22" borderId="0" xfId="0" applyFont="1" applyFill="1"/>
    <xf numFmtId="14" fontId="3" fillId="22" borderId="0" xfId="0" applyNumberFormat="1" applyFont="1" applyFill="1"/>
    <xf numFmtId="14" fontId="3" fillId="22" borderId="0" xfId="0" applyNumberFormat="1" applyFont="1" applyFill="1" applyAlignment="1">
      <alignment horizontal="center"/>
    </xf>
    <xf numFmtId="0" fontId="6" fillId="22" borderId="0" xfId="0" applyFont="1" applyFill="1"/>
    <xf numFmtId="1" fontId="3" fillId="22" borderId="0" xfId="0" quotePrefix="1" applyNumberFormat="1" applyFont="1" applyFill="1" applyAlignment="1">
      <alignment horizontal="center"/>
    </xf>
    <xf numFmtId="0" fontId="4" fillId="22" borderId="0" xfId="0" applyFont="1" applyFill="1"/>
    <xf numFmtId="164" fontId="4" fillId="22" borderId="0" xfId="1" applyFont="1" applyFill="1" applyAlignment="1">
      <alignment horizontal="center"/>
    </xf>
    <xf numFmtId="164" fontId="3" fillId="22" borderId="0" xfId="1" applyFont="1" applyFill="1"/>
    <xf numFmtId="9" fontId="3" fillId="22" borderId="0" xfId="0" applyNumberFormat="1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2" borderId="0" xfId="0" applyFont="1" applyFill="1" applyAlignment="1">
      <alignment horizontal="right"/>
    </xf>
    <xf numFmtId="164" fontId="3" fillId="22" borderId="0" xfId="0" applyNumberFormat="1" applyFont="1" applyFill="1" applyAlignment="1">
      <alignment horizontal="center"/>
    </xf>
    <xf numFmtId="164" fontId="3" fillId="22" borderId="0" xfId="0" applyNumberFormat="1" applyFont="1" applyFill="1"/>
    <xf numFmtId="14" fontId="13" fillId="22" borderId="0" xfId="0" applyNumberFormat="1" applyFont="1" applyFill="1" applyAlignment="1">
      <alignment horizontal="center"/>
    </xf>
    <xf numFmtId="0" fontId="19" fillId="22" borderId="0" xfId="0" applyFont="1" applyFill="1"/>
    <xf numFmtId="0" fontId="13" fillId="22" borderId="0" xfId="0" applyFont="1" applyFill="1"/>
    <xf numFmtId="164" fontId="13" fillId="22" borderId="0" xfId="1" applyFont="1" applyFill="1" applyAlignment="1">
      <alignment horizontal="center"/>
    </xf>
    <xf numFmtId="164" fontId="13" fillId="22" borderId="0" xfId="1" applyFont="1" applyFill="1"/>
    <xf numFmtId="9" fontId="13" fillId="22" borderId="0" xfId="0" applyNumberFormat="1" applyFont="1" applyFill="1" applyAlignment="1">
      <alignment horizontal="center"/>
    </xf>
    <xf numFmtId="0" fontId="13" fillId="22" borderId="0" xfId="0" applyFont="1" applyFill="1" applyAlignment="1">
      <alignment horizontal="right"/>
    </xf>
    <xf numFmtId="0" fontId="13" fillId="22" borderId="0" xfId="0" applyFont="1" applyFill="1" applyAlignment="1">
      <alignment horizontal="center"/>
    </xf>
    <xf numFmtId="1" fontId="13" fillId="22" borderId="0" xfId="0" quotePrefix="1" applyNumberFormat="1" applyFont="1" applyFill="1" applyAlignment="1">
      <alignment horizontal="center"/>
    </xf>
    <xf numFmtId="9" fontId="13" fillId="22" borderId="0" xfId="2" applyFont="1" applyFill="1" applyAlignment="1">
      <alignment horizontal="center"/>
    </xf>
    <xf numFmtId="0" fontId="3" fillId="22" borderId="0" xfId="0" applyFont="1" applyFill="1" applyAlignment="1">
      <alignment horizontal="left"/>
    </xf>
    <xf numFmtId="14" fontId="4" fillId="22" borderId="0" xfId="0" applyNumberFormat="1" applyFont="1" applyFill="1"/>
    <xf numFmtId="1" fontId="3" fillId="22" borderId="0" xfId="0" applyNumberFormat="1" applyFont="1" applyFill="1" applyAlignment="1">
      <alignment horizontal="center"/>
    </xf>
    <xf numFmtId="164" fontId="4" fillId="22" borderId="0" xfId="1" applyFont="1" applyFill="1" applyAlignment="1">
      <alignment horizontal="left"/>
    </xf>
    <xf numFmtId="14" fontId="13" fillId="22" borderId="0" xfId="0" applyNumberFormat="1" applyFont="1" applyFill="1"/>
    <xf numFmtId="164" fontId="4" fillId="22" borderId="0" xfId="1" applyFont="1" applyFill="1"/>
    <xf numFmtId="0" fontId="3" fillId="22" borderId="0" xfId="0" quotePrefix="1" applyFont="1" applyFill="1" applyAlignment="1">
      <alignment horizontal="center"/>
    </xf>
    <xf numFmtId="0" fontId="13" fillId="0" borderId="0" xfId="0" applyFont="1"/>
    <xf numFmtId="0" fontId="19" fillId="0" borderId="0" xfId="0" applyFont="1"/>
    <xf numFmtId="164" fontId="13" fillId="0" borderId="0" xfId="1" applyFont="1" applyFill="1" applyAlignment="1">
      <alignment horizontal="center"/>
    </xf>
    <xf numFmtId="164" fontId="13" fillId="0" borderId="0" xfId="1" applyFont="1" applyFill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13" fillId="22" borderId="0" xfId="0" quotePrefix="1" applyFont="1" applyFill="1" applyAlignment="1">
      <alignment horizontal="center"/>
    </xf>
    <xf numFmtId="164" fontId="3" fillId="22" borderId="0" xfId="1" applyFont="1" applyFill="1" applyAlignment="1">
      <alignment horizontal="center"/>
    </xf>
    <xf numFmtId="14" fontId="13" fillId="22" borderId="0" xfId="0" applyNumberFormat="1" applyFont="1" applyFill="1" applyAlignment="1">
      <alignment horizontal="left"/>
    </xf>
    <xf numFmtId="164" fontId="13" fillId="22" borderId="0" xfId="0" applyNumberFormat="1" applyFont="1" applyFill="1"/>
    <xf numFmtId="4" fontId="13" fillId="22" borderId="0" xfId="0" applyNumberFormat="1" applyFont="1" applyFill="1"/>
    <xf numFmtId="14" fontId="4" fillId="22" borderId="0" xfId="0" applyNumberFormat="1" applyFont="1" applyFill="1" applyAlignment="1">
      <alignment horizontal="center"/>
    </xf>
    <xf numFmtId="0" fontId="5" fillId="22" borderId="0" xfId="0" applyFont="1" applyFill="1"/>
    <xf numFmtId="1" fontId="4" fillId="22" borderId="0" xfId="0" quotePrefix="1" applyNumberFormat="1" applyFont="1" applyFill="1" applyAlignment="1">
      <alignment horizontal="center"/>
    </xf>
    <xf numFmtId="9" fontId="4" fillId="22" borderId="0" xfId="0" applyNumberFormat="1" applyFont="1" applyFill="1" applyAlignment="1">
      <alignment horizontal="center"/>
    </xf>
    <xf numFmtId="0" fontId="4" fillId="22" borderId="0" xfId="0" applyFont="1" applyFill="1" applyAlignment="1">
      <alignment horizontal="right"/>
    </xf>
    <xf numFmtId="0" fontId="6" fillId="22" borderId="0" xfId="0" quotePrefix="1" applyFont="1" applyFill="1"/>
    <xf numFmtId="0" fontId="1" fillId="7" borderId="1" xfId="0" applyFont="1" applyFill="1" applyBorder="1" applyAlignment="1">
      <alignment horizontal="right" vertical="center" wrapText="1"/>
    </xf>
    <xf numFmtId="164" fontId="3" fillId="19" borderId="0" xfId="0" applyNumberFormat="1" applyFont="1" applyFill="1" applyAlignment="1">
      <alignment horizontal="right"/>
    </xf>
    <xf numFmtId="164" fontId="13" fillId="20" borderId="0" xfId="1" applyFont="1" applyFill="1" applyAlignment="1">
      <alignment horizontal="right"/>
    </xf>
    <xf numFmtId="14" fontId="3" fillId="22" borderId="0" xfId="0" applyNumberFormat="1" applyFont="1" applyFill="1" applyAlignment="1">
      <alignment horizontal="right"/>
    </xf>
    <xf numFmtId="0" fontId="10" fillId="3" borderId="0" xfId="0" applyFont="1" applyFill="1" applyAlignment="1">
      <alignment horizontal="right"/>
    </xf>
    <xf numFmtId="164" fontId="1" fillId="7" borderId="1" xfId="0" applyNumberFormat="1" applyFont="1" applyFill="1" applyBorder="1" applyAlignment="1">
      <alignment horizontal="right" vertical="center" wrapText="1"/>
    </xf>
    <xf numFmtId="164" fontId="3" fillId="4" borderId="0" xfId="0" applyNumberFormat="1" applyFont="1" applyFill="1" applyAlignment="1">
      <alignment horizontal="right"/>
    </xf>
    <xf numFmtId="164" fontId="3" fillId="22" borderId="0" xfId="0" applyNumberFormat="1" applyFont="1" applyFill="1" applyAlignment="1">
      <alignment horizontal="right"/>
    </xf>
    <xf numFmtId="164" fontId="3" fillId="21" borderId="0" xfId="0" applyNumberFormat="1" applyFont="1" applyFill="1" applyAlignment="1">
      <alignment horizontal="right"/>
    </xf>
    <xf numFmtId="164" fontId="3" fillId="14" borderId="0" xfId="0" applyNumberFormat="1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11" borderId="0" xfId="0" applyNumberFormat="1" applyFont="1" applyFill="1" applyAlignment="1">
      <alignment horizontal="right"/>
    </xf>
    <xf numFmtId="164" fontId="3" fillId="17" borderId="0" xfId="0" applyNumberFormat="1" applyFont="1" applyFill="1" applyAlignment="1">
      <alignment horizontal="right"/>
    </xf>
    <xf numFmtId="164" fontId="3" fillId="12" borderId="0" xfId="0" applyNumberFormat="1" applyFont="1" applyFill="1" applyAlignment="1">
      <alignment horizontal="right"/>
    </xf>
    <xf numFmtId="164" fontId="3" fillId="8" borderId="0" xfId="0" applyNumberFormat="1" applyFont="1" applyFill="1" applyAlignment="1">
      <alignment horizontal="right"/>
    </xf>
    <xf numFmtId="164" fontId="3" fillId="16" borderId="0" xfId="0" applyNumberFormat="1" applyFont="1" applyFill="1" applyAlignment="1">
      <alignment horizontal="right"/>
    </xf>
    <xf numFmtId="164" fontId="3" fillId="4" borderId="0" xfId="1" applyFont="1" applyFill="1" applyAlignment="1">
      <alignment horizontal="right"/>
    </xf>
    <xf numFmtId="164" fontId="3" fillId="10" borderId="0" xfId="0" applyNumberFormat="1" applyFont="1" applyFill="1" applyAlignment="1">
      <alignment horizontal="right"/>
    </xf>
    <xf numFmtId="164" fontId="3" fillId="12" borderId="0" xfId="1" applyFont="1" applyFill="1" applyAlignment="1">
      <alignment horizontal="right"/>
    </xf>
    <xf numFmtId="164" fontId="3" fillId="3" borderId="0" xfId="1" applyFont="1" applyFill="1" applyAlignment="1">
      <alignment horizontal="right"/>
    </xf>
    <xf numFmtId="164" fontId="3" fillId="18" borderId="0" xfId="0" applyNumberFormat="1" applyFont="1" applyFill="1" applyAlignment="1">
      <alignment horizontal="right"/>
    </xf>
    <xf numFmtId="164" fontId="13" fillId="20" borderId="0" xfId="0" applyNumberFormat="1" applyFont="1" applyFill="1" applyAlignment="1">
      <alignment horizontal="right"/>
    </xf>
    <xf numFmtId="164" fontId="13" fillId="3" borderId="0" xfId="0" applyNumberFormat="1" applyFont="1" applyFill="1" applyAlignment="1">
      <alignment horizontal="right"/>
    </xf>
    <xf numFmtId="164" fontId="13" fillId="22" borderId="0" xfId="0" applyNumberFormat="1" applyFont="1" applyFill="1" applyAlignment="1">
      <alignment horizontal="right"/>
    </xf>
    <xf numFmtId="164" fontId="13" fillId="16" borderId="0" xfId="0" applyNumberFormat="1" applyFont="1" applyFill="1" applyAlignment="1">
      <alignment horizontal="right"/>
    </xf>
    <xf numFmtId="164" fontId="13" fillId="21" borderId="0" xfId="0" applyNumberFormat="1" applyFont="1" applyFill="1" applyAlignment="1">
      <alignment horizontal="right"/>
    </xf>
    <xf numFmtId="164" fontId="13" fillId="14" borderId="0" xfId="0" applyNumberFormat="1" applyFont="1" applyFill="1" applyAlignment="1">
      <alignment horizontal="right"/>
    </xf>
    <xf numFmtId="164" fontId="13" fillId="18" borderId="0" xfId="0" applyNumberFormat="1" applyFont="1" applyFill="1" applyAlignment="1">
      <alignment horizontal="right"/>
    </xf>
    <xf numFmtId="164" fontId="13" fillId="19" borderId="0" xfId="0" applyNumberFormat="1" applyFont="1" applyFill="1" applyAlignment="1">
      <alignment horizontal="right"/>
    </xf>
    <xf numFmtId="164" fontId="13" fillId="17" borderId="0" xfId="0" applyNumberFormat="1" applyFont="1" applyFill="1" applyAlignment="1">
      <alignment horizontal="right"/>
    </xf>
    <xf numFmtId="164" fontId="3" fillId="16" borderId="0" xfId="1" applyFont="1" applyFill="1" applyAlignment="1">
      <alignment horizontal="right"/>
    </xf>
    <xf numFmtId="164" fontId="3" fillId="20" borderId="0" xfId="1" applyFont="1" applyFill="1" applyAlignment="1">
      <alignment horizontal="right"/>
    </xf>
    <xf numFmtId="164" fontId="4" fillId="21" borderId="0" xfId="0" applyNumberFormat="1" applyFont="1" applyFill="1" applyAlignment="1">
      <alignment horizontal="right"/>
    </xf>
    <xf numFmtId="164" fontId="4" fillId="20" borderId="0" xfId="0" applyNumberFormat="1" applyFont="1" applyFill="1" applyAlignment="1">
      <alignment horizontal="right"/>
    </xf>
    <xf numFmtId="164" fontId="4" fillId="22" borderId="0" xfId="0" applyNumberFormat="1" applyFont="1" applyFill="1" applyAlignment="1">
      <alignment horizontal="right"/>
    </xf>
    <xf numFmtId="164" fontId="3" fillId="22" borderId="0" xfId="1" applyFont="1" applyFill="1" applyAlignment="1">
      <alignment horizontal="right"/>
    </xf>
    <xf numFmtId="164" fontId="13" fillId="22" borderId="0" xfId="1" applyFont="1" applyFill="1" applyAlignment="1">
      <alignment horizontal="right"/>
    </xf>
    <xf numFmtId="164" fontId="4" fillId="3" borderId="0" xfId="0" applyNumberFormat="1" applyFont="1" applyFill="1" applyAlignment="1">
      <alignment horizontal="right"/>
    </xf>
    <xf numFmtId="164" fontId="0" fillId="3" borderId="0" xfId="0" applyNumberFormat="1" applyFill="1" applyAlignment="1">
      <alignment horizontal="right"/>
    </xf>
    <xf numFmtId="164" fontId="0" fillId="0" borderId="0" xfId="0" applyNumberFormat="1" applyAlignment="1">
      <alignment horizontal="right"/>
    </xf>
    <xf numFmtId="164" fontId="4" fillId="22" borderId="0" xfId="1" applyFont="1" applyFill="1" applyBorder="1" applyAlignment="1">
      <alignment horizontal="center"/>
    </xf>
    <xf numFmtId="164" fontId="3" fillId="22" borderId="0" xfId="1" applyFont="1" applyFill="1" applyBorder="1"/>
    <xf numFmtId="164" fontId="3" fillId="20" borderId="0" xfId="0" applyNumberFormat="1" applyFont="1" applyFill="1" applyAlignment="1">
      <alignment horizontal="center"/>
    </xf>
    <xf numFmtId="164" fontId="13" fillId="22" borderId="0" xfId="0" applyNumberFormat="1" applyFont="1" applyFill="1" applyAlignment="1">
      <alignment horizontal="center"/>
    </xf>
    <xf numFmtId="164" fontId="3" fillId="22" borderId="0" xfId="1" applyFont="1" applyFill="1" applyBorder="1" applyAlignment="1">
      <alignment horizontal="center"/>
    </xf>
    <xf numFmtId="9" fontId="3" fillId="3" borderId="0" xfId="2" applyFont="1" applyFill="1"/>
    <xf numFmtId="0" fontId="13" fillId="23" borderId="0" xfId="0" applyFont="1" applyFill="1"/>
    <xf numFmtId="0" fontId="3" fillId="23" borderId="0" xfId="0" applyFont="1" applyFill="1"/>
    <xf numFmtId="14" fontId="13" fillId="23" borderId="0" xfId="0" applyNumberFormat="1" applyFont="1" applyFill="1" applyAlignment="1">
      <alignment horizontal="center"/>
    </xf>
    <xf numFmtId="0" fontId="19" fillId="23" borderId="0" xfId="0" applyFont="1" applyFill="1"/>
    <xf numFmtId="1" fontId="13" fillId="23" borderId="0" xfId="0" quotePrefix="1" applyNumberFormat="1" applyFont="1" applyFill="1" applyAlignment="1">
      <alignment horizontal="center"/>
    </xf>
    <xf numFmtId="164" fontId="13" fillId="23" borderId="0" xfId="1" applyFont="1" applyFill="1" applyAlignment="1">
      <alignment horizontal="center"/>
    </xf>
    <xf numFmtId="164" fontId="13" fillId="23" borderId="0" xfId="1" applyFont="1" applyFill="1"/>
    <xf numFmtId="9" fontId="13" fillId="23" borderId="0" xfId="2" applyFont="1" applyFill="1" applyAlignment="1">
      <alignment horizontal="center"/>
    </xf>
    <xf numFmtId="9" fontId="13" fillId="23" borderId="0" xfId="0" applyNumberFormat="1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13" fillId="23" borderId="0" xfId="0" applyFont="1" applyFill="1" applyAlignment="1">
      <alignment horizontal="center"/>
    </xf>
    <xf numFmtId="0" fontId="13" fillId="23" borderId="0" xfId="0" applyFont="1" applyFill="1" applyAlignment="1">
      <alignment horizontal="right"/>
    </xf>
    <xf numFmtId="164" fontId="13" fillId="23" borderId="0" xfId="0" applyNumberFormat="1" applyFont="1" applyFill="1" applyAlignment="1">
      <alignment horizontal="right"/>
    </xf>
    <xf numFmtId="164" fontId="3" fillId="23" borderId="0" xfId="0" applyNumberFormat="1" applyFont="1" applyFill="1" applyAlignment="1">
      <alignment horizontal="center"/>
    </xf>
    <xf numFmtId="14" fontId="3" fillId="23" borderId="0" xfId="0" applyNumberFormat="1" applyFont="1" applyFill="1"/>
    <xf numFmtId="14" fontId="3" fillId="23" borderId="0" xfId="0" applyNumberFormat="1" applyFont="1" applyFill="1" applyAlignment="1">
      <alignment horizontal="center"/>
    </xf>
    <xf numFmtId="0" fontId="6" fillId="23" borderId="0" xfId="0" applyFont="1" applyFill="1"/>
    <xf numFmtId="1" fontId="3" fillId="23" borderId="0" xfId="0" quotePrefix="1" applyNumberFormat="1" applyFont="1" applyFill="1" applyAlignment="1">
      <alignment horizontal="center"/>
    </xf>
    <xf numFmtId="164" fontId="4" fillId="23" borderId="0" xfId="1" applyFont="1" applyFill="1" applyAlignment="1">
      <alignment horizontal="center"/>
    </xf>
    <xf numFmtId="0" fontId="4" fillId="23" borderId="0" xfId="0" applyFont="1" applyFill="1"/>
    <xf numFmtId="164" fontId="3" fillId="23" borderId="0" xfId="1" applyFont="1" applyFill="1"/>
    <xf numFmtId="9" fontId="3" fillId="23" borderId="0" xfId="0" applyNumberFormat="1" applyFont="1" applyFill="1" applyAlignment="1">
      <alignment horizontal="center"/>
    </xf>
    <xf numFmtId="0" fontId="3" fillId="23" borderId="0" xfId="0" applyFont="1" applyFill="1" applyAlignment="1">
      <alignment horizontal="right"/>
    </xf>
    <xf numFmtId="164" fontId="3" fillId="23" borderId="0" xfId="0" applyNumberFormat="1" applyFont="1" applyFill="1" applyAlignment="1">
      <alignment horizontal="right"/>
    </xf>
    <xf numFmtId="1" fontId="3" fillId="23" borderId="0" xfId="0" applyNumberFormat="1" applyFont="1" applyFill="1" applyAlignment="1">
      <alignment horizontal="center"/>
    </xf>
    <xf numFmtId="164" fontId="3" fillId="23" borderId="0" xfId="1" applyFont="1" applyFill="1" applyAlignment="1">
      <alignment horizontal="center"/>
    </xf>
    <xf numFmtId="164" fontId="3" fillId="23" borderId="0" xfId="0" applyNumberFormat="1" applyFont="1" applyFill="1"/>
    <xf numFmtId="14" fontId="13" fillId="23" borderId="0" xfId="0" applyNumberFormat="1" applyFont="1" applyFill="1" applyAlignment="1">
      <alignment horizontal="left"/>
    </xf>
    <xf numFmtId="164" fontId="4" fillId="23" borderId="0" xfId="1" applyFont="1" applyFill="1"/>
    <xf numFmtId="14" fontId="13" fillId="23" borderId="0" xfId="0" applyNumberFormat="1" applyFont="1" applyFill="1"/>
    <xf numFmtId="0" fontId="3" fillId="23" borderId="0" xfId="0" applyFont="1" applyFill="1" applyAlignment="1">
      <alignment horizontal="left"/>
    </xf>
    <xf numFmtId="14" fontId="4" fillId="23" borderId="0" xfId="0" applyNumberFormat="1" applyFont="1" applyFill="1"/>
    <xf numFmtId="164" fontId="13" fillId="23" borderId="0" xfId="0" applyNumberFormat="1" applyFont="1" applyFill="1"/>
    <xf numFmtId="164" fontId="3" fillId="23" borderId="0" xfId="1" applyFont="1" applyFill="1" applyAlignment="1"/>
    <xf numFmtId="164" fontId="13" fillId="23" borderId="0" xfId="1" applyFont="1" applyFill="1" applyAlignment="1"/>
    <xf numFmtId="0" fontId="3" fillId="24" borderId="0" xfId="0" applyFont="1" applyFill="1"/>
    <xf numFmtId="14" fontId="3" fillId="24" borderId="0" xfId="0" applyNumberFormat="1" applyFont="1" applyFill="1"/>
    <xf numFmtId="14" fontId="3" fillId="24" borderId="0" xfId="0" applyNumberFormat="1" applyFont="1" applyFill="1" applyAlignment="1">
      <alignment horizontal="center"/>
    </xf>
    <xf numFmtId="0" fontId="6" fillId="24" borderId="0" xfId="0" applyFont="1" applyFill="1"/>
    <xf numFmtId="1" fontId="3" fillId="24" borderId="0" xfId="0" applyNumberFormat="1" applyFont="1" applyFill="1" applyAlignment="1">
      <alignment horizontal="center"/>
    </xf>
    <xf numFmtId="0" fontId="4" fillId="24" borderId="0" xfId="0" applyFont="1" applyFill="1"/>
    <xf numFmtId="164" fontId="4" fillId="24" borderId="0" xfId="1" applyFont="1" applyFill="1" applyAlignment="1">
      <alignment horizontal="center"/>
    </xf>
    <xf numFmtId="164" fontId="3" fillId="24" borderId="0" xfId="1" applyFont="1" applyFill="1"/>
    <xf numFmtId="9" fontId="3" fillId="24" borderId="0" xfId="0" applyNumberFormat="1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4" borderId="0" xfId="0" applyFont="1" applyFill="1" applyAlignment="1">
      <alignment horizontal="right"/>
    </xf>
    <xf numFmtId="164" fontId="3" fillId="24" borderId="0" xfId="0" applyNumberFormat="1" applyFont="1" applyFill="1" applyAlignment="1">
      <alignment horizontal="right"/>
    </xf>
    <xf numFmtId="164" fontId="3" fillId="24" borderId="0" xfId="1" applyFont="1" applyFill="1" applyAlignment="1">
      <alignment horizontal="center"/>
    </xf>
    <xf numFmtId="14" fontId="0" fillId="7" borderId="0" xfId="0" applyNumberFormat="1" applyFill="1" applyAlignment="1">
      <alignment horizontal="center" vertical="center" wrapText="1"/>
    </xf>
    <xf numFmtId="1" fontId="3" fillId="24" borderId="0" xfId="0" quotePrefix="1" applyNumberFormat="1" applyFont="1" applyFill="1" applyAlignment="1">
      <alignment horizontal="center"/>
    </xf>
    <xf numFmtId="164" fontId="3" fillId="24" borderId="0" xfId="0" applyNumberFormat="1" applyFont="1" applyFill="1" applyAlignment="1">
      <alignment horizontal="center"/>
    </xf>
    <xf numFmtId="0" fontId="13" fillId="24" borderId="0" xfId="0" applyFont="1" applyFill="1"/>
    <xf numFmtId="14" fontId="13" fillId="24" borderId="0" xfId="0" applyNumberFormat="1" applyFont="1" applyFill="1" applyAlignment="1">
      <alignment horizontal="center"/>
    </xf>
    <xf numFmtId="0" fontId="19" fillId="24" borderId="0" xfId="0" applyFont="1" applyFill="1"/>
    <xf numFmtId="1" fontId="13" fillId="24" borderId="0" xfId="0" quotePrefix="1" applyNumberFormat="1" applyFont="1" applyFill="1" applyAlignment="1">
      <alignment horizontal="center"/>
    </xf>
    <xf numFmtId="164" fontId="13" fillId="24" borderId="0" xfId="1" applyFont="1" applyFill="1" applyAlignment="1">
      <alignment horizontal="center"/>
    </xf>
    <xf numFmtId="164" fontId="13" fillId="24" borderId="0" xfId="1" applyFont="1" applyFill="1"/>
    <xf numFmtId="9" fontId="13" fillId="24" borderId="0" xfId="2" applyFont="1" applyFill="1" applyAlignment="1">
      <alignment horizontal="center"/>
    </xf>
    <xf numFmtId="9" fontId="13" fillId="24" borderId="0" xfId="0" applyNumberFormat="1" applyFont="1" applyFill="1" applyAlignment="1">
      <alignment horizontal="center"/>
    </xf>
    <xf numFmtId="0" fontId="13" fillId="24" borderId="0" xfId="0" applyFont="1" applyFill="1" applyAlignment="1">
      <alignment horizontal="center"/>
    </xf>
    <xf numFmtId="0" fontId="13" fillId="24" borderId="0" xfId="0" applyFont="1" applyFill="1" applyAlignment="1">
      <alignment horizontal="right"/>
    </xf>
    <xf numFmtId="164" fontId="13" fillId="24" borderId="0" xfId="0" applyNumberFormat="1" applyFont="1" applyFill="1" applyAlignment="1">
      <alignment horizontal="right"/>
    </xf>
    <xf numFmtId="164" fontId="3" fillId="25" borderId="0" xfId="1" applyFont="1" applyFill="1"/>
    <xf numFmtId="14" fontId="13" fillId="24" borderId="0" xfId="0" applyNumberFormat="1" applyFont="1" applyFill="1"/>
    <xf numFmtId="164" fontId="3" fillId="24" borderId="0" xfId="1" applyFont="1" applyFill="1" applyAlignment="1">
      <alignment horizontal="right"/>
    </xf>
    <xf numFmtId="164" fontId="3" fillId="24" borderId="0" xfId="1" applyFont="1" applyFill="1" applyAlignment="1"/>
    <xf numFmtId="165" fontId="3" fillId="23" borderId="0" xfId="0" applyNumberFormat="1" applyFont="1" applyFill="1" applyAlignment="1">
      <alignment vertical="center"/>
    </xf>
    <xf numFmtId="165" fontId="3" fillId="24" borderId="0" xfId="0" applyNumberFormat="1" applyFont="1" applyFill="1"/>
    <xf numFmtId="164" fontId="3" fillId="24" borderId="0" xfId="0" applyNumberFormat="1" applyFont="1" applyFill="1"/>
    <xf numFmtId="164" fontId="4" fillId="24" borderId="0" xfId="1" applyFont="1" applyFill="1"/>
    <xf numFmtId="14" fontId="4" fillId="24" borderId="0" xfId="0" applyNumberFormat="1" applyFont="1" applyFill="1"/>
    <xf numFmtId="9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3" fillId="24" borderId="0" xfId="0" applyFont="1" applyFill="1" applyAlignment="1">
      <alignment horizontal="left"/>
    </xf>
    <xf numFmtId="0" fontId="3" fillId="26" borderId="0" xfId="0" applyFont="1" applyFill="1"/>
    <xf numFmtId="14" fontId="3" fillId="26" borderId="0" xfId="0" applyNumberFormat="1" applyFont="1" applyFill="1" applyAlignment="1">
      <alignment horizontal="center"/>
    </xf>
    <xf numFmtId="0" fontId="6" fillId="26" borderId="0" xfId="0" applyFont="1" applyFill="1"/>
    <xf numFmtId="1" fontId="3" fillId="26" borderId="0" xfId="0" quotePrefix="1" applyNumberFormat="1" applyFont="1" applyFill="1" applyAlignment="1">
      <alignment horizontal="center"/>
    </xf>
    <xf numFmtId="164" fontId="4" fillId="26" borderId="0" xfId="1" applyFont="1" applyFill="1" applyAlignment="1">
      <alignment horizontal="center"/>
    </xf>
    <xf numFmtId="0" fontId="4" fillId="26" borderId="0" xfId="0" applyFont="1" applyFill="1"/>
    <xf numFmtId="164" fontId="3" fillId="26" borderId="0" xfId="1" applyFont="1" applyFill="1"/>
    <xf numFmtId="9" fontId="3" fillId="26" borderId="0" xfId="0" applyNumberFormat="1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6" borderId="0" xfId="0" applyFont="1" applyFill="1" applyAlignment="1">
      <alignment horizontal="right"/>
    </xf>
    <xf numFmtId="164" fontId="3" fillId="26" borderId="0" xfId="0" applyNumberFormat="1" applyFont="1" applyFill="1" applyAlignment="1">
      <alignment horizontal="right"/>
    </xf>
    <xf numFmtId="164" fontId="3" fillId="26" borderId="0" xfId="0" applyNumberFormat="1" applyFont="1" applyFill="1" applyAlignment="1">
      <alignment horizontal="center"/>
    </xf>
    <xf numFmtId="0" fontId="13" fillId="26" borderId="0" xfId="0" applyFont="1" applyFill="1"/>
    <xf numFmtId="14" fontId="3" fillId="26" borderId="0" xfId="0" applyNumberFormat="1" applyFont="1" applyFill="1"/>
    <xf numFmtId="14" fontId="13" fillId="26" borderId="0" xfId="0" applyNumberFormat="1" applyFont="1" applyFill="1" applyAlignment="1">
      <alignment horizontal="center"/>
    </xf>
    <xf numFmtId="0" fontId="19" fillId="26" borderId="0" xfId="0" applyFont="1" applyFill="1"/>
    <xf numFmtId="1" fontId="13" fillId="26" borderId="0" xfId="0" quotePrefix="1" applyNumberFormat="1" applyFont="1" applyFill="1" applyAlignment="1">
      <alignment horizontal="center"/>
    </xf>
    <xf numFmtId="164" fontId="13" fillId="26" borderId="0" xfId="1" applyFont="1" applyFill="1" applyAlignment="1">
      <alignment horizontal="center"/>
    </xf>
    <xf numFmtId="164" fontId="13" fillId="26" borderId="0" xfId="1" applyFont="1" applyFill="1"/>
    <xf numFmtId="9" fontId="13" fillId="26" borderId="0" xfId="2" applyFont="1" applyFill="1" applyAlignment="1">
      <alignment horizontal="center"/>
    </xf>
    <xf numFmtId="9" fontId="13" fillId="26" borderId="0" xfId="0" applyNumberFormat="1" applyFont="1" applyFill="1" applyAlignment="1">
      <alignment horizontal="center"/>
    </xf>
    <xf numFmtId="0" fontId="13" fillId="26" borderId="0" xfId="0" applyFont="1" applyFill="1" applyAlignment="1">
      <alignment horizontal="center"/>
    </xf>
    <xf numFmtId="0" fontId="13" fillId="26" borderId="0" xfId="0" applyFont="1" applyFill="1" applyAlignment="1">
      <alignment horizontal="right"/>
    </xf>
    <xf numFmtId="164" fontId="13" fillId="26" borderId="0" xfId="0" applyNumberFormat="1" applyFont="1" applyFill="1" applyAlignment="1">
      <alignment horizontal="right"/>
    </xf>
    <xf numFmtId="1" fontId="3" fillId="26" borderId="0" xfId="0" applyNumberFormat="1" applyFont="1" applyFill="1" applyAlignment="1">
      <alignment horizontal="center"/>
    </xf>
    <xf numFmtId="0" fontId="3" fillId="27" borderId="0" xfId="0" applyFont="1" applyFill="1"/>
    <xf numFmtId="0" fontId="13" fillId="27" borderId="0" xfId="0" applyFont="1" applyFill="1"/>
    <xf numFmtId="164" fontId="3" fillId="26" borderId="0" xfId="1" applyFont="1" applyFill="1" applyAlignment="1">
      <alignment horizontal="center"/>
    </xf>
    <xf numFmtId="164" fontId="3" fillId="26" borderId="0" xfId="1" applyFont="1" applyFill="1" applyAlignment="1">
      <alignment horizontal="right"/>
    </xf>
    <xf numFmtId="14" fontId="13" fillId="26" borderId="0" xfId="0" applyNumberFormat="1" applyFont="1" applyFill="1"/>
    <xf numFmtId="14" fontId="13" fillId="26" borderId="0" xfId="0" applyNumberFormat="1" applyFont="1" applyFill="1" applyAlignment="1">
      <alignment horizontal="left"/>
    </xf>
    <xf numFmtId="164" fontId="3" fillId="26" borderId="0" xfId="1" applyFont="1" applyFill="1" applyAlignment="1"/>
    <xf numFmtId="164" fontId="4" fillId="26" borderId="0" xfId="1" applyFont="1" applyFill="1"/>
    <xf numFmtId="164" fontId="13" fillId="26" borderId="0" xfId="1" applyFont="1" applyFill="1" applyAlignment="1"/>
    <xf numFmtId="164" fontId="3" fillId="26" borderId="0" xfId="0" applyNumberFormat="1" applyFont="1" applyFill="1"/>
    <xf numFmtId="164" fontId="3" fillId="0" borderId="0" xfId="0" applyNumberFormat="1" applyFont="1"/>
    <xf numFmtId="0" fontId="3" fillId="28" borderId="0" xfId="0" applyFont="1" applyFill="1"/>
    <xf numFmtId="14" fontId="3" fillId="28" borderId="0" xfId="0" applyNumberFormat="1" applyFont="1" applyFill="1" applyAlignment="1">
      <alignment horizontal="center"/>
    </xf>
    <xf numFmtId="0" fontId="6" fillId="28" borderId="0" xfId="0" applyFont="1" applyFill="1"/>
    <xf numFmtId="1" fontId="13" fillId="28" borderId="0" xfId="0" quotePrefix="1" applyNumberFormat="1" applyFont="1" applyFill="1" applyAlignment="1">
      <alignment horizontal="center"/>
    </xf>
    <xf numFmtId="0" fontId="4" fillId="28" borderId="0" xfId="0" applyFont="1" applyFill="1"/>
    <xf numFmtId="164" fontId="4" fillId="28" borderId="0" xfId="1" applyFont="1" applyFill="1" applyAlignment="1">
      <alignment horizontal="center"/>
    </xf>
    <xf numFmtId="164" fontId="3" fillId="28" borderId="0" xfId="1" applyFont="1" applyFill="1"/>
    <xf numFmtId="9" fontId="3" fillId="28" borderId="0" xfId="0" applyNumberFormat="1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13" fillId="28" borderId="0" xfId="0" applyFont="1" applyFill="1" applyAlignment="1">
      <alignment horizontal="center"/>
    </xf>
    <xf numFmtId="0" fontId="3" fillId="28" borderId="0" xfId="0" applyFont="1" applyFill="1" applyAlignment="1">
      <alignment horizontal="right"/>
    </xf>
    <xf numFmtId="164" fontId="3" fillId="28" borderId="0" xfId="0" applyNumberFormat="1" applyFont="1" applyFill="1" applyAlignment="1">
      <alignment horizontal="right"/>
    </xf>
    <xf numFmtId="164" fontId="3" fillId="28" borderId="0" xfId="0" applyNumberFormat="1" applyFont="1" applyFill="1" applyAlignment="1">
      <alignment horizontal="center"/>
    </xf>
    <xf numFmtId="0" fontId="13" fillId="29" borderId="0" xfId="0" applyFont="1" applyFill="1"/>
    <xf numFmtId="0" fontId="3" fillId="29" borderId="0" xfId="0" applyFont="1" applyFill="1"/>
    <xf numFmtId="14" fontId="3" fillId="29" borderId="0" xfId="0" applyNumberFormat="1" applyFont="1" applyFill="1" applyAlignment="1">
      <alignment horizontal="center"/>
    </xf>
    <xf numFmtId="0" fontId="6" fillId="29" borderId="0" xfId="0" applyFont="1" applyFill="1"/>
    <xf numFmtId="1" fontId="13" fillId="29" borderId="0" xfId="0" quotePrefix="1" applyNumberFormat="1" applyFont="1" applyFill="1" applyAlignment="1">
      <alignment horizontal="center"/>
    </xf>
    <xf numFmtId="0" fontId="4" fillId="29" borderId="0" xfId="0" applyFont="1" applyFill="1"/>
    <xf numFmtId="164" fontId="4" fillId="29" borderId="0" xfId="1" applyFont="1" applyFill="1" applyAlignment="1">
      <alignment horizontal="center"/>
    </xf>
    <xf numFmtId="164" fontId="3" fillId="29" borderId="0" xfId="1" applyFont="1" applyFill="1"/>
    <xf numFmtId="9" fontId="3" fillId="29" borderId="0" xfId="0" applyNumberFormat="1" applyFont="1" applyFill="1" applyAlignment="1">
      <alignment horizontal="center"/>
    </xf>
    <xf numFmtId="0" fontId="13" fillId="29" borderId="0" xfId="0" applyFont="1" applyFill="1" applyAlignment="1">
      <alignment horizontal="center"/>
    </xf>
    <xf numFmtId="0" fontId="3" fillId="29" borderId="0" xfId="0" applyFont="1" applyFill="1" applyAlignment="1">
      <alignment horizontal="right"/>
    </xf>
    <xf numFmtId="164" fontId="3" fillId="29" borderId="0" xfId="0" applyNumberFormat="1" applyFont="1" applyFill="1" applyAlignment="1">
      <alignment horizontal="right"/>
    </xf>
    <xf numFmtId="164" fontId="3" fillId="29" borderId="0" xfId="0" applyNumberFormat="1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164" fontId="3" fillId="28" borderId="0" xfId="0" applyNumberFormat="1" applyFont="1" applyFill="1"/>
    <xf numFmtId="1" fontId="3" fillId="28" borderId="0" xfId="0" quotePrefix="1" applyNumberFormat="1" applyFont="1" applyFill="1" applyAlignment="1">
      <alignment horizontal="center"/>
    </xf>
    <xf numFmtId="14" fontId="3" fillId="28" borderId="0" xfId="0" applyNumberFormat="1" applyFont="1" applyFill="1"/>
    <xf numFmtId="0" fontId="13" fillId="28" borderId="0" xfId="0" applyFont="1" applyFill="1"/>
    <xf numFmtId="164" fontId="13" fillId="28" borderId="0" xfId="1" applyFont="1" applyFill="1"/>
    <xf numFmtId="14" fontId="13" fillId="28" borderId="0" xfId="0" applyNumberFormat="1" applyFont="1" applyFill="1" applyAlignment="1">
      <alignment horizontal="center"/>
    </xf>
    <xf numFmtId="0" fontId="19" fillId="28" borderId="0" xfId="0" applyFont="1" applyFill="1"/>
    <xf numFmtId="0" fontId="13" fillId="28" borderId="0" xfId="0" applyFont="1" applyFill="1" applyAlignment="1">
      <alignment horizontal="right"/>
    </xf>
    <xf numFmtId="164" fontId="13" fillId="28" borderId="0" xfId="0" applyNumberFormat="1" applyFont="1" applyFill="1" applyAlignment="1">
      <alignment horizontal="right"/>
    </xf>
    <xf numFmtId="0" fontId="3" fillId="30" borderId="0" xfId="0" applyFont="1" applyFill="1"/>
    <xf numFmtId="14" fontId="3" fillId="30" borderId="0" xfId="0" applyNumberFormat="1" applyFont="1" applyFill="1"/>
    <xf numFmtId="14" fontId="3" fillId="30" borderId="0" xfId="0" applyNumberFormat="1" applyFont="1" applyFill="1" applyAlignment="1">
      <alignment horizontal="center"/>
    </xf>
    <xf numFmtId="0" fontId="6" fillId="30" borderId="0" xfId="0" applyFont="1" applyFill="1"/>
    <xf numFmtId="14" fontId="13" fillId="30" borderId="0" xfId="0" applyNumberFormat="1" applyFont="1" applyFill="1" applyAlignment="1">
      <alignment horizontal="left"/>
    </xf>
    <xf numFmtId="1" fontId="13" fillId="30" borderId="0" xfId="0" quotePrefix="1" applyNumberFormat="1" applyFont="1" applyFill="1" applyAlignment="1">
      <alignment horizontal="center"/>
    </xf>
    <xf numFmtId="0" fontId="13" fillId="30" borderId="0" xfId="0" applyFont="1" applyFill="1"/>
    <xf numFmtId="164" fontId="13" fillId="30" borderId="0" xfId="1" applyFont="1" applyFill="1" applyAlignment="1">
      <alignment horizontal="center"/>
    </xf>
    <xf numFmtId="0" fontId="4" fillId="30" borderId="0" xfId="0" applyFont="1" applyFill="1"/>
    <xf numFmtId="164" fontId="3" fillId="30" borderId="0" xfId="1" applyFont="1" applyFill="1"/>
    <xf numFmtId="9" fontId="3" fillId="30" borderId="0" xfId="0" applyNumberFormat="1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13" fillId="30" borderId="0" xfId="0" applyFont="1" applyFill="1" applyAlignment="1">
      <alignment horizontal="center"/>
    </xf>
    <xf numFmtId="0" fontId="3" fillId="30" borderId="0" xfId="0" applyFont="1" applyFill="1" applyAlignment="1">
      <alignment horizontal="right"/>
    </xf>
    <xf numFmtId="164" fontId="3" fillId="30" borderId="0" xfId="0" applyNumberFormat="1" applyFont="1" applyFill="1" applyAlignment="1">
      <alignment horizontal="right"/>
    </xf>
    <xf numFmtId="164" fontId="3" fillId="30" borderId="0" xfId="0" applyNumberFormat="1" applyFont="1" applyFill="1" applyAlignment="1">
      <alignment horizontal="center"/>
    </xf>
    <xf numFmtId="1" fontId="3" fillId="30" borderId="0" xfId="0" quotePrefix="1" applyNumberFormat="1" applyFont="1" applyFill="1" applyAlignment="1">
      <alignment horizontal="center"/>
    </xf>
    <xf numFmtId="164" fontId="4" fillId="30" borderId="0" xfId="1" applyFont="1" applyFill="1" applyAlignment="1">
      <alignment horizontal="center"/>
    </xf>
    <xf numFmtId="164" fontId="3" fillId="30" borderId="0" xfId="1" applyFont="1" applyFill="1" applyAlignment="1">
      <alignment horizontal="center"/>
    </xf>
    <xf numFmtId="14" fontId="4" fillId="30" borderId="0" xfId="0" applyNumberFormat="1" applyFont="1" applyFill="1"/>
    <xf numFmtId="1" fontId="3" fillId="30" borderId="0" xfId="0" applyNumberFormat="1" applyFont="1" applyFill="1" applyAlignment="1">
      <alignment horizontal="center"/>
    </xf>
    <xf numFmtId="164" fontId="3" fillId="30" borderId="0" xfId="0" applyNumberFormat="1" applyFont="1" applyFill="1"/>
    <xf numFmtId="164" fontId="3" fillId="18" borderId="0" xfId="0" applyNumberFormat="1" applyFont="1" applyFill="1" applyAlignment="1">
      <alignment horizontal="center"/>
    </xf>
    <xf numFmtId="164" fontId="3" fillId="4" borderId="0" xfId="0" applyNumberFormat="1" applyFont="1" applyFill="1" applyAlignment="1">
      <alignment horizontal="center"/>
    </xf>
    <xf numFmtId="164" fontId="3" fillId="19" borderId="0" xfId="0" applyNumberFormat="1" applyFont="1" applyFill="1" applyAlignment="1">
      <alignment horizontal="center"/>
    </xf>
    <xf numFmtId="164" fontId="3" fillId="8" borderId="0" xfId="0" applyNumberFormat="1" applyFont="1" applyFill="1" applyAlignment="1">
      <alignment horizontal="center"/>
    </xf>
    <xf numFmtId="164" fontId="3" fillId="14" borderId="0" xfId="0" applyNumberFormat="1" applyFont="1" applyFill="1" applyAlignment="1">
      <alignment horizontal="center"/>
    </xf>
    <xf numFmtId="0" fontId="13" fillId="10" borderId="0" xfId="0" applyFont="1" applyFill="1"/>
    <xf numFmtId="0" fontId="13" fillId="12" borderId="0" xfId="0" applyFont="1" applyFill="1"/>
    <xf numFmtId="0" fontId="3" fillId="31" borderId="0" xfId="0" applyFont="1" applyFill="1"/>
    <xf numFmtId="14" fontId="3" fillId="31" borderId="0" xfId="0" applyNumberFormat="1" applyFont="1" applyFill="1" applyAlignment="1">
      <alignment horizontal="center"/>
    </xf>
    <xf numFmtId="0" fontId="6" fillId="31" borderId="0" xfId="0" applyFont="1" applyFill="1"/>
    <xf numFmtId="1" fontId="3" fillId="31" borderId="0" xfId="0" quotePrefix="1" applyNumberFormat="1" applyFont="1" applyFill="1" applyAlignment="1">
      <alignment horizontal="center"/>
    </xf>
    <xf numFmtId="164" fontId="4" fillId="31" borderId="0" xfId="1" applyFont="1" applyFill="1" applyAlignment="1">
      <alignment horizontal="center"/>
    </xf>
    <xf numFmtId="164" fontId="3" fillId="31" borderId="0" xfId="1" applyFont="1" applyFill="1"/>
    <xf numFmtId="9" fontId="3" fillId="31" borderId="0" xfId="0" applyNumberFormat="1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31" borderId="0" xfId="0" applyFont="1" applyFill="1" applyAlignment="1">
      <alignment horizontal="right"/>
    </xf>
    <xf numFmtId="164" fontId="3" fillId="31" borderId="0" xfId="0" applyNumberFormat="1" applyFont="1" applyFill="1" applyAlignment="1">
      <alignment horizontal="right"/>
    </xf>
    <xf numFmtId="164" fontId="3" fillId="31" borderId="0" xfId="0" applyNumberFormat="1" applyFont="1" applyFill="1" applyAlignment="1">
      <alignment horizontal="center"/>
    </xf>
    <xf numFmtId="164" fontId="3" fillId="31" borderId="0" xfId="0" applyNumberFormat="1" applyFont="1" applyFill="1"/>
    <xf numFmtId="164" fontId="3" fillId="11" borderId="0" xfId="0" applyNumberFormat="1" applyFont="1" applyFill="1" applyAlignment="1">
      <alignment horizontal="center"/>
    </xf>
    <xf numFmtId="0" fontId="13" fillId="31" borderId="0" xfId="0" applyFont="1" applyFill="1"/>
    <xf numFmtId="14" fontId="3" fillId="31" borderId="0" xfId="0" applyNumberFormat="1" applyFont="1" applyFill="1"/>
    <xf numFmtId="164" fontId="4" fillId="31" borderId="0" xfId="1" applyFont="1" applyFill="1"/>
    <xf numFmtId="164" fontId="3" fillId="31" borderId="0" xfId="1" applyFont="1" applyFill="1" applyAlignment="1">
      <alignment horizontal="right"/>
    </xf>
    <xf numFmtId="14" fontId="13" fillId="31" borderId="0" xfId="0" applyNumberFormat="1" applyFont="1" applyFill="1"/>
    <xf numFmtId="14" fontId="13" fillId="31" borderId="0" xfId="0" applyNumberFormat="1" applyFont="1" applyFill="1" applyAlignment="1">
      <alignment horizontal="center"/>
    </xf>
    <xf numFmtId="0" fontId="19" fillId="31" borderId="0" xfId="0" applyFont="1" applyFill="1"/>
    <xf numFmtId="1" fontId="13" fillId="31" borderId="0" xfId="0" quotePrefix="1" applyNumberFormat="1" applyFont="1" applyFill="1" applyAlignment="1">
      <alignment horizontal="center"/>
    </xf>
    <xf numFmtId="164" fontId="13" fillId="31" borderId="0" xfId="1" applyFont="1" applyFill="1" applyAlignment="1">
      <alignment horizontal="center"/>
    </xf>
    <xf numFmtId="164" fontId="13" fillId="31" borderId="0" xfId="1" applyFont="1" applyFill="1"/>
    <xf numFmtId="9" fontId="13" fillId="31" borderId="0" xfId="0" applyNumberFormat="1" applyFont="1" applyFill="1" applyAlignment="1">
      <alignment horizontal="center"/>
    </xf>
    <xf numFmtId="0" fontId="13" fillId="31" borderId="0" xfId="0" applyFont="1" applyFill="1" applyAlignment="1">
      <alignment horizontal="center"/>
    </xf>
    <xf numFmtId="0" fontId="13" fillId="31" borderId="0" xfId="0" applyFont="1" applyFill="1" applyAlignment="1">
      <alignment horizontal="right"/>
    </xf>
    <xf numFmtId="164" fontId="13" fillId="31" borderId="0" xfId="0" applyNumberFormat="1" applyFont="1" applyFill="1" applyAlignment="1">
      <alignment horizontal="right"/>
    </xf>
    <xf numFmtId="164" fontId="13" fillId="31" borderId="0" xfId="0" applyNumberFormat="1" applyFont="1" applyFill="1"/>
    <xf numFmtId="1" fontId="3" fillId="31" borderId="0" xfId="0" applyNumberFormat="1" applyFont="1" applyFill="1" applyAlignment="1">
      <alignment horizontal="center"/>
    </xf>
    <xf numFmtId="0" fontId="4" fillId="31" borderId="0" xfId="0" applyFont="1" applyFill="1"/>
    <xf numFmtId="164" fontId="13" fillId="3" borderId="0" xfId="1" applyFont="1" applyFill="1" applyAlignment="1"/>
    <xf numFmtId="0" fontId="3" fillId="31" borderId="0" xfId="0" quotePrefix="1" applyFont="1" applyFill="1" applyAlignment="1">
      <alignment horizontal="center"/>
    </xf>
    <xf numFmtId="164" fontId="3" fillId="31" borderId="0" xfId="1" applyFont="1" applyFill="1" applyAlignment="1">
      <alignment horizontal="center"/>
    </xf>
    <xf numFmtId="1" fontId="3" fillId="10" borderId="0" xfId="0" applyNumberFormat="1" applyFont="1" applyFill="1" applyAlignment="1">
      <alignment horizontal="center"/>
    </xf>
    <xf numFmtId="2" fontId="3" fillId="31" borderId="0" xfId="0" applyNumberFormat="1" applyFont="1" applyFill="1"/>
    <xf numFmtId="164" fontId="4" fillId="30" borderId="0" xfId="1" applyFont="1" applyFill="1"/>
    <xf numFmtId="14" fontId="13" fillId="30" borderId="0" xfId="0" applyNumberFormat="1" applyFont="1" applyFill="1" applyAlignment="1">
      <alignment horizontal="center"/>
    </xf>
    <xf numFmtId="0" fontId="19" fillId="30" borderId="0" xfId="0" applyFont="1" applyFill="1"/>
    <xf numFmtId="164" fontId="13" fillId="30" borderId="0" xfId="1" applyFont="1" applyFill="1"/>
    <xf numFmtId="9" fontId="13" fillId="30" borderId="0" xfId="2" applyFont="1" applyFill="1" applyAlignment="1">
      <alignment horizontal="center"/>
    </xf>
    <xf numFmtId="9" fontId="13" fillId="30" borderId="0" xfId="0" applyNumberFormat="1" applyFont="1" applyFill="1" applyAlignment="1">
      <alignment horizontal="center"/>
    </xf>
    <xf numFmtId="0" fontId="13" fillId="30" borderId="0" xfId="0" applyFont="1" applyFill="1" applyAlignment="1">
      <alignment horizontal="right"/>
    </xf>
    <xf numFmtId="164" fontId="13" fillId="30" borderId="0" xfId="0" applyNumberFormat="1" applyFont="1" applyFill="1" applyAlignment="1">
      <alignment horizontal="right"/>
    </xf>
    <xf numFmtId="164" fontId="3" fillId="30" borderId="0" xfId="1" applyFont="1" applyFill="1" applyAlignment="1"/>
    <xf numFmtId="164" fontId="3" fillId="30" borderId="0" xfId="1" applyFont="1" applyFill="1" applyAlignment="1">
      <alignment horizontal="right"/>
    </xf>
    <xf numFmtId="164" fontId="13" fillId="30" borderId="0" xfId="0" applyNumberFormat="1" applyFont="1" applyFill="1"/>
    <xf numFmtId="14" fontId="13" fillId="27" borderId="0" xfId="0" applyNumberFormat="1" applyFont="1" applyFill="1"/>
    <xf numFmtId="14" fontId="3" fillId="27" borderId="0" xfId="0" applyNumberFormat="1" applyFont="1" applyFill="1" applyAlignment="1">
      <alignment horizontal="center"/>
    </xf>
    <xf numFmtId="0" fontId="6" fillId="27" borderId="0" xfId="0" applyFont="1" applyFill="1"/>
    <xf numFmtId="1" fontId="13" fillId="27" borderId="0" xfId="0" quotePrefix="1" applyNumberFormat="1" applyFont="1" applyFill="1" applyAlignment="1">
      <alignment horizontal="center"/>
    </xf>
    <xf numFmtId="0" fontId="4" fillId="27" borderId="0" xfId="0" applyFont="1" applyFill="1"/>
    <xf numFmtId="164" fontId="4" fillId="27" borderId="0" xfId="1" applyFont="1" applyFill="1" applyAlignment="1">
      <alignment horizontal="center"/>
    </xf>
    <xf numFmtId="164" fontId="3" fillId="27" borderId="0" xfId="1" applyFont="1" applyFill="1"/>
    <xf numFmtId="9" fontId="3" fillId="27" borderId="0" xfId="0" applyNumberFormat="1" applyFont="1" applyFill="1" applyAlignment="1">
      <alignment horizontal="center"/>
    </xf>
    <xf numFmtId="0" fontId="3" fillId="27" borderId="0" xfId="0" applyFont="1" applyFill="1" applyAlignment="1">
      <alignment horizontal="center"/>
    </xf>
    <xf numFmtId="0" fontId="3" fillId="27" borderId="0" xfId="0" applyFont="1" applyFill="1" applyAlignment="1">
      <alignment horizontal="right"/>
    </xf>
    <xf numFmtId="164" fontId="3" fillId="27" borderId="0" xfId="0" applyNumberFormat="1" applyFont="1" applyFill="1" applyAlignment="1">
      <alignment horizontal="right"/>
    </xf>
    <xf numFmtId="164" fontId="3" fillId="27" borderId="0" xfId="0" applyNumberFormat="1" applyFont="1" applyFill="1" applyAlignment="1">
      <alignment horizontal="center"/>
    </xf>
    <xf numFmtId="14" fontId="3" fillId="27" borderId="0" xfId="0" applyNumberFormat="1" applyFont="1" applyFill="1"/>
    <xf numFmtId="1" fontId="3" fillId="27" borderId="0" xfId="0" quotePrefix="1" applyNumberFormat="1" applyFont="1" applyFill="1" applyAlignment="1">
      <alignment horizontal="center"/>
    </xf>
    <xf numFmtId="0" fontId="13" fillId="27" borderId="0" xfId="0" applyFont="1" applyFill="1" applyAlignment="1">
      <alignment horizontal="center"/>
    </xf>
    <xf numFmtId="14" fontId="13" fillId="27" borderId="0" xfId="0" applyNumberFormat="1" applyFont="1" applyFill="1" applyAlignment="1">
      <alignment horizontal="center"/>
    </xf>
    <xf numFmtId="0" fontId="19" fillId="27" borderId="0" xfId="0" applyFont="1" applyFill="1"/>
    <xf numFmtId="164" fontId="13" fillId="27" borderId="0" xfId="1" applyFont="1" applyFill="1" applyAlignment="1">
      <alignment horizontal="center"/>
    </xf>
    <xf numFmtId="164" fontId="13" fillId="27" borderId="0" xfId="1" applyFont="1" applyFill="1"/>
    <xf numFmtId="9" fontId="13" fillId="27" borderId="0" xfId="0" applyNumberFormat="1" applyFont="1" applyFill="1" applyAlignment="1">
      <alignment horizontal="center"/>
    </xf>
    <xf numFmtId="0" fontId="13" fillId="27" borderId="0" xfId="0" applyFont="1" applyFill="1" applyAlignment="1">
      <alignment horizontal="right"/>
    </xf>
    <xf numFmtId="164" fontId="13" fillId="27" borderId="0" xfId="0" applyNumberFormat="1" applyFont="1" applyFill="1" applyAlignment="1">
      <alignment horizontal="right"/>
    </xf>
    <xf numFmtId="9" fontId="13" fillId="27" borderId="0" xfId="2" applyFont="1" applyFill="1" applyAlignment="1">
      <alignment horizontal="center"/>
    </xf>
    <xf numFmtId="0" fontId="3" fillId="32" borderId="0" xfId="0" applyFont="1" applyFill="1"/>
    <xf numFmtId="14" fontId="3" fillId="33" borderId="0" xfId="0" applyNumberFormat="1" applyFont="1" applyFill="1"/>
    <xf numFmtId="14" fontId="3" fillId="33" borderId="0" xfId="0" applyNumberFormat="1" applyFont="1" applyFill="1" applyAlignment="1">
      <alignment horizontal="center"/>
    </xf>
    <xf numFmtId="0" fontId="6" fillId="33" borderId="0" xfId="0" applyFont="1" applyFill="1"/>
    <xf numFmtId="0" fontId="3" fillId="33" borderId="0" xfId="0" applyFont="1" applyFill="1"/>
    <xf numFmtId="1" fontId="13" fillId="33" borderId="0" xfId="0" quotePrefix="1" applyNumberFormat="1" applyFont="1" applyFill="1" applyAlignment="1">
      <alignment horizontal="center"/>
    </xf>
    <xf numFmtId="0" fontId="4" fillId="33" borderId="0" xfId="0" applyFont="1" applyFill="1"/>
    <xf numFmtId="164" fontId="4" fillId="33" borderId="0" xfId="1" applyFont="1" applyFill="1" applyAlignment="1">
      <alignment horizontal="center"/>
    </xf>
    <xf numFmtId="164" fontId="3" fillId="33" borderId="0" xfId="1" applyFont="1" applyFill="1"/>
    <xf numFmtId="9" fontId="3" fillId="33" borderId="0" xfId="0" applyNumberFormat="1" applyFont="1" applyFill="1" applyAlignment="1">
      <alignment horizontal="center"/>
    </xf>
    <xf numFmtId="0" fontId="13" fillId="33" borderId="0" xfId="0" applyFont="1" applyFill="1"/>
    <xf numFmtId="0" fontId="13" fillId="33" borderId="0" xfId="0" applyFont="1" applyFill="1" applyAlignment="1">
      <alignment horizontal="center"/>
    </xf>
    <xf numFmtId="0" fontId="3" fillId="33" borderId="0" xfId="0" applyFont="1" applyFill="1" applyAlignment="1">
      <alignment horizontal="right"/>
    </xf>
    <xf numFmtId="164" fontId="3" fillId="33" borderId="0" xfId="0" applyNumberFormat="1" applyFont="1" applyFill="1" applyAlignment="1">
      <alignment horizontal="right"/>
    </xf>
    <xf numFmtId="164" fontId="3" fillId="33" borderId="0" xfId="0" applyNumberFormat="1" applyFont="1" applyFill="1" applyAlignment="1">
      <alignment horizontal="center"/>
    </xf>
    <xf numFmtId="14" fontId="4" fillId="33" borderId="0" xfId="0" applyNumberFormat="1" applyFont="1" applyFill="1"/>
    <xf numFmtId="1" fontId="3" fillId="33" borderId="0" xfId="0" quotePrefix="1" applyNumberFormat="1" applyFont="1" applyFill="1" applyAlignment="1">
      <alignment horizontal="center"/>
    </xf>
    <xf numFmtId="9" fontId="4" fillId="33" borderId="0" xfId="0" applyNumberFormat="1" applyFont="1" applyFill="1" applyAlignment="1">
      <alignment horizontal="center"/>
    </xf>
    <xf numFmtId="0" fontId="4" fillId="33" borderId="0" xfId="0" applyFont="1" applyFill="1" applyAlignment="1">
      <alignment horizontal="center"/>
    </xf>
    <xf numFmtId="2" fontId="3" fillId="33" borderId="0" xfId="0" applyNumberFormat="1" applyFont="1" applyFill="1"/>
    <xf numFmtId="2" fontId="3" fillId="33" borderId="0" xfId="1" applyNumberFormat="1" applyFont="1" applyFill="1"/>
    <xf numFmtId="0" fontId="3" fillId="34" borderId="0" xfId="0" applyFont="1" applyFill="1"/>
    <xf numFmtId="14" fontId="3" fillId="34" borderId="0" xfId="0" applyNumberFormat="1" applyFont="1" applyFill="1" applyAlignment="1">
      <alignment horizontal="center"/>
    </xf>
    <xf numFmtId="0" fontId="6" fillId="34" borderId="0" xfId="0" applyFont="1" applyFill="1"/>
    <xf numFmtId="1" fontId="3" fillId="34" borderId="0" xfId="0" quotePrefix="1" applyNumberFormat="1" applyFont="1" applyFill="1" applyAlignment="1">
      <alignment horizontal="center"/>
    </xf>
    <xf numFmtId="0" fontId="4" fillId="34" borderId="0" xfId="0" applyFont="1" applyFill="1"/>
    <xf numFmtId="164" fontId="4" fillId="34" borderId="0" xfId="1" applyFont="1" applyFill="1" applyAlignment="1">
      <alignment horizontal="center"/>
    </xf>
    <xf numFmtId="164" fontId="3" fillId="34" borderId="0" xfId="1" applyFont="1" applyFill="1"/>
    <xf numFmtId="9" fontId="3" fillId="34" borderId="0" xfId="0" applyNumberFormat="1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4" borderId="0" xfId="0" applyFont="1" applyFill="1" applyAlignment="1">
      <alignment horizontal="right"/>
    </xf>
    <xf numFmtId="164" fontId="3" fillId="34" borderId="0" xfId="0" applyNumberFormat="1" applyFont="1" applyFill="1" applyAlignment="1">
      <alignment horizontal="right"/>
    </xf>
    <xf numFmtId="164" fontId="3" fillId="34" borderId="0" xfId="0" applyNumberFormat="1" applyFont="1" applyFill="1" applyAlignment="1">
      <alignment horizontal="center"/>
    </xf>
    <xf numFmtId="0" fontId="3" fillId="35" borderId="0" xfId="0" applyFont="1" applyFill="1"/>
    <xf numFmtId="14" fontId="3" fillId="35" borderId="0" xfId="0" applyNumberFormat="1" applyFont="1" applyFill="1" applyAlignment="1">
      <alignment horizontal="center"/>
    </xf>
    <xf numFmtId="0" fontId="6" fillId="35" borderId="0" xfId="0" applyFont="1" applyFill="1"/>
    <xf numFmtId="1" fontId="3" fillId="35" borderId="0" xfId="0" quotePrefix="1" applyNumberFormat="1" applyFont="1" applyFill="1" applyAlignment="1">
      <alignment horizontal="center"/>
    </xf>
    <xf numFmtId="0" fontId="4" fillId="35" borderId="0" xfId="0" applyFont="1" applyFill="1"/>
    <xf numFmtId="164" fontId="4" fillId="35" borderId="0" xfId="1" applyFont="1" applyFill="1" applyAlignment="1">
      <alignment horizontal="center"/>
    </xf>
    <xf numFmtId="164" fontId="3" fillId="35" borderId="0" xfId="1" applyFont="1" applyFill="1"/>
    <xf numFmtId="9" fontId="3" fillId="35" borderId="0" xfId="0" applyNumberFormat="1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3" fillId="35" borderId="0" xfId="0" applyFont="1" applyFill="1" applyAlignment="1">
      <alignment horizontal="right"/>
    </xf>
    <xf numFmtId="164" fontId="3" fillId="35" borderId="0" xfId="0" applyNumberFormat="1" applyFont="1" applyFill="1" applyAlignment="1">
      <alignment horizontal="right"/>
    </xf>
    <xf numFmtId="164" fontId="3" fillId="35" borderId="0" xfId="0" applyNumberFormat="1" applyFont="1" applyFill="1" applyAlignment="1">
      <alignment horizontal="center"/>
    </xf>
    <xf numFmtId="0" fontId="3" fillId="36" borderId="0" xfId="0" applyFont="1" applyFill="1"/>
    <xf numFmtId="14" fontId="3" fillId="36" borderId="0" xfId="0" applyNumberFormat="1" applyFont="1" applyFill="1"/>
    <xf numFmtId="14" fontId="3" fillId="36" borderId="0" xfId="0" applyNumberFormat="1" applyFont="1" applyFill="1" applyAlignment="1">
      <alignment horizontal="center"/>
    </xf>
    <xf numFmtId="0" fontId="6" fillId="36" borderId="0" xfId="0" applyFont="1" applyFill="1"/>
    <xf numFmtId="1" fontId="3" fillId="36" borderId="0" xfId="0" quotePrefix="1" applyNumberFormat="1" applyFont="1" applyFill="1" applyAlignment="1">
      <alignment horizontal="center"/>
    </xf>
    <xf numFmtId="0" fontId="4" fillId="36" borderId="0" xfId="0" applyFont="1" applyFill="1"/>
    <xf numFmtId="164" fontId="4" fillId="36" borderId="0" xfId="1" applyFont="1" applyFill="1" applyAlignment="1">
      <alignment horizontal="center"/>
    </xf>
    <xf numFmtId="164" fontId="3" fillId="36" borderId="0" xfId="1" applyFont="1" applyFill="1"/>
    <xf numFmtId="9" fontId="3" fillId="36" borderId="0" xfId="0" applyNumberFormat="1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36" borderId="0" xfId="0" applyFont="1" applyFill="1" applyAlignment="1">
      <alignment horizontal="right"/>
    </xf>
    <xf numFmtId="164" fontId="3" fillId="36" borderId="0" xfId="0" applyNumberFormat="1" applyFont="1" applyFill="1" applyAlignment="1">
      <alignment horizontal="right"/>
    </xf>
    <xf numFmtId="164" fontId="3" fillId="36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4" fontId="21" fillId="0" borderId="2" xfId="4" applyNumberFormat="1" applyBorder="1"/>
    <xf numFmtId="0" fontId="21" fillId="0" borderId="3" xfId="4" applyBorder="1"/>
    <xf numFmtId="166" fontId="0" fillId="0" borderId="3" xfId="5" applyFont="1" applyBorder="1"/>
    <xf numFmtId="14" fontId="21" fillId="0" borderId="4" xfId="4" applyNumberFormat="1" applyBorder="1"/>
    <xf numFmtId="0" fontId="21" fillId="0" borderId="0" xfId="4"/>
    <xf numFmtId="14" fontId="21" fillId="0" borderId="5" xfId="4" applyNumberFormat="1" applyBorder="1"/>
    <xf numFmtId="0" fontId="21" fillId="0" borderId="6" xfId="4" applyBorder="1"/>
    <xf numFmtId="166" fontId="0" fillId="0" borderId="6" xfId="5" applyFont="1" applyBorder="1"/>
    <xf numFmtId="14" fontId="21" fillId="0" borderId="7" xfId="4" applyNumberFormat="1" applyBorder="1"/>
    <xf numFmtId="14" fontId="21" fillId="0" borderId="8" xfId="4" applyNumberFormat="1" applyBorder="1"/>
    <xf numFmtId="0" fontId="21" fillId="0" borderId="9" xfId="4" applyBorder="1"/>
    <xf numFmtId="166" fontId="0" fillId="0" borderId="9" xfId="5" applyFont="1" applyBorder="1"/>
    <xf numFmtId="14" fontId="21" fillId="0" borderId="10" xfId="4" applyNumberFormat="1" applyBorder="1"/>
    <xf numFmtId="14" fontId="21" fillId="0" borderId="0" xfId="4" applyNumberFormat="1"/>
    <xf numFmtId="166" fontId="0" fillId="0" borderId="0" xfId="5" applyFont="1"/>
    <xf numFmtId="9" fontId="0" fillId="0" borderId="0" xfId="2" applyFont="1"/>
    <xf numFmtId="0" fontId="0" fillId="0" borderId="0" xfId="2" applyNumberFormat="1" applyFont="1"/>
    <xf numFmtId="0" fontId="22" fillId="0" borderId="0" xfId="0" applyFont="1"/>
    <xf numFmtId="0" fontId="17" fillId="9" borderId="0" xfId="0" applyFont="1" applyFill="1" applyAlignment="1">
      <alignment horizontal="left" vertical="center"/>
    </xf>
    <xf numFmtId="0" fontId="15" fillId="9" borderId="0" xfId="0" applyFont="1" applyFill="1"/>
    <xf numFmtId="164" fontId="15" fillId="9" borderId="0" xfId="0" applyNumberFormat="1" applyFont="1" applyFill="1"/>
    <xf numFmtId="0" fontId="2" fillId="8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vertical="center"/>
    </xf>
  </cellXfs>
  <cellStyles count="6">
    <cellStyle name="Milliers" xfId="1" builtinId="3"/>
    <cellStyle name="Milliers 2" xfId="5" xr:uid="{8F8DB630-A360-0644-90DC-B976B366C778}"/>
    <cellStyle name="Normal" xfId="0" builtinId="0"/>
    <cellStyle name="Normal 2" xfId="3" xr:uid="{00000000-0005-0000-0000-000002000000}"/>
    <cellStyle name="Normal 3" xfId="4" xr:uid="{7480CA2A-2C97-B44E-BDB7-9B547F32552D}"/>
    <cellStyle name="Pourcentage" xfId="2" builtinId="5"/>
  </cellStyles>
  <dxfs count="25">
    <dxf>
      <numFmt numFmtId="19" formatCode="d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33CC"/>
      <color rgb="FF808000"/>
      <color rgb="FF33CCFF"/>
      <color rgb="FF99FF33"/>
      <color rgb="FFA365D1"/>
      <color rgb="FF3333CC"/>
      <color rgb="FFF4B084"/>
      <color rgb="FF00FFFF"/>
      <color rgb="FFFF0066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0</xdr:row>
      <xdr:rowOff>47627</xdr:rowOff>
    </xdr:from>
    <xdr:to>
      <xdr:col>4</xdr:col>
      <xdr:colOff>398351</xdr:colOff>
      <xdr:row>2</xdr:row>
      <xdr:rowOff>171451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627"/>
          <a:ext cx="1724025" cy="4857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icolasallonge/Downloads/OneDrive_1_10-06-2024/Assure&#769;s%202022.xlsx" TargetMode="External"/><Relationship Id="rId1" Type="http://schemas.openxmlformats.org/officeDocument/2006/relationships/externalLinkPath" Target="/Users/nicolasallonge/Downloads/OneDrive_1_10-06-2024/Assure&#769;s%20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INV_AGRO_BI/BIOLINE%20INSURANCE/MRC/Campagne%202021/REPORTING/Reporting%20Cultures/CultureExtract_202104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CD"/>
      <sheetName val="Extract-cultures"/>
      <sheetName val="Tables"/>
      <sheetName val="Assurés 2022"/>
    </sheetNames>
    <sheetDataSet>
      <sheetData sheetId="0" refreshError="1"/>
      <sheetData sheetId="1"/>
      <sheetData sheetId="2">
        <row r="1">
          <cell r="P1" t="str">
            <v>N° PACAGE</v>
          </cell>
          <cell r="Q1" t="str">
            <v>Renewal / New Contract</v>
          </cell>
        </row>
        <row r="2">
          <cell r="P2" t="str">
            <v>021161087</v>
          </cell>
          <cell r="Q2" t="str">
            <v>New Contract</v>
          </cell>
        </row>
        <row r="3">
          <cell r="P3" t="str">
            <v>024037224</v>
          </cell>
          <cell r="Q3" t="str">
            <v>Renewal (25% in 2020)</v>
          </cell>
        </row>
        <row r="4">
          <cell r="P4" t="str">
            <v>032170262</v>
          </cell>
          <cell r="Q4" t="str">
            <v>Renewal (25% in 2020)</v>
          </cell>
        </row>
        <row r="5">
          <cell r="P5" t="str">
            <v>024033902</v>
          </cell>
          <cell r="Q5" t="str">
            <v>Renewal (25% in 2020)</v>
          </cell>
        </row>
        <row r="6">
          <cell r="P6" t="str">
            <v>016164094</v>
          </cell>
          <cell r="Q6" t="str">
            <v>Renewal (20% in 2020)</v>
          </cell>
        </row>
        <row r="7">
          <cell r="P7" t="str">
            <v>055010982</v>
          </cell>
          <cell r="Q7" t="str">
            <v>Renewal (15% in 2020)</v>
          </cell>
        </row>
        <row r="8">
          <cell r="P8" t="str">
            <v>058021210</v>
          </cell>
          <cell r="Q8" t="str">
            <v>Renewal (25% in 2020)</v>
          </cell>
        </row>
        <row r="9">
          <cell r="P9" t="str">
            <v>052001735</v>
          </cell>
          <cell r="Q9" t="str">
            <v>New Contract</v>
          </cell>
        </row>
        <row r="10">
          <cell r="P10" t="str">
            <v>052012030</v>
          </cell>
          <cell r="Q10" t="str">
            <v>Renewal (20% in 2020)</v>
          </cell>
        </row>
        <row r="11">
          <cell r="P11" t="str">
            <v>089163802</v>
          </cell>
          <cell r="Q11" t="str">
            <v>New contract</v>
          </cell>
        </row>
        <row r="12">
          <cell r="P12" t="str">
            <v>086015908</v>
          </cell>
          <cell r="Q12" t="str">
            <v>Renewal (15% in 2020)</v>
          </cell>
        </row>
        <row r="13">
          <cell r="P13" t="str">
            <v>021999999</v>
          </cell>
          <cell r="Q13" t="str">
            <v>New Contract</v>
          </cell>
        </row>
        <row r="14">
          <cell r="P14" t="str">
            <v>086159878</v>
          </cell>
          <cell r="Q14" t="str">
            <v>Renewal (25% in 2020)</v>
          </cell>
        </row>
        <row r="15">
          <cell r="P15" t="str">
            <v>086160839</v>
          </cell>
          <cell r="Q15" t="str">
            <v>Renewal (15% in 2020)</v>
          </cell>
        </row>
        <row r="16">
          <cell r="P16" t="str">
            <v>021156878</v>
          </cell>
          <cell r="Q16" t="str">
            <v>New Contract</v>
          </cell>
        </row>
        <row r="17">
          <cell r="P17" t="str">
            <v>036160699</v>
          </cell>
          <cell r="Q17" t="str">
            <v>Renewal (15% in 2020)</v>
          </cell>
        </row>
        <row r="18">
          <cell r="P18" t="str">
            <v>036160699</v>
          </cell>
          <cell r="Q18" t="str">
            <v>Renewal (15% in 2020)</v>
          </cell>
        </row>
        <row r="19">
          <cell r="P19" t="str">
            <v>014030251</v>
          </cell>
          <cell r="Q19" t="str">
            <v>Renewal (20% in 2020)</v>
          </cell>
        </row>
        <row r="20">
          <cell r="P20" t="str">
            <v>016010696</v>
          </cell>
          <cell r="Q20" t="str">
            <v>Renewal (20% in 2020)</v>
          </cell>
        </row>
        <row r="21">
          <cell r="P21" t="str">
            <v>087007159</v>
          </cell>
          <cell r="Q21" t="str">
            <v>Renewal (25% in 2020)</v>
          </cell>
        </row>
        <row r="22">
          <cell r="P22" t="str">
            <v>016166377</v>
          </cell>
          <cell r="Q22" t="str">
            <v>Renewal (20% in 2020)</v>
          </cell>
        </row>
        <row r="23">
          <cell r="P23" t="str">
            <v>017012541</v>
          </cell>
          <cell r="Q23" t="str">
            <v>Renewal (20% in 2020)</v>
          </cell>
        </row>
        <row r="24">
          <cell r="P24" t="str">
            <v>024010915</v>
          </cell>
          <cell r="Q24" t="str">
            <v>Renewal (25% in 2020)</v>
          </cell>
        </row>
        <row r="25">
          <cell r="P25" t="str">
            <v>086163018</v>
          </cell>
          <cell r="Q25" t="str">
            <v>Renewal (15% in 2020)</v>
          </cell>
        </row>
        <row r="26">
          <cell r="P26" t="str">
            <v>086163018</v>
          </cell>
          <cell r="Q26" t="str">
            <v>Renewal (15% in 2020)</v>
          </cell>
        </row>
        <row r="27">
          <cell r="P27" t="str">
            <v>032167545</v>
          </cell>
          <cell r="Q27" t="str">
            <v>Renewal (25% in 2020)</v>
          </cell>
        </row>
        <row r="28">
          <cell r="P28" t="str">
            <v>058020407</v>
          </cell>
          <cell r="Q28" t="str">
            <v>Renewal (15% in 2020)</v>
          </cell>
        </row>
        <row r="29">
          <cell r="P29" t="str">
            <v>086164329</v>
          </cell>
          <cell r="Q29" t="str">
            <v>Renewal (20% in 2020)</v>
          </cell>
        </row>
        <row r="30">
          <cell r="P30" t="str">
            <v>086157031</v>
          </cell>
          <cell r="Q30" t="str">
            <v>Renewal (15% in 2020)</v>
          </cell>
        </row>
        <row r="31">
          <cell r="P31" t="str">
            <v>016162985</v>
          </cell>
          <cell r="Q31" t="str">
            <v>Renewal (30% in 2020)</v>
          </cell>
        </row>
        <row r="32">
          <cell r="P32" t="str">
            <v>087022166</v>
          </cell>
          <cell r="Q32" t="str">
            <v>Renewal (15% in 2020)</v>
          </cell>
        </row>
        <row r="33">
          <cell r="P33" t="str">
            <v>086003307</v>
          </cell>
          <cell r="Q33" t="str">
            <v>New Contract</v>
          </cell>
        </row>
        <row r="34">
          <cell r="P34" t="str">
            <v>086164225</v>
          </cell>
          <cell r="Q34" t="str">
            <v>Renewal (15% in 2020)</v>
          </cell>
        </row>
        <row r="35">
          <cell r="P35" t="str">
            <v>016162130</v>
          </cell>
          <cell r="Q35" t="str">
            <v>Renewal (20% in 2020)</v>
          </cell>
        </row>
        <row r="36">
          <cell r="P36" t="str">
            <v>016162159</v>
          </cell>
          <cell r="Q36" t="str">
            <v>Renewal (15% in 2020)</v>
          </cell>
        </row>
        <row r="37">
          <cell r="P37" t="str">
            <v>021007512</v>
          </cell>
          <cell r="Q37" t="str">
            <v>New contract</v>
          </cell>
        </row>
        <row r="38">
          <cell r="P38" t="str">
            <v>031004378</v>
          </cell>
          <cell r="Q38" t="str">
            <v>New Contract</v>
          </cell>
        </row>
        <row r="39">
          <cell r="P39" t="str">
            <v>089004696</v>
          </cell>
          <cell r="Q39" t="str">
            <v>New Contract</v>
          </cell>
        </row>
        <row r="40">
          <cell r="P40" t="str">
            <v>087022530</v>
          </cell>
          <cell r="Q40" t="str">
            <v>Renewal (20% in 2020)</v>
          </cell>
        </row>
        <row r="41">
          <cell r="P41" t="str">
            <v>017012529</v>
          </cell>
          <cell r="Q41" t="str">
            <v>Renewal (20% in 2020)</v>
          </cell>
        </row>
        <row r="42">
          <cell r="P42" t="str">
            <v>079156541</v>
          </cell>
          <cell r="Q42" t="str">
            <v>Renewal (15% in 2020)</v>
          </cell>
        </row>
        <row r="43">
          <cell r="P43" t="str">
            <v>079003762</v>
          </cell>
          <cell r="Q43" t="str">
            <v>Renewal (15% in 2020)</v>
          </cell>
        </row>
        <row r="44">
          <cell r="P44" t="str">
            <v>079153553</v>
          </cell>
          <cell r="Q44" t="str">
            <v>New Contract</v>
          </cell>
        </row>
        <row r="45">
          <cell r="P45" t="str">
            <v>079155226</v>
          </cell>
          <cell r="Q45" t="str">
            <v>Renewal (15% in 2020)</v>
          </cell>
        </row>
        <row r="46">
          <cell r="P46" t="str">
            <v>016162211</v>
          </cell>
          <cell r="Q46" t="str">
            <v>Renewal (20% in 2020)</v>
          </cell>
        </row>
        <row r="47">
          <cell r="P47" t="str">
            <v>021005000</v>
          </cell>
          <cell r="Q47" t="str">
            <v>New contract</v>
          </cell>
        </row>
        <row r="48">
          <cell r="P48" t="str">
            <v>016166366</v>
          </cell>
          <cell r="Q48" t="str">
            <v>New Contract</v>
          </cell>
        </row>
        <row r="49">
          <cell r="P49" t="str">
            <v>016000288</v>
          </cell>
          <cell r="Q49" t="str">
            <v>Renewal (20% in 2020)</v>
          </cell>
        </row>
        <row r="50">
          <cell r="P50" t="str">
            <v>086162366</v>
          </cell>
          <cell r="Q50" t="str">
            <v>Renewal (15% in 2020)</v>
          </cell>
        </row>
        <row r="51">
          <cell r="P51" t="str">
            <v>032165759</v>
          </cell>
          <cell r="Q51" t="str">
            <v>New contract</v>
          </cell>
        </row>
        <row r="52">
          <cell r="P52" t="str">
            <v>021010669</v>
          </cell>
          <cell r="Q52" t="str">
            <v>New contract</v>
          </cell>
        </row>
        <row r="53">
          <cell r="P53" t="str">
            <v>021007599</v>
          </cell>
          <cell r="Q53" t="str">
            <v>New Contract</v>
          </cell>
        </row>
        <row r="54">
          <cell r="P54" t="str">
            <v>087010044</v>
          </cell>
          <cell r="Q54" t="str">
            <v>New Contract</v>
          </cell>
        </row>
        <row r="55">
          <cell r="P55" t="str">
            <v>086160754</v>
          </cell>
          <cell r="Q55" t="str">
            <v>Renewal (15% in 2020)</v>
          </cell>
        </row>
        <row r="56">
          <cell r="P56" t="str">
            <v>016161998</v>
          </cell>
          <cell r="Q56" t="str">
            <v>Renewal (20% in 2020)</v>
          </cell>
        </row>
        <row r="57">
          <cell r="P57" t="str">
            <v>016161683</v>
          </cell>
          <cell r="Q57" t="str">
            <v>Renewal (25% in 2020)</v>
          </cell>
        </row>
        <row r="58">
          <cell r="P58" t="str">
            <v>086163461</v>
          </cell>
          <cell r="Q58" t="str">
            <v>Renewal (20% in 2020)</v>
          </cell>
        </row>
        <row r="59">
          <cell r="P59" t="str">
            <v>016164016</v>
          </cell>
          <cell r="Q59" t="str">
            <v>Renewal (15% in 2020)</v>
          </cell>
        </row>
        <row r="60">
          <cell r="P60" t="str">
            <v>086015229</v>
          </cell>
          <cell r="Q60" t="str">
            <v>Renewal (15% in 2020)</v>
          </cell>
        </row>
        <row r="61">
          <cell r="P61" t="str">
            <v>021159099</v>
          </cell>
          <cell r="Q61" t="str">
            <v>New Contract</v>
          </cell>
        </row>
        <row r="62">
          <cell r="P62" t="str">
            <v>017168425</v>
          </cell>
          <cell r="Q62" t="str">
            <v>Renewal (20% in 2020)</v>
          </cell>
        </row>
        <row r="63">
          <cell r="P63" t="str">
            <v>021159846</v>
          </cell>
          <cell r="Q63" t="str">
            <v>New Contract</v>
          </cell>
        </row>
        <row r="64">
          <cell r="P64" t="str">
            <v>031155909</v>
          </cell>
          <cell r="Q64" t="str">
            <v>Renewal (15% in 2020)</v>
          </cell>
        </row>
        <row r="65">
          <cell r="P65" t="str">
            <v>033175402</v>
          </cell>
          <cell r="Q65" t="str">
            <v>New Contract</v>
          </cell>
        </row>
        <row r="66">
          <cell r="P66" t="str">
            <v>082021199</v>
          </cell>
          <cell r="Q66" t="str">
            <v>New Contract</v>
          </cell>
        </row>
        <row r="67">
          <cell r="P67" t="str">
            <v>086164098</v>
          </cell>
          <cell r="Q67" t="str">
            <v>Renewal (20% in 2020)</v>
          </cell>
        </row>
        <row r="68">
          <cell r="P68" t="str">
            <v>031157455</v>
          </cell>
          <cell r="Q68" t="str">
            <v>Renewal (25% in 2020)</v>
          </cell>
        </row>
        <row r="69">
          <cell r="P69" t="str">
            <v>021010772</v>
          </cell>
          <cell r="Q69" t="str">
            <v>New Contract</v>
          </cell>
        </row>
        <row r="70">
          <cell r="P70" t="str">
            <v>024037224</v>
          </cell>
          <cell r="Q70" t="str">
            <v>Renewal (25% in 2020)</v>
          </cell>
        </row>
        <row r="71">
          <cell r="P71" t="str">
            <v>024035669</v>
          </cell>
          <cell r="Q71" t="str">
            <v>Renewal (15% in 2020)</v>
          </cell>
        </row>
        <row r="72">
          <cell r="P72" t="str">
            <v>079161478</v>
          </cell>
          <cell r="Q72" t="str">
            <v>New contract</v>
          </cell>
        </row>
        <row r="73">
          <cell r="P73" t="str">
            <v>039155836</v>
          </cell>
          <cell r="Q73" t="str">
            <v>Renewal (30% in 2020)</v>
          </cell>
        </row>
        <row r="74">
          <cell r="P74" t="str">
            <v>058007983</v>
          </cell>
          <cell r="Q74" t="str">
            <v>Renewal (20% in 2020)</v>
          </cell>
        </row>
        <row r="75">
          <cell r="P75" t="str">
            <v>079155429</v>
          </cell>
          <cell r="Q75" t="str">
            <v>New Contract</v>
          </cell>
        </row>
        <row r="76">
          <cell r="P76" t="str">
            <v>079155226</v>
          </cell>
          <cell r="Q76" t="str">
            <v>Renewal (15% in 2020)</v>
          </cell>
        </row>
        <row r="77">
          <cell r="P77" t="str">
            <v>028003956</v>
          </cell>
          <cell r="Q77" t="str">
            <v>Renewal (25% in 2020)</v>
          </cell>
        </row>
        <row r="78">
          <cell r="P78" t="str">
            <v>091003650</v>
          </cell>
          <cell r="Q78" t="str">
            <v>Renewal (25% in 2020)</v>
          </cell>
        </row>
        <row r="79">
          <cell r="P79" t="str">
            <v>051003355</v>
          </cell>
          <cell r="Q79" t="str">
            <v>New Contract</v>
          </cell>
        </row>
        <row r="80">
          <cell r="P80" t="str">
            <v>027160905</v>
          </cell>
          <cell r="Q80" t="str">
            <v>Renewal (30% in 2020)</v>
          </cell>
        </row>
        <row r="81">
          <cell r="P81" t="str">
            <v>076166020</v>
          </cell>
          <cell r="Q81" t="str">
            <v>Renewal (30% in 2020)</v>
          </cell>
        </row>
        <row r="82">
          <cell r="P82" t="str">
            <v>027158907</v>
          </cell>
          <cell r="Q82" t="str">
            <v>Renewal (20% in 2020)</v>
          </cell>
        </row>
        <row r="83">
          <cell r="P83" t="str">
            <v>028003939</v>
          </cell>
          <cell r="Q83" t="str">
            <v>Renewal (25% in 2020)</v>
          </cell>
        </row>
        <row r="84">
          <cell r="P84" t="str">
            <v>032019702</v>
          </cell>
          <cell r="Q84" t="str">
            <v>Renewal (15% in 2020)</v>
          </cell>
        </row>
        <row r="85">
          <cell r="P85" t="str">
            <v>032019702</v>
          </cell>
          <cell r="Q85" t="str">
            <v>Renewal (15% in 2020)</v>
          </cell>
        </row>
        <row r="86">
          <cell r="P86" t="str">
            <v>079153899</v>
          </cell>
          <cell r="Q86" t="str">
            <v>Renewal (30% in 2020)</v>
          </cell>
        </row>
        <row r="87">
          <cell r="P87" t="str">
            <v>047175987</v>
          </cell>
          <cell r="Q87" t="str">
            <v>Renewal (20% in 2020)</v>
          </cell>
        </row>
        <row r="88">
          <cell r="P88" t="str">
            <v>079160258</v>
          </cell>
          <cell r="Q88" t="str">
            <v>Renewal (25% in 2020)</v>
          </cell>
        </row>
        <row r="89">
          <cell r="P89" t="str">
            <v>031158853</v>
          </cell>
          <cell r="Q89" t="str">
            <v>Renewal (15% in 2020)</v>
          </cell>
        </row>
        <row r="90">
          <cell r="P90" t="str">
            <v>031153682</v>
          </cell>
          <cell r="Q90" t="str">
            <v>Renewal (20% in 2020)</v>
          </cell>
        </row>
        <row r="91">
          <cell r="P91" t="str">
            <v>032164426</v>
          </cell>
          <cell r="Q91" t="str">
            <v>Renewal (15% in 2020)</v>
          </cell>
        </row>
        <row r="92">
          <cell r="P92" t="str">
            <v>032020167</v>
          </cell>
          <cell r="Q92" t="str">
            <v>Renewal (25% in 2020)</v>
          </cell>
        </row>
        <row r="93">
          <cell r="P93" t="str">
            <v>032169479</v>
          </cell>
          <cell r="Q93" t="str">
            <v>Renewal (25% in 2020)</v>
          </cell>
        </row>
        <row r="94">
          <cell r="P94" t="str">
            <v>045010269</v>
          </cell>
          <cell r="Q94" t="str">
            <v>Renewal (25% in 2020)</v>
          </cell>
        </row>
        <row r="95">
          <cell r="P95" t="str">
            <v>032164335</v>
          </cell>
          <cell r="Q95" t="str">
            <v>Renewal (15% in 2020)</v>
          </cell>
        </row>
        <row r="96">
          <cell r="P96" t="str">
            <v>032165412</v>
          </cell>
          <cell r="Q96" t="str">
            <v>Renewal (25% in 2020)</v>
          </cell>
        </row>
        <row r="97">
          <cell r="P97" t="str">
            <v>016158000</v>
          </cell>
          <cell r="Q97" t="str">
            <v>Renewal (15% in 2020)</v>
          </cell>
        </row>
        <row r="98">
          <cell r="P98" t="str">
            <v>031012488</v>
          </cell>
          <cell r="Q98" t="str">
            <v>Renewal (15% in 2020)</v>
          </cell>
        </row>
        <row r="99">
          <cell r="P99" t="str">
            <v>032168632</v>
          </cell>
          <cell r="Q99" t="str">
            <v>Renewal (20% in 2020)</v>
          </cell>
        </row>
        <row r="100">
          <cell r="P100" t="str">
            <v>032170262</v>
          </cell>
          <cell r="Q100" t="str">
            <v>Renewal (25% in 2020)</v>
          </cell>
        </row>
        <row r="101">
          <cell r="P101" t="str">
            <v>009007352</v>
          </cell>
          <cell r="Q101" t="str">
            <v>Renewal (20% in 2020)</v>
          </cell>
        </row>
        <row r="102">
          <cell r="P102" t="str">
            <v>087008759</v>
          </cell>
          <cell r="Q102" t="str">
            <v>Renewal (20% in 2020)</v>
          </cell>
        </row>
        <row r="103">
          <cell r="P103" t="str">
            <v>086161720</v>
          </cell>
          <cell r="Q103" t="str">
            <v>Renewal (15% in 2020)</v>
          </cell>
        </row>
        <row r="104">
          <cell r="P104" t="str">
            <v>031158453</v>
          </cell>
          <cell r="Q104" t="str">
            <v>Renewal (15% in 2020)</v>
          </cell>
        </row>
        <row r="105">
          <cell r="P105" t="str">
            <v>017163031</v>
          </cell>
          <cell r="Q105" t="str">
            <v>Renewal (30% in 2020)</v>
          </cell>
        </row>
        <row r="106">
          <cell r="P106" t="str">
            <v>031158890</v>
          </cell>
          <cell r="Q106" t="str">
            <v>Renewal (20% in 2020)</v>
          </cell>
        </row>
        <row r="107">
          <cell r="P107" t="str">
            <v>031159414</v>
          </cell>
          <cell r="Q107" t="str">
            <v>Renewal (20% in 2020)</v>
          </cell>
        </row>
        <row r="108">
          <cell r="P108" t="str">
            <v>031159414</v>
          </cell>
          <cell r="Q108" t="str">
            <v>Renewal (20% in 2020)</v>
          </cell>
        </row>
        <row r="109">
          <cell r="P109" t="str">
            <v>031159245</v>
          </cell>
          <cell r="Q109" t="str">
            <v>Renewal (20% in 2020)</v>
          </cell>
        </row>
        <row r="110">
          <cell r="P110" t="str">
            <v>031158210</v>
          </cell>
          <cell r="Q110" t="str">
            <v>Renewal (20% in 2020)</v>
          </cell>
        </row>
        <row r="111">
          <cell r="P111" t="str">
            <v>032020997</v>
          </cell>
          <cell r="Q111" t="str">
            <v>Renewal (15% in 2020)</v>
          </cell>
        </row>
        <row r="112">
          <cell r="P112" t="str">
            <v>032167457</v>
          </cell>
          <cell r="Q112" t="str">
            <v>Renewal (25% in 2020)</v>
          </cell>
        </row>
        <row r="113">
          <cell r="P113" t="str">
            <v>032165297</v>
          </cell>
          <cell r="Q113" t="str">
            <v>Renewal (25% in 2020)</v>
          </cell>
        </row>
        <row r="114">
          <cell r="P114" t="str">
            <v>032167545</v>
          </cell>
          <cell r="Q114" t="str">
            <v>Renewal (25% in 2020)</v>
          </cell>
        </row>
        <row r="115">
          <cell r="P115" t="str">
            <v>016164467</v>
          </cell>
          <cell r="Q115" t="str">
            <v>Renewal (15% in 2020)</v>
          </cell>
        </row>
        <row r="116">
          <cell r="P116" t="str">
            <v>079008046</v>
          </cell>
          <cell r="Q116" t="str">
            <v>Renewal (30% in 2020)</v>
          </cell>
        </row>
        <row r="117">
          <cell r="P117" t="str">
            <v>031157622</v>
          </cell>
          <cell r="Q117" t="str">
            <v>Renewal (25% in 2020)</v>
          </cell>
        </row>
        <row r="118">
          <cell r="P118" t="str">
            <v>031155999</v>
          </cell>
          <cell r="Q118" t="str">
            <v>Renewal (15% in 2020)</v>
          </cell>
        </row>
        <row r="119">
          <cell r="P119" t="str">
            <v>031007229</v>
          </cell>
          <cell r="Q119" t="str">
            <v>Renewal (15% in 2020)</v>
          </cell>
        </row>
        <row r="120">
          <cell r="P120" t="str">
            <v>032160282</v>
          </cell>
          <cell r="Q120" t="str">
            <v>Renewal (20% in 2020)</v>
          </cell>
        </row>
        <row r="121">
          <cell r="P121" t="str">
            <v>031011458</v>
          </cell>
          <cell r="Q121" t="str">
            <v>New Contract</v>
          </cell>
        </row>
        <row r="122">
          <cell r="P122" t="str">
            <v>031009911</v>
          </cell>
          <cell r="Q122" t="str">
            <v>Renewal (15% in 2020)</v>
          </cell>
        </row>
        <row r="123">
          <cell r="P123" t="str">
            <v>016162555</v>
          </cell>
          <cell r="Q123" t="str">
            <v>New Contract</v>
          </cell>
        </row>
        <row r="124">
          <cell r="P124" t="str">
            <v>031004408</v>
          </cell>
          <cell r="Q124" t="str">
            <v>Renewal (20% in 2020)</v>
          </cell>
        </row>
        <row r="125">
          <cell r="P125" t="str">
            <v>031157342</v>
          </cell>
          <cell r="Q125" t="str">
            <v>New Contract</v>
          </cell>
        </row>
        <row r="126">
          <cell r="P126" t="str">
            <v>031156757</v>
          </cell>
          <cell r="Q126" t="str">
            <v>Renewal (15% in 2020)</v>
          </cell>
        </row>
        <row r="127">
          <cell r="P127" t="str">
            <v>032169153</v>
          </cell>
          <cell r="Q127" t="str">
            <v>New contract</v>
          </cell>
        </row>
        <row r="128">
          <cell r="P128" t="str">
            <v>023020464</v>
          </cell>
          <cell r="Q128" t="str">
            <v>Renewal (30% in 2020)</v>
          </cell>
        </row>
        <row r="129">
          <cell r="P129" t="str">
            <v>031006385</v>
          </cell>
          <cell r="Q129" t="str">
            <v>Renewal (20% in 2020)</v>
          </cell>
        </row>
        <row r="130">
          <cell r="P130" t="str">
            <v>079016243</v>
          </cell>
          <cell r="Q130" t="str">
            <v>Renewal (20% in 2020)</v>
          </cell>
        </row>
        <row r="131">
          <cell r="P131" t="str">
            <v>032158673</v>
          </cell>
          <cell r="Q131" t="str">
            <v>Renewal (15% in 2020)</v>
          </cell>
        </row>
        <row r="132">
          <cell r="P132" t="str">
            <v>031151703</v>
          </cell>
          <cell r="Q132" t="str">
            <v>Renewal (15% in 2020)</v>
          </cell>
        </row>
        <row r="133">
          <cell r="P133" t="str">
            <v>031013552</v>
          </cell>
          <cell r="Q133" t="str">
            <v>New Contract</v>
          </cell>
        </row>
        <row r="134">
          <cell r="P134" t="str">
            <v>047164451</v>
          </cell>
          <cell r="Q134" t="str">
            <v>Renewal (20% in 2020)</v>
          </cell>
        </row>
        <row r="135">
          <cell r="P135" t="str">
            <v>079156830</v>
          </cell>
          <cell r="Q135" t="str">
            <v>Renewal (30% in 2020)</v>
          </cell>
        </row>
        <row r="136">
          <cell r="P136" t="str">
            <v>031154204</v>
          </cell>
          <cell r="Q136" t="str">
            <v>Renewal (20% in 2020)</v>
          </cell>
        </row>
        <row r="137">
          <cell r="P137" t="str">
            <v>031154204</v>
          </cell>
          <cell r="Q137" t="str">
            <v>Renewal (20% in 2020)</v>
          </cell>
        </row>
        <row r="138">
          <cell r="P138" t="str">
            <v>032018547</v>
          </cell>
          <cell r="Q138" t="str">
            <v>Renewal (15% in 2020)</v>
          </cell>
        </row>
        <row r="139">
          <cell r="P139" t="str">
            <v>032165759</v>
          </cell>
          <cell r="Q139" t="str">
            <v>New contract</v>
          </cell>
        </row>
        <row r="140">
          <cell r="P140" t="str">
            <v>032000144</v>
          </cell>
          <cell r="Q140" t="str">
            <v>Renewal (20% in 2020)</v>
          </cell>
        </row>
        <row r="141">
          <cell r="P141" t="str">
            <v>032018870</v>
          </cell>
          <cell r="Q141" t="str">
            <v>Renewal (15% in 2020)</v>
          </cell>
        </row>
        <row r="142">
          <cell r="P142" t="str">
            <v>032158772</v>
          </cell>
          <cell r="Q142" t="str">
            <v>Renewal (15% in 2020)</v>
          </cell>
        </row>
        <row r="143">
          <cell r="P143" t="str">
            <v>031013490</v>
          </cell>
          <cell r="Q143" t="str">
            <v>Renewal (15% in 2020)</v>
          </cell>
        </row>
        <row r="144">
          <cell r="P144" t="str">
            <v>039155337</v>
          </cell>
          <cell r="Q144" t="str">
            <v>Renewal (15% in 2020)</v>
          </cell>
        </row>
        <row r="145">
          <cell r="P145" t="str">
            <v>031018461</v>
          </cell>
          <cell r="Q145" t="str">
            <v>Renewal (15% in 2020)</v>
          </cell>
        </row>
        <row r="146">
          <cell r="P146" t="str">
            <v>031157298</v>
          </cell>
          <cell r="Q146" t="str">
            <v>New Contract</v>
          </cell>
        </row>
        <row r="147">
          <cell r="P147" t="str">
            <v>031152802</v>
          </cell>
          <cell r="Q147" t="str">
            <v>New Contract</v>
          </cell>
        </row>
        <row r="148">
          <cell r="P148" t="str">
            <v>031006096</v>
          </cell>
          <cell r="Q148" t="str">
            <v>Renewal (15% in 2020)</v>
          </cell>
        </row>
        <row r="149">
          <cell r="P149" t="str">
            <v>086006822</v>
          </cell>
          <cell r="Q149" t="str">
            <v>Renewal (15% in 2020)</v>
          </cell>
        </row>
        <row r="150">
          <cell r="P150" t="str">
            <v>031152840</v>
          </cell>
          <cell r="Q150" t="str">
            <v>Renewal (20% in 2020)</v>
          </cell>
        </row>
        <row r="151">
          <cell r="P151" t="str">
            <v>031160422</v>
          </cell>
          <cell r="Q151" t="str">
            <v>New Contract</v>
          </cell>
        </row>
        <row r="152">
          <cell r="P152" t="str">
            <v>031159300</v>
          </cell>
          <cell r="Q152" t="str">
            <v>Renewal (15% in 2020)</v>
          </cell>
        </row>
        <row r="153">
          <cell r="P153" t="str">
            <v>031157206</v>
          </cell>
          <cell r="Q153" t="str">
            <v>Renewal (15% in 2020)</v>
          </cell>
        </row>
        <row r="154">
          <cell r="P154" t="str">
            <v>031156333</v>
          </cell>
          <cell r="Q154" t="str">
            <v>New Contract</v>
          </cell>
        </row>
        <row r="155">
          <cell r="P155" t="str">
            <v>031159936</v>
          </cell>
          <cell r="Q155" t="str">
            <v>Renewal (15% in 2020)</v>
          </cell>
        </row>
        <row r="156">
          <cell r="P156" t="str">
            <v>031158370</v>
          </cell>
          <cell r="Q156" t="str">
            <v>Renewal (15% in 2020)</v>
          </cell>
        </row>
        <row r="157">
          <cell r="P157" t="str">
            <v>031155109</v>
          </cell>
          <cell r="Q157" t="str">
            <v>Renewal (15% in 2020)</v>
          </cell>
        </row>
        <row r="158">
          <cell r="P158" t="str">
            <v>016166389</v>
          </cell>
          <cell r="Q158" t="str">
            <v>New Contract</v>
          </cell>
        </row>
        <row r="159">
          <cell r="P159" t="str">
            <v>031160179</v>
          </cell>
          <cell r="Q159" t="str">
            <v>New Contract</v>
          </cell>
        </row>
        <row r="160">
          <cell r="P160" t="str">
            <v>079016655</v>
          </cell>
          <cell r="Q160" t="str">
            <v>Renewal (15% in 2020)</v>
          </cell>
        </row>
        <row r="161">
          <cell r="P161" t="str">
            <v>017165395</v>
          </cell>
          <cell r="Q161" t="str">
            <v>Renewal (30% in 2020)</v>
          </cell>
        </row>
        <row r="162">
          <cell r="P162" t="str">
            <v>016014163</v>
          </cell>
          <cell r="Q162" t="str">
            <v>Renewal (20% in 2020)</v>
          </cell>
        </row>
        <row r="163">
          <cell r="P163" t="str">
            <v>032019702</v>
          </cell>
          <cell r="Q163" t="str">
            <v>Renewal (15% in 2020)</v>
          </cell>
        </row>
        <row r="164">
          <cell r="P164" t="str">
            <v>030246620</v>
          </cell>
          <cell r="Q164" t="str">
            <v>Renewal (15% in 2020)</v>
          </cell>
        </row>
        <row r="165">
          <cell r="P165" t="str">
            <v>017162148</v>
          </cell>
          <cell r="Q165" t="str">
            <v>Renewal (20% in 2020)</v>
          </cell>
        </row>
        <row r="166">
          <cell r="P166" t="str">
            <v>017164465</v>
          </cell>
          <cell r="Q166" t="str">
            <v>Renewal (30% in 2020)</v>
          </cell>
        </row>
        <row r="167">
          <cell r="P167" t="str">
            <v>032164426</v>
          </cell>
          <cell r="Q167" t="str">
            <v>Renewal (15% in 2020)</v>
          </cell>
        </row>
        <row r="168">
          <cell r="P168" t="str">
            <v>017007867</v>
          </cell>
          <cell r="Q168" t="str">
            <v>Renewal (15% in 2020)</v>
          </cell>
        </row>
        <row r="169">
          <cell r="P169" t="str">
            <v>017161275</v>
          </cell>
          <cell r="Q169" t="str">
            <v>Renewal (20% in 2020)</v>
          </cell>
        </row>
        <row r="170">
          <cell r="P170" t="str">
            <v>032165412</v>
          </cell>
          <cell r="Q170" t="str">
            <v>Renewal (25% in 2020)</v>
          </cell>
        </row>
        <row r="171">
          <cell r="P171" t="str">
            <v>017012363</v>
          </cell>
          <cell r="Q171" t="str">
            <v>Renewal (20% in 2020)</v>
          </cell>
        </row>
        <row r="172">
          <cell r="P172" t="str">
            <v>017012770</v>
          </cell>
          <cell r="Q172" t="str">
            <v>Renewal (25% in 2020)</v>
          </cell>
        </row>
        <row r="173">
          <cell r="P173" t="str">
            <v>017166746</v>
          </cell>
          <cell r="Q173" t="str">
            <v>Renewal (25% in 2020)</v>
          </cell>
        </row>
        <row r="174">
          <cell r="P174" t="str">
            <v>017167153</v>
          </cell>
          <cell r="Q174" t="str">
            <v>Renewal (30% in 2020)</v>
          </cell>
        </row>
        <row r="175">
          <cell r="P175" t="str">
            <v>032162975</v>
          </cell>
          <cell r="Q175" t="str">
            <v>Renewal (25% in 2020)</v>
          </cell>
        </row>
        <row r="176">
          <cell r="P176" t="str">
            <v>031154226</v>
          </cell>
          <cell r="Q176" t="str">
            <v>Renewal (15% in 2020)</v>
          </cell>
        </row>
        <row r="177">
          <cell r="P177" t="str">
            <v>032168632</v>
          </cell>
          <cell r="Q177" t="str">
            <v>Renewal (20% in 2020)</v>
          </cell>
        </row>
        <row r="178">
          <cell r="P178" t="str">
            <v>032166411</v>
          </cell>
          <cell r="Q178" t="str">
            <v>Renewal (25% in 2020)</v>
          </cell>
        </row>
        <row r="179">
          <cell r="P179" t="str">
            <v>079159946</v>
          </cell>
          <cell r="Q179" t="str">
            <v>Renewal (30% in 2020)</v>
          </cell>
        </row>
        <row r="180">
          <cell r="P180" t="str">
            <v>024005563</v>
          </cell>
          <cell r="Q180" t="str">
            <v>Renewal (20% in 2020)</v>
          </cell>
        </row>
        <row r="181">
          <cell r="P181" t="str">
            <v>031159008</v>
          </cell>
          <cell r="Q181" t="str">
            <v>Renewal (25% in 2020)</v>
          </cell>
        </row>
        <row r="182">
          <cell r="P182" t="str">
            <v>017012384</v>
          </cell>
          <cell r="Q182" t="str">
            <v>Renewal (25% in 2020)</v>
          </cell>
        </row>
        <row r="183">
          <cell r="P183" t="str">
            <v>024035669</v>
          </cell>
          <cell r="Q183" t="str">
            <v>Renewal (15% in 2020)</v>
          </cell>
        </row>
        <row r="184">
          <cell r="P184" t="str">
            <v>079012836</v>
          </cell>
          <cell r="Q184" t="str">
            <v>Renewal (25% in 2020)</v>
          </cell>
        </row>
        <row r="185">
          <cell r="P185" t="str">
            <v>016163824</v>
          </cell>
          <cell r="Q185" t="str">
            <v>Renewal (25% in 2020)</v>
          </cell>
        </row>
        <row r="186">
          <cell r="P186" t="str">
            <v>079015125</v>
          </cell>
          <cell r="Q186" t="str">
            <v>Renewal (30% in 2020)</v>
          </cell>
        </row>
        <row r="187">
          <cell r="P187" t="str">
            <v>079015125</v>
          </cell>
          <cell r="Q187" t="str">
            <v>Renewal (30% in 2020)</v>
          </cell>
        </row>
        <row r="188">
          <cell r="P188" t="str">
            <v>017161073</v>
          </cell>
          <cell r="Q188" t="str">
            <v>Renewal (15% in 2020)</v>
          </cell>
        </row>
        <row r="189">
          <cell r="P189" t="str">
            <v>016156373</v>
          </cell>
          <cell r="Q189" t="str">
            <v>Renewal (25% in 2020)</v>
          </cell>
        </row>
        <row r="190">
          <cell r="P190" t="str">
            <v>031158234</v>
          </cell>
          <cell r="Q190" t="str">
            <v>Renewal (20% in 2020)</v>
          </cell>
        </row>
        <row r="191">
          <cell r="P191" t="str">
            <v>031158472</v>
          </cell>
          <cell r="Q191" t="str">
            <v>Renewal (15% in 2020)</v>
          </cell>
        </row>
        <row r="192">
          <cell r="P192" t="str">
            <v>003013011</v>
          </cell>
          <cell r="Q192" t="str">
            <v>Renewal (20% in 2020)</v>
          </cell>
        </row>
        <row r="193">
          <cell r="P193" t="str">
            <v>017163031</v>
          </cell>
          <cell r="Q193" t="str">
            <v>Renewal (30% in 2020)</v>
          </cell>
        </row>
        <row r="194">
          <cell r="P194" t="str">
            <v>027007089</v>
          </cell>
          <cell r="Q194" t="str">
            <v>Renewal (30% in 2020)</v>
          </cell>
        </row>
        <row r="195">
          <cell r="P195" t="str">
            <v>031159414</v>
          </cell>
          <cell r="Q195" t="str">
            <v>Renewal (20% in 2020)</v>
          </cell>
        </row>
        <row r="196">
          <cell r="P196" t="str">
            <v>031159414</v>
          </cell>
          <cell r="Q196" t="str">
            <v>Renewal (20% in 2020)</v>
          </cell>
        </row>
        <row r="197">
          <cell r="P197" t="str">
            <v>031159245</v>
          </cell>
          <cell r="Q197" t="str">
            <v>Renewal (20% in 2020)</v>
          </cell>
        </row>
        <row r="198">
          <cell r="P198" t="str">
            <v>032166727</v>
          </cell>
          <cell r="Q198" t="str">
            <v>Renewal (15% in 2020)</v>
          </cell>
        </row>
        <row r="199">
          <cell r="P199" t="str">
            <v>032167545</v>
          </cell>
          <cell r="Q199" t="str">
            <v>Renewal (25% in 2020)</v>
          </cell>
        </row>
        <row r="200">
          <cell r="P200" t="str">
            <v>017158423</v>
          </cell>
          <cell r="Q200" t="str">
            <v>Renewal (25% in 2020)</v>
          </cell>
        </row>
        <row r="201">
          <cell r="P201" t="str">
            <v>017169123</v>
          </cell>
          <cell r="Q201" t="str">
            <v>Renewal (25% in 2020)</v>
          </cell>
        </row>
        <row r="202">
          <cell r="P202" t="str">
            <v>017157956</v>
          </cell>
          <cell r="Q202" t="str">
            <v>Renewal (30% in 2020)</v>
          </cell>
        </row>
        <row r="203">
          <cell r="P203" t="str">
            <v>016014577</v>
          </cell>
          <cell r="Q203" t="str">
            <v>Renewal (15% in 2020)</v>
          </cell>
        </row>
        <row r="204">
          <cell r="P204" t="str">
            <v>017163869</v>
          </cell>
          <cell r="Q204" t="str">
            <v>Renewal (20% in 2020)</v>
          </cell>
        </row>
        <row r="205">
          <cell r="P205" t="str">
            <v>017162131</v>
          </cell>
          <cell r="Q205" t="str">
            <v>Renewal (20% in 2020)</v>
          </cell>
        </row>
        <row r="206">
          <cell r="P206" t="str">
            <v>031000886</v>
          </cell>
          <cell r="Q206" t="str">
            <v>Renewal (15% in 2020)</v>
          </cell>
        </row>
        <row r="207">
          <cell r="P207" t="str">
            <v>031155999</v>
          </cell>
          <cell r="Q207" t="str">
            <v>Renewal (15% in 2020)</v>
          </cell>
        </row>
        <row r="208">
          <cell r="P208" t="str">
            <v>031007229</v>
          </cell>
          <cell r="Q208" t="str">
            <v>Renewal (15% in 2020)</v>
          </cell>
        </row>
        <row r="209">
          <cell r="P209" t="str">
            <v>003025152</v>
          </cell>
          <cell r="Q209" t="str">
            <v>Renewal (15% in 2020)</v>
          </cell>
        </row>
        <row r="210">
          <cell r="P210" t="str">
            <v>031008606</v>
          </cell>
          <cell r="Q210" t="str">
            <v>New Contract</v>
          </cell>
        </row>
        <row r="211">
          <cell r="P211" t="str">
            <v>032160282</v>
          </cell>
          <cell r="Q211" t="str">
            <v>Renewal (20% in 2020)</v>
          </cell>
        </row>
        <row r="212">
          <cell r="P212" t="str">
            <v>079006795</v>
          </cell>
          <cell r="Q212" t="str">
            <v>Renewal (30% in 2020)</v>
          </cell>
        </row>
        <row r="213">
          <cell r="P213" t="str">
            <v>017165919</v>
          </cell>
          <cell r="Q213" t="str">
            <v>Renewal (25% in 2020)</v>
          </cell>
        </row>
        <row r="214">
          <cell r="P214" t="str">
            <v>031011458</v>
          </cell>
          <cell r="Q214" t="str">
            <v>New Contract</v>
          </cell>
        </row>
        <row r="215">
          <cell r="P215" t="str">
            <v>017166660</v>
          </cell>
          <cell r="Q215" t="str">
            <v>Renewal (15% in 2020)</v>
          </cell>
        </row>
        <row r="216">
          <cell r="P216" t="str">
            <v>016161755</v>
          </cell>
          <cell r="Q216" t="str">
            <v>Renewal (25% in 2020)</v>
          </cell>
        </row>
        <row r="217">
          <cell r="P217" t="str">
            <v>016162555</v>
          </cell>
          <cell r="Q217" t="str">
            <v>New Contract</v>
          </cell>
        </row>
        <row r="218">
          <cell r="P218" t="str">
            <v>031004408</v>
          </cell>
          <cell r="Q218" t="str">
            <v>Renewal (20% in 2020)</v>
          </cell>
        </row>
        <row r="219">
          <cell r="P219" t="str">
            <v>024016642</v>
          </cell>
          <cell r="Q219" t="str">
            <v>Renewal (20% in 2020)</v>
          </cell>
        </row>
        <row r="220">
          <cell r="P220" t="str">
            <v>003026277</v>
          </cell>
          <cell r="Q220" t="str">
            <v>Renewal (20% in 2020)</v>
          </cell>
        </row>
        <row r="221">
          <cell r="P221" t="str">
            <v>031156757</v>
          </cell>
          <cell r="Q221" t="str">
            <v>Renewal (15% in 2020)</v>
          </cell>
        </row>
        <row r="222">
          <cell r="P222" t="str">
            <v>031156757</v>
          </cell>
          <cell r="Q222" t="str">
            <v>Renewal (15% in 2020)</v>
          </cell>
        </row>
        <row r="223">
          <cell r="P223" t="str">
            <v>017012529</v>
          </cell>
          <cell r="Q223" t="str">
            <v>Renewal (20% in 2020)</v>
          </cell>
        </row>
        <row r="224">
          <cell r="P224" t="str">
            <v>016014713</v>
          </cell>
          <cell r="Q224" t="str">
            <v>Renewal (25% in 2020)</v>
          </cell>
        </row>
        <row r="225">
          <cell r="P225" t="str">
            <v>032158673</v>
          </cell>
          <cell r="Q225" t="str">
            <v>Renewal (15% in 2020)</v>
          </cell>
        </row>
        <row r="226">
          <cell r="P226" t="str">
            <v>079009983</v>
          </cell>
          <cell r="Q226" t="str">
            <v>New Contract</v>
          </cell>
        </row>
        <row r="227">
          <cell r="P227" t="str">
            <v>032012428</v>
          </cell>
          <cell r="Q227" t="str">
            <v>New Contract</v>
          </cell>
        </row>
        <row r="228">
          <cell r="P228" t="str">
            <v>016156280</v>
          </cell>
          <cell r="Q228" t="str">
            <v>Renewal (15% in 2020)</v>
          </cell>
        </row>
        <row r="229">
          <cell r="P229" t="str">
            <v>017162082</v>
          </cell>
          <cell r="Q229" t="str">
            <v>Renewal (25% in 2020)</v>
          </cell>
        </row>
        <row r="230">
          <cell r="P230" t="str">
            <v>017169536</v>
          </cell>
          <cell r="Q230" t="str">
            <v>Renewal (15% in 2020)</v>
          </cell>
        </row>
        <row r="231">
          <cell r="P231" t="str">
            <v>082001837</v>
          </cell>
          <cell r="Q231" t="str">
            <v>New Contract</v>
          </cell>
        </row>
        <row r="232">
          <cell r="P232" t="str">
            <v>031154204</v>
          </cell>
          <cell r="Q232" t="str">
            <v>Renewal (20% in 2020)</v>
          </cell>
        </row>
        <row r="233">
          <cell r="P233" t="str">
            <v>031154204</v>
          </cell>
          <cell r="Q233" t="str">
            <v>Renewal (20% in 2020)</v>
          </cell>
        </row>
        <row r="234">
          <cell r="P234" t="str">
            <v>017001616</v>
          </cell>
          <cell r="Q234" t="str">
            <v>Renewal (30% in 2020)</v>
          </cell>
        </row>
        <row r="235">
          <cell r="P235" t="str">
            <v>079010868</v>
          </cell>
          <cell r="Q235" t="str">
            <v>Renewal (30% in 2020)</v>
          </cell>
        </row>
        <row r="236">
          <cell r="P236" t="str">
            <v>027001432</v>
          </cell>
          <cell r="Q236" t="str">
            <v>Renewal (15% in 2020)</v>
          </cell>
        </row>
        <row r="237">
          <cell r="P237" t="str">
            <v>027160905</v>
          </cell>
          <cell r="Q237" t="str">
            <v>Renewal (30% in 2020)</v>
          </cell>
        </row>
        <row r="238">
          <cell r="P238" t="str">
            <v>017167587</v>
          </cell>
          <cell r="Q238" t="str">
            <v>Renewal (15% in 2020)</v>
          </cell>
        </row>
        <row r="239">
          <cell r="P239" t="str">
            <v>017000900</v>
          </cell>
          <cell r="Q239" t="str">
            <v>Renewal (25% in 2020)</v>
          </cell>
        </row>
        <row r="240">
          <cell r="P240" t="str">
            <v>031156755</v>
          </cell>
          <cell r="Q240" t="str">
            <v>Renewal (15% in 2020)</v>
          </cell>
        </row>
        <row r="241">
          <cell r="P241" t="str">
            <v>017165825</v>
          </cell>
          <cell r="Q241" t="str">
            <v>New contract</v>
          </cell>
        </row>
        <row r="242">
          <cell r="P242" t="str">
            <v>023018466</v>
          </cell>
          <cell r="Q242" t="str">
            <v>New contract</v>
          </cell>
        </row>
        <row r="243">
          <cell r="P243" t="str">
            <v>018155781</v>
          </cell>
          <cell r="Q243" t="str">
            <v>Renewal (25% in 2020)</v>
          </cell>
        </row>
        <row r="244">
          <cell r="P244" t="str">
            <v>011001987</v>
          </cell>
          <cell r="Q244" t="str">
            <v>Renewal (20% in 2020)</v>
          </cell>
        </row>
        <row r="245">
          <cell r="P245" t="str">
            <v>011001987</v>
          </cell>
          <cell r="Q245" t="str">
            <v>Renewal (20% in 2020)</v>
          </cell>
        </row>
        <row r="246">
          <cell r="P246" t="str">
            <v>024034120</v>
          </cell>
          <cell r="Q246" t="str">
            <v>Renewal (30% in 2020)</v>
          </cell>
        </row>
        <row r="247">
          <cell r="P247" t="str">
            <v>031157929</v>
          </cell>
          <cell r="Q247" t="str">
            <v>New Contract</v>
          </cell>
        </row>
        <row r="248">
          <cell r="P248" t="str">
            <v>003024733</v>
          </cell>
          <cell r="Q248" t="str">
            <v>Renewal (20% in 2020)</v>
          </cell>
        </row>
        <row r="249">
          <cell r="P249" t="str">
            <v>027158907</v>
          </cell>
          <cell r="Q249" t="str">
            <v>Renewal (20% in 2020)</v>
          </cell>
        </row>
        <row r="250">
          <cell r="P250" t="str">
            <v>016160396</v>
          </cell>
          <cell r="Q250" t="str">
            <v>Renewal (15% in 2020)</v>
          </cell>
        </row>
        <row r="251">
          <cell r="P251" t="str">
            <v>016164016</v>
          </cell>
          <cell r="Q251" t="str">
            <v>Renewal (15% in 2020)</v>
          </cell>
        </row>
        <row r="252">
          <cell r="P252" t="str">
            <v>017168112</v>
          </cell>
          <cell r="Q252" t="str">
            <v>Renewal (25% in 2020)</v>
          </cell>
        </row>
        <row r="253">
          <cell r="P253" t="str">
            <v>016160062</v>
          </cell>
          <cell r="Q253" t="str">
            <v>New Contract</v>
          </cell>
        </row>
        <row r="254">
          <cell r="P254" t="str">
            <v>017166886</v>
          </cell>
          <cell r="Q254" t="str">
            <v>Renewal (25% in 2020)</v>
          </cell>
        </row>
        <row r="255">
          <cell r="P255" t="str">
            <v>017166281</v>
          </cell>
          <cell r="Q255" t="str">
            <v>Renewal (30% in 2020)</v>
          </cell>
        </row>
        <row r="256">
          <cell r="P256" t="str">
            <v>037157846</v>
          </cell>
          <cell r="Q256" t="str">
            <v>Renewal (20% in 2020)</v>
          </cell>
        </row>
        <row r="257">
          <cell r="P257" t="str">
            <v>017163423</v>
          </cell>
          <cell r="Q257" t="str">
            <v>Renewal (20% in 2020)</v>
          </cell>
        </row>
        <row r="258">
          <cell r="P258" t="str">
            <v>078564587</v>
          </cell>
          <cell r="Q258" t="str">
            <v>New Contract</v>
          </cell>
        </row>
        <row r="259">
          <cell r="P259" t="str">
            <v>031157206</v>
          </cell>
          <cell r="Q259" t="str">
            <v>Renewal (15% in 2020)</v>
          </cell>
        </row>
        <row r="260">
          <cell r="P260" t="str">
            <v>017156886</v>
          </cell>
          <cell r="Q260" t="str">
            <v>Renewal (15% in 2020)</v>
          </cell>
        </row>
        <row r="261">
          <cell r="P261" t="str">
            <v>017168425</v>
          </cell>
          <cell r="Q261" t="str">
            <v>Renewal (20% in 2020)</v>
          </cell>
        </row>
        <row r="262">
          <cell r="P262" t="str">
            <v>031155109</v>
          </cell>
          <cell r="Q262" t="str">
            <v>Renewal (15% in 2020)</v>
          </cell>
        </row>
        <row r="263">
          <cell r="P263" t="str">
            <v>011163042</v>
          </cell>
          <cell r="Q263" t="str">
            <v>Renewal (25% in 2020)</v>
          </cell>
        </row>
        <row r="264">
          <cell r="P264" t="str">
            <v>031155909</v>
          </cell>
          <cell r="Q264" t="str">
            <v>Renewal (15% in 2020)</v>
          </cell>
        </row>
        <row r="265">
          <cell r="P265" t="str">
            <v>081014743</v>
          </cell>
          <cell r="Q265" t="str">
            <v>Renewal (30% in 2020)</v>
          </cell>
        </row>
        <row r="266">
          <cell r="P266" t="str">
            <v>017158365</v>
          </cell>
          <cell r="Q266" t="str">
            <v>Renewal (20% in 2020)</v>
          </cell>
        </row>
        <row r="267">
          <cell r="P267" t="str">
            <v>031155536</v>
          </cell>
          <cell r="Q267" t="str">
            <v>Renewal (25% in 2020)</v>
          </cell>
        </row>
        <row r="268">
          <cell r="P268" t="str">
            <v>027161911</v>
          </cell>
          <cell r="Q268" t="str">
            <v>Renewal (15% in 2020)</v>
          </cell>
        </row>
        <row r="269">
          <cell r="P269" t="str">
            <v>031158368</v>
          </cell>
          <cell r="Q269" t="str">
            <v>Renewal (15% in 2020)</v>
          </cell>
        </row>
        <row r="270">
          <cell r="P270" t="str">
            <v>032011535</v>
          </cell>
          <cell r="Q270" t="str">
            <v>Renewal (25% in 2020)</v>
          </cell>
        </row>
        <row r="271">
          <cell r="P271" t="str">
            <v>032000745</v>
          </cell>
          <cell r="Q271" t="str">
            <v>Renewal (15% in 2020)</v>
          </cell>
        </row>
        <row r="272">
          <cell r="P272" t="str">
            <v>021161087</v>
          </cell>
          <cell r="Q272" t="str">
            <v>New Contract</v>
          </cell>
        </row>
        <row r="273">
          <cell r="P273" t="str">
            <v>024005563</v>
          </cell>
          <cell r="Q273" t="str">
            <v>Renewal (20% in 2020)</v>
          </cell>
        </row>
        <row r="274">
          <cell r="P274" t="str">
            <v>058007983</v>
          </cell>
          <cell r="Q274" t="str">
            <v>Renewal (20% in 2020)</v>
          </cell>
        </row>
        <row r="275">
          <cell r="P275" t="str">
            <v>025004548</v>
          </cell>
          <cell r="Q275" t="str">
            <v>Renewal (30% in 2020)</v>
          </cell>
        </row>
        <row r="276">
          <cell r="P276" t="str">
            <v>089163802</v>
          </cell>
          <cell r="Q276" t="str">
            <v>New contract</v>
          </cell>
        </row>
        <row r="277">
          <cell r="P277" t="str">
            <v>016166542</v>
          </cell>
          <cell r="Q277" t="str">
            <v>Renewal (25% in 2020)</v>
          </cell>
        </row>
        <row r="278">
          <cell r="P278" t="str">
            <v>016156373</v>
          </cell>
          <cell r="Q278" t="str">
            <v>Renewal (25% in 2020)</v>
          </cell>
        </row>
        <row r="279">
          <cell r="P279" t="str">
            <v>079016655</v>
          </cell>
          <cell r="Q279" t="str">
            <v>Renewal (15% in 2020)</v>
          </cell>
        </row>
        <row r="280">
          <cell r="P280" t="str">
            <v>058020357</v>
          </cell>
          <cell r="Q280" t="str">
            <v>Renewal (30% in 2020)</v>
          </cell>
        </row>
        <row r="281">
          <cell r="P281" t="str">
            <v>028003956</v>
          </cell>
          <cell r="Q281" t="str">
            <v>Renewal (25% in 2020)</v>
          </cell>
        </row>
        <row r="282">
          <cell r="P282" t="str">
            <v>079161247</v>
          </cell>
          <cell r="Q282" t="str">
            <v>Renewal (30% in 2020)</v>
          </cell>
        </row>
        <row r="283">
          <cell r="P283" t="str">
            <v>021010613</v>
          </cell>
          <cell r="Q283" t="str">
            <v>New Contract</v>
          </cell>
        </row>
        <row r="284">
          <cell r="P284" t="str">
            <v>016167218</v>
          </cell>
          <cell r="Q284" t="str">
            <v>New Contract</v>
          </cell>
        </row>
        <row r="285">
          <cell r="P285" t="str">
            <v>040170227</v>
          </cell>
          <cell r="Q285" t="str">
            <v>Renewal (30% in 2020)</v>
          </cell>
        </row>
        <row r="286">
          <cell r="P286" t="str">
            <v>079158018</v>
          </cell>
          <cell r="Q286" t="str">
            <v>Renewal (15% in 2020)</v>
          </cell>
        </row>
        <row r="287">
          <cell r="P287" t="str">
            <v>086159878</v>
          </cell>
          <cell r="Q287" t="str">
            <v>Renewal (25% in 2020)</v>
          </cell>
        </row>
        <row r="288">
          <cell r="P288" t="str">
            <v>055014158</v>
          </cell>
          <cell r="Q288" t="str">
            <v>New Contract</v>
          </cell>
        </row>
        <row r="289">
          <cell r="P289" t="str">
            <v>086160839</v>
          </cell>
          <cell r="Q289" t="str">
            <v>Renewal (15% in 2020)</v>
          </cell>
        </row>
        <row r="290">
          <cell r="P290" t="str">
            <v>021161087</v>
          </cell>
          <cell r="Q290" t="str">
            <v>New Contract</v>
          </cell>
        </row>
        <row r="291">
          <cell r="P291" t="str">
            <v>070016355</v>
          </cell>
          <cell r="Q291" t="str">
            <v>Renewal (15% in 2020)</v>
          </cell>
        </row>
        <row r="292">
          <cell r="P292" t="str">
            <v>021157603</v>
          </cell>
          <cell r="Q292" t="str">
            <v>New Contract</v>
          </cell>
        </row>
        <row r="293">
          <cell r="P293" t="str">
            <v>021156878</v>
          </cell>
          <cell r="Q293" t="str">
            <v>New Contract</v>
          </cell>
        </row>
        <row r="294">
          <cell r="P294" t="str">
            <v>054014815</v>
          </cell>
          <cell r="Q294" t="str">
            <v>Renewal (20% in 2020)</v>
          </cell>
        </row>
        <row r="295">
          <cell r="P295" t="str">
            <v>024030929</v>
          </cell>
          <cell r="Q295" t="str">
            <v>Renewal (15% in 2020)</v>
          </cell>
        </row>
        <row r="296">
          <cell r="P296" t="str">
            <v>016166085</v>
          </cell>
          <cell r="Q296" t="str">
            <v>Renewal (30% in 2020)</v>
          </cell>
        </row>
        <row r="297">
          <cell r="P297" t="str">
            <v>079160401</v>
          </cell>
          <cell r="Q297" t="str">
            <v>Renewal (15% in 2020)</v>
          </cell>
        </row>
        <row r="298">
          <cell r="P298" t="str">
            <v>039155530</v>
          </cell>
          <cell r="Q298" t="str">
            <v>New Contract</v>
          </cell>
        </row>
        <row r="299">
          <cell r="P299" t="str">
            <v>017165395</v>
          </cell>
          <cell r="Q299" t="str">
            <v>Renewal (30% in 2020)</v>
          </cell>
        </row>
        <row r="300">
          <cell r="P300" t="str">
            <v>021155541</v>
          </cell>
          <cell r="Q300" t="str">
            <v>New Contract</v>
          </cell>
        </row>
        <row r="301">
          <cell r="P301" t="str">
            <v>070010979</v>
          </cell>
          <cell r="Q301" t="str">
            <v>Renewal (20% in 2020)</v>
          </cell>
        </row>
        <row r="302">
          <cell r="P302" t="str">
            <v>052011964</v>
          </cell>
          <cell r="Q302" t="str">
            <v>Renewal (15% in 2020)</v>
          </cell>
        </row>
        <row r="303">
          <cell r="P303" t="str">
            <v>070015688</v>
          </cell>
          <cell r="Q303" t="str">
            <v>Renewal (15% in 2020)</v>
          </cell>
        </row>
        <row r="304">
          <cell r="P304" t="str">
            <v>070016741</v>
          </cell>
          <cell r="Q304" t="str">
            <v>Renewal (15% in 2020)</v>
          </cell>
        </row>
        <row r="305">
          <cell r="P305" t="str">
            <v>039156063</v>
          </cell>
          <cell r="Q305" t="str">
            <v>Renewal (30% in 2020)</v>
          </cell>
        </row>
        <row r="306">
          <cell r="P306" t="str">
            <v>031155020</v>
          </cell>
          <cell r="Q306" t="str">
            <v>Renewal (15% in 2020)</v>
          </cell>
        </row>
        <row r="307">
          <cell r="P307" t="str">
            <v>036160699</v>
          </cell>
          <cell r="Q307" t="str">
            <v>Renewal (15% in 2020)</v>
          </cell>
        </row>
        <row r="308">
          <cell r="P308" t="str">
            <v>036160699</v>
          </cell>
          <cell r="Q308" t="str">
            <v>Renewal (15% in 2020)</v>
          </cell>
        </row>
        <row r="309">
          <cell r="P309" t="str">
            <v>016011783</v>
          </cell>
          <cell r="Q309" t="str">
            <v>Renewal (15% in 2020)</v>
          </cell>
        </row>
        <row r="310">
          <cell r="P310" t="str">
            <v>016014163</v>
          </cell>
          <cell r="Q310" t="str">
            <v>Renewal (20% in 2020)</v>
          </cell>
        </row>
        <row r="311">
          <cell r="P311" t="str">
            <v>036155530</v>
          </cell>
          <cell r="Q311" t="str">
            <v>Renewal (20% in 2020)</v>
          </cell>
        </row>
        <row r="312">
          <cell r="P312" t="str">
            <v>079158320</v>
          </cell>
          <cell r="Q312" t="str">
            <v>Renewal (30% in 2020)</v>
          </cell>
        </row>
        <row r="313">
          <cell r="P313" t="str">
            <v>024026596</v>
          </cell>
          <cell r="Q313" t="str">
            <v>Renewal (15% in 2020)</v>
          </cell>
        </row>
        <row r="314">
          <cell r="P314" t="str">
            <v>032019702</v>
          </cell>
          <cell r="Q314" t="str">
            <v>Renewal (15% in 2020)</v>
          </cell>
        </row>
        <row r="315">
          <cell r="P315" t="str">
            <v>032169923</v>
          </cell>
          <cell r="Q315" t="str">
            <v>Renewal (25% in 2020)</v>
          </cell>
        </row>
        <row r="316">
          <cell r="P316" t="str">
            <v>018007827</v>
          </cell>
          <cell r="Q316" t="str">
            <v>Renewal (25% in 2020)</v>
          </cell>
        </row>
        <row r="317">
          <cell r="P317" t="str">
            <v>017165405</v>
          </cell>
          <cell r="Q317" t="str">
            <v>Renewal (15% in 2020)</v>
          </cell>
        </row>
        <row r="318">
          <cell r="P318" t="str">
            <v>030246620</v>
          </cell>
          <cell r="Q318" t="str">
            <v>Renewal (15% in 2020)</v>
          </cell>
        </row>
        <row r="319">
          <cell r="P319" t="str">
            <v>028154765</v>
          </cell>
          <cell r="Q319" t="str">
            <v>Renewal (25% in 2020)</v>
          </cell>
        </row>
        <row r="320">
          <cell r="P320" t="str">
            <v>014030251</v>
          </cell>
          <cell r="Q320" t="str">
            <v>Renewal (20% in 2020)</v>
          </cell>
        </row>
        <row r="321">
          <cell r="P321" t="str">
            <v>028154765</v>
          </cell>
          <cell r="Q321" t="str">
            <v>Renewal (25% in 2020)</v>
          </cell>
        </row>
        <row r="322">
          <cell r="P322" t="str">
            <v>017010034</v>
          </cell>
          <cell r="Q322" t="str">
            <v>Renewal (30% in 2020)</v>
          </cell>
        </row>
        <row r="323">
          <cell r="P323" t="str">
            <v>079154980</v>
          </cell>
          <cell r="Q323" t="str">
            <v>Renewal (15% in 2020)</v>
          </cell>
        </row>
        <row r="324">
          <cell r="P324" t="str">
            <v>079158096</v>
          </cell>
          <cell r="Q324" t="str">
            <v>Renewal (15% in 2020)</v>
          </cell>
        </row>
        <row r="325">
          <cell r="P325" t="str">
            <v>057000995</v>
          </cell>
          <cell r="Q325" t="str">
            <v>Renewal (20% in 2020)</v>
          </cell>
        </row>
        <row r="326">
          <cell r="P326" t="str">
            <v>070011177</v>
          </cell>
          <cell r="Q326" t="str">
            <v>Renewal (20% in 2020)</v>
          </cell>
        </row>
        <row r="327">
          <cell r="P327" t="str">
            <v>025004079</v>
          </cell>
          <cell r="Q327" t="str">
            <v>Renewal (25% in 2020)</v>
          </cell>
        </row>
        <row r="328">
          <cell r="P328" t="str">
            <v>070016398</v>
          </cell>
          <cell r="Q328" t="str">
            <v>Renewal (15% in 2020)</v>
          </cell>
        </row>
        <row r="329">
          <cell r="P329" t="str">
            <v>070013049</v>
          </cell>
          <cell r="Q329" t="str">
            <v>Renewal (15% in 2020)</v>
          </cell>
        </row>
        <row r="330">
          <cell r="P330" t="str">
            <v>039154717</v>
          </cell>
          <cell r="Q330" t="str">
            <v>Renewal (20% in 2020)</v>
          </cell>
        </row>
        <row r="331">
          <cell r="P331" t="str">
            <v>090000951</v>
          </cell>
          <cell r="Q331" t="str">
            <v>Renewal (20% in 2020)</v>
          </cell>
        </row>
        <row r="332">
          <cell r="P332" t="str">
            <v>040001437</v>
          </cell>
          <cell r="Q332" t="str">
            <v>Renewal (25% in 2020)</v>
          </cell>
        </row>
        <row r="333">
          <cell r="P333" t="str">
            <v>064164009</v>
          </cell>
          <cell r="Q333" t="str">
            <v>Renewal (20% in 2020)</v>
          </cell>
        </row>
        <row r="334">
          <cell r="P334" t="str">
            <v>064177197</v>
          </cell>
          <cell r="Q334" t="str">
            <v>Renewal (25% in 2020)</v>
          </cell>
        </row>
        <row r="335">
          <cell r="P335" t="str">
            <v>031004457</v>
          </cell>
          <cell r="Q335" t="str">
            <v>Renewal (15% in 2020)</v>
          </cell>
        </row>
        <row r="336">
          <cell r="P336" t="str">
            <v>016166818</v>
          </cell>
          <cell r="Q336" t="str">
            <v>Renewal (15% in 2020)</v>
          </cell>
        </row>
        <row r="337">
          <cell r="P337" t="str">
            <v>086014679</v>
          </cell>
          <cell r="Q337" t="str">
            <v>Renewal (25% in 2020)</v>
          </cell>
        </row>
        <row r="338">
          <cell r="P338" t="str">
            <v>086014679</v>
          </cell>
          <cell r="Q338" t="str">
            <v>Renewal (25% in 2020)</v>
          </cell>
        </row>
        <row r="339">
          <cell r="P339" t="str">
            <v>079153899</v>
          </cell>
          <cell r="Q339" t="str">
            <v>Renewal (30% in 2020)</v>
          </cell>
        </row>
        <row r="340">
          <cell r="P340" t="str">
            <v>017162148</v>
          </cell>
          <cell r="Q340" t="str">
            <v>Renewal (20% in 2020)</v>
          </cell>
        </row>
        <row r="341">
          <cell r="P341" t="str">
            <v>079015396</v>
          </cell>
          <cell r="Q341" t="str">
            <v>Renewal (15% in 2020)</v>
          </cell>
        </row>
        <row r="342">
          <cell r="P342" t="str">
            <v>079156606</v>
          </cell>
          <cell r="Q342" t="str">
            <v>Renewal (20% in 2020)</v>
          </cell>
        </row>
        <row r="343">
          <cell r="P343" t="str">
            <v>047160881</v>
          </cell>
          <cell r="Q343" t="str">
            <v>Renewal (15% in 2020)</v>
          </cell>
        </row>
        <row r="344">
          <cell r="P344" t="str">
            <v>032015369</v>
          </cell>
          <cell r="Q344" t="str">
            <v>Renewal (25% in 2020)</v>
          </cell>
        </row>
        <row r="345">
          <cell r="P345" t="str">
            <v>017008192</v>
          </cell>
          <cell r="Q345" t="str">
            <v>Renewal (15% in 2020)</v>
          </cell>
        </row>
        <row r="346">
          <cell r="P346" t="str">
            <v>009008798</v>
          </cell>
          <cell r="Q346" t="str">
            <v>Renewal (25% in 2020)</v>
          </cell>
        </row>
        <row r="347">
          <cell r="P347" t="str">
            <v>017164465</v>
          </cell>
          <cell r="Q347" t="str">
            <v>Renewal (30% in 2020)</v>
          </cell>
        </row>
        <row r="348">
          <cell r="P348" t="str">
            <v>079160258</v>
          </cell>
          <cell r="Q348" t="str">
            <v>Renewal (25% in 2020)</v>
          </cell>
        </row>
        <row r="349">
          <cell r="P349" t="str">
            <v>055010103</v>
          </cell>
          <cell r="Q349" t="str">
            <v>Renewal (25% in 2020)</v>
          </cell>
        </row>
        <row r="350">
          <cell r="P350" t="str">
            <v>025018486</v>
          </cell>
          <cell r="Q350" t="str">
            <v>Renewal (25% in 2020)</v>
          </cell>
        </row>
        <row r="351">
          <cell r="P351" t="str">
            <v>070003381</v>
          </cell>
          <cell r="Q351" t="str">
            <v>Renewal (15% in 2020)</v>
          </cell>
        </row>
        <row r="352">
          <cell r="P352" t="str">
            <v>031155171</v>
          </cell>
          <cell r="Q352" t="str">
            <v>Renewal (15% in 2020)</v>
          </cell>
        </row>
        <row r="353">
          <cell r="P353" t="str">
            <v>024025412</v>
          </cell>
          <cell r="Q353" t="str">
            <v>Renewal (15% in 2020)</v>
          </cell>
        </row>
        <row r="354">
          <cell r="P354" t="str">
            <v>017007550</v>
          </cell>
          <cell r="Q354" t="str">
            <v>Renewal (15% in 2020)</v>
          </cell>
        </row>
        <row r="355">
          <cell r="P355" t="str">
            <v>031153682</v>
          </cell>
          <cell r="Q355" t="str">
            <v>Renewal (20% in 2020)</v>
          </cell>
        </row>
        <row r="356">
          <cell r="P356" t="str">
            <v>032164426</v>
          </cell>
          <cell r="Q356" t="str">
            <v>Renewal (15% in 2020)</v>
          </cell>
        </row>
        <row r="357">
          <cell r="P357" t="str">
            <v>065156139</v>
          </cell>
          <cell r="Q357" t="str">
            <v>Renewal (15% in 2020)</v>
          </cell>
        </row>
        <row r="358">
          <cell r="P358" t="str">
            <v>065156139</v>
          </cell>
          <cell r="Q358" t="str">
            <v>Renewal (15% in 2020)</v>
          </cell>
        </row>
        <row r="359">
          <cell r="P359" t="str">
            <v>032167606</v>
          </cell>
          <cell r="Q359" t="str">
            <v>Renewal (25% in 2020)</v>
          </cell>
        </row>
        <row r="360">
          <cell r="P360" t="str">
            <v>045010269</v>
          </cell>
          <cell r="Q360" t="str">
            <v>Renewal (25% in 2020)</v>
          </cell>
        </row>
        <row r="361">
          <cell r="P361" t="str">
            <v>055015758</v>
          </cell>
          <cell r="Q361" t="str">
            <v>Renewal (30% in 2020)</v>
          </cell>
        </row>
        <row r="362">
          <cell r="P362" t="str">
            <v>017007867</v>
          </cell>
          <cell r="Q362" t="str">
            <v>Renewal (15% in 2020)</v>
          </cell>
        </row>
        <row r="363">
          <cell r="P363" t="str">
            <v>079157774</v>
          </cell>
          <cell r="Q363" t="str">
            <v>Renewal (15% in 2020)</v>
          </cell>
        </row>
        <row r="364">
          <cell r="P364" t="str">
            <v>055014031</v>
          </cell>
          <cell r="Q364" t="str">
            <v>New Contract</v>
          </cell>
        </row>
        <row r="365">
          <cell r="P365" t="str">
            <v>017161275</v>
          </cell>
          <cell r="Q365" t="str">
            <v>Renewal (20% in 2020)</v>
          </cell>
        </row>
        <row r="366">
          <cell r="P366" t="str">
            <v>039152835</v>
          </cell>
          <cell r="Q366" t="str">
            <v>Renewal (25% in 2020)</v>
          </cell>
        </row>
        <row r="367">
          <cell r="P367" t="str">
            <v>039154057</v>
          </cell>
          <cell r="Q367" t="str">
            <v>Renewal (20% in 2020)</v>
          </cell>
        </row>
        <row r="368">
          <cell r="P368" t="str">
            <v>064009945</v>
          </cell>
          <cell r="Q368" t="str">
            <v>Renewal (20% in 2020)</v>
          </cell>
        </row>
        <row r="369">
          <cell r="P369" t="str">
            <v>031157952</v>
          </cell>
          <cell r="Q369" t="str">
            <v>Renewal (15% in 2020)</v>
          </cell>
        </row>
        <row r="370">
          <cell r="P370" t="str">
            <v>016010696</v>
          </cell>
          <cell r="Q370" t="str">
            <v>Renewal (20% in 2020)</v>
          </cell>
        </row>
        <row r="371">
          <cell r="P371" t="str">
            <v>016161822</v>
          </cell>
          <cell r="Q371" t="str">
            <v>Renewal (20% in 2020)</v>
          </cell>
        </row>
        <row r="372">
          <cell r="P372" t="str">
            <v>079156224</v>
          </cell>
          <cell r="Q372" t="str">
            <v>Renewal (20% in 2020)</v>
          </cell>
        </row>
        <row r="373">
          <cell r="P373" t="str">
            <v>079156224</v>
          </cell>
          <cell r="Q373" t="str">
            <v>Renewal (20% in 2020)</v>
          </cell>
        </row>
        <row r="374">
          <cell r="P374" t="str">
            <v>047019496</v>
          </cell>
          <cell r="Q374" t="str">
            <v>Renewal (30% in 2020)</v>
          </cell>
        </row>
        <row r="375">
          <cell r="P375" t="str">
            <v>024037126</v>
          </cell>
          <cell r="Q375" t="str">
            <v>Renewal (25% in 2020)</v>
          </cell>
        </row>
        <row r="376">
          <cell r="P376" t="str">
            <v>047010351</v>
          </cell>
          <cell r="Q376" t="str">
            <v>Renewal (25% in 2020)</v>
          </cell>
        </row>
        <row r="377">
          <cell r="P377" t="str">
            <v>031155876</v>
          </cell>
          <cell r="Q377" t="str">
            <v>Renewal (15% in 2020)</v>
          </cell>
        </row>
        <row r="378">
          <cell r="P378" t="str">
            <v>032170336</v>
          </cell>
          <cell r="Q378" t="str">
            <v>Renewal (15% in 2020)</v>
          </cell>
        </row>
        <row r="379">
          <cell r="P379" t="str">
            <v>024031229</v>
          </cell>
          <cell r="Q379" t="str">
            <v>Renewal (25% in 2020)</v>
          </cell>
        </row>
        <row r="380">
          <cell r="P380" t="str">
            <v>079151831</v>
          </cell>
          <cell r="Q380" t="str">
            <v>New Contract</v>
          </cell>
        </row>
        <row r="381">
          <cell r="P381" t="str">
            <v>055004868</v>
          </cell>
          <cell r="Q381" t="str">
            <v>Renewal (20% in 2020)</v>
          </cell>
        </row>
        <row r="382">
          <cell r="P382" t="str">
            <v>016158000</v>
          </cell>
          <cell r="Q382" t="str">
            <v>Renewal (15% in 2020)</v>
          </cell>
        </row>
        <row r="383">
          <cell r="P383" t="str">
            <v>064176078</v>
          </cell>
          <cell r="Q383" t="str">
            <v>Renewal (20% in 2020)</v>
          </cell>
        </row>
        <row r="384">
          <cell r="P384" t="str">
            <v>045007543</v>
          </cell>
          <cell r="Q384" t="str">
            <v>Renewal (15% in 2020)</v>
          </cell>
        </row>
        <row r="385">
          <cell r="P385" t="str">
            <v>076159696</v>
          </cell>
          <cell r="Q385" t="str">
            <v>Renewal (25% in 2020)</v>
          </cell>
        </row>
        <row r="386">
          <cell r="P386" t="str">
            <v>076160945</v>
          </cell>
          <cell r="Q386" t="str">
            <v>Renewal (20% in 2020)</v>
          </cell>
        </row>
        <row r="387">
          <cell r="P387" t="str">
            <v>031158344</v>
          </cell>
          <cell r="Q387" t="str">
            <v>Renewal (15% in 2020)</v>
          </cell>
        </row>
        <row r="388">
          <cell r="P388" t="str">
            <v>079159333</v>
          </cell>
          <cell r="Q388" t="str">
            <v>Renewal (15% in 2020)</v>
          </cell>
        </row>
        <row r="389">
          <cell r="P389" t="str">
            <v>079012303</v>
          </cell>
          <cell r="Q389" t="str">
            <v>Renewal (30% in 2020)</v>
          </cell>
        </row>
        <row r="390">
          <cell r="P390" t="str">
            <v>017012363</v>
          </cell>
          <cell r="Q390" t="str">
            <v>Renewal (20% in 2020)</v>
          </cell>
        </row>
        <row r="391">
          <cell r="P391" t="str">
            <v>017012133</v>
          </cell>
          <cell r="Q391" t="str">
            <v>Renewal (15% in 2020)</v>
          </cell>
        </row>
        <row r="392">
          <cell r="P392" t="str">
            <v>016002266</v>
          </cell>
          <cell r="Q392" t="str">
            <v>Renewal (15% in 2020)</v>
          </cell>
        </row>
        <row r="393">
          <cell r="P393" t="str">
            <v>086006501</v>
          </cell>
          <cell r="Q393" t="str">
            <v>Renewal (15% in 2020)</v>
          </cell>
        </row>
        <row r="394">
          <cell r="P394" t="str">
            <v>086006501</v>
          </cell>
          <cell r="Q394" t="str">
            <v>Renewal (15% in 2020)</v>
          </cell>
        </row>
        <row r="395">
          <cell r="P395" t="str">
            <v>017012770</v>
          </cell>
          <cell r="Q395" t="str">
            <v>Renewal (25% in 2020)</v>
          </cell>
        </row>
        <row r="396">
          <cell r="P396" t="str">
            <v>086160719</v>
          </cell>
          <cell r="Q396" t="str">
            <v>Renewal (20% in 2020)</v>
          </cell>
        </row>
        <row r="397">
          <cell r="P397" t="str">
            <v>017168174</v>
          </cell>
          <cell r="Q397" t="str">
            <v>Renewal (15% in 2020)</v>
          </cell>
        </row>
        <row r="398">
          <cell r="P398" t="str">
            <v>086161699</v>
          </cell>
          <cell r="Q398" t="str">
            <v>Renewal (15% in 2020)</v>
          </cell>
        </row>
        <row r="399">
          <cell r="P399" t="str">
            <v>086161699</v>
          </cell>
          <cell r="Q399" t="str">
            <v>Renewal (15% in 2020)</v>
          </cell>
        </row>
        <row r="400">
          <cell r="P400" t="str">
            <v>086164281</v>
          </cell>
          <cell r="Q400" t="str">
            <v>Renewal (25% in 2020)</v>
          </cell>
        </row>
        <row r="401">
          <cell r="P401" t="str">
            <v>017167153</v>
          </cell>
          <cell r="Q401" t="str">
            <v>Renewal (30% in 2020)</v>
          </cell>
        </row>
        <row r="402">
          <cell r="P402" t="str">
            <v>032162975</v>
          </cell>
          <cell r="Q402" t="str">
            <v>Renewal (25% in 2020)</v>
          </cell>
        </row>
        <row r="403">
          <cell r="P403" t="str">
            <v>031012488</v>
          </cell>
          <cell r="Q403" t="str">
            <v>Renewal (15% in 2020)</v>
          </cell>
        </row>
        <row r="404">
          <cell r="P404" t="str">
            <v>031154226</v>
          </cell>
          <cell r="Q404" t="str">
            <v>Renewal (15% in 2020)</v>
          </cell>
        </row>
        <row r="405">
          <cell r="P405" t="str">
            <v>032168632</v>
          </cell>
          <cell r="Q405" t="str">
            <v>Renewal (20% in 2020)</v>
          </cell>
        </row>
        <row r="406">
          <cell r="P406" t="str">
            <v>032166411</v>
          </cell>
          <cell r="Q406" t="str">
            <v>Renewal (25% in 2020)</v>
          </cell>
        </row>
        <row r="407">
          <cell r="P407" t="str">
            <v>032170262</v>
          </cell>
          <cell r="Q407" t="str">
            <v>Renewal (25% in 2020)</v>
          </cell>
        </row>
        <row r="408">
          <cell r="P408" t="str">
            <v>058020627</v>
          </cell>
          <cell r="Q408" t="str">
            <v>Renewal (15% in 2020)</v>
          </cell>
        </row>
        <row r="409">
          <cell r="P409" t="str">
            <v>079155960</v>
          </cell>
          <cell r="Q409" t="str">
            <v>Renewal (25% in 2020)</v>
          </cell>
        </row>
        <row r="410">
          <cell r="P410" t="str">
            <v>009007352</v>
          </cell>
          <cell r="Q410" t="str">
            <v>Renewal (20% in 2020)</v>
          </cell>
        </row>
        <row r="411">
          <cell r="P411" t="str">
            <v>039152155</v>
          </cell>
          <cell r="Q411" t="str">
            <v>Renewal (15% in 2020)</v>
          </cell>
        </row>
        <row r="412">
          <cell r="P412" t="str">
            <v>070014923</v>
          </cell>
          <cell r="Q412" t="str">
            <v>Renewal (15% in 2020)</v>
          </cell>
        </row>
        <row r="413">
          <cell r="P413" t="str">
            <v>081163682</v>
          </cell>
          <cell r="Q413" t="str">
            <v>Renewal (20% in 2020)</v>
          </cell>
        </row>
        <row r="414">
          <cell r="P414" t="str">
            <v>076162136</v>
          </cell>
          <cell r="Q414" t="str">
            <v>Renewal (15% in 2020)</v>
          </cell>
        </row>
        <row r="415">
          <cell r="P415" t="str">
            <v>016163262</v>
          </cell>
          <cell r="Q415" t="str">
            <v>Renewal (15% in 2020)</v>
          </cell>
        </row>
        <row r="416">
          <cell r="P416" t="str">
            <v>016164094</v>
          </cell>
          <cell r="Q416" t="str">
            <v>Renewal (20% in 2020)</v>
          </cell>
        </row>
        <row r="417">
          <cell r="P417" t="str">
            <v>086157736</v>
          </cell>
          <cell r="Q417" t="str">
            <v>Renewal (15% in 2020)</v>
          </cell>
        </row>
        <row r="418">
          <cell r="P418" t="str">
            <v>016156673</v>
          </cell>
          <cell r="Q418" t="str">
            <v>Renewal (15% in 2020)</v>
          </cell>
        </row>
        <row r="419">
          <cell r="P419" t="str">
            <v>079159946</v>
          </cell>
          <cell r="Q419" t="str">
            <v>Renewal (30% in 2020)</v>
          </cell>
        </row>
        <row r="420">
          <cell r="P420" t="str">
            <v>079159946</v>
          </cell>
          <cell r="Q420" t="str">
            <v>Renewal (30% in 2020)</v>
          </cell>
        </row>
        <row r="421">
          <cell r="P421" t="str">
            <v>024024373</v>
          </cell>
          <cell r="Q421" t="str">
            <v>Renewal (15% in 2020)</v>
          </cell>
        </row>
        <row r="422">
          <cell r="P422" t="str">
            <v>086159975</v>
          </cell>
          <cell r="Q422" t="str">
            <v>Renewal (25% in 2020)</v>
          </cell>
        </row>
        <row r="423">
          <cell r="P423" t="str">
            <v>016014189</v>
          </cell>
          <cell r="Q423" t="str">
            <v>Renewal (25% in 2020)</v>
          </cell>
        </row>
        <row r="424">
          <cell r="P424" t="str">
            <v>079156685</v>
          </cell>
          <cell r="Q424" t="str">
            <v>Renewal (20% in 2020)</v>
          </cell>
        </row>
        <row r="425">
          <cell r="P425" t="str">
            <v>017168304</v>
          </cell>
          <cell r="Q425" t="str">
            <v>Renewal (15% in 2020)</v>
          </cell>
        </row>
        <row r="426">
          <cell r="P426" t="str">
            <v>031159008</v>
          </cell>
          <cell r="Q426" t="str">
            <v>Renewal (25% in 2020)</v>
          </cell>
        </row>
        <row r="427">
          <cell r="P427" t="str">
            <v>036008516</v>
          </cell>
          <cell r="Q427" t="str">
            <v>Renewal (15% in 2020)</v>
          </cell>
        </row>
        <row r="428">
          <cell r="P428" t="str">
            <v>064019189</v>
          </cell>
          <cell r="Q428" t="str">
            <v>Renewal (25% in 2020)</v>
          </cell>
        </row>
        <row r="429">
          <cell r="P429" t="str">
            <v>017013453</v>
          </cell>
          <cell r="Q429" t="str">
            <v>Renewal (15% in 2020)</v>
          </cell>
        </row>
        <row r="430">
          <cell r="P430" t="str">
            <v>070014969</v>
          </cell>
          <cell r="Q430" t="str">
            <v>Renewal (25% in 2020)</v>
          </cell>
        </row>
        <row r="431">
          <cell r="P431" t="str">
            <v>031017835</v>
          </cell>
          <cell r="Q431" t="str">
            <v>Renewal (15% in 2020)</v>
          </cell>
        </row>
        <row r="432">
          <cell r="P432" t="str">
            <v>080151057</v>
          </cell>
          <cell r="Q432" t="str">
            <v>Renewal (25% in 2020)</v>
          </cell>
        </row>
        <row r="433">
          <cell r="P433" t="str">
            <v>086161549</v>
          </cell>
          <cell r="Q433" t="str">
            <v>Renewal (15% in 2020)</v>
          </cell>
        </row>
        <row r="434">
          <cell r="P434" t="str">
            <v>017008328</v>
          </cell>
          <cell r="Q434" t="str">
            <v>Renewal (20% in 2020)</v>
          </cell>
        </row>
        <row r="435">
          <cell r="P435" t="str">
            <v>017006150</v>
          </cell>
          <cell r="Q435" t="str">
            <v>Renewal (25% in 2020)</v>
          </cell>
        </row>
        <row r="436">
          <cell r="P436" t="str">
            <v>087008759</v>
          </cell>
          <cell r="Q436" t="str">
            <v>Renewal (20% in 2020)</v>
          </cell>
        </row>
        <row r="437">
          <cell r="P437" t="str">
            <v>017012384</v>
          </cell>
          <cell r="Q437" t="str">
            <v>Renewal (25% in 2020)</v>
          </cell>
        </row>
        <row r="438">
          <cell r="P438" t="str">
            <v>087007159</v>
          </cell>
          <cell r="Q438" t="str">
            <v>Renewal (25% in 2020)</v>
          </cell>
        </row>
        <row r="439">
          <cell r="P439" t="str">
            <v>024035669</v>
          </cell>
          <cell r="Q439" t="str">
            <v>Renewal (15% in 2020)</v>
          </cell>
        </row>
        <row r="440">
          <cell r="P440" t="str">
            <v>079012836</v>
          </cell>
          <cell r="Q440" t="str">
            <v>Renewal (25% in 2020)</v>
          </cell>
        </row>
        <row r="441">
          <cell r="P441" t="str">
            <v>016166377</v>
          </cell>
          <cell r="Q441" t="str">
            <v>Renewal (20% in 2020)</v>
          </cell>
        </row>
        <row r="442">
          <cell r="P442" t="str">
            <v>016166377</v>
          </cell>
          <cell r="Q442" t="str">
            <v>Renewal (20% in 2020)</v>
          </cell>
        </row>
        <row r="443">
          <cell r="P443" t="str">
            <v>024021867</v>
          </cell>
          <cell r="Q443" t="str">
            <v>Renewal (20% in 2020)</v>
          </cell>
        </row>
        <row r="444">
          <cell r="P444" t="str">
            <v>024035572</v>
          </cell>
          <cell r="Q444" t="str">
            <v>Renewal (20% in 2020)</v>
          </cell>
        </row>
        <row r="445">
          <cell r="P445" t="str">
            <v>086162221</v>
          </cell>
          <cell r="Q445" t="str">
            <v>Renewal (30% in 2020)</v>
          </cell>
        </row>
        <row r="446">
          <cell r="P446" t="str">
            <v>016164553</v>
          </cell>
          <cell r="Q446" t="str">
            <v>Renewal (25% in 2020)</v>
          </cell>
        </row>
        <row r="447">
          <cell r="P447" t="str">
            <v>016163824</v>
          </cell>
          <cell r="Q447" t="str">
            <v>Renewal (25% in 2020)</v>
          </cell>
        </row>
        <row r="448">
          <cell r="P448" t="str">
            <v>017012541</v>
          </cell>
          <cell r="Q448" t="str">
            <v>Renewal (20% in 2020)</v>
          </cell>
        </row>
        <row r="449">
          <cell r="P449" t="str">
            <v>016163824</v>
          </cell>
          <cell r="Q449" t="str">
            <v>Renewal (25% in 2020)</v>
          </cell>
        </row>
        <row r="450">
          <cell r="P450" t="str">
            <v>017012541</v>
          </cell>
          <cell r="Q450" t="str">
            <v>Renewal (20% in 2020)</v>
          </cell>
        </row>
        <row r="451">
          <cell r="P451" t="str">
            <v>079015125</v>
          </cell>
          <cell r="Q451" t="str">
            <v>Renewal (30% in 2020)</v>
          </cell>
        </row>
        <row r="452">
          <cell r="P452" t="str">
            <v>079015125</v>
          </cell>
          <cell r="Q452" t="str">
            <v>Renewal (30% in 2020)</v>
          </cell>
        </row>
        <row r="453">
          <cell r="P453" t="str">
            <v>024010470</v>
          </cell>
          <cell r="Q453" t="str">
            <v>Renewal (15% in 2020)</v>
          </cell>
        </row>
        <row r="454">
          <cell r="P454" t="str">
            <v>079161341</v>
          </cell>
          <cell r="Q454" t="str">
            <v>Renewal (30% in 2020)</v>
          </cell>
        </row>
        <row r="455">
          <cell r="P455" t="str">
            <v>086161720</v>
          </cell>
          <cell r="Q455" t="str">
            <v>Renewal (15% in 2020)</v>
          </cell>
        </row>
        <row r="456">
          <cell r="P456" t="str">
            <v>086161720</v>
          </cell>
          <cell r="Q456" t="str">
            <v>Renewal (15% in 2020)</v>
          </cell>
        </row>
        <row r="457">
          <cell r="P457" t="str">
            <v>024010915</v>
          </cell>
          <cell r="Q457" t="str">
            <v>Renewal (25% in 2020)</v>
          </cell>
        </row>
        <row r="458">
          <cell r="P458" t="str">
            <v>016156373</v>
          </cell>
          <cell r="Q458" t="str">
            <v>Renewal (25% in 2020)</v>
          </cell>
        </row>
        <row r="459">
          <cell r="P459" t="str">
            <v>047172431</v>
          </cell>
          <cell r="Q459" t="str">
            <v>Renewal (15% in 2020)</v>
          </cell>
        </row>
        <row r="460">
          <cell r="P460" t="str">
            <v>024035513</v>
          </cell>
          <cell r="Q460" t="str">
            <v>Renewal (25% in 2020)</v>
          </cell>
        </row>
        <row r="461">
          <cell r="P461" t="str">
            <v>079017688</v>
          </cell>
          <cell r="Q461" t="str">
            <v>Renewal (15% in 2020)</v>
          </cell>
        </row>
        <row r="462">
          <cell r="P462" t="str">
            <v>079159467</v>
          </cell>
          <cell r="Q462" t="str">
            <v>Renewal (15% in 2020)</v>
          </cell>
        </row>
        <row r="463">
          <cell r="P463" t="str">
            <v>047170340</v>
          </cell>
          <cell r="Q463" t="str">
            <v>Renewal (25% in 2020)</v>
          </cell>
        </row>
        <row r="464">
          <cell r="P464" t="str">
            <v>031158453</v>
          </cell>
          <cell r="Q464" t="str">
            <v>Renewal (15% in 2020)</v>
          </cell>
        </row>
        <row r="465">
          <cell r="P465" t="str">
            <v>031158234</v>
          </cell>
          <cell r="Q465" t="str">
            <v>Renewal (20% in 2020)</v>
          </cell>
        </row>
        <row r="466">
          <cell r="P466" t="str">
            <v>031158472</v>
          </cell>
          <cell r="Q466" t="str">
            <v>Renewal (15% in 2020)</v>
          </cell>
        </row>
        <row r="467">
          <cell r="P467" t="str">
            <v>032165830</v>
          </cell>
          <cell r="Q467" t="str">
            <v>Renewal (30% in 2020)</v>
          </cell>
        </row>
        <row r="468">
          <cell r="P468" t="str">
            <v>041011548</v>
          </cell>
          <cell r="Q468" t="str">
            <v>Renewal (25% in 2020)</v>
          </cell>
        </row>
        <row r="469">
          <cell r="P469" t="str">
            <v>017166607</v>
          </cell>
          <cell r="Q469" t="str">
            <v>New Contract</v>
          </cell>
        </row>
        <row r="470">
          <cell r="P470" t="str">
            <v>064178684</v>
          </cell>
          <cell r="Q470" t="str">
            <v>Renewal (20% in 2020)</v>
          </cell>
        </row>
        <row r="471">
          <cell r="P471" t="str">
            <v>031152401</v>
          </cell>
          <cell r="Q471" t="str">
            <v>Renewal (20% in 2020)</v>
          </cell>
        </row>
        <row r="472">
          <cell r="P472" t="str">
            <v>031152401</v>
          </cell>
          <cell r="Q472" t="str">
            <v>Renewal (20% in 2020)</v>
          </cell>
        </row>
        <row r="473">
          <cell r="P473" t="str">
            <v>003013011</v>
          </cell>
          <cell r="Q473" t="str">
            <v>Renewal (20% in 2020)</v>
          </cell>
        </row>
        <row r="474">
          <cell r="P474" t="str">
            <v>058019713</v>
          </cell>
          <cell r="Q474" t="str">
            <v>Renewal (15% in 2020)</v>
          </cell>
        </row>
        <row r="475">
          <cell r="P475" t="str">
            <v>061015489</v>
          </cell>
          <cell r="Q475" t="str">
            <v>Renewal (20% in 2020)</v>
          </cell>
        </row>
        <row r="476">
          <cell r="P476" t="str">
            <v>017163031</v>
          </cell>
          <cell r="Q476" t="str">
            <v>Renewal (30% in 2020)</v>
          </cell>
        </row>
        <row r="477">
          <cell r="P477" t="str">
            <v>031004340</v>
          </cell>
          <cell r="Q477" t="str">
            <v>Renewal (20% in 2020)</v>
          </cell>
        </row>
        <row r="478">
          <cell r="P478" t="str">
            <v>031158014</v>
          </cell>
          <cell r="Q478" t="str">
            <v>Renewal (20% in 2020)</v>
          </cell>
        </row>
        <row r="479">
          <cell r="P479" t="str">
            <v>076003626</v>
          </cell>
          <cell r="Q479" t="str">
            <v>Renewal (25% in 2020)</v>
          </cell>
        </row>
        <row r="480">
          <cell r="P480" t="str">
            <v>027007089</v>
          </cell>
          <cell r="Q480" t="str">
            <v>Renewal (30% in 2020)</v>
          </cell>
        </row>
        <row r="481">
          <cell r="P481" t="str">
            <v>086163018</v>
          </cell>
          <cell r="Q481" t="str">
            <v>Renewal (15% in 2020)</v>
          </cell>
        </row>
        <row r="482">
          <cell r="P482" t="str">
            <v>086163018</v>
          </cell>
          <cell r="Q482" t="str">
            <v>Renewal (15% in 2020)</v>
          </cell>
        </row>
        <row r="483">
          <cell r="P483" t="str">
            <v>032169977</v>
          </cell>
          <cell r="Q483" t="str">
            <v>Renewal (15% in 2020)</v>
          </cell>
        </row>
        <row r="484">
          <cell r="P484" t="str">
            <v>031158890</v>
          </cell>
          <cell r="Q484" t="str">
            <v>Renewal (20% in 2020)</v>
          </cell>
        </row>
        <row r="485">
          <cell r="P485" t="str">
            <v>031159414</v>
          </cell>
          <cell r="Q485" t="str">
            <v>Renewal (20% in 2020)</v>
          </cell>
        </row>
        <row r="486">
          <cell r="P486" t="str">
            <v>031159414</v>
          </cell>
          <cell r="Q486" t="str">
            <v>Renewal (20% in 2020)</v>
          </cell>
        </row>
        <row r="487">
          <cell r="P487" t="str">
            <v>031159245</v>
          </cell>
          <cell r="Q487" t="str">
            <v>Renewal (20% in 2020)</v>
          </cell>
        </row>
        <row r="488">
          <cell r="P488" t="str">
            <v>032020997</v>
          </cell>
          <cell r="Q488" t="str">
            <v>Renewal (15% in 2020)</v>
          </cell>
        </row>
        <row r="489">
          <cell r="P489" t="str">
            <v>032167545</v>
          </cell>
          <cell r="Q489" t="str">
            <v>Renewal (25% in 2020)</v>
          </cell>
        </row>
        <row r="490">
          <cell r="P490" t="str">
            <v>018154094</v>
          </cell>
          <cell r="Q490" t="str">
            <v>Renewal (25% in 2020)</v>
          </cell>
        </row>
        <row r="491">
          <cell r="P491" t="str">
            <v>091003650</v>
          </cell>
          <cell r="Q491" t="str">
            <v>Renewal (25% in 2020)</v>
          </cell>
        </row>
        <row r="492">
          <cell r="P492" t="str">
            <v>041158116</v>
          </cell>
          <cell r="Q492" t="str">
            <v>Renewal (25% in 2020)</v>
          </cell>
        </row>
        <row r="493">
          <cell r="P493" t="str">
            <v>041158116</v>
          </cell>
          <cell r="Q493" t="str">
            <v>Renewal (25% in 2020)</v>
          </cell>
        </row>
        <row r="494">
          <cell r="P494" t="str">
            <v>058020407</v>
          </cell>
          <cell r="Q494" t="str">
            <v>Renewal (15% in 2020)</v>
          </cell>
        </row>
        <row r="495">
          <cell r="P495" t="str">
            <v>018052213</v>
          </cell>
          <cell r="Q495" t="str">
            <v>Renewal (20% in 2020)</v>
          </cell>
        </row>
        <row r="496">
          <cell r="P496" t="str">
            <v>010008954</v>
          </cell>
          <cell r="Q496" t="str">
            <v>Renewal (20% in 2020)</v>
          </cell>
        </row>
        <row r="497">
          <cell r="P497" t="str">
            <v>016164467</v>
          </cell>
          <cell r="Q497" t="str">
            <v>Renewal (15% in 2020)</v>
          </cell>
        </row>
        <row r="498">
          <cell r="P498" t="str">
            <v>036008587</v>
          </cell>
          <cell r="Q498" t="str">
            <v>Renewal (15% in 2020)</v>
          </cell>
        </row>
        <row r="499">
          <cell r="P499" t="str">
            <v>079158930</v>
          </cell>
          <cell r="Q499" t="str">
            <v>Renewal (25% in 2020)</v>
          </cell>
        </row>
        <row r="500">
          <cell r="P500" t="str">
            <v>079013972</v>
          </cell>
          <cell r="Q500" t="str">
            <v>Renewal (15% in 2020)</v>
          </cell>
        </row>
        <row r="501">
          <cell r="P501" t="str">
            <v>079159346</v>
          </cell>
          <cell r="Q501" t="str">
            <v>Renewal (20% in 2020)</v>
          </cell>
        </row>
        <row r="502">
          <cell r="P502" t="str">
            <v>031015236</v>
          </cell>
          <cell r="Q502" t="str">
            <v>Renewal (25% in 2020)</v>
          </cell>
        </row>
        <row r="503">
          <cell r="P503" t="str">
            <v>086162520</v>
          </cell>
          <cell r="Q503" t="str">
            <v>Renewal (20% in 2020)</v>
          </cell>
        </row>
        <row r="504">
          <cell r="P504" t="str">
            <v>064172467</v>
          </cell>
          <cell r="Q504" t="str">
            <v>Renewal (15% in 2020)</v>
          </cell>
        </row>
        <row r="505">
          <cell r="P505" t="str">
            <v>016165841</v>
          </cell>
          <cell r="Q505" t="str">
            <v>Renewal (25% in 2020)</v>
          </cell>
        </row>
        <row r="506">
          <cell r="P506" t="str">
            <v>017164883</v>
          </cell>
          <cell r="Q506" t="str">
            <v>Renewal (15% in 2020)</v>
          </cell>
        </row>
        <row r="507">
          <cell r="P507" t="str">
            <v>017004266</v>
          </cell>
          <cell r="Q507" t="str">
            <v>Renewal (20% in 2020)</v>
          </cell>
        </row>
        <row r="508">
          <cell r="P508" t="str">
            <v>031160546</v>
          </cell>
          <cell r="Q508" t="str">
            <v>New contract</v>
          </cell>
        </row>
        <row r="509">
          <cell r="P509" t="str">
            <v>086163137</v>
          </cell>
          <cell r="Q509" t="str">
            <v>Renewal (15% in 2020)</v>
          </cell>
        </row>
        <row r="510">
          <cell r="P510" t="str">
            <v>086160891</v>
          </cell>
          <cell r="Q510" t="str">
            <v>Renewal (15% in 2020)</v>
          </cell>
        </row>
        <row r="511">
          <cell r="P511" t="str">
            <v>055013204</v>
          </cell>
          <cell r="Q511" t="str">
            <v>Renewal (20% in 2020)</v>
          </cell>
        </row>
        <row r="512">
          <cell r="P512" t="str">
            <v>052013634</v>
          </cell>
          <cell r="Q512" t="str">
            <v>Renewal (20% in 2020)</v>
          </cell>
        </row>
        <row r="513">
          <cell r="P513" t="str">
            <v>017169123</v>
          </cell>
          <cell r="Q513" t="str">
            <v>Renewal (25% in 2020)</v>
          </cell>
        </row>
        <row r="514">
          <cell r="P514" t="str">
            <v>052006553</v>
          </cell>
          <cell r="Q514" t="str">
            <v>Renewal (15% in 2020)</v>
          </cell>
        </row>
        <row r="515">
          <cell r="P515" t="str">
            <v>086164329</v>
          </cell>
          <cell r="Q515" t="str">
            <v>Renewal (20% in 2020)</v>
          </cell>
        </row>
        <row r="516">
          <cell r="P516" t="str">
            <v>071011279</v>
          </cell>
          <cell r="Q516" t="str">
            <v>Renewal (20% in 2020)</v>
          </cell>
        </row>
        <row r="517">
          <cell r="P517" t="str">
            <v>017010128</v>
          </cell>
          <cell r="Q517" t="str">
            <v>Renewal (15% in 2020)</v>
          </cell>
        </row>
        <row r="518">
          <cell r="P518" t="str">
            <v>055001219</v>
          </cell>
          <cell r="Q518" t="str">
            <v>Renewal (20% in 2020)</v>
          </cell>
        </row>
        <row r="519">
          <cell r="P519" t="str">
            <v>055001676</v>
          </cell>
          <cell r="Q519" t="str">
            <v>Renewal (15% in 2020)</v>
          </cell>
        </row>
        <row r="520">
          <cell r="P520" t="str">
            <v>055002499</v>
          </cell>
          <cell r="Q520" t="str">
            <v>Renewal (20% in 2020)</v>
          </cell>
        </row>
        <row r="521">
          <cell r="P521" t="str">
            <v>076160593</v>
          </cell>
          <cell r="Q521" t="str">
            <v>Renewal (25% in 2020)</v>
          </cell>
        </row>
        <row r="522">
          <cell r="P522" t="str">
            <v>079155650</v>
          </cell>
          <cell r="Q522" t="str">
            <v>Renewal (20% in 2020)</v>
          </cell>
        </row>
        <row r="523">
          <cell r="P523" t="str">
            <v>086157031</v>
          </cell>
          <cell r="Q523" t="str">
            <v>Renewal (15% in 2020)</v>
          </cell>
        </row>
        <row r="524">
          <cell r="P524" t="str">
            <v>054013474</v>
          </cell>
          <cell r="Q524" t="str">
            <v>Renewal (15% in 2020)</v>
          </cell>
        </row>
        <row r="525">
          <cell r="P525" t="str">
            <v>016162554</v>
          </cell>
          <cell r="Q525" t="str">
            <v>Renewal (15% in 2020)</v>
          </cell>
        </row>
        <row r="526">
          <cell r="P526" t="str">
            <v>055014282</v>
          </cell>
          <cell r="Q526" t="str">
            <v>Renewal (15% in 2020)</v>
          </cell>
        </row>
        <row r="527">
          <cell r="P527" t="str">
            <v>055010982</v>
          </cell>
          <cell r="Q527" t="str">
            <v>Renewal (15% in 2020)</v>
          </cell>
        </row>
        <row r="528">
          <cell r="P528" t="str">
            <v>055013534</v>
          </cell>
          <cell r="Q528" t="str">
            <v>Renewal (30% in 2020)</v>
          </cell>
        </row>
        <row r="529">
          <cell r="P529" t="str">
            <v>016167244</v>
          </cell>
          <cell r="Q529" t="str">
            <v>Renewal (15% in 2020)</v>
          </cell>
        </row>
        <row r="530">
          <cell r="P530" t="str">
            <v>017157956</v>
          </cell>
          <cell r="Q530" t="str">
            <v>Renewal (30% in 2020)</v>
          </cell>
        </row>
        <row r="531">
          <cell r="P531" t="str">
            <v>054013885</v>
          </cell>
          <cell r="Q531" t="str">
            <v>New Contract</v>
          </cell>
        </row>
        <row r="532">
          <cell r="P532" t="str">
            <v>016014577</v>
          </cell>
          <cell r="Q532" t="str">
            <v>Renewal (15% in 2020)</v>
          </cell>
        </row>
        <row r="533">
          <cell r="P533" t="str">
            <v>052006567</v>
          </cell>
          <cell r="Q533" t="str">
            <v>Renewal (25% in 2020)</v>
          </cell>
        </row>
        <row r="534">
          <cell r="P534" t="str">
            <v>017010405</v>
          </cell>
          <cell r="Q534" t="str">
            <v>Renewal (15% in 2020)</v>
          </cell>
        </row>
        <row r="535">
          <cell r="P535" t="str">
            <v>017161184</v>
          </cell>
          <cell r="Q535" t="str">
            <v>Renewal (15% in 2020)</v>
          </cell>
        </row>
        <row r="536">
          <cell r="P536" t="str">
            <v>017163869</v>
          </cell>
          <cell r="Q536" t="str">
            <v>Renewal (20% in 2020)</v>
          </cell>
        </row>
        <row r="537">
          <cell r="P537" t="str">
            <v>052007177</v>
          </cell>
          <cell r="Q537" t="str">
            <v>Renewal (25% in 2020)</v>
          </cell>
        </row>
        <row r="538">
          <cell r="P538" t="str">
            <v>079160609</v>
          </cell>
          <cell r="Q538" t="str">
            <v>Renewal (15% in 2020)</v>
          </cell>
        </row>
        <row r="539">
          <cell r="P539" t="str">
            <v>086164753</v>
          </cell>
          <cell r="Q539" t="str">
            <v>New Contract</v>
          </cell>
        </row>
        <row r="540">
          <cell r="P540" t="str">
            <v>039005037</v>
          </cell>
          <cell r="Q540" t="str">
            <v>Renewal (30% in 2020)</v>
          </cell>
        </row>
        <row r="541">
          <cell r="P541" t="str">
            <v>079154171</v>
          </cell>
          <cell r="Q541" t="str">
            <v>Renewal (15% in 2020)</v>
          </cell>
        </row>
        <row r="542">
          <cell r="P542" t="str">
            <v>055015944</v>
          </cell>
          <cell r="Q542" t="str">
            <v>Renewal (25% in 2020)</v>
          </cell>
        </row>
        <row r="543">
          <cell r="P543" t="str">
            <v>087022166</v>
          </cell>
          <cell r="Q543" t="str">
            <v>Renewal (15% in 2020)</v>
          </cell>
        </row>
        <row r="544">
          <cell r="P544" t="str">
            <v>021000000</v>
          </cell>
          <cell r="Q544" t="str">
            <v>New Contract</v>
          </cell>
        </row>
        <row r="545">
          <cell r="P545" t="str">
            <v>070017371</v>
          </cell>
          <cell r="Q545" t="str">
            <v>Renewal (15% in 2020)</v>
          </cell>
        </row>
        <row r="546">
          <cell r="P546" t="str">
            <v>070011928</v>
          </cell>
          <cell r="Q546" t="str">
            <v>Renewal (25% in 2020)</v>
          </cell>
        </row>
        <row r="547">
          <cell r="P547" t="str">
            <v>079152063</v>
          </cell>
          <cell r="Q547" t="str">
            <v>Renewal (15% in 2020)</v>
          </cell>
        </row>
        <row r="548">
          <cell r="P548" t="str">
            <v>079010264</v>
          </cell>
          <cell r="Q548" t="str">
            <v>Renewal (15% in 2020)</v>
          </cell>
        </row>
        <row r="549">
          <cell r="P549" t="str">
            <v>016156752</v>
          </cell>
          <cell r="Q549" t="str">
            <v>Renewal (15% in 2020)</v>
          </cell>
        </row>
        <row r="550">
          <cell r="P550" t="str">
            <v>021161960</v>
          </cell>
          <cell r="Q550" t="str">
            <v>New Contract</v>
          </cell>
        </row>
        <row r="551">
          <cell r="P551" t="str">
            <v>054001623</v>
          </cell>
          <cell r="Q551" t="str">
            <v>Renewal (30% in 2020)</v>
          </cell>
        </row>
        <row r="552">
          <cell r="P552" t="str">
            <v>052011700</v>
          </cell>
          <cell r="Q552" t="str">
            <v>New Contract</v>
          </cell>
        </row>
        <row r="553">
          <cell r="P553" t="str">
            <v>071161261</v>
          </cell>
          <cell r="Q553" t="str">
            <v>Renewal (30% in 2020)</v>
          </cell>
        </row>
        <row r="554">
          <cell r="P554" t="str">
            <v>017007914</v>
          </cell>
          <cell r="Q554" t="str">
            <v>Renewal (25% in 2020)</v>
          </cell>
        </row>
        <row r="555">
          <cell r="P555" t="str">
            <v>039155931</v>
          </cell>
          <cell r="Q555" t="str">
            <v>Renewal (25% in 2020)</v>
          </cell>
        </row>
        <row r="556">
          <cell r="P556" t="str">
            <v>086003307</v>
          </cell>
          <cell r="Q556" t="str">
            <v>New Contract</v>
          </cell>
        </row>
        <row r="557">
          <cell r="P557" t="str">
            <v>055014981</v>
          </cell>
          <cell r="Q557" t="str">
            <v>New Contract</v>
          </cell>
        </row>
        <row r="558">
          <cell r="P558" t="str">
            <v>058000487</v>
          </cell>
          <cell r="Q558" t="str">
            <v>Renewal (25% in 2020)</v>
          </cell>
        </row>
        <row r="559">
          <cell r="P559" t="str">
            <v>055014013</v>
          </cell>
          <cell r="Q559" t="str">
            <v>Renewal (20% in 2020)</v>
          </cell>
        </row>
        <row r="560">
          <cell r="P560" t="str">
            <v>086006702</v>
          </cell>
          <cell r="Q560" t="str">
            <v>Renewal (30% in 2020)</v>
          </cell>
        </row>
        <row r="561">
          <cell r="P561" t="str">
            <v>016162788</v>
          </cell>
          <cell r="Q561" t="str">
            <v>Renewal (30% in 2020)</v>
          </cell>
        </row>
        <row r="562">
          <cell r="P562" t="str">
            <v>058021210</v>
          </cell>
          <cell r="Q562" t="str">
            <v>Renewal (25% in 2020)</v>
          </cell>
        </row>
        <row r="563">
          <cell r="P563" t="str">
            <v>055008896</v>
          </cell>
          <cell r="Q563" t="str">
            <v>Renewal (20% in 2020)</v>
          </cell>
        </row>
        <row r="564">
          <cell r="P564" t="str">
            <v>016165835</v>
          </cell>
          <cell r="Q564" t="str">
            <v>Renewal (15% in 2020)</v>
          </cell>
        </row>
        <row r="565">
          <cell r="P565" t="str">
            <v>055000964</v>
          </cell>
          <cell r="Q565" t="str">
            <v>New Contract</v>
          </cell>
        </row>
        <row r="566">
          <cell r="P566" t="str">
            <v>017157845</v>
          </cell>
          <cell r="Q566" t="str">
            <v>Renewal (20% in 2020)</v>
          </cell>
        </row>
        <row r="567">
          <cell r="P567" t="str">
            <v>086157528</v>
          </cell>
          <cell r="Q567" t="str">
            <v>Renewal (15% in 2020)</v>
          </cell>
        </row>
        <row r="568">
          <cell r="P568" t="str">
            <v>017162131</v>
          </cell>
          <cell r="Q568" t="str">
            <v>Renewal (20% in 2020)</v>
          </cell>
        </row>
        <row r="569">
          <cell r="P569" t="str">
            <v>055015293</v>
          </cell>
          <cell r="Q569" t="str">
            <v>Renewal (15% in 2020)</v>
          </cell>
        </row>
        <row r="570">
          <cell r="P570" t="str">
            <v>024037750</v>
          </cell>
          <cell r="Q570" t="str">
            <v>Renewal (15% in 2020)</v>
          </cell>
        </row>
        <row r="571">
          <cell r="P571" t="str">
            <v>079008046</v>
          </cell>
          <cell r="Q571" t="str">
            <v>Renewal (30% in 2020)</v>
          </cell>
        </row>
        <row r="572">
          <cell r="P572" t="str">
            <v>016164075</v>
          </cell>
          <cell r="Q572" t="str">
            <v>Renewal (30% in 2020)</v>
          </cell>
        </row>
        <row r="573">
          <cell r="P573" t="str">
            <v>086014631</v>
          </cell>
          <cell r="Q573" t="str">
            <v>Renewal (15% in 2020)</v>
          </cell>
        </row>
        <row r="574">
          <cell r="P574" t="str">
            <v>016165150</v>
          </cell>
          <cell r="Q574" t="str">
            <v>Renewal (20% in 2020)</v>
          </cell>
        </row>
        <row r="575">
          <cell r="P575" t="str">
            <v>016165150</v>
          </cell>
          <cell r="Q575" t="str">
            <v>Renewal (20% in 2020)</v>
          </cell>
        </row>
        <row r="576">
          <cell r="P576" t="str">
            <v>086164225</v>
          </cell>
          <cell r="Q576" t="str">
            <v>Renewal (15% in 2020)</v>
          </cell>
        </row>
        <row r="577">
          <cell r="P577" t="str">
            <v>024036666</v>
          </cell>
          <cell r="Q577" t="str">
            <v>Renewal (15% in 2020)</v>
          </cell>
        </row>
        <row r="578">
          <cell r="P578" t="str">
            <v>031000886</v>
          </cell>
          <cell r="Q578" t="str">
            <v>Renewal (15% in 2020)</v>
          </cell>
        </row>
        <row r="579">
          <cell r="P579" t="str">
            <v>089002182</v>
          </cell>
          <cell r="Q579" t="str">
            <v>New contract</v>
          </cell>
        </row>
        <row r="580">
          <cell r="P580" t="str">
            <v>052001735</v>
          </cell>
          <cell r="Q580" t="str">
            <v>New Contract</v>
          </cell>
        </row>
        <row r="581">
          <cell r="P581" t="str">
            <v>031157622</v>
          </cell>
          <cell r="Q581" t="str">
            <v>Renewal (25% in 2020)</v>
          </cell>
        </row>
        <row r="582">
          <cell r="P582" t="str">
            <v>031158471</v>
          </cell>
          <cell r="Q582" t="str">
            <v>Renewal (15% in 2020)</v>
          </cell>
        </row>
        <row r="583">
          <cell r="P583" t="str">
            <v>031155999</v>
          </cell>
          <cell r="Q583" t="str">
            <v>Renewal (15% in 2020)</v>
          </cell>
        </row>
        <row r="584">
          <cell r="P584" t="str">
            <v>031155999</v>
          </cell>
          <cell r="Q584" t="str">
            <v>Renewal (15% in 2020)</v>
          </cell>
        </row>
        <row r="585">
          <cell r="P585" t="str">
            <v>017166007</v>
          </cell>
          <cell r="Q585" t="str">
            <v>Renewal (15% in 2020)</v>
          </cell>
        </row>
        <row r="586">
          <cell r="P586" t="str">
            <v>021155211</v>
          </cell>
          <cell r="Q586" t="str">
            <v>New Contract</v>
          </cell>
        </row>
        <row r="587">
          <cell r="P587" t="str">
            <v>021008335</v>
          </cell>
          <cell r="Q587" t="str">
            <v>New Contract</v>
          </cell>
        </row>
        <row r="588">
          <cell r="P588" t="str">
            <v>061103429</v>
          </cell>
          <cell r="Q588" t="str">
            <v>New contract</v>
          </cell>
        </row>
        <row r="589">
          <cell r="P589" t="str">
            <v>031007229</v>
          </cell>
          <cell r="Q589" t="str">
            <v>Renewal (15% in 2020)</v>
          </cell>
        </row>
        <row r="590">
          <cell r="P590" t="str">
            <v>086002485</v>
          </cell>
          <cell r="Q590" t="str">
            <v>Renewal (15% in 2020)</v>
          </cell>
        </row>
        <row r="591">
          <cell r="P591" t="str">
            <v>016160963</v>
          </cell>
          <cell r="Q591" t="str">
            <v>Renewal (15% in 2020)</v>
          </cell>
        </row>
        <row r="592">
          <cell r="P592" t="str">
            <v>016162130</v>
          </cell>
          <cell r="Q592" t="str">
            <v>Renewal (20% in 2020)</v>
          </cell>
        </row>
        <row r="593">
          <cell r="P593" t="str">
            <v>079153598</v>
          </cell>
          <cell r="Q593" t="str">
            <v>Renewal (20% in 2020)</v>
          </cell>
        </row>
        <row r="594">
          <cell r="P594" t="str">
            <v>003025152</v>
          </cell>
          <cell r="Q594" t="str">
            <v>Renewal (15% in 2020)</v>
          </cell>
        </row>
        <row r="595">
          <cell r="P595" t="str">
            <v>079161478</v>
          </cell>
          <cell r="Q595" t="str">
            <v>New contract</v>
          </cell>
        </row>
        <row r="596">
          <cell r="P596" t="str">
            <v>031008606</v>
          </cell>
          <cell r="Q596" t="str">
            <v>New Contract</v>
          </cell>
        </row>
        <row r="597">
          <cell r="P597" t="str">
            <v>086003434</v>
          </cell>
          <cell r="Q597" t="str">
            <v>New Contract</v>
          </cell>
        </row>
        <row r="598">
          <cell r="P598" t="str">
            <v>031158828</v>
          </cell>
          <cell r="Q598" t="str">
            <v>Renewal (15% in 2020)</v>
          </cell>
        </row>
        <row r="599">
          <cell r="P599" t="str">
            <v>021005579</v>
          </cell>
          <cell r="Q599" t="str">
            <v>New Contract</v>
          </cell>
        </row>
        <row r="600">
          <cell r="P600" t="str">
            <v>039004348</v>
          </cell>
          <cell r="Q600" t="str">
            <v>New contract</v>
          </cell>
        </row>
        <row r="601">
          <cell r="P601" t="str">
            <v>086006667</v>
          </cell>
          <cell r="Q601" t="str">
            <v>Renewal (25% in 2020)</v>
          </cell>
        </row>
        <row r="602">
          <cell r="P602" t="str">
            <v>086002376</v>
          </cell>
          <cell r="Q602" t="str">
            <v>Renewal (15% in 2020)</v>
          </cell>
        </row>
        <row r="603">
          <cell r="P603" t="str">
            <v>032160282</v>
          </cell>
          <cell r="Q603" t="str">
            <v>Renewal (20% in 2020)</v>
          </cell>
        </row>
        <row r="604">
          <cell r="P604" t="str">
            <v>024037992</v>
          </cell>
          <cell r="Q604" t="str">
            <v>Renewal (20% in 2020)</v>
          </cell>
        </row>
        <row r="605">
          <cell r="P605" t="str">
            <v>021161340</v>
          </cell>
          <cell r="Q605" t="str">
            <v>New contract</v>
          </cell>
        </row>
        <row r="606">
          <cell r="P606" t="str">
            <v>031000248</v>
          </cell>
          <cell r="Q606" t="str">
            <v>Renewal (15% in 2020)</v>
          </cell>
        </row>
        <row r="607">
          <cell r="P607" t="str">
            <v>017164655</v>
          </cell>
          <cell r="Q607" t="str">
            <v>Renewal (15% in 2020)</v>
          </cell>
        </row>
        <row r="608">
          <cell r="P608" t="str">
            <v>021009338</v>
          </cell>
          <cell r="Q608" t="str">
            <v>New Contract</v>
          </cell>
        </row>
        <row r="609">
          <cell r="P609" t="str">
            <v>021159052</v>
          </cell>
          <cell r="Q609" t="str">
            <v>New Contract</v>
          </cell>
        </row>
        <row r="610">
          <cell r="P610" t="str">
            <v>016014753</v>
          </cell>
          <cell r="Q610" t="str">
            <v>New Contract</v>
          </cell>
        </row>
        <row r="611">
          <cell r="P611" t="str">
            <v>055014006</v>
          </cell>
          <cell r="Q611" t="str">
            <v>New Contract</v>
          </cell>
        </row>
        <row r="612">
          <cell r="P612" t="str">
            <v>086162301</v>
          </cell>
          <cell r="Q612" t="str">
            <v>Renewal (15% in 2020)</v>
          </cell>
        </row>
        <row r="613">
          <cell r="P613" t="str">
            <v>021158651</v>
          </cell>
          <cell r="Q613" t="str">
            <v>New contract</v>
          </cell>
        </row>
        <row r="614">
          <cell r="P614" t="str">
            <v>037162257</v>
          </cell>
          <cell r="Q614" t="str">
            <v>New contract</v>
          </cell>
        </row>
        <row r="615">
          <cell r="P615" t="str">
            <v>031152112</v>
          </cell>
          <cell r="Q615" t="str">
            <v>New Contract</v>
          </cell>
        </row>
        <row r="616">
          <cell r="P616" t="str">
            <v>021154121</v>
          </cell>
          <cell r="Q616" t="str">
            <v>New Contract</v>
          </cell>
        </row>
        <row r="617">
          <cell r="P617" t="str">
            <v>031154691</v>
          </cell>
          <cell r="Q617" t="str">
            <v>New Contract</v>
          </cell>
        </row>
        <row r="618">
          <cell r="P618" t="str">
            <v>086157796</v>
          </cell>
          <cell r="Q618" t="str">
            <v>Renewal (25% in 2020)</v>
          </cell>
        </row>
        <row r="619">
          <cell r="P619" t="str">
            <v>016162159</v>
          </cell>
          <cell r="Q619" t="str">
            <v>Renewal (15% in 2020)</v>
          </cell>
        </row>
        <row r="620">
          <cell r="P620" t="str">
            <v>055015465</v>
          </cell>
          <cell r="Q620" t="str">
            <v>Renewal (15% in 2020)</v>
          </cell>
        </row>
        <row r="621">
          <cell r="P621" t="str">
            <v>016167062</v>
          </cell>
          <cell r="Q621" t="str">
            <v>Renewal (30% in 2020)</v>
          </cell>
        </row>
        <row r="622">
          <cell r="P622" t="str">
            <v>086004927</v>
          </cell>
          <cell r="Q622" t="str">
            <v>Renewal (15% in 2020)</v>
          </cell>
        </row>
        <row r="623">
          <cell r="P623" t="str">
            <v>079006795</v>
          </cell>
          <cell r="Q623" t="str">
            <v>Renewal (30% in 2020)</v>
          </cell>
        </row>
        <row r="624">
          <cell r="P624" t="str">
            <v>086010500</v>
          </cell>
          <cell r="Q624" t="str">
            <v>New Contract</v>
          </cell>
        </row>
        <row r="625">
          <cell r="P625" t="str">
            <v>039154997</v>
          </cell>
          <cell r="Q625" t="str">
            <v>Renewal (15% in 2020)</v>
          </cell>
        </row>
        <row r="626">
          <cell r="P626" t="str">
            <v>021010652</v>
          </cell>
          <cell r="Q626" t="str">
            <v>New contract</v>
          </cell>
        </row>
        <row r="627">
          <cell r="P627" t="str">
            <v>021010215</v>
          </cell>
          <cell r="Q627" t="str">
            <v>New Contract</v>
          </cell>
        </row>
        <row r="628">
          <cell r="P628" t="str">
            <v>031159203</v>
          </cell>
          <cell r="Q628" t="str">
            <v>Renewal (15% in 2020)</v>
          </cell>
        </row>
        <row r="629">
          <cell r="P629" t="str">
            <v>031160323</v>
          </cell>
          <cell r="Q629" t="str">
            <v>Renewal (20% in 2020)</v>
          </cell>
        </row>
        <row r="630">
          <cell r="P630" t="str">
            <v>031015336</v>
          </cell>
          <cell r="Q630" t="str">
            <v>Renewal (20% in 2020)</v>
          </cell>
        </row>
        <row r="631">
          <cell r="P631" t="str">
            <v>037003510</v>
          </cell>
          <cell r="Q631" t="str">
            <v>New Contract</v>
          </cell>
        </row>
        <row r="632">
          <cell r="P632" t="str">
            <v>039155836</v>
          </cell>
          <cell r="Q632" t="str">
            <v>Renewal (30% in 2020)</v>
          </cell>
        </row>
        <row r="633">
          <cell r="P633" t="str">
            <v>017165919</v>
          </cell>
          <cell r="Q633" t="str">
            <v>Renewal (25% in 2020)</v>
          </cell>
        </row>
        <row r="634">
          <cell r="P634" t="str">
            <v>055015637</v>
          </cell>
          <cell r="Q634" t="str">
            <v>New Contract</v>
          </cell>
        </row>
        <row r="635">
          <cell r="P635" t="str">
            <v>031160018</v>
          </cell>
          <cell r="Q635" t="str">
            <v>Renewal (15% in 2020)</v>
          </cell>
        </row>
        <row r="636">
          <cell r="P636" t="str">
            <v>077002297</v>
          </cell>
          <cell r="Q636" t="str">
            <v>New Contract</v>
          </cell>
        </row>
        <row r="637">
          <cell r="P637" t="str">
            <v>089011721</v>
          </cell>
          <cell r="Q637" t="str">
            <v>New contract</v>
          </cell>
        </row>
        <row r="638">
          <cell r="P638" t="str">
            <v>021007512</v>
          </cell>
          <cell r="Q638" t="str">
            <v>New contract</v>
          </cell>
        </row>
        <row r="639">
          <cell r="P639" t="str">
            <v>031011458</v>
          </cell>
          <cell r="Q639" t="str">
            <v>New Contract</v>
          </cell>
        </row>
        <row r="640">
          <cell r="P640" t="str">
            <v>070017064</v>
          </cell>
          <cell r="Q640" t="str">
            <v>Renewal (20% in 2020)</v>
          </cell>
        </row>
        <row r="641">
          <cell r="P641" t="str">
            <v>019023618</v>
          </cell>
          <cell r="Q641" t="str">
            <v>New Contract</v>
          </cell>
        </row>
        <row r="642">
          <cell r="P642" t="str">
            <v>017166660</v>
          </cell>
          <cell r="Q642" t="str">
            <v>Renewal (15% in 2020)</v>
          </cell>
        </row>
        <row r="643">
          <cell r="P643" t="str">
            <v>016161755</v>
          </cell>
          <cell r="Q643" t="str">
            <v>Renewal (25% in 2020)</v>
          </cell>
        </row>
        <row r="644">
          <cell r="P644" t="str">
            <v>031009911</v>
          </cell>
          <cell r="Q644" t="str">
            <v>Renewal (15% in 2020)</v>
          </cell>
        </row>
        <row r="645">
          <cell r="P645" t="str">
            <v>086861609</v>
          </cell>
          <cell r="Q645" t="str">
            <v>New Contract</v>
          </cell>
        </row>
        <row r="646">
          <cell r="P646" t="str">
            <v>016162555</v>
          </cell>
          <cell r="Q646" t="str">
            <v>New Contract</v>
          </cell>
        </row>
        <row r="647">
          <cell r="P647" t="str">
            <v>021623235</v>
          </cell>
          <cell r="Q647" t="str">
            <v>New Contract</v>
          </cell>
        </row>
        <row r="648">
          <cell r="P648" t="str">
            <v>031004378</v>
          </cell>
          <cell r="Q648" t="str">
            <v>New Contract</v>
          </cell>
        </row>
        <row r="649">
          <cell r="P649" t="str">
            <v>089004696</v>
          </cell>
          <cell r="Q649" t="str">
            <v>New Contract</v>
          </cell>
        </row>
        <row r="650">
          <cell r="P650" t="str">
            <v>021010214</v>
          </cell>
          <cell r="Q650" t="str">
            <v>New Contract</v>
          </cell>
        </row>
        <row r="651">
          <cell r="P651" t="str">
            <v>087022530</v>
          </cell>
          <cell r="Q651" t="str">
            <v>Renewal (20% in 2020)</v>
          </cell>
        </row>
        <row r="652">
          <cell r="P652" t="str">
            <v>031004408</v>
          </cell>
          <cell r="Q652" t="str">
            <v>Renewal (20% in 2020)</v>
          </cell>
        </row>
        <row r="653">
          <cell r="P653" t="str">
            <v>024016642</v>
          </cell>
          <cell r="Q653" t="str">
            <v>Renewal (20% in 2020)</v>
          </cell>
        </row>
        <row r="654">
          <cell r="P654" t="str">
            <v>031158427</v>
          </cell>
          <cell r="Q654" t="str">
            <v>New contract</v>
          </cell>
        </row>
        <row r="655">
          <cell r="P655" t="str">
            <v>016004791</v>
          </cell>
          <cell r="Q655" t="str">
            <v>Renewal (15% in 2020)</v>
          </cell>
        </row>
        <row r="656">
          <cell r="P656" t="str">
            <v>003026277</v>
          </cell>
          <cell r="Q656" t="str">
            <v>Renewal (20% in 2020)</v>
          </cell>
        </row>
        <row r="657">
          <cell r="P657" t="str">
            <v>024027913</v>
          </cell>
          <cell r="Q657" t="str">
            <v>New Contract</v>
          </cell>
        </row>
        <row r="658">
          <cell r="P658" t="str">
            <v>016162143</v>
          </cell>
          <cell r="Q658" t="str">
            <v>Renewal (25% in 2020)</v>
          </cell>
        </row>
        <row r="659">
          <cell r="P659" t="str">
            <v>032167164</v>
          </cell>
          <cell r="Q659" t="str">
            <v>New contract</v>
          </cell>
        </row>
        <row r="660">
          <cell r="P660" t="str">
            <v>031004426</v>
          </cell>
          <cell r="Q660" t="str">
            <v>Renewal (20% in 2020)</v>
          </cell>
        </row>
        <row r="661">
          <cell r="P661" t="str">
            <v>031156757</v>
          </cell>
          <cell r="Q661" t="str">
            <v>Renewal (15% in 2020)</v>
          </cell>
        </row>
        <row r="662">
          <cell r="P662" t="str">
            <v>031156757</v>
          </cell>
          <cell r="Q662" t="str">
            <v>Renewal (15% in 2020)</v>
          </cell>
        </row>
        <row r="663">
          <cell r="P663" t="str">
            <v>016010463</v>
          </cell>
          <cell r="Q663" t="str">
            <v>New contract</v>
          </cell>
        </row>
        <row r="664">
          <cell r="P664" t="str">
            <v>032169153</v>
          </cell>
          <cell r="Q664" t="str">
            <v>New contract</v>
          </cell>
        </row>
        <row r="665">
          <cell r="P665" t="str">
            <v>039156522</v>
          </cell>
          <cell r="Q665" t="str">
            <v>Renewal (15% in 2020)</v>
          </cell>
        </row>
        <row r="666">
          <cell r="P666" t="str">
            <v>055014178</v>
          </cell>
          <cell r="Q666" t="str">
            <v>Renewal (30% in 2020)</v>
          </cell>
        </row>
        <row r="667">
          <cell r="P667" t="str">
            <v>086162681</v>
          </cell>
          <cell r="Q667" t="str">
            <v>Renewal (25% in 2020)</v>
          </cell>
        </row>
        <row r="668">
          <cell r="P668" t="str">
            <v>055014828</v>
          </cell>
          <cell r="Q668" t="str">
            <v>Renewal (20% in 2020)</v>
          </cell>
        </row>
        <row r="669">
          <cell r="P669" t="str">
            <v>079015403</v>
          </cell>
          <cell r="Q669" t="str">
            <v>Renewal (15% in 2020)</v>
          </cell>
        </row>
        <row r="670">
          <cell r="P670" t="str">
            <v>057013684</v>
          </cell>
          <cell r="Q670" t="str">
            <v>Renewal (15% in 2020)</v>
          </cell>
        </row>
        <row r="671">
          <cell r="P671" t="str">
            <v>017169509</v>
          </cell>
          <cell r="Q671" t="str">
            <v>Renewal (25% in 2020)</v>
          </cell>
        </row>
        <row r="672">
          <cell r="P672" t="str">
            <v>055013717</v>
          </cell>
          <cell r="Q672" t="str">
            <v>Renewal (25% in 2020)</v>
          </cell>
        </row>
        <row r="673">
          <cell r="P673" t="str">
            <v>070017173</v>
          </cell>
          <cell r="Q673" t="str">
            <v>Renewal (20% in 2020)</v>
          </cell>
        </row>
        <row r="674">
          <cell r="P674" t="str">
            <v>055014695</v>
          </cell>
          <cell r="Q674" t="str">
            <v>Renewal (25% in 2020)</v>
          </cell>
        </row>
        <row r="675">
          <cell r="P675" t="str">
            <v>055003172</v>
          </cell>
          <cell r="Q675" t="str">
            <v>Renewal (20% in 2020)</v>
          </cell>
        </row>
        <row r="676">
          <cell r="P676" t="str">
            <v>016003867</v>
          </cell>
          <cell r="Q676" t="str">
            <v>Renewal (20% in 2020)</v>
          </cell>
        </row>
        <row r="677">
          <cell r="P677" t="str">
            <v>017012529</v>
          </cell>
          <cell r="Q677" t="str">
            <v>Renewal (20% in 2020)</v>
          </cell>
        </row>
        <row r="678">
          <cell r="P678" t="str">
            <v>058007983</v>
          </cell>
          <cell r="Q678" t="str">
            <v>Renewal (20% in 2020)</v>
          </cell>
        </row>
        <row r="679">
          <cell r="P679" t="str">
            <v>079158679</v>
          </cell>
          <cell r="Q679" t="str">
            <v>Renewal (20% in 2020)</v>
          </cell>
        </row>
        <row r="680">
          <cell r="P680" t="str">
            <v>052013076</v>
          </cell>
          <cell r="Q680" t="str">
            <v>Renewal (20% in 2020)</v>
          </cell>
        </row>
        <row r="681">
          <cell r="P681" t="str">
            <v>079156541</v>
          </cell>
          <cell r="Q681" t="str">
            <v>Renewal (15% in 2020)</v>
          </cell>
        </row>
        <row r="682">
          <cell r="P682" t="str">
            <v>039154721</v>
          </cell>
          <cell r="Q682" t="str">
            <v>Renewal (15% in 2020)</v>
          </cell>
        </row>
        <row r="683">
          <cell r="P683" t="str">
            <v>039156577</v>
          </cell>
          <cell r="Q683" t="str">
            <v>Renewal (20% in 2020)</v>
          </cell>
        </row>
        <row r="684">
          <cell r="P684" t="str">
            <v>054008894</v>
          </cell>
          <cell r="Q684" t="str">
            <v>Renewal (20% in 2020)</v>
          </cell>
        </row>
        <row r="685">
          <cell r="P685" t="str">
            <v>055008770</v>
          </cell>
          <cell r="Q685" t="str">
            <v>Renewal (20% in 2020)</v>
          </cell>
        </row>
        <row r="686">
          <cell r="P686" t="str">
            <v>086164474</v>
          </cell>
          <cell r="Q686" t="str">
            <v>Renewal (25% in 2020)</v>
          </cell>
        </row>
        <row r="687">
          <cell r="P687" t="str">
            <v>023020464</v>
          </cell>
          <cell r="Q687" t="str">
            <v>Renewal (30% in 2020)</v>
          </cell>
        </row>
        <row r="688">
          <cell r="P688" t="str">
            <v>079155897</v>
          </cell>
          <cell r="Q688" t="str">
            <v>Renewal (15% in 2020)</v>
          </cell>
        </row>
        <row r="689">
          <cell r="P689" t="str">
            <v>086014176</v>
          </cell>
          <cell r="Q689" t="str">
            <v>Renewal (15% in 2020)</v>
          </cell>
        </row>
        <row r="690">
          <cell r="P690" t="str">
            <v>079159911</v>
          </cell>
          <cell r="Q690" t="str">
            <v>Renewal (20% in 2020)</v>
          </cell>
        </row>
        <row r="691">
          <cell r="P691" t="str">
            <v>079003762</v>
          </cell>
          <cell r="Q691" t="str">
            <v>Renewal (15% in 2020)</v>
          </cell>
        </row>
        <row r="692">
          <cell r="P692" t="str">
            <v>047018549</v>
          </cell>
          <cell r="Q692" t="str">
            <v>Renewal (25% in 2020)</v>
          </cell>
        </row>
        <row r="693">
          <cell r="P693" t="str">
            <v>017166335</v>
          </cell>
          <cell r="Q693" t="str">
            <v>Renewal (30% in 2020)</v>
          </cell>
        </row>
        <row r="694">
          <cell r="P694" t="str">
            <v>049171082</v>
          </cell>
          <cell r="Q694" t="str">
            <v>Renewal (20% in 2020)</v>
          </cell>
        </row>
        <row r="695">
          <cell r="P695" t="str">
            <v>039156296</v>
          </cell>
          <cell r="Q695" t="str">
            <v>New Contract</v>
          </cell>
        </row>
        <row r="696">
          <cell r="P696" t="str">
            <v>032014649</v>
          </cell>
          <cell r="Q696" t="str">
            <v>New Contract</v>
          </cell>
        </row>
        <row r="697">
          <cell r="P697" t="str">
            <v>031006385</v>
          </cell>
          <cell r="Q697" t="str">
            <v>Renewal (20% in 2020)</v>
          </cell>
        </row>
        <row r="698">
          <cell r="P698" t="str">
            <v>016009817</v>
          </cell>
          <cell r="Q698" t="str">
            <v>Renewal (20% in 2020)</v>
          </cell>
        </row>
        <row r="699">
          <cell r="P699" t="str">
            <v>031159489</v>
          </cell>
          <cell r="Q699" t="str">
            <v>Renewal (15% in 2020)</v>
          </cell>
        </row>
        <row r="700">
          <cell r="P700" t="str">
            <v>086007543</v>
          </cell>
          <cell r="Q700" t="str">
            <v>Renewal (25% in 2020)</v>
          </cell>
        </row>
        <row r="701">
          <cell r="P701" t="str">
            <v>086161875</v>
          </cell>
          <cell r="Q701" t="str">
            <v>Renewal (15% in 2020)</v>
          </cell>
        </row>
        <row r="702">
          <cell r="P702" t="str">
            <v>079016243</v>
          </cell>
          <cell r="Q702" t="str">
            <v>Renewal (20% in 2020)</v>
          </cell>
        </row>
        <row r="703">
          <cell r="P703" t="str">
            <v>016014713</v>
          </cell>
          <cell r="Q703" t="str">
            <v>Renewal (25% in 2020)</v>
          </cell>
        </row>
        <row r="704">
          <cell r="P704" t="str">
            <v>017165415</v>
          </cell>
          <cell r="Q704" t="str">
            <v>Renewal (25% in 2020)</v>
          </cell>
        </row>
        <row r="705">
          <cell r="P705" t="str">
            <v>040177079</v>
          </cell>
          <cell r="Q705" t="str">
            <v>Renewal (30% in 2020)</v>
          </cell>
        </row>
        <row r="706">
          <cell r="P706" t="str">
            <v>021010354</v>
          </cell>
          <cell r="Q706" t="str">
            <v>New Contract</v>
          </cell>
        </row>
        <row r="707">
          <cell r="P707" t="str">
            <v>032158673</v>
          </cell>
          <cell r="Q707" t="str">
            <v>Renewal (15% in 2020)</v>
          </cell>
        </row>
        <row r="708">
          <cell r="P708" t="str">
            <v>086157300</v>
          </cell>
          <cell r="Q708" t="str">
            <v>Renewal (15% in 2020)</v>
          </cell>
        </row>
        <row r="709">
          <cell r="P709" t="str">
            <v>021161272</v>
          </cell>
          <cell r="Q709" t="str">
            <v>New Contract</v>
          </cell>
        </row>
        <row r="710">
          <cell r="P710" t="str">
            <v>028160041</v>
          </cell>
          <cell r="Q710" t="str">
            <v>New contract</v>
          </cell>
        </row>
        <row r="711">
          <cell r="P711" t="str">
            <v>086164243</v>
          </cell>
          <cell r="Q711" t="str">
            <v>New Contract</v>
          </cell>
        </row>
        <row r="712">
          <cell r="P712" t="str">
            <v>039156619</v>
          </cell>
          <cell r="Q712" t="str">
            <v>Renewal (15% in 2020)</v>
          </cell>
        </row>
        <row r="713">
          <cell r="P713" t="str">
            <v>017166287</v>
          </cell>
          <cell r="Q713" t="str">
            <v>Renewal (20% in 2020)</v>
          </cell>
        </row>
        <row r="714">
          <cell r="P714" t="str">
            <v>017166287</v>
          </cell>
          <cell r="Q714" t="str">
            <v>Renewal (20% in 2020)</v>
          </cell>
        </row>
        <row r="715">
          <cell r="P715" t="str">
            <v>031155162</v>
          </cell>
          <cell r="Q715" t="str">
            <v>New Contract</v>
          </cell>
        </row>
        <row r="716">
          <cell r="P716" t="str">
            <v>047159507</v>
          </cell>
          <cell r="Q716" t="str">
            <v>Renewal (15% in 2020)</v>
          </cell>
        </row>
        <row r="717">
          <cell r="P717" t="str">
            <v>047170268</v>
          </cell>
          <cell r="Q717" t="str">
            <v>Renewal (15% in 2020)</v>
          </cell>
        </row>
        <row r="718">
          <cell r="P718" t="str">
            <v>070011188</v>
          </cell>
          <cell r="Q718" t="str">
            <v>Renewal (30% in 2020)</v>
          </cell>
        </row>
        <row r="719">
          <cell r="P719" t="str">
            <v>017166883</v>
          </cell>
          <cell r="Q719" t="str">
            <v>New contract</v>
          </cell>
        </row>
        <row r="720">
          <cell r="P720" t="str">
            <v>017166883</v>
          </cell>
          <cell r="Q720" t="str">
            <v>New contract</v>
          </cell>
        </row>
        <row r="721">
          <cell r="P721" t="str">
            <v>023022527</v>
          </cell>
          <cell r="Q721" t="str">
            <v>New Contract</v>
          </cell>
        </row>
        <row r="722">
          <cell r="P722" t="str">
            <v>021161699</v>
          </cell>
          <cell r="Q722" t="str">
            <v>New Contract</v>
          </cell>
        </row>
        <row r="723">
          <cell r="P723" t="str">
            <v>017160289</v>
          </cell>
          <cell r="Q723" t="str">
            <v>Renewal (20% in 2020)</v>
          </cell>
        </row>
        <row r="724">
          <cell r="P724" t="str">
            <v>079155429</v>
          </cell>
          <cell r="Q724" t="str">
            <v>New Contract</v>
          </cell>
        </row>
        <row r="725">
          <cell r="P725" t="str">
            <v>079157426</v>
          </cell>
          <cell r="Q725" t="str">
            <v>Renewal (25% in 2020)</v>
          </cell>
        </row>
        <row r="726">
          <cell r="P726" t="str">
            <v>032020241</v>
          </cell>
          <cell r="Q726" t="str">
            <v>Renewal (15% in 2020)</v>
          </cell>
        </row>
        <row r="727">
          <cell r="P727" t="str">
            <v>024015684</v>
          </cell>
          <cell r="Q727" t="str">
            <v>Renewal (30% in 2020)</v>
          </cell>
        </row>
        <row r="728">
          <cell r="P728" t="str">
            <v>079153553</v>
          </cell>
          <cell r="Q728" t="str">
            <v>New Contract</v>
          </cell>
        </row>
        <row r="729">
          <cell r="P729" t="str">
            <v>071155887</v>
          </cell>
          <cell r="Q729" t="str">
            <v>Renewal (25% in 2020)</v>
          </cell>
        </row>
        <row r="730">
          <cell r="P730" t="str">
            <v>071155887</v>
          </cell>
          <cell r="Q730" t="str">
            <v>Renewal (25% in 2020)</v>
          </cell>
        </row>
        <row r="731">
          <cell r="P731" t="str">
            <v>071155887</v>
          </cell>
          <cell r="Q731" t="str">
            <v>Renewal (25% in 2020)</v>
          </cell>
        </row>
        <row r="732">
          <cell r="P732" t="str">
            <v>031013552</v>
          </cell>
          <cell r="Q732" t="str">
            <v>New Contract</v>
          </cell>
        </row>
        <row r="733">
          <cell r="P733" t="str">
            <v>016162571</v>
          </cell>
          <cell r="Q733" t="str">
            <v>New contract</v>
          </cell>
        </row>
        <row r="734">
          <cell r="P734" t="str">
            <v>079159128</v>
          </cell>
          <cell r="Q734" t="str">
            <v>Renewal (25% in 2020)</v>
          </cell>
        </row>
        <row r="735">
          <cell r="P735" t="str">
            <v>079009983</v>
          </cell>
          <cell r="Q735" t="str">
            <v>New Contract</v>
          </cell>
        </row>
        <row r="736">
          <cell r="P736" t="str">
            <v>086163909</v>
          </cell>
          <cell r="Q736" t="str">
            <v>Renewal (15% in 2020)</v>
          </cell>
        </row>
        <row r="737">
          <cell r="P737" t="str">
            <v>086161732</v>
          </cell>
          <cell r="Q737" t="str">
            <v>Renewal (20% in 2020)</v>
          </cell>
        </row>
        <row r="738">
          <cell r="P738" t="str">
            <v>086161732</v>
          </cell>
          <cell r="Q738" t="str">
            <v>Renewal (20% in 2020)</v>
          </cell>
        </row>
        <row r="739">
          <cell r="P739" t="str">
            <v>024032899</v>
          </cell>
          <cell r="Q739" t="str">
            <v>Renewal (20% in 2020)</v>
          </cell>
        </row>
        <row r="740">
          <cell r="P740" t="str">
            <v>081015286</v>
          </cell>
          <cell r="Q740" t="str">
            <v>New contract</v>
          </cell>
        </row>
        <row r="741">
          <cell r="P741" t="str">
            <v>021004260</v>
          </cell>
          <cell r="Q741" t="str">
            <v>New Contract</v>
          </cell>
        </row>
        <row r="742">
          <cell r="P742" t="str">
            <v>079016347</v>
          </cell>
          <cell r="Q742" t="str">
            <v>Renewal (25% in 2020)</v>
          </cell>
        </row>
        <row r="743">
          <cell r="P743" t="str">
            <v>039155463</v>
          </cell>
          <cell r="Q743" t="str">
            <v>Renewal (25% in 2020)</v>
          </cell>
        </row>
        <row r="744">
          <cell r="P744" t="str">
            <v>021011488</v>
          </cell>
          <cell r="Q744" t="str">
            <v>New contract</v>
          </cell>
        </row>
        <row r="745">
          <cell r="P745" t="str">
            <v>070004248</v>
          </cell>
          <cell r="Q745" t="str">
            <v>Renewal (15% in 2020)</v>
          </cell>
        </row>
        <row r="746">
          <cell r="P746" t="str">
            <v>071159607</v>
          </cell>
          <cell r="Q746" t="str">
            <v>Renewal (20% in 2020)</v>
          </cell>
        </row>
        <row r="747">
          <cell r="P747" t="str">
            <v>017006771</v>
          </cell>
          <cell r="Q747" t="str">
            <v>Renewal (30% in 2020)</v>
          </cell>
        </row>
        <row r="748">
          <cell r="P748" t="str">
            <v>016156280</v>
          </cell>
          <cell r="Q748" t="str">
            <v>Renewal (15% in 2020)</v>
          </cell>
        </row>
        <row r="749">
          <cell r="P749" t="str">
            <v>016162211</v>
          </cell>
          <cell r="Q749" t="str">
            <v>Renewal (20% in 2020)</v>
          </cell>
        </row>
        <row r="750">
          <cell r="P750" t="str">
            <v>079155729</v>
          </cell>
          <cell r="Q750" t="str">
            <v>Renewal (15% in 2020)</v>
          </cell>
        </row>
        <row r="751">
          <cell r="P751" t="str">
            <v>076164367</v>
          </cell>
          <cell r="Q751" t="str">
            <v>Renewal (20% in 2020)</v>
          </cell>
        </row>
        <row r="752">
          <cell r="P752" t="str">
            <v>032164818</v>
          </cell>
          <cell r="Q752" t="str">
            <v>New Contract</v>
          </cell>
        </row>
        <row r="753">
          <cell r="P753" t="str">
            <v>086161150</v>
          </cell>
          <cell r="Q753" t="str">
            <v>Renewal (15% in 2020)</v>
          </cell>
        </row>
        <row r="754">
          <cell r="P754" t="str">
            <v>021002985</v>
          </cell>
          <cell r="Q754" t="str">
            <v>New Contract</v>
          </cell>
        </row>
        <row r="755">
          <cell r="P755" t="str">
            <v>021159198</v>
          </cell>
          <cell r="Q755" t="str">
            <v>New Contract</v>
          </cell>
        </row>
        <row r="756">
          <cell r="P756" t="str">
            <v>017008166</v>
          </cell>
          <cell r="Q756" t="str">
            <v>New contract</v>
          </cell>
        </row>
        <row r="757">
          <cell r="P757" t="str">
            <v>086163360</v>
          </cell>
          <cell r="Q757" t="str">
            <v>Renewal (30% in 2020)</v>
          </cell>
        </row>
        <row r="758">
          <cell r="P758" t="str">
            <v>021161276</v>
          </cell>
          <cell r="Q758" t="str">
            <v>New Contract</v>
          </cell>
        </row>
        <row r="759">
          <cell r="P759" t="str">
            <v>021005000</v>
          </cell>
          <cell r="Q759" t="str">
            <v>New contract</v>
          </cell>
        </row>
        <row r="760">
          <cell r="P760" t="str">
            <v>016166366</v>
          </cell>
          <cell r="Q760" t="str">
            <v>New Contract</v>
          </cell>
        </row>
        <row r="761">
          <cell r="P761" t="str">
            <v>055014400</v>
          </cell>
          <cell r="Q761" t="str">
            <v>Renewal (25% in 2020)</v>
          </cell>
        </row>
        <row r="762">
          <cell r="P762" t="str">
            <v>016165087</v>
          </cell>
          <cell r="Q762" t="str">
            <v>Renewal (15% in 2020)</v>
          </cell>
        </row>
        <row r="763">
          <cell r="P763" t="str">
            <v>017162082</v>
          </cell>
          <cell r="Q763" t="str">
            <v>Renewal (25% in 2020)</v>
          </cell>
        </row>
        <row r="764">
          <cell r="P764" t="str">
            <v>055015231</v>
          </cell>
          <cell r="Q764" t="str">
            <v>Renewal (30% in 2020)</v>
          </cell>
        </row>
        <row r="765">
          <cell r="P765" t="str">
            <v>031160300</v>
          </cell>
          <cell r="Q765" t="str">
            <v>Renewal (20% in 2020)</v>
          </cell>
        </row>
        <row r="766">
          <cell r="P766" t="str">
            <v>055013850</v>
          </cell>
          <cell r="Q766" t="str">
            <v>Renewal (20% in 2020)</v>
          </cell>
        </row>
        <row r="767">
          <cell r="P767" t="str">
            <v>021159386</v>
          </cell>
          <cell r="Q767" t="str">
            <v>New Contract</v>
          </cell>
        </row>
        <row r="768">
          <cell r="P768" t="str">
            <v>076166232</v>
          </cell>
          <cell r="Q768" t="str">
            <v>Renewal (20% in 2020)</v>
          </cell>
        </row>
        <row r="769">
          <cell r="P769" t="str">
            <v>025004548</v>
          </cell>
          <cell r="Q769" t="str">
            <v>Renewal (30% in 2020)</v>
          </cell>
        </row>
        <row r="770">
          <cell r="P770" t="str">
            <v>016000288</v>
          </cell>
          <cell r="Q770" t="str">
            <v>Renewal (20% in 2020)</v>
          </cell>
        </row>
        <row r="771">
          <cell r="P771" t="str">
            <v>055014969</v>
          </cell>
          <cell r="Q771" t="str">
            <v>New Contract</v>
          </cell>
        </row>
        <row r="772">
          <cell r="P772" t="str">
            <v>051003355</v>
          </cell>
          <cell r="Q772" t="str">
            <v>New Contract</v>
          </cell>
        </row>
        <row r="773">
          <cell r="P773" t="str">
            <v>079156830</v>
          </cell>
          <cell r="Q773" t="str">
            <v>Renewal (30% in 2020)</v>
          </cell>
        </row>
        <row r="774">
          <cell r="P774" t="str">
            <v>086011579</v>
          </cell>
          <cell r="Q774" t="str">
            <v>Renewal (15% in 2020)</v>
          </cell>
        </row>
        <row r="775">
          <cell r="P775" t="str">
            <v>018159066</v>
          </cell>
          <cell r="Q775" t="str">
            <v>Renewal (20% in 2020)</v>
          </cell>
        </row>
        <row r="776">
          <cell r="P776" t="str">
            <v>076159501</v>
          </cell>
          <cell r="Q776" t="str">
            <v>Renewal (20% in 2020)</v>
          </cell>
        </row>
        <row r="777">
          <cell r="P777" t="str">
            <v>031154204</v>
          </cell>
          <cell r="Q777" t="str">
            <v>Renewal (20% in 2020)</v>
          </cell>
        </row>
        <row r="778">
          <cell r="P778" t="str">
            <v>052012030</v>
          </cell>
          <cell r="Q778" t="str">
            <v>Renewal (20% in 2020)</v>
          </cell>
        </row>
        <row r="779">
          <cell r="P779" t="str">
            <v>055014063</v>
          </cell>
          <cell r="Q779" t="str">
            <v>Renewal (20% in 2020)</v>
          </cell>
        </row>
        <row r="780">
          <cell r="P780" t="str">
            <v>017001616</v>
          </cell>
          <cell r="Q780" t="str">
            <v>Renewal (30% in 2020)</v>
          </cell>
        </row>
        <row r="781">
          <cell r="P781" t="str">
            <v>024016472</v>
          </cell>
          <cell r="Q781" t="str">
            <v>Renewal (15% in 2020)</v>
          </cell>
        </row>
        <row r="782">
          <cell r="P782" t="str">
            <v>016161569</v>
          </cell>
          <cell r="Q782" t="str">
            <v>Renewal (15% in 2020)</v>
          </cell>
        </row>
        <row r="783">
          <cell r="P783" t="str">
            <v>055010793</v>
          </cell>
          <cell r="Q783" t="str">
            <v>Renewal (30% in 2020)</v>
          </cell>
        </row>
        <row r="784">
          <cell r="P784" t="str">
            <v>090002336</v>
          </cell>
          <cell r="Q784" t="str">
            <v>Renewal (15% in 2020)</v>
          </cell>
        </row>
        <row r="785">
          <cell r="P785" t="str">
            <v>079154260</v>
          </cell>
          <cell r="Q785" t="str">
            <v>Renewal (15% in 2020)</v>
          </cell>
        </row>
        <row r="786">
          <cell r="P786" t="str">
            <v>016166361</v>
          </cell>
          <cell r="Q786" t="str">
            <v>Renewal (15% in 2020)</v>
          </cell>
        </row>
        <row r="787">
          <cell r="P787" t="str">
            <v>079010868</v>
          </cell>
          <cell r="Q787" t="str">
            <v>Renewal (30% in 2020)</v>
          </cell>
        </row>
        <row r="788">
          <cell r="P788" t="str">
            <v>027001432</v>
          </cell>
          <cell r="Q788" t="str">
            <v>Renewal (15% in 2020)</v>
          </cell>
        </row>
        <row r="789">
          <cell r="P789" t="str">
            <v>055014209</v>
          </cell>
          <cell r="Q789" t="str">
            <v>Renewal (20% in 2020)</v>
          </cell>
        </row>
        <row r="790">
          <cell r="P790" t="str">
            <v>054014957</v>
          </cell>
          <cell r="Q790" t="str">
            <v>Renewal (15% in 2020)</v>
          </cell>
        </row>
        <row r="791">
          <cell r="P791" t="str">
            <v>021158821</v>
          </cell>
          <cell r="Q791" t="str">
            <v>New Contract</v>
          </cell>
        </row>
        <row r="792">
          <cell r="P792" t="str">
            <v>016155336</v>
          </cell>
          <cell r="Q792" t="str">
            <v>Renewal (20% in 2020)</v>
          </cell>
        </row>
        <row r="793">
          <cell r="P793" t="str">
            <v>039000087</v>
          </cell>
          <cell r="Q793" t="str">
            <v>Renewal (20% in 2020)</v>
          </cell>
        </row>
        <row r="794">
          <cell r="P794" t="str">
            <v>027160905</v>
          </cell>
          <cell r="Q794" t="str">
            <v>Renewal (30% in 2020)</v>
          </cell>
        </row>
        <row r="795">
          <cell r="P795" t="str">
            <v>027160905</v>
          </cell>
          <cell r="Q795" t="str">
            <v>Renewal (30% in 2020)</v>
          </cell>
        </row>
        <row r="796">
          <cell r="P796" t="str">
            <v>055001751</v>
          </cell>
          <cell r="Q796" t="str">
            <v>Renewal (20% in 2020)</v>
          </cell>
        </row>
        <row r="797">
          <cell r="P797" t="str">
            <v>052011822</v>
          </cell>
          <cell r="Q797" t="str">
            <v>Renewal (20% in 2020)</v>
          </cell>
        </row>
        <row r="798">
          <cell r="P798" t="str">
            <v>016004237</v>
          </cell>
          <cell r="Q798" t="str">
            <v>Renewal (20% in 2020)</v>
          </cell>
        </row>
        <row r="799">
          <cell r="P799" t="str">
            <v>016156596</v>
          </cell>
          <cell r="Q799" t="str">
            <v>Renewal (20% in 2020)</v>
          </cell>
        </row>
        <row r="800">
          <cell r="P800" t="str">
            <v>016156596</v>
          </cell>
          <cell r="Q800" t="str">
            <v>Renewal (20% in 2020)</v>
          </cell>
        </row>
        <row r="801">
          <cell r="P801" t="str">
            <v>017165554</v>
          </cell>
          <cell r="Q801" t="str">
            <v>Renewal (15% in 2020)</v>
          </cell>
        </row>
        <row r="802">
          <cell r="P802" t="str">
            <v>016004170</v>
          </cell>
          <cell r="Q802" t="str">
            <v>Renewal (20% in 2020)</v>
          </cell>
        </row>
        <row r="803">
          <cell r="P803" t="str">
            <v>039005906</v>
          </cell>
          <cell r="Q803" t="str">
            <v>Renewal (15% in 2020)</v>
          </cell>
        </row>
        <row r="804">
          <cell r="P804" t="str">
            <v>055015382</v>
          </cell>
          <cell r="Q804" t="str">
            <v>New Contract</v>
          </cell>
        </row>
        <row r="805">
          <cell r="P805" t="str">
            <v>052013482</v>
          </cell>
          <cell r="Q805" t="str">
            <v>Renewal (20% in 2020)</v>
          </cell>
        </row>
        <row r="806">
          <cell r="P806" t="str">
            <v>031156132</v>
          </cell>
          <cell r="Q806" t="str">
            <v>Renewal (15% in 2020)</v>
          </cell>
        </row>
        <row r="807">
          <cell r="P807" t="str">
            <v>016163910</v>
          </cell>
          <cell r="Q807" t="str">
            <v>New Contract</v>
          </cell>
        </row>
        <row r="808">
          <cell r="P808" t="str">
            <v>052008382</v>
          </cell>
          <cell r="Q808" t="str">
            <v>Renewal (20% in 2020)</v>
          </cell>
        </row>
        <row r="809">
          <cell r="P809" t="str">
            <v>017167587</v>
          </cell>
          <cell r="Q809" t="str">
            <v>Renewal (15% in 2020)</v>
          </cell>
        </row>
        <row r="810">
          <cell r="P810" t="str">
            <v>058020803</v>
          </cell>
          <cell r="Q810" t="str">
            <v>Renewal (25% in 2020)</v>
          </cell>
        </row>
        <row r="811">
          <cell r="P811" t="str">
            <v>017000900</v>
          </cell>
          <cell r="Q811" t="str">
            <v>Renewal (25% in 2020)</v>
          </cell>
        </row>
        <row r="812">
          <cell r="P812" t="str">
            <v>037160692</v>
          </cell>
          <cell r="Q812" t="str">
            <v>Renewal (25% in 2020)</v>
          </cell>
        </row>
        <row r="813">
          <cell r="P813" t="str">
            <v>016013619</v>
          </cell>
          <cell r="Q813" t="str">
            <v>Renewal (20% in 2020)</v>
          </cell>
        </row>
        <row r="814">
          <cell r="P814" t="str">
            <v>055002386</v>
          </cell>
          <cell r="Q814" t="str">
            <v>Renewal (30% in 2020)</v>
          </cell>
        </row>
        <row r="815">
          <cell r="P815" t="str">
            <v>079157265</v>
          </cell>
          <cell r="Q815" t="str">
            <v>Renewal (25% in 2020)</v>
          </cell>
        </row>
        <row r="816">
          <cell r="P816" t="str">
            <v>055014072</v>
          </cell>
          <cell r="Q816" t="str">
            <v>Renewal (30% in 2020)</v>
          </cell>
        </row>
        <row r="817">
          <cell r="P817" t="str">
            <v>027157599</v>
          </cell>
          <cell r="Q817" t="str">
            <v>Renewal (25% in 2020)</v>
          </cell>
        </row>
        <row r="818">
          <cell r="P818" t="str">
            <v>021004588</v>
          </cell>
          <cell r="Q818" t="str">
            <v>New Contract</v>
          </cell>
        </row>
        <row r="819">
          <cell r="P819" t="str">
            <v>086162438</v>
          </cell>
          <cell r="Q819" t="str">
            <v>Renewal (15% in 2020)</v>
          </cell>
        </row>
        <row r="820">
          <cell r="P820" t="str">
            <v>016165184</v>
          </cell>
          <cell r="Q820" t="str">
            <v>Renewal (20% in 2020)</v>
          </cell>
        </row>
        <row r="821">
          <cell r="P821" t="str">
            <v>031158750</v>
          </cell>
          <cell r="Q821" t="str">
            <v>Renewal (25% in 2020)</v>
          </cell>
        </row>
        <row r="822">
          <cell r="P822" t="str">
            <v>031013486</v>
          </cell>
          <cell r="Q822" t="str">
            <v>New contract</v>
          </cell>
        </row>
        <row r="823">
          <cell r="P823" t="str">
            <v>016163338</v>
          </cell>
          <cell r="Q823" t="str">
            <v>New contract</v>
          </cell>
        </row>
        <row r="824">
          <cell r="P824" t="str">
            <v>086162366</v>
          </cell>
          <cell r="Q824" t="str">
            <v>Renewal (15% in 2020)</v>
          </cell>
        </row>
        <row r="825">
          <cell r="P825" t="str">
            <v>032018547</v>
          </cell>
          <cell r="Q825" t="str">
            <v>Renewal (15% in 2020)</v>
          </cell>
        </row>
        <row r="826">
          <cell r="P826" t="str">
            <v>017013121</v>
          </cell>
          <cell r="Q826" t="str">
            <v>Renewal (25% in 2020)</v>
          </cell>
        </row>
        <row r="827">
          <cell r="P827" t="str">
            <v>031156755</v>
          </cell>
          <cell r="Q827" t="str">
            <v>Renewal (15% in 2020)</v>
          </cell>
        </row>
        <row r="828">
          <cell r="P828" t="str">
            <v>079159324</v>
          </cell>
          <cell r="Q828" t="str">
            <v>Renewal (25% in 2020)</v>
          </cell>
        </row>
        <row r="829">
          <cell r="P829" t="str">
            <v>017165825</v>
          </cell>
          <cell r="Q829" t="str">
            <v>New contract</v>
          </cell>
        </row>
        <row r="830">
          <cell r="P830" t="str">
            <v>028158936</v>
          </cell>
          <cell r="Q830" t="str">
            <v>New contract</v>
          </cell>
        </row>
        <row r="831">
          <cell r="P831" t="str">
            <v>016161627</v>
          </cell>
          <cell r="Q831" t="str">
            <v>New contract</v>
          </cell>
        </row>
        <row r="832">
          <cell r="P832" t="str">
            <v>021159558</v>
          </cell>
          <cell r="Q832" t="str">
            <v>New contract</v>
          </cell>
        </row>
        <row r="833">
          <cell r="P833" t="str">
            <v>086164562</v>
          </cell>
          <cell r="Q833" t="str">
            <v>Renewal (30% in 2020)</v>
          </cell>
        </row>
        <row r="834">
          <cell r="P834" t="str">
            <v>021215711</v>
          </cell>
          <cell r="Q834" t="str">
            <v>New contract</v>
          </cell>
        </row>
        <row r="835">
          <cell r="P835" t="str">
            <v>086163766</v>
          </cell>
          <cell r="Q835" t="str">
            <v>Renewal (15% in 2020)</v>
          </cell>
        </row>
        <row r="836">
          <cell r="P836" t="str">
            <v>032165759</v>
          </cell>
          <cell r="Q836" t="str">
            <v>New contract</v>
          </cell>
        </row>
        <row r="837">
          <cell r="P837" t="str">
            <v>016158858</v>
          </cell>
          <cell r="Q837" t="str">
            <v>Renewal (15% in 2020)</v>
          </cell>
        </row>
        <row r="838">
          <cell r="P838" t="str">
            <v>016158858</v>
          </cell>
          <cell r="Q838" t="str">
            <v>Renewal (15% in 2020)</v>
          </cell>
        </row>
        <row r="839">
          <cell r="P839" t="str">
            <v>023018466</v>
          </cell>
          <cell r="Q839" t="str">
            <v>New contract</v>
          </cell>
        </row>
        <row r="840">
          <cell r="P840" t="str">
            <v>086162764</v>
          </cell>
          <cell r="Q840" t="str">
            <v>Renewal (20% in 2020)</v>
          </cell>
        </row>
        <row r="841">
          <cell r="P841" t="str">
            <v>032000144</v>
          </cell>
          <cell r="Q841" t="str">
            <v>Renewal (20% in 2020)</v>
          </cell>
        </row>
        <row r="842">
          <cell r="P842" t="str">
            <v>089163802</v>
          </cell>
          <cell r="Q842" t="str">
            <v>New contract</v>
          </cell>
        </row>
        <row r="843">
          <cell r="P843" t="str">
            <v>016005748</v>
          </cell>
          <cell r="Q843" t="str">
            <v>Renewal (30% in 2020)</v>
          </cell>
        </row>
        <row r="844">
          <cell r="P844" t="str">
            <v>021010669</v>
          </cell>
          <cell r="Q844" t="str">
            <v>New contract</v>
          </cell>
        </row>
        <row r="845">
          <cell r="P845" t="str">
            <v>036158824</v>
          </cell>
          <cell r="Q845" t="str">
            <v>Renewal (20% in 2020)</v>
          </cell>
        </row>
        <row r="846">
          <cell r="P846" t="str">
            <v>055012166</v>
          </cell>
          <cell r="Q846" t="str">
            <v>Renewal (30% in 2020)</v>
          </cell>
        </row>
        <row r="847">
          <cell r="P847" t="str">
            <v>036161341</v>
          </cell>
          <cell r="Q847" t="str">
            <v>Renewal (25% in 2020)</v>
          </cell>
        </row>
        <row r="848">
          <cell r="P848" t="str">
            <v>021007599</v>
          </cell>
          <cell r="Q848" t="str">
            <v>New Contract</v>
          </cell>
        </row>
        <row r="849">
          <cell r="P849" t="str">
            <v>086164215</v>
          </cell>
          <cell r="Q849" t="str">
            <v>Renewal (30% in 2020)</v>
          </cell>
        </row>
        <row r="850">
          <cell r="P850" t="str">
            <v>076166020</v>
          </cell>
          <cell r="Q850" t="str">
            <v>Renewal (30% in 2020)</v>
          </cell>
        </row>
        <row r="851">
          <cell r="P851" t="str">
            <v>055014151</v>
          </cell>
          <cell r="Q851" t="str">
            <v>New Contract</v>
          </cell>
        </row>
        <row r="852">
          <cell r="P852" t="str">
            <v>016156350</v>
          </cell>
          <cell r="Q852" t="str">
            <v>Renewal (15% in 2020)</v>
          </cell>
        </row>
        <row r="853">
          <cell r="P853" t="str">
            <v>031158220</v>
          </cell>
          <cell r="Q853" t="str">
            <v>Renewal (15% in 2020)</v>
          </cell>
        </row>
        <row r="854">
          <cell r="P854" t="str">
            <v>018155781</v>
          </cell>
          <cell r="Q854" t="str">
            <v>Renewal (25% in 2020)</v>
          </cell>
        </row>
        <row r="855">
          <cell r="P855" t="str">
            <v>086164747</v>
          </cell>
          <cell r="Q855" t="str">
            <v>Renewal (15% in 2020)</v>
          </cell>
        </row>
        <row r="856">
          <cell r="P856" t="str">
            <v>031159941</v>
          </cell>
          <cell r="Q856" t="str">
            <v>New Contract</v>
          </cell>
        </row>
        <row r="857">
          <cell r="P857" t="str">
            <v>031014696</v>
          </cell>
          <cell r="Q857" t="str">
            <v>New Contract</v>
          </cell>
        </row>
        <row r="858">
          <cell r="P858" t="str">
            <v>016156840</v>
          </cell>
          <cell r="Q858" t="str">
            <v>New contract</v>
          </cell>
        </row>
        <row r="859">
          <cell r="P859" t="str">
            <v>040174024</v>
          </cell>
          <cell r="Q859" t="str">
            <v>Renewal (20% in 2020)</v>
          </cell>
        </row>
        <row r="860">
          <cell r="P860" t="str">
            <v>024034120</v>
          </cell>
          <cell r="Q860" t="str">
            <v>Renewal (30% in 2020)</v>
          </cell>
        </row>
        <row r="861">
          <cell r="P861" t="str">
            <v>070012287</v>
          </cell>
          <cell r="Q861" t="str">
            <v>Renewal (20% in 2020)</v>
          </cell>
        </row>
        <row r="862">
          <cell r="P862" t="str">
            <v>076162201</v>
          </cell>
          <cell r="Q862" t="str">
            <v>Renewal (30% in 2020)</v>
          </cell>
        </row>
        <row r="863">
          <cell r="P863" t="str">
            <v>031157929</v>
          </cell>
          <cell r="Q863" t="str">
            <v>New Contract</v>
          </cell>
        </row>
        <row r="864">
          <cell r="P864" t="str">
            <v>003024733</v>
          </cell>
          <cell r="Q864" t="str">
            <v>Renewal (20% in 2020)</v>
          </cell>
        </row>
        <row r="865">
          <cell r="P865" t="str">
            <v>032018870</v>
          </cell>
          <cell r="Q865" t="str">
            <v>Renewal (15% in 2020)</v>
          </cell>
        </row>
        <row r="866">
          <cell r="P866" t="str">
            <v>079011702</v>
          </cell>
          <cell r="Q866" t="str">
            <v>Renewal (25% in 2020)</v>
          </cell>
        </row>
        <row r="867">
          <cell r="P867" t="str">
            <v>086160247</v>
          </cell>
          <cell r="Q867" t="str">
            <v>Renewal (25% in 2020)</v>
          </cell>
        </row>
        <row r="868">
          <cell r="P868" t="str">
            <v>024025570</v>
          </cell>
          <cell r="Q868" t="str">
            <v>Renewal (20% in 2020)</v>
          </cell>
        </row>
        <row r="869">
          <cell r="P869" t="str">
            <v>021158193</v>
          </cell>
          <cell r="Q869" t="str">
            <v>New Contract</v>
          </cell>
        </row>
        <row r="870">
          <cell r="P870" t="str">
            <v>032158772</v>
          </cell>
          <cell r="Q870" t="str">
            <v>Renewal (15% in 2020)</v>
          </cell>
        </row>
        <row r="871">
          <cell r="P871" t="str">
            <v>086160754</v>
          </cell>
          <cell r="Q871" t="str">
            <v>Renewal (15% in 2020)</v>
          </cell>
        </row>
        <row r="872">
          <cell r="P872" t="str">
            <v>016161998</v>
          </cell>
          <cell r="Q872" t="str">
            <v>Renewal (20% in 2020)</v>
          </cell>
        </row>
        <row r="873">
          <cell r="P873" t="str">
            <v>089008505</v>
          </cell>
          <cell r="Q873" t="str">
            <v>New Contract</v>
          </cell>
        </row>
        <row r="874">
          <cell r="P874" t="str">
            <v>016161683</v>
          </cell>
          <cell r="Q874" t="str">
            <v>Renewal (25% in 2020)</v>
          </cell>
        </row>
        <row r="875">
          <cell r="P875" t="str">
            <v>027158907</v>
          </cell>
          <cell r="Q875" t="str">
            <v>Renewal (20% in 2020)</v>
          </cell>
        </row>
        <row r="876">
          <cell r="P876" t="str">
            <v>045013432</v>
          </cell>
          <cell r="Q876" t="str">
            <v>Renewal (25% in 2020)</v>
          </cell>
        </row>
        <row r="877">
          <cell r="P877" t="str">
            <v>060005043</v>
          </cell>
          <cell r="Q877" t="str">
            <v>Renewal (20% in 2020)</v>
          </cell>
        </row>
        <row r="878">
          <cell r="P878" t="str">
            <v>024029820</v>
          </cell>
          <cell r="Q878" t="str">
            <v>Renewal (15% in 2020)</v>
          </cell>
        </row>
        <row r="879">
          <cell r="P879" t="str">
            <v>058017974</v>
          </cell>
          <cell r="Q879" t="str">
            <v>Renewal (25% in 2020)</v>
          </cell>
        </row>
        <row r="880">
          <cell r="P880" t="str">
            <v>031013490</v>
          </cell>
          <cell r="Q880" t="str">
            <v>Renewal (15% in 2020)</v>
          </cell>
        </row>
        <row r="881">
          <cell r="P881" t="str">
            <v>039005970</v>
          </cell>
          <cell r="Q881" t="str">
            <v>Renewal (20% in 2020)</v>
          </cell>
        </row>
        <row r="882">
          <cell r="P882" t="str">
            <v>086163965</v>
          </cell>
          <cell r="Q882" t="str">
            <v>Renewal (15% in 2020)</v>
          </cell>
        </row>
        <row r="883">
          <cell r="P883" t="str">
            <v>086015849</v>
          </cell>
          <cell r="Q883" t="str">
            <v>Renewal (20% in 2020)</v>
          </cell>
        </row>
        <row r="884">
          <cell r="P884" t="str">
            <v>024037169</v>
          </cell>
          <cell r="Q884" t="str">
            <v>Renewal (20% in 2020)</v>
          </cell>
        </row>
        <row r="885">
          <cell r="P885" t="str">
            <v>025019383</v>
          </cell>
          <cell r="Q885" t="str">
            <v>Renewal (15% in 2020)</v>
          </cell>
        </row>
        <row r="886">
          <cell r="P886" t="str">
            <v>089153143</v>
          </cell>
          <cell r="Q886" t="str">
            <v>New Contract</v>
          </cell>
        </row>
        <row r="887">
          <cell r="P887" t="str">
            <v>002161067</v>
          </cell>
          <cell r="Q887" t="str">
            <v>Renewal (20% in 2020)</v>
          </cell>
        </row>
        <row r="888">
          <cell r="P888" t="str">
            <v>086163461</v>
          </cell>
          <cell r="Q888" t="str">
            <v>Renewal (20% in 2020)</v>
          </cell>
        </row>
        <row r="889">
          <cell r="P889" t="str">
            <v>054013957</v>
          </cell>
          <cell r="Q889" t="str">
            <v>Renewal (25% in 2020)</v>
          </cell>
        </row>
        <row r="890">
          <cell r="P890" t="str">
            <v>054014264</v>
          </cell>
          <cell r="Q890" t="str">
            <v>Renewal (25% in 2020)</v>
          </cell>
        </row>
        <row r="891">
          <cell r="P891" t="str">
            <v>070002244</v>
          </cell>
          <cell r="Q891" t="str">
            <v>Renewal (15% in 2020)</v>
          </cell>
        </row>
        <row r="892">
          <cell r="P892" t="str">
            <v>016166770</v>
          </cell>
          <cell r="Q892" t="str">
            <v>Renewal (30% in 2020)</v>
          </cell>
        </row>
        <row r="893">
          <cell r="P893" t="str">
            <v>055013725</v>
          </cell>
          <cell r="Q893" t="str">
            <v>New Contract</v>
          </cell>
        </row>
        <row r="894">
          <cell r="P894" t="str">
            <v>039154371</v>
          </cell>
          <cell r="Q894" t="str">
            <v>Renewal (30% in 2020)</v>
          </cell>
        </row>
        <row r="895">
          <cell r="P895" t="str">
            <v>086162955</v>
          </cell>
          <cell r="Q895" t="str">
            <v>Renewal (20% in 2020)</v>
          </cell>
        </row>
        <row r="896">
          <cell r="P896" t="str">
            <v>079014953</v>
          </cell>
          <cell r="Q896" t="str">
            <v>Renewal (30% in 2020)</v>
          </cell>
        </row>
        <row r="897">
          <cell r="P897" t="str">
            <v>060151050</v>
          </cell>
          <cell r="Q897" t="str">
            <v>Renewal (20% in 2020)</v>
          </cell>
        </row>
        <row r="898">
          <cell r="P898" t="str">
            <v>086164080</v>
          </cell>
          <cell r="Q898" t="str">
            <v>Renewal (15% in 2020)</v>
          </cell>
        </row>
        <row r="899">
          <cell r="P899" t="str">
            <v>086164080</v>
          </cell>
          <cell r="Q899" t="str">
            <v>Renewal (15% in 2020)</v>
          </cell>
        </row>
        <row r="900">
          <cell r="P900" t="str">
            <v>039155337</v>
          </cell>
          <cell r="Q900" t="str">
            <v>Renewal (15% in 2020)</v>
          </cell>
        </row>
        <row r="901">
          <cell r="P901" t="str">
            <v>016160396</v>
          </cell>
          <cell r="Q901" t="str">
            <v>Renewal (15% in 2020)</v>
          </cell>
        </row>
        <row r="902">
          <cell r="P902" t="str">
            <v>086015908</v>
          </cell>
          <cell r="Q902" t="str">
            <v>Renewal (15% in 2020)</v>
          </cell>
        </row>
        <row r="903">
          <cell r="P903" t="str">
            <v>016164016</v>
          </cell>
          <cell r="Q903" t="str">
            <v>Renewal (15% in 2020)</v>
          </cell>
        </row>
        <row r="904">
          <cell r="P904" t="str">
            <v>079152504</v>
          </cell>
          <cell r="Q904" t="str">
            <v>Renewal (15% in 2020)</v>
          </cell>
        </row>
        <row r="905">
          <cell r="P905" t="str">
            <v>055008404</v>
          </cell>
          <cell r="Q905" t="str">
            <v>New Contract</v>
          </cell>
        </row>
        <row r="906">
          <cell r="P906" t="str">
            <v>016158988</v>
          </cell>
          <cell r="Q906" t="str">
            <v>New Contract</v>
          </cell>
        </row>
        <row r="907">
          <cell r="P907" t="str">
            <v>016010085</v>
          </cell>
          <cell r="Q907" t="str">
            <v>Renewal (15% in 2020)</v>
          </cell>
        </row>
        <row r="908">
          <cell r="P908" t="str">
            <v>055001407</v>
          </cell>
          <cell r="Q908" t="str">
            <v>Renewal (15% in 2020)</v>
          </cell>
        </row>
        <row r="909">
          <cell r="P909" t="str">
            <v>024037183</v>
          </cell>
          <cell r="Q909" t="str">
            <v>Renewal (15% in 2020)</v>
          </cell>
        </row>
        <row r="910">
          <cell r="P910" t="str">
            <v>082006318</v>
          </cell>
          <cell r="Q910" t="str">
            <v>New Contract</v>
          </cell>
        </row>
        <row r="911">
          <cell r="P911" t="str">
            <v>079006390</v>
          </cell>
          <cell r="Q911" t="str">
            <v>Renewal (15% in 2020)</v>
          </cell>
        </row>
        <row r="912">
          <cell r="P912" t="str">
            <v>016164519</v>
          </cell>
          <cell r="Q912" t="str">
            <v>Renewal (15% in 2020)</v>
          </cell>
        </row>
        <row r="913">
          <cell r="P913" t="str">
            <v>031157298</v>
          </cell>
          <cell r="Q913" t="str">
            <v>New Contract</v>
          </cell>
        </row>
        <row r="914">
          <cell r="P914" t="str">
            <v>017155551</v>
          </cell>
          <cell r="Q914" t="str">
            <v>New Contract</v>
          </cell>
        </row>
        <row r="915">
          <cell r="P915" t="str">
            <v>031152889</v>
          </cell>
          <cell r="Q915" t="str">
            <v>Renewal (25% in 2020)</v>
          </cell>
        </row>
        <row r="916">
          <cell r="P916" t="str">
            <v>021010420</v>
          </cell>
          <cell r="Q916" t="str">
            <v>New Contract</v>
          </cell>
        </row>
        <row r="917">
          <cell r="P917" t="str">
            <v>021007346</v>
          </cell>
          <cell r="Q917" t="str">
            <v>New Contract</v>
          </cell>
        </row>
        <row r="918">
          <cell r="P918" t="str">
            <v>031152802</v>
          </cell>
          <cell r="Q918" t="str">
            <v>New Contract</v>
          </cell>
        </row>
        <row r="919">
          <cell r="P919" t="str">
            <v>071012053</v>
          </cell>
          <cell r="Q919" t="str">
            <v>Renewal (25% in 2020)</v>
          </cell>
        </row>
        <row r="920">
          <cell r="P920" t="str">
            <v>021156021</v>
          </cell>
          <cell r="Q920" t="str">
            <v>New Contract</v>
          </cell>
        </row>
        <row r="921">
          <cell r="P921" t="str">
            <v>079160254</v>
          </cell>
          <cell r="Q921" t="str">
            <v>Renewal (30% in 2020)</v>
          </cell>
        </row>
        <row r="922">
          <cell r="P922" t="str">
            <v>070009448</v>
          </cell>
          <cell r="Q922" t="str">
            <v>New Contract</v>
          </cell>
        </row>
        <row r="923">
          <cell r="P923" t="str">
            <v>017168112</v>
          </cell>
          <cell r="Q923" t="str">
            <v>Renewal (25% in 2020)</v>
          </cell>
        </row>
        <row r="924">
          <cell r="P924" t="str">
            <v>016165607</v>
          </cell>
          <cell r="Q924" t="str">
            <v>New Contract</v>
          </cell>
        </row>
        <row r="925">
          <cell r="P925" t="str">
            <v>031006096</v>
          </cell>
          <cell r="Q925" t="str">
            <v>Renewal (15% in 2020)</v>
          </cell>
        </row>
        <row r="926">
          <cell r="P926" t="str">
            <v>016160062</v>
          </cell>
          <cell r="Q926" t="str">
            <v>New Contract</v>
          </cell>
        </row>
        <row r="927">
          <cell r="P927" t="str">
            <v>058020343</v>
          </cell>
          <cell r="Q927" t="str">
            <v>Renewal (25% in 2020)</v>
          </cell>
        </row>
        <row r="928">
          <cell r="P928" t="str">
            <v>058020343</v>
          </cell>
          <cell r="Q928" t="str">
            <v>Renewal (25% in 2020)</v>
          </cell>
        </row>
        <row r="929">
          <cell r="P929" t="str">
            <v>017166886</v>
          </cell>
          <cell r="Q929" t="str">
            <v>Renewal (25% in 2020)</v>
          </cell>
        </row>
        <row r="930">
          <cell r="P930" t="str">
            <v>086015667</v>
          </cell>
          <cell r="Q930" t="str">
            <v>Renewal (15% in 2020)</v>
          </cell>
        </row>
        <row r="931">
          <cell r="P931" t="str">
            <v>079156259</v>
          </cell>
          <cell r="Q931" t="str">
            <v>Renewal (30% in 2020)</v>
          </cell>
        </row>
        <row r="932">
          <cell r="P932" t="str">
            <v>086006822</v>
          </cell>
          <cell r="Q932" t="str">
            <v>Renewal (15% in 2020)</v>
          </cell>
        </row>
        <row r="933">
          <cell r="P933" t="str">
            <v>041002956</v>
          </cell>
          <cell r="Q933" t="str">
            <v>Renewal (25% in 2020)</v>
          </cell>
        </row>
        <row r="934">
          <cell r="P934" t="str">
            <v>017162750</v>
          </cell>
          <cell r="Q934" t="str">
            <v>Renewal (15% in 2020)</v>
          </cell>
        </row>
        <row r="935">
          <cell r="P935" t="str">
            <v>065154825</v>
          </cell>
          <cell r="Q935" t="str">
            <v>Renewal (20% in 2020)</v>
          </cell>
        </row>
        <row r="936">
          <cell r="P936" t="str">
            <v>071161077</v>
          </cell>
          <cell r="Q936" t="str">
            <v>Renewal (25% in 2020)</v>
          </cell>
        </row>
        <row r="937">
          <cell r="P937" t="str">
            <v>039152062</v>
          </cell>
          <cell r="Q937" t="str">
            <v>Renewal (15% in 2020)</v>
          </cell>
        </row>
        <row r="938">
          <cell r="P938" t="str">
            <v>055014826</v>
          </cell>
          <cell r="Q938" t="str">
            <v>Renewal (15% in 2020)</v>
          </cell>
        </row>
        <row r="939">
          <cell r="P939" t="str">
            <v>017166281</v>
          </cell>
          <cell r="Q939" t="str">
            <v>Renewal (30% in 2020)</v>
          </cell>
        </row>
        <row r="940">
          <cell r="P940" t="str">
            <v>017161949</v>
          </cell>
          <cell r="Q940" t="str">
            <v>Renewal (25% in 2020)</v>
          </cell>
        </row>
        <row r="941">
          <cell r="P941" t="str">
            <v>016003683</v>
          </cell>
          <cell r="Q941" t="str">
            <v>Renewal (15% in 2020)</v>
          </cell>
        </row>
        <row r="942">
          <cell r="P942" t="str">
            <v>079020336</v>
          </cell>
          <cell r="Q942" t="str">
            <v>Renewal (20% in 2020)</v>
          </cell>
        </row>
        <row r="943">
          <cell r="P943" t="str">
            <v>016005423</v>
          </cell>
          <cell r="Q943" t="str">
            <v>Renewal (15% in 2020)</v>
          </cell>
        </row>
        <row r="944">
          <cell r="P944" t="str">
            <v>016156461</v>
          </cell>
          <cell r="Q944" t="str">
            <v>Renewal (25% in 2020)</v>
          </cell>
        </row>
        <row r="945">
          <cell r="P945" t="str">
            <v>017155498</v>
          </cell>
          <cell r="Q945" t="str">
            <v>Renewal (20% in 2020)</v>
          </cell>
        </row>
        <row r="946">
          <cell r="P946" t="str">
            <v>037157846</v>
          </cell>
          <cell r="Q946" t="str">
            <v>Renewal (20% in 2020)</v>
          </cell>
        </row>
        <row r="947">
          <cell r="P947" t="str">
            <v>039155070</v>
          </cell>
          <cell r="Q947" t="str">
            <v>Renewal (30% in 2020)</v>
          </cell>
        </row>
        <row r="948">
          <cell r="P948" t="str">
            <v>017163423</v>
          </cell>
          <cell r="Q948" t="str">
            <v>Renewal (20% in 2020)</v>
          </cell>
        </row>
        <row r="949">
          <cell r="P949" t="str">
            <v>017163423</v>
          </cell>
          <cell r="Q949" t="str">
            <v>Renewal (20% in 2020)</v>
          </cell>
        </row>
        <row r="950">
          <cell r="P950" t="str">
            <v>079154631</v>
          </cell>
          <cell r="Q950" t="str">
            <v>Renewal (15% in 2020)</v>
          </cell>
        </row>
        <row r="951">
          <cell r="P951" t="str">
            <v>016160157</v>
          </cell>
          <cell r="Q951" t="str">
            <v>Renewal (20% in 2020)</v>
          </cell>
        </row>
        <row r="952">
          <cell r="P952" t="str">
            <v>028003939</v>
          </cell>
          <cell r="Q952" t="str">
            <v>Renewal (25% in 2020)</v>
          </cell>
        </row>
        <row r="953">
          <cell r="P953" t="str">
            <v>055008323</v>
          </cell>
          <cell r="Q953" t="str">
            <v>Renewal (25% in 2020)</v>
          </cell>
        </row>
        <row r="954">
          <cell r="P954" t="str">
            <v>055015666</v>
          </cell>
          <cell r="Q954" t="str">
            <v>Renewal (15% in 2020)</v>
          </cell>
        </row>
        <row r="955">
          <cell r="P955" t="str">
            <v>086007886</v>
          </cell>
          <cell r="Q955" t="str">
            <v>Renewal (30% in 2020)</v>
          </cell>
        </row>
        <row r="956">
          <cell r="P956" t="str">
            <v>086007886</v>
          </cell>
          <cell r="Q956" t="str">
            <v>Renewal (30% in 2020)</v>
          </cell>
        </row>
        <row r="957">
          <cell r="P957" t="str">
            <v>079160610</v>
          </cell>
          <cell r="Q957" t="str">
            <v>Renewal (20% in 2020)</v>
          </cell>
        </row>
        <row r="958">
          <cell r="P958" t="str">
            <v>016158032</v>
          </cell>
          <cell r="Q958" t="str">
            <v>Renewal (30% in 2020)</v>
          </cell>
        </row>
        <row r="959">
          <cell r="P959" t="str">
            <v>070009117</v>
          </cell>
          <cell r="Q959" t="str">
            <v>Renewal (15% in 2020)</v>
          </cell>
        </row>
        <row r="960">
          <cell r="P960" t="str">
            <v>079152162</v>
          </cell>
          <cell r="Q960" t="str">
            <v>Renewal (30% in 2020)</v>
          </cell>
        </row>
        <row r="961">
          <cell r="P961" t="str">
            <v>086015736</v>
          </cell>
          <cell r="Q961" t="str">
            <v>Renewal (25% in 2020)</v>
          </cell>
        </row>
        <row r="962">
          <cell r="P962" t="str">
            <v>079159629</v>
          </cell>
          <cell r="Q962" t="str">
            <v>Renewal (15% in 2020)</v>
          </cell>
        </row>
        <row r="963">
          <cell r="P963" t="str">
            <v>086161765</v>
          </cell>
          <cell r="Q963" t="str">
            <v>Renewal (25% in 2020)</v>
          </cell>
        </row>
        <row r="964">
          <cell r="P964" t="str">
            <v>021005414</v>
          </cell>
          <cell r="Q964" t="str">
            <v>New Contract</v>
          </cell>
        </row>
        <row r="965">
          <cell r="P965" t="str">
            <v>052012754</v>
          </cell>
          <cell r="Q965" t="str">
            <v>New Contract</v>
          </cell>
        </row>
        <row r="966">
          <cell r="P966" t="str">
            <v>055014044</v>
          </cell>
          <cell r="Q966" t="str">
            <v>New Contract</v>
          </cell>
        </row>
        <row r="967">
          <cell r="P967" t="str">
            <v>055002018</v>
          </cell>
          <cell r="Q967" t="str">
            <v>Renewal (20% in 2020)</v>
          </cell>
        </row>
        <row r="968">
          <cell r="P968" t="str">
            <v>079012000</v>
          </cell>
          <cell r="Q968" t="str">
            <v>Renewal (30% in 2020)</v>
          </cell>
        </row>
        <row r="969">
          <cell r="P969" t="str">
            <v>079159678</v>
          </cell>
          <cell r="Q969" t="str">
            <v>Renewal (30% in 2020)</v>
          </cell>
        </row>
        <row r="970">
          <cell r="P970" t="str">
            <v>079014119</v>
          </cell>
          <cell r="Q970" t="str">
            <v>New Contract</v>
          </cell>
        </row>
        <row r="971">
          <cell r="P971" t="str">
            <v>016166828</v>
          </cell>
          <cell r="Q971" t="str">
            <v>Renewal (20% in 2020)</v>
          </cell>
        </row>
        <row r="972">
          <cell r="P972" t="str">
            <v>079159180</v>
          </cell>
          <cell r="Q972" t="str">
            <v>Renewal (20% in 2020)</v>
          </cell>
        </row>
        <row r="973">
          <cell r="P973" t="str">
            <v>089161302</v>
          </cell>
          <cell r="Q973" t="str">
            <v>Renewal (25% in 2020)</v>
          </cell>
        </row>
        <row r="974">
          <cell r="P974" t="str">
            <v>089011252</v>
          </cell>
          <cell r="Q974" t="str">
            <v>Renewal (25% in 2020)</v>
          </cell>
        </row>
        <row r="975">
          <cell r="P975" t="str">
            <v>016003377</v>
          </cell>
          <cell r="Q975" t="str">
            <v>Renewal (25% in 2020)</v>
          </cell>
        </row>
        <row r="976">
          <cell r="P976" t="str">
            <v>078564587</v>
          </cell>
          <cell r="Q976" t="str">
            <v>New Contract</v>
          </cell>
        </row>
        <row r="977">
          <cell r="P977" t="str">
            <v>055014605</v>
          </cell>
          <cell r="Q977" t="str">
            <v>Renewal (30% in 2020)</v>
          </cell>
        </row>
        <row r="978">
          <cell r="P978" t="str">
            <v>021999999</v>
          </cell>
          <cell r="Q978" t="str">
            <v>New Contract</v>
          </cell>
        </row>
        <row r="979">
          <cell r="P979" t="str">
            <v>021157488</v>
          </cell>
          <cell r="Q979" t="str">
            <v>New Contract</v>
          </cell>
        </row>
        <row r="980">
          <cell r="P980" t="str">
            <v>031159300</v>
          </cell>
          <cell r="Q980" t="str">
            <v>Renewal (15% in 2020)</v>
          </cell>
        </row>
        <row r="981">
          <cell r="P981" t="str">
            <v>031157206</v>
          </cell>
          <cell r="Q981" t="str">
            <v>Renewal (15% in 2020)</v>
          </cell>
        </row>
        <row r="982">
          <cell r="P982" t="str">
            <v>017010987</v>
          </cell>
          <cell r="Q982" t="str">
            <v>Renewal (15% in 2020)</v>
          </cell>
        </row>
        <row r="983">
          <cell r="P983" t="str">
            <v>016004953</v>
          </cell>
          <cell r="Q983" t="str">
            <v>Renewal (20% in 2020)</v>
          </cell>
        </row>
        <row r="984">
          <cell r="P984" t="str">
            <v>017156886</v>
          </cell>
          <cell r="Q984" t="str">
            <v>Renewal (15% in 2020)</v>
          </cell>
        </row>
        <row r="985">
          <cell r="P985" t="str">
            <v>017013449</v>
          </cell>
          <cell r="Q985" t="str">
            <v>Renewal (25% in 2020)</v>
          </cell>
        </row>
        <row r="986">
          <cell r="P986" t="str">
            <v>055001569</v>
          </cell>
          <cell r="Q986" t="str">
            <v>Renewal (20% in 2020)</v>
          </cell>
        </row>
        <row r="987">
          <cell r="P987" t="str">
            <v>021161738</v>
          </cell>
          <cell r="Q987" t="str">
            <v>New Contract</v>
          </cell>
        </row>
        <row r="988">
          <cell r="P988" t="str">
            <v>086007053</v>
          </cell>
          <cell r="Q988" t="str">
            <v>Renewal (15% in 2020)</v>
          </cell>
        </row>
        <row r="989">
          <cell r="P989" t="str">
            <v>086015229</v>
          </cell>
          <cell r="Q989" t="str">
            <v>Renewal (15% in 2020)</v>
          </cell>
        </row>
        <row r="990">
          <cell r="P990" t="str">
            <v>016014849</v>
          </cell>
          <cell r="Q990" t="str">
            <v>Renewal (15% in 2020)</v>
          </cell>
        </row>
        <row r="991">
          <cell r="P991" t="str">
            <v>021159099</v>
          </cell>
          <cell r="Q991" t="str">
            <v>New Contract</v>
          </cell>
        </row>
        <row r="992">
          <cell r="P992" t="str">
            <v>031156333</v>
          </cell>
          <cell r="Q992" t="str">
            <v>New Contract</v>
          </cell>
        </row>
        <row r="993">
          <cell r="P993" t="str">
            <v>079013062</v>
          </cell>
          <cell r="Q993" t="str">
            <v>Renewal (20% in 2020)</v>
          </cell>
        </row>
        <row r="994">
          <cell r="P994" t="str">
            <v>017166689</v>
          </cell>
          <cell r="Q994" t="str">
            <v>Renewal (20% in 2020)</v>
          </cell>
        </row>
        <row r="995">
          <cell r="P995" t="str">
            <v>055013658</v>
          </cell>
          <cell r="Q995" t="str">
            <v>Renewal (15% in 2020)</v>
          </cell>
        </row>
        <row r="996">
          <cell r="P996" t="str">
            <v>017006833</v>
          </cell>
          <cell r="Q996" t="str">
            <v>Renewal (30% in 2020)</v>
          </cell>
        </row>
        <row r="997">
          <cell r="P997" t="str">
            <v>079014666</v>
          </cell>
          <cell r="Q997" t="str">
            <v>Renewal (15% in 2020)</v>
          </cell>
        </row>
        <row r="998">
          <cell r="P998" t="str">
            <v>031157380</v>
          </cell>
          <cell r="Q998" t="str">
            <v>New Contract</v>
          </cell>
        </row>
        <row r="999">
          <cell r="P999" t="str">
            <v>031159936</v>
          </cell>
          <cell r="Q999" t="str">
            <v>Renewal (15% in 2020)</v>
          </cell>
        </row>
        <row r="1000">
          <cell r="P1000" t="str">
            <v>021159846</v>
          </cell>
          <cell r="Q1000" t="str">
            <v>New Contract</v>
          </cell>
        </row>
        <row r="1001">
          <cell r="P1001" t="str">
            <v>031158370</v>
          </cell>
          <cell r="Q1001" t="str">
            <v>Renewal (15% in 2020)</v>
          </cell>
        </row>
        <row r="1002">
          <cell r="P1002" t="str">
            <v>031155109</v>
          </cell>
          <cell r="Q1002" t="str">
            <v>Renewal (15% in 2020)</v>
          </cell>
        </row>
        <row r="1003">
          <cell r="P1003" t="str">
            <v>052004575</v>
          </cell>
          <cell r="Q1003" t="str">
            <v>Renewal (20% in 2020)</v>
          </cell>
        </row>
        <row r="1004">
          <cell r="P1004" t="str">
            <v>011163042</v>
          </cell>
          <cell r="Q1004" t="str">
            <v>Renewal (25% in 2020)</v>
          </cell>
        </row>
        <row r="1005">
          <cell r="P1005" t="str">
            <v>016166389</v>
          </cell>
          <cell r="Q1005" t="str">
            <v>New Contract</v>
          </cell>
        </row>
        <row r="1006">
          <cell r="P1006" t="str">
            <v>031155909</v>
          </cell>
          <cell r="Q1006" t="str">
            <v>Renewal (15% in 2020)</v>
          </cell>
        </row>
        <row r="1007">
          <cell r="P1007" t="str">
            <v>017006057</v>
          </cell>
          <cell r="Q1007" t="str">
            <v>Renewal (20% in 2020)</v>
          </cell>
        </row>
        <row r="1008">
          <cell r="P1008" t="str">
            <v>017158365</v>
          </cell>
          <cell r="Q1008" t="str">
            <v>Renewal (20% in 2020)</v>
          </cell>
        </row>
        <row r="1009">
          <cell r="P1009" t="str">
            <v>055015825</v>
          </cell>
          <cell r="Q1009" t="str">
            <v>Renewal (15% in 2020)</v>
          </cell>
        </row>
        <row r="1010">
          <cell r="P1010" t="str">
            <v>033175402</v>
          </cell>
          <cell r="Q1010" t="str">
            <v>New Contract</v>
          </cell>
        </row>
        <row r="1011">
          <cell r="P1011" t="str">
            <v>031018265</v>
          </cell>
          <cell r="Q1011" t="str">
            <v>Renewal (15% in 2020)</v>
          </cell>
        </row>
        <row r="1012">
          <cell r="P1012" t="str">
            <v>017165171</v>
          </cell>
          <cell r="Q1012" t="str">
            <v>New Contract</v>
          </cell>
        </row>
        <row r="1013">
          <cell r="P1013" t="str">
            <v>021155404</v>
          </cell>
          <cell r="Q1013" t="str">
            <v>New Contract</v>
          </cell>
        </row>
        <row r="1014">
          <cell r="P1014" t="str">
            <v>036159936</v>
          </cell>
          <cell r="Q1014" t="str">
            <v>Renewal (15% in 2020)</v>
          </cell>
        </row>
        <row r="1015">
          <cell r="P1015" t="str">
            <v>039156570</v>
          </cell>
          <cell r="Q1015" t="str">
            <v>Renewal (30% in 2020)</v>
          </cell>
        </row>
        <row r="1016">
          <cell r="P1016" t="str">
            <v>032011535</v>
          </cell>
          <cell r="Q1016" t="str">
            <v>Renewal (25% in 2020)</v>
          </cell>
        </row>
        <row r="1017">
          <cell r="P1017" t="str">
            <v>039156689</v>
          </cell>
          <cell r="Q1017" t="str">
            <v>New Contract</v>
          </cell>
        </row>
        <row r="1018">
          <cell r="P1018" t="str">
            <v>052005997</v>
          </cell>
          <cell r="Q1018" t="str">
            <v>New Contract</v>
          </cell>
        </row>
        <row r="1019">
          <cell r="P1019" t="str">
            <v>021160429</v>
          </cell>
          <cell r="Q1019" t="str">
            <v>New Contract</v>
          </cell>
        </row>
        <row r="1020">
          <cell r="P1020" t="str">
            <v>017161189</v>
          </cell>
          <cell r="Q1020" t="str">
            <v>Renewal (15% in 2020)</v>
          </cell>
        </row>
        <row r="1021">
          <cell r="P1021" t="str">
            <v>021159430</v>
          </cell>
          <cell r="Q1021" t="str">
            <v>New Contract</v>
          </cell>
        </row>
        <row r="1022">
          <cell r="P1022" t="str">
            <v>082021199</v>
          </cell>
          <cell r="Q1022" t="str">
            <v>New Contract</v>
          </cell>
        </row>
        <row r="1023">
          <cell r="P1023" t="str">
            <v>031155536</v>
          </cell>
          <cell r="Q1023" t="str">
            <v>Renewal (25% in 2020)</v>
          </cell>
        </row>
        <row r="1024">
          <cell r="P1024" t="str">
            <v>079157626</v>
          </cell>
          <cell r="Q1024" t="str">
            <v>Renewal (20% in 2020)</v>
          </cell>
        </row>
        <row r="1025">
          <cell r="P1025" t="str">
            <v>079013544</v>
          </cell>
          <cell r="Q1025" t="str">
            <v>Renewal (20% in 2020)</v>
          </cell>
        </row>
        <row r="1026">
          <cell r="P1026" t="str">
            <v>040156379</v>
          </cell>
          <cell r="Q1026" t="str">
            <v>Renewal (25% in 2020)</v>
          </cell>
        </row>
        <row r="1027">
          <cell r="P1027" t="str">
            <v>086164098</v>
          </cell>
          <cell r="Q1027" t="str">
            <v>Renewal (20% in 2020)</v>
          </cell>
        </row>
        <row r="1028">
          <cell r="P1028" t="str">
            <v>032169114</v>
          </cell>
          <cell r="Q1028" t="str">
            <v>Renewal (15% in 2020)</v>
          </cell>
        </row>
        <row r="1029">
          <cell r="P1029" t="str">
            <v>031158853</v>
          </cell>
          <cell r="Q1029" t="str">
            <v>Renewal (15% in 2020)</v>
          </cell>
        </row>
        <row r="1030">
          <cell r="P1030" t="str">
            <v>027161911</v>
          </cell>
          <cell r="Q1030" t="str">
            <v>Renewal (15% in 2020)</v>
          </cell>
        </row>
        <row r="1031">
          <cell r="P1031" t="str">
            <v>079151335</v>
          </cell>
          <cell r="Q1031" t="str">
            <v>Renewal (20% in 2020)</v>
          </cell>
        </row>
        <row r="1032">
          <cell r="P1032" t="str">
            <v>017162735</v>
          </cell>
          <cell r="Q1032" t="str">
            <v>Renewal (25% in 2020)</v>
          </cell>
        </row>
        <row r="1033">
          <cell r="P1033" t="str">
            <v>086007055</v>
          </cell>
          <cell r="Q1033" t="str">
            <v>Renewal (20% in 2020)</v>
          </cell>
        </row>
        <row r="1034">
          <cell r="P1034" t="str">
            <v>021156401</v>
          </cell>
          <cell r="Q1034" t="str">
            <v>New Contract</v>
          </cell>
        </row>
        <row r="1035">
          <cell r="P1035" t="str">
            <v>086163975</v>
          </cell>
          <cell r="Q1035" t="str">
            <v>Renewal (20% in 2020)</v>
          </cell>
        </row>
        <row r="1036">
          <cell r="P1036" t="str">
            <v>031158368</v>
          </cell>
          <cell r="Q1036" t="str">
            <v>Renewal (15% in 2020)</v>
          </cell>
        </row>
        <row r="1037">
          <cell r="P1037" t="str">
            <v>032000000</v>
          </cell>
          <cell r="Q1037" t="str">
            <v>New Contract</v>
          </cell>
        </row>
        <row r="1038">
          <cell r="P1038" t="str">
            <v>016162366</v>
          </cell>
          <cell r="Q1038" t="str">
            <v>New contract</v>
          </cell>
        </row>
        <row r="1039">
          <cell r="P1039" t="str">
            <v>021158651</v>
          </cell>
          <cell r="Q1039" t="str">
            <v>New contract</v>
          </cell>
        </row>
        <row r="1040">
          <cell r="P1040" t="str">
            <v>024035308</v>
          </cell>
          <cell r="Q1040" t="str">
            <v>New contract</v>
          </cell>
        </row>
        <row r="1041">
          <cell r="P1041" t="str">
            <v>021010772</v>
          </cell>
          <cell r="Q1041" t="str">
            <v>New Contract</v>
          </cell>
        </row>
        <row r="1042">
          <cell r="P1042" t="str">
            <v>017007159</v>
          </cell>
          <cell r="Q1042" t="str">
            <v>New Contract</v>
          </cell>
        </row>
        <row r="1043">
          <cell r="P1043" t="str">
            <v>086163491</v>
          </cell>
          <cell r="Q1043" t="str">
            <v>Renewal (20% in 2020)</v>
          </cell>
        </row>
        <row r="1044">
          <cell r="P1044" t="str">
            <v>091004453</v>
          </cell>
          <cell r="Q1044" t="str">
            <v>Renewal (20% in 2020)</v>
          </cell>
        </row>
        <row r="1045">
          <cell r="P1045" t="str">
            <v>091004453</v>
          </cell>
          <cell r="Q1045" t="str">
            <v>Renewal (20% in 2020)</v>
          </cell>
        </row>
        <row r="1046">
          <cell r="P1046" t="str">
            <v>047172004</v>
          </cell>
          <cell r="Q1046" t="str">
            <v>New Contract</v>
          </cell>
        </row>
        <row r="1047">
          <cell r="P1047" t="str">
            <v>086160733</v>
          </cell>
          <cell r="Q1047" t="str">
            <v>Renewal (20% in 2020)</v>
          </cell>
        </row>
        <row r="1048">
          <cell r="P1048" t="str">
            <v>089156923</v>
          </cell>
          <cell r="Q1048" t="str">
            <v>Renewal (25% in 2020)</v>
          </cell>
        </row>
        <row r="1049">
          <cell r="P1049" t="str">
            <v>016165261</v>
          </cell>
          <cell r="Q1049" t="str">
            <v>Renewal (20% in 2020)</v>
          </cell>
        </row>
        <row r="1050">
          <cell r="P1050" t="str">
            <v>079014164</v>
          </cell>
          <cell r="Q1050" t="str">
            <v>Renewal (15% in 2020)</v>
          </cell>
        </row>
        <row r="1051">
          <cell r="P1051" t="str">
            <v>032168645</v>
          </cell>
          <cell r="Q1051" t="str">
            <v>New contract</v>
          </cell>
        </row>
        <row r="1052">
          <cell r="P1052" t="str">
            <v>086160400</v>
          </cell>
          <cell r="Q1052" t="str">
            <v>Renewal (30% in 2020)</v>
          </cell>
        </row>
        <row r="1053">
          <cell r="P1053" t="str">
            <v>032169445</v>
          </cell>
          <cell r="Q1053" t="str">
            <v>Renewal (25% in 2020)</v>
          </cell>
        </row>
        <row r="1054">
          <cell r="P1054" t="str">
            <v>086158982</v>
          </cell>
          <cell r="Q1054" t="str">
            <v>Renewal (25% in 2020)</v>
          </cell>
        </row>
        <row r="1055">
          <cell r="P1055" t="str">
            <v>031154206</v>
          </cell>
          <cell r="Q1055" t="str">
            <v>New contract</v>
          </cell>
        </row>
        <row r="1056">
          <cell r="P1056" t="str">
            <v>031018298</v>
          </cell>
          <cell r="Q1056" t="str">
            <v>New contract</v>
          </cell>
        </row>
        <row r="1057">
          <cell r="P1057" t="str">
            <v>032019210</v>
          </cell>
          <cell r="Q1057" t="str">
            <v>New contract</v>
          </cell>
        </row>
        <row r="1058">
          <cell r="P1058" t="str">
            <v>021157491</v>
          </cell>
          <cell r="Q1058" t="str">
            <v>New Contract</v>
          </cell>
        </row>
        <row r="1059">
          <cell r="P1059" t="str">
            <v>031152703</v>
          </cell>
          <cell r="Q1059" t="str">
            <v>New Contract</v>
          </cell>
        </row>
        <row r="1060">
          <cell r="P1060" t="str">
            <v>021157798</v>
          </cell>
          <cell r="Q1060" t="str">
            <v>New Contract</v>
          </cell>
        </row>
        <row r="1061">
          <cell r="P1061" t="str">
            <v>016164082</v>
          </cell>
          <cell r="Q1061" t="str">
            <v>Renewal (20% in 2020)</v>
          </cell>
        </row>
        <row r="1062">
          <cell r="P1062" t="str">
            <v>017162148</v>
          </cell>
          <cell r="Q1062" t="str">
            <v>Renewal (20% in 2020)</v>
          </cell>
        </row>
        <row r="1063">
          <cell r="P1063" t="str">
            <v>079015396</v>
          </cell>
          <cell r="Q1063" t="str">
            <v>Renewal (15% in 2020)</v>
          </cell>
        </row>
        <row r="1064">
          <cell r="P1064" t="str">
            <v>039152835</v>
          </cell>
          <cell r="Q1064" t="str">
            <v>Renewal (25% in 2020)</v>
          </cell>
        </row>
        <row r="1065">
          <cell r="P1065" t="str">
            <v>079155960</v>
          </cell>
          <cell r="Q1065" t="str">
            <v>Renewal (25% in 2020)</v>
          </cell>
        </row>
        <row r="1066">
          <cell r="P1066" t="str">
            <v>018154094</v>
          </cell>
          <cell r="Q1066" t="str">
            <v>Renewal (25% in 2020)</v>
          </cell>
        </row>
        <row r="1067">
          <cell r="P1067" t="str">
            <v>047159463</v>
          </cell>
          <cell r="Q1067" t="str">
            <v>Renewal (25% in 2020)</v>
          </cell>
        </row>
        <row r="1068">
          <cell r="P1068" t="str">
            <v>039155931</v>
          </cell>
          <cell r="Q1068" t="str">
            <v>Renewal (25% in 2020)</v>
          </cell>
        </row>
        <row r="1069">
          <cell r="P1069" t="str">
            <v>079161478</v>
          </cell>
          <cell r="Q1069" t="str">
            <v>New contract</v>
          </cell>
        </row>
        <row r="1070">
          <cell r="P1070" t="str">
            <v>039004348</v>
          </cell>
          <cell r="Q1070" t="str">
            <v>New contract</v>
          </cell>
        </row>
        <row r="1071">
          <cell r="P1071" t="str">
            <v>039155836</v>
          </cell>
          <cell r="Q1071" t="str">
            <v>Renewal (30% in 2020)</v>
          </cell>
        </row>
        <row r="1072">
          <cell r="P1072" t="str">
            <v>017115663</v>
          </cell>
          <cell r="Q1072" t="str">
            <v>New contract</v>
          </cell>
        </row>
        <row r="1073">
          <cell r="P1073" t="str">
            <v>079155226</v>
          </cell>
          <cell r="Q1073" t="str">
            <v>Renewal (15% in 2020)</v>
          </cell>
        </row>
        <row r="1074">
          <cell r="P1074" t="str">
            <v>039000087</v>
          </cell>
          <cell r="Q1074" t="str">
            <v>Renewal (20% in 2020)</v>
          </cell>
        </row>
        <row r="1075">
          <cell r="P1075" t="str">
            <v>039005906</v>
          </cell>
          <cell r="Q1075" t="str">
            <v>Renewal (15% in 2020)</v>
          </cell>
        </row>
        <row r="1076">
          <cell r="P1076" t="str">
            <v>017013121</v>
          </cell>
          <cell r="Q1076" t="str">
            <v>Renewal (25% in 2020)</v>
          </cell>
        </row>
        <row r="1077">
          <cell r="P1077" t="str">
            <v>070012287</v>
          </cell>
          <cell r="Q1077" t="str">
            <v>Renewal (20% in 2020)</v>
          </cell>
        </row>
        <row r="1078">
          <cell r="P1078" t="str">
            <v>016158988</v>
          </cell>
          <cell r="Q1078" t="str">
            <v>New Contract</v>
          </cell>
        </row>
        <row r="1079">
          <cell r="P1079" t="str">
            <v>070009117</v>
          </cell>
          <cell r="Q1079" t="str">
            <v>Renewal (15% in 2020)</v>
          </cell>
        </row>
        <row r="1080">
          <cell r="P1080" t="str">
            <v>017156886</v>
          </cell>
          <cell r="Q1080" t="str">
            <v>Renewal (15% in 2020)</v>
          </cell>
        </row>
        <row r="1081">
          <cell r="P1081" t="str">
            <v>017013449</v>
          </cell>
          <cell r="Q1081" t="str">
            <v>Renewal (25% in 2020)</v>
          </cell>
        </row>
        <row r="1082">
          <cell r="P1082" t="str">
            <v>016014849</v>
          </cell>
          <cell r="Q1082" t="str">
            <v>Renewal (15% in 2020)</v>
          </cell>
        </row>
        <row r="1083">
          <cell r="P1083" t="str">
            <v>079013062</v>
          </cell>
          <cell r="Q1083" t="str">
            <v>Renewal (20% in 2020)</v>
          </cell>
        </row>
        <row r="1084">
          <cell r="P1084" t="str">
            <v>079014666</v>
          </cell>
          <cell r="Q1084" t="str">
            <v>Renewal (15% in 2020)</v>
          </cell>
        </row>
        <row r="1085">
          <cell r="P1085" t="str">
            <v>070014113</v>
          </cell>
          <cell r="Q1085" t="str">
            <v>New Contract</v>
          </cell>
        </row>
        <row r="1086">
          <cell r="P1086" t="str">
            <v>052011964</v>
          </cell>
          <cell r="Q1086" t="str">
            <v>Renewal (15% in 2020)</v>
          </cell>
        </row>
        <row r="1087">
          <cell r="P1087" t="str">
            <v>039156063</v>
          </cell>
          <cell r="Q1087" t="str">
            <v>Renewal (30% in 2020)</v>
          </cell>
        </row>
        <row r="1088">
          <cell r="P1088" t="str">
            <v>070003381</v>
          </cell>
          <cell r="Q1088" t="str">
            <v>Renewal (15% in 2020)</v>
          </cell>
        </row>
        <row r="1089">
          <cell r="P1089" t="str">
            <v>039152835</v>
          </cell>
          <cell r="Q1089" t="str">
            <v>Renewal (25% in 2020)</v>
          </cell>
        </row>
        <row r="1090">
          <cell r="P1090" t="str">
            <v>021010215</v>
          </cell>
          <cell r="Q1090" t="str">
            <v>New Contract</v>
          </cell>
        </row>
        <row r="1091">
          <cell r="P1091" t="str">
            <v>021215711</v>
          </cell>
          <cell r="Q1091" t="str">
            <v>New contract</v>
          </cell>
        </row>
        <row r="1092">
          <cell r="P1092" t="str">
            <v>031018298</v>
          </cell>
          <cell r="Q1092" t="str">
            <v>New contract</v>
          </cell>
        </row>
        <row r="1093">
          <cell r="P1093" t="str">
            <v>079016655</v>
          </cell>
          <cell r="Q1093" t="str">
            <v>Renewal (15% in 2020)</v>
          </cell>
        </row>
        <row r="1094">
          <cell r="P1094" t="str">
            <v>058020357</v>
          </cell>
          <cell r="Q1094" t="str">
            <v>Renewal (30% in 2020)</v>
          </cell>
        </row>
        <row r="1095">
          <cell r="P1095" t="str">
            <v>028003956</v>
          </cell>
          <cell r="Q1095" t="str">
            <v>Renewal (25% in 2020)</v>
          </cell>
        </row>
        <row r="1096">
          <cell r="P1096" t="str">
            <v>079161247</v>
          </cell>
          <cell r="Q1096" t="str">
            <v>Renewal (30% in 2020)</v>
          </cell>
        </row>
        <row r="1097">
          <cell r="P1097" t="str">
            <v>016167218</v>
          </cell>
          <cell r="Q1097" t="str">
            <v>New Contract</v>
          </cell>
        </row>
        <row r="1098">
          <cell r="P1098" t="str">
            <v>055014158</v>
          </cell>
          <cell r="Q1098" t="str">
            <v>New Contract</v>
          </cell>
        </row>
        <row r="1099">
          <cell r="P1099" t="str">
            <v>021161087</v>
          </cell>
          <cell r="Q1099" t="str">
            <v>New Contract</v>
          </cell>
        </row>
        <row r="1100">
          <cell r="P1100" t="str">
            <v>070016355</v>
          </cell>
          <cell r="Q1100" t="str">
            <v>Renewal (15% in 2020)</v>
          </cell>
        </row>
        <row r="1101">
          <cell r="P1101" t="str">
            <v>021157603</v>
          </cell>
          <cell r="Q1101" t="str">
            <v>New Contract</v>
          </cell>
        </row>
        <row r="1102">
          <cell r="P1102" t="str">
            <v>054014815</v>
          </cell>
          <cell r="Q1102" t="str">
            <v>Renewal (20% in 2020)</v>
          </cell>
        </row>
        <row r="1103">
          <cell r="P1103" t="str">
            <v>024030929</v>
          </cell>
          <cell r="Q1103" t="str">
            <v>Renewal (15% in 2020)</v>
          </cell>
        </row>
        <row r="1104">
          <cell r="P1104" t="str">
            <v>016166085</v>
          </cell>
          <cell r="Q1104" t="str">
            <v>Renewal (30% in 2020)</v>
          </cell>
        </row>
        <row r="1105">
          <cell r="P1105" t="str">
            <v>070010979</v>
          </cell>
          <cell r="Q1105" t="str">
            <v>Renewal (20% in 2020)</v>
          </cell>
        </row>
        <row r="1106">
          <cell r="P1106" t="str">
            <v>070015688</v>
          </cell>
          <cell r="Q1106" t="str">
            <v>Renewal (15% in 2020)</v>
          </cell>
        </row>
        <row r="1107">
          <cell r="P1107" t="str">
            <v>070016741</v>
          </cell>
          <cell r="Q1107" t="str">
            <v>Renewal (15% in 2020)</v>
          </cell>
        </row>
        <row r="1108">
          <cell r="P1108" t="str">
            <v>039156063</v>
          </cell>
          <cell r="Q1108" t="str">
            <v>Renewal (30% in 2020)</v>
          </cell>
        </row>
        <row r="1109">
          <cell r="P1109" t="str">
            <v>036160699</v>
          </cell>
          <cell r="Q1109" t="str">
            <v>Renewal (15% in 2020)</v>
          </cell>
        </row>
        <row r="1110">
          <cell r="P1110" t="str">
            <v>016011783</v>
          </cell>
          <cell r="Q1110" t="str">
            <v>Renewal (15% in 2020)</v>
          </cell>
        </row>
        <row r="1111">
          <cell r="P1111" t="str">
            <v>016014163</v>
          </cell>
          <cell r="Q1111" t="str">
            <v>Renewal (20% in 2020)</v>
          </cell>
        </row>
        <row r="1112">
          <cell r="P1112" t="str">
            <v>079158320</v>
          </cell>
          <cell r="Q1112" t="str">
            <v>Renewal (30% in 2020)</v>
          </cell>
        </row>
        <row r="1113">
          <cell r="P1113" t="str">
            <v>024026596</v>
          </cell>
          <cell r="Q1113" t="str">
            <v>Renewal (15% in 2020)</v>
          </cell>
        </row>
        <row r="1114">
          <cell r="P1114" t="str">
            <v>018007827</v>
          </cell>
          <cell r="Q1114" t="str">
            <v>Renewal (25% in 2020)</v>
          </cell>
        </row>
        <row r="1115">
          <cell r="P1115" t="str">
            <v>017165405</v>
          </cell>
          <cell r="Q1115" t="str">
            <v>Renewal (15% in 2020)</v>
          </cell>
        </row>
        <row r="1116">
          <cell r="P1116" t="str">
            <v>028154765</v>
          </cell>
          <cell r="Q1116" t="str">
            <v>Renewal (25% in 2020)</v>
          </cell>
        </row>
        <row r="1117">
          <cell r="P1117" t="str">
            <v>028154765</v>
          </cell>
          <cell r="Q1117" t="str">
            <v>Renewal (25% in 2020)</v>
          </cell>
        </row>
        <row r="1118">
          <cell r="P1118" t="str">
            <v>014030251</v>
          </cell>
          <cell r="Q1118" t="str">
            <v>Renewal (20% in 2020)</v>
          </cell>
        </row>
        <row r="1119">
          <cell r="P1119" t="str">
            <v>057000995</v>
          </cell>
          <cell r="Q1119" t="str">
            <v>Renewal (20% in 2020)</v>
          </cell>
        </row>
        <row r="1120">
          <cell r="P1120" t="str">
            <v>070011177</v>
          </cell>
          <cell r="Q1120" t="str">
            <v>Renewal (20% in 2020)</v>
          </cell>
        </row>
        <row r="1121">
          <cell r="P1121" t="str">
            <v>025004079</v>
          </cell>
          <cell r="Q1121" t="str">
            <v>Renewal (25% in 2020)</v>
          </cell>
        </row>
        <row r="1122">
          <cell r="P1122" t="str">
            <v>070016398</v>
          </cell>
          <cell r="Q1122" t="str">
            <v>Renewal (15% in 2020)</v>
          </cell>
        </row>
        <row r="1123">
          <cell r="P1123" t="str">
            <v>070013049</v>
          </cell>
          <cell r="Q1123" t="str">
            <v>Renewal (15% in 2020)</v>
          </cell>
        </row>
        <row r="1124">
          <cell r="P1124" t="str">
            <v>064177197</v>
          </cell>
          <cell r="Q1124" t="str">
            <v>Renewal (25% in 2020)</v>
          </cell>
        </row>
        <row r="1125">
          <cell r="P1125" t="str">
            <v>031004457</v>
          </cell>
          <cell r="Q1125" t="str">
            <v>Renewal (15% in 2020)</v>
          </cell>
        </row>
        <row r="1126">
          <cell r="P1126" t="str">
            <v>079153899</v>
          </cell>
          <cell r="Q1126" t="str">
            <v>Renewal (30% in 2020)</v>
          </cell>
        </row>
        <row r="1127">
          <cell r="P1127" t="str">
            <v>079015396</v>
          </cell>
          <cell r="Q1127" t="str">
            <v>Renewal (15% in 2020)</v>
          </cell>
        </row>
        <row r="1128">
          <cell r="P1128" t="str">
            <v>079156606</v>
          </cell>
          <cell r="Q1128" t="str">
            <v>Renewal (20% in 2020)</v>
          </cell>
        </row>
        <row r="1129">
          <cell r="P1129" t="str">
            <v>017008192</v>
          </cell>
          <cell r="Q1129" t="str">
            <v>Renewal (15% in 2020)</v>
          </cell>
        </row>
        <row r="1130">
          <cell r="P1130" t="str">
            <v>017164465</v>
          </cell>
          <cell r="Q1130" t="str">
            <v>Renewal (30% in 2020)</v>
          </cell>
        </row>
        <row r="1131">
          <cell r="P1131" t="str">
            <v>079160258</v>
          </cell>
          <cell r="Q1131" t="str">
            <v>Renewal (25% in 2020)</v>
          </cell>
        </row>
        <row r="1132">
          <cell r="P1132" t="str">
            <v>025018486</v>
          </cell>
          <cell r="Q1132" t="str">
            <v>Renewal (25% in 2020)</v>
          </cell>
        </row>
        <row r="1133">
          <cell r="P1133" t="str">
            <v>025018486</v>
          </cell>
          <cell r="Q1133" t="str">
            <v>Renewal (25% in 2020)</v>
          </cell>
        </row>
        <row r="1134">
          <cell r="P1134" t="str">
            <v>017007550</v>
          </cell>
          <cell r="Q1134" t="str">
            <v>Renewal (15% in 2020)</v>
          </cell>
        </row>
        <row r="1135">
          <cell r="P1135" t="str">
            <v>065156139</v>
          </cell>
          <cell r="Q1135" t="str">
            <v>Renewal (15% in 2020)</v>
          </cell>
        </row>
        <row r="1136">
          <cell r="P1136" t="str">
            <v>045010269</v>
          </cell>
          <cell r="Q1136" t="str">
            <v>Renewal (25% in 2020)</v>
          </cell>
        </row>
        <row r="1137">
          <cell r="P1137" t="str">
            <v>055015758</v>
          </cell>
          <cell r="Q1137" t="str">
            <v>Renewal (30% in 2020)</v>
          </cell>
        </row>
        <row r="1138">
          <cell r="P1138" t="str">
            <v>017007867</v>
          </cell>
          <cell r="Q1138" t="str">
            <v>Renewal (15% in 2020)</v>
          </cell>
        </row>
        <row r="1139">
          <cell r="P1139" t="str">
            <v>079157774</v>
          </cell>
          <cell r="Q1139" t="str">
            <v>Renewal (15% in 2020)</v>
          </cell>
        </row>
        <row r="1140">
          <cell r="P1140" t="str">
            <v>055014031</v>
          </cell>
          <cell r="Q1140" t="str">
            <v>New Contract</v>
          </cell>
        </row>
        <row r="1141">
          <cell r="P1141" t="str">
            <v>016161822</v>
          </cell>
          <cell r="Q1141" t="str">
            <v>Renewal (20% in 2020)</v>
          </cell>
        </row>
        <row r="1142">
          <cell r="P1142" t="str">
            <v>032165412</v>
          </cell>
          <cell r="Q1142" t="str">
            <v>Renewal (25% in 2020)</v>
          </cell>
        </row>
        <row r="1143">
          <cell r="P1143" t="str">
            <v>079151831</v>
          </cell>
          <cell r="Q1143" t="str">
            <v>New Contract</v>
          </cell>
        </row>
        <row r="1144">
          <cell r="P1144" t="str">
            <v>055004868</v>
          </cell>
          <cell r="Q1144" t="str">
            <v>Renewal (20% in 2020)</v>
          </cell>
        </row>
        <row r="1145">
          <cell r="P1145" t="str">
            <v>016158000</v>
          </cell>
          <cell r="Q1145" t="str">
            <v>Renewal (15% in 2020)</v>
          </cell>
        </row>
        <row r="1146">
          <cell r="P1146" t="str">
            <v>076159696</v>
          </cell>
          <cell r="Q1146" t="str">
            <v>Renewal (25% in 2020)</v>
          </cell>
        </row>
        <row r="1147">
          <cell r="P1147" t="str">
            <v>076160945</v>
          </cell>
          <cell r="Q1147" t="str">
            <v>Renewal (20% in 2020)</v>
          </cell>
        </row>
        <row r="1148">
          <cell r="P1148" t="str">
            <v>031158344</v>
          </cell>
          <cell r="Q1148" t="str">
            <v>Renewal (15% in 2020)</v>
          </cell>
        </row>
        <row r="1149">
          <cell r="P1149" t="str">
            <v>079159333</v>
          </cell>
          <cell r="Q1149" t="str">
            <v>Renewal (15% in 2020)</v>
          </cell>
        </row>
        <row r="1150">
          <cell r="P1150" t="str">
            <v>079012303</v>
          </cell>
          <cell r="Q1150" t="str">
            <v>Renewal (30% in 2020)</v>
          </cell>
        </row>
        <row r="1151">
          <cell r="P1151" t="str">
            <v>086006501</v>
          </cell>
          <cell r="Q1151" t="str">
            <v>Renewal (15% in 2020)</v>
          </cell>
        </row>
        <row r="1152">
          <cell r="P1152" t="str">
            <v>086160719</v>
          </cell>
          <cell r="Q1152" t="str">
            <v>Renewal (20% in 2020)</v>
          </cell>
        </row>
        <row r="1153">
          <cell r="P1153" t="str">
            <v>031154226</v>
          </cell>
          <cell r="Q1153" t="str">
            <v>Renewal (15% in 2020)</v>
          </cell>
        </row>
        <row r="1154">
          <cell r="P1154" t="str">
            <v>032168632</v>
          </cell>
          <cell r="Q1154" t="str">
            <v>Renewal (20% in 2020)</v>
          </cell>
        </row>
        <row r="1155">
          <cell r="P1155" t="str">
            <v>032170262</v>
          </cell>
          <cell r="Q1155" t="str">
            <v>Renewal (25% in 2020)</v>
          </cell>
        </row>
        <row r="1156">
          <cell r="P1156" t="str">
            <v>079155960</v>
          </cell>
          <cell r="Q1156" t="str">
            <v>Renewal (25% in 2020)</v>
          </cell>
        </row>
        <row r="1157">
          <cell r="P1157" t="str">
            <v>039152155</v>
          </cell>
          <cell r="Q1157" t="str">
            <v>Renewal (15% in 2020)</v>
          </cell>
        </row>
        <row r="1158">
          <cell r="P1158" t="str">
            <v>070014923</v>
          </cell>
          <cell r="Q1158" t="str">
            <v>Renewal (15% in 2020)</v>
          </cell>
        </row>
        <row r="1159">
          <cell r="P1159" t="str">
            <v>081163682</v>
          </cell>
          <cell r="Q1159" t="str">
            <v>Renewal (20% in 2020)</v>
          </cell>
        </row>
        <row r="1160">
          <cell r="P1160" t="str">
            <v>076162136</v>
          </cell>
          <cell r="Q1160" t="str">
            <v>Renewal (15% in 2020)</v>
          </cell>
        </row>
        <row r="1161">
          <cell r="P1161" t="str">
            <v>016163262</v>
          </cell>
          <cell r="Q1161" t="str">
            <v>Renewal (15% in 2020)</v>
          </cell>
        </row>
        <row r="1162">
          <cell r="P1162" t="str">
            <v>016164094</v>
          </cell>
          <cell r="Q1162" t="str">
            <v>Renewal (20% in 2020)</v>
          </cell>
        </row>
        <row r="1163">
          <cell r="P1163" t="str">
            <v>086157736</v>
          </cell>
          <cell r="Q1163" t="str">
            <v>Renewal (15% in 2020)</v>
          </cell>
        </row>
        <row r="1164">
          <cell r="P1164" t="str">
            <v>086159975</v>
          </cell>
          <cell r="Q1164" t="str">
            <v>Renewal (25% in 2020)</v>
          </cell>
        </row>
        <row r="1165">
          <cell r="P1165" t="str">
            <v>036008516</v>
          </cell>
          <cell r="Q1165" t="str">
            <v>Renewal (15% in 2020)</v>
          </cell>
        </row>
        <row r="1166">
          <cell r="P1166" t="str">
            <v>064019189</v>
          </cell>
          <cell r="Q1166" t="str">
            <v>Renewal (25% in 2020)</v>
          </cell>
        </row>
        <row r="1167">
          <cell r="P1167" t="str">
            <v>070014969</v>
          </cell>
          <cell r="Q1167" t="str">
            <v>Renewal (25% in 2020)</v>
          </cell>
        </row>
        <row r="1168">
          <cell r="P1168" t="str">
            <v>080151057</v>
          </cell>
          <cell r="Q1168" t="str">
            <v>Renewal (25% in 2020)</v>
          </cell>
        </row>
        <row r="1169">
          <cell r="P1169" t="str">
            <v>087008759</v>
          </cell>
          <cell r="Q1169" t="str">
            <v>Renewal (20% in 2020)</v>
          </cell>
        </row>
        <row r="1170">
          <cell r="P1170" t="str">
            <v>024013057</v>
          </cell>
          <cell r="Q1170" t="str">
            <v>Renewal (20% in 2020)</v>
          </cell>
        </row>
        <row r="1171">
          <cell r="P1171" t="str">
            <v>086162221</v>
          </cell>
          <cell r="Q1171" t="str">
            <v>Renewal (30% in 2020)</v>
          </cell>
        </row>
        <row r="1172">
          <cell r="P1172" t="str">
            <v>016164553</v>
          </cell>
          <cell r="Q1172" t="str">
            <v>Renewal (25% in 2020)</v>
          </cell>
        </row>
        <row r="1173">
          <cell r="P1173" t="str">
            <v>079015125</v>
          </cell>
          <cell r="Q1173" t="str">
            <v>Renewal (30% in 2020)</v>
          </cell>
        </row>
        <row r="1174">
          <cell r="P1174" t="str">
            <v>079161341</v>
          </cell>
          <cell r="Q1174" t="str">
            <v>Renewal (30% in 2020)</v>
          </cell>
        </row>
        <row r="1175">
          <cell r="P1175" t="str">
            <v>086161720</v>
          </cell>
          <cell r="Q1175" t="str">
            <v>Renewal (15% in 2020)</v>
          </cell>
        </row>
        <row r="1176">
          <cell r="P1176" t="str">
            <v>017161073</v>
          </cell>
          <cell r="Q1176" t="str">
            <v>Renewal (15% in 2020)</v>
          </cell>
        </row>
        <row r="1177">
          <cell r="P1177" t="str">
            <v>031158472</v>
          </cell>
          <cell r="Q1177" t="str">
            <v>Renewal (15% in 2020)</v>
          </cell>
        </row>
        <row r="1178">
          <cell r="P1178" t="str">
            <v>041011548</v>
          </cell>
          <cell r="Q1178" t="str">
            <v>Renewal (25% in 2020)</v>
          </cell>
        </row>
        <row r="1179">
          <cell r="P1179" t="str">
            <v>017166607</v>
          </cell>
          <cell r="Q1179" t="str">
            <v>New Contract</v>
          </cell>
        </row>
        <row r="1180">
          <cell r="P1180" t="str">
            <v>031152401</v>
          </cell>
          <cell r="Q1180" t="str">
            <v>Renewal (20% in 2020)</v>
          </cell>
        </row>
        <row r="1181">
          <cell r="P1181" t="str">
            <v>061015489</v>
          </cell>
          <cell r="Q1181" t="str">
            <v>Renewal (20% in 2020)</v>
          </cell>
        </row>
        <row r="1182">
          <cell r="P1182" t="str">
            <v>017163031</v>
          </cell>
          <cell r="Q1182" t="str">
            <v>Renewal (30% in 2020)</v>
          </cell>
        </row>
        <row r="1183">
          <cell r="P1183" t="str">
            <v>076003626</v>
          </cell>
          <cell r="Q1183" t="str">
            <v>Renewal (25% in 2020)</v>
          </cell>
        </row>
        <row r="1184">
          <cell r="P1184" t="str">
            <v>027007089</v>
          </cell>
          <cell r="Q1184" t="str">
            <v>Renewal (30% in 2020)</v>
          </cell>
        </row>
        <row r="1185">
          <cell r="P1185" t="str">
            <v>086163018</v>
          </cell>
          <cell r="Q1185" t="str">
            <v>Renewal (15% in 2020)</v>
          </cell>
        </row>
        <row r="1186">
          <cell r="P1186" t="str">
            <v>041158116</v>
          </cell>
          <cell r="Q1186" t="str">
            <v>Renewal (25% in 2020)</v>
          </cell>
        </row>
        <row r="1187">
          <cell r="P1187" t="str">
            <v>041158116</v>
          </cell>
          <cell r="Q1187" t="str">
            <v>Renewal (25% in 2020)</v>
          </cell>
        </row>
        <row r="1188">
          <cell r="P1188" t="str">
            <v>010008954</v>
          </cell>
          <cell r="Q1188" t="str">
            <v>Renewal (20% in 2020)</v>
          </cell>
        </row>
        <row r="1189">
          <cell r="P1189" t="str">
            <v>016164467</v>
          </cell>
          <cell r="Q1189" t="str">
            <v>Renewal (15% in 2020)</v>
          </cell>
        </row>
        <row r="1190">
          <cell r="P1190" t="str">
            <v>016164467</v>
          </cell>
          <cell r="Q1190" t="str">
            <v>Renewal (15% in 2020)</v>
          </cell>
        </row>
        <row r="1191">
          <cell r="P1191" t="str">
            <v>036008587</v>
          </cell>
          <cell r="Q1191" t="str">
            <v>Renewal (15% in 2020)</v>
          </cell>
        </row>
        <row r="1192">
          <cell r="P1192" t="str">
            <v>079158930</v>
          </cell>
          <cell r="Q1192" t="str">
            <v>Renewal (25% in 2020)</v>
          </cell>
        </row>
        <row r="1193">
          <cell r="P1193" t="str">
            <v>040011502</v>
          </cell>
          <cell r="Q1193" t="str">
            <v>Renewal (20% in 2020)</v>
          </cell>
        </row>
        <row r="1194">
          <cell r="P1194" t="str">
            <v>031015236</v>
          </cell>
          <cell r="Q1194" t="str">
            <v>Renewal (25% in 2020)</v>
          </cell>
        </row>
        <row r="1195">
          <cell r="P1195" t="str">
            <v>086162520</v>
          </cell>
          <cell r="Q1195" t="str">
            <v>Renewal (20% in 2020)</v>
          </cell>
        </row>
        <row r="1196">
          <cell r="P1196" t="str">
            <v>064172467</v>
          </cell>
          <cell r="Q1196" t="str">
            <v>Renewal (15% in 2020)</v>
          </cell>
        </row>
        <row r="1197">
          <cell r="P1197" t="str">
            <v>017164883</v>
          </cell>
          <cell r="Q1197" t="str">
            <v>Renewal (15% in 2020)</v>
          </cell>
        </row>
        <row r="1198">
          <cell r="P1198" t="str">
            <v>055013204</v>
          </cell>
          <cell r="Q1198" t="str">
            <v>Renewal (20% in 2020)</v>
          </cell>
        </row>
        <row r="1199">
          <cell r="P1199" t="str">
            <v>052013634</v>
          </cell>
          <cell r="Q1199" t="str">
            <v>Renewal (20% in 2020)</v>
          </cell>
        </row>
        <row r="1200">
          <cell r="P1200" t="str">
            <v>017169123</v>
          </cell>
          <cell r="Q1200" t="str">
            <v>Renewal (25% in 2020)</v>
          </cell>
        </row>
        <row r="1201">
          <cell r="P1201" t="str">
            <v>086164329</v>
          </cell>
          <cell r="Q1201" t="str">
            <v>Renewal (20% in 2020)</v>
          </cell>
        </row>
        <row r="1202">
          <cell r="P1202" t="str">
            <v>071011279</v>
          </cell>
          <cell r="Q1202" t="str">
            <v>Renewal (20% in 2020)</v>
          </cell>
        </row>
        <row r="1203">
          <cell r="P1203" t="str">
            <v>017010128</v>
          </cell>
          <cell r="Q1203" t="str">
            <v>Renewal (15% in 2020)</v>
          </cell>
        </row>
        <row r="1204">
          <cell r="P1204" t="str">
            <v>055001219</v>
          </cell>
          <cell r="Q1204" t="str">
            <v>Renewal (20% in 2020)</v>
          </cell>
        </row>
        <row r="1205">
          <cell r="P1205" t="str">
            <v>055001676</v>
          </cell>
          <cell r="Q1205" t="str">
            <v>Renewal (15% in 2020)</v>
          </cell>
        </row>
        <row r="1206">
          <cell r="P1206" t="str">
            <v>055002499</v>
          </cell>
          <cell r="Q1206" t="str">
            <v>Renewal (20% in 2020)</v>
          </cell>
        </row>
        <row r="1207">
          <cell r="P1207" t="str">
            <v>076160593</v>
          </cell>
          <cell r="Q1207" t="str">
            <v>Renewal (25% in 2020)</v>
          </cell>
        </row>
        <row r="1208">
          <cell r="P1208" t="str">
            <v>079155650</v>
          </cell>
          <cell r="Q1208" t="str">
            <v>Renewal (20% in 2020)</v>
          </cell>
        </row>
        <row r="1209">
          <cell r="P1209" t="str">
            <v>086157031</v>
          </cell>
          <cell r="Q1209" t="str">
            <v>Renewal (15% in 2020)</v>
          </cell>
        </row>
        <row r="1210">
          <cell r="P1210" t="str">
            <v>054013474</v>
          </cell>
          <cell r="Q1210" t="str">
            <v>Renewal (15% in 2020)</v>
          </cell>
        </row>
        <row r="1211">
          <cell r="P1211" t="str">
            <v>016162554</v>
          </cell>
          <cell r="Q1211" t="str">
            <v>Renewal (15% in 2020)</v>
          </cell>
        </row>
        <row r="1212">
          <cell r="P1212" t="str">
            <v>024030572</v>
          </cell>
          <cell r="Q1212" t="str">
            <v>Renewal (15% in 2020)</v>
          </cell>
        </row>
        <row r="1213">
          <cell r="P1213" t="str">
            <v>055014282</v>
          </cell>
          <cell r="Q1213" t="str">
            <v>Renewal (15% in 2020)</v>
          </cell>
        </row>
        <row r="1214">
          <cell r="P1214" t="str">
            <v>055010982</v>
          </cell>
          <cell r="Q1214" t="str">
            <v>Renewal (15% in 2020)</v>
          </cell>
        </row>
        <row r="1215">
          <cell r="P1215" t="str">
            <v>055013534</v>
          </cell>
          <cell r="Q1215" t="str">
            <v>Renewal (30% in 2020)</v>
          </cell>
        </row>
        <row r="1216">
          <cell r="P1216" t="str">
            <v>016167244</v>
          </cell>
          <cell r="Q1216" t="str">
            <v>Renewal (15% in 2020)</v>
          </cell>
        </row>
        <row r="1217">
          <cell r="P1217" t="str">
            <v>017157956</v>
          </cell>
          <cell r="Q1217" t="str">
            <v>Renewal (30% in 2020)</v>
          </cell>
        </row>
        <row r="1218">
          <cell r="P1218" t="str">
            <v>054013885</v>
          </cell>
          <cell r="Q1218" t="str">
            <v>New Contract</v>
          </cell>
        </row>
        <row r="1219">
          <cell r="P1219" t="str">
            <v>016014577</v>
          </cell>
          <cell r="Q1219" t="str">
            <v>Renewal (15% in 2020)</v>
          </cell>
        </row>
        <row r="1220">
          <cell r="P1220" t="str">
            <v>052006567</v>
          </cell>
          <cell r="Q1220" t="str">
            <v>Renewal (25% in 2020)</v>
          </cell>
        </row>
        <row r="1221">
          <cell r="P1221" t="str">
            <v>017010405</v>
          </cell>
          <cell r="Q1221" t="str">
            <v>Renewal (15% in 2020)</v>
          </cell>
        </row>
        <row r="1222">
          <cell r="P1222" t="str">
            <v>017161184</v>
          </cell>
          <cell r="Q1222" t="str">
            <v>Renewal (15% in 2020)</v>
          </cell>
        </row>
        <row r="1223">
          <cell r="P1223" t="str">
            <v>017163869</v>
          </cell>
          <cell r="Q1223" t="str">
            <v>Renewal (20% in 2020)</v>
          </cell>
        </row>
        <row r="1224">
          <cell r="P1224" t="str">
            <v>052007177</v>
          </cell>
          <cell r="Q1224" t="str">
            <v>Renewal (25% in 2020)</v>
          </cell>
        </row>
        <row r="1225">
          <cell r="P1225" t="str">
            <v>079160609</v>
          </cell>
          <cell r="Q1225" t="str">
            <v>Renewal (15% in 2020)</v>
          </cell>
        </row>
        <row r="1226">
          <cell r="P1226" t="str">
            <v>016162985</v>
          </cell>
          <cell r="Q1226" t="str">
            <v>Renewal (30% in 2020)</v>
          </cell>
        </row>
        <row r="1227">
          <cell r="P1227" t="str">
            <v>086164753</v>
          </cell>
          <cell r="Q1227" t="str">
            <v>New Contract</v>
          </cell>
        </row>
        <row r="1228">
          <cell r="P1228" t="str">
            <v>047159463</v>
          </cell>
          <cell r="Q1228" t="str">
            <v>Renewal (25% in 2020)</v>
          </cell>
        </row>
        <row r="1229">
          <cell r="P1229" t="str">
            <v>039005037</v>
          </cell>
          <cell r="Q1229" t="str">
            <v>Renewal (30% in 2020)</v>
          </cell>
        </row>
        <row r="1230">
          <cell r="P1230" t="str">
            <v>079154171</v>
          </cell>
          <cell r="Q1230" t="str">
            <v>Renewal (15% in 2020)</v>
          </cell>
        </row>
        <row r="1231">
          <cell r="P1231" t="str">
            <v>055015944</v>
          </cell>
          <cell r="Q1231" t="str">
            <v>Renewal (25% in 2020)</v>
          </cell>
        </row>
        <row r="1232">
          <cell r="P1232" t="str">
            <v>087022166</v>
          </cell>
          <cell r="Q1232" t="str">
            <v>Renewal (15% in 2020)</v>
          </cell>
        </row>
        <row r="1233">
          <cell r="P1233" t="str">
            <v>021000000</v>
          </cell>
          <cell r="Q1233" t="str">
            <v>New Contract</v>
          </cell>
        </row>
        <row r="1234">
          <cell r="P1234" t="str">
            <v>070017371</v>
          </cell>
          <cell r="Q1234" t="str">
            <v>Renewal (15% in 2020)</v>
          </cell>
        </row>
        <row r="1235">
          <cell r="P1235" t="str">
            <v>070011928</v>
          </cell>
          <cell r="Q1235" t="str">
            <v>Renewal (25% in 2020)</v>
          </cell>
        </row>
        <row r="1236">
          <cell r="P1236" t="str">
            <v>079152063</v>
          </cell>
          <cell r="Q1236" t="str">
            <v>Renewal (15% in 2020)</v>
          </cell>
        </row>
        <row r="1237">
          <cell r="P1237" t="str">
            <v>079010264</v>
          </cell>
          <cell r="Q1237" t="str">
            <v>Renewal (15% in 2020)</v>
          </cell>
        </row>
        <row r="1238">
          <cell r="P1238" t="str">
            <v>016156752</v>
          </cell>
          <cell r="Q1238" t="str">
            <v>Renewal (15% in 2020)</v>
          </cell>
        </row>
        <row r="1239">
          <cell r="P1239" t="str">
            <v>021161960</v>
          </cell>
          <cell r="Q1239" t="str">
            <v>New Contract</v>
          </cell>
        </row>
        <row r="1240">
          <cell r="P1240" t="str">
            <v>054001623</v>
          </cell>
          <cell r="Q1240" t="str">
            <v>Renewal (30% in 2020)</v>
          </cell>
        </row>
        <row r="1241">
          <cell r="P1241" t="str">
            <v>052011700</v>
          </cell>
          <cell r="Q1241" t="str">
            <v>New Contract</v>
          </cell>
        </row>
        <row r="1242">
          <cell r="P1242" t="str">
            <v>071161261</v>
          </cell>
          <cell r="Q1242" t="str">
            <v>Renewal (30% in 2020)</v>
          </cell>
        </row>
        <row r="1243">
          <cell r="P1243" t="str">
            <v>017007914</v>
          </cell>
          <cell r="Q1243" t="str">
            <v>Renewal (25% in 2020)</v>
          </cell>
        </row>
        <row r="1244">
          <cell r="P1244" t="str">
            <v>039155931</v>
          </cell>
          <cell r="Q1244" t="str">
            <v>Renewal (25% in 2020)</v>
          </cell>
        </row>
        <row r="1245">
          <cell r="P1245" t="str">
            <v>086003307</v>
          </cell>
          <cell r="Q1245" t="str">
            <v>New Contract</v>
          </cell>
        </row>
        <row r="1246">
          <cell r="P1246" t="str">
            <v>055014981</v>
          </cell>
          <cell r="Q1246" t="str">
            <v>New Contract</v>
          </cell>
        </row>
        <row r="1247">
          <cell r="P1247" t="str">
            <v>058000487</v>
          </cell>
          <cell r="Q1247" t="str">
            <v>Renewal (25% in 2020)</v>
          </cell>
        </row>
        <row r="1248">
          <cell r="P1248" t="str">
            <v>055014013</v>
          </cell>
          <cell r="Q1248" t="str">
            <v>Renewal (20% in 2020)</v>
          </cell>
        </row>
        <row r="1249">
          <cell r="P1249" t="str">
            <v>086006702</v>
          </cell>
          <cell r="Q1249" t="str">
            <v>Renewal (30% in 2020)</v>
          </cell>
        </row>
        <row r="1250">
          <cell r="P1250" t="str">
            <v>016162788</v>
          </cell>
          <cell r="Q1250" t="str">
            <v>Renewal (30% in 2020)</v>
          </cell>
        </row>
        <row r="1251">
          <cell r="P1251" t="str">
            <v>058021210</v>
          </cell>
          <cell r="Q1251" t="str">
            <v>Renewal (25% in 2020)</v>
          </cell>
        </row>
        <row r="1252">
          <cell r="P1252" t="str">
            <v>055008896</v>
          </cell>
          <cell r="Q1252" t="str">
            <v>Renewal (20% in 2020)</v>
          </cell>
        </row>
        <row r="1253">
          <cell r="P1253" t="str">
            <v>016165835</v>
          </cell>
          <cell r="Q1253" t="str">
            <v>Renewal (15% in 2020)</v>
          </cell>
        </row>
        <row r="1254">
          <cell r="P1254" t="str">
            <v>055000964</v>
          </cell>
          <cell r="Q1254" t="str">
            <v>New Contract</v>
          </cell>
        </row>
        <row r="1255">
          <cell r="P1255" t="str">
            <v>017157845</v>
          </cell>
          <cell r="Q1255" t="str">
            <v>Renewal (20% in 2020)</v>
          </cell>
        </row>
        <row r="1256">
          <cell r="P1256" t="str">
            <v>086157528</v>
          </cell>
          <cell r="Q1256" t="str">
            <v>Renewal (15% in 2020)</v>
          </cell>
        </row>
        <row r="1257">
          <cell r="P1257" t="str">
            <v>017162131</v>
          </cell>
          <cell r="Q1257" t="str">
            <v>Renewal (20% in 2020)</v>
          </cell>
        </row>
        <row r="1258">
          <cell r="P1258" t="str">
            <v>055015293</v>
          </cell>
          <cell r="Q1258" t="str">
            <v>Renewal (15% in 2020)</v>
          </cell>
        </row>
        <row r="1259">
          <cell r="P1259" t="str">
            <v>024037750</v>
          </cell>
          <cell r="Q1259" t="str">
            <v>Renewal (15% in 2020)</v>
          </cell>
        </row>
        <row r="1260">
          <cell r="P1260" t="str">
            <v>079008046</v>
          </cell>
          <cell r="Q1260" t="str">
            <v>Renewal (30% in 2020)</v>
          </cell>
        </row>
        <row r="1261">
          <cell r="P1261" t="str">
            <v>016164075</v>
          </cell>
          <cell r="Q1261" t="str">
            <v>Renewal (30% in 2020)</v>
          </cell>
        </row>
        <row r="1262">
          <cell r="P1262" t="str">
            <v>086014631</v>
          </cell>
          <cell r="Q1262" t="str">
            <v>Renewal (15% in 2020)</v>
          </cell>
        </row>
        <row r="1263">
          <cell r="P1263" t="str">
            <v>016165150</v>
          </cell>
          <cell r="Q1263" t="str">
            <v>Renewal (20% in 2020)</v>
          </cell>
        </row>
        <row r="1264">
          <cell r="P1264" t="str">
            <v>089002182</v>
          </cell>
          <cell r="Q1264" t="str">
            <v>New contract</v>
          </cell>
        </row>
        <row r="1265">
          <cell r="P1265" t="str">
            <v>052001735</v>
          </cell>
          <cell r="Q1265" t="str">
            <v>New Contract</v>
          </cell>
        </row>
        <row r="1266">
          <cell r="P1266" t="str">
            <v>031158471</v>
          </cell>
          <cell r="Q1266" t="str">
            <v>Renewal (15% in 2020)</v>
          </cell>
        </row>
        <row r="1267">
          <cell r="P1267" t="str">
            <v>016164524</v>
          </cell>
          <cell r="Q1267" t="str">
            <v>New contract</v>
          </cell>
        </row>
        <row r="1268">
          <cell r="P1268" t="str">
            <v>031155999</v>
          </cell>
          <cell r="Q1268" t="str">
            <v>Renewal (15% in 2020)</v>
          </cell>
        </row>
        <row r="1269">
          <cell r="P1269" t="str">
            <v>031155999</v>
          </cell>
          <cell r="Q1269" t="str">
            <v>Renewal (15% in 2020)</v>
          </cell>
        </row>
        <row r="1270">
          <cell r="P1270" t="str">
            <v>061103429</v>
          </cell>
          <cell r="Q1270" t="str">
            <v>New contract</v>
          </cell>
        </row>
        <row r="1271">
          <cell r="P1271" t="str">
            <v>086002485</v>
          </cell>
          <cell r="Q1271" t="str">
            <v>Renewal (15% in 2020)</v>
          </cell>
        </row>
        <row r="1272">
          <cell r="P1272" t="str">
            <v>016160963</v>
          </cell>
          <cell r="Q1272" t="str">
            <v>Renewal (15% in 2020)</v>
          </cell>
        </row>
        <row r="1273">
          <cell r="P1273" t="str">
            <v>016162130</v>
          </cell>
          <cell r="Q1273" t="str">
            <v>Renewal (20% in 2020)</v>
          </cell>
        </row>
        <row r="1274">
          <cell r="P1274" t="str">
            <v>079161478</v>
          </cell>
          <cell r="Q1274" t="str">
            <v>New contract</v>
          </cell>
        </row>
        <row r="1275">
          <cell r="P1275" t="str">
            <v>031008606</v>
          </cell>
          <cell r="Q1275" t="str">
            <v>New Contract</v>
          </cell>
        </row>
        <row r="1276">
          <cell r="P1276" t="str">
            <v>086003434</v>
          </cell>
          <cell r="Q1276" t="str">
            <v>New Contract</v>
          </cell>
        </row>
        <row r="1277">
          <cell r="P1277" t="str">
            <v>021005579</v>
          </cell>
          <cell r="Q1277" t="str">
            <v>New Contract</v>
          </cell>
        </row>
        <row r="1278">
          <cell r="P1278" t="str">
            <v>039004348</v>
          </cell>
          <cell r="Q1278" t="str">
            <v>New contract</v>
          </cell>
        </row>
        <row r="1279">
          <cell r="P1279" t="str">
            <v>086006667</v>
          </cell>
          <cell r="Q1279" t="str">
            <v>Renewal (25% in 2020)</v>
          </cell>
        </row>
        <row r="1280">
          <cell r="P1280" t="str">
            <v>032160282</v>
          </cell>
          <cell r="Q1280" t="str">
            <v>Renewal (20% in 2020)</v>
          </cell>
        </row>
        <row r="1281">
          <cell r="P1281" t="str">
            <v>024037992</v>
          </cell>
          <cell r="Q1281" t="str">
            <v>Renewal (20% in 2020)</v>
          </cell>
        </row>
        <row r="1282">
          <cell r="P1282" t="str">
            <v>021161340</v>
          </cell>
          <cell r="Q1282" t="str">
            <v>New contract</v>
          </cell>
        </row>
        <row r="1283">
          <cell r="P1283" t="str">
            <v>031000248</v>
          </cell>
          <cell r="Q1283" t="str">
            <v>Renewal (15% in 2020)</v>
          </cell>
        </row>
        <row r="1284">
          <cell r="P1284" t="str">
            <v>017164655</v>
          </cell>
          <cell r="Q1284" t="str">
            <v>Renewal (15% in 2020)</v>
          </cell>
        </row>
        <row r="1285">
          <cell r="P1285" t="str">
            <v>021159052</v>
          </cell>
          <cell r="Q1285" t="str">
            <v>New Contract</v>
          </cell>
        </row>
        <row r="1286">
          <cell r="P1286" t="str">
            <v>016014753</v>
          </cell>
          <cell r="Q1286" t="str">
            <v>New Contract</v>
          </cell>
        </row>
        <row r="1287">
          <cell r="P1287" t="str">
            <v>055014006</v>
          </cell>
          <cell r="Q1287" t="str">
            <v>New Contract</v>
          </cell>
        </row>
        <row r="1288">
          <cell r="P1288" t="str">
            <v>086162301</v>
          </cell>
          <cell r="Q1288" t="str">
            <v>Renewal (15% in 2020)</v>
          </cell>
        </row>
        <row r="1289">
          <cell r="P1289" t="str">
            <v>021158651</v>
          </cell>
          <cell r="Q1289" t="str">
            <v>New contract</v>
          </cell>
        </row>
        <row r="1290">
          <cell r="P1290" t="str">
            <v>021154121</v>
          </cell>
          <cell r="Q1290" t="str">
            <v>New Contract</v>
          </cell>
        </row>
        <row r="1291">
          <cell r="P1291" t="str">
            <v>031154691</v>
          </cell>
          <cell r="Q1291" t="str">
            <v>New Contract</v>
          </cell>
        </row>
        <row r="1292">
          <cell r="P1292" t="str">
            <v>016162159</v>
          </cell>
          <cell r="Q1292" t="str">
            <v>Renewal (15% in 2020)</v>
          </cell>
        </row>
        <row r="1293">
          <cell r="P1293" t="str">
            <v>079161001</v>
          </cell>
          <cell r="Q1293" t="str">
            <v>New Contract</v>
          </cell>
        </row>
        <row r="1294">
          <cell r="P1294" t="str">
            <v>079006795</v>
          </cell>
          <cell r="Q1294" t="str">
            <v>Renewal (30% in 2020)</v>
          </cell>
        </row>
        <row r="1295">
          <cell r="P1295" t="str">
            <v>086010500</v>
          </cell>
          <cell r="Q1295" t="str">
            <v>New Contract</v>
          </cell>
        </row>
        <row r="1296">
          <cell r="P1296" t="str">
            <v>021010652</v>
          </cell>
          <cell r="Q1296" t="str">
            <v>New contract</v>
          </cell>
        </row>
        <row r="1297">
          <cell r="P1297" t="str">
            <v>021010215</v>
          </cell>
          <cell r="Q1297" t="str">
            <v>New Contract</v>
          </cell>
        </row>
        <row r="1298">
          <cell r="P1298" t="str">
            <v>031160323</v>
          </cell>
          <cell r="Q1298" t="str">
            <v>Renewal (20% in 2020)</v>
          </cell>
        </row>
        <row r="1299">
          <cell r="P1299" t="str">
            <v>039155836</v>
          </cell>
          <cell r="Q1299" t="str">
            <v>Renewal (30% in 2020)</v>
          </cell>
        </row>
        <row r="1300">
          <cell r="P1300" t="str">
            <v>017165919</v>
          </cell>
          <cell r="Q1300" t="str">
            <v>Renewal (25% in 2020)</v>
          </cell>
        </row>
        <row r="1301">
          <cell r="P1301" t="str">
            <v>089011721</v>
          </cell>
          <cell r="Q1301" t="str">
            <v>New contract</v>
          </cell>
        </row>
        <row r="1302">
          <cell r="P1302" t="str">
            <v>021007512</v>
          </cell>
          <cell r="Q1302" t="str">
            <v>New contract</v>
          </cell>
        </row>
        <row r="1303">
          <cell r="P1303" t="str">
            <v>031011458</v>
          </cell>
          <cell r="Q1303" t="str">
            <v>New Contract</v>
          </cell>
        </row>
        <row r="1304">
          <cell r="P1304" t="str">
            <v>070017064</v>
          </cell>
          <cell r="Q1304" t="str">
            <v>Renewal (20% in 2020)</v>
          </cell>
        </row>
        <row r="1305">
          <cell r="P1305" t="str">
            <v>017167222</v>
          </cell>
          <cell r="Q1305" t="str">
            <v>New Contract</v>
          </cell>
        </row>
        <row r="1306">
          <cell r="P1306" t="str">
            <v>086861609</v>
          </cell>
          <cell r="Q1306" t="str">
            <v>New Contract</v>
          </cell>
        </row>
        <row r="1307">
          <cell r="P1307" t="str">
            <v>016162555</v>
          </cell>
          <cell r="Q1307" t="str">
            <v>New Contract</v>
          </cell>
        </row>
        <row r="1308">
          <cell r="P1308" t="str">
            <v>021623235</v>
          </cell>
          <cell r="Q1308" t="str">
            <v>New Contract</v>
          </cell>
        </row>
        <row r="1309">
          <cell r="P1309" t="str">
            <v>087022530</v>
          </cell>
          <cell r="Q1309" t="str">
            <v>Renewal (20% in 2020)</v>
          </cell>
        </row>
        <row r="1310">
          <cell r="P1310" t="str">
            <v>024016642</v>
          </cell>
          <cell r="Q1310" t="str">
            <v>Renewal (20% in 2020)</v>
          </cell>
        </row>
        <row r="1311">
          <cell r="P1311" t="str">
            <v>016004791</v>
          </cell>
          <cell r="Q1311" t="str">
            <v>Renewal (15% in 2020)</v>
          </cell>
        </row>
        <row r="1312">
          <cell r="P1312" t="str">
            <v>003026277</v>
          </cell>
          <cell r="Q1312" t="str">
            <v>Renewal (20% in 2020)</v>
          </cell>
        </row>
        <row r="1313">
          <cell r="P1313" t="str">
            <v>016162143</v>
          </cell>
          <cell r="Q1313" t="str">
            <v>Renewal (25% in 2020)</v>
          </cell>
        </row>
        <row r="1314">
          <cell r="P1314" t="str">
            <v>039156522</v>
          </cell>
          <cell r="Q1314" t="str">
            <v>Renewal (15% in 2020)</v>
          </cell>
        </row>
        <row r="1315">
          <cell r="P1315" t="str">
            <v>055014178</v>
          </cell>
          <cell r="Q1315" t="str">
            <v>Renewal (30% in 2020)</v>
          </cell>
        </row>
        <row r="1316">
          <cell r="P1316" t="str">
            <v>086162681</v>
          </cell>
          <cell r="Q1316" t="str">
            <v>Renewal (25% in 2020)</v>
          </cell>
        </row>
        <row r="1317">
          <cell r="P1317" t="str">
            <v>055014828</v>
          </cell>
          <cell r="Q1317" t="str">
            <v>Renewal (20% in 2020)</v>
          </cell>
        </row>
        <row r="1318">
          <cell r="P1318" t="str">
            <v>079015403</v>
          </cell>
          <cell r="Q1318" t="str">
            <v>Renewal (15% in 2020)</v>
          </cell>
        </row>
        <row r="1319">
          <cell r="P1319" t="str">
            <v>017169509</v>
          </cell>
          <cell r="Q1319" t="str">
            <v>Renewal (25% in 2020)</v>
          </cell>
        </row>
        <row r="1320">
          <cell r="P1320" t="str">
            <v>055013717</v>
          </cell>
          <cell r="Q1320" t="str">
            <v>Renewal (25% in 2020)</v>
          </cell>
        </row>
        <row r="1321">
          <cell r="P1321" t="str">
            <v>070017173</v>
          </cell>
          <cell r="Q1321" t="str">
            <v>Renewal (20% in 2020)</v>
          </cell>
        </row>
        <row r="1322">
          <cell r="P1322" t="str">
            <v>055014695</v>
          </cell>
          <cell r="Q1322" t="str">
            <v>Renewal (25% in 2020)</v>
          </cell>
        </row>
        <row r="1323">
          <cell r="P1323" t="str">
            <v>055003172</v>
          </cell>
          <cell r="Q1323" t="str">
            <v>Renewal (20% in 2020)</v>
          </cell>
        </row>
        <row r="1324">
          <cell r="P1324" t="str">
            <v>016003867</v>
          </cell>
          <cell r="Q1324" t="str">
            <v>Renewal (20% in 2020)</v>
          </cell>
        </row>
        <row r="1325">
          <cell r="P1325" t="str">
            <v>017012529</v>
          </cell>
          <cell r="Q1325" t="str">
            <v>Renewal (20% in 2020)</v>
          </cell>
        </row>
        <row r="1326">
          <cell r="P1326" t="str">
            <v>058007983</v>
          </cell>
          <cell r="Q1326" t="str">
            <v>Renewal (20% in 2020)</v>
          </cell>
        </row>
        <row r="1327">
          <cell r="P1327" t="str">
            <v>079158679</v>
          </cell>
          <cell r="Q1327" t="str">
            <v>Renewal (20% in 2020)</v>
          </cell>
        </row>
        <row r="1328">
          <cell r="P1328" t="str">
            <v>052013076</v>
          </cell>
          <cell r="Q1328" t="str">
            <v>Renewal (20% in 2020)</v>
          </cell>
        </row>
        <row r="1329">
          <cell r="P1329" t="str">
            <v>079156541</v>
          </cell>
          <cell r="Q1329" t="str">
            <v>Renewal (15% in 2020)</v>
          </cell>
        </row>
        <row r="1330">
          <cell r="P1330" t="str">
            <v>039154721</v>
          </cell>
          <cell r="Q1330" t="str">
            <v>Renewal (15% in 2020)</v>
          </cell>
        </row>
        <row r="1331">
          <cell r="P1331" t="str">
            <v>039156577</v>
          </cell>
          <cell r="Q1331" t="str">
            <v>Renewal (20% in 2020)</v>
          </cell>
        </row>
        <row r="1332">
          <cell r="P1332" t="str">
            <v>054008894</v>
          </cell>
          <cell r="Q1332" t="str">
            <v>Renewal (20% in 2020)</v>
          </cell>
        </row>
        <row r="1333">
          <cell r="P1333" t="str">
            <v>055008770</v>
          </cell>
          <cell r="Q1333" t="str">
            <v>Renewal (20% in 2020)</v>
          </cell>
        </row>
        <row r="1334">
          <cell r="P1334" t="str">
            <v>055008770</v>
          </cell>
          <cell r="Q1334" t="str">
            <v>Renewal (20% in 2020)</v>
          </cell>
        </row>
        <row r="1335">
          <cell r="P1335" t="str">
            <v>086164474</v>
          </cell>
          <cell r="Q1335" t="str">
            <v>Renewal (25% in 2020)</v>
          </cell>
        </row>
        <row r="1336">
          <cell r="P1336" t="str">
            <v>023020464</v>
          </cell>
          <cell r="Q1336" t="str">
            <v>Renewal (30% in 2020)</v>
          </cell>
        </row>
        <row r="1337">
          <cell r="P1337" t="str">
            <v>079155897</v>
          </cell>
          <cell r="Q1337" t="str">
            <v>Renewal (15% in 2020)</v>
          </cell>
        </row>
        <row r="1338">
          <cell r="P1338" t="str">
            <v>086014176</v>
          </cell>
          <cell r="Q1338" t="str">
            <v>Renewal (15% in 2020)</v>
          </cell>
        </row>
        <row r="1339">
          <cell r="P1339" t="str">
            <v>039156296</v>
          </cell>
          <cell r="Q1339" t="str">
            <v>New Contract</v>
          </cell>
        </row>
        <row r="1340">
          <cell r="P1340" t="str">
            <v>031006385</v>
          </cell>
          <cell r="Q1340" t="str">
            <v>Renewal (20% in 2020)</v>
          </cell>
        </row>
        <row r="1341">
          <cell r="P1341" t="str">
            <v>016009817</v>
          </cell>
          <cell r="Q1341" t="str">
            <v>Renewal (20% in 2020)</v>
          </cell>
        </row>
        <row r="1342">
          <cell r="P1342" t="str">
            <v>031159489</v>
          </cell>
          <cell r="Q1342" t="str">
            <v>Renewal (15% in 2020)</v>
          </cell>
        </row>
        <row r="1343">
          <cell r="P1343" t="str">
            <v>086161875</v>
          </cell>
          <cell r="Q1343" t="str">
            <v>Renewal (15% in 2020)</v>
          </cell>
        </row>
        <row r="1344">
          <cell r="P1344" t="str">
            <v>032158673</v>
          </cell>
          <cell r="Q1344" t="str">
            <v>Renewal (15% in 2020)</v>
          </cell>
        </row>
        <row r="1345">
          <cell r="P1345" t="str">
            <v>086157300</v>
          </cell>
          <cell r="Q1345" t="str">
            <v>Renewal (15% in 2020)</v>
          </cell>
        </row>
        <row r="1346">
          <cell r="P1346" t="str">
            <v>021161272</v>
          </cell>
          <cell r="Q1346" t="str">
            <v>New Contract</v>
          </cell>
        </row>
        <row r="1347">
          <cell r="P1347" t="str">
            <v>028160041</v>
          </cell>
          <cell r="Q1347" t="str">
            <v>New contract</v>
          </cell>
        </row>
        <row r="1348">
          <cell r="P1348" t="str">
            <v>086164243</v>
          </cell>
          <cell r="Q1348" t="str">
            <v>New Contract</v>
          </cell>
        </row>
        <row r="1349">
          <cell r="P1349" t="str">
            <v>039156619</v>
          </cell>
          <cell r="Q1349" t="str">
            <v>Renewal (15% in 2020)</v>
          </cell>
        </row>
        <row r="1350">
          <cell r="P1350" t="str">
            <v>070011188</v>
          </cell>
          <cell r="Q1350" t="str">
            <v>Renewal (30% in 2020)</v>
          </cell>
        </row>
        <row r="1351">
          <cell r="P1351" t="str">
            <v>021161699</v>
          </cell>
          <cell r="Q1351" t="str">
            <v>New Contract</v>
          </cell>
        </row>
        <row r="1352">
          <cell r="P1352" t="str">
            <v>079157426</v>
          </cell>
          <cell r="Q1352" t="str">
            <v>Renewal (25% in 2020)</v>
          </cell>
        </row>
        <row r="1353">
          <cell r="P1353" t="str">
            <v>032020241</v>
          </cell>
          <cell r="Q1353" t="str">
            <v>Renewal (15% in 2020)</v>
          </cell>
        </row>
        <row r="1354">
          <cell r="P1354" t="str">
            <v>079153553</v>
          </cell>
          <cell r="Q1354" t="str">
            <v>New Contract</v>
          </cell>
        </row>
        <row r="1355">
          <cell r="P1355" t="str">
            <v>071155887</v>
          </cell>
          <cell r="Q1355" t="str">
            <v>Renewal (25% in 2020)</v>
          </cell>
        </row>
        <row r="1356">
          <cell r="P1356" t="str">
            <v>031013552</v>
          </cell>
          <cell r="Q1356" t="str">
            <v>New Contract</v>
          </cell>
        </row>
        <row r="1357">
          <cell r="P1357" t="str">
            <v>047164451</v>
          </cell>
          <cell r="Q1357" t="str">
            <v>Renewal (20% in 2020)</v>
          </cell>
        </row>
        <row r="1358">
          <cell r="P1358" t="str">
            <v>079159128</v>
          </cell>
          <cell r="Q1358" t="str">
            <v>Renewal (25% in 2020)</v>
          </cell>
        </row>
        <row r="1359">
          <cell r="P1359" t="str">
            <v>079009983</v>
          </cell>
          <cell r="Q1359" t="str">
            <v>New Contract</v>
          </cell>
        </row>
        <row r="1360">
          <cell r="P1360" t="str">
            <v>023022463</v>
          </cell>
          <cell r="Q1360" t="str">
            <v>New Contract</v>
          </cell>
        </row>
        <row r="1361">
          <cell r="P1361" t="str">
            <v>086161732</v>
          </cell>
          <cell r="Q1361" t="str">
            <v>Renewal (20% in 2020)</v>
          </cell>
        </row>
        <row r="1362">
          <cell r="P1362" t="str">
            <v>021004260</v>
          </cell>
          <cell r="Q1362" t="str">
            <v>New Contract</v>
          </cell>
        </row>
        <row r="1363">
          <cell r="P1363" t="str">
            <v>079016347</v>
          </cell>
          <cell r="Q1363" t="str">
            <v>Renewal (25% in 2020)</v>
          </cell>
        </row>
        <row r="1364">
          <cell r="P1364" t="str">
            <v>039155463</v>
          </cell>
          <cell r="Q1364" t="str">
            <v>Renewal (25% in 2020)</v>
          </cell>
        </row>
        <row r="1365">
          <cell r="P1365" t="str">
            <v>021011488</v>
          </cell>
          <cell r="Q1365" t="str">
            <v>New contract</v>
          </cell>
        </row>
        <row r="1366">
          <cell r="P1366" t="str">
            <v>071159607</v>
          </cell>
          <cell r="Q1366" t="str">
            <v>Renewal (20% in 2020)</v>
          </cell>
        </row>
        <row r="1367">
          <cell r="P1367" t="str">
            <v>016156280</v>
          </cell>
          <cell r="Q1367" t="str">
            <v>Renewal (15% in 2020)</v>
          </cell>
        </row>
        <row r="1368">
          <cell r="P1368" t="str">
            <v>079155729</v>
          </cell>
          <cell r="Q1368" t="str">
            <v>Renewal (15% in 2020)</v>
          </cell>
        </row>
        <row r="1369">
          <cell r="P1369" t="str">
            <v>076164367</v>
          </cell>
          <cell r="Q1369" t="str">
            <v>Renewal (20% in 2020)</v>
          </cell>
        </row>
        <row r="1370">
          <cell r="P1370" t="str">
            <v>086161150</v>
          </cell>
          <cell r="Q1370" t="str">
            <v>Renewal (15% in 2020)</v>
          </cell>
        </row>
        <row r="1371">
          <cell r="P1371" t="str">
            <v>017008166</v>
          </cell>
          <cell r="Q1371" t="str">
            <v>New contract</v>
          </cell>
        </row>
        <row r="1372">
          <cell r="P1372" t="str">
            <v>086163360</v>
          </cell>
          <cell r="Q1372" t="str">
            <v>Renewal (30% in 2020)</v>
          </cell>
        </row>
        <row r="1373">
          <cell r="P1373" t="str">
            <v>055014400</v>
          </cell>
          <cell r="Q1373" t="str">
            <v>Renewal (25% in 2020)</v>
          </cell>
        </row>
        <row r="1374">
          <cell r="P1374" t="str">
            <v>031160300</v>
          </cell>
          <cell r="Q1374" t="str">
            <v>Renewal (20% in 2020)</v>
          </cell>
        </row>
        <row r="1375">
          <cell r="P1375" t="str">
            <v>055013850</v>
          </cell>
          <cell r="Q1375" t="str">
            <v>Renewal (20% in 2020)</v>
          </cell>
        </row>
        <row r="1376">
          <cell r="P1376" t="str">
            <v>076166232</v>
          </cell>
          <cell r="Q1376" t="str">
            <v>Renewal (20% in 2020)</v>
          </cell>
        </row>
        <row r="1377">
          <cell r="P1377" t="str">
            <v>025004548</v>
          </cell>
          <cell r="Q1377" t="str">
            <v>Renewal (30% in 2020)</v>
          </cell>
        </row>
        <row r="1378">
          <cell r="P1378" t="str">
            <v>082001837</v>
          </cell>
          <cell r="Q1378" t="str">
            <v>New Contract</v>
          </cell>
        </row>
        <row r="1379">
          <cell r="P1379" t="str">
            <v>016000288</v>
          </cell>
          <cell r="Q1379" t="str">
            <v>Renewal (20% in 2020)</v>
          </cell>
        </row>
        <row r="1380">
          <cell r="P1380" t="str">
            <v>051003355</v>
          </cell>
          <cell r="Q1380" t="str">
            <v>New Contract</v>
          </cell>
        </row>
        <row r="1381">
          <cell r="P1381" t="str">
            <v>079156830</v>
          </cell>
          <cell r="Q1381" t="str">
            <v>Renewal (30% in 2020)</v>
          </cell>
        </row>
        <row r="1382">
          <cell r="P1382" t="str">
            <v>086011579</v>
          </cell>
          <cell r="Q1382" t="str">
            <v>Renewal (15% in 2020)</v>
          </cell>
        </row>
        <row r="1383">
          <cell r="P1383" t="str">
            <v>018159066</v>
          </cell>
          <cell r="Q1383" t="str">
            <v>Renewal (20% in 2020)</v>
          </cell>
        </row>
        <row r="1384">
          <cell r="P1384" t="str">
            <v>076159501</v>
          </cell>
          <cell r="Q1384" t="str">
            <v>Renewal (20% in 2020)</v>
          </cell>
        </row>
        <row r="1385">
          <cell r="P1385" t="str">
            <v>052012030</v>
          </cell>
          <cell r="Q1385" t="str">
            <v>Renewal (20% in 2020)</v>
          </cell>
        </row>
        <row r="1386">
          <cell r="P1386" t="str">
            <v>055014063</v>
          </cell>
          <cell r="Q1386" t="str">
            <v>Renewal (20% in 2020)</v>
          </cell>
        </row>
        <row r="1387">
          <cell r="P1387" t="str">
            <v>017001616</v>
          </cell>
          <cell r="Q1387" t="str">
            <v>Renewal (30% in 2020)</v>
          </cell>
        </row>
        <row r="1388">
          <cell r="P1388" t="str">
            <v>024016472</v>
          </cell>
          <cell r="Q1388" t="str">
            <v>Renewal (15% in 2020)</v>
          </cell>
        </row>
        <row r="1389">
          <cell r="P1389" t="str">
            <v>016161569</v>
          </cell>
          <cell r="Q1389" t="str">
            <v>Renewal (15% in 2020)</v>
          </cell>
        </row>
        <row r="1390">
          <cell r="P1390" t="str">
            <v>055010793</v>
          </cell>
          <cell r="Q1390" t="str">
            <v>Renewal (30% in 2020)</v>
          </cell>
        </row>
        <row r="1391">
          <cell r="P1391" t="str">
            <v>079154260</v>
          </cell>
          <cell r="Q1391" t="str">
            <v>Renewal (15% in 2020)</v>
          </cell>
        </row>
        <row r="1392">
          <cell r="P1392" t="str">
            <v>016166361</v>
          </cell>
          <cell r="Q1392" t="str">
            <v>Renewal (15% in 2020)</v>
          </cell>
        </row>
        <row r="1393">
          <cell r="P1393" t="str">
            <v>079010868</v>
          </cell>
          <cell r="Q1393" t="str">
            <v>Renewal (30% in 2020)</v>
          </cell>
        </row>
        <row r="1394">
          <cell r="P1394" t="str">
            <v>027001432</v>
          </cell>
          <cell r="Q1394" t="str">
            <v>Renewal (15% in 2020)</v>
          </cell>
        </row>
        <row r="1395">
          <cell r="P1395" t="str">
            <v>064417691</v>
          </cell>
          <cell r="Q1395" t="str">
            <v>Renewal (20% in 2020)</v>
          </cell>
        </row>
        <row r="1396">
          <cell r="P1396" t="str">
            <v>055014209</v>
          </cell>
          <cell r="Q1396" t="str">
            <v>Renewal (20% in 2020)</v>
          </cell>
        </row>
        <row r="1397">
          <cell r="P1397" t="str">
            <v>054014957</v>
          </cell>
          <cell r="Q1397" t="str">
            <v>Renewal (15% in 2020)</v>
          </cell>
        </row>
        <row r="1398">
          <cell r="P1398" t="str">
            <v>021158821</v>
          </cell>
          <cell r="Q1398" t="str">
            <v>New Contract</v>
          </cell>
        </row>
        <row r="1399">
          <cell r="P1399" t="str">
            <v>016155336</v>
          </cell>
          <cell r="Q1399" t="str">
            <v>Renewal (20% in 2020)</v>
          </cell>
        </row>
        <row r="1400">
          <cell r="P1400" t="str">
            <v>039000087</v>
          </cell>
          <cell r="Q1400" t="str">
            <v>Renewal (20% in 2020)</v>
          </cell>
        </row>
        <row r="1401">
          <cell r="P1401" t="str">
            <v>027160905</v>
          </cell>
          <cell r="Q1401" t="str">
            <v>Renewal (30% in 2020)</v>
          </cell>
        </row>
        <row r="1402">
          <cell r="P1402" t="str">
            <v>027160905</v>
          </cell>
          <cell r="Q1402" t="str">
            <v>Renewal (30% in 2020)</v>
          </cell>
        </row>
        <row r="1403">
          <cell r="P1403" t="str">
            <v>055001751</v>
          </cell>
          <cell r="Q1403" t="str">
            <v>Renewal (20% in 2020)</v>
          </cell>
        </row>
        <row r="1404">
          <cell r="P1404" t="str">
            <v>052011822</v>
          </cell>
          <cell r="Q1404" t="str">
            <v>Renewal (20% in 2020)</v>
          </cell>
        </row>
        <row r="1405">
          <cell r="P1405" t="str">
            <v>016004237</v>
          </cell>
          <cell r="Q1405" t="str">
            <v>Renewal (20% in 2020)</v>
          </cell>
        </row>
        <row r="1406">
          <cell r="P1406" t="str">
            <v>017165554</v>
          </cell>
          <cell r="Q1406" t="str">
            <v>Renewal (15% in 2020)</v>
          </cell>
        </row>
        <row r="1407">
          <cell r="P1407" t="str">
            <v>016004170</v>
          </cell>
          <cell r="Q1407" t="str">
            <v>Renewal (20% in 2020)</v>
          </cell>
        </row>
        <row r="1408">
          <cell r="P1408" t="str">
            <v>039005906</v>
          </cell>
          <cell r="Q1408" t="str">
            <v>Renewal (15% in 2020)</v>
          </cell>
        </row>
        <row r="1409">
          <cell r="P1409" t="str">
            <v>055015382</v>
          </cell>
          <cell r="Q1409" t="str">
            <v>New Contract</v>
          </cell>
        </row>
        <row r="1410">
          <cell r="P1410" t="str">
            <v>052013482</v>
          </cell>
          <cell r="Q1410" t="str">
            <v>Renewal (20% in 2020)</v>
          </cell>
        </row>
        <row r="1411">
          <cell r="P1411" t="str">
            <v>031156132</v>
          </cell>
          <cell r="Q1411" t="str">
            <v>Renewal (15% in 2020)</v>
          </cell>
        </row>
        <row r="1412">
          <cell r="P1412" t="str">
            <v>017167587</v>
          </cell>
          <cell r="Q1412" t="str">
            <v>Renewal (15% in 2020)</v>
          </cell>
        </row>
        <row r="1413">
          <cell r="P1413" t="str">
            <v>058020803</v>
          </cell>
          <cell r="Q1413" t="str">
            <v>Renewal (25% in 2020)</v>
          </cell>
        </row>
        <row r="1414">
          <cell r="P1414" t="str">
            <v>017000900</v>
          </cell>
          <cell r="Q1414" t="str">
            <v>Renewal (25% in 2020)</v>
          </cell>
        </row>
        <row r="1415">
          <cell r="P1415" t="str">
            <v>037160692</v>
          </cell>
          <cell r="Q1415" t="str">
            <v>Renewal (25% in 2020)</v>
          </cell>
        </row>
        <row r="1416">
          <cell r="P1416" t="str">
            <v>016013619</v>
          </cell>
          <cell r="Q1416" t="str">
            <v>Renewal (20% in 2020)</v>
          </cell>
        </row>
        <row r="1417">
          <cell r="P1417" t="str">
            <v>055002386</v>
          </cell>
          <cell r="Q1417" t="str">
            <v>Renewal (30% in 2020)</v>
          </cell>
        </row>
        <row r="1418">
          <cell r="P1418" t="str">
            <v>079157265</v>
          </cell>
          <cell r="Q1418" t="str">
            <v>Renewal (25% in 2020)</v>
          </cell>
        </row>
        <row r="1419">
          <cell r="P1419" t="str">
            <v>055014072</v>
          </cell>
          <cell r="Q1419" t="str">
            <v>Renewal (30% in 2020)</v>
          </cell>
        </row>
        <row r="1420">
          <cell r="P1420" t="str">
            <v>036005432</v>
          </cell>
          <cell r="Q1420" t="str">
            <v>Renewal (25% in 2020)</v>
          </cell>
        </row>
        <row r="1421">
          <cell r="P1421" t="str">
            <v>027157599</v>
          </cell>
          <cell r="Q1421" t="str">
            <v>Renewal (25% in 2020)</v>
          </cell>
        </row>
        <row r="1422">
          <cell r="P1422" t="str">
            <v>086162438</v>
          </cell>
          <cell r="Q1422" t="str">
            <v>Renewal (15% in 2020)</v>
          </cell>
        </row>
        <row r="1423">
          <cell r="P1423" t="str">
            <v>016165184</v>
          </cell>
          <cell r="Q1423" t="str">
            <v>Renewal (20% in 2020)</v>
          </cell>
        </row>
        <row r="1424">
          <cell r="P1424" t="str">
            <v>031013486</v>
          </cell>
          <cell r="Q1424" t="str">
            <v>New contract</v>
          </cell>
        </row>
        <row r="1425">
          <cell r="P1425" t="str">
            <v>016163338</v>
          </cell>
          <cell r="Q1425" t="str">
            <v>New contract</v>
          </cell>
        </row>
        <row r="1426">
          <cell r="P1426" t="str">
            <v>086162366</v>
          </cell>
          <cell r="Q1426" t="str">
            <v>Renewal (15% in 2020)</v>
          </cell>
        </row>
        <row r="1427">
          <cell r="P1427" t="str">
            <v>031160503</v>
          </cell>
          <cell r="Q1427" t="str">
            <v>New contract</v>
          </cell>
        </row>
        <row r="1428">
          <cell r="P1428" t="str">
            <v>017013121</v>
          </cell>
          <cell r="Q1428" t="str">
            <v>Renewal (25% in 2020)</v>
          </cell>
        </row>
        <row r="1429">
          <cell r="P1429" t="str">
            <v>079159324</v>
          </cell>
          <cell r="Q1429" t="str">
            <v>Renewal (25% in 2020)</v>
          </cell>
        </row>
        <row r="1430">
          <cell r="P1430" t="str">
            <v>028158936</v>
          </cell>
          <cell r="Q1430" t="str">
            <v>New contract</v>
          </cell>
        </row>
        <row r="1431">
          <cell r="P1431" t="str">
            <v>016161627</v>
          </cell>
          <cell r="Q1431" t="str">
            <v>New contract</v>
          </cell>
        </row>
        <row r="1432">
          <cell r="P1432" t="str">
            <v>086164562</v>
          </cell>
          <cell r="Q1432" t="str">
            <v>Renewal (30% in 2020)</v>
          </cell>
        </row>
        <row r="1433">
          <cell r="P1433" t="str">
            <v>021215711</v>
          </cell>
          <cell r="Q1433" t="str">
            <v>New contract</v>
          </cell>
        </row>
        <row r="1434">
          <cell r="P1434" t="str">
            <v>086163766</v>
          </cell>
          <cell r="Q1434" t="str">
            <v>Renewal (15% in 2020)</v>
          </cell>
        </row>
        <row r="1435">
          <cell r="P1435" t="str">
            <v>016158858</v>
          </cell>
          <cell r="Q1435" t="str">
            <v>Renewal (15% in 2020)</v>
          </cell>
        </row>
        <row r="1436">
          <cell r="P1436" t="str">
            <v>016158858</v>
          </cell>
          <cell r="Q1436" t="str">
            <v>Renewal (15% in 2020)</v>
          </cell>
        </row>
        <row r="1437">
          <cell r="P1437" t="str">
            <v>023018466</v>
          </cell>
          <cell r="Q1437" t="str">
            <v>New contract</v>
          </cell>
        </row>
        <row r="1438">
          <cell r="P1438" t="str">
            <v>089163802</v>
          </cell>
          <cell r="Q1438" t="str">
            <v>New contract</v>
          </cell>
        </row>
        <row r="1439">
          <cell r="P1439" t="str">
            <v>036158824</v>
          </cell>
          <cell r="Q1439" t="str">
            <v>Renewal (20% in 2020)</v>
          </cell>
        </row>
        <row r="1440">
          <cell r="P1440" t="str">
            <v>055012166</v>
          </cell>
          <cell r="Q1440" t="str">
            <v>Renewal (30% in 2020)</v>
          </cell>
        </row>
        <row r="1441">
          <cell r="P1441" t="str">
            <v>036161341</v>
          </cell>
          <cell r="Q1441" t="str">
            <v>Renewal (25% in 2020)</v>
          </cell>
        </row>
        <row r="1442">
          <cell r="P1442" t="str">
            <v>086164215</v>
          </cell>
          <cell r="Q1442" t="str">
            <v>Renewal (30% in 2020)</v>
          </cell>
        </row>
        <row r="1443">
          <cell r="P1443" t="str">
            <v>076166020</v>
          </cell>
          <cell r="Q1443" t="str">
            <v>Renewal (30% in 2020)</v>
          </cell>
        </row>
        <row r="1444">
          <cell r="P1444" t="str">
            <v>055014151</v>
          </cell>
          <cell r="Q1444" t="str">
            <v>New Contract</v>
          </cell>
        </row>
        <row r="1445">
          <cell r="P1445" t="str">
            <v>016156350</v>
          </cell>
          <cell r="Q1445" t="str">
            <v>Renewal (15% in 2020)</v>
          </cell>
        </row>
        <row r="1446">
          <cell r="P1446" t="str">
            <v>018155781</v>
          </cell>
          <cell r="Q1446" t="str">
            <v>Renewal (25% in 2020)</v>
          </cell>
        </row>
        <row r="1447">
          <cell r="P1447" t="str">
            <v>031159941</v>
          </cell>
          <cell r="Q1447" t="str">
            <v>New Contract</v>
          </cell>
        </row>
        <row r="1448">
          <cell r="P1448" t="str">
            <v>031014696</v>
          </cell>
          <cell r="Q1448" t="str">
            <v>New Contract</v>
          </cell>
        </row>
        <row r="1449">
          <cell r="P1449" t="str">
            <v>070012287</v>
          </cell>
          <cell r="Q1449" t="str">
            <v>Renewal (20% in 2020)</v>
          </cell>
        </row>
        <row r="1450">
          <cell r="P1450" t="str">
            <v>031157929</v>
          </cell>
          <cell r="Q1450" t="str">
            <v>New Contract</v>
          </cell>
        </row>
        <row r="1451">
          <cell r="P1451" t="str">
            <v>087010044</v>
          </cell>
          <cell r="Q1451" t="str">
            <v>New Contract</v>
          </cell>
        </row>
        <row r="1452">
          <cell r="P1452" t="str">
            <v>079011702</v>
          </cell>
          <cell r="Q1452" t="str">
            <v>Renewal (25% in 2020)</v>
          </cell>
        </row>
        <row r="1453">
          <cell r="P1453" t="str">
            <v>086160247</v>
          </cell>
          <cell r="Q1453" t="str">
            <v>Renewal (25% in 2020)</v>
          </cell>
        </row>
        <row r="1454">
          <cell r="P1454" t="str">
            <v>032158772</v>
          </cell>
          <cell r="Q1454" t="str">
            <v>Renewal (15% in 2020)</v>
          </cell>
        </row>
        <row r="1455">
          <cell r="P1455" t="str">
            <v>086160754</v>
          </cell>
          <cell r="Q1455" t="str">
            <v>Renewal (15% in 2020)</v>
          </cell>
        </row>
        <row r="1456">
          <cell r="P1456" t="str">
            <v>016161998</v>
          </cell>
          <cell r="Q1456" t="str">
            <v>Renewal (20% in 2020)</v>
          </cell>
        </row>
        <row r="1457">
          <cell r="P1457" t="str">
            <v>089008505</v>
          </cell>
          <cell r="Q1457" t="str">
            <v>New Contract</v>
          </cell>
        </row>
        <row r="1458">
          <cell r="P1458" t="str">
            <v>016161683</v>
          </cell>
          <cell r="Q1458" t="str">
            <v>Renewal (25% in 2020)</v>
          </cell>
        </row>
        <row r="1459">
          <cell r="P1459" t="str">
            <v>027158907</v>
          </cell>
          <cell r="Q1459" t="str">
            <v>Renewal (20% in 2020)</v>
          </cell>
        </row>
        <row r="1460">
          <cell r="P1460" t="str">
            <v>045013432</v>
          </cell>
          <cell r="Q1460" t="str">
            <v>Renewal (25% in 2020)</v>
          </cell>
        </row>
        <row r="1461">
          <cell r="P1461" t="str">
            <v>060005043</v>
          </cell>
          <cell r="Q1461" t="str">
            <v>Renewal (20% in 2020)</v>
          </cell>
        </row>
        <row r="1462">
          <cell r="P1462" t="str">
            <v>058017974</v>
          </cell>
          <cell r="Q1462" t="str">
            <v>Renewal (25% in 2020)</v>
          </cell>
        </row>
        <row r="1463">
          <cell r="P1463" t="str">
            <v>031013490</v>
          </cell>
          <cell r="Q1463" t="str">
            <v>Renewal (15% in 2020)</v>
          </cell>
        </row>
        <row r="1464">
          <cell r="P1464" t="str">
            <v>039005970</v>
          </cell>
          <cell r="Q1464" t="str">
            <v>Renewal (20% in 2020)</v>
          </cell>
        </row>
        <row r="1465">
          <cell r="P1465" t="str">
            <v>086163965</v>
          </cell>
          <cell r="Q1465" t="str">
            <v>Renewal (15% in 2020)</v>
          </cell>
        </row>
        <row r="1466">
          <cell r="P1466" t="str">
            <v>086015849</v>
          </cell>
          <cell r="Q1466" t="str">
            <v>Renewal (20% in 2020)</v>
          </cell>
        </row>
        <row r="1467">
          <cell r="P1467" t="str">
            <v>025019383</v>
          </cell>
          <cell r="Q1467" t="str">
            <v>Renewal (15% in 2020)</v>
          </cell>
        </row>
        <row r="1468">
          <cell r="P1468" t="str">
            <v>089153143</v>
          </cell>
          <cell r="Q1468" t="str">
            <v>New Contract</v>
          </cell>
        </row>
        <row r="1469">
          <cell r="P1469" t="str">
            <v>002161067</v>
          </cell>
          <cell r="Q1469" t="str">
            <v>Renewal (20% in 2020)</v>
          </cell>
        </row>
        <row r="1470">
          <cell r="P1470" t="str">
            <v>054014264</v>
          </cell>
          <cell r="Q1470" t="str">
            <v>Renewal (25% in 2020)</v>
          </cell>
        </row>
        <row r="1471">
          <cell r="P1471" t="str">
            <v>070002244</v>
          </cell>
          <cell r="Q1471" t="str">
            <v>Renewal (15% in 2020)</v>
          </cell>
        </row>
        <row r="1472">
          <cell r="P1472" t="str">
            <v>039154371</v>
          </cell>
          <cell r="Q1472" t="str">
            <v>Renewal (30% in 2020)</v>
          </cell>
        </row>
        <row r="1473">
          <cell r="P1473" t="str">
            <v>086162955</v>
          </cell>
          <cell r="Q1473" t="str">
            <v>Renewal (20% in 2020)</v>
          </cell>
        </row>
        <row r="1474">
          <cell r="P1474" t="str">
            <v>079014953</v>
          </cell>
          <cell r="Q1474" t="str">
            <v>Renewal (30% in 2020)</v>
          </cell>
        </row>
        <row r="1475">
          <cell r="P1475" t="str">
            <v>086164080</v>
          </cell>
          <cell r="Q1475" t="str">
            <v>Renewal (15% in 2020)</v>
          </cell>
        </row>
        <row r="1476">
          <cell r="P1476" t="str">
            <v>016160396</v>
          </cell>
          <cell r="Q1476" t="str">
            <v>Renewal (15% in 2020)</v>
          </cell>
        </row>
        <row r="1477">
          <cell r="P1477" t="str">
            <v>016164016</v>
          </cell>
          <cell r="Q1477" t="str">
            <v>Renewal (15% in 2020)</v>
          </cell>
        </row>
        <row r="1478">
          <cell r="P1478" t="str">
            <v>079152504</v>
          </cell>
          <cell r="Q1478" t="str">
            <v>Renewal (15% in 2020)</v>
          </cell>
        </row>
        <row r="1479">
          <cell r="P1479" t="str">
            <v>055008404</v>
          </cell>
          <cell r="Q1479" t="str">
            <v>New Contract</v>
          </cell>
        </row>
        <row r="1480">
          <cell r="P1480" t="str">
            <v>016158988</v>
          </cell>
          <cell r="Q1480" t="str">
            <v>New Contract</v>
          </cell>
        </row>
        <row r="1481">
          <cell r="P1481" t="str">
            <v>031018461</v>
          </cell>
          <cell r="Q1481" t="str">
            <v>Renewal (15% in 2020)</v>
          </cell>
        </row>
        <row r="1482">
          <cell r="P1482" t="str">
            <v>082006318</v>
          </cell>
          <cell r="Q1482" t="str">
            <v>New Contract</v>
          </cell>
        </row>
        <row r="1483">
          <cell r="P1483" t="str">
            <v>079006390</v>
          </cell>
          <cell r="Q1483" t="str">
            <v>Renewal (15% in 2020)</v>
          </cell>
        </row>
        <row r="1484">
          <cell r="P1484" t="str">
            <v>016164519</v>
          </cell>
          <cell r="Q1484" t="str">
            <v>Renewal (15% in 2020)</v>
          </cell>
        </row>
        <row r="1485">
          <cell r="P1485" t="str">
            <v>021007346</v>
          </cell>
          <cell r="Q1485" t="str">
            <v>New Contract</v>
          </cell>
        </row>
        <row r="1486">
          <cell r="P1486" t="str">
            <v>031152802</v>
          </cell>
          <cell r="Q1486" t="str">
            <v>New Contract</v>
          </cell>
        </row>
        <row r="1487">
          <cell r="P1487" t="str">
            <v>071012053</v>
          </cell>
          <cell r="Q1487" t="str">
            <v>Renewal (25% in 2020)</v>
          </cell>
        </row>
        <row r="1488">
          <cell r="P1488" t="str">
            <v>021156021</v>
          </cell>
          <cell r="Q1488" t="str">
            <v>New Contract</v>
          </cell>
        </row>
        <row r="1489">
          <cell r="P1489" t="str">
            <v>016165607</v>
          </cell>
          <cell r="Q1489" t="str">
            <v>New Contract</v>
          </cell>
        </row>
        <row r="1490">
          <cell r="P1490" t="str">
            <v>016160062</v>
          </cell>
          <cell r="Q1490" t="str">
            <v>New Contract</v>
          </cell>
        </row>
        <row r="1491">
          <cell r="P1491" t="str">
            <v>017166886</v>
          </cell>
          <cell r="Q1491" t="str">
            <v>Renewal (25% in 2020)</v>
          </cell>
        </row>
        <row r="1492">
          <cell r="P1492" t="str">
            <v>064019520</v>
          </cell>
          <cell r="Q1492" t="str">
            <v>Renewal (25% in 2020)</v>
          </cell>
        </row>
        <row r="1493">
          <cell r="P1493" t="str">
            <v>079156259</v>
          </cell>
          <cell r="Q1493" t="str">
            <v>Renewal (30% in 2020)</v>
          </cell>
        </row>
        <row r="1494">
          <cell r="P1494" t="str">
            <v>086006822</v>
          </cell>
          <cell r="Q1494" t="str">
            <v>Renewal (15% in 2020)</v>
          </cell>
        </row>
        <row r="1495">
          <cell r="P1495" t="str">
            <v>041002956</v>
          </cell>
          <cell r="Q1495" t="str">
            <v>Renewal (25% in 2020)</v>
          </cell>
        </row>
        <row r="1496">
          <cell r="P1496" t="str">
            <v>065154825</v>
          </cell>
          <cell r="Q1496" t="str">
            <v>Renewal (20% in 2020)</v>
          </cell>
        </row>
        <row r="1497">
          <cell r="P1497" t="str">
            <v>071161077</v>
          </cell>
          <cell r="Q1497" t="str">
            <v>Renewal (25% in 2020)</v>
          </cell>
        </row>
        <row r="1498">
          <cell r="P1498" t="str">
            <v>039152062</v>
          </cell>
          <cell r="Q1498" t="str">
            <v>Renewal (15% in 2020)</v>
          </cell>
        </row>
        <row r="1499">
          <cell r="P1499" t="str">
            <v>055014826</v>
          </cell>
          <cell r="Q1499" t="str">
            <v>Renewal (15% in 2020)</v>
          </cell>
        </row>
        <row r="1500">
          <cell r="P1500" t="str">
            <v>017166281</v>
          </cell>
          <cell r="Q1500" t="str">
            <v>Renewal (30% in 2020)</v>
          </cell>
        </row>
        <row r="1501">
          <cell r="P1501" t="str">
            <v>017161949</v>
          </cell>
          <cell r="Q1501" t="str">
            <v>Renewal (25% in 2020)</v>
          </cell>
        </row>
        <row r="1502">
          <cell r="P1502" t="str">
            <v>016003683</v>
          </cell>
          <cell r="Q1502" t="str">
            <v>Renewal (15% in 2020)</v>
          </cell>
        </row>
        <row r="1503">
          <cell r="P1503" t="str">
            <v>016005423</v>
          </cell>
          <cell r="Q1503" t="str">
            <v>Renewal (15% in 2020)</v>
          </cell>
        </row>
        <row r="1504">
          <cell r="P1504" t="str">
            <v>017155498</v>
          </cell>
          <cell r="Q1504" t="str">
            <v>Renewal (20% in 2020)</v>
          </cell>
        </row>
        <row r="1505">
          <cell r="P1505" t="str">
            <v>037157846</v>
          </cell>
          <cell r="Q1505" t="str">
            <v>Renewal (20% in 2020)</v>
          </cell>
        </row>
        <row r="1506">
          <cell r="P1506" t="str">
            <v>037157846</v>
          </cell>
          <cell r="Q1506" t="str">
            <v>Renewal (20% in 2020)</v>
          </cell>
        </row>
        <row r="1507">
          <cell r="P1507" t="str">
            <v>039155070</v>
          </cell>
          <cell r="Q1507" t="str">
            <v>Renewal (30% in 2020)</v>
          </cell>
        </row>
        <row r="1508">
          <cell r="P1508" t="str">
            <v>017163423</v>
          </cell>
          <cell r="Q1508" t="str">
            <v>Renewal (20% in 2020)</v>
          </cell>
        </row>
        <row r="1509">
          <cell r="P1509" t="str">
            <v>017163423</v>
          </cell>
          <cell r="Q1509" t="str">
            <v>Renewal (20% in 2020)</v>
          </cell>
        </row>
        <row r="1510">
          <cell r="P1510" t="str">
            <v>079154631</v>
          </cell>
          <cell r="Q1510" t="str">
            <v>Renewal (15% in 2020)</v>
          </cell>
        </row>
        <row r="1511">
          <cell r="P1511" t="str">
            <v>016160157</v>
          </cell>
          <cell r="Q1511" t="str">
            <v>Renewal (20% in 2020)</v>
          </cell>
        </row>
        <row r="1512">
          <cell r="P1512" t="str">
            <v>028003939</v>
          </cell>
          <cell r="Q1512" t="str">
            <v>Renewal (25% in 2020)</v>
          </cell>
        </row>
        <row r="1513">
          <cell r="P1513" t="str">
            <v>055008323</v>
          </cell>
          <cell r="Q1513" t="str">
            <v>Renewal (25% in 2020)</v>
          </cell>
        </row>
        <row r="1514">
          <cell r="P1514" t="str">
            <v>055015666</v>
          </cell>
          <cell r="Q1514" t="str">
            <v>Renewal (15% in 2020)</v>
          </cell>
        </row>
        <row r="1515">
          <cell r="P1515" t="str">
            <v>086007886</v>
          </cell>
          <cell r="Q1515" t="str">
            <v>Renewal (30% in 2020)</v>
          </cell>
        </row>
        <row r="1516">
          <cell r="P1516" t="str">
            <v>079160610</v>
          </cell>
          <cell r="Q1516" t="str">
            <v>Renewal (20% in 2020)</v>
          </cell>
        </row>
        <row r="1517">
          <cell r="P1517" t="str">
            <v>016158032</v>
          </cell>
          <cell r="Q1517" t="str">
            <v>Renewal (30% in 2020)</v>
          </cell>
        </row>
        <row r="1518">
          <cell r="P1518" t="str">
            <v>070009117</v>
          </cell>
          <cell r="Q1518" t="str">
            <v>Renewal (15% in 2020)</v>
          </cell>
        </row>
        <row r="1519">
          <cell r="P1519" t="str">
            <v>079152162</v>
          </cell>
          <cell r="Q1519" t="str">
            <v>Renewal (30% in 2020)</v>
          </cell>
        </row>
        <row r="1520">
          <cell r="P1520" t="str">
            <v>086015736</v>
          </cell>
          <cell r="Q1520" t="str">
            <v>Renewal (25% in 2020)</v>
          </cell>
        </row>
        <row r="1521">
          <cell r="P1521" t="str">
            <v>079159629</v>
          </cell>
          <cell r="Q1521" t="str">
            <v>Renewal (15% in 2020)</v>
          </cell>
        </row>
        <row r="1522">
          <cell r="P1522" t="str">
            <v>055002018</v>
          </cell>
          <cell r="Q1522" t="str">
            <v>Renewal (20% in 2020)</v>
          </cell>
        </row>
        <row r="1523">
          <cell r="P1523" t="str">
            <v>079012000</v>
          </cell>
          <cell r="Q1523" t="str">
            <v>Renewal (30% in 2020)</v>
          </cell>
        </row>
        <row r="1524">
          <cell r="P1524" t="str">
            <v>079159678</v>
          </cell>
          <cell r="Q1524" t="str">
            <v>Renewal (30% in 2020)</v>
          </cell>
        </row>
        <row r="1525">
          <cell r="P1525" t="str">
            <v>079159180</v>
          </cell>
          <cell r="Q1525" t="str">
            <v>Renewal (20% in 2020)</v>
          </cell>
        </row>
        <row r="1526">
          <cell r="P1526" t="str">
            <v>078564587</v>
          </cell>
          <cell r="Q1526" t="str">
            <v>New Contract</v>
          </cell>
        </row>
        <row r="1527">
          <cell r="P1527" t="str">
            <v>055014605</v>
          </cell>
          <cell r="Q1527" t="str">
            <v>Renewal (30% in 2020)</v>
          </cell>
        </row>
        <row r="1528">
          <cell r="P1528" t="str">
            <v>021999999</v>
          </cell>
          <cell r="Q1528" t="str">
            <v>New Contract</v>
          </cell>
        </row>
        <row r="1529">
          <cell r="P1529" t="str">
            <v>031159300</v>
          </cell>
          <cell r="Q1529" t="str">
            <v>Renewal (15% in 2020)</v>
          </cell>
        </row>
        <row r="1530">
          <cell r="P1530" t="str">
            <v>064167654</v>
          </cell>
          <cell r="Q1530" t="str">
            <v>New Contract</v>
          </cell>
        </row>
        <row r="1531">
          <cell r="P1531" t="str">
            <v>016004953</v>
          </cell>
          <cell r="Q1531" t="str">
            <v>Renewal (20% in 2020)</v>
          </cell>
        </row>
        <row r="1532">
          <cell r="P1532" t="str">
            <v>017156886</v>
          </cell>
          <cell r="Q1532" t="str">
            <v>Renewal (15% in 2020)</v>
          </cell>
        </row>
        <row r="1533">
          <cell r="P1533" t="str">
            <v>017013449</v>
          </cell>
          <cell r="Q1533" t="str">
            <v>Renewal (25% in 2020)</v>
          </cell>
        </row>
        <row r="1534">
          <cell r="P1534" t="str">
            <v>021161738</v>
          </cell>
          <cell r="Q1534" t="str">
            <v>New Contract</v>
          </cell>
        </row>
        <row r="1535">
          <cell r="P1535" t="str">
            <v>086007053</v>
          </cell>
          <cell r="Q1535" t="str">
            <v>Renewal (15% in 2020)</v>
          </cell>
        </row>
        <row r="1536">
          <cell r="P1536" t="str">
            <v>086015229</v>
          </cell>
          <cell r="Q1536" t="str">
            <v>Renewal (15% in 2020)</v>
          </cell>
        </row>
        <row r="1537">
          <cell r="P1537" t="str">
            <v>016014849</v>
          </cell>
          <cell r="Q1537" t="str">
            <v>Renewal (15% in 2020)</v>
          </cell>
        </row>
        <row r="1538">
          <cell r="P1538" t="str">
            <v>021159099</v>
          </cell>
          <cell r="Q1538" t="str">
            <v>New Contract</v>
          </cell>
        </row>
        <row r="1539">
          <cell r="P1539" t="str">
            <v>031156333</v>
          </cell>
          <cell r="Q1539" t="str">
            <v>New Contract</v>
          </cell>
        </row>
        <row r="1540">
          <cell r="P1540" t="str">
            <v>079013062</v>
          </cell>
          <cell r="Q1540" t="str">
            <v>Renewal (20% in 2020)</v>
          </cell>
        </row>
        <row r="1541">
          <cell r="P1541" t="str">
            <v>055013658</v>
          </cell>
          <cell r="Q1541" t="str">
            <v>Renewal (15% in 2020)</v>
          </cell>
        </row>
        <row r="1542">
          <cell r="P1542" t="str">
            <v>079014666</v>
          </cell>
          <cell r="Q1542" t="str">
            <v>Renewal (15% in 2020)</v>
          </cell>
        </row>
        <row r="1543">
          <cell r="P1543" t="str">
            <v>064166432</v>
          </cell>
          <cell r="Q1543" t="str">
            <v>Renewal (20% in 2020)</v>
          </cell>
        </row>
        <row r="1544">
          <cell r="P1544" t="str">
            <v>021159846</v>
          </cell>
          <cell r="Q1544" t="str">
            <v>New Contract</v>
          </cell>
        </row>
        <row r="1545">
          <cell r="P1545" t="str">
            <v>031158370</v>
          </cell>
          <cell r="Q1545" t="str">
            <v>Renewal (15% in 2020)</v>
          </cell>
        </row>
        <row r="1546">
          <cell r="P1546" t="str">
            <v>052004575</v>
          </cell>
          <cell r="Q1546" t="str">
            <v>Renewal (20% in 2020)</v>
          </cell>
        </row>
        <row r="1547">
          <cell r="P1547" t="str">
            <v>031155909</v>
          </cell>
          <cell r="Q1547" t="str">
            <v>Renewal (15% in 2020)</v>
          </cell>
        </row>
        <row r="1548">
          <cell r="P1548" t="str">
            <v>081014743</v>
          </cell>
          <cell r="Q1548" t="str">
            <v>Renewal (30% in 2020)</v>
          </cell>
        </row>
        <row r="1549">
          <cell r="P1549" t="str">
            <v>017006057</v>
          </cell>
          <cell r="Q1549" t="str">
            <v>Renewal (20% in 2020)</v>
          </cell>
        </row>
        <row r="1550">
          <cell r="P1550" t="str">
            <v>055015825</v>
          </cell>
          <cell r="Q1550" t="str">
            <v>Renewal (15% in 2020)</v>
          </cell>
        </row>
        <row r="1551">
          <cell r="P1551" t="str">
            <v>031018265</v>
          </cell>
          <cell r="Q1551" t="str">
            <v>Renewal (15% in 2020)</v>
          </cell>
        </row>
        <row r="1552">
          <cell r="P1552" t="str">
            <v>031160179</v>
          </cell>
          <cell r="Q1552" t="str">
            <v>New Contract</v>
          </cell>
        </row>
        <row r="1553">
          <cell r="P1553" t="str">
            <v>017165171</v>
          </cell>
          <cell r="Q1553" t="str">
            <v>New Contract</v>
          </cell>
        </row>
        <row r="1554">
          <cell r="P1554" t="str">
            <v>021155404</v>
          </cell>
          <cell r="Q1554" t="str">
            <v>New Contract</v>
          </cell>
        </row>
        <row r="1555">
          <cell r="P1555" t="str">
            <v>036159936</v>
          </cell>
          <cell r="Q1555" t="str">
            <v>Renewal (15% in 2020)</v>
          </cell>
        </row>
        <row r="1556">
          <cell r="P1556" t="str">
            <v>021159430</v>
          </cell>
          <cell r="Q1556" t="str">
            <v>New Contract</v>
          </cell>
        </row>
        <row r="1557">
          <cell r="P1557" t="str">
            <v>070014113</v>
          </cell>
          <cell r="Q1557" t="str">
            <v>New Contract</v>
          </cell>
        </row>
        <row r="1558">
          <cell r="P1558" t="str">
            <v>082021199</v>
          </cell>
          <cell r="Q1558" t="str">
            <v>New Contract</v>
          </cell>
        </row>
        <row r="1559">
          <cell r="P1559" t="str">
            <v>040156379</v>
          </cell>
          <cell r="Q1559" t="str">
            <v>Renewal (25% in 2020)</v>
          </cell>
        </row>
        <row r="1560">
          <cell r="P1560" t="str">
            <v>086163975</v>
          </cell>
          <cell r="Q1560" t="str">
            <v>Renewal (20% in 2020)</v>
          </cell>
        </row>
        <row r="1561">
          <cell r="P1561" t="str">
            <v>079159030</v>
          </cell>
          <cell r="Q1561" t="str">
            <v>New contract</v>
          </cell>
        </row>
        <row r="1562">
          <cell r="P1562" t="str">
            <v>079003262</v>
          </cell>
          <cell r="Q1562" t="str">
            <v>New contract</v>
          </cell>
        </row>
        <row r="1563">
          <cell r="P1563" t="str">
            <v>079003262</v>
          </cell>
          <cell r="Q1563" t="str">
            <v>New contract</v>
          </cell>
        </row>
        <row r="1564">
          <cell r="P1564" t="str">
            <v>086163491</v>
          </cell>
          <cell r="Q1564" t="str">
            <v>Renewal (20% in 2020)</v>
          </cell>
        </row>
        <row r="1565">
          <cell r="P1565" t="str">
            <v>086160400</v>
          </cell>
          <cell r="Q1565" t="str">
            <v>Renewal (30% in 2020)</v>
          </cell>
        </row>
        <row r="1566">
          <cell r="P1566" t="str">
            <v>064172327</v>
          </cell>
          <cell r="Q1566" t="str">
            <v>New Contract</v>
          </cell>
        </row>
        <row r="1567">
          <cell r="P1567" t="str">
            <v>032020167</v>
          </cell>
          <cell r="Q1567" t="str">
            <v>Renewal (25% in 2020)</v>
          </cell>
        </row>
        <row r="1568">
          <cell r="P1568" t="str">
            <v>032164335</v>
          </cell>
          <cell r="Q1568" t="str">
            <v>Renewal (15% in 2020)</v>
          </cell>
        </row>
        <row r="1569">
          <cell r="P1569" t="str">
            <v>021156878</v>
          </cell>
          <cell r="Q1569" t="str">
            <v>New Contract</v>
          </cell>
        </row>
        <row r="1570">
          <cell r="P1570" t="str">
            <v>054014815</v>
          </cell>
          <cell r="Q1570" t="str">
            <v>Renewal (20% in 2020)</v>
          </cell>
        </row>
        <row r="1571">
          <cell r="P1571" t="str">
            <v>016014163</v>
          </cell>
          <cell r="Q1571" t="str">
            <v>Renewal (20% in 2020)</v>
          </cell>
        </row>
        <row r="1572">
          <cell r="P1572" t="str">
            <v>036155530</v>
          </cell>
          <cell r="Q1572" t="str">
            <v>Renewal (20% in 2020)</v>
          </cell>
        </row>
        <row r="1573">
          <cell r="P1573" t="str">
            <v>032020167</v>
          </cell>
          <cell r="Q1573" t="str">
            <v>Renewal (25% in 2020)</v>
          </cell>
        </row>
        <row r="1574">
          <cell r="P1574" t="str">
            <v>064009945</v>
          </cell>
          <cell r="Q1574" t="str">
            <v>Renewal (20% in 2020)</v>
          </cell>
        </row>
        <row r="1575">
          <cell r="P1575" t="str">
            <v>031157952</v>
          </cell>
          <cell r="Q1575" t="str">
            <v>Renewal (15% in 2020)</v>
          </cell>
        </row>
        <row r="1576">
          <cell r="P1576" t="str">
            <v>032168632</v>
          </cell>
          <cell r="Q1576" t="str">
            <v>Renewal (20% in 2020)</v>
          </cell>
        </row>
        <row r="1577">
          <cell r="P1577" t="str">
            <v>032170262</v>
          </cell>
          <cell r="Q1577" t="str">
            <v>Renewal (25% in 2020)</v>
          </cell>
        </row>
        <row r="1578">
          <cell r="P1578" t="str">
            <v>079155960</v>
          </cell>
          <cell r="Q1578" t="str">
            <v>Renewal (25% in 2020)</v>
          </cell>
        </row>
        <row r="1579">
          <cell r="P1579" t="str">
            <v>076162136</v>
          </cell>
          <cell r="Q1579" t="str">
            <v>Renewal (15% in 2020)</v>
          </cell>
        </row>
        <row r="1580">
          <cell r="P1580" t="str">
            <v>016164094</v>
          </cell>
          <cell r="Q1580" t="str">
            <v>Renewal (20% in 2020)</v>
          </cell>
        </row>
        <row r="1581">
          <cell r="P1581" t="str">
            <v>086157736</v>
          </cell>
          <cell r="Q1581" t="str">
            <v>Renewal (15% in 2020)</v>
          </cell>
        </row>
        <row r="1582">
          <cell r="P1582" t="str">
            <v>079017688</v>
          </cell>
          <cell r="Q1582" t="str">
            <v>Renewal (15% in 2020)</v>
          </cell>
        </row>
        <row r="1583">
          <cell r="P1583" t="str">
            <v>086163018</v>
          </cell>
          <cell r="Q1583" t="str">
            <v>Renewal (15% in 2020)</v>
          </cell>
        </row>
        <row r="1584">
          <cell r="P1584" t="str">
            <v>086160891</v>
          </cell>
          <cell r="Q1584" t="str">
            <v>Renewal (15% in 2020)</v>
          </cell>
        </row>
        <row r="1585">
          <cell r="P1585" t="str">
            <v>071011279</v>
          </cell>
          <cell r="Q1585" t="str">
            <v>Renewal (20% in 2020)</v>
          </cell>
        </row>
        <row r="1586">
          <cell r="P1586" t="str">
            <v>017161184</v>
          </cell>
          <cell r="Q1586" t="str">
            <v>Renewal (15% in 2020)</v>
          </cell>
        </row>
        <row r="1587">
          <cell r="P1587" t="str">
            <v>086014631</v>
          </cell>
          <cell r="Q1587" t="str">
            <v>Renewal (15% in 2020)</v>
          </cell>
        </row>
        <row r="1588">
          <cell r="P1588" t="str">
            <v>017166007</v>
          </cell>
          <cell r="Q1588" t="str">
            <v>Renewal (15% in 2020)</v>
          </cell>
        </row>
        <row r="1589">
          <cell r="P1589" t="str">
            <v>079161478</v>
          </cell>
          <cell r="Q1589" t="str">
            <v>New contract</v>
          </cell>
        </row>
        <row r="1590">
          <cell r="P1590" t="str">
            <v>031158828</v>
          </cell>
          <cell r="Q1590" t="str">
            <v>Renewal (15% in 2020)</v>
          </cell>
        </row>
        <row r="1591">
          <cell r="P1591" t="str">
            <v>017164655</v>
          </cell>
          <cell r="Q1591" t="str">
            <v>Renewal (15% in 2020)</v>
          </cell>
        </row>
        <row r="1592">
          <cell r="P1592" t="str">
            <v>086162301</v>
          </cell>
          <cell r="Q1592" t="str">
            <v>Renewal (15% in 2020)</v>
          </cell>
        </row>
        <row r="1593">
          <cell r="P1593" t="str">
            <v>079161001</v>
          </cell>
          <cell r="Q1593" t="str">
            <v>New Contract</v>
          </cell>
        </row>
        <row r="1594">
          <cell r="P1594" t="str">
            <v>031156757</v>
          </cell>
          <cell r="Q1594" t="str">
            <v>Renewal (15% in 2020)</v>
          </cell>
        </row>
        <row r="1595">
          <cell r="P1595" t="str">
            <v>017012529</v>
          </cell>
          <cell r="Q1595" t="str">
            <v>Renewal (20% in 2020)</v>
          </cell>
        </row>
        <row r="1596">
          <cell r="P1596" t="str">
            <v>058007983</v>
          </cell>
          <cell r="Q1596" t="str">
            <v>Renewal (20% in 2020)</v>
          </cell>
        </row>
        <row r="1597">
          <cell r="P1597" t="str">
            <v>086014176</v>
          </cell>
          <cell r="Q1597" t="str">
            <v>Renewal (15% in 2020)</v>
          </cell>
        </row>
        <row r="1598">
          <cell r="P1598" t="str">
            <v>016162211</v>
          </cell>
          <cell r="Q1598" t="str">
            <v>Renewal (20% in 2020)</v>
          </cell>
        </row>
        <row r="1599">
          <cell r="P1599" t="str">
            <v>086161150</v>
          </cell>
          <cell r="Q1599" t="str">
            <v>Renewal (15% in 2020)</v>
          </cell>
        </row>
        <row r="1600">
          <cell r="P1600" t="str">
            <v>021161276</v>
          </cell>
          <cell r="Q1600" t="str">
            <v>New Contract</v>
          </cell>
        </row>
        <row r="1601">
          <cell r="P1601" t="str">
            <v>031156132</v>
          </cell>
          <cell r="Q1601" t="str">
            <v>Renewal (15% in 2020)</v>
          </cell>
        </row>
        <row r="1602">
          <cell r="P1602" t="str">
            <v>027157599</v>
          </cell>
          <cell r="Q1602" t="str">
            <v>Renewal (25% in 2020)</v>
          </cell>
        </row>
        <row r="1603">
          <cell r="P1603" t="str">
            <v>016005748</v>
          </cell>
          <cell r="Q1603" t="str">
            <v>Renewal (30% in 2020)</v>
          </cell>
        </row>
        <row r="1604">
          <cell r="P1604" t="str">
            <v>036158824</v>
          </cell>
          <cell r="Q1604" t="str">
            <v>Renewal (20% in 2020)</v>
          </cell>
        </row>
        <row r="1605">
          <cell r="P1605" t="str">
            <v>036161341</v>
          </cell>
          <cell r="Q1605" t="str">
            <v>Renewal (25% in 2020)</v>
          </cell>
        </row>
        <row r="1606">
          <cell r="P1606" t="str">
            <v>024034120</v>
          </cell>
          <cell r="Q1606" t="str">
            <v>Renewal (30% in 2020)</v>
          </cell>
        </row>
        <row r="1607">
          <cell r="P1607" t="str">
            <v>016161998</v>
          </cell>
          <cell r="Q1607" t="str">
            <v>Renewal (20% in 2020)</v>
          </cell>
        </row>
        <row r="1608">
          <cell r="P1608" t="str">
            <v>031013490</v>
          </cell>
          <cell r="Q1608" t="str">
            <v>Renewal (15% in 2020)</v>
          </cell>
        </row>
        <row r="1609">
          <cell r="P1609" t="str">
            <v>086163461</v>
          </cell>
          <cell r="Q1609" t="str">
            <v>Renewal (20% in 2020)</v>
          </cell>
        </row>
        <row r="1610">
          <cell r="P1610" t="str">
            <v>079014953</v>
          </cell>
          <cell r="Q1610" t="str">
            <v>Renewal (30% in 2020)</v>
          </cell>
        </row>
        <row r="1611">
          <cell r="P1611" t="str">
            <v>024037183</v>
          </cell>
          <cell r="Q1611" t="str">
            <v>Renewal (15% in 2020)</v>
          </cell>
        </row>
        <row r="1612">
          <cell r="P1612" t="str">
            <v>031152889</v>
          </cell>
          <cell r="Q1612" t="str">
            <v>Renewal (25% in 2020)</v>
          </cell>
        </row>
        <row r="1613">
          <cell r="P1613" t="str">
            <v>017155498</v>
          </cell>
          <cell r="Q1613" t="str">
            <v>Renewal (20% in 2020)</v>
          </cell>
        </row>
        <row r="1614">
          <cell r="P1614" t="str">
            <v>079159180</v>
          </cell>
          <cell r="Q1614" t="str">
            <v>Renewal (20% in 2020)</v>
          </cell>
        </row>
        <row r="1615">
          <cell r="P1615" t="str">
            <v>011163042</v>
          </cell>
          <cell r="Q1615" t="str">
            <v>Renewal (25% in 2020)</v>
          </cell>
        </row>
        <row r="1616">
          <cell r="P1616" t="str">
            <v>033175402</v>
          </cell>
          <cell r="Q1616" t="str">
            <v>New Contract</v>
          </cell>
        </row>
        <row r="1617">
          <cell r="P1617" t="str">
            <v>082021199</v>
          </cell>
          <cell r="Q1617" t="str">
            <v>New Contract</v>
          </cell>
        </row>
        <row r="1618">
          <cell r="P1618" t="str">
            <v>079157626</v>
          </cell>
          <cell r="Q1618" t="str">
            <v>Renewal (20% in 2020)</v>
          </cell>
        </row>
        <row r="1619">
          <cell r="P1619" t="str">
            <v>079013544</v>
          </cell>
          <cell r="Q1619" t="str">
            <v>Renewal (20% in 2020)</v>
          </cell>
        </row>
        <row r="1620">
          <cell r="P1620" t="str">
            <v>032167606</v>
          </cell>
          <cell r="Q1620" t="str">
            <v>Renewal (25% in 2020)</v>
          </cell>
        </row>
        <row r="1621">
          <cell r="P1621" t="str">
            <v>031157455</v>
          </cell>
          <cell r="Q1621" t="str">
            <v>Renewal (25% in 2020)</v>
          </cell>
        </row>
        <row r="1622">
          <cell r="P1622" t="str">
            <v>032169467</v>
          </cell>
          <cell r="Q1622" t="str">
            <v>Renewal (25% in 2020)</v>
          </cell>
        </row>
        <row r="1623">
          <cell r="P1623" t="str">
            <v>027161911</v>
          </cell>
          <cell r="Q1623" t="str">
            <v>Renewal (15% in 2020)</v>
          </cell>
        </row>
        <row r="1624">
          <cell r="P1624" t="str">
            <v>079003262</v>
          </cell>
          <cell r="Q1624" t="str">
            <v>New contract</v>
          </cell>
        </row>
        <row r="1625">
          <cell r="P1625" t="str">
            <v>091004453</v>
          </cell>
          <cell r="Q1625" t="str">
            <v>Renewal (20% in 2020)</v>
          </cell>
        </row>
        <row r="1626">
          <cell r="P1626" t="str">
            <v>091004453</v>
          </cell>
          <cell r="Q1626" t="str">
            <v>Renewal (20% in 2020)</v>
          </cell>
        </row>
        <row r="1627">
          <cell r="P1627" t="str">
            <v>086160733</v>
          </cell>
          <cell r="Q1627" t="str">
            <v>Renewal (20% in 2020)</v>
          </cell>
        </row>
        <row r="1628">
          <cell r="P1628" t="str">
            <v>032168645</v>
          </cell>
          <cell r="Q1628" t="str">
            <v>New contract</v>
          </cell>
        </row>
        <row r="1629">
          <cell r="P1629" t="str">
            <v>036160782</v>
          </cell>
          <cell r="Q1629" t="str">
            <v>New Contract</v>
          </cell>
        </row>
        <row r="1630">
          <cell r="P1630" t="str">
            <v>079155226</v>
          </cell>
          <cell r="Q1630" t="str">
            <v>Renewal (15% in 2020)</v>
          </cell>
        </row>
        <row r="1631">
          <cell r="P1631" t="str">
            <v>079158320</v>
          </cell>
          <cell r="Q1631" t="str">
            <v>Renewal (30% in 2020)</v>
          </cell>
        </row>
        <row r="1632">
          <cell r="P1632" t="str">
            <v>079015396</v>
          </cell>
          <cell r="Q1632" t="str">
            <v>Renewal (15% in 2020)</v>
          </cell>
        </row>
        <row r="1633">
          <cell r="P1633" t="str">
            <v>079155960</v>
          </cell>
          <cell r="Q1633" t="str">
            <v>Renewal (25% in 2020)</v>
          </cell>
        </row>
        <row r="1634">
          <cell r="P1634" t="str">
            <v>064010750</v>
          </cell>
          <cell r="Q1634" t="str">
            <v>Renewal (25% in 2020)</v>
          </cell>
        </row>
        <row r="1635">
          <cell r="P1635" t="str">
            <v>079156685</v>
          </cell>
          <cell r="Q1635" t="str">
            <v>Renewal (20% in 2020)</v>
          </cell>
        </row>
        <row r="1636">
          <cell r="P1636" t="str">
            <v>021009338</v>
          </cell>
          <cell r="Q1636" t="str">
            <v>New Contract</v>
          </cell>
        </row>
        <row r="1637">
          <cell r="P1637" t="str">
            <v>079006795</v>
          </cell>
          <cell r="Q1637" t="str">
            <v>Renewal (30% in 2020)</v>
          </cell>
        </row>
        <row r="1638">
          <cell r="P1638" t="str">
            <v>079155729</v>
          </cell>
          <cell r="Q1638" t="str">
            <v>Renewal (15% in 2020)</v>
          </cell>
        </row>
        <row r="1639">
          <cell r="P1639" t="str">
            <v>076164367</v>
          </cell>
          <cell r="Q1639" t="str">
            <v>Renewal (20% in 2020)</v>
          </cell>
        </row>
        <row r="1640">
          <cell r="P1640" t="str">
            <v>021004588</v>
          </cell>
          <cell r="Q1640" t="str">
            <v>New Contract</v>
          </cell>
        </row>
        <row r="1641">
          <cell r="P1641" t="str">
            <v>089163802</v>
          </cell>
          <cell r="Q1641" t="str">
            <v>New contract</v>
          </cell>
        </row>
        <row r="1642">
          <cell r="P1642" t="str">
            <v>016158988</v>
          </cell>
          <cell r="Q1642" t="str">
            <v>New Contract</v>
          </cell>
        </row>
        <row r="1643">
          <cell r="P1643" t="str">
            <v>016156461</v>
          </cell>
          <cell r="Q1643" t="str">
            <v>Renewal (25% in 2020)</v>
          </cell>
        </row>
        <row r="1644">
          <cell r="P1644" t="str">
            <v>079159180</v>
          </cell>
          <cell r="Q1644" t="str">
            <v>Renewal (20% in 2020)</v>
          </cell>
        </row>
        <row r="1645">
          <cell r="P1645" t="str">
            <v>031155536</v>
          </cell>
          <cell r="Q1645" t="str">
            <v>Renewal (25% in 2020)</v>
          </cell>
        </row>
        <row r="1646">
          <cell r="P1646" t="str">
            <v>079157626</v>
          </cell>
          <cell r="Q1646" t="str">
            <v>Renewal (20% in 2020)</v>
          </cell>
        </row>
        <row r="1647">
          <cell r="P1647" t="str">
            <v>079013544</v>
          </cell>
          <cell r="Q1647" t="str">
            <v>Renewal (20% in 2020)</v>
          </cell>
        </row>
        <row r="1648">
          <cell r="P1648" t="str">
            <v>040156379</v>
          </cell>
          <cell r="Q1648" t="str">
            <v>Renewal (25% in 2020)</v>
          </cell>
        </row>
        <row r="1649">
          <cell r="P1649" t="str">
            <v>079160258</v>
          </cell>
          <cell r="Q1649" t="str">
            <v>Renewal (25% in 2020)</v>
          </cell>
        </row>
        <row r="1650">
          <cell r="P1650" t="str">
            <v>032162742</v>
          </cell>
          <cell r="Q1650" t="str">
            <v>Renewal (15% in 2020)</v>
          </cell>
        </row>
        <row r="1651">
          <cell r="P1651" t="str">
            <v>027161911</v>
          </cell>
          <cell r="Q1651" t="str">
            <v>Renewal (15% in 2020)</v>
          </cell>
        </row>
        <row r="1652">
          <cell r="P1652" t="str">
            <v>079151335</v>
          </cell>
          <cell r="Q1652" t="str">
            <v>Renewal (20% in 2020)</v>
          </cell>
        </row>
        <row r="1653">
          <cell r="P1653" t="str">
            <v>032160100</v>
          </cell>
          <cell r="Q1653" t="str">
            <v>Renewal (15% in 2020)</v>
          </cell>
        </row>
        <row r="1654">
          <cell r="P1654" t="str">
            <v>091003650</v>
          </cell>
          <cell r="Q1654" t="str">
            <v>Renewal (25% in 2020)</v>
          </cell>
        </row>
        <row r="1655">
          <cell r="P1655" t="str">
            <v>032000000</v>
          </cell>
          <cell r="Q1655" t="str">
            <v>New Contract</v>
          </cell>
        </row>
        <row r="1656">
          <cell r="P1656" t="str">
            <v>079003262</v>
          </cell>
          <cell r="Q1656" t="str">
            <v>New contract</v>
          </cell>
        </row>
        <row r="1657">
          <cell r="P1657" t="str">
            <v>016162366</v>
          </cell>
          <cell r="Q1657" t="str">
            <v>New contract</v>
          </cell>
        </row>
        <row r="1658">
          <cell r="P1658" t="str">
            <v>047172004</v>
          </cell>
          <cell r="Q1658" t="str">
            <v>New Contract</v>
          </cell>
        </row>
        <row r="1659">
          <cell r="P1659" t="str">
            <v>032019210</v>
          </cell>
          <cell r="Q1659" t="str">
            <v>New contract</v>
          </cell>
        </row>
        <row r="1660">
          <cell r="P1660" t="str">
            <v>021157491</v>
          </cell>
          <cell r="Q1660" t="str">
            <v>New Contract</v>
          </cell>
        </row>
        <row r="1661">
          <cell r="P1661" t="str">
            <v>021161087</v>
          </cell>
          <cell r="Q1661" t="str">
            <v>New Contract</v>
          </cell>
        </row>
        <row r="1662">
          <cell r="P1662" t="str">
            <v>021156878</v>
          </cell>
          <cell r="Q1662" t="str">
            <v>New Contract</v>
          </cell>
        </row>
        <row r="1663">
          <cell r="P1663" t="str">
            <v>079155960</v>
          </cell>
          <cell r="Q1663" t="str">
            <v>Renewal (25% in 2020)</v>
          </cell>
        </row>
        <row r="1664">
          <cell r="P1664" t="str">
            <v>086161549</v>
          </cell>
          <cell r="Q1664" t="str">
            <v>Renewal (15% in 2020)</v>
          </cell>
        </row>
        <row r="1665">
          <cell r="P1665" t="str">
            <v>017169123</v>
          </cell>
          <cell r="Q1665" t="str">
            <v>Renewal (25% in 2020)</v>
          </cell>
        </row>
        <row r="1666">
          <cell r="P1666" t="str">
            <v>086157031</v>
          </cell>
          <cell r="Q1666" t="str">
            <v>Renewal (15% in 2020)</v>
          </cell>
        </row>
        <row r="1667">
          <cell r="P1667" t="str">
            <v>052006567</v>
          </cell>
          <cell r="Q1667" t="str">
            <v>Renewal (25% in 2020)</v>
          </cell>
        </row>
        <row r="1668">
          <cell r="P1668" t="str">
            <v>016156752</v>
          </cell>
          <cell r="Q1668" t="str">
            <v>Renewal (15% in 2020)</v>
          </cell>
        </row>
        <row r="1669">
          <cell r="P1669" t="str">
            <v>086014631</v>
          </cell>
          <cell r="Q1669" t="str">
            <v>Renewal (15% in 2020)</v>
          </cell>
        </row>
        <row r="1670">
          <cell r="P1670" t="str">
            <v>086157796</v>
          </cell>
          <cell r="Q1670" t="str">
            <v>Renewal (25% in 2020)</v>
          </cell>
        </row>
        <row r="1671">
          <cell r="P1671" t="str">
            <v>021010652</v>
          </cell>
          <cell r="Q1671" t="str">
            <v>New contract</v>
          </cell>
        </row>
        <row r="1672">
          <cell r="P1672" t="str">
            <v>021010215</v>
          </cell>
          <cell r="Q1672" t="str">
            <v>New Contract</v>
          </cell>
        </row>
        <row r="1673">
          <cell r="P1673" t="str">
            <v>086161150</v>
          </cell>
          <cell r="Q1673" t="str">
            <v>Renewal (15% in 2020)</v>
          </cell>
        </row>
        <row r="1674">
          <cell r="P1674" t="str">
            <v>055015231</v>
          </cell>
          <cell r="Q1674" t="str">
            <v>Renewal (30% in 2020)</v>
          </cell>
        </row>
        <row r="1675">
          <cell r="P1675" t="str">
            <v>052012030</v>
          </cell>
          <cell r="Q1675" t="str">
            <v>Renewal (20% in 2020)</v>
          </cell>
        </row>
        <row r="1676">
          <cell r="P1676" t="str">
            <v>016166361</v>
          </cell>
          <cell r="Q1676" t="str">
            <v>Renewal (15% in 2020)</v>
          </cell>
        </row>
        <row r="1677">
          <cell r="P1677" t="str">
            <v>054014957</v>
          </cell>
          <cell r="Q1677" t="str">
            <v>Renewal (15% in 2020)</v>
          </cell>
        </row>
        <row r="1678">
          <cell r="P1678" t="str">
            <v>016155336</v>
          </cell>
          <cell r="Q1678" t="str">
            <v>Renewal (20% in 2020)</v>
          </cell>
        </row>
        <row r="1679">
          <cell r="P1679" t="str">
            <v>021010669</v>
          </cell>
          <cell r="Q1679" t="str">
            <v>New contract</v>
          </cell>
        </row>
        <row r="1680">
          <cell r="P1680" t="str">
            <v>025019383</v>
          </cell>
          <cell r="Q1680" t="str">
            <v>Renewal (15% in 2020)</v>
          </cell>
        </row>
        <row r="1681">
          <cell r="P1681" t="str">
            <v>055014044</v>
          </cell>
          <cell r="Q1681" t="str">
            <v>New Contract</v>
          </cell>
        </row>
        <row r="1682">
          <cell r="P1682" t="str">
            <v>079013062</v>
          </cell>
          <cell r="Q1682" t="str">
            <v>Renewal (20% in 2020)</v>
          </cell>
        </row>
        <row r="1683">
          <cell r="P1683" t="str">
            <v>055013658</v>
          </cell>
          <cell r="Q1683" t="str">
            <v>Renewal (15% in 2020)</v>
          </cell>
        </row>
        <row r="1684">
          <cell r="P1684" t="str">
            <v>031155536</v>
          </cell>
          <cell r="Q1684" t="str">
            <v>Renewal (25% in 2020)</v>
          </cell>
        </row>
        <row r="1685">
          <cell r="P1685" t="str">
            <v>079151335</v>
          </cell>
          <cell r="Q1685" t="str">
            <v>Renewal (20% in 2020)</v>
          </cell>
        </row>
        <row r="1686">
          <cell r="P1686" t="str">
            <v>086163975</v>
          </cell>
          <cell r="Q1686" t="str">
            <v>Renewal (20% in 2020)</v>
          </cell>
        </row>
        <row r="1687">
          <cell r="P1687" t="str">
            <v>032168645</v>
          </cell>
          <cell r="Q1687" t="str">
            <v>New contract</v>
          </cell>
        </row>
        <row r="1688">
          <cell r="P1688" t="str">
            <v>014030251</v>
          </cell>
          <cell r="Q1688" t="str">
            <v>Renewal (20% in 2020)</v>
          </cell>
        </row>
        <row r="1689">
          <cell r="P1689" t="str">
            <v>076159696</v>
          </cell>
          <cell r="Q1689" t="str">
            <v>Renewal (25% in 2020)</v>
          </cell>
        </row>
        <row r="1690">
          <cell r="P1690" t="str">
            <v>076160945</v>
          </cell>
          <cell r="Q1690" t="str">
            <v>Renewal (20% in 2020)</v>
          </cell>
        </row>
        <row r="1691">
          <cell r="P1691" t="str">
            <v>076162136</v>
          </cell>
          <cell r="Q1691" t="str">
            <v>Renewal (15% in 2020)</v>
          </cell>
        </row>
        <row r="1692">
          <cell r="P1692" t="str">
            <v>080151057</v>
          </cell>
          <cell r="Q1692" t="str">
            <v>Renewal (25% in 2020)</v>
          </cell>
        </row>
        <row r="1693">
          <cell r="P1693" t="str">
            <v>076003626</v>
          </cell>
          <cell r="Q1693" t="str">
            <v>Renewal (25% in 2020)</v>
          </cell>
        </row>
        <row r="1694">
          <cell r="P1694" t="str">
            <v>027007089</v>
          </cell>
          <cell r="Q1694" t="str">
            <v>Renewal (30% in 2020)</v>
          </cell>
        </row>
        <row r="1695">
          <cell r="P1695" t="str">
            <v>076160593</v>
          </cell>
          <cell r="Q1695" t="str">
            <v>Renewal (25% in 2020)</v>
          </cell>
        </row>
        <row r="1696">
          <cell r="P1696" t="str">
            <v>076164367</v>
          </cell>
          <cell r="Q1696" t="str">
            <v>Renewal (20% in 2020)</v>
          </cell>
        </row>
        <row r="1697">
          <cell r="P1697" t="str">
            <v>076166232</v>
          </cell>
          <cell r="Q1697" t="str">
            <v>Renewal (20% in 2020)</v>
          </cell>
        </row>
        <row r="1698">
          <cell r="P1698" t="str">
            <v>076159501</v>
          </cell>
          <cell r="Q1698" t="str">
            <v>Renewal (20% in 2020)</v>
          </cell>
        </row>
        <row r="1699">
          <cell r="P1699" t="str">
            <v>027160905</v>
          </cell>
          <cell r="Q1699" t="str">
            <v>Renewal (30% in 2020)</v>
          </cell>
        </row>
        <row r="1700">
          <cell r="P1700" t="str">
            <v>076166020</v>
          </cell>
          <cell r="Q1700" t="str">
            <v>Renewal (30% in 2020)</v>
          </cell>
        </row>
        <row r="1701">
          <cell r="P1701" t="str">
            <v>076162201</v>
          </cell>
          <cell r="Q1701" t="str">
            <v>Renewal (30% in 2020)</v>
          </cell>
        </row>
        <row r="1702">
          <cell r="P1702" t="str">
            <v>027158907</v>
          </cell>
          <cell r="Q1702" t="str">
            <v>Renewal (20% in 2020)</v>
          </cell>
        </row>
        <row r="1703">
          <cell r="P1703" t="str">
            <v>027161911</v>
          </cell>
          <cell r="Q1703" t="str">
            <v>Renewal (15% in 2020)</v>
          </cell>
        </row>
        <row r="1704">
          <cell r="P1704" t="str">
            <v>052004575</v>
          </cell>
          <cell r="Q1704" t="str">
            <v>Renewal (20% in 2020)</v>
          </cell>
        </row>
        <row r="1705">
          <cell r="P1705" t="str">
            <v>016160963</v>
          </cell>
          <cell r="Q1705" t="str">
            <v>Renewal (15% in 2020)</v>
          </cell>
        </row>
        <row r="1706">
          <cell r="P1706" t="str">
            <v>016155336</v>
          </cell>
          <cell r="Q1706" t="str">
            <v>Renewal (20% in 2020)</v>
          </cell>
        </row>
        <row r="1707">
          <cell r="P1707" t="str">
            <v>016004953</v>
          </cell>
          <cell r="Q1707" t="str">
            <v>Renewal (20% in 2020)</v>
          </cell>
        </row>
        <row r="1708">
          <cell r="P1708" t="str">
            <v>079156224</v>
          </cell>
          <cell r="Q1708" t="str">
            <v>Renewal (20% in 2020)</v>
          </cell>
        </row>
        <row r="1709">
          <cell r="P1709" t="str">
            <v>016166361</v>
          </cell>
          <cell r="Q1709" t="str">
            <v>Renewal (15% in 2020)</v>
          </cell>
        </row>
        <row r="1710">
          <cell r="P1710" t="str">
            <v>040156379</v>
          </cell>
          <cell r="Q1710" t="str">
            <v>Renewal (25% in 2020)</v>
          </cell>
        </row>
        <row r="1711">
          <cell r="P1711" t="str">
            <v>064167091</v>
          </cell>
          <cell r="Q1711" t="str">
            <v>Renewal (20% in 2020)</v>
          </cell>
        </row>
        <row r="1712">
          <cell r="P1712" t="str">
            <v>064172859</v>
          </cell>
          <cell r="Q1712" t="str">
            <v>Renewal (15% in 2020)</v>
          </cell>
        </row>
        <row r="1713">
          <cell r="P1713" t="str">
            <v>064007686</v>
          </cell>
          <cell r="Q1713" t="str">
            <v>Renewal (25% in 2020)</v>
          </cell>
        </row>
        <row r="1714">
          <cell r="P1714" t="str">
            <v>064010531</v>
          </cell>
          <cell r="Q1714" t="str">
            <v>Renewal (25% in 2020)</v>
          </cell>
        </row>
        <row r="1715">
          <cell r="P1715" t="str">
            <v>040177076</v>
          </cell>
          <cell r="Q1715" t="str">
            <v>Renewal (25% in 2020)</v>
          </cell>
        </row>
        <row r="1716">
          <cell r="P1716" t="str">
            <v>064163975</v>
          </cell>
          <cell r="Q1716" t="str">
            <v>Renewal (25% in 2020)</v>
          </cell>
        </row>
        <row r="1717">
          <cell r="P1717" t="str">
            <v>064168480</v>
          </cell>
          <cell r="Q1717" t="str">
            <v>Renewal (15% in 2020)</v>
          </cell>
        </row>
        <row r="1718">
          <cell r="P1718" t="str">
            <v>086006501</v>
          </cell>
          <cell r="Q1718" t="str">
            <v>Renewal (15% in 2020)</v>
          </cell>
        </row>
        <row r="1719">
          <cell r="P1719" t="str">
            <v>016164553</v>
          </cell>
          <cell r="Q1719" t="str">
            <v>Renewal (25% in 2020)</v>
          </cell>
        </row>
        <row r="1720">
          <cell r="P1720" t="str">
            <v>079017688</v>
          </cell>
          <cell r="Q1720" t="str">
            <v>Renewal (15% in 2020)</v>
          </cell>
        </row>
        <row r="1721">
          <cell r="P1721" t="str">
            <v>017163031</v>
          </cell>
          <cell r="Q1721" t="str">
            <v>Renewal (30% in 2020)</v>
          </cell>
        </row>
        <row r="1722">
          <cell r="P1722" t="str">
            <v>031158368</v>
          </cell>
          <cell r="Q1722" t="str">
            <v>Renewal (15% in 2020)</v>
          </cell>
        </row>
        <row r="1723">
          <cell r="P1723" t="str">
            <v>031157622</v>
          </cell>
          <cell r="Q1723" t="str">
            <v>Renewal (25% in 2020)</v>
          </cell>
        </row>
        <row r="1724">
          <cell r="P1724" t="str">
            <v>086007543</v>
          </cell>
          <cell r="Q1724" t="str">
            <v>Renewal (25% in 2020)</v>
          </cell>
        </row>
        <row r="1725">
          <cell r="P1725" t="str">
            <v>016165087</v>
          </cell>
          <cell r="Q1725" t="str">
            <v>Renewal (15% in 2020)</v>
          </cell>
        </row>
        <row r="1726">
          <cell r="P1726" t="str">
            <v>079159324</v>
          </cell>
          <cell r="Q1726" t="str">
            <v>Renewal (25% in 2020)</v>
          </cell>
        </row>
        <row r="1727">
          <cell r="P1727" t="str">
            <v>016158858</v>
          </cell>
          <cell r="Q1727" t="str">
            <v>Renewal (15% in 2020)</v>
          </cell>
        </row>
        <row r="1728">
          <cell r="P1728" t="str">
            <v>086164215</v>
          </cell>
          <cell r="Q1728" t="str">
            <v>Renewal (30% in 2020)</v>
          </cell>
        </row>
        <row r="1729">
          <cell r="P1729" t="str">
            <v>086160247</v>
          </cell>
          <cell r="Q1729" t="str">
            <v>Renewal (25% in 2020)</v>
          </cell>
        </row>
        <row r="1730">
          <cell r="P1730" t="str">
            <v>086015849</v>
          </cell>
          <cell r="Q1730" t="str">
            <v>Renewal (20% in 2020)</v>
          </cell>
        </row>
        <row r="1731">
          <cell r="P1731" t="str">
            <v>086162955</v>
          </cell>
          <cell r="Q1731" t="str">
            <v>Renewal (20% in 2020)</v>
          </cell>
        </row>
        <row r="1732">
          <cell r="P1732" t="str">
            <v>031159300</v>
          </cell>
          <cell r="Q1732" t="str">
            <v>Renewal (15% in 2020)</v>
          </cell>
        </row>
        <row r="1733">
          <cell r="P1733" t="str">
            <v>017158365</v>
          </cell>
          <cell r="Q1733" t="str">
            <v>Renewal (20% in 2020)</v>
          </cell>
        </row>
        <row r="1734">
          <cell r="P1734" t="str">
            <v>033175402</v>
          </cell>
          <cell r="Q1734" t="str">
            <v>New Contract</v>
          </cell>
        </row>
        <row r="1735">
          <cell r="P1735" t="str">
            <v>058020357</v>
          </cell>
          <cell r="Q1735" t="str">
            <v>Renewal (30% in 2020)</v>
          </cell>
        </row>
        <row r="1736">
          <cell r="P1736" t="str">
            <v>054014815</v>
          </cell>
          <cell r="Q1736" t="str">
            <v>Renewal (20% in 2020)</v>
          </cell>
        </row>
        <row r="1737">
          <cell r="P1737" t="str">
            <v>021155541</v>
          </cell>
          <cell r="Q1737" t="str">
            <v>New Contract</v>
          </cell>
        </row>
        <row r="1738">
          <cell r="P1738" t="str">
            <v>070010979</v>
          </cell>
          <cell r="Q1738" t="str">
            <v>Renewal (20% in 2020)</v>
          </cell>
        </row>
        <row r="1739">
          <cell r="P1739" t="str">
            <v>052011964</v>
          </cell>
          <cell r="Q1739" t="str">
            <v>Renewal (15% in 2020)</v>
          </cell>
        </row>
        <row r="1740">
          <cell r="P1740" t="str">
            <v>036160699</v>
          </cell>
          <cell r="Q1740" t="str">
            <v>Renewal (15% in 2020)</v>
          </cell>
        </row>
        <row r="1741">
          <cell r="P1741" t="str">
            <v>036160699</v>
          </cell>
          <cell r="Q1741" t="str">
            <v>Renewal (15% in 2020)</v>
          </cell>
        </row>
        <row r="1742">
          <cell r="P1742" t="str">
            <v>036155530</v>
          </cell>
          <cell r="Q1742" t="str">
            <v>Renewal (20% in 2020)</v>
          </cell>
        </row>
        <row r="1743">
          <cell r="P1743" t="str">
            <v>070011177</v>
          </cell>
          <cell r="Q1743" t="str">
            <v>Renewal (20% in 2020)</v>
          </cell>
        </row>
        <row r="1744">
          <cell r="P1744" t="str">
            <v>025004079</v>
          </cell>
          <cell r="Q1744" t="str">
            <v>Renewal (25% in 2020)</v>
          </cell>
        </row>
        <row r="1745">
          <cell r="P1745" t="str">
            <v>070013049</v>
          </cell>
          <cell r="Q1745" t="str">
            <v>Renewal (15% in 2020)</v>
          </cell>
        </row>
        <row r="1746">
          <cell r="P1746" t="str">
            <v>090000951</v>
          </cell>
          <cell r="Q1746" t="str">
            <v>Renewal (20% in 2020)</v>
          </cell>
        </row>
        <row r="1747">
          <cell r="P1747" t="str">
            <v>064022399</v>
          </cell>
          <cell r="Q1747" t="str">
            <v>Renewal (20% in 2020)</v>
          </cell>
        </row>
        <row r="1748">
          <cell r="P1748" t="str">
            <v>016166818</v>
          </cell>
          <cell r="Q1748" t="str">
            <v>Renewal (15% in 2020)</v>
          </cell>
        </row>
        <row r="1749">
          <cell r="P1749" t="str">
            <v>024037008</v>
          </cell>
          <cell r="Q1749" t="str">
            <v>Renewal (30% in 2020)</v>
          </cell>
        </row>
        <row r="1750">
          <cell r="P1750" t="str">
            <v>079015396</v>
          </cell>
          <cell r="Q1750" t="str">
            <v>Renewal (15% in 2020)</v>
          </cell>
        </row>
        <row r="1751">
          <cell r="P1751" t="str">
            <v>032163994</v>
          </cell>
          <cell r="Q1751" t="str">
            <v>Renewal (15% in 2020)</v>
          </cell>
        </row>
        <row r="1752">
          <cell r="P1752" t="str">
            <v>055014031</v>
          </cell>
          <cell r="Q1752" t="str">
            <v>New Contract</v>
          </cell>
        </row>
        <row r="1753">
          <cell r="P1753" t="str">
            <v>040177076</v>
          </cell>
          <cell r="Q1753" t="str">
            <v>Renewal (25% in 2020)</v>
          </cell>
        </row>
        <row r="1754">
          <cell r="P1754" t="str">
            <v>064022401</v>
          </cell>
          <cell r="Q1754" t="str">
            <v>Renewal (20% in 2020)</v>
          </cell>
        </row>
        <row r="1755">
          <cell r="P1755" t="str">
            <v>016161822</v>
          </cell>
          <cell r="Q1755" t="str">
            <v>Renewal (20% in 2020)</v>
          </cell>
        </row>
        <row r="1756">
          <cell r="P1756" t="str">
            <v>055004868</v>
          </cell>
          <cell r="Q1756" t="str">
            <v>Renewal (20% in 2020)</v>
          </cell>
        </row>
        <row r="1757">
          <cell r="P1757" t="str">
            <v>079012303</v>
          </cell>
          <cell r="Q1757" t="str">
            <v>Renewal (30% in 2020)</v>
          </cell>
        </row>
        <row r="1758">
          <cell r="P1758" t="str">
            <v>024024373</v>
          </cell>
          <cell r="Q1758" t="str">
            <v>Renewal (15% in 2020)</v>
          </cell>
        </row>
        <row r="1759">
          <cell r="P1759" t="str">
            <v>017162735</v>
          </cell>
          <cell r="Q1759" t="str">
            <v>Renewal (25% in 2020)</v>
          </cell>
        </row>
        <row r="1760">
          <cell r="P1760" t="str">
            <v>016014189</v>
          </cell>
          <cell r="Q1760" t="str">
            <v>Renewal (25% in 2020)</v>
          </cell>
        </row>
        <row r="1761">
          <cell r="P1761" t="str">
            <v>079012836</v>
          </cell>
          <cell r="Q1761" t="str">
            <v>Renewal (25% in 2020)</v>
          </cell>
        </row>
        <row r="1762">
          <cell r="P1762" t="str">
            <v>024010470</v>
          </cell>
          <cell r="Q1762" t="str">
            <v>Renewal (15% in 2020)</v>
          </cell>
        </row>
        <row r="1763">
          <cell r="P1763" t="str">
            <v>064007686</v>
          </cell>
          <cell r="Q1763" t="str">
            <v>Renewal (25% in 2020)</v>
          </cell>
        </row>
        <row r="1764">
          <cell r="P1764" t="str">
            <v>064008863</v>
          </cell>
          <cell r="Q1764" t="str">
            <v>Renewal (15% in 2020)</v>
          </cell>
        </row>
        <row r="1765">
          <cell r="P1765" t="str">
            <v>076003626</v>
          </cell>
          <cell r="Q1765" t="str">
            <v>Renewal (25% in 2020)</v>
          </cell>
        </row>
        <row r="1766">
          <cell r="P1766" t="str">
            <v>024004449</v>
          </cell>
          <cell r="Q1766" t="str">
            <v>Renewal (20% in 2020)</v>
          </cell>
        </row>
        <row r="1767">
          <cell r="P1767" t="str">
            <v>031159414</v>
          </cell>
          <cell r="Q1767" t="str">
            <v>Renewal (20% in 2020)</v>
          </cell>
        </row>
        <row r="1768">
          <cell r="P1768" t="str">
            <v>031159414</v>
          </cell>
          <cell r="Q1768" t="str">
            <v>Renewal (20% in 2020)</v>
          </cell>
        </row>
        <row r="1769">
          <cell r="P1769" t="str">
            <v>017004266</v>
          </cell>
          <cell r="Q1769" t="str">
            <v>Renewal (20% in 2020)</v>
          </cell>
        </row>
        <row r="1770">
          <cell r="P1770" t="str">
            <v>086160891</v>
          </cell>
          <cell r="Q1770" t="str">
            <v>Renewal (15% in 2020)</v>
          </cell>
        </row>
        <row r="1771">
          <cell r="P1771" t="str">
            <v>055013204</v>
          </cell>
          <cell r="Q1771" t="str">
            <v>Renewal (20% in 2020)</v>
          </cell>
        </row>
        <row r="1772">
          <cell r="P1772" t="str">
            <v>052013634</v>
          </cell>
          <cell r="Q1772" t="str">
            <v>Renewal (20% in 2020)</v>
          </cell>
        </row>
        <row r="1773">
          <cell r="P1773" t="str">
            <v>052006553</v>
          </cell>
          <cell r="Q1773" t="str">
            <v>Renewal (15% in 2020)</v>
          </cell>
        </row>
        <row r="1774">
          <cell r="P1774" t="str">
            <v>055001219</v>
          </cell>
          <cell r="Q1774" t="str">
            <v>Renewal (20% in 2020)</v>
          </cell>
        </row>
        <row r="1775">
          <cell r="P1775" t="str">
            <v>055001676</v>
          </cell>
          <cell r="Q1775" t="str">
            <v>Renewal (15% in 2020)</v>
          </cell>
        </row>
        <row r="1776">
          <cell r="P1776" t="str">
            <v>055002499</v>
          </cell>
          <cell r="Q1776" t="str">
            <v>Renewal (20% in 2020)</v>
          </cell>
        </row>
        <row r="1777">
          <cell r="P1777" t="str">
            <v>054013474</v>
          </cell>
          <cell r="Q1777" t="str">
            <v>Renewal (15% in 2020)</v>
          </cell>
        </row>
        <row r="1778">
          <cell r="P1778" t="str">
            <v>016167244</v>
          </cell>
          <cell r="Q1778" t="str">
            <v>Renewal (15% in 2020)</v>
          </cell>
        </row>
        <row r="1779">
          <cell r="P1779" t="str">
            <v>052007177</v>
          </cell>
          <cell r="Q1779" t="str">
            <v>Renewal (25% in 2020)</v>
          </cell>
        </row>
        <row r="1780">
          <cell r="P1780" t="str">
            <v>070017371</v>
          </cell>
          <cell r="Q1780" t="str">
            <v>Renewal (15% in 2020)</v>
          </cell>
        </row>
        <row r="1781">
          <cell r="P1781" t="str">
            <v>079010264</v>
          </cell>
          <cell r="Q1781" t="str">
            <v>Renewal (15% in 2020)</v>
          </cell>
        </row>
        <row r="1782">
          <cell r="P1782" t="str">
            <v>086003307</v>
          </cell>
          <cell r="Q1782" t="str">
            <v>New Contract</v>
          </cell>
        </row>
        <row r="1783">
          <cell r="P1783" t="str">
            <v>055014981</v>
          </cell>
          <cell r="Q1783" t="str">
            <v>New Contract</v>
          </cell>
        </row>
        <row r="1784">
          <cell r="P1784" t="str">
            <v>055014013</v>
          </cell>
          <cell r="Q1784" t="str">
            <v>Renewal (20% in 2020)</v>
          </cell>
        </row>
        <row r="1785">
          <cell r="P1785" t="str">
            <v>058021210</v>
          </cell>
          <cell r="Q1785" t="str">
            <v>Renewal (25% in 2020)</v>
          </cell>
        </row>
        <row r="1786">
          <cell r="P1786" t="str">
            <v>079008046</v>
          </cell>
          <cell r="Q1786" t="str">
            <v>Renewal (30% in 2020)</v>
          </cell>
        </row>
        <row r="1787">
          <cell r="P1787" t="str">
            <v>052001735</v>
          </cell>
          <cell r="Q1787" t="str">
            <v>New Contract</v>
          </cell>
        </row>
        <row r="1788">
          <cell r="P1788" t="str">
            <v>016160963</v>
          </cell>
          <cell r="Q1788" t="str">
            <v>Renewal (15% in 2020)</v>
          </cell>
        </row>
        <row r="1789">
          <cell r="P1789" t="str">
            <v>079153598</v>
          </cell>
          <cell r="Q1789" t="str">
            <v>Renewal (20% in 2020)</v>
          </cell>
        </row>
        <row r="1790">
          <cell r="P1790" t="str">
            <v>021005579</v>
          </cell>
          <cell r="Q1790" t="str">
            <v>New Contract</v>
          </cell>
        </row>
        <row r="1791">
          <cell r="P1791" t="str">
            <v>086006667</v>
          </cell>
          <cell r="Q1791" t="str">
            <v>Renewal (25% in 2020)</v>
          </cell>
        </row>
        <row r="1792">
          <cell r="P1792" t="str">
            <v>021159052</v>
          </cell>
          <cell r="Q1792" t="str">
            <v>New Contract</v>
          </cell>
        </row>
        <row r="1793">
          <cell r="P1793" t="str">
            <v>055015465</v>
          </cell>
          <cell r="Q1793" t="str">
            <v>Renewal (15% in 2020)</v>
          </cell>
        </row>
        <row r="1794">
          <cell r="P1794" t="str">
            <v>055015637</v>
          </cell>
          <cell r="Q1794" t="str">
            <v>New Contract</v>
          </cell>
        </row>
        <row r="1795">
          <cell r="P1795" t="str">
            <v>021007512</v>
          </cell>
          <cell r="Q1795" t="str">
            <v>New contract</v>
          </cell>
        </row>
        <row r="1796">
          <cell r="P1796" t="str">
            <v>089004696</v>
          </cell>
          <cell r="Q1796" t="str">
            <v>New Contract</v>
          </cell>
        </row>
        <row r="1797">
          <cell r="P1797" t="str">
            <v>024027913</v>
          </cell>
          <cell r="Q1797" t="str">
            <v>New Contract</v>
          </cell>
        </row>
        <row r="1798">
          <cell r="P1798" t="str">
            <v>055014828</v>
          </cell>
          <cell r="Q1798" t="str">
            <v>Renewal (20% in 2020)</v>
          </cell>
        </row>
        <row r="1799">
          <cell r="P1799" t="str">
            <v>055013717</v>
          </cell>
          <cell r="Q1799" t="str">
            <v>Renewal (25% in 2020)</v>
          </cell>
        </row>
        <row r="1800">
          <cell r="P1800" t="str">
            <v>070017173</v>
          </cell>
          <cell r="Q1800" t="str">
            <v>Renewal (20% in 2020)</v>
          </cell>
        </row>
        <row r="1801">
          <cell r="P1801" t="str">
            <v>055014695</v>
          </cell>
          <cell r="Q1801" t="str">
            <v>Renewal (25% in 2020)</v>
          </cell>
        </row>
        <row r="1802">
          <cell r="P1802" t="str">
            <v>039156577</v>
          </cell>
          <cell r="Q1802" t="str">
            <v>Renewal (20% in 2020)</v>
          </cell>
        </row>
        <row r="1803">
          <cell r="P1803" t="str">
            <v>055008770</v>
          </cell>
          <cell r="Q1803" t="str">
            <v>Renewal (20% in 2020)</v>
          </cell>
        </row>
        <row r="1804">
          <cell r="P1804" t="str">
            <v>079155897</v>
          </cell>
          <cell r="Q1804" t="str">
            <v>Renewal (15% in 2020)</v>
          </cell>
        </row>
        <row r="1805">
          <cell r="P1805" t="str">
            <v>049171082</v>
          </cell>
          <cell r="Q1805" t="str">
            <v>Renewal (20% in 2020)</v>
          </cell>
        </row>
        <row r="1806">
          <cell r="P1806" t="str">
            <v>021010354</v>
          </cell>
          <cell r="Q1806" t="str">
            <v>New Contract</v>
          </cell>
        </row>
        <row r="1807">
          <cell r="P1807" t="str">
            <v>070011188</v>
          </cell>
          <cell r="Q1807" t="str">
            <v>Renewal (30% in 2020)</v>
          </cell>
        </row>
        <row r="1808">
          <cell r="P1808" t="str">
            <v>079155429</v>
          </cell>
          <cell r="Q1808" t="str">
            <v>New Contract</v>
          </cell>
        </row>
        <row r="1809">
          <cell r="P1809" t="str">
            <v>079016347</v>
          </cell>
          <cell r="Q1809" t="str">
            <v>Renewal (25% in 2020)</v>
          </cell>
        </row>
        <row r="1810">
          <cell r="P1810" t="str">
            <v>070004248</v>
          </cell>
          <cell r="Q1810" t="str">
            <v>Renewal (15% in 2020)</v>
          </cell>
        </row>
        <row r="1811">
          <cell r="P1811" t="str">
            <v>071159607</v>
          </cell>
          <cell r="Q1811" t="str">
            <v>Renewal (20% in 2020)</v>
          </cell>
        </row>
        <row r="1812">
          <cell r="P1812" t="str">
            <v>021161276</v>
          </cell>
          <cell r="Q1812" t="str">
            <v>New Contract</v>
          </cell>
        </row>
        <row r="1813">
          <cell r="P1813" t="str">
            <v>021005000</v>
          </cell>
          <cell r="Q1813" t="str">
            <v>New contract</v>
          </cell>
        </row>
        <row r="1814">
          <cell r="P1814" t="str">
            <v>016165087</v>
          </cell>
          <cell r="Q1814" t="str">
            <v>Renewal (15% in 2020)</v>
          </cell>
        </row>
        <row r="1815">
          <cell r="P1815" t="str">
            <v>076166232</v>
          </cell>
          <cell r="Q1815" t="str">
            <v>Renewal (20% in 2020)</v>
          </cell>
        </row>
        <row r="1816">
          <cell r="P1816" t="str">
            <v>025004548</v>
          </cell>
          <cell r="Q1816" t="str">
            <v>Renewal (30% in 2020)</v>
          </cell>
        </row>
        <row r="1817">
          <cell r="P1817" t="str">
            <v>025004548</v>
          </cell>
          <cell r="Q1817" t="str">
            <v>Renewal (30% in 2020)</v>
          </cell>
        </row>
        <row r="1818">
          <cell r="P1818" t="str">
            <v>055014969</v>
          </cell>
          <cell r="Q1818" t="str">
            <v>New Contract</v>
          </cell>
        </row>
        <row r="1819">
          <cell r="P1819" t="str">
            <v>031154204</v>
          </cell>
          <cell r="Q1819" t="str">
            <v>Renewal (20% in 2020)</v>
          </cell>
        </row>
        <row r="1820">
          <cell r="P1820" t="str">
            <v>055001751</v>
          </cell>
          <cell r="Q1820" t="str">
            <v>Renewal (20% in 2020)</v>
          </cell>
        </row>
        <row r="1821">
          <cell r="P1821" t="str">
            <v>052013482</v>
          </cell>
          <cell r="Q1821" t="str">
            <v>Renewal (20% in 2020)</v>
          </cell>
        </row>
        <row r="1822">
          <cell r="P1822" t="str">
            <v>052008382</v>
          </cell>
          <cell r="Q1822" t="str">
            <v>Renewal (20% in 2020)</v>
          </cell>
        </row>
        <row r="1823">
          <cell r="P1823" t="str">
            <v>055002386</v>
          </cell>
          <cell r="Q1823" t="str">
            <v>Renewal (30% in 2020)</v>
          </cell>
        </row>
        <row r="1824">
          <cell r="P1824" t="str">
            <v>016158858</v>
          </cell>
          <cell r="Q1824" t="str">
            <v>Renewal (15% in 2020)</v>
          </cell>
        </row>
        <row r="1825">
          <cell r="P1825" t="str">
            <v>023018466</v>
          </cell>
          <cell r="Q1825" t="str">
            <v>New contract</v>
          </cell>
        </row>
        <row r="1826">
          <cell r="P1826" t="str">
            <v>021010669</v>
          </cell>
          <cell r="Q1826" t="str">
            <v>New contract</v>
          </cell>
        </row>
        <row r="1827">
          <cell r="P1827" t="str">
            <v>036161341</v>
          </cell>
          <cell r="Q1827" t="str">
            <v>Renewal (25% in 2020)</v>
          </cell>
        </row>
        <row r="1828">
          <cell r="P1828" t="str">
            <v>058017974</v>
          </cell>
          <cell r="Q1828" t="str">
            <v>Renewal (25% in 2020)</v>
          </cell>
        </row>
        <row r="1829">
          <cell r="P1829" t="str">
            <v>054013957</v>
          </cell>
          <cell r="Q1829" t="str">
            <v>Renewal (25% in 2020)</v>
          </cell>
        </row>
        <row r="1830">
          <cell r="P1830" t="str">
            <v>070002244</v>
          </cell>
          <cell r="Q1830" t="str">
            <v>Renewal (15% in 2020)</v>
          </cell>
        </row>
        <row r="1831">
          <cell r="P1831" t="str">
            <v>086164080</v>
          </cell>
          <cell r="Q1831" t="str">
            <v>Renewal (15% in 2020)</v>
          </cell>
        </row>
        <row r="1832">
          <cell r="P1832" t="str">
            <v>086164080</v>
          </cell>
          <cell r="Q1832" t="str">
            <v>Renewal (15% in 2020)</v>
          </cell>
        </row>
        <row r="1833">
          <cell r="P1833" t="str">
            <v>079152504</v>
          </cell>
          <cell r="Q1833" t="str">
            <v>Renewal (15% in 2020)</v>
          </cell>
        </row>
        <row r="1834">
          <cell r="P1834" t="str">
            <v>055008404</v>
          </cell>
          <cell r="Q1834" t="str">
            <v>New Contract</v>
          </cell>
        </row>
        <row r="1835">
          <cell r="P1835" t="str">
            <v>055001407</v>
          </cell>
          <cell r="Q1835" t="str">
            <v>Renewal (15% in 2020)</v>
          </cell>
        </row>
        <row r="1836">
          <cell r="P1836" t="str">
            <v>071012053</v>
          </cell>
          <cell r="Q1836" t="str">
            <v>Renewal (25% in 2020)</v>
          </cell>
        </row>
        <row r="1837">
          <cell r="P1837" t="str">
            <v>070009448</v>
          </cell>
          <cell r="Q1837" t="str">
            <v>New Contract</v>
          </cell>
        </row>
        <row r="1838">
          <cell r="P1838" t="str">
            <v>071161077</v>
          </cell>
          <cell r="Q1838" t="str">
            <v>Renewal (25% in 2020)</v>
          </cell>
        </row>
        <row r="1839">
          <cell r="P1839" t="str">
            <v>055014826</v>
          </cell>
          <cell r="Q1839" t="str">
            <v>Renewal (15% in 2020)</v>
          </cell>
        </row>
        <row r="1840">
          <cell r="P1840" t="str">
            <v>086007886</v>
          </cell>
          <cell r="Q1840" t="str">
            <v>Renewal (30% in 2020)</v>
          </cell>
        </row>
        <row r="1841">
          <cell r="P1841" t="str">
            <v>070009117</v>
          </cell>
          <cell r="Q1841" t="str">
            <v>Renewal (15% in 2020)</v>
          </cell>
        </row>
        <row r="1842">
          <cell r="P1842" t="str">
            <v>021005414</v>
          </cell>
          <cell r="Q1842" t="str">
            <v>New Contract</v>
          </cell>
        </row>
        <row r="1843">
          <cell r="P1843" t="str">
            <v>079014119</v>
          </cell>
          <cell r="Q1843" t="str">
            <v>New Contract</v>
          </cell>
        </row>
        <row r="1844">
          <cell r="P1844" t="str">
            <v>086015229</v>
          </cell>
          <cell r="Q1844" t="str">
            <v>Renewal (15% in 2020)</v>
          </cell>
        </row>
        <row r="1845">
          <cell r="P1845" t="str">
            <v>079013062</v>
          </cell>
          <cell r="Q1845" t="str">
            <v>Renewal (20% in 2020)</v>
          </cell>
        </row>
        <row r="1846">
          <cell r="P1846" t="str">
            <v>052004575</v>
          </cell>
          <cell r="Q1846" t="str">
            <v>Renewal (20% in 2020)</v>
          </cell>
        </row>
        <row r="1847">
          <cell r="P1847" t="str">
            <v>017158365</v>
          </cell>
          <cell r="Q1847" t="str">
            <v>Renewal (20% in 2020)</v>
          </cell>
        </row>
        <row r="1848">
          <cell r="P1848" t="str">
            <v>055014158</v>
          </cell>
          <cell r="Q1848" t="str">
            <v>New Contract</v>
          </cell>
        </row>
        <row r="1849">
          <cell r="P1849" t="str">
            <v>024030929</v>
          </cell>
          <cell r="Q1849" t="str">
            <v>Renewal (15% in 2020)</v>
          </cell>
        </row>
        <row r="1850">
          <cell r="P1850" t="str">
            <v>079160401</v>
          </cell>
          <cell r="Q1850" t="str">
            <v>Renewal (15% in 2020)</v>
          </cell>
        </row>
        <row r="1851">
          <cell r="P1851" t="str">
            <v>064166921</v>
          </cell>
          <cell r="Q1851" t="str">
            <v>Renewal (20% in 2020)</v>
          </cell>
        </row>
        <row r="1852">
          <cell r="P1852" t="str">
            <v>064010531</v>
          </cell>
          <cell r="Q1852" t="str">
            <v>Renewal (25% in 2020)</v>
          </cell>
        </row>
        <row r="1853">
          <cell r="P1853" t="str">
            <v>064177199</v>
          </cell>
          <cell r="Q1853" t="str">
            <v>Renewal (25% in 2020)</v>
          </cell>
        </row>
        <row r="1854">
          <cell r="P1854" t="str">
            <v>031155020</v>
          </cell>
          <cell r="Q1854" t="str">
            <v>Renewal (15% in 2020)</v>
          </cell>
        </row>
        <row r="1855">
          <cell r="P1855" t="str">
            <v>016014163</v>
          </cell>
          <cell r="Q1855" t="str">
            <v>Renewal (20% in 2020)</v>
          </cell>
        </row>
        <row r="1856">
          <cell r="P1856" t="str">
            <v>024026596</v>
          </cell>
          <cell r="Q1856" t="str">
            <v>Renewal (15% in 2020)</v>
          </cell>
        </row>
        <row r="1857">
          <cell r="P1857" t="str">
            <v>032169923</v>
          </cell>
          <cell r="Q1857" t="str">
            <v>Renewal (25% in 2020)</v>
          </cell>
        </row>
        <row r="1858">
          <cell r="P1858" t="str">
            <v>040001437</v>
          </cell>
          <cell r="Q1858" t="str">
            <v>Renewal (25% in 2020)</v>
          </cell>
        </row>
        <row r="1859">
          <cell r="P1859" t="str">
            <v>064170654</v>
          </cell>
          <cell r="Q1859" t="str">
            <v>Renewal (30% in 2020)</v>
          </cell>
        </row>
        <row r="1860">
          <cell r="P1860" t="str">
            <v>040156379</v>
          </cell>
          <cell r="Q1860" t="str">
            <v>Renewal (25% in 2020)</v>
          </cell>
        </row>
        <row r="1861">
          <cell r="P1861" t="str">
            <v>064171943</v>
          </cell>
          <cell r="Q1861" t="str">
            <v>Renewal (25% in 2020)</v>
          </cell>
        </row>
        <row r="1862">
          <cell r="P1862" t="str">
            <v>040173794</v>
          </cell>
          <cell r="Q1862" t="str">
            <v>Renewal (20% in 2020)</v>
          </cell>
        </row>
        <row r="1863">
          <cell r="P1863" t="str">
            <v>064166017</v>
          </cell>
          <cell r="Q1863" t="str">
            <v>Renewal (25% in 2020)</v>
          </cell>
        </row>
        <row r="1864">
          <cell r="P1864" t="str">
            <v>064177197</v>
          </cell>
          <cell r="Q1864" t="str">
            <v>Renewal (25% in 2020)</v>
          </cell>
        </row>
        <row r="1865">
          <cell r="P1865" t="str">
            <v>064179749</v>
          </cell>
          <cell r="Q1865" t="str">
            <v>Renewal (25% in 2020)</v>
          </cell>
        </row>
        <row r="1866">
          <cell r="P1866" t="str">
            <v>040007024</v>
          </cell>
          <cell r="Q1866" t="str">
            <v>Renewal (20% in 2020)</v>
          </cell>
        </row>
        <row r="1867">
          <cell r="P1867" t="str">
            <v>064417249</v>
          </cell>
          <cell r="Q1867" t="str">
            <v>Renewal (20% in 2020)</v>
          </cell>
        </row>
        <row r="1868">
          <cell r="P1868" t="str">
            <v>064013417</v>
          </cell>
          <cell r="Q1868" t="str">
            <v>Renewal (25% in 2020)</v>
          </cell>
        </row>
        <row r="1869">
          <cell r="P1869" t="str">
            <v>064022399</v>
          </cell>
          <cell r="Q1869" t="str">
            <v>Renewal (20% in 2020)</v>
          </cell>
        </row>
        <row r="1870">
          <cell r="P1870" t="str">
            <v>031004457</v>
          </cell>
          <cell r="Q1870" t="str">
            <v>Renewal (15% in 2020)</v>
          </cell>
        </row>
        <row r="1871">
          <cell r="P1871" t="str">
            <v>079153899</v>
          </cell>
          <cell r="Q1871" t="str">
            <v>Renewal (30% in 2020)</v>
          </cell>
        </row>
        <row r="1872">
          <cell r="P1872" t="str">
            <v>017162148</v>
          </cell>
          <cell r="Q1872" t="str">
            <v>Renewal (20% in 2020)</v>
          </cell>
        </row>
        <row r="1873">
          <cell r="P1873" t="str">
            <v>079156606</v>
          </cell>
          <cell r="Q1873" t="str">
            <v>Renewal (20% in 2020)</v>
          </cell>
        </row>
        <row r="1874">
          <cell r="P1874" t="str">
            <v>047160881</v>
          </cell>
          <cell r="Q1874" t="str">
            <v>Renewal (15% in 2020)</v>
          </cell>
        </row>
        <row r="1875">
          <cell r="P1875" t="str">
            <v>064179198</v>
          </cell>
          <cell r="Q1875" t="str">
            <v>Renewal (30% in 2020)</v>
          </cell>
        </row>
        <row r="1876">
          <cell r="P1876" t="str">
            <v>064163379</v>
          </cell>
          <cell r="Q1876" t="str">
            <v>Renewal (20% in 2020)</v>
          </cell>
        </row>
        <row r="1877">
          <cell r="P1877" t="str">
            <v>064167091</v>
          </cell>
          <cell r="Q1877" t="str">
            <v>Renewal (20% in 2020)</v>
          </cell>
        </row>
        <row r="1878">
          <cell r="P1878" t="str">
            <v>064168209</v>
          </cell>
          <cell r="Q1878" t="str">
            <v>Renewal (25% in 2020)</v>
          </cell>
        </row>
        <row r="1879">
          <cell r="P1879" t="str">
            <v>064007006</v>
          </cell>
          <cell r="Q1879" t="str">
            <v>Renewal (20% in 2020)</v>
          </cell>
        </row>
        <row r="1880">
          <cell r="P1880" t="str">
            <v>064021607</v>
          </cell>
          <cell r="Q1880" t="str">
            <v>Renewal (25% in 2020)</v>
          </cell>
        </row>
        <row r="1881">
          <cell r="P1881" t="str">
            <v>031158853</v>
          </cell>
          <cell r="Q1881" t="str">
            <v>Renewal (15% in 2020)</v>
          </cell>
        </row>
        <row r="1882">
          <cell r="P1882" t="str">
            <v>065156139</v>
          </cell>
          <cell r="Q1882" t="str">
            <v>Renewal (15% in 2020)</v>
          </cell>
        </row>
        <row r="1883">
          <cell r="P1883" t="str">
            <v>040177076</v>
          </cell>
          <cell r="Q1883" t="str">
            <v>Renewal (25% in 2020)</v>
          </cell>
        </row>
        <row r="1884">
          <cell r="P1884" t="str">
            <v>064164666</v>
          </cell>
          <cell r="Q1884" t="str">
            <v>Renewal (30% in 2020)</v>
          </cell>
        </row>
        <row r="1885">
          <cell r="P1885" t="str">
            <v>064176834</v>
          </cell>
          <cell r="Q1885" t="str">
            <v>Renewal (15% in 2020)</v>
          </cell>
        </row>
        <row r="1886">
          <cell r="P1886" t="str">
            <v>031157952</v>
          </cell>
          <cell r="Q1886" t="str">
            <v>Renewal (15% in 2020)</v>
          </cell>
        </row>
        <row r="1887">
          <cell r="P1887" t="str">
            <v>024037126</v>
          </cell>
          <cell r="Q1887" t="str">
            <v>Renewal (25% in 2020)</v>
          </cell>
        </row>
        <row r="1888">
          <cell r="P1888" t="str">
            <v>047010351</v>
          </cell>
          <cell r="Q1888" t="str">
            <v>Renewal (25% in 2020)</v>
          </cell>
        </row>
        <row r="1889">
          <cell r="P1889" t="str">
            <v>031155876</v>
          </cell>
          <cell r="Q1889" t="str">
            <v>Renewal (15% in 2020)</v>
          </cell>
        </row>
        <row r="1890">
          <cell r="P1890" t="str">
            <v>032170336</v>
          </cell>
          <cell r="Q1890" t="str">
            <v>Renewal (15% in 2020)</v>
          </cell>
        </row>
        <row r="1891">
          <cell r="P1891" t="str">
            <v>064022142</v>
          </cell>
          <cell r="Q1891" t="str">
            <v>Renewal (20% in 2020)</v>
          </cell>
        </row>
        <row r="1892">
          <cell r="P1892" t="str">
            <v>064163975</v>
          </cell>
          <cell r="Q1892" t="str">
            <v>Renewal (25% in 2020)</v>
          </cell>
        </row>
        <row r="1893">
          <cell r="P1893" t="str">
            <v>064002320</v>
          </cell>
          <cell r="Q1893" t="str">
            <v>Renewal (30% in 2020)</v>
          </cell>
        </row>
        <row r="1894">
          <cell r="P1894" t="str">
            <v>064176555</v>
          </cell>
          <cell r="Q1894" t="str">
            <v>Renewal (20% in 2020)</v>
          </cell>
        </row>
        <row r="1895">
          <cell r="P1895" t="str">
            <v>064168480</v>
          </cell>
          <cell r="Q1895" t="str">
            <v>Renewal (15% in 2020)</v>
          </cell>
        </row>
        <row r="1896">
          <cell r="P1896" t="str">
            <v>064018941</v>
          </cell>
          <cell r="Q1896" t="str">
            <v>Renewal (15% in 2020)</v>
          </cell>
        </row>
        <row r="1897">
          <cell r="P1897" t="str">
            <v>064169142</v>
          </cell>
          <cell r="Q1897" t="str">
            <v>Renewal (25% in 2020)</v>
          </cell>
        </row>
        <row r="1898">
          <cell r="P1898" t="str">
            <v>017012363</v>
          </cell>
          <cell r="Q1898" t="str">
            <v>Renewal (20% in 2020)</v>
          </cell>
        </row>
        <row r="1899">
          <cell r="P1899" t="str">
            <v>086006501</v>
          </cell>
          <cell r="Q1899" t="str">
            <v>Renewal (15% in 2020)</v>
          </cell>
        </row>
        <row r="1900">
          <cell r="P1900" t="str">
            <v>017166746</v>
          </cell>
          <cell r="Q1900" t="str">
            <v>Renewal (25% in 2020)</v>
          </cell>
        </row>
        <row r="1901">
          <cell r="P1901" t="str">
            <v>086164281</v>
          </cell>
          <cell r="Q1901" t="str">
            <v>Renewal (25% in 2020)</v>
          </cell>
        </row>
        <row r="1902">
          <cell r="P1902" t="str">
            <v>017167153</v>
          </cell>
          <cell r="Q1902" t="str">
            <v>Renewal (30% in 2020)</v>
          </cell>
        </row>
        <row r="1903">
          <cell r="P1903" t="str">
            <v>079155960</v>
          </cell>
          <cell r="Q1903" t="str">
            <v>Renewal (25% in 2020)</v>
          </cell>
        </row>
        <row r="1904">
          <cell r="P1904" t="str">
            <v>064010750</v>
          </cell>
          <cell r="Q1904" t="str">
            <v>Renewal (25% in 2020)</v>
          </cell>
        </row>
        <row r="1905">
          <cell r="P1905" t="str">
            <v>016164094</v>
          </cell>
          <cell r="Q1905" t="str">
            <v>Renewal (20% in 2020)</v>
          </cell>
        </row>
        <row r="1906">
          <cell r="P1906" t="str">
            <v>086157736</v>
          </cell>
          <cell r="Q1906" t="str">
            <v>Renewal (15% in 2020)</v>
          </cell>
        </row>
        <row r="1907">
          <cell r="P1907" t="str">
            <v>079159946</v>
          </cell>
          <cell r="Q1907" t="str">
            <v>Renewal (30% in 2020)</v>
          </cell>
        </row>
        <row r="1908">
          <cell r="P1908" t="str">
            <v>079159946</v>
          </cell>
          <cell r="Q1908" t="str">
            <v>Renewal (30% in 2020)</v>
          </cell>
        </row>
        <row r="1909">
          <cell r="P1909" t="str">
            <v>024005563</v>
          </cell>
          <cell r="Q1909" t="str">
            <v>Renewal (20% in 2020)</v>
          </cell>
        </row>
        <row r="1910">
          <cell r="P1910" t="str">
            <v>064019189</v>
          </cell>
          <cell r="Q1910" t="str">
            <v>Renewal (25% in 2020)</v>
          </cell>
        </row>
        <row r="1911">
          <cell r="P1911" t="str">
            <v>040172130</v>
          </cell>
          <cell r="Q1911" t="str">
            <v>Renewal (30% in 2020)</v>
          </cell>
        </row>
        <row r="1912">
          <cell r="P1912" t="str">
            <v>064166588</v>
          </cell>
          <cell r="Q1912" t="str">
            <v>Renewal (15% in 2020)</v>
          </cell>
        </row>
        <row r="1913">
          <cell r="P1913" t="str">
            <v>017006150</v>
          </cell>
          <cell r="Q1913" t="str">
            <v>Renewal (25% in 2020)</v>
          </cell>
        </row>
        <row r="1914">
          <cell r="P1914" t="str">
            <v>017012384</v>
          </cell>
          <cell r="Q1914" t="str">
            <v>Renewal (25% in 2020)</v>
          </cell>
        </row>
        <row r="1915">
          <cell r="P1915" t="str">
            <v>024013057</v>
          </cell>
          <cell r="Q1915" t="str">
            <v>Renewal (20% in 2020)</v>
          </cell>
        </row>
        <row r="1916">
          <cell r="P1916" t="str">
            <v>016166377</v>
          </cell>
          <cell r="Q1916" t="str">
            <v>Renewal (20% in 2020)</v>
          </cell>
        </row>
        <row r="1917">
          <cell r="P1917" t="str">
            <v>086162221</v>
          </cell>
          <cell r="Q1917" t="str">
            <v>Renewal (30% in 2020)</v>
          </cell>
        </row>
        <row r="1918">
          <cell r="P1918" t="str">
            <v>079161341</v>
          </cell>
          <cell r="Q1918" t="str">
            <v>Renewal (30% in 2020)</v>
          </cell>
        </row>
        <row r="1919">
          <cell r="P1919" t="str">
            <v>017161073</v>
          </cell>
          <cell r="Q1919" t="str">
            <v>Renewal (15% in 2020)</v>
          </cell>
        </row>
        <row r="1920">
          <cell r="P1920" t="str">
            <v>024035513</v>
          </cell>
          <cell r="Q1920" t="str">
            <v>Renewal (25% in 2020)</v>
          </cell>
        </row>
        <row r="1921">
          <cell r="P1921" t="str">
            <v>047170340</v>
          </cell>
          <cell r="Q1921" t="str">
            <v>Renewal (25% in 2020)</v>
          </cell>
        </row>
        <row r="1922">
          <cell r="P1922" t="str">
            <v>065158852</v>
          </cell>
          <cell r="Q1922" t="str">
            <v>Renewal (15% in 2020)</v>
          </cell>
        </row>
        <row r="1923">
          <cell r="P1923" t="str">
            <v>017163031</v>
          </cell>
          <cell r="Q1923" t="str">
            <v>Renewal (30% in 2020)</v>
          </cell>
        </row>
        <row r="1924">
          <cell r="P1924" t="str">
            <v>064007686</v>
          </cell>
          <cell r="Q1924" t="str">
            <v>Renewal (25% in 2020)</v>
          </cell>
        </row>
        <row r="1925">
          <cell r="P1925" t="str">
            <v>064172419</v>
          </cell>
          <cell r="Q1925" t="str">
            <v>Renewal (25% in 2020)</v>
          </cell>
        </row>
        <row r="1926">
          <cell r="P1926" t="str">
            <v>064172641</v>
          </cell>
          <cell r="Q1926" t="str">
            <v>Renewal (15% in 2020)</v>
          </cell>
        </row>
        <row r="1927">
          <cell r="P1927" t="str">
            <v>040178280</v>
          </cell>
          <cell r="Q1927" t="str">
            <v>Renewal (15% in 2020)</v>
          </cell>
        </row>
        <row r="1928">
          <cell r="P1928" t="str">
            <v>027007089</v>
          </cell>
          <cell r="Q1928" t="str">
            <v>Renewal (30% in 2020)</v>
          </cell>
        </row>
        <row r="1929">
          <cell r="P1929" t="str">
            <v>031159245</v>
          </cell>
          <cell r="Q1929" t="str">
            <v>Renewal (20% in 2020)</v>
          </cell>
        </row>
        <row r="1930">
          <cell r="P1930" t="str">
            <v>031158210</v>
          </cell>
          <cell r="Q1930" t="str">
            <v>Renewal (20% in 2020)</v>
          </cell>
        </row>
        <row r="1931">
          <cell r="P1931" t="str">
            <v>032020997</v>
          </cell>
          <cell r="Q1931" t="str">
            <v>Renewal (15% in 2020)</v>
          </cell>
        </row>
        <row r="1932">
          <cell r="P1932" t="str">
            <v>016164467</v>
          </cell>
          <cell r="Q1932" t="str">
            <v>Renewal (15% in 2020)</v>
          </cell>
        </row>
        <row r="1933">
          <cell r="P1933" t="str">
            <v>040011502</v>
          </cell>
          <cell r="Q1933" t="str">
            <v>Renewal (20% in 2020)</v>
          </cell>
        </row>
        <row r="1934">
          <cell r="P1934" t="str">
            <v>031015236</v>
          </cell>
          <cell r="Q1934" t="str">
            <v>Renewal (25% in 2020)</v>
          </cell>
        </row>
        <row r="1935">
          <cell r="P1935" t="str">
            <v>086162520</v>
          </cell>
          <cell r="Q1935" t="str">
            <v>Renewal (20% in 2020)</v>
          </cell>
        </row>
        <row r="1936">
          <cell r="P1936" t="str">
            <v>064172467</v>
          </cell>
          <cell r="Q1936" t="str">
            <v>Renewal (15% in 2020)</v>
          </cell>
        </row>
        <row r="1937">
          <cell r="P1937" t="str">
            <v>017004266</v>
          </cell>
          <cell r="Q1937" t="str">
            <v>Renewal (20% in 2020)</v>
          </cell>
        </row>
        <row r="1938">
          <cell r="P1938" t="str">
            <v>017158423</v>
          </cell>
          <cell r="Q1938" t="str">
            <v>Renewal (25% in 2020)</v>
          </cell>
        </row>
        <row r="1939">
          <cell r="P1939" t="str">
            <v>086164329</v>
          </cell>
          <cell r="Q1939" t="str">
            <v>Renewal (20% in 2020)</v>
          </cell>
        </row>
        <row r="1940">
          <cell r="P1940" t="str">
            <v>017157956</v>
          </cell>
          <cell r="Q1940" t="str">
            <v>Renewal (30% in 2020)</v>
          </cell>
        </row>
        <row r="1941">
          <cell r="P1941" t="str">
            <v>017163869</v>
          </cell>
          <cell r="Q1941" t="str">
            <v>Renewal (20% in 2020)</v>
          </cell>
        </row>
        <row r="1942">
          <cell r="P1942" t="str">
            <v>079154171</v>
          </cell>
          <cell r="Q1942" t="str">
            <v>Renewal (15% in 2020)</v>
          </cell>
        </row>
        <row r="1943">
          <cell r="P1943" t="str">
            <v>017007914</v>
          </cell>
          <cell r="Q1943" t="str">
            <v>Renewal (25% in 2020)</v>
          </cell>
        </row>
        <row r="1944">
          <cell r="P1944" t="str">
            <v>017162131</v>
          </cell>
          <cell r="Q1944" t="str">
            <v>Renewal (20% in 2020)</v>
          </cell>
        </row>
        <row r="1945">
          <cell r="P1945" t="str">
            <v>017162131</v>
          </cell>
          <cell r="Q1945" t="str">
            <v>Renewal (20% in 2020)</v>
          </cell>
        </row>
        <row r="1946">
          <cell r="P1946" t="str">
            <v>016166859</v>
          </cell>
          <cell r="Q1946" t="str">
            <v>Renewal (20% in 2020)</v>
          </cell>
        </row>
        <row r="1947">
          <cell r="P1947" t="str">
            <v>031000886</v>
          </cell>
          <cell r="Q1947" t="str">
            <v>Renewal (15% in 2020)</v>
          </cell>
        </row>
        <row r="1948">
          <cell r="P1948" t="str">
            <v>031157622</v>
          </cell>
          <cell r="Q1948" t="str">
            <v>Renewal (25% in 2020)</v>
          </cell>
        </row>
        <row r="1949">
          <cell r="P1949" t="str">
            <v>031158471</v>
          </cell>
          <cell r="Q1949" t="str">
            <v>Renewal (15% in 2020)</v>
          </cell>
        </row>
        <row r="1950">
          <cell r="P1950" t="str">
            <v>031155999</v>
          </cell>
          <cell r="Q1950" t="str">
            <v>Renewal (15% in 2020)</v>
          </cell>
        </row>
        <row r="1951">
          <cell r="P1951" t="str">
            <v>016162130</v>
          </cell>
          <cell r="Q1951" t="str">
            <v>Renewal (20% in 2020)</v>
          </cell>
        </row>
        <row r="1952">
          <cell r="P1952" t="str">
            <v>079161478</v>
          </cell>
          <cell r="Q1952" t="str">
            <v>New contract</v>
          </cell>
        </row>
        <row r="1953">
          <cell r="P1953" t="str">
            <v>086003434</v>
          </cell>
          <cell r="Q1953" t="str">
            <v>New Contract</v>
          </cell>
        </row>
        <row r="1954">
          <cell r="P1954" t="str">
            <v>031158828</v>
          </cell>
          <cell r="Q1954" t="str">
            <v>Renewal (15% in 2020)</v>
          </cell>
        </row>
        <row r="1955">
          <cell r="P1955" t="str">
            <v>031000248</v>
          </cell>
          <cell r="Q1955" t="str">
            <v>Renewal (15% in 2020)</v>
          </cell>
        </row>
        <row r="1956">
          <cell r="P1956" t="str">
            <v>037162257</v>
          </cell>
          <cell r="Q1956" t="str">
            <v>New contract</v>
          </cell>
        </row>
        <row r="1957">
          <cell r="P1957" t="str">
            <v>031154691</v>
          </cell>
          <cell r="Q1957" t="str">
            <v>New Contract</v>
          </cell>
        </row>
        <row r="1958">
          <cell r="P1958" t="str">
            <v>031160323</v>
          </cell>
          <cell r="Q1958" t="str">
            <v>Renewal (20% in 2020)</v>
          </cell>
        </row>
        <row r="1959">
          <cell r="P1959" t="str">
            <v>031015336</v>
          </cell>
          <cell r="Q1959" t="str">
            <v>Renewal (20% in 2020)</v>
          </cell>
        </row>
        <row r="1960">
          <cell r="P1960" t="str">
            <v>037003510</v>
          </cell>
          <cell r="Q1960" t="str">
            <v>New Contract</v>
          </cell>
        </row>
        <row r="1961">
          <cell r="P1961" t="str">
            <v>064021630</v>
          </cell>
          <cell r="Q1961" t="str">
            <v>Renewal (15% in 2020)</v>
          </cell>
        </row>
        <row r="1962">
          <cell r="P1962" t="str">
            <v>031009911</v>
          </cell>
          <cell r="Q1962" t="str">
            <v>Renewal (15% in 2020)</v>
          </cell>
        </row>
        <row r="1963">
          <cell r="P1963" t="str">
            <v>016004791</v>
          </cell>
          <cell r="Q1963" t="str">
            <v>Renewal (15% in 2020)</v>
          </cell>
        </row>
        <row r="1964">
          <cell r="P1964" t="str">
            <v>031156757</v>
          </cell>
          <cell r="Q1964" t="str">
            <v>Renewal (15% in 2020)</v>
          </cell>
        </row>
        <row r="1965">
          <cell r="P1965" t="str">
            <v>016010463</v>
          </cell>
          <cell r="Q1965" t="str">
            <v>New contract</v>
          </cell>
        </row>
        <row r="1966">
          <cell r="P1966" t="str">
            <v>079155897</v>
          </cell>
          <cell r="Q1966" t="str">
            <v>Renewal (15% in 2020)</v>
          </cell>
        </row>
        <row r="1967">
          <cell r="P1967" t="str">
            <v>017166335</v>
          </cell>
          <cell r="Q1967" t="str">
            <v>Renewal (30% in 2020)</v>
          </cell>
        </row>
        <row r="1968">
          <cell r="P1968" t="str">
            <v>031006385</v>
          </cell>
          <cell r="Q1968" t="str">
            <v>Renewal (20% in 2020)</v>
          </cell>
        </row>
        <row r="1969">
          <cell r="P1969" t="str">
            <v>031159489</v>
          </cell>
          <cell r="Q1969" t="str">
            <v>Renewal (15% in 2020)</v>
          </cell>
        </row>
        <row r="1970">
          <cell r="P1970" t="str">
            <v>032158673</v>
          </cell>
          <cell r="Q1970" t="str">
            <v>Renewal (15% in 2020)</v>
          </cell>
        </row>
        <row r="1971">
          <cell r="P1971" t="str">
            <v>031151703</v>
          </cell>
          <cell r="Q1971" t="str">
            <v>Renewal (15% in 2020)</v>
          </cell>
        </row>
        <row r="1972">
          <cell r="P1972" t="str">
            <v>031013552</v>
          </cell>
          <cell r="Q1972" t="str">
            <v>New Contract</v>
          </cell>
        </row>
        <row r="1973">
          <cell r="P1973" t="str">
            <v>086161732</v>
          </cell>
          <cell r="Q1973" t="str">
            <v>Renewal (20% in 2020)</v>
          </cell>
        </row>
        <row r="1974">
          <cell r="P1974" t="str">
            <v>024032899</v>
          </cell>
          <cell r="Q1974" t="str">
            <v>Renewal (20% in 2020)</v>
          </cell>
        </row>
        <row r="1975">
          <cell r="P1975" t="str">
            <v>021011488</v>
          </cell>
          <cell r="Q1975" t="str">
            <v>New contract</v>
          </cell>
        </row>
        <row r="1976">
          <cell r="P1976" t="str">
            <v>017006771</v>
          </cell>
          <cell r="Q1976" t="str">
            <v>Renewal (30% in 2020)</v>
          </cell>
        </row>
        <row r="1977">
          <cell r="P1977" t="str">
            <v>086163360</v>
          </cell>
          <cell r="Q1977" t="str">
            <v>Renewal (30% in 2020)</v>
          </cell>
        </row>
        <row r="1978">
          <cell r="P1978" t="str">
            <v>016166366</v>
          </cell>
          <cell r="Q1978" t="str">
            <v>New Contract</v>
          </cell>
        </row>
        <row r="1979">
          <cell r="P1979" t="str">
            <v>016165087</v>
          </cell>
          <cell r="Q1979" t="str">
            <v>Renewal (15% in 2020)</v>
          </cell>
        </row>
        <row r="1980">
          <cell r="P1980" t="str">
            <v>017162082</v>
          </cell>
          <cell r="Q1980" t="str">
            <v>Renewal (25% in 2020)</v>
          </cell>
        </row>
        <row r="1981">
          <cell r="P1981" t="str">
            <v>031160300</v>
          </cell>
          <cell r="Q1981" t="str">
            <v>Renewal (20% in 2020)</v>
          </cell>
        </row>
        <row r="1982">
          <cell r="P1982" t="str">
            <v>017169536</v>
          </cell>
          <cell r="Q1982" t="str">
            <v>Renewal (15% in 2020)</v>
          </cell>
        </row>
        <row r="1983">
          <cell r="P1983" t="str">
            <v>018159066</v>
          </cell>
          <cell r="Q1983" t="str">
            <v>Renewal (20% in 2020)</v>
          </cell>
        </row>
        <row r="1984">
          <cell r="P1984" t="str">
            <v>024016472</v>
          </cell>
          <cell r="Q1984" t="str">
            <v>Renewal (15% in 2020)</v>
          </cell>
        </row>
        <row r="1985">
          <cell r="P1985" t="str">
            <v>079010868</v>
          </cell>
          <cell r="Q1985" t="str">
            <v>Renewal (30% in 2020)</v>
          </cell>
        </row>
        <row r="1986">
          <cell r="P1986" t="str">
            <v>017000900</v>
          </cell>
          <cell r="Q1986" t="str">
            <v>Renewal (25% in 2020)</v>
          </cell>
        </row>
        <row r="1987">
          <cell r="P1987" t="str">
            <v>016165184</v>
          </cell>
          <cell r="Q1987" t="str">
            <v>Renewal (20% in 2020)</v>
          </cell>
        </row>
        <row r="1988">
          <cell r="P1988" t="str">
            <v>031158750</v>
          </cell>
          <cell r="Q1988" t="str">
            <v>Renewal (25% in 2020)</v>
          </cell>
        </row>
        <row r="1989">
          <cell r="P1989" t="str">
            <v>031013486</v>
          </cell>
          <cell r="Q1989" t="str">
            <v>New contract</v>
          </cell>
        </row>
        <row r="1990">
          <cell r="P1990" t="str">
            <v>031160503</v>
          </cell>
          <cell r="Q1990" t="str">
            <v>New contract</v>
          </cell>
        </row>
        <row r="1991">
          <cell r="P1991" t="str">
            <v>031156755</v>
          </cell>
          <cell r="Q1991" t="str">
            <v>Renewal (15% in 2020)</v>
          </cell>
        </row>
        <row r="1992">
          <cell r="P1992" t="str">
            <v>079159324</v>
          </cell>
          <cell r="Q1992" t="str">
            <v>Renewal (25% in 2020)</v>
          </cell>
        </row>
        <row r="1993">
          <cell r="P1993" t="str">
            <v>017165825</v>
          </cell>
          <cell r="Q1993" t="str">
            <v>New contract</v>
          </cell>
        </row>
        <row r="1994">
          <cell r="P1994" t="str">
            <v>086164562</v>
          </cell>
          <cell r="Q1994" t="str">
            <v>Renewal (30% in 2020)</v>
          </cell>
        </row>
        <row r="1995">
          <cell r="P1995" t="str">
            <v>086164215</v>
          </cell>
          <cell r="Q1995" t="str">
            <v>Renewal (30% in 2020)</v>
          </cell>
        </row>
        <row r="1996">
          <cell r="P1996" t="str">
            <v>011001987</v>
          </cell>
          <cell r="Q1996" t="str">
            <v>Renewal (20% in 2020)</v>
          </cell>
        </row>
        <row r="1997">
          <cell r="P1997" t="str">
            <v>031157929</v>
          </cell>
          <cell r="Q1997" t="str">
            <v>New Contract</v>
          </cell>
        </row>
        <row r="1998">
          <cell r="P1998" t="str">
            <v>003024733</v>
          </cell>
          <cell r="Q1998" t="str">
            <v>Renewal (20% in 2020)</v>
          </cell>
        </row>
        <row r="1999">
          <cell r="P1999" t="str">
            <v>079011702</v>
          </cell>
          <cell r="Q1999" t="str">
            <v>Renewal (25% in 2020)</v>
          </cell>
        </row>
        <row r="2000">
          <cell r="P2000" t="str">
            <v>086160247</v>
          </cell>
          <cell r="Q2000" t="str">
            <v>Renewal (25% in 2020)</v>
          </cell>
        </row>
        <row r="2001">
          <cell r="P2001" t="str">
            <v>086160754</v>
          </cell>
          <cell r="Q2001" t="str">
            <v>Renewal (15% in 2020)</v>
          </cell>
        </row>
        <row r="2002">
          <cell r="P2002" t="str">
            <v>024029820</v>
          </cell>
          <cell r="Q2002" t="str">
            <v>Renewal (15% in 2020)</v>
          </cell>
        </row>
        <row r="2003">
          <cell r="P2003" t="str">
            <v>024037169</v>
          </cell>
          <cell r="Q2003" t="str">
            <v>Renewal (20% in 2020)</v>
          </cell>
        </row>
        <row r="2004">
          <cell r="P2004" t="str">
            <v>086162955</v>
          </cell>
          <cell r="Q2004" t="str">
            <v>Renewal (20% in 2020)</v>
          </cell>
        </row>
        <row r="2005">
          <cell r="P2005" t="str">
            <v>079014953</v>
          </cell>
          <cell r="Q2005" t="str">
            <v>Renewal (30% in 2020)</v>
          </cell>
        </row>
        <row r="2006">
          <cell r="P2006" t="str">
            <v>060151050</v>
          </cell>
          <cell r="Q2006" t="str">
            <v>Renewal (20% in 2020)</v>
          </cell>
        </row>
        <row r="2007">
          <cell r="P2007" t="str">
            <v>016164016</v>
          </cell>
          <cell r="Q2007" t="str">
            <v>Renewal (15% in 2020)</v>
          </cell>
        </row>
        <row r="2008">
          <cell r="P2008" t="str">
            <v>016158988</v>
          </cell>
          <cell r="Q2008" t="str">
            <v>New Contract</v>
          </cell>
        </row>
        <row r="2009">
          <cell r="P2009" t="str">
            <v>016164519</v>
          </cell>
          <cell r="Q2009" t="str">
            <v>Renewal (15% in 2020)</v>
          </cell>
        </row>
        <row r="2010">
          <cell r="P2010" t="str">
            <v>031152802</v>
          </cell>
          <cell r="Q2010" t="str">
            <v>New Contract</v>
          </cell>
        </row>
        <row r="2011">
          <cell r="P2011" t="str">
            <v>016160062</v>
          </cell>
          <cell r="Q2011" t="str">
            <v>New Contract</v>
          </cell>
        </row>
        <row r="2012">
          <cell r="P2012" t="str">
            <v>017166281</v>
          </cell>
          <cell r="Q2012" t="str">
            <v>Renewal (30% in 2020)</v>
          </cell>
        </row>
        <row r="2013">
          <cell r="P2013" t="str">
            <v>086007886</v>
          </cell>
          <cell r="Q2013" t="str">
            <v>Renewal (30% in 2020)</v>
          </cell>
        </row>
        <row r="2014">
          <cell r="P2014" t="str">
            <v>079159678</v>
          </cell>
          <cell r="Q2014" t="str">
            <v>Renewal (30% in 2020)</v>
          </cell>
        </row>
        <row r="2015">
          <cell r="P2015" t="str">
            <v>031159300</v>
          </cell>
          <cell r="Q2015" t="str">
            <v>Renewal (15% in 2020)</v>
          </cell>
        </row>
        <row r="2016">
          <cell r="P2016" t="str">
            <v>016004953</v>
          </cell>
          <cell r="Q2016" t="str">
            <v>Renewal (20% in 2020)</v>
          </cell>
        </row>
        <row r="2017">
          <cell r="P2017" t="str">
            <v>031156333</v>
          </cell>
          <cell r="Q2017" t="str">
            <v>New Contract</v>
          </cell>
        </row>
        <row r="2018">
          <cell r="P2018" t="str">
            <v>017166689</v>
          </cell>
          <cell r="Q2018" t="str">
            <v>Renewal (20% in 2020)</v>
          </cell>
        </row>
        <row r="2019">
          <cell r="P2019" t="str">
            <v>031159936</v>
          </cell>
          <cell r="Q2019" t="str">
            <v>Renewal (15% in 2020)</v>
          </cell>
        </row>
        <row r="2020">
          <cell r="P2020" t="str">
            <v>031158370</v>
          </cell>
          <cell r="Q2020" t="str">
            <v>Renewal (15% in 2020)</v>
          </cell>
        </row>
        <row r="2021">
          <cell r="P2021" t="str">
            <v>016166389</v>
          </cell>
          <cell r="Q2021" t="str">
            <v>New Contract</v>
          </cell>
        </row>
        <row r="2022">
          <cell r="P2022" t="str">
            <v>064173519</v>
          </cell>
          <cell r="Q2022" t="str">
            <v>Renewal (20% in 2020)</v>
          </cell>
        </row>
        <row r="2023">
          <cell r="P2023" t="str">
            <v>017006057</v>
          </cell>
          <cell r="Q2023" t="str">
            <v>Renewal (20% in 2020)</v>
          </cell>
        </row>
        <row r="2024">
          <cell r="P2024" t="str">
            <v>017158365</v>
          </cell>
          <cell r="Q2024" t="str">
            <v>Renewal (20% in 2020)</v>
          </cell>
        </row>
        <row r="2025">
          <cell r="P2025" t="str">
            <v>033175402</v>
          </cell>
          <cell r="Q2025" t="str">
            <v>New Contract</v>
          </cell>
        </row>
        <row r="2026">
          <cell r="P2026" t="str">
            <v>079157626</v>
          </cell>
          <cell r="Q2026" t="str">
            <v>Renewal (20% in 2020)</v>
          </cell>
        </row>
        <row r="2027">
          <cell r="P2027" t="str">
            <v>079013544</v>
          </cell>
          <cell r="Q2027" t="str">
            <v>Renewal (20% in 2020)</v>
          </cell>
        </row>
        <row r="2028">
          <cell r="P2028" t="str">
            <v>031157455</v>
          </cell>
          <cell r="Q2028" t="str">
            <v>Renewal (25% in 2020)</v>
          </cell>
        </row>
        <row r="2029">
          <cell r="P2029" t="str">
            <v>016166542</v>
          </cell>
          <cell r="Q2029" t="str">
            <v>Renewal (25% in 2020)</v>
          </cell>
        </row>
        <row r="2030">
          <cell r="P2030" t="str">
            <v>017162735</v>
          </cell>
          <cell r="Q2030" t="str">
            <v>Renewal (25% in 2020)</v>
          </cell>
        </row>
        <row r="2031">
          <cell r="P2031" t="str">
            <v>086162301</v>
          </cell>
          <cell r="Q2031" t="str">
            <v>Renewal (15% in 2020)</v>
          </cell>
        </row>
        <row r="2032">
          <cell r="P2032" t="str">
            <v>017007159</v>
          </cell>
          <cell r="Q2032" t="str">
            <v>New Contract</v>
          </cell>
        </row>
        <row r="2033">
          <cell r="P2033" t="str">
            <v>086162764</v>
          </cell>
          <cell r="Q2033" t="str">
            <v>Renewal (20% in 2020)</v>
          </cell>
        </row>
        <row r="2034">
          <cell r="P2034" t="str">
            <v>009008798</v>
          </cell>
          <cell r="Q2034" t="str">
            <v>Renewal (25% in 2020)</v>
          </cell>
        </row>
        <row r="2035">
          <cell r="P2035" t="str">
            <v>064167091</v>
          </cell>
          <cell r="Q2035" t="str">
            <v>Renewal (20% in 2020)</v>
          </cell>
        </row>
        <row r="2036">
          <cell r="P2036" t="str">
            <v>064175342</v>
          </cell>
          <cell r="Q2036" t="str">
            <v>Renewal (20% in 2020)</v>
          </cell>
        </row>
        <row r="2037">
          <cell r="P2037" t="str">
            <v>033011315</v>
          </cell>
          <cell r="Q2037" t="str">
            <v>Renewal (25% in 2020)</v>
          </cell>
        </row>
        <row r="2038">
          <cell r="P2038" t="str">
            <v>082001837</v>
          </cell>
          <cell r="Q2038" t="str">
            <v>New Contract</v>
          </cell>
        </row>
        <row r="2039">
          <cell r="P2039" t="str">
            <v>047175987</v>
          </cell>
          <cell r="Q2039" t="str">
            <v>Renewal (20% in 2020)</v>
          </cell>
        </row>
        <row r="2040">
          <cell r="P2040" t="str">
            <v>009008798</v>
          </cell>
          <cell r="Q2040" t="str">
            <v>Renewal (25% in 2020)</v>
          </cell>
        </row>
        <row r="2041">
          <cell r="P2041" t="str">
            <v>032166411</v>
          </cell>
          <cell r="Q2041" t="str">
            <v>Renewal (25% in 2020)</v>
          </cell>
        </row>
        <row r="2042">
          <cell r="P2042" t="str">
            <v>079016655</v>
          </cell>
          <cell r="Q2042" t="str">
            <v>Renewal (15% in 2020)</v>
          </cell>
        </row>
        <row r="2043">
          <cell r="P2043" t="str">
            <v>079016655</v>
          </cell>
          <cell r="Q2043" t="str">
            <v>Renewal (15% in 2020)</v>
          </cell>
        </row>
        <row r="2044">
          <cell r="P2044" t="str">
            <v>064013290</v>
          </cell>
          <cell r="Q2044" t="str">
            <v>Renewal (25% in 2020)</v>
          </cell>
        </row>
        <row r="2045">
          <cell r="P2045" t="str">
            <v>016167218</v>
          </cell>
          <cell r="Q2045" t="str">
            <v>New Contract</v>
          </cell>
        </row>
        <row r="2046">
          <cell r="P2046" t="str">
            <v>040170227</v>
          </cell>
          <cell r="Q2046" t="str">
            <v>Renewal (30% in 2020)</v>
          </cell>
        </row>
        <row r="2047">
          <cell r="P2047" t="str">
            <v>064020605</v>
          </cell>
          <cell r="Q2047" t="str">
            <v>Renewal (15% in 2020)</v>
          </cell>
        </row>
        <row r="2048">
          <cell r="P2048" t="str">
            <v>086159878</v>
          </cell>
          <cell r="Q2048" t="str">
            <v>Renewal (25% in 2020)</v>
          </cell>
        </row>
        <row r="2049">
          <cell r="P2049" t="str">
            <v>070016355</v>
          </cell>
          <cell r="Q2049" t="str">
            <v>Renewal (15% in 2020)</v>
          </cell>
        </row>
        <row r="2050">
          <cell r="P2050" t="str">
            <v>024030929</v>
          </cell>
          <cell r="Q2050" t="str">
            <v>Renewal (15% in 2020)</v>
          </cell>
        </row>
        <row r="2051">
          <cell r="P2051" t="str">
            <v>039155530</v>
          </cell>
          <cell r="Q2051" t="str">
            <v>New Contract</v>
          </cell>
        </row>
        <row r="2052">
          <cell r="P2052" t="str">
            <v>064166921</v>
          </cell>
          <cell r="Q2052" t="str">
            <v>Renewal (20% in 2020)</v>
          </cell>
        </row>
        <row r="2053">
          <cell r="P2053" t="str">
            <v>070010979</v>
          </cell>
          <cell r="Q2053" t="str">
            <v>Renewal (20% in 2020)</v>
          </cell>
        </row>
        <row r="2054">
          <cell r="P2054" t="str">
            <v>039156063</v>
          </cell>
          <cell r="Q2054" t="str">
            <v>Renewal (30% in 2020)</v>
          </cell>
        </row>
        <row r="2055">
          <cell r="P2055" t="str">
            <v>040176602</v>
          </cell>
          <cell r="Q2055" t="str">
            <v>Renewal (20% in 2020)</v>
          </cell>
        </row>
        <row r="2056">
          <cell r="P2056" t="str">
            <v>064169067</v>
          </cell>
          <cell r="Q2056" t="str">
            <v>Renewal (30% in 2020)</v>
          </cell>
        </row>
        <row r="2057">
          <cell r="P2057" t="str">
            <v>064165227</v>
          </cell>
          <cell r="Q2057" t="str">
            <v>Renewal (15% in 2020)</v>
          </cell>
        </row>
        <row r="2058">
          <cell r="P2058" t="str">
            <v>064019364</v>
          </cell>
          <cell r="Q2058" t="str">
            <v>Renewal (25% in 2020)</v>
          </cell>
        </row>
        <row r="2059">
          <cell r="P2059" t="str">
            <v>064177199</v>
          </cell>
          <cell r="Q2059" t="str">
            <v>Renewal (25% in 2020)</v>
          </cell>
        </row>
        <row r="2060">
          <cell r="P2060" t="str">
            <v>031155020</v>
          </cell>
          <cell r="Q2060" t="str">
            <v>Renewal (15% in 2020)</v>
          </cell>
        </row>
        <row r="2061">
          <cell r="P2061" t="str">
            <v>016014163</v>
          </cell>
          <cell r="Q2061" t="str">
            <v>Renewal (20% in 2020)</v>
          </cell>
        </row>
        <row r="2062">
          <cell r="P2062" t="str">
            <v>079158320</v>
          </cell>
          <cell r="Q2062" t="str">
            <v>Renewal (30% in 2020)</v>
          </cell>
        </row>
        <row r="2063">
          <cell r="P2063" t="str">
            <v>024026596</v>
          </cell>
          <cell r="Q2063" t="str">
            <v>Renewal (15% in 2020)</v>
          </cell>
        </row>
        <row r="2064">
          <cell r="P2064" t="str">
            <v>018007827</v>
          </cell>
          <cell r="Q2064" t="str">
            <v>Renewal (25% in 2020)</v>
          </cell>
        </row>
        <row r="2065">
          <cell r="P2065" t="str">
            <v>030246620</v>
          </cell>
          <cell r="Q2065" t="str">
            <v>Renewal (15% in 2020)</v>
          </cell>
        </row>
        <row r="2066">
          <cell r="P2066" t="str">
            <v>086162984</v>
          </cell>
          <cell r="Q2066" t="str">
            <v>Renewal (20% in 2020)</v>
          </cell>
        </row>
        <row r="2067">
          <cell r="P2067" t="str">
            <v>079158096</v>
          </cell>
          <cell r="Q2067" t="str">
            <v>Renewal (15% in 2020)</v>
          </cell>
        </row>
        <row r="2068">
          <cell r="P2068" t="str">
            <v>070011177</v>
          </cell>
          <cell r="Q2068" t="str">
            <v>Renewal (20% in 2020)</v>
          </cell>
        </row>
        <row r="2069">
          <cell r="P2069" t="str">
            <v>039154717</v>
          </cell>
          <cell r="Q2069" t="str">
            <v>Renewal (20% in 2020)</v>
          </cell>
        </row>
        <row r="2070">
          <cell r="P2070" t="str">
            <v>090000951</v>
          </cell>
          <cell r="Q2070" t="str">
            <v>Renewal (20% in 2020)</v>
          </cell>
        </row>
        <row r="2071">
          <cell r="P2071" t="str">
            <v>064017531</v>
          </cell>
          <cell r="Q2071" t="str">
            <v>Renewal (15% in 2020)</v>
          </cell>
        </row>
        <row r="2072">
          <cell r="P2072" t="str">
            <v>064170654</v>
          </cell>
          <cell r="Q2072" t="str">
            <v>Renewal (30% in 2020)</v>
          </cell>
        </row>
        <row r="2073">
          <cell r="P2073" t="str">
            <v>064164009</v>
          </cell>
          <cell r="Q2073" t="str">
            <v>Renewal (20% in 2020)</v>
          </cell>
        </row>
        <row r="2074">
          <cell r="P2074" t="str">
            <v>064021978</v>
          </cell>
          <cell r="Q2074" t="str">
            <v>Renewal (15% in 2020)</v>
          </cell>
        </row>
        <row r="2075">
          <cell r="P2075" t="str">
            <v>064178333</v>
          </cell>
          <cell r="Q2075" t="str">
            <v>Renewal (15% in 2020)</v>
          </cell>
        </row>
        <row r="2076">
          <cell r="P2076" t="str">
            <v>064008779</v>
          </cell>
          <cell r="Q2076" t="str">
            <v>Renewal (25% in 2020)</v>
          </cell>
        </row>
        <row r="2077">
          <cell r="P2077" t="str">
            <v>064022697</v>
          </cell>
          <cell r="Q2077" t="str">
            <v>Renewal (15% in 2020)</v>
          </cell>
        </row>
        <row r="2078">
          <cell r="P2078" t="str">
            <v>064171943</v>
          </cell>
          <cell r="Q2078" t="str">
            <v>Renewal (25% in 2020)</v>
          </cell>
        </row>
        <row r="2079">
          <cell r="P2079" t="str">
            <v>040173794</v>
          </cell>
          <cell r="Q2079" t="str">
            <v>Renewal (20% in 2020)</v>
          </cell>
        </row>
        <row r="2080">
          <cell r="P2080" t="str">
            <v>064176248</v>
          </cell>
          <cell r="Q2080" t="str">
            <v>Renewal (20% in 2020)</v>
          </cell>
        </row>
        <row r="2081">
          <cell r="P2081" t="str">
            <v>064166017</v>
          </cell>
          <cell r="Q2081" t="str">
            <v>Renewal (25% in 2020)</v>
          </cell>
        </row>
        <row r="2082">
          <cell r="P2082" t="str">
            <v>064177197</v>
          </cell>
          <cell r="Q2082" t="str">
            <v>Renewal (25% in 2020)</v>
          </cell>
        </row>
        <row r="2083">
          <cell r="P2083" t="str">
            <v>064174665</v>
          </cell>
          <cell r="Q2083" t="str">
            <v>Renewal (25% in 2020)</v>
          </cell>
        </row>
        <row r="2084">
          <cell r="P2084" t="str">
            <v>064179749</v>
          </cell>
          <cell r="Q2084" t="str">
            <v>Renewal (25% in 2020)</v>
          </cell>
        </row>
        <row r="2085">
          <cell r="P2085" t="str">
            <v>040007024</v>
          </cell>
          <cell r="Q2085" t="str">
            <v>Renewal (20% in 2020)</v>
          </cell>
        </row>
        <row r="2086">
          <cell r="P2086" t="str">
            <v>064172898</v>
          </cell>
          <cell r="Q2086" t="str">
            <v>Renewal (15% in 2020)</v>
          </cell>
        </row>
        <row r="2087">
          <cell r="P2087" t="str">
            <v>064417249</v>
          </cell>
          <cell r="Q2087" t="str">
            <v>Renewal (20% in 2020)</v>
          </cell>
        </row>
        <row r="2088">
          <cell r="P2088" t="str">
            <v>064013417</v>
          </cell>
          <cell r="Q2088" t="str">
            <v>Renewal (25% in 2020)</v>
          </cell>
        </row>
        <row r="2089">
          <cell r="P2089" t="str">
            <v>064022399</v>
          </cell>
          <cell r="Q2089" t="str">
            <v>Renewal (20% in 2020)</v>
          </cell>
        </row>
        <row r="2090">
          <cell r="P2090" t="str">
            <v>031004457</v>
          </cell>
          <cell r="Q2090" t="str">
            <v>Renewal (15% in 2020)</v>
          </cell>
        </row>
        <row r="2091">
          <cell r="P2091" t="str">
            <v>024037008</v>
          </cell>
          <cell r="Q2091" t="str">
            <v>Renewal (30% in 2020)</v>
          </cell>
        </row>
        <row r="2092">
          <cell r="P2092" t="str">
            <v>079153899</v>
          </cell>
          <cell r="Q2092" t="str">
            <v>Renewal (30% in 2020)</v>
          </cell>
        </row>
        <row r="2093">
          <cell r="P2093" t="str">
            <v>079153899</v>
          </cell>
          <cell r="Q2093" t="str">
            <v>Renewal (30% in 2020)</v>
          </cell>
        </row>
        <row r="2094">
          <cell r="P2094" t="str">
            <v>017162148</v>
          </cell>
          <cell r="Q2094" t="str">
            <v>Renewal (20% in 2020)</v>
          </cell>
        </row>
        <row r="2095">
          <cell r="P2095" t="str">
            <v>079015396</v>
          </cell>
          <cell r="Q2095" t="str">
            <v>Renewal (15% in 2020)</v>
          </cell>
        </row>
        <row r="2096">
          <cell r="P2096" t="str">
            <v>079156606</v>
          </cell>
          <cell r="Q2096" t="str">
            <v>Renewal (20% in 2020)</v>
          </cell>
        </row>
        <row r="2097">
          <cell r="P2097" t="str">
            <v>032169114</v>
          </cell>
          <cell r="Q2097" t="str">
            <v>Renewal (15% in 2020)</v>
          </cell>
        </row>
        <row r="2098">
          <cell r="P2098" t="str">
            <v>070003381</v>
          </cell>
          <cell r="Q2098" t="str">
            <v>Renewal (15% in 2020)</v>
          </cell>
        </row>
        <row r="2099">
          <cell r="P2099" t="str">
            <v>064008851</v>
          </cell>
          <cell r="Q2099" t="str">
            <v>Renewal (25% in 2020)</v>
          </cell>
        </row>
        <row r="2100">
          <cell r="P2100" t="str">
            <v>064179198</v>
          </cell>
          <cell r="Q2100" t="str">
            <v>Renewal (30% in 2020)</v>
          </cell>
        </row>
        <row r="2101">
          <cell r="P2101" t="str">
            <v>064163379</v>
          </cell>
          <cell r="Q2101" t="str">
            <v>Renewal (20% in 2020)</v>
          </cell>
        </row>
        <row r="2102">
          <cell r="P2102" t="str">
            <v>064164132</v>
          </cell>
          <cell r="Q2102" t="str">
            <v>Renewal (15% in 2020)</v>
          </cell>
        </row>
        <row r="2103">
          <cell r="P2103" t="str">
            <v>064167091</v>
          </cell>
          <cell r="Q2103" t="str">
            <v>Renewal (20% in 2020)</v>
          </cell>
        </row>
        <row r="2104">
          <cell r="P2104" t="str">
            <v>064168209</v>
          </cell>
          <cell r="Q2104" t="str">
            <v>Renewal (25% in 2020)</v>
          </cell>
        </row>
        <row r="2105">
          <cell r="P2105" t="str">
            <v>064173133</v>
          </cell>
          <cell r="Q2105" t="str">
            <v>Renewal (20% in 2020)</v>
          </cell>
        </row>
        <row r="2106">
          <cell r="P2106" t="str">
            <v>064021063</v>
          </cell>
          <cell r="Q2106" t="str">
            <v>Renewal (25% in 2020)</v>
          </cell>
        </row>
        <row r="2107">
          <cell r="P2107" t="str">
            <v>064017410</v>
          </cell>
          <cell r="Q2107" t="str">
            <v>Renewal (25% in 2020)</v>
          </cell>
        </row>
        <row r="2108">
          <cell r="P2108" t="str">
            <v>064007006</v>
          </cell>
          <cell r="Q2108" t="str">
            <v>Renewal (20% in 2020)</v>
          </cell>
        </row>
        <row r="2109">
          <cell r="P2109" t="str">
            <v>064178221</v>
          </cell>
          <cell r="Q2109" t="str">
            <v>Renewal (15% in 2020)</v>
          </cell>
        </row>
        <row r="2110">
          <cell r="P2110" t="str">
            <v>064167403</v>
          </cell>
          <cell r="Q2110" t="str">
            <v>Renewal (20% in 2020)</v>
          </cell>
        </row>
        <row r="2111">
          <cell r="P2111" t="str">
            <v>064169832</v>
          </cell>
          <cell r="Q2111" t="str">
            <v>Renewal (20% in 2020)</v>
          </cell>
        </row>
        <row r="2112">
          <cell r="P2112" t="str">
            <v>064167250</v>
          </cell>
          <cell r="Q2112" t="str">
            <v>Renewal (30% in 2020)</v>
          </cell>
        </row>
        <row r="2113">
          <cell r="P2113" t="str">
            <v>064167250</v>
          </cell>
          <cell r="Q2113" t="str">
            <v>Renewal (30% in 2020)</v>
          </cell>
        </row>
        <row r="2114">
          <cell r="P2114" t="str">
            <v>064021607</v>
          </cell>
          <cell r="Q2114" t="str">
            <v>Renewal (25% in 2020)</v>
          </cell>
        </row>
        <row r="2115">
          <cell r="P2115" t="str">
            <v>031155171</v>
          </cell>
          <cell r="Q2115" t="str">
            <v>Renewal (15% in 2020)</v>
          </cell>
        </row>
        <row r="2116">
          <cell r="P2116" t="str">
            <v>017007550</v>
          </cell>
          <cell r="Q2116" t="str">
            <v>Renewal (15% in 2020)</v>
          </cell>
        </row>
        <row r="2117">
          <cell r="P2117" t="str">
            <v>031153682</v>
          </cell>
          <cell r="Q2117" t="str">
            <v>Renewal (20% in 2020)</v>
          </cell>
        </row>
        <row r="2118">
          <cell r="P2118" t="str">
            <v>032164426</v>
          </cell>
          <cell r="Q2118" t="str">
            <v>Renewal (15% in 2020)</v>
          </cell>
        </row>
        <row r="2119">
          <cell r="P2119" t="str">
            <v>065156139</v>
          </cell>
          <cell r="Q2119" t="str">
            <v>Renewal (15% in 2020)</v>
          </cell>
        </row>
        <row r="2120">
          <cell r="P2120" t="str">
            <v>017007867</v>
          </cell>
          <cell r="Q2120" t="str">
            <v>Renewal (15% in 2020)</v>
          </cell>
        </row>
        <row r="2121">
          <cell r="P2121" t="str">
            <v>079157774</v>
          </cell>
          <cell r="Q2121" t="str">
            <v>Renewal (15% in 2020)</v>
          </cell>
        </row>
        <row r="2122">
          <cell r="P2122" t="str">
            <v>017161275</v>
          </cell>
          <cell r="Q2122" t="str">
            <v>Renewal (20% in 2020)</v>
          </cell>
        </row>
        <row r="2123">
          <cell r="P2123" t="str">
            <v>039154057</v>
          </cell>
          <cell r="Q2123" t="str">
            <v>Renewal (20% in 2020)</v>
          </cell>
        </row>
        <row r="2124">
          <cell r="P2124" t="str">
            <v>071164109</v>
          </cell>
          <cell r="Q2124" t="str">
            <v>Renewal (15% in 2020)</v>
          </cell>
        </row>
        <row r="2125">
          <cell r="P2125" t="str">
            <v>071164109</v>
          </cell>
          <cell r="Q2125" t="str">
            <v>Renewal (15% in 2020)</v>
          </cell>
        </row>
        <row r="2126">
          <cell r="P2126" t="str">
            <v>064177580</v>
          </cell>
          <cell r="Q2126" t="str">
            <v>Renewal (25% in 2020)</v>
          </cell>
        </row>
        <row r="2127">
          <cell r="P2127" t="str">
            <v>064021557</v>
          </cell>
          <cell r="Q2127" t="str">
            <v>Renewal (20% in 2020)</v>
          </cell>
        </row>
        <row r="2128">
          <cell r="P2128" t="str">
            <v>064175342</v>
          </cell>
          <cell r="Q2128" t="str">
            <v>Renewal (20% in 2020)</v>
          </cell>
        </row>
        <row r="2129">
          <cell r="P2129" t="str">
            <v>064022551</v>
          </cell>
          <cell r="Q2129" t="str">
            <v>Renewal (30% in 2020)</v>
          </cell>
        </row>
        <row r="2130">
          <cell r="P2130" t="str">
            <v>040177076</v>
          </cell>
          <cell r="Q2130" t="str">
            <v>Renewal (25% in 2020)</v>
          </cell>
        </row>
        <row r="2131">
          <cell r="P2131" t="str">
            <v>064168172</v>
          </cell>
          <cell r="Q2131" t="str">
            <v>Renewal (25% in 2020)</v>
          </cell>
        </row>
        <row r="2132">
          <cell r="P2132" t="str">
            <v>064022476</v>
          </cell>
          <cell r="Q2132" t="str">
            <v>Renewal (25% in 2020)</v>
          </cell>
        </row>
        <row r="2133">
          <cell r="P2133" t="str">
            <v>064169630</v>
          </cell>
          <cell r="Q2133" t="str">
            <v>Renewal (25% in 2020)</v>
          </cell>
        </row>
        <row r="2134">
          <cell r="P2134" t="str">
            <v>064164666</v>
          </cell>
          <cell r="Q2134" t="str">
            <v>Renewal (30% in 2020)</v>
          </cell>
        </row>
        <row r="2135">
          <cell r="P2135" t="str">
            <v>064176834</v>
          </cell>
          <cell r="Q2135" t="str">
            <v>Renewal (15% in 2020)</v>
          </cell>
        </row>
        <row r="2136">
          <cell r="P2136" t="str">
            <v>064009945</v>
          </cell>
          <cell r="Q2136" t="str">
            <v>Renewal (20% in 2020)</v>
          </cell>
        </row>
        <row r="2137">
          <cell r="P2137" t="str">
            <v>031157952</v>
          </cell>
          <cell r="Q2137" t="str">
            <v>Renewal (15% in 2020)</v>
          </cell>
        </row>
        <row r="2138">
          <cell r="P2138" t="str">
            <v>016161822</v>
          </cell>
          <cell r="Q2138" t="str">
            <v>Renewal (20% in 2020)</v>
          </cell>
        </row>
        <row r="2139">
          <cell r="P2139" t="str">
            <v>032165951</v>
          </cell>
          <cell r="Q2139" t="str">
            <v>Renewal (20% in 2020)</v>
          </cell>
        </row>
        <row r="2140">
          <cell r="P2140" t="str">
            <v>064176078</v>
          </cell>
          <cell r="Q2140" t="str">
            <v>Renewal (20% in 2020)</v>
          </cell>
        </row>
        <row r="2141">
          <cell r="P2141" t="str">
            <v>064002320</v>
          </cell>
          <cell r="Q2141" t="str">
            <v>Renewal (30% in 2020)</v>
          </cell>
        </row>
        <row r="2142">
          <cell r="P2142" t="str">
            <v>064176427</v>
          </cell>
          <cell r="Q2142" t="str">
            <v>Renewal (20% in 2020)</v>
          </cell>
        </row>
        <row r="2143">
          <cell r="P2143" t="str">
            <v>040002289</v>
          </cell>
          <cell r="Q2143" t="str">
            <v>Renewal (20% in 2020)</v>
          </cell>
        </row>
        <row r="2144">
          <cell r="P2144" t="str">
            <v>040002289</v>
          </cell>
          <cell r="Q2144" t="str">
            <v>Renewal (20% in 2020)</v>
          </cell>
        </row>
        <row r="2145">
          <cell r="P2145" t="str">
            <v>064176017</v>
          </cell>
          <cell r="Q2145" t="str">
            <v>Renewal (15% in 2020)</v>
          </cell>
        </row>
        <row r="2146">
          <cell r="P2146" t="str">
            <v>064170388</v>
          </cell>
          <cell r="Q2146" t="str">
            <v>Renewal (30% in 2020)</v>
          </cell>
        </row>
        <row r="2147">
          <cell r="P2147" t="str">
            <v>064173380</v>
          </cell>
          <cell r="Q2147" t="str">
            <v>Renewal (25% in 2020)</v>
          </cell>
        </row>
        <row r="2148">
          <cell r="P2148" t="str">
            <v>064176555</v>
          </cell>
          <cell r="Q2148" t="str">
            <v>Renewal (20% in 2020)</v>
          </cell>
        </row>
        <row r="2149">
          <cell r="P2149" t="str">
            <v>064168480</v>
          </cell>
          <cell r="Q2149" t="str">
            <v>Renewal (15% in 2020)</v>
          </cell>
        </row>
        <row r="2150">
          <cell r="P2150" t="str">
            <v>064164164</v>
          </cell>
          <cell r="Q2150" t="str">
            <v>Renewal (15% in 2020)</v>
          </cell>
        </row>
        <row r="2151">
          <cell r="P2151" t="str">
            <v>064164164</v>
          </cell>
          <cell r="Q2151" t="str">
            <v>Renewal (15% in 2020)</v>
          </cell>
        </row>
        <row r="2152">
          <cell r="P2152" t="str">
            <v>064166128</v>
          </cell>
          <cell r="Q2152" t="str">
            <v>Renewal (15% in 2020)</v>
          </cell>
        </row>
        <row r="2153">
          <cell r="P2153" t="str">
            <v>064018941</v>
          </cell>
          <cell r="Q2153" t="str">
            <v>Renewal (15% in 2020)</v>
          </cell>
        </row>
        <row r="2154">
          <cell r="P2154" t="str">
            <v>064018941</v>
          </cell>
          <cell r="Q2154" t="str">
            <v>Renewal (15% in 2020)</v>
          </cell>
        </row>
        <row r="2155">
          <cell r="P2155" t="str">
            <v>064169142</v>
          </cell>
          <cell r="Q2155" t="str">
            <v>Renewal (25% in 2020)</v>
          </cell>
        </row>
        <row r="2156">
          <cell r="P2156" t="str">
            <v>064174740</v>
          </cell>
          <cell r="Q2156" t="str">
            <v>Renewal (25% in 2020)</v>
          </cell>
        </row>
        <row r="2157">
          <cell r="P2157" t="str">
            <v>064178764</v>
          </cell>
          <cell r="Q2157" t="str">
            <v>Renewal (30% in 2020)</v>
          </cell>
        </row>
        <row r="2158">
          <cell r="P2158" t="str">
            <v>031158344</v>
          </cell>
          <cell r="Q2158" t="str">
            <v>Renewal (15% in 2020)</v>
          </cell>
        </row>
        <row r="2159">
          <cell r="P2159" t="str">
            <v>017012363</v>
          </cell>
          <cell r="Q2159" t="str">
            <v>Renewal (20% in 2020)</v>
          </cell>
        </row>
        <row r="2160">
          <cell r="P2160" t="str">
            <v>017012133</v>
          </cell>
          <cell r="Q2160" t="str">
            <v>Renewal (15% in 2020)</v>
          </cell>
        </row>
        <row r="2161">
          <cell r="P2161" t="str">
            <v>016002266</v>
          </cell>
          <cell r="Q2161" t="str">
            <v>Renewal (15% in 2020)</v>
          </cell>
        </row>
        <row r="2162">
          <cell r="P2162" t="str">
            <v>086006501</v>
          </cell>
          <cell r="Q2162" t="str">
            <v>Renewal (15% in 2020)</v>
          </cell>
        </row>
        <row r="2163">
          <cell r="P2163" t="str">
            <v>017166746</v>
          </cell>
          <cell r="Q2163" t="str">
            <v>Renewal (25% in 2020)</v>
          </cell>
        </row>
        <row r="2164">
          <cell r="P2164" t="str">
            <v>086161699</v>
          </cell>
          <cell r="Q2164" t="str">
            <v>Renewal (15% in 2020)</v>
          </cell>
        </row>
        <row r="2165">
          <cell r="P2165" t="str">
            <v>086161699</v>
          </cell>
          <cell r="Q2165" t="str">
            <v>Renewal (15% in 2020)</v>
          </cell>
        </row>
        <row r="2166">
          <cell r="P2166" t="str">
            <v>017167153</v>
          </cell>
          <cell r="Q2166" t="str">
            <v>Renewal (30% in 2020)</v>
          </cell>
        </row>
        <row r="2167">
          <cell r="P2167" t="str">
            <v>031012488</v>
          </cell>
          <cell r="Q2167" t="str">
            <v>Renewal (15% in 2020)</v>
          </cell>
        </row>
        <row r="2168">
          <cell r="P2168" t="str">
            <v>031012488</v>
          </cell>
          <cell r="Q2168" t="str">
            <v>Renewal (15% in 2020)</v>
          </cell>
        </row>
        <row r="2169">
          <cell r="P2169" t="str">
            <v>079155960</v>
          </cell>
          <cell r="Q2169" t="str">
            <v>Renewal (25% in 2020)</v>
          </cell>
        </row>
        <row r="2170">
          <cell r="P2170" t="str">
            <v>009007352</v>
          </cell>
          <cell r="Q2170" t="str">
            <v>Renewal (20% in 2020)</v>
          </cell>
        </row>
        <row r="2171">
          <cell r="P2171" t="str">
            <v>040165975</v>
          </cell>
          <cell r="Q2171" t="str">
            <v>Renewal (25% in 2020)</v>
          </cell>
        </row>
        <row r="2172">
          <cell r="P2172" t="str">
            <v>064010750</v>
          </cell>
          <cell r="Q2172" t="str">
            <v>Renewal (25% in 2020)</v>
          </cell>
        </row>
        <row r="2173">
          <cell r="P2173" t="str">
            <v>064174881</v>
          </cell>
          <cell r="Q2173" t="str">
            <v>Renewal (25% in 2020)</v>
          </cell>
        </row>
        <row r="2174">
          <cell r="P2174" t="str">
            <v>076162136</v>
          </cell>
          <cell r="Q2174" t="str">
            <v>Renewal (15% in 2020)</v>
          </cell>
        </row>
        <row r="2175">
          <cell r="P2175" t="str">
            <v>016164094</v>
          </cell>
          <cell r="Q2175" t="str">
            <v>Renewal (20% in 2020)</v>
          </cell>
        </row>
        <row r="2176">
          <cell r="P2176" t="str">
            <v>086159975</v>
          </cell>
          <cell r="Q2176" t="str">
            <v>Renewal (25% in 2020)</v>
          </cell>
        </row>
        <row r="2177">
          <cell r="P2177" t="str">
            <v>079156685</v>
          </cell>
          <cell r="Q2177" t="str">
            <v>Renewal (20% in 2020)</v>
          </cell>
        </row>
        <row r="2178">
          <cell r="P2178" t="str">
            <v>024005563</v>
          </cell>
          <cell r="Q2178" t="str">
            <v>Renewal (20% in 2020)</v>
          </cell>
        </row>
        <row r="2179">
          <cell r="P2179" t="str">
            <v>017168304</v>
          </cell>
          <cell r="Q2179" t="str">
            <v>Renewal (15% in 2020)</v>
          </cell>
        </row>
        <row r="2180">
          <cell r="P2180" t="str">
            <v>017013453</v>
          </cell>
          <cell r="Q2180" t="str">
            <v>Renewal (15% in 2020)</v>
          </cell>
        </row>
        <row r="2181">
          <cell r="P2181" t="str">
            <v>064019168</v>
          </cell>
          <cell r="Q2181" t="str">
            <v>Renewal (15% in 2020)</v>
          </cell>
        </row>
        <row r="2182">
          <cell r="P2182" t="str">
            <v>064173919</v>
          </cell>
          <cell r="Q2182" t="str">
            <v>Renewal (15% in 2020)</v>
          </cell>
        </row>
        <row r="2183">
          <cell r="P2183" t="str">
            <v>064171693</v>
          </cell>
          <cell r="Q2183" t="str">
            <v>Renewal (15% in 2020)</v>
          </cell>
        </row>
        <row r="2184">
          <cell r="P2184" t="str">
            <v>040172130</v>
          </cell>
          <cell r="Q2184" t="str">
            <v>Renewal (30% in 2020)</v>
          </cell>
        </row>
        <row r="2185">
          <cell r="P2185" t="str">
            <v>064176682</v>
          </cell>
          <cell r="Q2185" t="str">
            <v>Renewal (15% in 2020)</v>
          </cell>
        </row>
        <row r="2186">
          <cell r="P2186" t="str">
            <v>064173109</v>
          </cell>
          <cell r="Q2186" t="str">
            <v>Renewal (15% in 2020)</v>
          </cell>
        </row>
        <row r="2187">
          <cell r="P2187" t="str">
            <v>064173109</v>
          </cell>
          <cell r="Q2187" t="str">
            <v>Renewal (15% in 2020)</v>
          </cell>
        </row>
        <row r="2188">
          <cell r="P2188" t="str">
            <v>064017243</v>
          </cell>
          <cell r="Q2188" t="str">
            <v>Renewal (15% in 2020)</v>
          </cell>
        </row>
        <row r="2189">
          <cell r="P2189" t="str">
            <v>064172441</v>
          </cell>
          <cell r="Q2189" t="str">
            <v>Renewal (15% in 2020)</v>
          </cell>
        </row>
        <row r="2190">
          <cell r="P2190" t="str">
            <v>064179298</v>
          </cell>
          <cell r="Q2190" t="str">
            <v>Renewal (30% in 2020)</v>
          </cell>
        </row>
        <row r="2191">
          <cell r="P2191" t="str">
            <v>064166588</v>
          </cell>
          <cell r="Q2191" t="str">
            <v>Renewal (15% in 2020)</v>
          </cell>
        </row>
        <row r="2192">
          <cell r="P2192" t="str">
            <v>064168999</v>
          </cell>
          <cell r="Q2192" t="str">
            <v>Renewal (15% in 2020)</v>
          </cell>
        </row>
        <row r="2193">
          <cell r="P2193" t="str">
            <v>064163049</v>
          </cell>
          <cell r="Q2193" t="str">
            <v>Renewal (20% in 2020)</v>
          </cell>
        </row>
        <row r="2194">
          <cell r="P2194" t="str">
            <v>040003411</v>
          </cell>
          <cell r="Q2194" t="str">
            <v>Renewal (15% in 2020)</v>
          </cell>
        </row>
        <row r="2195">
          <cell r="P2195" t="str">
            <v>024037651</v>
          </cell>
          <cell r="Q2195" t="str">
            <v>Renewal (15% in 2020)</v>
          </cell>
        </row>
        <row r="2196">
          <cell r="P2196" t="str">
            <v>017006150</v>
          </cell>
          <cell r="Q2196" t="str">
            <v>Renewal (25% in 2020)</v>
          </cell>
        </row>
        <row r="2197">
          <cell r="P2197" t="str">
            <v>024035669</v>
          </cell>
          <cell r="Q2197" t="str">
            <v>Renewal (15% in 2020)</v>
          </cell>
        </row>
        <row r="2198">
          <cell r="P2198" t="str">
            <v>016163824</v>
          </cell>
          <cell r="Q2198" t="str">
            <v>Renewal (25% in 2020)</v>
          </cell>
        </row>
        <row r="2199">
          <cell r="P2199" t="str">
            <v>017012541</v>
          </cell>
          <cell r="Q2199" t="str">
            <v>Renewal (20% in 2020)</v>
          </cell>
        </row>
        <row r="2200">
          <cell r="P2200" t="str">
            <v>016163824</v>
          </cell>
          <cell r="Q2200" t="str">
            <v>Renewal (25% in 2020)</v>
          </cell>
        </row>
        <row r="2201">
          <cell r="P2201" t="str">
            <v>047172431</v>
          </cell>
          <cell r="Q2201" t="str">
            <v>Renewal (15% in 2020)</v>
          </cell>
        </row>
        <row r="2202">
          <cell r="P2202" t="str">
            <v>024035513</v>
          </cell>
          <cell r="Q2202" t="str">
            <v>Renewal (25% in 2020)</v>
          </cell>
        </row>
        <row r="2203">
          <cell r="P2203" t="str">
            <v>079159467</v>
          </cell>
          <cell r="Q2203" t="str">
            <v>Renewal (15% in 2020)</v>
          </cell>
        </row>
        <row r="2204">
          <cell r="P2204" t="str">
            <v>065158852</v>
          </cell>
          <cell r="Q2204" t="str">
            <v>Renewal (15% in 2020)</v>
          </cell>
        </row>
        <row r="2205">
          <cell r="P2205" t="str">
            <v>041011548</v>
          </cell>
          <cell r="Q2205" t="str">
            <v>Renewal (25% in 2020)</v>
          </cell>
        </row>
        <row r="2206">
          <cell r="P2206" t="str">
            <v>017166607</v>
          </cell>
          <cell r="Q2206" t="str">
            <v>New Contract</v>
          </cell>
        </row>
        <row r="2207">
          <cell r="P2207" t="str">
            <v>064178684</v>
          </cell>
          <cell r="Q2207" t="str">
            <v>Renewal (20% in 2020)</v>
          </cell>
        </row>
        <row r="2208">
          <cell r="P2208" t="str">
            <v>003013011</v>
          </cell>
          <cell r="Q2208" t="str">
            <v>Renewal (20% in 2020)</v>
          </cell>
        </row>
        <row r="2209">
          <cell r="P2209" t="str">
            <v>061015489</v>
          </cell>
          <cell r="Q2209" t="str">
            <v>Renewal (20% in 2020)</v>
          </cell>
        </row>
        <row r="2210">
          <cell r="P2210" t="str">
            <v>064007686</v>
          </cell>
          <cell r="Q2210" t="str">
            <v>Renewal (25% in 2020)</v>
          </cell>
        </row>
        <row r="2211">
          <cell r="P2211" t="str">
            <v>064019191</v>
          </cell>
          <cell r="Q2211" t="str">
            <v>Renewal (20% in 2020)</v>
          </cell>
        </row>
        <row r="2212">
          <cell r="P2212" t="str">
            <v>064172419</v>
          </cell>
          <cell r="Q2212" t="str">
            <v>Renewal (25% in 2020)</v>
          </cell>
        </row>
        <row r="2213">
          <cell r="P2213" t="str">
            <v>064179438</v>
          </cell>
          <cell r="Q2213" t="str">
            <v>Renewal (15% in 2020)</v>
          </cell>
        </row>
        <row r="2214">
          <cell r="P2214" t="str">
            <v>064172641</v>
          </cell>
          <cell r="Q2214" t="str">
            <v>Renewal (15% in 2020)</v>
          </cell>
        </row>
        <row r="2215">
          <cell r="P2215" t="str">
            <v>064008863</v>
          </cell>
          <cell r="Q2215" t="str">
            <v>Renewal (15% in 2020)</v>
          </cell>
        </row>
        <row r="2216">
          <cell r="P2216" t="str">
            <v>064009158</v>
          </cell>
          <cell r="Q2216" t="str">
            <v>Renewal (25% in 2020)</v>
          </cell>
        </row>
        <row r="2217">
          <cell r="P2217" t="str">
            <v>064006379</v>
          </cell>
          <cell r="Q2217" t="str">
            <v>Renewal (20% in 2020)</v>
          </cell>
        </row>
        <row r="2218">
          <cell r="P2218" t="str">
            <v>031004340</v>
          </cell>
          <cell r="Q2218" t="str">
            <v>Renewal (20% in 2020)</v>
          </cell>
        </row>
        <row r="2219">
          <cell r="P2219" t="str">
            <v>024004449</v>
          </cell>
          <cell r="Q2219" t="str">
            <v>Renewal (20% in 2020)</v>
          </cell>
        </row>
        <row r="2220">
          <cell r="P2220" t="str">
            <v>031158890</v>
          </cell>
          <cell r="Q2220" t="str">
            <v>Renewal (20% in 2020)</v>
          </cell>
        </row>
        <row r="2221">
          <cell r="P2221" t="str">
            <v>031159414</v>
          </cell>
          <cell r="Q2221" t="str">
            <v>Renewal (20% in 2020)</v>
          </cell>
        </row>
        <row r="2222">
          <cell r="P2222" t="str">
            <v>032020997</v>
          </cell>
          <cell r="Q2222" t="str">
            <v>Renewal (15% in 2020)</v>
          </cell>
        </row>
        <row r="2223">
          <cell r="P2223" t="str">
            <v>091003650</v>
          </cell>
          <cell r="Q2223" t="str">
            <v>Renewal (25% in 2020)</v>
          </cell>
        </row>
        <row r="2224">
          <cell r="P2224" t="str">
            <v>041158116</v>
          </cell>
          <cell r="Q2224" t="str">
            <v>Renewal (25% in 2020)</v>
          </cell>
        </row>
        <row r="2225">
          <cell r="P2225" t="str">
            <v>041158116</v>
          </cell>
          <cell r="Q2225" t="str">
            <v>Renewal (25% in 2020)</v>
          </cell>
        </row>
        <row r="2226">
          <cell r="P2226" t="str">
            <v>018052213</v>
          </cell>
          <cell r="Q2226" t="str">
            <v>Renewal (20% in 2020)</v>
          </cell>
        </row>
        <row r="2227">
          <cell r="P2227" t="str">
            <v>016164467</v>
          </cell>
          <cell r="Q2227" t="str">
            <v>Renewal (15% in 2020)</v>
          </cell>
        </row>
        <row r="2228">
          <cell r="P2228" t="str">
            <v>079158930</v>
          </cell>
          <cell r="Q2228" t="str">
            <v>Renewal (25% in 2020)</v>
          </cell>
        </row>
        <row r="2229">
          <cell r="P2229" t="str">
            <v>079159346</v>
          </cell>
          <cell r="Q2229" t="str">
            <v>Renewal (20% in 2020)</v>
          </cell>
        </row>
        <row r="2230">
          <cell r="P2230" t="str">
            <v>064172467</v>
          </cell>
          <cell r="Q2230" t="str">
            <v>Renewal (15% in 2020)</v>
          </cell>
        </row>
        <row r="2231">
          <cell r="P2231" t="str">
            <v>016165841</v>
          </cell>
          <cell r="Q2231" t="str">
            <v>Renewal (25% in 2020)</v>
          </cell>
        </row>
        <row r="2232">
          <cell r="P2232" t="str">
            <v>031160546</v>
          </cell>
          <cell r="Q2232" t="str">
            <v>New contract</v>
          </cell>
        </row>
        <row r="2233">
          <cell r="P2233" t="str">
            <v>017169123</v>
          </cell>
          <cell r="Q2233" t="str">
            <v>Renewal (25% in 2020)</v>
          </cell>
        </row>
        <row r="2234">
          <cell r="P2234" t="str">
            <v>052006553</v>
          </cell>
          <cell r="Q2234" t="str">
            <v>Renewal (15% in 2020)</v>
          </cell>
        </row>
        <row r="2235">
          <cell r="P2235" t="str">
            <v>086164329</v>
          </cell>
          <cell r="Q2235" t="str">
            <v>Renewal (20% in 2020)</v>
          </cell>
        </row>
        <row r="2236">
          <cell r="P2236" t="str">
            <v>071011279</v>
          </cell>
          <cell r="Q2236" t="str">
            <v>Renewal (20% in 2020)</v>
          </cell>
        </row>
        <row r="2237">
          <cell r="P2237" t="str">
            <v>017010128</v>
          </cell>
          <cell r="Q2237" t="str">
            <v>Renewal (15% in 2020)</v>
          </cell>
        </row>
        <row r="2238">
          <cell r="P2238" t="str">
            <v>086157031</v>
          </cell>
          <cell r="Q2238" t="str">
            <v>Renewal (15% in 2020)</v>
          </cell>
        </row>
        <row r="2239">
          <cell r="P2239" t="str">
            <v>016162554</v>
          </cell>
          <cell r="Q2239" t="str">
            <v>Renewal (15% in 2020)</v>
          </cell>
        </row>
        <row r="2240">
          <cell r="P2240" t="str">
            <v>055014282</v>
          </cell>
          <cell r="Q2240" t="str">
            <v>Renewal (15% in 2020)</v>
          </cell>
        </row>
        <row r="2241">
          <cell r="P2241" t="str">
            <v>017157956</v>
          </cell>
          <cell r="Q2241" t="str">
            <v>Renewal (30% in 2020)</v>
          </cell>
        </row>
        <row r="2242">
          <cell r="P2242" t="str">
            <v>017010405</v>
          </cell>
          <cell r="Q2242" t="str">
            <v>Renewal (15% in 2020)</v>
          </cell>
        </row>
        <row r="2243">
          <cell r="P2243" t="str">
            <v>017161184</v>
          </cell>
          <cell r="Q2243" t="str">
            <v>Renewal (15% in 2020)</v>
          </cell>
        </row>
        <row r="2244">
          <cell r="P2244" t="str">
            <v>017163869</v>
          </cell>
          <cell r="Q2244" t="str">
            <v>Renewal (20% in 2020)</v>
          </cell>
        </row>
        <row r="2245">
          <cell r="P2245" t="str">
            <v>017163869</v>
          </cell>
          <cell r="Q2245" t="str">
            <v>Renewal (20% in 2020)</v>
          </cell>
        </row>
        <row r="2246">
          <cell r="P2246" t="str">
            <v>079160609</v>
          </cell>
          <cell r="Q2246" t="str">
            <v>Renewal (15% in 2020)</v>
          </cell>
        </row>
        <row r="2247">
          <cell r="P2247" t="str">
            <v>086164753</v>
          </cell>
          <cell r="Q2247" t="str">
            <v>New Contract</v>
          </cell>
        </row>
        <row r="2248">
          <cell r="P2248" t="str">
            <v>079154171</v>
          </cell>
          <cell r="Q2248" t="str">
            <v>Renewal (15% in 2020)</v>
          </cell>
        </row>
        <row r="2249">
          <cell r="P2249" t="str">
            <v>087022166</v>
          </cell>
          <cell r="Q2249" t="str">
            <v>Renewal (15% in 2020)</v>
          </cell>
        </row>
        <row r="2250">
          <cell r="P2250" t="str">
            <v>017165055</v>
          </cell>
          <cell r="Q2250" t="str">
            <v>Renewal (25% in 2020)</v>
          </cell>
        </row>
        <row r="2251">
          <cell r="P2251" t="str">
            <v>079152063</v>
          </cell>
          <cell r="Q2251" t="str">
            <v>Renewal (15% in 2020)</v>
          </cell>
        </row>
        <row r="2252">
          <cell r="P2252" t="str">
            <v>016156752</v>
          </cell>
          <cell r="Q2252" t="str">
            <v>Renewal (15% in 2020)</v>
          </cell>
        </row>
        <row r="2253">
          <cell r="P2253" t="str">
            <v>071161261</v>
          </cell>
          <cell r="Q2253" t="str">
            <v>Renewal (30% in 2020)</v>
          </cell>
        </row>
        <row r="2254">
          <cell r="P2254" t="str">
            <v>086003307</v>
          </cell>
          <cell r="Q2254" t="str">
            <v>New Contract</v>
          </cell>
        </row>
        <row r="2255">
          <cell r="P2255" t="str">
            <v>016162788</v>
          </cell>
          <cell r="Q2255" t="str">
            <v>Renewal (30% in 2020)</v>
          </cell>
        </row>
        <row r="2256">
          <cell r="P2256" t="str">
            <v>058021210</v>
          </cell>
          <cell r="Q2256" t="str">
            <v>Renewal (25% in 2020)</v>
          </cell>
        </row>
        <row r="2257">
          <cell r="P2257" t="str">
            <v>055008896</v>
          </cell>
          <cell r="Q2257" t="str">
            <v>Renewal (20% in 2020)</v>
          </cell>
        </row>
        <row r="2258">
          <cell r="P2258" t="str">
            <v>017157845</v>
          </cell>
          <cell r="Q2258" t="str">
            <v>Renewal (20% in 2020)</v>
          </cell>
        </row>
        <row r="2259">
          <cell r="P2259" t="str">
            <v>016166859</v>
          </cell>
          <cell r="Q2259" t="str">
            <v>Renewal (20% in 2020)</v>
          </cell>
        </row>
        <row r="2260">
          <cell r="P2260" t="str">
            <v>016165150</v>
          </cell>
          <cell r="Q2260" t="str">
            <v>Renewal (20% in 2020)</v>
          </cell>
        </row>
        <row r="2261">
          <cell r="P2261" t="str">
            <v>086164225</v>
          </cell>
          <cell r="Q2261" t="str">
            <v>Renewal (15% in 2020)</v>
          </cell>
        </row>
        <row r="2262">
          <cell r="P2262" t="str">
            <v>017166007</v>
          </cell>
          <cell r="Q2262" t="str">
            <v>Renewal (15% in 2020)</v>
          </cell>
        </row>
        <row r="2263">
          <cell r="P2263" t="str">
            <v>021155211</v>
          </cell>
          <cell r="Q2263" t="str">
            <v>New Contract</v>
          </cell>
        </row>
        <row r="2264">
          <cell r="P2264" t="str">
            <v>086002485</v>
          </cell>
          <cell r="Q2264" t="str">
            <v>Renewal (15% in 2020)</v>
          </cell>
        </row>
        <row r="2265">
          <cell r="P2265" t="str">
            <v>064021333</v>
          </cell>
          <cell r="Q2265" t="str">
            <v>New contract</v>
          </cell>
        </row>
        <row r="2266">
          <cell r="P2266" t="str">
            <v>079153598</v>
          </cell>
          <cell r="Q2266" t="str">
            <v>Renewal (20% in 2020)</v>
          </cell>
        </row>
        <row r="2267">
          <cell r="P2267" t="str">
            <v>079161478</v>
          </cell>
          <cell r="Q2267" t="str">
            <v>New contract</v>
          </cell>
        </row>
        <row r="2268">
          <cell r="P2268" t="str">
            <v>086002376</v>
          </cell>
          <cell r="Q2268" t="str">
            <v>Renewal (15% in 2020)</v>
          </cell>
        </row>
        <row r="2269">
          <cell r="P2269" t="str">
            <v>024037992</v>
          </cell>
          <cell r="Q2269" t="str">
            <v>Renewal (20% in 2020)</v>
          </cell>
        </row>
        <row r="2270">
          <cell r="P2270" t="str">
            <v>055014006</v>
          </cell>
          <cell r="Q2270" t="str">
            <v>New Contract</v>
          </cell>
        </row>
        <row r="2271">
          <cell r="P2271" t="str">
            <v>021158651</v>
          </cell>
          <cell r="Q2271" t="str">
            <v>New contract</v>
          </cell>
        </row>
        <row r="2272">
          <cell r="P2272" t="str">
            <v>031154691</v>
          </cell>
          <cell r="Q2272" t="str">
            <v>New Contract</v>
          </cell>
        </row>
        <row r="2273">
          <cell r="P2273" t="str">
            <v>024035308</v>
          </cell>
          <cell r="Q2273" t="str">
            <v>New contract</v>
          </cell>
        </row>
        <row r="2274">
          <cell r="P2274" t="str">
            <v>016162159</v>
          </cell>
          <cell r="Q2274" t="str">
            <v>Renewal (15% in 2020)</v>
          </cell>
        </row>
        <row r="2275">
          <cell r="P2275" t="str">
            <v>086004927</v>
          </cell>
          <cell r="Q2275" t="str">
            <v>Renewal (15% in 2020)</v>
          </cell>
        </row>
        <row r="2276">
          <cell r="P2276" t="str">
            <v>086010500</v>
          </cell>
          <cell r="Q2276" t="str">
            <v>New Contract</v>
          </cell>
        </row>
        <row r="2277">
          <cell r="P2277" t="str">
            <v>039154997</v>
          </cell>
          <cell r="Q2277" t="str">
            <v>Renewal (15% in 2020)</v>
          </cell>
        </row>
        <row r="2278">
          <cell r="P2278" t="str">
            <v>031159203</v>
          </cell>
          <cell r="Q2278" t="str">
            <v>Renewal (15% in 2020)</v>
          </cell>
        </row>
        <row r="2279">
          <cell r="P2279" t="str">
            <v>037003510</v>
          </cell>
          <cell r="Q2279" t="str">
            <v>New Contract</v>
          </cell>
        </row>
        <row r="2280">
          <cell r="P2280" t="str">
            <v>039155836</v>
          </cell>
          <cell r="Q2280" t="str">
            <v>Renewal (30% in 2020)</v>
          </cell>
        </row>
        <row r="2281">
          <cell r="P2281" t="str">
            <v>017165919</v>
          </cell>
          <cell r="Q2281" t="str">
            <v>Renewal (25% in 2020)</v>
          </cell>
        </row>
        <row r="2282">
          <cell r="P2282" t="str">
            <v>064021630</v>
          </cell>
          <cell r="Q2282" t="str">
            <v>Renewal (15% in 2020)</v>
          </cell>
        </row>
        <row r="2283">
          <cell r="P2283" t="str">
            <v>017166660</v>
          </cell>
          <cell r="Q2283" t="str">
            <v>Renewal (15% in 2020)</v>
          </cell>
        </row>
        <row r="2284">
          <cell r="P2284" t="str">
            <v>016161755</v>
          </cell>
          <cell r="Q2284" t="str">
            <v>Renewal (25% in 2020)</v>
          </cell>
        </row>
        <row r="2285">
          <cell r="P2285" t="str">
            <v>016162555</v>
          </cell>
          <cell r="Q2285" t="str">
            <v>New Contract</v>
          </cell>
        </row>
        <row r="2286">
          <cell r="P2286" t="str">
            <v>031004408</v>
          </cell>
          <cell r="Q2286" t="str">
            <v>Renewal (20% in 2020)</v>
          </cell>
        </row>
        <row r="2287">
          <cell r="P2287" t="str">
            <v>031158427</v>
          </cell>
          <cell r="Q2287" t="str">
            <v>New contract</v>
          </cell>
        </row>
        <row r="2288">
          <cell r="P2288" t="str">
            <v>016004791</v>
          </cell>
          <cell r="Q2288" t="str">
            <v>Renewal (15% in 2020)</v>
          </cell>
        </row>
        <row r="2289">
          <cell r="P2289" t="str">
            <v>079161308</v>
          </cell>
          <cell r="Q2289" t="str">
            <v>New contract</v>
          </cell>
        </row>
        <row r="2290">
          <cell r="P2290" t="str">
            <v>031157342</v>
          </cell>
          <cell r="Q2290" t="str">
            <v>New Contract</v>
          </cell>
        </row>
        <row r="2291">
          <cell r="P2291" t="str">
            <v>031156757</v>
          </cell>
          <cell r="Q2291" t="str">
            <v>Renewal (15% in 2020)</v>
          </cell>
        </row>
        <row r="2292">
          <cell r="P2292" t="str">
            <v>039156522</v>
          </cell>
          <cell r="Q2292" t="str">
            <v>Renewal (15% in 2020)</v>
          </cell>
        </row>
        <row r="2293">
          <cell r="P2293" t="str">
            <v>057013684</v>
          </cell>
          <cell r="Q2293" t="str">
            <v>Renewal (15% in 2020)</v>
          </cell>
        </row>
        <row r="2294">
          <cell r="P2294" t="str">
            <v>070017173</v>
          </cell>
          <cell r="Q2294" t="str">
            <v>Renewal (20% in 2020)</v>
          </cell>
        </row>
        <row r="2295">
          <cell r="P2295" t="str">
            <v>055003172</v>
          </cell>
          <cell r="Q2295" t="str">
            <v>Renewal (20% in 2020)</v>
          </cell>
        </row>
        <row r="2296">
          <cell r="P2296" t="str">
            <v>016003867</v>
          </cell>
          <cell r="Q2296" t="str">
            <v>Renewal (20% in 2020)</v>
          </cell>
        </row>
        <row r="2297">
          <cell r="P2297" t="str">
            <v>079156541</v>
          </cell>
          <cell r="Q2297" t="str">
            <v>Renewal (15% in 2020)</v>
          </cell>
        </row>
        <row r="2298">
          <cell r="P2298" t="str">
            <v>039156577</v>
          </cell>
          <cell r="Q2298" t="str">
            <v>Renewal (20% in 2020)</v>
          </cell>
        </row>
        <row r="2299">
          <cell r="P2299" t="str">
            <v>079155897</v>
          </cell>
          <cell r="Q2299" t="str">
            <v>Renewal (15% in 2020)</v>
          </cell>
        </row>
        <row r="2300">
          <cell r="P2300" t="str">
            <v>086014176</v>
          </cell>
          <cell r="Q2300" t="str">
            <v>Renewal (15% in 2020)</v>
          </cell>
        </row>
        <row r="2301">
          <cell r="P2301" t="str">
            <v>079159911</v>
          </cell>
          <cell r="Q2301" t="str">
            <v>Renewal (20% in 2020)</v>
          </cell>
        </row>
        <row r="2302">
          <cell r="P2302" t="str">
            <v>064177708</v>
          </cell>
          <cell r="Q2302" t="str">
            <v>Renewal (20% in 2020)</v>
          </cell>
        </row>
        <row r="2303">
          <cell r="P2303" t="str">
            <v>017166335</v>
          </cell>
          <cell r="Q2303" t="str">
            <v>Renewal (30% in 2020)</v>
          </cell>
        </row>
        <row r="2304">
          <cell r="P2304" t="str">
            <v>039156296</v>
          </cell>
          <cell r="Q2304" t="str">
            <v>New Contract</v>
          </cell>
        </row>
        <row r="2305">
          <cell r="P2305" t="str">
            <v>032014649</v>
          </cell>
          <cell r="Q2305" t="str">
            <v>New Contract</v>
          </cell>
        </row>
        <row r="2306">
          <cell r="P2306" t="str">
            <v>086161875</v>
          </cell>
          <cell r="Q2306" t="str">
            <v>Renewal (15% in 2020)</v>
          </cell>
        </row>
        <row r="2307">
          <cell r="P2307" t="str">
            <v>079016243</v>
          </cell>
          <cell r="Q2307" t="str">
            <v>Renewal (20% in 2020)</v>
          </cell>
        </row>
        <row r="2308">
          <cell r="P2308" t="str">
            <v>016014713</v>
          </cell>
          <cell r="Q2308" t="str">
            <v>Renewal (25% in 2020)</v>
          </cell>
        </row>
        <row r="2309">
          <cell r="P2309" t="str">
            <v>032004867</v>
          </cell>
          <cell r="Q2309" t="str">
            <v>New contract</v>
          </cell>
        </row>
        <row r="2310">
          <cell r="P2310" t="str">
            <v>086157300</v>
          </cell>
          <cell r="Q2310" t="str">
            <v>Renewal (15% in 2020)</v>
          </cell>
        </row>
        <row r="2311">
          <cell r="P2311" t="str">
            <v>039156619</v>
          </cell>
          <cell r="Q2311" t="str">
            <v>Renewal (15% in 2020)</v>
          </cell>
        </row>
        <row r="2312">
          <cell r="P2312" t="str">
            <v>047159507</v>
          </cell>
          <cell r="Q2312" t="str">
            <v>Renewal (15% in 2020)</v>
          </cell>
        </row>
        <row r="2313">
          <cell r="P2313" t="str">
            <v>047170268</v>
          </cell>
          <cell r="Q2313" t="str">
            <v>Renewal (15% in 2020)</v>
          </cell>
        </row>
        <row r="2314">
          <cell r="P2314" t="str">
            <v>070011188</v>
          </cell>
          <cell r="Q2314" t="str">
            <v>Renewal (30% in 2020)</v>
          </cell>
        </row>
        <row r="2315">
          <cell r="P2315" t="str">
            <v>032020241</v>
          </cell>
          <cell r="Q2315" t="str">
            <v>Renewal (15% in 2020)</v>
          </cell>
        </row>
        <row r="2316">
          <cell r="P2316" t="str">
            <v>024015684</v>
          </cell>
          <cell r="Q2316" t="str">
            <v>Renewal (30% in 2020)</v>
          </cell>
        </row>
        <row r="2317">
          <cell r="P2317" t="str">
            <v>079153553</v>
          </cell>
          <cell r="Q2317" t="str">
            <v>New Contract</v>
          </cell>
        </row>
        <row r="2318">
          <cell r="P2318" t="str">
            <v>071155887</v>
          </cell>
          <cell r="Q2318" t="str">
            <v>Renewal (25% in 2020)</v>
          </cell>
        </row>
        <row r="2319">
          <cell r="P2319" t="str">
            <v>071155887</v>
          </cell>
          <cell r="Q2319" t="str">
            <v>Renewal (25% in 2020)</v>
          </cell>
        </row>
        <row r="2320">
          <cell r="P2320" t="str">
            <v>031013552</v>
          </cell>
          <cell r="Q2320" t="str">
            <v>New Contract</v>
          </cell>
        </row>
        <row r="2321">
          <cell r="P2321" t="str">
            <v>016162571</v>
          </cell>
          <cell r="Q2321" t="str">
            <v>New contract</v>
          </cell>
        </row>
        <row r="2322">
          <cell r="P2322" t="str">
            <v>079009983</v>
          </cell>
          <cell r="Q2322" t="str">
            <v>New Contract</v>
          </cell>
        </row>
        <row r="2323">
          <cell r="P2323" t="str">
            <v>024032899</v>
          </cell>
          <cell r="Q2323" t="str">
            <v>Renewal (20% in 2020)</v>
          </cell>
        </row>
        <row r="2324">
          <cell r="P2324" t="str">
            <v>021004260</v>
          </cell>
          <cell r="Q2324" t="str">
            <v>New Contract</v>
          </cell>
        </row>
        <row r="2325">
          <cell r="P2325" t="str">
            <v>039155463</v>
          </cell>
          <cell r="Q2325" t="str">
            <v>Renewal (25% in 2020)</v>
          </cell>
        </row>
        <row r="2326">
          <cell r="P2326" t="str">
            <v>070004248</v>
          </cell>
          <cell r="Q2326" t="str">
            <v>Renewal (15% in 2020)</v>
          </cell>
        </row>
        <row r="2327">
          <cell r="P2327" t="str">
            <v>071159607</v>
          </cell>
          <cell r="Q2327" t="str">
            <v>Renewal (20% in 2020)</v>
          </cell>
        </row>
        <row r="2328">
          <cell r="P2328" t="str">
            <v>017006771</v>
          </cell>
          <cell r="Q2328" t="str">
            <v>Renewal (30% in 2020)</v>
          </cell>
        </row>
        <row r="2329">
          <cell r="P2329" t="str">
            <v>016156280</v>
          </cell>
          <cell r="Q2329" t="str">
            <v>Renewal (15% in 2020)</v>
          </cell>
        </row>
        <row r="2330">
          <cell r="P2330" t="str">
            <v>016162211</v>
          </cell>
          <cell r="Q2330" t="str">
            <v>Renewal (20% in 2020)</v>
          </cell>
        </row>
        <row r="2331">
          <cell r="P2331" t="str">
            <v>079155729</v>
          </cell>
          <cell r="Q2331" t="str">
            <v>Renewal (15% in 2020)</v>
          </cell>
        </row>
        <row r="2332">
          <cell r="P2332" t="str">
            <v>021002985</v>
          </cell>
          <cell r="Q2332" t="str">
            <v>New Contract</v>
          </cell>
        </row>
        <row r="2333">
          <cell r="P2333" t="str">
            <v>017008166</v>
          </cell>
          <cell r="Q2333" t="str">
            <v>New contract</v>
          </cell>
        </row>
        <row r="2334">
          <cell r="P2334" t="str">
            <v>016165087</v>
          </cell>
          <cell r="Q2334" t="str">
            <v>Renewal (15% in 2020)</v>
          </cell>
        </row>
        <row r="2335">
          <cell r="P2335" t="str">
            <v>064021742</v>
          </cell>
          <cell r="Q2335" t="str">
            <v>New Contract</v>
          </cell>
        </row>
        <row r="2336">
          <cell r="P2336" t="str">
            <v>017162082</v>
          </cell>
          <cell r="Q2336" t="str">
            <v>Renewal (25% in 2020)</v>
          </cell>
        </row>
        <row r="2337">
          <cell r="P2337" t="str">
            <v>055015231</v>
          </cell>
          <cell r="Q2337" t="str">
            <v>Renewal (30% in 2020)</v>
          </cell>
        </row>
        <row r="2338">
          <cell r="P2338" t="str">
            <v>031160300</v>
          </cell>
          <cell r="Q2338" t="str">
            <v>Renewal (20% in 2020)</v>
          </cell>
        </row>
        <row r="2339">
          <cell r="P2339" t="str">
            <v>055013850</v>
          </cell>
          <cell r="Q2339" t="str">
            <v>Renewal (20% in 2020)</v>
          </cell>
        </row>
        <row r="2340">
          <cell r="P2340" t="str">
            <v>016000288</v>
          </cell>
          <cell r="Q2340" t="str">
            <v>Renewal (20% in 2020)</v>
          </cell>
        </row>
        <row r="2341">
          <cell r="P2341" t="str">
            <v>055014969</v>
          </cell>
          <cell r="Q2341" t="str">
            <v>New Contract</v>
          </cell>
        </row>
        <row r="2342">
          <cell r="P2342" t="str">
            <v>079156830</v>
          </cell>
          <cell r="Q2342" t="str">
            <v>Renewal (30% in 2020)</v>
          </cell>
        </row>
        <row r="2343">
          <cell r="P2343" t="str">
            <v>031154204</v>
          </cell>
          <cell r="Q2343" t="str">
            <v>Renewal (20% in 2020)</v>
          </cell>
        </row>
        <row r="2344">
          <cell r="P2344" t="str">
            <v>017001616</v>
          </cell>
          <cell r="Q2344" t="str">
            <v>Renewal (30% in 2020)</v>
          </cell>
        </row>
        <row r="2345">
          <cell r="P2345" t="str">
            <v>090002336</v>
          </cell>
          <cell r="Q2345" t="str">
            <v>Renewal (15% in 2020)</v>
          </cell>
        </row>
        <row r="2346">
          <cell r="P2346" t="str">
            <v>079154260</v>
          </cell>
          <cell r="Q2346" t="str">
            <v>Renewal (15% in 2020)</v>
          </cell>
        </row>
        <row r="2347">
          <cell r="P2347" t="str">
            <v>027001432</v>
          </cell>
          <cell r="Q2347" t="str">
            <v>Renewal (15% in 2020)</v>
          </cell>
        </row>
        <row r="2348">
          <cell r="P2348" t="str">
            <v>064417691</v>
          </cell>
          <cell r="Q2348" t="str">
            <v>Renewal (20% in 2020)</v>
          </cell>
        </row>
        <row r="2349">
          <cell r="P2349" t="str">
            <v>016155336</v>
          </cell>
          <cell r="Q2349" t="str">
            <v>Renewal (20% in 2020)</v>
          </cell>
        </row>
        <row r="2350">
          <cell r="P2350" t="str">
            <v>039000087</v>
          </cell>
          <cell r="Q2350" t="str">
            <v>Renewal (20% in 2020)</v>
          </cell>
        </row>
        <row r="2351">
          <cell r="P2351" t="str">
            <v>016156596</v>
          </cell>
          <cell r="Q2351" t="str">
            <v>Renewal (20% in 2020)</v>
          </cell>
        </row>
        <row r="2352">
          <cell r="P2352" t="str">
            <v>017165554</v>
          </cell>
          <cell r="Q2352" t="str">
            <v>Renewal (15% in 2020)</v>
          </cell>
        </row>
        <row r="2353">
          <cell r="P2353" t="str">
            <v>031156132</v>
          </cell>
          <cell r="Q2353" t="str">
            <v>Renewal (15% in 2020)</v>
          </cell>
        </row>
        <row r="2354">
          <cell r="P2354" t="str">
            <v>016163910</v>
          </cell>
          <cell r="Q2354" t="str">
            <v>New Contract</v>
          </cell>
        </row>
        <row r="2355">
          <cell r="P2355" t="str">
            <v>017167587</v>
          </cell>
          <cell r="Q2355" t="str">
            <v>Renewal (15% in 2020)</v>
          </cell>
        </row>
        <row r="2356">
          <cell r="P2356" t="str">
            <v>017000900</v>
          </cell>
          <cell r="Q2356" t="str">
            <v>Renewal (25% in 2020)</v>
          </cell>
        </row>
        <row r="2357">
          <cell r="P2357" t="str">
            <v>016013619</v>
          </cell>
          <cell r="Q2357" t="str">
            <v>Renewal (20% in 2020)</v>
          </cell>
        </row>
        <row r="2358">
          <cell r="P2358" t="str">
            <v>079157265</v>
          </cell>
          <cell r="Q2358" t="str">
            <v>Renewal (25% in 2020)</v>
          </cell>
        </row>
        <row r="2359">
          <cell r="P2359" t="str">
            <v>036005432</v>
          </cell>
          <cell r="Q2359" t="str">
            <v>Renewal (25% in 2020)</v>
          </cell>
        </row>
        <row r="2360">
          <cell r="P2360" t="str">
            <v>027157599</v>
          </cell>
          <cell r="Q2360" t="str">
            <v>Renewal (25% in 2020)</v>
          </cell>
        </row>
        <row r="2361">
          <cell r="P2361" t="str">
            <v>016163338</v>
          </cell>
          <cell r="Q2361" t="str">
            <v>New contract</v>
          </cell>
        </row>
        <row r="2362">
          <cell r="P2362" t="str">
            <v>086162366</v>
          </cell>
          <cell r="Q2362" t="str">
            <v>Renewal (15% in 2020)</v>
          </cell>
        </row>
        <row r="2363">
          <cell r="P2363" t="str">
            <v>017165825</v>
          </cell>
          <cell r="Q2363" t="str">
            <v>New contract</v>
          </cell>
        </row>
        <row r="2364">
          <cell r="P2364" t="str">
            <v>086164562</v>
          </cell>
          <cell r="Q2364" t="str">
            <v>Renewal (30% in 2020)</v>
          </cell>
        </row>
        <row r="2365">
          <cell r="P2365" t="str">
            <v>017157863</v>
          </cell>
          <cell r="Q2365" t="str">
            <v>New contract</v>
          </cell>
        </row>
        <row r="2366">
          <cell r="P2366" t="str">
            <v>016158858</v>
          </cell>
          <cell r="Q2366" t="str">
            <v>Renewal (15% in 2020)</v>
          </cell>
        </row>
        <row r="2367">
          <cell r="P2367" t="str">
            <v>016005748</v>
          </cell>
          <cell r="Q2367" t="str">
            <v>Renewal (30% in 2020)</v>
          </cell>
        </row>
        <row r="2368">
          <cell r="P2368" t="str">
            <v>055012166</v>
          </cell>
          <cell r="Q2368" t="str">
            <v>Renewal (30% in 2020)</v>
          </cell>
        </row>
        <row r="2369">
          <cell r="P2369" t="str">
            <v>065002813</v>
          </cell>
          <cell r="Q2369" t="str">
            <v>Renewal (20% in 2020)</v>
          </cell>
        </row>
        <row r="2370">
          <cell r="P2370" t="str">
            <v>065002813</v>
          </cell>
          <cell r="Q2370" t="str">
            <v>Renewal (20% in 2020)</v>
          </cell>
        </row>
        <row r="2371">
          <cell r="P2371" t="str">
            <v>018155781</v>
          </cell>
          <cell r="Q2371" t="str">
            <v>Renewal (25% in 2020)</v>
          </cell>
        </row>
        <row r="2372">
          <cell r="P2372" t="str">
            <v>016156840</v>
          </cell>
          <cell r="Q2372" t="str">
            <v>New contract</v>
          </cell>
        </row>
        <row r="2373">
          <cell r="P2373" t="str">
            <v>003024733</v>
          </cell>
          <cell r="Q2373" t="str">
            <v>Renewal (20% in 2020)</v>
          </cell>
        </row>
        <row r="2374">
          <cell r="P2374" t="str">
            <v>024025570</v>
          </cell>
          <cell r="Q2374" t="str">
            <v>Renewal (20% in 2020)</v>
          </cell>
        </row>
        <row r="2375">
          <cell r="P2375" t="str">
            <v>079156799</v>
          </cell>
          <cell r="Q2375" t="str">
            <v>Renewal (25% in 2020)</v>
          </cell>
        </row>
        <row r="2376">
          <cell r="P2376" t="str">
            <v>016161998</v>
          </cell>
          <cell r="Q2376" t="str">
            <v>Renewal (20% in 2020)</v>
          </cell>
        </row>
        <row r="2377">
          <cell r="P2377" t="str">
            <v>016161683</v>
          </cell>
          <cell r="Q2377" t="str">
            <v>Renewal (25% in 2020)</v>
          </cell>
        </row>
        <row r="2378">
          <cell r="P2378" t="str">
            <v>058017974</v>
          </cell>
          <cell r="Q2378" t="str">
            <v>Renewal (25% in 2020)</v>
          </cell>
        </row>
        <row r="2379">
          <cell r="P2379" t="str">
            <v>031013490</v>
          </cell>
          <cell r="Q2379" t="str">
            <v>Renewal (15% in 2020)</v>
          </cell>
        </row>
        <row r="2380">
          <cell r="P2380" t="str">
            <v>039005970</v>
          </cell>
          <cell r="Q2380" t="str">
            <v>Renewal (20% in 2020)</v>
          </cell>
        </row>
        <row r="2381">
          <cell r="P2381" t="str">
            <v>086163965</v>
          </cell>
          <cell r="Q2381" t="str">
            <v>Renewal (15% in 2020)</v>
          </cell>
        </row>
        <row r="2382">
          <cell r="P2382" t="str">
            <v>025019383</v>
          </cell>
          <cell r="Q2382" t="str">
            <v>Renewal (15% in 2020)</v>
          </cell>
        </row>
        <row r="2383">
          <cell r="P2383" t="str">
            <v>002161067</v>
          </cell>
          <cell r="Q2383" t="str">
            <v>Renewal (20% in 2020)</v>
          </cell>
        </row>
        <row r="2384">
          <cell r="P2384" t="str">
            <v>070002244</v>
          </cell>
          <cell r="Q2384" t="str">
            <v>Renewal (15% in 2020)</v>
          </cell>
        </row>
        <row r="2385">
          <cell r="P2385" t="str">
            <v>055013725</v>
          </cell>
          <cell r="Q2385" t="str">
            <v>New Contract</v>
          </cell>
        </row>
        <row r="2386">
          <cell r="P2386" t="str">
            <v>039154371</v>
          </cell>
          <cell r="Q2386" t="str">
            <v>Renewal (30% in 2020)</v>
          </cell>
        </row>
        <row r="2387">
          <cell r="P2387" t="str">
            <v>079014953</v>
          </cell>
          <cell r="Q2387" t="str">
            <v>Renewal (30% in 2020)</v>
          </cell>
        </row>
        <row r="2388">
          <cell r="P2388" t="str">
            <v>086164080</v>
          </cell>
          <cell r="Q2388" t="str">
            <v>Renewal (15% in 2020)</v>
          </cell>
        </row>
        <row r="2389">
          <cell r="P2389" t="str">
            <v>064171807</v>
          </cell>
          <cell r="Q2389" t="str">
            <v>Renewal (20% in 2020)</v>
          </cell>
        </row>
        <row r="2390">
          <cell r="P2390" t="str">
            <v>064171807</v>
          </cell>
          <cell r="Q2390" t="str">
            <v>Renewal (20% in 2020)</v>
          </cell>
        </row>
        <row r="2391">
          <cell r="P2391" t="str">
            <v>016164016</v>
          </cell>
          <cell r="Q2391" t="str">
            <v>Renewal (15% in 2020)</v>
          </cell>
        </row>
        <row r="2392">
          <cell r="P2392" t="str">
            <v>079152504</v>
          </cell>
          <cell r="Q2392" t="str">
            <v>Renewal (15% in 2020)</v>
          </cell>
        </row>
        <row r="2393">
          <cell r="P2393" t="str">
            <v>024037183</v>
          </cell>
          <cell r="Q2393" t="str">
            <v>Renewal (15% in 2020)</v>
          </cell>
        </row>
        <row r="2394">
          <cell r="P2394" t="str">
            <v>079006390</v>
          </cell>
          <cell r="Q2394" t="str">
            <v>Renewal (15% in 2020)</v>
          </cell>
        </row>
        <row r="2395">
          <cell r="P2395" t="str">
            <v>017155551</v>
          </cell>
          <cell r="Q2395" t="str">
            <v>New Contract</v>
          </cell>
        </row>
        <row r="2396">
          <cell r="P2396" t="str">
            <v>071012053</v>
          </cell>
          <cell r="Q2396" t="str">
            <v>Renewal (25% in 2020)</v>
          </cell>
        </row>
        <row r="2397">
          <cell r="P2397" t="str">
            <v>021156021</v>
          </cell>
          <cell r="Q2397" t="str">
            <v>New Contract</v>
          </cell>
        </row>
        <row r="2398">
          <cell r="P2398" t="str">
            <v>070009448</v>
          </cell>
          <cell r="Q2398" t="str">
            <v>New Contract</v>
          </cell>
        </row>
        <row r="2399">
          <cell r="P2399" t="str">
            <v>016165607</v>
          </cell>
          <cell r="Q2399" t="str">
            <v>New Contract</v>
          </cell>
        </row>
        <row r="2400">
          <cell r="P2400" t="str">
            <v>031006096</v>
          </cell>
          <cell r="Q2400" t="str">
            <v>Renewal (15% in 2020)</v>
          </cell>
        </row>
        <row r="2401">
          <cell r="P2401" t="str">
            <v>016160062</v>
          </cell>
          <cell r="Q2401" t="str">
            <v>New Contract</v>
          </cell>
        </row>
        <row r="2402">
          <cell r="P2402" t="str">
            <v>058020343</v>
          </cell>
          <cell r="Q2402" t="str">
            <v>Renewal (25% in 2020)</v>
          </cell>
        </row>
        <row r="2403">
          <cell r="P2403" t="str">
            <v>017166886</v>
          </cell>
          <cell r="Q2403" t="str">
            <v>Renewal (25% in 2020)</v>
          </cell>
        </row>
        <row r="2404">
          <cell r="P2404" t="str">
            <v>064019520</v>
          </cell>
          <cell r="Q2404" t="str">
            <v>Renewal (25% in 2020)</v>
          </cell>
        </row>
        <row r="2405">
          <cell r="P2405" t="str">
            <v>079156259</v>
          </cell>
          <cell r="Q2405" t="str">
            <v>Renewal (30% in 2020)</v>
          </cell>
        </row>
        <row r="2406">
          <cell r="P2406" t="str">
            <v>086006822</v>
          </cell>
          <cell r="Q2406" t="str">
            <v>Renewal (15% in 2020)</v>
          </cell>
        </row>
        <row r="2407">
          <cell r="P2407" t="str">
            <v>017162750</v>
          </cell>
          <cell r="Q2407" t="str">
            <v>Renewal (15% in 2020)</v>
          </cell>
        </row>
        <row r="2408">
          <cell r="P2408" t="str">
            <v>065154825</v>
          </cell>
          <cell r="Q2408" t="str">
            <v>Renewal (20% in 2020)</v>
          </cell>
        </row>
        <row r="2409">
          <cell r="P2409" t="str">
            <v>071161077</v>
          </cell>
          <cell r="Q2409" t="str">
            <v>Renewal (25% in 2020)</v>
          </cell>
        </row>
        <row r="2410">
          <cell r="P2410" t="str">
            <v>039152062</v>
          </cell>
          <cell r="Q2410" t="str">
            <v>Renewal (15% in 2020)</v>
          </cell>
        </row>
        <row r="2411">
          <cell r="P2411" t="str">
            <v>017166281</v>
          </cell>
          <cell r="Q2411" t="str">
            <v>Renewal (30% in 2020)</v>
          </cell>
        </row>
        <row r="2412">
          <cell r="P2412" t="str">
            <v>017161949</v>
          </cell>
          <cell r="Q2412" t="str">
            <v>Renewal (25% in 2020)</v>
          </cell>
        </row>
        <row r="2413">
          <cell r="P2413" t="str">
            <v>017163423</v>
          </cell>
          <cell r="Q2413" t="str">
            <v>Renewal (20% in 2020)</v>
          </cell>
        </row>
        <row r="2414">
          <cell r="P2414" t="str">
            <v>017163423</v>
          </cell>
          <cell r="Q2414" t="str">
            <v>Renewal (20% in 2020)</v>
          </cell>
        </row>
        <row r="2415">
          <cell r="P2415" t="str">
            <v>055008323</v>
          </cell>
          <cell r="Q2415" t="str">
            <v>Renewal (25% in 2020)</v>
          </cell>
        </row>
        <row r="2416">
          <cell r="P2416" t="str">
            <v>055015666</v>
          </cell>
          <cell r="Q2416" t="str">
            <v>Renewal (15% in 2020)</v>
          </cell>
        </row>
        <row r="2417">
          <cell r="P2417" t="str">
            <v>086007886</v>
          </cell>
          <cell r="Q2417" t="str">
            <v>Renewal (30% in 2020)</v>
          </cell>
        </row>
        <row r="2418">
          <cell r="P2418" t="str">
            <v>070009117</v>
          </cell>
          <cell r="Q2418" t="str">
            <v>Renewal (15% in 2020)</v>
          </cell>
        </row>
        <row r="2419">
          <cell r="P2419" t="str">
            <v>079152162</v>
          </cell>
          <cell r="Q2419" t="str">
            <v>Renewal (30% in 2020)</v>
          </cell>
        </row>
        <row r="2420">
          <cell r="P2420" t="str">
            <v>086015736</v>
          </cell>
          <cell r="Q2420" t="str">
            <v>Renewal (25% in 2020)</v>
          </cell>
        </row>
        <row r="2421">
          <cell r="P2421" t="str">
            <v>079159629</v>
          </cell>
          <cell r="Q2421" t="str">
            <v>Renewal (15% in 2020)</v>
          </cell>
        </row>
        <row r="2422">
          <cell r="P2422" t="str">
            <v>086161765</v>
          </cell>
          <cell r="Q2422" t="str">
            <v>Renewal (25% in 2020)</v>
          </cell>
        </row>
        <row r="2423">
          <cell r="P2423" t="str">
            <v>021005414</v>
          </cell>
          <cell r="Q2423" t="str">
            <v>New Contract</v>
          </cell>
        </row>
        <row r="2424">
          <cell r="P2424" t="str">
            <v>079012000</v>
          </cell>
          <cell r="Q2424" t="str">
            <v>Renewal (30% in 2020)</v>
          </cell>
        </row>
        <row r="2425">
          <cell r="P2425" t="str">
            <v>079159678</v>
          </cell>
          <cell r="Q2425" t="str">
            <v>Renewal (30% in 2020)</v>
          </cell>
        </row>
        <row r="2426">
          <cell r="P2426" t="str">
            <v>079159180</v>
          </cell>
          <cell r="Q2426" t="str">
            <v>Renewal (20% in 2020)</v>
          </cell>
        </row>
        <row r="2427">
          <cell r="P2427" t="str">
            <v>078564587</v>
          </cell>
          <cell r="Q2427" t="str">
            <v>New Contract</v>
          </cell>
        </row>
        <row r="2428">
          <cell r="P2428" t="str">
            <v>021157488</v>
          </cell>
          <cell r="Q2428" t="str">
            <v>New Contract</v>
          </cell>
        </row>
        <row r="2429">
          <cell r="P2429" t="str">
            <v>064167654</v>
          </cell>
          <cell r="Q2429" t="str">
            <v>New Contract</v>
          </cell>
        </row>
        <row r="2430">
          <cell r="P2430" t="str">
            <v>031157206</v>
          </cell>
          <cell r="Q2430" t="str">
            <v>Renewal (15% in 2020)</v>
          </cell>
        </row>
        <row r="2431">
          <cell r="P2431" t="str">
            <v>017010987</v>
          </cell>
          <cell r="Q2431" t="str">
            <v>Renewal (15% in 2020)</v>
          </cell>
        </row>
        <row r="2432">
          <cell r="P2432" t="str">
            <v>017156886</v>
          </cell>
          <cell r="Q2432" t="str">
            <v>Renewal (15% in 2020)</v>
          </cell>
        </row>
        <row r="2433">
          <cell r="P2433" t="str">
            <v>017013449</v>
          </cell>
          <cell r="Q2433" t="str">
            <v>Renewal (25% in 2020)</v>
          </cell>
        </row>
        <row r="2434">
          <cell r="P2434" t="str">
            <v>086015229</v>
          </cell>
          <cell r="Q2434" t="str">
            <v>Renewal (15% in 2020)</v>
          </cell>
        </row>
        <row r="2435">
          <cell r="P2435" t="str">
            <v>079013062</v>
          </cell>
          <cell r="Q2435" t="str">
            <v>Renewal (20% in 2020)</v>
          </cell>
        </row>
        <row r="2436">
          <cell r="P2436" t="str">
            <v>055013658</v>
          </cell>
          <cell r="Q2436" t="str">
            <v>Renewal (15% in 2020)</v>
          </cell>
        </row>
        <row r="2437">
          <cell r="P2437" t="str">
            <v>064166432</v>
          </cell>
          <cell r="Q2437" t="str">
            <v>Renewal (20% in 2020)</v>
          </cell>
        </row>
        <row r="2438">
          <cell r="P2438" t="str">
            <v>021159846</v>
          </cell>
          <cell r="Q2438" t="str">
            <v>New Contract</v>
          </cell>
        </row>
        <row r="2439">
          <cell r="P2439" t="str">
            <v>031155109</v>
          </cell>
          <cell r="Q2439" t="str">
            <v>Renewal (15% in 2020)</v>
          </cell>
        </row>
        <row r="2440">
          <cell r="P2440" t="str">
            <v>064173519</v>
          </cell>
          <cell r="Q2440" t="str">
            <v>Renewal (20% in 2020)</v>
          </cell>
        </row>
        <row r="2441">
          <cell r="P2441" t="str">
            <v>081014743</v>
          </cell>
          <cell r="Q2441" t="str">
            <v>Renewal (30% in 2020)</v>
          </cell>
        </row>
        <row r="2442">
          <cell r="P2442" t="str">
            <v>017006057</v>
          </cell>
          <cell r="Q2442" t="str">
            <v>Renewal (20% in 2020)</v>
          </cell>
        </row>
        <row r="2443">
          <cell r="P2443" t="str">
            <v>017158365</v>
          </cell>
          <cell r="Q2443" t="str">
            <v>Renewal (20% in 2020)</v>
          </cell>
        </row>
        <row r="2444">
          <cell r="P2444" t="str">
            <v>031018265</v>
          </cell>
          <cell r="Q2444" t="str">
            <v>Renewal (15% in 2020)</v>
          </cell>
        </row>
        <row r="2445">
          <cell r="P2445" t="str">
            <v>039156570</v>
          </cell>
          <cell r="Q2445" t="str">
            <v>Renewal (30% in 2020)</v>
          </cell>
        </row>
        <row r="2446">
          <cell r="P2446" t="str">
            <v>039156689</v>
          </cell>
          <cell r="Q2446" t="str">
            <v>New Contract</v>
          </cell>
        </row>
        <row r="2447">
          <cell r="P2447" t="str">
            <v>052005997</v>
          </cell>
          <cell r="Q2447" t="str">
            <v>New Contract</v>
          </cell>
        </row>
        <row r="2448">
          <cell r="P2448" t="str">
            <v>021160429</v>
          </cell>
          <cell r="Q2448" t="str">
            <v>New Contract</v>
          </cell>
        </row>
        <row r="2449">
          <cell r="P2449" t="str">
            <v>017161189</v>
          </cell>
          <cell r="Q2449" t="str">
            <v>Renewal (15% in 2020)</v>
          </cell>
        </row>
        <row r="2450">
          <cell r="P2450" t="str">
            <v>079013544</v>
          </cell>
          <cell r="Q2450" t="str">
            <v>Renewal (20% in 2020)</v>
          </cell>
        </row>
        <row r="2451">
          <cell r="P2451" t="str">
            <v>027161911</v>
          </cell>
          <cell r="Q2451" t="str">
            <v>Renewal (15% in 2020)</v>
          </cell>
        </row>
        <row r="2452">
          <cell r="P2452" t="str">
            <v>017162735</v>
          </cell>
          <cell r="Q2452" t="str">
            <v>Renewal (25% in 2020)</v>
          </cell>
        </row>
        <row r="2453">
          <cell r="P2453" t="str">
            <v>016156373</v>
          </cell>
          <cell r="Q2453" t="str">
            <v>Renewal (25% in 2020)</v>
          </cell>
        </row>
        <row r="2454">
          <cell r="P2454" t="str">
            <v>086163975</v>
          </cell>
          <cell r="Q2454" t="str">
            <v>Renewal (20% in 2020)</v>
          </cell>
        </row>
        <row r="2455">
          <cell r="P2455" t="str">
            <v>079014164</v>
          </cell>
          <cell r="Q2455" t="str">
            <v>Renewal (15% in 2020)</v>
          </cell>
        </row>
        <row r="2456">
          <cell r="P2456" t="str">
            <v>086160400</v>
          </cell>
          <cell r="Q2456" t="str">
            <v>Renewal (30% in 2020)</v>
          </cell>
        </row>
        <row r="2457">
          <cell r="P2457" t="str">
            <v>086162764</v>
          </cell>
          <cell r="Q2457" t="str">
            <v>Renewal (20% in 2020)</v>
          </cell>
        </row>
        <row r="2458">
          <cell r="P2458" t="str">
            <v>017008192</v>
          </cell>
          <cell r="Q2458" t="str">
            <v>Renewal (15% in 2020)</v>
          </cell>
        </row>
        <row r="2459">
          <cell r="P2459" t="str">
            <v>017012770</v>
          </cell>
          <cell r="Q2459" t="str">
            <v>Renewal (25% in 2020)</v>
          </cell>
        </row>
        <row r="2460">
          <cell r="P2460" t="str">
            <v>017167153</v>
          </cell>
          <cell r="Q2460" t="str">
            <v>Renewal (30% in 2020)</v>
          </cell>
        </row>
        <row r="2461">
          <cell r="P2461" t="str">
            <v>079155960</v>
          </cell>
          <cell r="Q2461" t="str">
            <v>Renewal (25% in 2020)</v>
          </cell>
        </row>
        <row r="2462">
          <cell r="P2462" t="str">
            <v>017010128</v>
          </cell>
          <cell r="Q2462" t="str">
            <v>Renewal (15% in 2020)</v>
          </cell>
        </row>
        <row r="2463">
          <cell r="P2463" t="str">
            <v>017166660</v>
          </cell>
          <cell r="Q2463" t="str">
            <v>Renewal (15% in 2020)</v>
          </cell>
        </row>
        <row r="2464">
          <cell r="P2464" t="str">
            <v>016004791</v>
          </cell>
          <cell r="Q2464" t="str">
            <v>Renewal (15% in 2020)</v>
          </cell>
        </row>
        <row r="2465">
          <cell r="P2465" t="str">
            <v>017115663</v>
          </cell>
          <cell r="Q2465" t="str">
            <v>New contract</v>
          </cell>
        </row>
        <row r="2466">
          <cell r="P2466" t="str">
            <v>082001837</v>
          </cell>
          <cell r="Q2466" t="str">
            <v>New Contract</v>
          </cell>
        </row>
        <row r="2467">
          <cell r="P2467" t="str">
            <v>016161569</v>
          </cell>
          <cell r="Q2467" t="str">
            <v>Renewal (15% in 2020)</v>
          </cell>
        </row>
        <row r="2468">
          <cell r="P2468" t="str">
            <v>016160396</v>
          </cell>
          <cell r="Q2468" t="str">
            <v>Renewal (15% in 2020)</v>
          </cell>
        </row>
        <row r="2469">
          <cell r="P2469" t="str">
            <v>016164016</v>
          </cell>
          <cell r="Q2469" t="str">
            <v>Renewal (15% in 2020)</v>
          </cell>
        </row>
        <row r="2470">
          <cell r="P2470" t="str">
            <v>016164519</v>
          </cell>
          <cell r="Q2470" t="str">
            <v>Renewal (15% in 2020)</v>
          </cell>
        </row>
        <row r="2471">
          <cell r="P2471" t="str">
            <v>017006057</v>
          </cell>
          <cell r="Q2471" t="str">
            <v>Renewal (20% in 2020)</v>
          </cell>
        </row>
        <row r="2472">
          <cell r="P2472" t="str">
            <v>017158365</v>
          </cell>
          <cell r="Q2472" t="str">
            <v>Renewal (20% in 2020)</v>
          </cell>
        </row>
        <row r="2473">
          <cell r="P2473" t="str">
            <v>064177516</v>
          </cell>
          <cell r="Q2473" t="str">
            <v>Renewal (20% in 2020)</v>
          </cell>
        </row>
        <row r="2474">
          <cell r="P2474" t="str">
            <v>064177516</v>
          </cell>
          <cell r="Q2474" t="str">
            <v>Renewal (20% in 2020)</v>
          </cell>
        </row>
        <row r="2475">
          <cell r="P2475" t="str">
            <v>031153682</v>
          </cell>
          <cell r="Q2475" t="str">
            <v>Renewal (20% in 2020)</v>
          </cell>
        </row>
        <row r="2476">
          <cell r="P2476" t="str">
            <v>039152835</v>
          </cell>
          <cell r="Q2476" t="str">
            <v>Renewal (25% in 2020)</v>
          </cell>
        </row>
        <row r="2477">
          <cell r="P2477" t="str">
            <v>064176834</v>
          </cell>
          <cell r="Q2477" t="str">
            <v>Renewal (15% in 2020)</v>
          </cell>
        </row>
        <row r="2478">
          <cell r="P2478" t="str">
            <v>032165951</v>
          </cell>
          <cell r="Q2478" t="str">
            <v>Renewal (20% in 2020)</v>
          </cell>
        </row>
        <row r="2479">
          <cell r="P2479" t="str">
            <v>064172859</v>
          </cell>
          <cell r="Q2479" t="str">
            <v>Renewal (15% in 2020)</v>
          </cell>
        </row>
        <row r="2480">
          <cell r="P2480" t="str">
            <v>064168214</v>
          </cell>
          <cell r="Q2480" t="str">
            <v>Renewal (15% in 2020)</v>
          </cell>
        </row>
        <row r="2481">
          <cell r="P2481" t="str">
            <v>064177638</v>
          </cell>
          <cell r="Q2481" t="str">
            <v>Renewal (15% in 2020)</v>
          </cell>
        </row>
        <row r="2482">
          <cell r="P2482" t="str">
            <v>017166007</v>
          </cell>
          <cell r="Q2482" t="str">
            <v>Renewal (15% in 2020)</v>
          </cell>
        </row>
        <row r="2483">
          <cell r="P2483" t="str">
            <v>017166007</v>
          </cell>
          <cell r="Q2483" t="str">
            <v>Renewal (15% in 2020)</v>
          </cell>
        </row>
        <row r="2484">
          <cell r="P2484" t="str">
            <v>047018549</v>
          </cell>
          <cell r="Q2484" t="str">
            <v>Renewal (25% in 2020)</v>
          </cell>
        </row>
        <row r="2485">
          <cell r="P2485" t="str">
            <v>047164451</v>
          </cell>
          <cell r="Q2485" t="str">
            <v>Renewal (20% in 2020)</v>
          </cell>
        </row>
        <row r="2486">
          <cell r="P2486" t="str">
            <v>024014906</v>
          </cell>
          <cell r="Q2486" t="str">
            <v>Renewal (25% in 2020)</v>
          </cell>
        </row>
        <row r="2487">
          <cell r="P2487" t="str">
            <v>064177516</v>
          </cell>
          <cell r="Q2487" t="str">
            <v>Renewal (20% in 2020)</v>
          </cell>
        </row>
        <row r="2488">
          <cell r="P2488" t="str">
            <v>064177516</v>
          </cell>
          <cell r="Q2488" t="str">
            <v>Renewal (20% in 2020)</v>
          </cell>
        </row>
        <row r="2489">
          <cell r="P2489" t="str">
            <v>064173133</v>
          </cell>
          <cell r="Q2489" t="str">
            <v>Renewal (20% in 2020)</v>
          </cell>
        </row>
        <row r="2490">
          <cell r="P2490" t="str">
            <v>039152835</v>
          </cell>
          <cell r="Q2490" t="str">
            <v>Renewal (25% in 2020)</v>
          </cell>
        </row>
        <row r="2491">
          <cell r="P2491" t="str">
            <v>039152835</v>
          </cell>
          <cell r="Q2491" t="str">
            <v>Renewal (25% in 2020)</v>
          </cell>
        </row>
        <row r="2492">
          <cell r="P2492" t="str">
            <v>064176834</v>
          </cell>
          <cell r="Q2492" t="str">
            <v>Renewal (15% in 2020)</v>
          </cell>
        </row>
        <row r="2493">
          <cell r="P2493" t="str">
            <v>032165951</v>
          </cell>
          <cell r="Q2493" t="str">
            <v>Renewal (20% in 2020)</v>
          </cell>
        </row>
        <row r="2494">
          <cell r="P2494" t="str">
            <v>064172859</v>
          </cell>
          <cell r="Q2494" t="str">
            <v>Renewal (15% in 2020)</v>
          </cell>
        </row>
        <row r="2495">
          <cell r="P2495" t="str">
            <v>064168214</v>
          </cell>
          <cell r="Q2495" t="str">
            <v>Renewal (15% in 2020)</v>
          </cell>
        </row>
        <row r="2496">
          <cell r="P2496" t="str">
            <v>064177638</v>
          </cell>
          <cell r="Q2496" t="str">
            <v>Renewal (15% in 2020)</v>
          </cell>
        </row>
        <row r="2497">
          <cell r="P2497" t="str">
            <v>064163049</v>
          </cell>
          <cell r="Q2497" t="str">
            <v>Renewal (20% in 2020)</v>
          </cell>
        </row>
        <row r="2498">
          <cell r="P2498" t="str">
            <v>064168320</v>
          </cell>
          <cell r="Q2498" t="str">
            <v>Renewal (15% in 2020)</v>
          </cell>
        </row>
        <row r="2499">
          <cell r="P2499" t="str">
            <v>016165150</v>
          </cell>
          <cell r="Q2499" t="str">
            <v>Renewal (20% in 2020)</v>
          </cell>
        </row>
        <row r="2500">
          <cell r="P2500" t="str">
            <v>017166007</v>
          </cell>
          <cell r="Q2500" t="str">
            <v>Renewal (15% in 2020)</v>
          </cell>
        </row>
        <row r="2501">
          <cell r="P2501" t="str">
            <v>064021333</v>
          </cell>
          <cell r="Q2501" t="str">
            <v>New contract</v>
          </cell>
        </row>
        <row r="2502">
          <cell r="P2502" t="str">
            <v>039155836</v>
          </cell>
          <cell r="Q2502" t="str">
            <v>Renewal (30% in 2020)</v>
          </cell>
        </row>
        <row r="2503">
          <cell r="P2503" t="str">
            <v>047018549</v>
          </cell>
          <cell r="Q2503" t="str">
            <v>Renewal (25% in 2020)</v>
          </cell>
        </row>
        <row r="2504">
          <cell r="P2504" t="str">
            <v>024014906</v>
          </cell>
          <cell r="Q2504" t="str">
            <v>Renewal (25% in 2020)</v>
          </cell>
        </row>
        <row r="2505">
          <cell r="P2505" t="str">
            <v>040174024</v>
          </cell>
          <cell r="Q2505" t="str">
            <v>Renewal (20% in 2020)</v>
          </cell>
        </row>
        <row r="2506">
          <cell r="P2506" t="str">
            <v>016166770</v>
          </cell>
          <cell r="Q2506" t="str">
            <v>Renewal (30% in 2020)</v>
          </cell>
        </row>
        <row r="2507">
          <cell r="P2507" t="str">
            <v>039152835</v>
          </cell>
          <cell r="Q2507" t="str">
            <v>Renewal (25% in 2020)</v>
          </cell>
        </row>
        <row r="2508">
          <cell r="P2508" t="str">
            <v>055014158</v>
          </cell>
          <cell r="Q2508" t="str">
            <v>New Contract</v>
          </cell>
        </row>
        <row r="2509">
          <cell r="P2509" t="str">
            <v>021161087</v>
          </cell>
          <cell r="Q2509" t="str">
            <v>New Contract</v>
          </cell>
        </row>
        <row r="2510">
          <cell r="P2510" t="str">
            <v>021156878</v>
          </cell>
          <cell r="Q2510" t="str">
            <v>New Contract</v>
          </cell>
        </row>
        <row r="2511">
          <cell r="P2511" t="str">
            <v>054014815</v>
          </cell>
          <cell r="Q2511" t="str">
            <v>Renewal (20% in 2020)</v>
          </cell>
        </row>
        <row r="2512">
          <cell r="P2512" t="str">
            <v>024030929</v>
          </cell>
          <cell r="Q2512" t="str">
            <v>Renewal (15% in 2020)</v>
          </cell>
        </row>
        <row r="2513">
          <cell r="P2513" t="str">
            <v>021155541</v>
          </cell>
          <cell r="Q2513" t="str">
            <v>New Contract</v>
          </cell>
        </row>
        <row r="2514">
          <cell r="P2514" t="str">
            <v>039156063</v>
          </cell>
          <cell r="Q2514" t="str">
            <v>Renewal (30% in 2020)</v>
          </cell>
        </row>
        <row r="2515">
          <cell r="P2515" t="str">
            <v>016014163</v>
          </cell>
          <cell r="Q2515" t="str">
            <v>Renewal (20% in 2020)</v>
          </cell>
        </row>
        <row r="2516">
          <cell r="P2516" t="str">
            <v>014030251</v>
          </cell>
          <cell r="Q2516" t="str">
            <v>Renewal (20% in 2020)</v>
          </cell>
        </row>
        <row r="2517">
          <cell r="P2517" t="str">
            <v>079157626</v>
          </cell>
          <cell r="Q2517" t="str">
            <v>Renewal (20% in 2020)</v>
          </cell>
        </row>
        <row r="2518">
          <cell r="P2518" t="str">
            <v>017162148</v>
          </cell>
          <cell r="Q2518" t="str">
            <v>Renewal (20% in 2020)</v>
          </cell>
        </row>
        <row r="2519">
          <cell r="P2519" t="str">
            <v>017164465</v>
          </cell>
          <cell r="Q2519" t="str">
            <v>Renewal (30% in 2020)</v>
          </cell>
        </row>
        <row r="2520">
          <cell r="P2520" t="str">
            <v>055010103</v>
          </cell>
          <cell r="Q2520" t="str">
            <v>Renewal (25% in 2020)</v>
          </cell>
        </row>
        <row r="2521">
          <cell r="P2521" t="str">
            <v>070003381</v>
          </cell>
          <cell r="Q2521" t="str">
            <v>Renewal (15% in 2020)</v>
          </cell>
        </row>
        <row r="2522">
          <cell r="P2522" t="str">
            <v>032169479</v>
          </cell>
          <cell r="Q2522" t="str">
            <v>Renewal (25% in 2020)</v>
          </cell>
        </row>
        <row r="2523">
          <cell r="P2523" t="str">
            <v>045010269</v>
          </cell>
          <cell r="Q2523" t="str">
            <v>Renewal (25% in 2020)</v>
          </cell>
        </row>
        <row r="2524">
          <cell r="P2524" t="str">
            <v>055015758</v>
          </cell>
          <cell r="Q2524" t="str">
            <v>Renewal (30% in 2020)</v>
          </cell>
        </row>
        <row r="2525">
          <cell r="P2525" t="str">
            <v>055014031</v>
          </cell>
          <cell r="Q2525" t="str">
            <v>New Contract</v>
          </cell>
        </row>
        <row r="2526">
          <cell r="P2526" t="str">
            <v>039152835</v>
          </cell>
          <cell r="Q2526" t="str">
            <v>Renewal (25% in 2020)</v>
          </cell>
        </row>
        <row r="2527">
          <cell r="P2527" t="str">
            <v>016161822</v>
          </cell>
          <cell r="Q2527" t="str">
            <v>Renewal (20% in 2020)</v>
          </cell>
        </row>
        <row r="2528">
          <cell r="P2528" t="str">
            <v>055004868</v>
          </cell>
          <cell r="Q2528" t="str">
            <v>Renewal (20% in 2020)</v>
          </cell>
        </row>
        <row r="2529">
          <cell r="P2529" t="str">
            <v>045007543</v>
          </cell>
          <cell r="Q2529" t="str">
            <v>Renewal (15% in 2020)</v>
          </cell>
        </row>
        <row r="2530">
          <cell r="P2530" t="str">
            <v>064170388</v>
          </cell>
          <cell r="Q2530" t="str">
            <v>Renewal (30% in 2020)</v>
          </cell>
        </row>
        <row r="2531">
          <cell r="P2531" t="str">
            <v>017012770</v>
          </cell>
          <cell r="Q2531" t="str">
            <v>Renewal (25% in 2020)</v>
          </cell>
        </row>
        <row r="2532">
          <cell r="P2532" t="str">
            <v>017168174</v>
          </cell>
          <cell r="Q2532" t="str">
            <v>Renewal (15% in 2020)</v>
          </cell>
        </row>
        <row r="2533">
          <cell r="P2533" t="str">
            <v>032166411</v>
          </cell>
          <cell r="Q2533" t="str">
            <v>Renewal (25% in 2020)</v>
          </cell>
        </row>
        <row r="2534">
          <cell r="P2534" t="str">
            <v>032170262</v>
          </cell>
          <cell r="Q2534" t="str">
            <v>Renewal (25% in 2020)</v>
          </cell>
        </row>
        <row r="2535">
          <cell r="P2535" t="str">
            <v>070014923</v>
          </cell>
          <cell r="Q2535" t="str">
            <v>Renewal (15% in 2020)</v>
          </cell>
        </row>
        <row r="2536">
          <cell r="P2536" t="str">
            <v>016156673</v>
          </cell>
          <cell r="Q2536" t="str">
            <v>Renewal (15% in 2020)</v>
          </cell>
        </row>
        <row r="2537">
          <cell r="P2537" t="str">
            <v>024005563</v>
          </cell>
          <cell r="Q2537" t="str">
            <v>Renewal (20% in 2020)</v>
          </cell>
        </row>
        <row r="2538">
          <cell r="P2538" t="str">
            <v>031159008</v>
          </cell>
          <cell r="Q2538" t="str">
            <v>Renewal (25% in 2020)</v>
          </cell>
        </row>
        <row r="2539">
          <cell r="P2539" t="str">
            <v>064019189</v>
          </cell>
          <cell r="Q2539" t="str">
            <v>Renewal (25% in 2020)</v>
          </cell>
        </row>
        <row r="2540">
          <cell r="P2540" t="str">
            <v>070014969</v>
          </cell>
          <cell r="Q2540" t="str">
            <v>Renewal (25% in 2020)</v>
          </cell>
        </row>
        <row r="2541">
          <cell r="P2541" t="str">
            <v>017012384</v>
          </cell>
          <cell r="Q2541" t="str">
            <v>Renewal (25% in 2020)</v>
          </cell>
        </row>
        <row r="2542">
          <cell r="P2542" t="str">
            <v>024013057</v>
          </cell>
          <cell r="Q2542" t="str">
            <v>Renewal (20% in 2020)</v>
          </cell>
        </row>
        <row r="2543">
          <cell r="P2543" t="str">
            <v>016166377</v>
          </cell>
          <cell r="Q2543" t="str">
            <v>Renewal (20% in 2020)</v>
          </cell>
        </row>
        <row r="2544">
          <cell r="P2544" t="str">
            <v>086162221</v>
          </cell>
          <cell r="Q2544" t="str">
            <v>Renewal (30% in 2020)</v>
          </cell>
        </row>
        <row r="2545">
          <cell r="P2545" t="str">
            <v>016163824</v>
          </cell>
          <cell r="Q2545" t="str">
            <v>Renewal (25% in 2020)</v>
          </cell>
        </row>
        <row r="2546">
          <cell r="P2546" t="str">
            <v>017161073</v>
          </cell>
          <cell r="Q2546" t="str">
            <v>Renewal (15% in 2020)</v>
          </cell>
        </row>
        <row r="2547">
          <cell r="P2547" t="str">
            <v>016156373</v>
          </cell>
          <cell r="Q2547" t="str">
            <v>Renewal (25% in 2020)</v>
          </cell>
        </row>
        <row r="2548">
          <cell r="P2548" t="str">
            <v>041011548</v>
          </cell>
          <cell r="Q2548" t="str">
            <v>Renewal (25% in 2020)</v>
          </cell>
        </row>
        <row r="2549">
          <cell r="P2549" t="str">
            <v>017166607</v>
          </cell>
          <cell r="Q2549" t="str">
            <v>New Contract</v>
          </cell>
        </row>
        <row r="2550">
          <cell r="P2550" t="str">
            <v>017163031</v>
          </cell>
          <cell r="Q2550" t="str">
            <v>Renewal (30% in 2020)</v>
          </cell>
        </row>
        <row r="2551">
          <cell r="P2551" t="str">
            <v>032166727</v>
          </cell>
          <cell r="Q2551" t="str">
            <v>Renewal (15% in 2020)</v>
          </cell>
        </row>
        <row r="2552">
          <cell r="P2552" t="str">
            <v>018154094</v>
          </cell>
          <cell r="Q2552" t="str">
            <v>Renewal (25% in 2020)</v>
          </cell>
        </row>
        <row r="2553">
          <cell r="P2553" t="str">
            <v>091003650</v>
          </cell>
          <cell r="Q2553" t="str">
            <v>Renewal (25% in 2020)</v>
          </cell>
        </row>
        <row r="2554">
          <cell r="P2554" t="str">
            <v>010008954</v>
          </cell>
          <cell r="Q2554" t="str">
            <v>Renewal (20% in 2020)</v>
          </cell>
        </row>
        <row r="2555">
          <cell r="P2555" t="str">
            <v>021156401</v>
          </cell>
          <cell r="Q2555" t="str">
            <v>New Contract</v>
          </cell>
        </row>
        <row r="2556">
          <cell r="P2556" t="str">
            <v>086160891</v>
          </cell>
          <cell r="Q2556" t="str">
            <v>Renewal (15% in 2020)</v>
          </cell>
        </row>
        <row r="2557">
          <cell r="P2557" t="str">
            <v>055013204</v>
          </cell>
          <cell r="Q2557" t="str">
            <v>Renewal (20% in 2020)</v>
          </cell>
        </row>
        <row r="2558">
          <cell r="P2558" t="str">
            <v>052013634</v>
          </cell>
          <cell r="Q2558" t="str">
            <v>Renewal (20% in 2020)</v>
          </cell>
        </row>
        <row r="2559">
          <cell r="P2559" t="str">
            <v>017169123</v>
          </cell>
          <cell r="Q2559" t="str">
            <v>Renewal (25% in 2020)</v>
          </cell>
        </row>
        <row r="2560">
          <cell r="P2560" t="str">
            <v>086164329</v>
          </cell>
          <cell r="Q2560" t="str">
            <v>Renewal (20% in 2020)</v>
          </cell>
        </row>
        <row r="2561">
          <cell r="P2561" t="str">
            <v>017010128</v>
          </cell>
          <cell r="Q2561" t="str">
            <v>Renewal (15% in 2020)</v>
          </cell>
        </row>
        <row r="2562">
          <cell r="P2562" t="str">
            <v>055001219</v>
          </cell>
          <cell r="Q2562" t="str">
            <v>Renewal (20% in 2020)</v>
          </cell>
        </row>
        <row r="2563">
          <cell r="P2563" t="str">
            <v>055001676</v>
          </cell>
          <cell r="Q2563" t="str">
            <v>Renewal (15% in 2020)</v>
          </cell>
        </row>
        <row r="2564">
          <cell r="P2564" t="str">
            <v>055002499</v>
          </cell>
          <cell r="Q2564" t="str">
            <v>Renewal (20% in 2020)</v>
          </cell>
        </row>
        <row r="2565">
          <cell r="P2565" t="str">
            <v>086157031</v>
          </cell>
          <cell r="Q2565" t="str">
            <v>Renewal (15% in 2020)</v>
          </cell>
        </row>
        <row r="2566">
          <cell r="P2566" t="str">
            <v>055014282</v>
          </cell>
          <cell r="Q2566" t="str">
            <v>Renewal (15% in 2020)</v>
          </cell>
        </row>
        <row r="2567">
          <cell r="P2567" t="str">
            <v>055010982</v>
          </cell>
          <cell r="Q2567" t="str">
            <v>Renewal (15% in 2020)</v>
          </cell>
        </row>
        <row r="2568">
          <cell r="P2568" t="str">
            <v>055013534</v>
          </cell>
          <cell r="Q2568" t="str">
            <v>Renewal (30% in 2020)</v>
          </cell>
        </row>
        <row r="2569">
          <cell r="P2569" t="str">
            <v>054013885</v>
          </cell>
          <cell r="Q2569" t="str">
            <v>New Contract</v>
          </cell>
        </row>
        <row r="2570">
          <cell r="P2570" t="str">
            <v>052006567</v>
          </cell>
          <cell r="Q2570" t="str">
            <v>Renewal (25% in 2020)</v>
          </cell>
        </row>
        <row r="2571">
          <cell r="P2571" t="str">
            <v>086164753</v>
          </cell>
          <cell r="Q2571" t="str">
            <v>New Contract</v>
          </cell>
        </row>
        <row r="2572">
          <cell r="P2572" t="str">
            <v>055015944</v>
          </cell>
          <cell r="Q2572" t="str">
            <v>Renewal (25% in 2020)</v>
          </cell>
        </row>
        <row r="2573">
          <cell r="P2573" t="str">
            <v>021000000</v>
          </cell>
          <cell r="Q2573" t="str">
            <v>New Contract</v>
          </cell>
        </row>
        <row r="2574">
          <cell r="P2574" t="str">
            <v>079152063</v>
          </cell>
          <cell r="Q2574" t="str">
            <v>Renewal (15% in 2020)</v>
          </cell>
        </row>
        <row r="2575">
          <cell r="P2575" t="str">
            <v>021161960</v>
          </cell>
          <cell r="Q2575" t="str">
            <v>New Contract</v>
          </cell>
        </row>
        <row r="2576">
          <cell r="P2576" t="str">
            <v>054001623</v>
          </cell>
          <cell r="Q2576" t="str">
            <v>Renewal (30% in 2020)</v>
          </cell>
        </row>
        <row r="2577">
          <cell r="P2577" t="str">
            <v>052011700</v>
          </cell>
          <cell r="Q2577" t="str">
            <v>New Contract</v>
          </cell>
        </row>
        <row r="2578">
          <cell r="P2578" t="str">
            <v>055014981</v>
          </cell>
          <cell r="Q2578" t="str">
            <v>New Contract</v>
          </cell>
        </row>
        <row r="2579">
          <cell r="P2579" t="str">
            <v>055014013</v>
          </cell>
          <cell r="Q2579" t="str">
            <v>Renewal (20% in 2020)</v>
          </cell>
        </row>
        <row r="2580">
          <cell r="P2580" t="str">
            <v>058021210</v>
          </cell>
          <cell r="Q2580" t="str">
            <v>Renewal (25% in 2020)</v>
          </cell>
        </row>
        <row r="2581">
          <cell r="P2581" t="str">
            <v>055008896</v>
          </cell>
          <cell r="Q2581" t="str">
            <v>Renewal (20% in 2020)</v>
          </cell>
        </row>
        <row r="2582">
          <cell r="P2582" t="str">
            <v>016165835</v>
          </cell>
          <cell r="Q2582" t="str">
            <v>Renewal (15% in 2020)</v>
          </cell>
        </row>
        <row r="2583">
          <cell r="P2583" t="str">
            <v>055000964</v>
          </cell>
          <cell r="Q2583" t="str">
            <v>New Contract</v>
          </cell>
        </row>
        <row r="2584">
          <cell r="P2584" t="str">
            <v>055015293</v>
          </cell>
          <cell r="Q2584" t="str">
            <v>Renewal (15% in 2020)</v>
          </cell>
        </row>
        <row r="2585">
          <cell r="P2585" t="str">
            <v>089002182</v>
          </cell>
          <cell r="Q2585" t="str">
            <v>New contract</v>
          </cell>
        </row>
        <row r="2586">
          <cell r="P2586" t="str">
            <v>052001735</v>
          </cell>
          <cell r="Q2586" t="str">
            <v>New Contract</v>
          </cell>
        </row>
        <row r="2587">
          <cell r="P2587" t="str">
            <v>021155211</v>
          </cell>
          <cell r="Q2587" t="str">
            <v>New Contract</v>
          </cell>
        </row>
        <row r="2588">
          <cell r="P2588" t="str">
            <v>086003434</v>
          </cell>
          <cell r="Q2588" t="str">
            <v>New Contract</v>
          </cell>
        </row>
        <row r="2589">
          <cell r="P2589" t="str">
            <v>021005579</v>
          </cell>
          <cell r="Q2589" t="str">
            <v>New Contract</v>
          </cell>
        </row>
        <row r="2590">
          <cell r="P2590" t="str">
            <v>039004348</v>
          </cell>
          <cell r="Q2590" t="str">
            <v>New contract</v>
          </cell>
        </row>
        <row r="2591">
          <cell r="P2591" t="str">
            <v>021161340</v>
          </cell>
          <cell r="Q2591" t="str">
            <v>New contract</v>
          </cell>
        </row>
        <row r="2592">
          <cell r="P2592" t="str">
            <v>021159052</v>
          </cell>
          <cell r="Q2592" t="str">
            <v>New Contract</v>
          </cell>
        </row>
        <row r="2593">
          <cell r="P2593" t="str">
            <v>016014753</v>
          </cell>
          <cell r="Q2593" t="str">
            <v>New Contract</v>
          </cell>
        </row>
        <row r="2594">
          <cell r="P2594" t="str">
            <v>055014006</v>
          </cell>
          <cell r="Q2594" t="str">
            <v>New Contract</v>
          </cell>
        </row>
        <row r="2595">
          <cell r="P2595" t="str">
            <v>037162257</v>
          </cell>
          <cell r="Q2595" t="str">
            <v>New contract</v>
          </cell>
        </row>
        <row r="2596">
          <cell r="P2596" t="str">
            <v>021010652</v>
          </cell>
          <cell r="Q2596" t="str">
            <v>New contract</v>
          </cell>
        </row>
        <row r="2597">
          <cell r="P2597" t="str">
            <v>039154997</v>
          </cell>
          <cell r="Q2597" t="str">
            <v>Renewal (15% in 2020)</v>
          </cell>
        </row>
        <row r="2598">
          <cell r="P2598" t="str">
            <v>039155836</v>
          </cell>
          <cell r="Q2598" t="str">
            <v>Renewal (30% in 2020)</v>
          </cell>
        </row>
        <row r="2599">
          <cell r="P2599" t="str">
            <v>077002297</v>
          </cell>
          <cell r="Q2599" t="str">
            <v>New Contract</v>
          </cell>
        </row>
        <row r="2600">
          <cell r="P2600" t="str">
            <v>021007512</v>
          </cell>
          <cell r="Q2600" t="str">
            <v>New contract</v>
          </cell>
        </row>
        <row r="2601">
          <cell r="P2601" t="str">
            <v>031011458</v>
          </cell>
          <cell r="Q2601" t="str">
            <v>New Contract</v>
          </cell>
        </row>
        <row r="2602">
          <cell r="P2602" t="str">
            <v>017166660</v>
          </cell>
          <cell r="Q2602" t="str">
            <v>Renewal (15% in 2020)</v>
          </cell>
        </row>
        <row r="2603">
          <cell r="P2603" t="str">
            <v>016161755</v>
          </cell>
          <cell r="Q2603" t="str">
            <v>Renewal (25% in 2020)</v>
          </cell>
        </row>
        <row r="2604">
          <cell r="P2604" t="str">
            <v>016162555</v>
          </cell>
          <cell r="Q2604" t="str">
            <v>New Contract</v>
          </cell>
        </row>
        <row r="2605">
          <cell r="P2605" t="str">
            <v>021623235</v>
          </cell>
          <cell r="Q2605" t="str">
            <v>New Contract</v>
          </cell>
        </row>
        <row r="2606">
          <cell r="P2606" t="str">
            <v>089004696</v>
          </cell>
          <cell r="Q2606" t="str">
            <v>New Contract</v>
          </cell>
        </row>
        <row r="2607">
          <cell r="P2607" t="str">
            <v>016004791</v>
          </cell>
          <cell r="Q2607" t="str">
            <v>Renewal (15% in 2020)</v>
          </cell>
        </row>
        <row r="2608">
          <cell r="P2608" t="str">
            <v>003026277</v>
          </cell>
          <cell r="Q2608" t="str">
            <v>Renewal (20% in 2020)</v>
          </cell>
        </row>
        <row r="2609">
          <cell r="P2609" t="str">
            <v>031004426</v>
          </cell>
          <cell r="Q2609" t="str">
            <v>Renewal (20% in 2020)</v>
          </cell>
        </row>
        <row r="2610">
          <cell r="P2610" t="str">
            <v>055014178</v>
          </cell>
          <cell r="Q2610" t="str">
            <v>Renewal (30% in 2020)</v>
          </cell>
        </row>
        <row r="2611">
          <cell r="P2611" t="str">
            <v>057013684</v>
          </cell>
          <cell r="Q2611" t="str">
            <v>Renewal (15% in 2020)</v>
          </cell>
        </row>
        <row r="2612">
          <cell r="P2612" t="str">
            <v>055013717</v>
          </cell>
          <cell r="Q2612" t="str">
            <v>Renewal (25% in 2020)</v>
          </cell>
        </row>
        <row r="2613">
          <cell r="P2613" t="str">
            <v>055003172</v>
          </cell>
          <cell r="Q2613" t="str">
            <v>Renewal (20% in 2020)</v>
          </cell>
        </row>
        <row r="2614">
          <cell r="P2614" t="str">
            <v>079158679</v>
          </cell>
          <cell r="Q2614" t="str">
            <v>Renewal (20% in 2020)</v>
          </cell>
        </row>
        <row r="2615">
          <cell r="P2615" t="str">
            <v>052013076</v>
          </cell>
          <cell r="Q2615" t="str">
            <v>Renewal (20% in 2020)</v>
          </cell>
        </row>
        <row r="2616">
          <cell r="P2616" t="str">
            <v>054008894</v>
          </cell>
          <cell r="Q2616" t="str">
            <v>Renewal (20% in 2020)</v>
          </cell>
        </row>
        <row r="2617">
          <cell r="P2617" t="str">
            <v>055008770</v>
          </cell>
          <cell r="Q2617" t="str">
            <v>Renewal (20% in 2020)</v>
          </cell>
        </row>
        <row r="2618">
          <cell r="P2618" t="str">
            <v>086014176</v>
          </cell>
          <cell r="Q2618" t="str">
            <v>Renewal (15% in 2020)</v>
          </cell>
        </row>
        <row r="2619">
          <cell r="P2619" t="str">
            <v>017166335</v>
          </cell>
          <cell r="Q2619" t="str">
            <v>Renewal (30% in 2020)</v>
          </cell>
        </row>
        <row r="2620">
          <cell r="P2620" t="str">
            <v>016014713</v>
          </cell>
          <cell r="Q2620" t="str">
            <v>Renewal (25% in 2020)</v>
          </cell>
        </row>
        <row r="2621">
          <cell r="P2621" t="str">
            <v>021010354</v>
          </cell>
          <cell r="Q2621" t="str">
            <v>New Contract</v>
          </cell>
        </row>
        <row r="2622">
          <cell r="P2622" t="str">
            <v>017115663</v>
          </cell>
          <cell r="Q2622" t="str">
            <v>New contract</v>
          </cell>
        </row>
        <row r="2623">
          <cell r="P2623" t="str">
            <v>021161272</v>
          </cell>
          <cell r="Q2623" t="str">
            <v>New Contract</v>
          </cell>
        </row>
        <row r="2624">
          <cell r="P2624" t="str">
            <v>031151703</v>
          </cell>
          <cell r="Q2624" t="str">
            <v>Renewal (15% in 2020)</v>
          </cell>
        </row>
        <row r="2625">
          <cell r="P2625" t="str">
            <v>086163909</v>
          </cell>
          <cell r="Q2625" t="str">
            <v>Renewal (15% in 2020)</v>
          </cell>
        </row>
        <row r="2626">
          <cell r="P2626" t="str">
            <v>086161732</v>
          </cell>
          <cell r="Q2626" t="str">
            <v>Renewal (20% in 2020)</v>
          </cell>
        </row>
        <row r="2627">
          <cell r="P2627" t="str">
            <v>017006771</v>
          </cell>
          <cell r="Q2627" t="str">
            <v>Renewal (30% in 2020)</v>
          </cell>
        </row>
        <row r="2628">
          <cell r="P2628" t="str">
            <v>016156280</v>
          </cell>
          <cell r="Q2628" t="str">
            <v>Renewal (15% in 2020)</v>
          </cell>
        </row>
        <row r="2629">
          <cell r="P2629" t="str">
            <v>016162211</v>
          </cell>
          <cell r="Q2629" t="str">
            <v>Renewal (20% in 2020)</v>
          </cell>
        </row>
        <row r="2630">
          <cell r="P2630" t="str">
            <v>017008166</v>
          </cell>
          <cell r="Q2630" t="str">
            <v>New contract</v>
          </cell>
        </row>
        <row r="2631">
          <cell r="P2631" t="str">
            <v>021161276</v>
          </cell>
          <cell r="Q2631" t="str">
            <v>New Contract</v>
          </cell>
        </row>
        <row r="2632">
          <cell r="P2632" t="str">
            <v>055014400</v>
          </cell>
          <cell r="Q2632" t="str">
            <v>Renewal (25% in 2020)</v>
          </cell>
        </row>
        <row r="2633">
          <cell r="P2633" t="str">
            <v>017162082</v>
          </cell>
          <cell r="Q2633" t="str">
            <v>Renewal (25% in 2020)</v>
          </cell>
        </row>
        <row r="2634">
          <cell r="P2634" t="str">
            <v>055015231</v>
          </cell>
          <cell r="Q2634" t="str">
            <v>Renewal (30% in 2020)</v>
          </cell>
        </row>
        <row r="2635">
          <cell r="P2635" t="str">
            <v>055013850</v>
          </cell>
          <cell r="Q2635" t="str">
            <v>Renewal (20% in 2020)</v>
          </cell>
        </row>
        <row r="2636">
          <cell r="P2636" t="str">
            <v>021159386</v>
          </cell>
          <cell r="Q2636" t="str">
            <v>New Contract</v>
          </cell>
        </row>
        <row r="2637">
          <cell r="P2637" t="str">
            <v>017169536</v>
          </cell>
          <cell r="Q2637" t="str">
            <v>Renewal (15% in 2020)</v>
          </cell>
        </row>
        <row r="2638">
          <cell r="P2638" t="str">
            <v>055014969</v>
          </cell>
          <cell r="Q2638" t="str">
            <v>New Contract</v>
          </cell>
        </row>
        <row r="2639">
          <cell r="P2639" t="str">
            <v>051003355</v>
          </cell>
          <cell r="Q2639" t="str">
            <v>New Contract</v>
          </cell>
        </row>
        <row r="2640">
          <cell r="P2640" t="str">
            <v>018159066</v>
          </cell>
          <cell r="Q2640" t="str">
            <v>Renewal (20% in 2020)</v>
          </cell>
        </row>
        <row r="2641">
          <cell r="P2641" t="str">
            <v>031154204</v>
          </cell>
          <cell r="Q2641" t="str">
            <v>Renewal (20% in 2020)</v>
          </cell>
        </row>
        <row r="2642">
          <cell r="P2642" t="str">
            <v>052012030</v>
          </cell>
          <cell r="Q2642" t="str">
            <v>Renewal (20% in 2020)</v>
          </cell>
        </row>
        <row r="2643">
          <cell r="P2643" t="str">
            <v>055014063</v>
          </cell>
          <cell r="Q2643" t="str">
            <v>Renewal (20% in 2020)</v>
          </cell>
        </row>
        <row r="2644">
          <cell r="P2644" t="str">
            <v>017001616</v>
          </cell>
          <cell r="Q2644" t="str">
            <v>Renewal (30% in 2020)</v>
          </cell>
        </row>
        <row r="2645">
          <cell r="P2645" t="str">
            <v>055010793</v>
          </cell>
          <cell r="Q2645" t="str">
            <v>Renewal (30% in 2020)</v>
          </cell>
        </row>
        <row r="2646">
          <cell r="P2646" t="str">
            <v>055014209</v>
          </cell>
          <cell r="Q2646" t="str">
            <v>Renewal (20% in 2020)</v>
          </cell>
        </row>
        <row r="2647">
          <cell r="P2647" t="str">
            <v>054014957</v>
          </cell>
          <cell r="Q2647" t="str">
            <v>Renewal (15% in 2020)</v>
          </cell>
        </row>
        <row r="2648">
          <cell r="P2648" t="str">
            <v>021158821</v>
          </cell>
          <cell r="Q2648" t="str">
            <v>New Contract</v>
          </cell>
        </row>
        <row r="2649">
          <cell r="P2649" t="str">
            <v>016155336</v>
          </cell>
          <cell r="Q2649" t="str">
            <v>Renewal (20% in 2020)</v>
          </cell>
        </row>
        <row r="2650">
          <cell r="P2650" t="str">
            <v>055001751</v>
          </cell>
          <cell r="Q2650" t="str">
            <v>Renewal (20% in 2020)</v>
          </cell>
        </row>
        <row r="2651">
          <cell r="P2651" t="str">
            <v>052011822</v>
          </cell>
          <cell r="Q2651" t="str">
            <v>Renewal (20% in 2020)</v>
          </cell>
        </row>
        <row r="2652">
          <cell r="P2652" t="str">
            <v>055015382</v>
          </cell>
          <cell r="Q2652" t="str">
            <v>New Contract</v>
          </cell>
        </row>
        <row r="2653">
          <cell r="P2653" t="str">
            <v>052013482</v>
          </cell>
          <cell r="Q2653" t="str">
            <v>Renewal (20% in 2020)</v>
          </cell>
        </row>
        <row r="2654">
          <cell r="P2654" t="str">
            <v>016163910</v>
          </cell>
          <cell r="Q2654" t="str">
            <v>New Contract</v>
          </cell>
        </row>
        <row r="2655">
          <cell r="P2655" t="str">
            <v>052008382</v>
          </cell>
          <cell r="Q2655" t="str">
            <v>Renewal (20% in 2020)</v>
          </cell>
        </row>
        <row r="2656">
          <cell r="P2656" t="str">
            <v>017167587</v>
          </cell>
          <cell r="Q2656" t="str">
            <v>Renewal (15% in 2020)</v>
          </cell>
        </row>
        <row r="2657">
          <cell r="P2657" t="str">
            <v>016013619</v>
          </cell>
          <cell r="Q2657" t="str">
            <v>Renewal (20% in 2020)</v>
          </cell>
        </row>
        <row r="2658">
          <cell r="P2658" t="str">
            <v>055014072</v>
          </cell>
          <cell r="Q2658" t="str">
            <v>Renewal (30% in 2020)</v>
          </cell>
        </row>
        <row r="2659">
          <cell r="P2659" t="str">
            <v>027157599</v>
          </cell>
          <cell r="Q2659" t="str">
            <v>Renewal (25% in 2020)</v>
          </cell>
        </row>
        <row r="2660">
          <cell r="P2660" t="str">
            <v>021004588</v>
          </cell>
          <cell r="Q2660" t="str">
            <v>New Contract</v>
          </cell>
        </row>
        <row r="2661">
          <cell r="P2661" t="str">
            <v>016165184</v>
          </cell>
          <cell r="Q2661" t="str">
            <v>Renewal (20% in 2020)</v>
          </cell>
        </row>
        <row r="2662">
          <cell r="P2662" t="str">
            <v>086162366</v>
          </cell>
          <cell r="Q2662" t="str">
            <v>Renewal (15% in 2020)</v>
          </cell>
        </row>
        <row r="2663">
          <cell r="P2663" t="str">
            <v>086162366</v>
          </cell>
          <cell r="Q2663" t="str">
            <v>Renewal (15% in 2020)</v>
          </cell>
        </row>
        <row r="2664">
          <cell r="P2664" t="str">
            <v>032018547</v>
          </cell>
          <cell r="Q2664" t="str">
            <v>Renewal (15% in 2020)</v>
          </cell>
        </row>
        <row r="2665">
          <cell r="P2665" t="str">
            <v>017013121</v>
          </cell>
          <cell r="Q2665" t="str">
            <v>Renewal (25% in 2020)</v>
          </cell>
        </row>
        <row r="2666">
          <cell r="P2666" t="str">
            <v>017165825</v>
          </cell>
          <cell r="Q2666" t="str">
            <v>New contract</v>
          </cell>
        </row>
        <row r="2667">
          <cell r="P2667" t="str">
            <v>021159558</v>
          </cell>
          <cell r="Q2667" t="str">
            <v>New contract</v>
          </cell>
        </row>
        <row r="2668">
          <cell r="P2668" t="str">
            <v>086164562</v>
          </cell>
          <cell r="Q2668" t="str">
            <v>Renewal (30% in 2020)</v>
          </cell>
        </row>
        <row r="2669">
          <cell r="P2669" t="str">
            <v>021215711</v>
          </cell>
          <cell r="Q2669" t="str">
            <v>New contract</v>
          </cell>
        </row>
        <row r="2670">
          <cell r="P2670" t="str">
            <v>023018466</v>
          </cell>
          <cell r="Q2670" t="str">
            <v>New contract</v>
          </cell>
        </row>
        <row r="2671">
          <cell r="P2671" t="str">
            <v>089163802</v>
          </cell>
          <cell r="Q2671" t="str">
            <v>New contract</v>
          </cell>
        </row>
        <row r="2672">
          <cell r="P2672" t="str">
            <v>016005748</v>
          </cell>
          <cell r="Q2672" t="str">
            <v>Renewal (30% in 2020)</v>
          </cell>
        </row>
        <row r="2673">
          <cell r="P2673" t="str">
            <v>021010669</v>
          </cell>
          <cell r="Q2673" t="str">
            <v>New contract</v>
          </cell>
        </row>
        <row r="2674">
          <cell r="P2674" t="str">
            <v>036158824</v>
          </cell>
          <cell r="Q2674" t="str">
            <v>Renewal (20% in 2020)</v>
          </cell>
        </row>
        <row r="2675">
          <cell r="P2675" t="str">
            <v>055012166</v>
          </cell>
          <cell r="Q2675" t="str">
            <v>Renewal (30% in 2020)</v>
          </cell>
        </row>
        <row r="2676">
          <cell r="P2676" t="str">
            <v>055014151</v>
          </cell>
          <cell r="Q2676" t="str">
            <v>New Contract</v>
          </cell>
        </row>
        <row r="2677">
          <cell r="P2677" t="str">
            <v>024034120</v>
          </cell>
          <cell r="Q2677" t="str">
            <v>Renewal (30% in 2020)</v>
          </cell>
        </row>
        <row r="2678">
          <cell r="P2678" t="str">
            <v>021158193</v>
          </cell>
          <cell r="Q2678" t="str">
            <v>New Contract</v>
          </cell>
        </row>
        <row r="2679">
          <cell r="P2679" t="str">
            <v>024037169</v>
          </cell>
          <cell r="Q2679" t="str">
            <v>Renewal (20% in 2020)</v>
          </cell>
        </row>
        <row r="2680">
          <cell r="P2680" t="str">
            <v>025019383</v>
          </cell>
          <cell r="Q2680" t="str">
            <v>Renewal (15% in 2020)</v>
          </cell>
        </row>
        <row r="2681">
          <cell r="P2681" t="str">
            <v>086163461</v>
          </cell>
          <cell r="Q2681" t="str">
            <v>Renewal (20% in 2020)</v>
          </cell>
        </row>
        <row r="2682">
          <cell r="P2682" t="str">
            <v>054013957</v>
          </cell>
          <cell r="Q2682" t="str">
            <v>Renewal (25% in 2020)</v>
          </cell>
        </row>
        <row r="2683">
          <cell r="P2683" t="str">
            <v>054014264</v>
          </cell>
          <cell r="Q2683" t="str">
            <v>Renewal (25% in 2020)</v>
          </cell>
        </row>
        <row r="2684">
          <cell r="P2684" t="str">
            <v>016160396</v>
          </cell>
          <cell r="Q2684" t="str">
            <v>Renewal (15% in 2020)</v>
          </cell>
        </row>
        <row r="2685">
          <cell r="P2685" t="str">
            <v>086015908</v>
          </cell>
          <cell r="Q2685" t="str">
            <v>Renewal (15% in 2020)</v>
          </cell>
        </row>
        <row r="2686">
          <cell r="P2686" t="str">
            <v>055008404</v>
          </cell>
          <cell r="Q2686" t="str">
            <v>New Contract</v>
          </cell>
        </row>
        <row r="2687">
          <cell r="P2687" t="str">
            <v>055001407</v>
          </cell>
          <cell r="Q2687" t="str">
            <v>Renewal (15% in 2020)</v>
          </cell>
        </row>
        <row r="2688">
          <cell r="P2688" t="str">
            <v>021010420</v>
          </cell>
          <cell r="Q2688" t="str">
            <v>New Contract</v>
          </cell>
        </row>
        <row r="2689">
          <cell r="P2689" t="str">
            <v>021007346</v>
          </cell>
          <cell r="Q2689" t="str">
            <v>New Contract</v>
          </cell>
        </row>
        <row r="2690">
          <cell r="P2690" t="str">
            <v>021156021</v>
          </cell>
          <cell r="Q2690" t="str">
            <v>New Contract</v>
          </cell>
        </row>
        <row r="2691">
          <cell r="P2691" t="str">
            <v>086006822</v>
          </cell>
          <cell r="Q2691" t="str">
            <v>Renewal (15% in 2020)</v>
          </cell>
        </row>
        <row r="2692">
          <cell r="P2692" t="str">
            <v>055014826</v>
          </cell>
          <cell r="Q2692" t="str">
            <v>Renewal (15% in 2020)</v>
          </cell>
        </row>
        <row r="2693">
          <cell r="P2693" t="str">
            <v>037157846</v>
          </cell>
          <cell r="Q2693" t="str">
            <v>Renewal (20% in 2020)</v>
          </cell>
        </row>
        <row r="2694">
          <cell r="P2694" t="str">
            <v>055008323</v>
          </cell>
          <cell r="Q2694" t="str">
            <v>Renewal (25% in 2020)</v>
          </cell>
        </row>
        <row r="2695">
          <cell r="P2695" t="str">
            <v>055015666</v>
          </cell>
          <cell r="Q2695" t="str">
            <v>Renewal (15% in 2020)</v>
          </cell>
        </row>
        <row r="2696">
          <cell r="P2696" t="str">
            <v>016158032</v>
          </cell>
          <cell r="Q2696" t="str">
            <v>Renewal (30% in 2020)</v>
          </cell>
        </row>
        <row r="2697">
          <cell r="P2697" t="str">
            <v>052012754</v>
          </cell>
          <cell r="Q2697" t="str">
            <v>New Contract</v>
          </cell>
        </row>
        <row r="2698">
          <cell r="P2698" t="str">
            <v>055014044</v>
          </cell>
          <cell r="Q2698" t="str">
            <v>New Contract</v>
          </cell>
        </row>
        <row r="2699">
          <cell r="P2699" t="str">
            <v>055002018</v>
          </cell>
          <cell r="Q2699" t="str">
            <v>Renewal (20% in 2020)</v>
          </cell>
        </row>
        <row r="2700">
          <cell r="P2700" t="str">
            <v>089161302</v>
          </cell>
          <cell r="Q2700" t="str">
            <v>Renewal (25% in 2020)</v>
          </cell>
        </row>
        <row r="2701">
          <cell r="P2701" t="str">
            <v>089011252</v>
          </cell>
          <cell r="Q2701" t="str">
            <v>Renewal (25% in 2020)</v>
          </cell>
        </row>
        <row r="2702">
          <cell r="P2702" t="str">
            <v>078564587</v>
          </cell>
          <cell r="Q2702" t="str">
            <v>New Contract</v>
          </cell>
        </row>
        <row r="2703">
          <cell r="P2703" t="str">
            <v>017156886</v>
          </cell>
          <cell r="Q2703" t="str">
            <v>Renewal (15% in 2020)</v>
          </cell>
        </row>
        <row r="2704">
          <cell r="P2704" t="str">
            <v>055001569</v>
          </cell>
          <cell r="Q2704" t="str">
            <v>Renewal (20% in 2020)</v>
          </cell>
        </row>
        <row r="2705">
          <cell r="P2705" t="str">
            <v>021161738</v>
          </cell>
          <cell r="Q2705" t="str">
            <v>New Contract</v>
          </cell>
        </row>
        <row r="2706">
          <cell r="P2706" t="str">
            <v>086015229</v>
          </cell>
          <cell r="Q2706" t="str">
            <v>Renewal (15% in 2020)</v>
          </cell>
        </row>
        <row r="2707">
          <cell r="P2707" t="str">
            <v>052011767</v>
          </cell>
          <cell r="Q2707" t="str">
            <v>Renewal (20% in 2020)</v>
          </cell>
        </row>
        <row r="2708">
          <cell r="P2708" t="str">
            <v>055013658</v>
          </cell>
          <cell r="Q2708" t="str">
            <v>Renewal (15% in 2020)</v>
          </cell>
        </row>
        <row r="2709">
          <cell r="P2709" t="str">
            <v>052004575</v>
          </cell>
          <cell r="Q2709" t="str">
            <v>Renewal (20% in 2020)</v>
          </cell>
        </row>
        <row r="2710">
          <cell r="P2710" t="str">
            <v>016166389</v>
          </cell>
          <cell r="Q2710" t="str">
            <v>New Contract</v>
          </cell>
        </row>
        <row r="2711">
          <cell r="P2711" t="str">
            <v>055015825</v>
          </cell>
          <cell r="Q2711" t="str">
            <v>Renewal (15% in 2020)</v>
          </cell>
        </row>
        <row r="2712">
          <cell r="P2712" t="str">
            <v>021155404</v>
          </cell>
          <cell r="Q2712" t="str">
            <v>New Contract</v>
          </cell>
        </row>
        <row r="2713">
          <cell r="P2713" t="str">
            <v>036159936</v>
          </cell>
          <cell r="Q2713" t="str">
            <v>Renewal (15% in 2020)</v>
          </cell>
        </row>
        <row r="2714">
          <cell r="P2714" t="str">
            <v>052005997</v>
          </cell>
          <cell r="Q2714" t="str">
            <v>New Contract</v>
          </cell>
        </row>
        <row r="2715">
          <cell r="P2715" t="str">
            <v>021160429</v>
          </cell>
          <cell r="Q2715" t="str">
            <v>New Contract</v>
          </cell>
        </row>
        <row r="2716">
          <cell r="P2716" t="str">
            <v>021159430</v>
          </cell>
          <cell r="Q2716" t="str">
            <v>New Contract</v>
          </cell>
        </row>
        <row r="2717">
          <cell r="P2717" t="str">
            <v>070014113</v>
          </cell>
          <cell r="Q2717" t="str">
            <v>New Contract</v>
          </cell>
        </row>
        <row r="2718">
          <cell r="P2718" t="str">
            <v>079160258</v>
          </cell>
          <cell r="Q2718" t="str">
            <v>Renewal (25% in 2020)</v>
          </cell>
        </row>
        <row r="2719">
          <cell r="P2719" t="str">
            <v>031157455</v>
          </cell>
          <cell r="Q2719" t="str">
            <v>Renewal (25% in 2020)</v>
          </cell>
        </row>
        <row r="2720">
          <cell r="P2720" t="str">
            <v>089089089</v>
          </cell>
          <cell r="Q2720" t="str">
            <v>New Contract</v>
          </cell>
        </row>
        <row r="2721">
          <cell r="P2721" t="str">
            <v>016162366</v>
          </cell>
          <cell r="Q2721" t="str">
            <v>New contract</v>
          </cell>
        </row>
        <row r="2722">
          <cell r="P2722" t="str">
            <v>016165261</v>
          </cell>
          <cell r="Q2722" t="str">
            <v>Renewal (20% in 2020)</v>
          </cell>
        </row>
        <row r="2723">
          <cell r="P2723" t="str">
            <v>031018298</v>
          </cell>
          <cell r="Q2723" t="str">
            <v>New contract</v>
          </cell>
        </row>
        <row r="2724">
          <cell r="P2724" t="str">
            <v>021157798</v>
          </cell>
          <cell r="Q2724" t="str">
            <v>New Contract</v>
          </cell>
        </row>
        <row r="2725">
          <cell r="P2725" t="str">
            <v>070012287</v>
          </cell>
          <cell r="Q2725" t="str">
            <v>Renewal (20% in 2020)</v>
          </cell>
        </row>
        <row r="2726">
          <cell r="P2726" t="str">
            <v>079016655</v>
          </cell>
          <cell r="Q2726" t="str">
            <v>Renewal (15% in 2020)</v>
          </cell>
        </row>
        <row r="2727">
          <cell r="P2727" t="str">
            <v>058020357</v>
          </cell>
          <cell r="Q2727" t="str">
            <v>Renewal (30% in 2020)</v>
          </cell>
        </row>
        <row r="2728">
          <cell r="P2728" t="str">
            <v>028003956</v>
          </cell>
          <cell r="Q2728" t="str">
            <v>Renewal (25% in 2020)</v>
          </cell>
        </row>
        <row r="2729">
          <cell r="P2729" t="str">
            <v>021010613</v>
          </cell>
          <cell r="Q2729" t="str">
            <v>New Contract</v>
          </cell>
        </row>
        <row r="2730">
          <cell r="P2730" t="str">
            <v>016167218</v>
          </cell>
          <cell r="Q2730" t="str">
            <v>New Contract</v>
          </cell>
        </row>
        <row r="2731">
          <cell r="P2731" t="str">
            <v>079158018</v>
          </cell>
          <cell r="Q2731" t="str">
            <v>Renewal (15% in 2020)</v>
          </cell>
        </row>
        <row r="2732">
          <cell r="P2732" t="str">
            <v>086159878</v>
          </cell>
          <cell r="Q2732" t="str">
            <v>Renewal (25% in 2020)</v>
          </cell>
        </row>
        <row r="2733">
          <cell r="P2733" t="str">
            <v>021157603</v>
          </cell>
          <cell r="Q2733" t="str">
            <v>New Contract</v>
          </cell>
        </row>
        <row r="2734">
          <cell r="P2734" t="str">
            <v>021156878</v>
          </cell>
          <cell r="Q2734" t="str">
            <v>New Contract</v>
          </cell>
        </row>
        <row r="2735">
          <cell r="P2735" t="str">
            <v>024030929</v>
          </cell>
          <cell r="Q2735" t="str">
            <v>Renewal (15% in 2020)</v>
          </cell>
        </row>
        <row r="2736">
          <cell r="P2736" t="str">
            <v>039155530</v>
          </cell>
          <cell r="Q2736" t="str">
            <v>New Contract</v>
          </cell>
        </row>
        <row r="2737">
          <cell r="P2737" t="str">
            <v>017165395</v>
          </cell>
          <cell r="Q2737" t="str">
            <v>Renewal (30% in 2020)</v>
          </cell>
        </row>
        <row r="2738">
          <cell r="P2738" t="str">
            <v>054014810</v>
          </cell>
          <cell r="Q2738" t="str">
            <v>New Contract</v>
          </cell>
        </row>
        <row r="2739">
          <cell r="P2739" t="str">
            <v>021155541</v>
          </cell>
          <cell r="Q2739" t="str">
            <v>New Contract</v>
          </cell>
        </row>
        <row r="2740">
          <cell r="P2740" t="str">
            <v>070010979</v>
          </cell>
          <cell r="Q2740" t="str">
            <v>Renewal (20% in 2020)</v>
          </cell>
        </row>
        <row r="2741">
          <cell r="P2741" t="str">
            <v>052011964</v>
          </cell>
          <cell r="Q2741" t="str">
            <v>Renewal (15% in 2020)</v>
          </cell>
        </row>
        <row r="2742">
          <cell r="P2742" t="str">
            <v>070016741</v>
          </cell>
          <cell r="Q2742" t="str">
            <v>Renewal (15% in 2020)</v>
          </cell>
        </row>
        <row r="2743">
          <cell r="P2743" t="str">
            <v>070015688</v>
          </cell>
          <cell r="Q2743" t="str">
            <v>Renewal (15% in 2020)</v>
          </cell>
        </row>
        <row r="2744">
          <cell r="P2744" t="str">
            <v>039156063</v>
          </cell>
          <cell r="Q2744" t="str">
            <v>Renewal (30% in 2020)</v>
          </cell>
        </row>
        <row r="2745">
          <cell r="P2745" t="str">
            <v>031155020</v>
          </cell>
          <cell r="Q2745" t="str">
            <v>Renewal (15% in 2020)</v>
          </cell>
        </row>
        <row r="2746">
          <cell r="P2746" t="str">
            <v>016011783</v>
          </cell>
          <cell r="Q2746" t="str">
            <v>Renewal (15% in 2020)</v>
          </cell>
        </row>
        <row r="2747">
          <cell r="P2747" t="str">
            <v>036155530</v>
          </cell>
          <cell r="Q2747" t="str">
            <v>Renewal (20% in 2020)</v>
          </cell>
        </row>
        <row r="2748">
          <cell r="P2748" t="str">
            <v>036155530</v>
          </cell>
          <cell r="Q2748" t="str">
            <v>Renewal (20% in 2020)</v>
          </cell>
        </row>
        <row r="2749">
          <cell r="P2749" t="str">
            <v>079158320</v>
          </cell>
          <cell r="Q2749" t="str">
            <v>Renewal (30% in 2020)</v>
          </cell>
        </row>
        <row r="2750">
          <cell r="P2750" t="str">
            <v>024026596</v>
          </cell>
          <cell r="Q2750" t="str">
            <v>Renewal (15% in 2020)</v>
          </cell>
        </row>
        <row r="2751">
          <cell r="P2751" t="str">
            <v>018007827</v>
          </cell>
          <cell r="Q2751" t="str">
            <v>Renewal (25% in 2020)</v>
          </cell>
        </row>
        <row r="2752">
          <cell r="P2752" t="str">
            <v>017165405</v>
          </cell>
          <cell r="Q2752" t="str">
            <v>Renewal (15% in 2020)</v>
          </cell>
        </row>
        <row r="2753">
          <cell r="P2753" t="str">
            <v>028154765</v>
          </cell>
          <cell r="Q2753" t="str">
            <v>Renewal (25% in 2020)</v>
          </cell>
        </row>
        <row r="2754">
          <cell r="P2754" t="str">
            <v>014030251</v>
          </cell>
          <cell r="Q2754" t="str">
            <v>Renewal (20% in 2020)</v>
          </cell>
        </row>
        <row r="2755">
          <cell r="P2755" t="str">
            <v>017010034</v>
          </cell>
          <cell r="Q2755" t="str">
            <v>Renewal (30% in 2020)</v>
          </cell>
        </row>
        <row r="2756">
          <cell r="P2756" t="str">
            <v>079154980</v>
          </cell>
          <cell r="Q2756" t="str">
            <v>Renewal (15% in 2020)</v>
          </cell>
        </row>
        <row r="2757">
          <cell r="P2757" t="str">
            <v>079158096</v>
          </cell>
          <cell r="Q2757" t="str">
            <v>Renewal (15% in 2020)</v>
          </cell>
        </row>
        <row r="2758">
          <cell r="P2758" t="str">
            <v>057000995</v>
          </cell>
          <cell r="Q2758" t="str">
            <v>Renewal (20% in 2020)</v>
          </cell>
        </row>
        <row r="2759">
          <cell r="P2759" t="str">
            <v>070011177</v>
          </cell>
          <cell r="Q2759" t="str">
            <v>Renewal (20% in 2020)</v>
          </cell>
        </row>
        <row r="2760">
          <cell r="P2760" t="str">
            <v>090000951</v>
          </cell>
          <cell r="Q2760" t="str">
            <v>Renewal (20% in 2020)</v>
          </cell>
        </row>
        <row r="2761">
          <cell r="P2761" t="str">
            <v>031004457</v>
          </cell>
          <cell r="Q2761" t="str">
            <v>Renewal (15% in 2020)</v>
          </cell>
        </row>
        <row r="2762">
          <cell r="P2762" t="str">
            <v>016166818</v>
          </cell>
          <cell r="Q2762" t="str">
            <v>Renewal (15% in 2020)</v>
          </cell>
        </row>
        <row r="2763">
          <cell r="P2763" t="str">
            <v>079153899</v>
          </cell>
          <cell r="Q2763" t="str">
            <v>Renewal (30% in 2020)</v>
          </cell>
        </row>
        <row r="2764">
          <cell r="P2764" t="str">
            <v>017162148</v>
          </cell>
          <cell r="Q2764" t="str">
            <v>Renewal (20% in 2020)</v>
          </cell>
        </row>
        <row r="2765">
          <cell r="P2765" t="str">
            <v>079156606</v>
          </cell>
          <cell r="Q2765" t="str">
            <v>Renewal (20% in 2020)</v>
          </cell>
        </row>
        <row r="2766">
          <cell r="P2766" t="str">
            <v>047160881</v>
          </cell>
          <cell r="Q2766" t="str">
            <v>Renewal (15% in 2020)</v>
          </cell>
        </row>
        <row r="2767">
          <cell r="P2767" t="str">
            <v>009008798</v>
          </cell>
          <cell r="Q2767" t="str">
            <v>Renewal (25% in 2020)</v>
          </cell>
        </row>
        <row r="2768">
          <cell r="P2768" t="str">
            <v>025018486</v>
          </cell>
          <cell r="Q2768" t="str">
            <v>Renewal (25% in 2020)</v>
          </cell>
        </row>
        <row r="2769">
          <cell r="P2769" t="str">
            <v>070003381</v>
          </cell>
          <cell r="Q2769" t="str">
            <v>Renewal (15% in 2020)</v>
          </cell>
        </row>
        <row r="2770">
          <cell r="P2770" t="str">
            <v>031155171</v>
          </cell>
          <cell r="Q2770" t="str">
            <v>Renewal (15% in 2020)</v>
          </cell>
        </row>
        <row r="2771">
          <cell r="P2771" t="str">
            <v>017007550</v>
          </cell>
          <cell r="Q2771" t="str">
            <v>Renewal (15% in 2020)</v>
          </cell>
        </row>
        <row r="2772">
          <cell r="P2772" t="str">
            <v>032169479</v>
          </cell>
          <cell r="Q2772" t="str">
            <v>Renewal (25% in 2020)</v>
          </cell>
        </row>
        <row r="2773">
          <cell r="P2773" t="str">
            <v>055015758</v>
          </cell>
          <cell r="Q2773" t="str">
            <v>Renewal (30% in 2020)</v>
          </cell>
        </row>
        <row r="2774">
          <cell r="P2774" t="str">
            <v>079157774</v>
          </cell>
          <cell r="Q2774" t="str">
            <v>Renewal (15% in 2020)</v>
          </cell>
        </row>
        <row r="2775">
          <cell r="P2775" t="str">
            <v>017161275</v>
          </cell>
          <cell r="Q2775" t="str">
            <v>Renewal (20% in 2020)</v>
          </cell>
        </row>
        <row r="2776">
          <cell r="P2776" t="str">
            <v>039154057</v>
          </cell>
          <cell r="Q2776" t="str">
            <v>Renewal (20% in 2020)</v>
          </cell>
        </row>
        <row r="2777">
          <cell r="P2777" t="str">
            <v>071164109</v>
          </cell>
          <cell r="Q2777" t="str">
            <v>Renewal (15% in 2020)</v>
          </cell>
        </row>
        <row r="2778">
          <cell r="P2778" t="str">
            <v>064009945</v>
          </cell>
          <cell r="Q2778" t="str">
            <v>Renewal (20% in 2020)</v>
          </cell>
        </row>
        <row r="2779">
          <cell r="P2779" t="str">
            <v>031157952</v>
          </cell>
          <cell r="Q2779" t="str">
            <v>Renewal (15% in 2020)</v>
          </cell>
        </row>
        <row r="2780">
          <cell r="P2780" t="str">
            <v>016161822</v>
          </cell>
          <cell r="Q2780" t="str">
            <v>Renewal (20% in 2020)</v>
          </cell>
        </row>
        <row r="2781">
          <cell r="P2781" t="str">
            <v>079156224</v>
          </cell>
          <cell r="Q2781" t="str">
            <v>Renewal (20% in 2020)</v>
          </cell>
        </row>
        <row r="2782">
          <cell r="P2782" t="str">
            <v>032164335</v>
          </cell>
          <cell r="Q2782" t="str">
            <v>Renewal (15% in 2020)</v>
          </cell>
        </row>
        <row r="2783">
          <cell r="P2783" t="str">
            <v>024037126</v>
          </cell>
          <cell r="Q2783" t="str">
            <v>Renewal (25% in 2020)</v>
          </cell>
        </row>
        <row r="2784">
          <cell r="P2784" t="str">
            <v>032170336</v>
          </cell>
          <cell r="Q2784" t="str">
            <v>Renewal (15% in 2020)</v>
          </cell>
        </row>
        <row r="2785">
          <cell r="P2785" t="str">
            <v>055004868</v>
          </cell>
          <cell r="Q2785" t="str">
            <v>Renewal (20% in 2020)</v>
          </cell>
        </row>
        <row r="2786">
          <cell r="P2786" t="str">
            <v>064022142</v>
          </cell>
          <cell r="Q2786" t="str">
            <v>Renewal (20% in 2020)</v>
          </cell>
        </row>
        <row r="2787">
          <cell r="P2787" t="str">
            <v>016158000</v>
          </cell>
          <cell r="Q2787" t="str">
            <v>Renewal (15% in 2020)</v>
          </cell>
        </row>
        <row r="2788">
          <cell r="P2788" t="str">
            <v>045007543</v>
          </cell>
          <cell r="Q2788" t="str">
            <v>Renewal (15% in 2020)</v>
          </cell>
        </row>
        <row r="2789">
          <cell r="P2789" t="str">
            <v>079159333</v>
          </cell>
          <cell r="Q2789" t="str">
            <v>Renewal (15% in 2020)</v>
          </cell>
        </row>
        <row r="2790">
          <cell r="P2790" t="str">
            <v>017012363</v>
          </cell>
          <cell r="Q2790" t="str">
            <v>Renewal (20% in 2020)</v>
          </cell>
        </row>
        <row r="2791">
          <cell r="P2791" t="str">
            <v>017012133</v>
          </cell>
          <cell r="Q2791" t="str">
            <v>Renewal (15% in 2020)</v>
          </cell>
        </row>
        <row r="2792">
          <cell r="P2792" t="str">
            <v>086006501</v>
          </cell>
          <cell r="Q2792" t="str">
            <v>Renewal (15% in 2020)</v>
          </cell>
        </row>
        <row r="2793">
          <cell r="P2793" t="str">
            <v>032162975</v>
          </cell>
          <cell r="Q2793" t="str">
            <v>Renewal (25% in 2020)</v>
          </cell>
        </row>
        <row r="2794">
          <cell r="P2794" t="str">
            <v>032168632</v>
          </cell>
          <cell r="Q2794" t="str">
            <v>Renewal (20% in 2020)</v>
          </cell>
        </row>
        <row r="2795">
          <cell r="P2795" t="str">
            <v>032166411</v>
          </cell>
          <cell r="Q2795" t="str">
            <v>Renewal (25% in 2020)</v>
          </cell>
        </row>
        <row r="2796">
          <cell r="P2796" t="str">
            <v>058020627</v>
          </cell>
          <cell r="Q2796" t="str">
            <v>Renewal (15% in 2020)</v>
          </cell>
        </row>
        <row r="2797">
          <cell r="P2797" t="str">
            <v>024033545</v>
          </cell>
          <cell r="Q2797" t="str">
            <v>Renewal (25% in 2020)</v>
          </cell>
        </row>
        <row r="2798">
          <cell r="P2798" t="str">
            <v>039152155</v>
          </cell>
          <cell r="Q2798" t="str">
            <v>Renewal (15% in 2020)</v>
          </cell>
        </row>
        <row r="2799">
          <cell r="P2799" t="str">
            <v>070014923</v>
          </cell>
          <cell r="Q2799" t="str">
            <v>Renewal (15% in 2020)</v>
          </cell>
        </row>
        <row r="2800">
          <cell r="P2800" t="str">
            <v>070014923</v>
          </cell>
          <cell r="Q2800" t="str">
            <v>Renewal (15% in 2020)</v>
          </cell>
        </row>
        <row r="2801">
          <cell r="P2801" t="str">
            <v>081163682</v>
          </cell>
          <cell r="Q2801" t="str">
            <v>Renewal (20% in 2020)</v>
          </cell>
        </row>
        <row r="2802">
          <cell r="P2802" t="str">
            <v>076162136</v>
          </cell>
          <cell r="Q2802" t="str">
            <v>Renewal (15% in 2020)</v>
          </cell>
        </row>
        <row r="2803">
          <cell r="P2803" t="str">
            <v>016163262</v>
          </cell>
          <cell r="Q2803" t="str">
            <v>Renewal (15% in 2020)</v>
          </cell>
        </row>
        <row r="2804">
          <cell r="P2804" t="str">
            <v>024033902</v>
          </cell>
          <cell r="Q2804" t="str">
            <v>Renewal (25% in 2020)</v>
          </cell>
        </row>
        <row r="2805">
          <cell r="P2805" t="str">
            <v>016164094</v>
          </cell>
          <cell r="Q2805" t="str">
            <v>Renewal (20% in 2020)</v>
          </cell>
        </row>
        <row r="2806">
          <cell r="P2806" t="str">
            <v>016156673</v>
          </cell>
          <cell r="Q2806" t="str">
            <v>Renewal (15% in 2020)</v>
          </cell>
        </row>
        <row r="2807">
          <cell r="P2807" t="str">
            <v>086159975</v>
          </cell>
          <cell r="Q2807" t="str">
            <v>Renewal (25% in 2020)</v>
          </cell>
        </row>
        <row r="2808">
          <cell r="P2808" t="str">
            <v>016014189</v>
          </cell>
          <cell r="Q2808" t="str">
            <v>Renewal (25% in 2020)</v>
          </cell>
        </row>
        <row r="2809">
          <cell r="P2809" t="str">
            <v>079156685</v>
          </cell>
          <cell r="Q2809" t="str">
            <v>Renewal (20% in 2020)</v>
          </cell>
        </row>
        <row r="2810">
          <cell r="P2810" t="str">
            <v>024005563</v>
          </cell>
          <cell r="Q2810" t="str">
            <v>Renewal (20% in 2020)</v>
          </cell>
        </row>
        <row r="2811">
          <cell r="P2811" t="str">
            <v>036008516</v>
          </cell>
          <cell r="Q2811" t="str">
            <v>Renewal (15% in 2020)</v>
          </cell>
        </row>
        <row r="2812">
          <cell r="P2812" t="str">
            <v>070014969</v>
          </cell>
          <cell r="Q2812" t="str">
            <v>Renewal (25% in 2020)</v>
          </cell>
        </row>
        <row r="2813">
          <cell r="P2813" t="str">
            <v>031017835</v>
          </cell>
          <cell r="Q2813" t="str">
            <v>Renewal (15% in 2020)</v>
          </cell>
        </row>
        <row r="2814">
          <cell r="P2814" t="str">
            <v>087007159</v>
          </cell>
          <cell r="Q2814" t="str">
            <v>Renewal (25% in 2020)</v>
          </cell>
        </row>
        <row r="2815">
          <cell r="P2815" t="str">
            <v>079012836</v>
          </cell>
          <cell r="Q2815" t="str">
            <v>Renewal (25% in 2020)</v>
          </cell>
        </row>
        <row r="2816">
          <cell r="P2816" t="str">
            <v>016166377</v>
          </cell>
          <cell r="Q2816" t="str">
            <v>Renewal (20% in 2020)</v>
          </cell>
        </row>
        <row r="2817">
          <cell r="P2817" t="str">
            <v>024021867</v>
          </cell>
          <cell r="Q2817" t="str">
            <v>Renewal (20% in 2020)</v>
          </cell>
        </row>
        <row r="2818">
          <cell r="P2818" t="str">
            <v>024035572</v>
          </cell>
          <cell r="Q2818" t="str">
            <v>Renewal (20% in 2020)</v>
          </cell>
        </row>
        <row r="2819">
          <cell r="P2819" t="str">
            <v>086162221</v>
          </cell>
          <cell r="Q2819" t="str">
            <v>Renewal (30% in 2020)</v>
          </cell>
        </row>
        <row r="2820">
          <cell r="P2820" t="str">
            <v>016164553</v>
          </cell>
          <cell r="Q2820" t="str">
            <v>Renewal (25% in 2020)</v>
          </cell>
        </row>
        <row r="2821">
          <cell r="P2821" t="str">
            <v>017012541</v>
          </cell>
          <cell r="Q2821" t="str">
            <v>Renewal (20% in 2020)</v>
          </cell>
        </row>
        <row r="2822">
          <cell r="P2822" t="str">
            <v>079015125</v>
          </cell>
          <cell r="Q2822" t="str">
            <v>Renewal (30% in 2020)</v>
          </cell>
        </row>
        <row r="2823">
          <cell r="P2823" t="str">
            <v>024010915</v>
          </cell>
          <cell r="Q2823" t="str">
            <v>Renewal (25% in 2020)</v>
          </cell>
        </row>
        <row r="2824">
          <cell r="P2824" t="str">
            <v>024035513</v>
          </cell>
          <cell r="Q2824" t="str">
            <v>Renewal (25% in 2020)</v>
          </cell>
        </row>
        <row r="2825">
          <cell r="P2825" t="str">
            <v>079159467</v>
          </cell>
          <cell r="Q2825" t="str">
            <v>Renewal (15% in 2020)</v>
          </cell>
        </row>
        <row r="2826">
          <cell r="P2826" t="str">
            <v>031158472</v>
          </cell>
          <cell r="Q2826" t="str">
            <v>Renewal (15% in 2020)</v>
          </cell>
        </row>
        <row r="2827">
          <cell r="P2827" t="str">
            <v>041011548</v>
          </cell>
          <cell r="Q2827" t="str">
            <v>Renewal (25% in 2020)</v>
          </cell>
        </row>
        <row r="2828">
          <cell r="P2828" t="str">
            <v>031152401</v>
          </cell>
          <cell r="Q2828" t="str">
            <v>Renewal (20% in 2020)</v>
          </cell>
        </row>
        <row r="2829">
          <cell r="P2829" t="str">
            <v>017163031</v>
          </cell>
          <cell r="Q2829" t="str">
            <v>Renewal (30% in 2020)</v>
          </cell>
        </row>
        <row r="2830">
          <cell r="P2830" t="str">
            <v>031158014</v>
          </cell>
          <cell r="Q2830" t="str">
            <v>Renewal (20% in 2020)</v>
          </cell>
        </row>
        <row r="2831">
          <cell r="P2831" t="str">
            <v>076003626</v>
          </cell>
          <cell r="Q2831" t="str">
            <v>Renewal (25% in 2020)</v>
          </cell>
        </row>
        <row r="2832">
          <cell r="P2832" t="str">
            <v>027007089</v>
          </cell>
          <cell r="Q2832" t="str">
            <v>Renewal (30% in 2020)</v>
          </cell>
        </row>
        <row r="2833">
          <cell r="P2833" t="str">
            <v>031158890</v>
          </cell>
          <cell r="Q2833" t="str">
            <v>Renewal (20% in 2020)</v>
          </cell>
        </row>
        <row r="2834">
          <cell r="P2834" t="str">
            <v>031159414</v>
          </cell>
          <cell r="Q2834" t="str">
            <v>Renewal (20% in 2020)</v>
          </cell>
        </row>
        <row r="2835">
          <cell r="P2835" t="str">
            <v>032166727</v>
          </cell>
          <cell r="Q2835" t="str">
            <v>Renewal (15% in 2020)</v>
          </cell>
        </row>
        <row r="2836">
          <cell r="P2836" t="str">
            <v>032167545</v>
          </cell>
          <cell r="Q2836" t="str">
            <v>Renewal (25% in 2020)</v>
          </cell>
        </row>
        <row r="2837">
          <cell r="P2837" t="str">
            <v>091003650</v>
          </cell>
          <cell r="Q2837" t="str">
            <v>Renewal (25% in 2020)</v>
          </cell>
        </row>
        <row r="2838">
          <cell r="P2838" t="str">
            <v>058020407</v>
          </cell>
          <cell r="Q2838" t="str">
            <v>Renewal (15% in 2020)</v>
          </cell>
        </row>
        <row r="2839">
          <cell r="P2839" t="str">
            <v>018052213</v>
          </cell>
          <cell r="Q2839" t="str">
            <v>Renewal (20% in 2020)</v>
          </cell>
        </row>
        <row r="2840">
          <cell r="P2840" t="str">
            <v>010008954</v>
          </cell>
          <cell r="Q2840" t="str">
            <v>Renewal (20% in 2020)</v>
          </cell>
        </row>
        <row r="2841">
          <cell r="P2841" t="str">
            <v>016164467</v>
          </cell>
          <cell r="Q2841" t="str">
            <v>Renewal (15% in 2020)</v>
          </cell>
        </row>
        <row r="2842">
          <cell r="P2842" t="str">
            <v>036008587</v>
          </cell>
          <cell r="Q2842" t="str">
            <v>Renewal (15% in 2020)</v>
          </cell>
        </row>
        <row r="2843">
          <cell r="P2843" t="str">
            <v>079159346</v>
          </cell>
          <cell r="Q2843" t="str">
            <v>Renewal (20% in 2020)</v>
          </cell>
        </row>
        <row r="2844">
          <cell r="P2844" t="str">
            <v>016165841</v>
          </cell>
          <cell r="Q2844" t="str">
            <v>Renewal (25% in 2020)</v>
          </cell>
        </row>
        <row r="2845">
          <cell r="P2845" t="str">
            <v>017164883</v>
          </cell>
          <cell r="Q2845" t="str">
            <v>Renewal (15% in 2020)</v>
          </cell>
        </row>
        <row r="2846">
          <cell r="P2846" t="str">
            <v>017004266</v>
          </cell>
          <cell r="Q2846" t="str">
            <v>Renewal (20% in 2020)</v>
          </cell>
        </row>
        <row r="2847">
          <cell r="P2847" t="str">
            <v>086160891</v>
          </cell>
          <cell r="Q2847" t="str">
            <v>Renewal (15% in 2020)</v>
          </cell>
        </row>
        <row r="2848">
          <cell r="P2848" t="str">
            <v>055013204</v>
          </cell>
          <cell r="Q2848" t="str">
            <v>Renewal (20% in 2020)</v>
          </cell>
        </row>
        <row r="2849">
          <cell r="P2849" t="str">
            <v>052013634</v>
          </cell>
          <cell r="Q2849" t="str">
            <v>Renewal (20% in 2020)</v>
          </cell>
        </row>
        <row r="2850">
          <cell r="P2850" t="str">
            <v>017169123</v>
          </cell>
          <cell r="Q2850" t="str">
            <v>Renewal (25% in 2020)</v>
          </cell>
        </row>
        <row r="2851">
          <cell r="P2851" t="str">
            <v>071011279</v>
          </cell>
          <cell r="Q2851" t="str">
            <v>Renewal (20% in 2020)</v>
          </cell>
        </row>
        <row r="2852">
          <cell r="P2852" t="str">
            <v>055001219</v>
          </cell>
          <cell r="Q2852" t="str">
            <v>Renewal (20% in 2020)</v>
          </cell>
        </row>
        <row r="2853">
          <cell r="P2853" t="str">
            <v>055001676</v>
          </cell>
          <cell r="Q2853" t="str">
            <v>Renewal (15% in 2020)</v>
          </cell>
        </row>
        <row r="2854">
          <cell r="P2854" t="str">
            <v>055002499</v>
          </cell>
          <cell r="Q2854" t="str">
            <v>Renewal (20% in 2020)</v>
          </cell>
        </row>
        <row r="2855">
          <cell r="P2855" t="str">
            <v>076160593</v>
          </cell>
          <cell r="Q2855" t="str">
            <v>Renewal (25% in 2020)</v>
          </cell>
        </row>
        <row r="2856">
          <cell r="P2856" t="str">
            <v>079155650</v>
          </cell>
          <cell r="Q2856" t="str">
            <v>Renewal (20% in 2020)</v>
          </cell>
        </row>
        <row r="2857">
          <cell r="P2857" t="str">
            <v>086157031</v>
          </cell>
          <cell r="Q2857" t="str">
            <v>Renewal (15% in 2020)</v>
          </cell>
        </row>
        <row r="2858">
          <cell r="P2858" t="str">
            <v>054013474</v>
          </cell>
          <cell r="Q2858" t="str">
            <v>Renewal (15% in 2020)</v>
          </cell>
        </row>
        <row r="2859">
          <cell r="P2859" t="str">
            <v>024030572</v>
          </cell>
          <cell r="Q2859" t="str">
            <v>Renewal (15% in 2020)</v>
          </cell>
        </row>
        <row r="2860">
          <cell r="P2860" t="str">
            <v>055013534</v>
          </cell>
          <cell r="Q2860" t="str">
            <v>Renewal (30% in 2020)</v>
          </cell>
        </row>
        <row r="2861">
          <cell r="P2861" t="str">
            <v>017157956</v>
          </cell>
          <cell r="Q2861" t="str">
            <v>Renewal (30% in 2020)</v>
          </cell>
        </row>
        <row r="2862">
          <cell r="P2862" t="str">
            <v>054013885</v>
          </cell>
          <cell r="Q2862" t="str">
            <v>New Contract</v>
          </cell>
        </row>
        <row r="2863">
          <cell r="P2863" t="str">
            <v>016014577</v>
          </cell>
          <cell r="Q2863" t="str">
            <v>Renewal (15% in 2020)</v>
          </cell>
        </row>
        <row r="2864">
          <cell r="P2864" t="str">
            <v>052006567</v>
          </cell>
          <cell r="Q2864" t="str">
            <v>Renewal (25% in 2020)</v>
          </cell>
        </row>
        <row r="2865">
          <cell r="P2865" t="str">
            <v>017161184</v>
          </cell>
          <cell r="Q2865" t="str">
            <v>Renewal (15% in 2020)</v>
          </cell>
        </row>
        <row r="2866">
          <cell r="P2866" t="str">
            <v>017163869</v>
          </cell>
          <cell r="Q2866" t="str">
            <v>Renewal (20% in 2020)</v>
          </cell>
        </row>
        <row r="2867">
          <cell r="P2867" t="str">
            <v>052007177</v>
          </cell>
          <cell r="Q2867" t="str">
            <v>Renewal (25% in 2020)</v>
          </cell>
        </row>
        <row r="2868">
          <cell r="P2868" t="str">
            <v>039005037</v>
          </cell>
          <cell r="Q2868" t="str">
            <v>Renewal (30% in 2020)</v>
          </cell>
        </row>
        <row r="2869">
          <cell r="P2869" t="str">
            <v>055015944</v>
          </cell>
          <cell r="Q2869" t="str">
            <v>Renewal (25% in 2020)</v>
          </cell>
        </row>
        <row r="2870">
          <cell r="P2870" t="str">
            <v>021000000</v>
          </cell>
          <cell r="Q2870" t="str">
            <v>New Contract</v>
          </cell>
        </row>
        <row r="2871">
          <cell r="P2871" t="str">
            <v>070017371</v>
          </cell>
          <cell r="Q2871" t="str">
            <v>Renewal (15% in 2020)</v>
          </cell>
        </row>
        <row r="2872">
          <cell r="P2872" t="str">
            <v>070011928</v>
          </cell>
          <cell r="Q2872" t="str">
            <v>Renewal (25% in 2020)</v>
          </cell>
        </row>
        <row r="2873">
          <cell r="P2873" t="str">
            <v>079152063</v>
          </cell>
          <cell r="Q2873" t="str">
            <v>Renewal (15% in 2020)</v>
          </cell>
        </row>
        <row r="2874">
          <cell r="P2874" t="str">
            <v>079010264</v>
          </cell>
          <cell r="Q2874" t="str">
            <v>Renewal (15% in 2020)</v>
          </cell>
        </row>
        <row r="2875">
          <cell r="P2875" t="str">
            <v>016156752</v>
          </cell>
          <cell r="Q2875" t="str">
            <v>Renewal (15% in 2020)</v>
          </cell>
        </row>
        <row r="2876">
          <cell r="P2876" t="str">
            <v>021161960</v>
          </cell>
          <cell r="Q2876" t="str">
            <v>New Contract</v>
          </cell>
        </row>
        <row r="2877">
          <cell r="P2877" t="str">
            <v>054001623</v>
          </cell>
          <cell r="Q2877" t="str">
            <v>Renewal (30% in 2020)</v>
          </cell>
        </row>
        <row r="2878">
          <cell r="P2878" t="str">
            <v>052011700</v>
          </cell>
          <cell r="Q2878" t="str">
            <v>New Contract</v>
          </cell>
        </row>
        <row r="2879">
          <cell r="P2879" t="str">
            <v>055014981</v>
          </cell>
          <cell r="Q2879" t="str">
            <v>New Contract</v>
          </cell>
        </row>
        <row r="2880">
          <cell r="P2880" t="str">
            <v>058000487</v>
          </cell>
          <cell r="Q2880" t="str">
            <v>Renewal (25% in 2020)</v>
          </cell>
        </row>
        <row r="2881">
          <cell r="P2881" t="str">
            <v>055014013</v>
          </cell>
          <cell r="Q2881" t="str">
            <v>Renewal (20% in 2020)</v>
          </cell>
        </row>
        <row r="2882">
          <cell r="P2882" t="str">
            <v>086006702</v>
          </cell>
          <cell r="Q2882" t="str">
            <v>Renewal (30% in 2020)</v>
          </cell>
        </row>
        <row r="2883">
          <cell r="P2883" t="str">
            <v>016162788</v>
          </cell>
          <cell r="Q2883" t="str">
            <v>Renewal (30% in 2020)</v>
          </cell>
        </row>
        <row r="2884">
          <cell r="P2884" t="str">
            <v>055008896</v>
          </cell>
          <cell r="Q2884" t="str">
            <v>Renewal (20% in 2020)</v>
          </cell>
        </row>
        <row r="2885">
          <cell r="P2885" t="str">
            <v>017157845</v>
          </cell>
          <cell r="Q2885" t="str">
            <v>Renewal (20% in 2020)</v>
          </cell>
        </row>
        <row r="2886">
          <cell r="P2886" t="str">
            <v>055015293</v>
          </cell>
          <cell r="Q2886" t="str">
            <v>Renewal (15% in 2020)</v>
          </cell>
        </row>
        <row r="2887">
          <cell r="P2887" t="str">
            <v>024037750</v>
          </cell>
          <cell r="Q2887" t="str">
            <v>Renewal (15% in 2020)</v>
          </cell>
        </row>
        <row r="2888">
          <cell r="P2888" t="str">
            <v>016164075</v>
          </cell>
          <cell r="Q2888" t="str">
            <v>Renewal (30% in 2020)</v>
          </cell>
        </row>
        <row r="2889">
          <cell r="P2889" t="str">
            <v>086014631</v>
          </cell>
          <cell r="Q2889" t="str">
            <v>Renewal (15% in 2020)</v>
          </cell>
        </row>
        <row r="2890">
          <cell r="P2890" t="str">
            <v>086164225</v>
          </cell>
          <cell r="Q2890" t="str">
            <v>Renewal (15% in 2020)</v>
          </cell>
        </row>
        <row r="2891">
          <cell r="P2891" t="str">
            <v>024036666</v>
          </cell>
          <cell r="Q2891" t="str">
            <v>Renewal (15% in 2020)</v>
          </cell>
        </row>
        <row r="2892">
          <cell r="P2892" t="str">
            <v>089002182</v>
          </cell>
          <cell r="Q2892" t="str">
            <v>New contract</v>
          </cell>
        </row>
        <row r="2893">
          <cell r="P2893" t="str">
            <v>052001735</v>
          </cell>
          <cell r="Q2893" t="str">
            <v>New Contract</v>
          </cell>
        </row>
        <row r="2894">
          <cell r="P2894" t="str">
            <v>031155999</v>
          </cell>
          <cell r="Q2894" t="str">
            <v>Renewal (15% in 2020)</v>
          </cell>
        </row>
        <row r="2895">
          <cell r="P2895" t="str">
            <v>017166007</v>
          </cell>
          <cell r="Q2895" t="str">
            <v>Renewal (15% in 2020)</v>
          </cell>
        </row>
        <row r="2896">
          <cell r="P2896" t="str">
            <v>021155211</v>
          </cell>
          <cell r="Q2896" t="str">
            <v>New Contract</v>
          </cell>
        </row>
        <row r="2897">
          <cell r="P2897" t="str">
            <v>021008335</v>
          </cell>
          <cell r="Q2897" t="str">
            <v>New Contract</v>
          </cell>
        </row>
        <row r="2898">
          <cell r="P2898" t="str">
            <v>061103429</v>
          </cell>
          <cell r="Q2898" t="str">
            <v>New contract</v>
          </cell>
        </row>
        <row r="2899">
          <cell r="P2899" t="str">
            <v>031007229</v>
          </cell>
          <cell r="Q2899" t="str">
            <v>Renewal (15% in 2020)</v>
          </cell>
        </row>
        <row r="2900">
          <cell r="P2900" t="str">
            <v>016160963</v>
          </cell>
          <cell r="Q2900" t="str">
            <v>Renewal (15% in 2020)</v>
          </cell>
        </row>
        <row r="2901">
          <cell r="P2901" t="str">
            <v>016162130</v>
          </cell>
          <cell r="Q2901" t="str">
            <v>Renewal (20% in 2020)</v>
          </cell>
        </row>
        <row r="2902">
          <cell r="P2902" t="str">
            <v>079153598</v>
          </cell>
          <cell r="Q2902" t="str">
            <v>Renewal (20% in 2020)</v>
          </cell>
        </row>
        <row r="2903">
          <cell r="P2903" t="str">
            <v>003025152</v>
          </cell>
          <cell r="Q2903" t="str">
            <v>Renewal (15% in 2020)</v>
          </cell>
        </row>
        <row r="2904">
          <cell r="P2904" t="str">
            <v>079161478</v>
          </cell>
          <cell r="Q2904" t="str">
            <v>New contract</v>
          </cell>
        </row>
        <row r="2905">
          <cell r="P2905" t="str">
            <v>031008606</v>
          </cell>
          <cell r="Q2905" t="str">
            <v>New Contract</v>
          </cell>
        </row>
        <row r="2906">
          <cell r="P2906" t="str">
            <v>021005579</v>
          </cell>
          <cell r="Q2906" t="str">
            <v>New Contract</v>
          </cell>
        </row>
        <row r="2907">
          <cell r="P2907" t="str">
            <v>086006667</v>
          </cell>
          <cell r="Q2907" t="str">
            <v>Renewal (25% in 2020)</v>
          </cell>
        </row>
        <row r="2908">
          <cell r="P2908" t="str">
            <v>086002376</v>
          </cell>
          <cell r="Q2908" t="str">
            <v>Renewal (15% in 2020)</v>
          </cell>
        </row>
        <row r="2909">
          <cell r="P2909" t="str">
            <v>032160282</v>
          </cell>
          <cell r="Q2909" t="str">
            <v>Renewal (20% in 2020)</v>
          </cell>
        </row>
        <row r="2910">
          <cell r="P2910" t="str">
            <v>024037992</v>
          </cell>
          <cell r="Q2910" t="str">
            <v>Renewal (20% in 2020)</v>
          </cell>
        </row>
        <row r="2911">
          <cell r="P2911" t="str">
            <v>031000248</v>
          </cell>
          <cell r="Q2911" t="str">
            <v>Renewal (15% in 2020)</v>
          </cell>
        </row>
        <row r="2912">
          <cell r="P2912" t="str">
            <v>017164655</v>
          </cell>
          <cell r="Q2912" t="str">
            <v>Renewal (15% in 2020)</v>
          </cell>
        </row>
        <row r="2913">
          <cell r="P2913" t="str">
            <v>021009338</v>
          </cell>
          <cell r="Q2913" t="str">
            <v>New Contract</v>
          </cell>
        </row>
        <row r="2914">
          <cell r="P2914" t="str">
            <v>021159052</v>
          </cell>
          <cell r="Q2914" t="str">
            <v>New Contract</v>
          </cell>
        </row>
        <row r="2915">
          <cell r="P2915" t="str">
            <v>055014006</v>
          </cell>
          <cell r="Q2915" t="str">
            <v>New Contract</v>
          </cell>
        </row>
        <row r="2916">
          <cell r="P2916" t="str">
            <v>021158651</v>
          </cell>
          <cell r="Q2916" t="str">
            <v>New contract</v>
          </cell>
        </row>
        <row r="2917">
          <cell r="P2917" t="str">
            <v>037162257</v>
          </cell>
          <cell r="Q2917" t="str">
            <v>New contract</v>
          </cell>
        </row>
        <row r="2918">
          <cell r="P2918" t="str">
            <v>021154121</v>
          </cell>
          <cell r="Q2918" t="str">
            <v>New Contract</v>
          </cell>
        </row>
        <row r="2919">
          <cell r="P2919" t="str">
            <v>031154691</v>
          </cell>
          <cell r="Q2919" t="str">
            <v>New Contract</v>
          </cell>
        </row>
        <row r="2920">
          <cell r="P2920" t="str">
            <v>086157796</v>
          </cell>
          <cell r="Q2920" t="str">
            <v>Renewal (25% in 2020)</v>
          </cell>
        </row>
        <row r="2921">
          <cell r="P2921" t="str">
            <v>055015465</v>
          </cell>
          <cell r="Q2921" t="str">
            <v>Renewal (15% in 2020)</v>
          </cell>
        </row>
        <row r="2922">
          <cell r="P2922" t="str">
            <v>086004927</v>
          </cell>
          <cell r="Q2922" t="str">
            <v>Renewal (15% in 2020)</v>
          </cell>
        </row>
        <row r="2923">
          <cell r="P2923" t="str">
            <v>079161001</v>
          </cell>
          <cell r="Q2923" t="str">
            <v>New Contract</v>
          </cell>
        </row>
        <row r="2924">
          <cell r="P2924" t="str">
            <v>021010652</v>
          </cell>
          <cell r="Q2924" t="str">
            <v>New contract</v>
          </cell>
        </row>
        <row r="2925">
          <cell r="P2925" t="str">
            <v>086010500</v>
          </cell>
          <cell r="Q2925" t="str">
            <v>New Contract</v>
          </cell>
        </row>
        <row r="2926">
          <cell r="P2926" t="str">
            <v>039154997</v>
          </cell>
          <cell r="Q2926" t="str">
            <v>Renewal (15% in 2020)</v>
          </cell>
        </row>
        <row r="2927">
          <cell r="P2927" t="str">
            <v>064021630</v>
          </cell>
          <cell r="Q2927" t="str">
            <v>Renewal (15% in 2020)</v>
          </cell>
        </row>
        <row r="2928">
          <cell r="P2928" t="str">
            <v>021010215</v>
          </cell>
          <cell r="Q2928" t="str">
            <v>New Contract</v>
          </cell>
        </row>
        <row r="2929">
          <cell r="P2929" t="str">
            <v>031160323</v>
          </cell>
          <cell r="Q2929" t="str">
            <v>Renewal (20% in 2020)</v>
          </cell>
        </row>
        <row r="2930">
          <cell r="P2930" t="str">
            <v>031015336</v>
          </cell>
          <cell r="Q2930" t="str">
            <v>Renewal (20% in 2020)</v>
          </cell>
        </row>
        <row r="2931">
          <cell r="P2931" t="str">
            <v>037003510</v>
          </cell>
          <cell r="Q2931" t="str">
            <v>New Contract</v>
          </cell>
        </row>
        <row r="2932">
          <cell r="P2932" t="str">
            <v>039155836</v>
          </cell>
          <cell r="Q2932" t="str">
            <v>Renewal (30% in 2020)</v>
          </cell>
        </row>
        <row r="2933">
          <cell r="P2933" t="str">
            <v>017165919</v>
          </cell>
          <cell r="Q2933" t="str">
            <v>Renewal (25% in 2020)</v>
          </cell>
        </row>
        <row r="2934">
          <cell r="P2934" t="str">
            <v>055015637</v>
          </cell>
          <cell r="Q2934" t="str">
            <v>New Contract</v>
          </cell>
        </row>
        <row r="2935">
          <cell r="P2935" t="str">
            <v>089011721</v>
          </cell>
          <cell r="Q2935" t="str">
            <v>New contract</v>
          </cell>
        </row>
        <row r="2936">
          <cell r="P2936" t="str">
            <v>021007512</v>
          </cell>
          <cell r="Q2936" t="str">
            <v>New contract</v>
          </cell>
        </row>
        <row r="2937">
          <cell r="P2937" t="str">
            <v>070017064</v>
          </cell>
          <cell r="Q2937" t="str">
            <v>Renewal (20% in 2020)</v>
          </cell>
        </row>
        <row r="2938">
          <cell r="P2938" t="str">
            <v>021623235</v>
          </cell>
          <cell r="Q2938" t="str">
            <v>New Contract</v>
          </cell>
        </row>
        <row r="2939">
          <cell r="P2939" t="str">
            <v>089004696</v>
          </cell>
          <cell r="Q2939" t="str">
            <v>New Contract</v>
          </cell>
        </row>
        <row r="2940">
          <cell r="P2940" t="str">
            <v>087022530</v>
          </cell>
          <cell r="Q2940" t="str">
            <v>Renewal (20% in 2020)</v>
          </cell>
        </row>
        <row r="2941">
          <cell r="P2941" t="str">
            <v>024016642</v>
          </cell>
          <cell r="Q2941" t="str">
            <v>Renewal (20% in 2020)</v>
          </cell>
        </row>
        <row r="2942">
          <cell r="P2942" t="str">
            <v>031158427</v>
          </cell>
          <cell r="Q2942" t="str">
            <v>New contract</v>
          </cell>
        </row>
        <row r="2943">
          <cell r="P2943" t="str">
            <v>003026277</v>
          </cell>
          <cell r="Q2943" t="str">
            <v>Renewal (20% in 2020)</v>
          </cell>
        </row>
        <row r="2944">
          <cell r="P2944" t="str">
            <v>024027913</v>
          </cell>
          <cell r="Q2944" t="str">
            <v>New Contract</v>
          </cell>
        </row>
        <row r="2945">
          <cell r="P2945" t="str">
            <v>031156757</v>
          </cell>
          <cell r="Q2945" t="str">
            <v>Renewal (15% in 2020)</v>
          </cell>
        </row>
        <row r="2946">
          <cell r="P2946" t="str">
            <v>032169153</v>
          </cell>
          <cell r="Q2946" t="str">
            <v>New contract</v>
          </cell>
        </row>
        <row r="2947">
          <cell r="P2947" t="str">
            <v>039156522</v>
          </cell>
          <cell r="Q2947" t="str">
            <v>Renewal (15% in 2020)</v>
          </cell>
        </row>
        <row r="2948">
          <cell r="P2948" t="str">
            <v>055014178</v>
          </cell>
          <cell r="Q2948" t="str">
            <v>Renewal (30% in 2020)</v>
          </cell>
        </row>
        <row r="2949">
          <cell r="P2949" t="str">
            <v>086162681</v>
          </cell>
          <cell r="Q2949" t="str">
            <v>Renewal (25% in 2020)</v>
          </cell>
        </row>
        <row r="2950">
          <cell r="P2950" t="str">
            <v>055014828</v>
          </cell>
          <cell r="Q2950" t="str">
            <v>Renewal (20% in 2020)</v>
          </cell>
        </row>
        <row r="2951">
          <cell r="P2951" t="str">
            <v>079015403</v>
          </cell>
          <cell r="Q2951" t="str">
            <v>Renewal (15% in 2020)</v>
          </cell>
        </row>
        <row r="2952">
          <cell r="P2952" t="str">
            <v>055013717</v>
          </cell>
          <cell r="Q2952" t="str">
            <v>Renewal (25% in 2020)</v>
          </cell>
        </row>
        <row r="2953">
          <cell r="P2953" t="str">
            <v>070017173</v>
          </cell>
          <cell r="Q2953" t="str">
            <v>Renewal (20% in 2020)</v>
          </cell>
        </row>
        <row r="2954">
          <cell r="P2954" t="str">
            <v>055014695</v>
          </cell>
          <cell r="Q2954" t="str">
            <v>Renewal (25% in 2020)</v>
          </cell>
        </row>
        <row r="2955">
          <cell r="P2955" t="str">
            <v>055003172</v>
          </cell>
          <cell r="Q2955" t="str">
            <v>Renewal (20% in 2020)</v>
          </cell>
        </row>
        <row r="2956">
          <cell r="P2956" t="str">
            <v>016003867</v>
          </cell>
          <cell r="Q2956" t="str">
            <v>Renewal (20% in 2020)</v>
          </cell>
        </row>
        <row r="2957">
          <cell r="P2957" t="str">
            <v>017012529</v>
          </cell>
          <cell r="Q2957" t="str">
            <v>Renewal (20% in 2020)</v>
          </cell>
        </row>
        <row r="2958">
          <cell r="P2958" t="str">
            <v>058007983</v>
          </cell>
          <cell r="Q2958" t="str">
            <v>Renewal (20% in 2020)</v>
          </cell>
        </row>
        <row r="2959">
          <cell r="P2959" t="str">
            <v>052013076</v>
          </cell>
          <cell r="Q2959" t="str">
            <v>Renewal (20% in 2020)</v>
          </cell>
        </row>
        <row r="2960">
          <cell r="P2960" t="str">
            <v>079156541</v>
          </cell>
          <cell r="Q2960" t="str">
            <v>Renewal (15% in 2020)</v>
          </cell>
        </row>
        <row r="2961">
          <cell r="P2961" t="str">
            <v>039154721</v>
          </cell>
          <cell r="Q2961" t="str">
            <v>Renewal (15% in 2020)</v>
          </cell>
        </row>
        <row r="2962">
          <cell r="P2962" t="str">
            <v>054008894</v>
          </cell>
          <cell r="Q2962" t="str">
            <v>Renewal (20% in 2020)</v>
          </cell>
        </row>
        <row r="2963">
          <cell r="P2963" t="str">
            <v>055008770</v>
          </cell>
          <cell r="Q2963" t="str">
            <v>Renewal (20% in 2020)</v>
          </cell>
        </row>
        <row r="2964">
          <cell r="P2964" t="str">
            <v>023020464</v>
          </cell>
          <cell r="Q2964" t="str">
            <v>Renewal (30% in 2020)</v>
          </cell>
        </row>
        <row r="2965">
          <cell r="P2965" t="str">
            <v>086014176</v>
          </cell>
          <cell r="Q2965" t="str">
            <v>Renewal (15% in 2020)</v>
          </cell>
        </row>
        <row r="2966">
          <cell r="P2966" t="str">
            <v>079003762</v>
          </cell>
          <cell r="Q2966" t="str">
            <v>Renewal (15% in 2020)</v>
          </cell>
        </row>
        <row r="2967">
          <cell r="P2967" t="str">
            <v>017166335</v>
          </cell>
          <cell r="Q2967" t="str">
            <v>Renewal (30% in 2020)</v>
          </cell>
        </row>
        <row r="2968">
          <cell r="P2968" t="str">
            <v>049171082</v>
          </cell>
          <cell r="Q2968" t="str">
            <v>Renewal (20% in 2020)</v>
          </cell>
        </row>
        <row r="2969">
          <cell r="P2969" t="str">
            <v>039156296</v>
          </cell>
          <cell r="Q2969" t="str">
            <v>New Contract</v>
          </cell>
        </row>
        <row r="2970">
          <cell r="P2970" t="str">
            <v>032014649</v>
          </cell>
          <cell r="Q2970" t="str">
            <v>New Contract</v>
          </cell>
        </row>
        <row r="2971">
          <cell r="P2971" t="str">
            <v>016009817</v>
          </cell>
          <cell r="Q2971" t="str">
            <v>Renewal (20% in 2020)</v>
          </cell>
        </row>
        <row r="2972">
          <cell r="P2972" t="str">
            <v>086007543</v>
          </cell>
          <cell r="Q2972" t="str">
            <v>Renewal (25% in 2020)</v>
          </cell>
        </row>
        <row r="2973">
          <cell r="P2973" t="str">
            <v>086161875</v>
          </cell>
          <cell r="Q2973" t="str">
            <v>Renewal (15% in 2020)</v>
          </cell>
        </row>
        <row r="2974">
          <cell r="P2974" t="str">
            <v>079016243</v>
          </cell>
          <cell r="Q2974" t="str">
            <v>Renewal (20% in 2020)</v>
          </cell>
        </row>
        <row r="2975">
          <cell r="P2975" t="str">
            <v>016014713</v>
          </cell>
          <cell r="Q2975" t="str">
            <v>Renewal (25% in 2020)</v>
          </cell>
        </row>
        <row r="2976">
          <cell r="P2976" t="str">
            <v>017165415</v>
          </cell>
          <cell r="Q2976" t="str">
            <v>Renewal (25% in 2020)</v>
          </cell>
        </row>
        <row r="2977">
          <cell r="P2977" t="str">
            <v>021010354</v>
          </cell>
          <cell r="Q2977" t="str">
            <v>New Contract</v>
          </cell>
        </row>
        <row r="2978">
          <cell r="P2978" t="str">
            <v>021161272</v>
          </cell>
          <cell r="Q2978" t="str">
            <v>New Contract</v>
          </cell>
        </row>
        <row r="2979">
          <cell r="P2979" t="str">
            <v>028160041</v>
          </cell>
          <cell r="Q2979" t="str">
            <v>New contract</v>
          </cell>
        </row>
        <row r="2980">
          <cell r="P2980" t="str">
            <v>086164243</v>
          </cell>
          <cell r="Q2980" t="str">
            <v>New Contract</v>
          </cell>
        </row>
        <row r="2981">
          <cell r="P2981" t="str">
            <v>017166287</v>
          </cell>
          <cell r="Q2981" t="str">
            <v>Renewal (20% in 2020)</v>
          </cell>
        </row>
        <row r="2982">
          <cell r="P2982" t="str">
            <v>047159507</v>
          </cell>
          <cell r="Q2982" t="str">
            <v>Renewal (15% in 2020)</v>
          </cell>
        </row>
        <row r="2983">
          <cell r="P2983" t="str">
            <v>047170268</v>
          </cell>
          <cell r="Q2983" t="str">
            <v>Renewal (15% in 2020)</v>
          </cell>
        </row>
        <row r="2984">
          <cell r="P2984" t="str">
            <v>070011188</v>
          </cell>
          <cell r="Q2984" t="str">
            <v>Renewal (30% in 2020)</v>
          </cell>
        </row>
        <row r="2985">
          <cell r="P2985" t="str">
            <v>021161699</v>
          </cell>
          <cell r="Q2985" t="str">
            <v>New Contract</v>
          </cell>
        </row>
        <row r="2986">
          <cell r="P2986" t="str">
            <v>017160289</v>
          </cell>
          <cell r="Q2986" t="str">
            <v>Renewal (20% in 2020)</v>
          </cell>
        </row>
        <row r="2987">
          <cell r="P2987" t="str">
            <v>079157426</v>
          </cell>
          <cell r="Q2987" t="str">
            <v>Renewal (25% in 2020)</v>
          </cell>
        </row>
        <row r="2988">
          <cell r="P2988" t="str">
            <v>024015684</v>
          </cell>
          <cell r="Q2988" t="str">
            <v>Renewal (30% in 2020)</v>
          </cell>
        </row>
        <row r="2989">
          <cell r="P2989" t="str">
            <v>079153553</v>
          </cell>
          <cell r="Q2989" t="str">
            <v>New Contract</v>
          </cell>
        </row>
        <row r="2990">
          <cell r="P2990" t="str">
            <v>071155887</v>
          </cell>
          <cell r="Q2990" t="str">
            <v>Renewal (25% in 2020)</v>
          </cell>
        </row>
        <row r="2991">
          <cell r="P2991" t="str">
            <v>031013552</v>
          </cell>
          <cell r="Q2991" t="str">
            <v>New Contract</v>
          </cell>
        </row>
        <row r="2992">
          <cell r="P2992" t="str">
            <v>024014906</v>
          </cell>
          <cell r="Q2992" t="str">
            <v>Renewal (25% in 2020)</v>
          </cell>
        </row>
        <row r="2993">
          <cell r="P2993" t="str">
            <v>079155226</v>
          </cell>
          <cell r="Q2993" t="str">
            <v>Renewal (15% in 2020)</v>
          </cell>
        </row>
        <row r="2994">
          <cell r="P2994" t="str">
            <v>023022463</v>
          </cell>
          <cell r="Q2994" t="str">
            <v>New Contract</v>
          </cell>
        </row>
        <row r="2995">
          <cell r="P2995" t="str">
            <v>086163909</v>
          </cell>
          <cell r="Q2995" t="str">
            <v>Renewal (15% in 2020)</v>
          </cell>
        </row>
        <row r="2996">
          <cell r="P2996" t="str">
            <v>018158008</v>
          </cell>
          <cell r="Q2996" t="str">
            <v>Renewal (25% in 2020)</v>
          </cell>
        </row>
        <row r="2997">
          <cell r="P2997" t="str">
            <v>081015286</v>
          </cell>
          <cell r="Q2997" t="str">
            <v>New contract</v>
          </cell>
        </row>
        <row r="2998">
          <cell r="P2998" t="str">
            <v>021004260</v>
          </cell>
          <cell r="Q2998" t="str">
            <v>New Contract</v>
          </cell>
        </row>
        <row r="2999">
          <cell r="P2999" t="str">
            <v>039155463</v>
          </cell>
          <cell r="Q2999" t="str">
            <v>Renewal (25% in 2020)</v>
          </cell>
        </row>
        <row r="3000">
          <cell r="P3000" t="str">
            <v>017006771</v>
          </cell>
          <cell r="Q3000" t="str">
            <v>Renewal (30% in 2020)</v>
          </cell>
        </row>
        <row r="3001">
          <cell r="P3001" t="str">
            <v>016156280</v>
          </cell>
          <cell r="Q3001" t="str">
            <v>Renewal (15% in 2020)</v>
          </cell>
        </row>
        <row r="3002">
          <cell r="P3002" t="str">
            <v>016162211</v>
          </cell>
          <cell r="Q3002" t="str">
            <v>Renewal (20% in 2020)</v>
          </cell>
        </row>
        <row r="3003">
          <cell r="P3003" t="str">
            <v>079155729</v>
          </cell>
          <cell r="Q3003" t="str">
            <v>Renewal (15% in 2020)</v>
          </cell>
        </row>
        <row r="3004">
          <cell r="P3004" t="str">
            <v>076164367</v>
          </cell>
          <cell r="Q3004" t="str">
            <v>Renewal (20% in 2020)</v>
          </cell>
        </row>
        <row r="3005">
          <cell r="P3005" t="str">
            <v>021161276</v>
          </cell>
          <cell r="Q3005" t="str">
            <v>New Contract</v>
          </cell>
        </row>
        <row r="3006">
          <cell r="P3006" t="str">
            <v>021005000</v>
          </cell>
          <cell r="Q3006" t="str">
            <v>New contract</v>
          </cell>
        </row>
        <row r="3007">
          <cell r="P3007" t="str">
            <v>064021742</v>
          </cell>
          <cell r="Q3007" t="str">
            <v>New Contract</v>
          </cell>
        </row>
        <row r="3008">
          <cell r="P3008" t="str">
            <v>055015231</v>
          </cell>
          <cell r="Q3008" t="str">
            <v>Renewal (30% in 2020)</v>
          </cell>
        </row>
        <row r="3009">
          <cell r="P3009" t="str">
            <v>055013850</v>
          </cell>
          <cell r="Q3009" t="str">
            <v>Renewal (20% in 2020)</v>
          </cell>
        </row>
        <row r="3010">
          <cell r="P3010" t="str">
            <v>021159386</v>
          </cell>
          <cell r="Q3010" t="str">
            <v>New Contract</v>
          </cell>
        </row>
        <row r="3011">
          <cell r="P3011" t="str">
            <v>076166232</v>
          </cell>
          <cell r="Q3011" t="str">
            <v>Renewal (20% in 2020)</v>
          </cell>
        </row>
        <row r="3012">
          <cell r="P3012" t="str">
            <v>025004548</v>
          </cell>
          <cell r="Q3012" t="str">
            <v>Renewal (30% in 2020)</v>
          </cell>
        </row>
        <row r="3013">
          <cell r="P3013" t="str">
            <v>082001837</v>
          </cell>
          <cell r="Q3013" t="str">
            <v>New Contract</v>
          </cell>
        </row>
        <row r="3014">
          <cell r="P3014" t="str">
            <v>016000288</v>
          </cell>
          <cell r="Q3014" t="str">
            <v>Renewal (20% in 2020)</v>
          </cell>
        </row>
        <row r="3015">
          <cell r="P3015" t="str">
            <v>051003355</v>
          </cell>
          <cell r="Q3015" t="str">
            <v>New Contract</v>
          </cell>
        </row>
        <row r="3016">
          <cell r="P3016" t="str">
            <v>079156830</v>
          </cell>
          <cell r="Q3016" t="str">
            <v>Renewal (30% in 2020)</v>
          </cell>
        </row>
        <row r="3017">
          <cell r="P3017" t="str">
            <v>086011579</v>
          </cell>
          <cell r="Q3017" t="str">
            <v>Renewal (15% in 2020)</v>
          </cell>
        </row>
        <row r="3018">
          <cell r="P3018" t="str">
            <v>018159066</v>
          </cell>
          <cell r="Q3018" t="str">
            <v>Renewal (20% in 2020)</v>
          </cell>
        </row>
        <row r="3019">
          <cell r="P3019" t="str">
            <v>031154204</v>
          </cell>
          <cell r="Q3019" t="str">
            <v>Renewal (20% in 2020)</v>
          </cell>
        </row>
        <row r="3020">
          <cell r="P3020" t="str">
            <v>052012030</v>
          </cell>
          <cell r="Q3020" t="str">
            <v>Renewal (20% in 2020)</v>
          </cell>
        </row>
        <row r="3021">
          <cell r="P3021" t="str">
            <v>055014063</v>
          </cell>
          <cell r="Q3021" t="str">
            <v>Renewal (20% in 2020)</v>
          </cell>
        </row>
        <row r="3022">
          <cell r="P3022" t="str">
            <v>055010793</v>
          </cell>
          <cell r="Q3022" t="str">
            <v>Renewal (30% in 2020)</v>
          </cell>
        </row>
        <row r="3023">
          <cell r="P3023" t="str">
            <v>090002336</v>
          </cell>
          <cell r="Q3023" t="str">
            <v>Renewal (15% in 2020)</v>
          </cell>
        </row>
        <row r="3024">
          <cell r="P3024" t="str">
            <v>090002336</v>
          </cell>
          <cell r="Q3024" t="str">
            <v>Renewal (15% in 2020)</v>
          </cell>
        </row>
        <row r="3025">
          <cell r="P3025" t="str">
            <v>079154260</v>
          </cell>
          <cell r="Q3025" t="str">
            <v>Renewal (15% in 2020)</v>
          </cell>
        </row>
        <row r="3026">
          <cell r="P3026" t="str">
            <v>016166361</v>
          </cell>
          <cell r="Q3026" t="str">
            <v>Renewal (15% in 2020)</v>
          </cell>
        </row>
        <row r="3027">
          <cell r="P3027" t="str">
            <v>027001432</v>
          </cell>
          <cell r="Q3027" t="str">
            <v>Renewal (15% in 2020)</v>
          </cell>
        </row>
        <row r="3028">
          <cell r="P3028" t="str">
            <v>064417691</v>
          </cell>
          <cell r="Q3028" t="str">
            <v>Renewal (20% in 2020)</v>
          </cell>
        </row>
        <row r="3029">
          <cell r="P3029" t="str">
            <v>055014209</v>
          </cell>
          <cell r="Q3029" t="str">
            <v>Renewal (20% in 2020)</v>
          </cell>
        </row>
        <row r="3030">
          <cell r="P3030" t="str">
            <v>054014957</v>
          </cell>
          <cell r="Q3030" t="str">
            <v>Renewal (15% in 2020)</v>
          </cell>
        </row>
        <row r="3031">
          <cell r="P3031" t="str">
            <v>021158821</v>
          </cell>
          <cell r="Q3031" t="str">
            <v>New Contract</v>
          </cell>
        </row>
        <row r="3032">
          <cell r="P3032" t="str">
            <v>016155336</v>
          </cell>
          <cell r="Q3032" t="str">
            <v>Renewal (20% in 2020)</v>
          </cell>
        </row>
        <row r="3033">
          <cell r="P3033" t="str">
            <v>039000087</v>
          </cell>
          <cell r="Q3033" t="str">
            <v>Renewal (20% in 2020)</v>
          </cell>
        </row>
        <row r="3034">
          <cell r="P3034" t="str">
            <v>027160905</v>
          </cell>
          <cell r="Q3034" t="str">
            <v>Renewal (30% in 2020)</v>
          </cell>
        </row>
        <row r="3035">
          <cell r="P3035" t="str">
            <v>052011822</v>
          </cell>
          <cell r="Q3035" t="str">
            <v>Renewal (20% in 2020)</v>
          </cell>
        </row>
        <row r="3036">
          <cell r="P3036" t="str">
            <v>017165554</v>
          </cell>
          <cell r="Q3036" t="str">
            <v>Renewal (15% in 2020)</v>
          </cell>
        </row>
        <row r="3037">
          <cell r="P3037" t="str">
            <v>016004170</v>
          </cell>
          <cell r="Q3037" t="str">
            <v>Renewal (20% in 2020)</v>
          </cell>
        </row>
        <row r="3038">
          <cell r="P3038" t="str">
            <v>039005906</v>
          </cell>
          <cell r="Q3038" t="str">
            <v>Renewal (15% in 2020)</v>
          </cell>
        </row>
        <row r="3039">
          <cell r="P3039" t="str">
            <v>016163910</v>
          </cell>
          <cell r="Q3039" t="str">
            <v>New Contract</v>
          </cell>
        </row>
        <row r="3040">
          <cell r="P3040" t="str">
            <v>037160692</v>
          </cell>
          <cell r="Q3040" t="str">
            <v>Renewal (25% in 2020)</v>
          </cell>
        </row>
        <row r="3041">
          <cell r="P3041" t="str">
            <v>016013619</v>
          </cell>
          <cell r="Q3041" t="str">
            <v>Renewal (20% in 2020)</v>
          </cell>
        </row>
        <row r="3042">
          <cell r="P3042" t="str">
            <v>055014072</v>
          </cell>
          <cell r="Q3042" t="str">
            <v>Renewal (30% in 2020)</v>
          </cell>
        </row>
        <row r="3043">
          <cell r="P3043" t="str">
            <v>027157599</v>
          </cell>
          <cell r="Q3043" t="str">
            <v>Renewal (25% in 2020)</v>
          </cell>
        </row>
        <row r="3044">
          <cell r="P3044" t="str">
            <v>016163338</v>
          </cell>
          <cell r="Q3044" t="str">
            <v>New contract</v>
          </cell>
        </row>
        <row r="3045">
          <cell r="P3045" t="str">
            <v>031160503</v>
          </cell>
          <cell r="Q3045" t="str">
            <v>New contract</v>
          </cell>
        </row>
        <row r="3046">
          <cell r="P3046" t="str">
            <v>028158936</v>
          </cell>
          <cell r="Q3046" t="str">
            <v>New contract</v>
          </cell>
        </row>
        <row r="3047">
          <cell r="P3047" t="str">
            <v>021159558</v>
          </cell>
          <cell r="Q3047" t="str">
            <v>New contract</v>
          </cell>
        </row>
        <row r="3048">
          <cell r="P3048" t="str">
            <v>017157863</v>
          </cell>
          <cell r="Q3048" t="str">
            <v>New contract</v>
          </cell>
        </row>
        <row r="3049">
          <cell r="P3049" t="str">
            <v>086163766</v>
          </cell>
          <cell r="Q3049" t="str">
            <v>Renewal (15% in 2020)</v>
          </cell>
        </row>
        <row r="3050">
          <cell r="P3050" t="str">
            <v>021010669</v>
          </cell>
          <cell r="Q3050" t="str">
            <v>New contract</v>
          </cell>
        </row>
        <row r="3051">
          <cell r="P3051" t="str">
            <v>036158824</v>
          </cell>
          <cell r="Q3051" t="str">
            <v>Renewal (20% in 2020)</v>
          </cell>
        </row>
        <row r="3052">
          <cell r="P3052" t="str">
            <v>055012166</v>
          </cell>
          <cell r="Q3052" t="str">
            <v>Renewal (30% in 2020)</v>
          </cell>
        </row>
        <row r="3053">
          <cell r="P3053" t="str">
            <v>036161341</v>
          </cell>
          <cell r="Q3053" t="str">
            <v>Renewal (25% in 2020)</v>
          </cell>
        </row>
        <row r="3054">
          <cell r="P3054" t="str">
            <v>021007599</v>
          </cell>
          <cell r="Q3054" t="str">
            <v>New Contract</v>
          </cell>
        </row>
        <row r="3055">
          <cell r="P3055" t="str">
            <v>076166020</v>
          </cell>
          <cell r="Q3055" t="str">
            <v>Renewal (30% in 2020)</v>
          </cell>
        </row>
        <row r="3056">
          <cell r="P3056" t="str">
            <v>055014151</v>
          </cell>
          <cell r="Q3056" t="str">
            <v>New Contract</v>
          </cell>
        </row>
        <row r="3057">
          <cell r="P3057" t="str">
            <v>031158220</v>
          </cell>
          <cell r="Q3057" t="str">
            <v>Renewal (15% in 2020)</v>
          </cell>
        </row>
        <row r="3058">
          <cell r="P3058" t="str">
            <v>018155781</v>
          </cell>
          <cell r="Q3058" t="str">
            <v>Renewal (25% in 2020)</v>
          </cell>
        </row>
        <row r="3059">
          <cell r="P3059" t="str">
            <v>031159941</v>
          </cell>
          <cell r="Q3059" t="str">
            <v>New Contract</v>
          </cell>
        </row>
        <row r="3060">
          <cell r="P3060" t="str">
            <v>031014696</v>
          </cell>
          <cell r="Q3060" t="str">
            <v>New Contract</v>
          </cell>
        </row>
        <row r="3061">
          <cell r="P3061" t="str">
            <v>024034120</v>
          </cell>
          <cell r="Q3061" t="str">
            <v>Renewal (30% in 2020)</v>
          </cell>
        </row>
        <row r="3062">
          <cell r="P3062" t="str">
            <v>070012287</v>
          </cell>
          <cell r="Q3062" t="str">
            <v>Renewal (20% in 2020)</v>
          </cell>
        </row>
        <row r="3063">
          <cell r="P3063" t="str">
            <v>076162201</v>
          </cell>
          <cell r="Q3063" t="str">
            <v>Renewal (30% in 2020)</v>
          </cell>
        </row>
        <row r="3064">
          <cell r="P3064" t="str">
            <v>032018870</v>
          </cell>
          <cell r="Q3064" t="str">
            <v>Renewal (15% in 2020)</v>
          </cell>
        </row>
        <row r="3065">
          <cell r="P3065" t="str">
            <v>024025570</v>
          </cell>
          <cell r="Q3065" t="str">
            <v>Renewal (20% in 2020)</v>
          </cell>
        </row>
        <row r="3066">
          <cell r="P3066" t="str">
            <v>021158193</v>
          </cell>
          <cell r="Q3066" t="str">
            <v>New Contract</v>
          </cell>
        </row>
        <row r="3067">
          <cell r="P3067" t="str">
            <v>032158772</v>
          </cell>
          <cell r="Q3067" t="str">
            <v>Renewal (15% in 2020)</v>
          </cell>
        </row>
        <row r="3068">
          <cell r="P3068" t="str">
            <v>089008505</v>
          </cell>
          <cell r="Q3068" t="str">
            <v>New Contract</v>
          </cell>
        </row>
        <row r="3069">
          <cell r="P3069" t="str">
            <v>016161683</v>
          </cell>
          <cell r="Q3069" t="str">
            <v>Renewal (25% in 2020)</v>
          </cell>
        </row>
        <row r="3070">
          <cell r="P3070" t="str">
            <v>045013432</v>
          </cell>
          <cell r="Q3070" t="str">
            <v>Renewal (25% in 2020)</v>
          </cell>
        </row>
        <row r="3071">
          <cell r="P3071" t="str">
            <v>060005043</v>
          </cell>
          <cell r="Q3071" t="str">
            <v>Renewal (20% in 2020)</v>
          </cell>
        </row>
        <row r="3072">
          <cell r="P3072" t="str">
            <v>024029820</v>
          </cell>
          <cell r="Q3072" t="str">
            <v>Renewal (15% in 2020)</v>
          </cell>
        </row>
        <row r="3073">
          <cell r="P3073" t="str">
            <v>058017974</v>
          </cell>
          <cell r="Q3073" t="str">
            <v>Renewal (25% in 2020)</v>
          </cell>
        </row>
        <row r="3074">
          <cell r="P3074" t="str">
            <v>039005970</v>
          </cell>
          <cell r="Q3074" t="str">
            <v>Renewal (20% in 2020)</v>
          </cell>
        </row>
        <row r="3075">
          <cell r="P3075" t="str">
            <v>086163965</v>
          </cell>
          <cell r="Q3075" t="str">
            <v>Renewal (15% in 2020)</v>
          </cell>
        </row>
        <row r="3076">
          <cell r="P3076" t="str">
            <v>025019383</v>
          </cell>
          <cell r="Q3076" t="str">
            <v>Renewal (15% in 2020)</v>
          </cell>
        </row>
        <row r="3077">
          <cell r="P3077" t="str">
            <v>089153143</v>
          </cell>
          <cell r="Q3077" t="str">
            <v>New Contract</v>
          </cell>
        </row>
        <row r="3078">
          <cell r="P3078" t="str">
            <v>002161067</v>
          </cell>
          <cell r="Q3078" t="str">
            <v>Renewal (20% in 2020)</v>
          </cell>
        </row>
        <row r="3079">
          <cell r="P3079" t="str">
            <v>054014264</v>
          </cell>
          <cell r="Q3079" t="str">
            <v>Renewal (25% in 2020)</v>
          </cell>
        </row>
        <row r="3080">
          <cell r="P3080" t="str">
            <v>070002244</v>
          </cell>
          <cell r="Q3080" t="str">
            <v>Renewal (15% in 2020)</v>
          </cell>
        </row>
        <row r="3081">
          <cell r="P3081" t="str">
            <v>016166770</v>
          </cell>
          <cell r="Q3081" t="str">
            <v>Renewal (30% in 2020)</v>
          </cell>
        </row>
        <row r="3082">
          <cell r="P3082" t="str">
            <v>055013725</v>
          </cell>
          <cell r="Q3082" t="str">
            <v>New Contract</v>
          </cell>
        </row>
        <row r="3083">
          <cell r="P3083" t="str">
            <v>060151050</v>
          </cell>
          <cell r="Q3083" t="str">
            <v>Renewal (20% in 2020)</v>
          </cell>
        </row>
        <row r="3084">
          <cell r="P3084" t="str">
            <v>086164080</v>
          </cell>
          <cell r="Q3084" t="str">
            <v>Renewal (15% in 2020)</v>
          </cell>
        </row>
        <row r="3085">
          <cell r="P3085" t="str">
            <v>086164080</v>
          </cell>
          <cell r="Q3085" t="str">
            <v>Renewal (15% in 2020)</v>
          </cell>
        </row>
        <row r="3086">
          <cell r="P3086" t="str">
            <v>039155337</v>
          </cell>
          <cell r="Q3086" t="str">
            <v>Renewal (15% in 2020)</v>
          </cell>
        </row>
        <row r="3087">
          <cell r="P3087" t="str">
            <v>016160396</v>
          </cell>
          <cell r="Q3087" t="str">
            <v>Renewal (15% in 2020)</v>
          </cell>
        </row>
        <row r="3088">
          <cell r="P3088" t="str">
            <v>086015908</v>
          </cell>
          <cell r="Q3088" t="str">
            <v>Renewal (15% in 2020)</v>
          </cell>
        </row>
        <row r="3089">
          <cell r="P3089" t="str">
            <v>016164016</v>
          </cell>
          <cell r="Q3089" t="str">
            <v>Renewal (15% in 2020)</v>
          </cell>
        </row>
        <row r="3090">
          <cell r="P3090" t="str">
            <v>079152504</v>
          </cell>
          <cell r="Q3090" t="str">
            <v>Renewal (15% in 2020)</v>
          </cell>
        </row>
        <row r="3091">
          <cell r="P3091" t="str">
            <v>055008404</v>
          </cell>
          <cell r="Q3091" t="str">
            <v>New Contract</v>
          </cell>
        </row>
        <row r="3092">
          <cell r="P3092" t="str">
            <v>055001407</v>
          </cell>
          <cell r="Q3092" t="str">
            <v>Renewal (15% in 2020)</v>
          </cell>
        </row>
        <row r="3093">
          <cell r="P3093" t="str">
            <v>024037183</v>
          </cell>
          <cell r="Q3093" t="str">
            <v>Renewal (15% in 2020)</v>
          </cell>
        </row>
        <row r="3094">
          <cell r="P3094" t="str">
            <v>079006390</v>
          </cell>
          <cell r="Q3094" t="str">
            <v>Renewal (15% in 2020)</v>
          </cell>
        </row>
        <row r="3095">
          <cell r="P3095" t="str">
            <v>016164519</v>
          </cell>
          <cell r="Q3095" t="str">
            <v>Renewal (15% in 2020)</v>
          </cell>
        </row>
        <row r="3096">
          <cell r="P3096" t="str">
            <v>031157298</v>
          </cell>
          <cell r="Q3096" t="str">
            <v>New Contract</v>
          </cell>
        </row>
        <row r="3097">
          <cell r="P3097" t="str">
            <v>031152889</v>
          </cell>
          <cell r="Q3097" t="str">
            <v>Renewal (25% in 2020)</v>
          </cell>
        </row>
        <row r="3098">
          <cell r="P3098" t="str">
            <v>021010420</v>
          </cell>
          <cell r="Q3098" t="str">
            <v>New Contract</v>
          </cell>
        </row>
        <row r="3099">
          <cell r="P3099" t="str">
            <v>021007346</v>
          </cell>
          <cell r="Q3099" t="str">
            <v>New Contract</v>
          </cell>
        </row>
        <row r="3100">
          <cell r="P3100" t="str">
            <v>071012053</v>
          </cell>
          <cell r="Q3100" t="str">
            <v>Renewal (25% in 2020)</v>
          </cell>
        </row>
        <row r="3101">
          <cell r="P3101" t="str">
            <v>021156021</v>
          </cell>
          <cell r="Q3101" t="str">
            <v>New Contract</v>
          </cell>
        </row>
        <row r="3102">
          <cell r="P3102" t="str">
            <v>070009448</v>
          </cell>
          <cell r="Q3102" t="str">
            <v>New Contract</v>
          </cell>
        </row>
        <row r="3103">
          <cell r="P3103" t="str">
            <v>031011554</v>
          </cell>
          <cell r="Q3103" t="str">
            <v>Renewal (20% in 2020)</v>
          </cell>
        </row>
        <row r="3104">
          <cell r="P3104" t="str">
            <v>016160062</v>
          </cell>
          <cell r="Q3104" t="str">
            <v>New Contract</v>
          </cell>
        </row>
        <row r="3105">
          <cell r="P3105" t="str">
            <v>058020343</v>
          </cell>
          <cell r="Q3105" t="str">
            <v>Renewal (25% in 2020)</v>
          </cell>
        </row>
        <row r="3106">
          <cell r="P3106" t="str">
            <v>058020343</v>
          </cell>
          <cell r="Q3106" t="str">
            <v>Renewal (25% in 2020)</v>
          </cell>
        </row>
        <row r="3107">
          <cell r="P3107" t="str">
            <v>086006822</v>
          </cell>
          <cell r="Q3107" t="str">
            <v>Renewal (15% in 2020)</v>
          </cell>
        </row>
        <row r="3108">
          <cell r="P3108" t="str">
            <v>017162750</v>
          </cell>
          <cell r="Q3108" t="str">
            <v>Renewal (15% in 2020)</v>
          </cell>
        </row>
        <row r="3109">
          <cell r="P3109" t="str">
            <v>039152062</v>
          </cell>
          <cell r="Q3109" t="str">
            <v>Renewal (15% in 2020)</v>
          </cell>
        </row>
        <row r="3110">
          <cell r="P3110" t="str">
            <v>055014826</v>
          </cell>
          <cell r="Q3110" t="str">
            <v>Renewal (15% in 2020)</v>
          </cell>
        </row>
        <row r="3111">
          <cell r="P3111" t="str">
            <v>017161949</v>
          </cell>
          <cell r="Q3111" t="str">
            <v>Renewal (25% in 2020)</v>
          </cell>
        </row>
        <row r="3112">
          <cell r="P3112" t="str">
            <v>016003683</v>
          </cell>
          <cell r="Q3112" t="str">
            <v>Renewal (15% in 2020)</v>
          </cell>
        </row>
        <row r="3113">
          <cell r="P3113" t="str">
            <v>016005423</v>
          </cell>
          <cell r="Q3113" t="str">
            <v>Renewal (15% in 2020)</v>
          </cell>
        </row>
        <row r="3114">
          <cell r="P3114" t="str">
            <v>016156461</v>
          </cell>
          <cell r="Q3114" t="str">
            <v>Renewal (25% in 2020)</v>
          </cell>
        </row>
        <row r="3115">
          <cell r="P3115" t="str">
            <v>039155070</v>
          </cell>
          <cell r="Q3115" t="str">
            <v>Renewal (30% in 2020)</v>
          </cell>
        </row>
        <row r="3116">
          <cell r="P3116" t="str">
            <v>017163423</v>
          </cell>
          <cell r="Q3116" t="str">
            <v>Renewal (20% in 2020)</v>
          </cell>
        </row>
        <row r="3117">
          <cell r="P3117" t="str">
            <v>017163423</v>
          </cell>
          <cell r="Q3117" t="str">
            <v>Renewal (20% in 2020)</v>
          </cell>
        </row>
        <row r="3118">
          <cell r="P3118" t="str">
            <v>016160157</v>
          </cell>
          <cell r="Q3118" t="str">
            <v>Renewal (20% in 2020)</v>
          </cell>
        </row>
        <row r="3119">
          <cell r="P3119" t="str">
            <v>028003939</v>
          </cell>
          <cell r="Q3119" t="str">
            <v>Renewal (25% in 2020)</v>
          </cell>
        </row>
        <row r="3120">
          <cell r="P3120" t="str">
            <v>055008323</v>
          </cell>
          <cell r="Q3120" t="str">
            <v>Renewal (25% in 2020)</v>
          </cell>
        </row>
        <row r="3121">
          <cell r="P3121" t="str">
            <v>070009117</v>
          </cell>
          <cell r="Q3121" t="str">
            <v>Renewal (15% in 2020)</v>
          </cell>
        </row>
        <row r="3122">
          <cell r="P3122" t="str">
            <v>086161765</v>
          </cell>
          <cell r="Q3122" t="str">
            <v>Renewal (25% in 2020)</v>
          </cell>
        </row>
        <row r="3123">
          <cell r="P3123" t="str">
            <v>021005414</v>
          </cell>
          <cell r="Q3123" t="str">
            <v>New Contract</v>
          </cell>
        </row>
        <row r="3124">
          <cell r="P3124" t="str">
            <v>055014044</v>
          </cell>
          <cell r="Q3124" t="str">
            <v>New Contract</v>
          </cell>
        </row>
        <row r="3125">
          <cell r="P3125" t="str">
            <v>079159678</v>
          </cell>
          <cell r="Q3125" t="str">
            <v>Renewal (30% in 2020)</v>
          </cell>
        </row>
        <row r="3126">
          <cell r="P3126" t="str">
            <v>079014119</v>
          </cell>
          <cell r="Q3126" t="str">
            <v>New Contract</v>
          </cell>
        </row>
        <row r="3127">
          <cell r="P3127" t="str">
            <v>079159180</v>
          </cell>
          <cell r="Q3127" t="str">
            <v>Renewal (20% in 2020)</v>
          </cell>
        </row>
        <row r="3128">
          <cell r="P3128" t="str">
            <v>031152840</v>
          </cell>
          <cell r="Q3128" t="str">
            <v>Renewal (20% in 2020)</v>
          </cell>
        </row>
        <row r="3129">
          <cell r="P3129" t="str">
            <v>016003377</v>
          </cell>
          <cell r="Q3129" t="str">
            <v>Renewal (25% in 2020)</v>
          </cell>
        </row>
        <row r="3130">
          <cell r="P3130" t="str">
            <v>031160422</v>
          </cell>
          <cell r="Q3130" t="str">
            <v>New Contract</v>
          </cell>
        </row>
        <row r="3131">
          <cell r="P3131" t="str">
            <v>055014605</v>
          </cell>
          <cell r="Q3131" t="str">
            <v>Renewal (30% in 2020)</v>
          </cell>
        </row>
        <row r="3132">
          <cell r="P3132" t="str">
            <v>021999999</v>
          </cell>
          <cell r="Q3132" t="str">
            <v>New Contract</v>
          </cell>
        </row>
        <row r="3133">
          <cell r="P3133" t="str">
            <v>021157488</v>
          </cell>
          <cell r="Q3133" t="str">
            <v>New Contract</v>
          </cell>
        </row>
        <row r="3134">
          <cell r="P3134" t="str">
            <v>031159300</v>
          </cell>
          <cell r="Q3134" t="str">
            <v>Renewal (15% in 2020)</v>
          </cell>
        </row>
        <row r="3135">
          <cell r="P3135" t="str">
            <v>031157206</v>
          </cell>
          <cell r="Q3135" t="str">
            <v>Renewal (15% in 2020)</v>
          </cell>
        </row>
        <row r="3136">
          <cell r="P3136" t="str">
            <v>017010987</v>
          </cell>
          <cell r="Q3136" t="str">
            <v>Renewal (15% in 2020)</v>
          </cell>
        </row>
        <row r="3137">
          <cell r="P3137" t="str">
            <v>055001569</v>
          </cell>
          <cell r="Q3137" t="str">
            <v>Renewal (20% in 2020)</v>
          </cell>
        </row>
        <row r="3138">
          <cell r="P3138" t="str">
            <v>021161738</v>
          </cell>
          <cell r="Q3138" t="str">
            <v>New Contract</v>
          </cell>
        </row>
        <row r="3139">
          <cell r="P3139" t="str">
            <v>086015229</v>
          </cell>
          <cell r="Q3139" t="str">
            <v>Renewal (15% in 2020)</v>
          </cell>
        </row>
        <row r="3140">
          <cell r="P3140" t="str">
            <v>016014849</v>
          </cell>
          <cell r="Q3140" t="str">
            <v>Renewal (15% in 2020)</v>
          </cell>
        </row>
        <row r="3141">
          <cell r="P3141" t="str">
            <v>021159099</v>
          </cell>
          <cell r="Q3141" t="str">
            <v>New Contract</v>
          </cell>
        </row>
        <row r="3142">
          <cell r="P3142" t="str">
            <v>052011767</v>
          </cell>
          <cell r="Q3142" t="str">
            <v>Renewal (20% in 2020)</v>
          </cell>
        </row>
        <row r="3143">
          <cell r="P3143" t="str">
            <v>017166689</v>
          </cell>
          <cell r="Q3143" t="str">
            <v>Renewal (20% in 2020)</v>
          </cell>
        </row>
        <row r="3144">
          <cell r="P3144" t="str">
            <v>079014666</v>
          </cell>
          <cell r="Q3144" t="str">
            <v>Renewal (15% in 2020)</v>
          </cell>
        </row>
        <row r="3145">
          <cell r="P3145" t="str">
            <v>031157380</v>
          </cell>
          <cell r="Q3145" t="str">
            <v>New Contract</v>
          </cell>
        </row>
        <row r="3146">
          <cell r="P3146" t="str">
            <v>031159936</v>
          </cell>
          <cell r="Q3146" t="str">
            <v>Renewal (15% in 2020)</v>
          </cell>
        </row>
        <row r="3147">
          <cell r="P3147" t="str">
            <v>021159846</v>
          </cell>
          <cell r="Q3147" t="str">
            <v>New Contract</v>
          </cell>
        </row>
        <row r="3148">
          <cell r="P3148" t="str">
            <v>031155109</v>
          </cell>
          <cell r="Q3148" t="str">
            <v>Renewal (15% in 2020)</v>
          </cell>
        </row>
        <row r="3149">
          <cell r="P3149" t="str">
            <v>052004575</v>
          </cell>
          <cell r="Q3149" t="str">
            <v>Renewal (20% in 2020)</v>
          </cell>
        </row>
        <row r="3150">
          <cell r="P3150" t="str">
            <v>011163042</v>
          </cell>
          <cell r="Q3150" t="str">
            <v>Renewal (25% in 2020)</v>
          </cell>
        </row>
        <row r="3151">
          <cell r="P3151" t="str">
            <v>016166389</v>
          </cell>
          <cell r="Q3151" t="str">
            <v>New Contract</v>
          </cell>
        </row>
        <row r="3152">
          <cell r="P3152" t="str">
            <v>031155909</v>
          </cell>
          <cell r="Q3152" t="str">
            <v>Renewal (15% in 2020)</v>
          </cell>
        </row>
        <row r="3153">
          <cell r="P3153" t="str">
            <v>064173519</v>
          </cell>
          <cell r="Q3153" t="str">
            <v>Renewal (20% in 2020)</v>
          </cell>
        </row>
        <row r="3154">
          <cell r="P3154" t="str">
            <v>017158365</v>
          </cell>
          <cell r="Q3154" t="str">
            <v>Renewal (20% in 2020)</v>
          </cell>
        </row>
        <row r="3155">
          <cell r="P3155" t="str">
            <v>031160179</v>
          </cell>
          <cell r="Q3155" t="str">
            <v>New Contract</v>
          </cell>
        </row>
        <row r="3156">
          <cell r="P3156" t="str">
            <v>017165171</v>
          </cell>
          <cell r="Q3156" t="str">
            <v>New Contract</v>
          </cell>
        </row>
        <row r="3157">
          <cell r="P3157" t="str">
            <v>021155404</v>
          </cell>
          <cell r="Q3157" t="str">
            <v>New Contract</v>
          </cell>
        </row>
        <row r="3158">
          <cell r="P3158" t="str">
            <v>036159936</v>
          </cell>
          <cell r="Q3158" t="str">
            <v>Renewal (15% in 2020)</v>
          </cell>
        </row>
        <row r="3159">
          <cell r="P3159" t="str">
            <v>032011535</v>
          </cell>
          <cell r="Q3159" t="str">
            <v>Renewal (25% in 2020)</v>
          </cell>
        </row>
        <row r="3160">
          <cell r="P3160" t="str">
            <v>052005997</v>
          </cell>
          <cell r="Q3160" t="str">
            <v>New Contract</v>
          </cell>
        </row>
        <row r="3161">
          <cell r="P3161" t="str">
            <v>021160429</v>
          </cell>
          <cell r="Q3161" t="str">
            <v>New Contract</v>
          </cell>
        </row>
        <row r="3162">
          <cell r="P3162" t="str">
            <v>017161189</v>
          </cell>
          <cell r="Q3162" t="str">
            <v>Renewal (15% in 2020)</v>
          </cell>
        </row>
        <row r="3163">
          <cell r="P3163" t="str">
            <v>021159430</v>
          </cell>
          <cell r="Q3163" t="str">
            <v>New Contract</v>
          </cell>
        </row>
        <row r="3164">
          <cell r="P3164" t="str">
            <v>082021199</v>
          </cell>
          <cell r="Q3164" t="str">
            <v>New Contract</v>
          </cell>
        </row>
        <row r="3165">
          <cell r="P3165" t="str">
            <v>031155536</v>
          </cell>
          <cell r="Q3165" t="str">
            <v>Renewal (25% in 2020)</v>
          </cell>
        </row>
        <row r="3166">
          <cell r="P3166" t="str">
            <v>079157626</v>
          </cell>
          <cell r="Q3166" t="str">
            <v>Renewal (20% in 2020)</v>
          </cell>
        </row>
        <row r="3167">
          <cell r="P3167" t="str">
            <v>079013544</v>
          </cell>
          <cell r="Q3167" t="str">
            <v>Renewal (20% in 2020)</v>
          </cell>
        </row>
        <row r="3168">
          <cell r="P3168" t="str">
            <v>031157455</v>
          </cell>
          <cell r="Q3168" t="str">
            <v>Renewal (25% in 2020)</v>
          </cell>
        </row>
        <row r="3169">
          <cell r="P3169" t="str">
            <v>027161911</v>
          </cell>
          <cell r="Q3169" t="str">
            <v>Renewal (15% in 2020)</v>
          </cell>
        </row>
        <row r="3170">
          <cell r="P3170" t="str">
            <v>086163975</v>
          </cell>
          <cell r="Q3170" t="str">
            <v>Renewal (20% in 2020)</v>
          </cell>
        </row>
        <row r="3171">
          <cell r="P3171" t="str">
            <v>047172004</v>
          </cell>
          <cell r="Q3171" t="str">
            <v>New Contract</v>
          </cell>
        </row>
        <row r="3172">
          <cell r="P3172" t="str">
            <v>079016347</v>
          </cell>
          <cell r="Q3172" t="str">
            <v>Renewal (25% in 2020)</v>
          </cell>
        </row>
        <row r="3173">
          <cell r="P3173" t="str">
            <v>032169445</v>
          </cell>
          <cell r="Q3173" t="str">
            <v>Renewal (25% in 2020)</v>
          </cell>
        </row>
        <row r="3174">
          <cell r="P3174" t="str">
            <v>031154206</v>
          </cell>
          <cell r="Q3174" t="str">
            <v>New contract</v>
          </cell>
        </row>
        <row r="3175">
          <cell r="P3175" t="str">
            <v>031152703</v>
          </cell>
          <cell r="Q3175" t="str">
            <v>New Contract</v>
          </cell>
        </row>
        <row r="3176">
          <cell r="P3176" t="str">
            <v>032000745</v>
          </cell>
          <cell r="Q3176" t="str">
            <v>Renewal (15% in 2020)</v>
          </cell>
        </row>
        <row r="3177">
          <cell r="P3177" t="str">
            <v>079015396</v>
          </cell>
          <cell r="Q3177" t="str">
            <v>Renewal (15% in 2020)</v>
          </cell>
        </row>
        <row r="3178">
          <cell r="P3178" t="str">
            <v>079155960</v>
          </cell>
          <cell r="Q3178" t="str">
            <v>Renewal (25% in 2020)</v>
          </cell>
        </row>
        <row r="3179">
          <cell r="P3179" t="str">
            <v>024004449</v>
          </cell>
          <cell r="Q3179" t="str">
            <v>Renewal (20% in 2020)</v>
          </cell>
        </row>
        <row r="3180">
          <cell r="P3180" t="str">
            <v>018154094</v>
          </cell>
          <cell r="Q3180" t="str">
            <v>Renewal (25% in 2020)</v>
          </cell>
        </row>
        <row r="3181">
          <cell r="P3181" t="str">
            <v>039155836</v>
          </cell>
          <cell r="Q3181" t="str">
            <v>Renewal (30% in 2020)</v>
          </cell>
        </row>
        <row r="3182">
          <cell r="P3182" t="str">
            <v>079155429</v>
          </cell>
          <cell r="Q3182" t="str">
            <v>New Contract</v>
          </cell>
        </row>
        <row r="3183">
          <cell r="P3183" t="str">
            <v>039000087</v>
          </cell>
          <cell r="Q3183" t="str">
            <v>Renewal (20% in 2020)</v>
          </cell>
        </row>
        <row r="3184">
          <cell r="P3184" t="str">
            <v>070012287</v>
          </cell>
          <cell r="Q3184" t="str">
            <v>Renewal (20% in 2020)</v>
          </cell>
        </row>
        <row r="3185">
          <cell r="P3185" t="str">
            <v>017013449</v>
          </cell>
          <cell r="Q3185" t="str">
            <v>Renewal (25% in 2020)</v>
          </cell>
        </row>
        <row r="3186">
          <cell r="P3186" t="str">
            <v>079013062</v>
          </cell>
          <cell r="Q3186" t="str">
            <v>Renewal (20% in 2020)</v>
          </cell>
        </row>
        <row r="3187">
          <cell r="P3187" t="str">
            <v>039156689</v>
          </cell>
          <cell r="Q3187" t="str">
            <v>New Contract</v>
          </cell>
        </row>
        <row r="3188">
          <cell r="P3188" t="str">
            <v>070014113</v>
          </cell>
          <cell r="Q3188" t="str">
            <v>New Contract</v>
          </cell>
        </row>
        <row r="3189">
          <cell r="P3189" t="str">
            <v>079158018</v>
          </cell>
          <cell r="Q3189" t="str">
            <v>Renewal (15% in 2020)</v>
          </cell>
        </row>
        <row r="3190">
          <cell r="P3190" t="str">
            <v>017165395</v>
          </cell>
          <cell r="Q3190" t="str">
            <v>Renewal (30% in 2020)</v>
          </cell>
        </row>
        <row r="3191">
          <cell r="P3191" t="str">
            <v>036155530</v>
          </cell>
          <cell r="Q3191" t="str">
            <v>Renewal (20% in 2020)</v>
          </cell>
        </row>
        <row r="3192">
          <cell r="P3192" t="str">
            <v>079158320</v>
          </cell>
          <cell r="Q3192" t="str">
            <v>Renewal (30% in 2020)</v>
          </cell>
        </row>
        <row r="3193">
          <cell r="P3193" t="str">
            <v>018007827</v>
          </cell>
          <cell r="Q3193" t="str">
            <v>Renewal (25% in 2020)</v>
          </cell>
        </row>
        <row r="3194">
          <cell r="P3194" t="str">
            <v>079153899</v>
          </cell>
          <cell r="Q3194" t="str">
            <v>Renewal (30% in 2020)</v>
          </cell>
        </row>
        <row r="3195">
          <cell r="P3195" t="str">
            <v>079015396</v>
          </cell>
          <cell r="Q3195" t="str">
            <v>Renewal (15% in 2020)</v>
          </cell>
        </row>
        <row r="3196">
          <cell r="P3196" t="str">
            <v>079156606</v>
          </cell>
          <cell r="Q3196" t="str">
            <v>Renewal (20% in 2020)</v>
          </cell>
        </row>
        <row r="3197">
          <cell r="P3197" t="str">
            <v>017008192</v>
          </cell>
          <cell r="Q3197" t="str">
            <v>Renewal (15% in 2020)</v>
          </cell>
        </row>
        <row r="3198">
          <cell r="P3198" t="str">
            <v>009008798</v>
          </cell>
          <cell r="Q3198" t="str">
            <v>Renewal (25% in 2020)</v>
          </cell>
        </row>
        <row r="3199">
          <cell r="P3199" t="str">
            <v>017164465</v>
          </cell>
          <cell r="Q3199" t="str">
            <v>Renewal (30% in 2020)</v>
          </cell>
        </row>
        <row r="3200">
          <cell r="P3200" t="str">
            <v>055015758</v>
          </cell>
          <cell r="Q3200" t="str">
            <v>Renewal (30% in 2020)</v>
          </cell>
        </row>
        <row r="3201">
          <cell r="P3201" t="str">
            <v>017007867</v>
          </cell>
          <cell r="Q3201" t="str">
            <v>Renewal (15% in 2020)</v>
          </cell>
        </row>
        <row r="3202">
          <cell r="P3202" t="str">
            <v>079157774</v>
          </cell>
          <cell r="Q3202" t="str">
            <v>Renewal (15% in 2020)</v>
          </cell>
        </row>
        <row r="3203">
          <cell r="P3203" t="str">
            <v>055014031</v>
          </cell>
          <cell r="Q3203" t="str">
            <v>New Contract</v>
          </cell>
        </row>
        <row r="3204">
          <cell r="P3204" t="str">
            <v>017161275</v>
          </cell>
          <cell r="Q3204" t="str">
            <v>Renewal (20% in 2020)</v>
          </cell>
        </row>
        <row r="3205">
          <cell r="P3205" t="str">
            <v>079151831</v>
          </cell>
          <cell r="Q3205" t="str">
            <v>New Contract</v>
          </cell>
        </row>
        <row r="3206">
          <cell r="P3206" t="str">
            <v>017166746</v>
          </cell>
          <cell r="Q3206" t="str">
            <v>Renewal (25% in 2020)</v>
          </cell>
        </row>
        <row r="3207">
          <cell r="P3207" t="str">
            <v>032170262</v>
          </cell>
          <cell r="Q3207" t="str">
            <v>Renewal (25% in 2020)</v>
          </cell>
        </row>
        <row r="3208">
          <cell r="P3208" t="str">
            <v>079155960</v>
          </cell>
          <cell r="Q3208" t="str">
            <v>Renewal (25% in 2020)</v>
          </cell>
        </row>
        <row r="3209">
          <cell r="P3209" t="str">
            <v>076162136</v>
          </cell>
          <cell r="Q3209" t="str">
            <v>Renewal (15% in 2020)</v>
          </cell>
        </row>
        <row r="3210">
          <cell r="P3210" t="str">
            <v>016156673</v>
          </cell>
          <cell r="Q3210" t="str">
            <v>Renewal (15% in 2020)</v>
          </cell>
        </row>
        <row r="3211">
          <cell r="P3211" t="str">
            <v>086159975</v>
          </cell>
          <cell r="Q3211" t="str">
            <v>Renewal (25% in 2020)</v>
          </cell>
        </row>
        <row r="3212">
          <cell r="P3212" t="str">
            <v>079156685</v>
          </cell>
          <cell r="Q3212" t="str">
            <v>Renewal (20% in 2020)</v>
          </cell>
        </row>
        <row r="3213">
          <cell r="P3213" t="str">
            <v>031159008</v>
          </cell>
          <cell r="Q3213" t="str">
            <v>Renewal (25% in 2020)</v>
          </cell>
        </row>
        <row r="3214">
          <cell r="P3214" t="str">
            <v>017008328</v>
          </cell>
          <cell r="Q3214" t="str">
            <v>Renewal (20% in 2020)</v>
          </cell>
        </row>
        <row r="3215">
          <cell r="P3215" t="str">
            <v>079012836</v>
          </cell>
          <cell r="Q3215" t="str">
            <v>Renewal (25% in 2020)</v>
          </cell>
        </row>
        <row r="3216">
          <cell r="P3216" t="str">
            <v>079015125</v>
          </cell>
          <cell r="Q3216" t="str">
            <v>Renewal (30% in 2020)</v>
          </cell>
        </row>
        <row r="3217">
          <cell r="P3217" t="str">
            <v>079015125</v>
          </cell>
          <cell r="Q3217" t="str">
            <v>Renewal (30% in 2020)</v>
          </cell>
        </row>
        <row r="3218">
          <cell r="P3218" t="str">
            <v>086161720</v>
          </cell>
          <cell r="Q3218" t="str">
            <v>Renewal (15% in 2020)</v>
          </cell>
        </row>
        <row r="3219">
          <cell r="P3219" t="str">
            <v>061015489</v>
          </cell>
          <cell r="Q3219" t="str">
            <v>Renewal (20% in 2020)</v>
          </cell>
        </row>
        <row r="3220">
          <cell r="P3220" t="str">
            <v>017163031</v>
          </cell>
          <cell r="Q3220" t="str">
            <v>Renewal (30% in 2020)</v>
          </cell>
        </row>
        <row r="3221">
          <cell r="P3221" t="str">
            <v>027007089</v>
          </cell>
          <cell r="Q3221" t="str">
            <v>Renewal (30% in 2020)</v>
          </cell>
        </row>
        <row r="3222">
          <cell r="P3222" t="str">
            <v>086163018</v>
          </cell>
          <cell r="Q3222" t="str">
            <v>Renewal (15% in 2020)</v>
          </cell>
        </row>
        <row r="3223">
          <cell r="P3223" t="str">
            <v>058020407</v>
          </cell>
          <cell r="Q3223" t="str">
            <v>Renewal (15% in 2020)</v>
          </cell>
        </row>
        <row r="3224">
          <cell r="P3224" t="str">
            <v>079159346</v>
          </cell>
          <cell r="Q3224" t="str">
            <v>Renewal (20% in 2020)</v>
          </cell>
        </row>
        <row r="3225">
          <cell r="P3225" t="str">
            <v>016165841</v>
          </cell>
          <cell r="Q3225" t="str">
            <v>Renewal (25% in 2020)</v>
          </cell>
        </row>
        <row r="3226">
          <cell r="P3226" t="str">
            <v>086164329</v>
          </cell>
          <cell r="Q3226" t="str">
            <v>Renewal (20% in 2020)</v>
          </cell>
        </row>
        <row r="3227">
          <cell r="P3227" t="str">
            <v>076160593</v>
          </cell>
          <cell r="Q3227" t="str">
            <v>Renewal (25% in 2020)</v>
          </cell>
        </row>
        <row r="3228">
          <cell r="P3228" t="str">
            <v>079155650</v>
          </cell>
          <cell r="Q3228" t="str">
            <v>Renewal (20% in 2020)</v>
          </cell>
        </row>
        <row r="3229">
          <cell r="P3229" t="str">
            <v>086157031</v>
          </cell>
          <cell r="Q3229" t="str">
            <v>Renewal (15% in 2020)</v>
          </cell>
        </row>
        <row r="3230">
          <cell r="P3230" t="str">
            <v>052006567</v>
          </cell>
          <cell r="Q3230" t="str">
            <v>Renewal (25% in 2020)</v>
          </cell>
        </row>
        <row r="3231">
          <cell r="P3231" t="str">
            <v>017161184</v>
          </cell>
          <cell r="Q3231" t="str">
            <v>Renewal (15% in 2020)</v>
          </cell>
        </row>
        <row r="3232">
          <cell r="P3232" t="str">
            <v>079160609</v>
          </cell>
          <cell r="Q3232" t="str">
            <v>Renewal (15% in 2020)</v>
          </cell>
        </row>
        <row r="3233">
          <cell r="P3233" t="str">
            <v>087022166</v>
          </cell>
          <cell r="Q3233" t="str">
            <v>Renewal (15% in 2020)</v>
          </cell>
        </row>
        <row r="3234">
          <cell r="P3234" t="str">
            <v>016156752</v>
          </cell>
          <cell r="Q3234" t="str">
            <v>Renewal (15% in 2020)</v>
          </cell>
        </row>
        <row r="3235">
          <cell r="P3235" t="str">
            <v>054001623</v>
          </cell>
          <cell r="Q3235" t="str">
            <v>Renewal (30% in 2020)</v>
          </cell>
        </row>
        <row r="3236">
          <cell r="P3236" t="str">
            <v>055014981</v>
          </cell>
          <cell r="Q3236" t="str">
            <v>New Contract</v>
          </cell>
        </row>
        <row r="3237">
          <cell r="P3237" t="str">
            <v>017162131</v>
          </cell>
          <cell r="Q3237" t="str">
            <v>Renewal (20% in 2020)</v>
          </cell>
        </row>
        <row r="3238">
          <cell r="P3238" t="str">
            <v>016164075</v>
          </cell>
          <cell r="Q3238" t="str">
            <v>Renewal (30% in 2020)</v>
          </cell>
        </row>
        <row r="3239">
          <cell r="P3239" t="str">
            <v>086014631</v>
          </cell>
          <cell r="Q3239" t="str">
            <v>Renewal (15% in 2020)</v>
          </cell>
        </row>
        <row r="3240">
          <cell r="P3240" t="str">
            <v>052001735</v>
          </cell>
          <cell r="Q3240" t="str">
            <v>New Contract</v>
          </cell>
        </row>
        <row r="3241">
          <cell r="P3241" t="str">
            <v>021155211</v>
          </cell>
          <cell r="Q3241" t="str">
            <v>New Contract</v>
          </cell>
        </row>
        <row r="3242">
          <cell r="P3242" t="str">
            <v>032160282</v>
          </cell>
          <cell r="Q3242" t="str">
            <v>Renewal (20% in 2020)</v>
          </cell>
        </row>
        <row r="3243">
          <cell r="P3243" t="str">
            <v>021009338</v>
          </cell>
          <cell r="Q3243" t="str">
            <v>New Contract</v>
          </cell>
        </row>
        <row r="3244">
          <cell r="P3244" t="str">
            <v>037162257</v>
          </cell>
          <cell r="Q3244" t="str">
            <v>New contract</v>
          </cell>
        </row>
        <row r="3245">
          <cell r="P3245" t="str">
            <v>079161001</v>
          </cell>
          <cell r="Q3245" t="str">
            <v>New Contract</v>
          </cell>
        </row>
        <row r="3246">
          <cell r="P3246" t="str">
            <v>079006795</v>
          </cell>
          <cell r="Q3246" t="str">
            <v>Renewal (30% in 2020)</v>
          </cell>
        </row>
        <row r="3247">
          <cell r="P3247" t="str">
            <v>021010652</v>
          </cell>
          <cell r="Q3247" t="str">
            <v>New contract</v>
          </cell>
        </row>
        <row r="3248">
          <cell r="P3248" t="str">
            <v>017165919</v>
          </cell>
          <cell r="Q3248" t="str">
            <v>Renewal (25% in 2020)</v>
          </cell>
        </row>
        <row r="3249">
          <cell r="P3249" t="str">
            <v>077002297</v>
          </cell>
          <cell r="Q3249" t="str">
            <v>New Contract</v>
          </cell>
        </row>
        <row r="3250">
          <cell r="P3250" t="str">
            <v>017166660</v>
          </cell>
          <cell r="Q3250" t="str">
            <v>Renewal (15% in 2020)</v>
          </cell>
        </row>
        <row r="3251">
          <cell r="P3251" t="str">
            <v>086861609</v>
          </cell>
          <cell r="Q3251" t="str">
            <v>New Contract</v>
          </cell>
        </row>
        <row r="3252">
          <cell r="P3252" t="str">
            <v>016003867</v>
          </cell>
          <cell r="Q3252" t="str">
            <v>Renewal (20% in 2020)</v>
          </cell>
        </row>
        <row r="3253">
          <cell r="P3253" t="str">
            <v>017012529</v>
          </cell>
          <cell r="Q3253" t="str">
            <v>Renewal (20% in 2020)</v>
          </cell>
        </row>
        <row r="3254">
          <cell r="P3254" t="str">
            <v>058007983</v>
          </cell>
          <cell r="Q3254" t="str">
            <v>Renewal (20% in 2020)</v>
          </cell>
        </row>
        <row r="3255">
          <cell r="P3255" t="str">
            <v>079158679</v>
          </cell>
          <cell r="Q3255" t="str">
            <v>Renewal (20% in 2020)</v>
          </cell>
        </row>
        <row r="3256">
          <cell r="P3256" t="str">
            <v>079155897</v>
          </cell>
          <cell r="Q3256" t="str">
            <v>Renewal (15% in 2020)</v>
          </cell>
        </row>
        <row r="3257">
          <cell r="P3257" t="str">
            <v>079003762</v>
          </cell>
          <cell r="Q3257" t="str">
            <v>Renewal (15% in 2020)</v>
          </cell>
        </row>
        <row r="3258">
          <cell r="P3258" t="str">
            <v>079016243</v>
          </cell>
          <cell r="Q3258" t="str">
            <v>Renewal (20% in 2020)</v>
          </cell>
        </row>
        <row r="3259">
          <cell r="P3259" t="str">
            <v>016014713</v>
          </cell>
          <cell r="Q3259" t="str">
            <v>Renewal (25% in 2020)</v>
          </cell>
        </row>
        <row r="3260">
          <cell r="P3260" t="str">
            <v>086157300</v>
          </cell>
          <cell r="Q3260" t="str">
            <v>Renewal (15% in 2020)</v>
          </cell>
        </row>
        <row r="3261">
          <cell r="P3261" t="str">
            <v>021161272</v>
          </cell>
          <cell r="Q3261" t="str">
            <v>New Contract</v>
          </cell>
        </row>
        <row r="3262">
          <cell r="P3262" t="str">
            <v>017166287</v>
          </cell>
          <cell r="Q3262" t="str">
            <v>Renewal (20% in 2020)</v>
          </cell>
        </row>
        <row r="3263">
          <cell r="P3263" t="str">
            <v>079153553</v>
          </cell>
          <cell r="Q3263" t="str">
            <v>New Contract</v>
          </cell>
        </row>
        <row r="3264">
          <cell r="P3264" t="str">
            <v>079009983</v>
          </cell>
          <cell r="Q3264" t="str">
            <v>New Contract</v>
          </cell>
        </row>
        <row r="3265">
          <cell r="P3265" t="str">
            <v>079155226</v>
          </cell>
          <cell r="Q3265" t="str">
            <v>Renewal (15% in 2020)</v>
          </cell>
        </row>
        <row r="3266">
          <cell r="P3266" t="str">
            <v>086163909</v>
          </cell>
          <cell r="Q3266" t="str">
            <v>Renewal (15% in 2020)</v>
          </cell>
        </row>
        <row r="3267">
          <cell r="P3267" t="str">
            <v>016156280</v>
          </cell>
          <cell r="Q3267" t="str">
            <v>Renewal (15% in 2020)</v>
          </cell>
        </row>
        <row r="3268">
          <cell r="P3268" t="str">
            <v>076164367</v>
          </cell>
          <cell r="Q3268" t="str">
            <v>Renewal (20% in 2020)</v>
          </cell>
        </row>
        <row r="3269">
          <cell r="P3269" t="str">
            <v>052012030</v>
          </cell>
          <cell r="Q3269" t="str">
            <v>Renewal (20% in 2020)</v>
          </cell>
        </row>
        <row r="3270">
          <cell r="P3270" t="str">
            <v>024016472</v>
          </cell>
          <cell r="Q3270" t="str">
            <v>Renewal (15% in 2020)</v>
          </cell>
        </row>
        <row r="3271">
          <cell r="P3271" t="str">
            <v>079010868</v>
          </cell>
          <cell r="Q3271" t="str">
            <v>Renewal (30% in 2020)</v>
          </cell>
        </row>
        <row r="3272">
          <cell r="P3272" t="str">
            <v>027001432</v>
          </cell>
          <cell r="Q3272" t="str">
            <v>Renewal (15% in 2020)</v>
          </cell>
        </row>
        <row r="3273">
          <cell r="P3273" t="str">
            <v>055014209</v>
          </cell>
          <cell r="Q3273" t="str">
            <v>Renewal (20% in 2020)</v>
          </cell>
        </row>
        <row r="3274">
          <cell r="P3274" t="str">
            <v>021158821</v>
          </cell>
          <cell r="Q3274" t="str">
            <v>New Contract</v>
          </cell>
        </row>
        <row r="3275">
          <cell r="P3275" t="str">
            <v>055001751</v>
          </cell>
          <cell r="Q3275" t="str">
            <v>Renewal (20% in 2020)</v>
          </cell>
        </row>
        <row r="3276">
          <cell r="P3276" t="str">
            <v>052011822</v>
          </cell>
          <cell r="Q3276" t="str">
            <v>Renewal (20% in 2020)</v>
          </cell>
        </row>
        <row r="3277">
          <cell r="P3277" t="str">
            <v>079157265</v>
          </cell>
          <cell r="Q3277" t="str">
            <v>Renewal (25% in 2020)</v>
          </cell>
        </row>
        <row r="3278">
          <cell r="P3278" t="str">
            <v>021004588</v>
          </cell>
          <cell r="Q3278" t="str">
            <v>New Contract</v>
          </cell>
        </row>
        <row r="3279">
          <cell r="P3279" t="str">
            <v>016165184</v>
          </cell>
          <cell r="Q3279" t="str">
            <v>Renewal (20% in 2020)</v>
          </cell>
        </row>
        <row r="3280">
          <cell r="P3280" t="str">
            <v>032018547</v>
          </cell>
          <cell r="Q3280" t="str">
            <v>Renewal (15% in 2020)</v>
          </cell>
        </row>
        <row r="3281">
          <cell r="P3281" t="str">
            <v>079159324</v>
          </cell>
          <cell r="Q3281" t="str">
            <v>Renewal (25% in 2020)</v>
          </cell>
        </row>
        <row r="3282">
          <cell r="P3282" t="str">
            <v>021159558</v>
          </cell>
          <cell r="Q3282" t="str">
            <v>New contract</v>
          </cell>
        </row>
        <row r="3283">
          <cell r="P3283" t="str">
            <v>086164562</v>
          </cell>
          <cell r="Q3283" t="str">
            <v>Renewal (30% in 2020)</v>
          </cell>
        </row>
        <row r="3284">
          <cell r="P3284" t="str">
            <v>086162764</v>
          </cell>
          <cell r="Q3284" t="str">
            <v>Renewal (20% in 2020)</v>
          </cell>
        </row>
        <row r="3285">
          <cell r="P3285" t="str">
            <v>089163802</v>
          </cell>
          <cell r="Q3285" t="str">
            <v>New contract</v>
          </cell>
        </row>
        <row r="3286">
          <cell r="P3286" t="str">
            <v>016005748</v>
          </cell>
          <cell r="Q3286" t="str">
            <v>Renewal (30% in 2020)</v>
          </cell>
        </row>
        <row r="3287">
          <cell r="P3287" t="str">
            <v>036158824</v>
          </cell>
          <cell r="Q3287" t="str">
            <v>Renewal (20% in 2020)</v>
          </cell>
        </row>
        <row r="3288">
          <cell r="P3288" t="str">
            <v>036161341</v>
          </cell>
          <cell r="Q3288" t="str">
            <v>Renewal (25% in 2020)</v>
          </cell>
        </row>
        <row r="3289">
          <cell r="P3289" t="str">
            <v>086164747</v>
          </cell>
          <cell r="Q3289" t="str">
            <v>Renewal (15% in 2020)</v>
          </cell>
        </row>
        <row r="3290">
          <cell r="P3290" t="str">
            <v>079011702</v>
          </cell>
          <cell r="Q3290" t="str">
            <v>Renewal (25% in 2020)</v>
          </cell>
        </row>
        <row r="3291">
          <cell r="P3291" t="str">
            <v>021158193</v>
          </cell>
          <cell r="Q3291" t="str">
            <v>New Contract</v>
          </cell>
        </row>
        <row r="3292">
          <cell r="P3292" t="str">
            <v>060005043</v>
          </cell>
          <cell r="Q3292" t="str">
            <v>Renewal (20% in 2020)</v>
          </cell>
        </row>
        <row r="3293">
          <cell r="P3293" t="str">
            <v>079152504</v>
          </cell>
          <cell r="Q3293" t="str">
            <v>Renewal (15% in 2020)</v>
          </cell>
        </row>
        <row r="3294">
          <cell r="P3294" t="str">
            <v>055008404</v>
          </cell>
          <cell r="Q3294" t="str">
            <v>New Contract</v>
          </cell>
        </row>
        <row r="3295">
          <cell r="P3295" t="str">
            <v>021010420</v>
          </cell>
          <cell r="Q3295" t="str">
            <v>New Contract</v>
          </cell>
        </row>
        <row r="3296">
          <cell r="P3296" t="str">
            <v>021007346</v>
          </cell>
          <cell r="Q3296" t="str">
            <v>New Contract</v>
          </cell>
        </row>
        <row r="3297">
          <cell r="P3297" t="str">
            <v>079160254</v>
          </cell>
          <cell r="Q3297" t="str">
            <v>Renewal (30% in 2020)</v>
          </cell>
        </row>
        <row r="3298">
          <cell r="P3298" t="str">
            <v>016165607</v>
          </cell>
          <cell r="Q3298" t="str">
            <v>New Contract</v>
          </cell>
        </row>
        <row r="3299">
          <cell r="P3299" t="str">
            <v>079156259</v>
          </cell>
          <cell r="Q3299" t="str">
            <v>Renewal (30% in 2020)</v>
          </cell>
        </row>
        <row r="3300">
          <cell r="P3300" t="str">
            <v>017166281</v>
          </cell>
          <cell r="Q3300" t="str">
            <v>Renewal (30% in 2020)</v>
          </cell>
        </row>
        <row r="3301">
          <cell r="P3301" t="str">
            <v>017161949</v>
          </cell>
          <cell r="Q3301" t="str">
            <v>Renewal (25% in 2020)</v>
          </cell>
        </row>
        <row r="3302">
          <cell r="P3302" t="str">
            <v>016003683</v>
          </cell>
          <cell r="Q3302" t="str">
            <v>Renewal (15% in 2020)</v>
          </cell>
        </row>
        <row r="3303">
          <cell r="P3303" t="str">
            <v>086007886</v>
          </cell>
          <cell r="Q3303" t="str">
            <v>Renewal (30% in 2020)</v>
          </cell>
        </row>
        <row r="3304">
          <cell r="P3304" t="str">
            <v>052012754</v>
          </cell>
          <cell r="Q3304" t="str">
            <v>New Contract</v>
          </cell>
        </row>
        <row r="3305">
          <cell r="P3305" t="str">
            <v>079159678</v>
          </cell>
          <cell r="Q3305" t="str">
            <v>Renewal (30% in 2020)</v>
          </cell>
        </row>
        <row r="3306">
          <cell r="P3306" t="str">
            <v>079159180</v>
          </cell>
          <cell r="Q3306" t="str">
            <v>Renewal (20% in 2020)</v>
          </cell>
        </row>
        <row r="3307">
          <cell r="P3307" t="str">
            <v>089011252</v>
          </cell>
          <cell r="Q3307" t="str">
            <v>Renewal (25% in 2020)</v>
          </cell>
        </row>
        <row r="3308">
          <cell r="P3308" t="str">
            <v>017006833</v>
          </cell>
          <cell r="Q3308" t="str">
            <v>Renewal (30% in 2020)</v>
          </cell>
        </row>
        <row r="3309">
          <cell r="P3309" t="str">
            <v>079014666</v>
          </cell>
          <cell r="Q3309" t="str">
            <v>Renewal (15% in 2020)</v>
          </cell>
        </row>
        <row r="3310">
          <cell r="P3310" t="str">
            <v>052004575</v>
          </cell>
          <cell r="Q3310" t="str">
            <v>Renewal (20% in 2020)</v>
          </cell>
        </row>
        <row r="3311">
          <cell r="P3311" t="str">
            <v>017006057</v>
          </cell>
          <cell r="Q3311" t="str">
            <v>Renewal (20% in 2020)</v>
          </cell>
        </row>
        <row r="3312">
          <cell r="P3312" t="str">
            <v>055015825</v>
          </cell>
          <cell r="Q3312" t="str">
            <v>Renewal (15% in 2020)</v>
          </cell>
        </row>
        <row r="3313">
          <cell r="P3313" t="str">
            <v>021155404</v>
          </cell>
          <cell r="Q3313" t="str">
            <v>New Contract</v>
          </cell>
        </row>
        <row r="3314">
          <cell r="P3314" t="str">
            <v>079013544</v>
          </cell>
          <cell r="Q3314" t="str">
            <v>Renewal (20% in 2020)</v>
          </cell>
        </row>
        <row r="3315">
          <cell r="P3315" t="str">
            <v>027161911</v>
          </cell>
          <cell r="Q3315" t="str">
            <v>Renewal (15% in 2020)</v>
          </cell>
        </row>
        <row r="3316">
          <cell r="P3316" t="str">
            <v>079151335</v>
          </cell>
          <cell r="Q3316" t="str">
            <v>Renewal (20% in 2020)</v>
          </cell>
        </row>
        <row r="3317">
          <cell r="P3317" t="str">
            <v>079159030</v>
          </cell>
          <cell r="Q3317" t="str">
            <v>New contract</v>
          </cell>
        </row>
        <row r="3318">
          <cell r="P3318" t="str">
            <v>079003262</v>
          </cell>
          <cell r="Q3318" t="str">
            <v>New contract</v>
          </cell>
        </row>
        <row r="3319">
          <cell r="P3319" t="str">
            <v>086162301</v>
          </cell>
          <cell r="Q3319" t="str">
            <v>Renewal (15% in 2020)</v>
          </cell>
        </row>
        <row r="3320">
          <cell r="P3320" t="str">
            <v>079014164</v>
          </cell>
          <cell r="Q3320" t="str">
            <v>Renewal (15% in 2020)</v>
          </cell>
        </row>
        <row r="3321">
          <cell r="P3321" t="str">
            <v>031018298</v>
          </cell>
          <cell r="Q3321" t="str">
            <v>New contract</v>
          </cell>
        </row>
        <row r="3322">
          <cell r="P3322" t="str">
            <v>047159463</v>
          </cell>
          <cell r="Q3322" t="str">
            <v>Renewal (25% in 2020)</v>
          </cell>
        </row>
        <row r="3323">
          <cell r="P3323" t="str">
            <v>079161478</v>
          </cell>
          <cell r="Q3323" t="str">
            <v>New contract</v>
          </cell>
        </row>
        <row r="3324">
          <cell r="P3324" t="str">
            <v>017115663</v>
          </cell>
          <cell r="Q3324" t="str">
            <v>New contract</v>
          </cell>
        </row>
        <row r="3325">
          <cell r="P3325" t="str">
            <v>017013449</v>
          </cell>
          <cell r="Q3325" t="str">
            <v>Renewal (25% in 2020)</v>
          </cell>
        </row>
        <row r="3326">
          <cell r="P3326" t="str">
            <v>079014666</v>
          </cell>
          <cell r="Q3326" t="str">
            <v>Renewal (15% in 2020)</v>
          </cell>
        </row>
        <row r="3327">
          <cell r="P3327" t="str">
            <v>016156373</v>
          </cell>
          <cell r="Q3327" t="str">
            <v>Renewal (25% in 2020)</v>
          </cell>
        </row>
        <row r="3328">
          <cell r="P3328" t="str">
            <v>016165841</v>
          </cell>
          <cell r="Q3328" t="str">
            <v>Renewal (25% in 2020)</v>
          </cell>
        </row>
        <row r="3329">
          <cell r="P3329" t="str">
            <v>021009338</v>
          </cell>
          <cell r="Q3329" t="str">
            <v>New Contract</v>
          </cell>
        </row>
        <row r="3330">
          <cell r="P3330" t="str">
            <v>017008166</v>
          </cell>
          <cell r="Q3330" t="str">
            <v>New contract</v>
          </cell>
        </row>
        <row r="3331">
          <cell r="P3331" t="str">
            <v>016164016</v>
          </cell>
          <cell r="Q3331" t="str">
            <v>Renewal (15% in 2020)</v>
          </cell>
        </row>
        <row r="3332">
          <cell r="P3332" t="str">
            <v>082021199</v>
          </cell>
          <cell r="Q3332" t="str">
            <v>New Contract</v>
          </cell>
        </row>
        <row r="3333">
          <cell r="P3333" t="str">
            <v>031155536</v>
          </cell>
          <cell r="Q3333" t="str">
            <v>Renewal (25% in 2020)</v>
          </cell>
        </row>
        <row r="3334">
          <cell r="P3334" t="str">
            <v>079157626</v>
          </cell>
          <cell r="Q3334" t="str">
            <v>Renewal (20% in 2020)</v>
          </cell>
        </row>
        <row r="3335">
          <cell r="P3335" t="str">
            <v>079013544</v>
          </cell>
          <cell r="Q3335" t="str">
            <v>Renewal (20% in 2020)</v>
          </cell>
        </row>
        <row r="3336">
          <cell r="P3336" t="str">
            <v>032162742</v>
          </cell>
          <cell r="Q3336" t="str">
            <v>Renewal (15% in 2020)</v>
          </cell>
        </row>
        <row r="3337">
          <cell r="P3337" t="str">
            <v>079151335</v>
          </cell>
          <cell r="Q3337" t="str">
            <v>Renewal (20% in 2020)</v>
          </cell>
        </row>
        <row r="3338">
          <cell r="P3338" t="str">
            <v>032000000</v>
          </cell>
          <cell r="Q3338" t="str">
            <v>New Contract</v>
          </cell>
        </row>
        <row r="3339">
          <cell r="P3339" t="str">
            <v>016162366</v>
          </cell>
          <cell r="Q3339" t="str">
            <v>New contract</v>
          </cell>
        </row>
        <row r="3340">
          <cell r="P3340" t="str">
            <v>032019210</v>
          </cell>
          <cell r="Q3340" t="str">
            <v>New contract</v>
          </cell>
        </row>
        <row r="3341">
          <cell r="P3341" t="str">
            <v>014030251</v>
          </cell>
          <cell r="Q3341" t="str">
            <v>Renewal (20% in 2020)</v>
          </cell>
        </row>
        <row r="3342">
          <cell r="P3342" t="str">
            <v>076160945</v>
          </cell>
          <cell r="Q3342" t="str">
            <v>Renewal (20% in 2020)</v>
          </cell>
        </row>
        <row r="3343">
          <cell r="P3343" t="str">
            <v>027001100</v>
          </cell>
          <cell r="Q3343" t="str">
            <v>Renewal (20% in 2020)</v>
          </cell>
        </row>
        <row r="3344">
          <cell r="P3344" t="str">
            <v>055010982</v>
          </cell>
          <cell r="Q3344" t="str">
            <v>Renewal (15% in 2020)</v>
          </cell>
        </row>
        <row r="3345">
          <cell r="P3345" t="str">
            <v>027158907</v>
          </cell>
          <cell r="Q3345" t="str">
            <v>Renewal (20% in 2020)</v>
          </cell>
        </row>
        <row r="3346">
          <cell r="P3346" t="str">
            <v>021156021</v>
          </cell>
          <cell r="Q3346" t="str">
            <v>New Contract</v>
          </cell>
        </row>
        <row r="3347">
          <cell r="P3347" t="str">
            <v>080151057</v>
          </cell>
          <cell r="Q3347" t="str">
            <v>Renewal (25% in 2020)</v>
          </cell>
        </row>
        <row r="3348">
          <cell r="P3348" t="str">
            <v>076164367</v>
          </cell>
          <cell r="Q3348" t="str">
            <v>Renewal (20% in 2020)</v>
          </cell>
        </row>
        <row r="3349">
          <cell r="P3349" t="str">
            <v>027001100</v>
          </cell>
          <cell r="Q3349" t="str">
            <v>Renewal (20% in 2020)</v>
          </cell>
        </row>
        <row r="3350">
          <cell r="P3350" t="str">
            <v>027158907</v>
          </cell>
          <cell r="Q3350" t="str">
            <v>Renewal (20% in 2020)</v>
          </cell>
        </row>
        <row r="3351">
          <cell r="P3351" t="str">
            <v>028154765</v>
          </cell>
          <cell r="Q3351" t="str">
            <v>Renewal (25% in 2020)</v>
          </cell>
        </row>
        <row r="3352">
          <cell r="P3352" t="str">
            <v>049171082</v>
          </cell>
          <cell r="Q3352" t="str">
            <v>Renewal (20% in 2020)</v>
          </cell>
        </row>
        <row r="3353">
          <cell r="P3353" t="str">
            <v>021156878</v>
          </cell>
          <cell r="Q3353" t="str">
            <v>New Contract</v>
          </cell>
        </row>
        <row r="3354">
          <cell r="P3354" t="str">
            <v>036155530</v>
          </cell>
          <cell r="Q3354" t="str">
            <v>Renewal (20% in 2020)</v>
          </cell>
        </row>
        <row r="3355">
          <cell r="P3355" t="str">
            <v>086014679</v>
          </cell>
          <cell r="Q3355" t="str">
            <v>Renewal (25% in 2020)</v>
          </cell>
        </row>
        <row r="3356">
          <cell r="P3356" t="str">
            <v>086014679</v>
          </cell>
          <cell r="Q3356" t="str">
            <v>Renewal (25% in 2020)</v>
          </cell>
        </row>
        <row r="3357">
          <cell r="P3357" t="str">
            <v>024024373</v>
          </cell>
          <cell r="Q3357" t="str">
            <v>Renewal (15% in 2020)</v>
          </cell>
        </row>
        <row r="3358">
          <cell r="P3358" t="str">
            <v>024037651</v>
          </cell>
          <cell r="Q3358" t="str">
            <v>Renewal (15% in 2020)</v>
          </cell>
        </row>
        <row r="3359">
          <cell r="P3359" t="str">
            <v>087007159</v>
          </cell>
          <cell r="Q3359" t="str">
            <v>Renewal (25% in 2020)</v>
          </cell>
        </row>
        <row r="3360">
          <cell r="P3360" t="str">
            <v>024035669</v>
          </cell>
          <cell r="Q3360" t="str">
            <v>Renewal (15% in 2020)</v>
          </cell>
        </row>
        <row r="3361">
          <cell r="P3361" t="str">
            <v>016166377</v>
          </cell>
          <cell r="Q3361" t="str">
            <v>Renewal (20% in 2020)</v>
          </cell>
        </row>
        <row r="3362">
          <cell r="P3362" t="str">
            <v>058021210</v>
          </cell>
          <cell r="Q3362" t="str">
            <v>Renewal (25% in 2020)</v>
          </cell>
        </row>
        <row r="3363">
          <cell r="P3363" t="str">
            <v>021009338</v>
          </cell>
          <cell r="Q3363" t="str">
            <v>New Contract</v>
          </cell>
        </row>
        <row r="3364">
          <cell r="P3364" t="str">
            <v>016162159</v>
          </cell>
          <cell r="Q3364" t="str">
            <v>Renewal (15% in 2020)</v>
          </cell>
        </row>
        <row r="3365">
          <cell r="P3365" t="str">
            <v>037003510</v>
          </cell>
          <cell r="Q3365" t="str">
            <v>New Contract</v>
          </cell>
        </row>
        <row r="3366">
          <cell r="P3366" t="str">
            <v>031159489</v>
          </cell>
          <cell r="Q3366" t="str">
            <v>Renewal (15% in 2020)</v>
          </cell>
        </row>
        <row r="3367">
          <cell r="P3367" t="str">
            <v>032018870</v>
          </cell>
          <cell r="Q3367" t="str">
            <v>Renewal (15% in 2020)</v>
          </cell>
        </row>
        <row r="3368">
          <cell r="P3368" t="str">
            <v>054013957</v>
          </cell>
          <cell r="Q3368" t="str">
            <v>Renewal (25% in 2020)</v>
          </cell>
        </row>
        <row r="3369">
          <cell r="P3369" t="str">
            <v>064171807</v>
          </cell>
          <cell r="Q3369" t="str">
            <v>Renewal (20% in 2020)</v>
          </cell>
        </row>
        <row r="3370">
          <cell r="P3370" t="str">
            <v>064171807</v>
          </cell>
          <cell r="Q3370" t="str">
            <v>Renewal (20% in 2020)</v>
          </cell>
        </row>
        <row r="3371">
          <cell r="P3371" t="str">
            <v>055001407</v>
          </cell>
          <cell r="Q3371" t="str">
            <v>Renewal (15% in 2020)</v>
          </cell>
        </row>
        <row r="3372">
          <cell r="P3372" t="str">
            <v>021010420</v>
          </cell>
          <cell r="Q3372" t="str">
            <v>New Contract</v>
          </cell>
        </row>
        <row r="3373">
          <cell r="P3373" t="str">
            <v>017168425</v>
          </cell>
          <cell r="Q3373" t="str">
            <v>Renewal (20% in 2020)</v>
          </cell>
        </row>
        <row r="3374">
          <cell r="P3374" t="str">
            <v>021160429</v>
          </cell>
          <cell r="Q3374" t="str">
            <v>New Contract</v>
          </cell>
        </row>
        <row r="3375">
          <cell r="P3375" t="str">
            <v>021159430</v>
          </cell>
          <cell r="Q3375" t="str">
            <v>New Contract</v>
          </cell>
        </row>
        <row r="3376">
          <cell r="P3376" t="str">
            <v>082021199</v>
          </cell>
          <cell r="Q3376" t="str">
            <v>New Contract</v>
          </cell>
        </row>
        <row r="3377">
          <cell r="P3377" t="str">
            <v>033011315</v>
          </cell>
          <cell r="Q3377" t="str">
            <v>Renewal (25% in 2020)</v>
          </cell>
        </row>
        <row r="3378">
          <cell r="P3378" t="str">
            <v>021156401</v>
          </cell>
          <cell r="Q3378" t="str">
            <v>New Contract</v>
          </cell>
        </row>
        <row r="3379">
          <cell r="P3379" t="str">
            <v>089089089</v>
          </cell>
          <cell r="Q3379" t="str">
            <v>New Contract</v>
          </cell>
        </row>
        <row r="3380">
          <cell r="P3380" t="str">
            <v>086163975</v>
          </cell>
          <cell r="Q3380" t="str">
            <v>Renewal (20% in 2020)</v>
          </cell>
        </row>
        <row r="3381">
          <cell r="P3381" t="str">
            <v>016162366</v>
          </cell>
          <cell r="Q3381" t="str">
            <v>New contract</v>
          </cell>
        </row>
        <row r="3382">
          <cell r="P3382" t="str">
            <v>086162301</v>
          </cell>
          <cell r="Q3382" t="str">
            <v>Renewal (15% in 2020)</v>
          </cell>
        </row>
        <row r="3383">
          <cell r="P3383" t="str">
            <v>021010772</v>
          </cell>
          <cell r="Q3383" t="str">
            <v>New Contract</v>
          </cell>
        </row>
        <row r="3384">
          <cell r="P3384" t="str">
            <v>036160782</v>
          </cell>
          <cell r="Q3384" t="str">
            <v>New Contract</v>
          </cell>
        </row>
        <row r="3385">
          <cell r="P3385" t="str">
            <v>021157491</v>
          </cell>
          <cell r="Q3385" t="str">
            <v>New Contract</v>
          </cell>
        </row>
        <row r="3386">
          <cell r="P3386" t="str">
            <v>064172327</v>
          </cell>
          <cell r="Q3386" t="str">
            <v>New Contract</v>
          </cell>
        </row>
        <row r="3387">
          <cell r="P3387" t="str">
            <v>087022530</v>
          </cell>
          <cell r="Q3387" t="str">
            <v>Renewal (20% in 2020)</v>
          </cell>
        </row>
        <row r="3388">
          <cell r="P3388" t="str">
            <v>064013290</v>
          </cell>
          <cell r="Q3388" t="str">
            <v>Renewal (25% in 2020)</v>
          </cell>
        </row>
        <row r="3389">
          <cell r="P3389" t="str">
            <v>055014158</v>
          </cell>
          <cell r="Q3389" t="str">
            <v>New Contract</v>
          </cell>
        </row>
        <row r="3390">
          <cell r="P3390" t="str">
            <v>021157603</v>
          </cell>
          <cell r="Q3390" t="str">
            <v>New Contract</v>
          </cell>
        </row>
        <row r="3391">
          <cell r="P3391" t="str">
            <v>039155530</v>
          </cell>
          <cell r="Q3391" t="str">
            <v>New Contract</v>
          </cell>
        </row>
        <row r="3392">
          <cell r="P3392" t="str">
            <v>052011964</v>
          </cell>
          <cell r="Q3392" t="str">
            <v>Renewal (15% in 2020)</v>
          </cell>
        </row>
        <row r="3393">
          <cell r="P3393" t="str">
            <v>039156063</v>
          </cell>
          <cell r="Q3393" t="str">
            <v>Renewal (30% in 2020)</v>
          </cell>
        </row>
        <row r="3394">
          <cell r="P3394" t="str">
            <v>032019702</v>
          </cell>
          <cell r="Q3394" t="str">
            <v>Renewal (15% in 2020)</v>
          </cell>
        </row>
        <row r="3395">
          <cell r="P3395" t="str">
            <v>032019702</v>
          </cell>
          <cell r="Q3395" t="str">
            <v>Renewal (15% in 2020)</v>
          </cell>
        </row>
        <row r="3396">
          <cell r="P3396" t="str">
            <v>032000745</v>
          </cell>
          <cell r="Q3396" t="str">
            <v>Renewal (15% in 2020)</v>
          </cell>
        </row>
        <row r="3397">
          <cell r="P3397" t="str">
            <v>032169923</v>
          </cell>
          <cell r="Q3397" t="str">
            <v>Renewal (25% in 2020)</v>
          </cell>
        </row>
        <row r="3398">
          <cell r="P3398" t="str">
            <v>039154717</v>
          </cell>
          <cell r="Q3398" t="str">
            <v>Renewal (20% in 2020)</v>
          </cell>
        </row>
        <row r="3399">
          <cell r="P3399" t="str">
            <v>064164009</v>
          </cell>
          <cell r="Q3399" t="str">
            <v>Renewal (20% in 2020)</v>
          </cell>
        </row>
        <row r="3400">
          <cell r="P3400" t="str">
            <v>040173794</v>
          </cell>
          <cell r="Q3400" t="str">
            <v>Renewal (20% in 2020)</v>
          </cell>
        </row>
        <row r="3401">
          <cell r="P3401" t="str">
            <v>064177197</v>
          </cell>
          <cell r="Q3401" t="str">
            <v>Renewal (25% in 2020)</v>
          </cell>
        </row>
        <row r="3402">
          <cell r="P3402" t="str">
            <v>064174665</v>
          </cell>
          <cell r="Q3402" t="str">
            <v>Renewal (25% in 2020)</v>
          </cell>
        </row>
        <row r="3403">
          <cell r="P3403" t="str">
            <v>064013417</v>
          </cell>
          <cell r="Q3403" t="str">
            <v>Renewal (25% in 2020)</v>
          </cell>
        </row>
        <row r="3404">
          <cell r="P3404" t="str">
            <v>079156606</v>
          </cell>
          <cell r="Q3404" t="str">
            <v>Renewal (20% in 2020)</v>
          </cell>
        </row>
        <row r="3405">
          <cell r="P3405" t="str">
            <v>047160881</v>
          </cell>
          <cell r="Q3405" t="str">
            <v>Renewal (15% in 2020)</v>
          </cell>
        </row>
        <row r="3406">
          <cell r="P3406" t="str">
            <v>009008798</v>
          </cell>
          <cell r="Q3406" t="str">
            <v>Renewal (25% in 2020)</v>
          </cell>
        </row>
        <row r="3407">
          <cell r="P3407" t="str">
            <v>064163379</v>
          </cell>
          <cell r="Q3407" t="str">
            <v>Renewal (20% in 2020)</v>
          </cell>
        </row>
        <row r="3408">
          <cell r="P3408" t="str">
            <v>064164132</v>
          </cell>
          <cell r="Q3408" t="str">
            <v>Renewal (15% in 2020)</v>
          </cell>
        </row>
        <row r="3409">
          <cell r="P3409" t="str">
            <v>064167091</v>
          </cell>
          <cell r="Q3409" t="str">
            <v>Renewal (20% in 2020)</v>
          </cell>
        </row>
        <row r="3410">
          <cell r="P3410" t="str">
            <v>064168209</v>
          </cell>
          <cell r="Q3410" t="str">
            <v>Renewal (25% in 2020)</v>
          </cell>
        </row>
        <row r="3411">
          <cell r="P3411" t="str">
            <v>064007006</v>
          </cell>
          <cell r="Q3411" t="str">
            <v>Renewal (20% in 2020)</v>
          </cell>
        </row>
        <row r="3412">
          <cell r="P3412" t="str">
            <v>064169832</v>
          </cell>
          <cell r="Q3412" t="str">
            <v>Renewal (20% in 2020)</v>
          </cell>
        </row>
        <row r="3413">
          <cell r="P3413" t="str">
            <v>064021607</v>
          </cell>
          <cell r="Q3413" t="str">
            <v>Renewal (25% in 2020)</v>
          </cell>
        </row>
        <row r="3414">
          <cell r="P3414" t="str">
            <v>031155171</v>
          </cell>
          <cell r="Q3414" t="str">
            <v>Renewal (15% in 2020)</v>
          </cell>
        </row>
        <row r="3415">
          <cell r="P3415" t="str">
            <v>031153682</v>
          </cell>
          <cell r="Q3415" t="str">
            <v>Renewal (20% in 2020)</v>
          </cell>
        </row>
        <row r="3416">
          <cell r="P3416" t="str">
            <v>065156139</v>
          </cell>
          <cell r="Q3416" t="str">
            <v>Renewal (15% in 2020)</v>
          </cell>
        </row>
        <row r="3417">
          <cell r="P3417" t="str">
            <v>065156139</v>
          </cell>
          <cell r="Q3417" t="str">
            <v>Renewal (15% in 2020)</v>
          </cell>
        </row>
        <row r="3418">
          <cell r="P3418" t="str">
            <v>032167606</v>
          </cell>
          <cell r="Q3418" t="str">
            <v>Renewal (25% in 2020)</v>
          </cell>
        </row>
        <row r="3419">
          <cell r="P3419" t="str">
            <v>032169479</v>
          </cell>
          <cell r="Q3419" t="str">
            <v>Renewal (25% in 2020)</v>
          </cell>
        </row>
        <row r="3420">
          <cell r="P3420" t="str">
            <v>039152835</v>
          </cell>
          <cell r="Q3420" t="str">
            <v>Renewal (25% in 2020)</v>
          </cell>
        </row>
        <row r="3421">
          <cell r="P3421" t="str">
            <v>039154057</v>
          </cell>
          <cell r="Q3421" t="str">
            <v>Renewal (20% in 2020)</v>
          </cell>
        </row>
        <row r="3422">
          <cell r="P3422" t="str">
            <v>064022551</v>
          </cell>
          <cell r="Q3422" t="str">
            <v>Renewal (30% in 2020)</v>
          </cell>
        </row>
        <row r="3423">
          <cell r="P3423" t="str">
            <v>064164666</v>
          </cell>
          <cell r="Q3423" t="str">
            <v>Renewal (30% in 2020)</v>
          </cell>
        </row>
        <row r="3424">
          <cell r="P3424" t="str">
            <v>064009945</v>
          </cell>
          <cell r="Q3424" t="str">
            <v>Renewal (20% in 2020)</v>
          </cell>
        </row>
        <row r="3425">
          <cell r="P3425" t="str">
            <v>047019496</v>
          </cell>
          <cell r="Q3425" t="str">
            <v>Renewal (30% in 2020)</v>
          </cell>
        </row>
        <row r="3426">
          <cell r="P3426" t="str">
            <v>024037126</v>
          </cell>
          <cell r="Q3426" t="str">
            <v>Renewal (25% in 2020)</v>
          </cell>
        </row>
        <row r="3427">
          <cell r="P3427" t="str">
            <v>064176427</v>
          </cell>
          <cell r="Q3427" t="str">
            <v>Renewal (20% in 2020)</v>
          </cell>
        </row>
        <row r="3428">
          <cell r="P3428" t="str">
            <v>064172859</v>
          </cell>
          <cell r="Q3428" t="str">
            <v>Renewal (15% in 2020)</v>
          </cell>
        </row>
        <row r="3429">
          <cell r="P3429" t="str">
            <v>064176555</v>
          </cell>
          <cell r="Q3429" t="str">
            <v>Renewal (20% in 2020)</v>
          </cell>
        </row>
        <row r="3430">
          <cell r="P3430" t="str">
            <v>064168480</v>
          </cell>
          <cell r="Q3430" t="str">
            <v>Renewal (15% in 2020)</v>
          </cell>
        </row>
        <row r="3431">
          <cell r="P3431" t="str">
            <v>064166128</v>
          </cell>
          <cell r="Q3431" t="str">
            <v>Renewal (15% in 2020)</v>
          </cell>
        </row>
        <row r="3432">
          <cell r="P3432" t="str">
            <v>016002266</v>
          </cell>
          <cell r="Q3432" t="str">
            <v>Renewal (15% in 2020)</v>
          </cell>
        </row>
        <row r="3433">
          <cell r="P3433" t="str">
            <v>031158414</v>
          </cell>
          <cell r="Q3433" t="str">
            <v>Renewal (25% in 2020)</v>
          </cell>
        </row>
        <row r="3434">
          <cell r="P3434" t="str">
            <v>032162975</v>
          </cell>
          <cell r="Q3434" t="str">
            <v>Renewal (25% in 2020)</v>
          </cell>
        </row>
        <row r="3435">
          <cell r="P3435" t="str">
            <v>032168632</v>
          </cell>
          <cell r="Q3435" t="str">
            <v>Renewal (20% in 2020)</v>
          </cell>
        </row>
        <row r="3436">
          <cell r="P3436" t="str">
            <v>009007352</v>
          </cell>
          <cell r="Q3436" t="str">
            <v>Renewal (20% in 2020)</v>
          </cell>
        </row>
        <row r="3437">
          <cell r="P3437" t="str">
            <v>064010750</v>
          </cell>
          <cell r="Q3437" t="str">
            <v>Renewal (25% in 2020)</v>
          </cell>
        </row>
        <row r="3438">
          <cell r="P3438" t="str">
            <v>079156685</v>
          </cell>
          <cell r="Q3438" t="str">
            <v>Renewal (20% in 2020)</v>
          </cell>
        </row>
        <row r="3439">
          <cell r="P3439" t="str">
            <v>031159008</v>
          </cell>
          <cell r="Q3439" t="str">
            <v>Renewal (25% in 2020)</v>
          </cell>
        </row>
        <row r="3440">
          <cell r="P3440" t="str">
            <v>064019189</v>
          </cell>
          <cell r="Q3440" t="str">
            <v>Renewal (25% in 2020)</v>
          </cell>
        </row>
        <row r="3441">
          <cell r="P3441" t="str">
            <v>040172130</v>
          </cell>
          <cell r="Q3441" t="str">
            <v>Renewal (30% in 2020)</v>
          </cell>
        </row>
        <row r="3442">
          <cell r="P3442" t="str">
            <v>064168214</v>
          </cell>
          <cell r="Q3442" t="str">
            <v>Renewal (15% in 2020)</v>
          </cell>
        </row>
        <row r="3443">
          <cell r="P3443" t="str">
            <v>064177638</v>
          </cell>
          <cell r="Q3443" t="str">
            <v>Renewal (15% in 2020)</v>
          </cell>
        </row>
        <row r="3444">
          <cell r="P3444" t="str">
            <v>017008328</v>
          </cell>
          <cell r="Q3444" t="str">
            <v>Renewal (20% in 2020)</v>
          </cell>
        </row>
        <row r="3445">
          <cell r="P3445" t="str">
            <v>047172431</v>
          </cell>
          <cell r="Q3445" t="str">
            <v>Renewal (15% in 2020)</v>
          </cell>
        </row>
        <row r="3446">
          <cell r="P3446" t="str">
            <v>024035513</v>
          </cell>
          <cell r="Q3446" t="str">
            <v>Renewal (25% in 2020)</v>
          </cell>
        </row>
        <row r="3447">
          <cell r="P3447" t="str">
            <v>031158453</v>
          </cell>
          <cell r="Q3447" t="str">
            <v>Renewal (15% in 2020)</v>
          </cell>
        </row>
        <row r="3448">
          <cell r="P3448" t="str">
            <v>031158234</v>
          </cell>
          <cell r="Q3448" t="str">
            <v>Renewal (20% in 2020)</v>
          </cell>
        </row>
        <row r="3449">
          <cell r="P3449" t="str">
            <v>032165830</v>
          </cell>
          <cell r="Q3449" t="str">
            <v>Renewal (30% in 2020)</v>
          </cell>
        </row>
        <row r="3450">
          <cell r="P3450" t="str">
            <v>064007686</v>
          </cell>
          <cell r="Q3450" t="str">
            <v>Renewal (25% in 2020)</v>
          </cell>
        </row>
        <row r="3451">
          <cell r="P3451" t="str">
            <v>064009158</v>
          </cell>
          <cell r="Q3451" t="str">
            <v>Renewal (25% in 2020)</v>
          </cell>
        </row>
        <row r="3452">
          <cell r="P3452" t="str">
            <v>032169977</v>
          </cell>
          <cell r="Q3452" t="str">
            <v>Renewal (15% in 2020)</v>
          </cell>
        </row>
        <row r="3453">
          <cell r="P3453" t="str">
            <v>031158890</v>
          </cell>
          <cell r="Q3453" t="str">
            <v>Renewal (20% in 2020)</v>
          </cell>
        </row>
        <row r="3454">
          <cell r="P3454" t="str">
            <v>032020997</v>
          </cell>
          <cell r="Q3454" t="str">
            <v>Renewal (15% in 2020)</v>
          </cell>
        </row>
        <row r="3455">
          <cell r="P3455" t="str">
            <v>032167545</v>
          </cell>
          <cell r="Q3455" t="str">
            <v>Renewal (25% in 2020)</v>
          </cell>
        </row>
        <row r="3456">
          <cell r="P3456" t="str">
            <v>064172467</v>
          </cell>
          <cell r="Q3456" t="str">
            <v>Renewal (15% in 2020)</v>
          </cell>
        </row>
        <row r="3457">
          <cell r="P3457" t="str">
            <v>071011279</v>
          </cell>
          <cell r="Q3457" t="str">
            <v>Renewal (20% in 2020)</v>
          </cell>
        </row>
        <row r="3458">
          <cell r="P3458" t="str">
            <v>064168320</v>
          </cell>
          <cell r="Q3458" t="str">
            <v>Renewal (15% in 2020)</v>
          </cell>
        </row>
        <row r="3459">
          <cell r="P3459" t="str">
            <v>039155931</v>
          </cell>
          <cell r="Q3459" t="str">
            <v>Renewal (25% in 2020)</v>
          </cell>
        </row>
        <row r="3460">
          <cell r="P3460" t="str">
            <v>039155931</v>
          </cell>
          <cell r="Q3460" t="str">
            <v>Renewal (25% in 2020)</v>
          </cell>
        </row>
        <row r="3461">
          <cell r="P3461" t="str">
            <v>086164225</v>
          </cell>
          <cell r="Q3461" t="str">
            <v>Renewal (15% in 2020)</v>
          </cell>
        </row>
        <row r="3462">
          <cell r="P3462" t="str">
            <v>031155999</v>
          </cell>
          <cell r="Q3462" t="str">
            <v>Renewal (15% in 2020)</v>
          </cell>
        </row>
        <row r="3463">
          <cell r="P3463" t="str">
            <v>064021333</v>
          </cell>
          <cell r="Q3463" t="str">
            <v>New contract</v>
          </cell>
        </row>
        <row r="3464">
          <cell r="P3464" t="str">
            <v>039004348</v>
          </cell>
          <cell r="Q3464" t="str">
            <v>New contract</v>
          </cell>
        </row>
        <row r="3465">
          <cell r="P3465" t="str">
            <v>032160282</v>
          </cell>
          <cell r="Q3465" t="str">
            <v>Renewal (20% in 2020)</v>
          </cell>
        </row>
        <row r="3466">
          <cell r="P3466" t="str">
            <v>021009338</v>
          </cell>
          <cell r="Q3466" t="str">
            <v>New Contract</v>
          </cell>
        </row>
        <row r="3467">
          <cell r="P3467" t="str">
            <v>021154121</v>
          </cell>
          <cell r="Q3467" t="str">
            <v>New Contract</v>
          </cell>
        </row>
        <row r="3468">
          <cell r="P3468" t="str">
            <v>086157796</v>
          </cell>
          <cell r="Q3468" t="str">
            <v>Renewal (25% in 2020)</v>
          </cell>
        </row>
        <row r="3469">
          <cell r="P3469" t="str">
            <v>039154997</v>
          </cell>
          <cell r="Q3469" t="str">
            <v>Renewal (15% in 2020)</v>
          </cell>
        </row>
        <row r="3470">
          <cell r="P3470" t="str">
            <v>039155836</v>
          </cell>
          <cell r="Q3470" t="str">
            <v>Renewal (30% in 2020)</v>
          </cell>
        </row>
        <row r="3471">
          <cell r="P3471" t="str">
            <v>070017064</v>
          </cell>
          <cell r="Q3471" t="str">
            <v>Renewal (20% in 2020)</v>
          </cell>
        </row>
        <row r="3472">
          <cell r="P3472" t="str">
            <v>064021630</v>
          </cell>
          <cell r="Q3472" t="str">
            <v>Renewal (15% in 2020)</v>
          </cell>
        </row>
        <row r="3473">
          <cell r="P3473" t="str">
            <v>031004378</v>
          </cell>
          <cell r="Q3473" t="str">
            <v>New Contract</v>
          </cell>
        </row>
        <row r="3474">
          <cell r="P3474" t="str">
            <v>087022530</v>
          </cell>
          <cell r="Q3474" t="str">
            <v>Renewal (20% in 2020)</v>
          </cell>
        </row>
        <row r="3475">
          <cell r="P3475" t="str">
            <v>031157342</v>
          </cell>
          <cell r="Q3475" t="str">
            <v>New Contract</v>
          </cell>
        </row>
        <row r="3476">
          <cell r="P3476" t="str">
            <v>032167164</v>
          </cell>
          <cell r="Q3476" t="str">
            <v>New contract</v>
          </cell>
        </row>
        <row r="3477">
          <cell r="P3477" t="str">
            <v>031156757</v>
          </cell>
          <cell r="Q3477" t="str">
            <v>Renewal (15% in 2020)</v>
          </cell>
        </row>
        <row r="3478">
          <cell r="P3478" t="str">
            <v>032169153</v>
          </cell>
          <cell r="Q3478" t="str">
            <v>New contract</v>
          </cell>
        </row>
        <row r="3479">
          <cell r="P3479" t="str">
            <v>039154721</v>
          </cell>
          <cell r="Q3479" t="str">
            <v>Renewal (15% in 2020)</v>
          </cell>
        </row>
        <row r="3480">
          <cell r="P3480" t="str">
            <v>039156577</v>
          </cell>
          <cell r="Q3480" t="str">
            <v>Renewal (20% in 2020)</v>
          </cell>
        </row>
        <row r="3481">
          <cell r="P3481" t="str">
            <v>064177708</v>
          </cell>
          <cell r="Q3481" t="str">
            <v>Renewal (20% in 2020)</v>
          </cell>
        </row>
        <row r="3482">
          <cell r="P3482" t="str">
            <v>039156296</v>
          </cell>
          <cell r="Q3482" t="str">
            <v>New Contract</v>
          </cell>
        </row>
        <row r="3483">
          <cell r="P3483" t="str">
            <v>031159489</v>
          </cell>
          <cell r="Q3483" t="str">
            <v>Renewal (15% in 2020)</v>
          </cell>
        </row>
        <row r="3484">
          <cell r="P3484" t="str">
            <v>032158673</v>
          </cell>
          <cell r="Q3484" t="str">
            <v>Renewal (15% in 2020)</v>
          </cell>
        </row>
        <row r="3485">
          <cell r="P3485" t="str">
            <v>021161272</v>
          </cell>
          <cell r="Q3485" t="str">
            <v>New Contract</v>
          </cell>
        </row>
        <row r="3486">
          <cell r="P3486" t="str">
            <v>031151703</v>
          </cell>
          <cell r="Q3486" t="str">
            <v>Renewal (15% in 2020)</v>
          </cell>
        </row>
        <row r="3487">
          <cell r="P3487" t="str">
            <v>039156619</v>
          </cell>
          <cell r="Q3487" t="str">
            <v>Renewal (15% in 2020)</v>
          </cell>
        </row>
        <row r="3488">
          <cell r="P3488" t="str">
            <v>070011188</v>
          </cell>
          <cell r="Q3488" t="str">
            <v>Renewal (30% in 2020)</v>
          </cell>
        </row>
        <row r="3489">
          <cell r="P3489" t="str">
            <v>071155887</v>
          </cell>
          <cell r="Q3489" t="str">
            <v>Renewal (25% in 2020)</v>
          </cell>
        </row>
        <row r="3490">
          <cell r="P3490" t="str">
            <v>039155463</v>
          </cell>
          <cell r="Q3490" t="str">
            <v>Renewal (25% in 2020)</v>
          </cell>
        </row>
        <row r="3491">
          <cell r="P3491" t="str">
            <v>071159607</v>
          </cell>
          <cell r="Q3491" t="str">
            <v>Renewal (20% in 2020)</v>
          </cell>
        </row>
        <row r="3492">
          <cell r="P3492" t="str">
            <v>064021742</v>
          </cell>
          <cell r="Q3492" t="str">
            <v>New Contract</v>
          </cell>
        </row>
        <row r="3493">
          <cell r="P3493" t="str">
            <v>031160300</v>
          </cell>
          <cell r="Q3493" t="str">
            <v>Renewal (20% in 2020)</v>
          </cell>
        </row>
        <row r="3494">
          <cell r="P3494" t="str">
            <v>031154204</v>
          </cell>
          <cell r="Q3494" t="str">
            <v>Renewal (20% in 2020)</v>
          </cell>
        </row>
        <row r="3495">
          <cell r="P3495" t="str">
            <v>024016472</v>
          </cell>
          <cell r="Q3495" t="str">
            <v>Renewal (15% in 2020)</v>
          </cell>
        </row>
        <row r="3496">
          <cell r="P3496" t="str">
            <v>064171490</v>
          </cell>
          <cell r="Q3496" t="str">
            <v>Renewal (25% in 2020)</v>
          </cell>
        </row>
        <row r="3497">
          <cell r="P3497" t="str">
            <v>064417691</v>
          </cell>
          <cell r="Q3497" t="str">
            <v>Renewal (20% in 2020)</v>
          </cell>
        </row>
        <row r="3498">
          <cell r="P3498" t="str">
            <v>039000087</v>
          </cell>
          <cell r="Q3498" t="str">
            <v>Renewal (20% in 2020)</v>
          </cell>
        </row>
        <row r="3499">
          <cell r="P3499" t="str">
            <v>052011822</v>
          </cell>
          <cell r="Q3499" t="str">
            <v>Renewal (20% in 2020)</v>
          </cell>
        </row>
        <row r="3500">
          <cell r="P3500" t="str">
            <v>039005906</v>
          </cell>
          <cell r="Q3500" t="str">
            <v>Renewal (15% in 2020)</v>
          </cell>
        </row>
        <row r="3501">
          <cell r="P3501" t="str">
            <v>058020803</v>
          </cell>
          <cell r="Q3501" t="str">
            <v>Renewal (25% in 2020)</v>
          </cell>
        </row>
        <row r="3502">
          <cell r="P3502" t="str">
            <v>086162438</v>
          </cell>
          <cell r="Q3502" t="str">
            <v>Renewal (15% in 2020)</v>
          </cell>
        </row>
        <row r="3503">
          <cell r="P3503" t="str">
            <v>031156755</v>
          </cell>
          <cell r="Q3503" t="str">
            <v>Renewal (15% in 2020)</v>
          </cell>
        </row>
        <row r="3504">
          <cell r="P3504" t="str">
            <v>016005748</v>
          </cell>
          <cell r="Q3504" t="str">
            <v>Renewal (30% in 2020)</v>
          </cell>
        </row>
        <row r="3505">
          <cell r="P3505" t="str">
            <v>011001987</v>
          </cell>
          <cell r="Q3505" t="str">
            <v>Renewal (20% in 2020)</v>
          </cell>
        </row>
        <row r="3506">
          <cell r="P3506" t="str">
            <v>086160754</v>
          </cell>
          <cell r="Q3506" t="str">
            <v>Renewal (15% in 2020)</v>
          </cell>
        </row>
        <row r="3507">
          <cell r="P3507" t="str">
            <v>031013490</v>
          </cell>
          <cell r="Q3507" t="str">
            <v>Renewal (15% in 2020)</v>
          </cell>
        </row>
        <row r="3508">
          <cell r="P3508" t="str">
            <v>025019383</v>
          </cell>
          <cell r="Q3508" t="str">
            <v>Renewal (15% in 2020)</v>
          </cell>
        </row>
        <row r="3509">
          <cell r="P3509" t="str">
            <v>039155337</v>
          </cell>
          <cell r="Q3509" t="str">
            <v>Renewal (15% in 2020)</v>
          </cell>
        </row>
        <row r="3510">
          <cell r="P3510" t="str">
            <v>031018461</v>
          </cell>
          <cell r="Q3510" t="str">
            <v>Renewal (15% in 2020)</v>
          </cell>
        </row>
        <row r="3511">
          <cell r="P3511" t="str">
            <v>031157298</v>
          </cell>
          <cell r="Q3511" t="str">
            <v>New Contract</v>
          </cell>
        </row>
        <row r="3512">
          <cell r="P3512" t="str">
            <v>070009448</v>
          </cell>
          <cell r="Q3512" t="str">
            <v>New Contract</v>
          </cell>
        </row>
        <row r="3513">
          <cell r="P3513" t="str">
            <v>031006096</v>
          </cell>
          <cell r="Q3513" t="str">
            <v>Renewal (15% in 2020)</v>
          </cell>
        </row>
        <row r="3514">
          <cell r="P3514" t="str">
            <v>039152062</v>
          </cell>
          <cell r="Q3514" t="str">
            <v>Renewal (15% in 2020)</v>
          </cell>
        </row>
        <row r="3515">
          <cell r="P3515" t="str">
            <v>021005414</v>
          </cell>
          <cell r="Q3515" t="str">
            <v>New Contract</v>
          </cell>
        </row>
        <row r="3516">
          <cell r="P3516" t="str">
            <v>031152840</v>
          </cell>
          <cell r="Q3516" t="str">
            <v>Renewal (20% in 2020)</v>
          </cell>
        </row>
        <row r="3517">
          <cell r="P3517" t="str">
            <v>031160422</v>
          </cell>
          <cell r="Q3517" t="str">
            <v>New Contract</v>
          </cell>
        </row>
        <row r="3518">
          <cell r="P3518" t="str">
            <v>021157488</v>
          </cell>
          <cell r="Q3518" t="str">
            <v>New Contract</v>
          </cell>
        </row>
        <row r="3519">
          <cell r="P3519" t="str">
            <v>031159300</v>
          </cell>
          <cell r="Q3519" t="str">
            <v>Renewal (15% in 2020)</v>
          </cell>
        </row>
        <row r="3520">
          <cell r="P3520" t="str">
            <v>031157206</v>
          </cell>
          <cell r="Q3520" t="str">
            <v>Renewal (15% in 2020)</v>
          </cell>
        </row>
        <row r="3521">
          <cell r="P3521" t="str">
            <v>031156333</v>
          </cell>
          <cell r="Q3521" t="str">
            <v>New Contract</v>
          </cell>
        </row>
        <row r="3522">
          <cell r="P3522" t="str">
            <v>031157380</v>
          </cell>
          <cell r="Q3522" t="str">
            <v>New Contract</v>
          </cell>
        </row>
        <row r="3523">
          <cell r="P3523" t="str">
            <v>031159936</v>
          </cell>
          <cell r="Q3523" t="str">
            <v>Renewal (15% in 2020)</v>
          </cell>
        </row>
        <row r="3524">
          <cell r="P3524" t="str">
            <v>064166432</v>
          </cell>
          <cell r="Q3524" t="str">
            <v>Renewal (20% in 2020)</v>
          </cell>
        </row>
        <row r="3525">
          <cell r="P3525" t="str">
            <v>011163042</v>
          </cell>
          <cell r="Q3525" t="str">
            <v>Renewal (25% in 2020)</v>
          </cell>
        </row>
        <row r="3526">
          <cell r="P3526" t="str">
            <v>064173519</v>
          </cell>
          <cell r="Q3526" t="str">
            <v>Renewal (20% in 2020)</v>
          </cell>
        </row>
        <row r="3527">
          <cell r="P3527" t="str">
            <v>031160179</v>
          </cell>
          <cell r="Q3527" t="str">
            <v>New Contract</v>
          </cell>
        </row>
        <row r="3528">
          <cell r="P3528" t="str">
            <v>039156570</v>
          </cell>
          <cell r="Q3528" t="str">
            <v>Renewal (30% in 2020)</v>
          </cell>
        </row>
        <row r="3529">
          <cell r="P3529" t="str">
            <v>082021199</v>
          </cell>
          <cell r="Q3529" t="str">
            <v>New Contract</v>
          </cell>
        </row>
        <row r="3530">
          <cell r="P3530" t="str">
            <v>079157626</v>
          </cell>
          <cell r="Q3530" t="str">
            <v>Renewal (20% in 2020)</v>
          </cell>
        </row>
        <row r="3531">
          <cell r="P3531" t="str">
            <v>079013544</v>
          </cell>
          <cell r="Q3531" t="str">
            <v>Renewal (20% in 2020)</v>
          </cell>
        </row>
        <row r="3532">
          <cell r="P3532" t="str">
            <v>040156379</v>
          </cell>
          <cell r="Q3532" t="str">
            <v>Renewal (25% in 2020)</v>
          </cell>
        </row>
        <row r="3533">
          <cell r="P3533" t="str">
            <v>032169114</v>
          </cell>
          <cell r="Q3533" t="str">
            <v>Renewal (15% in 2020)</v>
          </cell>
        </row>
        <row r="3534">
          <cell r="P3534" t="str">
            <v>032162742</v>
          </cell>
          <cell r="Q3534" t="str">
            <v>Renewal (15% in 2020)</v>
          </cell>
        </row>
        <row r="3535">
          <cell r="P3535" t="str">
            <v>032020167</v>
          </cell>
          <cell r="Q3535" t="str">
            <v>Renewal (25% in 2020)</v>
          </cell>
        </row>
        <row r="3536">
          <cell r="P3536" t="str">
            <v>033011315</v>
          </cell>
          <cell r="Q3536" t="str">
            <v>Renewal (25% in 2020)</v>
          </cell>
        </row>
        <row r="3537">
          <cell r="P3537" t="str">
            <v>079151335</v>
          </cell>
          <cell r="Q3537" t="str">
            <v>Renewal (20% in 2020)</v>
          </cell>
        </row>
        <row r="3538">
          <cell r="P3538" t="str">
            <v>086007055</v>
          </cell>
          <cell r="Q3538" t="str">
            <v>Renewal (20% in 2020)</v>
          </cell>
        </row>
        <row r="3539">
          <cell r="P3539" t="str">
            <v>032160100</v>
          </cell>
          <cell r="Q3539" t="str">
            <v>Renewal (15% in 2020)</v>
          </cell>
        </row>
        <row r="3540">
          <cell r="P3540" t="str">
            <v>032166727</v>
          </cell>
          <cell r="Q3540" t="str">
            <v>Renewal (15% in 2020)</v>
          </cell>
        </row>
        <row r="3541">
          <cell r="P3541" t="str">
            <v>032167457</v>
          </cell>
          <cell r="Q3541" t="str">
            <v>Renewal (25% in 2020)</v>
          </cell>
        </row>
        <row r="3542">
          <cell r="P3542" t="str">
            <v>032165297</v>
          </cell>
          <cell r="Q3542" t="str">
            <v>Renewal (25% in 2020)</v>
          </cell>
        </row>
        <row r="3543">
          <cell r="P3543" t="str">
            <v>032000000</v>
          </cell>
          <cell r="Q3543" t="str">
            <v>New Contract</v>
          </cell>
        </row>
        <row r="3544">
          <cell r="P3544" t="str">
            <v>016162366</v>
          </cell>
          <cell r="Q3544" t="str">
            <v>New contract</v>
          </cell>
        </row>
        <row r="3545">
          <cell r="P3545" t="str">
            <v>021158651</v>
          </cell>
          <cell r="Q3545" t="str">
            <v>New contract</v>
          </cell>
        </row>
        <row r="3546">
          <cell r="P3546" t="str">
            <v>024035308</v>
          </cell>
          <cell r="Q3546" t="str">
            <v>New contract</v>
          </cell>
        </row>
        <row r="3547">
          <cell r="P3547" t="str">
            <v>047172004</v>
          </cell>
          <cell r="Q3547" t="str">
            <v>New Contract</v>
          </cell>
        </row>
        <row r="3548">
          <cell r="P3548" t="str">
            <v>089156923</v>
          </cell>
          <cell r="Q3548" t="str">
            <v>Renewal (25% in 2020)</v>
          </cell>
        </row>
        <row r="3549">
          <cell r="P3549" t="str">
            <v>032169445</v>
          </cell>
          <cell r="Q3549" t="str">
            <v>Renewal (25% in 2020)</v>
          </cell>
        </row>
        <row r="3550">
          <cell r="P3550" t="str">
            <v>031154206</v>
          </cell>
          <cell r="Q3550" t="str">
            <v>New contract</v>
          </cell>
        </row>
        <row r="3551">
          <cell r="P3551" t="str">
            <v>032019210</v>
          </cell>
          <cell r="Q3551" t="str">
            <v>New contract</v>
          </cell>
        </row>
        <row r="3552">
          <cell r="P3552" t="str">
            <v>031152703</v>
          </cell>
          <cell r="Q3552" t="str">
            <v>New Contract</v>
          </cell>
        </row>
        <row r="3553">
          <cell r="P3553" t="str">
            <v>021157798</v>
          </cell>
          <cell r="Q3553" t="str">
            <v>New Contract</v>
          </cell>
        </row>
        <row r="3554">
          <cell r="P3554" t="str">
            <v>081166235</v>
          </cell>
          <cell r="Q3554" t="str">
            <v>Renewal (30% in 2020)</v>
          </cell>
        </row>
        <row r="3555">
          <cell r="P3555" t="str">
            <v>032011535</v>
          </cell>
          <cell r="Q3555" t="str">
            <v>Renewal (25% in 2020)</v>
          </cell>
        </row>
        <row r="3556">
          <cell r="P3556" t="str">
            <v>021159430</v>
          </cell>
          <cell r="Q3556" t="str">
            <v>New Contract</v>
          </cell>
        </row>
        <row r="3557">
          <cell r="P3557" t="str">
            <v>039152835</v>
          </cell>
          <cell r="Q3557" t="str">
            <v>Renewal (25% in 2020)</v>
          </cell>
        </row>
        <row r="3558">
          <cell r="P3558" t="str">
            <v>079155960</v>
          </cell>
          <cell r="Q3558" t="str">
            <v>Renewal (25% in 2020)</v>
          </cell>
        </row>
        <row r="3559">
          <cell r="P3559" t="str">
            <v>031015236</v>
          </cell>
          <cell r="Q3559" t="str">
            <v>Renewal (25% in 2020)</v>
          </cell>
        </row>
        <row r="3560">
          <cell r="P3560" t="str">
            <v>039155931</v>
          </cell>
          <cell r="Q3560" t="str">
            <v>Renewal (25% in 2020)</v>
          </cell>
        </row>
        <row r="3561">
          <cell r="P3561" t="str">
            <v>079161478</v>
          </cell>
          <cell r="Q3561" t="str">
            <v>New contract</v>
          </cell>
        </row>
        <row r="3562">
          <cell r="P3562" t="str">
            <v>070014113</v>
          </cell>
          <cell r="Q3562" t="str">
            <v>New Contract</v>
          </cell>
        </row>
        <row r="3563">
          <cell r="P3563" t="str">
            <v>079158320</v>
          </cell>
          <cell r="Q3563" t="str">
            <v>Renewal (30% in 2020)</v>
          </cell>
        </row>
        <row r="3564">
          <cell r="P3564" t="str">
            <v>064013417</v>
          </cell>
          <cell r="Q3564" t="str">
            <v>Renewal (25% in 2020)</v>
          </cell>
        </row>
        <row r="3565">
          <cell r="P3565" t="str">
            <v>079156606</v>
          </cell>
          <cell r="Q3565" t="str">
            <v>Renewal (20% in 2020)</v>
          </cell>
        </row>
        <row r="3566">
          <cell r="P3566" t="str">
            <v>047160881</v>
          </cell>
          <cell r="Q3566" t="str">
            <v>Renewal (15% in 2020)</v>
          </cell>
        </row>
        <row r="3567">
          <cell r="P3567" t="str">
            <v>031158853</v>
          </cell>
          <cell r="Q3567" t="str">
            <v>Renewal (15% in 2020)</v>
          </cell>
        </row>
        <row r="3568">
          <cell r="P3568" t="str">
            <v>032165412</v>
          </cell>
          <cell r="Q3568" t="str">
            <v>Renewal (25% in 2020)</v>
          </cell>
        </row>
        <row r="3569">
          <cell r="P3569" t="str">
            <v>031012488</v>
          </cell>
          <cell r="Q3569" t="str">
            <v>Renewal (15% in 2020)</v>
          </cell>
        </row>
        <row r="3570">
          <cell r="P3570" t="str">
            <v>032168632</v>
          </cell>
          <cell r="Q3570" t="str">
            <v>Renewal (20% in 2020)</v>
          </cell>
        </row>
        <row r="3571">
          <cell r="P3571" t="str">
            <v>079156685</v>
          </cell>
          <cell r="Q3571" t="str">
            <v>Renewal (20% in 2020)</v>
          </cell>
        </row>
        <row r="3572">
          <cell r="P3572" t="str">
            <v>024035572</v>
          </cell>
          <cell r="Q3572" t="str">
            <v>Renewal (20% in 2020)</v>
          </cell>
        </row>
        <row r="3573">
          <cell r="P3573" t="str">
            <v>047172431</v>
          </cell>
          <cell r="Q3573" t="str">
            <v>Renewal (15% in 2020)</v>
          </cell>
        </row>
        <row r="3574">
          <cell r="P3574" t="str">
            <v>047170340</v>
          </cell>
          <cell r="Q3574" t="str">
            <v>Renewal (25% in 2020)</v>
          </cell>
        </row>
        <row r="3575">
          <cell r="P3575" t="str">
            <v>058019713</v>
          </cell>
          <cell r="Q3575" t="str">
            <v>Renewal (15% in 2020)</v>
          </cell>
        </row>
        <row r="3576">
          <cell r="P3576" t="str">
            <v>027007089</v>
          </cell>
          <cell r="Q3576" t="str">
            <v>Renewal (30% in 2020)</v>
          </cell>
        </row>
        <row r="3577">
          <cell r="P3577" t="str">
            <v>024004449</v>
          </cell>
          <cell r="Q3577" t="str">
            <v>Renewal (20% in 2020)</v>
          </cell>
        </row>
        <row r="3578">
          <cell r="P3578" t="str">
            <v>031015236</v>
          </cell>
          <cell r="Q3578" t="str">
            <v>Renewal (25% in 2020)</v>
          </cell>
        </row>
        <row r="3579">
          <cell r="P3579" t="str">
            <v>031160546</v>
          </cell>
          <cell r="Q3579" t="str">
            <v>New contract</v>
          </cell>
        </row>
        <row r="3580">
          <cell r="P3580" t="str">
            <v>052006553</v>
          </cell>
          <cell r="Q3580" t="str">
            <v>Renewal (15% in 2020)</v>
          </cell>
        </row>
        <row r="3581">
          <cell r="P3581" t="str">
            <v>086157528</v>
          </cell>
          <cell r="Q3581" t="str">
            <v>Renewal (15% in 2020)</v>
          </cell>
        </row>
        <row r="3582">
          <cell r="P3582" t="str">
            <v>032169462</v>
          </cell>
          <cell r="Q3582" t="str">
            <v>New contract</v>
          </cell>
        </row>
        <row r="3583">
          <cell r="P3583" t="str">
            <v>016162159</v>
          </cell>
          <cell r="Q3583" t="str">
            <v>Renewal (15% in 2020)</v>
          </cell>
        </row>
        <row r="3584">
          <cell r="P3584" t="str">
            <v>086004927</v>
          </cell>
          <cell r="Q3584" t="str">
            <v>Renewal (15% in 2020)</v>
          </cell>
        </row>
        <row r="3585">
          <cell r="P3585" t="str">
            <v>079161001</v>
          </cell>
          <cell r="Q3585" t="str">
            <v>New Contract</v>
          </cell>
        </row>
        <row r="3586">
          <cell r="P3586" t="str">
            <v>031011458</v>
          </cell>
          <cell r="Q3586" t="str">
            <v>New Contract</v>
          </cell>
        </row>
        <row r="3587">
          <cell r="P3587" t="str">
            <v>031009911</v>
          </cell>
          <cell r="Q3587" t="str">
            <v>Renewal (15% in 2020)</v>
          </cell>
        </row>
        <row r="3588">
          <cell r="P3588" t="str">
            <v>031009911</v>
          </cell>
          <cell r="Q3588" t="str">
            <v>Renewal (15% in 2020)</v>
          </cell>
        </row>
        <row r="3589">
          <cell r="P3589" t="str">
            <v>031004408</v>
          </cell>
          <cell r="Q3589" t="str">
            <v>Renewal (20% in 2020)</v>
          </cell>
        </row>
        <row r="3590">
          <cell r="P3590" t="str">
            <v>032167164</v>
          </cell>
          <cell r="Q3590" t="str">
            <v>New contract</v>
          </cell>
        </row>
        <row r="3591">
          <cell r="P3591" t="str">
            <v>058007983</v>
          </cell>
          <cell r="Q3591" t="str">
            <v>Renewal (20% in 2020)</v>
          </cell>
        </row>
        <row r="3592">
          <cell r="P3592" t="str">
            <v>086014176</v>
          </cell>
          <cell r="Q3592" t="str">
            <v>Renewal (15% in 2020)</v>
          </cell>
        </row>
        <row r="3593">
          <cell r="P3593" t="str">
            <v>031006385</v>
          </cell>
          <cell r="Q3593" t="str">
            <v>Renewal (20% in 2020)</v>
          </cell>
        </row>
        <row r="3594">
          <cell r="P3594" t="str">
            <v>031159489</v>
          </cell>
          <cell r="Q3594" t="str">
            <v>Renewal (15% in 2020)</v>
          </cell>
        </row>
        <row r="3595">
          <cell r="P3595" t="str">
            <v>021161272</v>
          </cell>
          <cell r="Q3595" t="str">
            <v>New Contract</v>
          </cell>
        </row>
        <row r="3596">
          <cell r="P3596" t="str">
            <v>031155162</v>
          </cell>
          <cell r="Q3596" t="str">
            <v>New Contract</v>
          </cell>
        </row>
        <row r="3597">
          <cell r="P3597" t="str">
            <v>086163909</v>
          </cell>
          <cell r="Q3597" t="str">
            <v>Renewal (15% in 2020)</v>
          </cell>
        </row>
        <row r="3598">
          <cell r="P3598" t="str">
            <v>086161732</v>
          </cell>
          <cell r="Q3598" t="str">
            <v>Renewal (20% in 2020)</v>
          </cell>
        </row>
        <row r="3599">
          <cell r="P3599" t="str">
            <v>024016472</v>
          </cell>
          <cell r="Q3599" t="str">
            <v>Renewal (15% in 2020)</v>
          </cell>
        </row>
        <row r="3600">
          <cell r="P3600" t="str">
            <v>027001432</v>
          </cell>
          <cell r="Q3600" t="str">
            <v>Renewal (15% in 2020)</v>
          </cell>
        </row>
        <row r="3601">
          <cell r="P3601" t="str">
            <v>086162438</v>
          </cell>
          <cell r="Q3601" t="str">
            <v>Renewal (15% in 2020)</v>
          </cell>
        </row>
        <row r="3602">
          <cell r="P3602" t="str">
            <v>031158750</v>
          </cell>
          <cell r="Q3602" t="str">
            <v>Renewal (25% in 2020)</v>
          </cell>
        </row>
        <row r="3603">
          <cell r="P3603" t="str">
            <v>031156755</v>
          </cell>
          <cell r="Q3603" t="str">
            <v>Renewal (15% in 2020)</v>
          </cell>
        </row>
        <row r="3604">
          <cell r="P3604" t="str">
            <v>032165759</v>
          </cell>
          <cell r="Q3604" t="str">
            <v>New contract</v>
          </cell>
        </row>
        <row r="3605">
          <cell r="P3605" t="str">
            <v>032018870</v>
          </cell>
          <cell r="Q3605" t="str">
            <v>Renewal (15% in 2020)</v>
          </cell>
        </row>
        <row r="3606">
          <cell r="P3606" t="str">
            <v>024025570</v>
          </cell>
          <cell r="Q3606" t="str">
            <v>Renewal (20% in 2020)</v>
          </cell>
        </row>
        <row r="3607">
          <cell r="P3607" t="str">
            <v>031013490</v>
          </cell>
          <cell r="Q3607" t="str">
            <v>Renewal (15% in 2020)</v>
          </cell>
        </row>
        <row r="3608">
          <cell r="P3608" t="str">
            <v>039005970</v>
          </cell>
          <cell r="Q3608" t="str">
            <v>Renewal (20% in 2020)</v>
          </cell>
        </row>
        <row r="3609">
          <cell r="P3609" t="str">
            <v>024037169</v>
          </cell>
          <cell r="Q3609" t="str">
            <v>Renewal (20% in 2020)</v>
          </cell>
        </row>
        <row r="3610">
          <cell r="P3610" t="str">
            <v>031155909</v>
          </cell>
          <cell r="Q3610" t="str">
            <v>Renewal (15% in 2020)</v>
          </cell>
        </row>
        <row r="3611">
          <cell r="P3611" t="str">
            <v>031018265</v>
          </cell>
          <cell r="Q3611" t="str">
            <v>Renewal (15% in 2020)</v>
          </cell>
        </row>
        <row r="3612">
          <cell r="P3612" t="str">
            <v>017162735</v>
          </cell>
          <cell r="Q3612" t="str">
            <v>Renewal (25% in 2020)</v>
          </cell>
        </row>
        <row r="3613">
          <cell r="P3613" t="str">
            <v>079016655</v>
          </cell>
          <cell r="Q3613" t="str">
            <v>Renewal (15% in 2020)</v>
          </cell>
        </row>
        <row r="3614">
          <cell r="P3614" t="str">
            <v>079161247</v>
          </cell>
          <cell r="Q3614" t="str">
            <v>Renewal (30% in 2020)</v>
          </cell>
        </row>
        <row r="3615">
          <cell r="P3615" t="str">
            <v>021010613</v>
          </cell>
          <cell r="Q3615" t="str">
            <v>New Contract</v>
          </cell>
        </row>
        <row r="3616">
          <cell r="P3616" t="str">
            <v>016167218</v>
          </cell>
          <cell r="Q3616" t="str">
            <v>New Contract</v>
          </cell>
        </row>
        <row r="3617">
          <cell r="P3617" t="str">
            <v>079158018</v>
          </cell>
          <cell r="Q3617" t="str">
            <v>Renewal (15% in 2020)</v>
          </cell>
        </row>
        <row r="3618">
          <cell r="P3618" t="str">
            <v>055014158</v>
          </cell>
          <cell r="Q3618" t="str">
            <v>New Contract</v>
          </cell>
        </row>
        <row r="3619">
          <cell r="P3619" t="str">
            <v>070016355</v>
          </cell>
          <cell r="Q3619" t="str">
            <v>Renewal (15% in 2020)</v>
          </cell>
        </row>
        <row r="3620">
          <cell r="P3620" t="str">
            <v>024030929</v>
          </cell>
          <cell r="Q3620" t="str">
            <v>Renewal (15% in 2020)</v>
          </cell>
        </row>
        <row r="3621">
          <cell r="P3621" t="str">
            <v>016166085</v>
          </cell>
          <cell r="Q3621" t="str">
            <v>Renewal (30% in 2020)</v>
          </cell>
        </row>
        <row r="3622">
          <cell r="P3622" t="str">
            <v>017165395</v>
          </cell>
          <cell r="Q3622" t="str">
            <v>Renewal (30% in 2020)</v>
          </cell>
        </row>
        <row r="3623">
          <cell r="P3623" t="str">
            <v>040176602</v>
          </cell>
          <cell r="Q3623" t="str">
            <v>Renewal (20% in 2020)</v>
          </cell>
        </row>
        <row r="3624">
          <cell r="P3624" t="str">
            <v>064165227</v>
          </cell>
          <cell r="Q3624" t="str">
            <v>Renewal (15% in 2020)</v>
          </cell>
        </row>
        <row r="3625">
          <cell r="P3625" t="str">
            <v>016011783</v>
          </cell>
          <cell r="Q3625" t="str">
            <v>Renewal (15% in 2020)</v>
          </cell>
        </row>
        <row r="3626">
          <cell r="P3626" t="str">
            <v>036155530</v>
          </cell>
          <cell r="Q3626" t="str">
            <v>Renewal (20% in 2020)</v>
          </cell>
        </row>
        <row r="3627">
          <cell r="P3627" t="str">
            <v>036155530</v>
          </cell>
          <cell r="Q3627" t="str">
            <v>Renewal (20% in 2020)</v>
          </cell>
        </row>
        <row r="3628">
          <cell r="P3628" t="str">
            <v>079158320</v>
          </cell>
          <cell r="Q3628" t="str">
            <v>Renewal (30% in 2020)</v>
          </cell>
        </row>
        <row r="3629">
          <cell r="P3629" t="str">
            <v>032019702</v>
          </cell>
          <cell r="Q3629" t="str">
            <v>Renewal (15% in 2020)</v>
          </cell>
        </row>
        <row r="3630">
          <cell r="P3630" t="str">
            <v>032019702</v>
          </cell>
          <cell r="Q3630" t="str">
            <v>Renewal (15% in 2020)</v>
          </cell>
        </row>
        <row r="3631">
          <cell r="P3631" t="str">
            <v>032000745</v>
          </cell>
          <cell r="Q3631" t="str">
            <v>Renewal (15% in 2020)</v>
          </cell>
        </row>
        <row r="3632">
          <cell r="P3632" t="str">
            <v>032169923</v>
          </cell>
          <cell r="Q3632" t="str">
            <v>Renewal (25% in 2020)</v>
          </cell>
        </row>
        <row r="3633">
          <cell r="P3633" t="str">
            <v>017165405</v>
          </cell>
          <cell r="Q3633" t="str">
            <v>Renewal (15% in 2020)</v>
          </cell>
        </row>
        <row r="3634">
          <cell r="P3634" t="str">
            <v>037156584</v>
          </cell>
          <cell r="Q3634" t="str">
            <v>Renewal (15% in 2020)</v>
          </cell>
        </row>
        <row r="3635">
          <cell r="P3635" t="str">
            <v>030246620</v>
          </cell>
          <cell r="Q3635" t="str">
            <v>Renewal (15% in 2020)</v>
          </cell>
        </row>
        <row r="3636">
          <cell r="P3636" t="str">
            <v>086162984</v>
          </cell>
          <cell r="Q3636" t="str">
            <v>Renewal (20% in 2020)</v>
          </cell>
        </row>
        <row r="3637">
          <cell r="P3637" t="str">
            <v>017010034</v>
          </cell>
          <cell r="Q3637" t="str">
            <v>Renewal (30% in 2020)</v>
          </cell>
        </row>
        <row r="3638">
          <cell r="P3638" t="str">
            <v>079154980</v>
          </cell>
          <cell r="Q3638" t="str">
            <v>Renewal (15% in 2020)</v>
          </cell>
        </row>
        <row r="3639">
          <cell r="P3639" t="str">
            <v>064176248</v>
          </cell>
          <cell r="Q3639" t="str">
            <v>Renewal (20% in 2020)</v>
          </cell>
        </row>
        <row r="3640">
          <cell r="P3640" t="str">
            <v>016166818</v>
          </cell>
          <cell r="Q3640" t="str">
            <v>Renewal (15% in 2020)</v>
          </cell>
        </row>
        <row r="3641">
          <cell r="P3641" t="str">
            <v>079153899</v>
          </cell>
          <cell r="Q3641" t="str">
            <v>Renewal (30% in 2020)</v>
          </cell>
        </row>
        <row r="3642">
          <cell r="P3642" t="str">
            <v>079153899</v>
          </cell>
          <cell r="Q3642" t="str">
            <v>Renewal (30% in 2020)</v>
          </cell>
        </row>
        <row r="3643">
          <cell r="P3643" t="str">
            <v>017162148</v>
          </cell>
          <cell r="Q3643" t="str">
            <v>Renewal (20% in 2020)</v>
          </cell>
        </row>
        <row r="3644">
          <cell r="P3644" t="str">
            <v>079015396</v>
          </cell>
          <cell r="Q3644" t="str">
            <v>Renewal (15% in 2020)</v>
          </cell>
        </row>
        <row r="3645">
          <cell r="P3645" t="str">
            <v>079156606</v>
          </cell>
          <cell r="Q3645" t="str">
            <v>Renewal (20% in 2020)</v>
          </cell>
        </row>
        <row r="3646">
          <cell r="P3646" t="str">
            <v>032015369</v>
          </cell>
          <cell r="Q3646" t="str">
            <v>Renewal (25% in 2020)</v>
          </cell>
        </row>
        <row r="3647">
          <cell r="P3647" t="str">
            <v>017008192</v>
          </cell>
          <cell r="Q3647" t="str">
            <v>Renewal (15% in 2020)</v>
          </cell>
        </row>
        <row r="3648">
          <cell r="P3648" t="str">
            <v>009008798</v>
          </cell>
          <cell r="Q3648" t="str">
            <v>Renewal (25% in 2020)</v>
          </cell>
        </row>
        <row r="3649">
          <cell r="P3649" t="str">
            <v>017164465</v>
          </cell>
          <cell r="Q3649" t="str">
            <v>Renewal (30% in 2020)</v>
          </cell>
        </row>
        <row r="3650">
          <cell r="P3650" t="str">
            <v>079160258</v>
          </cell>
          <cell r="Q3650" t="str">
            <v>Renewal (25% in 2020)</v>
          </cell>
        </row>
        <row r="3651">
          <cell r="P3651" t="str">
            <v>055010103</v>
          </cell>
          <cell r="Q3651" t="str">
            <v>Renewal (25% in 2020)</v>
          </cell>
        </row>
        <row r="3652">
          <cell r="P3652" t="str">
            <v>024025412</v>
          </cell>
          <cell r="Q3652" t="str">
            <v>Renewal (15% in 2020)</v>
          </cell>
        </row>
        <row r="3653">
          <cell r="P3653" t="str">
            <v>031153682</v>
          </cell>
          <cell r="Q3653" t="str">
            <v>Renewal (20% in 2020)</v>
          </cell>
        </row>
        <row r="3654">
          <cell r="P3654" t="str">
            <v>032164426</v>
          </cell>
          <cell r="Q3654" t="str">
            <v>Renewal (15% in 2020)</v>
          </cell>
        </row>
        <row r="3655">
          <cell r="P3655" t="str">
            <v>032020167</v>
          </cell>
          <cell r="Q3655" t="str">
            <v>Renewal (25% in 2020)</v>
          </cell>
        </row>
        <row r="3656">
          <cell r="P3656" t="str">
            <v>032169479</v>
          </cell>
          <cell r="Q3656" t="str">
            <v>Renewal (25% in 2020)</v>
          </cell>
        </row>
        <row r="3657">
          <cell r="P3657" t="str">
            <v>045010269</v>
          </cell>
          <cell r="Q3657" t="str">
            <v>Renewal (25% in 2020)</v>
          </cell>
        </row>
        <row r="3658">
          <cell r="P3658" t="str">
            <v>055015758</v>
          </cell>
          <cell r="Q3658" t="str">
            <v>Renewal (30% in 2020)</v>
          </cell>
        </row>
        <row r="3659">
          <cell r="P3659" t="str">
            <v>017007867</v>
          </cell>
          <cell r="Q3659" t="str">
            <v>Renewal (15% in 2020)</v>
          </cell>
        </row>
        <row r="3660">
          <cell r="P3660" t="str">
            <v>079157774</v>
          </cell>
          <cell r="Q3660" t="str">
            <v>Renewal (15% in 2020)</v>
          </cell>
        </row>
        <row r="3661">
          <cell r="P3661" t="str">
            <v>017161275</v>
          </cell>
          <cell r="Q3661" t="str">
            <v>Renewal (20% in 2020)</v>
          </cell>
        </row>
        <row r="3662">
          <cell r="P3662" t="str">
            <v>039154057</v>
          </cell>
          <cell r="Q3662" t="str">
            <v>Renewal (20% in 2020)</v>
          </cell>
        </row>
        <row r="3663">
          <cell r="P3663" t="str">
            <v>064021557</v>
          </cell>
          <cell r="Q3663" t="str">
            <v>Renewal (20% in 2020)</v>
          </cell>
        </row>
        <row r="3664">
          <cell r="P3664" t="str">
            <v>040177076</v>
          </cell>
          <cell r="Q3664" t="str">
            <v>Renewal (25% in 2020)</v>
          </cell>
        </row>
        <row r="3665">
          <cell r="P3665" t="str">
            <v>064009945</v>
          </cell>
          <cell r="Q3665" t="str">
            <v>Renewal (20% in 2020)</v>
          </cell>
        </row>
        <row r="3666">
          <cell r="P3666" t="str">
            <v>016010696</v>
          </cell>
          <cell r="Q3666" t="str">
            <v>Renewal (20% in 2020)</v>
          </cell>
        </row>
        <row r="3667">
          <cell r="P3667" t="str">
            <v>016161822</v>
          </cell>
          <cell r="Q3667" t="str">
            <v>Renewal (20% in 2020)</v>
          </cell>
        </row>
        <row r="3668">
          <cell r="P3668" t="str">
            <v>079156224</v>
          </cell>
          <cell r="Q3668" t="str">
            <v>Renewal (20% in 2020)</v>
          </cell>
        </row>
        <row r="3669">
          <cell r="P3669" t="str">
            <v>047019496</v>
          </cell>
          <cell r="Q3669" t="str">
            <v>Renewal (30% in 2020)</v>
          </cell>
        </row>
        <row r="3670">
          <cell r="P3670" t="str">
            <v>047010351</v>
          </cell>
          <cell r="Q3670" t="str">
            <v>Renewal (25% in 2020)</v>
          </cell>
        </row>
        <row r="3671">
          <cell r="P3671" t="str">
            <v>032165412</v>
          </cell>
          <cell r="Q3671" t="str">
            <v>Renewal (25% in 2020)</v>
          </cell>
        </row>
        <row r="3672">
          <cell r="P3672" t="str">
            <v>055004868</v>
          </cell>
          <cell r="Q3672" t="str">
            <v>Renewal (20% in 2020)</v>
          </cell>
        </row>
        <row r="3673">
          <cell r="P3673" t="str">
            <v>045007543</v>
          </cell>
          <cell r="Q3673" t="str">
            <v>Renewal (15% in 2020)</v>
          </cell>
        </row>
        <row r="3674">
          <cell r="P3674" t="str">
            <v>064166128</v>
          </cell>
          <cell r="Q3674" t="str">
            <v>Renewal (15% in 2020)</v>
          </cell>
        </row>
        <row r="3675">
          <cell r="P3675" t="str">
            <v>064018941</v>
          </cell>
          <cell r="Q3675" t="str">
            <v>Renewal (15% in 2020)</v>
          </cell>
        </row>
        <row r="3676">
          <cell r="P3676" t="str">
            <v>079159333</v>
          </cell>
          <cell r="Q3676" t="str">
            <v>Renewal (15% in 2020)</v>
          </cell>
        </row>
        <row r="3677">
          <cell r="P3677" t="str">
            <v>086006501</v>
          </cell>
          <cell r="Q3677" t="str">
            <v>Renewal (15% in 2020)</v>
          </cell>
        </row>
        <row r="3678">
          <cell r="P3678" t="str">
            <v>086160719</v>
          </cell>
          <cell r="Q3678" t="str">
            <v>Renewal (20% in 2020)</v>
          </cell>
        </row>
        <row r="3679">
          <cell r="P3679" t="str">
            <v>017168174</v>
          </cell>
          <cell r="Q3679" t="str">
            <v>Renewal (15% in 2020)</v>
          </cell>
        </row>
        <row r="3680">
          <cell r="P3680" t="str">
            <v>017166746</v>
          </cell>
          <cell r="Q3680" t="str">
            <v>Renewal (25% in 2020)</v>
          </cell>
        </row>
        <row r="3681">
          <cell r="P3681" t="str">
            <v>086161699</v>
          </cell>
          <cell r="Q3681" t="str">
            <v>Renewal (15% in 2020)</v>
          </cell>
        </row>
        <row r="3682">
          <cell r="P3682" t="str">
            <v>086161699</v>
          </cell>
          <cell r="Q3682" t="str">
            <v>Renewal (15% in 2020)</v>
          </cell>
        </row>
        <row r="3683">
          <cell r="P3683" t="str">
            <v>086164281</v>
          </cell>
          <cell r="Q3683" t="str">
            <v>Renewal (25% in 2020)</v>
          </cell>
        </row>
        <row r="3684">
          <cell r="P3684" t="str">
            <v>032162975</v>
          </cell>
          <cell r="Q3684" t="str">
            <v>Renewal (25% in 2020)</v>
          </cell>
        </row>
        <row r="3685">
          <cell r="P3685" t="str">
            <v>031012488</v>
          </cell>
          <cell r="Q3685" t="str">
            <v>Renewal (15% in 2020)</v>
          </cell>
        </row>
        <row r="3686">
          <cell r="P3686" t="str">
            <v>031012488</v>
          </cell>
          <cell r="Q3686" t="str">
            <v>Renewal (15% in 2020)</v>
          </cell>
        </row>
        <row r="3687">
          <cell r="P3687" t="str">
            <v>031154226</v>
          </cell>
          <cell r="Q3687" t="str">
            <v>Renewal (15% in 2020)</v>
          </cell>
        </row>
        <row r="3688">
          <cell r="P3688" t="str">
            <v>032168632</v>
          </cell>
          <cell r="Q3688" t="str">
            <v>Renewal (20% in 2020)</v>
          </cell>
        </row>
        <row r="3689">
          <cell r="P3689" t="str">
            <v>032166411</v>
          </cell>
          <cell r="Q3689" t="str">
            <v>Renewal (25% in 2020)</v>
          </cell>
        </row>
        <row r="3690">
          <cell r="P3690" t="str">
            <v>032170262</v>
          </cell>
          <cell r="Q3690" t="str">
            <v>Renewal (25% in 2020)</v>
          </cell>
        </row>
        <row r="3691">
          <cell r="P3691" t="str">
            <v>058020627</v>
          </cell>
          <cell r="Q3691" t="str">
            <v>Renewal (15% in 2020)</v>
          </cell>
        </row>
        <row r="3692">
          <cell r="P3692" t="str">
            <v>079155960</v>
          </cell>
          <cell r="Q3692" t="str">
            <v>Renewal (25% in 2020)</v>
          </cell>
        </row>
        <row r="3693">
          <cell r="P3693" t="str">
            <v>009007352</v>
          </cell>
          <cell r="Q3693" t="str">
            <v>Renewal (20% in 2020)</v>
          </cell>
        </row>
        <row r="3694">
          <cell r="P3694" t="str">
            <v>040165975</v>
          </cell>
          <cell r="Q3694" t="str">
            <v>Renewal (25% in 2020)</v>
          </cell>
        </row>
        <row r="3695">
          <cell r="P3695" t="str">
            <v>081163682</v>
          </cell>
          <cell r="Q3695" t="str">
            <v>Renewal (20% in 2020)</v>
          </cell>
        </row>
        <row r="3696">
          <cell r="P3696" t="str">
            <v>024033902</v>
          </cell>
          <cell r="Q3696" t="str">
            <v>Renewal (25% in 2020)</v>
          </cell>
        </row>
        <row r="3697">
          <cell r="P3697" t="str">
            <v>016164094</v>
          </cell>
          <cell r="Q3697" t="str">
            <v>Renewal (20% in 2020)</v>
          </cell>
        </row>
        <row r="3698">
          <cell r="P3698" t="str">
            <v>016156673</v>
          </cell>
          <cell r="Q3698" t="str">
            <v>Renewal (15% in 2020)</v>
          </cell>
        </row>
        <row r="3699">
          <cell r="P3699" t="str">
            <v>079159946</v>
          </cell>
          <cell r="Q3699" t="str">
            <v>Renewal (30% in 2020)</v>
          </cell>
        </row>
        <row r="3700">
          <cell r="P3700" t="str">
            <v>079159946</v>
          </cell>
          <cell r="Q3700" t="str">
            <v>Renewal (30% in 2020)</v>
          </cell>
        </row>
        <row r="3701">
          <cell r="P3701" t="str">
            <v>024024373</v>
          </cell>
          <cell r="Q3701" t="str">
            <v>Renewal (15% in 2020)</v>
          </cell>
        </row>
        <row r="3702">
          <cell r="P3702" t="str">
            <v>016014189</v>
          </cell>
          <cell r="Q3702" t="str">
            <v>Renewal (25% in 2020)</v>
          </cell>
        </row>
        <row r="3703">
          <cell r="P3703" t="str">
            <v>079156685</v>
          </cell>
          <cell r="Q3703" t="str">
            <v>Renewal (20% in 2020)</v>
          </cell>
        </row>
        <row r="3704">
          <cell r="P3704" t="str">
            <v>024005563</v>
          </cell>
          <cell r="Q3704" t="str">
            <v>Renewal (20% in 2020)</v>
          </cell>
        </row>
        <row r="3705">
          <cell r="P3705" t="str">
            <v>017168304</v>
          </cell>
          <cell r="Q3705" t="str">
            <v>Renewal (15% in 2020)</v>
          </cell>
        </row>
        <row r="3706">
          <cell r="P3706" t="str">
            <v>017013453</v>
          </cell>
          <cell r="Q3706" t="str">
            <v>Renewal (15% in 2020)</v>
          </cell>
        </row>
        <row r="3707">
          <cell r="P3707" t="str">
            <v>040172130</v>
          </cell>
          <cell r="Q3707" t="str">
            <v>Renewal (30% in 2020)</v>
          </cell>
        </row>
        <row r="3708">
          <cell r="P3708" t="str">
            <v>064177638</v>
          </cell>
          <cell r="Q3708" t="str">
            <v>Renewal (15% in 2020)</v>
          </cell>
        </row>
        <row r="3709">
          <cell r="P3709" t="str">
            <v>031017835</v>
          </cell>
          <cell r="Q3709" t="str">
            <v>Renewal (15% in 2020)</v>
          </cell>
        </row>
        <row r="3710">
          <cell r="P3710" t="str">
            <v>086161549</v>
          </cell>
          <cell r="Q3710" t="str">
            <v>Renewal (15% in 2020)</v>
          </cell>
        </row>
        <row r="3711">
          <cell r="P3711" t="str">
            <v>017008328</v>
          </cell>
          <cell r="Q3711" t="str">
            <v>Renewal (20% in 2020)</v>
          </cell>
        </row>
        <row r="3712">
          <cell r="P3712" t="str">
            <v>017006150</v>
          </cell>
          <cell r="Q3712" t="str">
            <v>Renewal (25% in 2020)</v>
          </cell>
        </row>
        <row r="3713">
          <cell r="P3713" t="str">
            <v>017012384</v>
          </cell>
          <cell r="Q3713" t="str">
            <v>Renewal (25% in 2020)</v>
          </cell>
        </row>
        <row r="3714">
          <cell r="P3714" t="str">
            <v>087007159</v>
          </cell>
          <cell r="Q3714" t="str">
            <v>Renewal (25% in 2020)</v>
          </cell>
        </row>
        <row r="3715">
          <cell r="P3715" t="str">
            <v>024035669</v>
          </cell>
          <cell r="Q3715" t="str">
            <v>Renewal (15% in 2020)</v>
          </cell>
        </row>
        <row r="3716">
          <cell r="P3716" t="str">
            <v>079012836</v>
          </cell>
          <cell r="Q3716" t="str">
            <v>Renewal (25% in 2020)</v>
          </cell>
        </row>
        <row r="3717">
          <cell r="P3717" t="str">
            <v>016166377</v>
          </cell>
          <cell r="Q3717" t="str">
            <v>Renewal (20% in 2020)</v>
          </cell>
        </row>
        <row r="3718">
          <cell r="P3718" t="str">
            <v>024021867</v>
          </cell>
          <cell r="Q3718" t="str">
            <v>Renewal (20% in 2020)</v>
          </cell>
        </row>
        <row r="3719">
          <cell r="P3719" t="str">
            <v>086162221</v>
          </cell>
          <cell r="Q3719" t="str">
            <v>Renewal (30% in 2020)</v>
          </cell>
        </row>
        <row r="3720">
          <cell r="P3720" t="str">
            <v>017012541</v>
          </cell>
          <cell r="Q3720" t="str">
            <v>Renewal (20% in 2020)</v>
          </cell>
        </row>
        <row r="3721">
          <cell r="P3721" t="str">
            <v>079161341</v>
          </cell>
          <cell r="Q3721" t="str">
            <v>Renewal (30% in 2020)</v>
          </cell>
        </row>
        <row r="3722">
          <cell r="P3722" t="str">
            <v>086161720</v>
          </cell>
          <cell r="Q3722" t="str">
            <v>Renewal (15% in 2020)</v>
          </cell>
        </row>
        <row r="3723">
          <cell r="P3723" t="str">
            <v>086161720</v>
          </cell>
          <cell r="Q3723" t="str">
            <v>Renewal (15% in 2020)</v>
          </cell>
        </row>
        <row r="3724">
          <cell r="P3724" t="str">
            <v>024010915</v>
          </cell>
          <cell r="Q3724" t="str">
            <v>Renewal (25% in 2020)</v>
          </cell>
        </row>
        <row r="3725">
          <cell r="P3725" t="str">
            <v>047172431</v>
          </cell>
          <cell r="Q3725" t="str">
            <v>Renewal (15% in 2020)</v>
          </cell>
        </row>
        <row r="3726">
          <cell r="P3726" t="str">
            <v>024035513</v>
          </cell>
          <cell r="Q3726" t="str">
            <v>Renewal (25% in 2020)</v>
          </cell>
        </row>
        <row r="3727">
          <cell r="P3727" t="str">
            <v>079017688</v>
          </cell>
          <cell r="Q3727" t="str">
            <v>Renewal (15% in 2020)</v>
          </cell>
        </row>
        <row r="3728">
          <cell r="P3728" t="str">
            <v>079159467</v>
          </cell>
          <cell r="Q3728" t="str">
            <v>Renewal (15% in 2020)</v>
          </cell>
        </row>
        <row r="3729">
          <cell r="P3729" t="str">
            <v>047170340</v>
          </cell>
          <cell r="Q3729" t="str">
            <v>Renewal (25% in 2020)</v>
          </cell>
        </row>
        <row r="3730">
          <cell r="P3730" t="str">
            <v>065158852</v>
          </cell>
          <cell r="Q3730" t="str">
            <v>Renewal (15% in 2020)</v>
          </cell>
        </row>
        <row r="3731">
          <cell r="P3731" t="str">
            <v>031158453</v>
          </cell>
          <cell r="Q3731" t="str">
            <v>Renewal (15% in 2020)</v>
          </cell>
        </row>
        <row r="3732">
          <cell r="P3732" t="str">
            <v>031158234</v>
          </cell>
          <cell r="Q3732" t="str">
            <v>Renewal (20% in 2020)</v>
          </cell>
        </row>
        <row r="3733">
          <cell r="P3733" t="str">
            <v>031158472</v>
          </cell>
          <cell r="Q3733" t="str">
            <v>Renewal (15% in 2020)</v>
          </cell>
        </row>
        <row r="3734">
          <cell r="P3734" t="str">
            <v>031152401</v>
          </cell>
          <cell r="Q3734" t="str">
            <v>Renewal (20% in 2020)</v>
          </cell>
        </row>
        <row r="3735">
          <cell r="P3735" t="str">
            <v>003013011</v>
          </cell>
          <cell r="Q3735" t="str">
            <v>Renewal (20% in 2020)</v>
          </cell>
        </row>
        <row r="3736">
          <cell r="P3736" t="str">
            <v>017163031</v>
          </cell>
          <cell r="Q3736" t="str">
            <v>Renewal (30% in 2020)</v>
          </cell>
        </row>
        <row r="3737">
          <cell r="P3737" t="str">
            <v>064007686</v>
          </cell>
          <cell r="Q3737" t="str">
            <v>Renewal (25% in 2020)</v>
          </cell>
        </row>
        <row r="3738">
          <cell r="P3738" t="str">
            <v>064172419</v>
          </cell>
          <cell r="Q3738" t="str">
            <v>Renewal (25% in 2020)</v>
          </cell>
        </row>
        <row r="3739">
          <cell r="P3739" t="str">
            <v>064006379</v>
          </cell>
          <cell r="Q3739" t="str">
            <v>Renewal (20% in 2020)</v>
          </cell>
        </row>
        <row r="3740">
          <cell r="P3740" t="str">
            <v>086163018</v>
          </cell>
          <cell r="Q3740" t="str">
            <v>Renewal (15% in 2020)</v>
          </cell>
        </row>
        <row r="3741">
          <cell r="P3741" t="str">
            <v>086163018</v>
          </cell>
          <cell r="Q3741" t="str">
            <v>Renewal (15% in 2020)</v>
          </cell>
        </row>
        <row r="3742">
          <cell r="P3742" t="str">
            <v>031159414</v>
          </cell>
          <cell r="Q3742" t="str">
            <v>Renewal (20% in 2020)</v>
          </cell>
        </row>
        <row r="3743">
          <cell r="P3743" t="str">
            <v>031159414</v>
          </cell>
          <cell r="Q3743" t="str">
            <v>Renewal (20% in 2020)</v>
          </cell>
        </row>
        <row r="3744">
          <cell r="P3744" t="str">
            <v>031159245</v>
          </cell>
          <cell r="Q3744" t="str">
            <v>Renewal (20% in 2020)</v>
          </cell>
        </row>
        <row r="3745">
          <cell r="P3745" t="str">
            <v>031158210</v>
          </cell>
          <cell r="Q3745" t="str">
            <v>Renewal (20% in 2020)</v>
          </cell>
        </row>
        <row r="3746">
          <cell r="P3746" t="str">
            <v>032167457</v>
          </cell>
          <cell r="Q3746" t="str">
            <v>Renewal (25% in 2020)</v>
          </cell>
        </row>
        <row r="3747">
          <cell r="P3747" t="str">
            <v>032165297</v>
          </cell>
          <cell r="Q3747" t="str">
            <v>Renewal (25% in 2020)</v>
          </cell>
        </row>
        <row r="3748">
          <cell r="P3748" t="str">
            <v>032167545</v>
          </cell>
          <cell r="Q3748" t="str">
            <v>Renewal (25% in 2020)</v>
          </cell>
        </row>
        <row r="3749">
          <cell r="P3749" t="str">
            <v>018154094</v>
          </cell>
          <cell r="Q3749" t="str">
            <v>Renewal (25% in 2020)</v>
          </cell>
        </row>
        <row r="3750">
          <cell r="P3750" t="str">
            <v>058020407</v>
          </cell>
          <cell r="Q3750" t="str">
            <v>Renewal (15% in 2020)</v>
          </cell>
        </row>
        <row r="3751">
          <cell r="P3751" t="str">
            <v>010008954</v>
          </cell>
          <cell r="Q3751" t="str">
            <v>Renewal (20% in 2020)</v>
          </cell>
        </row>
        <row r="3752">
          <cell r="P3752" t="str">
            <v>089001639</v>
          </cell>
          <cell r="Q3752" t="str">
            <v>Renewal (25% in 2020)</v>
          </cell>
        </row>
        <row r="3753">
          <cell r="P3753" t="str">
            <v>016164467</v>
          </cell>
          <cell r="Q3753" t="str">
            <v>Renewal (15% in 2020)</v>
          </cell>
        </row>
        <row r="3754">
          <cell r="P3754" t="str">
            <v>079158930</v>
          </cell>
          <cell r="Q3754" t="str">
            <v>Renewal (25% in 2020)</v>
          </cell>
        </row>
        <row r="3755">
          <cell r="P3755" t="str">
            <v>079158930</v>
          </cell>
          <cell r="Q3755" t="str">
            <v>Renewal (25% in 2020)</v>
          </cell>
        </row>
        <row r="3756">
          <cell r="P3756" t="str">
            <v>079013972</v>
          </cell>
          <cell r="Q3756" t="str">
            <v>Renewal (15% in 2020)</v>
          </cell>
        </row>
        <row r="3757">
          <cell r="P3757" t="str">
            <v>079159346</v>
          </cell>
          <cell r="Q3757" t="str">
            <v>Renewal (20% in 2020)</v>
          </cell>
        </row>
        <row r="3758">
          <cell r="P3758" t="str">
            <v>021156401</v>
          </cell>
          <cell r="Q3758" t="str">
            <v>New Contract</v>
          </cell>
        </row>
        <row r="3759">
          <cell r="P3759" t="str">
            <v>031015236</v>
          </cell>
          <cell r="Q3759" t="str">
            <v>Renewal (25% in 2020)</v>
          </cell>
        </row>
        <row r="3760">
          <cell r="P3760" t="str">
            <v>016165841</v>
          </cell>
          <cell r="Q3760" t="str">
            <v>Renewal (25% in 2020)</v>
          </cell>
        </row>
        <row r="3761">
          <cell r="P3761" t="str">
            <v>017164883</v>
          </cell>
          <cell r="Q3761" t="str">
            <v>Renewal (15% in 2020)</v>
          </cell>
        </row>
        <row r="3762">
          <cell r="P3762" t="str">
            <v>031160546</v>
          </cell>
          <cell r="Q3762" t="str">
            <v>New contract</v>
          </cell>
        </row>
        <row r="3763">
          <cell r="P3763" t="str">
            <v>017169123</v>
          </cell>
          <cell r="Q3763" t="str">
            <v>Renewal (25% in 2020)</v>
          </cell>
        </row>
        <row r="3764">
          <cell r="P3764" t="str">
            <v>086164329</v>
          </cell>
          <cell r="Q3764" t="str">
            <v>Renewal (20% in 2020)</v>
          </cell>
        </row>
        <row r="3765">
          <cell r="P3765" t="str">
            <v>071011279</v>
          </cell>
          <cell r="Q3765" t="str">
            <v>Renewal (20% in 2020)</v>
          </cell>
        </row>
        <row r="3766">
          <cell r="P3766" t="str">
            <v>017010128</v>
          </cell>
          <cell r="Q3766" t="str">
            <v>Renewal (15% in 2020)</v>
          </cell>
        </row>
        <row r="3767">
          <cell r="P3767" t="str">
            <v>055002499</v>
          </cell>
          <cell r="Q3767" t="str">
            <v>Renewal (20% in 2020)</v>
          </cell>
        </row>
        <row r="3768">
          <cell r="P3768" t="str">
            <v>079155650</v>
          </cell>
          <cell r="Q3768" t="str">
            <v>Renewal (20% in 2020)</v>
          </cell>
        </row>
        <row r="3769">
          <cell r="P3769" t="str">
            <v>086157031</v>
          </cell>
          <cell r="Q3769" t="str">
            <v>Renewal (15% in 2020)</v>
          </cell>
        </row>
        <row r="3770">
          <cell r="P3770" t="str">
            <v>016162554</v>
          </cell>
          <cell r="Q3770" t="str">
            <v>Renewal (15% in 2020)</v>
          </cell>
        </row>
        <row r="3771">
          <cell r="P3771" t="str">
            <v>016014577</v>
          </cell>
          <cell r="Q3771" t="str">
            <v>Renewal (15% in 2020)</v>
          </cell>
        </row>
        <row r="3772">
          <cell r="P3772" t="str">
            <v>052006567</v>
          </cell>
          <cell r="Q3772" t="str">
            <v>Renewal (25% in 2020)</v>
          </cell>
        </row>
        <row r="3773">
          <cell r="P3773" t="str">
            <v>017010405</v>
          </cell>
          <cell r="Q3773" t="str">
            <v>Renewal (15% in 2020)</v>
          </cell>
        </row>
        <row r="3774">
          <cell r="P3774" t="str">
            <v>017161184</v>
          </cell>
          <cell r="Q3774" t="str">
            <v>Renewal (15% in 2020)</v>
          </cell>
        </row>
        <row r="3775">
          <cell r="P3775" t="str">
            <v>079160609</v>
          </cell>
          <cell r="Q3775" t="str">
            <v>Renewal (15% in 2020)</v>
          </cell>
        </row>
        <row r="3776">
          <cell r="P3776" t="str">
            <v>047159463</v>
          </cell>
          <cell r="Q3776" t="str">
            <v>Renewal (25% in 2020)</v>
          </cell>
        </row>
        <row r="3777">
          <cell r="P3777" t="str">
            <v>017165055</v>
          </cell>
          <cell r="Q3777" t="str">
            <v>Renewal (25% in 2020)</v>
          </cell>
        </row>
        <row r="3778">
          <cell r="P3778" t="str">
            <v>021000000</v>
          </cell>
          <cell r="Q3778" t="str">
            <v>New Contract</v>
          </cell>
        </row>
        <row r="3779">
          <cell r="P3779" t="str">
            <v>079152063</v>
          </cell>
          <cell r="Q3779" t="str">
            <v>Renewal (15% in 2020)</v>
          </cell>
        </row>
        <row r="3780">
          <cell r="P3780" t="str">
            <v>079010264</v>
          </cell>
          <cell r="Q3780" t="str">
            <v>Renewal (15% in 2020)</v>
          </cell>
        </row>
        <row r="3781">
          <cell r="P3781" t="str">
            <v>021161960</v>
          </cell>
          <cell r="Q3781" t="str">
            <v>New Contract</v>
          </cell>
        </row>
        <row r="3782">
          <cell r="P3782" t="str">
            <v>054001623</v>
          </cell>
          <cell r="Q3782" t="str">
            <v>Renewal (30% in 2020)</v>
          </cell>
        </row>
        <row r="3783">
          <cell r="P3783" t="str">
            <v>017007914</v>
          </cell>
          <cell r="Q3783" t="str">
            <v>Renewal (25% in 2020)</v>
          </cell>
        </row>
        <row r="3784">
          <cell r="P3784" t="str">
            <v>055014013</v>
          </cell>
          <cell r="Q3784" t="str">
            <v>Renewal (20% in 2020)</v>
          </cell>
        </row>
        <row r="3785">
          <cell r="P3785" t="str">
            <v>058021210</v>
          </cell>
          <cell r="Q3785" t="str">
            <v>Renewal (25% in 2020)</v>
          </cell>
        </row>
        <row r="3786">
          <cell r="P3786" t="str">
            <v>016165835</v>
          </cell>
          <cell r="Q3786" t="str">
            <v>Renewal (15% in 2020)</v>
          </cell>
        </row>
        <row r="3787">
          <cell r="P3787" t="str">
            <v>017157845</v>
          </cell>
          <cell r="Q3787" t="str">
            <v>Renewal (20% in 2020)</v>
          </cell>
        </row>
        <row r="3788">
          <cell r="P3788" t="str">
            <v>086157528</v>
          </cell>
          <cell r="Q3788" t="str">
            <v>Renewal (15% in 2020)</v>
          </cell>
        </row>
        <row r="3789">
          <cell r="P3789" t="str">
            <v>017162131</v>
          </cell>
          <cell r="Q3789" t="str">
            <v>Renewal (20% in 2020)</v>
          </cell>
        </row>
        <row r="3790">
          <cell r="P3790" t="str">
            <v>079008046</v>
          </cell>
          <cell r="Q3790" t="str">
            <v>Renewal (30% in 2020)</v>
          </cell>
        </row>
        <row r="3791">
          <cell r="P3791" t="str">
            <v>016164075</v>
          </cell>
          <cell r="Q3791" t="str">
            <v>Renewal (30% in 2020)</v>
          </cell>
        </row>
        <row r="3792">
          <cell r="P3792" t="str">
            <v>086014631</v>
          </cell>
          <cell r="Q3792" t="str">
            <v>Renewal (15% in 2020)</v>
          </cell>
        </row>
        <row r="3793">
          <cell r="P3793" t="str">
            <v>016165150</v>
          </cell>
          <cell r="Q3793" t="str">
            <v>Renewal (20% in 2020)</v>
          </cell>
        </row>
        <row r="3794">
          <cell r="P3794" t="str">
            <v>086164225</v>
          </cell>
          <cell r="Q3794" t="str">
            <v>Renewal (15% in 2020)</v>
          </cell>
        </row>
        <row r="3795">
          <cell r="P3795" t="str">
            <v>031000886</v>
          </cell>
          <cell r="Q3795" t="str">
            <v>Renewal (15% in 2020)</v>
          </cell>
        </row>
        <row r="3796">
          <cell r="P3796" t="str">
            <v>089002182</v>
          </cell>
          <cell r="Q3796" t="str">
            <v>New contract</v>
          </cell>
        </row>
        <row r="3797">
          <cell r="P3797" t="str">
            <v>031157622</v>
          </cell>
          <cell r="Q3797" t="str">
            <v>Renewal (25% in 2020)</v>
          </cell>
        </row>
        <row r="3798">
          <cell r="P3798" t="str">
            <v>031155999</v>
          </cell>
          <cell r="Q3798" t="str">
            <v>Renewal (15% in 2020)</v>
          </cell>
        </row>
        <row r="3799">
          <cell r="P3799" t="str">
            <v>031155999</v>
          </cell>
          <cell r="Q3799" t="str">
            <v>Renewal (15% in 2020)</v>
          </cell>
        </row>
        <row r="3800">
          <cell r="P3800" t="str">
            <v>021155211</v>
          </cell>
          <cell r="Q3800" t="str">
            <v>New Contract</v>
          </cell>
        </row>
        <row r="3801">
          <cell r="P3801" t="str">
            <v>021008335</v>
          </cell>
          <cell r="Q3801" t="str">
            <v>New Contract</v>
          </cell>
        </row>
        <row r="3802">
          <cell r="P3802" t="str">
            <v>031007229</v>
          </cell>
          <cell r="Q3802" t="str">
            <v>Renewal (15% in 2020)</v>
          </cell>
        </row>
        <row r="3803">
          <cell r="P3803" t="str">
            <v>086002485</v>
          </cell>
          <cell r="Q3803" t="str">
            <v>Renewal (15% in 2020)</v>
          </cell>
        </row>
        <row r="3804">
          <cell r="P3804" t="str">
            <v>016162130</v>
          </cell>
          <cell r="Q3804" t="str">
            <v>Renewal (20% in 2020)</v>
          </cell>
        </row>
        <row r="3805">
          <cell r="P3805" t="str">
            <v>079153598</v>
          </cell>
          <cell r="Q3805" t="str">
            <v>Renewal (20% in 2020)</v>
          </cell>
        </row>
        <row r="3806">
          <cell r="P3806" t="str">
            <v>003025152</v>
          </cell>
          <cell r="Q3806" t="str">
            <v>Renewal (15% in 2020)</v>
          </cell>
        </row>
        <row r="3807">
          <cell r="P3807" t="str">
            <v>079161478</v>
          </cell>
          <cell r="Q3807" t="str">
            <v>New contract</v>
          </cell>
        </row>
        <row r="3808">
          <cell r="P3808" t="str">
            <v>031008606</v>
          </cell>
          <cell r="Q3808" t="str">
            <v>New Contract</v>
          </cell>
        </row>
        <row r="3809">
          <cell r="P3809" t="str">
            <v>031158828</v>
          </cell>
          <cell r="Q3809" t="str">
            <v>Renewal (15% in 2020)</v>
          </cell>
        </row>
        <row r="3810">
          <cell r="P3810" t="str">
            <v>021005579</v>
          </cell>
          <cell r="Q3810" t="str">
            <v>New Contract</v>
          </cell>
        </row>
        <row r="3811">
          <cell r="P3811" t="str">
            <v>086006667</v>
          </cell>
          <cell r="Q3811" t="str">
            <v>Renewal (25% in 2020)</v>
          </cell>
        </row>
        <row r="3812">
          <cell r="P3812" t="str">
            <v>086002376</v>
          </cell>
          <cell r="Q3812" t="str">
            <v>Renewal (15% in 2020)</v>
          </cell>
        </row>
        <row r="3813">
          <cell r="P3813" t="str">
            <v>032160282</v>
          </cell>
          <cell r="Q3813" t="str">
            <v>Renewal (20% in 2020)</v>
          </cell>
        </row>
        <row r="3814">
          <cell r="P3814" t="str">
            <v>024037992</v>
          </cell>
          <cell r="Q3814" t="str">
            <v>Renewal (20% in 2020)</v>
          </cell>
        </row>
        <row r="3815">
          <cell r="P3815" t="str">
            <v>021161340</v>
          </cell>
          <cell r="Q3815" t="str">
            <v>New contract</v>
          </cell>
        </row>
        <row r="3816">
          <cell r="P3816" t="str">
            <v>031000248</v>
          </cell>
          <cell r="Q3816" t="str">
            <v>Renewal (15% in 2020)</v>
          </cell>
        </row>
        <row r="3817">
          <cell r="P3817" t="str">
            <v>021009338</v>
          </cell>
          <cell r="Q3817" t="str">
            <v>New Contract</v>
          </cell>
        </row>
        <row r="3818">
          <cell r="P3818" t="str">
            <v>055014006</v>
          </cell>
          <cell r="Q3818" t="str">
            <v>New Contract</v>
          </cell>
        </row>
        <row r="3819">
          <cell r="P3819" t="str">
            <v>031152112</v>
          </cell>
          <cell r="Q3819" t="str">
            <v>New Contract</v>
          </cell>
        </row>
        <row r="3820">
          <cell r="P3820" t="str">
            <v>031154691</v>
          </cell>
          <cell r="Q3820" t="str">
            <v>New Contract</v>
          </cell>
        </row>
        <row r="3821">
          <cell r="P3821" t="str">
            <v>016167062</v>
          </cell>
          <cell r="Q3821" t="str">
            <v>Renewal (30% in 2020)</v>
          </cell>
        </row>
        <row r="3822">
          <cell r="P3822" t="str">
            <v>086004927</v>
          </cell>
          <cell r="Q3822" t="str">
            <v>Renewal (15% in 2020)</v>
          </cell>
        </row>
        <row r="3823">
          <cell r="P3823" t="str">
            <v>079161001</v>
          </cell>
          <cell r="Q3823" t="str">
            <v>New Contract</v>
          </cell>
        </row>
        <row r="3824">
          <cell r="P3824" t="str">
            <v>079006795</v>
          </cell>
          <cell r="Q3824" t="str">
            <v>Renewal (30% in 2020)</v>
          </cell>
        </row>
        <row r="3825">
          <cell r="P3825" t="str">
            <v>086010500</v>
          </cell>
          <cell r="Q3825" t="str">
            <v>New Contract</v>
          </cell>
        </row>
        <row r="3826">
          <cell r="P3826" t="str">
            <v>039154997</v>
          </cell>
          <cell r="Q3826" t="str">
            <v>Renewal (15% in 2020)</v>
          </cell>
        </row>
        <row r="3827">
          <cell r="P3827" t="str">
            <v>039155836</v>
          </cell>
          <cell r="Q3827" t="str">
            <v>Renewal (30% in 2020)</v>
          </cell>
        </row>
        <row r="3828">
          <cell r="P3828" t="str">
            <v>077002297</v>
          </cell>
          <cell r="Q3828" t="str">
            <v>New Contract</v>
          </cell>
        </row>
        <row r="3829">
          <cell r="P3829" t="str">
            <v>089011721</v>
          </cell>
          <cell r="Q3829" t="str">
            <v>New contract</v>
          </cell>
        </row>
        <row r="3830">
          <cell r="P3830" t="str">
            <v>021007512</v>
          </cell>
          <cell r="Q3830" t="str">
            <v>New contract</v>
          </cell>
        </row>
        <row r="3831">
          <cell r="P3831" t="str">
            <v>031011458</v>
          </cell>
          <cell r="Q3831" t="str">
            <v>New Contract</v>
          </cell>
        </row>
        <row r="3832">
          <cell r="P3832" t="str">
            <v>064021630</v>
          </cell>
          <cell r="Q3832" t="str">
            <v>Renewal (15% in 2020)</v>
          </cell>
        </row>
        <row r="3833">
          <cell r="P3833" t="str">
            <v>031009911</v>
          </cell>
          <cell r="Q3833" t="str">
            <v>Renewal (15% in 2020)</v>
          </cell>
        </row>
        <row r="3834">
          <cell r="P3834" t="str">
            <v>086861609</v>
          </cell>
          <cell r="Q3834" t="str">
            <v>New Contract</v>
          </cell>
        </row>
        <row r="3835">
          <cell r="P3835" t="str">
            <v>016162555</v>
          </cell>
          <cell r="Q3835" t="str">
            <v>New Contract</v>
          </cell>
        </row>
        <row r="3836">
          <cell r="P3836" t="str">
            <v>031004378</v>
          </cell>
          <cell r="Q3836" t="str">
            <v>New Contract</v>
          </cell>
        </row>
        <row r="3837">
          <cell r="P3837" t="str">
            <v>089004696</v>
          </cell>
          <cell r="Q3837" t="str">
            <v>New Contract</v>
          </cell>
        </row>
        <row r="3838">
          <cell r="P3838" t="str">
            <v>031004408</v>
          </cell>
          <cell r="Q3838" t="str">
            <v>Renewal (20% in 2020)</v>
          </cell>
        </row>
        <row r="3839">
          <cell r="P3839" t="str">
            <v>024016642</v>
          </cell>
          <cell r="Q3839" t="str">
            <v>Renewal (20% in 2020)</v>
          </cell>
        </row>
        <row r="3840">
          <cell r="P3840" t="str">
            <v>031158427</v>
          </cell>
          <cell r="Q3840" t="str">
            <v>New contract</v>
          </cell>
        </row>
        <row r="3841">
          <cell r="P3841" t="str">
            <v>016004791</v>
          </cell>
          <cell r="Q3841" t="str">
            <v>Renewal (15% in 2020)</v>
          </cell>
        </row>
        <row r="3842">
          <cell r="P3842" t="str">
            <v>031157342</v>
          </cell>
          <cell r="Q3842" t="str">
            <v>New Contract</v>
          </cell>
        </row>
        <row r="3843">
          <cell r="P3843" t="str">
            <v>024027913</v>
          </cell>
          <cell r="Q3843" t="str">
            <v>New Contract</v>
          </cell>
        </row>
        <row r="3844">
          <cell r="P3844" t="str">
            <v>032167164</v>
          </cell>
          <cell r="Q3844" t="str">
            <v>New contract</v>
          </cell>
        </row>
        <row r="3845">
          <cell r="P3845" t="str">
            <v>031004426</v>
          </cell>
          <cell r="Q3845" t="str">
            <v>Renewal (20% in 2020)</v>
          </cell>
        </row>
        <row r="3846">
          <cell r="P3846" t="str">
            <v>031156757</v>
          </cell>
          <cell r="Q3846" t="str">
            <v>Renewal (15% in 2020)</v>
          </cell>
        </row>
        <row r="3847">
          <cell r="P3847" t="str">
            <v>031156757</v>
          </cell>
          <cell r="Q3847" t="str">
            <v>Renewal (15% in 2020)</v>
          </cell>
        </row>
        <row r="3848">
          <cell r="P3848" t="str">
            <v>016010463</v>
          </cell>
          <cell r="Q3848" t="str">
            <v>New contract</v>
          </cell>
        </row>
        <row r="3849">
          <cell r="P3849" t="str">
            <v>032169153</v>
          </cell>
          <cell r="Q3849" t="str">
            <v>New contract</v>
          </cell>
        </row>
        <row r="3850">
          <cell r="P3850" t="str">
            <v>039156522</v>
          </cell>
          <cell r="Q3850" t="str">
            <v>Renewal (15% in 2020)</v>
          </cell>
        </row>
        <row r="3851">
          <cell r="P3851" t="str">
            <v>055014178</v>
          </cell>
          <cell r="Q3851" t="str">
            <v>Renewal (30% in 2020)</v>
          </cell>
        </row>
        <row r="3852">
          <cell r="P3852" t="str">
            <v>086162681</v>
          </cell>
          <cell r="Q3852" t="str">
            <v>Renewal (25% in 2020)</v>
          </cell>
        </row>
        <row r="3853">
          <cell r="P3853" t="str">
            <v>016003867</v>
          </cell>
          <cell r="Q3853" t="str">
            <v>Renewal (20% in 2020)</v>
          </cell>
        </row>
        <row r="3854">
          <cell r="P3854" t="str">
            <v>017012529</v>
          </cell>
          <cell r="Q3854" t="str">
            <v>Renewal (20% in 2020)</v>
          </cell>
        </row>
        <row r="3855">
          <cell r="P3855" t="str">
            <v>058007983</v>
          </cell>
          <cell r="Q3855" t="str">
            <v>Renewal (20% in 2020)</v>
          </cell>
        </row>
        <row r="3856">
          <cell r="P3856" t="str">
            <v>079158679</v>
          </cell>
          <cell r="Q3856" t="str">
            <v>Renewal (20% in 2020)</v>
          </cell>
        </row>
        <row r="3857">
          <cell r="P3857" t="str">
            <v>052013076</v>
          </cell>
          <cell r="Q3857" t="str">
            <v>Renewal (20% in 2020)</v>
          </cell>
        </row>
        <row r="3858">
          <cell r="P3858" t="str">
            <v>079156541</v>
          </cell>
          <cell r="Q3858" t="str">
            <v>Renewal (15% in 2020)</v>
          </cell>
        </row>
        <row r="3859">
          <cell r="P3859" t="str">
            <v>054008894</v>
          </cell>
          <cell r="Q3859" t="str">
            <v>Renewal (20% in 2020)</v>
          </cell>
        </row>
        <row r="3860">
          <cell r="P3860" t="str">
            <v>086164474</v>
          </cell>
          <cell r="Q3860" t="str">
            <v>Renewal (25% in 2020)</v>
          </cell>
        </row>
        <row r="3861">
          <cell r="P3861" t="str">
            <v>023020464</v>
          </cell>
          <cell r="Q3861" t="str">
            <v>Renewal (30% in 2020)</v>
          </cell>
        </row>
        <row r="3862">
          <cell r="P3862" t="str">
            <v>079155897</v>
          </cell>
          <cell r="Q3862" t="str">
            <v>Renewal (15% in 2020)</v>
          </cell>
        </row>
        <row r="3863">
          <cell r="P3863" t="str">
            <v>086014176</v>
          </cell>
          <cell r="Q3863" t="str">
            <v>Renewal (15% in 2020)</v>
          </cell>
        </row>
        <row r="3864">
          <cell r="P3864" t="str">
            <v>079159911</v>
          </cell>
          <cell r="Q3864" t="str">
            <v>Renewal (20% in 2020)</v>
          </cell>
        </row>
        <row r="3865">
          <cell r="P3865" t="str">
            <v>079003762</v>
          </cell>
          <cell r="Q3865" t="str">
            <v>Renewal (15% in 2020)</v>
          </cell>
        </row>
        <row r="3866">
          <cell r="P3866" t="str">
            <v>047018549</v>
          </cell>
          <cell r="Q3866" t="str">
            <v>Renewal (25% in 2020)</v>
          </cell>
        </row>
        <row r="3867">
          <cell r="P3867" t="str">
            <v>017166335</v>
          </cell>
          <cell r="Q3867" t="str">
            <v>Renewal (30% in 2020)</v>
          </cell>
        </row>
        <row r="3868">
          <cell r="P3868" t="str">
            <v>039156296</v>
          </cell>
          <cell r="Q3868" t="str">
            <v>New Contract</v>
          </cell>
        </row>
        <row r="3869">
          <cell r="P3869" t="str">
            <v>032014649</v>
          </cell>
          <cell r="Q3869" t="str">
            <v>New Contract</v>
          </cell>
        </row>
        <row r="3870">
          <cell r="P3870" t="str">
            <v>031006385</v>
          </cell>
          <cell r="Q3870" t="str">
            <v>Renewal (20% in 2020)</v>
          </cell>
        </row>
        <row r="3871">
          <cell r="P3871" t="str">
            <v>016009817</v>
          </cell>
          <cell r="Q3871" t="str">
            <v>Renewal (20% in 2020)</v>
          </cell>
        </row>
        <row r="3872">
          <cell r="P3872" t="str">
            <v>086161875</v>
          </cell>
          <cell r="Q3872" t="str">
            <v>Renewal (15% in 2020)</v>
          </cell>
        </row>
        <row r="3873">
          <cell r="P3873" t="str">
            <v>079016243</v>
          </cell>
          <cell r="Q3873" t="str">
            <v>Renewal (20% in 2020)</v>
          </cell>
        </row>
        <row r="3874">
          <cell r="P3874" t="str">
            <v>016014713</v>
          </cell>
          <cell r="Q3874" t="str">
            <v>Renewal (25% in 2020)</v>
          </cell>
        </row>
        <row r="3875">
          <cell r="P3875" t="str">
            <v>032004867</v>
          </cell>
          <cell r="Q3875" t="str">
            <v>New contract</v>
          </cell>
        </row>
        <row r="3876">
          <cell r="P3876" t="str">
            <v>017165415</v>
          </cell>
          <cell r="Q3876" t="str">
            <v>Renewal (25% in 2020)</v>
          </cell>
        </row>
        <row r="3877">
          <cell r="P3877" t="str">
            <v>040177079</v>
          </cell>
          <cell r="Q3877" t="str">
            <v>Renewal (30% in 2020)</v>
          </cell>
        </row>
        <row r="3878">
          <cell r="P3878" t="str">
            <v>032158673</v>
          </cell>
          <cell r="Q3878" t="str">
            <v>Renewal (15% in 2020)</v>
          </cell>
        </row>
        <row r="3879">
          <cell r="P3879" t="str">
            <v>017115663</v>
          </cell>
          <cell r="Q3879" t="str">
            <v>New contract</v>
          </cell>
        </row>
        <row r="3880">
          <cell r="P3880" t="str">
            <v>086157300</v>
          </cell>
          <cell r="Q3880" t="str">
            <v>Renewal (15% in 2020)</v>
          </cell>
        </row>
        <row r="3881">
          <cell r="P3881" t="str">
            <v>021161272</v>
          </cell>
          <cell r="Q3881" t="str">
            <v>New Contract</v>
          </cell>
        </row>
        <row r="3882">
          <cell r="P3882" t="str">
            <v>031151703</v>
          </cell>
          <cell r="Q3882" t="str">
            <v>Renewal (15% in 2020)</v>
          </cell>
        </row>
        <row r="3883">
          <cell r="P3883" t="str">
            <v>017166287</v>
          </cell>
          <cell r="Q3883" t="str">
            <v>Renewal (20% in 2020)</v>
          </cell>
        </row>
        <row r="3884">
          <cell r="P3884" t="str">
            <v>031155162</v>
          </cell>
          <cell r="Q3884" t="str">
            <v>New Contract</v>
          </cell>
        </row>
        <row r="3885">
          <cell r="P3885" t="str">
            <v>047159507</v>
          </cell>
          <cell r="Q3885" t="str">
            <v>Renewal (15% in 2020)</v>
          </cell>
        </row>
        <row r="3886">
          <cell r="P3886" t="str">
            <v>047170268</v>
          </cell>
          <cell r="Q3886" t="str">
            <v>Renewal (15% in 2020)</v>
          </cell>
        </row>
        <row r="3887">
          <cell r="P3887" t="str">
            <v>017166883</v>
          </cell>
          <cell r="Q3887" t="str">
            <v>New contract</v>
          </cell>
        </row>
        <row r="3888">
          <cell r="P3888" t="str">
            <v>017166883</v>
          </cell>
          <cell r="Q3888" t="str">
            <v>New contract</v>
          </cell>
        </row>
        <row r="3889">
          <cell r="P3889" t="str">
            <v>079155429</v>
          </cell>
          <cell r="Q3889" t="str">
            <v>New Contract</v>
          </cell>
        </row>
        <row r="3890">
          <cell r="P3890" t="str">
            <v>079157426</v>
          </cell>
          <cell r="Q3890" t="str">
            <v>Renewal (25% in 2020)</v>
          </cell>
        </row>
        <row r="3891">
          <cell r="P3891" t="str">
            <v>079153553</v>
          </cell>
          <cell r="Q3891" t="str">
            <v>New Contract</v>
          </cell>
        </row>
        <row r="3892">
          <cell r="P3892" t="str">
            <v>031013552</v>
          </cell>
          <cell r="Q3892" t="str">
            <v>New Contract</v>
          </cell>
        </row>
        <row r="3893">
          <cell r="P3893" t="str">
            <v>047164451</v>
          </cell>
          <cell r="Q3893" t="str">
            <v>Renewal (20% in 2020)</v>
          </cell>
        </row>
        <row r="3894">
          <cell r="P3894" t="str">
            <v>024014906</v>
          </cell>
          <cell r="Q3894" t="str">
            <v>Renewal (25% in 2020)</v>
          </cell>
        </row>
        <row r="3895">
          <cell r="P3895" t="str">
            <v>079159128</v>
          </cell>
          <cell r="Q3895" t="str">
            <v>Renewal (25% in 2020)</v>
          </cell>
        </row>
        <row r="3896">
          <cell r="P3896" t="str">
            <v>079009983</v>
          </cell>
          <cell r="Q3896" t="str">
            <v>New Contract</v>
          </cell>
        </row>
        <row r="3897">
          <cell r="P3897" t="str">
            <v>079155226</v>
          </cell>
          <cell r="Q3897" t="str">
            <v>Renewal (15% in 2020)</v>
          </cell>
        </row>
        <row r="3898">
          <cell r="P3898" t="str">
            <v>086163909</v>
          </cell>
          <cell r="Q3898" t="str">
            <v>Renewal (15% in 2020)</v>
          </cell>
        </row>
        <row r="3899">
          <cell r="P3899" t="str">
            <v>024032899</v>
          </cell>
          <cell r="Q3899" t="str">
            <v>Renewal (20% in 2020)</v>
          </cell>
        </row>
        <row r="3900">
          <cell r="P3900" t="str">
            <v>018158008</v>
          </cell>
          <cell r="Q3900" t="str">
            <v>Renewal (25% in 2020)</v>
          </cell>
        </row>
        <row r="3901">
          <cell r="P3901" t="str">
            <v>081015286</v>
          </cell>
          <cell r="Q3901" t="str">
            <v>New contract</v>
          </cell>
        </row>
        <row r="3902">
          <cell r="P3902" t="str">
            <v>021004260</v>
          </cell>
          <cell r="Q3902" t="str">
            <v>New Contract</v>
          </cell>
        </row>
        <row r="3903">
          <cell r="P3903" t="str">
            <v>021011488</v>
          </cell>
          <cell r="Q3903" t="str">
            <v>New contract</v>
          </cell>
        </row>
        <row r="3904">
          <cell r="P3904" t="str">
            <v>071159607</v>
          </cell>
          <cell r="Q3904" t="str">
            <v>Renewal (20% in 2020)</v>
          </cell>
        </row>
        <row r="3905">
          <cell r="P3905" t="str">
            <v>016156280</v>
          </cell>
          <cell r="Q3905" t="str">
            <v>Renewal (15% in 2020)</v>
          </cell>
        </row>
        <row r="3906">
          <cell r="P3906" t="str">
            <v>016162211</v>
          </cell>
          <cell r="Q3906" t="str">
            <v>Renewal (20% in 2020)</v>
          </cell>
        </row>
        <row r="3907">
          <cell r="P3907" t="str">
            <v>079155729</v>
          </cell>
          <cell r="Q3907" t="str">
            <v>Renewal (15% in 2020)</v>
          </cell>
        </row>
        <row r="3908">
          <cell r="P3908" t="str">
            <v>032164818</v>
          </cell>
          <cell r="Q3908" t="str">
            <v>New Contract</v>
          </cell>
        </row>
        <row r="3909">
          <cell r="P3909" t="str">
            <v>086161150</v>
          </cell>
          <cell r="Q3909" t="str">
            <v>Renewal (15% in 2020)</v>
          </cell>
        </row>
        <row r="3910">
          <cell r="P3910" t="str">
            <v>021002985</v>
          </cell>
          <cell r="Q3910" t="str">
            <v>New Contract</v>
          </cell>
        </row>
        <row r="3911">
          <cell r="P3911" t="str">
            <v>017008166</v>
          </cell>
          <cell r="Q3911" t="str">
            <v>New contract</v>
          </cell>
        </row>
        <row r="3912">
          <cell r="P3912" t="str">
            <v>086163360</v>
          </cell>
          <cell r="Q3912" t="str">
            <v>Renewal (30% in 2020)</v>
          </cell>
        </row>
        <row r="3913">
          <cell r="P3913" t="str">
            <v>021161276</v>
          </cell>
          <cell r="Q3913" t="str">
            <v>New Contract</v>
          </cell>
        </row>
        <row r="3914">
          <cell r="P3914" t="str">
            <v>055014400</v>
          </cell>
          <cell r="Q3914" t="str">
            <v>Renewal (25% in 2020)</v>
          </cell>
        </row>
        <row r="3915">
          <cell r="P3915" t="str">
            <v>017162082</v>
          </cell>
          <cell r="Q3915" t="str">
            <v>Renewal (25% in 2020)</v>
          </cell>
        </row>
        <row r="3916">
          <cell r="P3916" t="str">
            <v>055015231</v>
          </cell>
          <cell r="Q3916" t="str">
            <v>Renewal (30% in 2020)</v>
          </cell>
        </row>
        <row r="3917">
          <cell r="P3917" t="str">
            <v>082001837</v>
          </cell>
          <cell r="Q3917" t="str">
            <v>New Contract</v>
          </cell>
        </row>
        <row r="3918">
          <cell r="P3918" t="str">
            <v>016000288</v>
          </cell>
          <cell r="Q3918" t="str">
            <v>Renewal (20% in 2020)</v>
          </cell>
        </row>
        <row r="3919">
          <cell r="P3919" t="str">
            <v>055014969</v>
          </cell>
          <cell r="Q3919" t="str">
            <v>New Contract</v>
          </cell>
        </row>
        <row r="3920">
          <cell r="P3920" t="str">
            <v>079156830</v>
          </cell>
          <cell r="Q3920" t="str">
            <v>Renewal (30% in 2020)</v>
          </cell>
        </row>
        <row r="3921">
          <cell r="P3921" t="str">
            <v>086011579</v>
          </cell>
          <cell r="Q3921" t="str">
            <v>Renewal (15% in 2020)</v>
          </cell>
        </row>
        <row r="3922">
          <cell r="P3922" t="str">
            <v>031154204</v>
          </cell>
          <cell r="Q3922" t="str">
            <v>Renewal (20% in 2020)</v>
          </cell>
        </row>
        <row r="3923">
          <cell r="P3923" t="str">
            <v>031154204</v>
          </cell>
          <cell r="Q3923" t="str">
            <v>Renewal (20% in 2020)</v>
          </cell>
        </row>
        <row r="3924">
          <cell r="P3924" t="str">
            <v>052012030</v>
          </cell>
          <cell r="Q3924" t="str">
            <v>Renewal (20% in 2020)</v>
          </cell>
        </row>
        <row r="3925">
          <cell r="P3925" t="str">
            <v>055014063</v>
          </cell>
          <cell r="Q3925" t="str">
            <v>Renewal (20% in 2020)</v>
          </cell>
        </row>
        <row r="3926">
          <cell r="P3926" t="str">
            <v>024016472</v>
          </cell>
          <cell r="Q3926" t="str">
            <v>Renewal (15% in 2020)</v>
          </cell>
        </row>
        <row r="3927">
          <cell r="P3927" t="str">
            <v>016161569</v>
          </cell>
          <cell r="Q3927" t="str">
            <v>Renewal (15% in 2020)</v>
          </cell>
        </row>
        <row r="3928">
          <cell r="P3928" t="str">
            <v>079154260</v>
          </cell>
          <cell r="Q3928" t="str">
            <v>Renewal (15% in 2020)</v>
          </cell>
        </row>
        <row r="3929">
          <cell r="P3929" t="str">
            <v>016166361</v>
          </cell>
          <cell r="Q3929" t="str">
            <v>Renewal (15% in 2020)</v>
          </cell>
        </row>
        <row r="3930">
          <cell r="P3930" t="str">
            <v>079010868</v>
          </cell>
          <cell r="Q3930" t="str">
            <v>Renewal (30% in 2020)</v>
          </cell>
        </row>
        <row r="3931">
          <cell r="P3931" t="str">
            <v>055014209</v>
          </cell>
          <cell r="Q3931" t="str">
            <v>Renewal (20% in 2020)</v>
          </cell>
        </row>
        <row r="3932">
          <cell r="P3932" t="str">
            <v>016155336</v>
          </cell>
          <cell r="Q3932" t="str">
            <v>Renewal (20% in 2020)</v>
          </cell>
        </row>
        <row r="3933">
          <cell r="P3933" t="str">
            <v>016004237</v>
          </cell>
          <cell r="Q3933" t="str">
            <v>Renewal (20% in 2020)</v>
          </cell>
        </row>
        <row r="3934">
          <cell r="P3934" t="str">
            <v>016004170</v>
          </cell>
          <cell r="Q3934" t="str">
            <v>Renewal (20% in 2020)</v>
          </cell>
        </row>
        <row r="3935">
          <cell r="P3935" t="str">
            <v>031156132</v>
          </cell>
          <cell r="Q3935" t="str">
            <v>Renewal (15% in 2020)</v>
          </cell>
        </row>
        <row r="3936">
          <cell r="P3936" t="str">
            <v>016163910</v>
          </cell>
          <cell r="Q3936" t="str">
            <v>New Contract</v>
          </cell>
        </row>
        <row r="3937">
          <cell r="P3937" t="str">
            <v>017167587</v>
          </cell>
          <cell r="Q3937" t="str">
            <v>Renewal (15% in 2020)</v>
          </cell>
        </row>
        <row r="3938">
          <cell r="P3938" t="str">
            <v>058020803</v>
          </cell>
          <cell r="Q3938" t="str">
            <v>Renewal (25% in 2020)</v>
          </cell>
        </row>
        <row r="3939">
          <cell r="P3939" t="str">
            <v>016013619</v>
          </cell>
          <cell r="Q3939" t="str">
            <v>Renewal (20% in 2020)</v>
          </cell>
        </row>
        <row r="3940">
          <cell r="P3940" t="str">
            <v>021004588</v>
          </cell>
          <cell r="Q3940" t="str">
            <v>New Contract</v>
          </cell>
        </row>
        <row r="3941">
          <cell r="P3941" t="str">
            <v>016165184</v>
          </cell>
          <cell r="Q3941" t="str">
            <v>Renewal (20% in 2020)</v>
          </cell>
        </row>
        <row r="3942">
          <cell r="P3942" t="str">
            <v>031158750</v>
          </cell>
          <cell r="Q3942" t="str">
            <v>Renewal (25% in 2020)</v>
          </cell>
        </row>
        <row r="3943">
          <cell r="P3943" t="str">
            <v>031158750</v>
          </cell>
          <cell r="Q3943" t="str">
            <v>Renewal (25% in 2020)</v>
          </cell>
        </row>
        <row r="3944">
          <cell r="P3944" t="str">
            <v>031013486</v>
          </cell>
          <cell r="Q3944" t="str">
            <v>New contract</v>
          </cell>
        </row>
        <row r="3945">
          <cell r="P3945" t="str">
            <v>086162366</v>
          </cell>
          <cell r="Q3945" t="str">
            <v>Renewal (15% in 2020)</v>
          </cell>
        </row>
        <row r="3946">
          <cell r="P3946" t="str">
            <v>032018547</v>
          </cell>
          <cell r="Q3946" t="str">
            <v>Renewal (15% in 2020)</v>
          </cell>
        </row>
        <row r="3947">
          <cell r="P3947" t="str">
            <v>032018547</v>
          </cell>
          <cell r="Q3947" t="str">
            <v>Renewal (15% in 2020)</v>
          </cell>
        </row>
        <row r="3948">
          <cell r="P3948" t="str">
            <v>031156755</v>
          </cell>
          <cell r="Q3948" t="str">
            <v>Renewal (15% in 2020)</v>
          </cell>
        </row>
        <row r="3949">
          <cell r="P3949" t="str">
            <v>017165825</v>
          </cell>
          <cell r="Q3949" t="str">
            <v>New contract</v>
          </cell>
        </row>
        <row r="3950">
          <cell r="P3950" t="str">
            <v>021159558</v>
          </cell>
          <cell r="Q3950" t="str">
            <v>New contract</v>
          </cell>
        </row>
        <row r="3951">
          <cell r="P3951" t="str">
            <v>086164562</v>
          </cell>
          <cell r="Q3951" t="str">
            <v>Renewal (30% in 2020)</v>
          </cell>
        </row>
        <row r="3952">
          <cell r="P3952" t="str">
            <v>086163766</v>
          </cell>
          <cell r="Q3952" t="str">
            <v>Renewal (15% in 2020)</v>
          </cell>
        </row>
        <row r="3953">
          <cell r="P3953" t="str">
            <v>032165759</v>
          </cell>
          <cell r="Q3953" t="str">
            <v>New contract</v>
          </cell>
        </row>
        <row r="3954">
          <cell r="P3954" t="str">
            <v>016158858</v>
          </cell>
          <cell r="Q3954" t="str">
            <v>Renewal (15% in 2020)</v>
          </cell>
        </row>
        <row r="3955">
          <cell r="P3955" t="str">
            <v>086162764</v>
          </cell>
          <cell r="Q3955" t="str">
            <v>Renewal (20% in 2020)</v>
          </cell>
        </row>
        <row r="3956">
          <cell r="P3956" t="str">
            <v>032000144</v>
          </cell>
          <cell r="Q3956" t="str">
            <v>Renewal (20% in 2020)</v>
          </cell>
        </row>
        <row r="3957">
          <cell r="P3957" t="str">
            <v>089163802</v>
          </cell>
          <cell r="Q3957" t="str">
            <v>New contract</v>
          </cell>
        </row>
        <row r="3958">
          <cell r="P3958" t="str">
            <v>016005748</v>
          </cell>
          <cell r="Q3958" t="str">
            <v>Renewal (30% in 2020)</v>
          </cell>
        </row>
        <row r="3959">
          <cell r="P3959" t="str">
            <v>021010669</v>
          </cell>
          <cell r="Q3959" t="str">
            <v>New contract</v>
          </cell>
        </row>
        <row r="3960">
          <cell r="P3960" t="str">
            <v>016156350</v>
          </cell>
          <cell r="Q3960" t="str">
            <v>Renewal (15% in 2020)</v>
          </cell>
        </row>
        <row r="3961">
          <cell r="P3961" t="str">
            <v>031158220</v>
          </cell>
          <cell r="Q3961" t="str">
            <v>Renewal (15% in 2020)</v>
          </cell>
        </row>
        <row r="3962">
          <cell r="P3962" t="str">
            <v>011001987</v>
          </cell>
          <cell r="Q3962" t="str">
            <v>Renewal (20% in 2020)</v>
          </cell>
        </row>
        <row r="3963">
          <cell r="P3963" t="str">
            <v>086164747</v>
          </cell>
          <cell r="Q3963" t="str">
            <v>Renewal (15% in 2020)</v>
          </cell>
        </row>
        <row r="3964">
          <cell r="P3964" t="str">
            <v>024034120</v>
          </cell>
          <cell r="Q3964" t="str">
            <v>Renewal (30% in 2020)</v>
          </cell>
        </row>
        <row r="3965">
          <cell r="P3965" t="str">
            <v>070012287</v>
          </cell>
          <cell r="Q3965" t="str">
            <v>Renewal (20% in 2020)</v>
          </cell>
        </row>
        <row r="3966">
          <cell r="P3966" t="str">
            <v>003024733</v>
          </cell>
          <cell r="Q3966" t="str">
            <v>Renewal (20% in 2020)</v>
          </cell>
        </row>
        <row r="3967">
          <cell r="P3967" t="str">
            <v>032018870</v>
          </cell>
          <cell r="Q3967" t="str">
            <v>Renewal (15% in 2020)</v>
          </cell>
        </row>
        <row r="3968">
          <cell r="P3968" t="str">
            <v>079011702</v>
          </cell>
          <cell r="Q3968" t="str">
            <v>Renewal (25% in 2020)</v>
          </cell>
        </row>
        <row r="3969">
          <cell r="P3969" t="str">
            <v>024025570</v>
          </cell>
          <cell r="Q3969" t="str">
            <v>Renewal (20% in 2020)</v>
          </cell>
        </row>
        <row r="3970">
          <cell r="P3970" t="str">
            <v>032158772</v>
          </cell>
          <cell r="Q3970" t="str">
            <v>Renewal (15% in 2020)</v>
          </cell>
        </row>
        <row r="3971">
          <cell r="P3971" t="str">
            <v>079156799</v>
          </cell>
          <cell r="Q3971" t="str">
            <v>Renewal (25% in 2020)</v>
          </cell>
        </row>
        <row r="3972">
          <cell r="P3972" t="str">
            <v>016161998</v>
          </cell>
          <cell r="Q3972" t="str">
            <v>Renewal (20% in 2020)</v>
          </cell>
        </row>
        <row r="3973">
          <cell r="P3973" t="str">
            <v>089008505</v>
          </cell>
          <cell r="Q3973" t="str">
            <v>New Contract</v>
          </cell>
        </row>
        <row r="3974">
          <cell r="P3974" t="str">
            <v>016161683</v>
          </cell>
          <cell r="Q3974" t="str">
            <v>Renewal (25% in 2020)</v>
          </cell>
        </row>
        <row r="3975">
          <cell r="P3975" t="str">
            <v>024029820</v>
          </cell>
          <cell r="Q3975" t="str">
            <v>Renewal (15% in 2020)</v>
          </cell>
        </row>
        <row r="3976">
          <cell r="P3976" t="str">
            <v>086163965</v>
          </cell>
          <cell r="Q3976" t="str">
            <v>Renewal (15% in 2020)</v>
          </cell>
        </row>
        <row r="3977">
          <cell r="P3977" t="str">
            <v>086015849</v>
          </cell>
          <cell r="Q3977" t="str">
            <v>Renewal (20% in 2020)</v>
          </cell>
        </row>
        <row r="3978">
          <cell r="P3978" t="str">
            <v>024037169</v>
          </cell>
          <cell r="Q3978" t="str">
            <v>Renewal (20% in 2020)</v>
          </cell>
        </row>
        <row r="3979">
          <cell r="P3979" t="str">
            <v>054014264</v>
          </cell>
          <cell r="Q3979" t="str">
            <v>Renewal (25% in 2020)</v>
          </cell>
        </row>
        <row r="3980">
          <cell r="P3980" t="str">
            <v>016166770</v>
          </cell>
          <cell r="Q3980" t="str">
            <v>Renewal (30% in 2020)</v>
          </cell>
        </row>
        <row r="3981">
          <cell r="P3981" t="str">
            <v>079014953</v>
          </cell>
          <cell r="Q3981" t="str">
            <v>Renewal (30% in 2020)</v>
          </cell>
        </row>
        <row r="3982">
          <cell r="P3982" t="str">
            <v>064171807</v>
          </cell>
          <cell r="Q3982" t="str">
            <v>Renewal (20% in 2020)</v>
          </cell>
        </row>
        <row r="3983">
          <cell r="P3983" t="str">
            <v>086015908</v>
          </cell>
          <cell r="Q3983" t="str">
            <v>Renewal (15% in 2020)</v>
          </cell>
        </row>
        <row r="3984">
          <cell r="P3984" t="str">
            <v>079152504</v>
          </cell>
          <cell r="Q3984" t="str">
            <v>Renewal (15% in 2020)</v>
          </cell>
        </row>
        <row r="3985">
          <cell r="P3985" t="str">
            <v>055008404</v>
          </cell>
          <cell r="Q3985" t="str">
            <v>New Contract</v>
          </cell>
        </row>
        <row r="3986">
          <cell r="P3986" t="str">
            <v>016010085</v>
          </cell>
          <cell r="Q3986" t="str">
            <v>Renewal (15% in 2020)</v>
          </cell>
        </row>
        <row r="3987">
          <cell r="P3987" t="str">
            <v>055001407</v>
          </cell>
          <cell r="Q3987" t="str">
            <v>Renewal (15% in 2020)</v>
          </cell>
        </row>
        <row r="3988">
          <cell r="P3988" t="str">
            <v>016164519</v>
          </cell>
          <cell r="Q3988" t="str">
            <v>Renewal (15% in 2020)</v>
          </cell>
        </row>
        <row r="3989">
          <cell r="P3989" t="str">
            <v>031157298</v>
          </cell>
          <cell r="Q3989" t="str">
            <v>New Contract</v>
          </cell>
        </row>
        <row r="3990">
          <cell r="P3990" t="str">
            <v>017155551</v>
          </cell>
          <cell r="Q3990" t="str">
            <v>New Contract</v>
          </cell>
        </row>
        <row r="3991">
          <cell r="P3991" t="str">
            <v>031152889</v>
          </cell>
          <cell r="Q3991" t="str">
            <v>Renewal (25% in 2020)</v>
          </cell>
        </row>
        <row r="3992">
          <cell r="P3992" t="str">
            <v>021010420</v>
          </cell>
          <cell r="Q3992" t="str">
            <v>New Contract</v>
          </cell>
        </row>
        <row r="3993">
          <cell r="P3993" t="str">
            <v>021007346</v>
          </cell>
          <cell r="Q3993" t="str">
            <v>New Contract</v>
          </cell>
        </row>
        <row r="3994">
          <cell r="P3994" t="str">
            <v>031152802</v>
          </cell>
          <cell r="Q3994" t="str">
            <v>New Contract</v>
          </cell>
        </row>
        <row r="3995">
          <cell r="P3995" t="str">
            <v>079160254</v>
          </cell>
          <cell r="Q3995" t="str">
            <v>Renewal (30% in 2020)</v>
          </cell>
        </row>
        <row r="3996">
          <cell r="P3996" t="str">
            <v>017168112</v>
          </cell>
          <cell r="Q3996" t="str">
            <v>Renewal (25% in 2020)</v>
          </cell>
        </row>
        <row r="3997">
          <cell r="P3997" t="str">
            <v>016165607</v>
          </cell>
          <cell r="Q3997" t="str">
            <v>New Contract</v>
          </cell>
        </row>
        <row r="3998">
          <cell r="P3998" t="str">
            <v>031006096</v>
          </cell>
          <cell r="Q3998" t="str">
            <v>Renewal (15% in 2020)</v>
          </cell>
        </row>
        <row r="3999">
          <cell r="P3999" t="str">
            <v>031011554</v>
          </cell>
          <cell r="Q3999" t="str">
            <v>Renewal (20% in 2020)</v>
          </cell>
        </row>
        <row r="4000">
          <cell r="P4000" t="str">
            <v>058020343</v>
          </cell>
          <cell r="Q4000" t="str">
            <v>Renewal (25% in 2020)</v>
          </cell>
        </row>
        <row r="4001">
          <cell r="P4001" t="str">
            <v>079156259</v>
          </cell>
          <cell r="Q4001" t="str">
            <v>Renewal (30% in 2020)</v>
          </cell>
        </row>
        <row r="4002">
          <cell r="P4002" t="str">
            <v>086006822</v>
          </cell>
          <cell r="Q4002" t="str">
            <v>Renewal (15% in 2020)</v>
          </cell>
        </row>
        <row r="4003">
          <cell r="P4003" t="str">
            <v>017162750</v>
          </cell>
          <cell r="Q4003" t="str">
            <v>Renewal (15% in 2020)</v>
          </cell>
        </row>
        <row r="4004">
          <cell r="P4004" t="str">
            <v>055014826</v>
          </cell>
          <cell r="Q4004" t="str">
            <v>Renewal (15% in 2020)</v>
          </cell>
        </row>
        <row r="4005">
          <cell r="P4005" t="str">
            <v>017166281</v>
          </cell>
          <cell r="Q4005" t="str">
            <v>Renewal (30% in 2020)</v>
          </cell>
        </row>
        <row r="4006">
          <cell r="P4006" t="str">
            <v>016003683</v>
          </cell>
          <cell r="Q4006" t="str">
            <v>Renewal (15% in 2020)</v>
          </cell>
        </row>
        <row r="4007">
          <cell r="P4007" t="str">
            <v>079020336</v>
          </cell>
          <cell r="Q4007" t="str">
            <v>Renewal (20% in 2020)</v>
          </cell>
        </row>
        <row r="4008">
          <cell r="P4008" t="str">
            <v>016005423</v>
          </cell>
          <cell r="Q4008" t="str">
            <v>Renewal (15% in 2020)</v>
          </cell>
        </row>
        <row r="4009">
          <cell r="P4009" t="str">
            <v>016156461</v>
          </cell>
          <cell r="Q4009" t="str">
            <v>Renewal (25% in 2020)</v>
          </cell>
        </row>
        <row r="4010">
          <cell r="P4010" t="str">
            <v>017155498</v>
          </cell>
          <cell r="Q4010" t="str">
            <v>Renewal (20% in 2020)</v>
          </cell>
        </row>
        <row r="4011">
          <cell r="P4011" t="str">
            <v>037157846</v>
          </cell>
          <cell r="Q4011" t="str">
            <v>Renewal (20% in 2020)</v>
          </cell>
        </row>
        <row r="4012">
          <cell r="P4012" t="str">
            <v>017163423</v>
          </cell>
          <cell r="Q4012" t="str">
            <v>Renewal (20% in 2020)</v>
          </cell>
        </row>
        <row r="4013">
          <cell r="P4013" t="str">
            <v>079154631</v>
          </cell>
          <cell r="Q4013" t="str">
            <v>Renewal (15% in 2020)</v>
          </cell>
        </row>
        <row r="4014">
          <cell r="P4014" t="str">
            <v>086007886</v>
          </cell>
          <cell r="Q4014" t="str">
            <v>Renewal (30% in 2020)</v>
          </cell>
        </row>
        <row r="4015">
          <cell r="P4015" t="str">
            <v>079160610</v>
          </cell>
          <cell r="Q4015" t="str">
            <v>Renewal (20% in 2020)</v>
          </cell>
        </row>
        <row r="4016">
          <cell r="P4016" t="str">
            <v>016158032</v>
          </cell>
          <cell r="Q4016" t="str">
            <v>Renewal (30% in 2020)</v>
          </cell>
        </row>
        <row r="4017">
          <cell r="P4017" t="str">
            <v>070009117</v>
          </cell>
          <cell r="Q4017" t="str">
            <v>Renewal (15% in 2020)</v>
          </cell>
        </row>
        <row r="4018">
          <cell r="P4018" t="str">
            <v>086015736</v>
          </cell>
          <cell r="Q4018" t="str">
            <v>Renewal (25% in 2020)</v>
          </cell>
        </row>
        <row r="4019">
          <cell r="P4019" t="str">
            <v>079159629</v>
          </cell>
          <cell r="Q4019" t="str">
            <v>Renewal (15% in 2020)</v>
          </cell>
        </row>
        <row r="4020">
          <cell r="P4020" t="str">
            <v>086161765</v>
          </cell>
          <cell r="Q4020" t="str">
            <v>Renewal (25% in 2020)</v>
          </cell>
        </row>
        <row r="4021">
          <cell r="P4021" t="str">
            <v>055014044</v>
          </cell>
          <cell r="Q4021" t="str">
            <v>New Contract</v>
          </cell>
        </row>
        <row r="4022">
          <cell r="P4022" t="str">
            <v>055002018</v>
          </cell>
          <cell r="Q4022" t="str">
            <v>Renewal (20% in 2020)</v>
          </cell>
        </row>
        <row r="4023">
          <cell r="P4023" t="str">
            <v>079012000</v>
          </cell>
          <cell r="Q4023" t="str">
            <v>Renewal (30% in 2020)</v>
          </cell>
        </row>
        <row r="4024">
          <cell r="P4024" t="str">
            <v>079159678</v>
          </cell>
          <cell r="Q4024" t="str">
            <v>Renewal (30% in 2020)</v>
          </cell>
        </row>
        <row r="4025">
          <cell r="P4025" t="str">
            <v>016166828</v>
          </cell>
          <cell r="Q4025" t="str">
            <v>Renewal (20% in 2020)</v>
          </cell>
        </row>
        <row r="4026">
          <cell r="P4026" t="str">
            <v>079159180</v>
          </cell>
          <cell r="Q4026" t="str">
            <v>Renewal (20% in 2020)</v>
          </cell>
        </row>
        <row r="4027">
          <cell r="P4027" t="str">
            <v>089161302</v>
          </cell>
          <cell r="Q4027" t="str">
            <v>Renewal (25% in 2020)</v>
          </cell>
        </row>
        <row r="4028">
          <cell r="P4028" t="str">
            <v>031152840</v>
          </cell>
          <cell r="Q4028" t="str">
            <v>Renewal (20% in 2020)</v>
          </cell>
        </row>
        <row r="4029">
          <cell r="P4029" t="str">
            <v>016003377</v>
          </cell>
          <cell r="Q4029" t="str">
            <v>Renewal (25% in 2020)</v>
          </cell>
        </row>
        <row r="4030">
          <cell r="P4030" t="str">
            <v>031160422</v>
          </cell>
          <cell r="Q4030" t="str">
            <v>New Contract</v>
          </cell>
        </row>
        <row r="4031">
          <cell r="P4031" t="str">
            <v>021999999</v>
          </cell>
          <cell r="Q4031" t="str">
            <v>New Contract</v>
          </cell>
        </row>
        <row r="4032">
          <cell r="P4032" t="str">
            <v>031157206</v>
          </cell>
          <cell r="Q4032" t="str">
            <v>Renewal (15% in 2020)</v>
          </cell>
        </row>
        <row r="4033">
          <cell r="P4033" t="str">
            <v>016004953</v>
          </cell>
          <cell r="Q4033" t="str">
            <v>Renewal (20% in 2020)</v>
          </cell>
        </row>
        <row r="4034">
          <cell r="P4034" t="str">
            <v>017156886</v>
          </cell>
          <cell r="Q4034" t="str">
            <v>Renewal (15% in 2020)</v>
          </cell>
        </row>
        <row r="4035">
          <cell r="P4035" t="str">
            <v>021161738</v>
          </cell>
          <cell r="Q4035" t="str">
            <v>New Contract</v>
          </cell>
        </row>
        <row r="4036">
          <cell r="P4036" t="str">
            <v>086015229</v>
          </cell>
          <cell r="Q4036" t="str">
            <v>Renewal (15% in 2020)</v>
          </cell>
        </row>
        <row r="4037">
          <cell r="P4037" t="str">
            <v>016014849</v>
          </cell>
          <cell r="Q4037" t="str">
            <v>Renewal (15% in 2020)</v>
          </cell>
        </row>
        <row r="4038">
          <cell r="P4038" t="str">
            <v>079013062</v>
          </cell>
          <cell r="Q4038" t="str">
            <v>Renewal (20% in 2020)</v>
          </cell>
        </row>
        <row r="4039">
          <cell r="P4039" t="str">
            <v>017166689</v>
          </cell>
          <cell r="Q4039" t="str">
            <v>Renewal (20% in 2020)</v>
          </cell>
        </row>
        <row r="4040">
          <cell r="P4040" t="str">
            <v>055013658</v>
          </cell>
          <cell r="Q4040" t="str">
            <v>Renewal (15% in 2020)</v>
          </cell>
        </row>
        <row r="4041">
          <cell r="P4041" t="str">
            <v>017006833</v>
          </cell>
          <cell r="Q4041" t="str">
            <v>Renewal (30% in 2020)</v>
          </cell>
        </row>
        <row r="4042">
          <cell r="P4042" t="str">
            <v>031159936</v>
          </cell>
          <cell r="Q4042" t="str">
            <v>Renewal (15% in 2020)</v>
          </cell>
        </row>
        <row r="4043">
          <cell r="P4043" t="str">
            <v>031155109</v>
          </cell>
          <cell r="Q4043" t="str">
            <v>Renewal (15% in 2020)</v>
          </cell>
        </row>
        <row r="4044">
          <cell r="P4044" t="str">
            <v>052004575</v>
          </cell>
          <cell r="Q4044" t="str">
            <v>Renewal (20% in 2020)</v>
          </cell>
        </row>
        <row r="4045">
          <cell r="P4045" t="str">
            <v>011163042</v>
          </cell>
          <cell r="Q4045" t="str">
            <v>Renewal (25% in 2020)</v>
          </cell>
        </row>
        <row r="4046">
          <cell r="P4046" t="str">
            <v>016166389</v>
          </cell>
          <cell r="Q4046" t="str">
            <v>New Contract</v>
          </cell>
        </row>
        <row r="4047">
          <cell r="P4047" t="str">
            <v>031155909</v>
          </cell>
          <cell r="Q4047" t="str">
            <v>Renewal (15% in 2020)</v>
          </cell>
        </row>
        <row r="4048">
          <cell r="P4048" t="str">
            <v>081014743</v>
          </cell>
          <cell r="Q4048" t="str">
            <v>Renewal (30% in 2020)</v>
          </cell>
        </row>
        <row r="4049">
          <cell r="P4049" t="str">
            <v>055015825</v>
          </cell>
          <cell r="Q4049" t="str">
            <v>Renewal (15% in 2020)</v>
          </cell>
        </row>
        <row r="4050">
          <cell r="P4050" t="str">
            <v>031018265</v>
          </cell>
          <cell r="Q4050" t="str">
            <v>Renewal (15% in 2020)</v>
          </cell>
        </row>
        <row r="4051">
          <cell r="P4051" t="str">
            <v>036159936</v>
          </cell>
          <cell r="Q4051" t="str">
            <v>Renewal (15% in 2020)</v>
          </cell>
        </row>
        <row r="4052">
          <cell r="P4052" t="str">
            <v>032011535</v>
          </cell>
          <cell r="Q4052" t="str">
            <v>Renewal (25% in 2020)</v>
          </cell>
        </row>
        <row r="4053">
          <cell r="P4053" t="str">
            <v>052005997</v>
          </cell>
          <cell r="Q4053" t="str">
            <v>New Contract</v>
          </cell>
        </row>
        <row r="4054">
          <cell r="P4054" t="str">
            <v>021160429</v>
          </cell>
          <cell r="Q4054" t="str">
            <v>New Contract</v>
          </cell>
        </row>
        <row r="4055">
          <cell r="P4055" t="str">
            <v>021159430</v>
          </cell>
          <cell r="Q4055" t="str">
            <v>New Contract</v>
          </cell>
        </row>
        <row r="4056">
          <cell r="P4056" t="str">
            <v>082021199</v>
          </cell>
          <cell r="Q4056" t="str">
            <v>New Contract</v>
          </cell>
        </row>
        <row r="4057">
          <cell r="P4057" t="str">
            <v>079157626</v>
          </cell>
          <cell r="Q4057" t="str">
            <v>Renewal (20% in 2020)</v>
          </cell>
        </row>
        <row r="4058">
          <cell r="P4058" t="str">
            <v>079013544</v>
          </cell>
          <cell r="Q4058" t="str">
            <v>Renewal (20% in 2020)</v>
          </cell>
        </row>
        <row r="4059">
          <cell r="P4059" t="str">
            <v>032169114</v>
          </cell>
          <cell r="Q4059" t="str">
            <v>Renewal (15% in 2020)</v>
          </cell>
        </row>
        <row r="4060">
          <cell r="P4060" t="str">
            <v>032162742</v>
          </cell>
          <cell r="Q4060" t="str">
            <v>Renewal (15% in 2020)</v>
          </cell>
        </row>
        <row r="4061">
          <cell r="P4061" t="str">
            <v>031158853</v>
          </cell>
          <cell r="Q4061" t="str">
            <v>Renewal (15% in 2020)</v>
          </cell>
        </row>
        <row r="4062">
          <cell r="P4062" t="str">
            <v>031157455</v>
          </cell>
          <cell r="Q4062" t="str">
            <v>Renewal (25% in 2020)</v>
          </cell>
        </row>
        <row r="4063">
          <cell r="P4063" t="str">
            <v>032169467</v>
          </cell>
          <cell r="Q4063" t="str">
            <v>Renewal (25% in 2020)</v>
          </cell>
        </row>
        <row r="4064">
          <cell r="P4064" t="str">
            <v>027161911</v>
          </cell>
          <cell r="Q4064" t="str">
            <v>Renewal (15% in 2020)</v>
          </cell>
        </row>
        <row r="4065">
          <cell r="P4065" t="str">
            <v>016166542</v>
          </cell>
          <cell r="Q4065" t="str">
            <v>Renewal (25% in 2020)</v>
          </cell>
        </row>
        <row r="4066">
          <cell r="P4066" t="str">
            <v>079151335</v>
          </cell>
          <cell r="Q4066" t="str">
            <v>Renewal (20% in 2020)</v>
          </cell>
        </row>
        <row r="4067">
          <cell r="P4067" t="str">
            <v>016156373</v>
          </cell>
          <cell r="Q4067" t="str">
            <v>Renewal (25% in 2020)</v>
          </cell>
        </row>
        <row r="4068">
          <cell r="P4068" t="str">
            <v>032160100</v>
          </cell>
          <cell r="Q4068" t="str">
            <v>Renewal (15% in 2020)</v>
          </cell>
        </row>
        <row r="4069">
          <cell r="P4069" t="str">
            <v>032166727</v>
          </cell>
          <cell r="Q4069" t="str">
            <v>Renewal (15% in 2020)</v>
          </cell>
        </row>
        <row r="4070">
          <cell r="P4070" t="str">
            <v>086163975</v>
          </cell>
          <cell r="Q4070" t="str">
            <v>Renewal (20% in 2020)</v>
          </cell>
        </row>
        <row r="4071">
          <cell r="P4071" t="str">
            <v>031158368</v>
          </cell>
          <cell r="Q4071" t="str">
            <v>Renewal (15% in 2020)</v>
          </cell>
        </row>
        <row r="4072">
          <cell r="P4072" t="str">
            <v>032000000</v>
          </cell>
          <cell r="Q4072" t="str">
            <v>New Contract</v>
          </cell>
        </row>
        <row r="4073">
          <cell r="P4073" t="str">
            <v>016162366</v>
          </cell>
          <cell r="Q4073" t="str">
            <v>New contract</v>
          </cell>
        </row>
        <row r="4074">
          <cell r="P4074" t="str">
            <v>024035308</v>
          </cell>
          <cell r="Q4074" t="str">
            <v>New contract</v>
          </cell>
        </row>
        <row r="4075">
          <cell r="P4075" t="str">
            <v>017007159</v>
          </cell>
          <cell r="Q4075" t="str">
            <v>New Contract</v>
          </cell>
        </row>
        <row r="4076">
          <cell r="P4076" t="str">
            <v>086163491</v>
          </cell>
          <cell r="Q4076" t="str">
            <v>Renewal (20% in 2020)</v>
          </cell>
        </row>
        <row r="4077">
          <cell r="P4077" t="str">
            <v>047172004</v>
          </cell>
          <cell r="Q4077" t="str">
            <v>New Contract</v>
          </cell>
        </row>
        <row r="4078">
          <cell r="P4078" t="str">
            <v>086160733</v>
          </cell>
          <cell r="Q4078" t="str">
            <v>Renewal (20% in 2020)</v>
          </cell>
        </row>
        <row r="4079">
          <cell r="P4079" t="str">
            <v>089156923</v>
          </cell>
          <cell r="Q4079" t="str">
            <v>Renewal (25% in 2020)</v>
          </cell>
        </row>
        <row r="4080">
          <cell r="P4080" t="str">
            <v>079014164</v>
          </cell>
          <cell r="Q4080" t="str">
            <v>Renewal (15% in 2020)</v>
          </cell>
        </row>
        <row r="4081">
          <cell r="P4081" t="str">
            <v>086160400</v>
          </cell>
          <cell r="Q4081" t="str">
            <v>Renewal (30% in 2020)</v>
          </cell>
        </row>
        <row r="4082">
          <cell r="P4082" t="str">
            <v>032169445</v>
          </cell>
          <cell r="Q4082" t="str">
            <v>Renewal (25% in 2020)</v>
          </cell>
        </row>
        <row r="4083">
          <cell r="P4083" t="str">
            <v>031154206</v>
          </cell>
          <cell r="Q4083" t="str">
            <v>New contract</v>
          </cell>
        </row>
        <row r="4084">
          <cell r="P4084" t="str">
            <v>032019210</v>
          </cell>
          <cell r="Q4084" t="str">
            <v>New contract</v>
          </cell>
        </row>
        <row r="4085">
          <cell r="P4085" t="str">
            <v>021157491</v>
          </cell>
          <cell r="Q4085" t="str">
            <v>New Contract</v>
          </cell>
        </row>
        <row r="4086">
          <cell r="P4086" t="str">
            <v>081166235</v>
          </cell>
          <cell r="Q4086" t="str">
            <v>Renewal (30% in 2020)</v>
          </cell>
        </row>
        <row r="4087">
          <cell r="P4087" t="str">
            <v>016164082</v>
          </cell>
          <cell r="Q4087" t="str">
            <v>Renewal (20% in 2020)</v>
          </cell>
        </row>
        <row r="4088">
          <cell r="P4088" t="str">
            <v>064177516</v>
          </cell>
          <cell r="Q4088" t="str">
            <v>Renewal (20% in 2020)</v>
          </cell>
        </row>
        <row r="4089">
          <cell r="P4089" t="str">
            <v>040156379</v>
          </cell>
          <cell r="Q4089" t="str">
            <v>Renewal (25% in 2020)</v>
          </cell>
        </row>
        <row r="4090">
          <cell r="P4090" t="str">
            <v>047175987</v>
          </cell>
          <cell r="Q4090" t="str">
            <v>Renewal (20% in 2020)</v>
          </cell>
        </row>
        <row r="4091">
          <cell r="P4091" t="str">
            <v>064013290</v>
          </cell>
          <cell r="Q4091" t="str">
            <v>Renewal (25% in 2020)</v>
          </cell>
        </row>
        <row r="4092">
          <cell r="P4092" t="str">
            <v>086159878</v>
          </cell>
          <cell r="Q4092" t="str">
            <v>Renewal (25% in 2020)</v>
          </cell>
        </row>
        <row r="4093">
          <cell r="P4093" t="str">
            <v>086160839</v>
          </cell>
          <cell r="Q4093" t="str">
            <v>Renewal (15% in 2020)</v>
          </cell>
        </row>
        <row r="4094">
          <cell r="P4094" t="str">
            <v>064010531</v>
          </cell>
          <cell r="Q4094" t="str">
            <v>Renewal (25% in 2020)</v>
          </cell>
        </row>
        <row r="4095">
          <cell r="P4095" t="str">
            <v>036160699</v>
          </cell>
          <cell r="Q4095" t="str">
            <v>Renewal (15% in 2020)</v>
          </cell>
        </row>
        <row r="4096">
          <cell r="P4096" t="str">
            <v>036160699</v>
          </cell>
          <cell r="Q4096" t="str">
            <v>Renewal (15% in 2020)</v>
          </cell>
        </row>
        <row r="4097">
          <cell r="P4097" t="str">
            <v>036155530</v>
          </cell>
          <cell r="Q4097" t="str">
            <v>Renewal (20% in 2020)</v>
          </cell>
        </row>
        <row r="4098">
          <cell r="P4098" t="str">
            <v>024026596</v>
          </cell>
          <cell r="Q4098" t="str">
            <v>Renewal (15% in 2020)</v>
          </cell>
        </row>
        <row r="4099">
          <cell r="P4099" t="str">
            <v>070016398</v>
          </cell>
          <cell r="Q4099" t="str">
            <v>Renewal (15% in 2020)</v>
          </cell>
        </row>
        <row r="4100">
          <cell r="P4100" t="str">
            <v>064017531</v>
          </cell>
          <cell r="Q4100" t="str">
            <v>Renewal (15% in 2020)</v>
          </cell>
        </row>
        <row r="4101">
          <cell r="P4101" t="str">
            <v>024037008</v>
          </cell>
          <cell r="Q4101" t="str">
            <v>Renewal (30% in 2020)</v>
          </cell>
        </row>
        <row r="4102">
          <cell r="P4102" t="str">
            <v>024025412</v>
          </cell>
          <cell r="Q4102" t="str">
            <v>Renewal (15% in 2020)</v>
          </cell>
        </row>
        <row r="4103">
          <cell r="P4103" t="str">
            <v>024037224</v>
          </cell>
          <cell r="Q4103" t="str">
            <v>Renewal (25% in 2020)</v>
          </cell>
        </row>
        <row r="4104">
          <cell r="P4104" t="str">
            <v>071164109</v>
          </cell>
          <cell r="Q4104" t="str">
            <v>Renewal (15% in 2020)</v>
          </cell>
        </row>
        <row r="4105">
          <cell r="P4105" t="str">
            <v>071164109</v>
          </cell>
          <cell r="Q4105" t="str">
            <v>Renewal (15% in 2020)</v>
          </cell>
        </row>
        <row r="4106">
          <cell r="P4106" t="str">
            <v>064176834</v>
          </cell>
          <cell r="Q4106" t="str">
            <v>Renewal (15% in 2020)</v>
          </cell>
        </row>
        <row r="4107">
          <cell r="P4107" t="str">
            <v>024037126</v>
          </cell>
          <cell r="Q4107" t="str">
            <v>Renewal (25% in 2020)</v>
          </cell>
        </row>
        <row r="4108">
          <cell r="P4108" t="str">
            <v>024037126</v>
          </cell>
          <cell r="Q4108" t="str">
            <v>Renewal (25% in 2020)</v>
          </cell>
        </row>
        <row r="4109">
          <cell r="P4109" t="str">
            <v>024031229</v>
          </cell>
          <cell r="Q4109" t="str">
            <v>Renewal (25% in 2020)</v>
          </cell>
        </row>
        <row r="4110">
          <cell r="P4110" t="str">
            <v>086161699</v>
          </cell>
          <cell r="Q4110" t="str">
            <v>Renewal (15% in 2020)</v>
          </cell>
        </row>
        <row r="4111">
          <cell r="P4111" t="str">
            <v>032168632</v>
          </cell>
          <cell r="Q4111" t="str">
            <v>Renewal (20% in 2020)</v>
          </cell>
        </row>
        <row r="4112">
          <cell r="P4112" t="str">
            <v>058020627</v>
          </cell>
          <cell r="Q4112" t="str">
            <v>Renewal (15% in 2020)</v>
          </cell>
        </row>
        <row r="4113">
          <cell r="P4113" t="str">
            <v>024033545</v>
          </cell>
          <cell r="Q4113" t="str">
            <v>Renewal (25% in 2020)</v>
          </cell>
        </row>
        <row r="4114">
          <cell r="P4114" t="str">
            <v>024033902</v>
          </cell>
          <cell r="Q4114" t="str">
            <v>Renewal (25% in 2020)</v>
          </cell>
        </row>
        <row r="4115">
          <cell r="P4115" t="str">
            <v>024024373</v>
          </cell>
          <cell r="Q4115" t="str">
            <v>Renewal (15% in 2020)</v>
          </cell>
        </row>
        <row r="4116">
          <cell r="P4116" t="str">
            <v>087007159</v>
          </cell>
          <cell r="Q4116" t="str">
            <v>Renewal (25% in 2020)</v>
          </cell>
        </row>
        <row r="4117">
          <cell r="P4117" t="str">
            <v>024035669</v>
          </cell>
          <cell r="Q4117" t="str">
            <v>Renewal (15% in 2020)</v>
          </cell>
        </row>
        <row r="4118">
          <cell r="P4118" t="str">
            <v>016166377</v>
          </cell>
          <cell r="Q4118" t="str">
            <v>Renewal (20% in 2020)</v>
          </cell>
        </row>
        <row r="4119">
          <cell r="P4119" t="str">
            <v>016166377</v>
          </cell>
          <cell r="Q4119" t="str">
            <v>Renewal (20% in 2020)</v>
          </cell>
        </row>
        <row r="4120">
          <cell r="P4120" t="str">
            <v>024035572</v>
          </cell>
          <cell r="Q4120" t="str">
            <v>Renewal (20% in 2020)</v>
          </cell>
        </row>
        <row r="4121">
          <cell r="P4121" t="str">
            <v>024010470</v>
          </cell>
          <cell r="Q4121" t="str">
            <v>Renewal (15% in 2020)</v>
          </cell>
        </row>
        <row r="4122">
          <cell r="P4122" t="str">
            <v>024010915</v>
          </cell>
          <cell r="Q4122" t="str">
            <v>Renewal (25% in 2020)</v>
          </cell>
        </row>
        <row r="4123">
          <cell r="P4123" t="str">
            <v>031158014</v>
          </cell>
          <cell r="Q4123" t="str">
            <v>Renewal (20% in 2020)</v>
          </cell>
        </row>
        <row r="4124">
          <cell r="P4124" t="str">
            <v>024004449</v>
          </cell>
          <cell r="Q4124" t="str">
            <v>Renewal (20% in 2020)</v>
          </cell>
        </row>
        <row r="4125">
          <cell r="P4125" t="str">
            <v>058020407</v>
          </cell>
          <cell r="Q4125" t="str">
            <v>Renewal (15% in 2020)</v>
          </cell>
        </row>
        <row r="4126">
          <cell r="P4126" t="str">
            <v>079013972</v>
          </cell>
          <cell r="Q4126" t="str">
            <v>Renewal (15% in 2020)</v>
          </cell>
        </row>
        <row r="4127">
          <cell r="P4127" t="str">
            <v>079159346</v>
          </cell>
          <cell r="Q4127" t="str">
            <v>Renewal (20% in 2020)</v>
          </cell>
        </row>
        <row r="4128">
          <cell r="P4128" t="str">
            <v>086163137</v>
          </cell>
          <cell r="Q4128" t="str">
            <v>Renewal (15% in 2020)</v>
          </cell>
        </row>
        <row r="4129">
          <cell r="P4129" t="str">
            <v>055013204</v>
          </cell>
          <cell r="Q4129" t="str">
            <v>Renewal (20% in 2020)</v>
          </cell>
        </row>
        <row r="4130">
          <cell r="P4130" t="str">
            <v>052013634</v>
          </cell>
          <cell r="Q4130" t="str">
            <v>Renewal (20% in 2020)</v>
          </cell>
        </row>
        <row r="4131">
          <cell r="P4131" t="str">
            <v>052006553</v>
          </cell>
          <cell r="Q4131" t="str">
            <v>Renewal (15% in 2020)</v>
          </cell>
        </row>
        <row r="4132">
          <cell r="P4132" t="str">
            <v>024030572</v>
          </cell>
          <cell r="Q4132" t="str">
            <v>Renewal (15% in 2020)</v>
          </cell>
        </row>
        <row r="4133">
          <cell r="P4133" t="str">
            <v>016167244</v>
          </cell>
          <cell r="Q4133" t="str">
            <v>Renewal (15% in 2020)</v>
          </cell>
        </row>
        <row r="4134">
          <cell r="P4134" t="str">
            <v>054013885</v>
          </cell>
          <cell r="Q4134" t="str">
            <v>New Contract</v>
          </cell>
        </row>
        <row r="4135">
          <cell r="P4135" t="str">
            <v>052007177</v>
          </cell>
          <cell r="Q4135" t="str">
            <v>Renewal (25% in 2020)</v>
          </cell>
        </row>
        <row r="4136">
          <cell r="P4136" t="str">
            <v>087022166</v>
          </cell>
          <cell r="Q4136" t="str">
            <v>Renewal (15% in 2020)</v>
          </cell>
        </row>
        <row r="4137">
          <cell r="P4137" t="str">
            <v>016162788</v>
          </cell>
          <cell r="Q4137" t="str">
            <v>Renewal (30% in 2020)</v>
          </cell>
        </row>
        <row r="4138">
          <cell r="P4138" t="str">
            <v>024036666</v>
          </cell>
          <cell r="Q4138" t="str">
            <v>Renewal (15% in 2020)</v>
          </cell>
        </row>
        <row r="4139">
          <cell r="P4139" t="str">
            <v>031158368</v>
          </cell>
          <cell r="Q4139" t="str">
            <v>Renewal (15% in 2020)</v>
          </cell>
        </row>
        <row r="4140">
          <cell r="P4140" t="str">
            <v>021008335</v>
          </cell>
          <cell r="Q4140" t="str">
            <v>New Contract</v>
          </cell>
        </row>
        <row r="4141">
          <cell r="P4141" t="str">
            <v>064021333</v>
          </cell>
          <cell r="Q4141" t="str">
            <v>New contract</v>
          </cell>
        </row>
        <row r="4142">
          <cell r="P4142" t="str">
            <v>031158828</v>
          </cell>
          <cell r="Q4142" t="str">
            <v>Renewal (15% in 2020)</v>
          </cell>
        </row>
        <row r="4143">
          <cell r="P4143" t="str">
            <v>031000248</v>
          </cell>
          <cell r="Q4143" t="str">
            <v>Renewal (15% in 2020)</v>
          </cell>
        </row>
        <row r="4144">
          <cell r="P4144" t="str">
            <v>021009338</v>
          </cell>
          <cell r="Q4144" t="str">
            <v>New Contract</v>
          </cell>
        </row>
        <row r="4145">
          <cell r="P4145" t="str">
            <v>016162366</v>
          </cell>
          <cell r="Q4145" t="str">
            <v>New contract</v>
          </cell>
        </row>
        <row r="4146">
          <cell r="P4146" t="str">
            <v>086157796</v>
          </cell>
          <cell r="Q4146" t="str">
            <v>Renewal (25% in 2020)</v>
          </cell>
        </row>
        <row r="4147">
          <cell r="P4147" t="str">
            <v>021010652</v>
          </cell>
          <cell r="Q4147" t="str">
            <v>New contract</v>
          </cell>
        </row>
        <row r="4148">
          <cell r="P4148" t="str">
            <v>089011721</v>
          </cell>
          <cell r="Q4148" t="str">
            <v>New contract</v>
          </cell>
        </row>
        <row r="4149">
          <cell r="P4149" t="str">
            <v>021007512</v>
          </cell>
          <cell r="Q4149" t="str">
            <v>New contract</v>
          </cell>
        </row>
        <row r="4150">
          <cell r="P4150" t="str">
            <v>019023618</v>
          </cell>
          <cell r="Q4150" t="str">
            <v>New Contract</v>
          </cell>
        </row>
        <row r="4151">
          <cell r="P4151" t="str">
            <v>086861609</v>
          </cell>
          <cell r="Q4151" t="str">
            <v>New Contract</v>
          </cell>
        </row>
        <row r="4152">
          <cell r="P4152" t="str">
            <v>021010214</v>
          </cell>
          <cell r="Q4152" t="str">
            <v>New Contract</v>
          </cell>
        </row>
        <row r="4153">
          <cell r="P4153" t="str">
            <v>087022530</v>
          </cell>
          <cell r="Q4153" t="str">
            <v>Renewal (20% in 2020)</v>
          </cell>
        </row>
        <row r="4154">
          <cell r="P4154" t="str">
            <v>052013076</v>
          </cell>
          <cell r="Q4154" t="str">
            <v>Renewal (20% in 2020)</v>
          </cell>
        </row>
        <row r="4155">
          <cell r="P4155" t="str">
            <v>086014176</v>
          </cell>
          <cell r="Q4155" t="str">
            <v>Renewal (15% in 2020)</v>
          </cell>
        </row>
        <row r="4156">
          <cell r="P4156" t="str">
            <v>079003762</v>
          </cell>
          <cell r="Q4156" t="str">
            <v>Renewal (15% in 2020)</v>
          </cell>
        </row>
        <row r="4157">
          <cell r="P4157" t="str">
            <v>032004867</v>
          </cell>
          <cell r="Q4157" t="str">
            <v>New contract</v>
          </cell>
        </row>
        <row r="4158">
          <cell r="P4158" t="str">
            <v>017166883</v>
          </cell>
          <cell r="Q4158" t="str">
            <v>New contract</v>
          </cell>
        </row>
        <row r="4159">
          <cell r="P4159" t="str">
            <v>023022527</v>
          </cell>
          <cell r="Q4159" t="str">
            <v>New Contract</v>
          </cell>
        </row>
        <row r="4160">
          <cell r="P4160" t="str">
            <v>017160289</v>
          </cell>
          <cell r="Q4160" t="str">
            <v>Renewal (20% in 2020)</v>
          </cell>
        </row>
        <row r="4161">
          <cell r="P4161" t="str">
            <v>024015684</v>
          </cell>
          <cell r="Q4161" t="str">
            <v>Renewal (30% in 2020)</v>
          </cell>
        </row>
        <row r="4162">
          <cell r="P4162" t="str">
            <v>016162571</v>
          </cell>
          <cell r="Q4162" t="str">
            <v>New contract</v>
          </cell>
        </row>
        <row r="4163">
          <cell r="P4163" t="str">
            <v>086163909</v>
          </cell>
          <cell r="Q4163" t="str">
            <v>Renewal (15% in 2020)</v>
          </cell>
        </row>
        <row r="4164">
          <cell r="P4164" t="str">
            <v>086161150</v>
          </cell>
          <cell r="Q4164" t="str">
            <v>Renewal (15% in 2020)</v>
          </cell>
        </row>
        <row r="4165">
          <cell r="P4165" t="str">
            <v>021159198</v>
          </cell>
          <cell r="Q4165" t="str">
            <v>New Contract</v>
          </cell>
        </row>
        <row r="4166">
          <cell r="P4166" t="str">
            <v>016166366</v>
          </cell>
          <cell r="Q4166" t="str">
            <v>New Contract</v>
          </cell>
        </row>
        <row r="4167">
          <cell r="P4167" t="str">
            <v>025004548</v>
          </cell>
          <cell r="Q4167" t="str">
            <v>Renewal (30% in 2020)</v>
          </cell>
        </row>
        <row r="4168">
          <cell r="P4168" t="str">
            <v>024016472</v>
          </cell>
          <cell r="Q4168" t="str">
            <v>Renewal (15% in 2020)</v>
          </cell>
        </row>
        <row r="4169">
          <cell r="P4169" t="str">
            <v>055014209</v>
          </cell>
          <cell r="Q4169" t="str">
            <v>Renewal (20% in 2020)</v>
          </cell>
        </row>
        <row r="4170">
          <cell r="P4170" t="str">
            <v>021004588</v>
          </cell>
          <cell r="Q4170" t="str">
            <v>New Contract</v>
          </cell>
        </row>
        <row r="4171">
          <cell r="P4171" t="str">
            <v>086162366</v>
          </cell>
          <cell r="Q4171" t="str">
            <v>Renewal (15% in 2020)</v>
          </cell>
        </row>
        <row r="4172">
          <cell r="P4172" t="str">
            <v>086163766</v>
          </cell>
          <cell r="Q4172" t="str">
            <v>Renewal (15% in 2020)</v>
          </cell>
        </row>
        <row r="4173">
          <cell r="P4173" t="str">
            <v>089163802</v>
          </cell>
          <cell r="Q4173" t="str">
            <v>New contract</v>
          </cell>
        </row>
        <row r="4174">
          <cell r="P4174" t="str">
            <v>016005748</v>
          </cell>
          <cell r="Q4174" t="str">
            <v>Renewal (30% in 2020)</v>
          </cell>
        </row>
        <row r="4175">
          <cell r="P4175" t="str">
            <v>055012166</v>
          </cell>
          <cell r="Q4175" t="str">
            <v>Renewal (30% in 2020)</v>
          </cell>
        </row>
        <row r="4176">
          <cell r="P4176" t="str">
            <v>036161341</v>
          </cell>
          <cell r="Q4176" t="str">
            <v>Renewal (25% in 2020)</v>
          </cell>
        </row>
        <row r="4177">
          <cell r="P4177" t="str">
            <v>021007599</v>
          </cell>
          <cell r="Q4177" t="str">
            <v>New Contract</v>
          </cell>
        </row>
        <row r="4178">
          <cell r="P4178" t="str">
            <v>086164215</v>
          </cell>
          <cell r="Q4178" t="str">
            <v>Renewal (30% in 2020)</v>
          </cell>
        </row>
        <row r="4179">
          <cell r="P4179" t="str">
            <v>065002813</v>
          </cell>
          <cell r="Q4179" t="str">
            <v>Renewal (20% in 2020)</v>
          </cell>
        </row>
        <row r="4180">
          <cell r="P4180" t="str">
            <v>086164747</v>
          </cell>
          <cell r="Q4180" t="str">
            <v>Renewal (15% in 2020)</v>
          </cell>
        </row>
        <row r="4181">
          <cell r="P4181" t="str">
            <v>016156840</v>
          </cell>
          <cell r="Q4181" t="str">
            <v>New contract</v>
          </cell>
        </row>
        <row r="4182">
          <cell r="P4182" t="str">
            <v>032018870</v>
          </cell>
          <cell r="Q4182" t="str">
            <v>Renewal (15% in 2020)</v>
          </cell>
        </row>
        <row r="4183">
          <cell r="P4183" t="str">
            <v>032018870</v>
          </cell>
          <cell r="Q4183" t="str">
            <v>Renewal (15% in 2020)</v>
          </cell>
        </row>
        <row r="4184">
          <cell r="P4184" t="str">
            <v>086160754</v>
          </cell>
          <cell r="Q4184" t="str">
            <v>Renewal (15% in 2020)</v>
          </cell>
        </row>
        <row r="4185">
          <cell r="P4185" t="str">
            <v>016161998</v>
          </cell>
          <cell r="Q4185" t="str">
            <v>Renewal (20% in 2020)</v>
          </cell>
        </row>
        <row r="4186">
          <cell r="P4186" t="str">
            <v>089153143</v>
          </cell>
          <cell r="Q4186" t="str">
            <v>New Contract</v>
          </cell>
        </row>
        <row r="4187">
          <cell r="P4187" t="str">
            <v>086163461</v>
          </cell>
          <cell r="Q4187" t="str">
            <v>Renewal (20% in 2020)</v>
          </cell>
        </row>
        <row r="4188">
          <cell r="P4188" t="str">
            <v>079014953</v>
          </cell>
          <cell r="Q4188" t="str">
            <v>Renewal (30% in 2020)</v>
          </cell>
        </row>
        <row r="4189">
          <cell r="P4189" t="str">
            <v>086164080</v>
          </cell>
          <cell r="Q4189" t="str">
            <v>Renewal (15% in 2020)</v>
          </cell>
        </row>
        <row r="4190">
          <cell r="P4190" t="str">
            <v>016164016</v>
          </cell>
          <cell r="Q4190" t="str">
            <v>Renewal (15% in 2020)</v>
          </cell>
        </row>
        <row r="4191">
          <cell r="P4191" t="str">
            <v>016010085</v>
          </cell>
          <cell r="Q4191" t="str">
            <v>Renewal (15% in 2020)</v>
          </cell>
        </row>
        <row r="4192">
          <cell r="P4192" t="str">
            <v>079160254</v>
          </cell>
          <cell r="Q4192" t="str">
            <v>Renewal (30% in 2020)</v>
          </cell>
        </row>
        <row r="4193">
          <cell r="P4193" t="str">
            <v>058020343</v>
          </cell>
          <cell r="Q4193" t="str">
            <v>Renewal (25% in 2020)</v>
          </cell>
        </row>
        <row r="4194">
          <cell r="P4194" t="str">
            <v>086006822</v>
          </cell>
          <cell r="Q4194" t="str">
            <v>Renewal (15% in 2020)</v>
          </cell>
        </row>
        <row r="4195">
          <cell r="P4195" t="str">
            <v>079020336</v>
          </cell>
          <cell r="Q4195" t="str">
            <v>Renewal (20% in 2020)</v>
          </cell>
        </row>
        <row r="4196">
          <cell r="P4196" t="str">
            <v>079160610</v>
          </cell>
          <cell r="Q4196" t="str">
            <v>Renewal (20% in 2020)</v>
          </cell>
        </row>
        <row r="4197">
          <cell r="P4197" t="str">
            <v>070009117</v>
          </cell>
          <cell r="Q4197" t="str">
            <v>Renewal (15% in 2020)</v>
          </cell>
        </row>
        <row r="4198">
          <cell r="P4198" t="str">
            <v>079159629</v>
          </cell>
          <cell r="Q4198" t="str">
            <v>Renewal (15% in 2020)</v>
          </cell>
        </row>
        <row r="4199">
          <cell r="P4199" t="str">
            <v>079012000</v>
          </cell>
          <cell r="Q4199" t="str">
            <v>Renewal (30% in 2020)</v>
          </cell>
        </row>
        <row r="4200">
          <cell r="P4200" t="str">
            <v>079159678</v>
          </cell>
          <cell r="Q4200" t="str">
            <v>Renewal (30% in 2020)</v>
          </cell>
        </row>
        <row r="4201">
          <cell r="P4201" t="str">
            <v>031157206</v>
          </cell>
          <cell r="Q4201" t="str">
            <v>Renewal (15% in 2020)</v>
          </cell>
        </row>
        <row r="4202">
          <cell r="P4202" t="str">
            <v>086015229</v>
          </cell>
          <cell r="Q4202" t="str">
            <v>Renewal (15% in 2020)</v>
          </cell>
        </row>
        <row r="4203">
          <cell r="P4203" t="str">
            <v>052011767</v>
          </cell>
          <cell r="Q4203" t="str">
            <v>Renewal (20% in 2020)</v>
          </cell>
        </row>
        <row r="4204">
          <cell r="P4204" t="str">
            <v>064166432</v>
          </cell>
          <cell r="Q4204" t="str">
            <v>Renewal (20% in 2020)</v>
          </cell>
        </row>
        <row r="4205">
          <cell r="P4205" t="str">
            <v>033175402</v>
          </cell>
          <cell r="Q4205" t="str">
            <v>New Contract</v>
          </cell>
        </row>
        <row r="4206">
          <cell r="P4206" t="str">
            <v>031160179</v>
          </cell>
          <cell r="Q4206" t="str">
            <v>New Contract</v>
          </cell>
        </row>
        <row r="4207">
          <cell r="P4207" t="str">
            <v>021159430</v>
          </cell>
          <cell r="Q4207" t="str">
            <v>New Contract</v>
          </cell>
        </row>
        <row r="4208">
          <cell r="P4208" t="str">
            <v>079013544</v>
          </cell>
          <cell r="Q4208" t="str">
            <v>Renewal (20% in 2020)</v>
          </cell>
        </row>
        <row r="4209">
          <cell r="P4209" t="str">
            <v>086164098</v>
          </cell>
          <cell r="Q4209" t="str">
            <v>Renewal (20% in 2020)</v>
          </cell>
        </row>
        <row r="4210">
          <cell r="P4210" t="str">
            <v>079160258</v>
          </cell>
          <cell r="Q4210" t="str">
            <v>Renewal (25% in 2020)</v>
          </cell>
        </row>
        <row r="4211">
          <cell r="P4211" t="str">
            <v>017161275</v>
          </cell>
          <cell r="Q4211" t="str">
            <v>Renewal (20% in 2020)</v>
          </cell>
        </row>
        <row r="4212">
          <cell r="P4212" t="str">
            <v>031157455</v>
          </cell>
          <cell r="Q4212" t="str">
            <v>Renewal (25% in 2020)</v>
          </cell>
        </row>
        <row r="4213">
          <cell r="P4213" t="str">
            <v>027161911</v>
          </cell>
          <cell r="Q4213" t="str">
            <v>Renewal (15% in 2020)</v>
          </cell>
        </row>
        <row r="4214">
          <cell r="P4214" t="str">
            <v>079151335</v>
          </cell>
          <cell r="Q4214" t="str">
            <v>Renewal (20% in 2020)</v>
          </cell>
        </row>
        <row r="4215">
          <cell r="P4215" t="str">
            <v>017162735</v>
          </cell>
          <cell r="Q4215" t="str">
            <v>Renewal (25% in 2020)</v>
          </cell>
        </row>
        <row r="4216">
          <cell r="P4216" t="str">
            <v>091003650</v>
          </cell>
          <cell r="Q4216" t="str">
            <v>Renewal (25% in 2020)</v>
          </cell>
        </row>
        <row r="4217">
          <cell r="P4217" t="str">
            <v>021156401</v>
          </cell>
          <cell r="Q4217" t="str">
            <v>New Contract</v>
          </cell>
        </row>
        <row r="4218">
          <cell r="P4218" t="str">
            <v>086163975</v>
          </cell>
          <cell r="Q4218" t="str">
            <v>Renewal (20% in 2020)</v>
          </cell>
        </row>
        <row r="4219">
          <cell r="P4219" t="str">
            <v>021010772</v>
          </cell>
          <cell r="Q4219" t="str">
            <v>New Contract</v>
          </cell>
        </row>
        <row r="4220">
          <cell r="P4220" t="str">
            <v>091004453</v>
          </cell>
          <cell r="Q4220" t="str">
            <v>Renewal (20% in 2020)</v>
          </cell>
        </row>
        <row r="4221">
          <cell r="P4221" t="str">
            <v>091004453</v>
          </cell>
          <cell r="Q4221" t="str">
            <v>Renewal (20% in 2020)</v>
          </cell>
        </row>
        <row r="4222">
          <cell r="P4222" t="str">
            <v>086160733</v>
          </cell>
          <cell r="Q4222" t="str">
            <v>Renewal (20% in 2020)</v>
          </cell>
        </row>
        <row r="4223">
          <cell r="P4223" t="str">
            <v>016165261</v>
          </cell>
          <cell r="Q4223" t="str">
            <v>Renewal (20% in 2020)</v>
          </cell>
        </row>
        <row r="4224">
          <cell r="P4224" t="str">
            <v>079014164</v>
          </cell>
          <cell r="Q4224" t="str">
            <v>Renewal (15% in 2020)</v>
          </cell>
        </row>
        <row r="4225">
          <cell r="P4225" t="str">
            <v>086160400</v>
          </cell>
          <cell r="Q4225" t="str">
            <v>Renewal (30% in 2020)</v>
          </cell>
        </row>
        <row r="4226">
          <cell r="P4226" t="str">
            <v>031018298</v>
          </cell>
          <cell r="Q4226" t="str">
            <v>New contract</v>
          </cell>
        </row>
        <row r="4227">
          <cell r="P4227" t="str">
            <v>079156606</v>
          </cell>
          <cell r="Q4227" t="str">
            <v>Renewal (20% in 2020)</v>
          </cell>
        </row>
        <row r="4228">
          <cell r="P4228" t="str">
            <v>024037224</v>
          </cell>
          <cell r="Q4228" t="str">
            <v>Renewal (25% in 2020)</v>
          </cell>
        </row>
        <row r="4229">
          <cell r="P4229" t="str">
            <v>024035669</v>
          </cell>
          <cell r="Q4229" t="str">
            <v>Renewal (15% in 2020)</v>
          </cell>
        </row>
        <row r="4230">
          <cell r="P4230" t="str">
            <v>024035572</v>
          </cell>
          <cell r="Q4230" t="str">
            <v>Renewal (20% in 2020)</v>
          </cell>
        </row>
        <row r="4231">
          <cell r="P4231" t="str">
            <v>032004867</v>
          </cell>
          <cell r="Q4231" t="str">
            <v>New contract</v>
          </cell>
        </row>
        <row r="4232">
          <cell r="P4232" t="str">
            <v>079155226</v>
          </cell>
          <cell r="Q4232" t="str">
            <v>Renewal (15% in 2020)</v>
          </cell>
        </row>
        <row r="4233">
          <cell r="P4233" t="str">
            <v>024016472</v>
          </cell>
          <cell r="Q4233" t="str">
            <v>Renewal (15% in 2020)</v>
          </cell>
        </row>
        <row r="4234">
          <cell r="P4234" t="str">
            <v>039005906</v>
          </cell>
          <cell r="Q4234" t="str">
            <v>Renewal (15% in 2020)</v>
          </cell>
        </row>
        <row r="4235">
          <cell r="P4235" t="str">
            <v>079156259</v>
          </cell>
          <cell r="Q4235" t="str">
            <v>Renewal (30% in 2020)</v>
          </cell>
        </row>
        <row r="4236">
          <cell r="P4236" t="str">
            <v>070009117</v>
          </cell>
          <cell r="Q4236" t="str">
            <v>Renewal (15% in 2020)</v>
          </cell>
        </row>
        <row r="4237">
          <cell r="P4237" t="str">
            <v>024037806</v>
          </cell>
          <cell r="Q4237" t="str">
            <v>Renewal (20% in 2020)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Extract cultures"/>
      <sheetName val="Tables"/>
      <sheetName val="CultureExtract_20210430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ALLONGE" refreshedDate="45453.472315509258" createdVersion="8" refreshedVersion="8" minRefreshableVersion="3" recordCount="1582" xr:uid="{84C637C8-9FD2-4846-8802-43443DE0F7A5}">
  <cacheSource type="worksheet">
    <worksheetSource ref="A1:G1583" sheet="Rapport filtré"/>
  </cacheSource>
  <cacheFields count="7">
    <cacheField name="Culture" numFmtId="0">
      <sharedItems count="45">
        <s v="Colza d'hiver"/>
        <s v="Blé tendre d'hiver"/>
        <s v="Blé de force"/>
        <s v="Féveroles et fèves"/>
        <s v="Orge d'hiver"/>
        <s v="Seigle et méteil"/>
        <s v="Blé dur d'hiver"/>
        <s v="Orge de printemps"/>
        <s v="Pois protéagineux"/>
        <s v="Lin oléagineux"/>
        <s v="Colza d'hiver "/>
        <s v="Avoine d'hiver"/>
        <s v="Triticale"/>
        <s v="Tournesol"/>
        <s v="Maïs waxy non irrigué "/>
        <s v="Maïs grain non irrigué"/>
        <s v="Pois secs / Pois Chiches"/>
        <s v="Triticale "/>
        <s v="Avoine de printemps"/>
        <s v="Lentilles"/>
        <s v="Maïs ensilage non irrigué"/>
        <s v="Maïs pop corn irrigué"/>
        <s v="Maïs grain irrigué"/>
        <s v="Maïs ensilage irrigué"/>
        <s v="Maïs grain non irrigué "/>
        <s v="Soja"/>
        <s v="Quinoa"/>
        <s v="Colza de printemps"/>
        <s v="Oeillette"/>
        <s v="Sorgho"/>
        <s v="Blé dur de printemps"/>
        <s v="Soja "/>
        <s v="Blé tendre d'hiver "/>
        <s v="Blé tendre de printemps"/>
        <s v="Lin textile"/>
        <s v="Maïs grain irrigué "/>
        <s v="Orge de printemps "/>
        <s v="Maïs doux non irrigué"/>
        <s v="Chanvre"/>
        <s v="Maïs waxy irrigué"/>
        <s v="Maïs waxy non irrigué"/>
        <s v="Soja SEMENCES"/>
        <s v="Pommes de terre"/>
        <s v="Pommes de terre de féculerie"/>
        <s v="Maïs non irrigué"/>
      </sharedItems>
    </cacheField>
    <cacheField name="Somme assurée" numFmtId="0">
      <sharedItems containsSemiMixedTypes="0" containsString="0" containsNumber="1" minValue="764.4" maxValue="468270"/>
    </cacheField>
    <cacheField name="Somme indemnisée" numFmtId="0">
      <sharedItems containsSemiMixedTypes="0" containsString="0" containsNumber="1" minValue="1.25" maxValue="242563.86"/>
    </cacheField>
    <cacheField name="Surface assurée" numFmtId="0">
      <sharedItems containsSemiMixedTypes="0" containsString="0" containsNumber="1" minValue="0.5" maxValue="363"/>
    </cacheField>
    <cacheField name="Surface touchée" numFmtId="0">
      <sharedItems containsSemiMixedTypes="0" containsString="0" containsNumber="1" minValue="0.68" maxValue="363"/>
    </cacheField>
    <cacheField name="Pourcentage somme touchée" numFmtId="0">
      <sharedItems containsSemiMixedTypes="0" containsString="0" containsNumber="1" minValue="6.8426823533791086E-5" maxValue="2.9745260663507112"/>
    </cacheField>
    <cacheField name="Pourcentage surface touchée" numFmtId="0">
      <sharedItems containsSemiMixedTypes="0" containsString="0" containsNumber="1" minValue="4.5454545454545456E-2" maxValue="85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2">
  <r>
    <x v="0"/>
    <n v="86184"/>
    <n v="3110.4"/>
    <n v="66.5"/>
    <n v="22"/>
    <n v="3.6090225563909777E-2"/>
    <n v="0.33082706766917291"/>
  </r>
  <r>
    <x v="0"/>
    <n v="45364.7"/>
    <n v="1015"/>
    <n v="33.44"/>
    <n v="16"/>
    <n v="2.2374224892923355E-2"/>
    <n v="0.47846889952153115"/>
  </r>
  <r>
    <x v="0"/>
    <n v="16463.48"/>
    <n v="194.12"/>
    <n v="14.2"/>
    <n v="14"/>
    <n v="1.1790945778170837E-2"/>
    <n v="0.9859154929577465"/>
  </r>
  <r>
    <x v="0"/>
    <n v="47690.78"/>
    <n v="2160"/>
    <n v="28.9"/>
    <n v="9"/>
    <n v="4.5291773378418221E-2"/>
    <n v="0.31141868512110726"/>
  </r>
  <r>
    <x v="0"/>
    <n v="18865.439999999999"/>
    <n v="1060.8"/>
    <n v="16"/>
    <n v="6"/>
    <n v="5.6229804340635577E-2"/>
    <n v="0.375"/>
  </r>
  <r>
    <x v="0"/>
    <n v="80049.279999999999"/>
    <n v="1647.1"/>
    <n v="65.83"/>
    <n v="13.5"/>
    <n v="2.0576075137715165E-2"/>
    <n v="0.20507367461643627"/>
  </r>
  <r>
    <x v="0"/>
    <n v="59304"/>
    <n v="8643.6"/>
    <n v="42"/>
    <n v="43"/>
    <n v="0.14575070821529745"/>
    <n v="1.0238095238095237"/>
  </r>
  <r>
    <x v="0"/>
    <n v="36780.32"/>
    <n v="5436.29"/>
    <n v="31.49"/>
    <n v="31.49"/>
    <n v="0.14780431491623783"/>
    <n v="1"/>
  </r>
  <r>
    <x v="0"/>
    <n v="51272.55"/>
    <n v="5337.35"/>
    <n v="45"/>
    <n v="45"/>
    <n v="0.10409761168500493"/>
    <n v="1"/>
  </r>
  <r>
    <x v="0"/>
    <n v="13977.58"/>
    <n v="1951.01"/>
    <n v="9.7799999999999994"/>
    <n v="9.7799999999999994"/>
    <n v="0.13958138676366008"/>
    <n v="1"/>
  </r>
  <r>
    <x v="0"/>
    <n v="227800.17"/>
    <n v="8000"/>
    <n v="149.77000000000001"/>
    <n v="149"/>
    <n v="3.5118498814114142E-2"/>
    <n v="0.99485878346798418"/>
  </r>
  <r>
    <x v="0"/>
    <n v="41184.720000000001"/>
    <n v="2500"/>
    <n v="33.159999999999997"/>
    <n v="33"/>
    <n v="6.0702124477233305E-2"/>
    <n v="0.99517490952955379"/>
  </r>
  <r>
    <x v="0"/>
    <n v="42338.84"/>
    <n v="2495.23"/>
    <n v="32.770000000000003"/>
    <n v="14.4"/>
    <n v="5.8934774783626576E-2"/>
    <n v="0.43942630454684162"/>
  </r>
  <r>
    <x v="0"/>
    <n v="40180"/>
    <n v="4800"/>
    <n v="40"/>
    <n v="32"/>
    <n v="0.11946241911398706"/>
    <n v="0.8"/>
  </r>
  <r>
    <x v="0"/>
    <n v="33114.9"/>
    <n v="4819.1400000000003"/>
    <n v="27.76"/>
    <n v="27.75"/>
    <n v="0.14552784396147958"/>
    <n v="0.99963976945244948"/>
  </r>
  <r>
    <x v="0"/>
    <n v="20939.37"/>
    <n v="2026.09"/>
    <n v="17.350000000000001"/>
    <n v="12.43"/>
    <n v="9.6759835658856971E-2"/>
    <n v="0.71642651296829962"/>
  </r>
  <r>
    <x v="0"/>
    <n v="18712.36"/>
    <n v="776"/>
    <n v="14.24"/>
    <n v="14.2"/>
    <n v="4.146991614098916E-2"/>
    <n v="0.99719101123595499"/>
  </r>
  <r>
    <x v="0"/>
    <n v="22868.16"/>
    <n v="1815"/>
    <n v="19.920000000000002"/>
    <n v="11"/>
    <n v="7.9367994626589985E-2"/>
    <n v="0.55220883534136544"/>
  </r>
  <r>
    <x v="0"/>
    <n v="16944"/>
    <n v="2361.6"/>
    <n v="12"/>
    <n v="12"/>
    <n v="0.13937677053824363"/>
    <n v="1"/>
  </r>
  <r>
    <x v="0"/>
    <n v="20580"/>
    <n v="1381.38"/>
    <n v="20"/>
    <n v="9"/>
    <n v="6.7122448979591839E-2"/>
    <n v="0.45"/>
  </r>
  <r>
    <x v="0"/>
    <n v="21129.33"/>
    <n v="1096.75"/>
    <n v="15.25"/>
    <n v="5.35"/>
    <n v="5.1906520462314705E-2"/>
    <n v="0.35081967213114751"/>
  </r>
  <r>
    <x v="0"/>
    <n v="35687.519999999997"/>
    <n v="2458.14"/>
    <n v="34.19"/>
    <n v="18.8"/>
    <n v="6.8879541083269449E-2"/>
    <n v="0.54986838256800241"/>
  </r>
  <r>
    <x v="0"/>
    <n v="12294.75"/>
    <n v="962.63"/>
    <n v="9.6999999999999993"/>
    <n v="9.76"/>
    <n v="7.8296020659224461E-2"/>
    <n v="1.0061855670103093"/>
  </r>
  <r>
    <x v="1"/>
    <n v="54813.78"/>
    <n v="22975.08"/>
    <n v="59.48"/>
    <n v="59.48"/>
    <n v="0.41914788580535772"/>
    <n v="1"/>
  </r>
  <r>
    <x v="1"/>
    <n v="36473.230000000003"/>
    <n v="206.78"/>
    <n v="29.49"/>
    <n v="29.49"/>
    <n v="5.6693635304578176E-3"/>
    <n v="1"/>
  </r>
  <r>
    <x v="0"/>
    <n v="17762.5"/>
    <n v="2645.76"/>
    <n v="12.5"/>
    <n v="12.48"/>
    <n v="0.14895200562983815"/>
    <n v="0.99840000000000007"/>
  </r>
  <r>
    <x v="1"/>
    <n v="5808"/>
    <n v="70.400000000000006"/>
    <n v="5.5"/>
    <n v="5.5"/>
    <n v="1.2121212121212123E-2"/>
    <n v="1"/>
  </r>
  <r>
    <x v="1"/>
    <n v="17377.72"/>
    <n v="4937.12"/>
    <n v="15.93"/>
    <n v="15.93"/>
    <n v="0.28410631544299247"/>
    <n v="1"/>
  </r>
  <r>
    <x v="2"/>
    <n v="16755.919999999998"/>
    <n v="1340.47"/>
    <n v="15.36"/>
    <n v="15.36"/>
    <n v="7.999978515056172E-2"/>
    <n v="1"/>
  </r>
  <r>
    <x v="3"/>
    <n v="3434.67"/>
    <n v="139.18"/>
    <n v="11.96"/>
    <n v="3.5"/>
    <n v="4.0522088002631983E-2"/>
    <n v="0.2926421404682274"/>
  </r>
  <r>
    <x v="1"/>
    <n v="18358.98"/>
    <n v="3150.24"/>
    <n v="21.95"/>
    <n v="21.95"/>
    <n v="0.17159123219263814"/>
    <n v="1"/>
  </r>
  <r>
    <x v="4"/>
    <n v="15290.35"/>
    <n v="2293.5500000000002"/>
    <n v="21.67"/>
    <n v="21.67"/>
    <n v="0.14999983649818349"/>
    <n v="1"/>
  </r>
  <r>
    <x v="5"/>
    <n v="6685.2"/>
    <n v="1645.92"/>
    <n v="12.38"/>
    <n v="12.38"/>
    <n v="0.24620355411954767"/>
    <n v="1"/>
  </r>
  <r>
    <x v="6"/>
    <n v="19882.8"/>
    <n v="294.83999999999997"/>
    <n v="15"/>
    <n v="15"/>
    <n v="1.4828897338403041E-2"/>
    <n v="1"/>
  </r>
  <r>
    <x v="0"/>
    <n v="19264"/>
    <n v="3411.2"/>
    <n v="28"/>
    <n v="28"/>
    <n v="0.17707641196013288"/>
    <n v="1"/>
  </r>
  <r>
    <x v="1"/>
    <n v="56146.11"/>
    <n v="1111.5"/>
    <n v="50.71"/>
    <n v="9.11"/>
    <n v="1.9796562931964475E-2"/>
    <n v="0.17964898442121868"/>
  </r>
  <r>
    <x v="0"/>
    <n v="18814"/>
    <n v="818"/>
    <n v="15.5"/>
    <n v="4.5"/>
    <n v="4.3478260869565216E-2"/>
    <n v="0.29032258064516131"/>
  </r>
  <r>
    <x v="1"/>
    <n v="20560.32"/>
    <n v="171"/>
    <n v="19.8"/>
    <n v="0.9"/>
    <n v="8.3169911752346264E-3"/>
    <n v="4.5454545454545456E-2"/>
  </r>
  <r>
    <x v="0"/>
    <n v="94240"/>
    <n v="368.4"/>
    <n v="76"/>
    <n v="20"/>
    <n v="3.9091680814940574E-3"/>
    <n v="0.26315789473684209"/>
  </r>
  <r>
    <x v="7"/>
    <n v="12251.8"/>
    <n v="3103.95"/>
    <n v="13.78"/>
    <n v="13.7"/>
    <n v="0.25334644705267795"/>
    <n v="0.99419448476052252"/>
  </r>
  <r>
    <x v="5"/>
    <n v="6507.6"/>
    <n v="469.48"/>
    <n v="6.6"/>
    <n v="1"/>
    <n v="7.2143340094658545E-2"/>
    <n v="0.15151515151515152"/>
  </r>
  <r>
    <x v="1"/>
    <n v="133071.29999999999"/>
    <n v="438.8"/>
    <n v="99.5"/>
    <n v="99.5"/>
    <n v="3.2974803733036352E-3"/>
    <n v="1"/>
  </r>
  <r>
    <x v="1"/>
    <n v="82429.210000000006"/>
    <n v="1700.42"/>
    <n v="64.91"/>
    <n v="64.91"/>
    <n v="2.0628852320676128E-2"/>
    <n v="1"/>
  </r>
  <r>
    <x v="0"/>
    <n v="22400.81"/>
    <n v="697.09"/>
    <n v="20.190000000000001"/>
    <n v="20.190000000000001"/>
    <n v="3.1118964001748149E-2"/>
    <n v="1"/>
  </r>
  <r>
    <x v="8"/>
    <n v="7761.36"/>
    <n v="304.73"/>
    <n v="8.76"/>
    <n v="8.76"/>
    <n v="3.9262448849170767E-2"/>
    <n v="1"/>
  </r>
  <r>
    <x v="0"/>
    <n v="4640"/>
    <n v="48"/>
    <n v="3.2"/>
    <n v="3.2"/>
    <n v="1.0344827586206896E-2"/>
    <n v="1"/>
  </r>
  <r>
    <x v="8"/>
    <n v="23275.17"/>
    <n v="1528.86"/>
    <n v="18.04"/>
    <n v="18.04"/>
    <n v="6.5686308628465445E-2"/>
    <n v="1"/>
  </r>
  <r>
    <x v="4"/>
    <n v="12820.5"/>
    <n v="3493.5"/>
    <n v="21"/>
    <n v="21"/>
    <n v="0.27249327249327249"/>
    <n v="1"/>
  </r>
  <r>
    <x v="9"/>
    <n v="10073.14"/>
    <n v="6303.26"/>
    <n v="11"/>
    <n v="11"/>
    <n v="0.62574926984038748"/>
    <n v="1"/>
  </r>
  <r>
    <x v="0"/>
    <n v="17468"/>
    <n v="3947.86"/>
    <n v="16"/>
    <n v="16"/>
    <n v="0.22600526677352875"/>
    <n v="1"/>
  </r>
  <r>
    <x v="10"/>
    <n v="19145.5"/>
    <n v="4273.67"/>
    <n v="14.75"/>
    <n v="14.75"/>
    <n v="0.22322060014102532"/>
    <n v="1"/>
  </r>
  <r>
    <x v="1"/>
    <n v="88744.99"/>
    <n v="6006.19"/>
    <n v="92.31"/>
    <n v="80.45"/>
    <n v="6.7679200820237845E-2"/>
    <n v="0.87151987866969993"/>
  </r>
  <r>
    <x v="0"/>
    <n v="38469.300000000003"/>
    <n v="5150.33"/>
    <n v="30"/>
    <n v="30"/>
    <n v="0.13388156270064699"/>
    <n v="1"/>
  </r>
  <r>
    <x v="0"/>
    <n v="18848.73"/>
    <n v="560"/>
    <n v="15.17"/>
    <n v="15.17"/>
    <n v="2.9710224508494736E-2"/>
    <n v="1"/>
  </r>
  <r>
    <x v="11"/>
    <n v="25500.1"/>
    <n v="1882.08"/>
    <n v="28.09"/>
    <n v="28.09"/>
    <n v="7.3806769385218102E-2"/>
    <n v="1"/>
  </r>
  <r>
    <x v="12"/>
    <n v="23318"/>
    <n v="2485.86"/>
    <n v="26.2"/>
    <n v="26.2"/>
    <n v="0.10660691311433228"/>
    <n v="1"/>
  </r>
  <r>
    <x v="0"/>
    <n v="79794.259999999995"/>
    <n v="9724.3799999999992"/>
    <n v="51.58"/>
    <n v="51.58"/>
    <n v="0.12186816445192925"/>
    <n v="1"/>
  </r>
  <r>
    <x v="4"/>
    <n v="2469.73"/>
    <n v="219.36"/>
    <n v="2.08"/>
    <n v="2.08"/>
    <n v="8.8819425605228111E-2"/>
    <n v="1"/>
  </r>
  <r>
    <x v="1"/>
    <n v="19080.05"/>
    <n v="3893.61"/>
    <n v="17.59"/>
    <n v="17.59"/>
    <n v="0.2040670752959243"/>
    <n v="1"/>
  </r>
  <r>
    <x v="0"/>
    <n v="75582"/>
    <n v="339.45"/>
    <n v="65"/>
    <n v="40"/>
    <n v="4.4911486861951254E-3"/>
    <n v="0.61538461538461542"/>
  </r>
  <r>
    <x v="1"/>
    <n v="28384.29"/>
    <n v="229.4"/>
    <n v="30.18"/>
    <n v="30.18"/>
    <n v="8.0819354650054666E-3"/>
    <n v="1"/>
  </r>
  <r>
    <x v="4"/>
    <n v="5855.99"/>
    <n v="80.7"/>
    <n v="7.27"/>
    <n v="7.27"/>
    <n v="1.3780761237638727E-2"/>
    <n v="1"/>
  </r>
  <r>
    <x v="1"/>
    <n v="81000"/>
    <n v="24300"/>
    <n v="54"/>
    <n v="54"/>
    <n v="0.3"/>
    <n v="1"/>
  </r>
  <r>
    <x v="1"/>
    <n v="46287.360000000001"/>
    <n v="3422.13"/>
    <n v="45.92"/>
    <n v="45.92"/>
    <n v="7.3932278704164592E-2"/>
    <n v="1"/>
  </r>
  <r>
    <x v="8"/>
    <n v="9432"/>
    <n v="1298.47"/>
    <n v="12"/>
    <n v="11"/>
    <n v="0.1376664546225615"/>
    <n v="0.91666666666666663"/>
  </r>
  <r>
    <x v="0"/>
    <n v="19584"/>
    <n v="2924.34"/>
    <n v="16"/>
    <n v="16"/>
    <n v="0.14932291666666667"/>
    <n v="1"/>
  </r>
  <r>
    <x v="0"/>
    <n v="18631.62"/>
    <n v="3366.98"/>
    <n v="14.31"/>
    <n v="14.62"/>
    <n v="0.18071321763754308"/>
    <n v="1.0216631726065688"/>
  </r>
  <r>
    <x v="8"/>
    <n v="12137.56"/>
    <n v="726.69"/>
    <n v="16.7"/>
    <n v="16.12"/>
    <n v="5.9871176743925475E-2"/>
    <n v="0.96526946107784439"/>
  </r>
  <r>
    <x v="13"/>
    <n v="10722.17"/>
    <n v="247.8"/>
    <n v="9.0500000000000007"/>
    <n v="1.4"/>
    <n v="2.3110993390330504E-2"/>
    <n v="0.15469613259668505"/>
  </r>
  <r>
    <x v="14"/>
    <n v="7700"/>
    <n v="156"/>
    <n v="4"/>
    <n v="1"/>
    <n v="2.0259740259740259E-2"/>
    <n v="0.25"/>
  </r>
  <r>
    <x v="15"/>
    <n v="57750"/>
    <n v="746.7"/>
    <n v="30"/>
    <n v="2"/>
    <n v="1.292987012987013E-2"/>
    <n v="6.6666666666666666E-2"/>
  </r>
  <r>
    <x v="1"/>
    <n v="29457.89"/>
    <n v="318.52999999999997"/>
    <n v="25.21"/>
    <n v="25.21"/>
    <n v="1.081306230690657E-2"/>
    <n v="1"/>
  </r>
  <r>
    <x v="15"/>
    <n v="94137.51"/>
    <n v="2576"/>
    <n v="43.78"/>
    <n v="43.78"/>
    <n v="2.7364224951350425E-2"/>
    <n v="1"/>
  </r>
  <r>
    <x v="15"/>
    <n v="151742.44"/>
    <n v="3864"/>
    <n v="70.569999999999993"/>
    <n v="70.569999999999993"/>
    <n v="2.5464201050147867E-2"/>
    <n v="1"/>
  </r>
  <r>
    <x v="1"/>
    <n v="22615.360000000001"/>
    <n v="8025.16"/>
    <n v="24.37"/>
    <n v="24.36"/>
    <n v="0.35485439984152362"/>
    <n v="0.99958965941731626"/>
  </r>
  <r>
    <x v="11"/>
    <n v="8327.9699999999993"/>
    <n v="2752.8"/>
    <n v="12.98"/>
    <n v="12.98"/>
    <n v="0.33054874116981692"/>
    <n v="1"/>
  </r>
  <r>
    <x v="4"/>
    <n v="12567.33"/>
    <n v="1460.67"/>
    <n v="12.94"/>
    <n v="12.94"/>
    <n v="0.11622755191436845"/>
    <n v="1"/>
  </r>
  <r>
    <x v="8"/>
    <n v="5936"/>
    <n v="2590.6799999999998"/>
    <n v="10.6"/>
    <n v="10.65"/>
    <n v="0.4364353099730458"/>
    <n v="1.0047169811320755"/>
  </r>
  <r>
    <x v="8"/>
    <n v="9663.2199999999993"/>
    <n v="2415.81"/>
    <n v="11.07"/>
    <n v="11.07"/>
    <n v="0.25000051742586843"/>
    <n v="1"/>
  </r>
  <r>
    <x v="3"/>
    <n v="4749.01"/>
    <n v="1187.25"/>
    <n v="9.48"/>
    <n v="9.48"/>
    <n v="0.24999947357449237"/>
    <n v="1"/>
  </r>
  <r>
    <x v="13"/>
    <n v="39780.61"/>
    <n v="3355.95"/>
    <n v="30.6"/>
    <n v="30.6"/>
    <n v="8.436145147095532E-2"/>
    <n v="1"/>
  </r>
  <r>
    <x v="0"/>
    <n v="20068.349999999999"/>
    <n v="1956.61"/>
    <n v="15"/>
    <n v="15"/>
    <n v="9.74973029671099E-2"/>
    <n v="1"/>
  </r>
  <r>
    <x v="7"/>
    <n v="21692"/>
    <n v="5825.93"/>
    <n v="22"/>
    <n v="22"/>
    <n v="0.26857505070993914"/>
    <n v="1"/>
  </r>
  <r>
    <x v="1"/>
    <n v="51986.17"/>
    <n v="483.45"/>
    <n v="48.85"/>
    <n v="48.85"/>
    <n v="9.2995887175377611E-3"/>
    <n v="1"/>
  </r>
  <r>
    <x v="4"/>
    <n v="21908.58"/>
    <n v="1400.1"/>
    <n v="24.43"/>
    <n v="24.43"/>
    <n v="6.3906469520160589E-2"/>
    <n v="1"/>
  </r>
  <r>
    <x v="0"/>
    <n v="18391.78"/>
    <n v="1561.35"/>
    <n v="14.75"/>
    <n v="14.75"/>
    <n v="8.4893903689583064E-2"/>
    <n v="1"/>
  </r>
  <r>
    <x v="3"/>
    <n v="3322.4"/>
    <n v="156.11000000000001"/>
    <n v="7.37"/>
    <n v="7.37"/>
    <n v="4.6987117746207563E-2"/>
    <n v="1"/>
  </r>
  <r>
    <x v="7"/>
    <n v="7525.9"/>
    <n v="1042.5"/>
    <n v="9.5"/>
    <n v="9.5"/>
    <n v="0.13852163860800704"/>
    <n v="1"/>
  </r>
  <r>
    <x v="1"/>
    <n v="39156.1"/>
    <n v="2798.37"/>
    <n v="31"/>
    <n v="31"/>
    <n v="7.1467025572005377E-2"/>
    <n v="1"/>
  </r>
  <r>
    <x v="8"/>
    <n v="8379.5"/>
    <n v="2123.15"/>
    <n v="12.24"/>
    <n v="12.24"/>
    <n v="0.25337430634286057"/>
    <n v="1"/>
  </r>
  <r>
    <x v="4"/>
    <n v="56324.27"/>
    <n v="4291.37"/>
    <n v="67.73"/>
    <n v="67.73"/>
    <n v="7.6190423772913532E-2"/>
    <n v="1"/>
  </r>
  <r>
    <x v="8"/>
    <n v="12185.12"/>
    <n v="5440.37"/>
    <n v="17.38"/>
    <n v="17.38"/>
    <n v="0.44647652218443473"/>
    <n v="1"/>
  </r>
  <r>
    <x v="13"/>
    <n v="18210.400000000001"/>
    <n v="331.8"/>
    <n v="26"/>
    <n v="3"/>
    <n v="1.822035759785617E-2"/>
    <n v="0.11538461538461539"/>
  </r>
  <r>
    <x v="13"/>
    <n v="22312.400000000001"/>
    <n v="172.41"/>
    <n v="22"/>
    <n v="22"/>
    <n v="7.7270934547605807E-3"/>
    <n v="1"/>
  </r>
  <r>
    <x v="8"/>
    <n v="8581.86"/>
    <n v="262.36"/>
    <n v="8.82"/>
    <n v="8.82"/>
    <n v="3.0571461198388227E-2"/>
    <n v="1"/>
  </r>
  <r>
    <x v="16"/>
    <n v="17388.8"/>
    <n v="813.12"/>
    <n v="12.8"/>
    <n v="12.8"/>
    <n v="4.6761133603238872E-2"/>
    <n v="1"/>
  </r>
  <r>
    <x v="8"/>
    <n v="4550.3"/>
    <n v="220.62"/>
    <n v="4.96"/>
    <n v="4.96"/>
    <n v="4.8484715293497134E-2"/>
    <n v="1"/>
  </r>
  <r>
    <x v="4"/>
    <n v="11776.17"/>
    <n v="637.07000000000005"/>
    <n v="11.56"/>
    <n v="11.56"/>
    <n v="5.4098233975902188E-2"/>
    <n v="1"/>
  </r>
  <r>
    <x v="1"/>
    <n v="45815"/>
    <n v="905.25"/>
    <n v="50"/>
    <n v="50"/>
    <n v="1.9758812615955475E-2"/>
    <n v="1"/>
  </r>
  <r>
    <x v="17"/>
    <n v="20825.64"/>
    <n v="3259.56"/>
    <n v="34.159999999999997"/>
    <n v="34.159999999999997"/>
    <n v="0.15651667847902873"/>
    <n v="1"/>
  </r>
  <r>
    <x v="13"/>
    <n v="10710"/>
    <n v="240"/>
    <n v="20"/>
    <n v="20"/>
    <n v="2.2408963585434174E-2"/>
    <n v="1"/>
  </r>
  <r>
    <x v="9"/>
    <n v="15975"/>
    <n v="9531.5300000000007"/>
    <n v="25"/>
    <n v="25"/>
    <n v="0.59665289514866982"/>
    <n v="1"/>
  </r>
  <r>
    <x v="6"/>
    <n v="7382.63"/>
    <n v="806.24"/>
    <n v="6.18"/>
    <n v="6.18"/>
    <n v="0.10920769427697176"/>
    <n v="1"/>
  </r>
  <r>
    <x v="1"/>
    <n v="27990.85"/>
    <n v="2922.6"/>
    <n v="25.36"/>
    <n v="25.36"/>
    <n v="0.10441269200470868"/>
    <n v="1"/>
  </r>
  <r>
    <x v="0"/>
    <n v="25078.81"/>
    <n v="8105.68"/>
    <n v="21.56"/>
    <n v="21.56"/>
    <n v="0.32320831809802775"/>
    <n v="1"/>
  </r>
  <r>
    <x v="0"/>
    <n v="2973.95"/>
    <n v="961.21"/>
    <n v="2.9"/>
    <n v="2.9"/>
    <n v="0.32320987239193666"/>
    <n v="1"/>
  </r>
  <r>
    <x v="4"/>
    <n v="3429.45"/>
    <n v="1013"/>
    <n v="3.27"/>
    <n v="3.27"/>
    <n v="0.29538264153144089"/>
    <n v="1"/>
  </r>
  <r>
    <x v="4"/>
    <n v="8884.85"/>
    <n v="2924.69"/>
    <n v="8.5299999999999994"/>
    <n v="8.5299999999999994"/>
    <n v="0.32917719488792718"/>
    <n v="1"/>
  </r>
  <r>
    <x v="2"/>
    <n v="13991.04"/>
    <n v="2128.64"/>
    <n v="13.88"/>
    <n v="13.88"/>
    <n v="0.15214308586066511"/>
    <n v="1"/>
  </r>
  <r>
    <x v="0"/>
    <n v="9950.52"/>
    <n v="2881.38"/>
    <n v="8.2100000000000009"/>
    <n v="8.2100000000000009"/>
    <n v="0.28957079630009286"/>
    <n v="1"/>
  </r>
  <r>
    <x v="1"/>
    <n v="41507.199999999997"/>
    <n v="3524.41"/>
    <n v="34"/>
    <n v="34"/>
    <n v="8.4910810654537053E-2"/>
    <n v="1"/>
  </r>
  <r>
    <x v="4"/>
    <n v="7312.45"/>
    <n v="356.02"/>
    <n v="7.19"/>
    <n v="7.19"/>
    <n v="4.8686828627888055E-2"/>
    <n v="1"/>
  </r>
  <r>
    <x v="8"/>
    <n v="12389.46"/>
    <n v="607.25"/>
    <n v="14.66"/>
    <n v="14.66"/>
    <n v="4.9013435613820135E-2"/>
    <n v="1"/>
  </r>
  <r>
    <x v="1"/>
    <n v="97053.33"/>
    <n v="14630.1"/>
    <n v="12.13"/>
    <n v="75.900000000000006"/>
    <n v="0.15074289568425936"/>
    <n v="6.2572135201978565"/>
  </r>
  <r>
    <x v="0"/>
    <n v="24700"/>
    <n v="197.6"/>
    <n v="24.7"/>
    <n v="24.7"/>
    <n v="8.0000000000000002E-3"/>
    <n v="1"/>
  </r>
  <r>
    <x v="4"/>
    <n v="27672.3"/>
    <n v="321.60000000000002"/>
    <n v="27.7"/>
    <n v="27.7"/>
    <n v="1.1621730033282381E-2"/>
    <n v="1"/>
  </r>
  <r>
    <x v="8"/>
    <n v="9887.15"/>
    <n v="4571.8500000000004"/>
    <n v="9.19"/>
    <n v="9.19"/>
    <n v="0.46240322034155451"/>
    <n v="1"/>
  </r>
  <r>
    <x v="18"/>
    <n v="7480.2"/>
    <n v="788.3"/>
    <n v="14"/>
    <n v="14"/>
    <n v="0.10538488275714553"/>
    <n v="1"/>
  </r>
  <r>
    <x v="1"/>
    <n v="14076"/>
    <n v="3411.9"/>
    <n v="18"/>
    <n v="18"/>
    <n v="0.2423913043478261"/>
    <n v="1"/>
  </r>
  <r>
    <x v="4"/>
    <n v="13765.5"/>
    <n v="5111.4799999999996"/>
    <n v="19"/>
    <n v="19"/>
    <n v="0.37132541498674221"/>
    <n v="1"/>
  </r>
  <r>
    <x v="7"/>
    <n v="5155.2"/>
    <n v="2162.4"/>
    <n v="6"/>
    <n v="6"/>
    <n v="0.41945996275605218"/>
    <n v="1"/>
  </r>
  <r>
    <x v="12"/>
    <n v="19172.330000000002"/>
    <n v="2316.33"/>
    <n v="28.556000000000001"/>
    <n v="28.56"/>
    <n v="0.12081630140937485"/>
    <n v="1.0001400756408461"/>
  </r>
  <r>
    <x v="4"/>
    <n v="44119.86"/>
    <n v="1229.55"/>
    <n v="48.21"/>
    <n v="17.59"/>
    <n v="2.7868402120949612E-2"/>
    <n v="0.36486206181290187"/>
  </r>
  <r>
    <x v="13"/>
    <n v="11014.97"/>
    <n v="55.74"/>
    <n v="9.91"/>
    <n v="9.91"/>
    <n v="5.0603860019591525E-3"/>
    <n v="1"/>
  </r>
  <r>
    <x v="11"/>
    <n v="4654.07"/>
    <n v="474.67"/>
    <n v="8.24"/>
    <n v="8.23"/>
    <n v="0.10199030096238347"/>
    <n v="0.99878640776699035"/>
  </r>
  <r>
    <x v="12"/>
    <n v="7130.45"/>
    <n v="224.99"/>
    <n v="8.6999999999999993"/>
    <n v="8.7899999999999991"/>
    <n v="3.1553408270165277E-2"/>
    <n v="1.0103448275862068"/>
  </r>
  <r>
    <x v="1"/>
    <n v="12502.68"/>
    <n v="843.47"/>
    <n v="11.66"/>
    <n v="11.77"/>
    <n v="6.746313590366225E-2"/>
    <n v="1.0094339622641508"/>
  </r>
  <r>
    <x v="4"/>
    <n v="13397.06"/>
    <n v="543.29999999999995"/>
    <n v="14.07"/>
    <n v="14.12"/>
    <n v="4.0553673716472123E-2"/>
    <n v="1.0035536602700781"/>
  </r>
  <r>
    <x v="8"/>
    <n v="10303.200000000001"/>
    <n v="4121.28"/>
    <n v="14.25"/>
    <n v="14.31"/>
    <n v="0.39999999999999997"/>
    <n v="1.0042105263157894"/>
  </r>
  <r>
    <x v="12"/>
    <n v="19622.740000000002"/>
    <n v="3377.29"/>
    <n v="24.72"/>
    <n v="24.72"/>
    <n v="0.17211103036578987"/>
    <n v="1"/>
  </r>
  <r>
    <x v="1"/>
    <n v="87282"/>
    <n v="7920.66"/>
    <n v="89.52"/>
    <n v="89.52"/>
    <n v="9.0747920533443313E-2"/>
    <n v="1"/>
  </r>
  <r>
    <x v="0"/>
    <n v="17337.599999999999"/>
    <n v="1582.63"/>
    <n v="20.64"/>
    <n v="20.64"/>
    <n v="9.128310723514213E-2"/>
    <n v="1"/>
  </r>
  <r>
    <x v="1"/>
    <n v="30784.799999999999"/>
    <n v="2463.58"/>
    <n v="23.08"/>
    <n v="23.08"/>
    <n v="8.0025856916400295E-2"/>
    <n v="1"/>
  </r>
  <r>
    <x v="13"/>
    <n v="13615.68"/>
    <n v="1523.91"/>
    <n v="10.91"/>
    <n v="10.91"/>
    <n v="0.11192316505675809"/>
    <n v="1"/>
  </r>
  <r>
    <x v="4"/>
    <n v="10878.34"/>
    <n v="1059.74"/>
    <n v="10.64"/>
    <n v="10.64"/>
    <n v="9.7417436851578457E-2"/>
    <n v="1"/>
  </r>
  <r>
    <x v="13"/>
    <n v="19481"/>
    <n v="6856.16"/>
    <n v="14"/>
    <n v="14"/>
    <n v="0.351940865458652"/>
    <n v="1"/>
  </r>
  <r>
    <x v="1"/>
    <n v="49285.57"/>
    <n v="16256.22"/>
    <n v="42.44"/>
    <n v="42.44"/>
    <n v="0.32983731343677264"/>
    <n v="1"/>
  </r>
  <r>
    <x v="4"/>
    <n v="14697.21"/>
    <n v="5671.97"/>
    <n v="14.49"/>
    <n v="14.49"/>
    <n v="0.38592154565390308"/>
    <n v="1"/>
  </r>
  <r>
    <x v="13"/>
    <n v="38176.86"/>
    <n v="10359.89"/>
    <n v="28.03"/>
    <n v="28.03"/>
    <n v="0.27136569115427511"/>
    <n v="1"/>
  </r>
  <r>
    <x v="1"/>
    <n v="58039.12"/>
    <n v="8198.9599999999991"/>
    <n v="35.380000000000003"/>
    <n v="35.380000000000003"/>
    <n v="0.14126609776302601"/>
    <n v="1"/>
  </r>
  <r>
    <x v="4"/>
    <n v="24805.24"/>
    <n v="907.59"/>
    <n v="17.059999999999999"/>
    <n v="17.059999999999999"/>
    <n v="3.6588640142163509E-2"/>
    <n v="1"/>
  </r>
  <r>
    <x v="8"/>
    <n v="5727.12"/>
    <n v="1799.6"/>
    <n v="4.82"/>
    <n v="4.82"/>
    <n v="0.31422425232926843"/>
    <n v="1"/>
  </r>
  <r>
    <x v="13"/>
    <n v="12482.68"/>
    <n v="1285.03"/>
    <n v="9.2100000000000009"/>
    <n v="2"/>
    <n v="0.10294504064832231"/>
    <n v="0.21715526601520085"/>
  </r>
  <r>
    <x v="15"/>
    <n v="9981.74"/>
    <n v="1267.3900000000001"/>
    <n v="7.67"/>
    <n v="7.23"/>
    <n v="0.12697084876985376"/>
    <n v="0.94263363754889185"/>
  </r>
  <r>
    <x v="1"/>
    <n v="84726.399999999994"/>
    <n v="3079.37"/>
    <n v="73.040000000000006"/>
    <n v="73.040000000000006"/>
    <n v="3.6344870075914949E-2"/>
    <n v="1"/>
  </r>
  <r>
    <x v="6"/>
    <n v="9438.86"/>
    <n v="2061.39"/>
    <n v="7.41"/>
    <n v="7.41"/>
    <n v="0.21839395859245711"/>
    <n v="1"/>
  </r>
  <r>
    <x v="8"/>
    <n v="6141.96"/>
    <n v="2513.4699999999998"/>
    <n v="8.4600000000000009"/>
    <n v="8.4600000000000009"/>
    <n v="0.40922930139564567"/>
    <n v="1"/>
  </r>
  <r>
    <x v="0"/>
    <n v="18564.349999999999"/>
    <n v="4772.83"/>
    <n v="17.11"/>
    <n v="17.11"/>
    <n v="0.25709653179346437"/>
    <n v="1"/>
  </r>
  <r>
    <x v="1"/>
    <n v="13991.6"/>
    <n v="525.26"/>
    <n v="13.3"/>
    <n v="13.3"/>
    <n v="3.7541096086223164E-2"/>
    <n v="1"/>
  </r>
  <r>
    <x v="1"/>
    <n v="23512.01"/>
    <n v="2956.48"/>
    <n v="22.3"/>
    <n v="22.3"/>
    <n v="0.12574339667259415"/>
    <n v="1"/>
  </r>
  <r>
    <x v="4"/>
    <n v="10880.19"/>
    <n v="1807.26"/>
    <n v="10.62"/>
    <n v="10.62"/>
    <n v="0.16610555514195982"/>
    <n v="1"/>
  </r>
  <r>
    <x v="13"/>
    <n v="22128"/>
    <n v="1073"/>
    <n v="27.66"/>
    <n v="11.87"/>
    <n v="4.8490600144613157E-2"/>
    <n v="0.42913955169920459"/>
  </r>
  <r>
    <x v="8"/>
    <n v="3786.92"/>
    <n v="900.41"/>
    <n v="4.9000000000000004"/>
    <n v="4.9000000000000004"/>
    <n v="0.23776842394346856"/>
    <n v="1"/>
  </r>
  <r>
    <x v="19"/>
    <n v="2119.92"/>
    <n v="1075.3800000000001"/>
    <n v="3.65"/>
    <n v="3.65"/>
    <n v="0.5072738593909204"/>
    <n v="1"/>
  </r>
  <r>
    <x v="8"/>
    <n v="7338.32"/>
    <n v="127.47"/>
    <n v="10.76"/>
    <n v="10.76"/>
    <n v="1.7370460813919263E-2"/>
    <n v="1"/>
  </r>
  <r>
    <x v="13"/>
    <n v="19187.87"/>
    <n v="16769.66"/>
    <n v="28.69"/>
    <n v="28.69"/>
    <n v="0.87397194164855196"/>
    <n v="1"/>
  </r>
  <r>
    <x v="15"/>
    <n v="1654.38"/>
    <n v="963.61"/>
    <n v="1.3"/>
    <n v="1.3"/>
    <n v="0.58245989434108247"/>
    <n v="1"/>
  </r>
  <r>
    <x v="1"/>
    <n v="41443.08"/>
    <n v="4608.32"/>
    <n v="37.39"/>
    <n v="37.39"/>
    <n v="0.11119636860966896"/>
    <n v="1"/>
  </r>
  <r>
    <x v="13"/>
    <n v="17127.18"/>
    <n v="4207.8999999999996"/>
    <n v="24.84"/>
    <n v="24.84"/>
    <n v="0.24568551273472922"/>
    <n v="1"/>
  </r>
  <r>
    <x v="0"/>
    <n v="19454.54"/>
    <n v="1680.72"/>
    <n v="17.59"/>
    <n v="17.59"/>
    <n v="8.6392173754815074E-2"/>
    <n v="1"/>
  </r>
  <r>
    <x v="15"/>
    <n v="46112"/>
    <n v="266"/>
    <n v="20.96"/>
    <n v="20.96"/>
    <n v="5.768563497571131E-3"/>
    <n v="1"/>
  </r>
  <r>
    <x v="1"/>
    <n v="37977.120000000003"/>
    <n v="1853.73"/>
    <n v="40.840000000000003"/>
    <n v="40.840000000000003"/>
    <n v="4.8811758237591471E-2"/>
    <n v="1"/>
  </r>
  <r>
    <x v="1"/>
    <n v="64278.77"/>
    <n v="7072.11"/>
    <n v="42.58"/>
    <n v="42.58"/>
    <n v="0.11002248487331043"/>
    <n v="1"/>
  </r>
  <r>
    <x v="4"/>
    <n v="22535.24"/>
    <n v="3693.69"/>
    <n v="22.96"/>
    <n v="22.96"/>
    <n v="0.16390728476821192"/>
    <n v="1"/>
  </r>
  <r>
    <x v="1"/>
    <n v="25500"/>
    <n v="667.25"/>
    <n v="25"/>
    <n v="25"/>
    <n v="2.6166666666666668E-2"/>
    <n v="1"/>
  </r>
  <r>
    <x v="15"/>
    <n v="17139.900000000001"/>
    <n v="2813.99"/>
    <n v="18.43"/>
    <n v="18.43"/>
    <n v="0.16417773732635543"/>
    <n v="1"/>
  </r>
  <r>
    <x v="13"/>
    <n v="12400"/>
    <n v="3038.88"/>
    <n v="12.4"/>
    <n v="12.4"/>
    <n v="0.24507096774193549"/>
    <n v="1"/>
  </r>
  <r>
    <x v="4"/>
    <n v="19094.400000000001"/>
    <n v="2911.83"/>
    <n v="19.5"/>
    <n v="19.5"/>
    <n v="0.15249654348919053"/>
    <n v="1"/>
  </r>
  <r>
    <x v="13"/>
    <n v="42212.73"/>
    <n v="21528.49"/>
    <n v="30.64"/>
    <n v="30.64"/>
    <n v="0.50999994551406647"/>
    <n v="1"/>
  </r>
  <r>
    <x v="13"/>
    <n v="49625.67"/>
    <n v="1204"/>
    <n v="35.49"/>
    <n v="35.49"/>
    <n v="2.426163717285832E-2"/>
    <n v="1"/>
  </r>
  <r>
    <x v="7"/>
    <n v="57410.400000000001"/>
    <n v="9920.92"/>
    <n v="50.36"/>
    <n v="50.36"/>
    <n v="0.17280701754385966"/>
    <n v="1"/>
  </r>
  <r>
    <x v="1"/>
    <n v="56635.199999999997"/>
    <n v="6230.37"/>
    <n v="42.75"/>
    <n v="42.75"/>
    <n v="0.11000879311806086"/>
    <n v="1"/>
  </r>
  <r>
    <x v="4"/>
    <n v="19928.5"/>
    <n v="706.34"/>
    <n v="18.13"/>
    <n v="18.13"/>
    <n v="3.5443711267782327E-2"/>
    <n v="1"/>
  </r>
  <r>
    <x v="0"/>
    <n v="27047.4"/>
    <n v="4216.84"/>
    <n v="14.78"/>
    <n v="14.77"/>
    <n v="0.15590555839008555"/>
    <n v="0.99932341001353187"/>
  </r>
  <r>
    <x v="20"/>
    <n v="10721.53"/>
    <n v="2908.94"/>
    <n v="10.07"/>
    <n v="10.07"/>
    <n v="0.27131761978001273"/>
    <n v="1"/>
  </r>
  <r>
    <x v="15"/>
    <n v="32618.61"/>
    <n v="11646.58"/>
    <n v="35.54"/>
    <n v="35.54"/>
    <n v="0.35705322820316376"/>
    <n v="1"/>
  </r>
  <r>
    <x v="8"/>
    <n v="7911.33"/>
    <n v="2161.42"/>
    <n v="7.07"/>
    <n v="7.07"/>
    <n v="0.27320564304611233"/>
    <n v="1"/>
  </r>
  <r>
    <x v="8"/>
    <n v="8603.1"/>
    <n v="1353.27"/>
    <n v="11.85"/>
    <n v="11.85"/>
    <n v="0.15730027548209366"/>
    <n v="1"/>
  </r>
  <r>
    <x v="13"/>
    <n v="24880.91"/>
    <n v="4484.97"/>
    <n v="23.73"/>
    <n v="23.73"/>
    <n v="0.18025747450555468"/>
    <n v="1"/>
  </r>
  <r>
    <x v="6"/>
    <n v="16560"/>
    <n v="282.72000000000003"/>
    <n v="12"/>
    <n v="12"/>
    <n v="1.7072463768115945E-2"/>
    <n v="1"/>
  </r>
  <r>
    <x v="11"/>
    <n v="3600"/>
    <n v="1509"/>
    <n v="6"/>
    <n v="6"/>
    <n v="0.41916666666666669"/>
    <n v="1"/>
  </r>
  <r>
    <x v="5"/>
    <n v="2729.76"/>
    <n v="557.57000000000005"/>
    <n v="3.52"/>
    <n v="3.52"/>
    <n v="0.20425605181407888"/>
    <n v="1"/>
  </r>
  <r>
    <x v="6"/>
    <n v="8461.58"/>
    <n v="1318.49"/>
    <n v="6.97"/>
    <n v="6.97"/>
    <n v="0.15582078051616838"/>
    <n v="1"/>
  </r>
  <r>
    <x v="13"/>
    <n v="36480"/>
    <n v="1340.64"/>
    <n v="38"/>
    <n v="8"/>
    <n v="3.6750000000000005E-2"/>
    <n v="0.21052631578947367"/>
  </r>
  <r>
    <x v="15"/>
    <n v="72479.5"/>
    <n v="486"/>
    <n v="38.11"/>
    <n v="2.4500000000000002"/>
    <n v="6.7053442697590357E-3"/>
    <n v="6.4287588559433229E-2"/>
  </r>
  <r>
    <x v="6"/>
    <n v="20823.36"/>
    <n v="3094.03"/>
    <n v="31.84"/>
    <n v="31.84"/>
    <n v="0.14858457040554454"/>
    <n v="1"/>
  </r>
  <r>
    <x v="21"/>
    <n v="14064.75"/>
    <n v="9556.0499999999993"/>
    <n v="9.5"/>
    <n v="9.5"/>
    <n v="0.67943262411347516"/>
    <n v="1"/>
  </r>
  <r>
    <x v="22"/>
    <n v="15307.95"/>
    <n v="2617.5100000000002"/>
    <n v="15.25"/>
    <n v="15.25"/>
    <n v="0.17099023709902372"/>
    <n v="1"/>
  </r>
  <r>
    <x v="23"/>
    <n v="21430"/>
    <n v="7500.5"/>
    <n v="21.43"/>
    <n v="21.43"/>
    <n v="0.35"/>
    <n v="1"/>
  </r>
  <r>
    <x v="15"/>
    <n v="4116"/>
    <n v="535.08000000000004"/>
    <n v="4.2"/>
    <n v="4.2"/>
    <n v="0.13"/>
    <n v="1"/>
  </r>
  <r>
    <x v="12"/>
    <n v="8175.14"/>
    <n v="1130.22"/>
    <n v="14.23"/>
    <n v="14.23"/>
    <n v="0.13825084341063273"/>
    <n v="1"/>
  </r>
  <r>
    <x v="13"/>
    <n v="9091.44"/>
    <n v="3308.41"/>
    <n v="12.42"/>
    <n v="12.42"/>
    <n v="0.36390384801527587"/>
    <n v="1"/>
  </r>
  <r>
    <x v="4"/>
    <n v="5654.93"/>
    <n v="620.04999999999995"/>
    <n v="6.15"/>
    <n v="6.15"/>
    <n v="0.10964768794662355"/>
    <n v="1"/>
  </r>
  <r>
    <x v="15"/>
    <n v="5754"/>
    <n v="1984.44"/>
    <n v="6.85"/>
    <n v="6.85"/>
    <n v="0.34488008342022941"/>
    <n v="1"/>
  </r>
  <r>
    <x v="13"/>
    <n v="4295.75"/>
    <n v="859.45"/>
    <n v="4.88"/>
    <n v="4.9800000000000004"/>
    <n v="0.20006983646627483"/>
    <n v="1.0204918032786887"/>
  </r>
  <r>
    <x v="6"/>
    <n v="9474.2999999999993"/>
    <n v="636.41"/>
    <n v="7.25"/>
    <n v="7.25"/>
    <n v="6.7172244915191623E-2"/>
    <n v="1"/>
  </r>
  <r>
    <x v="1"/>
    <n v="51853.82"/>
    <n v="5119.91"/>
    <n v="40.92"/>
    <n v="40.92"/>
    <n v="9.873737363997484E-2"/>
    <n v="1"/>
  </r>
  <r>
    <x v="3"/>
    <n v="8057.72"/>
    <n v="2483.16"/>
    <n v="14.83"/>
    <n v="14.83"/>
    <n v="0.30817154232214566"/>
    <n v="1"/>
  </r>
  <r>
    <x v="8"/>
    <n v="4302.6000000000004"/>
    <n v="727.04"/>
    <n v="7.1"/>
    <n v="7.1"/>
    <n v="0.16897689768976895"/>
    <n v="1"/>
  </r>
  <r>
    <x v="4"/>
    <n v="42195.96"/>
    <n v="69.62"/>
    <n v="35.340000000000003"/>
    <n v="35.340000000000003"/>
    <n v="1.6499209876964527E-3"/>
    <n v="1"/>
  </r>
  <r>
    <x v="1"/>
    <n v="25444.16"/>
    <n v="3398.08"/>
    <n v="20.72"/>
    <n v="20.72"/>
    <n v="0.13355048859934854"/>
    <n v="1"/>
  </r>
  <r>
    <x v="8"/>
    <n v="3327.16"/>
    <n v="895.53"/>
    <n v="4.46"/>
    <n v="4.46"/>
    <n v="0.26915747965231607"/>
    <n v="1"/>
  </r>
  <r>
    <x v="15"/>
    <n v="3162.38"/>
    <n v="851.15"/>
    <n v="2.65"/>
    <n v="2.65"/>
    <n v="0.26914855267235432"/>
    <n v="1"/>
  </r>
  <r>
    <x v="1"/>
    <n v="12272"/>
    <n v="2447.46"/>
    <n v="13"/>
    <n v="13"/>
    <n v="0.19943448500651892"/>
    <n v="1"/>
  </r>
  <r>
    <x v="21"/>
    <n v="16270.65"/>
    <n v="7960.79"/>
    <n v="8.5500000000000007"/>
    <n v="8.5500000000000007"/>
    <n v="0.48927301613641744"/>
    <n v="1"/>
  </r>
  <r>
    <x v="7"/>
    <n v="5773.2"/>
    <n v="651.07000000000005"/>
    <n v="5.66"/>
    <n v="5.66"/>
    <n v="0.11277454444675399"/>
    <n v="1"/>
  </r>
  <r>
    <x v="4"/>
    <n v="8725.74"/>
    <n v="203.05"/>
    <n v="9.9700000000000006"/>
    <n v="6.96"/>
    <n v="2.3270232667945642E-2"/>
    <n v="0.69809428284854558"/>
  </r>
  <r>
    <x v="1"/>
    <n v="5624.64"/>
    <n v="1442.45"/>
    <n v="5.04"/>
    <n v="5.04"/>
    <n v="0.25645196848153839"/>
    <n v="1"/>
  </r>
  <r>
    <x v="15"/>
    <n v="14942.07"/>
    <n v="6716.27"/>
    <n v="14.19"/>
    <n v="14.19"/>
    <n v="0.44948725310482418"/>
    <n v="1"/>
  </r>
  <r>
    <x v="1"/>
    <n v="119600"/>
    <n v="2660"/>
    <n v="100"/>
    <n v="100"/>
    <n v="2.2240802675585283E-2"/>
    <n v="1"/>
  </r>
  <r>
    <x v="1"/>
    <n v="38909.449999999997"/>
    <n v="3400.93"/>
    <n v="38.89"/>
    <n v="38.89"/>
    <n v="8.740627276921159E-2"/>
    <n v="1"/>
  </r>
  <r>
    <x v="8"/>
    <n v="12207.78"/>
    <n v="1201.21"/>
    <n v="21.15"/>
    <n v="21.15"/>
    <n v="9.8397087758789886E-2"/>
    <n v="1"/>
  </r>
  <r>
    <x v="1"/>
    <n v="72488.05"/>
    <n v="1866.25"/>
    <n v="63.22"/>
    <n v="63.22"/>
    <n v="2.5745622899222699E-2"/>
    <n v="1"/>
  </r>
  <r>
    <x v="8"/>
    <n v="19824"/>
    <n v="1953.75"/>
    <n v="15"/>
    <n v="15"/>
    <n v="9.855478208232446E-2"/>
    <n v="1"/>
  </r>
  <r>
    <x v="15"/>
    <n v="16667.2"/>
    <n v="4083.46"/>
    <n v="18.940000000000001"/>
    <n v="18.940000000000001"/>
    <n v="0.24499976000767976"/>
    <n v="1"/>
  </r>
  <r>
    <x v="6"/>
    <n v="12421.25"/>
    <n v="891.81"/>
    <n v="9.5"/>
    <n v="9.5"/>
    <n v="7.1797121867766933E-2"/>
    <n v="1"/>
  </r>
  <r>
    <x v="11"/>
    <n v="8628.9500000000007"/>
    <n v="1275.27"/>
    <n v="12.35"/>
    <n v="12.35"/>
    <n v="0.14778970790188839"/>
    <n v="1"/>
  </r>
  <r>
    <x v="3"/>
    <n v="13262.17"/>
    <n v="3623.49"/>
    <n v="24.19"/>
    <n v="24.18"/>
    <n v="0.27321999340982656"/>
    <n v="0.99958660603555183"/>
  </r>
  <r>
    <x v="7"/>
    <n v="10048.9"/>
    <n v="806.64"/>
    <n v="8.32"/>
    <n v="6.74"/>
    <n v="8.0271472499477553E-2"/>
    <n v="0.81009615384615385"/>
  </r>
  <r>
    <x v="4"/>
    <n v="4398.24"/>
    <n v="288.29000000000002"/>
    <n v="5.39"/>
    <n v="5.44"/>
    <n v="6.5546673214740447E-2"/>
    <n v="1.0092764378478665"/>
  </r>
  <r>
    <x v="12"/>
    <n v="6266.7"/>
    <n v="1086.23"/>
    <n v="6.33"/>
    <n v="6.33"/>
    <n v="0.17333365248057192"/>
    <n v="1"/>
  </r>
  <r>
    <x v="1"/>
    <n v="50013.33"/>
    <n v="5857.22"/>
    <n v="43.02"/>
    <n v="43.02"/>
    <n v="0.11711317762684469"/>
    <n v="1"/>
  </r>
  <r>
    <x v="0"/>
    <n v="29447.87"/>
    <n v="125.93"/>
    <n v="24.4"/>
    <n v="24.4"/>
    <n v="4.2763704132081541E-3"/>
    <n v="1"/>
  </r>
  <r>
    <x v="19"/>
    <n v="5994.07"/>
    <n v="2626.11"/>
    <n v="11.24"/>
    <n v="11.24"/>
    <n v="0.43811800662988593"/>
    <n v="1"/>
  </r>
  <r>
    <x v="0"/>
    <n v="27913.86"/>
    <n v="3919.03"/>
    <n v="23.7"/>
    <n v="23.7"/>
    <n v="0.14039727934438304"/>
    <n v="1"/>
  </r>
  <r>
    <x v="4"/>
    <n v="7014"/>
    <n v="739.81"/>
    <n v="7"/>
    <n v="7"/>
    <n v="0.10547619047619047"/>
    <n v="1"/>
  </r>
  <r>
    <x v="11"/>
    <n v="4277"/>
    <n v="650.45000000000005"/>
    <n v="6.5"/>
    <n v="6.5"/>
    <n v="0.15208089782557868"/>
    <n v="1"/>
  </r>
  <r>
    <x v="11"/>
    <n v="11105.58"/>
    <n v="943.38"/>
    <n v="10.84"/>
    <n v="10.84"/>
    <n v="8.4946486360910456E-2"/>
    <n v="1"/>
  </r>
  <r>
    <x v="1"/>
    <n v="11735.82"/>
    <n v="1317.27"/>
    <n v="10.3"/>
    <n v="10.3"/>
    <n v="0.11224354156761096"/>
    <n v="1"/>
  </r>
  <r>
    <x v="0"/>
    <n v="33777"/>
    <n v="4758.8100000000004"/>
    <n v="20.85"/>
    <n v="20.85"/>
    <n v="0.14088906652455815"/>
    <n v="1"/>
  </r>
  <r>
    <x v="7"/>
    <n v="77002.61"/>
    <n v="18436.28"/>
    <n v="47.43"/>
    <n v="47.43"/>
    <n v="0.23942409224830169"/>
    <n v="1"/>
  </r>
  <r>
    <x v="4"/>
    <n v="36812.93"/>
    <n v="3046.89"/>
    <n v="45.91"/>
    <n v="45.91"/>
    <n v="8.2766843063021608E-2"/>
    <n v="1"/>
  </r>
  <r>
    <x v="1"/>
    <n v="62459.65"/>
    <n v="8574.91"/>
    <n v="59.77"/>
    <n v="59.77"/>
    <n v="0.13728719261155001"/>
    <n v="1"/>
  </r>
  <r>
    <x v="1"/>
    <n v="5916"/>
    <n v="2662.2"/>
    <n v="5.8"/>
    <n v="5.8"/>
    <n v="0.44999999999999996"/>
    <n v="1"/>
  </r>
  <r>
    <x v="4"/>
    <n v="9309.6"/>
    <n v="968.98"/>
    <n v="8.6199999999999992"/>
    <n v="8.6199999999999992"/>
    <n v="0.10408395634613732"/>
    <n v="1"/>
  </r>
  <r>
    <x v="20"/>
    <n v="13812.06"/>
    <n v="5498.07"/>
    <n v="10.91"/>
    <n v="10.1"/>
    <n v="0.39806299711990822"/>
    <n v="0.92575618698441797"/>
  </r>
  <r>
    <x v="13"/>
    <n v="9858.49"/>
    <n v="597.79999999999995"/>
    <n v="9.1"/>
    <n v="9.1"/>
    <n v="6.063808960601471E-2"/>
    <n v="1"/>
  </r>
  <r>
    <x v="1"/>
    <n v="76762.45"/>
    <n v="513.12"/>
    <n v="59.32"/>
    <n v="59.32"/>
    <n v="6.6845182768397833E-3"/>
    <n v="1"/>
  </r>
  <r>
    <x v="8"/>
    <n v="5619.22"/>
    <n v="265.67"/>
    <n v="8.31"/>
    <n v="8.31"/>
    <n v="4.7278803819747223E-2"/>
    <n v="1"/>
  </r>
  <r>
    <x v="7"/>
    <n v="19110.28"/>
    <n v="3056.71"/>
    <n v="12.47"/>
    <n v="12.47"/>
    <n v="0.15995108391923091"/>
    <n v="1"/>
  </r>
  <r>
    <x v="1"/>
    <n v="43031.75"/>
    <n v="2081.4899999999998"/>
    <n v="34.79"/>
    <n v="34.79"/>
    <n v="4.8371028368588302E-2"/>
    <n v="1"/>
  </r>
  <r>
    <x v="8"/>
    <n v="8603.2000000000007"/>
    <n v="1660.42"/>
    <n v="11.32"/>
    <n v="11.32"/>
    <n v="0.19300027896596614"/>
    <n v="1"/>
  </r>
  <r>
    <x v="1"/>
    <n v="14972.36"/>
    <n v="6287.62"/>
    <n v="13.6"/>
    <n v="13.6"/>
    <n v="0.41994849175413895"/>
    <n v="1"/>
  </r>
  <r>
    <x v="12"/>
    <n v="2768.28"/>
    <n v="966.52"/>
    <n v="3.54"/>
    <n v="3.54"/>
    <n v="0.34914098284855577"/>
    <n v="1"/>
  </r>
  <r>
    <x v="7"/>
    <n v="5992.03"/>
    <n v="3215.65"/>
    <n v="6.1"/>
    <n v="6.1"/>
    <n v="0.53665452275772985"/>
    <n v="1"/>
  </r>
  <r>
    <x v="1"/>
    <n v="65199.07"/>
    <n v="339.49"/>
    <n v="55.69"/>
    <n v="55.68"/>
    <n v="5.2069761117758276E-3"/>
    <n v="0.99982043454839298"/>
  </r>
  <r>
    <x v="4"/>
    <n v="15205.44"/>
    <n v="570.77"/>
    <n v="14.1"/>
    <n v="14.1"/>
    <n v="3.7537223520003361E-2"/>
    <n v="1"/>
  </r>
  <r>
    <x v="20"/>
    <n v="18341.09"/>
    <n v="8413.84"/>
    <n v="20.68"/>
    <n v="20.68"/>
    <n v="0.45874263743321692"/>
    <n v="1"/>
  </r>
  <r>
    <x v="13"/>
    <n v="13686.16"/>
    <n v="4661.93"/>
    <n v="18.190000000000001"/>
    <n v="18.190000000000001"/>
    <n v="0.34063097318751206"/>
    <n v="1"/>
  </r>
  <r>
    <x v="1"/>
    <n v="51920.1"/>
    <n v="4429.8500000000004"/>
    <n v="46.82"/>
    <n v="46.82"/>
    <n v="8.532052133951977E-2"/>
    <n v="1"/>
  </r>
  <r>
    <x v="7"/>
    <n v="3992.06"/>
    <n v="47.21"/>
    <n v="4.13"/>
    <n v="5.37"/>
    <n v="1.1825974559500609E-2"/>
    <n v="1.3002421307506054"/>
  </r>
  <r>
    <x v="8"/>
    <n v="10373.629999999999"/>
    <n v="952.15"/>
    <n v="11.04"/>
    <n v="6.25"/>
    <n v="9.1785614100367952E-2"/>
    <n v="0.56612318840579712"/>
  </r>
  <r>
    <x v="4"/>
    <n v="40843.24"/>
    <n v="113.07"/>
    <n v="32.97"/>
    <n v="32.97"/>
    <n v="2.7683895792792149E-3"/>
    <n v="1"/>
  </r>
  <r>
    <x v="13"/>
    <n v="47805.68"/>
    <n v="8388.98"/>
    <n v="38.630000000000003"/>
    <n v="53.45"/>
    <n v="0.17548082152581032"/>
    <n v="1.3836396582966606"/>
  </r>
  <r>
    <x v="15"/>
    <n v="27982.26"/>
    <n v="7475.45"/>
    <n v="30.04"/>
    <n v="30.04"/>
    <n v="0.26714961550639582"/>
    <n v="1"/>
  </r>
  <r>
    <x v="8"/>
    <n v="10867.86"/>
    <n v="3275.33"/>
    <n v="12.74"/>
    <n v="12.74"/>
    <n v="0.30137764012418267"/>
    <n v="1"/>
  </r>
  <r>
    <x v="1"/>
    <n v="10494"/>
    <n v="617.34"/>
    <n v="9"/>
    <n v="9"/>
    <n v="5.8827901658090341E-2"/>
    <n v="1"/>
  </r>
  <r>
    <x v="3"/>
    <n v="5704.38"/>
    <n v="4031.51"/>
    <n v="12.06"/>
    <n v="12.02"/>
    <n v="0.70673938271994508"/>
    <n v="0.9966832504145936"/>
  </r>
  <r>
    <x v="1"/>
    <n v="60210.96"/>
    <n v="10158.34"/>
    <n v="47.56"/>
    <n v="47.56"/>
    <n v="0.16871247360945582"/>
    <n v="1"/>
  </r>
  <r>
    <x v="1"/>
    <n v="117722.18"/>
    <n v="4095.06"/>
    <n v="91.52"/>
    <n v="91.52"/>
    <n v="3.4785798224259867E-2"/>
    <n v="1"/>
  </r>
  <r>
    <x v="8"/>
    <n v="7640.16"/>
    <n v="1723.39"/>
    <n v="10.59"/>
    <n v="10.59"/>
    <n v="0.22556988335322822"/>
    <n v="1"/>
  </r>
  <r>
    <x v="4"/>
    <n v="4937.9799999999996"/>
    <n v="338.12"/>
    <n v="4.04"/>
    <n v="4.04"/>
    <n v="6.8473343350924878E-2"/>
    <n v="1"/>
  </r>
  <r>
    <x v="1"/>
    <n v="23599.03"/>
    <n v="2311.14"/>
    <n v="21.68"/>
    <n v="21.68"/>
    <n v="9.7933686257443628E-2"/>
    <n v="1"/>
  </r>
  <r>
    <x v="13"/>
    <n v="51710.58"/>
    <n v="421.5"/>
    <n v="50.41"/>
    <n v="50.41"/>
    <n v="8.1511365759192791E-3"/>
    <n v="1"/>
  </r>
  <r>
    <x v="6"/>
    <n v="30370.57"/>
    <n v="2709.93"/>
    <n v="21.19"/>
    <n v="21.19"/>
    <n v="8.9228815922783131E-2"/>
    <n v="1"/>
  </r>
  <r>
    <x v="1"/>
    <n v="96582.88"/>
    <n v="1092.1199999999999"/>
    <n v="87.54"/>
    <n v="87.54"/>
    <n v="1.1307594058077372E-2"/>
    <n v="1"/>
  </r>
  <r>
    <x v="22"/>
    <n v="104500.94"/>
    <n v="2997.25"/>
    <n v="56.7"/>
    <n v="56.7"/>
    <n v="2.8681560185008861E-2"/>
    <n v="1"/>
  </r>
  <r>
    <x v="24"/>
    <n v="23897.02"/>
    <n v="5392.38"/>
    <n v="22.88"/>
    <n v="22.88"/>
    <n v="0.22565072967257005"/>
    <n v="1"/>
  </r>
  <r>
    <x v="4"/>
    <n v="7165.04"/>
    <n v="629.82000000000005"/>
    <n v="6.65"/>
    <n v="6.65"/>
    <n v="8.7901812132242116E-2"/>
    <n v="1"/>
  </r>
  <r>
    <x v="25"/>
    <n v="16250"/>
    <n v="24.62"/>
    <n v="10"/>
    <n v="10"/>
    <n v="1.5150769230769232E-3"/>
    <n v="1"/>
  </r>
  <r>
    <x v="7"/>
    <n v="27416"/>
    <n v="1228.5"/>
    <n v="11.5"/>
    <n v="11.5"/>
    <n v="4.4809600233440328E-2"/>
    <n v="1"/>
  </r>
  <r>
    <x v="1"/>
    <n v="4233.5200000000004"/>
    <n v="1025.81"/>
    <n v="3.62"/>
    <n v="3.62"/>
    <n v="0.24230663844743849"/>
    <n v="1"/>
  </r>
  <r>
    <x v="4"/>
    <n v="6651.61"/>
    <n v="406.34"/>
    <n v="5.69"/>
    <n v="5.69"/>
    <n v="6.1088969437474536E-2"/>
    <n v="1"/>
  </r>
  <r>
    <x v="4"/>
    <n v="5583.06"/>
    <n v="162.29"/>
    <n v="4.9000000000000004"/>
    <n v="4.9000000000000004"/>
    <n v="2.9068288716223717E-2"/>
    <n v="1"/>
  </r>
  <r>
    <x v="26"/>
    <n v="14946"/>
    <n v="5702.8"/>
    <n v="5.3"/>
    <n v="5.3"/>
    <n v="0.38156028368794326"/>
    <n v="1"/>
  </r>
  <r>
    <x v="3"/>
    <n v="5435.45"/>
    <n v="3396.55"/>
    <n v="17.510000000000002"/>
    <n v="17.510000000000002"/>
    <n v="0.62488846369665807"/>
    <n v="1"/>
  </r>
  <r>
    <x v="1"/>
    <n v="39722.129999999997"/>
    <n v="2542.8000000000002"/>
    <n v="39.409999999999997"/>
    <n v="39.409999999999997"/>
    <n v="6.4014694076072964E-2"/>
    <n v="1"/>
  </r>
  <r>
    <x v="0"/>
    <n v="347772"/>
    <n v="2745.08"/>
    <n v="11.68"/>
    <n v="11.68"/>
    <n v="7.8933324131902505E-3"/>
    <n v="1"/>
  </r>
  <r>
    <x v="4"/>
    <n v="31026.93"/>
    <n v="1992.23"/>
    <n v="33"/>
    <n v="33"/>
    <n v="6.4209704279475921E-2"/>
    <n v="1"/>
  </r>
  <r>
    <x v="6"/>
    <n v="13084.25"/>
    <n v="3544.69"/>
    <n v="9.9499999999999993"/>
    <n v="9.9499999999999993"/>
    <n v="0.27091273859793263"/>
    <n v="1"/>
  </r>
  <r>
    <x v="1"/>
    <n v="85050"/>
    <n v="1833.57"/>
    <n v="90"/>
    <n v="90"/>
    <n v="2.1558730158730159E-2"/>
    <n v="1"/>
  </r>
  <r>
    <x v="4"/>
    <n v="1019.54"/>
    <n v="286.32"/>
    <n v="1.5"/>
    <n v="1.5"/>
    <n v="0.28083253231849659"/>
    <n v="1"/>
  </r>
  <r>
    <x v="2"/>
    <n v="29980.57"/>
    <n v="3848.02"/>
    <n v="24.53"/>
    <n v="24.53"/>
    <n v="0.12835046164899466"/>
    <n v="1"/>
  </r>
  <r>
    <x v="6"/>
    <n v="18186.400000000001"/>
    <n v="203.64"/>
    <n v="17.899999999999999"/>
    <n v="17.899999999999999"/>
    <n v="1.1197378260678308E-2"/>
    <n v="1"/>
  </r>
  <r>
    <x v="0"/>
    <n v="3593.05"/>
    <n v="185.96"/>
    <n v="3.09"/>
    <n v="3.09"/>
    <n v="5.1755472370270381E-2"/>
    <n v="1"/>
  </r>
  <r>
    <x v="6"/>
    <n v="11422.32"/>
    <n v="1543.9"/>
    <n v="10.46"/>
    <n v="10.46"/>
    <n v="0.13516518535638997"/>
    <n v="1"/>
  </r>
  <r>
    <x v="0"/>
    <n v="15186.78"/>
    <n v="1048.6099999999999"/>
    <n v="14.18"/>
    <n v="14.18"/>
    <n v="6.9047553200876022E-2"/>
    <n v="1"/>
  </r>
  <r>
    <x v="20"/>
    <n v="27592.36"/>
    <n v="12253.63"/>
    <n v="20.39"/>
    <n v="20.39"/>
    <n v="0.44409503210308937"/>
    <n v="1"/>
  </r>
  <r>
    <x v="12"/>
    <n v="3286.14"/>
    <n v="929.92"/>
    <n v="5.72"/>
    <n v="5.72"/>
    <n v="0.28298246575008978"/>
    <n v="1"/>
  </r>
  <r>
    <x v="1"/>
    <n v="95901.35"/>
    <n v="2629.55"/>
    <n v="89.93"/>
    <n v="89.93"/>
    <n v="2.7419322042911805E-2"/>
    <n v="1"/>
  </r>
  <r>
    <x v="0"/>
    <n v="11263.56"/>
    <n v="6815.47"/>
    <n v="12.19"/>
    <n v="12.19"/>
    <n v="0.60509022014354263"/>
    <n v="1"/>
  </r>
  <r>
    <x v="13"/>
    <n v="15219.75"/>
    <n v="4951.9799999999996"/>
    <n v="16.25"/>
    <n v="16.25"/>
    <n v="0.32536539693490363"/>
    <n v="1"/>
  </r>
  <r>
    <x v="1"/>
    <n v="14950"/>
    <n v="2793.75"/>
    <n v="11.5"/>
    <n v="7.3"/>
    <n v="0.18687290969899664"/>
    <n v="0.63478260869565217"/>
  </r>
  <r>
    <x v="6"/>
    <n v="14322.6"/>
    <n v="2987.96"/>
    <n v="7.3"/>
    <n v="7.3"/>
    <n v="0.20861854691187354"/>
    <n v="1"/>
  </r>
  <r>
    <x v="19"/>
    <n v="1646.4"/>
    <n v="979.75"/>
    <n v="2"/>
    <n v="15"/>
    <n v="0.59508624878522831"/>
    <n v="7.5"/>
  </r>
  <r>
    <x v="6"/>
    <n v="10629.36"/>
    <n v="1346.04"/>
    <n v="10.36"/>
    <n v="10.36"/>
    <n v="0.1266341529499424"/>
    <n v="1"/>
  </r>
  <r>
    <x v="1"/>
    <n v="46711.62"/>
    <n v="910.81"/>
    <n v="37.520000000000003"/>
    <n v="37.520000000000003"/>
    <n v="1.9498574444645676E-2"/>
    <n v="1"/>
  </r>
  <r>
    <x v="0"/>
    <n v="7390.97"/>
    <n v="695.59"/>
    <n v="10.01"/>
    <n v="10.01"/>
    <n v="9.4113492545633393E-2"/>
    <n v="1"/>
  </r>
  <r>
    <x v="9"/>
    <n v="5122"/>
    <n v="1133.5899999999999"/>
    <n v="6.34"/>
    <n v="6.34"/>
    <n v="0.22131784459195625"/>
    <n v="1"/>
  </r>
  <r>
    <x v="3"/>
    <n v="2926"/>
    <n v="528.75"/>
    <n v="2.97"/>
    <n v="2.97"/>
    <n v="0.18070745044429254"/>
    <n v="1"/>
  </r>
  <r>
    <x v="1"/>
    <n v="28289.360000000001"/>
    <n v="4238.04"/>
    <n v="33.549999999999997"/>
    <n v="33.54"/>
    <n v="0.14981038807523395"/>
    <n v="0.99970193740685553"/>
  </r>
  <r>
    <x v="0"/>
    <n v="21777.56"/>
    <n v="1589.69"/>
    <n v="21.68"/>
    <n v="21.67"/>
    <n v="7.2996699354748645E-2"/>
    <n v="0.99953874538745402"/>
  </r>
  <r>
    <x v="4"/>
    <n v="8693.92"/>
    <n v="588.12"/>
    <n v="8.4600000000000009"/>
    <n v="8.4600000000000009"/>
    <n v="6.7647275337247181E-2"/>
    <n v="1"/>
  </r>
  <r>
    <x v="6"/>
    <n v="30002.25"/>
    <n v="5689.8"/>
    <n v="25"/>
    <n v="25"/>
    <n v="0.18964577656675749"/>
    <n v="1"/>
  </r>
  <r>
    <x v="1"/>
    <n v="8055.6"/>
    <n v="1406.58"/>
    <n v="9.59"/>
    <n v="9.58"/>
    <n v="0.17460896767466108"/>
    <n v="0.99895724713242962"/>
  </r>
  <r>
    <x v="6"/>
    <n v="29630.22"/>
    <n v="11888.92"/>
    <n v="24.69"/>
    <n v="24.68"/>
    <n v="0.4012430552321245"/>
    <n v="0.9995949777237747"/>
  </r>
  <r>
    <x v="4"/>
    <n v="21529.24"/>
    <n v="9809.25"/>
    <n v="23.46"/>
    <n v="23.46"/>
    <n v="0.45562453667663139"/>
    <n v="1"/>
  </r>
  <r>
    <x v="3"/>
    <n v="764.4"/>
    <n v="538.72"/>
    <n v="2.6"/>
    <n v="2.6"/>
    <n v="0.70476190476190481"/>
    <n v="1"/>
  </r>
  <r>
    <x v="1"/>
    <n v="106548"/>
    <n v="156"/>
    <n v="78"/>
    <n v="78"/>
    <n v="1.4641288433382138E-3"/>
    <n v="1"/>
  </r>
  <r>
    <x v="0"/>
    <n v="58307"/>
    <n v="2743.25"/>
    <n v="39.799999999999997"/>
    <n v="39.799999999999997"/>
    <n v="4.7048381840945341E-2"/>
    <n v="1"/>
  </r>
  <r>
    <x v="4"/>
    <n v="20851.599999999999"/>
    <n v="594.44000000000005"/>
    <n v="22"/>
    <n v="22"/>
    <n v="2.8508124076809457E-2"/>
    <n v="1"/>
  </r>
  <r>
    <x v="1"/>
    <n v="131802.09"/>
    <n v="13629.07"/>
    <n v="92.74"/>
    <n v="92.74"/>
    <n v="0.10340556815146103"/>
    <n v="1"/>
  </r>
  <r>
    <x v="4"/>
    <n v="88061.74"/>
    <n v="10441.39"/>
    <n v="75.010000000000005"/>
    <n v="75.010000000000005"/>
    <n v="0.11856897217792879"/>
    <n v="1"/>
  </r>
  <r>
    <x v="15"/>
    <n v="3107.1"/>
    <n v="332.14"/>
    <n v="10.43"/>
    <n v="10.43"/>
    <n v="0.10689710662675807"/>
    <n v="1"/>
  </r>
  <r>
    <x v="20"/>
    <n v="14661.98"/>
    <n v="1432.91"/>
    <n v="9.0399999999999991"/>
    <n v="9.0399999999999991"/>
    <n v="9.7729638152555115E-2"/>
    <n v="1"/>
  </r>
  <r>
    <x v="15"/>
    <n v="9003.85"/>
    <n v="298.07"/>
    <n v="9.36"/>
    <n v="9.36"/>
    <n v="3.3104727422158295E-2"/>
    <n v="1"/>
  </r>
  <r>
    <x v="20"/>
    <n v="9385.1299999999992"/>
    <n v="1629.46"/>
    <n v="10.28"/>
    <n v="10.28"/>
    <n v="0.17362146288863342"/>
    <n v="1"/>
  </r>
  <r>
    <x v="5"/>
    <n v="3244.61"/>
    <n v="449.13"/>
    <n v="5.16"/>
    <n v="5.16"/>
    <n v="0.13842341606541309"/>
    <n v="1"/>
  </r>
  <r>
    <x v="1"/>
    <n v="46592.56"/>
    <n v="1819.16"/>
    <n v="42.28"/>
    <n v="42.28"/>
    <n v="3.9044001874977467E-2"/>
    <n v="1"/>
  </r>
  <r>
    <x v="9"/>
    <n v="11116.04"/>
    <n v="423.47"/>
    <n v="13.07"/>
    <n v="13.07"/>
    <n v="3.8095400880169557E-2"/>
    <n v="1"/>
  </r>
  <r>
    <x v="27"/>
    <n v="19059.3"/>
    <n v="3067.47"/>
    <n v="10.86"/>
    <n v="10.86"/>
    <n v="0.16094347641308968"/>
    <n v="1"/>
  </r>
  <r>
    <x v="12"/>
    <n v="8206.35"/>
    <n v="966.56"/>
    <n v="6.43"/>
    <n v="6.43"/>
    <n v="0.11778196152979094"/>
    <n v="1"/>
  </r>
  <r>
    <x v="13"/>
    <n v="35054.9"/>
    <n v="15344.45"/>
    <n v="36.21"/>
    <n v="36.21"/>
    <n v="0.43772625225004208"/>
    <n v="1"/>
  </r>
  <r>
    <x v="1"/>
    <n v="14833.9"/>
    <n v="1061.0999999999999"/>
    <n v="13.96"/>
    <n v="13.96"/>
    <n v="7.1532098773754701E-2"/>
    <n v="1"/>
  </r>
  <r>
    <x v="25"/>
    <n v="42025.2"/>
    <n v="35721.42"/>
    <n v="50.03"/>
    <n v="50.03"/>
    <n v="0.85"/>
    <n v="1"/>
  </r>
  <r>
    <x v="15"/>
    <n v="32869.54"/>
    <n v="14788.71"/>
    <n v="28.19"/>
    <n v="28.19"/>
    <n v="0.4499214166063778"/>
    <n v="1"/>
  </r>
  <r>
    <x v="2"/>
    <n v="12517.2"/>
    <n v="943.92"/>
    <n v="8.5500000000000007"/>
    <n v="8.5500000000000007"/>
    <n v="7.5409836065573763E-2"/>
    <n v="1"/>
  </r>
  <r>
    <x v="4"/>
    <n v="7751.24"/>
    <n v="113.09"/>
    <n v="6.58"/>
    <n v="6.58"/>
    <n v="1.4589923676727854E-2"/>
    <n v="1"/>
  </r>
  <r>
    <x v="8"/>
    <n v="3418.52"/>
    <n v="938.46"/>
    <n v="5.73"/>
    <n v="5.73"/>
    <n v="0.27452230789932486"/>
    <n v="1"/>
  </r>
  <r>
    <x v="7"/>
    <n v="50195.199999999997"/>
    <n v="2421.7600000000002"/>
    <n v="32"/>
    <n v="32"/>
    <n v="4.8246844319775606E-2"/>
    <n v="1"/>
  </r>
  <r>
    <x v="4"/>
    <n v="22542"/>
    <n v="921.4"/>
    <n v="17"/>
    <n v="17"/>
    <n v="4.0874811463046758E-2"/>
    <n v="1"/>
  </r>
  <r>
    <x v="1"/>
    <n v="38607.1"/>
    <n v="2257.69"/>
    <n v="38.24"/>
    <n v="38.24"/>
    <n v="5.8478621807905806E-2"/>
    <n v="1"/>
  </r>
  <r>
    <x v="4"/>
    <n v="37240.800000000003"/>
    <n v="8899.92"/>
    <n v="42.08"/>
    <n v="42.08"/>
    <n v="0.23898305084745761"/>
    <n v="1"/>
  </r>
  <r>
    <x v="0"/>
    <n v="58296"/>
    <n v="3500.26"/>
    <n v="42"/>
    <n v="8.08"/>
    <n v="6.0042884588994101E-2"/>
    <n v="0.19238095238095237"/>
  </r>
  <r>
    <x v="7"/>
    <n v="15030.4"/>
    <n v="4347.2"/>
    <n v="15.4"/>
    <n v="13"/>
    <n v="0.28922716627634659"/>
    <n v="0.8441558441558441"/>
  </r>
  <r>
    <x v="3"/>
    <n v="6935.04"/>
    <n v="1265.6400000000001"/>
    <n v="7.74"/>
    <n v="7.4"/>
    <n v="0.18249930786267998"/>
    <n v="0.95607235142118863"/>
  </r>
  <r>
    <x v="4"/>
    <n v="26686.26"/>
    <n v="4053.85"/>
    <n v="38.76"/>
    <n v="17"/>
    <n v="0.15190776077277221"/>
    <n v="0.43859649122807021"/>
  </r>
  <r>
    <x v="11"/>
    <n v="1578.24"/>
    <n v="262.45999999999998"/>
    <n v="3.2"/>
    <n v="3.2"/>
    <n v="0.16629916869424166"/>
    <n v="1"/>
  </r>
  <r>
    <x v="1"/>
    <n v="20326.64"/>
    <n v="4332.68"/>
    <n v="18.649999999999999"/>
    <n v="18.649999999999999"/>
    <n v="0.21315278865567552"/>
    <n v="1"/>
  </r>
  <r>
    <x v="12"/>
    <n v="15515.32"/>
    <n v="1715.49"/>
    <n v="20.9"/>
    <n v="20.9"/>
    <n v="0.11056749071240554"/>
    <n v="1"/>
  </r>
  <r>
    <x v="0"/>
    <n v="40257.379999999997"/>
    <n v="7647.81"/>
    <n v="34.630000000000003"/>
    <n v="34.630000000000003"/>
    <n v="0.18997286957074705"/>
    <n v="1"/>
  </r>
  <r>
    <x v="1"/>
    <n v="36448.559999999998"/>
    <n v="1466.42"/>
    <n v="32.659999999999997"/>
    <n v="32.659999999999997"/>
    <n v="4.0232590807428338E-2"/>
    <n v="1"/>
  </r>
  <r>
    <x v="1"/>
    <n v="119537.93"/>
    <n v="793.92"/>
    <n v="99.6"/>
    <n v="23"/>
    <n v="6.6415739338969645E-3"/>
    <n v="0.23092369477911648"/>
  </r>
  <r>
    <x v="1"/>
    <n v="104566.15"/>
    <n v="8043.55"/>
    <n v="94.63"/>
    <n v="94.63"/>
    <n v="7.6923076923076927E-2"/>
    <n v="1"/>
  </r>
  <r>
    <x v="3"/>
    <n v="6953.8"/>
    <n v="702.86"/>
    <n v="20.77"/>
    <n v="20.77"/>
    <n v="0.1010756708562225"/>
    <n v="1"/>
  </r>
  <r>
    <x v="7"/>
    <n v="23122.94"/>
    <n v="2638.39"/>
    <n v="30.88"/>
    <n v="30.88"/>
    <n v="0.11410270493285024"/>
    <n v="1"/>
  </r>
  <r>
    <x v="4"/>
    <n v="33768"/>
    <n v="2026.08"/>
    <n v="37.520000000000003"/>
    <n v="37.520000000000003"/>
    <n v="0.06"/>
    <n v="1"/>
  </r>
  <r>
    <x v="8"/>
    <n v="13212.4"/>
    <n v="3421.42"/>
    <n v="29"/>
    <n v="29"/>
    <n v="0.25895522388059705"/>
    <n v="1"/>
  </r>
  <r>
    <x v="8"/>
    <n v="31412.48"/>
    <n v="7294.4"/>
    <n v="62.08"/>
    <n v="62.07"/>
    <n v="0.23221343873517786"/>
    <n v="0.99983891752577325"/>
  </r>
  <r>
    <x v="1"/>
    <n v="74282.179999999993"/>
    <n v="1916.73"/>
    <n v="70.209999999999994"/>
    <n v="70.209999999999994"/>
    <n v="2.5803362259965986E-2"/>
    <n v="1"/>
  </r>
  <r>
    <x v="7"/>
    <n v="37559.160000000003"/>
    <n v="1985.53"/>
    <n v="44.82"/>
    <n v="44.82"/>
    <n v="5.2864068312496869E-2"/>
    <n v="1"/>
  </r>
  <r>
    <x v="13"/>
    <n v="74117.84"/>
    <n v="12732.12"/>
    <n v="9.73"/>
    <n v="9.73"/>
    <n v="0.17178212424970832"/>
    <n v="1"/>
  </r>
  <r>
    <x v="4"/>
    <n v="27433.14"/>
    <n v="500"/>
    <n v="21.07"/>
    <n v="21.07"/>
    <n v="1.8226130876742509E-2"/>
    <n v="1"/>
  </r>
  <r>
    <x v="8"/>
    <n v="4983.83"/>
    <n v="41.4"/>
    <n v="5.62"/>
    <n v="5.62"/>
    <n v="8.3068643994678795E-3"/>
    <n v="1"/>
  </r>
  <r>
    <x v="1"/>
    <n v="26507.200000000001"/>
    <n v="1101.6199999999999"/>
    <n v="21.92"/>
    <n v="21.92"/>
    <n v="4.1559274461278439E-2"/>
    <n v="1"/>
  </r>
  <r>
    <x v="0"/>
    <n v="13597.25"/>
    <n v="4912.88"/>
    <n v="12.5"/>
    <n v="12.5"/>
    <n v="0.36131423633455295"/>
    <n v="1"/>
  </r>
  <r>
    <x v="6"/>
    <n v="29249.18"/>
    <n v="2636.1"/>
    <n v="16.41"/>
    <n v="16.41"/>
    <n v="9.0125603521192726E-2"/>
    <n v="1"/>
  </r>
  <r>
    <x v="7"/>
    <n v="14392.73"/>
    <n v="7145.86"/>
    <n v="13.36"/>
    <n v="13.36"/>
    <n v="0.49649093674375883"/>
    <n v="1"/>
  </r>
  <r>
    <x v="1"/>
    <n v="41164.44"/>
    <n v="4993.58"/>
    <n v="38.770000000000003"/>
    <n v="38.770000000000003"/>
    <n v="0.12130809990370328"/>
    <n v="1"/>
  </r>
  <r>
    <x v="4"/>
    <n v="16914.22"/>
    <n v="1353.51"/>
    <n v="14.76"/>
    <n v="14.76"/>
    <n v="8.0022016977430818E-2"/>
    <n v="1"/>
  </r>
  <r>
    <x v="0"/>
    <n v="31932.16"/>
    <n v="1588.7"/>
    <n v="20.2"/>
    <n v="20.2"/>
    <n v="4.9752349981961763E-2"/>
    <n v="1"/>
  </r>
  <r>
    <x v="7"/>
    <n v="20365.830000000002"/>
    <n v="2149.62"/>
    <n v="15.3"/>
    <n v="15.3"/>
    <n v="0.10555032620816336"/>
    <n v="1"/>
  </r>
  <r>
    <x v="6"/>
    <n v="18520"/>
    <n v="118.3"/>
    <n v="10"/>
    <n v="10"/>
    <n v="6.3876889848812094E-3"/>
    <n v="1"/>
  </r>
  <r>
    <x v="1"/>
    <n v="81796"/>
    <n v="10904.1"/>
    <n v="55"/>
    <n v="55"/>
    <n v="0.13330847474204119"/>
    <n v="1"/>
  </r>
  <r>
    <x v="28"/>
    <n v="38454"/>
    <n v="4082.04"/>
    <n v="24.65"/>
    <n v="24.65"/>
    <n v="0.10615384615384615"/>
    <n v="1"/>
  </r>
  <r>
    <x v="8"/>
    <n v="34950.160000000003"/>
    <n v="4444.6499999999996"/>
    <n v="29.05"/>
    <n v="29.05"/>
    <n v="0.12717109163448748"/>
    <n v="1"/>
  </r>
  <r>
    <x v="6"/>
    <n v="62035.05"/>
    <n v="6086.04"/>
    <n v="25.31"/>
    <n v="25.31"/>
    <n v="9.8106473678992764E-2"/>
    <n v="1"/>
  </r>
  <r>
    <x v="1"/>
    <n v="16400.400000000001"/>
    <n v="3111.51"/>
    <n v="12"/>
    <n v="12"/>
    <n v="0.18972159215628887"/>
    <n v="1"/>
  </r>
  <r>
    <x v="4"/>
    <n v="14675.5"/>
    <n v="214.38"/>
    <n v="12.25"/>
    <n v="12.25"/>
    <n v="1.4608020169670539E-2"/>
    <n v="1"/>
  </r>
  <r>
    <x v="8"/>
    <n v="8851.41"/>
    <n v="2889.39"/>
    <n v="14.38"/>
    <n v="14.38"/>
    <n v="0.326432737834989"/>
    <n v="1"/>
  </r>
  <r>
    <x v="13"/>
    <n v="10672.98"/>
    <n v="3990.55"/>
    <n v="10.14"/>
    <n v="10.14"/>
    <n v="0.37389276471988148"/>
    <n v="1"/>
  </r>
  <r>
    <x v="3"/>
    <n v="4543.62"/>
    <n v="1094.95"/>
    <n v="9.07"/>
    <n v="9.07"/>
    <n v="0.24098626205536555"/>
    <n v="1"/>
  </r>
  <r>
    <x v="1"/>
    <n v="66761.36"/>
    <n v="1000"/>
    <n v="41.51"/>
    <n v="20"/>
    <n v="1.4978724220117744E-2"/>
    <n v="0.48181161165984104"/>
  </r>
  <r>
    <x v="13"/>
    <n v="116474.09"/>
    <n v="8228.6299999999992"/>
    <n v="134.72999999999999"/>
    <n v="13.01"/>
    <n v="7.0647729464982295E-2"/>
    <n v="9.6563497365100573E-2"/>
  </r>
  <r>
    <x v="11"/>
    <n v="5031"/>
    <n v="1589.8"/>
    <n v="7.74"/>
    <n v="7.74"/>
    <n v="0.3160007950705625"/>
    <n v="1"/>
  </r>
  <r>
    <x v="1"/>
    <n v="207483.6"/>
    <n v="7177.49"/>
    <n v="201.05"/>
    <n v="149.22"/>
    <n v="3.459304735410413E-2"/>
    <n v="0.74220343198209393"/>
  </r>
  <r>
    <x v="0"/>
    <n v="75130.83"/>
    <n v="6233.85"/>
    <n v="62.95"/>
    <n v="62.95"/>
    <n v="8.2973261442739282E-2"/>
    <n v="1"/>
  </r>
  <r>
    <x v="4"/>
    <n v="29206.45"/>
    <n v="1396.13"/>
    <n v="32.75"/>
    <n v="14.54"/>
    <n v="4.7802112204667124E-2"/>
    <n v="0.44396946564885492"/>
  </r>
  <r>
    <x v="1"/>
    <n v="7585.89"/>
    <n v="181.95"/>
    <n v="7.87"/>
    <n v="7.87"/>
    <n v="2.3985320114053854E-2"/>
    <n v="1"/>
  </r>
  <r>
    <x v="15"/>
    <n v="16490.02"/>
    <n v="6823.2"/>
    <n v="13.25"/>
    <n v="13.25"/>
    <n v="0.41377754544870166"/>
    <n v="1"/>
  </r>
  <r>
    <x v="13"/>
    <n v="16490.02"/>
    <n v="2229.0500000000002"/>
    <n v="18.57"/>
    <n v="18.559999999999999"/>
    <n v="0.1351757002114006"/>
    <n v="0.99946149703823361"/>
  </r>
  <r>
    <x v="1"/>
    <n v="78301.58"/>
    <n v="12334.49"/>
    <n v="59.79"/>
    <n v="59.79"/>
    <n v="0.15752542924421192"/>
    <n v="1"/>
  </r>
  <r>
    <x v="0"/>
    <n v="42983.35"/>
    <n v="14444.06"/>
    <n v="27.62"/>
    <n v="27.62"/>
    <n v="0.33603848932202818"/>
    <n v="1"/>
  </r>
  <r>
    <x v="4"/>
    <n v="11274.3"/>
    <n v="2333.6799999999998"/>
    <n v="10.26"/>
    <n v="10.26"/>
    <n v="0.20699112139999823"/>
    <n v="1"/>
  </r>
  <r>
    <x v="8"/>
    <n v="4888.2299999999996"/>
    <n v="330.1"/>
    <n v="7.79"/>
    <n v="7.79"/>
    <n v="6.7529555687846118E-2"/>
    <n v="1"/>
  </r>
  <r>
    <x v="7"/>
    <n v="25220.38"/>
    <n v="16511.259999999998"/>
    <n v="20.329999999999998"/>
    <n v="20.329999999999998"/>
    <n v="0.65467927128774417"/>
    <n v="1"/>
  </r>
  <r>
    <x v="6"/>
    <n v="8634.91"/>
    <n v="1943.24"/>
    <n v="4.8099999999999996"/>
    <n v="4.8099999999999996"/>
    <n v="0.22504461540421383"/>
    <n v="1"/>
  </r>
  <r>
    <x v="0"/>
    <n v="16864.560000000001"/>
    <n v="4574.55"/>
    <n v="10.62"/>
    <n v="10.62"/>
    <n v="0.27125225917545431"/>
    <n v="1"/>
  </r>
  <r>
    <x v="4"/>
    <n v="4039.56"/>
    <n v="553.77"/>
    <n v="4.58"/>
    <n v="4.58"/>
    <n v="0.13708671241422332"/>
    <n v="1"/>
  </r>
  <r>
    <x v="1"/>
    <n v="36847.25"/>
    <n v="2767.57"/>
    <n v="31.55"/>
    <n v="31.55"/>
    <n v="7.510926866998216E-2"/>
    <n v="1"/>
  </r>
  <r>
    <x v="12"/>
    <n v="8303.76"/>
    <n v="2019.17"/>
    <n v="9.1199999999999992"/>
    <n v="9.1199999999999992"/>
    <n v="0.24316333805408635"/>
    <n v="1"/>
  </r>
  <r>
    <x v="13"/>
    <n v="34904.400000000001"/>
    <n v="3100"/>
    <n v="51.33"/>
    <n v="51.33"/>
    <n v="8.8814017716964053E-2"/>
    <n v="1"/>
  </r>
  <r>
    <x v="4"/>
    <n v="14234.99"/>
    <n v="514.20000000000005"/>
    <n v="15.29"/>
    <n v="15.29"/>
    <n v="3.6122259306118239E-2"/>
    <n v="1"/>
  </r>
  <r>
    <x v="4"/>
    <n v="13373.82"/>
    <n v="2588.4"/>
    <n v="15.56"/>
    <n v="15.56"/>
    <n v="0.19354230877939138"/>
    <n v="1"/>
  </r>
  <r>
    <x v="6"/>
    <n v="27684"/>
    <n v="1105"/>
    <n v="15.38"/>
    <n v="15.37"/>
    <n v="3.9914752203438812E-2"/>
    <n v="0.99934980494148229"/>
  </r>
  <r>
    <x v="1"/>
    <n v="79872"/>
    <n v="18632.2"/>
    <n v="66.56"/>
    <n v="66.55"/>
    <n v="0.23327574118589745"/>
    <n v="0.99984975961538458"/>
  </r>
  <r>
    <x v="13"/>
    <n v="21696"/>
    <n v="6617.28"/>
    <n v="27.12"/>
    <n v="27.12"/>
    <n v="0.30499999999999999"/>
    <n v="1"/>
  </r>
  <r>
    <x v="1"/>
    <n v="44524.35"/>
    <n v="732.57"/>
    <n v="50.31"/>
    <n v="51"/>
    <n v="1.6453244123721067E-2"/>
    <n v="1.0137149672033392"/>
  </r>
  <r>
    <x v="13"/>
    <n v="30024"/>
    <n v="8882.1"/>
    <n v="41.7"/>
    <n v="41"/>
    <n v="0.29583333333333334"/>
    <n v="0.98321342925659461"/>
  </r>
  <r>
    <x v="1"/>
    <n v="65208"/>
    <n v="1681.02"/>
    <n v="49.4"/>
    <n v="18.04"/>
    <n v="2.5779352226720648E-2"/>
    <n v="0.3651821862348178"/>
  </r>
  <r>
    <x v="4"/>
    <n v="47902.32"/>
    <n v="4005.93"/>
    <n v="39.72"/>
    <n v="35.89"/>
    <n v="8.3627056059080232E-2"/>
    <n v="0.90357502517623367"/>
  </r>
  <r>
    <x v="0"/>
    <n v="42840"/>
    <n v="16870.240000000002"/>
    <n v="21"/>
    <n v="21"/>
    <n v="0.39379645191409901"/>
    <n v="1"/>
  </r>
  <r>
    <x v="7"/>
    <n v="22815"/>
    <n v="295.49"/>
    <n v="25"/>
    <n v="25"/>
    <n v="1.2951566951566951E-2"/>
    <n v="1"/>
  </r>
  <r>
    <x v="7"/>
    <n v="121039.8"/>
    <n v="33979.050000000003"/>
    <n v="90.16"/>
    <n v="90.16"/>
    <n v="0.28072625698324022"/>
    <n v="1"/>
  </r>
  <r>
    <x v="15"/>
    <n v="39146.29"/>
    <n v="16449.330000000002"/>
    <n v="20.25"/>
    <n v="20.25"/>
    <n v="0.42020150568546855"/>
    <n v="1"/>
  </r>
  <r>
    <x v="13"/>
    <n v="83770.62"/>
    <n v="24652.55"/>
    <n v="63.67"/>
    <n v="63.67"/>
    <n v="0.2942863500353704"/>
    <n v="1"/>
  </r>
  <r>
    <x v="8"/>
    <n v="11942.6"/>
    <n v="4667.97"/>
    <n v="13.3"/>
    <n v="13.3"/>
    <n v="0.39086714785725052"/>
    <n v="1"/>
  </r>
  <r>
    <x v="1"/>
    <n v="3482.75"/>
    <n v="296.36"/>
    <n v="3.38"/>
    <n v="3"/>
    <n v="8.509367597444549E-2"/>
    <n v="0.8875739644970414"/>
  </r>
  <r>
    <x v="7"/>
    <n v="10250.24"/>
    <n v="1031.68"/>
    <n v="10.4"/>
    <n v="10"/>
    <n v="0.10064935064935066"/>
    <n v="0.96153846153846145"/>
  </r>
  <r>
    <x v="1"/>
    <n v="14316.23"/>
    <n v="4149.18"/>
    <n v="12.95"/>
    <n v="12.65"/>
    <n v="0.28982350800455153"/>
    <n v="0.97683397683397688"/>
  </r>
  <r>
    <x v="0"/>
    <n v="67091.199999999997"/>
    <n v="14009.1"/>
    <n v="38.119999999999997"/>
    <n v="38.409999999999997"/>
    <n v="0.2088068181818182"/>
    <n v="1.0076075550891921"/>
  </r>
  <r>
    <x v="9"/>
    <n v="19380"/>
    <n v="395.68"/>
    <n v="16.149999999999999"/>
    <n v="16.149999999999999"/>
    <n v="2.0416924664602685E-2"/>
    <n v="1"/>
  </r>
  <r>
    <x v="4"/>
    <n v="31794"/>
    <n v="10134.6"/>
    <n v="28"/>
    <n v="28"/>
    <n v="0.31875825627476884"/>
    <n v="1"/>
  </r>
  <r>
    <x v="13"/>
    <n v="26862.42"/>
    <n v="3794.47"/>
    <n v="26.13"/>
    <n v="26.13"/>
    <n v="0.14125570220404565"/>
    <n v="1"/>
  </r>
  <r>
    <x v="6"/>
    <n v="15438.53"/>
    <n v="1927.06"/>
    <n v="10.94"/>
    <n v="10.94"/>
    <n v="0.12482146940155571"/>
    <n v="1"/>
  </r>
  <r>
    <x v="1"/>
    <n v="78926.539999999994"/>
    <n v="1957.95"/>
    <n v="56.36"/>
    <n v="56.36"/>
    <n v="2.4807244812708122E-2"/>
    <n v="1"/>
  </r>
  <r>
    <x v="15"/>
    <n v="14879.28"/>
    <n v="3611.14"/>
    <n v="9.8800000000000008"/>
    <n v="9.8800000000000008"/>
    <n v="0.24269588313413012"/>
    <n v="1"/>
  </r>
  <r>
    <x v="8"/>
    <n v="9087.6200000000008"/>
    <n v="495.38"/>
    <n v="13.14"/>
    <n v="13.14"/>
    <n v="5.4511522268756829E-2"/>
    <n v="1"/>
  </r>
  <r>
    <x v="11"/>
    <n v="13563"/>
    <n v="3204.69"/>
    <n v="22"/>
    <n v="21.15"/>
    <n v="0.23628179606281796"/>
    <n v="0.96136363636363631"/>
  </r>
  <r>
    <x v="16"/>
    <n v="39501"/>
    <n v="10422.959999999999"/>
    <n v="23.94"/>
    <n v="24.74"/>
    <n v="0.26386572491835647"/>
    <n v="1.0334168755221385"/>
  </r>
  <r>
    <x v="12"/>
    <n v="5503.95"/>
    <n v="2457.84"/>
    <n v="8.1"/>
    <n v="9.2200000000000006"/>
    <n v="0.44655928923772931"/>
    <n v="1.1382716049382717"/>
  </r>
  <r>
    <x v="4"/>
    <n v="8749.44"/>
    <n v="671.58"/>
    <n v="12.4"/>
    <n v="12.4"/>
    <n v="7.6756912442396311E-2"/>
    <n v="1"/>
  </r>
  <r>
    <x v="6"/>
    <n v="19987.5"/>
    <n v="2385.5"/>
    <n v="15"/>
    <n v="16.02"/>
    <n v="0.11934959349593496"/>
    <n v="1.0680000000000001"/>
  </r>
  <r>
    <x v="22"/>
    <n v="182310.72"/>
    <n v="26859.22"/>
    <n v="111.71"/>
    <n v="111.71"/>
    <n v="0.14732660811168977"/>
    <n v="1"/>
  </r>
  <r>
    <x v="15"/>
    <n v="30849"/>
    <n v="634.61"/>
    <n v="29.38"/>
    <n v="29.38"/>
    <n v="2.057149340335181E-2"/>
    <n v="1"/>
  </r>
  <r>
    <x v="4"/>
    <n v="22988.39"/>
    <n v="784.52"/>
    <n v="21.85"/>
    <n v="21.85"/>
    <n v="3.4126791828396855E-2"/>
    <n v="1"/>
  </r>
  <r>
    <x v="3"/>
    <n v="3984.73"/>
    <n v="869.47"/>
    <n v="7.41"/>
    <n v="7.41"/>
    <n v="0.21820048033367381"/>
    <n v="1"/>
  </r>
  <r>
    <x v="7"/>
    <n v="1746.45"/>
    <n v="1062.45"/>
    <n v="1.45"/>
    <n v="1.45"/>
    <n v="0.60834836382375679"/>
    <n v="1"/>
  </r>
  <r>
    <x v="2"/>
    <n v="7027.39"/>
    <n v="1895.63"/>
    <n v="6.47"/>
    <n v="6.47"/>
    <n v="0.26974879720635969"/>
    <n v="1"/>
  </r>
  <r>
    <x v="0"/>
    <n v="25835.040000000001"/>
    <n v="1325.3"/>
    <n v="23.3"/>
    <n v="23.3"/>
    <n v="5.1298546470220287E-2"/>
    <n v="1"/>
  </r>
  <r>
    <x v="1"/>
    <n v="49747.71"/>
    <n v="15721.9"/>
    <n v="39.76"/>
    <n v="39.76"/>
    <n v="0.31603263748220772"/>
    <n v="1"/>
  </r>
  <r>
    <x v="0"/>
    <n v="67501.149999999994"/>
    <n v="13075.4"/>
    <n v="62.11"/>
    <n v="62.11"/>
    <n v="0.19370632944772054"/>
    <n v="1"/>
  </r>
  <r>
    <x v="4"/>
    <n v="18512.259999999998"/>
    <n v="3575.67"/>
    <n v="17.04"/>
    <n v="17.04"/>
    <n v="0.19315145746656542"/>
    <n v="1"/>
  </r>
  <r>
    <x v="6"/>
    <n v="7076.47"/>
    <n v="451.95"/>
    <n v="4.8099999999999996"/>
    <n v="4.8099999999999996"/>
    <n v="6.3866588850090514E-2"/>
    <n v="1"/>
  </r>
  <r>
    <x v="4"/>
    <n v="31641.599999999999"/>
    <n v="253.13"/>
    <n v="32.96"/>
    <n v="32.96"/>
    <n v="7.999911508899676E-3"/>
    <n v="1"/>
  </r>
  <r>
    <x v="7"/>
    <n v="52473.01"/>
    <n v="4299.46"/>
    <n v="45.03"/>
    <n v="45.03"/>
    <n v="8.1936599406056562E-2"/>
    <n v="1"/>
  </r>
  <r>
    <x v="1"/>
    <n v="168341.18"/>
    <n v="28994.959999999999"/>
    <n v="143.44"/>
    <n v="143.44"/>
    <n v="0.17223925839179693"/>
    <n v="1"/>
  </r>
  <r>
    <x v="29"/>
    <n v="5972.4"/>
    <n v="3996"/>
    <n v="7.11"/>
    <n v="7.11"/>
    <n v="0.66907775768535271"/>
    <n v="1"/>
  </r>
  <r>
    <x v="8"/>
    <n v="1595.88"/>
    <n v="469.87"/>
    <n v="2.34"/>
    <n v="2.34"/>
    <n v="0.29442689926560894"/>
    <n v="1"/>
  </r>
  <r>
    <x v="2"/>
    <n v="13732.74"/>
    <n v="3413.81"/>
    <n v="14"/>
    <n v="14"/>
    <n v="0.24858913807441196"/>
    <n v="1"/>
  </r>
  <r>
    <x v="15"/>
    <n v="37469.949999999997"/>
    <n v="675"/>
    <n v="24.96"/>
    <n v="13.3"/>
    <n v="1.8014435567701586E-2"/>
    <n v="0.5328525641025641"/>
  </r>
  <r>
    <x v="4"/>
    <n v="35926.5"/>
    <n v="4262.13"/>
    <n v="43"/>
    <n v="43"/>
    <n v="0.11863471253809862"/>
    <n v="1"/>
  </r>
  <r>
    <x v="20"/>
    <n v="24516.34"/>
    <n v="813.5"/>
    <n v="20.8"/>
    <n v="17.8"/>
    <n v="3.3181951302682214E-2"/>
    <n v="0.85576923076923073"/>
  </r>
  <r>
    <x v="0"/>
    <n v="16927.439999999999"/>
    <n v="1470.19"/>
    <n v="16.86"/>
    <n v="16.86"/>
    <n v="8.685247149007766E-2"/>
    <n v="1"/>
  </r>
  <r>
    <x v="9"/>
    <n v="8676.32"/>
    <n v="1906.09"/>
    <n v="9.99"/>
    <n v="9.99"/>
    <n v="0.21968876205580246"/>
    <n v="1"/>
  </r>
  <r>
    <x v="12"/>
    <n v="987.56"/>
    <n v="497.62"/>
    <n v="1.41"/>
    <n v="1.41"/>
    <n v="0.50388837133946296"/>
    <n v="1"/>
  </r>
  <r>
    <x v="1"/>
    <n v="12941.25"/>
    <n v="1253.96"/>
    <n v="11.9"/>
    <n v="11.9"/>
    <n v="9.6896358543417369E-2"/>
    <n v="1"/>
  </r>
  <r>
    <x v="8"/>
    <n v="9319.68"/>
    <n v="1843.55"/>
    <n v="8.09"/>
    <n v="8.09"/>
    <n v="0.19781258583985714"/>
    <n v="1"/>
  </r>
  <r>
    <x v="20"/>
    <n v="191416.13"/>
    <n v="68697.279999999999"/>
    <n v="102.57"/>
    <n v="102.57"/>
    <n v="0.35888971321277885"/>
    <n v="1"/>
  </r>
  <r>
    <x v="7"/>
    <n v="76398.509999999995"/>
    <n v="2719.27"/>
    <n v="76.17"/>
    <n v="76.17"/>
    <n v="3.5593233428243561E-2"/>
    <n v="1"/>
  </r>
  <r>
    <x v="19"/>
    <n v="4296.6000000000004"/>
    <n v="909.22"/>
    <n v="5.25"/>
    <n v="5.25"/>
    <n v="0.21161383419447935"/>
    <n v="1"/>
  </r>
  <r>
    <x v="1"/>
    <n v="88278.31"/>
    <n v="260.47000000000003"/>
    <n v="70.75"/>
    <n v="50.53"/>
    <n v="2.950554898479593E-3"/>
    <n v="0.71420494699646642"/>
  </r>
  <r>
    <x v="0"/>
    <n v="62882.239999999998"/>
    <n v="23325.38"/>
    <n v="53.11"/>
    <n v="53.11"/>
    <n v="0.37093748568753276"/>
    <n v="1"/>
  </r>
  <r>
    <x v="12"/>
    <n v="90958.28"/>
    <n v="6850.14"/>
    <n v="57.7"/>
    <n v="57"/>
    <n v="7.5310790837293765E-2"/>
    <n v="0.98786828422876949"/>
  </r>
  <r>
    <x v="1"/>
    <n v="270510.59999999998"/>
    <n v="31042.2"/>
    <n v="147.82"/>
    <n v="147"/>
    <n v="0.11475409836065575"/>
    <n v="0.99445271275876068"/>
  </r>
  <r>
    <x v="1"/>
    <n v="30076.799999999999"/>
    <n v="367.39"/>
    <n v="26"/>
    <n v="8.6"/>
    <n v="1.2215062772635387E-2"/>
    <n v="0.33076923076923076"/>
  </r>
  <r>
    <x v="1"/>
    <n v="36048.78"/>
    <n v="2173.9"/>
    <n v="38.08"/>
    <n v="27.7"/>
    <n v="6.0304398650939096E-2"/>
    <n v="0.72741596638655459"/>
  </r>
  <r>
    <x v="13"/>
    <n v="13887.86"/>
    <n v="1330"/>
    <n v="13.3"/>
    <n v="13.3"/>
    <n v="9.5767094426355101E-2"/>
    <n v="1"/>
  </r>
  <r>
    <x v="11"/>
    <n v="4732.8"/>
    <n v="995.28"/>
    <n v="8.6999999999999993"/>
    <n v="8.6999999999999993"/>
    <n v="0.2102941176470588"/>
    <n v="1"/>
  </r>
  <r>
    <x v="1"/>
    <n v="11789.95"/>
    <n v="1099.72"/>
    <n v="11.75"/>
    <n v="11.75"/>
    <n v="9.3276052909469498E-2"/>
    <n v="1"/>
  </r>
  <r>
    <x v="4"/>
    <n v="8487.1200000000008"/>
    <n v="1705.63"/>
    <n v="9.83"/>
    <n v="9.83"/>
    <n v="0.20096687686753575"/>
    <n v="1"/>
  </r>
  <r>
    <x v="30"/>
    <n v="15209.68"/>
    <n v="5825.59"/>
    <n v="8.83"/>
    <n v="8.83"/>
    <n v="0.38301857764265917"/>
    <n v="1"/>
  </r>
  <r>
    <x v="15"/>
    <n v="13838"/>
    <n v="8650.4"/>
    <n v="11"/>
    <n v="11"/>
    <n v="0.62511923688394277"/>
    <n v="1"/>
  </r>
  <r>
    <x v="7"/>
    <n v="21173.360000000001"/>
    <n v="3925.45"/>
    <n v="23.86"/>
    <n v="23.86"/>
    <n v="0.18539570479130377"/>
    <n v="1"/>
  </r>
  <r>
    <x v="13"/>
    <n v="32398.2"/>
    <n v="10588.68"/>
    <n v="35.119999999999997"/>
    <n v="35.119999999999997"/>
    <n v="0.32682926829268294"/>
    <n v="1"/>
  </r>
  <r>
    <x v="25"/>
    <n v="16083.9"/>
    <n v="2408.6999999999998"/>
    <n v="12.5"/>
    <n v="11.1"/>
    <n v="0.14975845410628019"/>
    <n v="0.88800000000000001"/>
  </r>
  <r>
    <x v="7"/>
    <n v="9225.9"/>
    <n v="822.22"/>
    <n v="9"/>
    <n v="9"/>
    <n v="8.9120844578848682E-2"/>
    <n v="1"/>
  </r>
  <r>
    <x v="20"/>
    <n v="28587.19"/>
    <n v="688"/>
    <n v="24.85"/>
    <n v="24.85"/>
    <n v="2.4066723591930513E-2"/>
    <n v="1"/>
  </r>
  <r>
    <x v="2"/>
    <n v="14065.26"/>
    <n v="3511.87"/>
    <n v="10.1"/>
    <n v="10.1"/>
    <n v="0.24968397313665014"/>
    <n v="1"/>
  </r>
  <r>
    <x v="6"/>
    <n v="13292.1"/>
    <n v="2258.69"/>
    <n v="9"/>
    <n v="9"/>
    <n v="0.16992725002068898"/>
    <n v="1"/>
  </r>
  <r>
    <x v="1"/>
    <n v="24372"/>
    <n v="8116.2"/>
    <n v="18"/>
    <n v="18"/>
    <n v="0.33301329394387003"/>
    <n v="1"/>
  </r>
  <r>
    <x v="1"/>
    <n v="13049.69"/>
    <n v="1929.09"/>
    <n v="15.01"/>
    <n v="15.01"/>
    <n v="0.14782650009310566"/>
    <n v="1"/>
  </r>
  <r>
    <x v="6"/>
    <n v="8149.68"/>
    <n v="303.76"/>
    <n v="6"/>
    <n v="5.88"/>
    <n v="3.7272629109363797E-2"/>
    <n v="0.98"/>
  </r>
  <r>
    <x v="12"/>
    <n v="5129.32"/>
    <n v="516.84"/>
    <n v="4.5999999999999996"/>
    <n v="4.9400000000000004"/>
    <n v="0.10076189436416524"/>
    <n v="1.0739130434782611"/>
  </r>
  <r>
    <x v="1"/>
    <n v="27304.79"/>
    <n v="5666.81"/>
    <n v="26.29"/>
    <n v="26.29"/>
    <n v="0.20753904351580804"/>
    <n v="1"/>
  </r>
  <r>
    <x v="3"/>
    <n v="3129.12"/>
    <n v="820.44"/>
    <n v="10.6"/>
    <n v="10.6"/>
    <n v="0.26219512195121952"/>
    <n v="1"/>
  </r>
  <r>
    <x v="4"/>
    <n v="19275.04"/>
    <n v="6091.64"/>
    <n v="22.73"/>
    <n v="22.73"/>
    <n v="0.31603773584905659"/>
    <n v="1"/>
  </r>
  <r>
    <x v="13"/>
    <n v="9650"/>
    <n v="5737.5"/>
    <n v="12.5"/>
    <n v="12.5"/>
    <n v="0.59455958549222798"/>
    <n v="1"/>
  </r>
  <r>
    <x v="31"/>
    <n v="3257.45"/>
    <n v="608.51"/>
    <n v="4.0999999999999996"/>
    <n v="41.1"/>
    <n v="0.18680563017083915"/>
    <n v="10.02439024390244"/>
  </r>
  <r>
    <x v="13"/>
    <n v="5930.4"/>
    <n v="1044.8800000000001"/>
    <n v="7.06"/>
    <n v="7.06"/>
    <n v="0.17619047619047623"/>
    <n v="1"/>
  </r>
  <r>
    <x v="13"/>
    <n v="13939.73"/>
    <n v="1034.54"/>
    <n v="17.86"/>
    <n v="17.86"/>
    <n v="7.4215210768070833E-2"/>
    <n v="1"/>
  </r>
  <r>
    <x v="0"/>
    <n v="59850"/>
    <n v="2541.96"/>
    <n v="35"/>
    <n v="35"/>
    <n v="4.2472180451127821E-2"/>
    <n v="1"/>
  </r>
  <r>
    <x v="2"/>
    <n v="24717.040000000001"/>
    <n v="1504.6"/>
    <n v="20.36"/>
    <n v="20.36"/>
    <n v="6.0872984791059119E-2"/>
    <n v="1"/>
  </r>
  <r>
    <x v="1"/>
    <n v="16651.8"/>
    <n v="681.21"/>
    <n v="16.82"/>
    <n v="16.82"/>
    <n v="4.0909090909090916E-2"/>
    <n v="1"/>
  </r>
  <r>
    <x v="4"/>
    <n v="3526.22"/>
    <n v="159.28"/>
    <n v="4.7300000000000004"/>
    <n v="4.7300000000000004"/>
    <n v="4.5170182234801008E-2"/>
    <n v="1"/>
  </r>
  <r>
    <x v="13"/>
    <n v="22567.55"/>
    <n v="1502.86"/>
    <n v="28.69"/>
    <n v="28.69"/>
    <n v="6.659384824670822E-2"/>
    <n v="1"/>
  </r>
  <r>
    <x v="6"/>
    <n v="26688.75"/>
    <n v="2038.05"/>
    <n v="19.41"/>
    <n v="19.600000000000001"/>
    <n v="7.6363636363636356E-2"/>
    <n v="1.0097887686759404"/>
  </r>
  <r>
    <x v="2"/>
    <n v="10944.57"/>
    <n v="2176.35"/>
    <n v="7.01"/>
    <n v="7.01"/>
    <n v="0.19885203347413374"/>
    <n v="1"/>
  </r>
  <r>
    <x v="15"/>
    <n v="23231.93"/>
    <n v="43.19"/>
    <n v="15.05"/>
    <n v="15.05"/>
    <n v="1.8590792930247293E-3"/>
    <n v="1"/>
  </r>
  <r>
    <x v="22"/>
    <n v="115115"/>
    <n v="7446.25"/>
    <n v="55"/>
    <n v="55"/>
    <n v="6.4685314685314688E-2"/>
    <n v="1"/>
  </r>
  <r>
    <x v="15"/>
    <n v="16905"/>
    <n v="2898"/>
    <n v="15"/>
    <n v="15"/>
    <n v="0.17142857142857143"/>
    <n v="1"/>
  </r>
  <r>
    <x v="1"/>
    <n v="60550"/>
    <n v="29444.6"/>
    <n v="50"/>
    <n v="50"/>
    <n v="0.48628571428571427"/>
    <n v="1"/>
  </r>
  <r>
    <x v="1"/>
    <n v="41125.56"/>
    <n v="3478.41"/>
    <n v="35.31"/>
    <n v="35.31"/>
    <n v="8.4580246445276369E-2"/>
    <n v="1"/>
  </r>
  <r>
    <x v="12"/>
    <n v="19290.25"/>
    <n v="894.62"/>
    <n v="23.22"/>
    <n v="23.22"/>
    <n v="4.6376796568214515E-2"/>
    <n v="1"/>
  </r>
  <r>
    <x v="7"/>
    <n v="144054.71"/>
    <n v="49108.47"/>
    <n v="85.89"/>
    <n v="85.89"/>
    <n v="0.34090152276173408"/>
    <n v="1"/>
  </r>
  <r>
    <x v="0"/>
    <n v="29324.5"/>
    <n v="1380.75"/>
    <n v="22.3"/>
    <n v="22.2"/>
    <n v="4.708520179372197E-2"/>
    <n v="0.99551569506726456"/>
  </r>
  <r>
    <x v="2"/>
    <n v="8008"/>
    <n v="338.8"/>
    <n v="7"/>
    <n v="7"/>
    <n v="4.230769230769231E-2"/>
    <n v="1"/>
  </r>
  <r>
    <x v="1"/>
    <n v="49534.06"/>
    <n v="2589.59"/>
    <n v="48.11"/>
    <n v="48.11"/>
    <n v="5.2278977333979897E-2"/>
    <n v="1"/>
  </r>
  <r>
    <x v="1"/>
    <n v="27852"/>
    <n v="4653"/>
    <n v="22"/>
    <n v="22"/>
    <n v="0.16706161137440759"/>
    <n v="1"/>
  </r>
  <r>
    <x v="5"/>
    <n v="6408"/>
    <n v="2109.3000000000002"/>
    <n v="13.35"/>
    <n v="13.35"/>
    <n v="0.32916666666666672"/>
    <n v="1"/>
  </r>
  <r>
    <x v="6"/>
    <n v="13431.6"/>
    <n v="1173.31"/>
    <n v="10"/>
    <n v="10"/>
    <n v="8.7354447720301376E-2"/>
    <n v="1"/>
  </r>
  <r>
    <x v="13"/>
    <n v="11100"/>
    <n v="1145.0999999999999"/>
    <n v="11.1"/>
    <n v="11.1"/>
    <n v="0.10316216216216216"/>
    <n v="1"/>
  </r>
  <r>
    <x v="22"/>
    <n v="38900.879999999997"/>
    <n v="1724.47"/>
    <n v="22.28"/>
    <n v="22.28"/>
    <n v="4.4329845494497817E-2"/>
    <n v="1"/>
  </r>
  <r>
    <x v="25"/>
    <n v="28010.560000000001"/>
    <n v="7823.2"/>
    <n v="21.68"/>
    <n v="21.68"/>
    <n v="0.27929466601167557"/>
    <n v="1"/>
  </r>
  <r>
    <x v="7"/>
    <n v="10621.26"/>
    <n v="720.8"/>
    <n v="11.57"/>
    <n v="11.57"/>
    <n v="6.7863888088607188E-2"/>
    <n v="1"/>
  </r>
  <r>
    <x v="2"/>
    <n v="51888.5"/>
    <n v="6875.8"/>
    <n v="39.25"/>
    <n v="39.25"/>
    <n v="0.13251105736338495"/>
    <n v="1"/>
  </r>
  <r>
    <x v="0"/>
    <n v="13991.25"/>
    <n v="2550.71"/>
    <n v="12.3"/>
    <n v="12.3"/>
    <n v="0.1823075136245868"/>
    <n v="1"/>
  </r>
  <r>
    <x v="22"/>
    <n v="232344"/>
    <n v="24962.6"/>
    <n v="82.98"/>
    <n v="82.98"/>
    <n v="0.10743810901077712"/>
    <n v="1"/>
  </r>
  <r>
    <x v="1"/>
    <n v="15820"/>
    <n v="1921"/>
    <n v="11.3"/>
    <n v="11.3"/>
    <n v="0.12142857142857143"/>
    <n v="1"/>
  </r>
  <r>
    <x v="6"/>
    <n v="9055.2000000000007"/>
    <n v="1433.74"/>
    <n v="5.39"/>
    <n v="5.39"/>
    <n v="0.15833333333333333"/>
    <n v="1"/>
  </r>
  <r>
    <x v="0"/>
    <n v="29152"/>
    <n v="8162.56"/>
    <n v="18.22"/>
    <n v="18.22"/>
    <n v="0.28000000000000003"/>
    <n v="1"/>
  </r>
  <r>
    <x v="8"/>
    <n v="14710.29"/>
    <n v="3640.07"/>
    <n v="14.99"/>
    <n v="14.99"/>
    <n v="0.24745059410793396"/>
    <n v="1"/>
  </r>
  <r>
    <x v="6"/>
    <n v="14772.12"/>
    <n v="1554.07"/>
    <n v="12.4"/>
    <n v="12.4"/>
    <n v="0.10520290926420851"/>
    <n v="1"/>
  </r>
  <r>
    <x v="1"/>
    <n v="18328.05"/>
    <n v="881.16"/>
    <n v="16.899999999999999"/>
    <n v="16.899999999999999"/>
    <n v="4.8077127681340898E-2"/>
    <n v="1"/>
  </r>
  <r>
    <x v="7"/>
    <n v="11278.5"/>
    <n v="2172.61"/>
    <n v="10.3"/>
    <n v="10.3"/>
    <n v="0.19263288557875605"/>
    <n v="1"/>
  </r>
  <r>
    <x v="2"/>
    <n v="14471.6"/>
    <n v="2183.9"/>
    <n v="11.96"/>
    <n v="11.96"/>
    <n v="0.15090936731252938"/>
    <n v="1"/>
  </r>
  <r>
    <x v="4"/>
    <n v="11252.8"/>
    <n v="1428.24"/>
    <n v="10.82"/>
    <n v="10.82"/>
    <n v="0.12692307692307694"/>
    <n v="1"/>
  </r>
  <r>
    <x v="4"/>
    <n v="8062.59"/>
    <n v="862.58"/>
    <n v="7.7"/>
    <n v="7.6"/>
    <n v="0.10698547241023046"/>
    <n v="0.9870129870129869"/>
  </r>
  <r>
    <x v="25"/>
    <n v="7380"/>
    <n v="1402.32"/>
    <n v="6"/>
    <n v="6"/>
    <n v="0.19001626016260162"/>
    <n v="1"/>
  </r>
  <r>
    <x v="1"/>
    <n v="56740.46"/>
    <n v="190.78"/>
    <n v="51.4"/>
    <n v="12"/>
    <n v="3.3623273410190893E-3"/>
    <n v="0.23346303501945526"/>
  </r>
  <r>
    <x v="13"/>
    <n v="13400"/>
    <n v="1089.4000000000001"/>
    <n v="13.4"/>
    <n v="13.4"/>
    <n v="8.1298507462686576E-2"/>
    <n v="1"/>
  </r>
  <r>
    <x v="1"/>
    <n v="33878.11"/>
    <n v="1545.99"/>
    <n v="29.49"/>
    <n v="29.49"/>
    <n v="4.5633891619101537E-2"/>
    <n v="1"/>
  </r>
  <r>
    <x v="8"/>
    <n v="7835.76"/>
    <n v="1569.47"/>
    <n v="12.14"/>
    <n v="12.14"/>
    <n v="0.20029582325135023"/>
    <n v="1"/>
  </r>
  <r>
    <x v="1"/>
    <n v="52780.15"/>
    <n v="3449.88"/>
    <n v="42.61"/>
    <n v="13.76"/>
    <n v="6.5363209464164088E-2"/>
    <n v="0.32292888993194085"/>
  </r>
  <r>
    <x v="2"/>
    <n v="8890.2000000000007"/>
    <n v="2972.38"/>
    <n v="8.98"/>
    <n v="8.98"/>
    <n v="0.33434343434343433"/>
    <n v="1"/>
  </r>
  <r>
    <x v="1"/>
    <n v="71201.88"/>
    <n v="16124.41"/>
    <n v="61.17"/>
    <n v="61.17"/>
    <n v="0.22646045301051038"/>
    <n v="1"/>
  </r>
  <r>
    <x v="7"/>
    <n v="5778.43"/>
    <n v="1169.77"/>
    <n v="7.04"/>
    <n v="7.04"/>
    <n v="0.20243734024639909"/>
    <n v="1"/>
  </r>
  <r>
    <x v="8"/>
    <n v="5107.1499999999996"/>
    <n v="386.35"/>
    <n v="6.69"/>
    <n v="6.69"/>
    <n v="7.5648845246370292E-2"/>
    <n v="1"/>
  </r>
  <r>
    <x v="1"/>
    <n v="83952.26"/>
    <n v="1380.93"/>
    <n v="53.2"/>
    <n v="12.26"/>
    <n v="1.6448991367236571E-2"/>
    <n v="0.23045112781954885"/>
  </r>
  <r>
    <x v="1"/>
    <n v="151897.20000000001"/>
    <n v="13242.32"/>
    <n v="97.37"/>
    <n v="95"/>
    <n v="8.7179487179487175E-2"/>
    <n v="0.97565985416452705"/>
  </r>
  <r>
    <x v="1"/>
    <n v="39223.08"/>
    <n v="20979.97"/>
    <n v="39.78"/>
    <n v="39.78"/>
    <n v="0.53488838714348796"/>
    <n v="1"/>
  </r>
  <r>
    <x v="2"/>
    <n v="16850.740000000002"/>
    <n v="7304.27"/>
    <n v="17.09"/>
    <n v="17.09"/>
    <n v="0.43346879721602727"/>
    <n v="1"/>
  </r>
  <r>
    <x v="1"/>
    <n v="27706.6"/>
    <n v="12571.94"/>
    <n v="28.1"/>
    <n v="28.1"/>
    <n v="0.45375253549695743"/>
    <n v="1"/>
  </r>
  <r>
    <x v="22"/>
    <n v="96496.92"/>
    <n v="23369.15"/>
    <n v="45.82"/>
    <n v="45.82"/>
    <n v="0.24217508703904747"/>
    <n v="1"/>
  </r>
  <r>
    <x v="1"/>
    <n v="141488.99"/>
    <n v="52937.29"/>
    <n v="114.39"/>
    <n v="114.37"/>
    <n v="0.37414423553380377"/>
    <n v="0.99982515954191808"/>
  </r>
  <r>
    <x v="0"/>
    <n v="46344.959999999999"/>
    <n v="20616.080000000002"/>
    <n v="34.56"/>
    <n v="34.56"/>
    <n v="0.44483974093407358"/>
    <n v="1"/>
  </r>
  <r>
    <x v="4"/>
    <n v="35285.22"/>
    <n v="19070.46"/>
    <n v="28.41"/>
    <n v="28.4"/>
    <n v="0.54046595146636467"/>
    <n v="0.99964801126363956"/>
  </r>
  <r>
    <x v="13"/>
    <n v="16815.62"/>
    <n v="4123.62"/>
    <n v="14.48"/>
    <n v="14.48"/>
    <n v="0.24522557003547893"/>
    <n v="1"/>
  </r>
  <r>
    <x v="7"/>
    <n v="33148.5"/>
    <n v="8476.7800000000007"/>
    <n v="30.75"/>
    <n v="30.75"/>
    <n v="0.25572137502451092"/>
    <n v="1"/>
  </r>
  <r>
    <x v="1"/>
    <n v="36020.959999999999"/>
    <n v="1988.52"/>
    <n v="25.84"/>
    <n v="25.84"/>
    <n v="5.52045253652318E-2"/>
    <n v="1"/>
  </r>
  <r>
    <x v="3"/>
    <n v="13885.44"/>
    <n v="3319.09"/>
    <n v="16.8"/>
    <n v="16.8"/>
    <n v="0.23903383688237465"/>
    <n v="1"/>
  </r>
  <r>
    <x v="8"/>
    <n v="3799.29"/>
    <n v="680.06"/>
    <n v="3.97"/>
    <n v="3.97"/>
    <n v="0.17899660199668885"/>
    <n v="1"/>
  </r>
  <r>
    <x v="12"/>
    <n v="1940.91"/>
    <n v="301.45999999999998"/>
    <n v="2.3199999999999998"/>
    <n v="2.3199999999999998"/>
    <n v="0.15531889680613731"/>
    <n v="1"/>
  </r>
  <r>
    <x v="1"/>
    <n v="40363.07"/>
    <n v="10632.11"/>
    <n v="39.56"/>
    <n v="39.56"/>
    <n v="0.26341182670198282"/>
    <n v="1"/>
  </r>
  <r>
    <x v="0"/>
    <n v="13010.18"/>
    <n v="2614.5500000000002"/>
    <n v="10.91"/>
    <n v="10.91"/>
    <n v="0.20096186217254489"/>
    <n v="1"/>
  </r>
  <r>
    <x v="4"/>
    <n v="11066.33"/>
    <n v="4689.95"/>
    <n v="10.92"/>
    <n v="10.92"/>
    <n v="0.42380355546960913"/>
    <n v="1"/>
  </r>
  <r>
    <x v="4"/>
    <n v="14539.77"/>
    <n v="3338.22"/>
    <n v="14.13"/>
    <n v="14.13"/>
    <n v="0.22959235256128532"/>
    <n v="1"/>
  </r>
  <r>
    <x v="8"/>
    <n v="5600.84"/>
    <n v="1174.1500000000001"/>
    <n v="4.82"/>
    <n v="4.8"/>
    <n v="0.20963819712757373"/>
    <n v="0.99585062240663891"/>
  </r>
  <r>
    <x v="1"/>
    <n v="75330.8"/>
    <n v="9823.43"/>
    <n v="54.99"/>
    <n v="40"/>
    <n v="0.13040389853818093"/>
    <n v="0.72740498272413168"/>
  </r>
  <r>
    <x v="0"/>
    <n v="21821.56"/>
    <n v="397.31"/>
    <n v="17.77"/>
    <n v="17.77"/>
    <n v="1.8207222581703597E-2"/>
    <n v="1"/>
  </r>
  <r>
    <x v="2"/>
    <n v="19079.28"/>
    <n v="1547.83"/>
    <n v="13.2"/>
    <n v="13.3"/>
    <n v="8.1126226985504701E-2"/>
    <n v="1.0075757575757578"/>
  </r>
  <r>
    <x v="1"/>
    <n v="35262.400000000001"/>
    <n v="1690.18"/>
    <n v="29.59"/>
    <n v="29.59"/>
    <n v="4.7931507781659784E-2"/>
    <n v="1"/>
  </r>
  <r>
    <x v="13"/>
    <n v="43275.73"/>
    <n v="2475.65"/>
    <n v="38.159999999999997"/>
    <n v="15.17"/>
    <n v="5.7206429562251172E-2"/>
    <n v="0.39753668763102729"/>
  </r>
  <r>
    <x v="1"/>
    <n v="68614.320000000007"/>
    <n v="156.66999999999999"/>
    <n v="49.2"/>
    <n v="3.1"/>
    <n v="2.2833426025354472E-3"/>
    <n v="6.3008130081300809E-2"/>
  </r>
  <r>
    <x v="2"/>
    <n v="14363"/>
    <n v="1016.25"/>
    <n v="13.55"/>
    <n v="13.55"/>
    <n v="7.0754716981132074E-2"/>
    <n v="1"/>
  </r>
  <r>
    <x v="6"/>
    <n v="23012"/>
    <n v="4763"/>
    <n v="22"/>
    <n v="22"/>
    <n v="0.20697896749521988"/>
    <n v="1"/>
  </r>
  <r>
    <x v="7"/>
    <n v="8246.7000000000007"/>
    <n v="2323.48"/>
    <n v="7.7"/>
    <n v="7.7"/>
    <n v="0.28174663804915906"/>
    <n v="1"/>
  </r>
  <r>
    <x v="6"/>
    <n v="52326"/>
    <n v="855"/>
    <n v="36.72"/>
    <n v="21.5"/>
    <n v="1.6339869281045753E-2"/>
    <n v="0.58551198257080617"/>
  </r>
  <r>
    <x v="0"/>
    <n v="196118"/>
    <n v="54785.21"/>
    <n v="130"/>
    <n v="130"/>
    <n v="0.27934819853353593"/>
    <n v="1"/>
  </r>
  <r>
    <x v="22"/>
    <n v="238680"/>
    <n v="25069.360000000001"/>
    <n v="120"/>
    <n v="105"/>
    <n v="0.10503335009217363"/>
    <n v="0.875"/>
  </r>
  <r>
    <x v="0"/>
    <n v="19721.52"/>
    <n v="2300.84"/>
    <n v="12.74"/>
    <n v="12.74"/>
    <n v="0.11666646384254359"/>
    <n v="1"/>
  </r>
  <r>
    <x v="1"/>
    <n v="93607.1"/>
    <n v="25799.3"/>
    <n v="53.72"/>
    <n v="53.69"/>
    <n v="0.27561264049415052"/>
    <n v="0.99944154877140723"/>
  </r>
  <r>
    <x v="6"/>
    <n v="18071.349999999999"/>
    <n v="1084.28"/>
    <n v="11.33"/>
    <n v="11.33"/>
    <n v="5.9999944663791029E-2"/>
    <n v="1"/>
  </r>
  <r>
    <x v="6"/>
    <n v="6737.51"/>
    <n v="706.78"/>
    <n v="4.04"/>
    <n v="4"/>
    <n v="0.10490225617475891"/>
    <n v="0.99009900990099009"/>
  </r>
  <r>
    <x v="4"/>
    <n v="22815.31"/>
    <n v="914.47"/>
    <n v="22.11"/>
    <n v="22.18"/>
    <n v="4.0081419012058132E-2"/>
    <n v="1.0031659882406152"/>
  </r>
  <r>
    <x v="1"/>
    <n v="63602.57"/>
    <n v="16285.63"/>
    <n v="53.47"/>
    <n v="53.47"/>
    <n v="0.25605301798339281"/>
    <n v="1"/>
  </r>
  <r>
    <x v="13"/>
    <n v="16818.75"/>
    <n v="4271.96"/>
    <n v="14.95"/>
    <n v="14.95"/>
    <n v="0.2539998513563731"/>
    <n v="1"/>
  </r>
  <r>
    <x v="15"/>
    <n v="40986"/>
    <n v="7265.7"/>
    <n v="18.63"/>
    <n v="18.63"/>
    <n v="0.17727272727272728"/>
    <n v="1"/>
  </r>
  <r>
    <x v="20"/>
    <n v="26818"/>
    <n v="10190.84"/>
    <n v="12.19"/>
    <n v="12.19"/>
    <n v="0.38"/>
    <n v="1"/>
  </r>
  <r>
    <x v="1"/>
    <n v="42712.35"/>
    <n v="1623.99"/>
    <n v="41.26"/>
    <n v="41.26"/>
    <n v="3.8021555826359354E-2"/>
    <n v="1"/>
  </r>
  <r>
    <x v="1"/>
    <n v="83972.35"/>
    <n v="962.07"/>
    <n v="82.52"/>
    <n v="82.52"/>
    <n v="1.1456985543455672E-2"/>
    <n v="1"/>
  </r>
  <r>
    <x v="13"/>
    <n v="22396.5"/>
    <n v="5647.32"/>
    <n v="21"/>
    <n v="19.739999999999998"/>
    <n v="0.2521518987341772"/>
    <n v="0.94"/>
  </r>
  <r>
    <x v="15"/>
    <n v="16632"/>
    <n v="3883.32"/>
    <n v="14"/>
    <n v="14.15"/>
    <n v="0.23348484848484849"/>
    <n v="1.0107142857142857"/>
  </r>
  <r>
    <x v="8"/>
    <n v="5355.35"/>
    <n v="497.64"/>
    <n v="7.49"/>
    <n v="7"/>
    <n v="9.2923898531375157E-2"/>
    <n v="0.93457943925233644"/>
  </r>
  <r>
    <x v="22"/>
    <n v="34210.800000000003"/>
    <n v="5355.19"/>
    <n v="16.77"/>
    <n v="16.77"/>
    <n v="0.15653507079635667"/>
    <n v="1"/>
  </r>
  <r>
    <x v="12"/>
    <n v="3435.7"/>
    <n v="596.02"/>
    <n v="4.3"/>
    <n v="4.3"/>
    <n v="0.17347847600197921"/>
    <n v="1"/>
  </r>
  <r>
    <x v="8"/>
    <n v="12181.02"/>
    <n v="1515.94"/>
    <n v="10.91"/>
    <n v="10.91"/>
    <n v="0.12445099014696634"/>
    <n v="1"/>
  </r>
  <r>
    <x v="1"/>
    <n v="80533.490000000005"/>
    <n v="9170.0400000000009"/>
    <n v="62.56"/>
    <n v="62.56"/>
    <n v="0.11386616921730326"/>
    <n v="1"/>
  </r>
  <r>
    <x v="1"/>
    <n v="42764"/>
    <n v="12212.93"/>
    <n v="32.86"/>
    <n v="20"/>
    <n v="0.28558904686184644"/>
    <n v="0.60864272671941566"/>
  </r>
  <r>
    <x v="4"/>
    <n v="17523.54"/>
    <n v="2682.67"/>
    <n v="13.05"/>
    <n v="13.08"/>
    <n v="0.15308950132222143"/>
    <n v="1.0022988505747126"/>
  </r>
  <r>
    <x v="0"/>
    <n v="14273.28"/>
    <n v="594.72"/>
    <n v="9.44"/>
    <n v="9.44"/>
    <n v="4.1666666666666664E-2"/>
    <n v="1"/>
  </r>
  <r>
    <x v="13"/>
    <n v="17212.650000000001"/>
    <n v="2411.63"/>
    <n v="13"/>
    <n v="13"/>
    <n v="0.14010800196367207"/>
    <n v="1"/>
  </r>
  <r>
    <x v="1"/>
    <n v="42434.93"/>
    <n v="284.55"/>
    <n v="37.49"/>
    <n v="37.49"/>
    <n v="6.705560725562644E-3"/>
    <n v="1"/>
  </r>
  <r>
    <x v="3"/>
    <n v="3994.2"/>
    <n v="1840.7"/>
    <n v="7"/>
    <n v="7"/>
    <n v="0.4608432226728757"/>
    <n v="1"/>
  </r>
  <r>
    <x v="13"/>
    <n v="15820.919999999998"/>
    <n v="2373.14"/>
    <n v="15.39"/>
    <n v="15.39"/>
    <n v="0.15000012641489877"/>
    <n v="1"/>
  </r>
  <r>
    <x v="1"/>
    <n v="45760"/>
    <n v="6236"/>
    <n v="28.6"/>
    <n v="28.6"/>
    <n v="0.13627622377622378"/>
    <n v="1"/>
  </r>
  <r>
    <x v="0"/>
    <n v="19568"/>
    <n v="4892"/>
    <n v="12.23"/>
    <n v="12.23"/>
    <n v="0.25"/>
    <n v="1"/>
  </r>
  <r>
    <x v="4"/>
    <n v="10992"/>
    <n v="3435"/>
    <n v="6.87"/>
    <n v="6.87"/>
    <n v="0.3125"/>
    <n v="1"/>
  </r>
  <r>
    <x v="1"/>
    <n v="17072"/>
    <n v="3081.6"/>
    <n v="10.67"/>
    <n v="10.67"/>
    <n v="0.18050609184629804"/>
    <n v="1"/>
  </r>
  <r>
    <x v="0"/>
    <n v="15408"/>
    <n v="4054.6"/>
    <n v="9.6300000000000008"/>
    <n v="9.6300000000000008"/>
    <n v="0.26314901349948078"/>
    <n v="1"/>
  </r>
  <r>
    <x v="0"/>
    <n v="11584"/>
    <n v="1882.4"/>
    <n v="7.24"/>
    <n v="7.24"/>
    <n v="0.16250000000000001"/>
    <n v="1"/>
  </r>
  <r>
    <x v="4"/>
    <n v="59677.17"/>
    <n v="4895"/>
    <n v="44.5"/>
    <n v="44.4"/>
    <n v="8.2024667054419645E-2"/>
    <n v="0.99775280898876406"/>
  </r>
  <r>
    <x v="1"/>
    <n v="45035.19"/>
    <n v="1556.81"/>
    <n v="32.29"/>
    <n v="32.29"/>
    <n v="3.4568745019172779E-2"/>
    <n v="1"/>
  </r>
  <r>
    <x v="12"/>
    <n v="13916.75"/>
    <n v="2375.4499999999998"/>
    <n v="13.48"/>
    <n v="13.48"/>
    <n v="0.1706899958682882"/>
    <n v="1"/>
  </r>
  <r>
    <x v="8"/>
    <n v="13572.74"/>
    <n v="1200.21"/>
    <n v="10.66"/>
    <n v="10.66"/>
    <n v="8.8427981380325565E-2"/>
    <n v="1"/>
  </r>
  <r>
    <x v="1"/>
    <n v="29910.51"/>
    <n v="5980.03"/>
    <n v="27.58"/>
    <n v="27.58"/>
    <n v="0.19993072669105275"/>
    <n v="1"/>
  </r>
  <r>
    <x v="6"/>
    <n v="23018.31"/>
    <n v="3708.51"/>
    <n v="19.23"/>
    <n v="19.23"/>
    <n v="0.16111130660765277"/>
    <n v="1"/>
  </r>
  <r>
    <x v="4"/>
    <n v="9366.06"/>
    <n v="522.95000000000005"/>
    <n v="12.65"/>
    <n v="12.65"/>
    <n v="5.5834577186138046E-2"/>
    <n v="1"/>
  </r>
  <r>
    <x v="1"/>
    <n v="11240.5"/>
    <n v="450"/>
    <n v="7.8"/>
    <n v="2.5"/>
    <n v="4.0033806325341398E-2"/>
    <n v="0.32051282051282054"/>
  </r>
  <r>
    <x v="4"/>
    <n v="6559.76"/>
    <n v="300"/>
    <n v="4.91"/>
    <n v="4.91"/>
    <n v="4.5733380489530101E-2"/>
    <n v="1"/>
  </r>
  <r>
    <x v="7"/>
    <n v="4480.8599999999997"/>
    <n v="213.88"/>
    <n v="4.5999999999999996"/>
    <n v="4.55"/>
    <n v="4.7731908606829944E-2"/>
    <n v="0.98913043478260876"/>
  </r>
  <r>
    <x v="15"/>
    <n v="154660"/>
    <n v="73983.070000000007"/>
    <n v="74"/>
    <n v="32.03"/>
    <n v="0.47835943359627575"/>
    <n v="0.43283783783783786"/>
  </r>
  <r>
    <x v="22"/>
    <n v="165974.9"/>
    <n v="38736.83"/>
    <n v="61"/>
    <n v="43.45"/>
    <n v="0.23338968723584111"/>
    <n v="0.71229508196721314"/>
  </r>
  <r>
    <x v="11"/>
    <n v="28459.53"/>
    <n v="1897.3"/>
    <n v="31.35"/>
    <n v="31.35"/>
    <n v="6.6666596391437252E-2"/>
    <n v="1"/>
  </r>
  <r>
    <x v="12"/>
    <n v="23451.5"/>
    <n v="2451.6799999999998"/>
    <n v="26.35"/>
    <n v="26.35"/>
    <n v="0.10454256657356671"/>
    <n v="1"/>
  </r>
  <r>
    <x v="13"/>
    <n v="39112.120000000003"/>
    <n v="10.46"/>
    <n v="45.37"/>
    <n v="45.37"/>
    <n v="2.6743628317769529E-4"/>
    <n v="1"/>
  </r>
  <r>
    <x v="7"/>
    <n v="6939.02"/>
    <n v="5098.41"/>
    <n v="7.43"/>
    <n v="7.43"/>
    <n v="0.73474496398626887"/>
    <n v="1"/>
  </r>
  <r>
    <x v="1"/>
    <n v="31989.54"/>
    <n v="8614.73"/>
    <n v="25.51"/>
    <n v="25.51"/>
    <n v="0.26929833939468961"/>
    <n v="1"/>
  </r>
  <r>
    <x v="6"/>
    <n v="22116.75"/>
    <n v="3925.23"/>
    <n v="15.94"/>
    <n v="15.94"/>
    <n v="0.17747770355047646"/>
    <n v="1"/>
  </r>
  <r>
    <x v="1"/>
    <n v="34790.21"/>
    <n v="6433.61"/>
    <n v="38.21"/>
    <n v="38.21"/>
    <n v="0.18492587426175353"/>
    <n v="1"/>
  </r>
  <r>
    <x v="7"/>
    <n v="3247.83"/>
    <n v="1883.49"/>
    <n v="2.7"/>
    <n v="2.7"/>
    <n v="0.57992259447076977"/>
    <n v="1"/>
  </r>
  <r>
    <x v="4"/>
    <n v="91713.05"/>
    <n v="1130.71"/>
    <n v="72.37"/>
    <n v="72.37"/>
    <n v="1.2328779819229651E-2"/>
    <n v="1"/>
  </r>
  <r>
    <x v="7"/>
    <n v="178338.53"/>
    <n v="16715.560000000001"/>
    <n v="122.62"/>
    <n v="122.62"/>
    <n v="9.372938085785501E-2"/>
    <n v="1"/>
  </r>
  <r>
    <x v="12"/>
    <n v="36808.199999999997"/>
    <n v="4181.76"/>
    <n v="33"/>
    <n v="33"/>
    <n v="0.11360946745562131"/>
    <n v="1"/>
  </r>
  <r>
    <x v="1"/>
    <n v="63489.2"/>
    <n v="2132.1"/>
    <n v="47.38"/>
    <n v="47.38"/>
    <n v="3.3582089552238806E-2"/>
    <n v="1"/>
  </r>
  <r>
    <x v="7"/>
    <n v="24372.86"/>
    <n v="1701.72"/>
    <n v="18.3"/>
    <n v="18.3"/>
    <n v="6.9820283709010764E-2"/>
    <n v="1"/>
  </r>
  <r>
    <x v="11"/>
    <n v="19869.84"/>
    <n v="993.49"/>
    <n v="22.91"/>
    <n v="22.91"/>
    <n v="4.999989934493685E-2"/>
    <n v="1"/>
  </r>
  <r>
    <x v="0"/>
    <n v="38757.599999999999"/>
    <n v="674.1"/>
    <n v="30.76"/>
    <n v="20"/>
    <n v="1.7392717815344606E-2"/>
    <n v="0.65019505851755521"/>
  </r>
  <r>
    <x v="13"/>
    <n v="36630.410000000003"/>
    <n v="12290.2"/>
    <n v="43.42"/>
    <n v="43.42"/>
    <n v="0.33551904005442473"/>
    <n v="1"/>
  </r>
  <r>
    <x v="13"/>
    <n v="31772.49"/>
    <n v="11161.11"/>
    <n v="44.18"/>
    <n v="44.17"/>
    <n v="0.35128219412453981"/>
    <n v="0.99977365323675871"/>
  </r>
  <r>
    <x v="2"/>
    <n v="53600"/>
    <n v="9380"/>
    <n v="33.5"/>
    <n v="5.09"/>
    <n v="0.17499999999999999"/>
    <n v="0.15194029850746268"/>
  </r>
  <r>
    <x v="1"/>
    <n v="45265"/>
    <n v="14762"/>
    <n v="27.5"/>
    <n v="27.5"/>
    <n v="0.32612393681652491"/>
    <n v="1"/>
  </r>
  <r>
    <x v="7"/>
    <n v="30690.7"/>
    <n v="7463.3"/>
    <n v="29"/>
    <n v="29"/>
    <n v="0.24317790079730994"/>
    <n v="1"/>
  </r>
  <r>
    <x v="8"/>
    <n v="10758.4"/>
    <n v="2899.52"/>
    <n v="13.12"/>
    <n v="13.12"/>
    <n v="0.26951219512195124"/>
    <n v="1"/>
  </r>
  <r>
    <x v="32"/>
    <n v="1817.05"/>
    <n v="287.42"/>
    <n v="2.09"/>
    <n v="2.09"/>
    <n v="0.15817946671803199"/>
    <n v="1"/>
  </r>
  <r>
    <x v="2"/>
    <n v="26581.19"/>
    <n v="6809.28"/>
    <n v="22.84"/>
    <n v="22.84"/>
    <n v="0.25616911808688775"/>
    <n v="1"/>
  </r>
  <r>
    <x v="1"/>
    <n v="11968.06"/>
    <n v="135.04"/>
    <n v="14.71"/>
    <n v="14.71"/>
    <n v="1.128336589221645E-2"/>
    <n v="1"/>
  </r>
  <r>
    <x v="4"/>
    <n v="6807.48"/>
    <n v="1761.25"/>
    <n v="8.52"/>
    <n v="8.52"/>
    <n v="0.25872275790747828"/>
    <n v="1"/>
  </r>
  <r>
    <x v="2"/>
    <n v="116762"/>
    <n v="7457.6"/>
    <n v="79"/>
    <n v="79"/>
    <n v="6.3870094722598109E-2"/>
    <n v="1"/>
  </r>
  <r>
    <x v="1"/>
    <n v="6504.07"/>
    <n v="157.57"/>
    <n v="5.0599999999999996"/>
    <n v="5.0599999999999996"/>
    <n v="2.4226369027393616E-2"/>
    <n v="1"/>
  </r>
  <r>
    <x v="7"/>
    <n v="4804.45"/>
    <n v="2750.3"/>
    <n v="5.3"/>
    <n v="5"/>
    <n v="0.57244845924091214"/>
    <n v="0.94339622641509435"/>
  </r>
  <r>
    <x v="33"/>
    <n v="10697"/>
    <n v="6312.75"/>
    <n v="10"/>
    <n v="10"/>
    <n v="0.59014209591474243"/>
    <n v="1"/>
  </r>
  <r>
    <x v="8"/>
    <n v="19226.48"/>
    <n v="4689.8599999999997"/>
    <n v="28"/>
    <n v="28"/>
    <n v="0.24392712550607287"/>
    <n v="1"/>
  </r>
  <r>
    <x v="13"/>
    <n v="32096.400000000001"/>
    <n v="2598.2800000000002"/>
    <n v="38.21"/>
    <n v="38.21"/>
    <n v="8.0952380952380956E-2"/>
    <n v="1"/>
  </r>
  <r>
    <x v="8"/>
    <n v="9386.14"/>
    <n v="1698.7"/>
    <n v="9.73"/>
    <n v="9.73"/>
    <n v="0.18097961462326367"/>
    <n v="1"/>
  </r>
  <r>
    <x v="1"/>
    <n v="24767.53"/>
    <n v="566.97"/>
    <n v="18.420000000000002"/>
    <n v="18.420000000000002"/>
    <n v="2.2891665014638119E-2"/>
    <n v="1"/>
  </r>
  <r>
    <x v="7"/>
    <n v="2599.3000000000002"/>
    <n v="1476.33"/>
    <n v="2.78"/>
    <n v="2.7"/>
    <n v="0.56797214634709337"/>
    <n v="0.97122302158273399"/>
  </r>
  <r>
    <x v="1"/>
    <n v="29039.81"/>
    <n v="798.79"/>
    <n v="24.6"/>
    <n v="24.6"/>
    <n v="2.7506722667951337E-2"/>
    <n v="1"/>
  </r>
  <r>
    <x v="1"/>
    <n v="9921.69"/>
    <n v="752.99"/>
    <n v="10.76"/>
    <n v="10.76"/>
    <n v="7.5893320593568236E-2"/>
    <n v="1"/>
  </r>
  <r>
    <x v="23"/>
    <n v="127861.5"/>
    <n v="44851.13"/>
    <n v="50"/>
    <n v="50"/>
    <n v="0.35077900697238806"/>
    <n v="1"/>
  </r>
  <r>
    <x v="13"/>
    <n v="23366.400000000001"/>
    <n v="12066.05"/>
    <n v="24.34"/>
    <n v="24.34"/>
    <n v="0.51638463777047383"/>
    <n v="1"/>
  </r>
  <r>
    <x v="1"/>
    <n v="39378.26"/>
    <n v="10140.469999999999"/>
    <n v="29.95"/>
    <n v="30"/>
    <n v="0.25751442547232911"/>
    <n v="1.001669449081803"/>
  </r>
  <r>
    <x v="20"/>
    <n v="14338.92"/>
    <n v="5544.91"/>
    <n v="13.24"/>
    <n v="13"/>
    <n v="0.38670346162751446"/>
    <n v="0.98187311178247727"/>
  </r>
  <r>
    <x v="1"/>
    <n v="56632.95"/>
    <n v="6608.75"/>
    <n v="49.5"/>
    <n v="49.5"/>
    <n v="0.11669443318774672"/>
    <n v="1"/>
  </r>
  <r>
    <x v="7"/>
    <n v="14785.75"/>
    <n v="3171.35"/>
    <n v="17.5"/>
    <n v="17.5"/>
    <n v="0.21448692152917503"/>
    <n v="1"/>
  </r>
  <r>
    <x v="9"/>
    <n v="20004.66"/>
    <n v="4709.84"/>
    <n v="21.58"/>
    <n v="21.58"/>
    <n v="0.23543714314564707"/>
    <n v="1"/>
  </r>
  <r>
    <x v="8"/>
    <n v="4668.6400000000003"/>
    <n v="292.69"/>
    <n v="8.0299999999999994"/>
    <n v="8.0299999999999994"/>
    <n v="6.2692775626306582E-2"/>
    <n v="1"/>
  </r>
  <r>
    <x v="0"/>
    <n v="227800.17"/>
    <n v="67751.42"/>
    <n v="149.77000000000001"/>
    <n v="149.77000000000001"/>
    <n v="0.29741602036556863"/>
    <n v="1"/>
  </r>
  <r>
    <x v="7"/>
    <n v="7038.61"/>
    <n v="776.17"/>
    <n v="8.68"/>
    <n v="8.68"/>
    <n v="0.11027319314466918"/>
    <n v="1"/>
  </r>
  <r>
    <x v="19"/>
    <n v="3241.2"/>
    <n v="1334.44"/>
    <n v="7.3"/>
    <n v="7.3"/>
    <n v="0.41171171171171173"/>
    <n v="1"/>
  </r>
  <r>
    <x v="0"/>
    <n v="6180.93"/>
    <n v="465.6"/>
    <n v="5.98"/>
    <n v="5.98"/>
    <n v="7.5328469987526153E-2"/>
    <n v="1"/>
  </r>
  <r>
    <x v="15"/>
    <n v="10580.01"/>
    <n v="2292.0500000000002"/>
    <n v="11.62"/>
    <n v="11.62"/>
    <n v="0.21663968181504556"/>
    <n v="1"/>
  </r>
  <r>
    <x v="13"/>
    <n v="12579.08"/>
    <n v="171.14"/>
    <n v="23.77"/>
    <n v="23.77"/>
    <n v="1.3605128514962938E-2"/>
    <n v="1"/>
  </r>
  <r>
    <x v="8"/>
    <n v="3901.08"/>
    <n v="1165.03"/>
    <n v="6.96"/>
    <n v="6.96"/>
    <n v="0.29864293990382151"/>
    <n v="1"/>
  </r>
  <r>
    <x v="1"/>
    <n v="15948"/>
    <n v="2001.47"/>
    <n v="13.29"/>
    <n v="13.29"/>
    <n v="0.12549974918485077"/>
    <n v="1"/>
  </r>
  <r>
    <x v="4"/>
    <n v="12568.54"/>
    <n v="1006.31"/>
    <n v="12.18"/>
    <n v="12.18"/>
    <n v="8.0065783297025739E-2"/>
    <n v="1"/>
  </r>
  <r>
    <x v="4"/>
    <n v="15844.01"/>
    <n v="1310.71"/>
    <n v="13.49"/>
    <n v="7.18"/>
    <n v="8.2725900829398624E-2"/>
    <n v="0.53224610822831719"/>
  </r>
  <r>
    <x v="1"/>
    <n v="228267.18"/>
    <n v="21556.85"/>
    <n v="138.27000000000001"/>
    <n v="138.27000000000001"/>
    <n v="9.4436922557154288E-2"/>
    <n v="1"/>
  </r>
  <r>
    <x v="4"/>
    <n v="102456.55"/>
    <n v="8781.99"/>
    <n v="67.45"/>
    <n v="67.45"/>
    <n v="8.5714285714285715E-2"/>
    <n v="1"/>
  </r>
  <r>
    <x v="7"/>
    <n v="72116.039999999994"/>
    <n v="13150.57"/>
    <n v="46.11"/>
    <n v="46.11"/>
    <n v="0.1823529134433893"/>
    <n v="1"/>
  </r>
  <r>
    <x v="34"/>
    <n v="33422.519999999997"/>
    <n v="281.12"/>
    <n v="16.440000000000001"/>
    <n v="16.440000000000001"/>
    <n v="8.4110952734862618E-3"/>
    <n v="1"/>
  </r>
  <r>
    <x v="1"/>
    <n v="45025.2"/>
    <n v="1491.24"/>
    <n v="45.48"/>
    <n v="45.48"/>
    <n v="3.3120119399802778E-2"/>
    <n v="1"/>
  </r>
  <r>
    <x v="27"/>
    <n v="85521.15"/>
    <n v="58293.26"/>
    <n v="48.73"/>
    <n v="25"/>
    <n v="0.68162390239139681"/>
    <n v="0.5130309870716192"/>
  </r>
  <r>
    <x v="15"/>
    <n v="42640.800000000003"/>
    <n v="1765.8"/>
    <n v="21.8"/>
    <n v="21.8"/>
    <n v="4.1411042944785273E-2"/>
    <n v="1"/>
  </r>
  <r>
    <x v="1"/>
    <n v="62149.59"/>
    <n v="13074.39"/>
    <n v="53.86"/>
    <n v="53.86"/>
    <n v="0.21036969029079677"/>
    <n v="1"/>
  </r>
  <r>
    <x v="22"/>
    <n v="75200.94"/>
    <n v="4162.92"/>
    <n v="29.63"/>
    <n v="29.63"/>
    <n v="5.5357286757319789E-2"/>
    <n v="1"/>
  </r>
  <r>
    <x v="0"/>
    <n v="30092.58"/>
    <n v="18330.48"/>
    <n v="25.14"/>
    <n v="25.14"/>
    <n v="0.60913620566930449"/>
    <n v="1"/>
  </r>
  <r>
    <x v="0"/>
    <n v="30000"/>
    <n v="2190"/>
    <n v="20"/>
    <n v="9"/>
    <n v="7.2999999999999995E-2"/>
    <n v="0.45"/>
  </r>
  <r>
    <x v="15"/>
    <n v="25677.15"/>
    <n v="9190.67"/>
    <n v="22.59"/>
    <n v="22.59"/>
    <n v="0.35793185770227615"/>
    <n v="1"/>
  </r>
  <r>
    <x v="13"/>
    <n v="23682.03"/>
    <n v="3083.7"/>
    <n v="21.86"/>
    <n v="21.86"/>
    <n v="0.1302126549117622"/>
    <n v="1"/>
  </r>
  <r>
    <x v="34"/>
    <n v="62942.879999999997"/>
    <n v="6818.81"/>
    <n v="34.06"/>
    <n v="34.06"/>
    <n v="0.10833330155849241"/>
    <n v="1"/>
  </r>
  <r>
    <x v="1"/>
    <n v="7846.66"/>
    <n v="1133.9100000000001"/>
    <n v="8.16"/>
    <n v="8.16"/>
    <n v="0.14450861895379691"/>
    <n v="1"/>
  </r>
  <r>
    <x v="2"/>
    <n v="14996"/>
    <n v="123.88"/>
    <n v="13.04"/>
    <n v="13.04"/>
    <n v="8.2608695652173908E-3"/>
    <n v="1"/>
  </r>
  <r>
    <x v="7"/>
    <n v="22352.240000000002"/>
    <n v="2367.09"/>
    <n v="23.37"/>
    <n v="23.37"/>
    <n v="0.1058994534775933"/>
    <n v="1"/>
  </r>
  <r>
    <x v="20"/>
    <n v="39877.83"/>
    <n v="12805.21"/>
    <n v="43.87"/>
    <n v="43.87"/>
    <n v="0.32111100328177333"/>
    <n v="1"/>
  </r>
  <r>
    <x v="0"/>
    <n v="98543.9"/>
    <n v="14822.27"/>
    <n v="58.31"/>
    <n v="32.1"/>
    <n v="0.15041286167890658"/>
    <n v="0.55050591665237525"/>
  </r>
  <r>
    <x v="13"/>
    <n v="19154.849999999999"/>
    <n v="496.32"/>
    <n v="23.5"/>
    <n v="23.5"/>
    <n v="2.5910931174089071E-2"/>
    <n v="1"/>
  </r>
  <r>
    <x v="7"/>
    <n v="130614"/>
    <n v="34790.82"/>
    <n v="79.16"/>
    <n v="79.16"/>
    <n v="0.26636363636363636"/>
    <n v="1"/>
  </r>
  <r>
    <x v="5"/>
    <n v="2252.8000000000002"/>
    <n v="491.52"/>
    <n v="3.2"/>
    <n v="3.2"/>
    <n v="0.21818181818181814"/>
    <n v="1"/>
  </r>
  <r>
    <x v="1"/>
    <n v="95109.88"/>
    <n v="12150.85"/>
    <n v="64.06"/>
    <n v="64.06"/>
    <n v="0.12775591768173822"/>
    <n v="1"/>
  </r>
  <r>
    <x v="0"/>
    <n v="54430.5"/>
    <n v="13740.95"/>
    <n v="27.7"/>
    <n v="27.7"/>
    <n v="0.25244945389074142"/>
    <n v="1"/>
  </r>
  <r>
    <x v="1"/>
    <n v="10355.69"/>
    <n v="239.24"/>
    <n v="7.61"/>
    <n v="7.61"/>
    <n v="2.3102275174324453E-2"/>
    <n v="1"/>
  </r>
  <r>
    <x v="22"/>
    <n v="16429.14"/>
    <n v="4974.32"/>
    <n v="8.19"/>
    <n v="8.19"/>
    <n v="0.30277421703144536"/>
    <n v="1"/>
  </r>
  <r>
    <x v="0"/>
    <n v="3433.59"/>
    <n v="1006.76"/>
    <n v="4.71"/>
    <n v="4.71"/>
    <n v="0.29320914844230089"/>
    <n v="1"/>
  </r>
  <r>
    <x v="7"/>
    <n v="12082.06"/>
    <n v="1110.93"/>
    <n v="12.01"/>
    <n v="12.01"/>
    <n v="9.1948723975878291E-2"/>
    <n v="1"/>
  </r>
  <r>
    <x v="4"/>
    <n v="16428.95"/>
    <n v="768.12"/>
    <n v="14.51"/>
    <n v="14.51"/>
    <n v="4.6754053058777341E-2"/>
    <n v="1"/>
  </r>
  <r>
    <x v="7"/>
    <n v="18898.37"/>
    <n v="545.5"/>
    <n v="20.11"/>
    <n v="20.11"/>
    <n v="2.8864923271160425E-2"/>
    <n v="1"/>
  </r>
  <r>
    <x v="13"/>
    <n v="7936.38"/>
    <n v="499.28"/>
    <n v="10.35"/>
    <n v="10.35"/>
    <n v="6.2910294113941112E-2"/>
    <n v="1"/>
  </r>
  <r>
    <x v="15"/>
    <n v="23884.38"/>
    <n v="2846.2"/>
    <n v="15.57"/>
    <n v="15.57"/>
    <n v="0.11916574765599944"/>
    <n v="1"/>
  </r>
  <r>
    <x v="13"/>
    <n v="25365.93"/>
    <n v="4179.95"/>
    <n v="21.41"/>
    <n v="21.41"/>
    <n v="0.16478599444215133"/>
    <n v="1"/>
  </r>
  <r>
    <x v="15"/>
    <n v="1931.57"/>
    <n v="13"/>
    <n v="1.97"/>
    <n v="1.97"/>
    <n v="6.7302764072749112E-3"/>
    <n v="1"/>
  </r>
  <r>
    <x v="7"/>
    <n v="36161.24"/>
    <n v="25511.27"/>
    <n v="44.04"/>
    <n v="44.04"/>
    <n v="0.70548659282701598"/>
    <n v="1"/>
  </r>
  <r>
    <x v="11"/>
    <n v="36158.720000000001"/>
    <n v="4982.8500000000004"/>
    <n v="55.12"/>
    <n v="55.12"/>
    <n v="0.13780493336047295"/>
    <n v="1"/>
  </r>
  <r>
    <x v="7"/>
    <n v="92166.28"/>
    <n v="2835.41"/>
    <n v="77.23"/>
    <n v="78.63"/>
    <n v="3.0764071198273381E-2"/>
    <n v="1.0181276705943285"/>
  </r>
  <r>
    <x v="1"/>
    <n v="11682.89"/>
    <n v="3176.71"/>
    <n v="13.79"/>
    <n v="13.31"/>
    <n v="0.27191131646364897"/>
    <n v="0.96519216823785359"/>
  </r>
  <r>
    <x v="23"/>
    <n v="52883.6"/>
    <n v="39165.279999999999"/>
    <n v="26.18"/>
    <n v="26.18"/>
    <n v="0.74059405940594059"/>
    <n v="1"/>
  </r>
  <r>
    <x v="1"/>
    <n v="11306.29"/>
    <n v="6169.01"/>
    <n v="11.21"/>
    <n v="11.21"/>
    <n v="0.54562637257668078"/>
    <n v="1"/>
  </r>
  <r>
    <x v="3"/>
    <n v="7828.56"/>
    <n v="5302.85"/>
    <n v="12"/>
    <n v="12"/>
    <n v="0.67737233922969231"/>
    <n v="1"/>
  </r>
  <r>
    <x v="22"/>
    <n v="13284.54"/>
    <n v="9822.94"/>
    <n v="6.19"/>
    <n v="6.19"/>
    <n v="0.73942643102433359"/>
    <n v="1"/>
  </r>
  <r>
    <x v="12"/>
    <n v="11717.2"/>
    <n v="6643.38"/>
    <n v="19.89"/>
    <n v="19.89"/>
    <n v="0.56697675212508103"/>
    <n v="1"/>
  </r>
  <r>
    <x v="15"/>
    <n v="25471.16"/>
    <n v="11934.66"/>
    <n v="22.28"/>
    <n v="22.09"/>
    <n v="0.46855580978644079"/>
    <n v="0.99147217235188501"/>
  </r>
  <r>
    <x v="13"/>
    <n v="1076.4000000000001"/>
    <n v="748.8"/>
    <n v="1.04"/>
    <n v="1"/>
    <n v="0.69565217391304335"/>
    <n v="0.96153846153846145"/>
  </r>
  <r>
    <x v="4"/>
    <n v="11445.67"/>
    <n v="5192.43"/>
    <n v="9.59"/>
    <n v="9.49"/>
    <n v="0.45365889458633701"/>
    <n v="0.98957247132429615"/>
  </r>
  <r>
    <x v="1"/>
    <n v="14098.74"/>
    <n v="6445.57"/>
    <n v="14.24"/>
    <n v="14.1"/>
    <n v="0.45717347791362917"/>
    <n v="0.9901685393258427"/>
  </r>
  <r>
    <x v="0"/>
    <n v="73746.720000000001"/>
    <n v="7958.14"/>
    <n v="48"/>
    <n v="48"/>
    <n v="0.10791178238164355"/>
    <n v="1"/>
  </r>
  <r>
    <x v="13"/>
    <n v="7358.4"/>
    <n v="2204.02"/>
    <n v="8.76"/>
    <n v="8.76"/>
    <n v="0.29952435312024356"/>
    <n v="1"/>
  </r>
  <r>
    <x v="6"/>
    <n v="11880.25"/>
    <n v="3445.63"/>
    <n v="9.9700000000000006"/>
    <n v="9.9700000000000006"/>
    <n v="0.29003009195934432"/>
    <n v="1"/>
  </r>
  <r>
    <x v="1"/>
    <n v="28115.57"/>
    <n v="2665.17"/>
    <n v="23.92"/>
    <n v="22"/>
    <n v="9.479338316811646E-2"/>
    <n v="0.91973244147157185"/>
  </r>
  <r>
    <x v="22"/>
    <n v="30424.57"/>
    <n v="9683.81"/>
    <n v="16.62"/>
    <n v="16.62"/>
    <n v="0.31828913276342113"/>
    <n v="1"/>
  </r>
  <r>
    <x v="15"/>
    <n v="9823.52"/>
    <n v="2323.52"/>
    <n v="6.97"/>
    <n v="6.97"/>
    <n v="0.23652621463589424"/>
    <n v="1"/>
  </r>
  <r>
    <x v="0"/>
    <n v="23121.279999999999"/>
    <n v="9010.07"/>
    <n v="18.2"/>
    <n v="17"/>
    <n v="0.38968733564923741"/>
    <n v="0.93406593406593408"/>
  </r>
  <r>
    <x v="21"/>
    <n v="25128.34"/>
    <n v="7904.4"/>
    <n v="14.16"/>
    <n v="14.16"/>
    <n v="0.31456116878393081"/>
    <n v="1"/>
  </r>
  <r>
    <x v="13"/>
    <n v="9159.4"/>
    <n v="922.64"/>
    <n v="11.17"/>
    <n v="11.17"/>
    <n v="0.1007314889621591"/>
    <n v="1"/>
  </r>
  <r>
    <x v="35"/>
    <n v="170664.12"/>
    <n v="115988.95"/>
    <n v="66.77"/>
    <n v="66.77"/>
    <n v="0.67963289530335957"/>
    <n v="1"/>
  </r>
  <r>
    <x v="13"/>
    <n v="17770.89"/>
    <n v="5459.73"/>
    <n v="12.06"/>
    <n v="12.06"/>
    <n v="0.30722884447543142"/>
    <n v="1"/>
  </r>
  <r>
    <x v="0"/>
    <n v="11558.4"/>
    <n v="2575.36"/>
    <n v="8.9600000000000009"/>
    <n v="8.9600000000000009"/>
    <n v="0.22281284606866003"/>
    <n v="1"/>
  </r>
  <r>
    <x v="25"/>
    <n v="2838.24"/>
    <n v="2200.5100000000002"/>
    <n v="2.92"/>
    <n v="2.92"/>
    <n v="0.77530793731326475"/>
    <n v="1"/>
  </r>
  <r>
    <x v="13"/>
    <n v="26604.03"/>
    <n v="7617.05"/>
    <n v="26.62"/>
    <n v="26.62"/>
    <n v="0.28631188583083089"/>
    <n v="1"/>
  </r>
  <r>
    <x v="18"/>
    <n v="1870.06"/>
    <n v="1182.71"/>
    <n v="2.83"/>
    <n v="2.83"/>
    <n v="0.63244494829042919"/>
    <n v="1"/>
  </r>
  <r>
    <x v="11"/>
    <n v="4655.82"/>
    <n v="1850.9"/>
    <n v="7.62"/>
    <n v="7.62"/>
    <n v="0.3975454377531778"/>
    <n v="1"/>
  </r>
  <r>
    <x v="1"/>
    <n v="20548.080000000002"/>
    <n v="11209.03"/>
    <n v="24.16"/>
    <n v="24.16"/>
    <n v="0.5455025481699507"/>
    <n v="1"/>
  </r>
  <r>
    <x v="7"/>
    <n v="13931.94"/>
    <n v="6752.31"/>
    <n v="13.82"/>
    <n v="13.82"/>
    <n v="0.48466401664089853"/>
    <n v="1"/>
  </r>
  <r>
    <x v="0"/>
    <n v="17152"/>
    <n v="7562.96"/>
    <n v="10.72"/>
    <n v="10.72"/>
    <n v="0.44093749999999998"/>
    <n v="1"/>
  </r>
  <r>
    <x v="1"/>
    <n v="13186.42"/>
    <n v="840.43"/>
    <n v="12.46"/>
    <n v="12.46"/>
    <n v="6.3734508683933919E-2"/>
    <n v="1"/>
  </r>
  <r>
    <x v="13"/>
    <n v="22010.45"/>
    <n v="2385.6799999999998"/>
    <n v="21.22"/>
    <n v="21.22"/>
    <n v="0.10838851545515879"/>
    <n v="1"/>
  </r>
  <r>
    <x v="36"/>
    <n v="13927.84"/>
    <n v="3794.51"/>
    <n v="14.82"/>
    <n v="14.82"/>
    <n v="0.27244066560213215"/>
    <n v="1"/>
  </r>
  <r>
    <x v="4"/>
    <n v="17067.25"/>
    <n v="3463.33"/>
    <n v="19.260000000000002"/>
    <n v="19.260000000000002"/>
    <n v="0.20292255635793699"/>
    <n v="1"/>
  </r>
  <r>
    <x v="13"/>
    <n v="32420.799999999999"/>
    <n v="2537.2800000000002"/>
    <n v="35.24"/>
    <n v="35.24"/>
    <n v="7.8260869565217397E-2"/>
    <n v="1"/>
  </r>
  <r>
    <x v="15"/>
    <n v="23998"/>
    <n v="5981.3"/>
    <n v="16.25"/>
    <n v="16.25"/>
    <n v="0.24924160346695559"/>
    <n v="1"/>
  </r>
  <r>
    <x v="15"/>
    <n v="89821.93"/>
    <n v="31269.31"/>
    <n v="39.07"/>
    <n v="39.07"/>
    <n v="0.34812556354556179"/>
    <n v="1"/>
  </r>
  <r>
    <x v="15"/>
    <n v="160945.51"/>
    <n v="110526.86"/>
    <n v="87.31"/>
    <n v="87.31"/>
    <n v="0.68673465945089118"/>
    <n v="1"/>
  </r>
  <r>
    <x v="6"/>
    <n v="20973.55"/>
    <n v="1027.81"/>
    <n v="15.81"/>
    <n v="10.79"/>
    <n v="4.9005056368616663E-2"/>
    <n v="0.68247944339025923"/>
  </r>
  <r>
    <x v="0"/>
    <n v="31720.5"/>
    <n v="1516.73"/>
    <n v="23.85"/>
    <n v="23.85"/>
    <n v="4.7815450576125851E-2"/>
    <n v="1"/>
  </r>
  <r>
    <x v="1"/>
    <n v="85823.73"/>
    <n v="348.52"/>
    <n v="78.55"/>
    <n v="60"/>
    <n v="4.0608815300849773E-3"/>
    <n v="0.76384468491406754"/>
  </r>
  <r>
    <x v="0"/>
    <n v="50848.6"/>
    <n v="6833.78"/>
    <n v="31.88"/>
    <n v="31.88"/>
    <n v="0.13439465393344163"/>
    <n v="1"/>
  </r>
  <r>
    <x v="1"/>
    <n v="28977.61"/>
    <n v="4185.0200000000004"/>
    <n v="23.69"/>
    <n v="23"/>
    <n v="0.14442253864276594"/>
    <n v="0.97087378640776689"/>
  </r>
  <r>
    <x v="1"/>
    <n v="12067.27"/>
    <n v="48.72"/>
    <n v="10.41"/>
    <n v="10.41"/>
    <n v="4.0373671924138601E-3"/>
    <n v="1"/>
  </r>
  <r>
    <x v="7"/>
    <n v="74215.16"/>
    <n v="9084.65"/>
    <n v="81.87"/>
    <n v="81.86"/>
    <n v="0.12240962628120723"/>
    <n v="0.99987785513619143"/>
  </r>
  <r>
    <x v="20"/>
    <n v="64469.84"/>
    <n v="562.9"/>
    <n v="67.14"/>
    <n v="67.14"/>
    <n v="8.7312144717591987E-3"/>
    <n v="1"/>
  </r>
  <r>
    <x v="15"/>
    <n v="15154.28"/>
    <n v="5373.85"/>
    <n v="8.7799999999999994"/>
    <n v="8.7799999999999994"/>
    <n v="0.35460939087835253"/>
    <n v="1"/>
  </r>
  <r>
    <x v="1"/>
    <n v="31559.22"/>
    <n v="7910.3"/>
    <n v="22.77"/>
    <n v="22.77"/>
    <n v="0.25064941402227303"/>
    <n v="1"/>
  </r>
  <r>
    <x v="1"/>
    <n v="68742"/>
    <n v="11128.43"/>
    <n v="50.92"/>
    <n v="50.92"/>
    <n v="0.16188691047685549"/>
    <n v="1"/>
  </r>
  <r>
    <x v="1"/>
    <n v="71118.240000000005"/>
    <n v="30678.15"/>
    <n v="51.76"/>
    <n v="51.76"/>
    <n v="0.43136823970896915"/>
    <n v="1"/>
  </r>
  <r>
    <x v="22"/>
    <n v="91676.58"/>
    <n v="45457.63"/>
    <n v="52.87"/>
    <n v="52.87"/>
    <n v="0.49584779449669691"/>
    <n v="1"/>
  </r>
  <r>
    <x v="25"/>
    <n v="17875.2"/>
    <n v="5042.3"/>
    <n v="21.28"/>
    <n v="21.28"/>
    <n v="0.28208355710705335"/>
    <n v="1"/>
  </r>
  <r>
    <x v="0"/>
    <n v="35626.5"/>
    <n v="885.83"/>
    <n v="21"/>
    <n v="3.2"/>
    <n v="2.4864356588494521E-2"/>
    <n v="0.15238095238095239"/>
  </r>
  <r>
    <x v="13"/>
    <n v="28194.880000000001"/>
    <n v="4621.4399999999996"/>
    <n v="24.56"/>
    <n v="24.56"/>
    <n v="0.1639106107208117"/>
    <n v="1"/>
  </r>
  <r>
    <x v="12"/>
    <n v="7747.95"/>
    <n v="1765.54"/>
    <n v="9.42"/>
    <n v="9.42"/>
    <n v="0.22787188869313818"/>
    <n v="1"/>
  </r>
  <r>
    <x v="8"/>
    <n v="18254.59"/>
    <n v="507.9"/>
    <n v="17.28"/>
    <n v="17.28"/>
    <n v="2.7823139276203956E-2"/>
    <n v="1"/>
  </r>
  <r>
    <x v="0"/>
    <n v="12652.64"/>
    <n v="57.51"/>
    <n v="10.27"/>
    <n v="10.27"/>
    <n v="4.5452964756762223E-3"/>
    <n v="1"/>
  </r>
  <r>
    <x v="7"/>
    <n v="27399.83"/>
    <n v="6510.65"/>
    <n v="28.19"/>
    <n v="28.19"/>
    <n v="0.23761643776621968"/>
    <n v="1"/>
  </r>
  <r>
    <x v="22"/>
    <n v="160821.84"/>
    <n v="36445.629999999997"/>
    <n v="68.61"/>
    <n v="68.61"/>
    <n v="0.22662114797343444"/>
    <n v="1"/>
  </r>
  <r>
    <x v="15"/>
    <n v="23942.799999999999"/>
    <n v="15130.24"/>
    <n v="20.12"/>
    <n v="20.12"/>
    <n v="0.63193277310924367"/>
    <n v="1"/>
  </r>
  <r>
    <x v="13"/>
    <n v="20631.55"/>
    <n v="3504.54"/>
    <n v="20.48"/>
    <n v="20.48"/>
    <n v="0.16986314649165962"/>
    <n v="1"/>
  </r>
  <r>
    <x v="18"/>
    <n v="3876.6"/>
    <n v="307.58"/>
    <n v="6.5"/>
    <n v="6.5"/>
    <n v="7.9342723004694832E-2"/>
    <n v="1"/>
  </r>
  <r>
    <x v="15"/>
    <n v="11999"/>
    <n v="7310.16"/>
    <n v="9.23"/>
    <n v="9.23"/>
    <n v="0.60923076923076924"/>
    <n v="1"/>
  </r>
  <r>
    <x v="13"/>
    <n v="2042.4"/>
    <n v="255.3"/>
    <n v="2.2200000000000002"/>
    <n v="2.2200000000000002"/>
    <n v="0.125"/>
    <n v="1"/>
  </r>
  <r>
    <x v="32"/>
    <n v="53606.73"/>
    <n v="4481"/>
    <n v="54.65"/>
    <n v="54.5"/>
    <n v="8.3590250701730914E-2"/>
    <n v="0.99725526075022874"/>
  </r>
  <r>
    <x v="0"/>
    <n v="30034.37"/>
    <n v="394.29"/>
    <n v="16.38"/>
    <n v="12.08"/>
    <n v="1.3127959734131264E-2"/>
    <n v="0.73748473748473753"/>
  </r>
  <r>
    <x v="1"/>
    <n v="36505.42"/>
    <n v="1036.1500000000001"/>
    <n v="32.869999999999997"/>
    <n v="13.24"/>
    <n v="2.8383456483996081E-2"/>
    <n v="0.40279890477639191"/>
  </r>
  <r>
    <x v="1"/>
    <n v="10200.75"/>
    <n v="997.24"/>
    <n v="10.15"/>
    <n v="10.15"/>
    <n v="9.7761439109869369E-2"/>
    <n v="1"/>
  </r>
  <r>
    <x v="15"/>
    <n v="13256.1"/>
    <n v="1492.47"/>
    <n v="12.36"/>
    <n v="12.36"/>
    <n v="0.11258741258741259"/>
    <n v="1"/>
  </r>
  <r>
    <x v="0"/>
    <n v="11689.7"/>
    <n v="2945.64"/>
    <n v="10.63"/>
    <n v="10.63"/>
    <n v="0.25198593633711724"/>
    <n v="1"/>
  </r>
  <r>
    <x v="0"/>
    <n v="24882"/>
    <n v="729"/>
    <n v="22"/>
    <n v="22"/>
    <n v="2.9298287918977574E-2"/>
    <n v="1"/>
  </r>
  <r>
    <x v="1"/>
    <n v="29881.599999999999"/>
    <n v="959.76"/>
    <n v="28"/>
    <n v="13"/>
    <n v="3.2118762047547655E-2"/>
    <n v="0.4642857142857143"/>
  </r>
  <r>
    <x v="1"/>
    <n v="9105"/>
    <n v="1339.5"/>
    <n v="7.5"/>
    <n v="7.5"/>
    <n v="0.14711696869851729"/>
    <n v="1"/>
  </r>
  <r>
    <x v="0"/>
    <n v="14879.16"/>
    <n v="2911.71"/>
    <n v="17.97"/>
    <n v="17.97"/>
    <n v="0.19569048252723945"/>
    <n v="1"/>
  </r>
  <r>
    <x v="1"/>
    <n v="32307.55"/>
    <n v="3698.68"/>
    <n v="36.78"/>
    <n v="36.78"/>
    <n v="0.11448345665332096"/>
    <n v="1"/>
  </r>
  <r>
    <x v="1"/>
    <n v="6682.11"/>
    <n v="1800.49"/>
    <n v="5.7"/>
    <n v="5.7"/>
    <n v="0.26944932064871724"/>
    <n v="1"/>
  </r>
  <r>
    <x v="15"/>
    <n v="3304.1"/>
    <n v="2640.69"/>
    <n v="3.7"/>
    <n v="3.7"/>
    <n v="0.79921612541993281"/>
    <n v="1"/>
  </r>
  <r>
    <x v="6"/>
    <n v="26056.799999999999"/>
    <n v="9161.41"/>
    <n v="20"/>
    <n v="20"/>
    <n v="0.35159382579595344"/>
    <n v="1"/>
  </r>
  <r>
    <x v="3"/>
    <n v="6599.16"/>
    <n v="4162.55"/>
    <n v="15.29"/>
    <n v="15.29"/>
    <n v="0.63076967371604875"/>
    <n v="1"/>
  </r>
  <r>
    <x v="7"/>
    <n v="7656.8"/>
    <n v="1133.9100000000001"/>
    <n v="8"/>
    <n v="8"/>
    <n v="0.14809189217427646"/>
    <n v="1"/>
  </r>
  <r>
    <x v="1"/>
    <n v="42525"/>
    <n v="17815.73"/>
    <n v="50"/>
    <n v="50"/>
    <n v="0.41894720752498527"/>
    <n v="1"/>
  </r>
  <r>
    <x v="4"/>
    <n v="43179.8"/>
    <n v="24866.94"/>
    <n v="49.89"/>
    <n v="49.89"/>
    <n v="0.57589289436264168"/>
    <n v="1"/>
  </r>
  <r>
    <x v="13"/>
    <n v="38817"/>
    <n v="28471.5"/>
    <n v="45"/>
    <n v="45"/>
    <n v="0.73348017621145378"/>
    <n v="1"/>
  </r>
  <r>
    <x v="22"/>
    <n v="87439.61"/>
    <n v="71993.61"/>
    <n v="48.92"/>
    <n v="48.92"/>
    <n v="0.82335236856614524"/>
    <n v="1"/>
  </r>
  <r>
    <x v="1"/>
    <n v="41733.15"/>
    <n v="12246.29"/>
    <n v="45.61"/>
    <n v="45.61"/>
    <n v="0.29344274275965271"/>
    <n v="1"/>
  </r>
  <r>
    <x v="27"/>
    <n v="24600"/>
    <n v="1082.4000000000001"/>
    <n v="12.3"/>
    <n v="12.3"/>
    <n v="4.4000000000000004E-2"/>
    <n v="1"/>
  </r>
  <r>
    <x v="13"/>
    <n v="22168.799999999999"/>
    <n v="2689.24"/>
    <n v="16.21"/>
    <n v="16.21"/>
    <n v="0.12130742304500017"/>
    <n v="1"/>
  </r>
  <r>
    <x v="15"/>
    <n v="31440.75"/>
    <n v="6781.21"/>
    <n v="18.5"/>
    <n v="16"/>
    <n v="0.21568219587637064"/>
    <n v="0.86486486486486491"/>
  </r>
  <r>
    <x v="12"/>
    <n v="2460"/>
    <n v="429"/>
    <n v="4"/>
    <n v="4"/>
    <n v="0.17439024390243901"/>
    <n v="1"/>
  </r>
  <r>
    <x v="15"/>
    <n v="5925.15"/>
    <n v="2855.36"/>
    <n v="6.93"/>
    <n v="4.29"/>
    <n v="0.48190509944895915"/>
    <n v="0.61904761904761907"/>
  </r>
  <r>
    <x v="7"/>
    <n v="43200"/>
    <n v="6592"/>
    <n v="40"/>
    <n v="40"/>
    <n v="0.15259259259259259"/>
    <n v="1"/>
  </r>
  <r>
    <x v="7"/>
    <n v="3384.38"/>
    <n v="1643.31"/>
    <n v="2.5299999999999998"/>
    <n v="2.5"/>
    <n v="0.48555717738551812"/>
    <n v="0.98814229249011865"/>
  </r>
  <r>
    <x v="0"/>
    <n v="39272.730000000003"/>
    <n v="2203.62"/>
    <n v="32.43"/>
    <n v="32.43"/>
    <n v="5.6110690547868707E-2"/>
    <n v="1"/>
  </r>
  <r>
    <x v="20"/>
    <n v="16088.04"/>
    <n v="4881.32"/>
    <n v="19.61"/>
    <n v="19.61"/>
    <n v="0.30341297013184948"/>
    <n v="1"/>
  </r>
  <r>
    <x v="1"/>
    <n v="51040.7"/>
    <n v="6409.09"/>
    <n v="43.94"/>
    <n v="34"/>
    <n v="0.12556822300634593"/>
    <n v="0.77378243058716434"/>
  </r>
  <r>
    <x v="15"/>
    <n v="27549.83"/>
    <n v="17742.599999999999"/>
    <n v="34.299999999999997"/>
    <n v="34.299999999999997"/>
    <n v="0.64401849303607306"/>
    <n v="1"/>
  </r>
  <r>
    <x v="1"/>
    <n v="128386.38"/>
    <n v="28882.07"/>
    <n v="97.41"/>
    <n v="97.41"/>
    <n v="0.2249621026778697"/>
    <n v="1"/>
  </r>
  <r>
    <x v="13"/>
    <n v="95762.8"/>
    <n v="2914.52"/>
    <n v="104.09"/>
    <n v="104.09"/>
    <n v="3.043478260869565E-2"/>
    <n v="1"/>
  </r>
  <r>
    <x v="15"/>
    <n v="46941.75"/>
    <n v="4959.2299999999996"/>
    <n v="46.5"/>
    <n v="46.5"/>
    <n v="0.10564646609894177"/>
    <n v="1"/>
  </r>
  <r>
    <x v="13"/>
    <n v="50383.08"/>
    <n v="1660.35"/>
    <n v="42.41"/>
    <n v="42.41"/>
    <n v="3.2954515682645839E-2"/>
    <n v="1"/>
  </r>
  <r>
    <x v="13"/>
    <n v="18500"/>
    <n v="1850"/>
    <n v="7.4"/>
    <n v="7.4"/>
    <n v="0.1"/>
    <n v="1"/>
  </r>
  <r>
    <x v="15"/>
    <n v="54000"/>
    <n v="6196"/>
    <n v="27"/>
    <n v="10"/>
    <n v="0.11474074074074074"/>
    <n v="0.37037037037037035"/>
  </r>
  <r>
    <x v="1"/>
    <n v="9159.81"/>
    <n v="91.33"/>
    <n v="6.15"/>
    <n v="6.15"/>
    <n v="9.9707308339365124E-3"/>
    <n v="1"/>
  </r>
  <r>
    <x v="12"/>
    <n v="37390.22"/>
    <n v="11210.34"/>
    <n v="32.15"/>
    <n v="32.15"/>
    <n v="0.2998201133879394"/>
    <n v="1"/>
  </r>
  <r>
    <x v="1"/>
    <n v="52381.61"/>
    <n v="3932"/>
    <n v="49.15"/>
    <n v="49.15"/>
    <n v="7.5064512144624798E-2"/>
    <n v="1"/>
  </r>
  <r>
    <x v="13"/>
    <n v="22138.27"/>
    <n v="520.34"/>
    <n v="26.28"/>
    <n v="26.28"/>
    <n v="2.3504094945088302E-2"/>
    <n v="1"/>
  </r>
  <r>
    <x v="15"/>
    <n v="55738.2"/>
    <n v="11691.18"/>
    <n v="28.85"/>
    <n v="28.85"/>
    <n v="0.20975166044113375"/>
    <n v="1"/>
  </r>
  <r>
    <x v="15"/>
    <n v="58693.98"/>
    <n v="9501.1"/>
    <n v="28.11"/>
    <n v="28.11"/>
    <n v="0.16187520423729998"/>
    <n v="1"/>
  </r>
  <r>
    <x v="15"/>
    <n v="4322.16"/>
    <n v="1095.44"/>
    <n v="2.0699999999999998"/>
    <n v="2.0699999999999998"/>
    <n v="0.25344735039887467"/>
    <n v="1"/>
  </r>
  <r>
    <x v="22"/>
    <n v="39564.69"/>
    <n v="15932.67"/>
    <n v="17.989999999999998"/>
    <n v="17.989999999999998"/>
    <n v="0.40269922499076827"/>
    <n v="1"/>
  </r>
  <r>
    <x v="15"/>
    <n v="23383"/>
    <n v="671.11"/>
    <n v="12.74"/>
    <n v="0.68"/>
    <n v="2.8700765513407177E-2"/>
    <n v="5.3375196232339092E-2"/>
  </r>
  <r>
    <x v="15"/>
    <n v="16614"/>
    <n v="1071.47"/>
    <n v="10.4"/>
    <n v="10.4"/>
    <n v="6.4491994703262306E-2"/>
    <n v="1"/>
  </r>
  <r>
    <x v="0"/>
    <n v="2331.1799999999998"/>
    <n v="715.24"/>
    <n v="1.6"/>
    <n v="1.6"/>
    <n v="0.30681457459312456"/>
    <n v="1"/>
  </r>
  <r>
    <x v="15"/>
    <n v="16486.400000000001"/>
    <n v="1957.76"/>
    <n v="16"/>
    <n v="16"/>
    <n v="0.11874999999999999"/>
    <n v="1"/>
  </r>
  <r>
    <x v="13"/>
    <n v="7186.2"/>
    <n v="3219.58"/>
    <n v="11.6"/>
    <n v="11.6"/>
    <n v="0.44802259887005652"/>
    <n v="1"/>
  </r>
  <r>
    <x v="22"/>
    <n v="24262.7"/>
    <n v="1499.88"/>
    <n v="13.7"/>
    <n v="13.7"/>
    <n v="6.1818346680295268E-2"/>
    <n v="1"/>
  </r>
  <r>
    <x v="1"/>
    <n v="53127.95"/>
    <n v="15699.68"/>
    <n v="56.87"/>
    <n v="25"/>
    <n v="0.29550697890658312"/>
    <n v="0.43959908563390188"/>
  </r>
  <r>
    <x v="5"/>
    <n v="3651.75"/>
    <n v="2096.1"/>
    <n v="5.41"/>
    <n v="4"/>
    <n v="0.57399876771410963"/>
    <n v="0.73937153419593349"/>
  </r>
  <r>
    <x v="12"/>
    <n v="57591.040000000001"/>
    <n v="7511.74"/>
    <n v="69.22"/>
    <n v="15"/>
    <n v="0.13043244226879736"/>
    <n v="0.21670037561398439"/>
  </r>
  <r>
    <x v="1"/>
    <n v="12243.83"/>
    <n v="1514.68"/>
    <n v="9.9600000000000009"/>
    <n v="9.9600000000000009"/>
    <n v="0.12370965621051583"/>
    <n v="1"/>
  </r>
  <r>
    <x v="7"/>
    <n v="12413.25"/>
    <n v="2640.6"/>
    <n v="11.25"/>
    <n v="11.25"/>
    <n v="0.2127243066884176"/>
    <n v="1"/>
  </r>
  <r>
    <x v="1"/>
    <n v="106247.9"/>
    <n v="8697"/>
    <n v="66.900000000000006"/>
    <n v="66.849999999999994"/>
    <n v="8.1855735501595805E-2"/>
    <n v="0.99925261584454395"/>
  </r>
  <r>
    <x v="1"/>
    <n v="58816"/>
    <n v="7995.3"/>
    <n v="45.95"/>
    <n v="45.95"/>
    <n v="0.13593750000000002"/>
    <n v="1"/>
  </r>
  <r>
    <x v="7"/>
    <n v="56430.62"/>
    <n v="16162.41"/>
    <n v="45.56"/>
    <n v="45.56"/>
    <n v="0.28641205785086182"/>
    <n v="1"/>
  </r>
  <r>
    <x v="8"/>
    <n v="11057.31"/>
    <n v="2410.64"/>
    <n v="12.41"/>
    <n v="12.41"/>
    <n v="0.21801324191869451"/>
    <n v="1"/>
  </r>
  <r>
    <x v="1"/>
    <n v="37770.82"/>
    <n v="1754.44"/>
    <n v="38.11"/>
    <n v="32"/>
    <n v="4.6449613749449975E-2"/>
    <n v="0.83967462608239307"/>
  </r>
  <r>
    <x v="13"/>
    <n v="25070.77"/>
    <n v="6318.93"/>
    <n v="24.71"/>
    <n v="6.84"/>
    <n v="0.25204371465256153"/>
    <n v="0.27681100768919464"/>
  </r>
  <r>
    <x v="15"/>
    <n v="90000.66"/>
    <n v="32994.980000000003"/>
    <n v="48.94"/>
    <n v="48.94"/>
    <n v="0.36660820042875242"/>
    <n v="1"/>
  </r>
  <r>
    <x v="15"/>
    <n v="23553.06"/>
    <n v="6924.87"/>
    <n v="21.11"/>
    <n v="21.11"/>
    <n v="0.29401147876326894"/>
    <n v="1"/>
  </r>
  <r>
    <x v="15"/>
    <n v="120636"/>
    <n v="31624.78"/>
    <n v="67.02"/>
    <n v="36"/>
    <n v="0.2621504360224145"/>
    <n v="0.53715308863025968"/>
  </r>
  <r>
    <x v="19"/>
    <n v="8211.4599999999991"/>
    <n v="5763.23"/>
    <n v="9.6"/>
    <n v="9.6"/>
    <n v="0.70185204579940719"/>
    <n v="1"/>
  </r>
  <r>
    <x v="37"/>
    <n v="65340"/>
    <n v="13205.5"/>
    <n v="29.7"/>
    <n v="29.7"/>
    <n v="0.20210437710437709"/>
    <n v="1"/>
  </r>
  <r>
    <x v="7"/>
    <n v="6063.66"/>
    <n v="3262.55"/>
    <n v="5.27"/>
    <n v="5.27"/>
    <n v="0.53804962679305901"/>
    <n v="1"/>
  </r>
  <r>
    <x v="0"/>
    <n v="5554.85"/>
    <n v="4255.97"/>
    <n v="5.9"/>
    <n v="5.9"/>
    <n v="0.76617190383178668"/>
    <n v="1"/>
  </r>
  <r>
    <x v="20"/>
    <n v="4054.4"/>
    <n v="1658.56"/>
    <n v="4"/>
    <n v="4"/>
    <n v="0.40907655880031568"/>
    <n v="1"/>
  </r>
  <r>
    <x v="15"/>
    <n v="4680"/>
    <n v="2223"/>
    <n v="3.9"/>
    <n v="3.9"/>
    <n v="0.47499999999999998"/>
    <n v="1"/>
  </r>
  <r>
    <x v="4"/>
    <n v="12259.8"/>
    <n v="2293.1999999999998"/>
    <n v="13.9"/>
    <n v="4.5"/>
    <n v="0.18705035971223022"/>
    <n v="0.32374100719424459"/>
  </r>
  <r>
    <x v="19"/>
    <n v="3164.04"/>
    <n v="37.03"/>
    <n v="5.61"/>
    <n v="5.61"/>
    <n v="1.1703391866095246E-2"/>
    <n v="1"/>
  </r>
  <r>
    <x v="3"/>
    <n v="12804.18"/>
    <n v="4187.5200000000004"/>
    <n v="18.309999999999999"/>
    <n v="18.309999999999999"/>
    <n v="0.32704319995501474"/>
    <n v="1"/>
  </r>
  <r>
    <x v="0"/>
    <n v="28600"/>
    <n v="1430"/>
    <n v="14.3"/>
    <n v="14.3"/>
    <n v="0.05"/>
    <n v="1"/>
  </r>
  <r>
    <x v="0"/>
    <n v="47273.18"/>
    <n v="13298.65"/>
    <n v="36.35"/>
    <n v="36.35"/>
    <n v="0.28131490202266907"/>
    <n v="1"/>
  </r>
  <r>
    <x v="11"/>
    <n v="3497.13"/>
    <n v="752.93"/>
    <n v="6.37"/>
    <n v="6.37"/>
    <n v="0.2152994026530326"/>
    <n v="1"/>
  </r>
  <r>
    <x v="7"/>
    <n v="16530.8"/>
    <n v="1054.8499999999999"/>
    <n v="17"/>
    <n v="17"/>
    <n v="6.3811188811188815E-2"/>
    <n v="1"/>
  </r>
  <r>
    <x v="15"/>
    <n v="48676.32"/>
    <n v="15154.28"/>
    <n v="35.119999999999997"/>
    <n v="35.119999999999997"/>
    <n v="0.31132756132756134"/>
    <n v="1"/>
  </r>
  <r>
    <x v="23"/>
    <n v="54767.48"/>
    <n v="12757.69"/>
    <n v="22.87"/>
    <n v="22.87"/>
    <n v="0.23294279744110921"/>
    <n v="1"/>
  </r>
  <r>
    <x v="12"/>
    <n v="1000.4"/>
    <n v="253.17"/>
    <n v="1.41"/>
    <n v="1.41"/>
    <n v="0.25306877249100357"/>
    <n v="1"/>
  </r>
  <r>
    <x v="22"/>
    <n v="103281.55"/>
    <n v="5163.9799999999996"/>
    <n v="34.630000000000003"/>
    <n v="34.630000000000003"/>
    <n v="4.9999055978536336E-2"/>
    <n v="1"/>
  </r>
  <r>
    <x v="4"/>
    <n v="10004.57"/>
    <n v="4921.6000000000004"/>
    <n v="13.56"/>
    <n v="13.56"/>
    <n v="0.49193518562017163"/>
    <n v="1"/>
  </r>
  <r>
    <x v="12"/>
    <n v="5987.52"/>
    <n v="1479.87"/>
    <n v="5"/>
    <n v="5"/>
    <n v="0.24715909090909088"/>
    <n v="1"/>
  </r>
  <r>
    <x v="13"/>
    <n v="11165.36"/>
    <n v="1694.99"/>
    <n v="8"/>
    <n v="8"/>
    <n v="0.15180791304534738"/>
    <n v="1"/>
  </r>
  <r>
    <x v="13"/>
    <n v="26386.93"/>
    <n v="4969.3500000000004"/>
    <n v="30.59"/>
    <n v="30.59"/>
    <n v="0.18832619027677719"/>
    <n v="1"/>
  </r>
  <r>
    <x v="15"/>
    <n v="7689.12"/>
    <n v="3571.66"/>
    <n v="8.3000000000000007"/>
    <n v="8.3000000000000007"/>
    <n v="0.46450829223630269"/>
    <n v="1"/>
  </r>
  <r>
    <x v="1"/>
    <n v="29208.7"/>
    <n v="4964.28"/>
    <n v="34.74"/>
    <n v="34.74"/>
    <n v="0.16995895058664026"/>
    <n v="1"/>
  </r>
  <r>
    <x v="0"/>
    <n v="15014.54"/>
    <n v="4581.8599999999997"/>
    <n v="12.2"/>
    <n v="12.2"/>
    <n v="0.30516153009016589"/>
    <n v="1"/>
  </r>
  <r>
    <x v="11"/>
    <n v="9719.23"/>
    <n v="2427.64"/>
    <n v="13.28"/>
    <n v="13.28"/>
    <n v="0.24977698850629113"/>
    <n v="1"/>
  </r>
  <r>
    <x v="15"/>
    <n v="56285.46"/>
    <n v="3234.51"/>
    <n v="27.51"/>
    <n v="4"/>
    <n v="5.7466173324336345E-2"/>
    <n v="0.14540167211922936"/>
  </r>
  <r>
    <x v="22"/>
    <n v="25505.51"/>
    <n v="2011.73"/>
    <n v="13.11"/>
    <n v="13.11"/>
    <n v="7.8874329507624047E-2"/>
    <n v="1"/>
  </r>
  <r>
    <x v="15"/>
    <n v="81210.899999999994"/>
    <n v="28478.61"/>
    <n v="32.15"/>
    <n v="32.15"/>
    <n v="0.35067472469828559"/>
    <n v="1"/>
  </r>
  <r>
    <x v="12"/>
    <n v="1363.45"/>
    <n v="469.63"/>
    <n v="1.94"/>
    <n v="1.94"/>
    <n v="0.34444240712897428"/>
    <n v="1"/>
  </r>
  <r>
    <x v="7"/>
    <n v="18510.36"/>
    <n v="3266.83"/>
    <n v="22.74"/>
    <n v="22.74"/>
    <n v="0.17648657292456763"/>
    <n v="1"/>
  </r>
  <r>
    <x v="18"/>
    <n v="3673.05"/>
    <n v="2168.66"/>
    <n v="5.21"/>
    <n v="5.21"/>
    <n v="0.59042485128163236"/>
    <n v="1"/>
  </r>
  <r>
    <x v="1"/>
    <n v="17672.150000000001"/>
    <n v="10739.49"/>
    <n v="18.420000000000002"/>
    <n v="18.420000000000002"/>
    <n v="0.60770704187096636"/>
    <n v="1"/>
  </r>
  <r>
    <x v="7"/>
    <n v="8787.4"/>
    <n v="540.54"/>
    <n v="8.2899999999999991"/>
    <n v="8.2899999999999991"/>
    <n v="6.1513075539977695E-2"/>
    <n v="1"/>
  </r>
  <r>
    <x v="4"/>
    <n v="9201.15"/>
    <n v="4900.6099999999997"/>
    <n v="11.43"/>
    <n v="11.43"/>
    <n v="0.53260842394700658"/>
    <n v="1"/>
  </r>
  <r>
    <x v="12"/>
    <n v="20038.169999999998"/>
    <n v="6075.4"/>
    <n v="31.12"/>
    <n v="31.12"/>
    <n v="0.30319135929079355"/>
    <n v="1"/>
  </r>
  <r>
    <x v="1"/>
    <n v="40508.620000000003"/>
    <n v="21923.73"/>
    <n v="48.11"/>
    <n v="48.11"/>
    <n v="0.54121147548348969"/>
    <n v="1"/>
  </r>
  <r>
    <x v="7"/>
    <n v="10146.24"/>
    <n v="4131.5"/>
    <n v="19.2"/>
    <n v="19.2"/>
    <n v="0.40719517772100799"/>
    <n v="1"/>
  </r>
  <r>
    <x v="13"/>
    <n v="35615.5"/>
    <n v="12574.68"/>
    <n v="46"/>
    <n v="46"/>
    <n v="0.35306762505089079"/>
    <n v="1"/>
  </r>
  <r>
    <x v="1"/>
    <n v="18672.61"/>
    <n v="2774"/>
    <n v="14.23"/>
    <n v="14.23"/>
    <n v="0.1485598424644439"/>
    <n v="1"/>
  </r>
  <r>
    <x v="8"/>
    <n v="6092.56"/>
    <n v="2012.08"/>
    <n v="7.42"/>
    <n v="7.42"/>
    <n v="0.33025197946347673"/>
    <n v="1"/>
  </r>
  <r>
    <x v="15"/>
    <n v="3343.12"/>
    <n v="635.09"/>
    <n v="2.62"/>
    <n v="2.62"/>
    <n v="0.18996925028117448"/>
    <n v="1"/>
  </r>
  <r>
    <x v="3"/>
    <n v="27679.919999999998"/>
    <n v="6866.6"/>
    <n v="39.770000000000003"/>
    <n v="7.87"/>
    <n v="0.24807152621828391"/>
    <n v="0.19788785516721144"/>
  </r>
  <r>
    <x v="1"/>
    <n v="42778.8"/>
    <n v="361.37"/>
    <n v="30.6"/>
    <n v="30.6"/>
    <n v="8.447408529458517E-3"/>
    <n v="1"/>
  </r>
  <r>
    <x v="0"/>
    <n v="30579.48"/>
    <n v="5674"/>
    <n v="19.64"/>
    <n v="19.64"/>
    <n v="0.18554926375464856"/>
    <n v="1"/>
  </r>
  <r>
    <x v="1"/>
    <n v="8000"/>
    <n v="4575"/>
    <n v="5"/>
    <n v="5"/>
    <n v="0.57187500000000002"/>
    <n v="1"/>
  </r>
  <r>
    <x v="0"/>
    <n v="12240"/>
    <n v="1800"/>
    <n v="8"/>
    <n v="3"/>
    <n v="0.14705882352941177"/>
    <n v="0.375"/>
  </r>
  <r>
    <x v="15"/>
    <n v="19143.900000000001"/>
    <n v="333.41"/>
    <n v="14.34"/>
    <n v="14"/>
    <n v="1.7415991516880051E-2"/>
    <n v="0.97629009762900976"/>
  </r>
  <r>
    <x v="23"/>
    <n v="4721.75"/>
    <n v="944.35"/>
    <n v="2.75"/>
    <n v="2.75"/>
    <n v="0.2"/>
    <n v="1"/>
  </r>
  <r>
    <x v="22"/>
    <n v="68838.509999999995"/>
    <n v="907.03"/>
    <n v="35.72"/>
    <n v="35.72"/>
    <n v="1.3176200356457455E-2"/>
    <n v="1"/>
  </r>
  <r>
    <x v="15"/>
    <n v="36273.99"/>
    <n v="6923.97"/>
    <n v="24.41"/>
    <n v="24.41"/>
    <n v="0.19087974606598285"/>
    <n v="1"/>
  </r>
  <r>
    <x v="13"/>
    <n v="36520"/>
    <n v="12876.4"/>
    <n v="45.65"/>
    <n v="45.65"/>
    <n v="0.35258488499452356"/>
    <n v="1"/>
  </r>
  <r>
    <x v="1"/>
    <n v="61124.11"/>
    <n v="2234.23"/>
    <n v="54.81"/>
    <n v="33"/>
    <n v="3.65523522551085E-2"/>
    <n v="0.60207991242474002"/>
  </r>
  <r>
    <x v="38"/>
    <n v="18635.5"/>
    <n v="9665.9599999999991"/>
    <n v="23.5"/>
    <n v="20.149999999999999"/>
    <n v="0.51868530492876497"/>
    <n v="0.85744680851063826"/>
  </r>
  <r>
    <x v="15"/>
    <n v="28209.22"/>
    <n v="9442.69"/>
    <n v="24.16"/>
    <n v="24.16"/>
    <n v="0.33473772050414724"/>
    <n v="1"/>
  </r>
  <r>
    <x v="7"/>
    <n v="17426.7"/>
    <n v="3177.81"/>
    <n v="20.100000000000001"/>
    <n v="20.100000000000001"/>
    <n v="0.18235294117647058"/>
    <n v="1"/>
  </r>
  <r>
    <x v="1"/>
    <n v="78578.759999999995"/>
    <n v="14376.73"/>
    <n v="59.26"/>
    <n v="59.26"/>
    <n v="0.18295949185250571"/>
    <n v="1"/>
  </r>
  <r>
    <x v="1"/>
    <n v="51098.71"/>
    <n v="18410.439999999999"/>
    <n v="46.01"/>
    <n v="46"/>
    <n v="0.36029167859619154"/>
    <n v="0.99978265594436"/>
  </r>
  <r>
    <x v="3"/>
    <n v="6030.6"/>
    <n v="5427.54"/>
    <n v="8.74"/>
    <n v="8.74"/>
    <n v="0.89999999999999991"/>
    <n v="1"/>
  </r>
  <r>
    <x v="15"/>
    <n v="24650.34"/>
    <n v="498.63"/>
    <n v="22"/>
    <n v="22"/>
    <n v="2.0228118557391095E-2"/>
    <n v="1"/>
  </r>
  <r>
    <x v="39"/>
    <n v="44855.24"/>
    <n v="15443.61"/>
    <n v="32.659999999999997"/>
    <n v="32.659999999999997"/>
    <n v="0.34429890465417196"/>
    <n v="1"/>
  </r>
  <r>
    <x v="40"/>
    <n v="16750.8"/>
    <n v="5056.92"/>
    <n v="22"/>
    <n v="22"/>
    <n v="0.30189125295508273"/>
    <n v="1"/>
  </r>
  <r>
    <x v="0"/>
    <n v="52772.45"/>
    <n v="1518.09"/>
    <n v="31.23"/>
    <n v="7.45"/>
    <n v="2.8766714450437682E-2"/>
    <n v="0.23855267371117517"/>
  </r>
  <r>
    <x v="22"/>
    <n v="66517.5"/>
    <n v="2155.21"/>
    <n v="35"/>
    <n v="4.3499999999999996"/>
    <n v="3.2400646446423875E-2"/>
    <n v="0.12428571428571428"/>
  </r>
  <r>
    <x v="15"/>
    <n v="16005"/>
    <n v="3614.58"/>
    <n v="10"/>
    <n v="6.25"/>
    <n v="0.22584067478912839"/>
    <n v="0.625"/>
  </r>
  <r>
    <x v="12"/>
    <n v="4371.71"/>
    <n v="874.8"/>
    <n v="6.11"/>
    <n v="6.11"/>
    <n v="0.20010476449718759"/>
    <n v="1"/>
  </r>
  <r>
    <x v="3"/>
    <n v="812.59"/>
    <n v="130.22999999999999"/>
    <n v="1.52"/>
    <n v="1.52"/>
    <n v="0.1602653244563679"/>
    <n v="1"/>
  </r>
  <r>
    <x v="0"/>
    <n v="25174.799999999999"/>
    <n v="11641.42"/>
    <n v="26.64"/>
    <n v="26.64"/>
    <n v="0.46242353464575686"/>
    <n v="1"/>
  </r>
  <r>
    <x v="25"/>
    <n v="18001.8"/>
    <n v="4127.58"/>
    <n v="21.42"/>
    <n v="21.41"/>
    <n v="0.22928707129287071"/>
    <n v="0.99953314659197001"/>
  </r>
  <r>
    <x v="13"/>
    <n v="28639.33"/>
    <n v="3672.18"/>
    <n v="24.27"/>
    <n v="24.27"/>
    <n v="0.12822157501589596"/>
    <n v="1"/>
  </r>
  <r>
    <x v="13"/>
    <n v="24365"/>
    <n v="11207.9"/>
    <n v="17.72"/>
    <n v="17.72"/>
    <n v="0.45999999999999996"/>
    <n v="1"/>
  </r>
  <r>
    <x v="25"/>
    <n v="34356"/>
    <n v="21061.200000000001"/>
    <n v="24.54"/>
    <n v="24.54"/>
    <n v="0.61302829200139719"/>
    <n v="1"/>
  </r>
  <r>
    <x v="22"/>
    <n v="62914.5"/>
    <n v="38756.07"/>
    <n v="30.69"/>
    <n v="30.69"/>
    <n v="0.61601173020527855"/>
    <n v="1"/>
  </r>
  <r>
    <x v="2"/>
    <n v="54951.6"/>
    <n v="20998.12"/>
    <n v="41.63"/>
    <n v="39.799999999999997"/>
    <n v="0.38212026583393388"/>
    <n v="0.95604131635839529"/>
  </r>
  <r>
    <x v="4"/>
    <n v="31776"/>
    <n v="5592"/>
    <n v="26.48"/>
    <n v="20.100000000000001"/>
    <n v="0.17598187311178248"/>
    <n v="0.75906344410876136"/>
  </r>
  <r>
    <x v="0"/>
    <n v="16215.55"/>
    <n v="4018.64"/>
    <n v="12.96"/>
    <n v="12.96"/>
    <n v="0.24782631486443568"/>
    <n v="1"/>
  </r>
  <r>
    <x v="22"/>
    <n v="143480"/>
    <n v="91451.6"/>
    <n v="71.739999999999995"/>
    <n v="71.739999999999995"/>
    <n v="0.63738221354892677"/>
    <n v="1"/>
  </r>
  <r>
    <x v="15"/>
    <n v="16544"/>
    <n v="10889.6"/>
    <n v="16"/>
    <n v="16"/>
    <n v="0.65822050290135403"/>
    <n v="1"/>
  </r>
  <r>
    <x v="13"/>
    <n v="31492.13"/>
    <n v="12203.66"/>
    <n v="32.25"/>
    <n v="32.25"/>
    <n v="0.38751459491625367"/>
    <n v="1"/>
  </r>
  <r>
    <x v="1"/>
    <n v="25781.040000000001"/>
    <n v="12790.24"/>
    <n v="21.96"/>
    <n v="21.96"/>
    <n v="0.49611031983193848"/>
    <n v="1"/>
  </r>
  <r>
    <x v="13"/>
    <n v="33900"/>
    <n v="6125.25"/>
    <n v="30"/>
    <n v="30"/>
    <n v="0.18068584070796459"/>
    <n v="1"/>
  </r>
  <r>
    <x v="13"/>
    <n v="21247.200000000001"/>
    <n v="6527.6"/>
    <n v="23.4"/>
    <n v="15"/>
    <n v="0.30722165744192176"/>
    <n v="0.64102564102564108"/>
  </r>
  <r>
    <x v="20"/>
    <n v="7280"/>
    <n v="2184"/>
    <n v="8"/>
    <n v="8"/>
    <n v="0.3"/>
    <n v="1"/>
  </r>
  <r>
    <x v="2"/>
    <n v="21450.240000000002"/>
    <n v="2329.6"/>
    <n v="17.100000000000001"/>
    <n v="6"/>
    <n v="0.1086048454469507"/>
    <n v="0.35087719298245612"/>
  </r>
  <r>
    <x v="29"/>
    <n v="10877.69"/>
    <n v="3012.21"/>
    <n v="11.83"/>
    <n v="11.83"/>
    <n v="0.27691633058121712"/>
    <n v="1"/>
  </r>
  <r>
    <x v="2"/>
    <n v="10914.96"/>
    <n v="1753.79"/>
    <n v="8.76"/>
    <n v="8.76"/>
    <n v="0.16067763876367849"/>
    <n v="1"/>
  </r>
  <r>
    <x v="1"/>
    <n v="15946.31"/>
    <n v="1880.51"/>
    <n v="14.22"/>
    <n v="14.22"/>
    <n v="0.11792759578861818"/>
    <n v="1"/>
  </r>
  <r>
    <x v="0"/>
    <n v="15121.73"/>
    <n v="7042.96"/>
    <n v="13"/>
    <n v="13"/>
    <n v="0.4657509425178204"/>
    <n v="1"/>
  </r>
  <r>
    <x v="13"/>
    <n v="155910"/>
    <n v="70823"/>
    <n v="103.94"/>
    <n v="103.94"/>
    <n v="0.45425566031684944"/>
    <n v="1"/>
  </r>
  <r>
    <x v="25"/>
    <n v="16785"/>
    <n v="2797.5"/>
    <n v="11.19"/>
    <n v="11.19"/>
    <n v="0.16666666666666666"/>
    <n v="1"/>
  </r>
  <r>
    <x v="12"/>
    <n v="3426.5"/>
    <n v="205.59"/>
    <n v="3.85"/>
    <n v="3.85"/>
    <n v="0.06"/>
    <n v="1"/>
  </r>
  <r>
    <x v="11"/>
    <n v="13938.75"/>
    <n v="5376.38"/>
    <n v="26.55"/>
    <n v="26.55"/>
    <n v="0.38571464442650882"/>
    <n v="1"/>
  </r>
  <r>
    <x v="12"/>
    <n v="9972.2000000000007"/>
    <n v="5572.77"/>
    <n v="14"/>
    <n v="14"/>
    <n v="0.55883054892601436"/>
    <n v="1"/>
  </r>
  <r>
    <x v="1"/>
    <n v="35669.32"/>
    <n v="12731.46"/>
    <n v="31.51"/>
    <n v="31.51"/>
    <n v="0.35693026948649426"/>
    <n v="1"/>
  </r>
  <r>
    <x v="0"/>
    <n v="35579.120000000003"/>
    <n v="1708.25"/>
    <n v="21.17"/>
    <n v="12"/>
    <n v="4.8012710825900133E-2"/>
    <n v="0.56683986773736417"/>
  </r>
  <r>
    <x v="11"/>
    <n v="3760.02"/>
    <n v="693.2"/>
    <n v="5.94"/>
    <n v="5.94"/>
    <n v="0.18436072148552402"/>
    <n v="1"/>
  </r>
  <r>
    <x v="1"/>
    <n v="72303.62"/>
    <n v="16595.919999999998"/>
    <n v="58.86"/>
    <n v="36.43"/>
    <n v="0.22953096954205057"/>
    <n v="0.61892626571525655"/>
  </r>
  <r>
    <x v="13"/>
    <n v="64085.36"/>
    <n v="4702.22"/>
    <n v="74.069999999999993"/>
    <n v="74.069999999999993"/>
    <n v="7.3374324494705184E-2"/>
    <n v="1"/>
  </r>
  <r>
    <x v="15"/>
    <n v="14843.14"/>
    <n v="5986.27"/>
    <n v="14.08"/>
    <n v="14.08"/>
    <n v="0.40330213148969829"/>
    <n v="1"/>
  </r>
  <r>
    <x v="29"/>
    <n v="14926.46"/>
    <n v="4663.8900000000003"/>
    <n v="18.43"/>
    <n v="18.43"/>
    <n v="0.31245787681741022"/>
    <n v="1"/>
  </r>
  <r>
    <x v="13"/>
    <n v="36216.18"/>
    <n v="7729.29"/>
    <n v="42.21"/>
    <n v="42.21"/>
    <n v="0.2134209074507582"/>
    <n v="1"/>
  </r>
  <r>
    <x v="0"/>
    <n v="24772.5"/>
    <n v="15612.75"/>
    <n v="13.5"/>
    <n v="13.5"/>
    <n v="0.63024523160762946"/>
    <n v="1"/>
  </r>
  <r>
    <x v="22"/>
    <n v="81360"/>
    <n v="58447.5"/>
    <n v="40"/>
    <n v="40"/>
    <n v="0.71838126843657812"/>
    <n v="1"/>
  </r>
  <r>
    <x v="25"/>
    <n v="35672"/>
    <n v="25120.799999999999"/>
    <n v="26"/>
    <n v="26"/>
    <n v="0.70421619197129404"/>
    <n v="1"/>
  </r>
  <r>
    <x v="1"/>
    <n v="10741"/>
    <n v="2122.9"/>
    <n v="11.5"/>
    <n v="11.5"/>
    <n v="0.19764453961456105"/>
    <n v="1"/>
  </r>
  <r>
    <x v="0"/>
    <n v="47555.199999999997"/>
    <n v="23860.16"/>
    <n v="21.23"/>
    <n v="21.33"/>
    <n v="0.50173608774645051"/>
    <n v="1.0047103155911445"/>
  </r>
  <r>
    <x v="1"/>
    <n v="68986.5"/>
    <n v="1655.68"/>
    <n v="41.81"/>
    <n v="31"/>
    <n v="2.400005798235887E-2"/>
    <n v="0.74144941401578568"/>
  </r>
  <r>
    <x v="4"/>
    <n v="70170.5"/>
    <n v="16881.18"/>
    <n v="37.840000000000003"/>
    <n v="37.840000000000003"/>
    <n v="0.24057374537733092"/>
    <n v="1"/>
  </r>
  <r>
    <x v="7"/>
    <n v="92084.64"/>
    <n v="9202.27"/>
    <n v="52.44"/>
    <n v="40"/>
    <n v="9.9932735796111061E-2"/>
    <n v="0.76277650648360029"/>
  </r>
  <r>
    <x v="1"/>
    <n v="32077.71"/>
    <n v="2935.93"/>
    <n v="25.89"/>
    <n v="25.89"/>
    <n v="9.1525548425994252E-2"/>
    <n v="1"/>
  </r>
  <r>
    <x v="13"/>
    <n v="26789.62"/>
    <n v="2173.25"/>
    <n v="29.53"/>
    <n v="29.53"/>
    <n v="8.1122837875266612E-2"/>
    <n v="1"/>
  </r>
  <r>
    <x v="2"/>
    <n v="29421.39"/>
    <n v="2242.2399999999998"/>
    <n v="23.38"/>
    <n v="14"/>
    <n v="7.6211219116431944E-2"/>
    <n v="0.5988023952095809"/>
  </r>
  <r>
    <x v="1"/>
    <n v="10118.16"/>
    <n v="2411.42"/>
    <n v="8.9700000000000006"/>
    <n v="8.9700000000000006"/>
    <n v="0.23832594068486762"/>
    <n v="1"/>
  </r>
  <r>
    <x v="12"/>
    <n v="6155.7"/>
    <n v="1853.43"/>
    <n v="8.5"/>
    <n v="8.5"/>
    <n v="0.30109167113407087"/>
    <n v="1"/>
  </r>
  <r>
    <x v="0"/>
    <n v="9049.76"/>
    <n v="1643.52"/>
    <n v="14.99"/>
    <n v="14.99"/>
    <n v="0.18160923604603879"/>
    <n v="1"/>
  </r>
  <r>
    <x v="2"/>
    <n v="27025.8"/>
    <n v="1706.51"/>
    <n v="21.43"/>
    <n v="16"/>
    <n v="6.314373672564734E-2"/>
    <n v="0.74661689220718619"/>
  </r>
  <r>
    <x v="1"/>
    <n v="17030"/>
    <n v="2168.5"/>
    <n v="13.1"/>
    <n v="13.1"/>
    <n v="0.12733411626541397"/>
    <n v="1"/>
  </r>
  <r>
    <x v="22"/>
    <n v="10237.5"/>
    <n v="3906.88"/>
    <n v="6.5"/>
    <n v="6.5"/>
    <n v="0.38162442002442004"/>
    <n v="1"/>
  </r>
  <r>
    <x v="25"/>
    <n v="16240"/>
    <n v="6628"/>
    <n v="14.5"/>
    <n v="14.5"/>
    <n v="0.408128078817734"/>
    <n v="1"/>
  </r>
  <r>
    <x v="13"/>
    <n v="2305"/>
    <n v="691.5"/>
    <n v="2.5"/>
    <n v="2.5"/>
    <n v="0.3"/>
    <n v="1"/>
  </r>
  <r>
    <x v="1"/>
    <n v="8846.0499999999993"/>
    <n v="2712.7"/>
    <n v="10.39"/>
    <n v="10.39"/>
    <n v="0.306656643360596"/>
    <n v="1"/>
  </r>
  <r>
    <x v="20"/>
    <n v="5363.75"/>
    <n v="3357.85"/>
    <n v="6.28"/>
    <n v="6.28"/>
    <n v="0.62602656723374506"/>
    <n v="1"/>
  </r>
  <r>
    <x v="25"/>
    <n v="16513.48"/>
    <n v="10396.93"/>
    <n v="14.09"/>
    <n v="14.09"/>
    <n v="0.6296026034488188"/>
    <n v="1"/>
  </r>
  <r>
    <x v="13"/>
    <n v="56028"/>
    <n v="18673.2"/>
    <n v="60.9"/>
    <n v="60.9"/>
    <n v="0.33328335832083961"/>
    <n v="1"/>
  </r>
  <r>
    <x v="13"/>
    <n v="24354.12"/>
    <n v="8218.31"/>
    <n v="25.69"/>
    <n v="25.69"/>
    <n v="0.33745050118829995"/>
    <n v="1"/>
  </r>
  <r>
    <x v="2"/>
    <n v="23963.94"/>
    <n v="7253.4"/>
    <n v="19.11"/>
    <n v="19.11"/>
    <n v="0.30267977636398691"/>
    <n v="1"/>
  </r>
  <r>
    <x v="32"/>
    <n v="44296"/>
    <n v="5266.8"/>
    <n v="39.549999999999997"/>
    <n v="39.549999999999997"/>
    <n v="0.11890012642225033"/>
    <n v="1"/>
  </r>
  <r>
    <x v="4"/>
    <n v="6514.33"/>
    <n v="1664.63"/>
    <n v="6.79"/>
    <n v="6.78"/>
    <n v="0.25553356983757347"/>
    <n v="0.99852724594992637"/>
  </r>
  <r>
    <x v="15"/>
    <n v="23443.200000000001"/>
    <n v="10879.02"/>
    <n v="29.98"/>
    <n v="16.25"/>
    <n v="0.46405866093366094"/>
    <n v="0.54202801867911943"/>
  </r>
  <r>
    <x v="3"/>
    <n v="1221.44"/>
    <n v="65.239999999999995"/>
    <n v="3.47"/>
    <n v="3.45"/>
    <n v="5.3412365732250451E-2"/>
    <n v="0.99423631123919309"/>
  </r>
  <r>
    <x v="1"/>
    <n v="41117.620000000003"/>
    <n v="828.8"/>
    <n v="27.74"/>
    <n v="12.79"/>
    <n v="2.015680868688411E-2"/>
    <n v="0.46106705118961788"/>
  </r>
  <r>
    <x v="7"/>
    <n v="45066.86"/>
    <n v="1752.67"/>
    <n v="30.53"/>
    <n v="4.34"/>
    <n v="3.8890439671190762E-2"/>
    <n v="0.14215525712414018"/>
  </r>
  <r>
    <x v="0"/>
    <n v="18268.169999999998"/>
    <n v="490.86"/>
    <n v="12.18"/>
    <n v="12.18"/>
    <n v="2.6869686454636676E-2"/>
    <n v="1"/>
  </r>
  <r>
    <x v="1"/>
    <n v="8873.5400000000009"/>
    <n v="2919.3"/>
    <n v="5.8"/>
    <n v="5.8"/>
    <n v="0.32898933232960015"/>
    <n v="1"/>
  </r>
  <r>
    <x v="0"/>
    <n v="35817.599999999999"/>
    <n v="13441.44"/>
    <n v="20.5"/>
    <n v="20.5"/>
    <n v="0.37527472527472533"/>
    <n v="1"/>
  </r>
  <r>
    <x v="1"/>
    <n v="26327.77"/>
    <n v="6272.14"/>
    <n v="22.85"/>
    <n v="22.85"/>
    <n v="0.23823286210719707"/>
    <n v="1"/>
  </r>
  <r>
    <x v="0"/>
    <n v="8403.2199999999993"/>
    <n v="3622.53"/>
    <n v="6.22"/>
    <n v="6.22"/>
    <n v="0.43108832090555771"/>
    <n v="1"/>
  </r>
  <r>
    <x v="22"/>
    <n v="23149.61"/>
    <n v="2436.89"/>
    <n v="19.329999999999998"/>
    <n v="19.329999999999998"/>
    <n v="0.10526700017840472"/>
    <n v="1"/>
  </r>
  <r>
    <x v="7"/>
    <n v="10721.7"/>
    <n v="1407.33"/>
    <n v="8.5500000000000007"/>
    <n v="8.5500000000000007"/>
    <n v="0.13125996810207335"/>
    <n v="1"/>
  </r>
  <r>
    <x v="1"/>
    <n v="51108.480000000003"/>
    <n v="747.33"/>
    <n v="42.03"/>
    <n v="42.03"/>
    <n v="1.462242665013712E-2"/>
    <n v="1"/>
  </r>
  <r>
    <x v="0"/>
    <n v="60997.22"/>
    <n v="655.67"/>
    <n v="35.479999999999997"/>
    <n v="35.479999999999997"/>
    <n v="1.0749178405179777E-2"/>
    <n v="1"/>
  </r>
  <r>
    <x v="4"/>
    <n v="42332.13"/>
    <n v="1639.89"/>
    <n v="32.909999999999997"/>
    <n v="7"/>
    <n v="3.8738660209160281E-2"/>
    <n v="0.21270130659374054"/>
  </r>
  <r>
    <x v="1"/>
    <n v="68884.34"/>
    <n v="464.07"/>
    <n v="47.7"/>
    <n v="47.7"/>
    <n v="6.7369448556812766E-3"/>
    <n v="1"/>
  </r>
  <r>
    <x v="0"/>
    <n v="18337.400000000001"/>
    <n v="1791.01"/>
    <n v="11.08"/>
    <n v="11.08"/>
    <n v="9.7669789610304619E-2"/>
    <n v="1"/>
  </r>
  <r>
    <x v="0"/>
    <n v="16409.25"/>
    <n v="9530.6"/>
    <n v="9.35"/>
    <n v="9.35"/>
    <n v="0.58080655727714559"/>
    <n v="1"/>
  </r>
  <r>
    <x v="1"/>
    <n v="35475.160000000003"/>
    <n v="7282.92"/>
    <n v="25.41"/>
    <n v="25.41"/>
    <n v="0.20529632565434516"/>
    <n v="1"/>
  </r>
  <r>
    <x v="1"/>
    <n v="61062.3"/>
    <n v="406.34"/>
    <n v="61.4"/>
    <n v="61.4"/>
    <n v="6.6545151427312753E-3"/>
    <n v="1"/>
  </r>
  <r>
    <x v="0"/>
    <n v="40470.5"/>
    <n v="2551.73"/>
    <n v="37.299999999999997"/>
    <n v="37.4"/>
    <n v="6.3051605490418952E-2"/>
    <n v="1.0026809651474531"/>
  </r>
  <r>
    <x v="15"/>
    <n v="25142.400000000001"/>
    <n v="1688.98"/>
    <n v="16"/>
    <n v="16"/>
    <n v="6.7176562301132739E-2"/>
    <n v="1"/>
  </r>
  <r>
    <x v="1"/>
    <n v="20139.05"/>
    <n v="3674.11"/>
    <n v="14.5"/>
    <n v="14.5"/>
    <n v="0.18243710602039323"/>
    <n v="1"/>
  </r>
  <r>
    <x v="7"/>
    <n v="60982.720000000001"/>
    <n v="10828.74"/>
    <n v="25.58"/>
    <n v="25.58"/>
    <n v="0.17757062984399513"/>
    <n v="1"/>
  </r>
  <r>
    <x v="25"/>
    <n v="30564.240000000002"/>
    <n v="1021.02"/>
    <n v="15.82"/>
    <n v="5"/>
    <n v="3.3405705491122956E-2"/>
    <n v="0.31605562579013907"/>
  </r>
  <r>
    <x v="41"/>
    <n v="56085.96"/>
    <n v="11786.24"/>
    <n v="29.03"/>
    <n v="29.03"/>
    <n v="0.21014599732268111"/>
    <n v="1"/>
  </r>
  <r>
    <x v="1"/>
    <n v="227485.44"/>
    <n v="6494.03"/>
    <n v="101.92"/>
    <n v="70"/>
    <n v="2.8547013822071424E-2"/>
    <n v="0.68681318681318682"/>
  </r>
  <r>
    <x v="0"/>
    <n v="65988"/>
    <n v="106.2"/>
    <n v="47"/>
    <n v="5.9"/>
    <n v="1.6093835242771413E-3"/>
    <n v="0.12553191489361704"/>
  </r>
  <r>
    <x v="0"/>
    <n v="59867.14"/>
    <n v="8065.92"/>
    <n v="40.96"/>
    <n v="9.18"/>
    <n v="0.1347303378781749"/>
    <n v="0.22412109375"/>
  </r>
  <r>
    <x v="1"/>
    <n v="3853.2"/>
    <n v="3277.88"/>
    <n v="3.8"/>
    <n v="3"/>
    <n v="0.85069033530572002"/>
    <n v="0.78947368421052633"/>
  </r>
  <r>
    <x v="1"/>
    <n v="23106.38"/>
    <n v="966.86"/>
    <n v="21.85"/>
    <n v="21.85"/>
    <n v="4.1843854381344026E-2"/>
    <n v="1"/>
  </r>
  <r>
    <x v="0"/>
    <n v="19404.28"/>
    <n v="5270.62"/>
    <n v="18.73"/>
    <n v="18.73"/>
    <n v="0.27162151855157729"/>
    <n v="1"/>
  </r>
  <r>
    <x v="1"/>
    <n v="67712"/>
    <n v="6080.96"/>
    <n v="52.9"/>
    <n v="52.9"/>
    <n v="8.9806238185255197E-2"/>
    <n v="1"/>
  </r>
  <r>
    <x v="22"/>
    <n v="16611.98"/>
    <n v="830.6"/>
    <n v="9.3800000000000008"/>
    <n v="9.3800000000000008"/>
    <n v="5.0000060197520103E-2"/>
    <n v="1"/>
  </r>
  <r>
    <x v="41"/>
    <n v="38500"/>
    <n v="3384.15"/>
    <n v="27.5"/>
    <n v="27.5"/>
    <n v="8.7900000000000006E-2"/>
    <n v="1"/>
  </r>
  <r>
    <x v="0"/>
    <n v="14740.61"/>
    <n v="290.31"/>
    <n v="9.4"/>
    <n v="3.75"/>
    <n v="1.9694571662909471E-2"/>
    <n v="0.39893617021276595"/>
  </r>
  <r>
    <x v="13"/>
    <n v="9750.4"/>
    <n v="4072.48"/>
    <n v="11.08"/>
    <n v="11.08"/>
    <n v="0.41767312110272403"/>
    <n v="1"/>
  </r>
  <r>
    <x v="1"/>
    <n v="12452.4"/>
    <n v="6927.66"/>
    <n v="11.53"/>
    <n v="11.53"/>
    <n v="0.5563313096270599"/>
    <n v="1"/>
  </r>
  <r>
    <x v="1"/>
    <n v="39004.239999999998"/>
    <n v="4926.8500000000004"/>
    <n v="27.94"/>
    <n v="27.94"/>
    <n v="0.12631575438977918"/>
    <n v="1"/>
  </r>
  <r>
    <x v="0"/>
    <n v="50635.199999999997"/>
    <n v="2181.04"/>
    <n v="28.77"/>
    <n v="11"/>
    <n v="4.3073593073593076E-2"/>
    <n v="0.3823427181091415"/>
  </r>
  <r>
    <x v="0"/>
    <n v="93870.25"/>
    <n v="29500.62"/>
    <n v="80.42"/>
    <n v="80.42"/>
    <n v="0.31427017612076241"/>
    <n v="1"/>
  </r>
  <r>
    <x v="25"/>
    <n v="1856.8"/>
    <n v="5523.1"/>
    <n v="2.2000000000000002"/>
    <n v="2.2000000000000002"/>
    <n v="2.9745260663507112"/>
    <n v="1"/>
  </r>
  <r>
    <x v="13"/>
    <n v="23006.799999999999"/>
    <n v="2555.1799999999998"/>
    <n v="25.45"/>
    <n v="25.45"/>
    <n v="0.11106194690265486"/>
    <n v="1"/>
  </r>
  <r>
    <x v="13"/>
    <n v="12732.66"/>
    <n v="3182.12"/>
    <n v="16.149999999999999"/>
    <n v="16.149999999999999"/>
    <n v="0.24991792759721848"/>
    <n v="1"/>
  </r>
  <r>
    <x v="23"/>
    <n v="62959.64"/>
    <n v="2446.92"/>
    <n v="38.840000000000003"/>
    <n v="38"/>
    <n v="3.886489821098088E-2"/>
    <n v="0.9783728115345004"/>
  </r>
  <r>
    <x v="13"/>
    <n v="30680.33"/>
    <n v="9404.3799999999992"/>
    <n v="32.880000000000003"/>
    <n v="32.880000000000003"/>
    <n v="0.30652799366890771"/>
    <n v="1"/>
  </r>
  <r>
    <x v="25"/>
    <n v="3933.04"/>
    <n v="2088.06"/>
    <n v="4.22"/>
    <n v="4.22"/>
    <n v="0.53090230457864651"/>
    <n v="1"/>
  </r>
  <r>
    <x v="0"/>
    <n v="26864.25"/>
    <n v="1381.59"/>
    <n v="21.93"/>
    <n v="21.93"/>
    <n v="5.1428571428571428E-2"/>
    <n v="1"/>
  </r>
  <r>
    <x v="0"/>
    <n v="13244.7"/>
    <n v="399"/>
    <n v="11.13"/>
    <n v="11.13"/>
    <n v="3.01252576502299E-2"/>
    <n v="1"/>
  </r>
  <r>
    <x v="1"/>
    <n v="118350.16"/>
    <n v="48780.94"/>
    <n v="106.43"/>
    <n v="106.43"/>
    <n v="0.41217468569539745"/>
    <n v="1"/>
  </r>
  <r>
    <x v="13"/>
    <n v="51525.72"/>
    <n v="20467.16"/>
    <n v="53.01"/>
    <n v="53.01"/>
    <n v="0.3972222028144391"/>
    <n v="1"/>
  </r>
  <r>
    <x v="15"/>
    <n v="4362.72"/>
    <n v="964.78"/>
    <n v="3.66"/>
    <n v="3.66"/>
    <n v="0.22114185645652251"/>
    <n v="1"/>
  </r>
  <r>
    <x v="22"/>
    <n v="22518"/>
    <n v="925.74"/>
    <n v="13.9"/>
    <n v="13.9"/>
    <n v="4.1111111111111112E-2"/>
    <n v="1"/>
  </r>
  <r>
    <x v="2"/>
    <n v="28374.5"/>
    <n v="855.36"/>
    <n v="23.45"/>
    <n v="23.45"/>
    <n v="3.0145377011048653E-2"/>
    <n v="1"/>
  </r>
  <r>
    <x v="6"/>
    <n v="40800"/>
    <n v="1200"/>
    <n v="27.2"/>
    <n v="27.2"/>
    <n v="2.9411764705882353E-2"/>
    <n v="1"/>
  </r>
  <r>
    <x v="6"/>
    <n v="26863.200000000001"/>
    <n v="2359.69"/>
    <n v="19.68"/>
    <n v="19.68"/>
    <n v="8.7840986926352782E-2"/>
    <n v="1"/>
  </r>
  <r>
    <x v="1"/>
    <n v="20477.84"/>
    <n v="1494.3"/>
    <n v="19.09"/>
    <n v="19.09"/>
    <n v="7.2971563407078083E-2"/>
    <n v="1"/>
  </r>
  <r>
    <x v="25"/>
    <n v="12383.81"/>
    <n v="6194.44"/>
    <n v="18.670000000000002"/>
    <n v="18.670000000000002"/>
    <n v="0.50020470275302997"/>
    <n v="1"/>
  </r>
  <r>
    <x v="13"/>
    <n v="17146.36"/>
    <n v="2387.36"/>
    <n v="20.51"/>
    <n v="20.51"/>
    <n v="0.13923421647510026"/>
    <n v="1"/>
  </r>
  <r>
    <x v="1"/>
    <n v="18177.900000000001"/>
    <n v="11999.31"/>
    <n v="15.8"/>
    <n v="15.8"/>
    <n v="0.66010430247718377"/>
    <n v="1"/>
  </r>
  <r>
    <x v="20"/>
    <n v="43344"/>
    <n v="14818.23"/>
    <n v="27.09"/>
    <n v="27.09"/>
    <n v="0.34187499999999998"/>
    <n v="1"/>
  </r>
  <r>
    <x v="15"/>
    <n v="23030"/>
    <n v="8345.61"/>
    <n v="16.45"/>
    <n v="16.45"/>
    <n v="0.36237993920972644"/>
    <n v="1"/>
  </r>
  <r>
    <x v="13"/>
    <n v="7370"/>
    <n v="4350.1000000000004"/>
    <n v="7.37"/>
    <n v="7.37"/>
    <n v="0.5902442333785618"/>
    <n v="1"/>
  </r>
  <r>
    <x v="7"/>
    <n v="196233.44"/>
    <n v="4565.28"/>
    <n v="159.38999999999999"/>
    <n v="23.6"/>
    <n v="2.3264536360367526E-2"/>
    <n v="0.14806449589058288"/>
  </r>
  <r>
    <x v="18"/>
    <n v="1567.05"/>
    <n v="431.29"/>
    <n v="3"/>
    <n v="3"/>
    <n v="0.27522414728311162"/>
    <n v="1"/>
  </r>
  <r>
    <x v="15"/>
    <n v="44729.04"/>
    <n v="11732.65"/>
    <n v="38.76"/>
    <n v="38.76"/>
    <n v="0.26230498128285334"/>
    <n v="1"/>
  </r>
  <r>
    <x v="7"/>
    <n v="4487.59"/>
    <n v="780.57"/>
    <n v="5.89"/>
    <n v="5.89"/>
    <n v="0.17393968700349186"/>
    <n v="1"/>
  </r>
  <r>
    <x v="8"/>
    <n v="8995.4699999999993"/>
    <n v="4549.01"/>
    <n v="5.89"/>
    <n v="5.89"/>
    <n v="0.50570009126816062"/>
    <n v="1"/>
  </r>
  <r>
    <x v="13"/>
    <n v="25839.97"/>
    <n v="8469.77"/>
    <n v="31.14"/>
    <n v="31.14"/>
    <n v="0.32777785732723375"/>
    <n v="1"/>
  </r>
  <r>
    <x v="1"/>
    <n v="20393.97"/>
    <n v="3427.62"/>
    <n v="13.52"/>
    <n v="13.52"/>
    <n v="0.16807026782916715"/>
    <n v="1"/>
  </r>
  <r>
    <x v="18"/>
    <n v="3522.38"/>
    <n v="1177.03"/>
    <n v="7.75"/>
    <n v="7.75"/>
    <n v="0.33415758663176598"/>
    <n v="1"/>
  </r>
  <r>
    <x v="11"/>
    <n v="5129.72"/>
    <n v="750.76"/>
    <n v="7.79"/>
    <n v="7.79"/>
    <n v="0.14635496674282417"/>
    <n v="1"/>
  </r>
  <r>
    <x v="1"/>
    <n v="10588.74"/>
    <n v="2301.06"/>
    <n v="14.82"/>
    <n v="14.82"/>
    <n v="0.21731197479586806"/>
    <n v="1"/>
  </r>
  <r>
    <x v="6"/>
    <n v="29772.94"/>
    <n v="8987.02"/>
    <n v="16.829999999999998"/>
    <n v="24.36"/>
    <n v="0.30185195012652433"/>
    <n v="1.447415329768271"/>
  </r>
  <r>
    <x v="11"/>
    <n v="26757.65"/>
    <n v="5750.51"/>
    <n v="24.35"/>
    <n v="16.829999999999998"/>
    <n v="0.21491087595510069"/>
    <n v="0.6911704312114989"/>
  </r>
  <r>
    <x v="1"/>
    <n v="120234.04"/>
    <n v="12594.19"/>
    <n v="81.87"/>
    <n v="81.87"/>
    <n v="0.10474729119973014"/>
    <n v="1"/>
  </r>
  <r>
    <x v="7"/>
    <n v="15812.55"/>
    <n v="5407.89"/>
    <n v="14.31"/>
    <n v="14.31"/>
    <n v="0.34199986719409586"/>
    <n v="1"/>
  </r>
  <r>
    <x v="34"/>
    <n v="100529.58"/>
    <n v="54335.58"/>
    <n v="40.659999999999997"/>
    <n v="40.659999999999997"/>
    <n v="0.54049345476226995"/>
    <n v="1"/>
  </r>
  <r>
    <x v="42"/>
    <n v="150040.49"/>
    <n v="45040.34"/>
    <n v="16.11"/>
    <n v="16.11"/>
    <n v="0.30018790261215489"/>
    <n v="1"/>
  </r>
  <r>
    <x v="1"/>
    <n v="17346.39"/>
    <n v="2016.97"/>
    <n v="16.66"/>
    <n v="16.66"/>
    <n v="0.11627606666286185"/>
    <n v="1"/>
  </r>
  <r>
    <x v="7"/>
    <n v="39303.72"/>
    <n v="9995.26"/>
    <n v="50.78"/>
    <n v="50.78"/>
    <n v="0.25430824359628046"/>
    <n v="1"/>
  </r>
  <r>
    <x v="1"/>
    <n v="5359.05"/>
    <n v="405.98"/>
    <n v="3.91"/>
    <n v="3.91"/>
    <n v="7.575596421007455E-2"/>
    <n v="1"/>
  </r>
  <r>
    <x v="15"/>
    <n v="7449"/>
    <n v="2206.0500000000002"/>
    <n v="7.64"/>
    <n v="7.62"/>
    <n v="0.29615384615384616"/>
    <n v="0.99738219895287961"/>
  </r>
  <r>
    <x v="41"/>
    <n v="20478.599999999999"/>
    <n v="5538.15"/>
    <n v="13.95"/>
    <n v="13.95"/>
    <n v="0.27043596730245234"/>
    <n v="1"/>
  </r>
  <r>
    <x v="22"/>
    <n v="22155.360000000001"/>
    <n v="3650.15"/>
    <n v="13.71"/>
    <n v="13.71"/>
    <n v="0.16475245719320292"/>
    <n v="1"/>
  </r>
  <r>
    <x v="20"/>
    <n v="39609"/>
    <n v="13705.2"/>
    <n v="27"/>
    <n v="27"/>
    <n v="0.34601226993865031"/>
    <n v="1"/>
  </r>
  <r>
    <x v="8"/>
    <n v="11096.25"/>
    <n v="1092.81"/>
    <n v="13.45"/>
    <n v="13.45"/>
    <n v="9.8484623183507938E-2"/>
    <n v="1"/>
  </r>
  <r>
    <x v="3"/>
    <n v="9582.86"/>
    <n v="8979.43"/>
    <n v="18.170000000000002"/>
    <n v="18.170000000000002"/>
    <n v="0.93703028114779929"/>
    <n v="1"/>
  </r>
  <r>
    <x v="13"/>
    <n v="8374.02"/>
    <n v="4853.7"/>
    <n v="6"/>
    <n v="6"/>
    <n v="0.57961409215645532"/>
    <n v="1"/>
  </r>
  <r>
    <x v="29"/>
    <n v="17322.5"/>
    <n v="2301.83"/>
    <n v="25"/>
    <n v="25"/>
    <n v="0.13288093519988453"/>
    <n v="1"/>
  </r>
  <r>
    <x v="5"/>
    <n v="10403.61"/>
    <n v="6454.51"/>
    <n v="14.98"/>
    <n v="14.98"/>
    <n v="0.62041060747182952"/>
    <n v="1"/>
  </r>
  <r>
    <x v="7"/>
    <n v="14911.02"/>
    <n v="689.28"/>
    <n v="15.63"/>
    <n v="15.63"/>
    <n v="4.6226213900859896E-2"/>
    <n v="1"/>
  </r>
  <r>
    <x v="13"/>
    <n v="23545.58"/>
    <n v="5212.18"/>
    <n v="22.5"/>
    <n v="22.5"/>
    <n v="0.22136553867010283"/>
    <n v="1"/>
  </r>
  <r>
    <x v="22"/>
    <n v="34668"/>
    <n v="837"/>
    <n v="20"/>
    <n v="20"/>
    <n v="2.4143302180685357E-2"/>
    <n v="1"/>
  </r>
  <r>
    <x v="12"/>
    <n v="29880"/>
    <n v="10209"/>
    <n v="41.5"/>
    <n v="20"/>
    <n v="0.34166666666666667"/>
    <n v="0.48192771084337349"/>
  </r>
  <r>
    <x v="15"/>
    <n v="57750"/>
    <n v="19105.63"/>
    <n v="30"/>
    <n v="30"/>
    <n v="0.33083341991341991"/>
    <n v="1"/>
  </r>
  <r>
    <x v="40"/>
    <n v="7700"/>
    <n v="4389"/>
    <n v="4"/>
    <n v="4"/>
    <n v="0.56999999999999995"/>
    <n v="1"/>
  </r>
  <r>
    <x v="13"/>
    <n v="29545.43"/>
    <n v="4898.93"/>
    <n v="24.05"/>
    <n v="24.05"/>
    <n v="0.16581007621144794"/>
    <n v="1"/>
  </r>
  <r>
    <x v="15"/>
    <n v="52872.5"/>
    <n v="15706.49"/>
    <n v="26.42"/>
    <n v="26.42"/>
    <n v="0.29706350182041702"/>
    <n v="1"/>
  </r>
  <r>
    <x v="15"/>
    <n v="50752"/>
    <n v="3824"/>
    <n v="40"/>
    <n v="40"/>
    <n v="7.5346784363177807E-2"/>
    <n v="1"/>
  </r>
  <r>
    <x v="13"/>
    <n v="14613.41"/>
    <n v="1179.92"/>
    <n v="13.77"/>
    <n v="13.77"/>
    <n v="8.0742277127651932E-2"/>
    <n v="1"/>
  </r>
  <r>
    <x v="15"/>
    <n v="4030.88"/>
    <n v="1463.32"/>
    <n v="4.29"/>
    <n v="4.29"/>
    <n v="0.36302742825388001"/>
    <n v="1"/>
  </r>
  <r>
    <x v="15"/>
    <n v="109315.36"/>
    <n v="54294.86"/>
    <n v="106.4"/>
    <n v="106.4"/>
    <n v="0.4966809787755353"/>
    <n v="1"/>
  </r>
  <r>
    <x v="20"/>
    <n v="43462.99"/>
    <n v="14489.99"/>
    <n v="34.619999999999997"/>
    <n v="34.619999999999997"/>
    <n v="0.33338686546875862"/>
    <n v="1"/>
  </r>
  <r>
    <x v="15"/>
    <n v="37386.68"/>
    <n v="16456.87"/>
    <n v="31.14"/>
    <n v="31.14"/>
    <n v="0.44018003203279882"/>
    <n v="1"/>
  </r>
  <r>
    <x v="13"/>
    <n v="34904.400000000001"/>
    <n v="11126.22"/>
    <n v="51.33"/>
    <n v="51.33"/>
    <n v="0.31876267748478698"/>
    <n v="1"/>
  </r>
  <r>
    <x v="8"/>
    <n v="5163.16"/>
    <n v="2166.77"/>
    <n v="5.75"/>
    <n v="5.75"/>
    <n v="0.419659665786069"/>
    <n v="1"/>
  </r>
  <r>
    <x v="15"/>
    <n v="92712.68"/>
    <n v="44721.69"/>
    <n v="64.11"/>
    <n v="64.11"/>
    <n v="0.48236864687764397"/>
    <n v="1"/>
  </r>
  <r>
    <x v="15"/>
    <n v="39795.15"/>
    <n v="11365.82"/>
    <n v="14.78"/>
    <n v="14.78"/>
    <n v="0.28560817084493961"/>
    <n v="1"/>
  </r>
  <r>
    <x v="20"/>
    <n v="24215.4"/>
    <n v="10594.76"/>
    <n v="9"/>
    <n v="9"/>
    <n v="0.43752157717815932"/>
    <n v="1"/>
  </r>
  <r>
    <x v="13"/>
    <n v="6321.69"/>
    <n v="713.45"/>
    <n v="6.53"/>
    <n v="6.53"/>
    <n v="0.11285747956638179"/>
    <n v="1"/>
  </r>
  <r>
    <x v="15"/>
    <n v="11757.31"/>
    <n v="915.49"/>
    <n v="11.52"/>
    <n v="11.52"/>
    <n v="7.7865600209571756E-2"/>
    <n v="1"/>
  </r>
  <r>
    <x v="20"/>
    <n v="22593.119999999999"/>
    <n v="8149.59"/>
    <n v="17.600000000000001"/>
    <n v="17"/>
    <n v="0.36071113684165801"/>
    <n v="0.96590909090909083"/>
  </r>
  <r>
    <x v="13"/>
    <n v="10813.5"/>
    <n v="500.62"/>
    <n v="8.9"/>
    <n v="8.9"/>
    <n v="4.629583391131456E-2"/>
    <n v="1"/>
  </r>
  <r>
    <x v="13"/>
    <n v="38657.25"/>
    <n v="5550.19"/>
    <n v="34.5"/>
    <n v="34.5"/>
    <n v="0.14357436185967704"/>
    <n v="1"/>
  </r>
  <r>
    <x v="15"/>
    <n v="12287.16"/>
    <n v="5684.9"/>
    <n v="9.3000000000000007"/>
    <n v="9.3000000000000007"/>
    <n v="0.46266997418443317"/>
    <n v="1"/>
  </r>
  <r>
    <x v="13"/>
    <n v="21165.84"/>
    <n v="1213.1600000000001"/>
    <n v="19.12"/>
    <n v="19.12"/>
    <n v="5.7316884186972977E-2"/>
    <n v="1"/>
  </r>
  <r>
    <x v="13"/>
    <n v="6682.27"/>
    <n v="434.81"/>
    <n v="12.37"/>
    <n v="12.37"/>
    <n v="6.5069205524469972E-2"/>
    <n v="1"/>
  </r>
  <r>
    <x v="13"/>
    <n v="26468.37"/>
    <n v="1194.3"/>
    <n v="23.91"/>
    <n v="23.95"/>
    <n v="4.5121781205264999E-2"/>
    <n v="1.0016729401923881"/>
  </r>
  <r>
    <x v="13"/>
    <n v="17633"/>
    <n v="5009.38"/>
    <n v="16.03"/>
    <n v="16.03"/>
    <n v="0.2840911926501446"/>
    <n v="1"/>
  </r>
  <r>
    <x v="13"/>
    <n v="23936"/>
    <n v="6800"/>
    <n v="21.76"/>
    <n v="21.76"/>
    <n v="0.28409090909090912"/>
    <n v="1"/>
  </r>
  <r>
    <x v="13"/>
    <n v="23195.67"/>
    <n v="6039.54"/>
    <n v="16.059999999999999"/>
    <n v="16.059999999999999"/>
    <n v="0.26037359558917678"/>
    <n v="1"/>
  </r>
  <r>
    <x v="15"/>
    <n v="36430.559999999998"/>
    <n v="6139.22"/>
    <n v="28.11"/>
    <n v="28.11"/>
    <n v="0.16851840872059065"/>
    <n v="1"/>
  </r>
  <r>
    <x v="29"/>
    <n v="10276.42"/>
    <n v="5569.9"/>
    <n v="12.52"/>
    <n v="12.51"/>
    <n v="0.54200781984387558"/>
    <n v="0.99920127795527158"/>
  </r>
  <r>
    <x v="13"/>
    <n v="3632.86"/>
    <n v="2333.0500000000002"/>
    <n v="6.74"/>
    <n v="6.74"/>
    <n v="0.64220751694257416"/>
    <n v="1"/>
  </r>
  <r>
    <x v="15"/>
    <n v="9213.7000000000007"/>
    <n v="6753.08"/>
    <n v="5.49"/>
    <n v="5.49"/>
    <n v="0.73293899302126175"/>
    <n v="1"/>
  </r>
  <r>
    <x v="15"/>
    <n v="47763.9"/>
    <n v="28998.58"/>
    <n v="36.35"/>
    <n v="36.35"/>
    <n v="0.6071233714164882"/>
    <n v="1"/>
  </r>
  <r>
    <x v="13"/>
    <n v="33148.5"/>
    <n v="6386.61"/>
    <n v="20.09"/>
    <n v="20.09"/>
    <n v="0.19266663649938912"/>
    <n v="1"/>
  </r>
  <r>
    <x v="15"/>
    <n v="31969.13"/>
    <n v="7551.08"/>
    <n v="20.2"/>
    <n v="20.2"/>
    <n v="0.2361991083273145"/>
    <n v="1"/>
  </r>
  <r>
    <x v="13"/>
    <n v="6517.49"/>
    <n v="535.45000000000005"/>
    <n v="4.7"/>
    <n v="4.7"/>
    <n v="8.2155860615052742E-2"/>
    <n v="1"/>
  </r>
  <r>
    <x v="15"/>
    <n v="90033.02"/>
    <n v="44003.91"/>
    <n v="34"/>
    <n v="34.340000000000003"/>
    <n v="0.48875301528261522"/>
    <n v="1.01"/>
  </r>
  <r>
    <x v="15"/>
    <n v="41696.79"/>
    <n v="3338.64"/>
    <n v="30.01"/>
    <n v="30"/>
    <n v="8.0069472973818848E-2"/>
    <n v="0.99966677774075308"/>
  </r>
  <r>
    <x v="13"/>
    <n v="64908.41"/>
    <n v="7830.69"/>
    <n v="85.07"/>
    <n v="85.07"/>
    <n v="0.12064214791272809"/>
    <n v="1"/>
  </r>
  <r>
    <x v="22"/>
    <n v="13772.21"/>
    <n v="1673.79"/>
    <n v="7.32"/>
    <n v="7.32"/>
    <n v="0.12153387147015621"/>
    <n v="1"/>
  </r>
  <r>
    <x v="15"/>
    <n v="10704.6"/>
    <n v="2468.11"/>
    <n v="6.31"/>
    <n v="6.31"/>
    <n v="0.23056536442277153"/>
    <n v="1"/>
  </r>
  <r>
    <x v="13"/>
    <n v="38370.36"/>
    <n v="639.51"/>
    <n v="53.74"/>
    <n v="53.74"/>
    <n v="1.6666770913799089E-2"/>
    <n v="1"/>
  </r>
  <r>
    <x v="25"/>
    <n v="6588.24"/>
    <n v="1984.62"/>
    <n v="5.82"/>
    <n v="5.82"/>
    <n v="0.30123674911660775"/>
    <n v="1"/>
  </r>
  <r>
    <x v="25"/>
    <n v="13442.52"/>
    <n v="5271.14"/>
    <n v="12.31"/>
    <n v="12.3"/>
    <n v="0.39212439334291488"/>
    <n v="0.99918765231519091"/>
  </r>
  <r>
    <x v="15"/>
    <n v="27474.400000000001"/>
    <n v="4870.24"/>
    <n v="24.4"/>
    <n v="24.4"/>
    <n v="0.1772646536412078"/>
    <n v="1"/>
  </r>
  <r>
    <x v="15"/>
    <n v="7953.4"/>
    <n v="4147.49"/>
    <n v="4"/>
    <n v="4"/>
    <n v="0.52147383508939571"/>
    <n v="1"/>
  </r>
  <r>
    <x v="13"/>
    <n v="15731.63"/>
    <n v="2454.13"/>
    <n v="10.5"/>
    <n v="2.5"/>
    <n v="0.1559997279366474"/>
    <n v="0.23809523809523808"/>
  </r>
  <r>
    <x v="13"/>
    <n v="6408.48"/>
    <n v="1842.44"/>
    <n v="10.27"/>
    <n v="10.27"/>
    <n v="0.28750031208648541"/>
    <n v="1"/>
  </r>
  <r>
    <x v="20"/>
    <n v="22409.58"/>
    <n v="5035.8599999999997"/>
    <n v="24.93"/>
    <n v="24.93"/>
    <n v="0.22471907104015332"/>
    <n v="1"/>
  </r>
  <r>
    <x v="15"/>
    <n v="15226.74"/>
    <n v="2664.68"/>
    <n v="10.28"/>
    <n v="10.28"/>
    <n v="0.17500003283696969"/>
    <n v="1"/>
  </r>
  <r>
    <x v="15"/>
    <n v="6142.03"/>
    <n v="1925.99"/>
    <n v="3.86"/>
    <n v="3.86"/>
    <n v="0.31357547911683925"/>
    <n v="1"/>
  </r>
  <r>
    <x v="15"/>
    <n v="49856.23"/>
    <n v="2100.5700000000002"/>
    <n v="73.73"/>
    <n v="73.73"/>
    <n v="4.2132547928313072E-2"/>
    <n v="1"/>
  </r>
  <r>
    <x v="20"/>
    <n v="10368"/>
    <n v="2520.1"/>
    <n v="6.48"/>
    <n v="6.48"/>
    <n v="0.24306520061728396"/>
    <n v="1"/>
  </r>
  <r>
    <x v="9"/>
    <n v="17240.849999999999"/>
    <n v="1824.32"/>
    <n v="17.82"/>
    <n v="17.82"/>
    <n v="0.10581380848392047"/>
    <n v="1"/>
  </r>
  <r>
    <x v="15"/>
    <n v="33558.68"/>
    <n v="3849.38"/>
    <n v="29.03"/>
    <n v="29.03"/>
    <n v="0.11470594195004094"/>
    <n v="1"/>
  </r>
  <r>
    <x v="21"/>
    <n v="6361.6"/>
    <n v="2778.24"/>
    <n v="3.2"/>
    <n v="3.2"/>
    <n v="0.43672032193158949"/>
    <n v="1"/>
  </r>
  <r>
    <x v="15"/>
    <n v="19852.080000000002"/>
    <n v="5832.23"/>
    <n v="13.71"/>
    <n v="13.71"/>
    <n v="0.29378432889651862"/>
    <n v="1"/>
  </r>
  <r>
    <x v="13"/>
    <n v="14401.8"/>
    <n v="194.31"/>
    <n v="11.43"/>
    <n v="11.43"/>
    <n v="1.3492063492063493E-2"/>
    <n v="1"/>
  </r>
  <r>
    <x v="20"/>
    <n v="28125"/>
    <n v="2968.75"/>
    <n v="25"/>
    <n v="25"/>
    <n v="0.10555555555555556"/>
    <n v="1"/>
  </r>
  <r>
    <x v="22"/>
    <n v="16894.8"/>
    <n v="4548.18"/>
    <n v="8"/>
    <n v="8"/>
    <n v="0.26920590951061868"/>
    <n v="1"/>
  </r>
  <r>
    <x v="13"/>
    <n v="7647.08"/>
    <n v="2563.71"/>
    <n v="8.81"/>
    <n v="8.81"/>
    <n v="0.33525345622119818"/>
    <n v="1"/>
  </r>
  <r>
    <x v="20"/>
    <n v="8178.23"/>
    <n v="3027.42"/>
    <n v="5.0199999999999996"/>
    <n v="5.0199999999999996"/>
    <n v="0.3701803446467023"/>
    <n v="1"/>
  </r>
  <r>
    <x v="25"/>
    <n v="10026.24"/>
    <n v="1266.05"/>
    <n v="8.4"/>
    <n v="8.4"/>
    <n v="0.12627365792161369"/>
    <n v="1"/>
  </r>
  <r>
    <x v="13"/>
    <n v="30972"/>
    <n v="3161"/>
    <n v="29"/>
    <n v="29"/>
    <n v="0.10205992509363296"/>
    <n v="1"/>
  </r>
  <r>
    <x v="13"/>
    <n v="25070.5"/>
    <n v="9486.5"/>
    <n v="20.3"/>
    <n v="20.3"/>
    <n v="0.37839293193195189"/>
    <n v="1"/>
  </r>
  <r>
    <x v="15"/>
    <n v="19743.75"/>
    <n v="7020"/>
    <n v="16.25"/>
    <n v="16.25"/>
    <n v="0.35555555555555557"/>
    <n v="1"/>
  </r>
  <r>
    <x v="13"/>
    <n v="11919.25"/>
    <n v="125.47"/>
    <n v="11.34"/>
    <n v="11.34"/>
    <n v="1.0526669043773727E-2"/>
    <n v="1"/>
  </r>
  <r>
    <x v="13"/>
    <n v="19267.599999999999"/>
    <n v="333"/>
    <n v="16.61"/>
    <n v="16.61"/>
    <n v="1.7282899790321576E-2"/>
    <n v="1"/>
  </r>
  <r>
    <x v="15"/>
    <n v="13285.63"/>
    <n v="165.66"/>
    <n v="12.5"/>
    <n v="7.89"/>
    <n v="1.2469111363179616E-2"/>
    <n v="0.63119999999999998"/>
  </r>
  <r>
    <x v="21"/>
    <n v="33669.11"/>
    <n v="16234.32"/>
    <n v="16.920000000000002"/>
    <n v="16.920000000000002"/>
    <n v="0.48217253143905497"/>
    <n v="1"/>
  </r>
  <r>
    <x v="22"/>
    <n v="21367.200000000001"/>
    <n v="2507.34"/>
    <n v="12"/>
    <n v="12"/>
    <n v="0.11734527687296417"/>
    <n v="1"/>
  </r>
  <r>
    <x v="20"/>
    <n v="5998.5"/>
    <n v="916.55"/>
    <n v="4.6500000000000004"/>
    <n v="4.6500000000000004"/>
    <n v="0.15279653246644995"/>
    <n v="1"/>
  </r>
  <r>
    <x v="15"/>
    <n v="5720"/>
    <n v="720.72"/>
    <n v="4.4000000000000004"/>
    <n v="4.4000000000000004"/>
    <n v="0.126"/>
    <n v="1"/>
  </r>
  <r>
    <x v="20"/>
    <n v="15556.62"/>
    <n v="5959.64"/>
    <n v="15.83"/>
    <n v="15.83"/>
    <n v="0.38309349974480317"/>
    <n v="1"/>
  </r>
  <r>
    <x v="22"/>
    <n v="158590.88"/>
    <n v="43160.65"/>
    <n v="63.64"/>
    <n v="63.64"/>
    <n v="0.27215089543610577"/>
    <n v="1"/>
  </r>
  <r>
    <x v="15"/>
    <n v="17253.84"/>
    <n v="746.81"/>
    <n v="21.46"/>
    <n v="21.46"/>
    <n v="4.3283698005777263E-2"/>
    <n v="1"/>
  </r>
  <r>
    <x v="20"/>
    <n v="65158.94"/>
    <n v="4065.47"/>
    <n v="55.14"/>
    <n v="55.14"/>
    <n v="6.2393126714461587E-2"/>
    <n v="1"/>
  </r>
  <r>
    <x v="15"/>
    <n v="15066.81"/>
    <n v="5022.2700000000004"/>
    <n v="8.01"/>
    <n v="8.01"/>
    <n v="0.33333333333333337"/>
    <n v="1"/>
  </r>
  <r>
    <x v="15"/>
    <n v="68764.5"/>
    <n v="7886.55"/>
    <n v="51.8"/>
    <n v="51.8"/>
    <n v="0.11468926553672316"/>
    <n v="1"/>
  </r>
  <r>
    <x v="15"/>
    <n v="17122.919999999998"/>
    <n v="3062.26"/>
    <n v="9.74"/>
    <n v="9.74"/>
    <n v="0.178839824048702"/>
    <n v="1"/>
  </r>
  <r>
    <x v="13"/>
    <n v="20795.39"/>
    <n v="1322.55"/>
    <n v="15.82"/>
    <n v="15.82"/>
    <n v="6.3598230184670743E-2"/>
    <n v="1"/>
  </r>
  <r>
    <x v="20"/>
    <n v="42831.51"/>
    <n v="6201"/>
    <n v="30.97"/>
    <n v="30"/>
    <n v="0.14477659087900471"/>
    <n v="0.96867936712948022"/>
  </r>
  <r>
    <x v="13"/>
    <n v="20014.560000000001"/>
    <n v="3949.78"/>
    <n v="19.68"/>
    <n v="19.670000000000002"/>
    <n v="0.19734533259786874"/>
    <n v="0.99949186991869932"/>
  </r>
  <r>
    <x v="15"/>
    <n v="9589.6299999999992"/>
    <n v="978.6"/>
    <n v="6.87"/>
    <n v="6.87"/>
    <n v="0.10204773281138063"/>
    <n v="1"/>
  </r>
  <r>
    <x v="15"/>
    <n v="10498.29"/>
    <n v="2378.4299999999998"/>
    <n v="6.14"/>
    <n v="6.14"/>
    <n v="0.22655403880060462"/>
    <n v="1"/>
  </r>
  <r>
    <x v="15"/>
    <n v="43642.29"/>
    <n v="4564.6000000000004"/>
    <n v="23.35"/>
    <n v="23.35"/>
    <n v="0.10459121187270422"/>
    <n v="1"/>
  </r>
  <r>
    <x v="22"/>
    <n v="51075.18"/>
    <n v="11194.64"/>
    <n v="26.91"/>
    <n v="26.91"/>
    <n v="0.21917964851029403"/>
    <n v="1"/>
  </r>
  <r>
    <x v="15"/>
    <n v="54206.400000000001"/>
    <n v="14144.64"/>
    <n v="39.28"/>
    <n v="39.28"/>
    <n v="0.26094040556096693"/>
    <n v="1"/>
  </r>
  <r>
    <x v="13"/>
    <n v="70994.28"/>
    <n v="7672.48"/>
    <n v="56.85"/>
    <n v="56.85"/>
    <n v="0.10807180522149108"/>
    <n v="1"/>
  </r>
  <r>
    <x v="15"/>
    <n v="49623.519999999997"/>
    <n v="14872.06"/>
    <n v="37.479999999999997"/>
    <n v="37.479999999999997"/>
    <n v="0.29969780458943662"/>
    <n v="1"/>
  </r>
  <r>
    <x v="15"/>
    <n v="220594.38"/>
    <n v="55916.21"/>
    <n v="94.03"/>
    <n v="94.03"/>
    <n v="0.25347975773453518"/>
    <n v="1"/>
  </r>
  <r>
    <x v="15"/>
    <n v="26965.3"/>
    <n v="11233.28"/>
    <n v="18.82"/>
    <n v="18.809999999999999"/>
    <n v="0.4165827934419421"/>
    <n v="0.99946865037194466"/>
  </r>
  <r>
    <x v="7"/>
    <n v="468270"/>
    <n v="242563.86"/>
    <n v="363"/>
    <n v="363"/>
    <n v="0.51800000000000002"/>
    <n v="1"/>
  </r>
  <r>
    <x v="15"/>
    <n v="35884.800000000003"/>
    <n v="5428.8"/>
    <n v="36"/>
    <n v="36"/>
    <n v="0.15128410914927767"/>
    <n v="1"/>
  </r>
  <r>
    <x v="20"/>
    <n v="66148.289999999994"/>
    <n v="17566.05"/>
    <n v="43.49"/>
    <n v="43.49"/>
    <n v="0.26555561753750551"/>
    <n v="1"/>
  </r>
  <r>
    <x v="25"/>
    <n v="16083.9"/>
    <n v="7398.59"/>
    <n v="11.1"/>
    <n v="11.1"/>
    <n v="0.45999975130409915"/>
    <n v="1"/>
  </r>
  <r>
    <x v="0"/>
    <n v="5930.4"/>
    <n v="4109.32"/>
    <n v="10.59"/>
    <n v="10.59"/>
    <n v="0.69292459193309053"/>
    <n v="1"/>
  </r>
  <r>
    <x v="22"/>
    <n v="26591.46"/>
    <n v="1415"/>
    <n v="13.69"/>
    <n v="13.69"/>
    <n v="5.3212572758321655E-2"/>
    <n v="1"/>
  </r>
  <r>
    <x v="29"/>
    <n v="18893.25"/>
    <n v="6658.65"/>
    <n v="12.15"/>
    <n v="12.15"/>
    <n v="0.35243539359294984"/>
    <n v="1"/>
  </r>
  <r>
    <x v="13"/>
    <n v="41529.599999999999"/>
    <n v="5418.85"/>
    <n v="51.5"/>
    <n v="51.5"/>
    <n v="0.13048163237787025"/>
    <n v="1"/>
  </r>
  <r>
    <x v="13"/>
    <n v="56576.06"/>
    <n v="6425.09"/>
    <n v="71.87"/>
    <n v="41.83"/>
    <n v="0.11356552577185475"/>
    <n v="0.58202309725893964"/>
  </r>
  <r>
    <x v="20"/>
    <n v="23301.05"/>
    <n v="8751.34"/>
    <n v="17.350000000000001"/>
    <n v="17.350000000000001"/>
    <n v="0.37557706626954579"/>
    <n v="1"/>
  </r>
  <r>
    <x v="25"/>
    <n v="35796.199999999997"/>
    <n v="8774.15"/>
    <n v="23.32"/>
    <n v="15"/>
    <n v="0.24511400651465798"/>
    <n v="0.64322469982847341"/>
  </r>
  <r>
    <x v="20"/>
    <n v="39307.199999999997"/>
    <n v="6517.76"/>
    <n v="32"/>
    <n v="32"/>
    <n v="0.16581593194122199"/>
    <n v="1"/>
  </r>
  <r>
    <x v="15"/>
    <n v="6442.8"/>
    <n v="233.86"/>
    <n v="5"/>
    <n v="5"/>
    <n v="3.6297882908052401E-2"/>
    <n v="1"/>
  </r>
  <r>
    <x v="15"/>
    <n v="37935.18"/>
    <n v="14966.21"/>
    <n v="28.87"/>
    <n v="28.87"/>
    <n v="0.39452060066671618"/>
    <n v="1"/>
  </r>
  <r>
    <x v="29"/>
    <n v="6132.24"/>
    <n v="635.94000000000005"/>
    <n v="6.68"/>
    <n v="6.68"/>
    <n v="0.10370435599389458"/>
    <n v="1"/>
  </r>
  <r>
    <x v="13"/>
    <n v="10227.879999999999"/>
    <n v="2035.85"/>
    <n v="15.13"/>
    <n v="15.13"/>
    <n v="0.1990490697974556"/>
    <n v="1"/>
  </r>
  <r>
    <x v="25"/>
    <n v="4000.56"/>
    <n v="2325.2199999999998"/>
    <n v="4.22"/>
    <n v="4.22"/>
    <n v="0.58122362869198307"/>
    <n v="1"/>
  </r>
  <r>
    <x v="20"/>
    <n v="14418.12"/>
    <n v="5737.81"/>
    <n v="9.11"/>
    <n v="9.11"/>
    <n v="0.39795826362937747"/>
    <n v="1"/>
  </r>
  <r>
    <x v="15"/>
    <n v="16907.599999999999"/>
    <n v="6955.68"/>
    <n v="10.75"/>
    <n v="4"/>
    <n v="0.41139369277721266"/>
    <n v="0.37209302325581395"/>
  </r>
  <r>
    <x v="15"/>
    <n v="27445.360000000001"/>
    <n v="12351.81"/>
    <n v="17.45"/>
    <n v="10"/>
    <n v="0.45005093757196113"/>
    <n v="0.57306590257879664"/>
  </r>
  <r>
    <x v="13"/>
    <n v="4148.4799999999996"/>
    <n v="758.39"/>
    <n v="4.63"/>
    <n v="2"/>
    <n v="0.18281153579142242"/>
    <n v="0.43196544276457882"/>
  </r>
  <r>
    <x v="13"/>
    <n v="4533.76"/>
    <n v="332.95"/>
    <n v="5.0599999999999996"/>
    <n v="3"/>
    <n v="7.3437941134952001E-2"/>
    <n v="0.59288537549407117"/>
  </r>
  <r>
    <x v="13"/>
    <n v="11826.17"/>
    <n v="202"/>
    <n v="11.01"/>
    <n v="11.01"/>
    <n v="1.7080762410822778E-2"/>
    <n v="1"/>
  </r>
  <r>
    <x v="15"/>
    <n v="21736.26"/>
    <n v="205"/>
    <n v="13.27"/>
    <n v="13.27"/>
    <n v="9.4312453016296271E-3"/>
    <n v="1"/>
  </r>
  <r>
    <x v="15"/>
    <n v="43410.879999999997"/>
    <n v="19306.939999999999"/>
    <n v="30.78"/>
    <n v="30.78"/>
    <n v="0.44474887401499347"/>
    <n v="1"/>
  </r>
  <r>
    <x v="15"/>
    <n v="32939.5"/>
    <n v="7184.09"/>
    <n v="28.39"/>
    <n v="28.39"/>
    <n v="0.21809954613761592"/>
    <n v="1"/>
  </r>
  <r>
    <x v="23"/>
    <n v="14333"/>
    <n v="1949.75"/>
    <n v="10"/>
    <n v="10"/>
    <n v="0.13603223330775135"/>
    <n v="1"/>
  </r>
  <r>
    <x v="15"/>
    <n v="10013.85"/>
    <n v="2048.29"/>
    <n v="8.5"/>
    <n v="8.5"/>
    <n v="0.20454570419968343"/>
    <n v="1"/>
  </r>
  <r>
    <x v="25"/>
    <n v="8800"/>
    <n v="924"/>
    <n v="11"/>
    <n v="11"/>
    <n v="0.105"/>
    <n v="1"/>
  </r>
  <r>
    <x v="13"/>
    <n v="10650"/>
    <n v="1187.5"/>
    <n v="6.4"/>
    <n v="12.5"/>
    <n v="0.11150234741784038"/>
    <n v="1.953125"/>
  </r>
  <r>
    <x v="13"/>
    <n v="7122.45"/>
    <n v="1350.42"/>
    <n v="6.18"/>
    <n v="6.18"/>
    <n v="0.18960048859591855"/>
    <n v="1"/>
  </r>
  <r>
    <x v="34"/>
    <n v="42055.199999999997"/>
    <n v="15747.34"/>
    <n v="10.62"/>
    <n v="10.62"/>
    <n v="0.37444453955753393"/>
    <n v="1"/>
  </r>
  <r>
    <x v="20"/>
    <n v="23704.74"/>
    <n v="10597.46"/>
    <n v="14.22"/>
    <n v="14.22"/>
    <n v="0.44706079881070193"/>
    <n v="1"/>
  </r>
  <r>
    <x v="20"/>
    <n v="18127.75"/>
    <n v="6378.44"/>
    <n v="16.739999999999998"/>
    <n v="16.739999999999998"/>
    <n v="0.35186054529657568"/>
    <n v="1"/>
  </r>
  <r>
    <x v="13"/>
    <n v="6810"/>
    <n v="749.5"/>
    <n v="6"/>
    <n v="6"/>
    <n v="0.11005873715124817"/>
    <n v="1"/>
  </r>
  <r>
    <x v="22"/>
    <n v="62912"/>
    <n v="1744.36"/>
    <n v="32"/>
    <n v="32"/>
    <n v="2.7726983723296031E-2"/>
    <n v="1"/>
  </r>
  <r>
    <x v="15"/>
    <n v="8300"/>
    <n v="1750.2"/>
    <n v="5"/>
    <n v="5"/>
    <n v="0.21086746987951807"/>
    <n v="1"/>
  </r>
  <r>
    <x v="22"/>
    <n v="42129.35"/>
    <n v="2466.61"/>
    <n v="25.01"/>
    <n v="25"/>
    <n v="5.854849410209273E-2"/>
    <n v="0.99960015993602558"/>
  </r>
  <r>
    <x v="25"/>
    <n v="2249.52"/>
    <n v="368.74"/>
    <n v="2.06"/>
    <n v="2.06"/>
    <n v="0.16391941391941392"/>
    <n v="1"/>
  </r>
  <r>
    <x v="20"/>
    <n v="19755.060000000001"/>
    <n v="1720.6"/>
    <n v="14.82"/>
    <n v="14.82"/>
    <n v="8.7096672953663509E-2"/>
    <n v="1"/>
  </r>
  <r>
    <x v="13"/>
    <n v="16558.52"/>
    <n v="2086.23"/>
    <n v="16.21"/>
    <n v="16.21"/>
    <n v="0.12599133255870693"/>
    <n v="1"/>
  </r>
  <r>
    <x v="22"/>
    <n v="74141.460000000006"/>
    <n v="5129.33"/>
    <n v="30.9"/>
    <n v="30.9"/>
    <n v="6.9183018516225603E-2"/>
    <n v="1"/>
  </r>
  <r>
    <x v="9"/>
    <n v="7245"/>
    <n v="4425.75"/>
    <n v="12.6"/>
    <n v="12.6"/>
    <n v="0.61086956521739133"/>
    <n v="1"/>
  </r>
  <r>
    <x v="20"/>
    <n v="32162.720000000001"/>
    <n v="14814.04"/>
    <n v="17.899999999999999"/>
    <n v="17.899999999999999"/>
    <n v="0.46059661620658948"/>
    <n v="1"/>
  </r>
  <r>
    <x v="15"/>
    <n v="32566.39"/>
    <n v="6811.92"/>
    <n v="25.19"/>
    <n v="25.18"/>
    <n v="0.20917025190695071"/>
    <n v="0.99960301707026589"/>
  </r>
  <r>
    <x v="13"/>
    <n v="25716.06"/>
    <n v="5825.08"/>
    <n v="21.13"/>
    <n v="21.13"/>
    <n v="0.2265152593359947"/>
    <n v="1"/>
  </r>
  <r>
    <x v="40"/>
    <n v="11000"/>
    <n v="2013"/>
    <n v="5.5"/>
    <n v="5.5"/>
    <n v="0.183"/>
    <n v="1"/>
  </r>
  <r>
    <x v="40"/>
    <n v="41829.21"/>
    <n v="16146.77"/>
    <n v="22.85"/>
    <n v="22.85"/>
    <n v="0.38601661374910023"/>
    <n v="1"/>
  </r>
  <r>
    <x v="15"/>
    <n v="10196.44"/>
    <n v="2544.1"/>
    <n v="5.57"/>
    <n v="5.57"/>
    <n v="0.2495086520393392"/>
    <n v="1"/>
  </r>
  <r>
    <x v="20"/>
    <n v="18267.689999999999"/>
    <n v="1.25"/>
    <n v="17.850000000000001"/>
    <n v="17.850000000000001"/>
    <n v="6.8426823533791086E-5"/>
    <n v="1"/>
  </r>
  <r>
    <x v="21"/>
    <n v="23712"/>
    <n v="2222.4"/>
    <n v="12"/>
    <n v="12"/>
    <n v="9.3724696356275311E-2"/>
    <n v="1"/>
  </r>
  <r>
    <x v="15"/>
    <n v="31060.04"/>
    <n v="131.52000000000001"/>
    <n v="19.34"/>
    <n v="19.34"/>
    <n v="4.2343796080108074E-3"/>
    <n v="1"/>
  </r>
  <r>
    <x v="20"/>
    <n v="43438.080000000002"/>
    <n v="4959.18"/>
    <n v="35.840000000000003"/>
    <n v="35.840000000000003"/>
    <n v="0.1141666482496464"/>
    <n v="1"/>
  </r>
  <r>
    <x v="15"/>
    <n v="8777.9581999999991"/>
    <n v="1062.08"/>
    <n v="5.63"/>
    <n v="5.63"/>
    <n v="0.12099396873409582"/>
    <n v="1"/>
  </r>
  <r>
    <x v="13"/>
    <n v="65103.02"/>
    <n v="12811.04"/>
    <n v="60.61"/>
    <n v="60.61"/>
    <n v="0.19678104026510601"/>
    <n v="1"/>
  </r>
  <r>
    <x v="15"/>
    <n v="38075.58"/>
    <n v="4892.8"/>
    <n v="27.05"/>
    <n v="27.05"/>
    <n v="0.12850231040472659"/>
    <n v="1"/>
  </r>
  <r>
    <x v="29"/>
    <n v="9717.2999999999993"/>
    <n v="1760.27"/>
    <n v="8.85"/>
    <n v="8.85"/>
    <n v="0.18114805552982827"/>
    <n v="1"/>
  </r>
  <r>
    <x v="15"/>
    <n v="10794.82"/>
    <n v="3221.04"/>
    <n v="7.57"/>
    <n v="7.57"/>
    <n v="0.29838755995931382"/>
    <n v="1"/>
  </r>
  <r>
    <x v="15"/>
    <n v="7888"/>
    <n v="887.4"/>
    <n v="4.93"/>
    <n v="4.93"/>
    <n v="0.1125"/>
    <n v="1"/>
  </r>
  <r>
    <x v="13"/>
    <n v="6136.52"/>
    <n v="1651.77"/>
    <n v="6.93"/>
    <n v="6.93"/>
    <n v="0.26917047447087272"/>
    <n v="1"/>
  </r>
  <r>
    <x v="40"/>
    <n v="13820.68"/>
    <n v="3304.69"/>
    <n v="7.94"/>
    <n v="7.94"/>
    <n v="0.2391119684414949"/>
    <n v="1"/>
  </r>
  <r>
    <x v="15"/>
    <n v="6865.24"/>
    <n v="1219.96"/>
    <n v="3.78"/>
    <n v="3.78"/>
    <n v="0.17770099807144399"/>
    <n v="1"/>
  </r>
  <r>
    <x v="25"/>
    <n v="21910"/>
    <n v="5635.83"/>
    <n v="20"/>
    <n v="20"/>
    <n v="0.25722638064810588"/>
    <n v="1"/>
  </r>
  <r>
    <x v="15"/>
    <n v="18006.400000000001"/>
    <n v="1031.5"/>
    <n v="9.6999999999999993"/>
    <n v="9.6999999999999993"/>
    <n v="5.728518748889283E-2"/>
    <n v="1"/>
  </r>
  <r>
    <x v="20"/>
    <n v="15075.36"/>
    <n v="4195.49"/>
    <n v="11.6"/>
    <n v="11.6"/>
    <n v="0.27830114836395281"/>
    <n v="1"/>
  </r>
  <r>
    <x v="23"/>
    <n v="21522.62"/>
    <n v="6346.99"/>
    <n v="17.940000000000001"/>
    <n v="17.940000000000001"/>
    <n v="0.29489857647442552"/>
    <n v="1"/>
  </r>
  <r>
    <x v="20"/>
    <n v="9000"/>
    <n v="7980"/>
    <n v="6"/>
    <n v="6"/>
    <n v="0.88666666666666671"/>
    <n v="1"/>
  </r>
  <r>
    <x v="15"/>
    <n v="4451.43"/>
    <n v="1141.79"/>
    <n v="3.37"/>
    <n v="3.37"/>
    <n v="0.25649959675879436"/>
    <n v="1"/>
  </r>
  <r>
    <x v="22"/>
    <n v="32987.79"/>
    <n v="12932.5"/>
    <n v="23.47"/>
    <n v="23.47"/>
    <n v="0.39203899382165341"/>
    <n v="1"/>
  </r>
  <r>
    <x v="15"/>
    <n v="37077.4"/>
    <n v="9287.36"/>
    <n v="38.64"/>
    <n v="38.64"/>
    <n v="0.25048574063985068"/>
    <n v="1"/>
  </r>
  <r>
    <x v="13"/>
    <n v="23709.15"/>
    <n v="3542.98"/>
    <n v="35.25"/>
    <n v="35.25"/>
    <n v="0.14943513369311004"/>
    <n v="1"/>
  </r>
  <r>
    <x v="25"/>
    <n v="33695.5"/>
    <n v="8130.87"/>
    <n v="32.17"/>
    <n v="32.17"/>
    <n v="0.24130432847116084"/>
    <n v="1"/>
  </r>
  <r>
    <x v="15"/>
    <n v="37768.18"/>
    <n v="13760.72"/>
    <n v="29.72"/>
    <n v="29.72"/>
    <n v="0.36434691849064477"/>
    <n v="1"/>
  </r>
  <r>
    <x v="13"/>
    <n v="29840"/>
    <n v="11422.75"/>
    <n v="29.84"/>
    <n v="29.84"/>
    <n v="0.38279993297587134"/>
    <n v="1"/>
  </r>
  <r>
    <x v="20"/>
    <n v="54745.54"/>
    <n v="21280.12"/>
    <n v="34.97"/>
    <n v="34.97"/>
    <n v="0.38870965561760829"/>
    <n v="1"/>
  </r>
  <r>
    <x v="20"/>
    <n v="11952.71"/>
    <n v="4575.53"/>
    <n v="13.3"/>
    <n v="13.3"/>
    <n v="0.38280272841891089"/>
    <n v="1"/>
  </r>
  <r>
    <x v="29"/>
    <n v="7440"/>
    <n v="206.04"/>
    <n v="7.44"/>
    <n v="7.43"/>
    <n v="2.7693548387096773E-2"/>
    <n v="0.99865591397849451"/>
  </r>
  <r>
    <x v="15"/>
    <n v="2713.2"/>
    <n v="918.75"/>
    <n v="3.23"/>
    <n v="3.23"/>
    <n v="0.33862229102167185"/>
    <n v="1"/>
  </r>
  <r>
    <x v="13"/>
    <n v="31865.279999999999"/>
    <n v="15136.01"/>
    <n v="34.94"/>
    <n v="34.94"/>
    <n v="0.47500006276423745"/>
    <n v="1"/>
  </r>
  <r>
    <x v="15"/>
    <n v="48051.09"/>
    <n v="20294.57"/>
    <n v="26"/>
    <n v="26"/>
    <n v="0.42235399862937556"/>
    <n v="1"/>
  </r>
  <r>
    <x v="20"/>
    <n v="46912.5"/>
    <n v="9701.51"/>
    <n v="37.53"/>
    <n v="37.53"/>
    <n v="0.20680010658140155"/>
    <n v="1"/>
  </r>
  <r>
    <x v="13"/>
    <n v="66643.08"/>
    <n v="18625.509999999998"/>
    <n v="65.709999999999994"/>
    <n v="65.709999999999994"/>
    <n v="0.27948153056551406"/>
    <n v="1"/>
  </r>
  <r>
    <x v="13"/>
    <n v="5301.5"/>
    <n v="1429.1"/>
    <n v="5"/>
    <n v="5"/>
    <n v="0.26956521739130435"/>
    <n v="1"/>
  </r>
  <r>
    <x v="29"/>
    <n v="12420"/>
    <n v="1217.1600000000001"/>
    <n v="12.42"/>
    <n v="12.42"/>
    <n v="9.8000000000000004E-2"/>
    <n v="1"/>
  </r>
  <r>
    <x v="20"/>
    <n v="13130"/>
    <n v="959.5"/>
    <n v="10"/>
    <n v="10"/>
    <n v="7.3076923076923081E-2"/>
    <n v="1"/>
  </r>
  <r>
    <x v="20"/>
    <n v="49459"/>
    <n v="3829.95"/>
    <n v="39.340000000000003"/>
    <n v="39.340000000000003"/>
    <n v="7.7436866899856446E-2"/>
    <n v="1"/>
  </r>
  <r>
    <x v="13"/>
    <n v="33680.92"/>
    <n v="8897.49"/>
    <n v="38.96"/>
    <n v="38.96"/>
    <n v="0.26417004048582998"/>
    <n v="1"/>
  </r>
  <r>
    <x v="13"/>
    <n v="13824"/>
    <n v="1408"/>
    <n v="16"/>
    <n v="16"/>
    <n v="0.10185185185185185"/>
    <n v="1"/>
  </r>
  <r>
    <x v="13"/>
    <n v="32556.240000000002"/>
    <n v="6969.56"/>
    <n v="35.119999999999997"/>
    <n v="35.119999999999997"/>
    <n v="0.21407754703860152"/>
    <n v="1"/>
  </r>
  <r>
    <x v="25"/>
    <n v="4979.04"/>
    <n v="1929.62"/>
    <n v="4.92"/>
    <n v="4.92"/>
    <n v="0.38754860374690703"/>
    <n v="1"/>
  </r>
  <r>
    <x v="20"/>
    <n v="10582"/>
    <n v="2603.6999999999998"/>
    <n v="11"/>
    <n v="11"/>
    <n v="0.24604989604989602"/>
    <n v="1"/>
  </r>
  <r>
    <x v="13"/>
    <n v="49234.8"/>
    <n v="6868.9"/>
    <n v="40"/>
    <n v="40"/>
    <n v="0.13951310861423219"/>
    <n v="1"/>
  </r>
  <r>
    <x v="15"/>
    <n v="12117"/>
    <n v="637.35"/>
    <n v="14"/>
    <n v="14"/>
    <n v="5.2599653379549395E-2"/>
    <n v="1"/>
  </r>
  <r>
    <x v="22"/>
    <n v="77657.84"/>
    <n v="39933.040000000001"/>
    <n v="33.56"/>
    <n v="33.56"/>
    <n v="0.51421775315924323"/>
    <n v="1"/>
  </r>
  <r>
    <x v="21"/>
    <n v="28464"/>
    <n v="3352.8"/>
    <n v="16"/>
    <n v="16"/>
    <n v="0.11779089376053964"/>
    <n v="1"/>
  </r>
  <r>
    <x v="20"/>
    <n v="3693.42"/>
    <n v="601.09"/>
    <n v="4.26"/>
    <n v="4.26"/>
    <n v="0.16274618104629315"/>
    <n v="1"/>
  </r>
  <r>
    <x v="13"/>
    <n v="24920.06"/>
    <n v="4929.12"/>
    <n v="19.96"/>
    <n v="19.96"/>
    <n v="0.19779727657156523"/>
    <n v="1"/>
  </r>
  <r>
    <x v="29"/>
    <n v="31401.11"/>
    <n v="9474.2099999999991"/>
    <n v="57.01"/>
    <n v="57.01"/>
    <n v="0.30171576737255462"/>
    <n v="1"/>
  </r>
  <r>
    <x v="13"/>
    <n v="53242.1"/>
    <n v="6646.89"/>
    <n v="88.12"/>
    <n v="88.12"/>
    <n v="0.12484274662344273"/>
    <n v="1"/>
  </r>
  <r>
    <x v="13"/>
    <n v="40952.839999999997"/>
    <n v="5004.33"/>
    <n v="52.47"/>
    <n v="52.47"/>
    <n v="0.12219738606650968"/>
    <n v="1"/>
  </r>
  <r>
    <x v="20"/>
    <n v="9100.44"/>
    <n v="7343.16"/>
    <n v="6.8"/>
    <n v="6.8"/>
    <n v="0.8069016443160989"/>
    <n v="1"/>
  </r>
  <r>
    <x v="25"/>
    <n v="34129.800000000003"/>
    <n v="17173.439999999999"/>
    <n v="33.5"/>
    <n v="33.799999999999997"/>
    <n v="0.50318021201413421"/>
    <n v="1.008955223880597"/>
  </r>
  <r>
    <x v="13"/>
    <n v="16450"/>
    <n v="2714.25"/>
    <n v="23.5"/>
    <n v="23.5"/>
    <n v="0.16500000000000001"/>
    <n v="1"/>
  </r>
  <r>
    <x v="15"/>
    <n v="11708.64"/>
    <n v="5638.43"/>
    <n v="7.54"/>
    <n v="7.55"/>
    <n v="0.48156147938616273"/>
    <n v="1.0013262599469497"/>
  </r>
  <r>
    <x v="15"/>
    <n v="3501"/>
    <n v="2141.85"/>
    <n v="1.25"/>
    <n v="1.25"/>
    <n v="0.61178234790059982"/>
    <n v="1"/>
  </r>
  <r>
    <x v="25"/>
    <n v="45368.19"/>
    <n v="8166.27"/>
    <n v="31.31"/>
    <n v="31.31"/>
    <n v="0.1799999074241225"/>
    <n v="1"/>
  </r>
  <r>
    <x v="15"/>
    <n v="30981.599999999999"/>
    <n v="10037.24"/>
    <n v="19.86"/>
    <n v="19.66"/>
    <n v="0.32397422986546853"/>
    <n v="0.98992950654582079"/>
  </r>
  <r>
    <x v="20"/>
    <n v="50085"/>
    <n v="32555.25"/>
    <n v="47.7"/>
    <n v="47.7"/>
    <n v="0.65"/>
    <n v="1"/>
  </r>
  <r>
    <x v="15"/>
    <n v="7605"/>
    <n v="3609.24"/>
    <n v="5.07"/>
    <n v="5.03"/>
    <n v="0.47458777120315582"/>
    <n v="0.99211045364891515"/>
  </r>
  <r>
    <x v="13"/>
    <n v="4222.37"/>
    <n v="1330.13"/>
    <n v="3.62"/>
    <n v="3.62"/>
    <n v="0.3150197637819519"/>
    <n v="1"/>
  </r>
  <r>
    <x v="15"/>
    <n v="49536.82"/>
    <n v="13666.13"/>
    <n v="26.53"/>
    <n v="26.53"/>
    <n v="0.27587822553001989"/>
    <n v="1"/>
  </r>
  <r>
    <x v="15"/>
    <n v="33810"/>
    <n v="4499.63"/>
    <n v="28"/>
    <n v="24"/>
    <n v="0.13308577343981071"/>
    <n v="0.8571428571428571"/>
  </r>
  <r>
    <x v="13"/>
    <n v="32270"/>
    <n v="9220"/>
    <n v="25"/>
    <n v="25"/>
    <n v="0.2857142857142857"/>
    <n v="1"/>
  </r>
  <r>
    <x v="25"/>
    <n v="8842.08"/>
    <n v="701.69"/>
    <n v="10.14"/>
    <n v="10.14"/>
    <n v="7.9358024356260076E-2"/>
    <n v="1"/>
  </r>
  <r>
    <x v="15"/>
    <n v="56000"/>
    <n v="10300"/>
    <n v="50"/>
    <n v="50"/>
    <n v="0.18392857142857144"/>
    <n v="1"/>
  </r>
  <r>
    <x v="25"/>
    <n v="83880"/>
    <n v="26784"/>
    <n v="90"/>
    <n v="90"/>
    <n v="0.31931330472103003"/>
    <n v="1"/>
  </r>
  <r>
    <x v="15"/>
    <n v="59010"/>
    <n v="12572.7"/>
    <n v="35"/>
    <n v="35"/>
    <n v="0.21306049822064058"/>
    <n v="1"/>
  </r>
  <r>
    <x v="13"/>
    <n v="6746.44"/>
    <n v="3285.09"/>
    <n v="7.43"/>
    <n v="10.93"/>
    <n v="0.48693681408268663"/>
    <n v="1.471063257065949"/>
  </r>
  <r>
    <x v="15"/>
    <n v="107095.7"/>
    <n v="41767.32"/>
    <n v="59.83"/>
    <n v="59.84"/>
    <n v="0.38999997198767083"/>
    <n v="1.0001671402306536"/>
  </r>
  <r>
    <x v="20"/>
    <n v="12383.61"/>
    <n v="1648.07"/>
    <n v="12.2"/>
    <n v="12.2"/>
    <n v="0.13308477899417051"/>
    <n v="1"/>
  </r>
  <r>
    <x v="15"/>
    <n v="9168.9500000000007"/>
    <n v="5072.49"/>
    <n v="11.39"/>
    <n v="11.39"/>
    <n v="0.55322474220057904"/>
    <n v="1"/>
  </r>
  <r>
    <x v="15"/>
    <n v="30700.79"/>
    <n v="721.32"/>
    <n v="19.07"/>
    <n v="18"/>
    <n v="2.3495160873710418E-2"/>
    <n v="0.94389092815941267"/>
  </r>
  <r>
    <x v="25"/>
    <n v="34533.31"/>
    <n v="5511.31"/>
    <n v="30.78"/>
    <n v="30.78"/>
    <n v="0.1595940267527208"/>
    <n v="1"/>
  </r>
  <r>
    <x v="13"/>
    <n v="7322.16"/>
    <n v="1534.05"/>
    <n v="11.03"/>
    <n v="11.03"/>
    <n v="0.20950785014258089"/>
    <n v="1"/>
  </r>
  <r>
    <x v="27"/>
    <n v="4864"/>
    <n v="1945.6"/>
    <n v="7.6"/>
    <n v="7.6"/>
    <n v="0.39999999999999997"/>
    <n v="1"/>
  </r>
  <r>
    <x v="20"/>
    <n v="95407.44"/>
    <n v="36360.86"/>
    <n v="58.32"/>
    <n v="58.31"/>
    <n v="0.38111136825388042"/>
    <n v="0.9998285322359397"/>
  </r>
  <r>
    <x v="15"/>
    <n v="25026.52"/>
    <n v="6037.72"/>
    <n v="14.63"/>
    <n v="14.62"/>
    <n v="0.24125287894601408"/>
    <n v="0.99931647300068338"/>
  </r>
  <r>
    <x v="25"/>
    <n v="19368"/>
    <n v="1856.1"/>
    <n v="16.14"/>
    <n v="16.14"/>
    <n v="9.5833333333333326E-2"/>
    <n v="1"/>
  </r>
  <r>
    <x v="15"/>
    <n v="90564.4"/>
    <n v="8631.5400000000009"/>
    <n v="60.7"/>
    <n v="60.7"/>
    <n v="9.5308310991957121E-2"/>
    <n v="1"/>
  </r>
  <r>
    <x v="13"/>
    <n v="49816.800000000003"/>
    <n v="1868.13"/>
    <n v="31.45"/>
    <n v="31.45"/>
    <n v="3.7499999999999999E-2"/>
    <n v="1"/>
  </r>
  <r>
    <x v="22"/>
    <n v="29845.5"/>
    <n v="9.58"/>
    <n v="21.29"/>
    <n v="21.29"/>
    <n v="3.2098641336214838E-4"/>
    <n v="1"/>
  </r>
  <r>
    <x v="13"/>
    <n v="57102.5"/>
    <n v="2600.3000000000002"/>
    <n v="65.260000000000005"/>
    <n v="52.32"/>
    <n v="4.5537410796374946E-2"/>
    <n v="0.80171621207477772"/>
  </r>
  <r>
    <x v="15"/>
    <n v="1711.2"/>
    <n v="2367.04"/>
    <n v="22.32"/>
    <n v="22.32"/>
    <n v="1.3832632071061244"/>
    <n v="1"/>
  </r>
  <r>
    <x v="14"/>
    <n v="26067.09"/>
    <n v="3018.38"/>
    <n v="25.18"/>
    <n v="25.11"/>
    <n v="0.11579274863438919"/>
    <n v="0.99722001588562348"/>
  </r>
  <r>
    <x v="20"/>
    <n v="22321.599999999999"/>
    <n v="4752.51"/>
    <n v="19.93"/>
    <n v="19.93"/>
    <n v="0.21291081284495739"/>
    <n v="1"/>
  </r>
  <r>
    <x v="13"/>
    <n v="11847.7"/>
    <n v="1233.18"/>
    <n v="10"/>
    <n v="10"/>
    <n v="0.10408602513568034"/>
    <n v="1"/>
  </r>
  <r>
    <x v="25"/>
    <n v="13840"/>
    <n v="3756.04"/>
    <n v="10"/>
    <n v="10"/>
    <n v="0.27139017341040461"/>
    <n v="1"/>
  </r>
  <r>
    <x v="15"/>
    <n v="10607.4"/>
    <n v="3381.02"/>
    <n v="7.1"/>
    <n v="7.1"/>
    <n v="0.31874163319946452"/>
    <n v="1"/>
  </r>
  <r>
    <x v="13"/>
    <n v="69796.5"/>
    <n v="1030.75"/>
    <n v="58.9"/>
    <n v="58.9"/>
    <n v="1.4767932489451477E-2"/>
    <n v="1"/>
  </r>
  <r>
    <x v="25"/>
    <n v="8723.44"/>
    <n v="3020.22"/>
    <n v="7.66"/>
    <n v="7.66"/>
    <n v="0.34621892281026745"/>
    <n v="1"/>
  </r>
  <r>
    <x v="15"/>
    <n v="161986"/>
    <n v="78047.8"/>
    <n v="73.63"/>
    <n v="73.63"/>
    <n v="0.48181818181818181"/>
    <n v="1"/>
  </r>
  <r>
    <x v="13"/>
    <n v="38315.839999999997"/>
    <n v="6206.59"/>
    <n v="31.89"/>
    <n v="31.89"/>
    <n v="0.16198496496488138"/>
    <n v="1"/>
  </r>
  <r>
    <x v="22"/>
    <n v="32340"/>
    <n v="9757.44"/>
    <n v="30.8"/>
    <n v="30.8"/>
    <n v="0.30171428571428571"/>
    <n v="1"/>
  </r>
  <r>
    <x v="15"/>
    <n v="10726.4"/>
    <n v="2284.8000000000002"/>
    <n v="5.12"/>
    <n v="5.12"/>
    <n v="0.21300715990453464"/>
    <n v="1"/>
  </r>
  <r>
    <x v="20"/>
    <n v="28652.3"/>
    <n v="7159.46"/>
    <n v="18.100000000000001"/>
    <n v="10.18"/>
    <n v="0.24987383211818948"/>
    <n v="0.56243093922651932"/>
  </r>
  <r>
    <x v="13"/>
    <n v="10496.97"/>
    <n v="819.43"/>
    <n v="9.2200000000000006"/>
    <n v="9.2200000000000006"/>
    <n v="7.8063479270684785E-2"/>
    <n v="1"/>
  </r>
  <r>
    <x v="13"/>
    <n v="7548"/>
    <n v="754.8"/>
    <n v="6.8"/>
    <n v="6.8"/>
    <n v="9.9999999999999992E-2"/>
    <n v="1"/>
  </r>
  <r>
    <x v="29"/>
    <n v="1179.75"/>
    <n v="67.569999999999993"/>
    <n v="1.3"/>
    <n v="1.3"/>
    <n v="5.7274846365755451E-2"/>
    <n v="1"/>
  </r>
  <r>
    <x v="15"/>
    <n v="32433.279999999999"/>
    <n v="2228.6999999999998"/>
    <n v="21.68"/>
    <n v="36.86"/>
    <n v="6.8716454209996641E-2"/>
    <n v="1.7001845018450183"/>
  </r>
  <r>
    <x v="25"/>
    <n v="38061.75"/>
    <n v="1463.65"/>
    <n v="36.86"/>
    <n v="36.86"/>
    <n v="3.8454616511326992E-2"/>
    <n v="1"/>
  </r>
  <r>
    <x v="13"/>
    <n v="77056.2"/>
    <n v="18340.53"/>
    <n v="48.1"/>
    <n v="48.1"/>
    <n v="0.23801498127340823"/>
    <n v="1"/>
  </r>
  <r>
    <x v="25"/>
    <n v="76618.559999999998"/>
    <n v="12349.33"/>
    <n v="49.54"/>
    <n v="49.54"/>
    <n v="0.16117935393199767"/>
    <n v="1"/>
  </r>
  <r>
    <x v="20"/>
    <n v="20160"/>
    <n v="1174.5"/>
    <n v="16.8"/>
    <n v="13"/>
    <n v="5.8258928571428573E-2"/>
    <n v="0.77380952380952372"/>
  </r>
  <r>
    <x v="15"/>
    <n v="5780.22"/>
    <n v="650.77"/>
    <n v="6.19"/>
    <n v="6.19"/>
    <n v="0.11258568012982204"/>
    <n v="1"/>
  </r>
  <r>
    <x v="15"/>
    <n v="12949.74"/>
    <n v="4695.17"/>
    <n v="7.35"/>
    <n v="7.35"/>
    <n v="0.36256866933235726"/>
    <n v="1"/>
  </r>
  <r>
    <x v="13"/>
    <n v="27676.14"/>
    <n v="12284.11"/>
    <n v="19.829999999999998"/>
    <n v="19.829999999999998"/>
    <n v="0.44385199670185221"/>
    <n v="1"/>
  </r>
  <r>
    <x v="15"/>
    <n v="95054.399999999994"/>
    <n v="13028.4"/>
    <n v="56"/>
    <n v="56"/>
    <n v="0.13706256627783669"/>
    <n v="1"/>
  </r>
  <r>
    <x v="25"/>
    <n v="14175"/>
    <n v="4278.75"/>
    <n v="15"/>
    <n v="15"/>
    <n v="0.30185185185185187"/>
    <n v="1"/>
  </r>
  <r>
    <x v="40"/>
    <n v="40723.199999999997"/>
    <n v="19644.66"/>
    <n v="32"/>
    <n v="32"/>
    <n v="0.48239480198019807"/>
    <n v="1"/>
  </r>
  <r>
    <x v="15"/>
    <n v="7226.6"/>
    <n v="3486.18"/>
    <n v="4.74"/>
    <n v="4.74"/>
    <n v="0.48240943182132673"/>
    <n v="1"/>
  </r>
  <r>
    <x v="15"/>
    <n v="25013.48"/>
    <n v="4626.66"/>
    <n v="15.04"/>
    <n v="15.04"/>
    <n v="0.18496666597370698"/>
    <n v="1"/>
  </r>
  <r>
    <x v="25"/>
    <n v="16604.560000000001"/>
    <n v="916.59"/>
    <n v="16.63"/>
    <n v="16.63"/>
    <n v="5.5201101384198072E-2"/>
    <n v="1"/>
  </r>
  <r>
    <x v="27"/>
    <n v="14839.87"/>
    <n v="4496.3900000000003"/>
    <n v="19.53"/>
    <n v="19.53"/>
    <n v="0.30299389415136385"/>
    <n v="1"/>
  </r>
  <r>
    <x v="15"/>
    <n v="54689.599999999999"/>
    <n v="5750.27"/>
    <n v="26.6"/>
    <n v="26.6"/>
    <n v="0.1051437567654545"/>
    <n v="1"/>
  </r>
  <r>
    <x v="22"/>
    <n v="19222.97"/>
    <n v="295.45999999999998"/>
    <n v="11.19"/>
    <n v="11.18"/>
    <n v="1.537015351946135E-2"/>
    <n v="0.99910634495084905"/>
  </r>
  <r>
    <x v="29"/>
    <n v="13243.99"/>
    <n v="5845.34"/>
    <n v="13.74"/>
    <n v="13.74"/>
    <n v="0.44135792914370975"/>
    <n v="1"/>
  </r>
  <r>
    <x v="25"/>
    <n v="8417.52"/>
    <n v="4136.0200000000004"/>
    <n v="8.66"/>
    <n v="8.66"/>
    <n v="0.49135849989070418"/>
    <n v="1"/>
  </r>
  <r>
    <x v="13"/>
    <n v="4691.7"/>
    <n v="1678.19"/>
    <n v="4.01"/>
    <n v="4.01"/>
    <n v="0.35769337340409663"/>
    <n v="1"/>
  </r>
  <r>
    <x v="15"/>
    <n v="4112.3999999999996"/>
    <n v="1966.8"/>
    <n v="2.98"/>
    <n v="2.98"/>
    <n v="0.47826086956521741"/>
    <n v="1"/>
  </r>
  <r>
    <x v="15"/>
    <n v="22248"/>
    <n v="711.6"/>
    <n v="20"/>
    <n v="20"/>
    <n v="3.1984897518878105E-2"/>
    <n v="1"/>
  </r>
  <r>
    <x v="22"/>
    <n v="58803.8"/>
    <n v="15842.38"/>
    <n v="31.65"/>
    <n v="31.65"/>
    <n v="0.26941082038915848"/>
    <n v="1"/>
  </r>
  <r>
    <x v="15"/>
    <n v="10137.200000000001"/>
    <n v="1489.86"/>
    <n v="9.5399999999999991"/>
    <n v="9.5399999999999991"/>
    <n v="0.14696957739809807"/>
    <n v="1"/>
  </r>
  <r>
    <x v="25"/>
    <n v="30924.38"/>
    <n v="5909.47"/>
    <n v="24.59"/>
    <n v="24.59"/>
    <n v="0.19109421110463654"/>
    <n v="1"/>
  </r>
  <r>
    <x v="15"/>
    <n v="63698.04"/>
    <n v="16964.48"/>
    <n v="36.11"/>
    <n v="36.11"/>
    <n v="0.26632656201038524"/>
    <n v="1"/>
  </r>
  <r>
    <x v="13"/>
    <n v="41440"/>
    <n v="105"/>
    <n v="40"/>
    <n v="27.9"/>
    <n v="2.5337837837837839E-3"/>
    <n v="0.69750000000000001"/>
  </r>
  <r>
    <x v="25"/>
    <n v="9324"/>
    <n v="1449"/>
    <n v="7"/>
    <n v="7"/>
    <n v="0.1554054054054054"/>
    <n v="1"/>
  </r>
  <r>
    <x v="13"/>
    <n v="22842.560000000001"/>
    <n v="4240.1499999999996"/>
    <n v="37.57"/>
    <n v="37.56"/>
    <n v="0.18562499124441392"/>
    <n v="0.99973383018365725"/>
  </r>
  <r>
    <x v="13"/>
    <n v="27660"/>
    <n v="4071.55"/>
    <n v="24"/>
    <n v="24"/>
    <n v="0.14719992769342011"/>
    <n v="1"/>
  </r>
  <r>
    <x v="20"/>
    <n v="32598.06"/>
    <n v="2182.79"/>
    <n v="24.77"/>
    <n v="24.77"/>
    <n v="6.696073324608888E-2"/>
    <n v="1"/>
  </r>
  <r>
    <x v="15"/>
    <n v="25190.2"/>
    <n v="2883.62"/>
    <n v="18.940000000000001"/>
    <n v="18.940000000000001"/>
    <n v="0.11447388270041524"/>
    <n v="1"/>
  </r>
  <r>
    <x v="25"/>
    <n v="49473.5"/>
    <n v="7568.71"/>
    <n v="44.59"/>
    <n v="44.59"/>
    <n v="0.15298513345528414"/>
    <n v="1"/>
  </r>
  <r>
    <x v="15"/>
    <n v="13981.84"/>
    <n v="971.79"/>
    <n v="7.87"/>
    <n v="7.87"/>
    <n v="6.9503727692492551E-2"/>
    <n v="1"/>
  </r>
  <r>
    <x v="15"/>
    <n v="3299.67"/>
    <n v="263.60000000000002"/>
    <n v="2.42"/>
    <n v="2.42"/>
    <n v="7.9886776556443523E-2"/>
    <n v="1"/>
  </r>
  <r>
    <x v="15"/>
    <n v="9466.4699999999993"/>
    <n v="4331.28"/>
    <n v="8.99"/>
    <n v="8.9"/>
    <n v="0.45753908267812604"/>
    <n v="0.9899888765294772"/>
  </r>
  <r>
    <x v="22"/>
    <n v="5977.92"/>
    <n v="2625.3"/>
    <n v="4.79"/>
    <n v="4.78"/>
    <n v="0.43916613136341742"/>
    <n v="0.9979123173277662"/>
  </r>
  <r>
    <x v="15"/>
    <n v="35992.44"/>
    <n v="14686.63"/>
    <n v="26.82"/>
    <n v="26.82"/>
    <n v="0.40804763444767839"/>
    <n v="1"/>
  </r>
  <r>
    <x v="13"/>
    <n v="71519.759999999995"/>
    <n v="7196.12"/>
    <n v="45.28"/>
    <n v="45.28"/>
    <n v="0.10061722802201797"/>
    <n v="1"/>
  </r>
  <r>
    <x v="22"/>
    <n v="47656"/>
    <n v="15281.2"/>
    <n v="20"/>
    <n v="20"/>
    <n v="0.32065637065637065"/>
    <n v="1"/>
  </r>
  <r>
    <x v="21"/>
    <n v="10420"/>
    <n v="15"/>
    <n v="5"/>
    <n v="5"/>
    <n v="1.4395393474088292E-3"/>
    <n v="1"/>
  </r>
  <r>
    <x v="15"/>
    <n v="17416.75"/>
    <n v="2580.36"/>
    <n v="11.65"/>
    <n v="11.65"/>
    <n v="0.14815393227783599"/>
    <n v="1"/>
  </r>
  <r>
    <x v="25"/>
    <n v="6455.6"/>
    <n v="459.23"/>
    <n v="5.9"/>
    <n v="5.9"/>
    <n v="7.113668752710825E-2"/>
    <n v="1"/>
  </r>
  <r>
    <x v="25"/>
    <n v="10979.94"/>
    <n v="6365.4"/>
    <n v="10.24"/>
    <n v="10.24"/>
    <n v="0.57972994387947474"/>
    <n v="1"/>
  </r>
  <r>
    <x v="15"/>
    <n v="37953.040000000001"/>
    <n v="19405.919999999998"/>
    <n v="26.51"/>
    <n v="26.51"/>
    <n v="0.51131398169948961"/>
    <n v="1"/>
  </r>
  <r>
    <x v="15"/>
    <n v="19327.25"/>
    <n v="3573.15"/>
    <n v="16.57"/>
    <n v="16.57"/>
    <n v="0.18487627572468923"/>
    <n v="1"/>
  </r>
  <r>
    <x v="13"/>
    <n v="74915.55"/>
    <n v="6693.98"/>
    <n v="56.97"/>
    <n v="56.96"/>
    <n v="8.9353678909118328E-2"/>
    <n v="0.99982446901878186"/>
  </r>
  <r>
    <x v="13"/>
    <n v="36112.9"/>
    <n v="4694.68"/>
    <n v="32.64"/>
    <n v="32.64"/>
    <n v="0.13000008307280778"/>
    <n v="1"/>
  </r>
  <r>
    <x v="13"/>
    <n v="36193.01"/>
    <n v="4617.0200000000004"/>
    <n v="29.28"/>
    <n v="29.28"/>
    <n v="0.12756662128958052"/>
    <n v="1"/>
  </r>
  <r>
    <x v="20"/>
    <n v="9864.92"/>
    <n v="496.48"/>
    <n v="6.22"/>
    <n v="6.22"/>
    <n v="5.0327828304740432E-2"/>
    <n v="1"/>
  </r>
  <r>
    <x v="5"/>
    <n v="64953"/>
    <n v="3533.22"/>
    <n v="72.17"/>
    <n v="72.17"/>
    <n v="5.4396563669114585E-2"/>
    <n v="1"/>
  </r>
  <r>
    <x v="15"/>
    <n v="6004.4"/>
    <n v="1812.54"/>
    <n v="4"/>
    <n v="4"/>
    <n v="0.30186862967157418"/>
    <n v="1"/>
  </r>
  <r>
    <x v="13"/>
    <n v="4619.7"/>
    <n v="129.19999999999999"/>
    <n v="4.3499999999999996"/>
    <n v="4.3499999999999996"/>
    <n v="2.7967184016278113E-2"/>
    <n v="1"/>
  </r>
  <r>
    <x v="20"/>
    <n v="5567.63"/>
    <n v="1179.81"/>
    <n v="5.25"/>
    <n v="5.25"/>
    <n v="0.21190524514021225"/>
    <n v="1"/>
  </r>
  <r>
    <x v="20"/>
    <n v="17756.89"/>
    <n v="4445.88"/>
    <n v="12.11"/>
    <n v="12.11"/>
    <n v="0.25037492488831098"/>
    <n v="1"/>
  </r>
  <r>
    <x v="15"/>
    <n v="94497.49"/>
    <n v="21526.29"/>
    <n v="36.67"/>
    <n v="36.659999999999997"/>
    <n v="0.22779747906531697"/>
    <n v="0.99972729751840728"/>
  </r>
  <r>
    <x v="25"/>
    <n v="111160.68"/>
    <n v="52789.79"/>
    <n v="102.34"/>
    <n v="102.34"/>
    <n v="0.47489624928526891"/>
    <n v="1"/>
  </r>
  <r>
    <x v="15"/>
    <n v="101546.83"/>
    <n v="24600.81"/>
    <n v="69.41"/>
    <n v="69.41"/>
    <n v="0.24226073822294603"/>
    <n v="1"/>
  </r>
  <r>
    <x v="15"/>
    <n v="60701.83"/>
    <n v="19937.36"/>
    <n v="32.520000000000003"/>
    <n v="32.5"/>
    <n v="0.32844742901490781"/>
    <n v="0.9993849938499384"/>
  </r>
  <r>
    <x v="25"/>
    <n v="13044.93"/>
    <n v="3236.07"/>
    <n v="9.35"/>
    <n v="9.34"/>
    <n v="0.24807108968771777"/>
    <n v="0.99893048128342243"/>
  </r>
  <r>
    <x v="12"/>
    <n v="22426.54"/>
    <n v="12275.58"/>
    <n v="21.04"/>
    <n v="21.04"/>
    <n v="0.54736843044000538"/>
    <n v="1"/>
  </r>
  <r>
    <x v="25"/>
    <n v="3854.48"/>
    <n v="1803.6"/>
    <n v="5.27"/>
    <n v="5.27"/>
    <n v="0.46792304020256947"/>
    <n v="1"/>
  </r>
  <r>
    <x v="20"/>
    <n v="15433.32"/>
    <n v="1978.48"/>
    <n v="9.67"/>
    <n v="9.67"/>
    <n v="0.12819535913205973"/>
    <n v="1"/>
  </r>
  <r>
    <x v="1"/>
    <n v="8873.5400000000009"/>
    <n v="2345.71"/>
    <n v="5.8"/>
    <n v="5.8"/>
    <n v="0.26434883935836201"/>
    <n v="1"/>
  </r>
  <r>
    <x v="22"/>
    <n v="48885.26"/>
    <n v="2974.03"/>
    <n v="29.14"/>
    <n v="29.14"/>
    <n v="6.0836947578881653E-2"/>
    <n v="1"/>
  </r>
  <r>
    <x v="20"/>
    <n v="6740.94"/>
    <n v="2435.58"/>
    <n v="6.04"/>
    <n v="6.04"/>
    <n v="0.36131162716179049"/>
    <n v="1"/>
  </r>
  <r>
    <x v="15"/>
    <n v="114950"/>
    <n v="24558.75"/>
    <n v="50"/>
    <n v="50"/>
    <n v="0.21364723792953458"/>
    <n v="1"/>
  </r>
  <r>
    <x v="15"/>
    <n v="7148.4"/>
    <n v="1510.32"/>
    <n v="6"/>
    <n v="6"/>
    <n v="0.21128084606345476"/>
    <n v="1"/>
  </r>
  <r>
    <x v="22"/>
    <n v="75681.88"/>
    <n v="9710.1299999999992"/>
    <n v="49.24"/>
    <n v="49.24"/>
    <n v="0.12830191321885764"/>
    <n v="1"/>
  </r>
  <r>
    <x v="13"/>
    <n v="27016.5"/>
    <n v="7333.05"/>
    <n v="25.73"/>
    <n v="25.73"/>
    <n v="0.27142857142857141"/>
    <n v="1"/>
  </r>
  <r>
    <x v="13"/>
    <n v="24750"/>
    <n v="7650"/>
    <n v="15"/>
    <n v="15"/>
    <n v="0.30909090909090908"/>
    <n v="1"/>
  </r>
  <r>
    <x v="20"/>
    <n v="70732.03"/>
    <n v="2748.79"/>
    <n v="53.52"/>
    <n v="53.52"/>
    <n v="3.8862026157032395E-2"/>
    <n v="1"/>
  </r>
  <r>
    <x v="13"/>
    <n v="40755.99"/>
    <n v="5519.38"/>
    <n v="33.200000000000003"/>
    <n v="33.200000000000003"/>
    <n v="0.1354250013310927"/>
    <n v="1"/>
  </r>
  <r>
    <x v="13"/>
    <n v="20388.189999999999"/>
    <n v="2466.7199999999998"/>
    <n v="18.2"/>
    <n v="18.2"/>
    <n v="0.12098768944177977"/>
    <n v="1"/>
  </r>
  <r>
    <x v="15"/>
    <n v="71418.73"/>
    <n v="16258.3"/>
    <n v="31.98"/>
    <n v="31.98"/>
    <n v="0.22764756528154451"/>
    <n v="1"/>
  </r>
  <r>
    <x v="15"/>
    <n v="111577.84"/>
    <n v="19260.939999999999"/>
    <n v="61.55"/>
    <n v="61.55"/>
    <n v="0.17262334528074749"/>
    <n v="1"/>
  </r>
  <r>
    <x v="15"/>
    <n v="113217.31"/>
    <n v="7377.84"/>
    <n v="64.739999999999995"/>
    <n v="64.739999999999995"/>
    <n v="6.5165300253115011E-2"/>
    <n v="1"/>
  </r>
  <r>
    <x v="25"/>
    <n v="17192"/>
    <n v="2497.6"/>
    <n v="14"/>
    <n v="14"/>
    <n v="0.14527687296416938"/>
    <n v="1"/>
  </r>
  <r>
    <x v="13"/>
    <n v="13380"/>
    <n v="504"/>
    <n v="15"/>
    <n v="15"/>
    <n v="3.766816143497758E-2"/>
    <n v="1"/>
  </r>
  <r>
    <x v="25"/>
    <n v="9916.48"/>
    <n v="5573.36"/>
    <n v="9.32"/>
    <n v="9.32"/>
    <n v="0.56203007518796988"/>
    <n v="1"/>
  </r>
  <r>
    <x v="39"/>
    <n v="12928.3"/>
    <n v="705.18"/>
    <n v="7.3"/>
    <n v="7.3"/>
    <n v="5.4545454545454543E-2"/>
    <n v="1"/>
  </r>
  <r>
    <x v="25"/>
    <n v="2950.81"/>
    <n v="529.07000000000005"/>
    <n v="6.32"/>
    <n v="6.32"/>
    <n v="0.17929653213863314"/>
    <n v="1"/>
  </r>
  <r>
    <x v="40"/>
    <n v="12768.91"/>
    <n v="754.27"/>
    <n v="11.33"/>
    <n v="11.33"/>
    <n v="5.9070821236894923E-2"/>
    <n v="1"/>
  </r>
  <r>
    <x v="25"/>
    <n v="7571.78"/>
    <n v="3045.17"/>
    <n v="10.32"/>
    <n v="10.3"/>
    <n v="0.40217359722548729"/>
    <n v="0.99806201550387597"/>
  </r>
  <r>
    <x v="15"/>
    <n v="25998.48"/>
    <n v="5711.09"/>
    <n v="15.71"/>
    <n v="15.71"/>
    <n v="0.21967014994722769"/>
    <n v="1"/>
  </r>
  <r>
    <x v="22"/>
    <n v="80950.8"/>
    <n v="9806.24"/>
    <n v="32.200000000000003"/>
    <n v="32.200000000000003"/>
    <n v="0.12113827164154028"/>
    <n v="1"/>
  </r>
  <r>
    <x v="15"/>
    <n v="46112"/>
    <n v="25650.080000000002"/>
    <n v="20.96"/>
    <n v="20.96"/>
    <n v="0.55625607217210271"/>
    <n v="1"/>
  </r>
  <r>
    <x v="13"/>
    <n v="18864.78"/>
    <n v="7077.23"/>
    <n v="11.32"/>
    <n v="11.32"/>
    <n v="0.3751557134512038"/>
    <n v="1"/>
  </r>
  <r>
    <x v="25"/>
    <n v="4576.5"/>
    <n v="1806.41"/>
    <n v="6.32"/>
    <n v="6.32"/>
    <n v="0.39471430132197094"/>
    <n v="1"/>
  </r>
  <r>
    <x v="13"/>
    <n v="64816.6"/>
    <n v="2736.57"/>
    <n v="76"/>
    <n v="27.61"/>
    <n v="4.2220202849270097E-2"/>
    <n v="0.3632894736842105"/>
  </r>
  <r>
    <x v="22"/>
    <n v="13932.48"/>
    <n v="5013.93"/>
    <n v="6.31"/>
    <n v="6.31"/>
    <n v="0.35987347550471993"/>
    <n v="1"/>
  </r>
  <r>
    <x v="13"/>
    <n v="19674.72"/>
    <n v="2236.5300000000002"/>
    <n v="21.02"/>
    <n v="21.02"/>
    <n v="0.11367531532850277"/>
    <n v="1"/>
  </r>
  <r>
    <x v="25"/>
    <n v="13281.8"/>
    <n v="1167.29"/>
    <n v="8.9499999999999993"/>
    <n v="8.9499999999999993"/>
    <n v="8.7886431056031569E-2"/>
    <n v="1"/>
  </r>
  <r>
    <x v="15"/>
    <n v="34615"/>
    <n v="4891.99"/>
    <n v="21.5"/>
    <n v="21.5"/>
    <n v="0.14132572584139824"/>
    <n v="1"/>
  </r>
  <r>
    <x v="15"/>
    <n v="50830.080000000002"/>
    <n v="1897.31"/>
    <n v="36.6"/>
    <n v="36.6"/>
    <n v="3.7326520044823848E-2"/>
    <n v="1"/>
  </r>
  <r>
    <x v="13"/>
    <n v="17884.37"/>
    <n v="164.63"/>
    <n v="21.38"/>
    <n v="21.38"/>
    <n v="9.2052445794847688E-3"/>
    <n v="1"/>
  </r>
  <r>
    <x v="13"/>
    <n v="28125.15"/>
    <n v="1936.11"/>
    <n v="24.7"/>
    <n v="24.7"/>
    <n v="6.8839099524802522E-2"/>
    <n v="1"/>
  </r>
  <r>
    <x v="29"/>
    <n v="25784.86"/>
    <n v="11244.09"/>
    <n v="22.67"/>
    <n v="22.67"/>
    <n v="0.43607333916104257"/>
    <n v="1"/>
  </r>
  <r>
    <x v="15"/>
    <n v="22532.1"/>
    <n v="9598.67"/>
    <n v="11.21"/>
    <n v="11.21"/>
    <n v="0.42599979584681413"/>
    <n v="1"/>
  </r>
  <r>
    <x v="13"/>
    <n v="6819.32"/>
    <n v="1040.9000000000001"/>
    <n v="4.84"/>
    <n v="4.84"/>
    <n v="0.15263985265393032"/>
    <n v="1"/>
  </r>
  <r>
    <x v="25"/>
    <n v="11587.32"/>
    <n v="2098.4"/>
    <n v="9.89"/>
    <n v="9.89"/>
    <n v="0.18109450675393449"/>
    <n v="1"/>
  </r>
  <r>
    <x v="15"/>
    <n v="18840.599999999999"/>
    <n v="1552.5"/>
    <n v="11.63"/>
    <n v="2.5"/>
    <n v="8.240183433648611E-2"/>
    <n v="0.21496130696474633"/>
  </r>
  <r>
    <x v="22"/>
    <n v="91329.2"/>
    <n v="22747.7"/>
    <n v="37.43"/>
    <n v="37.42"/>
    <n v="0.24907368070671812"/>
    <n v="0.99973283462463269"/>
  </r>
  <r>
    <x v="15"/>
    <n v="20085.62"/>
    <n v="2060.23"/>
    <n v="17.940000000000001"/>
    <n v="17.940000000000001"/>
    <n v="0.10257238760864738"/>
    <n v="1"/>
  </r>
  <r>
    <x v="20"/>
    <n v="67504.58"/>
    <n v="1812.94"/>
    <n v="42.92"/>
    <n v="42.92"/>
    <n v="2.6856548103847175E-2"/>
    <n v="1"/>
  </r>
  <r>
    <x v="15"/>
    <n v="28000"/>
    <n v="6339.2"/>
    <n v="14"/>
    <n v="14"/>
    <n v="0.22639999999999999"/>
    <n v="1"/>
  </r>
  <r>
    <x v="13"/>
    <n v="23076.32"/>
    <n v="2253.16"/>
    <n v="24.76"/>
    <n v="24.76"/>
    <n v="9.7639484978540761E-2"/>
    <n v="1"/>
  </r>
  <r>
    <x v="25"/>
    <n v="4335.5600000000004"/>
    <n v="616.63"/>
    <n v="3.83"/>
    <n v="3.83"/>
    <n v="0.14222614840989398"/>
    <n v="1"/>
  </r>
  <r>
    <x v="15"/>
    <n v="22070.76"/>
    <n v="6183.87"/>
    <n v="10.54"/>
    <n v="10.54"/>
    <n v="0.28018382692757299"/>
    <n v="1"/>
  </r>
  <r>
    <x v="15"/>
    <n v="1834"/>
    <n v="155.5"/>
    <n v="1"/>
    <n v="1"/>
    <n v="8.4787350054525631E-2"/>
    <n v="1"/>
  </r>
  <r>
    <x v="25"/>
    <n v="19918.66"/>
    <n v="7882.15"/>
    <n v="10.65"/>
    <n v="10.65"/>
    <n v="0.39571688055320992"/>
    <n v="1"/>
  </r>
  <r>
    <x v="34"/>
    <n v="36000"/>
    <n v="7074"/>
    <n v="9"/>
    <n v="9"/>
    <n v="0.19650000000000001"/>
    <n v="1"/>
  </r>
  <r>
    <x v="43"/>
    <n v="108315"/>
    <n v="11890.58"/>
    <n v="29"/>
    <n v="29"/>
    <n v="0.10977777777777778"/>
    <n v="1"/>
  </r>
  <r>
    <x v="13"/>
    <n v="7647.99"/>
    <n v="1052"/>
    <n v="7"/>
    <n v="7"/>
    <n v="0.13755248110941568"/>
    <n v="1"/>
  </r>
  <r>
    <x v="25"/>
    <n v="7300.8"/>
    <n v="355.75"/>
    <n v="5.4"/>
    <n v="5.4"/>
    <n v="4.8727536708305937E-2"/>
    <n v="1"/>
  </r>
  <r>
    <x v="25"/>
    <n v="22170.05"/>
    <n v="14929.7"/>
    <n v="22.65"/>
    <n v="22.65"/>
    <n v="0.67341751597312594"/>
    <n v="1"/>
  </r>
  <r>
    <x v="25"/>
    <n v="7536.84"/>
    <n v="5075.4399999999996"/>
    <n v="7.7"/>
    <n v="7.7"/>
    <n v="0.67341750654120291"/>
    <n v="1"/>
  </r>
  <r>
    <x v="15"/>
    <n v="53550"/>
    <n v="20055"/>
    <n v="30"/>
    <n v="30"/>
    <n v="0.37450980392156863"/>
    <n v="1"/>
  </r>
  <r>
    <x v="13"/>
    <n v="24000"/>
    <n v="4602.24"/>
    <n v="20"/>
    <n v="20"/>
    <n v="0.19175999999999999"/>
    <n v="1"/>
  </r>
  <r>
    <x v="21"/>
    <n v="39355"/>
    <n v="7127.25"/>
    <n v="25"/>
    <n v="22"/>
    <n v="0.18110151187904969"/>
    <n v="0.88"/>
  </r>
  <r>
    <x v="13"/>
    <n v="4821.46"/>
    <n v="1448.6"/>
    <n v="4.6900000000000004"/>
    <n v="4.6900000000000004"/>
    <n v="0.30044841189183358"/>
    <n v="1"/>
  </r>
  <r>
    <x v="22"/>
    <n v="7344.25"/>
    <n v="1580.86"/>
    <n v="5"/>
    <n v="5"/>
    <n v="0.21525138713959899"/>
    <n v="1"/>
  </r>
  <r>
    <x v="15"/>
    <n v="5880"/>
    <n v="187.32"/>
    <n v="6"/>
    <n v="6"/>
    <n v="3.1857142857142855E-2"/>
    <n v="1"/>
  </r>
  <r>
    <x v="15"/>
    <n v="21560"/>
    <n v="8852.76"/>
    <n v="22"/>
    <n v="19"/>
    <n v="0.41061038961038965"/>
    <n v="0.86363636363636365"/>
  </r>
  <r>
    <x v="22"/>
    <n v="55089.43"/>
    <n v="9703.25"/>
    <n v="29.91"/>
    <n v="29.91"/>
    <n v="0.17613632960079637"/>
    <n v="1"/>
  </r>
  <r>
    <x v="25"/>
    <n v="9622.08"/>
    <n v="1323.5"/>
    <n v="9.36"/>
    <n v="9.36"/>
    <n v="0.13754822242176329"/>
    <n v="1"/>
  </r>
  <r>
    <x v="13"/>
    <n v="7609.84"/>
    <n v="1674.76"/>
    <n v="7.49"/>
    <n v="7.49"/>
    <n v="0.22007821452225013"/>
    <n v="1"/>
  </r>
  <r>
    <x v="13"/>
    <n v="15131.54"/>
    <n v="5755.02"/>
    <n v="16.329999999999998"/>
    <n v="16.329999999999998"/>
    <n v="0.3803327354651278"/>
    <n v="1"/>
  </r>
  <r>
    <x v="3"/>
    <n v="12457.95"/>
    <n v="243.74"/>
    <n v="23.55"/>
    <n v="23.55"/>
    <n v="1.956501671623341E-2"/>
    <n v="1"/>
  </r>
  <r>
    <x v="15"/>
    <n v="10476"/>
    <n v="314.27999999999997"/>
    <n v="5.82"/>
    <n v="5.82"/>
    <n v="0.03"/>
    <n v="1"/>
  </r>
  <r>
    <x v="25"/>
    <n v="32000.400000000001"/>
    <n v="18871.8"/>
    <n v="29.63"/>
    <n v="29.63"/>
    <n v="0.58973637829527126"/>
    <n v="1"/>
  </r>
  <r>
    <x v="15"/>
    <n v="14505"/>
    <n v="3858.75"/>
    <n v="10"/>
    <n v="10"/>
    <n v="0.266028955532575"/>
    <n v="1"/>
  </r>
  <r>
    <x v="44"/>
    <n v="50050.54"/>
    <n v="15577.45"/>
    <n v="30.27"/>
    <n v="30.27"/>
    <n v="0.31123440426416976"/>
    <n v="1"/>
  </r>
  <r>
    <x v="13"/>
    <n v="10082.07"/>
    <n v="522.77"/>
    <n v="8.1"/>
    <n v="8.1"/>
    <n v="5.1851455107929226E-2"/>
    <n v="1"/>
  </r>
  <r>
    <x v="13"/>
    <n v="4727.16"/>
    <n v="1534.08"/>
    <n v="4.7300000000000004"/>
    <n v="4.7300000000000004"/>
    <n v="0.32452466174193384"/>
    <n v="1"/>
  </r>
  <r>
    <x v="15"/>
    <n v="7410.91"/>
    <n v="9121.84"/>
    <n v="4.78"/>
    <n v="4.78"/>
    <n v="1.2308663848299333"/>
    <n v="1"/>
  </r>
  <r>
    <x v="33"/>
    <n v="7839.5"/>
    <n v="5391.83"/>
    <n v="10.07"/>
    <n v="10"/>
    <n v="0.68777728171439501"/>
    <n v="0.99304865938430975"/>
  </r>
  <r>
    <x v="15"/>
    <n v="28908"/>
    <n v="17633.88"/>
    <n v="24.09"/>
    <n v="24"/>
    <n v="0.61"/>
    <n v="0.99626400996264008"/>
  </r>
  <r>
    <x v="5"/>
    <n v="793.65"/>
    <n v="460.1"/>
    <n v="1.3"/>
    <n v="1"/>
    <n v="0.57972657972657982"/>
    <n v="0.76923076923076916"/>
  </r>
  <r>
    <x v="22"/>
    <n v="73783.14"/>
    <n v="12868"/>
    <n v="37.090000000000003"/>
    <n v="37.090000000000003"/>
    <n v="0.17440298691543896"/>
    <n v="1"/>
  </r>
  <r>
    <x v="22"/>
    <n v="42909.2"/>
    <n v="7488.5"/>
    <n v="21.57"/>
    <n v="21.57"/>
    <n v="0.17451968342453367"/>
    <n v="1"/>
  </r>
  <r>
    <x v="25"/>
    <n v="16906.96"/>
    <n v="2687.37"/>
    <n v="18.16"/>
    <n v="18.16"/>
    <n v="0.15895051505415522"/>
    <n v="1"/>
  </r>
  <r>
    <x v="25"/>
    <n v="27470.400000000001"/>
    <n v="20754.12"/>
    <n v="19.399999999999999"/>
    <n v="19.399999999999999"/>
    <n v="0.75550847457627113"/>
    <n v="1"/>
  </r>
  <r>
    <x v="15"/>
    <n v="16552.8"/>
    <n v="4871.79"/>
    <n v="9"/>
    <n v="9"/>
    <n v="0.29431818181818181"/>
    <n v="1"/>
  </r>
  <r>
    <x v="15"/>
    <n v="4173.12"/>
    <n v="501.98"/>
    <n v="2.4"/>
    <n v="2.4"/>
    <n v="0.12028889655701251"/>
    <n v="1"/>
  </r>
  <r>
    <x v="40"/>
    <n v="18240.009999999998"/>
    <n v="7103.41"/>
    <n v="10.49"/>
    <n v="10.49"/>
    <n v="0.38944112420991001"/>
    <n v="1"/>
  </r>
  <r>
    <x v="25"/>
    <n v="6916.56"/>
    <n v="3258.84"/>
    <n v="7.4"/>
    <n v="7.4"/>
    <n v="0.47116485651826917"/>
    <n v="1"/>
  </r>
  <r>
    <x v="40"/>
    <n v="27188.55"/>
    <n v="12940.06"/>
    <n v="18.100000000000001"/>
    <n v="9.84"/>
    <n v="0.47593784883710238"/>
    <n v="0.54364640883977899"/>
  </r>
  <r>
    <x v="15"/>
    <n v="6975.07"/>
    <n v="2819.58"/>
    <n v="4.32"/>
    <n v="4.32"/>
    <n v="0.40423680335824586"/>
    <n v="1"/>
  </r>
  <r>
    <x v="15"/>
    <n v="24650.14"/>
    <n v="4816.07"/>
    <n v="17.64"/>
    <n v="17.64"/>
    <n v="0.19537698366013337"/>
    <n v="1"/>
  </r>
  <r>
    <x v="15"/>
    <n v="25389.7"/>
    <n v="4259.5"/>
    <n v="16.600000000000001"/>
    <n v="16.600000000000001"/>
    <n v="0.16776488103443521"/>
    <n v="1"/>
  </r>
  <r>
    <x v="15"/>
    <n v="13712.19"/>
    <n v="3936.83"/>
    <n v="10.11"/>
    <n v="10.11"/>
    <n v="0.28710439397353738"/>
    <n v="1"/>
  </r>
  <r>
    <x v="22"/>
    <n v="16272.35"/>
    <n v="9381.4500000000007"/>
    <n v="8.99"/>
    <n v="8.99"/>
    <n v="0.5765270535601803"/>
    <n v="1"/>
  </r>
  <r>
    <x v="15"/>
    <n v="31202.81"/>
    <n v="5132.67"/>
    <n v="23.66"/>
    <n v="23.66"/>
    <n v="0.16449383885617994"/>
    <n v="1"/>
  </r>
  <r>
    <x v="13"/>
    <n v="21967.8"/>
    <n v="1830.65"/>
    <n v="19.27"/>
    <n v="19.27"/>
    <n v="8.3333333333333343E-2"/>
    <n v="1"/>
  </r>
  <r>
    <x v="22"/>
    <n v="55608"/>
    <n v="18057.2"/>
    <n v="28"/>
    <n v="28"/>
    <n v="0.32472306143001006"/>
    <n v="1"/>
  </r>
  <r>
    <x v="13"/>
    <n v="14234.64"/>
    <n v="2891.81"/>
    <n v="18.32"/>
    <n v="18.32"/>
    <n v="0.20315301265082925"/>
    <n v="1"/>
  </r>
  <r>
    <x v="25"/>
    <n v="3385.2"/>
    <n v="1879.8"/>
    <n v="5.2"/>
    <n v="5.2"/>
    <n v="0.5552995391705069"/>
    <n v="1"/>
  </r>
  <r>
    <x v="15"/>
    <n v="22456.1"/>
    <n v="9109.5499999999993"/>
    <n v="11.15"/>
    <n v="11.15"/>
    <n v="0.40566037735849059"/>
    <n v="1"/>
  </r>
  <r>
    <x v="40"/>
    <n v="71658.12"/>
    <n v="32381.360000000001"/>
    <n v="35.58"/>
    <n v="35.380000000000003"/>
    <n v="0.45188682036313543"/>
    <n v="0.99437886453063529"/>
  </r>
  <r>
    <x v="15"/>
    <n v="5518.34"/>
    <n v="1441.47"/>
    <n v="5.78"/>
    <n v="5.78"/>
    <n v="0.26121442317798466"/>
    <n v="1"/>
  </r>
  <r>
    <x v="25"/>
    <n v="25650"/>
    <n v="472.5"/>
    <n v="18.75"/>
    <n v="18.75"/>
    <n v="1.8421052631578946E-2"/>
    <n v="1"/>
  </r>
  <r>
    <x v="15"/>
    <n v="74168"/>
    <n v="31924.6"/>
    <n v="29.2"/>
    <n v="29.2"/>
    <n v="0.43043630676302447"/>
    <n v="1"/>
  </r>
  <r>
    <x v="15"/>
    <n v="50031.68"/>
    <n v="10150.64"/>
    <n v="21.64"/>
    <n v="21.64"/>
    <n v="0.20288425253759218"/>
    <n v="1"/>
  </r>
  <r>
    <x v="15"/>
    <n v="94137.51"/>
    <n v="43985.7"/>
    <n v="43.78"/>
    <n v="43.78"/>
    <n v="0.46724945242337512"/>
    <n v="1"/>
  </r>
  <r>
    <x v="15"/>
    <n v="151742.44"/>
    <n v="75490.48"/>
    <n v="70.569999999999993"/>
    <n v="70.569999999999993"/>
    <n v="0.49749087994103691"/>
    <n v="1"/>
  </r>
  <r>
    <x v="40"/>
    <n v="18231.07"/>
    <n v="6595.06"/>
    <n v="7.93"/>
    <n v="7.93"/>
    <n v="0.36174837790650799"/>
    <n v="1"/>
  </r>
  <r>
    <x v="25"/>
    <n v="33994.370000000003"/>
    <n v="1434.84"/>
    <n v="25.66"/>
    <n v="25.66"/>
    <n v="4.2208165646252592E-2"/>
    <n v="1"/>
  </r>
  <r>
    <x v="15"/>
    <n v="10967.57"/>
    <n v="2852.56"/>
    <n v="5.08"/>
    <n v="5.08"/>
    <n v="0.26009043024115641"/>
    <n v="1"/>
  </r>
  <r>
    <x v="13"/>
    <n v="13644.8"/>
    <n v="1521.92"/>
    <n v="13.12"/>
    <n v="13.12"/>
    <n v="0.11153846153846154"/>
    <n v="1"/>
  </r>
  <r>
    <x v="29"/>
    <n v="17694.62"/>
    <n v="6730.23"/>
    <n v="14.2"/>
    <n v="14.2"/>
    <n v="0.38035459365615087"/>
    <n v="1"/>
  </r>
  <r>
    <x v="40"/>
    <n v="94773.29"/>
    <n v="52206.39"/>
    <n v="59.4"/>
    <n v="59.38"/>
    <n v="0.55085552057969078"/>
    <n v="0.9996632996632997"/>
  </r>
  <r>
    <x v="15"/>
    <n v="57920.59"/>
    <n v="33471.620000000003"/>
    <n v="36.119999999999997"/>
    <n v="36.11"/>
    <n v="0.57788810507627775"/>
    <n v="0.99972314507198234"/>
  </r>
  <r>
    <x v="22"/>
    <n v="47413.06"/>
    <n v="313"/>
    <n v="21.11"/>
    <n v="7.83"/>
    <n v="6.6015566175226829E-3"/>
    <n v="0.37091425864519184"/>
  </r>
  <r>
    <x v="13"/>
    <n v="7292.94"/>
    <n v="182"/>
    <n v="4.5599999999999996"/>
    <n v="3.4"/>
    <n v="2.4955642031882892E-2"/>
    <n v="0.7456140350877194"/>
  </r>
  <r>
    <x v="15"/>
    <n v="79140.91"/>
    <n v="21272.73"/>
    <n v="28.93"/>
    <n v="28.93"/>
    <n v="0.26879562036878268"/>
    <n v="1"/>
  </r>
  <r>
    <x v="22"/>
    <n v="105402"/>
    <n v="5541.6"/>
    <n v="47.91"/>
    <n v="47.91"/>
    <n v="5.257585245061764E-2"/>
    <n v="1"/>
  </r>
  <r>
    <x v="13"/>
    <n v="18262.8"/>
    <n v="5398.76"/>
    <n v="16.91"/>
    <n v="16.91"/>
    <n v="0.29561513021004449"/>
    <n v="1"/>
  </r>
  <r>
    <x v="15"/>
    <n v="64000"/>
    <n v="19840"/>
    <n v="32"/>
    <n v="32"/>
    <n v="0.31"/>
    <n v="1"/>
  </r>
  <r>
    <x v="13"/>
    <n v="6361.52"/>
    <n v="3007.62"/>
    <n v="4.22"/>
    <n v="4.22"/>
    <n v="0.47278323419560098"/>
    <n v="1"/>
  </r>
  <r>
    <x v="15"/>
    <n v="153164.38"/>
    <n v="63617.71"/>
    <n v="72.680000000000007"/>
    <n v="72.650000000000006"/>
    <n v="0.41535577658460798"/>
    <n v="0.99958723170060537"/>
  </r>
  <r>
    <x v="40"/>
    <n v="45884.84"/>
    <n v="10517.31"/>
    <n v="19.93"/>
    <n v="19.93"/>
    <n v="0.22921099866535441"/>
    <n v="1"/>
  </r>
  <r>
    <x v="25"/>
    <n v="13250.04"/>
    <n v="2046.09"/>
    <n v="10.130000000000001"/>
    <n v="10.130000000000001"/>
    <n v="0.15442142061457925"/>
    <n v="1"/>
  </r>
  <r>
    <x v="39"/>
    <n v="80938.820000000007"/>
    <n v="13958.22"/>
    <n v="31.44"/>
    <n v="31.44"/>
    <n v="0.17245395966978513"/>
    <n v="1"/>
  </r>
  <r>
    <x v="40"/>
    <n v="6658.13"/>
    <n v="2594.13"/>
    <n v="2.58"/>
    <n v="2.58"/>
    <n v="0.38961840636935596"/>
    <n v="1"/>
  </r>
  <r>
    <x v="15"/>
    <n v="49141.55"/>
    <n v="27537.81"/>
    <n v="22.15"/>
    <n v="22.15"/>
    <n v="0.56037731817575964"/>
    <n v="1"/>
  </r>
  <r>
    <x v="22"/>
    <n v="73048"/>
    <n v="30686.400000000001"/>
    <n v="29.83"/>
    <n v="29.83"/>
    <n v="0.4200854232833206"/>
    <n v="1"/>
  </r>
  <r>
    <x v="15"/>
    <n v="21276"/>
    <n v="634.34"/>
    <n v="9.85"/>
    <n v="9.85"/>
    <n v="2.9814814814814815E-2"/>
    <n v="1"/>
  </r>
  <r>
    <x v="13"/>
    <n v="18874.62"/>
    <n v="2515.98"/>
    <n v="17.190000000000001"/>
    <n v="17.190000000000001"/>
    <n v="0.13329963729071104"/>
    <n v="1"/>
  </r>
  <r>
    <x v="22"/>
    <n v="54411.56"/>
    <n v="8439.7900000000009"/>
    <n v="28"/>
    <n v="28"/>
    <n v="0.15511023760392095"/>
    <n v="1"/>
  </r>
  <r>
    <x v="13"/>
    <n v="6990"/>
    <n v="352.5"/>
    <n v="6"/>
    <n v="6"/>
    <n v="5.0429184549356222E-2"/>
    <n v="1"/>
  </r>
  <r>
    <x v="15"/>
    <n v="40815"/>
    <n v="3223.01"/>
    <n v="25"/>
    <n v="25"/>
    <n v="7.896631140512067E-2"/>
    <n v="1"/>
  </r>
  <r>
    <x v="22"/>
    <n v="46332"/>
    <n v="720"/>
    <n v="18"/>
    <n v="18"/>
    <n v="1.554001554001554E-2"/>
    <n v="1"/>
  </r>
  <r>
    <x v="15"/>
    <n v="25558"/>
    <n v="10276.5"/>
    <n v="13"/>
    <n v="13"/>
    <n v="0.40208545269582907"/>
    <n v="1"/>
  </r>
  <r>
    <x v="15"/>
    <n v="26848.39"/>
    <n v="9968.43"/>
    <n v="15.25"/>
    <n v="15.25"/>
    <n v="0.37128595047971219"/>
    <n v="1"/>
  </r>
  <r>
    <x v="15"/>
    <n v="40575.599999999999"/>
    <n v="14752"/>
    <n v="24"/>
    <n v="24"/>
    <n v="0.36356825284160926"/>
    <n v="1"/>
  </r>
  <r>
    <x v="15"/>
    <n v="59172.75"/>
    <n v="22538"/>
    <n v="35"/>
    <n v="35"/>
    <n v="0.3808847822688653"/>
    <n v="1"/>
  </r>
  <r>
    <x v="20"/>
    <n v="4872.1499999999996"/>
    <n v="722.27"/>
    <n v="2.73"/>
    <n v="2.73"/>
    <n v="0.14824461480044746"/>
    <n v="1"/>
  </r>
  <r>
    <x v="15"/>
    <n v="22183.5"/>
    <n v="675.15"/>
    <n v="12.86"/>
    <n v="12.86"/>
    <n v="3.043478260869565E-2"/>
    <n v="1"/>
  </r>
  <r>
    <x v="22"/>
    <n v="52744.7"/>
    <n v="1194.4000000000001"/>
    <n v="29.86"/>
    <n v="29.86"/>
    <n v="2.2644929253555338E-2"/>
    <n v="1"/>
  </r>
  <r>
    <x v="15"/>
    <n v="30810"/>
    <n v="9989.5"/>
    <n v="15"/>
    <n v="8"/>
    <n v="0.32422914638104511"/>
    <n v="0.53333333333333333"/>
  </r>
  <r>
    <x v="22"/>
    <n v="64176.77"/>
    <n v="1560.4"/>
    <n v="39.44"/>
    <n v="39.44"/>
    <n v="2.4314093713348306E-2"/>
    <n v="1"/>
  </r>
  <r>
    <x v="15"/>
    <n v="23778.29"/>
    <n v="11170.13"/>
    <n v="13.89"/>
    <n v="13.89"/>
    <n v="0.46976170279696305"/>
    <n v="1"/>
  </r>
  <r>
    <x v="15"/>
    <n v="12760.38"/>
    <n v="1439.33"/>
    <n v="9.11"/>
    <n v="9.11"/>
    <n v="0.11279679758753267"/>
    <n v="1"/>
  </r>
  <r>
    <x v="15"/>
    <n v="114420.18"/>
    <n v="32388.33"/>
    <n v="61.22"/>
    <n v="61.22"/>
    <n v="0.28306484048530606"/>
    <n v="1"/>
  </r>
  <r>
    <x v="40"/>
    <n v="48020"/>
    <n v="30915.4"/>
    <n v="24.5"/>
    <n v="24.5"/>
    <n v="0.64380258225739273"/>
    <n v="1"/>
  </r>
  <r>
    <x v="39"/>
    <n v="65884"/>
    <n v="4436.76"/>
    <n v="26"/>
    <n v="26"/>
    <n v="6.7341995021553039E-2"/>
    <n v="1"/>
  </r>
  <r>
    <x v="15"/>
    <n v="3193.25"/>
    <n v="1330.19"/>
    <n v="2.34"/>
    <n v="2.34"/>
    <n v="0.41656306271040477"/>
    <n v="1"/>
  </r>
  <r>
    <x v="29"/>
    <n v="9972.35"/>
    <n v="2949.8"/>
    <n v="9.5500000000000007"/>
    <n v="9.5500000000000007"/>
    <n v="0.29579788114135586"/>
    <n v="1"/>
  </r>
  <r>
    <x v="15"/>
    <n v="56751.7"/>
    <n v="5911.68"/>
    <n v="24.65"/>
    <n v="21"/>
    <n v="0.10416745225253166"/>
    <n v="0.85192697768762682"/>
  </r>
  <r>
    <x v="22"/>
    <n v="79115.399999999994"/>
    <n v="768"/>
    <n v="33.6"/>
    <n v="20"/>
    <n v="9.707338899885485E-3"/>
    <n v="0.59523809523809523"/>
  </r>
  <r>
    <x v="15"/>
    <n v="33761.800000000003"/>
    <n v="66212.69"/>
    <n v="18.739999999999998"/>
    <n v="18.739999999999998"/>
    <n v="1.9611717977122072"/>
    <n v="1"/>
  </r>
  <r>
    <x v="15"/>
    <n v="76692.56"/>
    <n v="38519.410000000003"/>
    <n v="38.11"/>
    <n v="38.11"/>
    <n v="0.50225745496042906"/>
    <n v="1"/>
  </r>
  <r>
    <x v="22"/>
    <n v="55332"/>
    <n v="387.9"/>
    <n v="26.5"/>
    <n v="4"/>
    <n v="7.0104098893949245E-3"/>
    <n v="0.15094339622641509"/>
  </r>
  <r>
    <x v="15"/>
    <n v="51420.1"/>
    <n v="20014.490000000002"/>
    <n v="29.43"/>
    <n v="29.43"/>
    <n v="0.38923475450261674"/>
    <n v="1"/>
  </r>
  <r>
    <x v="22"/>
    <n v="77073.919999999998"/>
    <n v="17135.240000000002"/>
    <n v="37.4"/>
    <n v="37.4"/>
    <n v="0.22232215514664366"/>
    <n v="1"/>
  </r>
  <r>
    <x v="15"/>
    <n v="53951.63"/>
    <n v="720.04"/>
    <n v="29.75"/>
    <n v="29.75"/>
    <n v="1.3346028655668049E-2"/>
    <n v="1"/>
  </r>
  <r>
    <x v="15"/>
    <n v="108834"/>
    <n v="69098.7"/>
    <n v="51"/>
    <n v="51"/>
    <n v="0.63489993935718614"/>
    <n v="1"/>
  </r>
  <r>
    <x v="20"/>
    <n v="6820.11"/>
    <n v="1825.7"/>
    <n v="5.83"/>
    <n v="5.83"/>
    <n v="0.26769362957488957"/>
    <n v="1"/>
  </r>
  <r>
    <x v="15"/>
    <n v="66233.97"/>
    <n v="9325.75"/>
    <n v="38.450000000000003"/>
    <n v="14.4"/>
    <n v="0.1408001060483012"/>
    <n v="0.3745123537061118"/>
  </r>
  <r>
    <x v="22"/>
    <n v="17676.23"/>
    <n v="498.8"/>
    <n v="12.47"/>
    <n v="12.47"/>
    <n v="2.8218686903259349E-2"/>
    <n v="1"/>
  </r>
  <r>
    <x v="22"/>
    <n v="25070.1"/>
    <n v="984.22"/>
    <n v="14.2"/>
    <n v="14.2"/>
    <n v="3.9258718553176898E-2"/>
    <n v="1"/>
  </r>
  <r>
    <x v="15"/>
    <n v="25107.72"/>
    <n v="1807.62"/>
    <n v="16.54"/>
    <n v="16.54"/>
    <n v="7.1994589711849577E-2"/>
    <n v="1"/>
  </r>
  <r>
    <x v="13"/>
    <n v="18973.68"/>
    <n v="2109.67"/>
    <n v="10.119999999999999"/>
    <n v="10.119999999999999"/>
    <n v="0.11118928958430838"/>
    <n v="1"/>
  </r>
  <r>
    <x v="21"/>
    <n v="175214.4"/>
    <n v="1771.52"/>
    <n v="80"/>
    <n v="80"/>
    <n v="1.0110584518167457E-2"/>
    <n v="1"/>
  </r>
  <r>
    <x v="25"/>
    <n v="15177.6"/>
    <n v="6248.52"/>
    <n v="17"/>
    <n v="17"/>
    <n v="0.41169354838709682"/>
    <n v="1"/>
  </r>
  <r>
    <x v="13"/>
    <n v="3864"/>
    <n v="1940.4"/>
    <n v="2.8"/>
    <n v="2.8"/>
    <n v="0.50217391304347825"/>
    <n v="1"/>
  </r>
  <r>
    <x v="39"/>
    <n v="65853.81"/>
    <n v="5686.25"/>
    <n v="27"/>
    <n v="27"/>
    <n v="8.6346560662169738E-2"/>
    <n v="1"/>
  </r>
  <r>
    <x v="40"/>
    <n v="32838.080000000002"/>
    <n v="21206.76"/>
    <n v="16"/>
    <n v="16"/>
    <n v="0.64579780547461962"/>
    <n v="1"/>
  </r>
  <r>
    <x v="13"/>
    <n v="15750"/>
    <n v="5880"/>
    <n v="10.5"/>
    <n v="10.5"/>
    <n v="0.37333333333333335"/>
    <n v="1"/>
  </r>
  <r>
    <x v="40"/>
    <n v="61529.599999999999"/>
    <n v="30436.25"/>
    <n v="32"/>
    <n v="32"/>
    <n v="0.49466029358227587"/>
    <n v="1"/>
  </r>
  <r>
    <x v="25"/>
    <n v="18298.8"/>
    <n v="8611.2000000000007"/>
    <n v="13"/>
    <n v="13"/>
    <n v="0.4705882352941177"/>
    <n v="1"/>
  </r>
  <r>
    <x v="39"/>
    <n v="50452.6"/>
    <n v="5435.98"/>
    <n v="20"/>
    <n v="20"/>
    <n v="0.1077442986089914"/>
    <n v="1"/>
  </r>
  <r>
    <x v="29"/>
    <n v="7791"/>
    <n v="2947.35"/>
    <n v="8.4"/>
    <n v="8.4"/>
    <n v="0.3783018867924528"/>
    <n v="1"/>
  </r>
  <r>
    <x v="13"/>
    <n v="13627.5"/>
    <n v="6250.88"/>
    <n v="11.85"/>
    <n v="11.85"/>
    <n v="0.4586960190790681"/>
    <n v="1"/>
  </r>
  <r>
    <x v="22"/>
    <n v="29260"/>
    <n v="2340.8000000000002"/>
    <n v="14"/>
    <n v="14"/>
    <n v="0.08"/>
    <n v="1"/>
  </r>
  <r>
    <x v="15"/>
    <n v="88918.1"/>
    <n v="49643.49"/>
    <n v="53"/>
    <n v="53"/>
    <n v="0.5583057892600044"/>
    <n v="1"/>
  </r>
  <r>
    <x v="15"/>
    <n v="12113.64"/>
    <n v="1886.56"/>
    <n v="7.92"/>
    <n v="2"/>
    <n v="0.15573848983459967"/>
    <n v="0.25252525252525254"/>
  </r>
  <r>
    <x v="22"/>
    <n v="302464.8"/>
    <n v="1908.24"/>
    <n v="134"/>
    <n v="15"/>
    <n v="6.3089655391305038E-3"/>
    <n v="0.11194029850746269"/>
  </r>
  <r>
    <x v="15"/>
    <n v="33784.400000000001"/>
    <n v="4487.1000000000004"/>
    <n v="17.8"/>
    <n v="10"/>
    <n v="0.13281573744094907"/>
    <n v="0.56179775280898869"/>
  </r>
  <r>
    <x v="40"/>
    <n v="50239.199999999997"/>
    <n v="15590.76"/>
    <n v="20.76"/>
    <n v="20.76"/>
    <n v="0.3103305785123967"/>
    <n v="1"/>
  </r>
  <r>
    <x v="15"/>
    <n v="22390.59"/>
    <n v="959.26"/>
    <n v="14.84"/>
    <n v="14.84"/>
    <n v="4.2842104651998898E-2"/>
    <n v="1"/>
  </r>
  <r>
    <x v="15"/>
    <n v="47388"/>
    <n v="22837.48"/>
    <n v="22"/>
    <n v="22"/>
    <n v="0.48192538195323709"/>
    <n v="1"/>
  </r>
  <r>
    <x v="15"/>
    <n v="30240"/>
    <n v="1201.28"/>
    <n v="15"/>
    <n v="15"/>
    <n v="3.9724867724867725E-2"/>
    <n v="1"/>
  </r>
  <r>
    <x v="15"/>
    <n v="34382.32"/>
    <n v="16656"/>
    <n v="12.53"/>
    <n v="12.53"/>
    <n v="0.48443502358188745"/>
    <n v="1"/>
  </r>
  <r>
    <x v="15"/>
    <n v="18810.86"/>
    <n v="7290.36"/>
    <n v="18.11"/>
    <n v="18.11"/>
    <n v="0.38756122792897291"/>
    <n v="1"/>
  </r>
  <r>
    <x v="29"/>
    <n v="11825.6"/>
    <n v="3608.7"/>
    <n v="11.69"/>
    <n v="11.69"/>
    <n v="0.30515999188201864"/>
    <n v="1"/>
  </r>
  <r>
    <x v="22"/>
    <n v="21065.31"/>
    <n v="3923.48"/>
    <n v="12.18"/>
    <n v="12"/>
    <n v="0.18625313370655355"/>
    <n v="0.98522167487684731"/>
  </r>
  <r>
    <x v="15"/>
    <n v="37033.050000000003"/>
    <n v="10315.84"/>
    <n v="23.9"/>
    <n v="23"/>
    <n v="0.27855766673282378"/>
    <n v="0.96234309623430969"/>
  </r>
  <r>
    <x v="25"/>
    <n v="14856.7"/>
    <n v="955.54"/>
    <n v="18.18"/>
    <n v="18.18"/>
    <n v="6.4317109452300972E-2"/>
    <n v="1"/>
  </r>
  <r>
    <x v="25"/>
    <n v="20902.39"/>
    <n v="7612.21"/>
    <n v="18.57"/>
    <n v="18.57"/>
    <n v="0.36417892882105829"/>
    <n v="1"/>
  </r>
  <r>
    <x v="13"/>
    <n v="21229.040000000001"/>
    <n v="3343.34"/>
    <n v="23.38"/>
    <n v="23.38"/>
    <n v="0.15748898678414097"/>
    <n v="1"/>
  </r>
  <r>
    <x v="13"/>
    <n v="8603.18"/>
    <n v="450.17"/>
    <n v="6.2"/>
    <n v="6.2"/>
    <n v="5.232600038590382E-2"/>
    <n v="1"/>
  </r>
  <r>
    <x v="22"/>
    <n v="332129.13"/>
    <n v="27263.9"/>
    <n v="143.49"/>
    <n v="136.74"/>
    <n v="8.2088252843103532E-2"/>
    <n v="0.95295839431319251"/>
  </r>
  <r>
    <x v="25"/>
    <n v="8657.2800000000007"/>
    <n v="2161.08"/>
    <n v="6.67"/>
    <n v="6.68"/>
    <n v="0.24962574850299399"/>
    <n v="1.0014992503748126"/>
  </r>
  <r>
    <x v="13"/>
    <n v="57246.06"/>
    <n v="313.48"/>
    <n v="0.5"/>
    <n v="42.82"/>
    <n v="5.4760100520455041E-3"/>
    <n v="85.64"/>
  </r>
  <r>
    <x v="42"/>
    <n v="159724.79999999999"/>
    <n v="17623.87"/>
    <n v="16.920000000000002"/>
    <n v="16.920000000000002"/>
    <n v="0.11033897052931041"/>
    <n v="1"/>
  </r>
  <r>
    <x v="15"/>
    <n v="11234.58"/>
    <n v="2074.65"/>
    <n v="11.63"/>
    <n v="11.63"/>
    <n v="0.18466644948008737"/>
    <n v="1"/>
  </r>
  <r>
    <x v="13"/>
    <n v="17354.990000000002"/>
    <n v="1025.52"/>
    <n v="14.88"/>
    <n v="14.88"/>
    <n v="5.9090785992962247E-2"/>
    <n v="1"/>
  </r>
  <r>
    <x v="25"/>
    <n v="9168.64"/>
    <n v="3994.11"/>
    <n v="9.2799999999999994"/>
    <n v="9.2799999999999994"/>
    <n v="0.43562731222951284"/>
    <n v="1"/>
  </r>
  <r>
    <x v="25"/>
    <n v="13339.9"/>
    <n v="5485.11"/>
    <n v="11.21"/>
    <n v="11.21"/>
    <n v="0.41118074348383421"/>
    <n v="1"/>
  </r>
  <r>
    <x v="25"/>
    <n v="24595.200000000001"/>
    <n v="307.44"/>
    <n v="25.62"/>
    <n v="25.62"/>
    <n v="1.2499999999999999E-2"/>
    <n v="1"/>
  </r>
  <r>
    <x v="25"/>
    <n v="34172.6"/>
    <n v="5594.82"/>
    <n v="26.95"/>
    <n v="26.95"/>
    <n v="0.16372239747634068"/>
    <n v="1"/>
  </r>
  <r>
    <x v="13"/>
    <n v="54290.25"/>
    <n v="22594.95"/>
    <n v="15.75"/>
    <n v="15.75"/>
    <n v="0.41618798955613578"/>
    <n v="1"/>
  </r>
  <r>
    <x v="29"/>
    <n v="14298.17"/>
    <n v="1154.6099999999999"/>
    <n v="14.78"/>
    <n v="14.78"/>
    <n v="8.0752292076538459E-2"/>
    <n v="1"/>
  </r>
  <r>
    <x v="0"/>
    <n v="15873.65"/>
    <n v="765.95"/>
    <n v="11.2"/>
    <n v="8.27"/>
    <n v="4.8252922295754286E-2"/>
    <n v="0.73839285714285718"/>
  </r>
  <r>
    <x v="25"/>
    <n v="28373.45"/>
    <n v="5506.99"/>
    <n v="25.9"/>
    <n v="8.5"/>
    <n v="0.19408954497954953"/>
    <n v="0.3281853281853282"/>
  </r>
  <r>
    <x v="15"/>
    <n v="103125.74"/>
    <n v="3733.07"/>
    <n v="44.62"/>
    <n v="13.8"/>
    <n v="3.6199206909933446E-2"/>
    <n v="0.30927835051546393"/>
  </r>
  <r>
    <x v="13"/>
    <n v="26300"/>
    <n v="1025"/>
    <n v="20"/>
    <n v="20"/>
    <n v="3.8973384030418251E-2"/>
    <n v="1"/>
  </r>
  <r>
    <x v="42"/>
    <n v="28446.43"/>
    <n v="2002.47"/>
    <n v="5"/>
    <n v="5"/>
    <n v="7.0394422076865179E-2"/>
    <n v="1"/>
  </r>
  <r>
    <x v="15"/>
    <n v="23753.8"/>
    <n v="3947.44"/>
    <n v="19"/>
    <n v="19"/>
    <n v="0.16618141097424413"/>
    <n v="1"/>
  </r>
  <r>
    <x v="25"/>
    <n v="5880"/>
    <n v="1788.5"/>
    <n v="7"/>
    <n v="7"/>
    <n v="0.30416666666666664"/>
    <n v="1"/>
  </r>
  <r>
    <x v="15"/>
    <n v="56501.760000000002"/>
    <n v="27880.61"/>
    <n v="31.53"/>
    <n v="7"/>
    <n v="0.49344675280911604"/>
    <n v="0.22201078338090707"/>
  </r>
  <r>
    <x v="13"/>
    <n v="82176.81"/>
    <n v="9861.2199999999993"/>
    <n v="45.73"/>
    <n v="45.73"/>
    <n v="0.12000003407287287"/>
    <n v="1"/>
  </r>
  <r>
    <x v="22"/>
    <n v="65331.199999999997"/>
    <n v="2222.5300000000002"/>
    <n v="37.119999999999997"/>
    <n v="37.119999999999997"/>
    <n v="3.4019427164968655E-2"/>
    <n v="1"/>
  </r>
  <r>
    <x v="15"/>
    <n v="8508.64"/>
    <n v="3055.92"/>
    <n v="7.49"/>
    <n v="7.49"/>
    <n v="0.35915492957746481"/>
    <n v="1"/>
  </r>
  <r>
    <x v="13"/>
    <n v="16901.05"/>
    <n v="1076.5"/>
    <n v="21.53"/>
    <n v="21.53"/>
    <n v="6.3694267515923567E-2"/>
    <n v="1"/>
  </r>
  <r>
    <x v="15"/>
    <n v="12645.67"/>
    <n v="1739.34"/>
    <n v="6.71"/>
    <n v="4.3"/>
    <n v="0.13754431358718042"/>
    <n v="0.64083457526080478"/>
  </r>
  <r>
    <x v="13"/>
    <n v="11631.48"/>
    <n v="2198.1999999999998"/>
    <n v="12.81"/>
    <n v="12.81"/>
    <n v="0.1889871280352973"/>
    <n v="1"/>
  </r>
  <r>
    <x v="15"/>
    <n v="24405.94"/>
    <n v="10046.17"/>
    <n v="15.34"/>
    <n v="15.34"/>
    <n v="0.41162807087127151"/>
    <n v="1"/>
  </r>
  <r>
    <x v="22"/>
    <n v="95096.26"/>
    <n v="8176.42"/>
    <n v="42.19"/>
    <n v="42.19"/>
    <n v="8.5980458116859698E-2"/>
    <n v="1"/>
  </r>
  <r>
    <x v="25"/>
    <n v="12137.58"/>
    <n v="6383.47"/>
    <n v="11.83"/>
    <n v="11.83"/>
    <n v="0.52592609070341867"/>
    <n v="1"/>
  </r>
  <r>
    <x v="25"/>
    <n v="5329.32"/>
    <n v="3098.79"/>
    <n v="4.99"/>
    <n v="4.99"/>
    <n v="0.5814606741573034"/>
    <n v="1"/>
  </r>
  <r>
    <x v="13"/>
    <n v="8298"/>
    <n v="1120.23"/>
    <n v="7.5"/>
    <n v="7.3"/>
    <n v="0.13500000000000001"/>
    <n v="0.97333333333333327"/>
  </r>
  <r>
    <x v="13"/>
    <n v="7620.33"/>
    <n v="1129.9100000000001"/>
    <n v="5.7"/>
    <n v="4.7"/>
    <n v="0.14827573084105283"/>
    <n v="0.82456140350877194"/>
  </r>
  <r>
    <x v="15"/>
    <n v="44549.52"/>
    <n v="19235.759999999998"/>
    <n v="28.64"/>
    <n v="23.7"/>
    <n v="0.43178377679490149"/>
    <n v="0.82751396648044684"/>
  </r>
  <r>
    <x v="13"/>
    <n v="27466"/>
    <n v="9923.2000000000007"/>
    <n v="22.15"/>
    <n v="22.15"/>
    <n v="0.3612903225806452"/>
    <n v="1"/>
  </r>
  <r>
    <x v="15"/>
    <n v="16135.72"/>
    <n v="1146.8499999999999"/>
    <n v="10.92"/>
    <n v="10.92"/>
    <n v="7.1075229366895309E-2"/>
    <n v="1"/>
  </r>
  <r>
    <x v="25"/>
    <n v="9549"/>
    <n v="6302.34"/>
    <n v="10.61"/>
    <n v="10.61"/>
    <n v="0.66"/>
    <n v="1"/>
  </r>
  <r>
    <x v="40"/>
    <n v="6658.13"/>
    <n v="4422.96"/>
    <n v="3.71"/>
    <n v="3.71"/>
    <n v="0.66429462927278382"/>
    <n v="1"/>
  </r>
  <r>
    <x v="15"/>
    <n v="14476.87"/>
    <n v="1566.67"/>
    <n v="13.66"/>
    <n v="11.16"/>
    <n v="0.10821883459615235"/>
    <n v="0.81698389458272325"/>
  </r>
  <r>
    <x v="15"/>
    <n v="20487.599999999999"/>
    <n v="10795.18"/>
    <n v="10.84"/>
    <n v="10.84"/>
    <n v="0.52691286436673901"/>
    <n v="1"/>
  </r>
  <r>
    <x v="40"/>
    <n v="18354"/>
    <n v="6187.92"/>
    <n v="8.74"/>
    <n v="8.74"/>
    <n v="0.33714285714285713"/>
    <n v="1"/>
  </r>
  <r>
    <x v="15"/>
    <n v="63507.6"/>
    <n v="20893.650000000001"/>
    <n v="46"/>
    <n v="46"/>
    <n v="0.32899448255012004"/>
    <n v="1"/>
  </r>
  <r>
    <x v="29"/>
    <n v="24010.799999999999"/>
    <n v="5370.64"/>
    <n v="22"/>
    <n v="22"/>
    <n v="0.2236760124610592"/>
    <n v="1"/>
  </r>
  <r>
    <x v="39"/>
    <n v="80938.820000000007"/>
    <n v="1393.94"/>
    <n v="31.44"/>
    <n v="20"/>
    <n v="1.7222143836542216E-2"/>
    <n v="0.63613231552162852"/>
  </r>
  <r>
    <x v="20"/>
    <n v="51093.97"/>
    <n v="20473.36"/>
    <n v="59.78"/>
    <n v="59.78"/>
    <n v="0.40070012175605069"/>
    <n v="1"/>
  </r>
  <r>
    <x v="15"/>
    <n v="97442.38"/>
    <n v="12231.38"/>
    <n v="43.05"/>
    <n v="15.9"/>
    <n v="0.1255242328851163"/>
    <n v="0.36933797909407667"/>
  </r>
  <r>
    <x v="25"/>
    <n v="1232.52"/>
    <n v="670.28"/>
    <n v="1.59"/>
    <n v="1.59"/>
    <n v="0.5438289033849349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E8E6E-EC7B-C04A-96ED-7F9983D53008}" name="Tableau croisé dynamique11" cacheId="6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C49" firstHeaderRow="0" firstDataRow="1" firstDataCol="1"/>
  <pivotFields count="7">
    <pivotField axis="axisRow" showAll="0">
      <items count="46">
        <item x="11"/>
        <item x="18"/>
        <item x="2"/>
        <item x="6"/>
        <item x="30"/>
        <item x="1"/>
        <item x="32"/>
        <item x="33"/>
        <item x="38"/>
        <item x="0"/>
        <item x="10"/>
        <item x="27"/>
        <item x="3"/>
        <item x="19"/>
        <item x="9"/>
        <item x="34"/>
        <item x="37"/>
        <item x="23"/>
        <item x="20"/>
        <item x="22"/>
        <item x="35"/>
        <item x="15"/>
        <item x="24"/>
        <item x="44"/>
        <item x="21"/>
        <item x="39"/>
        <item x="40"/>
        <item x="14"/>
        <item x="28"/>
        <item x="4"/>
        <item x="7"/>
        <item x="36"/>
        <item x="8"/>
        <item x="16"/>
        <item x="42"/>
        <item x="43"/>
        <item x="26"/>
        <item x="5"/>
        <item x="25"/>
        <item x="31"/>
        <item x="41"/>
        <item x="29"/>
        <item x="13"/>
        <item x="12"/>
        <item x="17"/>
        <item t="default"/>
      </items>
    </pivotField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Pourcentage somme touchée" fld="5" subtotal="average" baseField="0" baseItem="0" numFmtId="10"/>
    <dataField name="Moyenne de Pourcentage surface touchée" fld="6" subtotal="average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5A1ADA-74D8-4947-94A9-34198FDABFA4}" name="Tableau3" displayName="Tableau3" ref="A1:U4961" totalsRowShown="0" headerRowDxfId="24" headerRowBorderDxfId="23" tableBorderDxfId="22" totalsRowBorderDxfId="21">
  <tableColumns count="21">
    <tableColumn id="1" xr3:uid="{6FA87ECB-7001-7D49-85D3-C4B0EFF2F3F7}" name="Date d'effet" dataDxfId="20"/>
    <tableColumn id="2" xr3:uid="{082DEF03-1D4E-7343-86F0-308326191126}" name="Coopérative " dataDxfId="19"/>
    <tableColumn id="3" xr3:uid="{CAB89F7A-2DD4-4945-BC7B-CDDB4A2B6CAC}" name="Département" dataDxfId="18"/>
    <tableColumn id="4" xr3:uid="{DF8DFE9F-29BA-E54E-9948-D6182297D28F}" name="REGION" dataDxfId="17"/>
    <tableColumn id="5" xr3:uid="{4EF04A42-E258-A448-AFC2-8F9B2633B870}" name="Assuré" dataDxfId="16"/>
    <tableColumn id="6" xr3:uid="{20248066-0535-804D-A008-BC35B0D98D16}" name="Contract category" dataDxfId="15"/>
    <tableColumn id="7" xr3:uid="{8E2F7FCD-36AC-D54E-9676-726523ABBEC9}" name="Renewal - New contract" dataDxfId="14">
      <calculatedColumnFormula>VLOOKUP(I2,pacage,2,FALSE)</calculatedColumnFormula>
    </tableColumn>
    <tableColumn id="8" xr3:uid="{6B30DA79-6F5D-B44C-8A93-6C632E53F841}" name="Contrat d'Assurance" dataDxfId="13"/>
    <tableColumn id="9" xr3:uid="{530075A1-5F8F-EC4C-BB07-961105EA7E5D}" name="N° PACAGE " dataDxfId="12"/>
    <tableColumn id="10" xr3:uid="{A7A95281-D674-9A44-8DE5-28F631333168}" name="Franchise" dataDxfId="11"/>
    <tableColumn id="11" xr3:uid="{CBE9C724-C746-B643-83A6-675AFFF2590D}" name="Culture" dataDxfId="10"/>
    <tableColumn id="12" xr3:uid="{E6206EB8-1269-304E-A641-90B5A1D9E372}" name="Seasonality" dataDxfId="9"/>
    <tableColumn id="13" xr3:uid="{12A5F2E9-223B-D74F-941C-D90EDCEB6E1A}" name="Sum Insured (€)" dataDxfId="8" dataCellStyle="Milliers"/>
    <tableColumn id="14" xr3:uid="{A2E4B825-A41B-9346-8701-DDD6B8F2E28D}" name="Insured acreage (ha)" dataDxfId="7" dataCellStyle="Milliers"/>
    <tableColumn id="15" xr3:uid="{EE79B8B1-24E3-0447-AA43-29C6AA0A3060}" name="Rendement (t/ha) " dataDxfId="6" dataCellStyle="Milliers"/>
    <tableColumn id="16" xr3:uid="{E435F3CC-FF33-0846-B3AD-E2451F69C564}" name="Prix assuré (€/t)" dataDxfId="5"/>
    <tableColumn id="17" xr3:uid="{C676699D-5DB7-BE45-9A30-D1297F37CF2F}" name="PREMIUM (€)" dataDxfId="4"/>
    <tableColumn id="18" xr3:uid="{DCE5AA3A-18CD-3F41-8E49-E6D045942605}" name="Prime Subventionnable N1" dataDxfId="3"/>
    <tableColumn id="19" xr3:uid="{D5A70A29-640E-6546-8CEB-BBEC3AB041A5}" name="Prime Subventionnable N2" dataDxfId="2"/>
    <tableColumn id="20" xr3:uid="{C23E7A8E-5F77-DF45-AF2C-C185E3F2D784}" name="Prime Subventionnable N3" dataDxfId="1"/>
    <tableColumn id="21" xr3:uid="{7221E850-C68B-5F48-B450-3E87DB7A333E}" name="Modifié l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721AA-3233-6246-BA79-8CB2084BB13B}">
  <dimension ref="A1:U4961"/>
  <sheetViews>
    <sheetView topLeftCell="H1" workbookViewId="0">
      <selection activeCell="M1221" sqref="M1221:M1733"/>
    </sheetView>
  </sheetViews>
  <sheetFormatPr baseColWidth="10" defaultRowHeight="15"/>
  <cols>
    <col min="1" max="1" width="14.33203125" style="790" customWidth="1"/>
    <col min="2" max="2" width="45.6640625" style="781" bestFit="1" customWidth="1"/>
    <col min="3" max="3" width="32.5" style="781" bestFit="1" customWidth="1"/>
    <col min="4" max="4" width="26.5" style="781" bestFit="1" customWidth="1"/>
    <col min="5" max="5" width="53.5" style="781" bestFit="1" customWidth="1"/>
    <col min="6" max="6" width="57.33203125" style="781" bestFit="1" customWidth="1"/>
    <col min="7" max="7" width="57.33203125" style="781" customWidth="1"/>
    <col min="8" max="8" width="52.5" style="781" bestFit="1" customWidth="1"/>
    <col min="9" max="9" width="44.5" style="781" bestFit="1" customWidth="1"/>
    <col min="10" max="10" width="11.5" style="781" customWidth="1"/>
    <col min="11" max="12" width="34.83203125" style="781" customWidth="1"/>
    <col min="13" max="13" width="36.5" style="791" customWidth="1"/>
    <col min="14" max="14" width="32" style="791" customWidth="1"/>
    <col min="15" max="15" width="40.33203125" style="791" customWidth="1"/>
    <col min="16" max="16" width="35.83203125" style="781" bestFit="1" customWidth="1"/>
    <col min="17" max="17" width="25" style="781" bestFit="1" customWidth="1"/>
    <col min="18" max="20" width="27.33203125" style="781" bestFit="1" customWidth="1"/>
    <col min="21" max="21" width="12.5" style="790" bestFit="1" customWidth="1"/>
    <col min="22" max="16384" width="10.83203125" style="781"/>
  </cols>
  <sheetData>
    <row r="1" spans="1:21">
      <c r="A1" s="777" t="s">
        <v>3988</v>
      </c>
      <c r="B1" s="778" t="s">
        <v>3989</v>
      </c>
      <c r="C1" s="778" t="s">
        <v>3990</v>
      </c>
      <c r="D1" s="778" t="s">
        <v>3991</v>
      </c>
      <c r="E1" s="778" t="s">
        <v>3992</v>
      </c>
      <c r="F1" s="778" t="s">
        <v>3993</v>
      </c>
      <c r="G1" s="778" t="s">
        <v>3994</v>
      </c>
      <c r="H1" s="778" t="s">
        <v>3995</v>
      </c>
      <c r="I1" s="778" t="s">
        <v>3996</v>
      </c>
      <c r="J1" s="778" t="s">
        <v>3997</v>
      </c>
      <c r="K1" s="778" t="s">
        <v>3971</v>
      </c>
      <c r="L1" s="778" t="s">
        <v>3998</v>
      </c>
      <c r="M1" s="779" t="s">
        <v>3999</v>
      </c>
      <c r="N1" s="779" t="s">
        <v>4000</v>
      </c>
      <c r="O1" s="779" t="s">
        <v>4001</v>
      </c>
      <c r="P1" s="778" t="s">
        <v>4002</v>
      </c>
      <c r="Q1" s="778" t="s">
        <v>4003</v>
      </c>
      <c r="R1" s="778" t="s">
        <v>4004</v>
      </c>
      <c r="S1" s="778" t="s">
        <v>4005</v>
      </c>
      <c r="T1" s="778" t="s">
        <v>4006</v>
      </c>
      <c r="U1" s="780" t="s">
        <v>4007</v>
      </c>
    </row>
    <row r="2" spans="1:21">
      <c r="A2" s="782">
        <v>44409</v>
      </c>
      <c r="B2" s="783" t="s">
        <v>41</v>
      </c>
      <c r="C2" s="783" t="s">
        <v>4008</v>
      </c>
      <c r="D2" s="783" t="s">
        <v>4009</v>
      </c>
      <c r="E2" s="783" t="s">
        <v>4010</v>
      </c>
      <c r="F2" s="783" t="s">
        <v>4011</v>
      </c>
      <c r="G2" s="783" t="str">
        <f>VLOOKUP(I2,pacage,2,FALSE)</f>
        <v>Renewal (25% in 2020)</v>
      </c>
      <c r="H2" s="783" t="s">
        <v>4012</v>
      </c>
      <c r="I2" s="783" t="s">
        <v>4013</v>
      </c>
      <c r="J2" s="783">
        <v>25</v>
      </c>
      <c r="K2" s="783" t="s">
        <v>941</v>
      </c>
      <c r="L2" s="783" t="s">
        <v>4014</v>
      </c>
      <c r="M2" s="784">
        <v>1944.45</v>
      </c>
      <c r="N2" s="784">
        <v>3</v>
      </c>
      <c r="O2" s="784">
        <v>4.47</v>
      </c>
      <c r="P2" s="783">
        <v>145</v>
      </c>
      <c r="Q2" s="783">
        <v>128.72</v>
      </c>
      <c r="R2" s="783">
        <v>88.18</v>
      </c>
      <c r="S2" s="783">
        <v>19.54</v>
      </c>
      <c r="T2" s="783">
        <v>21</v>
      </c>
      <c r="U2" s="785">
        <v>44631.509988425903</v>
      </c>
    </row>
    <row r="3" spans="1:21">
      <c r="A3" s="782">
        <v>44691</v>
      </c>
      <c r="B3" s="783" t="s">
        <v>51</v>
      </c>
      <c r="C3" s="783" t="s">
        <v>4015</v>
      </c>
      <c r="D3" s="783" t="s">
        <v>4016</v>
      </c>
      <c r="E3" s="783" t="s">
        <v>4017</v>
      </c>
      <c r="F3" s="783" t="s">
        <v>4011</v>
      </c>
      <c r="G3" s="783" t="str">
        <f>VLOOKUP(I3,pacage,2,FALSE)</f>
        <v>New Contract</v>
      </c>
      <c r="H3" s="783" t="s">
        <v>4018</v>
      </c>
      <c r="I3" s="783" t="s">
        <v>4019</v>
      </c>
      <c r="J3" s="783">
        <v>25</v>
      </c>
      <c r="K3" s="783" t="s">
        <v>941</v>
      </c>
      <c r="L3" s="783" t="s">
        <v>4014</v>
      </c>
      <c r="M3" s="784">
        <v>1200</v>
      </c>
      <c r="N3" s="784">
        <v>2</v>
      </c>
      <c r="O3" s="784">
        <v>4</v>
      </c>
      <c r="P3" s="783">
        <v>150</v>
      </c>
      <c r="Q3" s="783">
        <v>99</v>
      </c>
      <c r="R3" s="783">
        <v>67.290000000000006</v>
      </c>
      <c r="S3" s="783">
        <v>17.91</v>
      </c>
      <c r="T3" s="783">
        <v>13.8</v>
      </c>
      <c r="U3" s="785">
        <v>44691.527569444399</v>
      </c>
    </row>
    <row r="4" spans="1:21">
      <c r="A4" s="782">
        <v>44452</v>
      </c>
      <c r="B4" s="783" t="s">
        <v>228</v>
      </c>
      <c r="C4" s="783" t="s">
        <v>4020</v>
      </c>
      <c r="D4" s="783" t="s">
        <v>4021</v>
      </c>
      <c r="E4" s="783" t="s">
        <v>4022</v>
      </c>
      <c r="F4" s="783" t="s">
        <v>4011</v>
      </c>
      <c r="G4" s="783" t="str">
        <f>VLOOKUP(I4,pacage,2,FALSE)</f>
        <v>Renewal (25% in 2020)</v>
      </c>
      <c r="H4" s="783" t="s">
        <v>4023</v>
      </c>
      <c r="I4" s="783" t="s">
        <v>4024</v>
      </c>
      <c r="J4" s="783">
        <v>25</v>
      </c>
      <c r="K4" s="783" t="s">
        <v>941</v>
      </c>
      <c r="L4" s="783" t="s">
        <v>4014</v>
      </c>
      <c r="M4" s="784">
        <v>2170.4899999999998</v>
      </c>
      <c r="N4" s="784">
        <v>5.05</v>
      </c>
      <c r="O4" s="784">
        <v>3.07</v>
      </c>
      <c r="P4" s="783">
        <v>140</v>
      </c>
      <c r="Q4" s="783">
        <v>158.01</v>
      </c>
      <c r="R4" s="783">
        <v>115.97</v>
      </c>
      <c r="S4" s="783">
        <v>20.55</v>
      </c>
      <c r="T4" s="783">
        <v>21.49</v>
      </c>
      <c r="U4" s="785">
        <v>44631.513854166697</v>
      </c>
    </row>
    <row r="5" spans="1:21">
      <c r="A5" s="782">
        <v>44712</v>
      </c>
      <c r="B5" s="783" t="s">
        <v>4025</v>
      </c>
      <c r="C5" s="783" t="s">
        <v>4026</v>
      </c>
      <c r="D5" s="783" t="s">
        <v>4021</v>
      </c>
      <c r="E5" s="783" t="s">
        <v>4027</v>
      </c>
      <c r="F5" s="783" t="s">
        <v>4011</v>
      </c>
      <c r="G5" s="783" t="s">
        <v>4028</v>
      </c>
      <c r="H5" s="783" t="s">
        <v>4029</v>
      </c>
      <c r="I5" s="783" t="s">
        <v>4030</v>
      </c>
      <c r="J5" s="783">
        <v>25</v>
      </c>
      <c r="K5" s="783" t="s">
        <v>941</v>
      </c>
      <c r="L5" s="783" t="s">
        <v>4014</v>
      </c>
      <c r="M5" s="784">
        <v>1350.42</v>
      </c>
      <c r="N5" s="784">
        <v>2.84</v>
      </c>
      <c r="O5" s="784">
        <v>3.17</v>
      </c>
      <c r="P5" s="783">
        <v>150</v>
      </c>
      <c r="Q5" s="783">
        <v>92.64</v>
      </c>
      <c r="R5" s="783">
        <v>61.3</v>
      </c>
      <c r="S5" s="783">
        <v>16.62</v>
      </c>
      <c r="T5" s="783">
        <v>14.72</v>
      </c>
      <c r="U5" s="785">
        <v>44714.007592592599</v>
      </c>
    </row>
    <row r="6" spans="1:21">
      <c r="A6" s="782">
        <v>44712</v>
      </c>
      <c r="B6" s="783" t="s">
        <v>4025</v>
      </c>
      <c r="C6" s="783" t="s">
        <v>4026</v>
      </c>
      <c r="D6" s="783" t="s">
        <v>4021</v>
      </c>
      <c r="E6" s="783" t="s">
        <v>4031</v>
      </c>
      <c r="F6" s="783" t="s">
        <v>4011</v>
      </c>
      <c r="G6" s="783" t="s">
        <v>4028</v>
      </c>
      <c r="H6" s="783" t="s">
        <v>4032</v>
      </c>
      <c r="I6" s="783" t="s">
        <v>4033</v>
      </c>
      <c r="J6" s="783">
        <v>25</v>
      </c>
      <c r="K6" s="783" t="s">
        <v>941</v>
      </c>
      <c r="L6" s="783" t="s">
        <v>4014</v>
      </c>
      <c r="M6" s="784">
        <v>3522.38</v>
      </c>
      <c r="N6" s="784">
        <v>7.75</v>
      </c>
      <c r="O6" s="784">
        <v>3.03</v>
      </c>
      <c r="P6" s="783">
        <v>150</v>
      </c>
      <c r="Q6" s="783">
        <v>241.63</v>
      </c>
      <c r="R6" s="783">
        <v>159.88999999999999</v>
      </c>
      <c r="S6" s="783">
        <v>43.35</v>
      </c>
      <c r="T6" s="783">
        <v>38.39</v>
      </c>
      <c r="U6" s="785">
        <v>44714.019027777802</v>
      </c>
    </row>
    <row r="7" spans="1:21">
      <c r="A7" s="782">
        <v>44679</v>
      </c>
      <c r="B7" s="783" t="s">
        <v>41</v>
      </c>
      <c r="C7" s="783" t="s">
        <v>4008</v>
      </c>
      <c r="D7" s="783" t="s">
        <v>4009</v>
      </c>
      <c r="E7" s="783" t="s">
        <v>4034</v>
      </c>
      <c r="F7" s="783" t="s">
        <v>4011</v>
      </c>
      <c r="G7" s="783" t="str">
        <f>VLOOKUP(I7,pacage,2,FALSE)</f>
        <v>Renewal (25% in 2020)</v>
      </c>
      <c r="H7" s="783" t="s">
        <v>4035</v>
      </c>
      <c r="I7" s="783" t="s">
        <v>4036</v>
      </c>
      <c r="J7" s="783">
        <v>25</v>
      </c>
      <c r="K7" s="783" t="s">
        <v>941</v>
      </c>
      <c r="L7" s="783" t="s">
        <v>4014</v>
      </c>
      <c r="M7" s="784">
        <v>1870.06</v>
      </c>
      <c r="N7" s="784">
        <v>2.83</v>
      </c>
      <c r="O7" s="784">
        <v>4.13</v>
      </c>
      <c r="P7" s="783">
        <v>160</v>
      </c>
      <c r="Q7" s="783">
        <v>123.8</v>
      </c>
      <c r="R7" s="783">
        <v>76.86</v>
      </c>
      <c r="S7" s="783">
        <v>26.74</v>
      </c>
      <c r="T7" s="783">
        <v>20.2</v>
      </c>
      <c r="U7" s="785">
        <v>44680.690590277802</v>
      </c>
    </row>
    <row r="8" spans="1:21">
      <c r="A8" s="782">
        <v>44711</v>
      </c>
      <c r="B8" s="783" t="s">
        <v>624</v>
      </c>
      <c r="C8" s="783" t="s">
        <v>4037</v>
      </c>
      <c r="D8" s="783" t="s">
        <v>4038</v>
      </c>
      <c r="E8" s="783" t="s">
        <v>4039</v>
      </c>
      <c r="F8" s="783" t="s">
        <v>4011</v>
      </c>
      <c r="G8" s="783" t="s">
        <v>4028</v>
      </c>
      <c r="H8" s="783" t="s">
        <v>4040</v>
      </c>
      <c r="I8" s="783" t="s">
        <v>4041</v>
      </c>
      <c r="J8" s="783">
        <v>20</v>
      </c>
      <c r="K8" s="783" t="s">
        <v>941</v>
      </c>
      <c r="L8" s="783" t="s">
        <v>4014</v>
      </c>
      <c r="M8" s="784">
        <v>9937.98</v>
      </c>
      <c r="N8" s="784">
        <v>11.16</v>
      </c>
      <c r="O8" s="784">
        <v>5</v>
      </c>
      <c r="P8" s="783">
        <v>178.1</v>
      </c>
      <c r="Q8" s="783">
        <v>1188.58</v>
      </c>
      <c r="R8" s="783">
        <v>495.37</v>
      </c>
      <c r="S8" s="783">
        <v>250.97</v>
      </c>
      <c r="T8" s="783">
        <v>442.24</v>
      </c>
      <c r="U8" s="785">
        <v>44713.980636574102</v>
      </c>
    </row>
    <row r="9" spans="1:21">
      <c r="A9" s="782">
        <v>44687</v>
      </c>
      <c r="B9" s="783" t="s">
        <v>51</v>
      </c>
      <c r="C9" s="783" t="s">
        <v>4042</v>
      </c>
      <c r="D9" s="783" t="s">
        <v>4016</v>
      </c>
      <c r="E9" s="783" t="s">
        <v>4043</v>
      </c>
      <c r="F9" s="783" t="s">
        <v>4011</v>
      </c>
      <c r="G9" s="783" t="s">
        <v>4028</v>
      </c>
      <c r="H9" s="783" t="s">
        <v>4044</v>
      </c>
      <c r="I9" s="783" t="s">
        <v>4045</v>
      </c>
      <c r="J9" s="783">
        <v>25</v>
      </c>
      <c r="K9" s="783" t="s">
        <v>941</v>
      </c>
      <c r="L9" s="783" t="s">
        <v>4014</v>
      </c>
      <c r="M9" s="784">
        <v>917.19</v>
      </c>
      <c r="N9" s="784">
        <v>1.58</v>
      </c>
      <c r="O9" s="784">
        <v>3.87</v>
      </c>
      <c r="P9" s="783">
        <v>150</v>
      </c>
      <c r="Q9" s="783">
        <v>50.9</v>
      </c>
      <c r="R9" s="783">
        <v>35.18</v>
      </c>
      <c r="S9" s="783">
        <v>9.2100000000000009</v>
      </c>
      <c r="T9" s="783">
        <v>6.51</v>
      </c>
      <c r="U9" s="785">
        <v>44687.596307870401</v>
      </c>
    </row>
    <row r="10" spans="1:21">
      <c r="A10" s="782">
        <v>44659</v>
      </c>
      <c r="B10" s="783" t="s">
        <v>41</v>
      </c>
      <c r="C10" s="783" t="s">
        <v>4008</v>
      </c>
      <c r="D10" s="783" t="s">
        <v>4009</v>
      </c>
      <c r="E10" s="783" t="s">
        <v>4046</v>
      </c>
      <c r="F10" s="783" t="s">
        <v>4011</v>
      </c>
      <c r="G10" s="783" t="str">
        <f>VLOOKUP(I10,pacage,2,FALSE)</f>
        <v>Renewal (25% in 2020)</v>
      </c>
      <c r="H10" s="783" t="s">
        <v>4047</v>
      </c>
      <c r="I10" s="783" t="s">
        <v>4048</v>
      </c>
      <c r="J10" s="783">
        <v>25</v>
      </c>
      <c r="K10" s="783" t="s">
        <v>941</v>
      </c>
      <c r="L10" s="783" t="s">
        <v>4014</v>
      </c>
      <c r="M10" s="784">
        <v>1755.54</v>
      </c>
      <c r="N10" s="784">
        <v>3.72</v>
      </c>
      <c r="O10" s="784">
        <v>3.47</v>
      </c>
      <c r="P10" s="783">
        <v>136</v>
      </c>
      <c r="Q10" s="783">
        <v>116.22</v>
      </c>
      <c r="R10" s="783">
        <v>84.27</v>
      </c>
      <c r="S10" s="783">
        <v>12.99</v>
      </c>
      <c r="T10" s="783">
        <v>18.96</v>
      </c>
      <c r="U10" s="785">
        <v>44663.409270833297</v>
      </c>
    </row>
    <row r="11" spans="1:21">
      <c r="A11" s="782">
        <v>44686</v>
      </c>
      <c r="B11" s="783" t="s">
        <v>4025</v>
      </c>
      <c r="C11" s="783" t="s">
        <v>4026</v>
      </c>
      <c r="D11" s="783" t="s">
        <v>4021</v>
      </c>
      <c r="E11" s="783" t="s">
        <v>4049</v>
      </c>
      <c r="F11" s="783" t="s">
        <v>4011</v>
      </c>
      <c r="G11" s="783" t="str">
        <f>VLOOKUP(I11,pacage,2,FALSE)</f>
        <v>New contract</v>
      </c>
      <c r="H11" s="783" t="s">
        <v>4050</v>
      </c>
      <c r="I11" s="783" t="s">
        <v>4051</v>
      </c>
      <c r="J11" s="783">
        <v>30</v>
      </c>
      <c r="K11" s="783" t="s">
        <v>941</v>
      </c>
      <c r="L11" s="783" t="s">
        <v>4014</v>
      </c>
      <c r="M11" s="784">
        <v>3925.32</v>
      </c>
      <c r="N11" s="784">
        <v>7.6</v>
      </c>
      <c r="O11" s="784">
        <v>3.77</v>
      </c>
      <c r="P11" s="783">
        <v>137</v>
      </c>
      <c r="Q11" s="783">
        <v>237.87</v>
      </c>
      <c r="R11" s="783">
        <v>195.09</v>
      </c>
      <c r="S11" s="783">
        <v>0</v>
      </c>
      <c r="T11" s="783">
        <v>42.79</v>
      </c>
      <c r="U11" s="785">
        <v>44687.618229166699</v>
      </c>
    </row>
    <row r="12" spans="1:21">
      <c r="A12" s="782">
        <v>44684</v>
      </c>
      <c r="B12" s="783" t="s">
        <v>4025</v>
      </c>
      <c r="C12" s="783" t="s">
        <v>4052</v>
      </c>
      <c r="D12" s="783" t="s">
        <v>4021</v>
      </c>
      <c r="E12" s="783" t="s">
        <v>4053</v>
      </c>
      <c r="F12" s="783" t="s">
        <v>4011</v>
      </c>
      <c r="G12" s="783" t="str">
        <f>VLOOKUP(I12,pacage,2,FALSE)</f>
        <v>New contract</v>
      </c>
      <c r="H12" s="783" t="s">
        <v>4054</v>
      </c>
      <c r="I12" s="783" t="s">
        <v>4055</v>
      </c>
      <c r="J12" s="783">
        <v>25</v>
      </c>
      <c r="K12" s="783" t="s">
        <v>941</v>
      </c>
      <c r="L12" s="783" t="s">
        <v>4014</v>
      </c>
      <c r="M12" s="784">
        <v>1567.05</v>
      </c>
      <c r="N12" s="784">
        <v>3</v>
      </c>
      <c r="O12" s="784">
        <v>3.37</v>
      </c>
      <c r="P12" s="783">
        <v>155</v>
      </c>
      <c r="Q12" s="783">
        <v>88.22</v>
      </c>
      <c r="R12" s="783">
        <v>60.11</v>
      </c>
      <c r="S12" s="783">
        <v>18.079999999999998</v>
      </c>
      <c r="T12" s="783">
        <v>10.029999999999999</v>
      </c>
      <c r="U12" s="785">
        <v>44685.4058912037</v>
      </c>
    </row>
    <row r="13" spans="1:21">
      <c r="A13" s="782">
        <v>44712</v>
      </c>
      <c r="B13" s="783" t="s">
        <v>4025</v>
      </c>
      <c r="C13" s="783" t="s">
        <v>4026</v>
      </c>
      <c r="D13" s="783" t="s">
        <v>4021</v>
      </c>
      <c r="E13" s="783" t="s">
        <v>4056</v>
      </c>
      <c r="F13" s="783" t="s">
        <v>4011</v>
      </c>
      <c r="G13" s="783" t="s">
        <v>4028</v>
      </c>
      <c r="H13" s="783" t="s">
        <v>4057</v>
      </c>
      <c r="I13" s="783" t="s">
        <v>4058</v>
      </c>
      <c r="J13" s="783">
        <v>25</v>
      </c>
      <c r="K13" s="783" t="s">
        <v>941</v>
      </c>
      <c r="L13" s="783" t="s">
        <v>4014</v>
      </c>
      <c r="M13" s="784">
        <v>3673.05</v>
      </c>
      <c r="N13" s="784">
        <v>5.21</v>
      </c>
      <c r="O13" s="784">
        <v>4.7</v>
      </c>
      <c r="P13" s="783">
        <v>150</v>
      </c>
      <c r="Q13" s="783">
        <v>251.97</v>
      </c>
      <c r="R13" s="783">
        <v>166.73</v>
      </c>
      <c r="S13" s="783">
        <v>45.21</v>
      </c>
      <c r="T13" s="783">
        <v>40.04</v>
      </c>
      <c r="U13" s="785">
        <v>44714.465833333299</v>
      </c>
    </row>
    <row r="14" spans="1:21">
      <c r="A14" s="782">
        <v>44698</v>
      </c>
      <c r="B14" s="783" t="s">
        <v>74</v>
      </c>
      <c r="C14" s="783" t="s">
        <v>4037</v>
      </c>
      <c r="D14" s="783" t="s">
        <v>4038</v>
      </c>
      <c r="E14" s="783" t="s">
        <v>4059</v>
      </c>
      <c r="F14" s="783" t="s">
        <v>4011</v>
      </c>
      <c r="G14" s="783" t="str">
        <f>VLOOKUP(I14,pacage,2,FALSE)</f>
        <v>Renewal (25% in 2020)</v>
      </c>
      <c r="H14" s="783" t="s">
        <v>4060</v>
      </c>
      <c r="I14" s="783" t="s">
        <v>4061</v>
      </c>
      <c r="J14" s="783">
        <v>25</v>
      </c>
      <c r="K14" s="783" t="s">
        <v>941</v>
      </c>
      <c r="L14" s="783" t="s">
        <v>4014</v>
      </c>
      <c r="M14" s="784">
        <v>15920.18</v>
      </c>
      <c r="N14" s="784">
        <v>17.57</v>
      </c>
      <c r="O14" s="784">
        <v>5.33</v>
      </c>
      <c r="P14" s="783">
        <v>170</v>
      </c>
      <c r="Q14" s="783">
        <v>1506.05</v>
      </c>
      <c r="R14" s="783">
        <v>831.37</v>
      </c>
      <c r="S14" s="783">
        <v>364.23</v>
      </c>
      <c r="T14" s="783">
        <v>310.44</v>
      </c>
      <c r="U14" s="785">
        <v>44700.469907407401</v>
      </c>
    </row>
    <row r="15" spans="1:21">
      <c r="A15" s="782">
        <v>44698</v>
      </c>
      <c r="B15" s="783" t="s">
        <v>51</v>
      </c>
      <c r="C15" s="783" t="s">
        <v>4015</v>
      </c>
      <c r="D15" s="783" t="s">
        <v>4016</v>
      </c>
      <c r="E15" s="783" t="s">
        <v>4062</v>
      </c>
      <c r="F15" s="783" t="s">
        <v>4011</v>
      </c>
      <c r="G15" s="783" t="s">
        <v>4028</v>
      </c>
      <c r="H15" s="783" t="s">
        <v>4063</v>
      </c>
      <c r="I15" s="783" t="s">
        <v>4064</v>
      </c>
      <c r="J15" s="783">
        <v>25</v>
      </c>
      <c r="K15" s="783" t="s">
        <v>941</v>
      </c>
      <c r="L15" s="783" t="s">
        <v>4014</v>
      </c>
      <c r="M15" s="784">
        <v>4126.82</v>
      </c>
      <c r="N15" s="784">
        <v>6.3</v>
      </c>
      <c r="O15" s="784">
        <v>3.97</v>
      </c>
      <c r="P15" s="783">
        <v>165</v>
      </c>
      <c r="Q15" s="783">
        <v>340.46</v>
      </c>
      <c r="R15" s="783">
        <v>210.39</v>
      </c>
      <c r="S15" s="783">
        <v>82.62</v>
      </c>
      <c r="T15" s="783">
        <v>47.46</v>
      </c>
      <c r="U15" s="785">
        <v>44699.493541666699</v>
      </c>
    </row>
    <row r="16" spans="1:21">
      <c r="A16" s="782">
        <v>44634</v>
      </c>
      <c r="B16" s="783" t="s">
        <v>4025</v>
      </c>
      <c r="C16" s="783" t="s">
        <v>4026</v>
      </c>
      <c r="D16" s="783" t="s">
        <v>4021</v>
      </c>
      <c r="E16" s="783" t="s">
        <v>4065</v>
      </c>
      <c r="F16" s="783" t="s">
        <v>4066</v>
      </c>
      <c r="G16" s="783" t="s">
        <v>4028</v>
      </c>
      <c r="H16" s="783" t="s">
        <v>4067</v>
      </c>
      <c r="I16" s="783" t="s">
        <v>4068</v>
      </c>
      <c r="J16" s="783">
        <v>5</v>
      </c>
      <c r="K16" s="783" t="s">
        <v>941</v>
      </c>
      <c r="L16" s="783" t="s">
        <v>4014</v>
      </c>
      <c r="M16" s="784">
        <v>3059.82</v>
      </c>
      <c r="N16" s="784">
        <v>3.82</v>
      </c>
      <c r="O16" s="784">
        <v>4.5</v>
      </c>
      <c r="P16" s="783">
        <v>178</v>
      </c>
      <c r="Q16" s="783">
        <v>87.51</v>
      </c>
      <c r="R16" s="783">
        <v>0</v>
      </c>
      <c r="S16" s="783">
        <v>0</v>
      </c>
      <c r="T16" s="783">
        <v>87.51</v>
      </c>
      <c r="U16" s="785">
        <v>44634.627465277801</v>
      </c>
    </row>
    <row r="17" spans="1:21">
      <c r="A17" s="782">
        <v>44686</v>
      </c>
      <c r="B17" s="783" t="s">
        <v>51</v>
      </c>
      <c r="C17" s="783" t="s">
        <v>4015</v>
      </c>
      <c r="D17" s="783" t="s">
        <v>4016</v>
      </c>
      <c r="E17" s="783" t="s">
        <v>2227</v>
      </c>
      <c r="F17" s="783" t="s">
        <v>4011</v>
      </c>
      <c r="G17" s="783" t="str">
        <f>VLOOKUP(I17,pacage,2,FALSE)</f>
        <v>Renewal (20% in 2020)</v>
      </c>
      <c r="H17" s="783" t="s">
        <v>4069</v>
      </c>
      <c r="I17" s="783" t="s">
        <v>4070</v>
      </c>
      <c r="J17" s="783">
        <v>20</v>
      </c>
      <c r="K17" s="783" t="s">
        <v>941</v>
      </c>
      <c r="L17" s="783" t="s">
        <v>4014</v>
      </c>
      <c r="M17" s="784">
        <v>3876.6</v>
      </c>
      <c r="N17" s="784">
        <v>6.5</v>
      </c>
      <c r="O17" s="784">
        <v>4.26</v>
      </c>
      <c r="P17" s="783">
        <v>140</v>
      </c>
      <c r="Q17" s="783">
        <v>410.53</v>
      </c>
      <c r="R17" s="783">
        <v>232.92</v>
      </c>
      <c r="S17" s="783">
        <v>42.32</v>
      </c>
      <c r="T17" s="783">
        <v>135.29</v>
      </c>
      <c r="U17" s="785">
        <v>44687.664907407401</v>
      </c>
    </row>
    <row r="18" spans="1:21">
      <c r="A18" s="782">
        <v>44523</v>
      </c>
      <c r="B18" s="783" t="s">
        <v>41</v>
      </c>
      <c r="C18" s="783" t="s">
        <v>4071</v>
      </c>
      <c r="D18" s="783" t="s">
        <v>4009</v>
      </c>
      <c r="E18" s="783" t="s">
        <v>4072</v>
      </c>
      <c r="F18" s="783" t="s">
        <v>4011</v>
      </c>
      <c r="G18" s="783" t="str">
        <f>VLOOKUP(I18,pacage,2,FALSE)</f>
        <v>Renewal (15% in 2020)</v>
      </c>
      <c r="H18" s="783" t="s">
        <v>4073</v>
      </c>
      <c r="I18" s="783" t="s">
        <v>4074</v>
      </c>
      <c r="J18" s="783">
        <v>15</v>
      </c>
      <c r="K18" s="783" t="s">
        <v>941</v>
      </c>
      <c r="L18" s="783" t="s">
        <v>4014</v>
      </c>
      <c r="M18" s="784">
        <v>7480.2</v>
      </c>
      <c r="N18" s="784">
        <v>14</v>
      </c>
      <c r="O18" s="784">
        <v>3.9</v>
      </c>
      <c r="P18" s="783">
        <v>137</v>
      </c>
      <c r="Q18" s="783">
        <v>614.12</v>
      </c>
      <c r="R18" s="783">
        <v>277.52</v>
      </c>
      <c r="S18" s="783">
        <v>41.14</v>
      </c>
      <c r="T18" s="783">
        <v>295.47000000000003</v>
      </c>
      <c r="U18" s="785">
        <v>44631.637430555602</v>
      </c>
    </row>
    <row r="19" spans="1:21">
      <c r="A19" s="782">
        <v>44483</v>
      </c>
      <c r="B19" s="783" t="s">
        <v>4025</v>
      </c>
      <c r="C19" s="783" t="s">
        <v>4026</v>
      </c>
      <c r="D19" s="783" t="s">
        <v>4021</v>
      </c>
      <c r="E19" s="783" t="s">
        <v>4075</v>
      </c>
      <c r="F19" s="783" t="s">
        <v>4011</v>
      </c>
      <c r="G19" s="783" t="str">
        <f>VLOOKUP(I19,pacage,2,FALSE)</f>
        <v>New Contract</v>
      </c>
      <c r="H19" s="783" t="s">
        <v>4076</v>
      </c>
      <c r="I19" s="783" t="s">
        <v>4077</v>
      </c>
      <c r="J19" s="783">
        <v>25</v>
      </c>
      <c r="K19" s="783" t="s">
        <v>941</v>
      </c>
      <c r="L19" s="783" t="s">
        <v>4014</v>
      </c>
      <c r="M19" s="784">
        <v>11545.83</v>
      </c>
      <c r="N19" s="784">
        <v>19.28</v>
      </c>
      <c r="O19" s="784">
        <v>4.13</v>
      </c>
      <c r="P19" s="783">
        <v>145</v>
      </c>
      <c r="Q19" s="783">
        <v>792.04</v>
      </c>
      <c r="R19" s="783">
        <v>542.16999999999996</v>
      </c>
      <c r="S19" s="783">
        <v>124.03</v>
      </c>
      <c r="T19" s="783">
        <v>125.85</v>
      </c>
      <c r="U19" s="785">
        <v>44631.638078703698</v>
      </c>
    </row>
    <row r="20" spans="1:21">
      <c r="A20" s="782">
        <v>44600</v>
      </c>
      <c r="B20" s="783" t="s">
        <v>4025</v>
      </c>
      <c r="C20" s="783" t="s">
        <v>4026</v>
      </c>
      <c r="D20" s="783" t="s">
        <v>4021</v>
      </c>
      <c r="E20" s="783" t="s">
        <v>4078</v>
      </c>
      <c r="F20" s="783" t="s">
        <v>4011</v>
      </c>
      <c r="G20" s="783" t="s">
        <v>4028</v>
      </c>
      <c r="H20" s="783" t="s">
        <v>4079</v>
      </c>
      <c r="I20" s="783" t="s">
        <v>4080</v>
      </c>
      <c r="J20" s="783">
        <v>25</v>
      </c>
      <c r="K20" s="783" t="s">
        <v>4081</v>
      </c>
      <c r="L20" s="783" t="s">
        <v>4014</v>
      </c>
      <c r="M20" s="784">
        <v>3960.27</v>
      </c>
      <c r="N20" s="784">
        <v>15.24</v>
      </c>
      <c r="O20" s="784">
        <v>1.42</v>
      </c>
      <c r="P20" s="783">
        <v>183</v>
      </c>
      <c r="Q20" s="783">
        <v>299</v>
      </c>
      <c r="R20" s="783">
        <v>167.21</v>
      </c>
      <c r="S20" s="783">
        <v>84.66</v>
      </c>
      <c r="T20" s="783">
        <v>47.13</v>
      </c>
      <c r="U20" s="785">
        <v>44631.629027777803</v>
      </c>
    </row>
    <row r="21" spans="1:21">
      <c r="A21" s="782">
        <v>44712</v>
      </c>
      <c r="B21" s="783" t="s">
        <v>34</v>
      </c>
      <c r="C21" s="783" t="s">
        <v>4082</v>
      </c>
      <c r="D21" s="783" t="s">
        <v>4009</v>
      </c>
      <c r="E21" s="783" t="s">
        <v>4083</v>
      </c>
      <c r="F21" s="783" t="s">
        <v>4011</v>
      </c>
      <c r="G21" s="783" t="s">
        <v>4028</v>
      </c>
      <c r="H21" s="783" t="s">
        <v>4084</v>
      </c>
      <c r="I21" s="783" t="s">
        <v>4085</v>
      </c>
      <c r="J21" s="783">
        <v>25</v>
      </c>
      <c r="K21" s="783" t="s">
        <v>4081</v>
      </c>
      <c r="L21" s="783" t="s">
        <v>4014</v>
      </c>
      <c r="M21" s="784">
        <v>1163.5899999999999</v>
      </c>
      <c r="N21" s="784">
        <v>2.76</v>
      </c>
      <c r="O21" s="784">
        <v>2.2999999999999998</v>
      </c>
      <c r="P21" s="783">
        <v>183.3</v>
      </c>
      <c r="Q21" s="783">
        <v>79.819999999999993</v>
      </c>
      <c r="R21" s="783">
        <v>47.26</v>
      </c>
      <c r="S21" s="783">
        <v>25.12</v>
      </c>
      <c r="T21" s="783">
        <v>7.45</v>
      </c>
      <c r="U21" s="785">
        <v>44714.003946759301</v>
      </c>
    </row>
    <row r="22" spans="1:21">
      <c r="A22" s="782">
        <v>44645</v>
      </c>
      <c r="B22" s="783" t="s">
        <v>41</v>
      </c>
      <c r="C22" s="783" t="s">
        <v>4071</v>
      </c>
      <c r="D22" s="783" t="s">
        <v>4009</v>
      </c>
      <c r="E22" s="783" t="s">
        <v>4086</v>
      </c>
      <c r="F22" s="783" t="s">
        <v>4011</v>
      </c>
      <c r="G22" s="783" t="str">
        <f>VLOOKUP(I22,pacage,2,FALSE)</f>
        <v>Renewal (25% in 2020)</v>
      </c>
      <c r="H22" s="783" t="s">
        <v>4087</v>
      </c>
      <c r="I22" s="783" t="s">
        <v>4088</v>
      </c>
      <c r="J22" s="783">
        <v>20</v>
      </c>
      <c r="K22" s="783" t="s">
        <v>4081</v>
      </c>
      <c r="L22" s="783" t="s">
        <v>4014</v>
      </c>
      <c r="M22" s="784">
        <v>34020</v>
      </c>
      <c r="N22" s="784">
        <v>63</v>
      </c>
      <c r="O22" s="784">
        <v>2.16</v>
      </c>
      <c r="P22" s="783">
        <v>250</v>
      </c>
      <c r="Q22" s="783">
        <v>2296.35</v>
      </c>
      <c r="R22" s="783">
        <v>782.84</v>
      </c>
      <c r="S22" s="783">
        <v>809.29</v>
      </c>
      <c r="T22" s="783">
        <v>704.21</v>
      </c>
      <c r="U22" s="785">
        <v>44649.390462962998</v>
      </c>
    </row>
    <row r="23" spans="1:21">
      <c r="A23" s="782">
        <v>44557</v>
      </c>
      <c r="B23" s="783" t="s">
        <v>30</v>
      </c>
      <c r="C23" s="783" t="s">
        <v>4089</v>
      </c>
      <c r="D23" s="783" t="s">
        <v>4021</v>
      </c>
      <c r="E23" s="783" t="s">
        <v>3187</v>
      </c>
      <c r="F23" s="783" t="s">
        <v>4011</v>
      </c>
      <c r="G23" s="783" t="s">
        <v>4028</v>
      </c>
      <c r="H23" s="783" t="s">
        <v>4090</v>
      </c>
      <c r="I23" s="783" t="s">
        <v>4091</v>
      </c>
      <c r="J23" s="783">
        <v>20</v>
      </c>
      <c r="K23" s="783" t="s">
        <v>4081</v>
      </c>
      <c r="L23" s="783" t="s">
        <v>4014</v>
      </c>
      <c r="M23" s="784">
        <v>25431.119999999999</v>
      </c>
      <c r="N23" s="784">
        <v>16.72</v>
      </c>
      <c r="O23" s="784">
        <v>5.07</v>
      </c>
      <c r="P23" s="783">
        <v>300</v>
      </c>
      <c r="Q23" s="783">
        <v>2123.5</v>
      </c>
      <c r="R23" s="783">
        <v>576.12</v>
      </c>
      <c r="S23" s="783">
        <v>840.4</v>
      </c>
      <c r="T23" s="783">
        <v>706.99</v>
      </c>
      <c r="U23" s="785">
        <v>44631.637025463002</v>
      </c>
    </row>
    <row r="24" spans="1:21">
      <c r="A24" s="782">
        <v>44421</v>
      </c>
      <c r="B24" s="783" t="s">
        <v>41</v>
      </c>
      <c r="C24" s="783" t="s">
        <v>4092</v>
      </c>
      <c r="D24" s="783" t="s">
        <v>4009</v>
      </c>
      <c r="E24" s="783" t="s">
        <v>4093</v>
      </c>
      <c r="F24" s="783" t="s">
        <v>4011</v>
      </c>
      <c r="G24" s="783" t="str">
        <f>VLOOKUP(I24,pacage,2,FALSE)</f>
        <v>Renewal (30% in 2020)</v>
      </c>
      <c r="H24" s="783" t="s">
        <v>4094</v>
      </c>
      <c r="I24" s="783" t="s">
        <v>4095</v>
      </c>
      <c r="J24" s="783">
        <v>30</v>
      </c>
      <c r="K24" s="783" t="s">
        <v>295</v>
      </c>
      <c r="L24" s="783" t="s">
        <v>4096</v>
      </c>
      <c r="M24" s="784">
        <v>11377.5</v>
      </c>
      <c r="N24" s="784">
        <v>18.5</v>
      </c>
      <c r="O24" s="784">
        <v>4.0999999999999996</v>
      </c>
      <c r="P24" s="783">
        <v>150</v>
      </c>
      <c r="Q24" s="783">
        <v>650.79</v>
      </c>
      <c r="R24" s="783">
        <v>525.80999999999995</v>
      </c>
      <c r="S24" s="783">
        <v>49.89</v>
      </c>
      <c r="T24" s="783">
        <v>75.09</v>
      </c>
      <c r="U24" s="785">
        <v>44631.516504629602</v>
      </c>
    </row>
    <row r="25" spans="1:21">
      <c r="A25" s="782">
        <v>44690</v>
      </c>
      <c r="B25" s="783" t="s">
        <v>74</v>
      </c>
      <c r="C25" s="783" t="s">
        <v>4097</v>
      </c>
      <c r="D25" s="783" t="s">
        <v>4038</v>
      </c>
      <c r="E25" s="783" t="s">
        <v>4098</v>
      </c>
      <c r="F25" s="783" t="s">
        <v>4011</v>
      </c>
      <c r="G25" s="783" t="str">
        <f>VLOOKUP(I25,pacage,2,FALSE)</f>
        <v>Renewal (15% in 2020)</v>
      </c>
      <c r="H25" s="783" t="s">
        <v>4099</v>
      </c>
      <c r="I25" s="783" t="s">
        <v>4100</v>
      </c>
      <c r="J25" s="783">
        <v>20</v>
      </c>
      <c r="K25" s="783" t="s">
        <v>295</v>
      </c>
      <c r="L25" s="783" t="s">
        <v>4096</v>
      </c>
      <c r="M25" s="784">
        <v>3760.02</v>
      </c>
      <c r="N25" s="784">
        <v>5.94</v>
      </c>
      <c r="O25" s="784">
        <v>4.22</v>
      </c>
      <c r="P25" s="783">
        <v>150</v>
      </c>
      <c r="Q25" s="783">
        <v>308.32</v>
      </c>
      <c r="R25" s="783">
        <v>159.34</v>
      </c>
      <c r="S25" s="783">
        <v>42.19</v>
      </c>
      <c r="T25" s="783">
        <v>106.78</v>
      </c>
      <c r="U25" s="785">
        <v>44708.600972222201</v>
      </c>
    </row>
    <row r="26" spans="1:21">
      <c r="A26" s="782">
        <v>44692</v>
      </c>
      <c r="B26" s="783" t="s">
        <v>47</v>
      </c>
      <c r="C26" s="783" t="s">
        <v>4101</v>
      </c>
      <c r="D26" s="783" t="s">
        <v>4102</v>
      </c>
      <c r="E26" s="783" t="s">
        <v>4103</v>
      </c>
      <c r="F26" s="783" t="s">
        <v>4011</v>
      </c>
      <c r="G26" s="783" t="str">
        <f>VLOOKUP(I26,pacage,2,FALSE)</f>
        <v>Renewal (15% in 2020)</v>
      </c>
      <c r="H26" s="783" t="s">
        <v>4104</v>
      </c>
      <c r="I26" s="783" t="s">
        <v>4105</v>
      </c>
      <c r="J26" s="783">
        <v>20</v>
      </c>
      <c r="K26" s="783" t="s">
        <v>295</v>
      </c>
      <c r="L26" s="783" t="s">
        <v>4096</v>
      </c>
      <c r="M26" s="784">
        <v>6738.21</v>
      </c>
      <c r="N26" s="784">
        <v>9.2799999999999994</v>
      </c>
      <c r="O26" s="784">
        <v>5.3</v>
      </c>
      <c r="P26" s="783">
        <v>137</v>
      </c>
      <c r="Q26" s="783">
        <v>388.79</v>
      </c>
      <c r="R26" s="783">
        <v>232.47</v>
      </c>
      <c r="S26" s="783">
        <v>35.04</v>
      </c>
      <c r="T26" s="783">
        <v>121.29</v>
      </c>
      <c r="U26" s="785">
        <v>44692.516574074099</v>
      </c>
    </row>
    <row r="27" spans="1:21">
      <c r="A27" s="782">
        <v>44586</v>
      </c>
      <c r="B27" s="783" t="s">
        <v>41</v>
      </c>
      <c r="C27" s="783" t="s">
        <v>4071</v>
      </c>
      <c r="D27" s="783" t="s">
        <v>4009</v>
      </c>
      <c r="E27" s="783" t="s">
        <v>4106</v>
      </c>
      <c r="F27" s="783" t="s">
        <v>4011</v>
      </c>
      <c r="G27" s="783" t="str">
        <f>VLOOKUP(I27,pacage,2,FALSE)</f>
        <v>Renewal (15% in 2020)</v>
      </c>
      <c r="H27" s="783" t="s">
        <v>4107</v>
      </c>
      <c r="I27" s="783" t="s">
        <v>4108</v>
      </c>
      <c r="J27" s="783">
        <v>15</v>
      </c>
      <c r="K27" s="783" t="s">
        <v>295</v>
      </c>
      <c r="L27" s="783" t="s">
        <v>4096</v>
      </c>
      <c r="M27" s="784">
        <v>4277</v>
      </c>
      <c r="N27" s="784">
        <v>6.5</v>
      </c>
      <c r="O27" s="784">
        <v>4.7</v>
      </c>
      <c r="P27" s="783">
        <v>140</v>
      </c>
      <c r="Q27" s="783">
        <v>351.14</v>
      </c>
      <c r="R27" s="783">
        <v>155.28</v>
      </c>
      <c r="S27" s="783">
        <v>26.92</v>
      </c>
      <c r="T27" s="783">
        <v>168.94</v>
      </c>
      <c r="U27" s="785">
        <v>44631.635891203703</v>
      </c>
    </row>
    <row r="28" spans="1:21">
      <c r="A28" s="782">
        <v>44589</v>
      </c>
      <c r="B28" s="783" t="s">
        <v>624</v>
      </c>
      <c r="C28" s="783" t="s">
        <v>4037</v>
      </c>
      <c r="D28" s="783" t="s">
        <v>4038</v>
      </c>
      <c r="E28" s="783" t="s">
        <v>4109</v>
      </c>
      <c r="F28" s="783" t="s">
        <v>4011</v>
      </c>
      <c r="G28" s="783" t="str">
        <f>VLOOKUP(I28,pacage,2,FALSE)</f>
        <v>Renewal (15% in 2020)</v>
      </c>
      <c r="H28" s="783" t="s">
        <v>4110</v>
      </c>
      <c r="I28" s="783" t="s">
        <v>4111</v>
      </c>
      <c r="J28" s="783">
        <v>30</v>
      </c>
      <c r="K28" s="783" t="s">
        <v>295</v>
      </c>
      <c r="L28" s="783" t="s">
        <v>4096</v>
      </c>
      <c r="M28" s="784">
        <v>9724.67</v>
      </c>
      <c r="N28" s="784">
        <v>21.51</v>
      </c>
      <c r="O28" s="784">
        <v>3.3</v>
      </c>
      <c r="P28" s="783">
        <v>137</v>
      </c>
      <c r="Q28" s="783">
        <v>819.79</v>
      </c>
      <c r="R28" s="783">
        <v>630.16</v>
      </c>
      <c r="S28" s="783">
        <v>0</v>
      </c>
      <c r="T28" s="783">
        <v>189.63</v>
      </c>
      <c r="U28" s="785">
        <v>44631.636087963001</v>
      </c>
    </row>
    <row r="29" spans="1:21">
      <c r="A29" s="782">
        <v>44712</v>
      </c>
      <c r="B29" s="783" t="s">
        <v>4025</v>
      </c>
      <c r="C29" s="783" t="s">
        <v>4026</v>
      </c>
      <c r="D29" s="783" t="s">
        <v>4021</v>
      </c>
      <c r="E29" s="783" t="s">
        <v>4031</v>
      </c>
      <c r="F29" s="783" t="s">
        <v>4011</v>
      </c>
      <c r="G29" s="783" t="s">
        <v>4028</v>
      </c>
      <c r="H29" s="783" t="s">
        <v>4032</v>
      </c>
      <c r="I29" s="783" t="s">
        <v>4033</v>
      </c>
      <c r="J29" s="783">
        <v>25</v>
      </c>
      <c r="K29" s="783" t="s">
        <v>295</v>
      </c>
      <c r="L29" s="783" t="s">
        <v>4096</v>
      </c>
      <c r="M29" s="784">
        <v>5129.72</v>
      </c>
      <c r="N29" s="784">
        <v>7.79</v>
      </c>
      <c r="O29" s="784">
        <v>4.3899999999999997</v>
      </c>
      <c r="P29" s="783">
        <v>150</v>
      </c>
      <c r="Q29" s="783">
        <v>351.9</v>
      </c>
      <c r="R29" s="783">
        <v>232.85</v>
      </c>
      <c r="S29" s="783">
        <v>63.13</v>
      </c>
      <c r="T29" s="783">
        <v>55.91</v>
      </c>
      <c r="U29" s="785">
        <v>44714.019027777802</v>
      </c>
    </row>
    <row r="30" spans="1:21">
      <c r="A30" s="782">
        <v>44686</v>
      </c>
      <c r="B30" s="783" t="s">
        <v>41</v>
      </c>
      <c r="C30" s="783" t="s">
        <v>4071</v>
      </c>
      <c r="D30" s="783" t="s">
        <v>4009</v>
      </c>
      <c r="E30" s="783" t="s">
        <v>505</v>
      </c>
      <c r="F30" s="783" t="s">
        <v>4011</v>
      </c>
      <c r="G30" s="783" t="str">
        <f>VLOOKUP(I30,pacage,2,FALSE)</f>
        <v>Renewal (15% in 2020)</v>
      </c>
      <c r="H30" s="783" t="s">
        <v>4112</v>
      </c>
      <c r="I30" s="783" t="s">
        <v>4113</v>
      </c>
      <c r="J30" s="783">
        <v>15</v>
      </c>
      <c r="K30" s="783" t="s">
        <v>295</v>
      </c>
      <c r="L30" s="783" t="s">
        <v>4096</v>
      </c>
      <c r="M30" s="784">
        <v>36158.720000000001</v>
      </c>
      <c r="N30" s="784">
        <v>55.12</v>
      </c>
      <c r="O30" s="784">
        <v>4.0999999999999996</v>
      </c>
      <c r="P30" s="783">
        <v>160</v>
      </c>
      <c r="Q30" s="783">
        <v>2968.63</v>
      </c>
      <c r="R30" s="783">
        <v>1148.6500000000001</v>
      </c>
      <c r="S30" s="783">
        <v>391.71</v>
      </c>
      <c r="T30" s="783">
        <v>1428.27</v>
      </c>
      <c r="U30" s="785">
        <v>44687.621041666702</v>
      </c>
    </row>
    <row r="31" spans="1:21">
      <c r="A31" s="782">
        <v>44685</v>
      </c>
      <c r="B31" s="783" t="s">
        <v>4025</v>
      </c>
      <c r="C31" s="783" t="s">
        <v>4026</v>
      </c>
      <c r="D31" s="783" t="s">
        <v>4021</v>
      </c>
      <c r="E31" s="783" t="s">
        <v>4114</v>
      </c>
      <c r="F31" s="783" t="s">
        <v>4011</v>
      </c>
      <c r="G31" s="783" t="s">
        <v>4028</v>
      </c>
      <c r="H31" s="783" t="s">
        <v>4115</v>
      </c>
      <c r="I31" s="783" t="s">
        <v>4116</v>
      </c>
      <c r="J31" s="783">
        <v>25</v>
      </c>
      <c r="K31" s="783" t="s">
        <v>295</v>
      </c>
      <c r="L31" s="783" t="s">
        <v>4096</v>
      </c>
      <c r="M31" s="784">
        <v>10252.799999999999</v>
      </c>
      <c r="N31" s="784">
        <v>14.24</v>
      </c>
      <c r="O31" s="784">
        <v>4.8</v>
      </c>
      <c r="P31" s="783">
        <v>150</v>
      </c>
      <c r="Q31" s="783">
        <v>703.34</v>
      </c>
      <c r="R31" s="783">
        <v>465.4</v>
      </c>
      <c r="S31" s="783">
        <v>126.18</v>
      </c>
      <c r="T31" s="783">
        <v>111.76</v>
      </c>
      <c r="U31" s="785">
        <v>44685.413182870398</v>
      </c>
    </row>
    <row r="32" spans="1:21">
      <c r="A32" s="782">
        <v>44679</v>
      </c>
      <c r="B32" s="783" t="s">
        <v>41</v>
      </c>
      <c r="C32" s="783" t="s">
        <v>4008</v>
      </c>
      <c r="D32" s="783" t="s">
        <v>4009</v>
      </c>
      <c r="E32" s="783" t="s">
        <v>4034</v>
      </c>
      <c r="F32" s="783" t="s">
        <v>4011</v>
      </c>
      <c r="G32" s="783" t="str">
        <f t="shared" ref="G32:G52" si="0">VLOOKUP(I32,pacage,2,FALSE)</f>
        <v>Renewal (25% in 2020)</v>
      </c>
      <c r="H32" s="783" t="s">
        <v>4035</v>
      </c>
      <c r="I32" s="783" t="s">
        <v>4036</v>
      </c>
      <c r="J32" s="783">
        <v>25</v>
      </c>
      <c r="K32" s="783" t="s">
        <v>295</v>
      </c>
      <c r="L32" s="783" t="s">
        <v>4096</v>
      </c>
      <c r="M32" s="784">
        <v>4655.82</v>
      </c>
      <c r="N32" s="784">
        <v>7.62</v>
      </c>
      <c r="O32" s="784">
        <v>4.7</v>
      </c>
      <c r="P32" s="783">
        <v>130</v>
      </c>
      <c r="Q32" s="783">
        <v>308.22000000000003</v>
      </c>
      <c r="R32" s="783">
        <v>223.48</v>
      </c>
      <c r="S32" s="783">
        <v>34.450000000000003</v>
      </c>
      <c r="T32" s="783">
        <v>50.28</v>
      </c>
      <c r="U32" s="785">
        <v>44680.690590277802</v>
      </c>
    </row>
    <row r="33" spans="1:21">
      <c r="A33" s="782">
        <v>44710</v>
      </c>
      <c r="B33" s="783" t="s">
        <v>41</v>
      </c>
      <c r="C33" s="783" t="s">
        <v>4092</v>
      </c>
      <c r="D33" s="783" t="s">
        <v>4009</v>
      </c>
      <c r="E33" s="783" t="s">
        <v>1795</v>
      </c>
      <c r="F33" s="783" t="s">
        <v>4011</v>
      </c>
      <c r="G33" s="783" t="str">
        <f t="shared" si="0"/>
        <v>Renewal (20% in 2020)</v>
      </c>
      <c r="H33" s="783" t="s">
        <v>4117</v>
      </c>
      <c r="I33" s="783" t="s">
        <v>4118</v>
      </c>
      <c r="J33" s="783">
        <v>20</v>
      </c>
      <c r="K33" s="783" t="s">
        <v>295</v>
      </c>
      <c r="L33" s="783" t="s">
        <v>4096</v>
      </c>
      <c r="M33" s="784">
        <v>3377.1</v>
      </c>
      <c r="N33" s="784">
        <v>4.8099999999999996</v>
      </c>
      <c r="O33" s="784">
        <v>4.13</v>
      </c>
      <c r="P33" s="783">
        <v>170</v>
      </c>
      <c r="Q33" s="783">
        <v>289.08</v>
      </c>
      <c r="R33" s="783">
        <v>137.71</v>
      </c>
      <c r="S33" s="783">
        <v>63.56</v>
      </c>
      <c r="T33" s="783">
        <v>87.8</v>
      </c>
      <c r="U33" s="785">
        <v>44712.585543981499</v>
      </c>
    </row>
    <row r="34" spans="1:21">
      <c r="A34" s="782">
        <v>44698</v>
      </c>
      <c r="B34" s="783" t="s">
        <v>41</v>
      </c>
      <c r="C34" s="783" t="s">
        <v>4092</v>
      </c>
      <c r="D34" s="783" t="s">
        <v>4009</v>
      </c>
      <c r="E34" s="783" t="s">
        <v>3805</v>
      </c>
      <c r="F34" s="783" t="s">
        <v>4011</v>
      </c>
      <c r="G34" s="783" t="str">
        <f t="shared" si="0"/>
        <v>Renewal (15% in 2020)</v>
      </c>
      <c r="H34" s="783" t="s">
        <v>4119</v>
      </c>
      <c r="I34" s="783" t="s">
        <v>4120</v>
      </c>
      <c r="J34" s="783">
        <v>15</v>
      </c>
      <c r="K34" s="783" t="s">
        <v>295</v>
      </c>
      <c r="L34" s="783" t="s">
        <v>4096</v>
      </c>
      <c r="M34" s="784">
        <v>11023.62</v>
      </c>
      <c r="N34" s="784">
        <v>10.76</v>
      </c>
      <c r="O34" s="784">
        <v>6.83</v>
      </c>
      <c r="P34" s="783">
        <v>150</v>
      </c>
      <c r="Q34" s="783">
        <v>1265.51</v>
      </c>
      <c r="R34" s="783">
        <v>509.45</v>
      </c>
      <c r="S34" s="783">
        <v>147.55000000000001</v>
      </c>
      <c r="T34" s="783">
        <v>608.5</v>
      </c>
      <c r="U34" s="785">
        <v>44699.745254629597</v>
      </c>
    </row>
    <row r="35" spans="1:21">
      <c r="A35" s="782">
        <v>44690</v>
      </c>
      <c r="B35" s="783" t="s">
        <v>41</v>
      </c>
      <c r="C35" s="783" t="s">
        <v>4121</v>
      </c>
      <c r="D35" s="783" t="s">
        <v>4009</v>
      </c>
      <c r="E35" s="783" t="s">
        <v>4122</v>
      </c>
      <c r="F35" s="783" t="s">
        <v>4011</v>
      </c>
      <c r="G35" s="783" t="str">
        <f t="shared" si="0"/>
        <v>Renewal (20% in 2020)</v>
      </c>
      <c r="H35" s="783" t="s">
        <v>4123</v>
      </c>
      <c r="I35" s="783" t="s">
        <v>4124</v>
      </c>
      <c r="J35" s="783">
        <v>20</v>
      </c>
      <c r="K35" s="783" t="s">
        <v>295</v>
      </c>
      <c r="L35" s="783" t="s">
        <v>4096</v>
      </c>
      <c r="M35" s="784">
        <v>9742.5</v>
      </c>
      <c r="N35" s="784">
        <v>15</v>
      </c>
      <c r="O35" s="784">
        <v>4.33</v>
      </c>
      <c r="P35" s="783">
        <v>150</v>
      </c>
      <c r="Q35" s="783">
        <v>711.2</v>
      </c>
      <c r="R35" s="783">
        <v>380.84</v>
      </c>
      <c r="S35" s="783">
        <v>98.49</v>
      </c>
      <c r="T35" s="783">
        <v>231.87</v>
      </c>
      <c r="U35" s="785">
        <v>44690.676423611098</v>
      </c>
    </row>
    <row r="36" spans="1:21">
      <c r="A36" s="782">
        <v>44665</v>
      </c>
      <c r="B36" s="783" t="s">
        <v>41</v>
      </c>
      <c r="C36" s="783" t="s">
        <v>4092</v>
      </c>
      <c r="D36" s="783" t="s">
        <v>4009</v>
      </c>
      <c r="E36" s="783" t="s">
        <v>4125</v>
      </c>
      <c r="F36" s="783" t="s">
        <v>4011</v>
      </c>
      <c r="G36" s="783" t="str">
        <f t="shared" si="0"/>
        <v>Renewal (20% in 2020)</v>
      </c>
      <c r="H36" s="783" t="s">
        <v>4126</v>
      </c>
      <c r="I36" s="783" t="s">
        <v>4127</v>
      </c>
      <c r="J36" s="783">
        <v>20</v>
      </c>
      <c r="K36" s="783" t="s">
        <v>295</v>
      </c>
      <c r="L36" s="783" t="s">
        <v>4096</v>
      </c>
      <c r="M36" s="784">
        <v>7106.96</v>
      </c>
      <c r="N36" s="784">
        <v>12.91</v>
      </c>
      <c r="O36" s="784">
        <v>3.67</v>
      </c>
      <c r="P36" s="783">
        <v>150</v>
      </c>
      <c r="Q36" s="783">
        <v>608.36</v>
      </c>
      <c r="R36" s="783">
        <v>328.45</v>
      </c>
      <c r="S36" s="783">
        <v>95.13</v>
      </c>
      <c r="T36" s="783">
        <v>184.78</v>
      </c>
      <c r="U36" s="785">
        <v>44665.668240740699</v>
      </c>
    </row>
    <row r="37" spans="1:21">
      <c r="A37" s="782">
        <v>44697</v>
      </c>
      <c r="B37" s="783" t="s">
        <v>41</v>
      </c>
      <c r="C37" s="783" t="s">
        <v>4092</v>
      </c>
      <c r="D37" s="783" t="s">
        <v>4009</v>
      </c>
      <c r="E37" s="783" t="s">
        <v>4128</v>
      </c>
      <c r="F37" s="783" t="s">
        <v>4011</v>
      </c>
      <c r="G37" s="783" t="str">
        <f t="shared" si="0"/>
        <v>Renewal (20% in 2020)</v>
      </c>
      <c r="H37" s="783" t="s">
        <v>4129</v>
      </c>
      <c r="I37" s="783" t="s">
        <v>4130</v>
      </c>
      <c r="J37" s="783">
        <v>20</v>
      </c>
      <c r="K37" s="783" t="s">
        <v>295</v>
      </c>
      <c r="L37" s="783" t="s">
        <v>4096</v>
      </c>
      <c r="M37" s="784">
        <v>11332.91</v>
      </c>
      <c r="N37" s="784">
        <v>16.22</v>
      </c>
      <c r="O37" s="784">
        <v>4.1100000000000003</v>
      </c>
      <c r="P37" s="783">
        <v>170</v>
      </c>
      <c r="Q37" s="783">
        <v>970.1</v>
      </c>
      <c r="R37" s="783">
        <v>462.13</v>
      </c>
      <c r="S37" s="783">
        <v>213.31</v>
      </c>
      <c r="T37" s="783">
        <v>294.66000000000003</v>
      </c>
      <c r="U37" s="785">
        <v>44699.507291666698</v>
      </c>
    </row>
    <row r="38" spans="1:21">
      <c r="A38" s="782">
        <v>44543</v>
      </c>
      <c r="B38" s="783" t="s">
        <v>41</v>
      </c>
      <c r="C38" s="783" t="s">
        <v>4092</v>
      </c>
      <c r="D38" s="783" t="s">
        <v>4009</v>
      </c>
      <c r="E38" s="783" t="s">
        <v>4131</v>
      </c>
      <c r="F38" s="783" t="s">
        <v>4011</v>
      </c>
      <c r="G38" s="783" t="str">
        <f t="shared" si="0"/>
        <v>Renewal (20% in 2020)</v>
      </c>
      <c r="H38" s="783" t="s">
        <v>4132</v>
      </c>
      <c r="I38" s="783" t="s">
        <v>4133</v>
      </c>
      <c r="J38" s="783">
        <v>20</v>
      </c>
      <c r="K38" s="783" t="s">
        <v>295</v>
      </c>
      <c r="L38" s="783" t="s">
        <v>4096</v>
      </c>
      <c r="M38" s="784">
        <v>3579.48</v>
      </c>
      <c r="N38" s="784">
        <v>6.52</v>
      </c>
      <c r="O38" s="784">
        <v>3.66</v>
      </c>
      <c r="P38" s="783">
        <v>150</v>
      </c>
      <c r="Q38" s="783">
        <v>306.39999999999998</v>
      </c>
      <c r="R38" s="783">
        <v>165.42</v>
      </c>
      <c r="S38" s="783">
        <v>47.91</v>
      </c>
      <c r="T38" s="783">
        <v>93.07</v>
      </c>
      <c r="U38" s="785">
        <v>44631.6266203704</v>
      </c>
    </row>
    <row r="39" spans="1:21">
      <c r="A39" s="782">
        <v>44545</v>
      </c>
      <c r="B39" s="783" t="s">
        <v>74</v>
      </c>
      <c r="C39" s="783" t="s">
        <v>4097</v>
      </c>
      <c r="D39" s="783" t="s">
        <v>4038</v>
      </c>
      <c r="E39" s="783" t="s">
        <v>4134</v>
      </c>
      <c r="F39" s="783" t="s">
        <v>4011</v>
      </c>
      <c r="G39" s="783" t="str">
        <f t="shared" si="0"/>
        <v>New Contract</v>
      </c>
      <c r="H39" s="783" t="s">
        <v>4135</v>
      </c>
      <c r="I39" s="783" t="s">
        <v>4136</v>
      </c>
      <c r="J39" s="783">
        <v>25</v>
      </c>
      <c r="K39" s="783" t="s">
        <v>295</v>
      </c>
      <c r="L39" s="783" t="s">
        <v>4096</v>
      </c>
      <c r="M39" s="784">
        <v>3096</v>
      </c>
      <c r="N39" s="784">
        <v>6.88</v>
      </c>
      <c r="O39" s="784">
        <v>3</v>
      </c>
      <c r="P39" s="783">
        <v>150</v>
      </c>
      <c r="Q39" s="783">
        <v>199.38</v>
      </c>
      <c r="R39" s="783">
        <v>131.19999999999999</v>
      </c>
      <c r="S39" s="783">
        <v>34.74</v>
      </c>
      <c r="T39" s="783">
        <v>33.44</v>
      </c>
      <c r="U39" s="785">
        <v>44631.630752314799</v>
      </c>
    </row>
    <row r="40" spans="1:21">
      <c r="A40" s="782">
        <v>44663</v>
      </c>
      <c r="B40" s="783" t="s">
        <v>41</v>
      </c>
      <c r="C40" s="783" t="s">
        <v>4071</v>
      </c>
      <c r="D40" s="783" t="s">
        <v>4009</v>
      </c>
      <c r="E40" s="783" t="s">
        <v>169</v>
      </c>
      <c r="F40" s="783" t="s">
        <v>4011</v>
      </c>
      <c r="G40" s="783" t="str">
        <f t="shared" si="0"/>
        <v>Renewal (15% in 2020)</v>
      </c>
      <c r="H40" s="783" t="s">
        <v>4137</v>
      </c>
      <c r="I40" s="783" t="s">
        <v>4138</v>
      </c>
      <c r="J40" s="783">
        <v>15</v>
      </c>
      <c r="K40" s="783" t="s">
        <v>295</v>
      </c>
      <c r="L40" s="783" t="s">
        <v>4096</v>
      </c>
      <c r="M40" s="784">
        <v>12756.89</v>
      </c>
      <c r="N40" s="784">
        <v>19.09</v>
      </c>
      <c r="O40" s="784">
        <v>4.05</v>
      </c>
      <c r="P40" s="783">
        <v>165</v>
      </c>
      <c r="Q40" s="783">
        <v>1047.3399999999999</v>
      </c>
      <c r="R40" s="783">
        <v>392.97</v>
      </c>
      <c r="S40" s="783">
        <v>150.47999999999999</v>
      </c>
      <c r="T40" s="783">
        <v>503.9</v>
      </c>
      <c r="U40" s="785">
        <v>44663.427581018499</v>
      </c>
    </row>
    <row r="41" spans="1:21">
      <c r="A41" s="782">
        <v>44678</v>
      </c>
      <c r="B41" s="783" t="s">
        <v>41</v>
      </c>
      <c r="C41" s="783" t="s">
        <v>4139</v>
      </c>
      <c r="D41" s="783" t="s">
        <v>4009</v>
      </c>
      <c r="E41" s="783" t="s">
        <v>261</v>
      </c>
      <c r="F41" s="783" t="s">
        <v>4011</v>
      </c>
      <c r="G41" s="783" t="str">
        <f t="shared" si="0"/>
        <v>New Contract</v>
      </c>
      <c r="H41" s="783" t="s">
        <v>4140</v>
      </c>
      <c r="I41" s="783" t="s">
        <v>4141</v>
      </c>
      <c r="J41" s="783">
        <v>15</v>
      </c>
      <c r="K41" s="783" t="s">
        <v>295</v>
      </c>
      <c r="L41" s="783" t="s">
        <v>4096</v>
      </c>
      <c r="M41" s="784">
        <v>8327.9699999999993</v>
      </c>
      <c r="N41" s="784">
        <v>12.98</v>
      </c>
      <c r="O41" s="784">
        <v>4.01</v>
      </c>
      <c r="P41" s="783">
        <v>160</v>
      </c>
      <c r="Q41" s="783">
        <v>712.87</v>
      </c>
      <c r="R41" s="783">
        <v>275.95999999999998</v>
      </c>
      <c r="S41" s="783">
        <v>93.8</v>
      </c>
      <c r="T41" s="783">
        <v>343.11</v>
      </c>
      <c r="U41" s="785">
        <v>44680.488356481503</v>
      </c>
    </row>
    <row r="42" spans="1:21">
      <c r="A42" s="782">
        <v>44686</v>
      </c>
      <c r="B42" s="783" t="s">
        <v>4025</v>
      </c>
      <c r="C42" s="783" t="s">
        <v>4026</v>
      </c>
      <c r="D42" s="783" t="s">
        <v>4021</v>
      </c>
      <c r="E42" s="783" t="s">
        <v>4049</v>
      </c>
      <c r="F42" s="783" t="s">
        <v>4011</v>
      </c>
      <c r="G42" s="783" t="str">
        <f t="shared" si="0"/>
        <v>New contract</v>
      </c>
      <c r="H42" s="783" t="s">
        <v>4050</v>
      </c>
      <c r="I42" s="783" t="s">
        <v>4051</v>
      </c>
      <c r="J42" s="783">
        <v>30</v>
      </c>
      <c r="K42" s="783" t="s">
        <v>295</v>
      </c>
      <c r="L42" s="783" t="s">
        <v>4096</v>
      </c>
      <c r="M42" s="784">
        <v>3205.8</v>
      </c>
      <c r="N42" s="784">
        <v>5.48</v>
      </c>
      <c r="O42" s="784">
        <v>3.9</v>
      </c>
      <c r="P42" s="783">
        <v>150</v>
      </c>
      <c r="Q42" s="783">
        <v>194.27</v>
      </c>
      <c r="R42" s="783">
        <v>145.52000000000001</v>
      </c>
      <c r="S42" s="783">
        <v>13.81</v>
      </c>
      <c r="T42" s="783">
        <v>34.94</v>
      </c>
      <c r="U42" s="785">
        <v>44687.618229166699</v>
      </c>
    </row>
    <row r="43" spans="1:21">
      <c r="A43" s="782">
        <v>44678</v>
      </c>
      <c r="B43" s="783" t="s">
        <v>41</v>
      </c>
      <c r="C43" s="783" t="s">
        <v>4071</v>
      </c>
      <c r="D43" s="783" t="s">
        <v>4009</v>
      </c>
      <c r="E43" s="783" t="s">
        <v>1148</v>
      </c>
      <c r="F43" s="783" t="s">
        <v>4011</v>
      </c>
      <c r="G43" s="783" t="str">
        <f t="shared" si="0"/>
        <v>Renewal (20% in 2020)</v>
      </c>
      <c r="H43" s="783" t="s">
        <v>4142</v>
      </c>
      <c r="I43" s="783" t="s">
        <v>4143</v>
      </c>
      <c r="J43" s="783">
        <v>15</v>
      </c>
      <c r="K43" s="783" t="s">
        <v>295</v>
      </c>
      <c r="L43" s="783" t="s">
        <v>4096</v>
      </c>
      <c r="M43" s="784">
        <v>4531.16</v>
      </c>
      <c r="N43" s="784">
        <v>7.07</v>
      </c>
      <c r="O43" s="784">
        <v>3.77</v>
      </c>
      <c r="P43" s="783">
        <v>170</v>
      </c>
      <c r="Q43" s="783">
        <v>372.01</v>
      </c>
      <c r="R43" s="783">
        <v>135.47</v>
      </c>
      <c r="S43" s="783">
        <v>57.55</v>
      </c>
      <c r="T43" s="783">
        <v>178.98</v>
      </c>
      <c r="U43" s="785">
        <v>44680.655138888898</v>
      </c>
    </row>
    <row r="44" spans="1:21">
      <c r="A44" s="782">
        <v>44680</v>
      </c>
      <c r="B44" s="783" t="s">
        <v>41</v>
      </c>
      <c r="C44" s="783" t="s">
        <v>4139</v>
      </c>
      <c r="D44" s="783" t="s">
        <v>4009</v>
      </c>
      <c r="E44" s="783" t="s">
        <v>4144</v>
      </c>
      <c r="F44" s="783" t="s">
        <v>4011</v>
      </c>
      <c r="G44" s="783" t="str">
        <f t="shared" si="0"/>
        <v>Renewal (15% in 2020)</v>
      </c>
      <c r="H44" s="783" t="s">
        <v>4145</v>
      </c>
      <c r="I44" s="783" t="s">
        <v>4146</v>
      </c>
      <c r="J44" s="783">
        <v>15</v>
      </c>
      <c r="K44" s="783" t="s">
        <v>295</v>
      </c>
      <c r="L44" s="783" t="s">
        <v>4096</v>
      </c>
      <c r="M44" s="784">
        <v>4654.07</v>
      </c>
      <c r="N44" s="784">
        <v>8.23</v>
      </c>
      <c r="O44" s="784">
        <v>3.77</v>
      </c>
      <c r="P44" s="783">
        <v>150</v>
      </c>
      <c r="Q44" s="783">
        <v>398.39</v>
      </c>
      <c r="R44" s="783">
        <v>164.5</v>
      </c>
      <c r="S44" s="783">
        <v>42.14</v>
      </c>
      <c r="T44" s="783">
        <v>191.75</v>
      </c>
      <c r="U44" s="785">
        <v>44680.748159722199</v>
      </c>
    </row>
    <row r="45" spans="1:21">
      <c r="A45" s="782">
        <v>44703</v>
      </c>
      <c r="B45" s="783" t="s">
        <v>41</v>
      </c>
      <c r="C45" s="783" t="s">
        <v>4071</v>
      </c>
      <c r="D45" s="783" t="s">
        <v>4009</v>
      </c>
      <c r="E45" s="783" t="s">
        <v>4147</v>
      </c>
      <c r="F45" s="783" t="s">
        <v>4011</v>
      </c>
      <c r="G45" s="783" t="str">
        <f t="shared" si="0"/>
        <v>Renewal (15% in 2020)</v>
      </c>
      <c r="H45" s="783" t="s">
        <v>4148</v>
      </c>
      <c r="I45" s="783" t="s">
        <v>4149</v>
      </c>
      <c r="J45" s="783">
        <v>15</v>
      </c>
      <c r="K45" s="783" t="s">
        <v>295</v>
      </c>
      <c r="L45" s="783" t="s">
        <v>4096</v>
      </c>
      <c r="M45" s="784">
        <v>28459.53</v>
      </c>
      <c r="N45" s="784">
        <v>31.35</v>
      </c>
      <c r="O45" s="784">
        <v>5.0999999999999996</v>
      </c>
      <c r="P45" s="783">
        <v>178</v>
      </c>
      <c r="Q45" s="783">
        <v>2336.5300000000002</v>
      </c>
      <c r="R45" s="783">
        <v>812.65</v>
      </c>
      <c r="S45" s="783">
        <v>399.73</v>
      </c>
      <c r="T45" s="783">
        <v>1124.1500000000001</v>
      </c>
      <c r="U45" s="785">
        <v>44704.407847222203</v>
      </c>
    </row>
    <row r="46" spans="1:21">
      <c r="A46" s="782">
        <v>44705</v>
      </c>
      <c r="B46" s="783" t="s">
        <v>41</v>
      </c>
      <c r="C46" s="783" t="s">
        <v>4082</v>
      </c>
      <c r="D46" s="783" t="s">
        <v>4009</v>
      </c>
      <c r="E46" s="783" t="s">
        <v>1024</v>
      </c>
      <c r="F46" s="783" t="s">
        <v>4011</v>
      </c>
      <c r="G46" s="783" t="str">
        <f t="shared" si="0"/>
        <v>Renewal (20% in 2020)</v>
      </c>
      <c r="H46" s="783" t="s">
        <v>4150</v>
      </c>
      <c r="I46" s="783" t="s">
        <v>4151</v>
      </c>
      <c r="J46" s="783">
        <v>20</v>
      </c>
      <c r="K46" s="783" t="s">
        <v>295</v>
      </c>
      <c r="L46" s="783" t="s">
        <v>4096</v>
      </c>
      <c r="M46" s="784">
        <v>8201.16</v>
      </c>
      <c r="N46" s="784">
        <v>8.7200000000000006</v>
      </c>
      <c r="O46" s="784">
        <v>6.27</v>
      </c>
      <c r="P46" s="783">
        <v>150</v>
      </c>
      <c r="Q46" s="783">
        <v>663.47</v>
      </c>
      <c r="R46" s="783">
        <v>358.79</v>
      </c>
      <c r="S46" s="783">
        <v>102.94</v>
      </c>
      <c r="T46" s="783">
        <v>201.75</v>
      </c>
      <c r="U46" s="785">
        <v>44705.577141203699</v>
      </c>
    </row>
    <row r="47" spans="1:21">
      <c r="A47" s="782">
        <v>44711</v>
      </c>
      <c r="B47" s="783" t="s">
        <v>65</v>
      </c>
      <c r="C47" s="783" t="s">
        <v>4152</v>
      </c>
      <c r="D47" s="783" t="s">
        <v>4102</v>
      </c>
      <c r="E47" s="783" t="s">
        <v>1769</v>
      </c>
      <c r="F47" s="783" t="s">
        <v>4011</v>
      </c>
      <c r="G47" s="783" t="str">
        <f t="shared" si="0"/>
        <v>Renewal (20% in 2020)</v>
      </c>
      <c r="H47" s="783" t="s">
        <v>4153</v>
      </c>
      <c r="I47" s="783" t="s">
        <v>4154</v>
      </c>
      <c r="J47" s="783">
        <v>20</v>
      </c>
      <c r="K47" s="783" t="s">
        <v>295</v>
      </c>
      <c r="L47" s="783" t="s">
        <v>4096</v>
      </c>
      <c r="M47" s="784">
        <v>26757.65</v>
      </c>
      <c r="N47" s="784">
        <v>24.35</v>
      </c>
      <c r="O47" s="784">
        <v>6.17</v>
      </c>
      <c r="P47" s="783">
        <v>178.1</v>
      </c>
      <c r="Q47" s="783">
        <v>1543.92</v>
      </c>
      <c r="R47" s="783">
        <v>710.11</v>
      </c>
      <c r="S47" s="783">
        <v>352.17</v>
      </c>
      <c r="T47" s="783">
        <v>481.64</v>
      </c>
      <c r="U47" s="785">
        <v>44713.613587963002</v>
      </c>
    </row>
    <row r="48" spans="1:21">
      <c r="A48" s="782">
        <v>44711</v>
      </c>
      <c r="B48" s="783" t="s">
        <v>4025</v>
      </c>
      <c r="C48" s="783" t="s">
        <v>4026</v>
      </c>
      <c r="D48" s="783" t="s">
        <v>4021</v>
      </c>
      <c r="E48" s="783" t="s">
        <v>4155</v>
      </c>
      <c r="F48" s="783" t="s">
        <v>4011</v>
      </c>
      <c r="G48" s="783" t="str">
        <f t="shared" si="0"/>
        <v>New contract</v>
      </c>
      <c r="H48" s="783" t="s">
        <v>4156</v>
      </c>
      <c r="I48" s="783" t="s">
        <v>4157</v>
      </c>
      <c r="J48" s="783">
        <v>25</v>
      </c>
      <c r="K48" s="783" t="s">
        <v>295</v>
      </c>
      <c r="L48" s="783" t="s">
        <v>4096</v>
      </c>
      <c r="M48" s="784">
        <v>3684.95</v>
      </c>
      <c r="N48" s="784">
        <v>6.63</v>
      </c>
      <c r="O48" s="784">
        <v>3.97</v>
      </c>
      <c r="P48" s="783">
        <v>140</v>
      </c>
      <c r="Q48" s="783">
        <v>252.79</v>
      </c>
      <c r="R48" s="783">
        <v>179.22</v>
      </c>
      <c r="S48" s="783">
        <v>33.4</v>
      </c>
      <c r="T48" s="783">
        <v>40.17</v>
      </c>
      <c r="U48" s="785">
        <v>44713.983935185199</v>
      </c>
    </row>
    <row r="49" spans="1:21">
      <c r="A49" s="782">
        <v>44712</v>
      </c>
      <c r="B49" s="783" t="s">
        <v>4025</v>
      </c>
      <c r="C49" s="783" t="s">
        <v>4026</v>
      </c>
      <c r="D49" s="783" t="s">
        <v>4021</v>
      </c>
      <c r="E49" s="783" t="s">
        <v>4158</v>
      </c>
      <c r="F49" s="783" t="s">
        <v>4011</v>
      </c>
      <c r="G49" s="783" t="str">
        <f t="shared" si="0"/>
        <v>New Contract</v>
      </c>
      <c r="H49" s="783" t="s">
        <v>4159</v>
      </c>
      <c r="I49" s="783" t="s">
        <v>4160</v>
      </c>
      <c r="J49" s="783">
        <v>25</v>
      </c>
      <c r="K49" s="783" t="s">
        <v>295</v>
      </c>
      <c r="L49" s="783" t="s">
        <v>4096</v>
      </c>
      <c r="M49" s="784">
        <v>2359.1799999999998</v>
      </c>
      <c r="N49" s="784">
        <v>4.1399999999999997</v>
      </c>
      <c r="O49" s="784">
        <v>3.93</v>
      </c>
      <c r="P49" s="783">
        <v>145</v>
      </c>
      <c r="Q49" s="783">
        <v>161.84</v>
      </c>
      <c r="R49" s="783">
        <v>110.78</v>
      </c>
      <c r="S49" s="783">
        <v>25.34</v>
      </c>
      <c r="T49" s="783">
        <v>25.72</v>
      </c>
      <c r="U49" s="785">
        <v>44714.012060185203</v>
      </c>
    </row>
    <row r="50" spans="1:21">
      <c r="A50" s="782">
        <v>44712</v>
      </c>
      <c r="B50" s="783" t="s">
        <v>41</v>
      </c>
      <c r="C50" s="783" t="s">
        <v>4008</v>
      </c>
      <c r="D50" s="783" t="s">
        <v>4009</v>
      </c>
      <c r="E50" s="783" t="s">
        <v>605</v>
      </c>
      <c r="F50" s="783" t="s">
        <v>4011</v>
      </c>
      <c r="G50" s="783" t="str">
        <f t="shared" si="0"/>
        <v>Renewal (15% in 2020)</v>
      </c>
      <c r="H50" s="783" t="s">
        <v>4161</v>
      </c>
      <c r="I50" s="783" t="s">
        <v>4162</v>
      </c>
      <c r="J50" s="783">
        <v>15</v>
      </c>
      <c r="K50" s="783" t="s">
        <v>295</v>
      </c>
      <c r="L50" s="783" t="s">
        <v>4096</v>
      </c>
      <c r="M50" s="784">
        <v>13038.98</v>
      </c>
      <c r="N50" s="784">
        <v>21.15</v>
      </c>
      <c r="O50" s="784">
        <v>4.5</v>
      </c>
      <c r="P50" s="783">
        <v>137</v>
      </c>
      <c r="Q50" s="783">
        <v>1453.85</v>
      </c>
      <c r="R50" s="783">
        <v>625.87</v>
      </c>
      <c r="S50" s="783">
        <v>96.49</v>
      </c>
      <c r="T50" s="783">
        <v>731.49</v>
      </c>
      <c r="U50" s="785">
        <v>44714.667314814797</v>
      </c>
    </row>
    <row r="51" spans="1:21">
      <c r="A51" s="782">
        <v>44712</v>
      </c>
      <c r="B51" s="783" t="s">
        <v>228</v>
      </c>
      <c r="C51" s="783" t="s">
        <v>4020</v>
      </c>
      <c r="D51" s="783" t="s">
        <v>4021</v>
      </c>
      <c r="E51" s="783" t="s">
        <v>4163</v>
      </c>
      <c r="F51" s="783" t="s">
        <v>4011</v>
      </c>
      <c r="G51" s="783" t="str">
        <f t="shared" si="0"/>
        <v>Renewal (15% in 2020)</v>
      </c>
      <c r="H51" s="783" t="s">
        <v>4164</v>
      </c>
      <c r="I51" s="783" t="s">
        <v>4165</v>
      </c>
      <c r="J51" s="783">
        <v>25</v>
      </c>
      <c r="K51" s="783" t="s">
        <v>295</v>
      </c>
      <c r="L51" s="783" t="s">
        <v>4096</v>
      </c>
      <c r="M51" s="784">
        <v>11222.19</v>
      </c>
      <c r="N51" s="784">
        <v>15.16</v>
      </c>
      <c r="O51" s="784">
        <v>4.2300000000000004</v>
      </c>
      <c r="P51" s="783">
        <v>175</v>
      </c>
      <c r="Q51" s="783">
        <v>816.98</v>
      </c>
      <c r="R51" s="783">
        <v>479.68</v>
      </c>
      <c r="S51" s="783">
        <v>226.19</v>
      </c>
      <c r="T51" s="783">
        <v>111.1</v>
      </c>
      <c r="U51" s="785">
        <v>44714.582384259302</v>
      </c>
    </row>
    <row r="52" spans="1:21">
      <c r="A52" s="782">
        <v>44715</v>
      </c>
      <c r="B52" s="783" t="s">
        <v>41</v>
      </c>
      <c r="C52" s="783" t="s">
        <v>4071</v>
      </c>
      <c r="D52" s="783" t="s">
        <v>4009</v>
      </c>
      <c r="E52" s="783" t="s">
        <v>3851</v>
      </c>
      <c r="F52" s="783" t="s">
        <v>4011</v>
      </c>
      <c r="G52" s="783" t="str">
        <f t="shared" si="0"/>
        <v>Renewal (25% in 2020)</v>
      </c>
      <c r="H52" s="783" t="s">
        <v>4166</v>
      </c>
      <c r="I52" s="783" t="s">
        <v>4167</v>
      </c>
      <c r="J52" s="783">
        <v>25</v>
      </c>
      <c r="K52" s="783" t="s">
        <v>295</v>
      </c>
      <c r="L52" s="783" t="s">
        <v>4096</v>
      </c>
      <c r="M52" s="784">
        <v>1657.66</v>
      </c>
      <c r="N52" s="784">
        <v>2.99</v>
      </c>
      <c r="O52" s="784">
        <v>3.96</v>
      </c>
      <c r="P52" s="783">
        <v>140</v>
      </c>
      <c r="Q52" s="783">
        <v>78.41</v>
      </c>
      <c r="R52" s="783">
        <v>60.18</v>
      </c>
      <c r="S52" s="783">
        <v>10.43</v>
      </c>
      <c r="T52" s="783">
        <v>7.79</v>
      </c>
      <c r="U52" s="785">
        <v>44715.467962962997</v>
      </c>
    </row>
    <row r="53" spans="1:21">
      <c r="A53" s="782">
        <v>44701</v>
      </c>
      <c r="B53" s="783" t="s">
        <v>4025</v>
      </c>
      <c r="C53" s="783" t="s">
        <v>4026</v>
      </c>
      <c r="D53" s="783" t="s">
        <v>4021</v>
      </c>
      <c r="E53" s="783" t="s">
        <v>4168</v>
      </c>
      <c r="F53" s="783" t="s">
        <v>4066</v>
      </c>
      <c r="G53" s="783" t="s">
        <v>4028</v>
      </c>
      <c r="H53" s="783" t="s">
        <v>4169</v>
      </c>
      <c r="I53" s="783" t="s">
        <v>4170</v>
      </c>
      <c r="J53" s="783">
        <v>10</v>
      </c>
      <c r="K53" s="783" t="s">
        <v>295</v>
      </c>
      <c r="L53" s="783" t="s">
        <v>4096</v>
      </c>
      <c r="M53" s="784">
        <v>1299.45</v>
      </c>
      <c r="N53" s="784">
        <v>2.71</v>
      </c>
      <c r="O53" s="784">
        <v>3.5</v>
      </c>
      <c r="P53" s="783">
        <v>137</v>
      </c>
      <c r="Q53" s="783">
        <v>29.76</v>
      </c>
      <c r="R53" s="783">
        <v>0</v>
      </c>
      <c r="S53" s="783">
        <v>0</v>
      </c>
      <c r="T53" s="783">
        <v>29.76</v>
      </c>
      <c r="U53" s="785">
        <v>44701.608680555597</v>
      </c>
    </row>
    <row r="54" spans="1:21">
      <c r="A54" s="782">
        <v>44431</v>
      </c>
      <c r="B54" s="783" t="s">
        <v>41</v>
      </c>
      <c r="C54" s="783" t="s">
        <v>4121</v>
      </c>
      <c r="D54" s="783" t="s">
        <v>4009</v>
      </c>
      <c r="E54" s="783" t="s">
        <v>4171</v>
      </c>
      <c r="F54" s="783" t="s">
        <v>4011</v>
      </c>
      <c r="G54" s="783" t="str">
        <f t="shared" ref="G54:G67" si="1">VLOOKUP(I54,pacage,2,FALSE)</f>
        <v>Renewal (15% in 2020)</v>
      </c>
      <c r="H54" s="783" t="s">
        <v>4172</v>
      </c>
      <c r="I54" s="783" t="s">
        <v>4173</v>
      </c>
      <c r="J54" s="783">
        <v>15</v>
      </c>
      <c r="K54" s="783" t="s">
        <v>295</v>
      </c>
      <c r="L54" s="783" t="s">
        <v>4096</v>
      </c>
      <c r="M54" s="784">
        <v>12527.09</v>
      </c>
      <c r="N54" s="784">
        <v>16.21</v>
      </c>
      <c r="O54" s="784">
        <v>4.83</v>
      </c>
      <c r="P54" s="783">
        <v>160</v>
      </c>
      <c r="Q54" s="783">
        <v>1216.3800000000001</v>
      </c>
      <c r="R54" s="783">
        <v>459.09</v>
      </c>
      <c r="S54" s="783">
        <v>157.25</v>
      </c>
      <c r="T54" s="783">
        <v>600.04999999999995</v>
      </c>
      <c r="U54" s="785">
        <v>44655.421493055597</v>
      </c>
    </row>
    <row r="55" spans="1:21">
      <c r="A55" s="782">
        <v>44707</v>
      </c>
      <c r="B55" s="783" t="s">
        <v>41</v>
      </c>
      <c r="C55" s="783" t="s">
        <v>4071</v>
      </c>
      <c r="D55" s="783" t="s">
        <v>4009</v>
      </c>
      <c r="E55" s="783" t="s">
        <v>4174</v>
      </c>
      <c r="F55" s="783" t="s">
        <v>4011</v>
      </c>
      <c r="G55" s="783" t="str">
        <f t="shared" si="1"/>
        <v>Renewal (20% in 2020)</v>
      </c>
      <c r="H55" s="783" t="s">
        <v>4175</v>
      </c>
      <c r="I55" s="783" t="s">
        <v>4176</v>
      </c>
      <c r="J55" s="783">
        <v>20</v>
      </c>
      <c r="K55" s="783" t="s">
        <v>295</v>
      </c>
      <c r="L55" s="783" t="s">
        <v>4096</v>
      </c>
      <c r="M55" s="784">
        <v>6606.6</v>
      </c>
      <c r="N55" s="784">
        <v>12.1</v>
      </c>
      <c r="O55" s="784">
        <v>3.9</v>
      </c>
      <c r="P55" s="783">
        <v>140</v>
      </c>
      <c r="Q55" s="783">
        <v>405.65</v>
      </c>
      <c r="R55" s="783">
        <v>239.85</v>
      </c>
      <c r="S55" s="783">
        <v>41.59</v>
      </c>
      <c r="T55" s="783">
        <v>124.2</v>
      </c>
      <c r="U55" s="785">
        <v>44708.586967592601</v>
      </c>
    </row>
    <row r="56" spans="1:21">
      <c r="A56" s="782">
        <v>44711</v>
      </c>
      <c r="B56" s="783" t="s">
        <v>4025</v>
      </c>
      <c r="C56" s="783" t="s">
        <v>4052</v>
      </c>
      <c r="D56" s="783" t="s">
        <v>4021</v>
      </c>
      <c r="E56" s="783" t="s">
        <v>4177</v>
      </c>
      <c r="F56" s="783" t="s">
        <v>4011</v>
      </c>
      <c r="G56" s="783" t="str">
        <f t="shared" si="1"/>
        <v>New Contract</v>
      </c>
      <c r="H56" s="783" t="s">
        <v>4178</v>
      </c>
      <c r="I56" s="783" t="s">
        <v>4179</v>
      </c>
      <c r="J56" s="783">
        <v>25</v>
      </c>
      <c r="K56" s="783" t="s">
        <v>295</v>
      </c>
      <c r="L56" s="783" t="s">
        <v>4096</v>
      </c>
      <c r="M56" s="784">
        <v>19869.84</v>
      </c>
      <c r="N56" s="784">
        <v>22.91</v>
      </c>
      <c r="O56" s="784">
        <v>4.9000000000000004</v>
      </c>
      <c r="P56" s="783">
        <v>177</v>
      </c>
      <c r="Q56" s="783">
        <v>1118.67</v>
      </c>
      <c r="R56" s="783">
        <v>667.47</v>
      </c>
      <c r="S56" s="783">
        <v>324.04000000000002</v>
      </c>
      <c r="T56" s="783">
        <v>127.17</v>
      </c>
      <c r="U56" s="785">
        <v>44713.528946759303</v>
      </c>
    </row>
    <row r="57" spans="1:21">
      <c r="A57" s="782">
        <v>44678</v>
      </c>
      <c r="B57" s="783" t="s">
        <v>41</v>
      </c>
      <c r="C57" s="783" t="s">
        <v>4082</v>
      </c>
      <c r="D57" s="783" t="s">
        <v>4009</v>
      </c>
      <c r="E57" s="783" t="s">
        <v>4180</v>
      </c>
      <c r="F57" s="783" t="s">
        <v>4011</v>
      </c>
      <c r="G57" s="783" t="str">
        <f t="shared" si="1"/>
        <v>Renewal (20% in 2020)</v>
      </c>
      <c r="H57" s="783" t="s">
        <v>4181</v>
      </c>
      <c r="I57" s="783" t="s">
        <v>4182</v>
      </c>
      <c r="J57" s="783">
        <v>20</v>
      </c>
      <c r="K57" s="783" t="s">
        <v>295</v>
      </c>
      <c r="L57" s="783" t="s">
        <v>4096</v>
      </c>
      <c r="M57" s="784">
        <v>3600</v>
      </c>
      <c r="N57" s="784">
        <v>6</v>
      </c>
      <c r="O57" s="784">
        <v>4</v>
      </c>
      <c r="P57" s="783">
        <v>150</v>
      </c>
      <c r="Q57" s="783">
        <v>291.24</v>
      </c>
      <c r="R57" s="783">
        <v>157.5</v>
      </c>
      <c r="S57" s="783">
        <v>45.18</v>
      </c>
      <c r="T57" s="783">
        <v>88.56</v>
      </c>
      <c r="U57" s="785">
        <v>44680.654074074097</v>
      </c>
    </row>
    <row r="58" spans="1:21">
      <c r="A58" s="782">
        <v>44680</v>
      </c>
      <c r="B58" s="783" t="s">
        <v>41</v>
      </c>
      <c r="C58" s="783" t="s">
        <v>4008</v>
      </c>
      <c r="D58" s="783" t="s">
        <v>4009</v>
      </c>
      <c r="E58" s="783" t="s">
        <v>4183</v>
      </c>
      <c r="F58" s="783" t="s">
        <v>4011</v>
      </c>
      <c r="G58" s="783" t="str">
        <f t="shared" si="1"/>
        <v>Renewal (15% in 2020)</v>
      </c>
      <c r="H58" s="783" t="s">
        <v>4184</v>
      </c>
      <c r="I58" s="783" t="s">
        <v>4185</v>
      </c>
      <c r="J58" s="783">
        <v>15</v>
      </c>
      <c r="K58" s="783" t="s">
        <v>295</v>
      </c>
      <c r="L58" s="783" t="s">
        <v>4096</v>
      </c>
      <c r="M58" s="784">
        <v>1942.39</v>
      </c>
      <c r="N58" s="784">
        <v>3.4</v>
      </c>
      <c r="O58" s="784">
        <v>4.17</v>
      </c>
      <c r="P58" s="783">
        <v>137</v>
      </c>
      <c r="Q58" s="783">
        <v>216.58</v>
      </c>
      <c r="R58" s="783">
        <v>93.23</v>
      </c>
      <c r="S58" s="783">
        <v>14.37</v>
      </c>
      <c r="T58" s="783">
        <v>108.97</v>
      </c>
      <c r="U58" s="785">
        <v>44683.4709953704</v>
      </c>
    </row>
    <row r="59" spans="1:21">
      <c r="A59" s="782">
        <v>44709</v>
      </c>
      <c r="B59" s="783" t="s">
        <v>41</v>
      </c>
      <c r="C59" s="783" t="s">
        <v>4082</v>
      </c>
      <c r="D59" s="783" t="s">
        <v>4009</v>
      </c>
      <c r="E59" s="783" t="s">
        <v>4186</v>
      </c>
      <c r="F59" s="783" t="s">
        <v>4011</v>
      </c>
      <c r="G59" s="783" t="str">
        <f t="shared" si="1"/>
        <v>Renewal (20% in 2020)</v>
      </c>
      <c r="H59" s="783" t="s">
        <v>4187</v>
      </c>
      <c r="I59" s="783" t="s">
        <v>4188</v>
      </c>
      <c r="J59" s="783">
        <v>20</v>
      </c>
      <c r="K59" s="783" t="s">
        <v>295</v>
      </c>
      <c r="L59" s="783" t="s">
        <v>4096</v>
      </c>
      <c r="M59" s="784">
        <v>15260.01</v>
      </c>
      <c r="N59" s="784">
        <v>15.12</v>
      </c>
      <c r="O59" s="784">
        <v>5.67</v>
      </c>
      <c r="P59" s="783">
        <v>178</v>
      </c>
      <c r="Q59" s="783">
        <v>1234.53</v>
      </c>
      <c r="R59" s="783">
        <v>562.59</v>
      </c>
      <c r="S59" s="783">
        <v>296.55</v>
      </c>
      <c r="T59" s="783">
        <v>375.4</v>
      </c>
      <c r="U59" s="785">
        <v>44711.649282407401</v>
      </c>
    </row>
    <row r="60" spans="1:21">
      <c r="A60" s="782">
        <v>44704</v>
      </c>
      <c r="B60" s="783" t="s">
        <v>41</v>
      </c>
      <c r="C60" s="783" t="s">
        <v>4071</v>
      </c>
      <c r="D60" s="783" t="s">
        <v>4009</v>
      </c>
      <c r="E60" s="783" t="s">
        <v>4189</v>
      </c>
      <c r="F60" s="783" t="s">
        <v>4011</v>
      </c>
      <c r="G60" s="783" t="str">
        <f t="shared" si="1"/>
        <v>Renewal (15% in 2020)</v>
      </c>
      <c r="H60" s="783" t="s">
        <v>4190</v>
      </c>
      <c r="I60" s="783" t="s">
        <v>4191</v>
      </c>
      <c r="J60" s="783">
        <v>15</v>
      </c>
      <c r="K60" s="783" t="s">
        <v>295</v>
      </c>
      <c r="L60" s="783" t="s">
        <v>4096</v>
      </c>
      <c r="M60" s="784">
        <v>1578.24</v>
      </c>
      <c r="N60" s="784">
        <v>3.2</v>
      </c>
      <c r="O60" s="784">
        <v>3.6</v>
      </c>
      <c r="P60" s="783">
        <v>137</v>
      </c>
      <c r="Q60" s="783">
        <v>129.57</v>
      </c>
      <c r="R60" s="783">
        <v>58.55</v>
      </c>
      <c r="S60" s="783">
        <v>8.68</v>
      </c>
      <c r="T60" s="783">
        <v>62.34</v>
      </c>
      <c r="U60" s="785">
        <v>44704.394826388903</v>
      </c>
    </row>
    <row r="61" spans="1:21">
      <c r="A61" s="782">
        <v>44565</v>
      </c>
      <c r="B61" s="783" t="s">
        <v>41</v>
      </c>
      <c r="C61" s="783" t="s">
        <v>4192</v>
      </c>
      <c r="D61" s="783" t="s">
        <v>4193</v>
      </c>
      <c r="E61" s="783" t="s">
        <v>4194</v>
      </c>
      <c r="F61" s="783" t="s">
        <v>4011</v>
      </c>
      <c r="G61" s="783" t="str">
        <f t="shared" si="1"/>
        <v>Renewal (15% in 2020)</v>
      </c>
      <c r="H61" s="783" t="s">
        <v>4195</v>
      </c>
      <c r="I61" s="783" t="s">
        <v>4196</v>
      </c>
      <c r="J61" s="783">
        <v>30</v>
      </c>
      <c r="K61" s="783" t="s">
        <v>295</v>
      </c>
      <c r="L61" s="783" t="s">
        <v>4096</v>
      </c>
      <c r="M61" s="784">
        <v>23022.47</v>
      </c>
      <c r="N61" s="784">
        <v>28.61</v>
      </c>
      <c r="O61" s="784">
        <v>6.19</v>
      </c>
      <c r="P61" s="783">
        <v>130</v>
      </c>
      <c r="Q61" s="783">
        <v>1128.0999999999999</v>
      </c>
      <c r="R61" s="783">
        <v>973.85</v>
      </c>
      <c r="S61" s="783">
        <v>0</v>
      </c>
      <c r="T61" s="783">
        <v>154.25</v>
      </c>
      <c r="U61" s="785">
        <v>44631.635254629597</v>
      </c>
    </row>
    <row r="62" spans="1:21">
      <c r="A62" s="782">
        <v>44565</v>
      </c>
      <c r="B62" s="783" t="s">
        <v>41</v>
      </c>
      <c r="C62" s="783" t="s">
        <v>4121</v>
      </c>
      <c r="D62" s="783" t="s">
        <v>4009</v>
      </c>
      <c r="E62" s="783" t="s">
        <v>4194</v>
      </c>
      <c r="F62" s="783" t="s">
        <v>4011</v>
      </c>
      <c r="G62" s="783" t="str">
        <f t="shared" si="1"/>
        <v>Renewal (15% in 2020)</v>
      </c>
      <c r="H62" s="783" t="s">
        <v>4195</v>
      </c>
      <c r="I62" s="783" t="s">
        <v>4196</v>
      </c>
      <c r="J62" s="783">
        <v>30</v>
      </c>
      <c r="K62" s="783" t="s">
        <v>295</v>
      </c>
      <c r="L62" s="783" t="s">
        <v>4096</v>
      </c>
      <c r="M62" s="784">
        <v>12062.45</v>
      </c>
      <c r="N62" s="784">
        <v>14.99</v>
      </c>
      <c r="O62" s="784">
        <v>6.19</v>
      </c>
      <c r="P62" s="783">
        <v>130</v>
      </c>
      <c r="Q62" s="783">
        <v>607.95000000000005</v>
      </c>
      <c r="R62" s="783">
        <v>516.27</v>
      </c>
      <c r="S62" s="783">
        <v>0</v>
      </c>
      <c r="T62" s="783">
        <v>91.67</v>
      </c>
      <c r="U62" s="785">
        <v>44631.635266203702</v>
      </c>
    </row>
    <row r="63" spans="1:21">
      <c r="A63" s="782">
        <v>44566</v>
      </c>
      <c r="B63" s="783" t="s">
        <v>74</v>
      </c>
      <c r="C63" s="783" t="s">
        <v>4037</v>
      </c>
      <c r="D63" s="783" t="s">
        <v>4038</v>
      </c>
      <c r="E63" s="783" t="s">
        <v>4197</v>
      </c>
      <c r="F63" s="783" t="s">
        <v>4011</v>
      </c>
      <c r="G63" s="783" t="str">
        <f t="shared" si="1"/>
        <v>Renewal (25% in 2020)</v>
      </c>
      <c r="H63" s="783" t="s">
        <v>4198</v>
      </c>
      <c r="I63" s="783" t="s">
        <v>4199</v>
      </c>
      <c r="J63" s="783">
        <v>25</v>
      </c>
      <c r="K63" s="783" t="s">
        <v>295</v>
      </c>
      <c r="L63" s="783" t="s">
        <v>4096</v>
      </c>
      <c r="M63" s="784">
        <v>3720.67</v>
      </c>
      <c r="N63" s="784">
        <v>5.41</v>
      </c>
      <c r="O63" s="784">
        <v>5.0199999999999996</v>
      </c>
      <c r="P63" s="783">
        <v>137</v>
      </c>
      <c r="Q63" s="783">
        <v>351.98</v>
      </c>
      <c r="R63" s="783">
        <v>241.1</v>
      </c>
      <c r="S63" s="783">
        <v>38.32</v>
      </c>
      <c r="T63" s="783">
        <v>72.55</v>
      </c>
      <c r="U63" s="785">
        <v>44631.632430555597</v>
      </c>
    </row>
    <row r="64" spans="1:21">
      <c r="A64" s="782">
        <v>44447</v>
      </c>
      <c r="B64" s="783" t="s">
        <v>118</v>
      </c>
      <c r="C64" s="783" t="s">
        <v>4139</v>
      </c>
      <c r="D64" s="783" t="s">
        <v>4009</v>
      </c>
      <c r="E64" s="783" t="s">
        <v>117</v>
      </c>
      <c r="F64" s="783" t="s">
        <v>4011</v>
      </c>
      <c r="G64" s="783" t="str">
        <f t="shared" si="1"/>
        <v>Renewal (15% in 2020)</v>
      </c>
      <c r="H64" s="783" t="s">
        <v>4200</v>
      </c>
      <c r="I64" s="783" t="s">
        <v>4201</v>
      </c>
      <c r="J64" s="783">
        <v>15</v>
      </c>
      <c r="K64" s="783" t="s">
        <v>295</v>
      </c>
      <c r="L64" s="783" t="s">
        <v>4096</v>
      </c>
      <c r="M64" s="784">
        <v>5031</v>
      </c>
      <c r="N64" s="784">
        <v>7.74</v>
      </c>
      <c r="O64" s="784">
        <v>5</v>
      </c>
      <c r="P64" s="783">
        <v>130</v>
      </c>
      <c r="Q64" s="783">
        <v>430.65</v>
      </c>
      <c r="R64" s="783">
        <v>194.7</v>
      </c>
      <c r="S64" s="783">
        <v>28.68</v>
      </c>
      <c r="T64" s="783">
        <v>207.28</v>
      </c>
      <c r="U64" s="785">
        <v>44631.6325</v>
      </c>
    </row>
    <row r="65" spans="1:21">
      <c r="A65" s="782">
        <v>44529</v>
      </c>
      <c r="B65" s="783" t="s">
        <v>41</v>
      </c>
      <c r="C65" s="783" t="s">
        <v>4139</v>
      </c>
      <c r="D65" s="783" t="s">
        <v>4009</v>
      </c>
      <c r="E65" s="783" t="s">
        <v>4202</v>
      </c>
      <c r="F65" s="783" t="s">
        <v>4011</v>
      </c>
      <c r="G65" s="783" t="str">
        <f t="shared" si="1"/>
        <v>Renewal (15% in 2020)</v>
      </c>
      <c r="H65" s="783" t="s">
        <v>4203</v>
      </c>
      <c r="I65" s="783" t="s">
        <v>4204</v>
      </c>
      <c r="J65" s="783">
        <v>15</v>
      </c>
      <c r="K65" s="783" t="s">
        <v>295</v>
      </c>
      <c r="L65" s="783" t="s">
        <v>4096</v>
      </c>
      <c r="M65" s="784">
        <v>11939.82</v>
      </c>
      <c r="N65" s="784">
        <v>16</v>
      </c>
      <c r="O65" s="784">
        <v>4.1900000000000004</v>
      </c>
      <c r="P65" s="783">
        <v>178.1</v>
      </c>
      <c r="Q65" s="783">
        <v>1022.05</v>
      </c>
      <c r="R65" s="783">
        <v>355.44</v>
      </c>
      <c r="S65" s="783">
        <v>174.69</v>
      </c>
      <c r="T65" s="783">
        <v>491.92</v>
      </c>
      <c r="U65" s="785">
        <v>44631.632881944402</v>
      </c>
    </row>
    <row r="66" spans="1:21">
      <c r="A66" s="782">
        <v>44536</v>
      </c>
      <c r="B66" s="783" t="s">
        <v>4025</v>
      </c>
      <c r="C66" s="783" t="s">
        <v>4026</v>
      </c>
      <c r="D66" s="783" t="s">
        <v>4021</v>
      </c>
      <c r="E66" s="783" t="s">
        <v>4205</v>
      </c>
      <c r="F66" s="783" t="s">
        <v>4011</v>
      </c>
      <c r="G66" s="783" t="str">
        <f t="shared" si="1"/>
        <v>New contract</v>
      </c>
      <c r="H66" s="783" t="s">
        <v>4206</v>
      </c>
      <c r="I66" s="783" t="s">
        <v>4207</v>
      </c>
      <c r="J66" s="783">
        <v>25</v>
      </c>
      <c r="K66" s="783" t="s">
        <v>295</v>
      </c>
      <c r="L66" s="783" t="s">
        <v>4096</v>
      </c>
      <c r="M66" s="784">
        <v>4564</v>
      </c>
      <c r="N66" s="784">
        <v>6.52</v>
      </c>
      <c r="O66" s="784">
        <v>5</v>
      </c>
      <c r="P66" s="783">
        <v>140</v>
      </c>
      <c r="Q66" s="783">
        <v>313.08999999999997</v>
      </c>
      <c r="R66" s="783">
        <v>221.97</v>
      </c>
      <c r="S66" s="783">
        <v>41.37</v>
      </c>
      <c r="T66" s="783">
        <v>49.75</v>
      </c>
      <c r="U66" s="785">
        <v>44631.633067129602</v>
      </c>
    </row>
    <row r="67" spans="1:21">
      <c r="A67" s="782">
        <v>44543</v>
      </c>
      <c r="B67" s="783" t="s">
        <v>41</v>
      </c>
      <c r="C67" s="783" t="s">
        <v>4092</v>
      </c>
      <c r="D67" s="783" t="s">
        <v>4009</v>
      </c>
      <c r="E67" s="783" t="s">
        <v>4208</v>
      </c>
      <c r="F67" s="783" t="s">
        <v>4011</v>
      </c>
      <c r="G67" s="783" t="str">
        <f t="shared" si="1"/>
        <v>New Contract</v>
      </c>
      <c r="H67" s="783" t="s">
        <v>4209</v>
      </c>
      <c r="I67" s="783" t="s">
        <v>4210</v>
      </c>
      <c r="J67" s="783">
        <v>30</v>
      </c>
      <c r="K67" s="783" t="s">
        <v>295</v>
      </c>
      <c r="L67" s="783" t="s">
        <v>4096</v>
      </c>
      <c r="M67" s="784">
        <v>3425.5</v>
      </c>
      <c r="N67" s="784">
        <v>5</v>
      </c>
      <c r="O67" s="784">
        <v>4.03</v>
      </c>
      <c r="P67" s="783">
        <v>170</v>
      </c>
      <c r="Q67" s="783">
        <v>195.94</v>
      </c>
      <c r="R67" s="783">
        <v>139.68</v>
      </c>
      <c r="S67" s="783">
        <v>33.65</v>
      </c>
      <c r="T67" s="783">
        <v>22.61</v>
      </c>
      <c r="U67" s="785">
        <v>44631.632928240702</v>
      </c>
    </row>
    <row r="68" spans="1:21">
      <c r="A68" s="782">
        <v>44536</v>
      </c>
      <c r="B68" s="783" t="s">
        <v>41</v>
      </c>
      <c r="C68" s="783" t="s">
        <v>4092</v>
      </c>
      <c r="D68" s="783" t="s">
        <v>4009</v>
      </c>
      <c r="E68" s="783" t="s">
        <v>4211</v>
      </c>
      <c r="F68" s="783" t="s">
        <v>4011</v>
      </c>
      <c r="G68" s="783" t="s">
        <v>4028</v>
      </c>
      <c r="H68" s="783" t="s">
        <v>4212</v>
      </c>
      <c r="I68" s="783" t="s">
        <v>4213</v>
      </c>
      <c r="J68" s="783">
        <v>20</v>
      </c>
      <c r="K68" s="783" t="s">
        <v>295</v>
      </c>
      <c r="L68" s="783" t="s">
        <v>4096</v>
      </c>
      <c r="M68" s="784">
        <v>4732.8</v>
      </c>
      <c r="N68" s="784">
        <v>8.6999999999999993</v>
      </c>
      <c r="O68" s="784">
        <v>3.4</v>
      </c>
      <c r="P68" s="783">
        <v>160</v>
      </c>
      <c r="Q68" s="783">
        <v>405.13</v>
      </c>
      <c r="R68" s="783">
        <v>205.05</v>
      </c>
      <c r="S68" s="783">
        <v>77.02</v>
      </c>
      <c r="T68" s="783">
        <v>123.05</v>
      </c>
      <c r="U68" s="785">
        <v>44631.636064814797</v>
      </c>
    </row>
    <row r="69" spans="1:21">
      <c r="A69" s="782">
        <v>44551</v>
      </c>
      <c r="B69" s="783" t="s">
        <v>74</v>
      </c>
      <c r="C69" s="783" t="s">
        <v>4037</v>
      </c>
      <c r="D69" s="783" t="s">
        <v>4038</v>
      </c>
      <c r="E69" s="783" t="s">
        <v>4214</v>
      </c>
      <c r="F69" s="783" t="s">
        <v>4011</v>
      </c>
      <c r="G69" s="783" t="str">
        <f t="shared" ref="G69:G91" si="2">VLOOKUP(I69,pacage,2,FALSE)</f>
        <v>New contract</v>
      </c>
      <c r="H69" s="783" t="s">
        <v>4215</v>
      </c>
      <c r="I69" s="783" t="s">
        <v>4216</v>
      </c>
      <c r="J69" s="783">
        <v>25</v>
      </c>
      <c r="K69" s="783" t="s">
        <v>295</v>
      </c>
      <c r="L69" s="783" t="s">
        <v>4096</v>
      </c>
      <c r="M69" s="784">
        <v>13938.75</v>
      </c>
      <c r="N69" s="784">
        <v>26.55</v>
      </c>
      <c r="O69" s="784">
        <v>3.5</v>
      </c>
      <c r="P69" s="783">
        <v>150</v>
      </c>
      <c r="Q69" s="783">
        <v>1318.61</v>
      </c>
      <c r="R69" s="783">
        <v>824.95</v>
      </c>
      <c r="S69" s="783">
        <v>221.85</v>
      </c>
      <c r="T69" s="783">
        <v>271.81</v>
      </c>
      <c r="U69" s="785">
        <v>44631.637083333299</v>
      </c>
    </row>
    <row r="70" spans="1:21">
      <c r="A70" s="782">
        <v>44518</v>
      </c>
      <c r="B70" s="783" t="s">
        <v>4025</v>
      </c>
      <c r="C70" s="783" t="s">
        <v>4026</v>
      </c>
      <c r="D70" s="783" t="s">
        <v>4021</v>
      </c>
      <c r="E70" s="783" t="s">
        <v>4217</v>
      </c>
      <c r="F70" s="783" t="s">
        <v>4011</v>
      </c>
      <c r="G70" s="783" t="str">
        <f t="shared" si="2"/>
        <v>New Contract</v>
      </c>
      <c r="H70" s="783" t="s">
        <v>4218</v>
      </c>
      <c r="I70" s="783" t="s">
        <v>4219</v>
      </c>
      <c r="J70" s="783">
        <v>20</v>
      </c>
      <c r="K70" s="783" t="s">
        <v>295</v>
      </c>
      <c r="L70" s="783" t="s">
        <v>4096</v>
      </c>
      <c r="M70" s="784">
        <v>14529</v>
      </c>
      <c r="N70" s="784">
        <v>20</v>
      </c>
      <c r="O70" s="784">
        <v>5.01</v>
      </c>
      <c r="P70" s="783">
        <v>145</v>
      </c>
      <c r="Q70" s="783">
        <v>1272.74</v>
      </c>
      <c r="R70" s="783">
        <v>682.25</v>
      </c>
      <c r="S70" s="783">
        <v>156.07</v>
      </c>
      <c r="T70" s="783">
        <v>434.42</v>
      </c>
      <c r="U70" s="785">
        <v>44631.633611111101</v>
      </c>
    </row>
    <row r="71" spans="1:21">
      <c r="A71" s="782">
        <v>44504</v>
      </c>
      <c r="B71" s="783" t="s">
        <v>41</v>
      </c>
      <c r="C71" s="783" t="s">
        <v>4121</v>
      </c>
      <c r="D71" s="783" t="s">
        <v>4009</v>
      </c>
      <c r="E71" s="783" t="s">
        <v>4220</v>
      </c>
      <c r="F71" s="783" t="s">
        <v>4011</v>
      </c>
      <c r="G71" s="783" t="str">
        <f t="shared" si="2"/>
        <v>New Contract</v>
      </c>
      <c r="H71" s="783" t="s">
        <v>4221</v>
      </c>
      <c r="I71" s="783" t="s">
        <v>4222</v>
      </c>
      <c r="J71" s="783">
        <v>30</v>
      </c>
      <c r="K71" s="783" t="s">
        <v>295</v>
      </c>
      <c r="L71" s="783" t="s">
        <v>4096</v>
      </c>
      <c r="M71" s="784">
        <v>34684.15</v>
      </c>
      <c r="N71" s="784">
        <v>41.3</v>
      </c>
      <c r="O71" s="784">
        <v>6.13</v>
      </c>
      <c r="P71" s="783">
        <v>137</v>
      </c>
      <c r="Q71" s="783">
        <v>1748.08</v>
      </c>
      <c r="R71" s="783">
        <v>1484.48</v>
      </c>
      <c r="S71" s="783">
        <v>0</v>
      </c>
      <c r="T71" s="783">
        <v>263.60000000000002</v>
      </c>
      <c r="U71" s="785">
        <v>44631.637268518498</v>
      </c>
    </row>
    <row r="72" spans="1:21">
      <c r="A72" s="782">
        <v>44477</v>
      </c>
      <c r="B72" s="783" t="s">
        <v>41</v>
      </c>
      <c r="C72" s="783" t="s">
        <v>4092</v>
      </c>
      <c r="D72" s="783" t="s">
        <v>4009</v>
      </c>
      <c r="E72" s="783" t="s">
        <v>1343</v>
      </c>
      <c r="F72" s="783" t="s">
        <v>4011</v>
      </c>
      <c r="G72" s="783" t="str">
        <f t="shared" si="2"/>
        <v>Renewal (25% in 2020)</v>
      </c>
      <c r="H72" s="783" t="s">
        <v>4223</v>
      </c>
      <c r="I72" s="783" t="s">
        <v>4224</v>
      </c>
      <c r="J72" s="783">
        <v>25</v>
      </c>
      <c r="K72" s="783" t="s">
        <v>295</v>
      </c>
      <c r="L72" s="783" t="s">
        <v>4096</v>
      </c>
      <c r="M72" s="784">
        <v>9638.73</v>
      </c>
      <c r="N72" s="784">
        <v>13.17</v>
      </c>
      <c r="O72" s="784">
        <v>4.49</v>
      </c>
      <c r="P72" s="783">
        <v>163</v>
      </c>
      <c r="Q72" s="783">
        <v>638.08000000000004</v>
      </c>
      <c r="R72" s="783">
        <v>409.92</v>
      </c>
      <c r="S72" s="783">
        <v>164.54</v>
      </c>
      <c r="T72" s="783">
        <v>63.62</v>
      </c>
      <c r="U72" s="785">
        <v>44631.637418981503</v>
      </c>
    </row>
    <row r="73" spans="1:21">
      <c r="A73" s="782">
        <v>44494</v>
      </c>
      <c r="B73" s="783" t="s">
        <v>4025</v>
      </c>
      <c r="C73" s="783" t="s">
        <v>4026</v>
      </c>
      <c r="D73" s="783" t="s">
        <v>4021</v>
      </c>
      <c r="E73" s="783" t="s">
        <v>4225</v>
      </c>
      <c r="F73" s="783" t="s">
        <v>4011</v>
      </c>
      <c r="G73" s="783" t="str">
        <f t="shared" si="2"/>
        <v>New Contract</v>
      </c>
      <c r="H73" s="783" t="s">
        <v>4226</v>
      </c>
      <c r="I73" s="783" t="s">
        <v>4227</v>
      </c>
      <c r="J73" s="783">
        <v>25</v>
      </c>
      <c r="K73" s="783" t="s">
        <v>295</v>
      </c>
      <c r="L73" s="783" t="s">
        <v>4096</v>
      </c>
      <c r="M73" s="784">
        <v>9933.9500000000007</v>
      </c>
      <c r="N73" s="784">
        <v>17</v>
      </c>
      <c r="O73" s="784">
        <v>4.03</v>
      </c>
      <c r="P73" s="783">
        <v>145</v>
      </c>
      <c r="Q73" s="783">
        <v>681.47</v>
      </c>
      <c r="R73" s="783">
        <v>466.48</v>
      </c>
      <c r="S73" s="783">
        <v>106.71</v>
      </c>
      <c r="T73" s="783">
        <v>108.28</v>
      </c>
      <c r="U73" s="785">
        <v>44631.638310185197</v>
      </c>
    </row>
    <row r="74" spans="1:21">
      <c r="A74" s="782">
        <v>44494</v>
      </c>
      <c r="B74" s="783" t="s">
        <v>4025</v>
      </c>
      <c r="C74" s="783" t="s">
        <v>4026</v>
      </c>
      <c r="D74" s="783" t="s">
        <v>4021</v>
      </c>
      <c r="E74" s="783" t="s">
        <v>4228</v>
      </c>
      <c r="F74" s="783" t="s">
        <v>4011</v>
      </c>
      <c r="G74" s="783" t="str">
        <f t="shared" si="2"/>
        <v>New Contract</v>
      </c>
      <c r="H74" s="783" t="s">
        <v>4229</v>
      </c>
      <c r="I74" s="783" t="s">
        <v>4230</v>
      </c>
      <c r="J74" s="783">
        <v>20</v>
      </c>
      <c r="K74" s="783" t="s">
        <v>295</v>
      </c>
      <c r="L74" s="783" t="s">
        <v>4096</v>
      </c>
      <c r="M74" s="784">
        <v>8180.9</v>
      </c>
      <c r="N74" s="784">
        <v>14</v>
      </c>
      <c r="O74" s="784">
        <v>4.03</v>
      </c>
      <c r="P74" s="783">
        <v>145</v>
      </c>
      <c r="Q74" s="783">
        <v>716.65</v>
      </c>
      <c r="R74" s="783">
        <v>384.16</v>
      </c>
      <c r="S74" s="783">
        <v>87.88</v>
      </c>
      <c r="T74" s="783">
        <v>244.61</v>
      </c>
      <c r="U74" s="785">
        <v>44631.638229166703</v>
      </c>
    </row>
    <row r="75" spans="1:21">
      <c r="A75" s="782">
        <v>44681</v>
      </c>
      <c r="B75" s="783" t="s">
        <v>4025</v>
      </c>
      <c r="C75" s="783" t="s">
        <v>4026</v>
      </c>
      <c r="D75" s="783" t="s">
        <v>4021</v>
      </c>
      <c r="E75" s="783" t="s">
        <v>4231</v>
      </c>
      <c r="F75" s="783" t="s">
        <v>4011</v>
      </c>
      <c r="G75" s="783" t="str">
        <f t="shared" si="2"/>
        <v>New Contract</v>
      </c>
      <c r="H75" s="783" t="s">
        <v>4232</v>
      </c>
      <c r="I75" s="783" t="s">
        <v>4233</v>
      </c>
      <c r="J75" s="783">
        <v>25</v>
      </c>
      <c r="K75" s="783" t="s">
        <v>2632</v>
      </c>
      <c r="L75" s="783" t="s">
        <v>4096</v>
      </c>
      <c r="M75" s="784">
        <v>1738.8</v>
      </c>
      <c r="N75" s="784">
        <v>3.36</v>
      </c>
      <c r="O75" s="784">
        <v>2.0699999999999998</v>
      </c>
      <c r="P75" s="783">
        <v>250</v>
      </c>
      <c r="Q75" s="783">
        <v>131.28</v>
      </c>
      <c r="R75" s="783">
        <v>53.74</v>
      </c>
      <c r="S75" s="783">
        <v>56.85</v>
      </c>
      <c r="T75" s="783">
        <v>20.69</v>
      </c>
      <c r="U75" s="785">
        <v>44713.630902777797</v>
      </c>
    </row>
    <row r="76" spans="1:21">
      <c r="A76" s="782">
        <v>44409</v>
      </c>
      <c r="B76" s="783" t="s">
        <v>41</v>
      </c>
      <c r="C76" s="783" t="s">
        <v>4008</v>
      </c>
      <c r="D76" s="783" t="s">
        <v>4009</v>
      </c>
      <c r="E76" s="783" t="s">
        <v>4010</v>
      </c>
      <c r="F76" s="783" t="s">
        <v>4011</v>
      </c>
      <c r="G76" s="783" t="str">
        <f t="shared" si="2"/>
        <v>Renewal (25% in 2020)</v>
      </c>
      <c r="H76" s="783" t="s">
        <v>4012</v>
      </c>
      <c r="I76" s="783" t="s">
        <v>4013</v>
      </c>
      <c r="J76" s="783">
        <v>25</v>
      </c>
      <c r="K76" s="783" t="s">
        <v>4234</v>
      </c>
      <c r="L76" s="783" t="s">
        <v>4096</v>
      </c>
      <c r="M76" s="784">
        <v>4537.05</v>
      </c>
      <c r="N76" s="784">
        <v>7</v>
      </c>
      <c r="O76" s="784">
        <v>4.47</v>
      </c>
      <c r="P76" s="783">
        <v>145</v>
      </c>
      <c r="Q76" s="783">
        <v>300.35000000000002</v>
      </c>
      <c r="R76" s="783">
        <v>211.77</v>
      </c>
      <c r="S76" s="783">
        <v>39.58</v>
      </c>
      <c r="T76" s="783">
        <v>49</v>
      </c>
      <c r="U76" s="785">
        <v>44631.509988425903</v>
      </c>
    </row>
    <row r="77" spans="1:21">
      <c r="A77" s="782">
        <v>44678</v>
      </c>
      <c r="B77" s="783" t="s">
        <v>118</v>
      </c>
      <c r="C77" s="783" t="s">
        <v>4139</v>
      </c>
      <c r="D77" s="783" t="s">
        <v>4009</v>
      </c>
      <c r="E77" s="783" t="s">
        <v>1097</v>
      </c>
      <c r="F77" s="783" t="s">
        <v>4011</v>
      </c>
      <c r="G77" s="783" t="str">
        <f t="shared" si="2"/>
        <v>New contract</v>
      </c>
      <c r="H77" s="783" t="s">
        <v>4235</v>
      </c>
      <c r="I77" s="783" t="s">
        <v>4236</v>
      </c>
      <c r="J77" s="783">
        <v>25</v>
      </c>
      <c r="K77" s="783" t="s">
        <v>4234</v>
      </c>
      <c r="L77" s="783" t="s">
        <v>4096</v>
      </c>
      <c r="M77" s="784">
        <v>5735.18</v>
      </c>
      <c r="N77" s="784">
        <v>7.07</v>
      </c>
      <c r="O77" s="784">
        <v>5.07</v>
      </c>
      <c r="P77" s="783">
        <v>160</v>
      </c>
      <c r="Q77" s="783">
        <v>282.17</v>
      </c>
      <c r="R77" s="783">
        <v>195.59</v>
      </c>
      <c r="S77" s="783">
        <v>59.05</v>
      </c>
      <c r="T77" s="783">
        <v>27.53</v>
      </c>
      <c r="U77" s="785">
        <v>44680.660208333298</v>
      </c>
    </row>
    <row r="78" spans="1:21">
      <c r="A78" s="782">
        <v>44698</v>
      </c>
      <c r="B78" s="783" t="s">
        <v>41</v>
      </c>
      <c r="C78" s="783" t="s">
        <v>4139</v>
      </c>
      <c r="D78" s="783" t="s">
        <v>4009</v>
      </c>
      <c r="E78" s="783" t="s">
        <v>1156</v>
      </c>
      <c r="F78" s="783" t="s">
        <v>4011</v>
      </c>
      <c r="G78" s="783" t="str">
        <f t="shared" si="2"/>
        <v>New Contract</v>
      </c>
      <c r="H78" s="783" t="s">
        <v>4237</v>
      </c>
      <c r="I78" s="783" t="s">
        <v>4238</v>
      </c>
      <c r="J78" s="783">
        <v>20</v>
      </c>
      <c r="K78" s="783" t="s">
        <v>4234</v>
      </c>
      <c r="L78" s="783" t="s">
        <v>4096</v>
      </c>
      <c r="M78" s="784">
        <v>3651.9</v>
      </c>
      <c r="N78" s="784">
        <v>7</v>
      </c>
      <c r="O78" s="784">
        <v>3.7</v>
      </c>
      <c r="P78" s="783">
        <v>141</v>
      </c>
      <c r="Q78" s="783">
        <v>233.36</v>
      </c>
      <c r="R78" s="783">
        <v>141.33000000000001</v>
      </c>
      <c r="S78" s="783">
        <v>20.82</v>
      </c>
      <c r="T78" s="783">
        <v>71.209999999999994</v>
      </c>
      <c r="U78" s="785">
        <v>44699.5009027778</v>
      </c>
    </row>
    <row r="79" spans="1:21">
      <c r="A79" s="782">
        <v>44700</v>
      </c>
      <c r="B79" s="783" t="s">
        <v>30</v>
      </c>
      <c r="C79" s="783" t="s">
        <v>4239</v>
      </c>
      <c r="D79" s="783" t="s">
        <v>4021</v>
      </c>
      <c r="E79" s="783" t="s">
        <v>2043</v>
      </c>
      <c r="F79" s="783" t="s">
        <v>4011</v>
      </c>
      <c r="G79" s="783" t="str">
        <f t="shared" si="2"/>
        <v>Renewal (30% in 2020)</v>
      </c>
      <c r="H79" s="783" t="s">
        <v>4240</v>
      </c>
      <c r="I79" s="783" t="s">
        <v>4241</v>
      </c>
      <c r="J79" s="783">
        <v>30</v>
      </c>
      <c r="K79" s="783" t="s">
        <v>4234</v>
      </c>
      <c r="L79" s="783" t="s">
        <v>4096</v>
      </c>
      <c r="M79" s="784">
        <v>11644.07</v>
      </c>
      <c r="N79" s="784">
        <v>12.61</v>
      </c>
      <c r="O79" s="784">
        <v>5.13</v>
      </c>
      <c r="P79" s="783">
        <v>180</v>
      </c>
      <c r="Q79" s="783">
        <v>508.85</v>
      </c>
      <c r="R79" s="783">
        <v>338.4</v>
      </c>
      <c r="S79" s="783">
        <v>93.6</v>
      </c>
      <c r="T79" s="783">
        <v>76.849999999999994</v>
      </c>
      <c r="U79" s="785">
        <v>44700.716527777797</v>
      </c>
    </row>
    <row r="80" spans="1:21">
      <c r="A80" s="782">
        <v>44424</v>
      </c>
      <c r="B80" s="783" t="s">
        <v>228</v>
      </c>
      <c r="C80" s="783" t="s">
        <v>4020</v>
      </c>
      <c r="D80" s="783" t="s">
        <v>4021</v>
      </c>
      <c r="E80" s="783" t="s">
        <v>1026</v>
      </c>
      <c r="F80" s="783" t="s">
        <v>4011</v>
      </c>
      <c r="G80" s="783" t="str">
        <f t="shared" si="2"/>
        <v>Renewal (20% in 2020)</v>
      </c>
      <c r="H80" s="783" t="s">
        <v>4242</v>
      </c>
      <c r="I80" s="783" t="s">
        <v>4243</v>
      </c>
      <c r="J80" s="783">
        <v>20</v>
      </c>
      <c r="K80" s="783" t="s">
        <v>4234</v>
      </c>
      <c r="L80" s="783" t="s">
        <v>4096</v>
      </c>
      <c r="M80" s="784">
        <v>24376.799999999999</v>
      </c>
      <c r="N80" s="784">
        <v>14.51</v>
      </c>
      <c r="O80" s="784">
        <v>4.2</v>
      </c>
      <c r="P80" s="783">
        <v>400</v>
      </c>
      <c r="Q80" s="783">
        <v>2284.11</v>
      </c>
      <c r="R80" s="783">
        <v>469.17</v>
      </c>
      <c r="S80" s="783">
        <v>1064.1300000000001</v>
      </c>
      <c r="T80" s="783">
        <v>750.81</v>
      </c>
      <c r="U80" s="785">
        <v>44631.632581018501</v>
      </c>
    </row>
    <row r="81" spans="1:21">
      <c r="A81" s="782">
        <v>44529</v>
      </c>
      <c r="B81" s="783" t="s">
        <v>41</v>
      </c>
      <c r="C81" s="783" t="s">
        <v>4139</v>
      </c>
      <c r="D81" s="783" t="s">
        <v>4009</v>
      </c>
      <c r="E81" s="783" t="s">
        <v>4202</v>
      </c>
      <c r="F81" s="783" t="s">
        <v>4011</v>
      </c>
      <c r="G81" s="783" t="str">
        <f t="shared" si="2"/>
        <v>Renewal (15% in 2020)</v>
      </c>
      <c r="H81" s="783" t="s">
        <v>4203</v>
      </c>
      <c r="I81" s="783" t="s">
        <v>4204</v>
      </c>
      <c r="J81" s="783">
        <v>15</v>
      </c>
      <c r="K81" s="783" t="s">
        <v>4234</v>
      </c>
      <c r="L81" s="783" t="s">
        <v>4096</v>
      </c>
      <c r="M81" s="784">
        <v>3840.14</v>
      </c>
      <c r="N81" s="784">
        <v>5</v>
      </c>
      <c r="O81" s="784">
        <v>4.1900000000000004</v>
      </c>
      <c r="P81" s="783">
        <v>183.3</v>
      </c>
      <c r="Q81" s="783">
        <v>328.72</v>
      </c>
      <c r="R81" s="783">
        <v>114.32</v>
      </c>
      <c r="S81" s="783">
        <v>56.18</v>
      </c>
      <c r="T81" s="783">
        <v>158.21</v>
      </c>
      <c r="U81" s="785">
        <v>44631.632881944402</v>
      </c>
    </row>
    <row r="82" spans="1:21">
      <c r="A82" s="782">
        <v>44685</v>
      </c>
      <c r="B82" s="783" t="s">
        <v>47</v>
      </c>
      <c r="C82" s="783" t="s">
        <v>4244</v>
      </c>
      <c r="D82" s="783" t="s">
        <v>4102</v>
      </c>
      <c r="E82" s="783" t="s">
        <v>425</v>
      </c>
      <c r="F82" s="783" t="s">
        <v>4011</v>
      </c>
      <c r="G82" s="783" t="str">
        <f t="shared" si="2"/>
        <v>Renewal (30% in 2020)</v>
      </c>
      <c r="H82" s="783" t="s">
        <v>4245</v>
      </c>
      <c r="I82" s="783" t="s">
        <v>4246</v>
      </c>
      <c r="J82" s="783">
        <v>30</v>
      </c>
      <c r="K82" s="783" t="s">
        <v>408</v>
      </c>
      <c r="L82" s="783" t="s">
        <v>4014</v>
      </c>
      <c r="M82" s="784">
        <v>57687.59</v>
      </c>
      <c r="N82" s="784">
        <v>23.31</v>
      </c>
      <c r="O82" s="784">
        <v>107.6</v>
      </c>
      <c r="P82" s="783">
        <v>23</v>
      </c>
      <c r="Q82" s="783">
        <v>1730.63</v>
      </c>
      <c r="R82" s="783">
        <v>1505.65</v>
      </c>
      <c r="S82" s="783">
        <v>0</v>
      </c>
      <c r="T82" s="783">
        <v>224.98</v>
      </c>
      <c r="U82" s="785">
        <v>44685.419155092597</v>
      </c>
    </row>
    <row r="83" spans="1:21">
      <c r="A83" s="782">
        <v>44687</v>
      </c>
      <c r="B83" s="783" t="s">
        <v>228</v>
      </c>
      <c r="C83" s="783" t="s">
        <v>4247</v>
      </c>
      <c r="D83" s="783" t="s">
        <v>4248</v>
      </c>
      <c r="E83" s="783" t="s">
        <v>3566</v>
      </c>
      <c r="F83" s="783" t="s">
        <v>4011</v>
      </c>
      <c r="G83" s="783" t="str">
        <f t="shared" si="2"/>
        <v>Renewal (25% in 2020)</v>
      </c>
      <c r="H83" s="783" t="s">
        <v>4249</v>
      </c>
      <c r="I83" s="783" t="s">
        <v>4250</v>
      </c>
      <c r="J83" s="783">
        <v>25</v>
      </c>
      <c r="K83" s="783" t="s">
        <v>408</v>
      </c>
      <c r="L83" s="783" t="s">
        <v>4014</v>
      </c>
      <c r="M83" s="784">
        <v>43235.39</v>
      </c>
      <c r="N83" s="784">
        <v>22.06</v>
      </c>
      <c r="O83" s="784">
        <v>65.33</v>
      </c>
      <c r="P83" s="783">
        <v>30</v>
      </c>
      <c r="Q83" s="783">
        <v>1733.74</v>
      </c>
      <c r="R83" s="783">
        <v>1154.0999999999999</v>
      </c>
      <c r="S83" s="783">
        <v>393.73</v>
      </c>
      <c r="T83" s="783">
        <v>185.91</v>
      </c>
      <c r="U83" s="785">
        <v>44687.670960648102</v>
      </c>
    </row>
    <row r="84" spans="1:21">
      <c r="A84" s="782">
        <v>44685</v>
      </c>
      <c r="B84" s="783" t="s">
        <v>47</v>
      </c>
      <c r="C84" s="783" t="s">
        <v>4251</v>
      </c>
      <c r="D84" s="783" t="s">
        <v>4193</v>
      </c>
      <c r="E84" s="783" t="s">
        <v>1933</v>
      </c>
      <c r="F84" s="783" t="s">
        <v>4011</v>
      </c>
      <c r="G84" s="783" t="str">
        <f t="shared" si="2"/>
        <v>Renewal (25% in 2020)</v>
      </c>
      <c r="H84" s="783" t="s">
        <v>4252</v>
      </c>
      <c r="I84" s="783" t="s">
        <v>4253</v>
      </c>
      <c r="J84" s="783">
        <v>25</v>
      </c>
      <c r="K84" s="783" t="s">
        <v>408</v>
      </c>
      <c r="L84" s="783" t="s">
        <v>4014</v>
      </c>
      <c r="M84" s="784">
        <v>21354.84</v>
      </c>
      <c r="N84" s="784">
        <v>9.7200000000000006</v>
      </c>
      <c r="O84" s="784">
        <v>84.5</v>
      </c>
      <c r="P84" s="783">
        <v>26</v>
      </c>
      <c r="Q84" s="783">
        <v>668.41</v>
      </c>
      <c r="R84" s="783">
        <v>514.65</v>
      </c>
      <c r="S84" s="783">
        <v>87.55</v>
      </c>
      <c r="T84" s="783">
        <v>66.2</v>
      </c>
      <c r="U84" s="785">
        <v>44685.4144212963</v>
      </c>
    </row>
    <row r="85" spans="1:21">
      <c r="A85" s="782">
        <v>44685</v>
      </c>
      <c r="B85" s="783" t="s">
        <v>47</v>
      </c>
      <c r="C85" s="783" t="s">
        <v>4251</v>
      </c>
      <c r="D85" s="783" t="s">
        <v>4193</v>
      </c>
      <c r="E85" s="783" t="s">
        <v>4254</v>
      </c>
      <c r="F85" s="783" t="s">
        <v>4011</v>
      </c>
      <c r="G85" s="783" t="str">
        <f t="shared" si="2"/>
        <v>Renewal (25% in 2020)</v>
      </c>
      <c r="H85" s="783" t="s">
        <v>4255</v>
      </c>
      <c r="I85" s="783" t="s">
        <v>4256</v>
      </c>
      <c r="J85" s="783">
        <v>25</v>
      </c>
      <c r="K85" s="783" t="s">
        <v>408</v>
      </c>
      <c r="L85" s="783" t="s">
        <v>4014</v>
      </c>
      <c r="M85" s="784">
        <v>21951.43</v>
      </c>
      <c r="N85" s="784">
        <v>10.31</v>
      </c>
      <c r="O85" s="784">
        <v>81.89</v>
      </c>
      <c r="P85" s="783">
        <v>26</v>
      </c>
      <c r="Q85" s="783">
        <v>687.08</v>
      </c>
      <c r="R85" s="783">
        <v>529.03</v>
      </c>
      <c r="S85" s="783">
        <v>90</v>
      </c>
      <c r="T85" s="783">
        <v>68.05</v>
      </c>
      <c r="U85" s="785">
        <v>44685.416157407402</v>
      </c>
    </row>
    <row r="86" spans="1:21">
      <c r="A86" s="782">
        <v>44709</v>
      </c>
      <c r="B86" s="783" t="s">
        <v>65</v>
      </c>
      <c r="C86" s="783" t="s">
        <v>4257</v>
      </c>
      <c r="D86" s="783" t="s">
        <v>4258</v>
      </c>
      <c r="E86" s="783" t="s">
        <v>4259</v>
      </c>
      <c r="F86" s="783" t="s">
        <v>4011</v>
      </c>
      <c r="G86" s="783" t="str">
        <f t="shared" si="2"/>
        <v>Renewal (30% in 2020)</v>
      </c>
      <c r="H86" s="783" t="s">
        <v>4260</v>
      </c>
      <c r="I86" s="783" t="s">
        <v>4261</v>
      </c>
      <c r="J86" s="783">
        <v>30</v>
      </c>
      <c r="K86" s="783" t="s">
        <v>408</v>
      </c>
      <c r="L86" s="783" t="s">
        <v>4014</v>
      </c>
      <c r="M86" s="784">
        <v>33334.089999999997</v>
      </c>
      <c r="N86" s="784">
        <v>15.51</v>
      </c>
      <c r="O86" s="784">
        <v>89.55</v>
      </c>
      <c r="P86" s="783">
        <v>24</v>
      </c>
      <c r="Q86" s="783">
        <v>850.02</v>
      </c>
      <c r="R86" s="783">
        <v>743.35</v>
      </c>
      <c r="S86" s="783">
        <v>0</v>
      </c>
      <c r="T86" s="783">
        <v>106.67</v>
      </c>
      <c r="U86" s="785">
        <v>44712.508101851898</v>
      </c>
    </row>
    <row r="87" spans="1:21">
      <c r="A87" s="782">
        <v>44712</v>
      </c>
      <c r="B87" s="783" t="s">
        <v>47</v>
      </c>
      <c r="C87" s="783" t="s">
        <v>4101</v>
      </c>
      <c r="D87" s="783" t="s">
        <v>4102</v>
      </c>
      <c r="E87" s="783" t="s">
        <v>406</v>
      </c>
      <c r="F87" s="783" t="s">
        <v>4011</v>
      </c>
      <c r="G87" s="783" t="str">
        <f t="shared" si="2"/>
        <v>Renewal (20% in 2020)</v>
      </c>
      <c r="H87" s="783" t="s">
        <v>4262</v>
      </c>
      <c r="I87" s="783" t="s">
        <v>4263</v>
      </c>
      <c r="J87" s="783">
        <v>20</v>
      </c>
      <c r="K87" s="783" t="s">
        <v>408</v>
      </c>
      <c r="L87" s="783" t="s">
        <v>4014</v>
      </c>
      <c r="M87" s="784">
        <v>111969</v>
      </c>
      <c r="N87" s="784">
        <v>45.24</v>
      </c>
      <c r="O87" s="784">
        <v>99</v>
      </c>
      <c r="P87" s="783">
        <v>25</v>
      </c>
      <c r="Q87" s="783">
        <v>4165.25</v>
      </c>
      <c r="R87" s="783">
        <v>2452.12</v>
      </c>
      <c r="S87" s="783">
        <v>391.89</v>
      </c>
      <c r="T87" s="783">
        <v>1321.23</v>
      </c>
      <c r="U87" s="785">
        <v>44714.4746296296</v>
      </c>
    </row>
    <row r="88" spans="1:21">
      <c r="A88" s="782">
        <v>44713</v>
      </c>
      <c r="B88" s="783" t="s">
        <v>65</v>
      </c>
      <c r="C88" s="783" t="s">
        <v>4264</v>
      </c>
      <c r="D88" s="783" t="s">
        <v>4016</v>
      </c>
      <c r="E88" s="783" t="s">
        <v>4265</v>
      </c>
      <c r="F88" s="783" t="s">
        <v>4011</v>
      </c>
      <c r="G88" s="783" t="str">
        <f t="shared" si="2"/>
        <v>New Contract</v>
      </c>
      <c r="H88" s="783" t="s">
        <v>4266</v>
      </c>
      <c r="I88" s="783" t="s">
        <v>4267</v>
      </c>
      <c r="J88" s="783">
        <v>20</v>
      </c>
      <c r="K88" s="783" t="s">
        <v>408</v>
      </c>
      <c r="L88" s="783" t="s">
        <v>4014</v>
      </c>
      <c r="M88" s="784">
        <v>44058.3</v>
      </c>
      <c r="N88" s="784">
        <v>20.28</v>
      </c>
      <c r="O88" s="784">
        <v>79</v>
      </c>
      <c r="P88" s="783">
        <v>27.5</v>
      </c>
      <c r="Q88" s="783">
        <v>1806.39</v>
      </c>
      <c r="R88" s="783">
        <v>1008.05</v>
      </c>
      <c r="S88" s="783">
        <v>234.39</v>
      </c>
      <c r="T88" s="783">
        <v>563.95000000000005</v>
      </c>
      <c r="U88" s="785">
        <v>44715.435578703698</v>
      </c>
    </row>
    <row r="89" spans="1:21">
      <c r="A89" s="782">
        <v>44532</v>
      </c>
      <c r="B89" s="783" t="s">
        <v>74</v>
      </c>
      <c r="C89" s="783" t="s">
        <v>4097</v>
      </c>
      <c r="D89" s="783" t="s">
        <v>4038</v>
      </c>
      <c r="E89" s="783" t="s">
        <v>4268</v>
      </c>
      <c r="F89" s="783" t="s">
        <v>4011</v>
      </c>
      <c r="G89" s="783" t="str">
        <f t="shared" si="2"/>
        <v>Renewal (20% in 2020)</v>
      </c>
      <c r="H89" s="783" t="s">
        <v>4269</v>
      </c>
      <c r="I89" s="783" t="s">
        <v>4270</v>
      </c>
      <c r="J89" s="783">
        <v>25</v>
      </c>
      <c r="K89" s="783" t="s">
        <v>138</v>
      </c>
      <c r="L89" s="783" t="s">
        <v>4096</v>
      </c>
      <c r="M89" s="784">
        <v>31674.720000000001</v>
      </c>
      <c r="N89" s="784">
        <v>25.71</v>
      </c>
      <c r="O89" s="784">
        <v>5.6</v>
      </c>
      <c r="P89" s="783">
        <v>220</v>
      </c>
      <c r="Q89" s="783">
        <v>1244.82</v>
      </c>
      <c r="R89" s="783">
        <v>704.89</v>
      </c>
      <c r="S89" s="783">
        <v>330.87</v>
      </c>
      <c r="T89" s="783">
        <v>209.05</v>
      </c>
      <c r="U89" s="785">
        <v>44631.512581018498</v>
      </c>
    </row>
    <row r="90" spans="1:21">
      <c r="A90" s="782">
        <v>44586</v>
      </c>
      <c r="B90" s="783" t="s">
        <v>74</v>
      </c>
      <c r="C90" s="783" t="s">
        <v>4037</v>
      </c>
      <c r="D90" s="783" t="s">
        <v>4038</v>
      </c>
      <c r="E90" s="783" t="s">
        <v>4271</v>
      </c>
      <c r="F90" s="783" t="s">
        <v>4011</v>
      </c>
      <c r="G90" s="783" t="str">
        <f t="shared" si="2"/>
        <v>Renewal (25% in 2020)</v>
      </c>
      <c r="H90" s="783" t="s">
        <v>4272</v>
      </c>
      <c r="I90" s="783" t="s">
        <v>4273</v>
      </c>
      <c r="J90" s="783">
        <v>25</v>
      </c>
      <c r="K90" s="783" t="s">
        <v>138</v>
      </c>
      <c r="L90" s="783" t="s">
        <v>4096</v>
      </c>
      <c r="M90" s="784">
        <v>39912.75</v>
      </c>
      <c r="N90" s="784">
        <v>33.43</v>
      </c>
      <c r="O90" s="784">
        <v>5.33</v>
      </c>
      <c r="P90" s="783">
        <v>224</v>
      </c>
      <c r="Q90" s="783">
        <v>2306.96</v>
      </c>
      <c r="R90" s="783">
        <v>1220.69</v>
      </c>
      <c r="S90" s="783">
        <v>611.30999999999995</v>
      </c>
      <c r="T90" s="783">
        <v>474.96</v>
      </c>
      <c r="U90" s="785">
        <v>44631.633275462998</v>
      </c>
    </row>
    <row r="91" spans="1:21">
      <c r="A91" s="782">
        <v>44572</v>
      </c>
      <c r="B91" s="783" t="s">
        <v>177</v>
      </c>
      <c r="C91" s="783" t="s">
        <v>4274</v>
      </c>
      <c r="D91" s="783" t="s">
        <v>4038</v>
      </c>
      <c r="E91" s="783" t="s">
        <v>4275</v>
      </c>
      <c r="F91" s="783" t="s">
        <v>4011</v>
      </c>
      <c r="G91" s="783" t="str">
        <f t="shared" si="2"/>
        <v>Renewal (20% in 2020)</v>
      </c>
      <c r="H91" s="783" t="s">
        <v>4276</v>
      </c>
      <c r="I91" s="783" t="s">
        <v>4277</v>
      </c>
      <c r="J91" s="783">
        <v>20</v>
      </c>
      <c r="K91" s="783" t="s">
        <v>138</v>
      </c>
      <c r="L91" s="783" t="s">
        <v>4096</v>
      </c>
      <c r="M91" s="784">
        <v>22089</v>
      </c>
      <c r="N91" s="784">
        <v>20</v>
      </c>
      <c r="O91" s="784">
        <v>5.97</v>
      </c>
      <c r="P91" s="783">
        <v>185</v>
      </c>
      <c r="Q91" s="783">
        <v>1420.32</v>
      </c>
      <c r="R91" s="783">
        <v>677.52</v>
      </c>
      <c r="S91" s="783">
        <v>236.96</v>
      </c>
      <c r="T91" s="783">
        <v>505.84</v>
      </c>
      <c r="U91" s="785">
        <v>44631.512395833299</v>
      </c>
    </row>
    <row r="92" spans="1:21">
      <c r="A92" s="782">
        <v>44581</v>
      </c>
      <c r="B92" s="783" t="s">
        <v>74</v>
      </c>
      <c r="C92" s="783" t="s">
        <v>4037</v>
      </c>
      <c r="D92" s="783" t="s">
        <v>4038</v>
      </c>
      <c r="E92" s="783" t="s">
        <v>4278</v>
      </c>
      <c r="F92" s="783" t="s">
        <v>4011</v>
      </c>
      <c r="G92" s="783" t="s">
        <v>4028</v>
      </c>
      <c r="H92" s="783" t="s">
        <v>4279</v>
      </c>
      <c r="I92" s="783" t="s">
        <v>4280</v>
      </c>
      <c r="J92" s="783">
        <v>25</v>
      </c>
      <c r="K92" s="783" t="s">
        <v>138</v>
      </c>
      <c r="L92" s="783" t="s">
        <v>4096</v>
      </c>
      <c r="M92" s="784">
        <v>13648.8</v>
      </c>
      <c r="N92" s="784">
        <v>13.2</v>
      </c>
      <c r="O92" s="784">
        <v>5.17</v>
      </c>
      <c r="P92" s="783">
        <v>200</v>
      </c>
      <c r="Q92" s="783">
        <v>788.9</v>
      </c>
      <c r="R92" s="783">
        <v>467.53</v>
      </c>
      <c r="S92" s="783">
        <v>158.94999999999999</v>
      </c>
      <c r="T92" s="783">
        <v>162.41999999999999</v>
      </c>
      <c r="U92" s="785">
        <v>44631.516180555598</v>
      </c>
    </row>
    <row r="93" spans="1:21">
      <c r="A93" s="782">
        <v>44585</v>
      </c>
      <c r="B93" s="783" t="s">
        <v>74</v>
      </c>
      <c r="C93" s="783" t="s">
        <v>4097</v>
      </c>
      <c r="D93" s="783" t="s">
        <v>4038</v>
      </c>
      <c r="E93" s="783" t="s">
        <v>4281</v>
      </c>
      <c r="F93" s="783" t="s">
        <v>4011</v>
      </c>
      <c r="G93" s="783" t="s">
        <v>4028</v>
      </c>
      <c r="H93" s="783" t="s">
        <v>4282</v>
      </c>
      <c r="I93" s="783" t="s">
        <v>4283</v>
      </c>
      <c r="J93" s="783">
        <v>25</v>
      </c>
      <c r="K93" s="783" t="s">
        <v>138</v>
      </c>
      <c r="L93" s="783" t="s">
        <v>4096</v>
      </c>
      <c r="M93" s="784">
        <v>45980</v>
      </c>
      <c r="N93" s="784">
        <v>38</v>
      </c>
      <c r="O93" s="784">
        <v>5.5</v>
      </c>
      <c r="P93" s="783">
        <v>220</v>
      </c>
      <c r="Q93" s="783">
        <v>1807.01</v>
      </c>
      <c r="R93" s="783">
        <v>1023.24</v>
      </c>
      <c r="S93" s="783">
        <v>480.3</v>
      </c>
      <c r="T93" s="783">
        <v>303.47000000000003</v>
      </c>
      <c r="U93" s="785">
        <v>44631.633425925902</v>
      </c>
    </row>
    <row r="94" spans="1:21">
      <c r="A94" s="782">
        <v>44616</v>
      </c>
      <c r="B94" s="783" t="s">
        <v>74</v>
      </c>
      <c r="C94" s="783" t="s">
        <v>4097</v>
      </c>
      <c r="D94" s="783" t="s">
        <v>4038</v>
      </c>
      <c r="E94" s="783" t="s">
        <v>4284</v>
      </c>
      <c r="F94" s="783" t="s">
        <v>4011</v>
      </c>
      <c r="G94" s="783" t="str">
        <f t="shared" ref="G94:G112" si="3">VLOOKUP(I94,pacage,2,FALSE)</f>
        <v>Renewal (15% in 2020)</v>
      </c>
      <c r="H94" s="783" t="s">
        <v>4285</v>
      </c>
      <c r="I94" s="783" t="s">
        <v>4286</v>
      </c>
      <c r="J94" s="783">
        <v>20</v>
      </c>
      <c r="K94" s="783" t="s">
        <v>138</v>
      </c>
      <c r="L94" s="783" t="s">
        <v>4096</v>
      </c>
      <c r="M94" s="784">
        <v>116762</v>
      </c>
      <c r="N94" s="784">
        <v>79</v>
      </c>
      <c r="O94" s="784">
        <v>7.39</v>
      </c>
      <c r="P94" s="783">
        <v>200</v>
      </c>
      <c r="Q94" s="783">
        <v>5849.78</v>
      </c>
      <c r="R94" s="783">
        <v>2858.28</v>
      </c>
      <c r="S94" s="783">
        <v>959.84</v>
      </c>
      <c r="T94" s="783">
        <v>2031.66</v>
      </c>
      <c r="U94" s="785">
        <v>44631.629178240699</v>
      </c>
    </row>
    <row r="95" spans="1:21">
      <c r="A95" s="782">
        <v>44656</v>
      </c>
      <c r="B95" s="783" t="s">
        <v>41</v>
      </c>
      <c r="C95" s="783" t="s">
        <v>4071</v>
      </c>
      <c r="D95" s="783" t="s">
        <v>4009</v>
      </c>
      <c r="E95" s="783" t="s">
        <v>4287</v>
      </c>
      <c r="F95" s="783" t="s">
        <v>4011</v>
      </c>
      <c r="G95" s="783" t="str">
        <f t="shared" si="3"/>
        <v>Renewal (15% in 2020)</v>
      </c>
      <c r="H95" s="783" t="s">
        <v>4288</v>
      </c>
      <c r="I95" s="783" t="s">
        <v>4289</v>
      </c>
      <c r="J95" s="783">
        <v>30</v>
      </c>
      <c r="K95" s="783" t="s">
        <v>138</v>
      </c>
      <c r="L95" s="783" t="s">
        <v>4096</v>
      </c>
      <c r="M95" s="784">
        <v>21381.119999999999</v>
      </c>
      <c r="N95" s="784">
        <v>18.559999999999999</v>
      </c>
      <c r="O95" s="784">
        <v>6.4</v>
      </c>
      <c r="P95" s="783">
        <v>180</v>
      </c>
      <c r="Q95" s="783">
        <v>545.22</v>
      </c>
      <c r="R95" s="783">
        <v>464.42</v>
      </c>
      <c r="S95" s="783">
        <v>18.79</v>
      </c>
      <c r="T95" s="783">
        <v>62.01</v>
      </c>
      <c r="U95" s="785">
        <v>44657.630127314798</v>
      </c>
    </row>
    <row r="96" spans="1:21">
      <c r="A96" s="782">
        <v>44706</v>
      </c>
      <c r="B96" s="783" t="s">
        <v>74</v>
      </c>
      <c r="C96" s="783" t="s">
        <v>4037</v>
      </c>
      <c r="D96" s="783" t="s">
        <v>4038</v>
      </c>
      <c r="E96" s="783" t="s">
        <v>4290</v>
      </c>
      <c r="F96" s="783" t="s">
        <v>4011</v>
      </c>
      <c r="G96" s="783" t="str">
        <f t="shared" si="3"/>
        <v>Renewal (15% in 2020)</v>
      </c>
      <c r="H96" s="783" t="s">
        <v>4291</v>
      </c>
      <c r="I96" s="783" t="s">
        <v>4292</v>
      </c>
      <c r="J96" s="783">
        <v>15</v>
      </c>
      <c r="K96" s="783" t="s">
        <v>138</v>
      </c>
      <c r="L96" s="783" t="s">
        <v>4096</v>
      </c>
      <c r="M96" s="784">
        <v>9566.44</v>
      </c>
      <c r="N96" s="784">
        <v>8.2200000000000006</v>
      </c>
      <c r="O96" s="784">
        <v>5.29</v>
      </c>
      <c r="P96" s="783">
        <v>220</v>
      </c>
      <c r="Q96" s="783">
        <v>772.01</v>
      </c>
      <c r="R96" s="783">
        <v>297.89999999999998</v>
      </c>
      <c r="S96" s="783">
        <v>141.19999999999999</v>
      </c>
      <c r="T96" s="783">
        <v>332.91</v>
      </c>
      <c r="U96" s="785">
        <v>44706.615312499998</v>
      </c>
    </row>
    <row r="97" spans="1:21">
      <c r="A97" s="782">
        <v>44706</v>
      </c>
      <c r="B97" s="783" t="s">
        <v>74</v>
      </c>
      <c r="C97" s="783" t="s">
        <v>4097</v>
      </c>
      <c r="D97" s="783" t="s">
        <v>4038</v>
      </c>
      <c r="E97" s="783" t="s">
        <v>4290</v>
      </c>
      <c r="F97" s="783" t="s">
        <v>4011</v>
      </c>
      <c r="G97" s="783" t="str">
        <f t="shared" si="3"/>
        <v>Renewal (15% in 2020)</v>
      </c>
      <c r="H97" s="783" t="s">
        <v>4291</v>
      </c>
      <c r="I97" s="783" t="s">
        <v>4292</v>
      </c>
      <c r="J97" s="783">
        <v>15</v>
      </c>
      <c r="K97" s="783" t="s">
        <v>138</v>
      </c>
      <c r="L97" s="783" t="s">
        <v>4096</v>
      </c>
      <c r="M97" s="784">
        <v>26581.19</v>
      </c>
      <c r="N97" s="784">
        <v>22.84</v>
      </c>
      <c r="O97" s="784">
        <v>5.29</v>
      </c>
      <c r="P97" s="783">
        <v>220</v>
      </c>
      <c r="Q97" s="783">
        <v>1759.67</v>
      </c>
      <c r="R97" s="783">
        <v>591.54</v>
      </c>
      <c r="S97" s="783">
        <v>277.66000000000003</v>
      </c>
      <c r="T97" s="783">
        <v>890.47</v>
      </c>
      <c r="U97" s="785">
        <v>44706.615324074097</v>
      </c>
    </row>
    <row r="98" spans="1:21">
      <c r="A98" s="782">
        <v>44681</v>
      </c>
      <c r="B98" s="783" t="s">
        <v>74</v>
      </c>
      <c r="C98" s="783" t="s">
        <v>4097</v>
      </c>
      <c r="D98" s="783" t="s">
        <v>4038</v>
      </c>
      <c r="E98" s="783" t="s">
        <v>4293</v>
      </c>
      <c r="F98" s="783" t="s">
        <v>4011</v>
      </c>
      <c r="G98" s="783" t="str">
        <f t="shared" si="3"/>
        <v>Renewal (20% in 2020)</v>
      </c>
      <c r="H98" s="783" t="s">
        <v>4294</v>
      </c>
      <c r="I98" s="783" t="s">
        <v>4295</v>
      </c>
      <c r="J98" s="783">
        <v>20</v>
      </c>
      <c r="K98" s="783" t="s">
        <v>138</v>
      </c>
      <c r="L98" s="783" t="s">
        <v>4096</v>
      </c>
      <c r="M98" s="784">
        <v>53600</v>
      </c>
      <c r="N98" s="784">
        <v>33.5</v>
      </c>
      <c r="O98" s="784">
        <v>6.4</v>
      </c>
      <c r="P98" s="783">
        <v>250</v>
      </c>
      <c r="Q98" s="783">
        <v>2685.36</v>
      </c>
      <c r="R98" s="783">
        <v>1049.68</v>
      </c>
      <c r="S98" s="783">
        <v>703.04</v>
      </c>
      <c r="T98" s="783">
        <v>932.64</v>
      </c>
      <c r="U98" s="785">
        <v>44683.449317129598</v>
      </c>
    </row>
    <row r="99" spans="1:21">
      <c r="A99" s="782">
        <v>44681</v>
      </c>
      <c r="B99" s="783" t="s">
        <v>41</v>
      </c>
      <c r="C99" s="783" t="s">
        <v>4139</v>
      </c>
      <c r="D99" s="783" t="s">
        <v>4009</v>
      </c>
      <c r="E99" s="783" t="s">
        <v>4296</v>
      </c>
      <c r="F99" s="783" t="s">
        <v>4011</v>
      </c>
      <c r="G99" s="783" t="str">
        <f t="shared" si="3"/>
        <v>Renewal (30% in 2020)</v>
      </c>
      <c r="H99" s="783" t="s">
        <v>4297</v>
      </c>
      <c r="I99" s="783" t="s">
        <v>4298</v>
      </c>
      <c r="J99" s="783">
        <v>30</v>
      </c>
      <c r="K99" s="783" t="s">
        <v>138</v>
      </c>
      <c r="L99" s="783" t="s">
        <v>4096</v>
      </c>
      <c r="M99" s="784">
        <v>13991.04</v>
      </c>
      <c r="N99" s="784">
        <v>13.88</v>
      </c>
      <c r="O99" s="784">
        <v>5.6</v>
      </c>
      <c r="P99" s="783">
        <v>180</v>
      </c>
      <c r="Q99" s="783">
        <v>370.76</v>
      </c>
      <c r="R99" s="783">
        <v>316</v>
      </c>
      <c r="S99" s="783">
        <v>12.79</v>
      </c>
      <c r="T99" s="783">
        <v>41.97</v>
      </c>
      <c r="U99" s="785">
        <v>44683.422060185199</v>
      </c>
    </row>
    <row r="100" spans="1:21">
      <c r="A100" s="782">
        <v>44659</v>
      </c>
      <c r="B100" s="783" t="s">
        <v>34</v>
      </c>
      <c r="C100" s="783" t="s">
        <v>4139</v>
      </c>
      <c r="D100" s="783" t="s">
        <v>4009</v>
      </c>
      <c r="E100" s="783" t="s">
        <v>1585</v>
      </c>
      <c r="F100" s="783" t="s">
        <v>4011</v>
      </c>
      <c r="G100" s="783" t="str">
        <f t="shared" si="3"/>
        <v>Renewal (20% in 2020)</v>
      </c>
      <c r="H100" s="783" t="s">
        <v>4299</v>
      </c>
      <c r="I100" s="783" t="s">
        <v>4300</v>
      </c>
      <c r="J100" s="783">
        <v>20</v>
      </c>
      <c r="K100" s="783" t="s">
        <v>138</v>
      </c>
      <c r="L100" s="783" t="s">
        <v>4096</v>
      </c>
      <c r="M100" s="784">
        <v>10944.57</v>
      </c>
      <c r="N100" s="784">
        <v>7.01</v>
      </c>
      <c r="O100" s="784">
        <v>6.97</v>
      </c>
      <c r="P100" s="783">
        <v>224</v>
      </c>
      <c r="Q100" s="783">
        <v>425.74</v>
      </c>
      <c r="R100" s="783">
        <v>198.64</v>
      </c>
      <c r="S100" s="783">
        <v>97.96</v>
      </c>
      <c r="T100" s="783">
        <v>129.15</v>
      </c>
      <c r="U100" s="785">
        <v>44663.407847222203</v>
      </c>
    </row>
    <row r="101" spans="1:21">
      <c r="A101" s="782">
        <v>44663</v>
      </c>
      <c r="B101" s="783" t="s">
        <v>41</v>
      </c>
      <c r="C101" s="783" t="s">
        <v>4092</v>
      </c>
      <c r="D101" s="783" t="s">
        <v>4009</v>
      </c>
      <c r="E101" s="783" t="s">
        <v>4301</v>
      </c>
      <c r="F101" s="783" t="s">
        <v>4011</v>
      </c>
      <c r="G101" s="783" t="str">
        <f t="shared" si="3"/>
        <v>Renewal (15% in 2020)</v>
      </c>
      <c r="H101" s="783" t="s">
        <v>4302</v>
      </c>
      <c r="I101" s="783" t="s">
        <v>4303</v>
      </c>
      <c r="J101" s="783">
        <v>15</v>
      </c>
      <c r="K101" s="783" t="s">
        <v>138</v>
      </c>
      <c r="L101" s="783" t="s">
        <v>4096</v>
      </c>
      <c r="M101" s="784">
        <v>7027.39</v>
      </c>
      <c r="N101" s="784">
        <v>6.47</v>
      </c>
      <c r="O101" s="784">
        <v>5.57</v>
      </c>
      <c r="P101" s="783">
        <v>195</v>
      </c>
      <c r="Q101" s="783">
        <v>493.32</v>
      </c>
      <c r="R101" s="783">
        <v>192.65</v>
      </c>
      <c r="S101" s="783">
        <v>63.15</v>
      </c>
      <c r="T101" s="783">
        <v>237.53</v>
      </c>
      <c r="U101" s="785">
        <v>44663.637013888903</v>
      </c>
    </row>
    <row r="102" spans="1:21">
      <c r="A102" s="782">
        <v>44665</v>
      </c>
      <c r="B102" s="783" t="s">
        <v>74</v>
      </c>
      <c r="C102" s="783" t="s">
        <v>4037</v>
      </c>
      <c r="D102" s="783" t="s">
        <v>4038</v>
      </c>
      <c r="E102" s="783" t="s">
        <v>4304</v>
      </c>
      <c r="F102" s="783" t="s">
        <v>4011</v>
      </c>
      <c r="G102" s="783" t="str">
        <f t="shared" si="3"/>
        <v>Renewal (15% in 2020)</v>
      </c>
      <c r="H102" s="783" t="s">
        <v>4305</v>
      </c>
      <c r="I102" s="783" t="s">
        <v>4306</v>
      </c>
      <c r="J102" s="783">
        <v>30</v>
      </c>
      <c r="K102" s="783" t="s">
        <v>138</v>
      </c>
      <c r="L102" s="783" t="s">
        <v>4096</v>
      </c>
      <c r="M102" s="784">
        <v>35300.83</v>
      </c>
      <c r="N102" s="784">
        <v>35.479999999999997</v>
      </c>
      <c r="O102" s="784">
        <v>6.03</v>
      </c>
      <c r="P102" s="783">
        <v>165</v>
      </c>
      <c r="Q102" s="783">
        <v>1817.99</v>
      </c>
      <c r="R102" s="783">
        <v>1397.91</v>
      </c>
      <c r="S102" s="783">
        <v>0</v>
      </c>
      <c r="T102" s="783">
        <v>420.08</v>
      </c>
      <c r="U102" s="785">
        <v>44666.389201388898</v>
      </c>
    </row>
    <row r="103" spans="1:21">
      <c r="A103" s="782">
        <v>44663</v>
      </c>
      <c r="B103" s="783" t="s">
        <v>624</v>
      </c>
      <c r="C103" s="783" t="s">
        <v>4037</v>
      </c>
      <c r="D103" s="783" t="s">
        <v>4038</v>
      </c>
      <c r="E103" s="783" t="s">
        <v>4307</v>
      </c>
      <c r="F103" s="783" t="s">
        <v>4011</v>
      </c>
      <c r="G103" s="783" t="str">
        <f t="shared" si="3"/>
        <v>Renewal (15% in 2020)</v>
      </c>
      <c r="H103" s="783" t="s">
        <v>4308</v>
      </c>
      <c r="I103" s="783" t="s">
        <v>4309</v>
      </c>
      <c r="J103" s="783">
        <v>15</v>
      </c>
      <c r="K103" s="783" t="s">
        <v>138</v>
      </c>
      <c r="L103" s="783" t="s">
        <v>4096</v>
      </c>
      <c r="M103" s="784">
        <v>14363</v>
      </c>
      <c r="N103" s="784">
        <v>13.55</v>
      </c>
      <c r="O103" s="784">
        <v>5.3</v>
      </c>
      <c r="P103" s="783">
        <v>200</v>
      </c>
      <c r="Q103" s="783">
        <v>1159.0899999999999</v>
      </c>
      <c r="R103" s="783">
        <v>491.99</v>
      </c>
      <c r="S103" s="783">
        <v>167.27</v>
      </c>
      <c r="T103" s="783">
        <v>499.83</v>
      </c>
      <c r="U103" s="785">
        <v>44665.6467708333</v>
      </c>
    </row>
    <row r="104" spans="1:21">
      <c r="A104" s="782">
        <v>44665</v>
      </c>
      <c r="B104" s="783" t="s">
        <v>41</v>
      </c>
      <c r="C104" s="783" t="s">
        <v>4092</v>
      </c>
      <c r="D104" s="783" t="s">
        <v>4009</v>
      </c>
      <c r="E104" s="783" t="s">
        <v>4310</v>
      </c>
      <c r="F104" s="783" t="s">
        <v>4011</v>
      </c>
      <c r="G104" s="783" t="str">
        <f t="shared" si="3"/>
        <v>New Contract</v>
      </c>
      <c r="H104" s="783" t="s">
        <v>4311</v>
      </c>
      <c r="I104" s="783" t="s">
        <v>4312</v>
      </c>
      <c r="J104" s="783">
        <v>25</v>
      </c>
      <c r="K104" s="783" t="s">
        <v>138</v>
      </c>
      <c r="L104" s="783" t="s">
        <v>4096</v>
      </c>
      <c r="M104" s="784">
        <v>3930.92</v>
      </c>
      <c r="N104" s="784">
        <v>4.04</v>
      </c>
      <c r="O104" s="784">
        <v>5.56</v>
      </c>
      <c r="P104" s="783">
        <v>175</v>
      </c>
      <c r="Q104" s="783">
        <v>159.19999999999999</v>
      </c>
      <c r="R104" s="783">
        <v>120.08</v>
      </c>
      <c r="S104" s="783">
        <v>23.01</v>
      </c>
      <c r="T104" s="783">
        <v>16.12</v>
      </c>
      <c r="U104" s="785">
        <v>44665.6621759259</v>
      </c>
    </row>
    <row r="105" spans="1:21">
      <c r="A105" s="782">
        <v>44712</v>
      </c>
      <c r="B105" s="783" t="s">
        <v>41</v>
      </c>
      <c r="C105" s="783" t="s">
        <v>4071</v>
      </c>
      <c r="D105" s="783" t="s">
        <v>4009</v>
      </c>
      <c r="E105" s="783" t="s">
        <v>4313</v>
      </c>
      <c r="F105" s="783" t="s">
        <v>4011</v>
      </c>
      <c r="G105" s="783" t="str">
        <f t="shared" si="3"/>
        <v>Renewal (15% in 2020)</v>
      </c>
      <c r="H105" s="783" t="s">
        <v>4314</v>
      </c>
      <c r="I105" s="783" t="s">
        <v>4315</v>
      </c>
      <c r="J105" s="783">
        <v>15</v>
      </c>
      <c r="K105" s="783" t="s">
        <v>138</v>
      </c>
      <c r="L105" s="783" t="s">
        <v>4096</v>
      </c>
      <c r="M105" s="784">
        <v>34232.22</v>
      </c>
      <c r="N105" s="784">
        <v>27.12</v>
      </c>
      <c r="O105" s="784">
        <v>5.61</v>
      </c>
      <c r="P105" s="783">
        <v>225</v>
      </c>
      <c r="Q105" s="783">
        <v>1718.46</v>
      </c>
      <c r="R105" s="783">
        <v>594.85</v>
      </c>
      <c r="S105" s="783">
        <v>295.19</v>
      </c>
      <c r="T105" s="783">
        <v>828.42</v>
      </c>
      <c r="U105" s="785">
        <v>44714.669097222199</v>
      </c>
    </row>
    <row r="106" spans="1:21">
      <c r="A106" s="782">
        <v>44708</v>
      </c>
      <c r="B106" s="783" t="s">
        <v>74</v>
      </c>
      <c r="C106" s="783" t="s">
        <v>4037</v>
      </c>
      <c r="D106" s="783" t="s">
        <v>4038</v>
      </c>
      <c r="E106" s="783" t="s">
        <v>1914</v>
      </c>
      <c r="F106" s="783" t="s">
        <v>4011</v>
      </c>
      <c r="G106" s="783" t="str">
        <f t="shared" si="3"/>
        <v>Renewal (25% in 2020)</v>
      </c>
      <c r="H106" s="783" t="s">
        <v>4316</v>
      </c>
      <c r="I106" s="783" t="s">
        <v>4317</v>
      </c>
      <c r="J106" s="783">
        <v>25</v>
      </c>
      <c r="K106" s="783" t="s">
        <v>138</v>
      </c>
      <c r="L106" s="783" t="s">
        <v>4096</v>
      </c>
      <c r="M106" s="784">
        <v>18003.48</v>
      </c>
      <c r="N106" s="784">
        <v>15.18</v>
      </c>
      <c r="O106" s="784">
        <v>5.93</v>
      </c>
      <c r="P106" s="783">
        <v>200</v>
      </c>
      <c r="Q106" s="783">
        <v>1040.5999999999999</v>
      </c>
      <c r="R106" s="783">
        <v>616.69000000000005</v>
      </c>
      <c r="S106" s="783">
        <v>209.67</v>
      </c>
      <c r="T106" s="783">
        <v>214.24</v>
      </c>
      <c r="U106" s="785">
        <v>44711.5105555556</v>
      </c>
    </row>
    <row r="107" spans="1:21">
      <c r="A107" s="782">
        <v>44699</v>
      </c>
      <c r="B107" s="783" t="s">
        <v>41</v>
      </c>
      <c r="C107" s="783" t="s">
        <v>4092</v>
      </c>
      <c r="D107" s="783" t="s">
        <v>4009</v>
      </c>
      <c r="E107" s="783" t="s">
        <v>507</v>
      </c>
      <c r="F107" s="783" t="s">
        <v>4011</v>
      </c>
      <c r="G107" s="783" t="str">
        <f t="shared" si="3"/>
        <v>Renewal (15% in 2020)</v>
      </c>
      <c r="H107" s="783" t="s">
        <v>4318</v>
      </c>
      <c r="I107" s="783" t="s">
        <v>4319</v>
      </c>
      <c r="J107" s="783">
        <v>15</v>
      </c>
      <c r="K107" s="783" t="s">
        <v>138</v>
      </c>
      <c r="L107" s="783" t="s">
        <v>4096</v>
      </c>
      <c r="M107" s="784">
        <v>13732.74</v>
      </c>
      <c r="N107" s="784">
        <v>14</v>
      </c>
      <c r="O107" s="784">
        <v>5.67</v>
      </c>
      <c r="P107" s="783">
        <v>173</v>
      </c>
      <c r="Q107" s="783">
        <v>964.04</v>
      </c>
      <c r="R107" s="783">
        <v>424.34</v>
      </c>
      <c r="S107" s="783">
        <v>75.53</v>
      </c>
      <c r="T107" s="783">
        <v>464.17</v>
      </c>
      <c r="U107" s="785">
        <v>44700.5155324074</v>
      </c>
    </row>
    <row r="108" spans="1:21">
      <c r="A108" s="782">
        <v>44697</v>
      </c>
      <c r="B108" s="783" t="s">
        <v>74</v>
      </c>
      <c r="C108" s="783" t="s">
        <v>4097</v>
      </c>
      <c r="D108" s="783" t="s">
        <v>4038</v>
      </c>
      <c r="E108" s="783" t="s">
        <v>2064</v>
      </c>
      <c r="F108" s="783" t="s">
        <v>4011</v>
      </c>
      <c r="G108" s="783" t="str">
        <f t="shared" si="3"/>
        <v>Renewal (15% in 2020)</v>
      </c>
      <c r="H108" s="783" t="s">
        <v>4320</v>
      </c>
      <c r="I108" s="783" t="s">
        <v>4321</v>
      </c>
      <c r="J108" s="783">
        <v>20</v>
      </c>
      <c r="K108" s="783" t="s">
        <v>138</v>
      </c>
      <c r="L108" s="783" t="s">
        <v>4096</v>
      </c>
      <c r="M108" s="784">
        <v>10914.96</v>
      </c>
      <c r="N108" s="784">
        <v>8.76</v>
      </c>
      <c r="O108" s="784">
        <v>6.23</v>
      </c>
      <c r="P108" s="783">
        <v>200</v>
      </c>
      <c r="Q108" s="783">
        <v>546.84</v>
      </c>
      <c r="R108" s="783">
        <v>267.19</v>
      </c>
      <c r="S108" s="783">
        <v>89.73</v>
      </c>
      <c r="T108" s="783">
        <v>189.92</v>
      </c>
      <c r="U108" s="785">
        <v>44708.962384259299</v>
      </c>
    </row>
    <row r="109" spans="1:21">
      <c r="A109" s="782">
        <v>44543</v>
      </c>
      <c r="B109" s="783" t="s">
        <v>74</v>
      </c>
      <c r="C109" s="783" t="s">
        <v>4097</v>
      </c>
      <c r="D109" s="783" t="s">
        <v>4038</v>
      </c>
      <c r="E109" s="783" t="s">
        <v>4322</v>
      </c>
      <c r="F109" s="783" t="s">
        <v>4011</v>
      </c>
      <c r="G109" s="783" t="str">
        <f t="shared" si="3"/>
        <v>Renewal (25% in 2020)</v>
      </c>
      <c r="H109" s="783" t="s">
        <v>4323</v>
      </c>
      <c r="I109" s="783" t="s">
        <v>4324</v>
      </c>
      <c r="J109" s="783">
        <v>25</v>
      </c>
      <c r="K109" s="783" t="s">
        <v>138</v>
      </c>
      <c r="L109" s="783" t="s">
        <v>4096</v>
      </c>
      <c r="M109" s="784">
        <v>27573.48</v>
      </c>
      <c r="N109" s="784">
        <v>19.8</v>
      </c>
      <c r="O109" s="784">
        <v>6.33</v>
      </c>
      <c r="P109" s="783">
        <v>220</v>
      </c>
      <c r="Q109" s="783">
        <v>1083.6400000000001</v>
      </c>
      <c r="R109" s="783">
        <v>613.62</v>
      </c>
      <c r="S109" s="783">
        <v>288.02999999999997</v>
      </c>
      <c r="T109" s="783">
        <v>181.98</v>
      </c>
      <c r="U109" s="785">
        <v>44631.626736111102</v>
      </c>
    </row>
    <row r="110" spans="1:21">
      <c r="A110" s="782">
        <v>44540</v>
      </c>
      <c r="B110" s="783" t="s">
        <v>74</v>
      </c>
      <c r="C110" s="783" t="s">
        <v>4037</v>
      </c>
      <c r="D110" s="783" t="s">
        <v>4038</v>
      </c>
      <c r="E110" s="783" t="s">
        <v>4325</v>
      </c>
      <c r="F110" s="783" t="s">
        <v>4011</v>
      </c>
      <c r="G110" s="783" t="str">
        <f t="shared" si="3"/>
        <v>Renewal (20% in 2020)</v>
      </c>
      <c r="H110" s="783" t="s">
        <v>4326</v>
      </c>
      <c r="I110" s="783" t="s">
        <v>4327</v>
      </c>
      <c r="J110" s="783">
        <v>20</v>
      </c>
      <c r="K110" s="783" t="s">
        <v>138</v>
      </c>
      <c r="L110" s="783" t="s">
        <v>4096</v>
      </c>
      <c r="M110" s="784">
        <v>12517.2</v>
      </c>
      <c r="N110" s="784">
        <v>8.5500000000000007</v>
      </c>
      <c r="O110" s="784">
        <v>6.1</v>
      </c>
      <c r="P110" s="783">
        <v>240</v>
      </c>
      <c r="Q110" s="783">
        <v>838.65</v>
      </c>
      <c r="R110" s="783">
        <v>357.3</v>
      </c>
      <c r="S110" s="783">
        <v>217.24</v>
      </c>
      <c r="T110" s="783">
        <v>264.11</v>
      </c>
      <c r="U110" s="785">
        <v>44631.626898148097</v>
      </c>
    </row>
    <row r="111" spans="1:21">
      <c r="A111" s="782">
        <v>44598</v>
      </c>
      <c r="B111" s="783" t="s">
        <v>74</v>
      </c>
      <c r="C111" s="783" t="s">
        <v>4097</v>
      </c>
      <c r="D111" s="783" t="s">
        <v>4038</v>
      </c>
      <c r="E111" s="783" t="s">
        <v>4328</v>
      </c>
      <c r="F111" s="783" t="s">
        <v>4011</v>
      </c>
      <c r="G111" s="783" t="str">
        <f t="shared" si="3"/>
        <v>Renewal (20% in 2020)</v>
      </c>
      <c r="H111" s="783" t="s">
        <v>4329</v>
      </c>
      <c r="I111" s="783" t="s">
        <v>4330</v>
      </c>
      <c r="J111" s="783">
        <v>25</v>
      </c>
      <c r="K111" s="783" t="s">
        <v>138</v>
      </c>
      <c r="L111" s="783" t="s">
        <v>4096</v>
      </c>
      <c r="M111" s="784">
        <v>11825.48</v>
      </c>
      <c r="N111" s="784">
        <v>8.8699999999999992</v>
      </c>
      <c r="O111" s="784">
        <v>6.06</v>
      </c>
      <c r="P111" s="783">
        <v>220</v>
      </c>
      <c r="Q111" s="783">
        <v>464.74</v>
      </c>
      <c r="R111" s="783">
        <v>263.17</v>
      </c>
      <c r="S111" s="783">
        <v>123.53</v>
      </c>
      <c r="T111" s="783">
        <v>78.05</v>
      </c>
      <c r="U111" s="785">
        <v>44631.626909722203</v>
      </c>
    </row>
    <row r="112" spans="1:21">
      <c r="A112" s="782">
        <v>44637</v>
      </c>
      <c r="B112" s="783" t="s">
        <v>74</v>
      </c>
      <c r="C112" s="783" t="s">
        <v>4037</v>
      </c>
      <c r="D112" s="783" t="s">
        <v>4038</v>
      </c>
      <c r="E112" s="783" t="s">
        <v>4331</v>
      </c>
      <c r="F112" s="783" t="s">
        <v>4066</v>
      </c>
      <c r="G112" s="783" t="str">
        <f t="shared" si="3"/>
        <v>Renewal (25% in 2020)</v>
      </c>
      <c r="H112" s="783" t="s">
        <v>4332</v>
      </c>
      <c r="I112" s="783" t="s">
        <v>4333</v>
      </c>
      <c r="J112" s="783">
        <v>10</v>
      </c>
      <c r="K112" s="783" t="s">
        <v>138</v>
      </c>
      <c r="L112" s="783" t="s">
        <v>4096</v>
      </c>
      <c r="M112" s="784">
        <v>25830.63</v>
      </c>
      <c r="N112" s="784">
        <v>33.18</v>
      </c>
      <c r="O112" s="784">
        <v>4.5</v>
      </c>
      <c r="P112" s="783">
        <v>173</v>
      </c>
      <c r="Q112" s="783">
        <v>596.69000000000005</v>
      </c>
      <c r="R112" s="783">
        <v>0</v>
      </c>
      <c r="S112" s="783">
        <v>0</v>
      </c>
      <c r="T112" s="783">
        <v>596.69000000000005</v>
      </c>
      <c r="U112" s="785">
        <v>44638.389479166697</v>
      </c>
    </row>
    <row r="113" spans="1:21">
      <c r="A113" s="782">
        <v>44615</v>
      </c>
      <c r="B113" s="783" t="s">
        <v>74</v>
      </c>
      <c r="C113" s="783" t="s">
        <v>4037</v>
      </c>
      <c r="D113" s="783" t="s">
        <v>4038</v>
      </c>
      <c r="E113" s="783" t="s">
        <v>4334</v>
      </c>
      <c r="F113" s="783" t="s">
        <v>4011</v>
      </c>
      <c r="G113" s="783" t="s">
        <v>4028</v>
      </c>
      <c r="H113" s="783" t="s">
        <v>4335</v>
      </c>
      <c r="I113" s="783" t="s">
        <v>4336</v>
      </c>
      <c r="J113" s="783">
        <v>30</v>
      </c>
      <c r="K113" s="783" t="s">
        <v>138</v>
      </c>
      <c r="L113" s="783" t="s">
        <v>4096</v>
      </c>
      <c r="M113" s="784">
        <v>16850.740000000002</v>
      </c>
      <c r="N113" s="784">
        <v>17.09</v>
      </c>
      <c r="O113" s="784">
        <v>4.93</v>
      </c>
      <c r="P113" s="783">
        <v>200</v>
      </c>
      <c r="Q113" s="783">
        <v>867.81</v>
      </c>
      <c r="R113" s="783">
        <v>577.21</v>
      </c>
      <c r="S113" s="783">
        <v>90.08</v>
      </c>
      <c r="T113" s="783">
        <v>200.52</v>
      </c>
      <c r="U113" s="785">
        <v>44631.511851851901</v>
      </c>
    </row>
    <row r="114" spans="1:21">
      <c r="A114" s="782">
        <v>44546</v>
      </c>
      <c r="B114" s="783" t="s">
        <v>74</v>
      </c>
      <c r="C114" s="783" t="s">
        <v>4097</v>
      </c>
      <c r="D114" s="783" t="s">
        <v>4038</v>
      </c>
      <c r="E114" s="783" t="s">
        <v>4337</v>
      </c>
      <c r="F114" s="783" t="s">
        <v>4011</v>
      </c>
      <c r="G114" s="783" t="str">
        <f>VLOOKUP(I114,pacage,2,FALSE)</f>
        <v>New Contract</v>
      </c>
      <c r="H114" s="783" t="s">
        <v>4338</v>
      </c>
      <c r="I114" s="783" t="s">
        <v>4339</v>
      </c>
      <c r="J114" s="783">
        <v>20</v>
      </c>
      <c r="K114" s="783" t="s">
        <v>138</v>
      </c>
      <c r="L114" s="783" t="s">
        <v>4096</v>
      </c>
      <c r="M114" s="784">
        <v>37508.129999999997</v>
      </c>
      <c r="N114" s="784">
        <v>25.95</v>
      </c>
      <c r="O114" s="784">
        <v>6.57</v>
      </c>
      <c r="P114" s="783">
        <v>220</v>
      </c>
      <c r="Q114" s="783">
        <v>1879.16</v>
      </c>
      <c r="R114" s="783">
        <v>834.71</v>
      </c>
      <c r="S114" s="783">
        <v>391.81</v>
      </c>
      <c r="T114" s="783">
        <v>652.64</v>
      </c>
      <c r="U114" s="785">
        <v>44631.631157407399</v>
      </c>
    </row>
    <row r="115" spans="1:21">
      <c r="A115" s="782">
        <v>44547</v>
      </c>
      <c r="B115" s="783" t="s">
        <v>41</v>
      </c>
      <c r="C115" s="783" t="s">
        <v>4092</v>
      </c>
      <c r="D115" s="783" t="s">
        <v>4009</v>
      </c>
      <c r="E115" s="783" t="s">
        <v>4340</v>
      </c>
      <c r="F115" s="783" t="s">
        <v>4011</v>
      </c>
      <c r="G115" s="783" t="str">
        <f>VLOOKUP(I115,pacage,2,FALSE)</f>
        <v>New Contract</v>
      </c>
      <c r="H115" s="783" t="s">
        <v>4341</v>
      </c>
      <c r="I115" s="783" t="s">
        <v>4342</v>
      </c>
      <c r="J115" s="783">
        <v>25</v>
      </c>
      <c r="K115" s="783" t="s">
        <v>138</v>
      </c>
      <c r="L115" s="783" t="s">
        <v>4096</v>
      </c>
      <c r="M115" s="784">
        <v>9720</v>
      </c>
      <c r="N115" s="784">
        <v>9</v>
      </c>
      <c r="O115" s="784">
        <v>6</v>
      </c>
      <c r="P115" s="783">
        <v>180</v>
      </c>
      <c r="Q115" s="783">
        <v>393.66</v>
      </c>
      <c r="R115" s="783">
        <v>288.67</v>
      </c>
      <c r="S115" s="783">
        <v>65.14</v>
      </c>
      <c r="T115" s="783">
        <v>39.85</v>
      </c>
      <c r="U115" s="785">
        <v>44631.634305555599</v>
      </c>
    </row>
    <row r="116" spans="1:21">
      <c r="A116" s="782">
        <v>44555</v>
      </c>
      <c r="B116" s="783" t="s">
        <v>74</v>
      </c>
      <c r="C116" s="783" t="s">
        <v>4037</v>
      </c>
      <c r="D116" s="783" t="s">
        <v>4038</v>
      </c>
      <c r="E116" s="783" t="s">
        <v>4343</v>
      </c>
      <c r="F116" s="783" t="s">
        <v>4011</v>
      </c>
      <c r="G116" s="783" t="s">
        <v>4028</v>
      </c>
      <c r="H116" s="783" t="s">
        <v>4344</v>
      </c>
      <c r="I116" s="783" t="s">
        <v>4345</v>
      </c>
      <c r="J116" s="783">
        <v>30</v>
      </c>
      <c r="K116" s="783" t="s">
        <v>138</v>
      </c>
      <c r="L116" s="783" t="s">
        <v>4096</v>
      </c>
      <c r="M116" s="784">
        <v>14667.12</v>
      </c>
      <c r="N116" s="784">
        <v>15.67</v>
      </c>
      <c r="O116" s="784">
        <v>5.2</v>
      </c>
      <c r="P116" s="783">
        <v>180</v>
      </c>
      <c r="Q116" s="783">
        <v>755.36</v>
      </c>
      <c r="R116" s="783">
        <v>558.23</v>
      </c>
      <c r="S116" s="783">
        <v>22.59</v>
      </c>
      <c r="T116" s="783">
        <v>174.54</v>
      </c>
      <c r="U116" s="785">
        <v>44631.6307407407</v>
      </c>
    </row>
    <row r="117" spans="1:21">
      <c r="A117" s="782">
        <v>44552</v>
      </c>
      <c r="B117" s="783" t="s">
        <v>74</v>
      </c>
      <c r="C117" s="783" t="s">
        <v>4097</v>
      </c>
      <c r="D117" s="783" t="s">
        <v>4038</v>
      </c>
      <c r="E117" s="783" t="s">
        <v>1621</v>
      </c>
      <c r="F117" s="783" t="s">
        <v>4011</v>
      </c>
      <c r="G117" s="783" t="str">
        <f>VLOOKUP(I117,pacage,2,FALSE)</f>
        <v>Renewal (20% in 2020)</v>
      </c>
      <c r="H117" s="783" t="s">
        <v>4346</v>
      </c>
      <c r="I117" s="783" t="s">
        <v>4347</v>
      </c>
      <c r="J117" s="783">
        <v>25</v>
      </c>
      <c r="K117" s="783" t="s">
        <v>138</v>
      </c>
      <c r="L117" s="783" t="s">
        <v>4096</v>
      </c>
      <c r="M117" s="784">
        <v>25920.09</v>
      </c>
      <c r="N117" s="784">
        <v>19.22</v>
      </c>
      <c r="O117" s="784">
        <v>6.13</v>
      </c>
      <c r="P117" s="783">
        <v>220</v>
      </c>
      <c r="Q117" s="783">
        <v>1018.66</v>
      </c>
      <c r="R117" s="783">
        <v>576.83000000000004</v>
      </c>
      <c r="S117" s="783">
        <v>270.76</v>
      </c>
      <c r="T117" s="783">
        <v>171.07</v>
      </c>
      <c r="U117" s="785">
        <v>44631.631122685198</v>
      </c>
    </row>
    <row r="118" spans="1:21">
      <c r="A118" s="782">
        <v>44544</v>
      </c>
      <c r="B118" s="783" t="s">
        <v>74</v>
      </c>
      <c r="C118" s="783" t="s">
        <v>4097</v>
      </c>
      <c r="D118" s="783" t="s">
        <v>4038</v>
      </c>
      <c r="E118" s="783" t="s">
        <v>4348</v>
      </c>
      <c r="F118" s="783" t="s">
        <v>4011</v>
      </c>
      <c r="G118" s="783" t="str">
        <f>VLOOKUP(I118,pacage,2,FALSE)</f>
        <v>New Contract</v>
      </c>
      <c r="H118" s="783" t="s">
        <v>4349</v>
      </c>
      <c r="I118" s="783" t="s">
        <v>4350</v>
      </c>
      <c r="J118" s="783">
        <v>20</v>
      </c>
      <c r="K118" s="783" t="s">
        <v>138</v>
      </c>
      <c r="L118" s="783" t="s">
        <v>4096</v>
      </c>
      <c r="M118" s="784">
        <v>19079.28</v>
      </c>
      <c r="N118" s="784">
        <v>13.2</v>
      </c>
      <c r="O118" s="784">
        <v>6.57</v>
      </c>
      <c r="P118" s="783">
        <v>220</v>
      </c>
      <c r="Q118" s="783">
        <v>955.87</v>
      </c>
      <c r="R118" s="783">
        <v>424.59</v>
      </c>
      <c r="S118" s="783">
        <v>199.3</v>
      </c>
      <c r="T118" s="783">
        <v>331.98</v>
      </c>
      <c r="U118" s="785">
        <v>44631.630787037</v>
      </c>
    </row>
    <row r="119" spans="1:21">
      <c r="A119" s="782">
        <v>44553</v>
      </c>
      <c r="B119" s="783" t="s">
        <v>74</v>
      </c>
      <c r="C119" s="783" t="s">
        <v>4037</v>
      </c>
      <c r="D119" s="783" t="s">
        <v>4038</v>
      </c>
      <c r="E119" s="783" t="s">
        <v>4351</v>
      </c>
      <c r="F119" s="783" t="s">
        <v>4011</v>
      </c>
      <c r="G119" s="783" t="str">
        <f>VLOOKUP(I119,pacage,2,FALSE)</f>
        <v>New contract</v>
      </c>
      <c r="H119" s="783" t="s">
        <v>4352</v>
      </c>
      <c r="I119" s="783" t="s">
        <v>4353</v>
      </c>
      <c r="J119" s="783">
        <v>25</v>
      </c>
      <c r="K119" s="783" t="s">
        <v>138</v>
      </c>
      <c r="L119" s="783" t="s">
        <v>4096</v>
      </c>
      <c r="M119" s="784">
        <v>17475.48</v>
      </c>
      <c r="N119" s="784">
        <v>14.71</v>
      </c>
      <c r="O119" s="784">
        <v>5.4</v>
      </c>
      <c r="P119" s="783">
        <v>220</v>
      </c>
      <c r="Q119" s="783">
        <v>1010.08</v>
      </c>
      <c r="R119" s="783">
        <v>544.19000000000005</v>
      </c>
      <c r="S119" s="783">
        <v>257.94</v>
      </c>
      <c r="T119" s="783">
        <v>207.96</v>
      </c>
      <c r="U119" s="785">
        <v>44631.634351851899</v>
      </c>
    </row>
    <row r="120" spans="1:21">
      <c r="A120" s="782">
        <v>44680</v>
      </c>
      <c r="B120" s="783" t="s">
        <v>41</v>
      </c>
      <c r="C120" s="783" t="s">
        <v>4354</v>
      </c>
      <c r="D120" s="783" t="s">
        <v>4009</v>
      </c>
      <c r="E120" s="783" t="s">
        <v>4355</v>
      </c>
      <c r="F120" s="783" t="s">
        <v>4011</v>
      </c>
      <c r="G120" s="783" t="str">
        <f>VLOOKUP(I120,pacage,2,FALSE)</f>
        <v>Renewal (30% in 2020)</v>
      </c>
      <c r="H120" s="783" t="s">
        <v>4356</v>
      </c>
      <c r="I120" s="783" t="s">
        <v>4357</v>
      </c>
      <c r="J120" s="783">
        <v>30</v>
      </c>
      <c r="K120" s="783" t="s">
        <v>138</v>
      </c>
      <c r="L120" s="783" t="s">
        <v>4096</v>
      </c>
      <c r="M120" s="784">
        <v>47258.1</v>
      </c>
      <c r="N120" s="784">
        <v>38.049999999999997</v>
      </c>
      <c r="O120" s="784">
        <v>5.4</v>
      </c>
      <c r="P120" s="783">
        <v>230</v>
      </c>
      <c r="Q120" s="783">
        <v>2372.36</v>
      </c>
      <c r="R120" s="783">
        <v>1453.84</v>
      </c>
      <c r="S120" s="783">
        <v>479.01</v>
      </c>
      <c r="T120" s="783">
        <v>439.5</v>
      </c>
      <c r="U120" s="785">
        <v>44683.4914236111</v>
      </c>
    </row>
    <row r="121" spans="1:21">
      <c r="A121" s="782">
        <v>44695</v>
      </c>
      <c r="B121" s="783" t="s">
        <v>74</v>
      </c>
      <c r="C121" s="783" t="s">
        <v>4037</v>
      </c>
      <c r="D121" s="783" t="s">
        <v>4038</v>
      </c>
      <c r="E121" s="783" t="s">
        <v>4358</v>
      </c>
      <c r="F121" s="783" t="s">
        <v>4011</v>
      </c>
      <c r="G121" s="783" t="str">
        <f>VLOOKUP(I121,pacage,2,FALSE)</f>
        <v>Renewal (15% in 2020)</v>
      </c>
      <c r="H121" s="783" t="s">
        <v>4359</v>
      </c>
      <c r="I121" s="783" t="s">
        <v>4360</v>
      </c>
      <c r="J121" s="783">
        <v>20</v>
      </c>
      <c r="K121" s="783" t="s">
        <v>138</v>
      </c>
      <c r="L121" s="783" t="s">
        <v>4096</v>
      </c>
      <c r="M121" s="784">
        <v>24102.9</v>
      </c>
      <c r="N121" s="784">
        <v>21.33</v>
      </c>
      <c r="O121" s="784">
        <v>5.65</v>
      </c>
      <c r="P121" s="783">
        <v>200</v>
      </c>
      <c r="Q121" s="783">
        <v>1614.89</v>
      </c>
      <c r="R121" s="783">
        <v>825.62</v>
      </c>
      <c r="S121" s="783">
        <v>280.7</v>
      </c>
      <c r="T121" s="783">
        <v>508.57</v>
      </c>
      <c r="U121" s="785">
        <v>44697.687083333301</v>
      </c>
    </row>
    <row r="122" spans="1:21">
      <c r="A122" s="782">
        <v>44678</v>
      </c>
      <c r="B122" s="783" t="s">
        <v>74</v>
      </c>
      <c r="C122" s="783" t="s">
        <v>4097</v>
      </c>
      <c r="D122" s="783" t="s">
        <v>4038</v>
      </c>
      <c r="E122" s="783" t="s">
        <v>4361</v>
      </c>
      <c r="F122" s="783" t="s">
        <v>4011</v>
      </c>
      <c r="G122" s="783" t="s">
        <v>4028</v>
      </c>
      <c r="H122" s="783" t="s">
        <v>4362</v>
      </c>
      <c r="I122" s="783" t="s">
        <v>4363</v>
      </c>
      <c r="J122" s="783">
        <v>15</v>
      </c>
      <c r="K122" s="783" t="s">
        <v>138</v>
      </c>
      <c r="L122" s="783" t="s">
        <v>4096</v>
      </c>
      <c r="M122" s="784">
        <v>13643.01</v>
      </c>
      <c r="N122" s="784">
        <v>11.1</v>
      </c>
      <c r="O122" s="784">
        <v>7.23</v>
      </c>
      <c r="P122" s="783">
        <v>170</v>
      </c>
      <c r="Q122" s="783">
        <v>903.17</v>
      </c>
      <c r="R122" s="783">
        <v>386.1</v>
      </c>
      <c r="S122" s="783">
        <v>60.03</v>
      </c>
      <c r="T122" s="783">
        <v>457.04</v>
      </c>
      <c r="U122" s="785">
        <v>44680.483090277798</v>
      </c>
    </row>
    <row r="123" spans="1:21">
      <c r="A123" s="782">
        <v>44714</v>
      </c>
      <c r="B123" s="783" t="s">
        <v>74</v>
      </c>
      <c r="C123" s="783" t="s">
        <v>4097</v>
      </c>
      <c r="D123" s="783" t="s">
        <v>4038</v>
      </c>
      <c r="E123" s="783" t="s">
        <v>4364</v>
      </c>
      <c r="F123" s="783" t="s">
        <v>4011</v>
      </c>
      <c r="G123" s="783" t="str">
        <f t="shared" ref="G123:G128" si="4">VLOOKUP(I123,pacage,2,FALSE)</f>
        <v>Renewal (20% in 2020)</v>
      </c>
      <c r="H123" s="783" t="s">
        <v>4365</v>
      </c>
      <c r="I123" s="783" t="s">
        <v>4366</v>
      </c>
      <c r="J123" s="783">
        <v>20</v>
      </c>
      <c r="K123" s="783" t="s">
        <v>138</v>
      </c>
      <c r="L123" s="783" t="s">
        <v>4096</v>
      </c>
      <c r="M123" s="784">
        <v>19936</v>
      </c>
      <c r="N123" s="784">
        <v>12.8</v>
      </c>
      <c r="O123" s="784">
        <v>6.23</v>
      </c>
      <c r="P123" s="783">
        <v>250</v>
      </c>
      <c r="Q123" s="783">
        <v>998.79</v>
      </c>
      <c r="R123" s="783">
        <v>390.42</v>
      </c>
      <c r="S123" s="783">
        <v>261.49</v>
      </c>
      <c r="T123" s="783">
        <v>346.89</v>
      </c>
      <c r="U123" s="785">
        <v>44715.463217592602</v>
      </c>
    </row>
    <row r="124" spans="1:21">
      <c r="A124" s="782">
        <v>44715</v>
      </c>
      <c r="B124" s="783" t="s">
        <v>74</v>
      </c>
      <c r="C124" s="783" t="s">
        <v>4097</v>
      </c>
      <c r="D124" s="783" t="s">
        <v>4038</v>
      </c>
      <c r="E124" s="783" t="s">
        <v>4367</v>
      </c>
      <c r="F124" s="783" t="s">
        <v>4011</v>
      </c>
      <c r="G124" s="783" t="str">
        <f t="shared" si="4"/>
        <v>Renewal (15% in 2020)</v>
      </c>
      <c r="H124" s="783" t="s">
        <v>4368</v>
      </c>
      <c r="I124" s="783" t="s">
        <v>4369</v>
      </c>
      <c r="J124" s="783">
        <v>20</v>
      </c>
      <c r="K124" s="783" t="s">
        <v>138</v>
      </c>
      <c r="L124" s="783" t="s">
        <v>4096</v>
      </c>
      <c r="M124" s="784">
        <v>12432.24</v>
      </c>
      <c r="N124" s="784">
        <v>11.16</v>
      </c>
      <c r="O124" s="784">
        <v>5.57</v>
      </c>
      <c r="P124" s="783">
        <v>200</v>
      </c>
      <c r="Q124" s="783">
        <v>622.86</v>
      </c>
      <c r="R124" s="783">
        <v>304.33999999999997</v>
      </c>
      <c r="S124" s="783">
        <v>102.2</v>
      </c>
      <c r="T124" s="783">
        <v>216.32</v>
      </c>
      <c r="U124" s="785">
        <v>44715.465127314797</v>
      </c>
    </row>
    <row r="125" spans="1:21">
      <c r="A125" s="782">
        <v>44711</v>
      </c>
      <c r="B125" s="783" t="s">
        <v>74</v>
      </c>
      <c r="C125" s="783" t="s">
        <v>4097</v>
      </c>
      <c r="D125" s="783" t="s">
        <v>4038</v>
      </c>
      <c r="E125" s="783" t="s">
        <v>4370</v>
      </c>
      <c r="F125" s="783" t="s">
        <v>4011</v>
      </c>
      <c r="G125" s="783" t="str">
        <f t="shared" si="4"/>
        <v>Renewal (20% in 2020)</v>
      </c>
      <c r="H125" s="783" t="s">
        <v>4371</v>
      </c>
      <c r="I125" s="783" t="s">
        <v>4372</v>
      </c>
      <c r="J125" s="783">
        <v>20</v>
      </c>
      <c r="K125" s="783" t="s">
        <v>138</v>
      </c>
      <c r="L125" s="783" t="s">
        <v>4096</v>
      </c>
      <c r="M125" s="784">
        <v>23963.94</v>
      </c>
      <c r="N125" s="784">
        <v>19.11</v>
      </c>
      <c r="O125" s="784">
        <v>5.7</v>
      </c>
      <c r="P125" s="783">
        <v>220</v>
      </c>
      <c r="Q125" s="783">
        <v>1200.5899999999999</v>
      </c>
      <c r="R125" s="783">
        <v>533.29999999999995</v>
      </c>
      <c r="S125" s="783">
        <v>250.33</v>
      </c>
      <c r="T125" s="783">
        <v>416.97</v>
      </c>
      <c r="U125" s="785">
        <v>44713.987743055601</v>
      </c>
    </row>
    <row r="126" spans="1:21">
      <c r="A126" s="782">
        <v>44711</v>
      </c>
      <c r="B126" s="783" t="s">
        <v>74</v>
      </c>
      <c r="C126" s="783" t="s">
        <v>4037</v>
      </c>
      <c r="D126" s="783" t="s">
        <v>4038</v>
      </c>
      <c r="E126" s="783" t="s">
        <v>4370</v>
      </c>
      <c r="F126" s="783" t="s">
        <v>4011</v>
      </c>
      <c r="G126" s="783" t="str">
        <f t="shared" si="4"/>
        <v>Renewal (20% in 2020)</v>
      </c>
      <c r="H126" s="783" t="s">
        <v>4371</v>
      </c>
      <c r="I126" s="783" t="s">
        <v>4372</v>
      </c>
      <c r="J126" s="783">
        <v>20</v>
      </c>
      <c r="K126" s="783" t="s">
        <v>138</v>
      </c>
      <c r="L126" s="783" t="s">
        <v>4096</v>
      </c>
      <c r="M126" s="784">
        <v>11887.92</v>
      </c>
      <c r="N126" s="784">
        <v>9.48</v>
      </c>
      <c r="O126" s="784">
        <v>5.7</v>
      </c>
      <c r="P126" s="783">
        <v>220</v>
      </c>
      <c r="Q126" s="783">
        <v>796.49</v>
      </c>
      <c r="R126" s="783">
        <v>370.19</v>
      </c>
      <c r="S126" s="783">
        <v>175.47</v>
      </c>
      <c r="T126" s="783">
        <v>250.84</v>
      </c>
      <c r="U126" s="785">
        <v>44713.987754629597</v>
      </c>
    </row>
    <row r="127" spans="1:21">
      <c r="A127" s="782">
        <v>44711</v>
      </c>
      <c r="B127" s="783" t="s">
        <v>113</v>
      </c>
      <c r="C127" s="783" t="s">
        <v>4097</v>
      </c>
      <c r="D127" s="783" t="s">
        <v>4038</v>
      </c>
      <c r="E127" s="783" t="s">
        <v>4373</v>
      </c>
      <c r="F127" s="783" t="s">
        <v>4011</v>
      </c>
      <c r="G127" s="783" t="str">
        <f t="shared" si="4"/>
        <v>Renewal (15% in 2020)</v>
      </c>
      <c r="H127" s="783" t="s">
        <v>4374</v>
      </c>
      <c r="I127" s="783" t="s">
        <v>4375</v>
      </c>
      <c r="J127" s="783">
        <v>15</v>
      </c>
      <c r="K127" s="783" t="s">
        <v>138</v>
      </c>
      <c r="L127" s="783" t="s">
        <v>4096</v>
      </c>
      <c r="M127" s="784">
        <v>29980.57</v>
      </c>
      <c r="N127" s="784">
        <v>24.53</v>
      </c>
      <c r="O127" s="784">
        <v>5.82</v>
      </c>
      <c r="P127" s="783">
        <v>210</v>
      </c>
      <c r="Q127" s="783">
        <v>1984.71</v>
      </c>
      <c r="R127" s="783">
        <v>698.96</v>
      </c>
      <c r="S127" s="783">
        <v>281.39999999999998</v>
      </c>
      <c r="T127" s="783">
        <v>1004.35</v>
      </c>
      <c r="U127" s="785">
        <v>44713.979664351798</v>
      </c>
    </row>
    <row r="128" spans="1:21">
      <c r="A128" s="782">
        <v>44711</v>
      </c>
      <c r="B128" s="783" t="s">
        <v>113</v>
      </c>
      <c r="C128" s="783" t="s">
        <v>4376</v>
      </c>
      <c r="D128" s="783" t="s">
        <v>4038</v>
      </c>
      <c r="E128" s="783" t="s">
        <v>4377</v>
      </c>
      <c r="F128" s="783" t="s">
        <v>4011</v>
      </c>
      <c r="G128" s="783" t="str">
        <f t="shared" si="4"/>
        <v>Renewal (15% in 2020)</v>
      </c>
      <c r="H128" s="783" t="s">
        <v>4378</v>
      </c>
      <c r="I128" s="783" t="s">
        <v>4379</v>
      </c>
      <c r="J128" s="783">
        <v>15</v>
      </c>
      <c r="K128" s="783" t="s">
        <v>138</v>
      </c>
      <c r="L128" s="783" t="s">
        <v>4096</v>
      </c>
      <c r="M128" s="784">
        <v>20040.52</v>
      </c>
      <c r="N128" s="784">
        <v>21.18</v>
      </c>
      <c r="O128" s="784">
        <v>4.9800000000000004</v>
      </c>
      <c r="P128" s="783">
        <v>190</v>
      </c>
      <c r="Q128" s="783">
        <v>1933.91</v>
      </c>
      <c r="R128" s="783">
        <v>749.97</v>
      </c>
      <c r="S128" s="783">
        <v>203.96</v>
      </c>
      <c r="T128" s="783">
        <v>979.98</v>
      </c>
      <c r="U128" s="785">
        <v>44713.5222222222</v>
      </c>
    </row>
    <row r="129" spans="1:21">
      <c r="A129" s="782">
        <v>44713</v>
      </c>
      <c r="B129" s="783" t="s">
        <v>74</v>
      </c>
      <c r="C129" s="783" t="s">
        <v>4097</v>
      </c>
      <c r="D129" s="783" t="s">
        <v>4038</v>
      </c>
      <c r="E129" s="783" t="s">
        <v>4380</v>
      </c>
      <c r="F129" s="783" t="s">
        <v>4011</v>
      </c>
      <c r="G129" s="783" t="s">
        <v>4028</v>
      </c>
      <c r="H129" s="783" t="s">
        <v>4381</v>
      </c>
      <c r="I129" s="783" t="s">
        <v>4382</v>
      </c>
      <c r="J129" s="783">
        <v>25</v>
      </c>
      <c r="K129" s="783" t="s">
        <v>138</v>
      </c>
      <c r="L129" s="783" t="s">
        <v>4096</v>
      </c>
      <c r="M129" s="784">
        <v>14895.1</v>
      </c>
      <c r="N129" s="784">
        <v>12.31</v>
      </c>
      <c r="O129" s="784">
        <v>5.5</v>
      </c>
      <c r="P129" s="783">
        <v>220</v>
      </c>
      <c r="Q129" s="783">
        <v>585.38</v>
      </c>
      <c r="R129" s="783">
        <v>331.48</v>
      </c>
      <c r="S129" s="783">
        <v>155.59</v>
      </c>
      <c r="T129" s="783">
        <v>98.31</v>
      </c>
      <c r="U129" s="785">
        <v>44715.4062962963</v>
      </c>
    </row>
    <row r="130" spans="1:21">
      <c r="A130" s="782">
        <v>44714</v>
      </c>
      <c r="B130" s="783" t="s">
        <v>34</v>
      </c>
      <c r="C130" s="783" t="s">
        <v>4139</v>
      </c>
      <c r="D130" s="783" t="s">
        <v>4009</v>
      </c>
      <c r="E130" s="783" t="s">
        <v>305</v>
      </c>
      <c r="F130" s="783" t="s">
        <v>4011</v>
      </c>
      <c r="G130" s="783" t="str">
        <f>VLOOKUP(I130,pacage,2,FALSE)</f>
        <v>Renewal (30% in 2020)</v>
      </c>
      <c r="H130" s="783" t="s">
        <v>4383</v>
      </c>
      <c r="I130" s="783" t="s">
        <v>4384</v>
      </c>
      <c r="J130" s="783">
        <v>30</v>
      </c>
      <c r="K130" s="783" t="s">
        <v>138</v>
      </c>
      <c r="L130" s="783" t="s">
        <v>4096</v>
      </c>
      <c r="M130" s="784">
        <v>6708.8</v>
      </c>
      <c r="N130" s="784">
        <v>5</v>
      </c>
      <c r="O130" s="784">
        <v>5.99</v>
      </c>
      <c r="P130" s="783">
        <v>224</v>
      </c>
      <c r="Q130" s="783">
        <v>177.78</v>
      </c>
      <c r="R130" s="783">
        <v>121.76</v>
      </c>
      <c r="S130" s="783">
        <v>35.9</v>
      </c>
      <c r="T130" s="783">
        <v>20.13</v>
      </c>
      <c r="U130" s="785">
        <v>44715.448703703703</v>
      </c>
    </row>
    <row r="131" spans="1:21">
      <c r="A131" s="782">
        <v>44698</v>
      </c>
      <c r="B131" s="783" t="s">
        <v>74</v>
      </c>
      <c r="C131" s="783" t="s">
        <v>4037</v>
      </c>
      <c r="D131" s="783" t="s">
        <v>4038</v>
      </c>
      <c r="E131" s="783" t="s">
        <v>4059</v>
      </c>
      <c r="F131" s="783" t="s">
        <v>4011</v>
      </c>
      <c r="G131" s="783" t="str">
        <f>VLOOKUP(I131,pacage,2,FALSE)</f>
        <v>Renewal (25% in 2020)</v>
      </c>
      <c r="H131" s="783" t="s">
        <v>4060</v>
      </c>
      <c r="I131" s="783" t="s">
        <v>4061</v>
      </c>
      <c r="J131" s="783">
        <v>25</v>
      </c>
      <c r="K131" s="783" t="s">
        <v>138</v>
      </c>
      <c r="L131" s="783" t="s">
        <v>4096</v>
      </c>
      <c r="M131" s="784">
        <v>62586.99</v>
      </c>
      <c r="N131" s="784">
        <v>44.14</v>
      </c>
      <c r="O131" s="784">
        <v>6.33</v>
      </c>
      <c r="P131" s="783">
        <v>224</v>
      </c>
      <c r="Q131" s="783">
        <v>3617.53</v>
      </c>
      <c r="R131" s="783">
        <v>1914.16</v>
      </c>
      <c r="S131" s="783">
        <v>958.59</v>
      </c>
      <c r="T131" s="783">
        <v>744.79</v>
      </c>
      <c r="U131" s="785">
        <v>44700.469907407401</v>
      </c>
    </row>
    <row r="132" spans="1:21">
      <c r="A132" s="782">
        <v>44694</v>
      </c>
      <c r="B132" s="783" t="s">
        <v>74</v>
      </c>
      <c r="C132" s="783" t="s">
        <v>4097</v>
      </c>
      <c r="D132" s="783" t="s">
        <v>4038</v>
      </c>
      <c r="E132" s="783" t="s">
        <v>4385</v>
      </c>
      <c r="F132" s="783" t="s">
        <v>4011</v>
      </c>
      <c r="G132" s="783" t="str">
        <f>VLOOKUP(I132,pacage,2,FALSE)</f>
        <v>Renewal (15% in 2020)</v>
      </c>
      <c r="H132" s="783" t="s">
        <v>4386</v>
      </c>
      <c r="I132" s="783" t="s">
        <v>4387</v>
      </c>
      <c r="J132" s="783">
        <v>15</v>
      </c>
      <c r="K132" s="783" t="s">
        <v>138</v>
      </c>
      <c r="L132" s="783" t="s">
        <v>4096</v>
      </c>
      <c r="M132" s="784">
        <v>31059.34</v>
      </c>
      <c r="N132" s="784">
        <v>20.58</v>
      </c>
      <c r="O132" s="784">
        <v>6.86</v>
      </c>
      <c r="P132" s="783">
        <v>220</v>
      </c>
      <c r="Q132" s="783">
        <v>2056.13</v>
      </c>
      <c r="R132" s="783">
        <v>691.2</v>
      </c>
      <c r="S132" s="783">
        <v>324.44</v>
      </c>
      <c r="T132" s="783">
        <v>1040.49</v>
      </c>
      <c r="U132" s="785">
        <v>44697.657083333303</v>
      </c>
    </row>
    <row r="133" spans="1:21">
      <c r="A133" s="782">
        <v>44701</v>
      </c>
      <c r="B133" s="783" t="s">
        <v>74</v>
      </c>
      <c r="C133" s="783" t="s">
        <v>4037</v>
      </c>
      <c r="D133" s="783" t="s">
        <v>4038</v>
      </c>
      <c r="E133" s="783" t="s">
        <v>1912</v>
      </c>
      <c r="F133" s="783" t="s">
        <v>4011</v>
      </c>
      <c r="G133" s="783" t="str">
        <f>VLOOKUP(I133,pacage,2,FALSE)</f>
        <v>Renewal (25% in 2020)</v>
      </c>
      <c r="H133" s="783" t="s">
        <v>4388</v>
      </c>
      <c r="I133" s="783" t="s">
        <v>4389</v>
      </c>
      <c r="J133" s="783">
        <v>30</v>
      </c>
      <c r="K133" s="783" t="s">
        <v>138</v>
      </c>
      <c r="L133" s="783" t="s">
        <v>4096</v>
      </c>
      <c r="M133" s="784">
        <v>34450.6</v>
      </c>
      <c r="N133" s="784">
        <v>28.1</v>
      </c>
      <c r="O133" s="784">
        <v>6.13</v>
      </c>
      <c r="P133" s="783">
        <v>200</v>
      </c>
      <c r="Q133" s="783">
        <v>1774.21</v>
      </c>
      <c r="R133" s="783">
        <v>1180.07</v>
      </c>
      <c r="S133" s="783">
        <v>184.17</v>
      </c>
      <c r="T133" s="783">
        <v>409.96</v>
      </c>
      <c r="U133" s="785">
        <v>44704.416030092601</v>
      </c>
    </row>
    <row r="134" spans="1:21">
      <c r="A134" s="782">
        <v>44705</v>
      </c>
      <c r="B134" s="783" t="s">
        <v>74</v>
      </c>
      <c r="C134" s="783" t="s">
        <v>4097</v>
      </c>
      <c r="D134" s="783" t="s">
        <v>4038</v>
      </c>
      <c r="E134" s="783" t="s">
        <v>4390</v>
      </c>
      <c r="F134" s="783" t="s">
        <v>4066</v>
      </c>
      <c r="G134" s="783" t="s">
        <v>4028</v>
      </c>
      <c r="H134" s="783" t="s">
        <v>4391</v>
      </c>
      <c r="I134" s="783" t="s">
        <v>4392</v>
      </c>
      <c r="J134" s="783">
        <v>10</v>
      </c>
      <c r="K134" s="783" t="s">
        <v>138</v>
      </c>
      <c r="L134" s="783" t="s">
        <v>4096</v>
      </c>
      <c r="M134" s="784">
        <v>54951.6</v>
      </c>
      <c r="N134" s="784">
        <v>41.63</v>
      </c>
      <c r="O134" s="784">
        <v>6</v>
      </c>
      <c r="P134" s="783">
        <v>220</v>
      </c>
      <c r="Q134" s="783">
        <v>862.74</v>
      </c>
      <c r="R134" s="783">
        <v>0</v>
      </c>
      <c r="S134" s="783">
        <v>0</v>
      </c>
      <c r="T134" s="783">
        <v>862.74</v>
      </c>
      <c r="U134" s="785">
        <v>44706.523495370398</v>
      </c>
    </row>
    <row r="135" spans="1:21">
      <c r="A135" s="782">
        <v>44711</v>
      </c>
      <c r="B135" s="783" t="s">
        <v>74</v>
      </c>
      <c r="C135" s="783" t="s">
        <v>4037</v>
      </c>
      <c r="D135" s="783" t="s">
        <v>4038</v>
      </c>
      <c r="E135" s="783" t="s">
        <v>4393</v>
      </c>
      <c r="F135" s="783" t="s">
        <v>4011</v>
      </c>
      <c r="G135" s="783" t="str">
        <f t="shared" ref="G135:G140" si="5">VLOOKUP(I135,pacage,2,FALSE)</f>
        <v>Renewal (15% in 2020)</v>
      </c>
      <c r="H135" s="783" t="s">
        <v>4394</v>
      </c>
      <c r="I135" s="783" t="s">
        <v>4395</v>
      </c>
      <c r="J135" s="783">
        <v>30</v>
      </c>
      <c r="K135" s="783" t="s">
        <v>138</v>
      </c>
      <c r="L135" s="783" t="s">
        <v>4096</v>
      </c>
      <c r="M135" s="784">
        <v>26858.639999999999</v>
      </c>
      <c r="N135" s="784">
        <v>27.24</v>
      </c>
      <c r="O135" s="784">
        <v>4.93</v>
      </c>
      <c r="P135" s="783">
        <v>200</v>
      </c>
      <c r="Q135" s="783">
        <v>1383.22</v>
      </c>
      <c r="R135" s="783">
        <v>920.02</v>
      </c>
      <c r="S135" s="783">
        <v>143.59</v>
      </c>
      <c r="T135" s="783">
        <v>319.62</v>
      </c>
      <c r="U135" s="785">
        <v>44713.998842592599</v>
      </c>
    </row>
    <row r="136" spans="1:21">
      <c r="A136" s="782">
        <v>44706</v>
      </c>
      <c r="B136" s="783" t="s">
        <v>74</v>
      </c>
      <c r="C136" s="783" t="s">
        <v>4037</v>
      </c>
      <c r="D136" s="783" t="s">
        <v>4038</v>
      </c>
      <c r="E136" s="783" t="s">
        <v>4396</v>
      </c>
      <c r="F136" s="783" t="s">
        <v>4011</v>
      </c>
      <c r="G136" s="783" t="str">
        <f t="shared" si="5"/>
        <v>Renewal (15% in 2020)</v>
      </c>
      <c r="H136" s="783" t="s">
        <v>4397</v>
      </c>
      <c r="I136" s="783" t="s">
        <v>4398</v>
      </c>
      <c r="J136" s="783">
        <v>20</v>
      </c>
      <c r="K136" s="783" t="s">
        <v>138</v>
      </c>
      <c r="L136" s="783" t="s">
        <v>4096</v>
      </c>
      <c r="M136" s="784">
        <v>29933.439999999999</v>
      </c>
      <c r="N136" s="784">
        <v>17.71</v>
      </c>
      <c r="O136" s="784">
        <v>6.26</v>
      </c>
      <c r="P136" s="783">
        <v>270</v>
      </c>
      <c r="Q136" s="783">
        <v>2005.54</v>
      </c>
      <c r="R136" s="783">
        <v>759.51</v>
      </c>
      <c r="S136" s="783">
        <v>614.42999999999995</v>
      </c>
      <c r="T136" s="783">
        <v>631.6</v>
      </c>
      <c r="U136" s="785">
        <v>44708.579479166699</v>
      </c>
    </row>
    <row r="137" spans="1:21">
      <c r="A137" s="782">
        <v>44671</v>
      </c>
      <c r="B137" s="783" t="s">
        <v>74</v>
      </c>
      <c r="C137" s="783" t="s">
        <v>4097</v>
      </c>
      <c r="D137" s="783" t="s">
        <v>4038</v>
      </c>
      <c r="E137" s="783" t="s">
        <v>4399</v>
      </c>
      <c r="F137" s="783" t="s">
        <v>4011</v>
      </c>
      <c r="G137" s="783" t="str">
        <f t="shared" si="5"/>
        <v>New Contract</v>
      </c>
      <c r="H137" s="783" t="s">
        <v>4400</v>
      </c>
      <c r="I137" s="783" t="s">
        <v>4401</v>
      </c>
      <c r="J137" s="783">
        <v>15</v>
      </c>
      <c r="K137" s="783" t="s">
        <v>138</v>
      </c>
      <c r="L137" s="783" t="s">
        <v>4096</v>
      </c>
      <c r="M137" s="784">
        <v>24717.040000000001</v>
      </c>
      <c r="N137" s="784">
        <v>20.36</v>
      </c>
      <c r="O137" s="784">
        <v>6.07</v>
      </c>
      <c r="P137" s="783">
        <v>200</v>
      </c>
      <c r="Q137" s="783">
        <v>1636.27</v>
      </c>
      <c r="R137" s="783">
        <v>605.05999999999995</v>
      </c>
      <c r="S137" s="783">
        <v>203.19</v>
      </c>
      <c r="T137" s="783">
        <v>828.02</v>
      </c>
      <c r="U137" s="785">
        <v>44673.363425925898</v>
      </c>
    </row>
    <row r="138" spans="1:21">
      <c r="A138" s="782">
        <v>44670</v>
      </c>
      <c r="B138" s="783" t="s">
        <v>74</v>
      </c>
      <c r="C138" s="783" t="s">
        <v>4097</v>
      </c>
      <c r="D138" s="783" t="s">
        <v>4038</v>
      </c>
      <c r="E138" s="783" t="s">
        <v>4402</v>
      </c>
      <c r="F138" s="783" t="s">
        <v>4011</v>
      </c>
      <c r="G138" s="783" t="str">
        <f t="shared" si="5"/>
        <v>Renewal (15% in 2020)</v>
      </c>
      <c r="H138" s="783" t="s">
        <v>4403</v>
      </c>
      <c r="I138" s="783" t="s">
        <v>4404</v>
      </c>
      <c r="J138" s="783">
        <v>15</v>
      </c>
      <c r="K138" s="783" t="s">
        <v>138</v>
      </c>
      <c r="L138" s="783" t="s">
        <v>4096</v>
      </c>
      <c r="M138" s="784">
        <v>27025.8</v>
      </c>
      <c r="N138" s="784">
        <v>21.43</v>
      </c>
      <c r="O138" s="784">
        <v>5.63</v>
      </c>
      <c r="P138" s="783">
        <v>224</v>
      </c>
      <c r="Q138" s="783">
        <v>1789.11</v>
      </c>
      <c r="R138" s="783">
        <v>590.69000000000005</v>
      </c>
      <c r="S138" s="783">
        <v>293.05</v>
      </c>
      <c r="T138" s="783">
        <v>905.36</v>
      </c>
      <c r="U138" s="785">
        <v>44671.492812500001</v>
      </c>
    </row>
    <row r="139" spans="1:21">
      <c r="A139" s="782">
        <v>44693</v>
      </c>
      <c r="B139" s="783" t="s">
        <v>34</v>
      </c>
      <c r="C139" s="783" t="s">
        <v>4139</v>
      </c>
      <c r="D139" s="783" t="s">
        <v>4009</v>
      </c>
      <c r="E139" s="783" t="s">
        <v>4405</v>
      </c>
      <c r="F139" s="783" t="s">
        <v>4011</v>
      </c>
      <c r="G139" s="783" t="str">
        <f t="shared" si="5"/>
        <v>Renewal (30% in 2020)</v>
      </c>
      <c r="H139" s="783" t="s">
        <v>4406</v>
      </c>
      <c r="I139" s="783" t="s">
        <v>4407</v>
      </c>
      <c r="J139" s="783">
        <v>30</v>
      </c>
      <c r="K139" s="783" t="s">
        <v>138</v>
      </c>
      <c r="L139" s="783" t="s">
        <v>4096</v>
      </c>
      <c r="M139" s="784">
        <v>16380</v>
      </c>
      <c r="N139" s="784">
        <v>14</v>
      </c>
      <c r="O139" s="784">
        <v>6</v>
      </c>
      <c r="P139" s="783">
        <v>195</v>
      </c>
      <c r="Q139" s="783">
        <v>434.07</v>
      </c>
      <c r="R139" s="783">
        <v>341.5</v>
      </c>
      <c r="S139" s="783">
        <v>43.43</v>
      </c>
      <c r="T139" s="783">
        <v>49.14</v>
      </c>
      <c r="U139" s="785">
        <v>44694.433263888903</v>
      </c>
    </row>
    <row r="140" spans="1:21">
      <c r="A140" s="782">
        <v>44672</v>
      </c>
      <c r="B140" s="783" t="s">
        <v>74</v>
      </c>
      <c r="C140" s="783" t="s">
        <v>4097</v>
      </c>
      <c r="D140" s="783" t="s">
        <v>4038</v>
      </c>
      <c r="E140" s="783" t="s">
        <v>4408</v>
      </c>
      <c r="F140" s="783" t="s">
        <v>4011</v>
      </c>
      <c r="G140" s="783" t="str">
        <f t="shared" si="5"/>
        <v>Renewal (20% in 2020)</v>
      </c>
      <c r="H140" s="783" t="s">
        <v>4409</v>
      </c>
      <c r="I140" s="783" t="s">
        <v>4410</v>
      </c>
      <c r="J140" s="783">
        <v>20</v>
      </c>
      <c r="K140" s="783" t="s">
        <v>138</v>
      </c>
      <c r="L140" s="783" t="s">
        <v>4096</v>
      </c>
      <c r="M140" s="784">
        <v>35075.949999999997</v>
      </c>
      <c r="N140" s="784">
        <v>33.799999999999997</v>
      </c>
      <c r="O140" s="784">
        <v>5.93</v>
      </c>
      <c r="P140" s="783">
        <v>175</v>
      </c>
      <c r="Q140" s="783">
        <v>1757.31</v>
      </c>
      <c r="R140" s="783">
        <v>981.3</v>
      </c>
      <c r="S140" s="783">
        <v>165.68</v>
      </c>
      <c r="T140" s="783">
        <v>610.32000000000005</v>
      </c>
      <c r="U140" s="785">
        <v>44673.376631944397</v>
      </c>
    </row>
    <row r="141" spans="1:21">
      <c r="A141" s="782">
        <v>44656</v>
      </c>
      <c r="B141" s="783" t="s">
        <v>74</v>
      </c>
      <c r="C141" s="783" t="s">
        <v>4097</v>
      </c>
      <c r="D141" s="783" t="s">
        <v>4038</v>
      </c>
      <c r="E141" s="783" t="s">
        <v>4411</v>
      </c>
      <c r="F141" s="783" t="s">
        <v>4011</v>
      </c>
      <c r="G141" s="783" t="s">
        <v>4028</v>
      </c>
      <c r="H141" s="783" t="s">
        <v>4412</v>
      </c>
      <c r="I141" s="783" t="s">
        <v>4413</v>
      </c>
      <c r="J141" s="783">
        <v>15</v>
      </c>
      <c r="K141" s="783" t="s">
        <v>138</v>
      </c>
      <c r="L141" s="783" t="s">
        <v>4096</v>
      </c>
      <c r="M141" s="784">
        <v>14065.26</v>
      </c>
      <c r="N141" s="784">
        <v>10.1</v>
      </c>
      <c r="O141" s="784">
        <v>6.33</v>
      </c>
      <c r="P141" s="783">
        <v>220</v>
      </c>
      <c r="Q141" s="783">
        <v>931.12</v>
      </c>
      <c r="R141" s="783">
        <v>313.01</v>
      </c>
      <c r="S141" s="783">
        <v>146.91999999999999</v>
      </c>
      <c r="T141" s="783">
        <v>471.19</v>
      </c>
      <c r="U141" s="785">
        <v>44657.628009259301</v>
      </c>
    </row>
    <row r="142" spans="1:21">
      <c r="A142" s="782">
        <v>44652</v>
      </c>
      <c r="B142" s="783" t="s">
        <v>3078</v>
      </c>
      <c r="C142" s="783" t="s">
        <v>4414</v>
      </c>
      <c r="D142" s="783" t="s">
        <v>4009</v>
      </c>
      <c r="E142" s="783" t="s">
        <v>3082</v>
      </c>
      <c r="F142" s="783" t="s">
        <v>4011</v>
      </c>
      <c r="G142" s="783" t="str">
        <f>VLOOKUP(I142,pacage,2,FALSE)</f>
        <v>Renewal (20% in 2020)</v>
      </c>
      <c r="H142" s="783" t="s">
        <v>4415</v>
      </c>
      <c r="I142" s="783" t="s">
        <v>4416</v>
      </c>
      <c r="J142" s="783">
        <v>20</v>
      </c>
      <c r="K142" s="783" t="s">
        <v>138</v>
      </c>
      <c r="L142" s="783" t="s">
        <v>4096</v>
      </c>
      <c r="M142" s="784">
        <v>50505</v>
      </c>
      <c r="N142" s="784">
        <v>37</v>
      </c>
      <c r="O142" s="784">
        <v>6.5</v>
      </c>
      <c r="P142" s="783">
        <v>210</v>
      </c>
      <c r="Q142" s="783">
        <v>3308.08</v>
      </c>
      <c r="R142" s="783">
        <v>1477.03</v>
      </c>
      <c r="S142" s="783">
        <v>603.78</v>
      </c>
      <c r="T142" s="783">
        <v>1227.27</v>
      </c>
      <c r="U142" s="785">
        <v>44655.497453703698</v>
      </c>
    </row>
    <row r="143" spans="1:21">
      <c r="A143" s="782">
        <v>44698</v>
      </c>
      <c r="B143" s="783" t="s">
        <v>228</v>
      </c>
      <c r="C143" s="783" t="s">
        <v>4417</v>
      </c>
      <c r="D143" s="783" t="s">
        <v>4193</v>
      </c>
      <c r="E143" s="783" t="s">
        <v>4418</v>
      </c>
      <c r="F143" s="783" t="s">
        <v>4011</v>
      </c>
      <c r="G143" s="783" t="str">
        <f>VLOOKUP(I143,pacage,2,FALSE)</f>
        <v>Renewal (25% in 2020)</v>
      </c>
      <c r="H143" s="783" t="s">
        <v>4419</v>
      </c>
      <c r="I143" s="783" t="s">
        <v>4420</v>
      </c>
      <c r="J143" s="783">
        <v>25</v>
      </c>
      <c r="K143" s="783" t="s">
        <v>138</v>
      </c>
      <c r="L143" s="783" t="s">
        <v>4096</v>
      </c>
      <c r="M143" s="784">
        <v>33881.54</v>
      </c>
      <c r="N143" s="784">
        <v>22.45</v>
      </c>
      <c r="O143" s="784">
        <v>6.86</v>
      </c>
      <c r="P143" s="783">
        <v>220</v>
      </c>
      <c r="Q143" s="783">
        <v>1372.2</v>
      </c>
      <c r="R143" s="783">
        <v>833.93</v>
      </c>
      <c r="S143" s="783">
        <v>389.19</v>
      </c>
      <c r="T143" s="783">
        <v>149.08000000000001</v>
      </c>
      <c r="U143" s="785">
        <v>44699.714861111097</v>
      </c>
    </row>
    <row r="144" spans="1:21">
      <c r="A144" s="782">
        <v>44615</v>
      </c>
      <c r="B144" s="783" t="s">
        <v>74</v>
      </c>
      <c r="C144" s="783" t="s">
        <v>4037</v>
      </c>
      <c r="D144" s="783" t="s">
        <v>4038</v>
      </c>
      <c r="E144" s="783" t="s">
        <v>1665</v>
      </c>
      <c r="F144" s="783" t="s">
        <v>4011</v>
      </c>
      <c r="G144" s="783" t="s">
        <v>4028</v>
      </c>
      <c r="H144" s="783" t="s">
        <v>4421</v>
      </c>
      <c r="I144" s="783" t="s">
        <v>4422</v>
      </c>
      <c r="J144" s="783">
        <v>30</v>
      </c>
      <c r="K144" s="783" t="s">
        <v>138</v>
      </c>
      <c r="L144" s="783" t="s">
        <v>4096</v>
      </c>
      <c r="M144" s="784">
        <v>8890.2000000000007</v>
      </c>
      <c r="N144" s="784">
        <v>8.98</v>
      </c>
      <c r="O144" s="784">
        <v>4.95</v>
      </c>
      <c r="P144" s="783">
        <v>200</v>
      </c>
      <c r="Q144" s="783">
        <v>457.85</v>
      </c>
      <c r="R144" s="783">
        <v>304.52</v>
      </c>
      <c r="S144" s="783">
        <v>47.53</v>
      </c>
      <c r="T144" s="783">
        <v>105.79</v>
      </c>
      <c r="U144" s="785">
        <v>44631.511851851901</v>
      </c>
    </row>
    <row r="145" spans="1:21">
      <c r="A145" s="782">
        <v>44565</v>
      </c>
      <c r="B145" s="783" t="s">
        <v>74</v>
      </c>
      <c r="C145" s="783" t="s">
        <v>4097</v>
      </c>
      <c r="D145" s="783" t="s">
        <v>4038</v>
      </c>
      <c r="E145" s="783" t="s">
        <v>4423</v>
      </c>
      <c r="F145" s="783" t="s">
        <v>4011</v>
      </c>
      <c r="G145" s="783" t="s">
        <v>4028</v>
      </c>
      <c r="H145" s="783" t="s">
        <v>4424</v>
      </c>
      <c r="I145" s="783" t="s">
        <v>4425</v>
      </c>
      <c r="J145" s="783">
        <v>20</v>
      </c>
      <c r="K145" s="783" t="s">
        <v>138</v>
      </c>
      <c r="L145" s="783" t="s">
        <v>4096</v>
      </c>
      <c r="M145" s="784">
        <v>12625.2</v>
      </c>
      <c r="N145" s="784">
        <v>12</v>
      </c>
      <c r="O145" s="784">
        <v>5.01</v>
      </c>
      <c r="P145" s="783">
        <v>210</v>
      </c>
      <c r="Q145" s="783">
        <v>632.52</v>
      </c>
      <c r="R145" s="783">
        <v>294.33999999999997</v>
      </c>
      <c r="S145" s="783">
        <v>118.5</v>
      </c>
      <c r="T145" s="783">
        <v>219.68</v>
      </c>
      <c r="U145" s="785">
        <v>44631.632557870398</v>
      </c>
    </row>
    <row r="146" spans="1:21">
      <c r="A146" s="782">
        <v>44559</v>
      </c>
      <c r="B146" s="783" t="s">
        <v>74</v>
      </c>
      <c r="C146" s="783" t="s">
        <v>4414</v>
      </c>
      <c r="D146" s="783" t="s">
        <v>4009</v>
      </c>
      <c r="E146" s="783" t="s">
        <v>4426</v>
      </c>
      <c r="F146" s="783" t="s">
        <v>4011</v>
      </c>
      <c r="G146" s="783" t="s">
        <v>4028</v>
      </c>
      <c r="H146" s="783" t="s">
        <v>4427</v>
      </c>
      <c r="I146" s="783" t="s">
        <v>4428</v>
      </c>
      <c r="J146" s="783">
        <v>20</v>
      </c>
      <c r="K146" s="783" t="s">
        <v>138</v>
      </c>
      <c r="L146" s="783" t="s">
        <v>4096</v>
      </c>
      <c r="M146" s="784">
        <v>14471.6</v>
      </c>
      <c r="N146" s="784">
        <v>11.96</v>
      </c>
      <c r="O146" s="784">
        <v>5.5</v>
      </c>
      <c r="P146" s="783">
        <v>220</v>
      </c>
      <c r="Q146" s="783">
        <v>947.89</v>
      </c>
      <c r="R146" s="783">
        <v>403.99</v>
      </c>
      <c r="S146" s="783">
        <v>192.24</v>
      </c>
      <c r="T146" s="783">
        <v>351.66</v>
      </c>
      <c r="U146" s="785">
        <v>44631.635625000003</v>
      </c>
    </row>
    <row r="147" spans="1:21">
      <c r="A147" s="782">
        <v>44565</v>
      </c>
      <c r="B147" s="783" t="s">
        <v>74</v>
      </c>
      <c r="C147" s="783" t="s">
        <v>4097</v>
      </c>
      <c r="D147" s="783" t="s">
        <v>4038</v>
      </c>
      <c r="E147" s="783" t="s">
        <v>4429</v>
      </c>
      <c r="F147" s="783" t="s">
        <v>4011</v>
      </c>
      <c r="G147" s="783" t="s">
        <v>4028</v>
      </c>
      <c r="H147" s="783" t="s">
        <v>4430</v>
      </c>
      <c r="I147" s="783" t="s">
        <v>4431</v>
      </c>
      <c r="J147" s="783">
        <v>20</v>
      </c>
      <c r="K147" s="783" t="s">
        <v>138</v>
      </c>
      <c r="L147" s="783" t="s">
        <v>4096</v>
      </c>
      <c r="M147" s="784">
        <v>27133.66</v>
      </c>
      <c r="N147" s="784">
        <v>25.79</v>
      </c>
      <c r="O147" s="784">
        <v>5.01</v>
      </c>
      <c r="P147" s="783">
        <v>210</v>
      </c>
      <c r="Q147" s="783">
        <v>1359.4</v>
      </c>
      <c r="R147" s="783">
        <v>632.59</v>
      </c>
      <c r="S147" s="783">
        <v>254.68</v>
      </c>
      <c r="T147" s="783">
        <v>472.13</v>
      </c>
      <c r="U147" s="785">
        <v>44631.635127314803</v>
      </c>
    </row>
    <row r="148" spans="1:21">
      <c r="A148" s="782">
        <v>44561</v>
      </c>
      <c r="B148" s="783" t="s">
        <v>74</v>
      </c>
      <c r="C148" s="783" t="s">
        <v>4097</v>
      </c>
      <c r="D148" s="783" t="s">
        <v>4038</v>
      </c>
      <c r="E148" s="783" t="s">
        <v>4432</v>
      </c>
      <c r="F148" s="783" t="s">
        <v>4011</v>
      </c>
      <c r="G148" s="783" t="s">
        <v>4028</v>
      </c>
      <c r="H148" s="783" t="s">
        <v>4433</v>
      </c>
      <c r="I148" s="783" t="s">
        <v>4434</v>
      </c>
      <c r="J148" s="783">
        <v>20</v>
      </c>
      <c r="K148" s="783" t="s">
        <v>138</v>
      </c>
      <c r="L148" s="783" t="s">
        <v>4096</v>
      </c>
      <c r="M148" s="784">
        <v>10692</v>
      </c>
      <c r="N148" s="784">
        <v>8.91</v>
      </c>
      <c r="O148" s="784">
        <v>6</v>
      </c>
      <c r="P148" s="783">
        <v>200</v>
      </c>
      <c r="Q148" s="783">
        <v>535.66999999999996</v>
      </c>
      <c r="R148" s="783">
        <v>261.73</v>
      </c>
      <c r="S148" s="783">
        <v>87.89</v>
      </c>
      <c r="T148" s="783">
        <v>186.04</v>
      </c>
      <c r="U148" s="785">
        <v>44631.632303240702</v>
      </c>
    </row>
    <row r="149" spans="1:21">
      <c r="A149" s="782">
        <v>44566</v>
      </c>
      <c r="B149" s="783" t="s">
        <v>74</v>
      </c>
      <c r="C149" s="783" t="s">
        <v>4037</v>
      </c>
      <c r="D149" s="783" t="s">
        <v>4038</v>
      </c>
      <c r="E149" s="783" t="s">
        <v>4197</v>
      </c>
      <c r="F149" s="783" t="s">
        <v>4011</v>
      </c>
      <c r="G149" s="783" t="str">
        <f>VLOOKUP(I149,pacage,2,FALSE)</f>
        <v>Renewal (25% in 2020)</v>
      </c>
      <c r="H149" s="783" t="s">
        <v>4198</v>
      </c>
      <c r="I149" s="783" t="s">
        <v>4199</v>
      </c>
      <c r="J149" s="783">
        <v>25</v>
      </c>
      <c r="K149" s="783" t="s">
        <v>138</v>
      </c>
      <c r="L149" s="783" t="s">
        <v>4096</v>
      </c>
      <c r="M149" s="784">
        <v>13748.4</v>
      </c>
      <c r="N149" s="784">
        <v>13.4</v>
      </c>
      <c r="O149" s="784">
        <v>5.4</v>
      </c>
      <c r="P149" s="783">
        <v>190</v>
      </c>
      <c r="Q149" s="783">
        <v>794.66</v>
      </c>
      <c r="R149" s="783">
        <v>495.72</v>
      </c>
      <c r="S149" s="783">
        <v>135.33000000000001</v>
      </c>
      <c r="T149" s="783">
        <v>163.61000000000001</v>
      </c>
      <c r="U149" s="785">
        <v>44631.632430555597</v>
      </c>
    </row>
    <row r="150" spans="1:21">
      <c r="A150" s="782">
        <v>44568</v>
      </c>
      <c r="B150" s="783" t="s">
        <v>74</v>
      </c>
      <c r="C150" s="783" t="s">
        <v>4097</v>
      </c>
      <c r="D150" s="783" t="s">
        <v>4038</v>
      </c>
      <c r="E150" s="783" t="s">
        <v>2608</v>
      </c>
      <c r="F150" s="783" t="s">
        <v>4011</v>
      </c>
      <c r="G150" s="783" t="s">
        <v>4028</v>
      </c>
      <c r="H150" s="783" t="s">
        <v>4435</v>
      </c>
      <c r="I150" s="783" t="s">
        <v>4436</v>
      </c>
      <c r="J150" s="783">
        <v>25</v>
      </c>
      <c r="K150" s="783" t="s">
        <v>138</v>
      </c>
      <c r="L150" s="783" t="s">
        <v>4096</v>
      </c>
      <c r="M150" s="784">
        <v>28374.5</v>
      </c>
      <c r="N150" s="784">
        <v>23.45</v>
      </c>
      <c r="O150" s="784">
        <v>5.5</v>
      </c>
      <c r="P150" s="783">
        <v>220</v>
      </c>
      <c r="Q150" s="783">
        <v>1115.1199999999999</v>
      </c>
      <c r="R150" s="783">
        <v>631.45000000000005</v>
      </c>
      <c r="S150" s="783">
        <v>296.39999999999998</v>
      </c>
      <c r="T150" s="783">
        <v>187.27</v>
      </c>
      <c r="U150" s="785">
        <v>44631.632592592599</v>
      </c>
    </row>
    <row r="151" spans="1:21">
      <c r="A151" s="782">
        <v>44531</v>
      </c>
      <c r="B151" s="783" t="s">
        <v>74</v>
      </c>
      <c r="C151" s="783" t="s">
        <v>4097</v>
      </c>
      <c r="D151" s="783" t="s">
        <v>4038</v>
      </c>
      <c r="E151" s="783" t="s">
        <v>4437</v>
      </c>
      <c r="F151" s="783" t="s">
        <v>4011</v>
      </c>
      <c r="G151" s="783" t="str">
        <f t="shared" ref="G151:G160" si="6">VLOOKUP(I151,pacage,2,FALSE)</f>
        <v>Renewal (20% in 2020)</v>
      </c>
      <c r="H151" s="783" t="s">
        <v>4438</v>
      </c>
      <c r="I151" s="783" t="s">
        <v>4439</v>
      </c>
      <c r="J151" s="783">
        <v>20</v>
      </c>
      <c r="K151" s="783" t="s">
        <v>138</v>
      </c>
      <c r="L151" s="783" t="s">
        <v>4096</v>
      </c>
      <c r="M151" s="784">
        <v>7742</v>
      </c>
      <c r="N151" s="784">
        <v>7</v>
      </c>
      <c r="O151" s="784">
        <v>5.53</v>
      </c>
      <c r="P151" s="783">
        <v>200</v>
      </c>
      <c r="Q151" s="783">
        <v>387.87</v>
      </c>
      <c r="R151" s="783">
        <v>189.52</v>
      </c>
      <c r="S151" s="783">
        <v>63.64</v>
      </c>
      <c r="T151" s="783">
        <v>134.71</v>
      </c>
      <c r="U151" s="785">
        <v>44631.636215277802</v>
      </c>
    </row>
    <row r="152" spans="1:21">
      <c r="A152" s="782">
        <v>44532</v>
      </c>
      <c r="B152" s="783" t="s">
        <v>74</v>
      </c>
      <c r="C152" s="783" t="s">
        <v>4037</v>
      </c>
      <c r="D152" s="783" t="s">
        <v>4038</v>
      </c>
      <c r="E152" s="783" t="s">
        <v>4440</v>
      </c>
      <c r="F152" s="783" t="s">
        <v>4011</v>
      </c>
      <c r="G152" s="783" t="str">
        <f t="shared" si="6"/>
        <v>Renewal (15% in 2020)</v>
      </c>
      <c r="H152" s="783" t="s">
        <v>4441</v>
      </c>
      <c r="I152" s="783" t="s">
        <v>4442</v>
      </c>
      <c r="J152" s="783">
        <v>20</v>
      </c>
      <c r="K152" s="783" t="s">
        <v>138</v>
      </c>
      <c r="L152" s="783" t="s">
        <v>4096</v>
      </c>
      <c r="M152" s="784">
        <v>14327.5</v>
      </c>
      <c r="N152" s="784">
        <v>13.56</v>
      </c>
      <c r="O152" s="784">
        <v>5.87</v>
      </c>
      <c r="P152" s="783">
        <v>180</v>
      </c>
      <c r="Q152" s="783">
        <v>959.94</v>
      </c>
      <c r="R152" s="783">
        <v>545.29999999999995</v>
      </c>
      <c r="S152" s="783">
        <v>112.33</v>
      </c>
      <c r="T152" s="783">
        <v>302.31</v>
      </c>
      <c r="U152" s="785">
        <v>44631.632881944402</v>
      </c>
    </row>
    <row r="153" spans="1:21">
      <c r="A153" s="782">
        <v>44528</v>
      </c>
      <c r="B153" s="783" t="s">
        <v>74</v>
      </c>
      <c r="C153" s="783" t="s">
        <v>4097</v>
      </c>
      <c r="D153" s="783" t="s">
        <v>4038</v>
      </c>
      <c r="E153" s="783" t="s">
        <v>4443</v>
      </c>
      <c r="F153" s="783" t="s">
        <v>4011</v>
      </c>
      <c r="G153" s="783" t="str">
        <f t="shared" si="6"/>
        <v>Renewal (15% in 2020)</v>
      </c>
      <c r="H153" s="783" t="s">
        <v>4444</v>
      </c>
      <c r="I153" s="783" t="s">
        <v>4445</v>
      </c>
      <c r="J153" s="783">
        <v>20</v>
      </c>
      <c r="K153" s="783" t="s">
        <v>138</v>
      </c>
      <c r="L153" s="783" t="s">
        <v>4096</v>
      </c>
      <c r="M153" s="784">
        <v>51888.5</v>
      </c>
      <c r="N153" s="784">
        <v>39.25</v>
      </c>
      <c r="O153" s="784">
        <v>6.61</v>
      </c>
      <c r="P153" s="783">
        <v>200</v>
      </c>
      <c r="Q153" s="783">
        <v>2599.61</v>
      </c>
      <c r="R153" s="783">
        <v>1270.2</v>
      </c>
      <c r="S153" s="783">
        <v>426.55</v>
      </c>
      <c r="T153" s="783">
        <v>902.86</v>
      </c>
      <c r="U153" s="785">
        <v>44631.6329513889</v>
      </c>
    </row>
    <row r="154" spans="1:21">
      <c r="A154" s="782">
        <v>44540</v>
      </c>
      <c r="B154" s="783" t="s">
        <v>74</v>
      </c>
      <c r="C154" s="783" t="s">
        <v>4097</v>
      </c>
      <c r="D154" s="783" t="s">
        <v>4038</v>
      </c>
      <c r="E154" s="783" t="s">
        <v>4446</v>
      </c>
      <c r="F154" s="783" t="s">
        <v>4011</v>
      </c>
      <c r="G154" s="783" t="str">
        <f t="shared" si="6"/>
        <v>New Contract</v>
      </c>
      <c r="H154" s="783" t="s">
        <v>4447</v>
      </c>
      <c r="I154" s="783" t="s">
        <v>4448</v>
      </c>
      <c r="J154" s="783">
        <v>25</v>
      </c>
      <c r="K154" s="783" t="s">
        <v>138</v>
      </c>
      <c r="L154" s="783" t="s">
        <v>4096</v>
      </c>
      <c r="M154" s="784">
        <v>27866.92</v>
      </c>
      <c r="N154" s="784">
        <v>22.34</v>
      </c>
      <c r="O154" s="784">
        <v>5.67</v>
      </c>
      <c r="P154" s="783">
        <v>220</v>
      </c>
      <c r="Q154" s="783">
        <v>1095.17</v>
      </c>
      <c r="R154" s="783">
        <v>620.15</v>
      </c>
      <c r="S154" s="783">
        <v>291.10000000000002</v>
      </c>
      <c r="T154" s="783">
        <v>183.92</v>
      </c>
      <c r="U154" s="785">
        <v>44631.633113425902</v>
      </c>
    </row>
    <row r="155" spans="1:21">
      <c r="A155" s="782">
        <v>44524</v>
      </c>
      <c r="B155" s="783" t="s">
        <v>3078</v>
      </c>
      <c r="C155" s="783" t="s">
        <v>4414</v>
      </c>
      <c r="D155" s="783" t="s">
        <v>4009</v>
      </c>
      <c r="E155" s="783" t="s">
        <v>4449</v>
      </c>
      <c r="F155" s="783" t="s">
        <v>4011</v>
      </c>
      <c r="G155" s="783" t="str">
        <f t="shared" si="6"/>
        <v>Renewal (20% in 2020)</v>
      </c>
      <c r="H155" s="783" t="s">
        <v>4450</v>
      </c>
      <c r="I155" s="783" t="s">
        <v>4451</v>
      </c>
      <c r="J155" s="783">
        <v>30</v>
      </c>
      <c r="K155" s="783" t="s">
        <v>138</v>
      </c>
      <c r="L155" s="783" t="s">
        <v>4096</v>
      </c>
      <c r="M155" s="784">
        <v>58968</v>
      </c>
      <c r="N155" s="784">
        <v>27</v>
      </c>
      <c r="O155" s="784">
        <v>8.4</v>
      </c>
      <c r="P155" s="783">
        <v>260</v>
      </c>
      <c r="Q155" s="783">
        <v>2730.22</v>
      </c>
      <c r="R155" s="783">
        <v>1392.89</v>
      </c>
      <c r="S155" s="783">
        <v>700.47</v>
      </c>
      <c r="T155" s="783">
        <v>636.85</v>
      </c>
      <c r="U155" s="785">
        <v>44631.632835648103</v>
      </c>
    </row>
    <row r="156" spans="1:21">
      <c r="A156" s="782">
        <v>44558</v>
      </c>
      <c r="B156" s="783" t="s">
        <v>74</v>
      </c>
      <c r="C156" s="783" t="s">
        <v>4037</v>
      </c>
      <c r="D156" s="783" t="s">
        <v>4038</v>
      </c>
      <c r="E156" s="783" t="s">
        <v>4452</v>
      </c>
      <c r="F156" s="783" t="s">
        <v>4011</v>
      </c>
      <c r="G156" s="783" t="str">
        <f t="shared" si="6"/>
        <v>Renewal (20% in 2020)</v>
      </c>
      <c r="H156" s="783" t="s">
        <v>4453</v>
      </c>
      <c r="I156" s="783" t="s">
        <v>4454</v>
      </c>
      <c r="J156" s="783">
        <v>25</v>
      </c>
      <c r="K156" s="783" t="s">
        <v>138</v>
      </c>
      <c r="L156" s="783" t="s">
        <v>4096</v>
      </c>
      <c r="M156" s="784">
        <v>29421.39</v>
      </c>
      <c r="N156" s="784">
        <v>23.38</v>
      </c>
      <c r="O156" s="784">
        <v>5.72</v>
      </c>
      <c r="P156" s="783">
        <v>220</v>
      </c>
      <c r="Q156" s="783">
        <v>1700.56</v>
      </c>
      <c r="R156" s="783">
        <v>916.18</v>
      </c>
      <c r="S156" s="783">
        <v>434.26</v>
      </c>
      <c r="T156" s="783">
        <v>350.11</v>
      </c>
      <c r="U156" s="785">
        <v>44631.637071759302</v>
      </c>
    </row>
    <row r="157" spans="1:21">
      <c r="A157" s="782">
        <v>44561</v>
      </c>
      <c r="B157" s="783" t="s">
        <v>74</v>
      </c>
      <c r="C157" s="783" t="s">
        <v>4037</v>
      </c>
      <c r="D157" s="783" t="s">
        <v>4038</v>
      </c>
      <c r="E157" s="783" t="s">
        <v>4455</v>
      </c>
      <c r="F157" s="783" t="s">
        <v>4011</v>
      </c>
      <c r="G157" s="783" t="str">
        <f t="shared" si="6"/>
        <v>Renewal (20% in 2020)</v>
      </c>
      <c r="H157" s="783" t="s">
        <v>4456</v>
      </c>
      <c r="I157" s="783" t="s">
        <v>4457</v>
      </c>
      <c r="J157" s="783">
        <v>25</v>
      </c>
      <c r="K157" s="783" t="s">
        <v>138</v>
      </c>
      <c r="L157" s="783" t="s">
        <v>4096</v>
      </c>
      <c r="M157" s="784">
        <v>21450.240000000002</v>
      </c>
      <c r="N157" s="784">
        <v>17.100000000000001</v>
      </c>
      <c r="O157" s="784">
        <v>5.6</v>
      </c>
      <c r="P157" s="783">
        <v>224</v>
      </c>
      <c r="Q157" s="783">
        <v>1239.82</v>
      </c>
      <c r="R157" s="783">
        <v>656.03</v>
      </c>
      <c r="S157" s="783">
        <v>328.53</v>
      </c>
      <c r="T157" s="783">
        <v>255.26</v>
      </c>
      <c r="U157" s="785">
        <v>44631.636990740699</v>
      </c>
    </row>
    <row r="158" spans="1:21">
      <c r="A158" s="782">
        <v>44561</v>
      </c>
      <c r="B158" s="783" t="s">
        <v>74</v>
      </c>
      <c r="C158" s="783" t="s">
        <v>4097</v>
      </c>
      <c r="D158" s="783" t="s">
        <v>4038</v>
      </c>
      <c r="E158" s="783" t="s">
        <v>4455</v>
      </c>
      <c r="F158" s="783" t="s">
        <v>4011</v>
      </c>
      <c r="G158" s="783" t="str">
        <f t="shared" si="6"/>
        <v>Renewal (20% in 2020)</v>
      </c>
      <c r="H158" s="783" t="s">
        <v>4456</v>
      </c>
      <c r="I158" s="783" t="s">
        <v>4457</v>
      </c>
      <c r="J158" s="783">
        <v>25</v>
      </c>
      <c r="K158" s="783" t="s">
        <v>138</v>
      </c>
      <c r="L158" s="783" t="s">
        <v>4096</v>
      </c>
      <c r="M158" s="784">
        <v>5268.48</v>
      </c>
      <c r="N158" s="784">
        <v>4.2</v>
      </c>
      <c r="O158" s="784">
        <v>5.6</v>
      </c>
      <c r="P158" s="783">
        <v>224</v>
      </c>
      <c r="Q158" s="783">
        <v>207.05</v>
      </c>
      <c r="R158" s="783">
        <v>115.15</v>
      </c>
      <c r="S158" s="783">
        <v>57.13</v>
      </c>
      <c r="T158" s="783">
        <v>34.770000000000003</v>
      </c>
      <c r="U158" s="785">
        <v>44631.636990740699</v>
      </c>
    </row>
    <row r="159" spans="1:21">
      <c r="A159" s="782">
        <v>44551</v>
      </c>
      <c r="B159" s="783" t="s">
        <v>74</v>
      </c>
      <c r="C159" s="783" t="s">
        <v>4037</v>
      </c>
      <c r="D159" s="783" t="s">
        <v>4038</v>
      </c>
      <c r="E159" s="783" t="s">
        <v>4214</v>
      </c>
      <c r="F159" s="783" t="s">
        <v>4011</v>
      </c>
      <c r="G159" s="783" t="str">
        <f t="shared" si="6"/>
        <v>New contract</v>
      </c>
      <c r="H159" s="783" t="s">
        <v>4215</v>
      </c>
      <c r="I159" s="783" t="s">
        <v>4216</v>
      </c>
      <c r="J159" s="783">
        <v>25</v>
      </c>
      <c r="K159" s="783" t="s">
        <v>138</v>
      </c>
      <c r="L159" s="783" t="s">
        <v>4096</v>
      </c>
      <c r="M159" s="784">
        <v>18375.66</v>
      </c>
      <c r="N159" s="784">
        <v>17.91</v>
      </c>
      <c r="O159" s="784">
        <v>5.13</v>
      </c>
      <c r="P159" s="783">
        <v>200</v>
      </c>
      <c r="Q159" s="783">
        <v>1062.1099999999999</v>
      </c>
      <c r="R159" s="783">
        <v>629.44000000000005</v>
      </c>
      <c r="S159" s="783">
        <v>214</v>
      </c>
      <c r="T159" s="783">
        <v>218.67</v>
      </c>
      <c r="U159" s="785">
        <v>44631.637083333299</v>
      </c>
    </row>
    <row r="160" spans="1:21">
      <c r="A160" s="782">
        <v>44553</v>
      </c>
      <c r="B160" s="783" t="s">
        <v>74</v>
      </c>
      <c r="C160" s="783" t="s">
        <v>4037</v>
      </c>
      <c r="D160" s="783" t="s">
        <v>4038</v>
      </c>
      <c r="E160" s="783" t="s">
        <v>4458</v>
      </c>
      <c r="F160" s="783" t="s">
        <v>4011</v>
      </c>
      <c r="G160" s="783" t="str">
        <f t="shared" si="6"/>
        <v>Renewal (20% in 2020)</v>
      </c>
      <c r="H160" s="783" t="s">
        <v>4459</v>
      </c>
      <c r="I160" s="783" t="s">
        <v>4460</v>
      </c>
      <c r="J160" s="783">
        <v>25</v>
      </c>
      <c r="K160" s="783" t="s">
        <v>138</v>
      </c>
      <c r="L160" s="783" t="s">
        <v>4096</v>
      </c>
      <c r="M160" s="784">
        <v>29607.9</v>
      </c>
      <c r="N160" s="784">
        <v>23</v>
      </c>
      <c r="O160" s="784">
        <v>6.13</v>
      </c>
      <c r="P160" s="783">
        <v>210</v>
      </c>
      <c r="Q160" s="783">
        <v>1711.34</v>
      </c>
      <c r="R160" s="783">
        <v>965.89</v>
      </c>
      <c r="S160" s="783">
        <v>393.11</v>
      </c>
      <c r="T160" s="783">
        <v>352.33</v>
      </c>
      <c r="U160" s="785">
        <v>44631.637013888903</v>
      </c>
    </row>
    <row r="161" spans="1:21">
      <c r="A161" s="782">
        <v>44559</v>
      </c>
      <c r="B161" s="783" t="s">
        <v>74</v>
      </c>
      <c r="C161" s="783" t="s">
        <v>4097</v>
      </c>
      <c r="D161" s="783" t="s">
        <v>4038</v>
      </c>
      <c r="E161" s="783" t="s">
        <v>4461</v>
      </c>
      <c r="F161" s="783" t="s">
        <v>4011</v>
      </c>
      <c r="G161" s="783" t="s">
        <v>4028</v>
      </c>
      <c r="H161" s="783" t="s">
        <v>4462</v>
      </c>
      <c r="I161" s="783" t="s">
        <v>4463</v>
      </c>
      <c r="J161" s="783">
        <v>20</v>
      </c>
      <c r="K161" s="783" t="s">
        <v>138</v>
      </c>
      <c r="L161" s="783" t="s">
        <v>4096</v>
      </c>
      <c r="M161" s="784">
        <v>13749.12</v>
      </c>
      <c r="N161" s="784">
        <v>13.02</v>
      </c>
      <c r="O161" s="784">
        <v>5.28</v>
      </c>
      <c r="P161" s="783">
        <v>200</v>
      </c>
      <c r="Q161" s="783">
        <v>688.83</v>
      </c>
      <c r="R161" s="783">
        <v>336.57</v>
      </c>
      <c r="S161" s="783">
        <v>113.02</v>
      </c>
      <c r="T161" s="783">
        <v>239.23</v>
      </c>
      <c r="U161" s="785">
        <v>44631.637037036999</v>
      </c>
    </row>
    <row r="162" spans="1:21">
      <c r="A162" s="782">
        <v>44480</v>
      </c>
      <c r="B162" s="783" t="s">
        <v>74</v>
      </c>
      <c r="C162" s="783" t="s">
        <v>4097</v>
      </c>
      <c r="D162" s="783" t="s">
        <v>4038</v>
      </c>
      <c r="E162" s="783" t="s">
        <v>4464</v>
      </c>
      <c r="F162" s="783" t="s">
        <v>4011</v>
      </c>
      <c r="G162" s="783" t="str">
        <f t="shared" ref="G162:G183" si="7">VLOOKUP(I162,pacage,2,FALSE)</f>
        <v>Renewal (15% in 2020)</v>
      </c>
      <c r="H162" s="783" t="s">
        <v>4465</v>
      </c>
      <c r="I162" s="783" t="s">
        <v>4466</v>
      </c>
      <c r="J162" s="783">
        <v>15</v>
      </c>
      <c r="K162" s="783" t="s">
        <v>138</v>
      </c>
      <c r="L162" s="783" t="s">
        <v>4096</v>
      </c>
      <c r="M162" s="784">
        <v>15948.14</v>
      </c>
      <c r="N162" s="784">
        <v>13.92</v>
      </c>
      <c r="O162" s="784">
        <v>6.03</v>
      </c>
      <c r="P162" s="783">
        <v>190</v>
      </c>
      <c r="Q162" s="783">
        <v>1055.77</v>
      </c>
      <c r="R162" s="783">
        <v>410.95</v>
      </c>
      <c r="S162" s="783">
        <v>110.55</v>
      </c>
      <c r="T162" s="783">
        <v>534.26</v>
      </c>
      <c r="U162" s="785">
        <v>44631.637326388904</v>
      </c>
    </row>
    <row r="163" spans="1:21">
      <c r="A163" s="782">
        <v>44486</v>
      </c>
      <c r="B163" s="783" t="s">
        <v>30</v>
      </c>
      <c r="C163" s="783" t="s">
        <v>4239</v>
      </c>
      <c r="D163" s="783" t="s">
        <v>4021</v>
      </c>
      <c r="E163" s="783" t="s">
        <v>1216</v>
      </c>
      <c r="F163" s="783" t="s">
        <v>4011</v>
      </c>
      <c r="G163" s="783" t="str">
        <f t="shared" si="7"/>
        <v>Renewal (15% in 2020)</v>
      </c>
      <c r="H163" s="783" t="s">
        <v>4467</v>
      </c>
      <c r="I163" s="783" t="s">
        <v>4468</v>
      </c>
      <c r="J163" s="783">
        <v>15</v>
      </c>
      <c r="K163" s="783" t="s">
        <v>138</v>
      </c>
      <c r="L163" s="783" t="s">
        <v>4096</v>
      </c>
      <c r="M163" s="784">
        <v>14996</v>
      </c>
      <c r="N163" s="784">
        <v>13.04</v>
      </c>
      <c r="O163" s="784">
        <v>5.75</v>
      </c>
      <c r="P163" s="783">
        <v>200</v>
      </c>
      <c r="Q163" s="783">
        <v>877.27</v>
      </c>
      <c r="R163" s="783">
        <v>321.69</v>
      </c>
      <c r="S163" s="783">
        <v>126.69</v>
      </c>
      <c r="T163" s="783">
        <v>428.89</v>
      </c>
      <c r="U163" s="785">
        <v>44631.637407407397</v>
      </c>
    </row>
    <row r="164" spans="1:21">
      <c r="A164" s="782">
        <v>44486</v>
      </c>
      <c r="B164" s="783" t="s">
        <v>74</v>
      </c>
      <c r="C164" s="783" t="s">
        <v>4097</v>
      </c>
      <c r="D164" s="783" t="s">
        <v>4038</v>
      </c>
      <c r="E164" s="783" t="s">
        <v>4469</v>
      </c>
      <c r="F164" s="783" t="s">
        <v>4011</v>
      </c>
      <c r="G164" s="783" t="str">
        <f t="shared" si="7"/>
        <v>Renewal (15% in 2020)</v>
      </c>
      <c r="H164" s="783" t="s">
        <v>4470</v>
      </c>
      <c r="I164" s="783" t="s">
        <v>4471</v>
      </c>
      <c r="J164" s="783">
        <v>15</v>
      </c>
      <c r="K164" s="783" t="s">
        <v>138</v>
      </c>
      <c r="L164" s="783" t="s">
        <v>4096</v>
      </c>
      <c r="M164" s="784">
        <v>58437.66</v>
      </c>
      <c r="N164" s="784">
        <v>53.81</v>
      </c>
      <c r="O164" s="784">
        <v>5.43</v>
      </c>
      <c r="P164" s="783">
        <v>200</v>
      </c>
      <c r="Q164" s="783">
        <v>3868.57</v>
      </c>
      <c r="R164" s="783">
        <v>1430.52</v>
      </c>
      <c r="S164" s="783">
        <v>480.39</v>
      </c>
      <c r="T164" s="783">
        <v>1957.66</v>
      </c>
      <c r="U164" s="785">
        <v>44631.637754629599</v>
      </c>
    </row>
    <row r="165" spans="1:21">
      <c r="A165" s="782">
        <v>44516</v>
      </c>
      <c r="B165" s="783" t="s">
        <v>74</v>
      </c>
      <c r="C165" s="783" t="s">
        <v>4097</v>
      </c>
      <c r="D165" s="783" t="s">
        <v>4038</v>
      </c>
      <c r="E165" s="783" t="s">
        <v>1659</v>
      </c>
      <c r="F165" s="783" t="s">
        <v>4066</v>
      </c>
      <c r="G165" s="783" t="str">
        <f t="shared" si="7"/>
        <v>New Contract</v>
      </c>
      <c r="H165" s="783" t="s">
        <v>4472</v>
      </c>
      <c r="I165" s="783" t="s">
        <v>4473</v>
      </c>
      <c r="J165" s="783">
        <v>10</v>
      </c>
      <c r="K165" s="783" t="s">
        <v>138</v>
      </c>
      <c r="L165" s="783" t="s">
        <v>4096</v>
      </c>
      <c r="M165" s="784">
        <v>32954.879999999997</v>
      </c>
      <c r="N165" s="784">
        <v>24.52</v>
      </c>
      <c r="O165" s="784">
        <v>6</v>
      </c>
      <c r="P165" s="783">
        <v>224</v>
      </c>
      <c r="Q165" s="783">
        <v>517.39</v>
      </c>
      <c r="R165" s="783">
        <v>0</v>
      </c>
      <c r="S165" s="783">
        <v>0</v>
      </c>
      <c r="T165" s="783">
        <v>517.39</v>
      </c>
      <c r="U165" s="785">
        <v>44631.637511574103</v>
      </c>
    </row>
    <row r="166" spans="1:21">
      <c r="A166" s="782">
        <v>44528</v>
      </c>
      <c r="B166" s="783" t="s">
        <v>74</v>
      </c>
      <c r="C166" s="783" t="s">
        <v>4097</v>
      </c>
      <c r="D166" s="783" t="s">
        <v>4038</v>
      </c>
      <c r="E166" s="783" t="s">
        <v>2048</v>
      </c>
      <c r="F166" s="783" t="s">
        <v>4011</v>
      </c>
      <c r="G166" s="783" t="str">
        <f t="shared" si="7"/>
        <v>Renewal (15% in 2020)</v>
      </c>
      <c r="H166" s="783" t="s">
        <v>4474</v>
      </c>
      <c r="I166" s="783" t="s">
        <v>4475</v>
      </c>
      <c r="J166" s="783">
        <v>20</v>
      </c>
      <c r="K166" s="783" t="s">
        <v>138</v>
      </c>
      <c r="L166" s="783" t="s">
        <v>4096</v>
      </c>
      <c r="M166" s="784">
        <v>80630.820000000007</v>
      </c>
      <c r="N166" s="784">
        <v>61.01</v>
      </c>
      <c r="O166" s="784">
        <v>5.9</v>
      </c>
      <c r="P166" s="783">
        <v>224</v>
      </c>
      <c r="Q166" s="783">
        <v>4039.6</v>
      </c>
      <c r="R166" s="783">
        <v>1762.32</v>
      </c>
      <c r="S166" s="783">
        <v>874.3</v>
      </c>
      <c r="T166" s="783">
        <v>1402.98</v>
      </c>
      <c r="U166" s="785">
        <v>44631.637395833299</v>
      </c>
    </row>
    <row r="167" spans="1:21">
      <c r="A167" s="782">
        <v>44525</v>
      </c>
      <c r="B167" s="783" t="s">
        <v>74</v>
      </c>
      <c r="C167" s="783" t="s">
        <v>4097</v>
      </c>
      <c r="D167" s="783" t="s">
        <v>4038</v>
      </c>
      <c r="E167" s="783" t="s">
        <v>4476</v>
      </c>
      <c r="F167" s="783" t="s">
        <v>4011</v>
      </c>
      <c r="G167" s="783" t="str">
        <f t="shared" si="7"/>
        <v>New Contract</v>
      </c>
      <c r="H167" s="783" t="s">
        <v>4477</v>
      </c>
      <c r="I167" s="783" t="s">
        <v>4478</v>
      </c>
      <c r="J167" s="783">
        <v>20</v>
      </c>
      <c r="K167" s="783" t="s">
        <v>138</v>
      </c>
      <c r="L167" s="783" t="s">
        <v>4096</v>
      </c>
      <c r="M167" s="784">
        <v>10688.38</v>
      </c>
      <c r="N167" s="784">
        <v>9.77</v>
      </c>
      <c r="O167" s="784">
        <v>5.47</v>
      </c>
      <c r="P167" s="783">
        <v>200</v>
      </c>
      <c r="Q167" s="783">
        <v>535.49</v>
      </c>
      <c r="R167" s="783">
        <v>261.64999999999998</v>
      </c>
      <c r="S167" s="783">
        <v>87.86</v>
      </c>
      <c r="T167" s="783">
        <v>185.98</v>
      </c>
      <c r="U167" s="785">
        <v>44631.637777777803</v>
      </c>
    </row>
    <row r="168" spans="1:21">
      <c r="A168" s="782">
        <v>44501</v>
      </c>
      <c r="B168" s="783" t="s">
        <v>74</v>
      </c>
      <c r="C168" s="783" t="s">
        <v>4097</v>
      </c>
      <c r="D168" s="783" t="s">
        <v>4038</v>
      </c>
      <c r="E168" s="783" t="s">
        <v>4479</v>
      </c>
      <c r="F168" s="783" t="s">
        <v>4066</v>
      </c>
      <c r="G168" s="783" t="str">
        <f t="shared" si="7"/>
        <v>New Contract</v>
      </c>
      <c r="H168" s="783" t="s">
        <v>4480</v>
      </c>
      <c r="I168" s="783" t="s">
        <v>4481</v>
      </c>
      <c r="J168" s="783">
        <v>5</v>
      </c>
      <c r="K168" s="783" t="s">
        <v>138</v>
      </c>
      <c r="L168" s="783" t="s">
        <v>4096</v>
      </c>
      <c r="M168" s="784">
        <v>17640</v>
      </c>
      <c r="N168" s="784">
        <v>12</v>
      </c>
      <c r="O168" s="784">
        <v>7</v>
      </c>
      <c r="P168" s="783">
        <v>210</v>
      </c>
      <c r="Q168" s="783">
        <v>345.74</v>
      </c>
      <c r="R168" s="783">
        <v>0</v>
      </c>
      <c r="S168" s="783">
        <v>0</v>
      </c>
      <c r="T168" s="783">
        <v>345.74</v>
      </c>
      <c r="U168" s="785">
        <v>44631.638263888897</v>
      </c>
    </row>
    <row r="169" spans="1:21">
      <c r="A169" s="782">
        <v>44508</v>
      </c>
      <c r="B169" s="783" t="s">
        <v>74</v>
      </c>
      <c r="C169" s="783" t="s">
        <v>4097</v>
      </c>
      <c r="D169" s="783" t="s">
        <v>4038</v>
      </c>
      <c r="E169" s="783" t="s">
        <v>4482</v>
      </c>
      <c r="F169" s="783" t="s">
        <v>4011</v>
      </c>
      <c r="G169" s="783" t="str">
        <f t="shared" si="7"/>
        <v>Renewal (15% in 2020)</v>
      </c>
      <c r="H169" s="783" t="s">
        <v>4483</v>
      </c>
      <c r="I169" s="783" t="s">
        <v>4484</v>
      </c>
      <c r="J169" s="783">
        <v>20</v>
      </c>
      <c r="K169" s="783" t="s">
        <v>138</v>
      </c>
      <c r="L169" s="783" t="s">
        <v>4096</v>
      </c>
      <c r="M169" s="784">
        <v>29640</v>
      </c>
      <c r="N169" s="784">
        <v>26</v>
      </c>
      <c r="O169" s="784">
        <v>6</v>
      </c>
      <c r="P169" s="783">
        <v>190</v>
      </c>
      <c r="Q169" s="783">
        <v>1484.96</v>
      </c>
      <c r="R169" s="783">
        <v>763.76</v>
      </c>
      <c r="S169" s="783">
        <v>205.47</v>
      </c>
      <c r="T169" s="783">
        <v>515.74</v>
      </c>
      <c r="U169" s="785">
        <v>44631.637986111098</v>
      </c>
    </row>
    <row r="170" spans="1:21">
      <c r="A170" s="782">
        <v>44488</v>
      </c>
      <c r="B170" s="783" t="s">
        <v>74</v>
      </c>
      <c r="C170" s="783" t="s">
        <v>4097</v>
      </c>
      <c r="D170" s="783" t="s">
        <v>4038</v>
      </c>
      <c r="E170" s="783" t="s">
        <v>4485</v>
      </c>
      <c r="F170" s="783" t="s">
        <v>4011</v>
      </c>
      <c r="G170" s="783" t="str">
        <f t="shared" si="7"/>
        <v>Renewal (15% in 2020)</v>
      </c>
      <c r="H170" s="783" t="s">
        <v>4486</v>
      </c>
      <c r="I170" s="783" t="s">
        <v>4487</v>
      </c>
      <c r="J170" s="783">
        <v>15</v>
      </c>
      <c r="K170" s="783" t="s">
        <v>138</v>
      </c>
      <c r="L170" s="783" t="s">
        <v>4096</v>
      </c>
      <c r="M170" s="784">
        <v>8008</v>
      </c>
      <c r="N170" s="784">
        <v>7</v>
      </c>
      <c r="O170" s="784">
        <v>5.72</v>
      </c>
      <c r="P170" s="783">
        <v>200</v>
      </c>
      <c r="Q170" s="783">
        <v>530.13</v>
      </c>
      <c r="R170" s="783">
        <v>196.03</v>
      </c>
      <c r="S170" s="783">
        <v>65.83</v>
      </c>
      <c r="T170" s="783">
        <v>268.27</v>
      </c>
      <c r="U170" s="785">
        <v>44631.638113425899</v>
      </c>
    </row>
    <row r="171" spans="1:21">
      <c r="A171" s="782">
        <v>44507</v>
      </c>
      <c r="B171" s="783" t="s">
        <v>74</v>
      </c>
      <c r="C171" s="783" t="s">
        <v>4097</v>
      </c>
      <c r="D171" s="783" t="s">
        <v>4038</v>
      </c>
      <c r="E171" s="783" t="s">
        <v>4488</v>
      </c>
      <c r="F171" s="783" t="s">
        <v>4066</v>
      </c>
      <c r="G171" s="783" t="str">
        <f t="shared" si="7"/>
        <v>New Contract</v>
      </c>
      <c r="H171" s="783" t="s">
        <v>4489</v>
      </c>
      <c r="I171" s="783" t="s">
        <v>4490</v>
      </c>
      <c r="J171" s="783">
        <v>5</v>
      </c>
      <c r="K171" s="783" t="s">
        <v>138</v>
      </c>
      <c r="L171" s="783" t="s">
        <v>4096</v>
      </c>
      <c r="M171" s="784">
        <v>14814.8</v>
      </c>
      <c r="N171" s="784">
        <v>9.6199999999999992</v>
      </c>
      <c r="O171" s="784">
        <v>7</v>
      </c>
      <c r="P171" s="783">
        <v>220</v>
      </c>
      <c r="Q171" s="783">
        <v>290.37</v>
      </c>
      <c r="R171" s="783">
        <v>0</v>
      </c>
      <c r="S171" s="783">
        <v>0</v>
      </c>
      <c r="T171" s="783">
        <v>290.37</v>
      </c>
      <c r="U171" s="785">
        <v>44631.638124999998</v>
      </c>
    </row>
    <row r="172" spans="1:21">
      <c r="A172" s="782">
        <v>44693</v>
      </c>
      <c r="B172" s="783" t="s">
        <v>397</v>
      </c>
      <c r="C172" s="783" t="s">
        <v>4491</v>
      </c>
      <c r="D172" s="783" t="s">
        <v>4193</v>
      </c>
      <c r="E172" s="783" t="s">
        <v>4492</v>
      </c>
      <c r="F172" s="783" t="s">
        <v>4011</v>
      </c>
      <c r="G172" s="783" t="str">
        <f t="shared" si="7"/>
        <v>Renewal (20% in 2020)</v>
      </c>
      <c r="H172" s="783" t="s">
        <v>4493</v>
      </c>
      <c r="I172" s="783" t="s">
        <v>4494</v>
      </c>
      <c r="J172" s="783">
        <v>20</v>
      </c>
      <c r="K172" s="783" t="s">
        <v>1536</v>
      </c>
      <c r="L172" s="783" t="s">
        <v>4014</v>
      </c>
      <c r="M172" s="784">
        <v>15209.68</v>
      </c>
      <c r="N172" s="784">
        <v>8.83</v>
      </c>
      <c r="O172" s="784">
        <v>5.3</v>
      </c>
      <c r="P172" s="783">
        <v>325</v>
      </c>
      <c r="Q172" s="783">
        <v>923.23</v>
      </c>
      <c r="R172" s="783">
        <v>431.64</v>
      </c>
      <c r="S172" s="783">
        <v>208.69</v>
      </c>
      <c r="T172" s="783">
        <v>282.89999999999998</v>
      </c>
      <c r="U172" s="785">
        <v>44693.475787037001</v>
      </c>
    </row>
    <row r="173" spans="1:21">
      <c r="A173" s="782">
        <v>44449</v>
      </c>
      <c r="B173" s="783" t="s">
        <v>41</v>
      </c>
      <c r="C173" s="783" t="s">
        <v>4139</v>
      </c>
      <c r="D173" s="783" t="s">
        <v>4009</v>
      </c>
      <c r="E173" s="783" t="s">
        <v>4495</v>
      </c>
      <c r="F173" s="783" t="s">
        <v>4011</v>
      </c>
      <c r="G173" s="783" t="str">
        <f t="shared" si="7"/>
        <v>Renewal (15% in 2020)</v>
      </c>
      <c r="H173" s="783" t="s">
        <v>4496</v>
      </c>
      <c r="I173" s="783" t="s">
        <v>4497</v>
      </c>
      <c r="J173" s="783">
        <v>15</v>
      </c>
      <c r="K173" s="783" t="s">
        <v>140</v>
      </c>
      <c r="L173" s="783" t="s">
        <v>4096</v>
      </c>
      <c r="M173" s="784">
        <v>13084.25</v>
      </c>
      <c r="N173" s="784">
        <v>9.9499999999999993</v>
      </c>
      <c r="O173" s="784">
        <v>5.26</v>
      </c>
      <c r="P173" s="783">
        <v>250</v>
      </c>
      <c r="Q173" s="783">
        <v>1295.3399999999999</v>
      </c>
      <c r="R173" s="783">
        <v>590.1</v>
      </c>
      <c r="S173" s="783">
        <v>88.97</v>
      </c>
      <c r="T173" s="783">
        <v>616.27</v>
      </c>
      <c r="U173" s="785">
        <v>44631.502824074101</v>
      </c>
    </row>
    <row r="174" spans="1:21">
      <c r="A174" s="782">
        <v>44418</v>
      </c>
      <c r="B174" s="783" t="s">
        <v>41</v>
      </c>
      <c r="C174" s="783" t="s">
        <v>4082</v>
      </c>
      <c r="D174" s="783" t="s">
        <v>4009</v>
      </c>
      <c r="E174" s="783" t="s">
        <v>509</v>
      </c>
      <c r="F174" s="783" t="s">
        <v>4011</v>
      </c>
      <c r="G174" s="783" t="str">
        <f t="shared" si="7"/>
        <v>Renewal (15% in 2020)</v>
      </c>
      <c r="H174" s="783" t="s">
        <v>4498</v>
      </c>
      <c r="I174" s="783" t="s">
        <v>4499</v>
      </c>
      <c r="J174" s="783">
        <v>15</v>
      </c>
      <c r="K174" s="783" t="s">
        <v>140</v>
      </c>
      <c r="L174" s="783" t="s">
        <v>4096</v>
      </c>
      <c r="M174" s="784">
        <v>9438.86</v>
      </c>
      <c r="N174" s="784">
        <v>7.41</v>
      </c>
      <c r="O174" s="784">
        <v>5.79</v>
      </c>
      <c r="P174" s="783">
        <v>220</v>
      </c>
      <c r="Q174" s="783">
        <v>1040.1600000000001</v>
      </c>
      <c r="R174" s="783">
        <v>467.22</v>
      </c>
      <c r="S174" s="783">
        <v>76.45</v>
      </c>
      <c r="T174" s="783">
        <v>496.48</v>
      </c>
      <c r="U174" s="785">
        <v>44631.503194444398</v>
      </c>
    </row>
    <row r="175" spans="1:21">
      <c r="A175" s="782">
        <v>44409</v>
      </c>
      <c r="B175" s="783" t="s">
        <v>74</v>
      </c>
      <c r="C175" s="783" t="s">
        <v>4097</v>
      </c>
      <c r="D175" s="783" t="s">
        <v>4038</v>
      </c>
      <c r="E175" s="783" t="s">
        <v>4500</v>
      </c>
      <c r="F175" s="783" t="s">
        <v>4011</v>
      </c>
      <c r="G175" s="783" t="str">
        <f t="shared" si="7"/>
        <v>Renewal (15% in 2020)</v>
      </c>
      <c r="H175" s="783" t="s">
        <v>4501</v>
      </c>
      <c r="I175" s="783" t="s">
        <v>4502</v>
      </c>
      <c r="J175" s="783">
        <v>15</v>
      </c>
      <c r="K175" s="783" t="s">
        <v>140</v>
      </c>
      <c r="L175" s="783" t="s">
        <v>4096</v>
      </c>
      <c r="M175" s="784">
        <v>17358.740000000002</v>
      </c>
      <c r="N175" s="784">
        <v>14.16</v>
      </c>
      <c r="O175" s="784">
        <v>5.33</v>
      </c>
      <c r="P175" s="783">
        <v>230</v>
      </c>
      <c r="Q175" s="783">
        <v>1827.88</v>
      </c>
      <c r="R175" s="783">
        <v>800.24</v>
      </c>
      <c r="S175" s="783">
        <v>121.51</v>
      </c>
      <c r="T175" s="783">
        <v>906.13</v>
      </c>
      <c r="U175" s="785">
        <v>44631.507557870398</v>
      </c>
    </row>
    <row r="176" spans="1:21">
      <c r="A176" s="782">
        <v>44409</v>
      </c>
      <c r="B176" s="783" t="s">
        <v>41</v>
      </c>
      <c r="C176" s="783" t="s">
        <v>4008</v>
      </c>
      <c r="D176" s="783" t="s">
        <v>4009</v>
      </c>
      <c r="E176" s="783" t="s">
        <v>4503</v>
      </c>
      <c r="F176" s="783" t="s">
        <v>4011</v>
      </c>
      <c r="G176" s="783" t="str">
        <f t="shared" si="7"/>
        <v>Renewal (20% in 2020)</v>
      </c>
      <c r="H176" s="783" t="s">
        <v>4504</v>
      </c>
      <c r="I176" s="783" t="s">
        <v>4505</v>
      </c>
      <c r="J176" s="783">
        <v>20</v>
      </c>
      <c r="K176" s="783" t="s">
        <v>140</v>
      </c>
      <c r="L176" s="783" t="s">
        <v>4096</v>
      </c>
      <c r="M176" s="784">
        <v>14889.6</v>
      </c>
      <c r="N176" s="784">
        <v>21.15</v>
      </c>
      <c r="O176" s="784">
        <v>3.2</v>
      </c>
      <c r="P176" s="783">
        <v>220</v>
      </c>
      <c r="Q176" s="783">
        <v>1232.8599999999999</v>
      </c>
      <c r="R176" s="783">
        <v>719.17</v>
      </c>
      <c r="S176" s="783">
        <v>107.21</v>
      </c>
      <c r="T176" s="783">
        <v>406.49</v>
      </c>
      <c r="U176" s="785">
        <v>44631.505231481497</v>
      </c>
    </row>
    <row r="177" spans="1:21">
      <c r="A177" s="782">
        <v>44409</v>
      </c>
      <c r="B177" s="783" t="s">
        <v>41</v>
      </c>
      <c r="C177" s="783" t="s">
        <v>4082</v>
      </c>
      <c r="D177" s="783" t="s">
        <v>4009</v>
      </c>
      <c r="E177" s="783" t="s">
        <v>2101</v>
      </c>
      <c r="F177" s="783" t="s">
        <v>4011</v>
      </c>
      <c r="G177" s="783" t="str">
        <f t="shared" si="7"/>
        <v>Renewal (15% in 2020)</v>
      </c>
      <c r="H177" s="783" t="s">
        <v>4506</v>
      </c>
      <c r="I177" s="783" t="s">
        <v>4507</v>
      </c>
      <c r="J177" s="783">
        <v>15</v>
      </c>
      <c r="K177" s="783" t="s">
        <v>140</v>
      </c>
      <c r="L177" s="783" t="s">
        <v>4096</v>
      </c>
      <c r="M177" s="784">
        <v>47018.7</v>
      </c>
      <c r="N177" s="784">
        <v>40.049999999999997</v>
      </c>
      <c r="O177" s="784">
        <v>5.87</v>
      </c>
      <c r="P177" s="783">
        <v>200</v>
      </c>
      <c r="Q177" s="783">
        <v>5181.46</v>
      </c>
      <c r="R177" s="783">
        <v>2327.4299999999998</v>
      </c>
      <c r="S177" s="783">
        <v>380.85</v>
      </c>
      <c r="T177" s="783">
        <v>2473.1799999999998</v>
      </c>
      <c r="U177" s="785">
        <v>44631.505023148202</v>
      </c>
    </row>
    <row r="178" spans="1:21">
      <c r="A178" s="782">
        <v>44409</v>
      </c>
      <c r="B178" s="783" t="s">
        <v>74</v>
      </c>
      <c r="C178" s="783" t="s">
        <v>4097</v>
      </c>
      <c r="D178" s="783" t="s">
        <v>4038</v>
      </c>
      <c r="E178" s="783" t="s">
        <v>4508</v>
      </c>
      <c r="F178" s="783" t="s">
        <v>4011</v>
      </c>
      <c r="G178" s="783" t="str">
        <f t="shared" si="7"/>
        <v>Renewal (20% in 2020)</v>
      </c>
      <c r="H178" s="783" t="s">
        <v>4509</v>
      </c>
      <c r="I178" s="783" t="s">
        <v>4510</v>
      </c>
      <c r="J178" s="783">
        <v>20</v>
      </c>
      <c r="K178" s="783" t="s">
        <v>140</v>
      </c>
      <c r="L178" s="783" t="s">
        <v>4096</v>
      </c>
      <c r="M178" s="784">
        <v>26688.75</v>
      </c>
      <c r="N178" s="784">
        <v>19.41</v>
      </c>
      <c r="O178" s="784">
        <v>5.5</v>
      </c>
      <c r="P178" s="783">
        <v>250</v>
      </c>
      <c r="Q178" s="783">
        <v>2119.09</v>
      </c>
      <c r="R178" s="783">
        <v>1230.3499999999999</v>
      </c>
      <c r="S178" s="783">
        <v>186.82</v>
      </c>
      <c r="T178" s="783">
        <v>701.91</v>
      </c>
      <c r="U178" s="785">
        <v>44631.503564814797</v>
      </c>
    </row>
    <row r="179" spans="1:21">
      <c r="A179" s="782">
        <v>44409</v>
      </c>
      <c r="B179" s="783" t="s">
        <v>397</v>
      </c>
      <c r="C179" s="783" t="s">
        <v>4511</v>
      </c>
      <c r="D179" s="783" t="s">
        <v>4512</v>
      </c>
      <c r="E179" s="783"/>
      <c r="F179" s="783" t="s">
        <v>4011</v>
      </c>
      <c r="G179" s="783" t="str">
        <f t="shared" si="7"/>
        <v>Renewal (20% in 2020)</v>
      </c>
      <c r="H179" s="783" t="s">
        <v>4513</v>
      </c>
      <c r="I179" s="783" t="s">
        <v>4514</v>
      </c>
      <c r="J179" s="783">
        <v>20</v>
      </c>
      <c r="K179" s="783" t="s">
        <v>140</v>
      </c>
      <c r="L179" s="783" t="s">
        <v>4096</v>
      </c>
      <c r="M179" s="784">
        <v>24599.89</v>
      </c>
      <c r="N179" s="784">
        <v>17.39</v>
      </c>
      <c r="O179" s="784">
        <v>6.43</v>
      </c>
      <c r="P179" s="783">
        <v>220</v>
      </c>
      <c r="Q179" s="783">
        <v>1773.65</v>
      </c>
      <c r="R179" s="783">
        <v>1001.22</v>
      </c>
      <c r="S179" s="783">
        <v>201.72</v>
      </c>
      <c r="T179" s="783">
        <v>570.72</v>
      </c>
      <c r="U179" s="785">
        <v>44631.504224536999</v>
      </c>
    </row>
    <row r="180" spans="1:21">
      <c r="A180" s="782">
        <v>44497</v>
      </c>
      <c r="B180" s="783" t="s">
        <v>41</v>
      </c>
      <c r="C180" s="783" t="s">
        <v>4082</v>
      </c>
      <c r="D180" s="783" t="s">
        <v>4009</v>
      </c>
      <c r="E180" s="783" t="s">
        <v>4515</v>
      </c>
      <c r="F180" s="783" t="s">
        <v>4011</v>
      </c>
      <c r="G180" s="783" t="str">
        <f t="shared" si="7"/>
        <v>Renewal (25% in 2020)</v>
      </c>
      <c r="H180" s="783" t="s">
        <v>4516</v>
      </c>
      <c r="I180" s="783" t="s">
        <v>4517</v>
      </c>
      <c r="J180" s="783">
        <v>25</v>
      </c>
      <c r="K180" s="783" t="s">
        <v>140</v>
      </c>
      <c r="L180" s="783" t="s">
        <v>4096</v>
      </c>
      <c r="M180" s="784">
        <v>126913.5</v>
      </c>
      <c r="N180" s="784">
        <v>91.8</v>
      </c>
      <c r="O180" s="784">
        <v>5.53</v>
      </c>
      <c r="P180" s="783">
        <v>250</v>
      </c>
      <c r="Q180" s="783">
        <v>7995.55</v>
      </c>
      <c r="R180" s="783">
        <v>6282.22</v>
      </c>
      <c r="S180" s="783">
        <v>1028</v>
      </c>
      <c r="T180" s="783">
        <v>685.33</v>
      </c>
      <c r="U180" s="785">
        <v>44631.503148148098</v>
      </c>
    </row>
    <row r="181" spans="1:21">
      <c r="A181" s="782">
        <v>44586</v>
      </c>
      <c r="B181" s="783" t="s">
        <v>74</v>
      </c>
      <c r="C181" s="783" t="s">
        <v>4037</v>
      </c>
      <c r="D181" s="783" t="s">
        <v>4038</v>
      </c>
      <c r="E181" s="783" t="s">
        <v>4271</v>
      </c>
      <c r="F181" s="783" t="s">
        <v>4011</v>
      </c>
      <c r="G181" s="783" t="str">
        <f t="shared" si="7"/>
        <v>Renewal (25% in 2020)</v>
      </c>
      <c r="H181" s="783" t="s">
        <v>4272</v>
      </c>
      <c r="I181" s="783" t="s">
        <v>4273</v>
      </c>
      <c r="J181" s="783">
        <v>25</v>
      </c>
      <c r="K181" s="783" t="s">
        <v>140</v>
      </c>
      <c r="L181" s="783" t="s">
        <v>4096</v>
      </c>
      <c r="M181" s="784">
        <v>29274.21</v>
      </c>
      <c r="N181" s="784">
        <v>17.21</v>
      </c>
      <c r="O181" s="784">
        <v>5.67</v>
      </c>
      <c r="P181" s="783">
        <v>300</v>
      </c>
      <c r="Q181" s="783">
        <v>2213.13</v>
      </c>
      <c r="R181" s="783">
        <v>1327.88</v>
      </c>
      <c r="S181" s="783">
        <v>501.76</v>
      </c>
      <c r="T181" s="783">
        <v>383.49</v>
      </c>
      <c r="U181" s="785">
        <v>44631.633275462998</v>
      </c>
    </row>
    <row r="182" spans="1:21">
      <c r="A182" s="782">
        <v>44427</v>
      </c>
      <c r="B182" s="783" t="s">
        <v>41</v>
      </c>
      <c r="C182" s="783" t="s">
        <v>4082</v>
      </c>
      <c r="D182" s="783" t="s">
        <v>4009</v>
      </c>
      <c r="E182" s="783" t="s">
        <v>4518</v>
      </c>
      <c r="F182" s="783" t="s">
        <v>4011</v>
      </c>
      <c r="G182" s="783" t="str">
        <f t="shared" si="7"/>
        <v>Renewal (25% in 2020)</v>
      </c>
      <c r="H182" s="783" t="s">
        <v>4519</v>
      </c>
      <c r="I182" s="783" t="s">
        <v>4520</v>
      </c>
      <c r="J182" s="783">
        <v>25</v>
      </c>
      <c r="K182" s="783" t="s">
        <v>140</v>
      </c>
      <c r="L182" s="783" t="s">
        <v>4096</v>
      </c>
      <c r="M182" s="784">
        <v>17769.599999999999</v>
      </c>
      <c r="N182" s="784">
        <v>12</v>
      </c>
      <c r="O182" s="784">
        <v>6.17</v>
      </c>
      <c r="P182" s="783">
        <v>240</v>
      </c>
      <c r="Q182" s="783">
        <v>1119.48</v>
      </c>
      <c r="R182" s="783">
        <v>879.6</v>
      </c>
      <c r="S182" s="783">
        <v>143.93</v>
      </c>
      <c r="T182" s="783">
        <v>95.96</v>
      </c>
      <c r="U182" s="785">
        <v>44631.512187499997</v>
      </c>
    </row>
    <row r="183" spans="1:21">
      <c r="A183" s="782">
        <v>44435</v>
      </c>
      <c r="B183" s="783" t="s">
        <v>41</v>
      </c>
      <c r="C183" s="783" t="s">
        <v>4082</v>
      </c>
      <c r="D183" s="783" t="s">
        <v>4009</v>
      </c>
      <c r="E183" s="783" t="s">
        <v>1290</v>
      </c>
      <c r="F183" s="783" t="s">
        <v>4011</v>
      </c>
      <c r="G183" s="783" t="str">
        <f t="shared" si="7"/>
        <v>Renewal (20% in 2020)</v>
      </c>
      <c r="H183" s="783" t="s">
        <v>4521</v>
      </c>
      <c r="I183" s="783" t="s">
        <v>4522</v>
      </c>
      <c r="J183" s="783">
        <v>20</v>
      </c>
      <c r="K183" s="783" t="s">
        <v>140</v>
      </c>
      <c r="L183" s="783" t="s">
        <v>4096</v>
      </c>
      <c r="M183" s="784">
        <v>16996</v>
      </c>
      <c r="N183" s="784">
        <v>14</v>
      </c>
      <c r="O183" s="784">
        <v>6.07</v>
      </c>
      <c r="P183" s="783">
        <v>200</v>
      </c>
      <c r="Q183" s="783">
        <v>1393.67</v>
      </c>
      <c r="R183" s="783">
        <v>841.3</v>
      </c>
      <c r="S183" s="783">
        <v>137.66999999999999</v>
      </c>
      <c r="T183" s="783">
        <v>414.7</v>
      </c>
      <c r="U183" s="785">
        <v>44631.512025463002</v>
      </c>
    </row>
    <row r="184" spans="1:21">
      <c r="A184" s="782">
        <v>44581</v>
      </c>
      <c r="B184" s="783" t="s">
        <v>74</v>
      </c>
      <c r="C184" s="783" t="s">
        <v>4037</v>
      </c>
      <c r="D184" s="783" t="s">
        <v>4038</v>
      </c>
      <c r="E184" s="783" t="s">
        <v>4278</v>
      </c>
      <c r="F184" s="783" t="s">
        <v>4011</v>
      </c>
      <c r="G184" s="783" t="s">
        <v>4028</v>
      </c>
      <c r="H184" s="783" t="s">
        <v>4279</v>
      </c>
      <c r="I184" s="783" t="s">
        <v>4280</v>
      </c>
      <c r="J184" s="783">
        <v>25</v>
      </c>
      <c r="K184" s="783" t="s">
        <v>140</v>
      </c>
      <c r="L184" s="783" t="s">
        <v>4096</v>
      </c>
      <c r="M184" s="784">
        <v>19250</v>
      </c>
      <c r="N184" s="784">
        <v>15.4</v>
      </c>
      <c r="O184" s="784">
        <v>5</v>
      </c>
      <c r="P184" s="783">
        <v>250</v>
      </c>
      <c r="Q184" s="783">
        <v>1455.3</v>
      </c>
      <c r="R184" s="783">
        <v>1039.5</v>
      </c>
      <c r="S184" s="783">
        <v>163.62</v>
      </c>
      <c r="T184" s="783">
        <v>252.18</v>
      </c>
      <c r="U184" s="785">
        <v>44631.516180555598</v>
      </c>
    </row>
    <row r="185" spans="1:21">
      <c r="A185" s="782">
        <v>44691</v>
      </c>
      <c r="B185" s="783" t="s">
        <v>41</v>
      </c>
      <c r="C185" s="783" t="s">
        <v>4082</v>
      </c>
      <c r="D185" s="783" t="s">
        <v>4009</v>
      </c>
      <c r="E185" s="783" t="s">
        <v>4523</v>
      </c>
      <c r="F185" s="783" t="s">
        <v>4011</v>
      </c>
      <c r="G185" s="783" t="str">
        <f t="shared" ref="G185:G195" si="8">VLOOKUP(I185,pacage,2,FALSE)</f>
        <v>Renewal (25% in 2020)</v>
      </c>
      <c r="H185" s="783" t="s">
        <v>4524</v>
      </c>
      <c r="I185" s="783" t="s">
        <v>4525</v>
      </c>
      <c r="J185" s="783">
        <v>25</v>
      </c>
      <c r="K185" s="783" t="s">
        <v>140</v>
      </c>
      <c r="L185" s="783" t="s">
        <v>4096</v>
      </c>
      <c r="M185" s="784">
        <v>16714.080000000002</v>
      </c>
      <c r="N185" s="784">
        <v>8.76</v>
      </c>
      <c r="O185" s="784">
        <v>6.36</v>
      </c>
      <c r="P185" s="783">
        <v>300</v>
      </c>
      <c r="Q185" s="783">
        <v>1052.99</v>
      </c>
      <c r="R185" s="783">
        <v>694.97</v>
      </c>
      <c r="S185" s="783">
        <v>267.76</v>
      </c>
      <c r="T185" s="783">
        <v>90.26</v>
      </c>
      <c r="U185" s="785">
        <v>44691.530787037002</v>
      </c>
    </row>
    <row r="186" spans="1:21">
      <c r="A186" s="782">
        <v>44690</v>
      </c>
      <c r="B186" s="783" t="s">
        <v>74</v>
      </c>
      <c r="C186" s="783" t="s">
        <v>4097</v>
      </c>
      <c r="D186" s="783" t="s">
        <v>4038</v>
      </c>
      <c r="E186" s="783" t="s">
        <v>4098</v>
      </c>
      <c r="F186" s="783" t="s">
        <v>4011</v>
      </c>
      <c r="G186" s="783" t="str">
        <f t="shared" si="8"/>
        <v>Renewal (15% in 2020)</v>
      </c>
      <c r="H186" s="783" t="s">
        <v>4099</v>
      </c>
      <c r="I186" s="783" t="s">
        <v>4100</v>
      </c>
      <c r="J186" s="783">
        <v>20</v>
      </c>
      <c r="K186" s="783" t="s">
        <v>140</v>
      </c>
      <c r="L186" s="783" t="s">
        <v>4096</v>
      </c>
      <c r="M186" s="784">
        <v>12675.2</v>
      </c>
      <c r="N186" s="784">
        <v>9.32</v>
      </c>
      <c r="O186" s="784">
        <v>5.44</v>
      </c>
      <c r="P186" s="783">
        <v>250</v>
      </c>
      <c r="Q186" s="783">
        <v>1006.41</v>
      </c>
      <c r="R186" s="783">
        <v>584.33000000000004</v>
      </c>
      <c r="S186" s="783">
        <v>88.73</v>
      </c>
      <c r="T186" s="783">
        <v>333.36</v>
      </c>
      <c r="U186" s="785">
        <v>44708.600972222201</v>
      </c>
    </row>
    <row r="187" spans="1:21">
      <c r="A187" s="782">
        <v>44690</v>
      </c>
      <c r="B187" s="783" t="s">
        <v>41</v>
      </c>
      <c r="C187" s="783" t="s">
        <v>4071</v>
      </c>
      <c r="D187" s="783" t="s">
        <v>4009</v>
      </c>
      <c r="E187" s="783" t="s">
        <v>4526</v>
      </c>
      <c r="F187" s="783" t="s">
        <v>4011</v>
      </c>
      <c r="G187" s="783" t="str">
        <f t="shared" si="8"/>
        <v>Renewal (25% in 2020)</v>
      </c>
      <c r="H187" s="783" t="s">
        <v>4527</v>
      </c>
      <c r="I187" s="783" t="s">
        <v>4528</v>
      </c>
      <c r="J187" s="783">
        <v>25</v>
      </c>
      <c r="K187" s="783" t="s">
        <v>140</v>
      </c>
      <c r="L187" s="783" t="s">
        <v>4096</v>
      </c>
      <c r="M187" s="784">
        <v>16876.830000000002</v>
      </c>
      <c r="N187" s="784">
        <v>8.0500000000000007</v>
      </c>
      <c r="O187" s="784">
        <v>5.99</v>
      </c>
      <c r="P187" s="783">
        <v>350</v>
      </c>
      <c r="Q187" s="783">
        <v>798.27</v>
      </c>
      <c r="R187" s="783">
        <v>456.89</v>
      </c>
      <c r="S187" s="783">
        <v>270.5</v>
      </c>
      <c r="T187" s="783">
        <v>70.88</v>
      </c>
      <c r="U187" s="785">
        <v>44690.691793981503</v>
      </c>
    </row>
    <row r="188" spans="1:21">
      <c r="A188" s="782">
        <v>44690</v>
      </c>
      <c r="B188" s="783" t="s">
        <v>41</v>
      </c>
      <c r="C188" s="783" t="s">
        <v>4092</v>
      </c>
      <c r="D188" s="783" t="s">
        <v>4009</v>
      </c>
      <c r="E188" s="783" t="s">
        <v>4529</v>
      </c>
      <c r="F188" s="783" t="s">
        <v>4011</v>
      </c>
      <c r="G188" s="783" t="str">
        <f t="shared" si="8"/>
        <v>Renewal (25% in 2020)</v>
      </c>
      <c r="H188" s="783" t="s">
        <v>4530</v>
      </c>
      <c r="I188" s="783" t="s">
        <v>4531</v>
      </c>
      <c r="J188" s="783">
        <v>15</v>
      </c>
      <c r="K188" s="783" t="s">
        <v>140</v>
      </c>
      <c r="L188" s="783" t="s">
        <v>4096</v>
      </c>
      <c r="M188" s="784">
        <v>3958.26</v>
      </c>
      <c r="N188" s="784">
        <v>2.82</v>
      </c>
      <c r="O188" s="784">
        <v>5.57</v>
      </c>
      <c r="P188" s="783">
        <v>252</v>
      </c>
      <c r="Q188" s="783">
        <v>444.12</v>
      </c>
      <c r="R188" s="783">
        <v>199.1</v>
      </c>
      <c r="S188" s="783">
        <v>33.25</v>
      </c>
      <c r="T188" s="783">
        <v>211.77</v>
      </c>
      <c r="U188" s="785">
        <v>44706.435763888898</v>
      </c>
    </row>
    <row r="189" spans="1:21">
      <c r="A189" s="782">
        <v>44697</v>
      </c>
      <c r="B189" s="783" t="s">
        <v>41</v>
      </c>
      <c r="C189" s="783" t="s">
        <v>4139</v>
      </c>
      <c r="D189" s="783" t="s">
        <v>4009</v>
      </c>
      <c r="E189" s="783" t="s">
        <v>4532</v>
      </c>
      <c r="F189" s="783" t="s">
        <v>4011</v>
      </c>
      <c r="G189" s="783" t="str">
        <f t="shared" si="8"/>
        <v>Renewal (15% in 2020)</v>
      </c>
      <c r="H189" s="783" t="s">
        <v>4533</v>
      </c>
      <c r="I189" s="783" t="s">
        <v>4534</v>
      </c>
      <c r="J189" s="783">
        <v>15</v>
      </c>
      <c r="K189" s="783" t="s">
        <v>140</v>
      </c>
      <c r="L189" s="783" t="s">
        <v>4096</v>
      </c>
      <c r="M189" s="784">
        <v>23786.18</v>
      </c>
      <c r="N189" s="784">
        <v>16.079999999999998</v>
      </c>
      <c r="O189" s="784">
        <v>5.87</v>
      </c>
      <c r="P189" s="783">
        <v>252</v>
      </c>
      <c r="Q189" s="783">
        <v>2354.83</v>
      </c>
      <c r="R189" s="783">
        <v>1072.76</v>
      </c>
      <c r="S189" s="783">
        <v>161.75</v>
      </c>
      <c r="T189" s="783">
        <v>1120.33</v>
      </c>
      <c r="U189" s="785">
        <v>44708.603842592602</v>
      </c>
    </row>
    <row r="190" spans="1:21">
      <c r="A190" s="782">
        <v>44697</v>
      </c>
      <c r="B190" s="783" t="s">
        <v>41</v>
      </c>
      <c r="C190" s="783" t="s">
        <v>4092</v>
      </c>
      <c r="D190" s="783" t="s">
        <v>4009</v>
      </c>
      <c r="E190" s="783" t="s">
        <v>4535</v>
      </c>
      <c r="F190" s="783" t="s">
        <v>4011</v>
      </c>
      <c r="G190" s="783" t="str">
        <f t="shared" si="8"/>
        <v>Renewal (25% in 2020)</v>
      </c>
      <c r="H190" s="783" t="s">
        <v>4536</v>
      </c>
      <c r="I190" s="783" t="s">
        <v>4537</v>
      </c>
      <c r="J190" s="783">
        <v>25</v>
      </c>
      <c r="K190" s="783" t="s">
        <v>140</v>
      </c>
      <c r="L190" s="783" t="s">
        <v>4096</v>
      </c>
      <c r="M190" s="784">
        <v>39158.21</v>
      </c>
      <c r="N190" s="784">
        <v>28.8</v>
      </c>
      <c r="O190" s="784">
        <v>5.27</v>
      </c>
      <c r="P190" s="783">
        <v>258</v>
      </c>
      <c r="Q190" s="783">
        <v>2521.79</v>
      </c>
      <c r="R190" s="783">
        <v>1923.85</v>
      </c>
      <c r="S190" s="783">
        <v>374.73</v>
      </c>
      <c r="T190" s="783">
        <v>223.2</v>
      </c>
      <c r="U190" s="785">
        <v>44699.505486111098</v>
      </c>
    </row>
    <row r="191" spans="1:21">
      <c r="A191" s="782">
        <v>44690</v>
      </c>
      <c r="B191" s="783" t="s">
        <v>41</v>
      </c>
      <c r="C191" s="783" t="s">
        <v>4082</v>
      </c>
      <c r="D191" s="783" t="s">
        <v>4009</v>
      </c>
      <c r="E191" s="783" t="s">
        <v>635</v>
      </c>
      <c r="F191" s="783" t="s">
        <v>4011</v>
      </c>
      <c r="G191" s="783" t="str">
        <f t="shared" si="8"/>
        <v>Renewal (20% in 2020)</v>
      </c>
      <c r="H191" s="783" t="s">
        <v>4538</v>
      </c>
      <c r="I191" s="783" t="s">
        <v>4539</v>
      </c>
      <c r="J191" s="783">
        <v>20</v>
      </c>
      <c r="K191" s="783" t="s">
        <v>140</v>
      </c>
      <c r="L191" s="783" t="s">
        <v>4096</v>
      </c>
      <c r="M191" s="784">
        <v>30370.57</v>
      </c>
      <c r="N191" s="784">
        <v>21.19</v>
      </c>
      <c r="O191" s="784">
        <v>6.37</v>
      </c>
      <c r="P191" s="783">
        <v>225</v>
      </c>
      <c r="Q191" s="783">
        <v>2490.39</v>
      </c>
      <c r="R191" s="783">
        <v>1503.34</v>
      </c>
      <c r="S191" s="783">
        <v>246</v>
      </c>
      <c r="T191" s="783">
        <v>741.04</v>
      </c>
      <c r="U191" s="785">
        <v>44690.674062500002</v>
      </c>
    </row>
    <row r="192" spans="1:21">
      <c r="A192" s="782">
        <v>44697</v>
      </c>
      <c r="B192" s="783" t="s">
        <v>65</v>
      </c>
      <c r="C192" s="783" t="s">
        <v>4274</v>
      </c>
      <c r="D192" s="783" t="s">
        <v>4038</v>
      </c>
      <c r="E192" s="783" t="s">
        <v>4540</v>
      </c>
      <c r="F192" s="783" t="s">
        <v>4011</v>
      </c>
      <c r="G192" s="783" t="str">
        <f t="shared" si="8"/>
        <v>Renewal (20% in 2020)</v>
      </c>
      <c r="H192" s="783" t="s">
        <v>4541</v>
      </c>
      <c r="I192" s="783" t="s">
        <v>4542</v>
      </c>
      <c r="J192" s="783">
        <v>20</v>
      </c>
      <c r="K192" s="783" t="s">
        <v>140</v>
      </c>
      <c r="L192" s="783" t="s">
        <v>4096</v>
      </c>
      <c r="M192" s="784">
        <v>30002.25</v>
      </c>
      <c r="N192" s="784">
        <v>25</v>
      </c>
      <c r="O192" s="784">
        <v>3.67</v>
      </c>
      <c r="P192" s="783">
        <v>327</v>
      </c>
      <c r="Q192" s="783">
        <v>2322.17</v>
      </c>
      <c r="R192" s="783">
        <v>959.52</v>
      </c>
      <c r="S192" s="783">
        <v>576.59</v>
      </c>
      <c r="T192" s="783">
        <v>786.06</v>
      </c>
      <c r="U192" s="785">
        <v>44698.687418981499</v>
      </c>
    </row>
    <row r="193" spans="1:21">
      <c r="A193" s="782">
        <v>44697</v>
      </c>
      <c r="B193" s="783" t="s">
        <v>65</v>
      </c>
      <c r="C193" s="783" t="s">
        <v>4543</v>
      </c>
      <c r="D193" s="783" t="s">
        <v>4038</v>
      </c>
      <c r="E193" s="783" t="s">
        <v>4540</v>
      </c>
      <c r="F193" s="783" t="s">
        <v>4011</v>
      </c>
      <c r="G193" s="783" t="str">
        <f t="shared" si="8"/>
        <v>Renewal (20% in 2020)</v>
      </c>
      <c r="H193" s="783" t="s">
        <v>4541</v>
      </c>
      <c r="I193" s="783" t="s">
        <v>4542</v>
      </c>
      <c r="J193" s="783">
        <v>20</v>
      </c>
      <c r="K193" s="783" t="s">
        <v>140</v>
      </c>
      <c r="L193" s="783" t="s">
        <v>4096</v>
      </c>
      <c r="M193" s="784">
        <v>28439.19</v>
      </c>
      <c r="N193" s="784">
        <v>33.450000000000003</v>
      </c>
      <c r="O193" s="784">
        <v>2.6</v>
      </c>
      <c r="P193" s="783">
        <v>327</v>
      </c>
      <c r="Q193" s="783">
        <v>2078.9</v>
      </c>
      <c r="R193" s="783">
        <v>920.49</v>
      </c>
      <c r="S193" s="783">
        <v>504.31</v>
      </c>
      <c r="T193" s="783">
        <v>654.1</v>
      </c>
      <c r="U193" s="785">
        <v>44698.687418981499</v>
      </c>
    </row>
    <row r="194" spans="1:21">
      <c r="A194" s="782">
        <v>44693</v>
      </c>
      <c r="B194" s="783" t="s">
        <v>34</v>
      </c>
      <c r="C194" s="783" t="s">
        <v>4139</v>
      </c>
      <c r="D194" s="783" t="s">
        <v>4009</v>
      </c>
      <c r="E194" s="783" t="s">
        <v>4544</v>
      </c>
      <c r="F194" s="783" t="s">
        <v>4011</v>
      </c>
      <c r="G194" s="783" t="str">
        <f t="shared" si="8"/>
        <v>Renewal (30% in 2020)</v>
      </c>
      <c r="H194" s="783" t="s">
        <v>4545</v>
      </c>
      <c r="I194" s="783" t="s">
        <v>4546</v>
      </c>
      <c r="J194" s="783">
        <v>30</v>
      </c>
      <c r="K194" s="783" t="s">
        <v>140</v>
      </c>
      <c r="L194" s="783" t="s">
        <v>4096</v>
      </c>
      <c r="M194" s="784">
        <v>12483</v>
      </c>
      <c r="N194" s="784">
        <v>7.3</v>
      </c>
      <c r="O194" s="784">
        <v>6.84</v>
      </c>
      <c r="P194" s="783">
        <v>250</v>
      </c>
      <c r="Q194" s="783">
        <v>624.15</v>
      </c>
      <c r="R194" s="783">
        <v>562.98</v>
      </c>
      <c r="S194" s="783">
        <v>0</v>
      </c>
      <c r="T194" s="783">
        <v>61.17</v>
      </c>
      <c r="U194" s="785">
        <v>44693.603553240697</v>
      </c>
    </row>
    <row r="195" spans="1:21">
      <c r="A195" s="782">
        <v>44697</v>
      </c>
      <c r="B195" s="783" t="s">
        <v>65</v>
      </c>
      <c r="C195" s="783" t="s">
        <v>4543</v>
      </c>
      <c r="D195" s="783" t="s">
        <v>4038</v>
      </c>
      <c r="E195" s="783" t="s">
        <v>1284</v>
      </c>
      <c r="F195" s="783" t="s">
        <v>4011</v>
      </c>
      <c r="G195" s="783" t="str">
        <f t="shared" si="8"/>
        <v>Renewal (25% in 2020)</v>
      </c>
      <c r="H195" s="783" t="s">
        <v>4547</v>
      </c>
      <c r="I195" s="783" t="s">
        <v>4548</v>
      </c>
      <c r="J195" s="783">
        <v>20</v>
      </c>
      <c r="K195" s="783" t="s">
        <v>140</v>
      </c>
      <c r="L195" s="783" t="s">
        <v>4096</v>
      </c>
      <c r="M195" s="784">
        <v>29630.22</v>
      </c>
      <c r="N195" s="784">
        <v>24.69</v>
      </c>
      <c r="O195" s="784">
        <v>3.67</v>
      </c>
      <c r="P195" s="783">
        <v>327</v>
      </c>
      <c r="Q195" s="783">
        <v>2165.9699999999998</v>
      </c>
      <c r="R195" s="783">
        <v>959.04</v>
      </c>
      <c r="S195" s="783">
        <v>525.42999999999995</v>
      </c>
      <c r="T195" s="783">
        <v>681.5</v>
      </c>
      <c r="U195" s="785">
        <v>44698.514212962997</v>
      </c>
    </row>
    <row r="196" spans="1:21">
      <c r="A196" s="782">
        <v>44606</v>
      </c>
      <c r="B196" s="783" t="s">
        <v>74</v>
      </c>
      <c r="C196" s="783" t="s">
        <v>4037</v>
      </c>
      <c r="D196" s="783" t="s">
        <v>4038</v>
      </c>
      <c r="E196" s="783" t="s">
        <v>4549</v>
      </c>
      <c r="F196" s="783" t="s">
        <v>4011</v>
      </c>
      <c r="G196" s="783" t="s">
        <v>4028</v>
      </c>
      <c r="H196" s="783" t="s">
        <v>4550</v>
      </c>
      <c r="I196" s="783" t="s">
        <v>4551</v>
      </c>
      <c r="J196" s="783">
        <v>25</v>
      </c>
      <c r="K196" s="783" t="s">
        <v>140</v>
      </c>
      <c r="L196" s="783" t="s">
        <v>4096</v>
      </c>
      <c r="M196" s="784">
        <v>7155</v>
      </c>
      <c r="N196" s="784">
        <v>4.5</v>
      </c>
      <c r="O196" s="784">
        <v>5.3</v>
      </c>
      <c r="P196" s="783">
        <v>300</v>
      </c>
      <c r="Q196" s="783">
        <v>540.91999999999996</v>
      </c>
      <c r="R196" s="783">
        <v>324.55</v>
      </c>
      <c r="S196" s="783">
        <v>122.64</v>
      </c>
      <c r="T196" s="783">
        <v>93.73</v>
      </c>
      <c r="U196" s="785">
        <v>44631.516898148097</v>
      </c>
    </row>
    <row r="197" spans="1:21">
      <c r="A197" s="782">
        <v>44446</v>
      </c>
      <c r="B197" s="783" t="s">
        <v>41</v>
      </c>
      <c r="C197" s="783" t="s">
        <v>4082</v>
      </c>
      <c r="D197" s="783" t="s">
        <v>4009</v>
      </c>
      <c r="E197" s="783" t="s">
        <v>4552</v>
      </c>
      <c r="F197" s="783" t="s">
        <v>4011</v>
      </c>
      <c r="G197" s="783" t="str">
        <f>VLOOKUP(I197,pacage,2,FALSE)</f>
        <v>Renewal (20% in 2020)</v>
      </c>
      <c r="H197" s="783" t="s">
        <v>4553</v>
      </c>
      <c r="I197" s="783" t="s">
        <v>4554</v>
      </c>
      <c r="J197" s="783">
        <v>20</v>
      </c>
      <c r="K197" s="783" t="s">
        <v>140</v>
      </c>
      <c r="L197" s="783" t="s">
        <v>4096</v>
      </c>
      <c r="M197" s="784">
        <v>26670.01</v>
      </c>
      <c r="N197" s="784">
        <v>22.83</v>
      </c>
      <c r="O197" s="784">
        <v>5.31</v>
      </c>
      <c r="P197" s="783">
        <v>220</v>
      </c>
      <c r="Q197" s="783">
        <v>2186.94</v>
      </c>
      <c r="R197" s="783">
        <v>1320.17</v>
      </c>
      <c r="S197" s="783">
        <v>216.03</v>
      </c>
      <c r="T197" s="783">
        <v>650.75</v>
      </c>
      <c r="U197" s="785">
        <v>44631.630150463003</v>
      </c>
    </row>
    <row r="198" spans="1:21">
      <c r="A198" s="782">
        <v>44585</v>
      </c>
      <c r="B198" s="783" t="s">
        <v>74</v>
      </c>
      <c r="C198" s="783" t="s">
        <v>4097</v>
      </c>
      <c r="D198" s="783" t="s">
        <v>4038</v>
      </c>
      <c r="E198" s="783" t="s">
        <v>4281</v>
      </c>
      <c r="F198" s="783" t="s">
        <v>4011</v>
      </c>
      <c r="G198" s="783" t="s">
        <v>4028</v>
      </c>
      <c r="H198" s="783" t="s">
        <v>4282</v>
      </c>
      <c r="I198" s="783" t="s">
        <v>4283</v>
      </c>
      <c r="J198" s="783">
        <v>25</v>
      </c>
      <c r="K198" s="783" t="s">
        <v>140</v>
      </c>
      <c r="L198" s="783" t="s">
        <v>4096</v>
      </c>
      <c r="M198" s="784">
        <v>20268</v>
      </c>
      <c r="N198" s="784">
        <v>15</v>
      </c>
      <c r="O198" s="784">
        <v>5.63</v>
      </c>
      <c r="P198" s="783">
        <v>240</v>
      </c>
      <c r="Q198" s="783">
        <v>1252.56</v>
      </c>
      <c r="R198" s="783">
        <v>934.35</v>
      </c>
      <c r="S198" s="783">
        <v>141.88</v>
      </c>
      <c r="T198" s="783">
        <v>176.33</v>
      </c>
      <c r="U198" s="785">
        <v>44631.633437500001</v>
      </c>
    </row>
    <row r="199" spans="1:21">
      <c r="A199" s="782">
        <v>44638</v>
      </c>
      <c r="B199" s="783" t="s">
        <v>74</v>
      </c>
      <c r="C199" s="783" t="s">
        <v>4097</v>
      </c>
      <c r="D199" s="783" t="s">
        <v>4038</v>
      </c>
      <c r="E199" s="783" t="s">
        <v>4555</v>
      </c>
      <c r="F199" s="783" t="s">
        <v>4066</v>
      </c>
      <c r="G199" s="783" t="s">
        <v>4028</v>
      </c>
      <c r="H199" s="783" t="s">
        <v>4556</v>
      </c>
      <c r="I199" s="783" t="s">
        <v>4557</v>
      </c>
      <c r="J199" s="783">
        <v>10</v>
      </c>
      <c r="K199" s="783" t="s">
        <v>140</v>
      </c>
      <c r="L199" s="783" t="s">
        <v>4096</v>
      </c>
      <c r="M199" s="784">
        <v>52326</v>
      </c>
      <c r="N199" s="784">
        <v>36.72</v>
      </c>
      <c r="O199" s="784">
        <v>5</v>
      </c>
      <c r="P199" s="783">
        <v>285</v>
      </c>
      <c r="Q199" s="783">
        <v>1292.45</v>
      </c>
      <c r="R199" s="783">
        <v>0</v>
      </c>
      <c r="S199" s="783">
        <v>0</v>
      </c>
      <c r="T199" s="783">
        <v>1292.45</v>
      </c>
      <c r="U199" s="785">
        <v>44641.407685185201</v>
      </c>
    </row>
    <row r="200" spans="1:21">
      <c r="A200" s="782">
        <v>44592</v>
      </c>
      <c r="B200" s="783" t="s">
        <v>41</v>
      </c>
      <c r="C200" s="783" t="s">
        <v>4082</v>
      </c>
      <c r="D200" s="783" t="s">
        <v>4009</v>
      </c>
      <c r="E200" s="783" t="s">
        <v>4558</v>
      </c>
      <c r="F200" s="783" t="s">
        <v>4011</v>
      </c>
      <c r="G200" s="783" t="s">
        <v>4028</v>
      </c>
      <c r="H200" s="783" t="s">
        <v>4559</v>
      </c>
      <c r="I200" s="783" t="s">
        <v>4560</v>
      </c>
      <c r="J200" s="783">
        <v>25</v>
      </c>
      <c r="K200" s="783" t="s">
        <v>140</v>
      </c>
      <c r="L200" s="783" t="s">
        <v>4096</v>
      </c>
      <c r="M200" s="784">
        <v>23012</v>
      </c>
      <c r="N200" s="784">
        <v>22</v>
      </c>
      <c r="O200" s="784">
        <v>5.23</v>
      </c>
      <c r="P200" s="783">
        <v>200</v>
      </c>
      <c r="Q200" s="783">
        <v>1449.76</v>
      </c>
      <c r="R200" s="783">
        <v>1139.0899999999999</v>
      </c>
      <c r="S200" s="783">
        <v>186.4</v>
      </c>
      <c r="T200" s="783">
        <v>124.26</v>
      </c>
      <c r="U200" s="785">
        <v>44631.629444444399</v>
      </c>
    </row>
    <row r="201" spans="1:21">
      <c r="A201" s="782">
        <v>44585</v>
      </c>
      <c r="B201" s="783" t="s">
        <v>74</v>
      </c>
      <c r="C201" s="783" t="s">
        <v>4037</v>
      </c>
      <c r="D201" s="783" t="s">
        <v>4038</v>
      </c>
      <c r="E201" s="783" t="s">
        <v>1918</v>
      </c>
      <c r="F201" s="783" t="s">
        <v>4011</v>
      </c>
      <c r="G201" s="783" t="str">
        <f t="shared" ref="G201:G210" si="9">VLOOKUP(I201,pacage,2,FALSE)</f>
        <v>Renewal (30% in 2020)</v>
      </c>
      <c r="H201" s="783" t="s">
        <v>4561</v>
      </c>
      <c r="I201" s="783" t="s">
        <v>4562</v>
      </c>
      <c r="J201" s="783">
        <v>30</v>
      </c>
      <c r="K201" s="783" t="s">
        <v>140</v>
      </c>
      <c r="L201" s="783" t="s">
        <v>4096</v>
      </c>
      <c r="M201" s="784">
        <v>22116.75</v>
      </c>
      <c r="N201" s="784">
        <v>15.94</v>
      </c>
      <c r="O201" s="784">
        <v>5.55</v>
      </c>
      <c r="P201" s="783">
        <v>250</v>
      </c>
      <c r="Q201" s="783">
        <v>1484.03</v>
      </c>
      <c r="R201" s="783">
        <v>1194.3</v>
      </c>
      <c r="S201" s="783">
        <v>0</v>
      </c>
      <c r="T201" s="783">
        <v>289.73</v>
      </c>
      <c r="U201" s="785">
        <v>44631.625960648104</v>
      </c>
    </row>
    <row r="202" spans="1:21">
      <c r="A202" s="782">
        <v>44706</v>
      </c>
      <c r="B202" s="783" t="s">
        <v>74</v>
      </c>
      <c r="C202" s="783" t="s">
        <v>4037</v>
      </c>
      <c r="D202" s="783" t="s">
        <v>4038</v>
      </c>
      <c r="E202" s="783" t="s">
        <v>4290</v>
      </c>
      <c r="F202" s="783" t="s">
        <v>4011</v>
      </c>
      <c r="G202" s="783" t="str">
        <f t="shared" si="9"/>
        <v>Renewal (15% in 2020)</v>
      </c>
      <c r="H202" s="783" t="s">
        <v>4291</v>
      </c>
      <c r="I202" s="783" t="s">
        <v>4292</v>
      </c>
      <c r="J202" s="783">
        <v>15</v>
      </c>
      <c r="K202" s="783" t="s">
        <v>140</v>
      </c>
      <c r="L202" s="783" t="s">
        <v>4096</v>
      </c>
      <c r="M202" s="784">
        <v>26497.040000000001</v>
      </c>
      <c r="N202" s="784">
        <v>16.690000000000001</v>
      </c>
      <c r="O202" s="784">
        <v>5.88</v>
      </c>
      <c r="P202" s="783">
        <v>270</v>
      </c>
      <c r="Q202" s="783">
        <v>3354.53</v>
      </c>
      <c r="R202" s="783">
        <v>1335.45</v>
      </c>
      <c r="S202" s="783">
        <v>320.61</v>
      </c>
      <c r="T202" s="783">
        <v>1698.46</v>
      </c>
      <c r="U202" s="785">
        <v>44706.615312499998</v>
      </c>
    </row>
    <row r="203" spans="1:21">
      <c r="A203" s="782">
        <v>44685</v>
      </c>
      <c r="B203" s="783" t="s">
        <v>41</v>
      </c>
      <c r="C203" s="783" t="s">
        <v>4139</v>
      </c>
      <c r="D203" s="783" t="s">
        <v>4009</v>
      </c>
      <c r="E203" s="783" t="s">
        <v>4563</v>
      </c>
      <c r="F203" s="783" t="s">
        <v>4011</v>
      </c>
      <c r="G203" s="783" t="str">
        <f t="shared" si="9"/>
        <v>Renewal (30% in 2020)</v>
      </c>
      <c r="H203" s="783" t="s">
        <v>4564</v>
      </c>
      <c r="I203" s="783" t="s">
        <v>4565</v>
      </c>
      <c r="J203" s="783">
        <v>30</v>
      </c>
      <c r="K203" s="783" t="s">
        <v>140</v>
      </c>
      <c r="L203" s="783" t="s">
        <v>4096</v>
      </c>
      <c r="M203" s="784">
        <v>43344.05</v>
      </c>
      <c r="N203" s="784">
        <v>24.72</v>
      </c>
      <c r="O203" s="784">
        <v>7.97</v>
      </c>
      <c r="P203" s="783">
        <v>220</v>
      </c>
      <c r="Q203" s="783">
        <v>2167.1999999999998</v>
      </c>
      <c r="R203" s="783">
        <v>1954.82</v>
      </c>
      <c r="S203" s="783">
        <v>0</v>
      </c>
      <c r="T203" s="783">
        <v>212.39</v>
      </c>
      <c r="U203" s="785">
        <v>44685.417777777802</v>
      </c>
    </row>
    <row r="204" spans="1:21">
      <c r="A204" s="782">
        <v>44686</v>
      </c>
      <c r="B204" s="783" t="s">
        <v>41</v>
      </c>
      <c r="C204" s="783" t="s">
        <v>4082</v>
      </c>
      <c r="D204" s="783" t="s">
        <v>4009</v>
      </c>
      <c r="E204" s="783" t="s">
        <v>4566</v>
      </c>
      <c r="F204" s="783" t="s">
        <v>4011</v>
      </c>
      <c r="G204" s="783" t="str">
        <f t="shared" si="9"/>
        <v>Renewal (25% in 2020)</v>
      </c>
      <c r="H204" s="783" t="s">
        <v>4567</v>
      </c>
      <c r="I204" s="783" t="s">
        <v>4568</v>
      </c>
      <c r="J204" s="783">
        <v>25</v>
      </c>
      <c r="K204" s="783" t="s">
        <v>140</v>
      </c>
      <c r="L204" s="783" t="s">
        <v>4096</v>
      </c>
      <c r="M204" s="784">
        <v>26362.98</v>
      </c>
      <c r="N204" s="784">
        <v>15.25</v>
      </c>
      <c r="O204" s="784">
        <v>6.86</v>
      </c>
      <c r="P204" s="783">
        <v>252</v>
      </c>
      <c r="Q204" s="783">
        <v>1660.87</v>
      </c>
      <c r="R204" s="783">
        <v>1304.97</v>
      </c>
      <c r="S204" s="783">
        <v>213.54</v>
      </c>
      <c r="T204" s="783">
        <v>142.36000000000001</v>
      </c>
      <c r="U204" s="785">
        <v>44687.616481481498</v>
      </c>
    </row>
    <row r="205" spans="1:21">
      <c r="A205" s="782">
        <v>44684</v>
      </c>
      <c r="B205" s="783" t="s">
        <v>41</v>
      </c>
      <c r="C205" s="783" t="s">
        <v>4092</v>
      </c>
      <c r="D205" s="783" t="s">
        <v>4009</v>
      </c>
      <c r="E205" s="783" t="s">
        <v>4569</v>
      </c>
      <c r="F205" s="783" t="s">
        <v>4011</v>
      </c>
      <c r="G205" s="783" t="str">
        <f t="shared" si="9"/>
        <v>Renewal (20% in 2020)</v>
      </c>
      <c r="H205" s="783" t="s">
        <v>4570</v>
      </c>
      <c r="I205" s="783" t="s">
        <v>4571</v>
      </c>
      <c r="J205" s="783">
        <v>20</v>
      </c>
      <c r="K205" s="783" t="s">
        <v>140</v>
      </c>
      <c r="L205" s="783" t="s">
        <v>4096</v>
      </c>
      <c r="M205" s="784">
        <v>29249.18</v>
      </c>
      <c r="N205" s="784">
        <v>16.41</v>
      </c>
      <c r="O205" s="784">
        <v>5.57</v>
      </c>
      <c r="P205" s="783">
        <v>320</v>
      </c>
      <c r="Q205" s="783">
        <v>2445.23</v>
      </c>
      <c r="R205" s="783">
        <v>1158.5999999999999</v>
      </c>
      <c r="S205" s="783">
        <v>558.33000000000004</v>
      </c>
      <c r="T205" s="783">
        <v>728.3</v>
      </c>
      <c r="U205" s="785">
        <v>44685.412025463003</v>
      </c>
    </row>
    <row r="206" spans="1:21">
      <c r="A206" s="782">
        <v>44692</v>
      </c>
      <c r="B206" s="783" t="s">
        <v>74</v>
      </c>
      <c r="C206" s="783" t="s">
        <v>4037</v>
      </c>
      <c r="D206" s="783" t="s">
        <v>4038</v>
      </c>
      <c r="E206" s="783" t="s">
        <v>4572</v>
      </c>
      <c r="F206" s="783" t="s">
        <v>4011</v>
      </c>
      <c r="G206" s="783" t="str">
        <f t="shared" si="9"/>
        <v>Renewal (15% in 2020)</v>
      </c>
      <c r="H206" s="783" t="s">
        <v>4573</v>
      </c>
      <c r="I206" s="783" t="s">
        <v>4574</v>
      </c>
      <c r="J206" s="783">
        <v>25</v>
      </c>
      <c r="K206" s="783" t="s">
        <v>140</v>
      </c>
      <c r="L206" s="783" t="s">
        <v>4096</v>
      </c>
      <c r="M206" s="784">
        <v>35521.199999999997</v>
      </c>
      <c r="N206" s="784">
        <v>23.4</v>
      </c>
      <c r="O206" s="784">
        <v>5.0599999999999996</v>
      </c>
      <c r="P206" s="783">
        <v>300</v>
      </c>
      <c r="Q206" s="783">
        <v>2685.4</v>
      </c>
      <c r="R206" s="783">
        <v>1611.24</v>
      </c>
      <c r="S206" s="783">
        <v>608.83000000000004</v>
      </c>
      <c r="T206" s="783">
        <v>465.33</v>
      </c>
      <c r="U206" s="785">
        <v>44692.518634259301</v>
      </c>
    </row>
    <row r="207" spans="1:21">
      <c r="A207" s="782">
        <v>44679</v>
      </c>
      <c r="B207" s="783" t="s">
        <v>41</v>
      </c>
      <c r="C207" s="783" t="s">
        <v>4092</v>
      </c>
      <c r="D207" s="783" t="s">
        <v>4009</v>
      </c>
      <c r="E207" s="783" t="s">
        <v>608</v>
      </c>
      <c r="F207" s="783" t="s">
        <v>4011</v>
      </c>
      <c r="G207" s="783" t="str">
        <f t="shared" si="9"/>
        <v>Renewal (15% in 2020)</v>
      </c>
      <c r="H207" s="783" t="s">
        <v>4575</v>
      </c>
      <c r="I207" s="783" t="s">
        <v>4576</v>
      </c>
      <c r="J207" s="783">
        <v>15</v>
      </c>
      <c r="K207" s="783" t="s">
        <v>140</v>
      </c>
      <c r="L207" s="783" t="s">
        <v>4096</v>
      </c>
      <c r="M207" s="784">
        <v>8634.91</v>
      </c>
      <c r="N207" s="784">
        <v>4.8099999999999996</v>
      </c>
      <c r="O207" s="784">
        <v>5.61</v>
      </c>
      <c r="P207" s="783">
        <v>320</v>
      </c>
      <c r="Q207" s="783">
        <v>968.84</v>
      </c>
      <c r="R207" s="783">
        <v>342.04</v>
      </c>
      <c r="S207" s="783">
        <v>164.83</v>
      </c>
      <c r="T207" s="783">
        <v>461.97</v>
      </c>
      <c r="U207" s="785">
        <v>44680.705127314803</v>
      </c>
    </row>
    <row r="208" spans="1:21">
      <c r="A208" s="782">
        <v>44694</v>
      </c>
      <c r="B208" s="783" t="s">
        <v>41</v>
      </c>
      <c r="C208" s="783" t="s">
        <v>4008</v>
      </c>
      <c r="D208" s="783" t="s">
        <v>4009</v>
      </c>
      <c r="E208" s="783" t="s">
        <v>4577</v>
      </c>
      <c r="F208" s="783" t="s">
        <v>4011</v>
      </c>
      <c r="G208" s="783" t="str">
        <f t="shared" si="9"/>
        <v>Renewal (30% in 2020)</v>
      </c>
      <c r="H208" s="783" t="s">
        <v>4578</v>
      </c>
      <c r="I208" s="783" t="s">
        <v>4579</v>
      </c>
      <c r="J208" s="783">
        <v>30</v>
      </c>
      <c r="K208" s="783" t="s">
        <v>140</v>
      </c>
      <c r="L208" s="783" t="s">
        <v>4096</v>
      </c>
      <c r="M208" s="784">
        <v>26056.799999999999</v>
      </c>
      <c r="N208" s="784">
        <v>20</v>
      </c>
      <c r="O208" s="784">
        <v>5.17</v>
      </c>
      <c r="P208" s="783">
        <v>252</v>
      </c>
      <c r="Q208" s="783">
        <v>1490.45</v>
      </c>
      <c r="R208" s="783">
        <v>1258.54</v>
      </c>
      <c r="S208" s="783">
        <v>0</v>
      </c>
      <c r="T208" s="783">
        <v>231.91</v>
      </c>
      <c r="U208" s="785">
        <v>44694.519189814797</v>
      </c>
    </row>
    <row r="209" spans="1:21">
      <c r="A209" s="782">
        <v>44709</v>
      </c>
      <c r="B209" s="783" t="s">
        <v>65</v>
      </c>
      <c r="C209" s="783" t="s">
        <v>4101</v>
      </c>
      <c r="D209" s="783" t="s">
        <v>4102</v>
      </c>
      <c r="E209" s="783" t="s">
        <v>4259</v>
      </c>
      <c r="F209" s="783" t="s">
        <v>4011</v>
      </c>
      <c r="G209" s="783" t="str">
        <f t="shared" si="9"/>
        <v>Renewal (30% in 2020)</v>
      </c>
      <c r="H209" s="783" t="s">
        <v>4260</v>
      </c>
      <c r="I209" s="783" t="s">
        <v>4261</v>
      </c>
      <c r="J209" s="783">
        <v>30</v>
      </c>
      <c r="K209" s="783" t="s">
        <v>140</v>
      </c>
      <c r="L209" s="783" t="s">
        <v>4096</v>
      </c>
      <c r="M209" s="784">
        <v>11283.75</v>
      </c>
      <c r="N209" s="784">
        <v>7.65</v>
      </c>
      <c r="O209" s="784">
        <v>5.9</v>
      </c>
      <c r="P209" s="783">
        <v>250</v>
      </c>
      <c r="Q209" s="783">
        <v>385.9</v>
      </c>
      <c r="R209" s="783">
        <v>343.03</v>
      </c>
      <c r="S209" s="783">
        <v>0</v>
      </c>
      <c r="T209" s="783">
        <v>42.88</v>
      </c>
      <c r="U209" s="785">
        <v>44712.508101851898</v>
      </c>
    </row>
    <row r="210" spans="1:21">
      <c r="A210" s="782">
        <v>44704</v>
      </c>
      <c r="B210" s="783" t="s">
        <v>41</v>
      </c>
      <c r="C210" s="783" t="s">
        <v>4082</v>
      </c>
      <c r="D210" s="783" t="s">
        <v>4009</v>
      </c>
      <c r="E210" s="783" t="s">
        <v>2021</v>
      </c>
      <c r="F210" s="783" t="s">
        <v>4011</v>
      </c>
      <c r="G210" s="783" t="str">
        <f t="shared" si="9"/>
        <v>Renewal (25% in 2020)</v>
      </c>
      <c r="H210" s="783" t="s">
        <v>4580</v>
      </c>
      <c r="I210" s="783" t="s">
        <v>4581</v>
      </c>
      <c r="J210" s="783">
        <v>25</v>
      </c>
      <c r="K210" s="783" t="s">
        <v>140</v>
      </c>
      <c r="L210" s="783" t="s">
        <v>4096</v>
      </c>
      <c r="M210" s="784">
        <v>20973.55</v>
      </c>
      <c r="N210" s="784">
        <v>15.81</v>
      </c>
      <c r="O210" s="784">
        <v>6.03</v>
      </c>
      <c r="P210" s="783">
        <v>220</v>
      </c>
      <c r="Q210" s="783">
        <v>1321.33</v>
      </c>
      <c r="R210" s="783">
        <v>1038.19</v>
      </c>
      <c r="S210" s="783">
        <v>169.89</v>
      </c>
      <c r="T210" s="783">
        <v>113.26</v>
      </c>
      <c r="U210" s="785">
        <v>44704.3933680556</v>
      </c>
    </row>
    <row r="211" spans="1:21">
      <c r="A211" s="782">
        <v>44705</v>
      </c>
      <c r="B211" s="783" t="s">
        <v>228</v>
      </c>
      <c r="C211" s="783" t="s">
        <v>4582</v>
      </c>
      <c r="D211" s="783" t="s">
        <v>4193</v>
      </c>
      <c r="E211" s="783" t="s">
        <v>4583</v>
      </c>
      <c r="F211" s="783" t="s">
        <v>4011</v>
      </c>
      <c r="G211" s="783" t="s">
        <v>4028</v>
      </c>
      <c r="H211" s="783" t="s">
        <v>4584</v>
      </c>
      <c r="I211" s="783" t="s">
        <v>4585</v>
      </c>
      <c r="J211" s="783">
        <v>25</v>
      </c>
      <c r="K211" s="783" t="s">
        <v>140</v>
      </c>
      <c r="L211" s="783" t="s">
        <v>4096</v>
      </c>
      <c r="M211" s="784">
        <v>9821.85</v>
      </c>
      <c r="N211" s="784">
        <v>5.56</v>
      </c>
      <c r="O211" s="784">
        <v>7.01</v>
      </c>
      <c r="P211" s="783">
        <v>252</v>
      </c>
      <c r="Q211" s="783">
        <v>397.78</v>
      </c>
      <c r="R211" s="783">
        <v>316.26</v>
      </c>
      <c r="S211" s="783">
        <v>47.14</v>
      </c>
      <c r="T211" s="783">
        <v>34.380000000000003</v>
      </c>
      <c r="U211" s="785">
        <v>44708.690625000003</v>
      </c>
    </row>
    <row r="212" spans="1:21">
      <c r="A212" s="782">
        <v>44700</v>
      </c>
      <c r="B212" s="783" t="s">
        <v>41</v>
      </c>
      <c r="C212" s="783" t="s">
        <v>4354</v>
      </c>
      <c r="D212" s="783" t="s">
        <v>4009</v>
      </c>
      <c r="E212" s="783" t="s">
        <v>4586</v>
      </c>
      <c r="F212" s="783" t="s">
        <v>4011</v>
      </c>
      <c r="G212" s="783" t="str">
        <f t="shared" ref="G212:G227" si="10">VLOOKUP(I212,pacage,2,FALSE)</f>
        <v>New contract</v>
      </c>
      <c r="H212" s="783" t="s">
        <v>4587</v>
      </c>
      <c r="I212" s="783" t="s">
        <v>4588</v>
      </c>
      <c r="J212" s="783">
        <v>25</v>
      </c>
      <c r="K212" s="783" t="s">
        <v>140</v>
      </c>
      <c r="L212" s="783" t="s">
        <v>4096</v>
      </c>
      <c r="M212" s="784">
        <v>7498.53</v>
      </c>
      <c r="N212" s="784">
        <v>5.07</v>
      </c>
      <c r="O212" s="784">
        <v>4.93</v>
      </c>
      <c r="P212" s="783">
        <v>300</v>
      </c>
      <c r="Q212" s="783">
        <v>485.15</v>
      </c>
      <c r="R212" s="783">
        <v>294.14999999999998</v>
      </c>
      <c r="S212" s="783">
        <v>110.77</v>
      </c>
      <c r="T212" s="783">
        <v>80.23</v>
      </c>
      <c r="U212" s="785">
        <v>44700.718599537002</v>
      </c>
    </row>
    <row r="213" spans="1:21">
      <c r="A213" s="782">
        <v>44657</v>
      </c>
      <c r="B213" s="783" t="s">
        <v>41</v>
      </c>
      <c r="C213" s="783" t="s">
        <v>4092</v>
      </c>
      <c r="D213" s="783" t="s">
        <v>4009</v>
      </c>
      <c r="E213" s="783" t="s">
        <v>338</v>
      </c>
      <c r="F213" s="783" t="s">
        <v>4011</v>
      </c>
      <c r="G213" s="783" t="str">
        <f t="shared" si="10"/>
        <v>New Contract</v>
      </c>
      <c r="H213" s="783" t="s">
        <v>4589</v>
      </c>
      <c r="I213" s="783" t="s">
        <v>4590</v>
      </c>
      <c r="J213" s="783">
        <v>15</v>
      </c>
      <c r="K213" s="783" t="s">
        <v>140</v>
      </c>
      <c r="L213" s="783" t="s">
        <v>4096</v>
      </c>
      <c r="M213" s="784">
        <v>31370.63</v>
      </c>
      <c r="N213" s="784">
        <v>25.35</v>
      </c>
      <c r="O213" s="784">
        <v>4.95</v>
      </c>
      <c r="P213" s="783">
        <v>250</v>
      </c>
      <c r="Q213" s="783">
        <v>3519.78</v>
      </c>
      <c r="R213" s="783">
        <v>1577.94</v>
      </c>
      <c r="S213" s="783">
        <v>263.51</v>
      </c>
      <c r="T213" s="783">
        <v>1678.33</v>
      </c>
      <c r="U213" s="785">
        <v>44657.603819444397</v>
      </c>
    </row>
    <row r="214" spans="1:21">
      <c r="A214" s="782">
        <v>44655</v>
      </c>
      <c r="B214" s="783" t="s">
        <v>41</v>
      </c>
      <c r="C214" s="783" t="s">
        <v>4082</v>
      </c>
      <c r="D214" s="783" t="s">
        <v>4009</v>
      </c>
      <c r="E214" s="783" t="s">
        <v>245</v>
      </c>
      <c r="F214" s="783" t="s">
        <v>4011</v>
      </c>
      <c r="G214" s="783" t="str">
        <f t="shared" si="10"/>
        <v>Renewal (20% in 2020)</v>
      </c>
      <c r="H214" s="783" t="s">
        <v>4591</v>
      </c>
      <c r="I214" s="783" t="s">
        <v>4592</v>
      </c>
      <c r="J214" s="783">
        <v>20</v>
      </c>
      <c r="K214" s="783" t="s">
        <v>140</v>
      </c>
      <c r="L214" s="783" t="s">
        <v>4096</v>
      </c>
      <c r="M214" s="784">
        <v>40600.620000000003</v>
      </c>
      <c r="N214" s="784">
        <v>21.38</v>
      </c>
      <c r="O214" s="784">
        <v>6.33</v>
      </c>
      <c r="P214" s="783">
        <v>300</v>
      </c>
      <c r="Q214" s="783">
        <v>3329.25</v>
      </c>
      <c r="R214" s="783">
        <v>1688.17</v>
      </c>
      <c r="S214" s="783">
        <v>650.41999999999996</v>
      </c>
      <c r="T214" s="783">
        <v>990.66</v>
      </c>
      <c r="U214" s="785">
        <v>44657.613634259302</v>
      </c>
    </row>
    <row r="215" spans="1:21">
      <c r="A215" s="782">
        <v>44657</v>
      </c>
      <c r="B215" s="783" t="s">
        <v>34</v>
      </c>
      <c r="C215" s="783" t="s">
        <v>4082</v>
      </c>
      <c r="D215" s="783" t="s">
        <v>4009</v>
      </c>
      <c r="E215" s="783" t="s">
        <v>4593</v>
      </c>
      <c r="F215" s="783" t="s">
        <v>4011</v>
      </c>
      <c r="G215" s="783" t="str">
        <f t="shared" si="10"/>
        <v>Renewal (30% in 2020)</v>
      </c>
      <c r="H215" s="783" t="s">
        <v>4594</v>
      </c>
      <c r="I215" s="783" t="s">
        <v>4595</v>
      </c>
      <c r="J215" s="783">
        <v>30</v>
      </c>
      <c r="K215" s="783" t="s">
        <v>140</v>
      </c>
      <c r="L215" s="783" t="s">
        <v>4096</v>
      </c>
      <c r="M215" s="784">
        <v>11874.46</v>
      </c>
      <c r="N215" s="784">
        <v>9.57</v>
      </c>
      <c r="O215" s="784">
        <v>5.64</v>
      </c>
      <c r="P215" s="783">
        <v>220</v>
      </c>
      <c r="Q215" s="783">
        <v>653.1</v>
      </c>
      <c r="R215" s="783">
        <v>587.79</v>
      </c>
      <c r="S215" s="783">
        <v>0</v>
      </c>
      <c r="T215" s="783">
        <v>65.31</v>
      </c>
      <c r="U215" s="785">
        <v>44657.630636574097</v>
      </c>
    </row>
    <row r="216" spans="1:21">
      <c r="A216" s="782">
        <v>44685</v>
      </c>
      <c r="B216" s="783" t="s">
        <v>41</v>
      </c>
      <c r="C216" s="783" t="s">
        <v>4082</v>
      </c>
      <c r="D216" s="783" t="s">
        <v>4009</v>
      </c>
      <c r="E216" s="783" t="s">
        <v>533</v>
      </c>
      <c r="F216" s="783" t="s">
        <v>4011</v>
      </c>
      <c r="G216" s="783" t="str">
        <f t="shared" si="10"/>
        <v>Renewal (15% in 2020)</v>
      </c>
      <c r="H216" s="783" t="s">
        <v>4596</v>
      </c>
      <c r="I216" s="783" t="s">
        <v>4597</v>
      </c>
      <c r="J216" s="783">
        <v>15</v>
      </c>
      <c r="K216" s="783" t="s">
        <v>140</v>
      </c>
      <c r="L216" s="783" t="s">
        <v>4096</v>
      </c>
      <c r="M216" s="784">
        <v>5916.98</v>
      </c>
      <c r="N216" s="784">
        <v>4.95</v>
      </c>
      <c r="O216" s="784">
        <v>6.13</v>
      </c>
      <c r="P216" s="783">
        <v>195</v>
      </c>
      <c r="Q216" s="783">
        <v>652.04999999999995</v>
      </c>
      <c r="R216" s="783">
        <v>292.89</v>
      </c>
      <c r="S216" s="783">
        <v>47.93</v>
      </c>
      <c r="T216" s="783">
        <v>311.23</v>
      </c>
      <c r="U216" s="785">
        <v>44687.643043981501</v>
      </c>
    </row>
    <row r="217" spans="1:21">
      <c r="A217" s="782">
        <v>44693</v>
      </c>
      <c r="B217" s="783" t="s">
        <v>397</v>
      </c>
      <c r="C217" s="783" t="s">
        <v>4491</v>
      </c>
      <c r="D217" s="783" t="s">
        <v>4193</v>
      </c>
      <c r="E217" s="783" t="s">
        <v>4492</v>
      </c>
      <c r="F217" s="783" t="s">
        <v>4011</v>
      </c>
      <c r="G217" s="783" t="str">
        <f t="shared" si="10"/>
        <v>Renewal (20% in 2020)</v>
      </c>
      <c r="H217" s="783" t="s">
        <v>4493</v>
      </c>
      <c r="I217" s="783" t="s">
        <v>4494</v>
      </c>
      <c r="J217" s="783">
        <v>20</v>
      </c>
      <c r="K217" s="783" t="s">
        <v>140</v>
      </c>
      <c r="L217" s="783" t="s">
        <v>4096</v>
      </c>
      <c r="M217" s="784">
        <v>9446.01</v>
      </c>
      <c r="N217" s="784">
        <v>7.18</v>
      </c>
      <c r="O217" s="784">
        <v>5.72</v>
      </c>
      <c r="P217" s="783">
        <v>230</v>
      </c>
      <c r="Q217" s="783">
        <v>554.48</v>
      </c>
      <c r="R217" s="783">
        <v>338.17</v>
      </c>
      <c r="S217" s="783">
        <v>50.06</v>
      </c>
      <c r="T217" s="783">
        <v>166.25</v>
      </c>
      <c r="U217" s="785">
        <v>44693.475787037001</v>
      </c>
    </row>
    <row r="218" spans="1:21">
      <c r="A218" s="782">
        <v>44665</v>
      </c>
      <c r="B218" s="783" t="s">
        <v>41</v>
      </c>
      <c r="C218" s="783" t="s">
        <v>4092</v>
      </c>
      <c r="D218" s="783" t="s">
        <v>4009</v>
      </c>
      <c r="E218" s="783" t="s">
        <v>4125</v>
      </c>
      <c r="F218" s="783" t="s">
        <v>4011</v>
      </c>
      <c r="G218" s="783" t="str">
        <f t="shared" si="10"/>
        <v>Renewal (20% in 2020)</v>
      </c>
      <c r="H218" s="783" t="s">
        <v>4126</v>
      </c>
      <c r="I218" s="783" t="s">
        <v>4127</v>
      </c>
      <c r="J218" s="783">
        <v>20</v>
      </c>
      <c r="K218" s="783" t="s">
        <v>140</v>
      </c>
      <c r="L218" s="783" t="s">
        <v>4096</v>
      </c>
      <c r="M218" s="784">
        <v>8355</v>
      </c>
      <c r="N218" s="784">
        <v>5</v>
      </c>
      <c r="O218" s="784">
        <v>5.57</v>
      </c>
      <c r="P218" s="783">
        <v>300</v>
      </c>
      <c r="Q218" s="783">
        <v>698.48</v>
      </c>
      <c r="R218" s="783">
        <v>353.02</v>
      </c>
      <c r="S218" s="783">
        <v>137.41999999999999</v>
      </c>
      <c r="T218" s="783">
        <v>208.04</v>
      </c>
      <c r="U218" s="785">
        <v>44665.668240740699</v>
      </c>
    </row>
    <row r="219" spans="1:21">
      <c r="A219" s="782">
        <v>44708</v>
      </c>
      <c r="B219" s="783" t="s">
        <v>113</v>
      </c>
      <c r="C219" s="783" t="s">
        <v>4598</v>
      </c>
      <c r="D219" s="783" t="s">
        <v>4009</v>
      </c>
      <c r="E219" s="783" t="s">
        <v>4599</v>
      </c>
      <c r="F219" s="783" t="s">
        <v>4011</v>
      </c>
      <c r="G219" s="783" t="str">
        <f t="shared" si="10"/>
        <v>Renewal (25% in 2020)</v>
      </c>
      <c r="H219" s="783" t="s">
        <v>4600</v>
      </c>
      <c r="I219" s="783" t="s">
        <v>4601</v>
      </c>
      <c r="J219" s="783">
        <v>25</v>
      </c>
      <c r="K219" s="783" t="s">
        <v>140</v>
      </c>
      <c r="L219" s="783" t="s">
        <v>4096</v>
      </c>
      <c r="M219" s="784">
        <v>13431.6</v>
      </c>
      <c r="N219" s="784">
        <v>10</v>
      </c>
      <c r="O219" s="784">
        <v>5.33</v>
      </c>
      <c r="P219" s="783">
        <v>252</v>
      </c>
      <c r="Q219" s="783">
        <v>628.6</v>
      </c>
      <c r="R219" s="783">
        <v>448.62</v>
      </c>
      <c r="S219" s="783">
        <v>94.02</v>
      </c>
      <c r="T219" s="783">
        <v>85.96</v>
      </c>
      <c r="U219" s="785">
        <v>44711.538182870398</v>
      </c>
    </row>
    <row r="220" spans="1:21">
      <c r="A220" s="782">
        <v>44711</v>
      </c>
      <c r="B220" s="783" t="s">
        <v>74</v>
      </c>
      <c r="C220" s="783" t="s">
        <v>4602</v>
      </c>
      <c r="D220" s="783" t="s">
        <v>4038</v>
      </c>
      <c r="E220" s="783" t="s">
        <v>4603</v>
      </c>
      <c r="F220" s="783" t="s">
        <v>4011</v>
      </c>
      <c r="G220" s="783" t="str">
        <f t="shared" si="10"/>
        <v>Renewal (30% in 2020)</v>
      </c>
      <c r="H220" s="783" t="s">
        <v>4604</v>
      </c>
      <c r="I220" s="783" t="s">
        <v>4605</v>
      </c>
      <c r="J220" s="783">
        <v>30</v>
      </c>
      <c r="K220" s="783" t="s">
        <v>140</v>
      </c>
      <c r="L220" s="783" t="s">
        <v>4096</v>
      </c>
      <c r="M220" s="784">
        <v>384104.28</v>
      </c>
      <c r="N220" s="784">
        <v>293.77</v>
      </c>
      <c r="O220" s="784">
        <v>5.23</v>
      </c>
      <c r="P220" s="783">
        <v>250</v>
      </c>
      <c r="Q220" s="783">
        <v>18821.11</v>
      </c>
      <c r="R220" s="783">
        <v>16554.89</v>
      </c>
      <c r="S220" s="783">
        <v>0</v>
      </c>
      <c r="T220" s="783">
        <v>2266.2199999999998</v>
      </c>
      <c r="U220" s="785">
        <v>44712.722673611097</v>
      </c>
    </row>
    <row r="221" spans="1:21">
      <c r="A221" s="782">
        <v>44697</v>
      </c>
      <c r="B221" s="783" t="s">
        <v>113</v>
      </c>
      <c r="C221" s="783" t="s">
        <v>4606</v>
      </c>
      <c r="D221" s="783" t="s">
        <v>4009</v>
      </c>
      <c r="E221" s="783" t="s">
        <v>4607</v>
      </c>
      <c r="F221" s="783" t="s">
        <v>4011</v>
      </c>
      <c r="G221" s="783" t="str">
        <f t="shared" si="10"/>
        <v>Renewal (15% in 2020)</v>
      </c>
      <c r="H221" s="783" t="s">
        <v>4608</v>
      </c>
      <c r="I221" s="783" t="s">
        <v>4609</v>
      </c>
      <c r="J221" s="783">
        <v>15</v>
      </c>
      <c r="K221" s="783" t="s">
        <v>140</v>
      </c>
      <c r="L221" s="783" t="s">
        <v>4096</v>
      </c>
      <c r="M221" s="784">
        <v>8149.68</v>
      </c>
      <c r="N221" s="784">
        <v>5.88</v>
      </c>
      <c r="O221" s="784">
        <v>5.5</v>
      </c>
      <c r="P221" s="783">
        <v>252</v>
      </c>
      <c r="Q221" s="783">
        <v>849.2</v>
      </c>
      <c r="R221" s="783">
        <v>365.92</v>
      </c>
      <c r="S221" s="783">
        <v>56.23</v>
      </c>
      <c r="T221" s="783">
        <v>427.04</v>
      </c>
      <c r="U221" s="785">
        <v>44699.493645833303</v>
      </c>
    </row>
    <row r="222" spans="1:21">
      <c r="A222" s="782">
        <v>44544</v>
      </c>
      <c r="B222" s="783" t="s">
        <v>397</v>
      </c>
      <c r="C222" s="783" t="s">
        <v>4511</v>
      </c>
      <c r="D222" s="783" t="s">
        <v>4512</v>
      </c>
      <c r="E222" s="783" t="s">
        <v>4610</v>
      </c>
      <c r="F222" s="783" t="s">
        <v>4011</v>
      </c>
      <c r="G222" s="783" t="str">
        <f t="shared" si="10"/>
        <v>Renewal (15% in 2020)</v>
      </c>
      <c r="H222" s="783" t="s">
        <v>4611</v>
      </c>
      <c r="I222" s="783" t="s">
        <v>4612</v>
      </c>
      <c r="J222" s="783">
        <v>15</v>
      </c>
      <c r="K222" s="783" t="s">
        <v>140</v>
      </c>
      <c r="L222" s="783" t="s">
        <v>4096</v>
      </c>
      <c r="M222" s="784">
        <v>19613.099999999999</v>
      </c>
      <c r="N222" s="784">
        <v>10.7</v>
      </c>
      <c r="O222" s="784">
        <v>6.11</v>
      </c>
      <c r="P222" s="783">
        <v>300</v>
      </c>
      <c r="Q222" s="783">
        <v>1882.86</v>
      </c>
      <c r="R222" s="783">
        <v>670.53</v>
      </c>
      <c r="S222" s="783">
        <v>288.55</v>
      </c>
      <c r="T222" s="783">
        <v>923.78</v>
      </c>
      <c r="U222" s="785">
        <v>44631.626770833303</v>
      </c>
    </row>
    <row r="223" spans="1:21">
      <c r="A223" s="782">
        <v>44541</v>
      </c>
      <c r="B223" s="783" t="s">
        <v>74</v>
      </c>
      <c r="C223" s="783" t="s">
        <v>4097</v>
      </c>
      <c r="D223" s="783" t="s">
        <v>4038</v>
      </c>
      <c r="E223" s="783" t="s">
        <v>4613</v>
      </c>
      <c r="F223" s="783" t="s">
        <v>4011</v>
      </c>
      <c r="G223" s="783" t="str">
        <f t="shared" si="10"/>
        <v>New Contract</v>
      </c>
      <c r="H223" s="783" t="s">
        <v>4614</v>
      </c>
      <c r="I223" s="783" t="s">
        <v>4615</v>
      </c>
      <c r="J223" s="783">
        <v>25</v>
      </c>
      <c r="K223" s="783" t="s">
        <v>140</v>
      </c>
      <c r="L223" s="783" t="s">
        <v>4096</v>
      </c>
      <c r="M223" s="784">
        <v>13095.18</v>
      </c>
      <c r="N223" s="784">
        <v>9.5</v>
      </c>
      <c r="O223" s="784">
        <v>5.47</v>
      </c>
      <c r="P223" s="783">
        <v>252</v>
      </c>
      <c r="Q223" s="783">
        <v>809.28</v>
      </c>
      <c r="R223" s="783">
        <v>603.69000000000005</v>
      </c>
      <c r="S223" s="783">
        <v>91.67</v>
      </c>
      <c r="T223" s="783">
        <v>113.93</v>
      </c>
      <c r="U223" s="785">
        <v>44631.629675925898</v>
      </c>
    </row>
    <row r="224" spans="1:21">
      <c r="A224" s="782">
        <v>44540</v>
      </c>
      <c r="B224" s="783" t="s">
        <v>74</v>
      </c>
      <c r="C224" s="783" t="s">
        <v>4037</v>
      </c>
      <c r="D224" s="783" t="s">
        <v>4038</v>
      </c>
      <c r="E224" s="783" t="s">
        <v>4325</v>
      </c>
      <c r="F224" s="783" t="s">
        <v>4011</v>
      </c>
      <c r="G224" s="783" t="str">
        <f t="shared" si="10"/>
        <v>Renewal (20% in 2020)</v>
      </c>
      <c r="H224" s="783" t="s">
        <v>4326</v>
      </c>
      <c r="I224" s="783" t="s">
        <v>4327</v>
      </c>
      <c r="J224" s="783">
        <v>20</v>
      </c>
      <c r="K224" s="783" t="s">
        <v>140</v>
      </c>
      <c r="L224" s="783" t="s">
        <v>4096</v>
      </c>
      <c r="M224" s="784">
        <v>12164.8</v>
      </c>
      <c r="N224" s="784">
        <v>7.89</v>
      </c>
      <c r="O224" s="784">
        <v>5.93</v>
      </c>
      <c r="P224" s="783">
        <v>260</v>
      </c>
      <c r="Q224" s="783">
        <v>1170.25</v>
      </c>
      <c r="R224" s="783">
        <v>636.69000000000005</v>
      </c>
      <c r="S224" s="783">
        <v>123.61</v>
      </c>
      <c r="T224" s="783">
        <v>409.95</v>
      </c>
      <c r="U224" s="785">
        <v>44631.626898148097</v>
      </c>
    </row>
    <row r="225" spans="1:21">
      <c r="A225" s="782">
        <v>44546</v>
      </c>
      <c r="B225" s="783" t="s">
        <v>74</v>
      </c>
      <c r="C225" s="783" t="s">
        <v>4097</v>
      </c>
      <c r="D225" s="783" t="s">
        <v>4038</v>
      </c>
      <c r="E225" s="783" t="s">
        <v>4337</v>
      </c>
      <c r="F225" s="783" t="s">
        <v>4011</v>
      </c>
      <c r="G225" s="783" t="str">
        <f t="shared" si="10"/>
        <v>New Contract</v>
      </c>
      <c r="H225" s="783" t="s">
        <v>4338</v>
      </c>
      <c r="I225" s="783" t="s">
        <v>4339</v>
      </c>
      <c r="J225" s="783">
        <v>20</v>
      </c>
      <c r="K225" s="783" t="s">
        <v>140</v>
      </c>
      <c r="L225" s="783" t="s">
        <v>4096</v>
      </c>
      <c r="M225" s="784">
        <v>11575.95</v>
      </c>
      <c r="N225" s="784">
        <v>6.74</v>
      </c>
      <c r="O225" s="784">
        <v>6.87</v>
      </c>
      <c r="P225" s="783">
        <v>250</v>
      </c>
      <c r="Q225" s="783">
        <v>919.13</v>
      </c>
      <c r="R225" s="783">
        <v>533.65</v>
      </c>
      <c r="S225" s="783">
        <v>81.03</v>
      </c>
      <c r="T225" s="783">
        <v>304.45</v>
      </c>
      <c r="U225" s="785">
        <v>44631.631157407399</v>
      </c>
    </row>
    <row r="226" spans="1:21">
      <c r="A226" s="782">
        <v>44553</v>
      </c>
      <c r="B226" s="783" t="s">
        <v>41</v>
      </c>
      <c r="C226" s="783" t="s">
        <v>4092</v>
      </c>
      <c r="D226" s="783" t="s">
        <v>4009</v>
      </c>
      <c r="E226" s="783" t="s">
        <v>4616</v>
      </c>
      <c r="F226" s="783" t="s">
        <v>4011</v>
      </c>
      <c r="G226" s="783" t="str">
        <f t="shared" si="10"/>
        <v>Renewal (25% in 2020)</v>
      </c>
      <c r="H226" s="783" t="s">
        <v>4617</v>
      </c>
      <c r="I226" s="783" t="s">
        <v>4618</v>
      </c>
      <c r="J226" s="783">
        <v>25</v>
      </c>
      <c r="K226" s="783" t="s">
        <v>140</v>
      </c>
      <c r="L226" s="783" t="s">
        <v>4096</v>
      </c>
      <c r="M226" s="784">
        <v>3235.68</v>
      </c>
      <c r="N226" s="784">
        <v>3.36</v>
      </c>
      <c r="O226" s="784">
        <v>4.28</v>
      </c>
      <c r="P226" s="783">
        <v>225</v>
      </c>
      <c r="Q226" s="783">
        <v>208.38</v>
      </c>
      <c r="R226" s="783">
        <v>162.75</v>
      </c>
      <c r="S226" s="783">
        <v>27.18</v>
      </c>
      <c r="T226" s="783">
        <v>18.440000000000001</v>
      </c>
      <c r="U226" s="785">
        <v>44631.6308333333</v>
      </c>
    </row>
    <row r="227" spans="1:21">
      <c r="A227" s="782">
        <v>44547</v>
      </c>
      <c r="B227" s="783" t="s">
        <v>41</v>
      </c>
      <c r="C227" s="783" t="s">
        <v>4092</v>
      </c>
      <c r="D227" s="783" t="s">
        <v>4009</v>
      </c>
      <c r="E227" s="783" t="s">
        <v>4340</v>
      </c>
      <c r="F227" s="783" t="s">
        <v>4011</v>
      </c>
      <c r="G227" s="783" t="str">
        <f t="shared" si="10"/>
        <v>New Contract</v>
      </c>
      <c r="H227" s="783" t="s">
        <v>4341</v>
      </c>
      <c r="I227" s="783" t="s">
        <v>4342</v>
      </c>
      <c r="J227" s="783">
        <v>25</v>
      </c>
      <c r="K227" s="783" t="s">
        <v>140</v>
      </c>
      <c r="L227" s="783" t="s">
        <v>4096</v>
      </c>
      <c r="M227" s="784">
        <v>25792.5</v>
      </c>
      <c r="N227" s="784">
        <v>19</v>
      </c>
      <c r="O227" s="784">
        <v>5.43</v>
      </c>
      <c r="P227" s="783">
        <v>250</v>
      </c>
      <c r="Q227" s="783">
        <v>1661.04</v>
      </c>
      <c r="R227" s="783">
        <v>1297.3599999999999</v>
      </c>
      <c r="S227" s="783">
        <v>216.66</v>
      </c>
      <c r="T227" s="783">
        <v>147.02000000000001</v>
      </c>
      <c r="U227" s="785">
        <v>44631.634305555599</v>
      </c>
    </row>
    <row r="228" spans="1:21">
      <c r="A228" s="782">
        <v>44555</v>
      </c>
      <c r="B228" s="783" t="s">
        <v>74</v>
      </c>
      <c r="C228" s="783" t="s">
        <v>4037</v>
      </c>
      <c r="D228" s="783" t="s">
        <v>4038</v>
      </c>
      <c r="E228" s="783" t="s">
        <v>4343</v>
      </c>
      <c r="F228" s="783" t="s">
        <v>4011</v>
      </c>
      <c r="G228" s="783" t="s">
        <v>4028</v>
      </c>
      <c r="H228" s="783" t="s">
        <v>4344</v>
      </c>
      <c r="I228" s="783" t="s">
        <v>4345</v>
      </c>
      <c r="J228" s="783">
        <v>30</v>
      </c>
      <c r="K228" s="783" t="s">
        <v>140</v>
      </c>
      <c r="L228" s="783" t="s">
        <v>4096</v>
      </c>
      <c r="M228" s="784">
        <v>22384.080000000002</v>
      </c>
      <c r="N228" s="784">
        <v>19.28</v>
      </c>
      <c r="O228" s="784">
        <v>4.3</v>
      </c>
      <c r="P228" s="783">
        <v>270</v>
      </c>
      <c r="Q228" s="783">
        <v>1501.97</v>
      </c>
      <c r="R228" s="783">
        <v>1128.1600000000001</v>
      </c>
      <c r="S228" s="783">
        <v>80.58</v>
      </c>
      <c r="T228" s="783">
        <v>293.23</v>
      </c>
      <c r="U228" s="785">
        <v>44631.6307407407</v>
      </c>
    </row>
    <row r="229" spans="1:21">
      <c r="A229" s="782">
        <v>44552</v>
      </c>
      <c r="B229" s="783" t="s">
        <v>74</v>
      </c>
      <c r="C229" s="783" t="s">
        <v>4097</v>
      </c>
      <c r="D229" s="783" t="s">
        <v>4038</v>
      </c>
      <c r="E229" s="783" t="s">
        <v>1621</v>
      </c>
      <c r="F229" s="783" t="s">
        <v>4011</v>
      </c>
      <c r="G229" s="783" t="str">
        <f t="shared" ref="G229:G235" si="11">VLOOKUP(I229,pacage,2,FALSE)</f>
        <v>Renewal (20% in 2020)</v>
      </c>
      <c r="H229" s="783" t="s">
        <v>4346</v>
      </c>
      <c r="I229" s="783" t="s">
        <v>4347</v>
      </c>
      <c r="J229" s="783">
        <v>25</v>
      </c>
      <c r="K229" s="783" t="s">
        <v>140</v>
      </c>
      <c r="L229" s="783" t="s">
        <v>4096</v>
      </c>
      <c r="M229" s="784">
        <v>12544</v>
      </c>
      <c r="N229" s="784">
        <v>8</v>
      </c>
      <c r="O229" s="784">
        <v>5.6</v>
      </c>
      <c r="P229" s="783">
        <v>280</v>
      </c>
      <c r="Q229" s="783">
        <v>775.22</v>
      </c>
      <c r="R229" s="783">
        <v>520.45000000000005</v>
      </c>
      <c r="S229" s="783">
        <v>145.63999999999999</v>
      </c>
      <c r="T229" s="783">
        <v>109.13</v>
      </c>
      <c r="U229" s="785">
        <v>44631.631122685198</v>
      </c>
    </row>
    <row r="230" spans="1:21">
      <c r="A230" s="782">
        <v>44544</v>
      </c>
      <c r="B230" s="783" t="s">
        <v>41</v>
      </c>
      <c r="C230" s="783" t="s">
        <v>4008</v>
      </c>
      <c r="D230" s="783" t="s">
        <v>4009</v>
      </c>
      <c r="E230" s="783" t="s">
        <v>4619</v>
      </c>
      <c r="F230" s="783" t="s">
        <v>4011</v>
      </c>
      <c r="G230" s="783" t="str">
        <f t="shared" si="11"/>
        <v>Renewal (20% in 2020)</v>
      </c>
      <c r="H230" s="783" t="s">
        <v>4620</v>
      </c>
      <c r="I230" s="783" t="s">
        <v>4621</v>
      </c>
      <c r="J230" s="783">
        <v>25</v>
      </c>
      <c r="K230" s="783" t="s">
        <v>140</v>
      </c>
      <c r="L230" s="783" t="s">
        <v>4096</v>
      </c>
      <c r="M230" s="784">
        <v>15098.58</v>
      </c>
      <c r="N230" s="784">
        <v>9.66</v>
      </c>
      <c r="O230" s="784">
        <v>5.21</v>
      </c>
      <c r="P230" s="783">
        <v>300</v>
      </c>
      <c r="Q230" s="783">
        <v>972.35</v>
      </c>
      <c r="R230" s="783">
        <v>612.58000000000004</v>
      </c>
      <c r="S230" s="783">
        <v>225.39</v>
      </c>
      <c r="T230" s="783">
        <v>134.38</v>
      </c>
      <c r="U230" s="785">
        <v>44631.630798611099</v>
      </c>
    </row>
    <row r="231" spans="1:21">
      <c r="A231" s="782">
        <v>44551</v>
      </c>
      <c r="B231" s="783" t="s">
        <v>397</v>
      </c>
      <c r="C231" s="783" t="s">
        <v>4511</v>
      </c>
      <c r="D231" s="783" t="s">
        <v>4512</v>
      </c>
      <c r="E231" s="783" t="s">
        <v>4622</v>
      </c>
      <c r="F231" s="783" t="s">
        <v>4011</v>
      </c>
      <c r="G231" s="783" t="str">
        <f t="shared" si="11"/>
        <v>Renewal (20% in 2020)</v>
      </c>
      <c r="H231" s="783" t="s">
        <v>4623</v>
      </c>
      <c r="I231" s="783" t="s">
        <v>4624</v>
      </c>
      <c r="J231" s="783">
        <v>30</v>
      </c>
      <c r="K231" s="783" t="s">
        <v>140</v>
      </c>
      <c r="L231" s="783" t="s">
        <v>4096</v>
      </c>
      <c r="M231" s="784">
        <v>36185.82</v>
      </c>
      <c r="N231" s="784">
        <v>22</v>
      </c>
      <c r="O231" s="784">
        <v>5.03</v>
      </c>
      <c r="P231" s="783">
        <v>327</v>
      </c>
      <c r="Q231" s="783">
        <v>1726.06</v>
      </c>
      <c r="R231" s="783">
        <v>1134.97</v>
      </c>
      <c r="S231" s="783">
        <v>337.79</v>
      </c>
      <c r="T231" s="783">
        <v>253.3</v>
      </c>
      <c r="U231" s="785">
        <v>44631.630891203698</v>
      </c>
    </row>
    <row r="232" spans="1:21">
      <c r="A232" s="782">
        <v>44680</v>
      </c>
      <c r="B232" s="783" t="s">
        <v>228</v>
      </c>
      <c r="C232" s="783" t="s">
        <v>4625</v>
      </c>
      <c r="D232" s="783" t="s">
        <v>4248</v>
      </c>
      <c r="E232" s="783" t="s">
        <v>4626</v>
      </c>
      <c r="F232" s="783" t="s">
        <v>4011</v>
      </c>
      <c r="G232" s="783" t="str">
        <f t="shared" si="11"/>
        <v>New Contract</v>
      </c>
      <c r="H232" s="783" t="s">
        <v>4627</v>
      </c>
      <c r="I232" s="783" t="s">
        <v>4628</v>
      </c>
      <c r="J232" s="783">
        <v>25</v>
      </c>
      <c r="K232" s="783" t="s">
        <v>140</v>
      </c>
      <c r="L232" s="783" t="s">
        <v>4096</v>
      </c>
      <c r="M232" s="784">
        <v>72766.5</v>
      </c>
      <c r="N232" s="784">
        <v>34.75</v>
      </c>
      <c r="O232" s="784">
        <v>6.98</v>
      </c>
      <c r="P232" s="783">
        <v>300</v>
      </c>
      <c r="Q232" s="783">
        <v>2612.3200000000002</v>
      </c>
      <c r="R232" s="783">
        <v>1735.92</v>
      </c>
      <c r="S232" s="783">
        <v>628.99</v>
      </c>
      <c r="T232" s="783">
        <v>247.41</v>
      </c>
      <c r="U232" s="785">
        <v>44680.726504629602</v>
      </c>
    </row>
    <row r="233" spans="1:21">
      <c r="A233" s="782">
        <v>44681</v>
      </c>
      <c r="B233" s="783" t="s">
        <v>34</v>
      </c>
      <c r="C233" s="783" t="s">
        <v>4082</v>
      </c>
      <c r="D233" s="783" t="s">
        <v>4009</v>
      </c>
      <c r="E233" s="783" t="s">
        <v>4629</v>
      </c>
      <c r="F233" s="783" t="s">
        <v>4011</v>
      </c>
      <c r="G233" s="783" t="str">
        <f t="shared" si="11"/>
        <v>Renewal (20% in 2020)</v>
      </c>
      <c r="H233" s="783" t="s">
        <v>4630</v>
      </c>
      <c r="I233" s="783" t="s">
        <v>4631</v>
      </c>
      <c r="J233" s="783">
        <v>20</v>
      </c>
      <c r="K233" s="783" t="s">
        <v>140</v>
      </c>
      <c r="L233" s="783" t="s">
        <v>4096</v>
      </c>
      <c r="M233" s="784">
        <v>3248.6</v>
      </c>
      <c r="N233" s="784">
        <v>2.96</v>
      </c>
      <c r="O233" s="784">
        <v>4.3899999999999997</v>
      </c>
      <c r="P233" s="783">
        <v>250</v>
      </c>
      <c r="Q233" s="783">
        <v>266.39</v>
      </c>
      <c r="R233" s="783">
        <v>160.81</v>
      </c>
      <c r="S233" s="783">
        <v>26.31</v>
      </c>
      <c r="T233" s="783">
        <v>79.27</v>
      </c>
      <c r="U233" s="785">
        <v>44683.416793981502</v>
      </c>
    </row>
    <row r="234" spans="1:21">
      <c r="A234" s="782">
        <v>44708</v>
      </c>
      <c r="B234" s="783" t="s">
        <v>41</v>
      </c>
      <c r="C234" s="783" t="s">
        <v>4082</v>
      </c>
      <c r="D234" s="783" t="s">
        <v>4009</v>
      </c>
      <c r="E234" s="783" t="s">
        <v>4632</v>
      </c>
      <c r="F234" s="783" t="s">
        <v>4011</v>
      </c>
      <c r="G234" s="783" t="str">
        <f t="shared" si="11"/>
        <v>Renewal (15% in 2020)</v>
      </c>
      <c r="H234" s="783" t="s">
        <v>4633</v>
      </c>
      <c r="I234" s="783" t="s">
        <v>4634</v>
      </c>
      <c r="J234" s="783">
        <v>15</v>
      </c>
      <c r="K234" s="783" t="s">
        <v>140</v>
      </c>
      <c r="L234" s="783" t="s">
        <v>4096</v>
      </c>
      <c r="M234" s="784">
        <v>17909.5</v>
      </c>
      <c r="N234" s="784">
        <v>11.9</v>
      </c>
      <c r="O234" s="784">
        <v>6.02</v>
      </c>
      <c r="P234" s="783">
        <v>250</v>
      </c>
      <c r="Q234" s="783">
        <v>1973.63</v>
      </c>
      <c r="R234" s="783">
        <v>886.52</v>
      </c>
      <c r="S234" s="783">
        <v>145.07</v>
      </c>
      <c r="T234" s="783">
        <v>942.04</v>
      </c>
      <c r="U234" s="785">
        <v>44711.537106481497</v>
      </c>
    </row>
    <row r="235" spans="1:21">
      <c r="A235" s="782">
        <v>44681</v>
      </c>
      <c r="B235" s="783" t="s">
        <v>74</v>
      </c>
      <c r="C235" s="783" t="s">
        <v>4097</v>
      </c>
      <c r="D235" s="783" t="s">
        <v>4038</v>
      </c>
      <c r="E235" s="783" t="s">
        <v>4635</v>
      </c>
      <c r="F235" s="783" t="s">
        <v>4011</v>
      </c>
      <c r="G235" s="783" t="str">
        <f t="shared" si="11"/>
        <v>Renewal (25% in 2020)</v>
      </c>
      <c r="H235" s="783" t="s">
        <v>4636</v>
      </c>
      <c r="I235" s="783" t="s">
        <v>4637</v>
      </c>
      <c r="J235" s="783">
        <v>25</v>
      </c>
      <c r="K235" s="783" t="s">
        <v>140</v>
      </c>
      <c r="L235" s="783" t="s">
        <v>4096</v>
      </c>
      <c r="M235" s="784">
        <v>26863.200000000001</v>
      </c>
      <c r="N235" s="784">
        <v>19.68</v>
      </c>
      <c r="O235" s="784">
        <v>5.46</v>
      </c>
      <c r="P235" s="783">
        <v>250</v>
      </c>
      <c r="Q235" s="783">
        <v>1660.15</v>
      </c>
      <c r="R235" s="783">
        <v>1238.3900000000001</v>
      </c>
      <c r="S235" s="783">
        <v>188.04</v>
      </c>
      <c r="T235" s="783">
        <v>233.71</v>
      </c>
      <c r="U235" s="785">
        <v>44683.46</v>
      </c>
    </row>
    <row r="236" spans="1:21">
      <c r="A236" s="782">
        <v>44678</v>
      </c>
      <c r="B236" s="783" t="s">
        <v>74</v>
      </c>
      <c r="C236" s="783" t="s">
        <v>4097</v>
      </c>
      <c r="D236" s="783" t="s">
        <v>4038</v>
      </c>
      <c r="E236" s="783" t="s">
        <v>4361</v>
      </c>
      <c r="F236" s="783" t="s">
        <v>4011</v>
      </c>
      <c r="G236" s="783" t="s">
        <v>4028</v>
      </c>
      <c r="H236" s="783" t="s">
        <v>4362</v>
      </c>
      <c r="I236" s="783" t="s">
        <v>4363</v>
      </c>
      <c r="J236" s="783">
        <v>15</v>
      </c>
      <c r="K236" s="783" t="s">
        <v>140</v>
      </c>
      <c r="L236" s="783" t="s">
        <v>4096</v>
      </c>
      <c r="M236" s="784">
        <v>23018.31</v>
      </c>
      <c r="N236" s="784">
        <v>19.23</v>
      </c>
      <c r="O236" s="784">
        <v>6.3</v>
      </c>
      <c r="P236" s="783">
        <v>190</v>
      </c>
      <c r="Q236" s="783">
        <v>2423.83</v>
      </c>
      <c r="R236" s="783">
        <v>1061.1400000000001</v>
      </c>
      <c r="S236" s="783">
        <v>161.13</v>
      </c>
      <c r="T236" s="783">
        <v>1201.56</v>
      </c>
      <c r="U236" s="785">
        <v>44680.483090277798</v>
      </c>
    </row>
    <row r="237" spans="1:21">
      <c r="A237" s="782">
        <v>44680</v>
      </c>
      <c r="B237" s="783" t="s">
        <v>47</v>
      </c>
      <c r="C237" s="783" t="s">
        <v>4101</v>
      </c>
      <c r="D237" s="783" t="s">
        <v>4102</v>
      </c>
      <c r="E237" s="783" t="s">
        <v>4638</v>
      </c>
      <c r="F237" s="783" t="s">
        <v>4011</v>
      </c>
      <c r="G237" s="783" t="str">
        <f>VLOOKUP(I237,pacage,2,FALSE)</f>
        <v>Renewal (15% in 2020)</v>
      </c>
      <c r="H237" s="783" t="s">
        <v>4639</v>
      </c>
      <c r="I237" s="783" t="s">
        <v>4640</v>
      </c>
      <c r="J237" s="783">
        <v>15</v>
      </c>
      <c r="K237" s="783" t="s">
        <v>140</v>
      </c>
      <c r="L237" s="783" t="s">
        <v>4096</v>
      </c>
      <c r="M237" s="784">
        <v>12421.25</v>
      </c>
      <c r="N237" s="784">
        <v>9.5</v>
      </c>
      <c r="O237" s="784">
        <v>5.23</v>
      </c>
      <c r="P237" s="783">
        <v>250</v>
      </c>
      <c r="Q237" s="783">
        <v>834.71</v>
      </c>
      <c r="R237" s="783">
        <v>377.61</v>
      </c>
      <c r="S237" s="783">
        <v>55.9</v>
      </c>
      <c r="T237" s="783">
        <v>401.21</v>
      </c>
      <c r="U237" s="785">
        <v>44683.488113425898</v>
      </c>
    </row>
    <row r="238" spans="1:21">
      <c r="A238" s="782">
        <v>44706</v>
      </c>
      <c r="B238" s="783" t="s">
        <v>41</v>
      </c>
      <c r="C238" s="783" t="s">
        <v>4092</v>
      </c>
      <c r="D238" s="783" t="s">
        <v>4009</v>
      </c>
      <c r="E238" s="783" t="s">
        <v>4641</v>
      </c>
      <c r="F238" s="783" t="s">
        <v>4011</v>
      </c>
      <c r="G238" s="783" t="str">
        <f>VLOOKUP(I238,pacage,2,FALSE)</f>
        <v>Renewal (15% in 2020)</v>
      </c>
      <c r="H238" s="783" t="s">
        <v>4642</v>
      </c>
      <c r="I238" s="783" t="s">
        <v>4643</v>
      </c>
      <c r="J238" s="783">
        <v>20</v>
      </c>
      <c r="K238" s="783" t="s">
        <v>140</v>
      </c>
      <c r="L238" s="783" t="s">
        <v>4096</v>
      </c>
      <c r="M238" s="784">
        <v>11638.68</v>
      </c>
      <c r="N238" s="784">
        <v>6.39</v>
      </c>
      <c r="O238" s="784">
        <v>5.57</v>
      </c>
      <c r="P238" s="783">
        <v>327</v>
      </c>
      <c r="Q238" s="783">
        <v>972.99</v>
      </c>
      <c r="R238" s="783">
        <v>451.15</v>
      </c>
      <c r="S238" s="783">
        <v>232.04</v>
      </c>
      <c r="T238" s="783">
        <v>289.8</v>
      </c>
      <c r="U238" s="785">
        <v>44706.619212963</v>
      </c>
    </row>
    <row r="239" spans="1:21">
      <c r="A239" s="782">
        <v>44706</v>
      </c>
      <c r="B239" s="783" t="s">
        <v>113</v>
      </c>
      <c r="C239" s="783" t="s">
        <v>4097</v>
      </c>
      <c r="D239" s="783" t="s">
        <v>4038</v>
      </c>
      <c r="E239" s="783" t="s">
        <v>4644</v>
      </c>
      <c r="F239" s="783" t="s">
        <v>4011</v>
      </c>
      <c r="G239" s="783" t="str">
        <f>VLOOKUP(I239,pacage,2,FALSE)</f>
        <v>Renewal (15% in 2020)</v>
      </c>
      <c r="H239" s="783" t="s">
        <v>4645</v>
      </c>
      <c r="I239" s="783" t="s">
        <v>4646</v>
      </c>
      <c r="J239" s="783">
        <v>15</v>
      </c>
      <c r="K239" s="783" t="s">
        <v>140</v>
      </c>
      <c r="L239" s="783" t="s">
        <v>4096</v>
      </c>
      <c r="M239" s="784">
        <v>10629.36</v>
      </c>
      <c r="N239" s="784">
        <v>10.36</v>
      </c>
      <c r="O239" s="784">
        <v>5.13</v>
      </c>
      <c r="P239" s="783">
        <v>200</v>
      </c>
      <c r="Q239" s="783">
        <v>1119.27</v>
      </c>
      <c r="R239" s="783">
        <v>490.01</v>
      </c>
      <c r="S239" s="783">
        <v>74.41</v>
      </c>
      <c r="T239" s="783">
        <v>554.85</v>
      </c>
      <c r="U239" s="785">
        <v>44706.638182870403</v>
      </c>
    </row>
    <row r="240" spans="1:21">
      <c r="A240" s="782">
        <v>44705</v>
      </c>
      <c r="B240" s="783" t="s">
        <v>41</v>
      </c>
      <c r="C240" s="783" t="s">
        <v>4082</v>
      </c>
      <c r="D240" s="783" t="s">
        <v>4009</v>
      </c>
      <c r="E240" s="783" t="s">
        <v>1024</v>
      </c>
      <c r="F240" s="783" t="s">
        <v>4011</v>
      </c>
      <c r="G240" s="783" t="str">
        <f>VLOOKUP(I240,pacage,2,FALSE)</f>
        <v>Renewal (20% in 2020)</v>
      </c>
      <c r="H240" s="783" t="s">
        <v>4150</v>
      </c>
      <c r="I240" s="783" t="s">
        <v>4151</v>
      </c>
      <c r="J240" s="783">
        <v>20</v>
      </c>
      <c r="K240" s="783" t="s">
        <v>140</v>
      </c>
      <c r="L240" s="783" t="s">
        <v>4096</v>
      </c>
      <c r="M240" s="784">
        <v>9474.2999999999993</v>
      </c>
      <c r="N240" s="784">
        <v>7.25</v>
      </c>
      <c r="O240" s="784">
        <v>5.94</v>
      </c>
      <c r="P240" s="783">
        <v>220</v>
      </c>
      <c r="Q240" s="783">
        <v>776.89</v>
      </c>
      <c r="R240" s="783">
        <v>468.98</v>
      </c>
      <c r="S240" s="783">
        <v>76.739999999999995</v>
      </c>
      <c r="T240" s="783">
        <v>231.17</v>
      </c>
      <c r="U240" s="785">
        <v>44705.577129629601</v>
      </c>
    </row>
    <row r="241" spans="1:21">
      <c r="A241" s="782">
        <v>44712</v>
      </c>
      <c r="B241" s="783" t="s">
        <v>228</v>
      </c>
      <c r="C241" s="783" t="s">
        <v>4354</v>
      </c>
      <c r="D241" s="783" t="s">
        <v>4009</v>
      </c>
      <c r="E241" s="783" t="s">
        <v>4647</v>
      </c>
      <c r="F241" s="783" t="s">
        <v>4011</v>
      </c>
      <c r="G241" s="783" t="s">
        <v>4028</v>
      </c>
      <c r="H241" s="783" t="s">
        <v>4648</v>
      </c>
      <c r="I241" s="783" t="s">
        <v>4649</v>
      </c>
      <c r="J241" s="783">
        <v>25</v>
      </c>
      <c r="K241" s="783" t="s">
        <v>140</v>
      </c>
      <c r="L241" s="783" t="s">
        <v>4096</v>
      </c>
      <c r="M241" s="784">
        <v>14342.22</v>
      </c>
      <c r="N241" s="784">
        <v>7.31</v>
      </c>
      <c r="O241" s="784">
        <v>6</v>
      </c>
      <c r="P241" s="783">
        <v>327</v>
      </c>
      <c r="Q241" s="783">
        <v>927.94</v>
      </c>
      <c r="R241" s="783">
        <v>516.16</v>
      </c>
      <c r="S241" s="783">
        <v>258.32</v>
      </c>
      <c r="T241" s="783">
        <v>153.46</v>
      </c>
      <c r="U241" s="785">
        <v>44714.015439814801</v>
      </c>
    </row>
    <row r="242" spans="1:21">
      <c r="A242" s="782">
        <v>44711</v>
      </c>
      <c r="B242" s="783" t="s">
        <v>65</v>
      </c>
      <c r="C242" s="783" t="s">
        <v>4152</v>
      </c>
      <c r="D242" s="783" t="s">
        <v>4102</v>
      </c>
      <c r="E242" s="783" t="s">
        <v>1769</v>
      </c>
      <c r="F242" s="783" t="s">
        <v>4011</v>
      </c>
      <c r="G242" s="783" t="str">
        <f t="shared" ref="G242:G248" si="12">VLOOKUP(I242,pacage,2,FALSE)</f>
        <v>Renewal (20% in 2020)</v>
      </c>
      <c r="H242" s="783" t="s">
        <v>4153</v>
      </c>
      <c r="I242" s="783" t="s">
        <v>4154</v>
      </c>
      <c r="J242" s="783">
        <v>20</v>
      </c>
      <c r="K242" s="783" t="s">
        <v>140</v>
      </c>
      <c r="L242" s="783" t="s">
        <v>4096</v>
      </c>
      <c r="M242" s="784">
        <v>29772.94</v>
      </c>
      <c r="N242" s="784">
        <v>16.829999999999998</v>
      </c>
      <c r="O242" s="784">
        <v>5.4</v>
      </c>
      <c r="P242" s="783">
        <v>327.60000000000002</v>
      </c>
      <c r="Q242" s="783">
        <v>1446.97</v>
      </c>
      <c r="R242" s="783">
        <v>675.62</v>
      </c>
      <c r="S242" s="783">
        <v>330.71</v>
      </c>
      <c r="T242" s="783">
        <v>440.64</v>
      </c>
      <c r="U242" s="785">
        <v>44713.613587963002</v>
      </c>
    </row>
    <row r="243" spans="1:21">
      <c r="A243" s="782">
        <v>44711</v>
      </c>
      <c r="B243" s="783" t="s">
        <v>74</v>
      </c>
      <c r="C243" s="783" t="s">
        <v>4097</v>
      </c>
      <c r="D243" s="783" t="s">
        <v>4038</v>
      </c>
      <c r="E243" s="783" t="s">
        <v>4370</v>
      </c>
      <c r="F243" s="783" t="s">
        <v>4011</v>
      </c>
      <c r="G243" s="783" t="str">
        <f t="shared" si="12"/>
        <v>Renewal (20% in 2020)</v>
      </c>
      <c r="H243" s="783" t="s">
        <v>4371</v>
      </c>
      <c r="I243" s="783" t="s">
        <v>4372</v>
      </c>
      <c r="J243" s="783">
        <v>20</v>
      </c>
      <c r="K243" s="783" t="s">
        <v>140</v>
      </c>
      <c r="L243" s="783" t="s">
        <v>4096</v>
      </c>
      <c r="M243" s="784">
        <v>50977.62</v>
      </c>
      <c r="N243" s="784">
        <v>28.18</v>
      </c>
      <c r="O243" s="784">
        <v>6.03</v>
      </c>
      <c r="P243" s="783">
        <v>300</v>
      </c>
      <c r="Q243" s="783">
        <v>4047.62</v>
      </c>
      <c r="R243" s="783">
        <v>1974.06</v>
      </c>
      <c r="S243" s="783">
        <v>732.85</v>
      </c>
      <c r="T243" s="783">
        <v>1340.71</v>
      </c>
      <c r="U243" s="785">
        <v>44713.987743055601</v>
      </c>
    </row>
    <row r="244" spans="1:21">
      <c r="A244" s="782">
        <v>44711</v>
      </c>
      <c r="B244" s="783" t="s">
        <v>74</v>
      </c>
      <c r="C244" s="783" t="s">
        <v>4037</v>
      </c>
      <c r="D244" s="783" t="s">
        <v>4038</v>
      </c>
      <c r="E244" s="783" t="s">
        <v>4370</v>
      </c>
      <c r="F244" s="783" t="s">
        <v>4011</v>
      </c>
      <c r="G244" s="783" t="str">
        <f t="shared" si="12"/>
        <v>Renewal (20% in 2020)</v>
      </c>
      <c r="H244" s="783" t="s">
        <v>4371</v>
      </c>
      <c r="I244" s="783" t="s">
        <v>4372</v>
      </c>
      <c r="J244" s="783">
        <v>20</v>
      </c>
      <c r="K244" s="783" t="s">
        <v>140</v>
      </c>
      <c r="L244" s="783" t="s">
        <v>4096</v>
      </c>
      <c r="M244" s="784">
        <v>20738.38</v>
      </c>
      <c r="N244" s="784">
        <v>14.33</v>
      </c>
      <c r="O244" s="784">
        <v>6.03</v>
      </c>
      <c r="P244" s="783">
        <v>240</v>
      </c>
      <c r="Q244" s="783">
        <v>1995.03</v>
      </c>
      <c r="R244" s="783">
        <v>1119.8699999999999</v>
      </c>
      <c r="S244" s="783">
        <v>176.28</v>
      </c>
      <c r="T244" s="783">
        <v>698.88</v>
      </c>
      <c r="U244" s="785">
        <v>44713.987743055601</v>
      </c>
    </row>
    <row r="245" spans="1:21">
      <c r="A245" s="782">
        <v>44711</v>
      </c>
      <c r="B245" s="783" t="s">
        <v>113</v>
      </c>
      <c r="C245" s="783" t="s">
        <v>4097</v>
      </c>
      <c r="D245" s="783" t="s">
        <v>4038</v>
      </c>
      <c r="E245" s="783" t="s">
        <v>4373</v>
      </c>
      <c r="F245" s="783" t="s">
        <v>4011</v>
      </c>
      <c r="G245" s="783" t="str">
        <f t="shared" si="12"/>
        <v>Renewal (15% in 2020)</v>
      </c>
      <c r="H245" s="783" t="s">
        <v>4374</v>
      </c>
      <c r="I245" s="783" t="s">
        <v>4375</v>
      </c>
      <c r="J245" s="783">
        <v>15</v>
      </c>
      <c r="K245" s="783" t="s">
        <v>140</v>
      </c>
      <c r="L245" s="783" t="s">
        <v>4096</v>
      </c>
      <c r="M245" s="784">
        <v>18186.400000000001</v>
      </c>
      <c r="N245" s="784">
        <v>17.899999999999999</v>
      </c>
      <c r="O245" s="784">
        <v>5.08</v>
      </c>
      <c r="P245" s="783">
        <v>200</v>
      </c>
      <c r="Q245" s="783">
        <v>1915.03</v>
      </c>
      <c r="R245" s="783">
        <v>838.39</v>
      </c>
      <c r="S245" s="783">
        <v>127.3</v>
      </c>
      <c r="T245" s="783">
        <v>949.33</v>
      </c>
      <c r="U245" s="785">
        <v>44713.979664351798</v>
      </c>
    </row>
    <row r="246" spans="1:21">
      <c r="A246" s="782">
        <v>44712</v>
      </c>
      <c r="B246" s="783" t="s">
        <v>47</v>
      </c>
      <c r="C246" s="783" t="s">
        <v>4101</v>
      </c>
      <c r="D246" s="783" t="s">
        <v>4102</v>
      </c>
      <c r="E246" s="783" t="s">
        <v>406</v>
      </c>
      <c r="F246" s="783" t="s">
        <v>4011</v>
      </c>
      <c r="G246" s="783" t="str">
        <f t="shared" si="12"/>
        <v>Renewal (20% in 2020)</v>
      </c>
      <c r="H246" s="783" t="s">
        <v>4262</v>
      </c>
      <c r="I246" s="783" t="s">
        <v>4263</v>
      </c>
      <c r="J246" s="783">
        <v>20</v>
      </c>
      <c r="K246" s="783" t="s">
        <v>140</v>
      </c>
      <c r="L246" s="783" t="s">
        <v>4096</v>
      </c>
      <c r="M246" s="784">
        <v>20957.79</v>
      </c>
      <c r="N246" s="784">
        <v>16.510000000000002</v>
      </c>
      <c r="O246" s="784">
        <v>5.77</v>
      </c>
      <c r="P246" s="783">
        <v>220</v>
      </c>
      <c r="Q246" s="783">
        <v>1052.08</v>
      </c>
      <c r="R246" s="783">
        <v>637.12</v>
      </c>
      <c r="S246" s="783">
        <v>94.31</v>
      </c>
      <c r="T246" s="783">
        <v>320.64999999999998</v>
      </c>
      <c r="U246" s="785">
        <v>44714.4746296296</v>
      </c>
    </row>
    <row r="247" spans="1:21">
      <c r="A247" s="782">
        <v>44712</v>
      </c>
      <c r="B247" s="783" t="s">
        <v>41</v>
      </c>
      <c r="C247" s="783" t="s">
        <v>4139</v>
      </c>
      <c r="D247" s="783" t="s">
        <v>4009</v>
      </c>
      <c r="E247" s="783" t="s">
        <v>4650</v>
      </c>
      <c r="F247" s="783" t="s">
        <v>4011</v>
      </c>
      <c r="G247" s="783" t="str">
        <f t="shared" si="12"/>
        <v>Renewal (20% in 2020)</v>
      </c>
      <c r="H247" s="783" t="s">
        <v>4651</v>
      </c>
      <c r="I247" s="783" t="s">
        <v>4652</v>
      </c>
      <c r="J247" s="783">
        <v>20</v>
      </c>
      <c r="K247" s="783" t="s">
        <v>140</v>
      </c>
      <c r="L247" s="783" t="s">
        <v>4096</v>
      </c>
      <c r="M247" s="784">
        <v>7382.63</v>
      </c>
      <c r="N247" s="784">
        <v>6.18</v>
      </c>
      <c r="O247" s="784">
        <v>5.43</v>
      </c>
      <c r="P247" s="783">
        <v>220</v>
      </c>
      <c r="Q247" s="783">
        <v>544.1</v>
      </c>
      <c r="R247" s="783">
        <v>332.96</v>
      </c>
      <c r="S247" s="783">
        <v>50.2</v>
      </c>
      <c r="T247" s="783">
        <v>160.94</v>
      </c>
      <c r="U247" s="785">
        <v>44714.576562499999</v>
      </c>
    </row>
    <row r="248" spans="1:21">
      <c r="A248" s="782">
        <v>44712</v>
      </c>
      <c r="B248" s="783" t="s">
        <v>41</v>
      </c>
      <c r="C248" s="783" t="s">
        <v>4092</v>
      </c>
      <c r="D248" s="783" t="s">
        <v>4009</v>
      </c>
      <c r="E248" s="783" t="s">
        <v>605</v>
      </c>
      <c r="F248" s="783" t="s">
        <v>4011</v>
      </c>
      <c r="G248" s="783" t="str">
        <f t="shared" si="12"/>
        <v>Renewal (15% in 2020)</v>
      </c>
      <c r="H248" s="783" t="s">
        <v>4161</v>
      </c>
      <c r="I248" s="783" t="s">
        <v>4162</v>
      </c>
      <c r="J248" s="783">
        <v>15</v>
      </c>
      <c r="K248" s="783" t="s">
        <v>140</v>
      </c>
      <c r="L248" s="783" t="s">
        <v>4096</v>
      </c>
      <c r="M248" s="784">
        <v>21346.65</v>
      </c>
      <c r="N248" s="784">
        <v>16.02</v>
      </c>
      <c r="O248" s="784">
        <v>5.33</v>
      </c>
      <c r="P248" s="783">
        <v>250</v>
      </c>
      <c r="Q248" s="783">
        <v>2395.09</v>
      </c>
      <c r="R248" s="783">
        <v>1073.74</v>
      </c>
      <c r="S248" s="783">
        <v>179.31</v>
      </c>
      <c r="T248" s="783">
        <v>1142.05</v>
      </c>
      <c r="U248" s="785">
        <v>44714.667326388902</v>
      </c>
    </row>
    <row r="249" spans="1:21">
      <c r="A249" s="782">
        <v>44711</v>
      </c>
      <c r="B249" s="783" t="s">
        <v>228</v>
      </c>
      <c r="C249" s="783" t="s">
        <v>4582</v>
      </c>
      <c r="D249" s="783" t="s">
        <v>4193</v>
      </c>
      <c r="E249" s="783" t="s">
        <v>4653</v>
      </c>
      <c r="F249" s="783" t="s">
        <v>4011</v>
      </c>
      <c r="G249" s="783" t="s">
        <v>4028</v>
      </c>
      <c r="H249" s="783" t="s">
        <v>4654</v>
      </c>
      <c r="I249" s="783" t="s">
        <v>4655</v>
      </c>
      <c r="J249" s="783">
        <v>25</v>
      </c>
      <c r="K249" s="783" t="s">
        <v>140</v>
      </c>
      <c r="L249" s="783" t="s">
        <v>4096</v>
      </c>
      <c r="M249" s="784">
        <v>50881.07</v>
      </c>
      <c r="N249" s="784">
        <v>31.45</v>
      </c>
      <c r="O249" s="784">
        <v>6.42</v>
      </c>
      <c r="P249" s="783">
        <v>252</v>
      </c>
      <c r="Q249" s="783">
        <v>2060.6799999999998</v>
      </c>
      <c r="R249" s="783">
        <v>1638.37</v>
      </c>
      <c r="S249" s="783">
        <v>244.23</v>
      </c>
      <c r="T249" s="783">
        <v>178.08</v>
      </c>
      <c r="U249" s="785">
        <v>44713.545474537001</v>
      </c>
    </row>
    <row r="250" spans="1:21">
      <c r="A250" s="782">
        <v>44713</v>
      </c>
      <c r="B250" s="783" t="s">
        <v>34</v>
      </c>
      <c r="C250" s="783" t="s">
        <v>4082</v>
      </c>
      <c r="D250" s="783" t="s">
        <v>4009</v>
      </c>
      <c r="E250" s="783" t="s">
        <v>4656</v>
      </c>
      <c r="F250" s="783" t="s">
        <v>4011</v>
      </c>
      <c r="G250" s="783" t="str">
        <f t="shared" ref="G250:G256" si="13">VLOOKUP(I250,pacage,2,FALSE)</f>
        <v>Renewal (30% in 2020)</v>
      </c>
      <c r="H250" s="783" t="s">
        <v>4657</v>
      </c>
      <c r="I250" s="783" t="s">
        <v>4658</v>
      </c>
      <c r="J250" s="783">
        <v>30</v>
      </c>
      <c r="K250" s="783" t="s">
        <v>140</v>
      </c>
      <c r="L250" s="783" t="s">
        <v>4096</v>
      </c>
      <c r="M250" s="784">
        <v>16256.4</v>
      </c>
      <c r="N250" s="784">
        <v>11.78</v>
      </c>
      <c r="O250" s="784">
        <v>4.5999999999999996</v>
      </c>
      <c r="P250" s="783">
        <v>300</v>
      </c>
      <c r="Q250" s="783">
        <v>894.1</v>
      </c>
      <c r="R250" s="783">
        <v>675.94</v>
      </c>
      <c r="S250" s="783">
        <v>128.75</v>
      </c>
      <c r="T250" s="783">
        <v>89.41</v>
      </c>
      <c r="U250" s="785">
        <v>44715.432256944398</v>
      </c>
    </row>
    <row r="251" spans="1:21">
      <c r="A251" s="782">
        <v>44704</v>
      </c>
      <c r="B251" s="783" t="s">
        <v>41</v>
      </c>
      <c r="C251" s="783" t="s">
        <v>4092</v>
      </c>
      <c r="D251" s="783" t="s">
        <v>4009</v>
      </c>
      <c r="E251" s="783" t="s">
        <v>901</v>
      </c>
      <c r="F251" s="783" t="s">
        <v>4011</v>
      </c>
      <c r="G251" s="783" t="str">
        <f t="shared" si="13"/>
        <v>Renewal (15% in 2020)</v>
      </c>
      <c r="H251" s="783" t="s">
        <v>4659</v>
      </c>
      <c r="I251" s="783" t="s">
        <v>4660</v>
      </c>
      <c r="J251" s="783">
        <v>15</v>
      </c>
      <c r="K251" s="783" t="s">
        <v>140</v>
      </c>
      <c r="L251" s="783" t="s">
        <v>4096</v>
      </c>
      <c r="M251" s="784">
        <v>7076.47</v>
      </c>
      <c r="N251" s="784">
        <v>4.8099999999999996</v>
      </c>
      <c r="O251" s="784">
        <v>6.13</v>
      </c>
      <c r="P251" s="783">
        <v>240</v>
      </c>
      <c r="Q251" s="783">
        <v>793.98</v>
      </c>
      <c r="R251" s="783">
        <v>355.95</v>
      </c>
      <c r="S251" s="783">
        <v>59.44</v>
      </c>
      <c r="T251" s="783">
        <v>378.59</v>
      </c>
      <c r="U251" s="785">
        <v>44708.961261574099</v>
      </c>
    </row>
    <row r="252" spans="1:21">
      <c r="A252" s="782">
        <v>44694</v>
      </c>
      <c r="B252" s="783" t="s">
        <v>74</v>
      </c>
      <c r="C252" s="783" t="s">
        <v>4097</v>
      </c>
      <c r="D252" s="783" t="s">
        <v>4038</v>
      </c>
      <c r="E252" s="783" t="s">
        <v>4385</v>
      </c>
      <c r="F252" s="783" t="s">
        <v>4011</v>
      </c>
      <c r="G252" s="783" t="str">
        <f t="shared" si="13"/>
        <v>Renewal (15% in 2020)</v>
      </c>
      <c r="H252" s="783" t="s">
        <v>4386</v>
      </c>
      <c r="I252" s="783" t="s">
        <v>4387</v>
      </c>
      <c r="J252" s="783">
        <v>15</v>
      </c>
      <c r="K252" s="783" t="s">
        <v>140</v>
      </c>
      <c r="L252" s="783" t="s">
        <v>4096</v>
      </c>
      <c r="M252" s="784">
        <v>9058.23</v>
      </c>
      <c r="N252" s="784">
        <v>5.3</v>
      </c>
      <c r="O252" s="784">
        <v>6.33</v>
      </c>
      <c r="P252" s="783">
        <v>270</v>
      </c>
      <c r="Q252" s="783">
        <v>953.83</v>
      </c>
      <c r="R252" s="783">
        <v>389.75</v>
      </c>
      <c r="S252" s="783">
        <v>91.25</v>
      </c>
      <c r="T252" s="783">
        <v>472.84</v>
      </c>
      <c r="U252" s="785">
        <v>44697.657094907401</v>
      </c>
    </row>
    <row r="253" spans="1:21">
      <c r="A253" s="782">
        <v>44694</v>
      </c>
      <c r="B253" s="783" t="s">
        <v>74</v>
      </c>
      <c r="C253" s="783" t="s">
        <v>4037</v>
      </c>
      <c r="D253" s="783" t="s">
        <v>4038</v>
      </c>
      <c r="E253" s="783" t="s">
        <v>4385</v>
      </c>
      <c r="F253" s="783" t="s">
        <v>4011</v>
      </c>
      <c r="G253" s="783" t="str">
        <f t="shared" si="13"/>
        <v>Renewal (15% in 2020)</v>
      </c>
      <c r="H253" s="783" t="s">
        <v>4386</v>
      </c>
      <c r="I253" s="783" t="s">
        <v>4387</v>
      </c>
      <c r="J253" s="783">
        <v>15</v>
      </c>
      <c r="K253" s="783" t="s">
        <v>140</v>
      </c>
      <c r="L253" s="783" t="s">
        <v>4096</v>
      </c>
      <c r="M253" s="784">
        <v>14202.62</v>
      </c>
      <c r="N253" s="784">
        <v>8.31</v>
      </c>
      <c r="O253" s="784">
        <v>6.33</v>
      </c>
      <c r="P253" s="783">
        <v>270</v>
      </c>
      <c r="Q253" s="783">
        <v>1798.05</v>
      </c>
      <c r="R253" s="783">
        <v>715.81</v>
      </c>
      <c r="S253" s="783">
        <v>171.85</v>
      </c>
      <c r="T253" s="783">
        <v>910.39</v>
      </c>
      <c r="U253" s="785">
        <v>44697.657094907401</v>
      </c>
    </row>
    <row r="254" spans="1:21">
      <c r="A254" s="782">
        <v>44698</v>
      </c>
      <c r="B254" s="783" t="s">
        <v>41</v>
      </c>
      <c r="C254" s="783" t="s">
        <v>4082</v>
      </c>
      <c r="D254" s="783" t="s">
        <v>4009</v>
      </c>
      <c r="E254" s="783" t="s">
        <v>4661</v>
      </c>
      <c r="F254" s="783" t="s">
        <v>4011</v>
      </c>
      <c r="G254" s="783" t="str">
        <f t="shared" si="13"/>
        <v>Renewal (15% in 2020)</v>
      </c>
      <c r="H254" s="783" t="s">
        <v>4662</v>
      </c>
      <c r="I254" s="783" t="s">
        <v>4663</v>
      </c>
      <c r="J254" s="783">
        <v>15</v>
      </c>
      <c r="K254" s="783" t="s">
        <v>140</v>
      </c>
      <c r="L254" s="783" t="s">
        <v>4096</v>
      </c>
      <c r="M254" s="784">
        <v>13548.67</v>
      </c>
      <c r="N254" s="784">
        <v>12.38</v>
      </c>
      <c r="O254" s="784">
        <v>5.76</v>
      </c>
      <c r="P254" s="783">
        <v>190</v>
      </c>
      <c r="Q254" s="783">
        <v>1493.06</v>
      </c>
      <c r="R254" s="783">
        <v>670.66</v>
      </c>
      <c r="S254" s="783">
        <v>109.74</v>
      </c>
      <c r="T254" s="783">
        <v>712.66</v>
      </c>
      <c r="U254" s="785">
        <v>44699.473240740699</v>
      </c>
    </row>
    <row r="255" spans="1:21">
      <c r="A255" s="782">
        <v>44707</v>
      </c>
      <c r="B255" s="783" t="s">
        <v>41</v>
      </c>
      <c r="C255" s="783" t="s">
        <v>4082</v>
      </c>
      <c r="D255" s="783" t="s">
        <v>4009</v>
      </c>
      <c r="E255" s="783" t="s">
        <v>4664</v>
      </c>
      <c r="F255" s="783" t="s">
        <v>4011</v>
      </c>
      <c r="G255" s="783" t="str">
        <f t="shared" si="13"/>
        <v>Renewal (30% in 2020)</v>
      </c>
      <c r="H255" s="783" t="s">
        <v>4665</v>
      </c>
      <c r="I255" s="783" t="s">
        <v>4666</v>
      </c>
      <c r="J255" s="783">
        <v>30</v>
      </c>
      <c r="K255" s="783" t="s">
        <v>140</v>
      </c>
      <c r="L255" s="783" t="s">
        <v>4096</v>
      </c>
      <c r="M255" s="784">
        <v>44282.7</v>
      </c>
      <c r="N255" s="784">
        <v>28.35</v>
      </c>
      <c r="O255" s="784">
        <v>7.1</v>
      </c>
      <c r="P255" s="783">
        <v>220</v>
      </c>
      <c r="Q255" s="783">
        <v>2435.5500000000002</v>
      </c>
      <c r="R255" s="783">
        <v>2191.9899999999998</v>
      </c>
      <c r="S255" s="783">
        <v>0</v>
      </c>
      <c r="T255" s="783">
        <v>243.55</v>
      </c>
      <c r="U255" s="785">
        <v>44708.584884259297</v>
      </c>
    </row>
    <row r="256" spans="1:21">
      <c r="A256" s="782">
        <v>44699</v>
      </c>
      <c r="B256" s="783" t="s">
        <v>397</v>
      </c>
      <c r="C256" s="783" t="s">
        <v>4511</v>
      </c>
      <c r="D256" s="783" t="s">
        <v>4512</v>
      </c>
      <c r="E256" s="783"/>
      <c r="F256" s="783" t="s">
        <v>4011</v>
      </c>
      <c r="G256" s="783" t="str">
        <f t="shared" si="13"/>
        <v>Renewal (15% in 2020)</v>
      </c>
      <c r="H256" s="783" t="s">
        <v>4667</v>
      </c>
      <c r="I256" s="783" t="s">
        <v>4668</v>
      </c>
      <c r="J256" s="783">
        <v>25</v>
      </c>
      <c r="K256" s="783" t="s">
        <v>140</v>
      </c>
      <c r="L256" s="783" t="s">
        <v>4096</v>
      </c>
      <c r="M256" s="784">
        <v>18071.349999999999</v>
      </c>
      <c r="N256" s="784">
        <v>11.33</v>
      </c>
      <c r="O256" s="784">
        <v>7.25</v>
      </c>
      <c r="P256" s="783">
        <v>220</v>
      </c>
      <c r="Q256" s="783">
        <v>1010.19</v>
      </c>
      <c r="R256" s="783">
        <v>735.5</v>
      </c>
      <c r="S256" s="783">
        <v>148.19</v>
      </c>
      <c r="T256" s="783">
        <v>126.5</v>
      </c>
      <c r="U256" s="785">
        <v>44699.471782407403</v>
      </c>
    </row>
    <row r="257" spans="1:21">
      <c r="A257" s="782">
        <v>44699</v>
      </c>
      <c r="B257" s="783" t="s">
        <v>34</v>
      </c>
      <c r="C257" s="783" t="s">
        <v>4139</v>
      </c>
      <c r="D257" s="783" t="s">
        <v>4009</v>
      </c>
      <c r="E257" s="783" t="s">
        <v>4669</v>
      </c>
      <c r="F257" s="783" t="s">
        <v>4011</v>
      </c>
      <c r="G257" s="783" t="s">
        <v>4028</v>
      </c>
      <c r="H257" s="783" t="s">
        <v>4670</v>
      </c>
      <c r="I257" s="783" t="s">
        <v>4671</v>
      </c>
      <c r="J257" s="783">
        <v>25</v>
      </c>
      <c r="K257" s="783" t="s">
        <v>140</v>
      </c>
      <c r="L257" s="783" t="s">
        <v>4096</v>
      </c>
      <c r="M257" s="784">
        <v>16807.189999999999</v>
      </c>
      <c r="N257" s="784">
        <v>11.44</v>
      </c>
      <c r="O257" s="784">
        <v>5.83</v>
      </c>
      <c r="P257" s="783">
        <v>252</v>
      </c>
      <c r="Q257" s="783">
        <v>954.65</v>
      </c>
      <c r="R257" s="783">
        <v>758</v>
      </c>
      <c r="S257" s="783">
        <v>114.29</v>
      </c>
      <c r="T257" s="783">
        <v>82.36</v>
      </c>
      <c r="U257" s="785">
        <v>44699.470520833303</v>
      </c>
    </row>
    <row r="258" spans="1:21">
      <c r="A258" s="782">
        <v>44712</v>
      </c>
      <c r="B258" s="783" t="s">
        <v>41</v>
      </c>
      <c r="C258" s="783" t="s">
        <v>4092</v>
      </c>
      <c r="D258" s="783" t="s">
        <v>4009</v>
      </c>
      <c r="E258" s="783" t="s">
        <v>4672</v>
      </c>
      <c r="F258" s="783" t="s">
        <v>4011</v>
      </c>
      <c r="G258" s="783" t="str">
        <f t="shared" ref="G258:G266" si="14">VLOOKUP(I258,pacage,2,FALSE)</f>
        <v>Renewal (15% in 2020)</v>
      </c>
      <c r="H258" s="783" t="s">
        <v>4673</v>
      </c>
      <c r="I258" s="783" t="s">
        <v>4674</v>
      </c>
      <c r="J258" s="783">
        <v>15</v>
      </c>
      <c r="K258" s="783" t="s">
        <v>140</v>
      </c>
      <c r="L258" s="783" t="s">
        <v>4096</v>
      </c>
      <c r="M258" s="784">
        <v>13975.87</v>
      </c>
      <c r="N258" s="784">
        <v>8.77</v>
      </c>
      <c r="O258" s="784">
        <v>6.64</v>
      </c>
      <c r="P258" s="783">
        <v>240</v>
      </c>
      <c r="Q258" s="783">
        <v>1568.09</v>
      </c>
      <c r="R258" s="783">
        <v>702.99</v>
      </c>
      <c r="S258" s="783">
        <v>117.4</v>
      </c>
      <c r="T258" s="783">
        <v>747.71</v>
      </c>
      <c r="U258" s="785">
        <v>44714.588981481502</v>
      </c>
    </row>
    <row r="259" spans="1:21">
      <c r="A259" s="782">
        <v>44687</v>
      </c>
      <c r="B259" s="783" t="s">
        <v>228</v>
      </c>
      <c r="C259" s="783" t="s">
        <v>4675</v>
      </c>
      <c r="D259" s="783" t="s">
        <v>4193</v>
      </c>
      <c r="E259" s="783" t="s">
        <v>4676</v>
      </c>
      <c r="F259" s="783" t="s">
        <v>4011</v>
      </c>
      <c r="G259" s="783" t="str">
        <f t="shared" si="14"/>
        <v>Renewal (25% in 2020)</v>
      </c>
      <c r="H259" s="783" t="s">
        <v>4677</v>
      </c>
      <c r="I259" s="783" t="s">
        <v>4678</v>
      </c>
      <c r="J259" s="783">
        <v>25</v>
      </c>
      <c r="K259" s="783" t="s">
        <v>140</v>
      </c>
      <c r="L259" s="783" t="s">
        <v>4096</v>
      </c>
      <c r="M259" s="784">
        <v>18354</v>
      </c>
      <c r="N259" s="784">
        <v>14</v>
      </c>
      <c r="O259" s="784">
        <v>5.7</v>
      </c>
      <c r="P259" s="783">
        <v>230</v>
      </c>
      <c r="Q259" s="783">
        <v>1082.8900000000001</v>
      </c>
      <c r="R259" s="783">
        <v>822.26</v>
      </c>
      <c r="S259" s="783">
        <v>122.97</v>
      </c>
      <c r="T259" s="783">
        <v>137.66</v>
      </c>
      <c r="U259" s="785">
        <v>44704.413402777798</v>
      </c>
    </row>
    <row r="260" spans="1:21">
      <c r="A260" s="782">
        <v>44676</v>
      </c>
      <c r="B260" s="783" t="s">
        <v>41</v>
      </c>
      <c r="C260" s="783" t="s">
        <v>4082</v>
      </c>
      <c r="D260" s="783" t="s">
        <v>4009</v>
      </c>
      <c r="E260" s="783" t="s">
        <v>4679</v>
      </c>
      <c r="F260" s="783" t="s">
        <v>4011</v>
      </c>
      <c r="G260" s="783" t="str">
        <f t="shared" si="14"/>
        <v>Renewal (25% in 2020)</v>
      </c>
      <c r="H260" s="783" t="s">
        <v>4680</v>
      </c>
      <c r="I260" s="783" t="s">
        <v>4681</v>
      </c>
      <c r="J260" s="783">
        <v>25</v>
      </c>
      <c r="K260" s="783" t="s">
        <v>140</v>
      </c>
      <c r="L260" s="783" t="s">
        <v>4096</v>
      </c>
      <c r="M260" s="784">
        <v>11880.25</v>
      </c>
      <c r="N260" s="784">
        <v>9.9700000000000006</v>
      </c>
      <c r="O260" s="784">
        <v>6.62</v>
      </c>
      <c r="P260" s="783">
        <v>180</v>
      </c>
      <c r="Q260" s="783">
        <v>748.46</v>
      </c>
      <c r="R260" s="783">
        <v>588.07000000000005</v>
      </c>
      <c r="S260" s="783">
        <v>96.23</v>
      </c>
      <c r="T260" s="783">
        <v>64.150000000000006</v>
      </c>
      <c r="U260" s="785">
        <v>44676.729212963</v>
      </c>
    </row>
    <row r="261" spans="1:21">
      <c r="A261" s="782">
        <v>44670</v>
      </c>
      <c r="B261" s="783" t="s">
        <v>74</v>
      </c>
      <c r="C261" s="783" t="s">
        <v>4097</v>
      </c>
      <c r="D261" s="783" t="s">
        <v>4038</v>
      </c>
      <c r="E261" s="783" t="s">
        <v>4402</v>
      </c>
      <c r="F261" s="783" t="s">
        <v>4011</v>
      </c>
      <c r="G261" s="783" t="str">
        <f t="shared" si="14"/>
        <v>Renewal (15% in 2020)</v>
      </c>
      <c r="H261" s="783" t="s">
        <v>4403</v>
      </c>
      <c r="I261" s="783" t="s">
        <v>4404</v>
      </c>
      <c r="J261" s="783">
        <v>15</v>
      </c>
      <c r="K261" s="783" t="s">
        <v>140</v>
      </c>
      <c r="L261" s="783" t="s">
        <v>4096</v>
      </c>
      <c r="M261" s="784">
        <v>6737.51</v>
      </c>
      <c r="N261" s="784">
        <v>4.04</v>
      </c>
      <c r="O261" s="784">
        <v>5.0999999999999996</v>
      </c>
      <c r="P261" s="783">
        <v>327</v>
      </c>
      <c r="Q261" s="783">
        <v>709.46</v>
      </c>
      <c r="R261" s="783">
        <v>239.36</v>
      </c>
      <c r="S261" s="783">
        <v>118.4</v>
      </c>
      <c r="T261" s="783">
        <v>351.7</v>
      </c>
      <c r="U261" s="785">
        <v>44671.492812500001</v>
      </c>
    </row>
    <row r="262" spans="1:21">
      <c r="A262" s="782">
        <v>44678</v>
      </c>
      <c r="B262" s="783" t="s">
        <v>41</v>
      </c>
      <c r="C262" s="783" t="s">
        <v>4082</v>
      </c>
      <c r="D262" s="783" t="s">
        <v>4009</v>
      </c>
      <c r="E262" s="783" t="s">
        <v>4180</v>
      </c>
      <c r="F262" s="783" t="s">
        <v>4011</v>
      </c>
      <c r="G262" s="783" t="str">
        <f t="shared" si="14"/>
        <v>Renewal (20% in 2020)</v>
      </c>
      <c r="H262" s="783" t="s">
        <v>4181</v>
      </c>
      <c r="I262" s="783" t="s">
        <v>4182</v>
      </c>
      <c r="J262" s="783">
        <v>20</v>
      </c>
      <c r="K262" s="783" t="s">
        <v>140</v>
      </c>
      <c r="L262" s="783" t="s">
        <v>4096</v>
      </c>
      <c r="M262" s="784">
        <v>8461.58</v>
      </c>
      <c r="N262" s="784">
        <v>6.97</v>
      </c>
      <c r="O262" s="784">
        <v>6.07</v>
      </c>
      <c r="P262" s="783">
        <v>200</v>
      </c>
      <c r="Q262" s="783">
        <v>693.85</v>
      </c>
      <c r="R262" s="783">
        <v>418.85</v>
      </c>
      <c r="S262" s="783">
        <v>68.540000000000006</v>
      </c>
      <c r="T262" s="783">
        <v>206.46</v>
      </c>
      <c r="U262" s="785">
        <v>44680.654074074097</v>
      </c>
    </row>
    <row r="263" spans="1:21">
      <c r="A263" s="782">
        <v>44671</v>
      </c>
      <c r="B263" s="783" t="s">
        <v>41</v>
      </c>
      <c r="C263" s="783" t="s">
        <v>4082</v>
      </c>
      <c r="D263" s="783" t="s">
        <v>4009</v>
      </c>
      <c r="E263" s="783" t="s">
        <v>4682</v>
      </c>
      <c r="F263" s="783" t="s">
        <v>4011</v>
      </c>
      <c r="G263" s="783" t="str">
        <f t="shared" si="14"/>
        <v>Renewal (25% in 2020)</v>
      </c>
      <c r="H263" s="783" t="s">
        <v>4683</v>
      </c>
      <c r="I263" s="783" t="s">
        <v>4684</v>
      </c>
      <c r="J263" s="783">
        <v>25</v>
      </c>
      <c r="K263" s="783" t="s">
        <v>140</v>
      </c>
      <c r="L263" s="783" t="s">
        <v>4096</v>
      </c>
      <c r="M263" s="784">
        <v>10506.72</v>
      </c>
      <c r="N263" s="784">
        <v>10.09</v>
      </c>
      <c r="O263" s="784">
        <v>5.34</v>
      </c>
      <c r="P263" s="783">
        <v>195</v>
      </c>
      <c r="Q263" s="783">
        <v>661.92</v>
      </c>
      <c r="R263" s="783">
        <v>520.08000000000004</v>
      </c>
      <c r="S263" s="783">
        <v>85.1</v>
      </c>
      <c r="T263" s="783">
        <v>56.74</v>
      </c>
      <c r="U263" s="785">
        <v>44673.370185185202</v>
      </c>
    </row>
    <row r="264" spans="1:21">
      <c r="A264" s="782">
        <v>44704</v>
      </c>
      <c r="B264" s="783" t="s">
        <v>41</v>
      </c>
      <c r="C264" s="783" t="s">
        <v>4082</v>
      </c>
      <c r="D264" s="783" t="s">
        <v>4009</v>
      </c>
      <c r="E264" s="783" t="s">
        <v>94</v>
      </c>
      <c r="F264" s="783" t="s">
        <v>4011</v>
      </c>
      <c r="G264" s="783" t="str">
        <f t="shared" si="14"/>
        <v>Renewal (25% in 2020)</v>
      </c>
      <c r="H264" s="783" t="s">
        <v>4685</v>
      </c>
      <c r="I264" s="783" t="s">
        <v>4686</v>
      </c>
      <c r="J264" s="783">
        <v>25</v>
      </c>
      <c r="K264" s="783" t="s">
        <v>140</v>
      </c>
      <c r="L264" s="783" t="s">
        <v>4096</v>
      </c>
      <c r="M264" s="784">
        <v>18538.63</v>
      </c>
      <c r="N264" s="784">
        <v>12.06</v>
      </c>
      <c r="O264" s="784">
        <v>6.1</v>
      </c>
      <c r="P264" s="783">
        <v>252</v>
      </c>
      <c r="Q264" s="783">
        <v>1167.93</v>
      </c>
      <c r="R264" s="783">
        <v>917.66</v>
      </c>
      <c r="S264" s="783">
        <v>150.16</v>
      </c>
      <c r="T264" s="783">
        <v>100.11</v>
      </c>
      <c r="U264" s="785">
        <v>44704.568576388898</v>
      </c>
    </row>
    <row r="265" spans="1:21">
      <c r="A265" s="782">
        <v>44672</v>
      </c>
      <c r="B265" s="783" t="s">
        <v>41</v>
      </c>
      <c r="C265" s="783" t="s">
        <v>4082</v>
      </c>
      <c r="D265" s="783" t="s">
        <v>4009</v>
      </c>
      <c r="E265" s="783" t="s">
        <v>4687</v>
      </c>
      <c r="F265" s="783" t="s">
        <v>4011</v>
      </c>
      <c r="G265" s="783" t="str">
        <f t="shared" si="14"/>
        <v>Renewal (20% in 2020)</v>
      </c>
      <c r="H265" s="783" t="s">
        <v>4688</v>
      </c>
      <c r="I265" s="783" t="s">
        <v>4689</v>
      </c>
      <c r="J265" s="783">
        <v>20</v>
      </c>
      <c r="K265" s="783" t="s">
        <v>140</v>
      </c>
      <c r="L265" s="783" t="s">
        <v>4096</v>
      </c>
      <c r="M265" s="784">
        <v>20823.36</v>
      </c>
      <c r="N265" s="784">
        <v>31.84</v>
      </c>
      <c r="O265" s="784">
        <v>3.27</v>
      </c>
      <c r="P265" s="783">
        <v>200</v>
      </c>
      <c r="Q265" s="783">
        <v>1707.52</v>
      </c>
      <c r="R265" s="783">
        <v>1030.76</v>
      </c>
      <c r="S265" s="783">
        <v>168.67</v>
      </c>
      <c r="T265" s="783">
        <v>508.09</v>
      </c>
      <c r="U265" s="785">
        <v>44673.380335648202</v>
      </c>
    </row>
    <row r="266" spans="1:21">
      <c r="A266" s="782">
        <v>44658</v>
      </c>
      <c r="B266" s="783" t="s">
        <v>34</v>
      </c>
      <c r="C266" s="783" t="s">
        <v>4082</v>
      </c>
      <c r="D266" s="783" t="s">
        <v>4009</v>
      </c>
      <c r="E266" s="783" t="s">
        <v>4690</v>
      </c>
      <c r="F266" s="783" t="s">
        <v>4011</v>
      </c>
      <c r="G266" s="783" t="str">
        <f t="shared" si="14"/>
        <v>Renewal (30% in 2020)</v>
      </c>
      <c r="H266" s="783" t="s">
        <v>4691</v>
      </c>
      <c r="I266" s="783" t="s">
        <v>4692</v>
      </c>
      <c r="J266" s="783">
        <v>30</v>
      </c>
      <c r="K266" s="783" t="s">
        <v>140</v>
      </c>
      <c r="L266" s="783" t="s">
        <v>4096</v>
      </c>
      <c r="M266" s="784">
        <v>34244.43</v>
      </c>
      <c r="N266" s="784">
        <v>25.31</v>
      </c>
      <c r="O266" s="784">
        <v>6.15</v>
      </c>
      <c r="P266" s="783">
        <v>220</v>
      </c>
      <c r="Q266" s="783">
        <v>3411.93</v>
      </c>
      <c r="R266" s="783">
        <v>3070.73</v>
      </c>
      <c r="S266" s="783">
        <v>0</v>
      </c>
      <c r="T266" s="783">
        <v>341.19</v>
      </c>
      <c r="U266" s="785">
        <v>44659.413680555597</v>
      </c>
    </row>
    <row r="267" spans="1:21">
      <c r="A267" s="782">
        <v>44656</v>
      </c>
      <c r="B267" s="783" t="s">
        <v>74</v>
      </c>
      <c r="C267" s="783" t="s">
        <v>4097</v>
      </c>
      <c r="D267" s="783" t="s">
        <v>4038</v>
      </c>
      <c r="E267" s="783" t="s">
        <v>4411</v>
      </c>
      <c r="F267" s="783" t="s">
        <v>4011</v>
      </c>
      <c r="G267" s="783" t="s">
        <v>4028</v>
      </c>
      <c r="H267" s="783" t="s">
        <v>4412</v>
      </c>
      <c r="I267" s="783" t="s">
        <v>4413</v>
      </c>
      <c r="J267" s="783">
        <v>15</v>
      </c>
      <c r="K267" s="783" t="s">
        <v>140</v>
      </c>
      <c r="L267" s="783" t="s">
        <v>4096</v>
      </c>
      <c r="M267" s="784">
        <v>13292.1</v>
      </c>
      <c r="N267" s="784">
        <v>9</v>
      </c>
      <c r="O267" s="784">
        <v>5.47</v>
      </c>
      <c r="P267" s="783">
        <v>270</v>
      </c>
      <c r="Q267" s="783">
        <v>1399.66</v>
      </c>
      <c r="R267" s="783">
        <v>571.91</v>
      </c>
      <c r="S267" s="783">
        <v>133.9</v>
      </c>
      <c r="T267" s="783">
        <v>693.85</v>
      </c>
      <c r="U267" s="785">
        <v>44657.628009259301</v>
      </c>
    </row>
    <row r="268" spans="1:21">
      <c r="A268" s="782">
        <v>44652</v>
      </c>
      <c r="B268" s="783" t="s">
        <v>74</v>
      </c>
      <c r="C268" s="783" t="s">
        <v>4037</v>
      </c>
      <c r="D268" s="783" t="s">
        <v>4038</v>
      </c>
      <c r="E268" s="783" t="s">
        <v>4693</v>
      </c>
      <c r="F268" s="783" t="s">
        <v>4011</v>
      </c>
      <c r="G268" s="783" t="str">
        <f t="shared" ref="G268:G273" si="15">VLOOKUP(I268,pacage,2,FALSE)</f>
        <v>Renewal (25% in 2020)</v>
      </c>
      <c r="H268" s="783" t="s">
        <v>4694</v>
      </c>
      <c r="I268" s="783" t="s">
        <v>4695</v>
      </c>
      <c r="J268" s="783">
        <v>25</v>
      </c>
      <c r="K268" s="783" t="s">
        <v>140</v>
      </c>
      <c r="L268" s="783" t="s">
        <v>4096</v>
      </c>
      <c r="M268" s="784">
        <v>18520</v>
      </c>
      <c r="N268" s="784">
        <v>10</v>
      </c>
      <c r="O268" s="784">
        <v>4.63</v>
      </c>
      <c r="P268" s="783">
        <v>400</v>
      </c>
      <c r="Q268" s="783">
        <v>1400.11</v>
      </c>
      <c r="R268" s="783">
        <v>630.04999999999995</v>
      </c>
      <c r="S268" s="783">
        <v>527.45000000000005</v>
      </c>
      <c r="T268" s="783">
        <v>242.61</v>
      </c>
      <c r="U268" s="785">
        <v>44662.739421296297</v>
      </c>
    </row>
    <row r="269" spans="1:21">
      <c r="A269" s="782">
        <v>44568</v>
      </c>
      <c r="B269" s="783" t="s">
        <v>41</v>
      </c>
      <c r="C269" s="783" t="s">
        <v>4082</v>
      </c>
      <c r="D269" s="783" t="s">
        <v>4009</v>
      </c>
      <c r="E269" s="783" t="s">
        <v>4696</v>
      </c>
      <c r="F269" s="783" t="s">
        <v>4011</v>
      </c>
      <c r="G269" s="783" t="str">
        <f t="shared" si="15"/>
        <v>Renewal (25% in 2020)</v>
      </c>
      <c r="H269" s="783" t="s">
        <v>4697</v>
      </c>
      <c r="I269" s="783" t="s">
        <v>4698</v>
      </c>
      <c r="J269" s="783">
        <v>25</v>
      </c>
      <c r="K269" s="783" t="s">
        <v>140</v>
      </c>
      <c r="L269" s="783" t="s">
        <v>4096</v>
      </c>
      <c r="M269" s="784">
        <v>5956.5</v>
      </c>
      <c r="N269" s="784">
        <v>5</v>
      </c>
      <c r="O269" s="784">
        <v>6.27</v>
      </c>
      <c r="P269" s="783">
        <v>190</v>
      </c>
      <c r="Q269" s="783">
        <v>375.26</v>
      </c>
      <c r="R269" s="783">
        <v>294.85000000000002</v>
      </c>
      <c r="S269" s="783">
        <v>48.25</v>
      </c>
      <c r="T269" s="783">
        <v>32.17</v>
      </c>
      <c r="U269" s="785">
        <v>44631.632789351897</v>
      </c>
    </row>
    <row r="270" spans="1:21">
      <c r="A270" s="782">
        <v>44568</v>
      </c>
      <c r="B270" s="783" t="s">
        <v>41</v>
      </c>
      <c r="C270" s="783" t="s">
        <v>4092</v>
      </c>
      <c r="D270" s="783" t="s">
        <v>4009</v>
      </c>
      <c r="E270" s="783" t="s">
        <v>4696</v>
      </c>
      <c r="F270" s="783" t="s">
        <v>4011</v>
      </c>
      <c r="G270" s="783" t="str">
        <f t="shared" si="15"/>
        <v>Renewal (25% in 2020)</v>
      </c>
      <c r="H270" s="783" t="s">
        <v>4697</v>
      </c>
      <c r="I270" s="783" t="s">
        <v>4698</v>
      </c>
      <c r="J270" s="783">
        <v>25</v>
      </c>
      <c r="K270" s="783" t="s">
        <v>140</v>
      </c>
      <c r="L270" s="783" t="s">
        <v>4096</v>
      </c>
      <c r="M270" s="784">
        <v>14772.12</v>
      </c>
      <c r="N270" s="784">
        <v>12.4</v>
      </c>
      <c r="O270" s="784">
        <v>6.27</v>
      </c>
      <c r="P270" s="783">
        <v>190</v>
      </c>
      <c r="Q270" s="783">
        <v>951.32</v>
      </c>
      <c r="R270" s="783">
        <v>743.04</v>
      </c>
      <c r="S270" s="783">
        <v>124.09</v>
      </c>
      <c r="T270" s="783">
        <v>84.2</v>
      </c>
      <c r="U270" s="785">
        <v>44631.632789351897</v>
      </c>
    </row>
    <row r="271" spans="1:21">
      <c r="A271" s="782">
        <v>44613</v>
      </c>
      <c r="B271" s="783" t="s">
        <v>41</v>
      </c>
      <c r="C271" s="783" t="s">
        <v>4082</v>
      </c>
      <c r="D271" s="783" t="s">
        <v>4009</v>
      </c>
      <c r="E271" s="783" t="s">
        <v>4699</v>
      </c>
      <c r="F271" s="783" t="s">
        <v>4011</v>
      </c>
      <c r="G271" s="783" t="str">
        <f t="shared" si="15"/>
        <v>Renewal (30% in 2020)</v>
      </c>
      <c r="H271" s="783" t="s">
        <v>4700</v>
      </c>
      <c r="I271" s="783" t="s">
        <v>4701</v>
      </c>
      <c r="J271" s="783">
        <v>30</v>
      </c>
      <c r="K271" s="783" t="s">
        <v>140</v>
      </c>
      <c r="L271" s="783" t="s">
        <v>4096</v>
      </c>
      <c r="M271" s="784">
        <v>31977.95</v>
      </c>
      <c r="N271" s="784">
        <v>20.27</v>
      </c>
      <c r="O271" s="784">
        <v>4.93</v>
      </c>
      <c r="P271" s="783">
        <v>320</v>
      </c>
      <c r="Q271" s="783">
        <v>1758.79</v>
      </c>
      <c r="R271" s="783">
        <v>1246.54</v>
      </c>
      <c r="S271" s="783">
        <v>336.37</v>
      </c>
      <c r="T271" s="783">
        <v>175.88</v>
      </c>
      <c r="U271" s="785">
        <v>44631.632337962998</v>
      </c>
    </row>
    <row r="272" spans="1:21">
      <c r="A272" s="782">
        <v>44678</v>
      </c>
      <c r="B272" s="783" t="s">
        <v>47</v>
      </c>
      <c r="C272" s="783" t="s">
        <v>4101</v>
      </c>
      <c r="D272" s="783" t="s">
        <v>4102</v>
      </c>
      <c r="E272" s="783" t="s">
        <v>4702</v>
      </c>
      <c r="F272" s="783" t="s">
        <v>4011</v>
      </c>
      <c r="G272" s="783" t="str">
        <f t="shared" si="15"/>
        <v>Renewal (30% in 2020)</v>
      </c>
      <c r="H272" s="783" t="s">
        <v>4703</v>
      </c>
      <c r="I272" s="783" t="s">
        <v>4704</v>
      </c>
      <c r="J272" s="783">
        <v>30</v>
      </c>
      <c r="K272" s="783" t="s">
        <v>140</v>
      </c>
      <c r="L272" s="783" t="s">
        <v>4096</v>
      </c>
      <c r="M272" s="784">
        <v>17589</v>
      </c>
      <c r="N272" s="784">
        <v>15</v>
      </c>
      <c r="O272" s="784">
        <v>5.33</v>
      </c>
      <c r="P272" s="783">
        <v>220</v>
      </c>
      <c r="Q272" s="783">
        <v>601.54</v>
      </c>
      <c r="R272" s="783">
        <v>534.71</v>
      </c>
      <c r="S272" s="783">
        <v>0</v>
      </c>
      <c r="T272" s="783">
        <v>66.84</v>
      </c>
      <c r="U272" s="785">
        <v>44679.479780092603</v>
      </c>
    </row>
    <row r="273" spans="1:21">
      <c r="A273" s="782">
        <v>44566</v>
      </c>
      <c r="B273" s="783" t="s">
        <v>74</v>
      </c>
      <c r="C273" s="783" t="s">
        <v>4037</v>
      </c>
      <c r="D273" s="783" t="s">
        <v>4038</v>
      </c>
      <c r="E273" s="783" t="s">
        <v>4197</v>
      </c>
      <c r="F273" s="783" t="s">
        <v>4011</v>
      </c>
      <c r="G273" s="783" t="str">
        <f t="shared" si="15"/>
        <v>Renewal (25% in 2020)</v>
      </c>
      <c r="H273" s="783" t="s">
        <v>4198</v>
      </c>
      <c r="I273" s="783" t="s">
        <v>4199</v>
      </c>
      <c r="J273" s="783">
        <v>25</v>
      </c>
      <c r="K273" s="783" t="s">
        <v>140</v>
      </c>
      <c r="L273" s="783" t="s">
        <v>4096</v>
      </c>
      <c r="M273" s="784">
        <v>19863.84</v>
      </c>
      <c r="N273" s="784">
        <v>15.73</v>
      </c>
      <c r="O273" s="784">
        <v>5.74</v>
      </c>
      <c r="P273" s="783">
        <v>220</v>
      </c>
      <c r="Q273" s="783">
        <v>1501.71</v>
      </c>
      <c r="R273" s="783">
        <v>1072.6500000000001</v>
      </c>
      <c r="S273" s="783">
        <v>168.84</v>
      </c>
      <c r="T273" s="783">
        <v>260.22000000000003</v>
      </c>
      <c r="U273" s="785">
        <v>44631.632430555597</v>
      </c>
    </row>
    <row r="274" spans="1:21">
      <c r="A274" s="782">
        <v>44568</v>
      </c>
      <c r="B274" s="783" t="s">
        <v>74</v>
      </c>
      <c r="C274" s="783" t="s">
        <v>4097</v>
      </c>
      <c r="D274" s="783" t="s">
        <v>4038</v>
      </c>
      <c r="E274" s="783" t="s">
        <v>2608</v>
      </c>
      <c r="F274" s="783" t="s">
        <v>4011</v>
      </c>
      <c r="G274" s="783" t="s">
        <v>4028</v>
      </c>
      <c r="H274" s="783" t="s">
        <v>4435</v>
      </c>
      <c r="I274" s="783" t="s">
        <v>4436</v>
      </c>
      <c r="J274" s="783">
        <v>25</v>
      </c>
      <c r="K274" s="783" t="s">
        <v>140</v>
      </c>
      <c r="L274" s="783" t="s">
        <v>4096</v>
      </c>
      <c r="M274" s="784">
        <v>40800</v>
      </c>
      <c r="N274" s="784">
        <v>27.2</v>
      </c>
      <c r="O274" s="784">
        <v>5</v>
      </c>
      <c r="P274" s="783">
        <v>300</v>
      </c>
      <c r="Q274" s="783">
        <v>2521.44</v>
      </c>
      <c r="R274" s="783">
        <v>1579.94</v>
      </c>
      <c r="S274" s="783">
        <v>586.54</v>
      </c>
      <c r="T274" s="783">
        <v>354.96</v>
      </c>
      <c r="U274" s="785">
        <v>44631.632592592599</v>
      </c>
    </row>
    <row r="275" spans="1:21">
      <c r="A275" s="782">
        <v>44532</v>
      </c>
      <c r="B275" s="783" t="s">
        <v>74</v>
      </c>
      <c r="C275" s="783" t="s">
        <v>4037</v>
      </c>
      <c r="D275" s="783" t="s">
        <v>4038</v>
      </c>
      <c r="E275" s="783" t="s">
        <v>4440</v>
      </c>
      <c r="F275" s="783" t="s">
        <v>4011</v>
      </c>
      <c r="G275" s="783" t="str">
        <f>VLOOKUP(I275,pacage,2,FALSE)</f>
        <v>Renewal (15% in 2020)</v>
      </c>
      <c r="H275" s="783" t="s">
        <v>4441</v>
      </c>
      <c r="I275" s="783" t="s">
        <v>4442</v>
      </c>
      <c r="J275" s="783">
        <v>20</v>
      </c>
      <c r="K275" s="783" t="s">
        <v>140</v>
      </c>
      <c r="L275" s="783" t="s">
        <v>4096</v>
      </c>
      <c r="M275" s="784">
        <v>11505.6</v>
      </c>
      <c r="N275" s="784">
        <v>12.24</v>
      </c>
      <c r="O275" s="784">
        <v>4.7</v>
      </c>
      <c r="P275" s="783">
        <v>200</v>
      </c>
      <c r="Q275" s="783">
        <v>1106.8399999999999</v>
      </c>
      <c r="R275" s="783">
        <v>621.29999999999995</v>
      </c>
      <c r="S275" s="783">
        <v>97.8</v>
      </c>
      <c r="T275" s="783">
        <v>387.74</v>
      </c>
      <c r="U275" s="785">
        <v>44631.632893518501</v>
      </c>
    </row>
    <row r="276" spans="1:21">
      <c r="A276" s="782">
        <v>44539</v>
      </c>
      <c r="B276" s="783" t="s">
        <v>74</v>
      </c>
      <c r="C276" s="783" t="s">
        <v>4097</v>
      </c>
      <c r="D276" s="783" t="s">
        <v>4038</v>
      </c>
      <c r="E276" s="783" t="s">
        <v>4705</v>
      </c>
      <c r="F276" s="783" t="s">
        <v>4066</v>
      </c>
      <c r="G276" s="783" t="s">
        <v>4028</v>
      </c>
      <c r="H276" s="783" t="s">
        <v>4706</v>
      </c>
      <c r="I276" s="783" t="s">
        <v>4707</v>
      </c>
      <c r="J276" s="783">
        <v>10</v>
      </c>
      <c r="K276" s="783" t="s">
        <v>140</v>
      </c>
      <c r="L276" s="783" t="s">
        <v>4096</v>
      </c>
      <c r="M276" s="784">
        <v>103221</v>
      </c>
      <c r="N276" s="784">
        <v>38.229999999999997</v>
      </c>
      <c r="O276" s="784">
        <v>6</v>
      </c>
      <c r="P276" s="783">
        <v>450</v>
      </c>
      <c r="Q276" s="783">
        <v>2549.56</v>
      </c>
      <c r="R276" s="783">
        <v>0</v>
      </c>
      <c r="S276" s="783">
        <v>0</v>
      </c>
      <c r="T276" s="783">
        <v>2549.56</v>
      </c>
      <c r="U276" s="785">
        <v>44631.632731481499</v>
      </c>
    </row>
    <row r="277" spans="1:21">
      <c r="A277" s="782">
        <v>44525</v>
      </c>
      <c r="B277" s="783" t="s">
        <v>34</v>
      </c>
      <c r="C277" s="783" t="s">
        <v>4139</v>
      </c>
      <c r="D277" s="783" t="s">
        <v>4009</v>
      </c>
      <c r="E277" s="783" t="s">
        <v>4708</v>
      </c>
      <c r="F277" s="783" t="s">
        <v>4011</v>
      </c>
      <c r="G277" s="783" t="str">
        <f>VLOOKUP(I277,pacage,2,FALSE)</f>
        <v>New Contract</v>
      </c>
      <c r="H277" s="783" t="s">
        <v>4709</v>
      </c>
      <c r="I277" s="783" t="s">
        <v>4710</v>
      </c>
      <c r="J277" s="783">
        <v>25</v>
      </c>
      <c r="K277" s="783" t="s">
        <v>140</v>
      </c>
      <c r="L277" s="783" t="s">
        <v>4096</v>
      </c>
      <c r="M277" s="784">
        <v>15438.53</v>
      </c>
      <c r="N277" s="784">
        <v>10.94</v>
      </c>
      <c r="O277" s="784">
        <v>5.6</v>
      </c>
      <c r="P277" s="783">
        <v>252</v>
      </c>
      <c r="Q277" s="783">
        <v>876.91</v>
      </c>
      <c r="R277" s="783">
        <v>696.28</v>
      </c>
      <c r="S277" s="783">
        <v>104.98</v>
      </c>
      <c r="T277" s="783">
        <v>75.650000000000006</v>
      </c>
      <c r="U277" s="785">
        <v>44631.636064814797</v>
      </c>
    </row>
    <row r="278" spans="1:21">
      <c r="A278" s="782">
        <v>44527</v>
      </c>
      <c r="B278" s="783" t="s">
        <v>74</v>
      </c>
      <c r="C278" s="783" t="s">
        <v>4037</v>
      </c>
      <c r="D278" s="783" t="s">
        <v>4038</v>
      </c>
      <c r="E278" s="783" t="s">
        <v>4711</v>
      </c>
      <c r="F278" s="783" t="s">
        <v>4011</v>
      </c>
      <c r="G278" s="783" t="str">
        <f>VLOOKUP(I278,pacage,2,FALSE)</f>
        <v>New Contract</v>
      </c>
      <c r="H278" s="783" t="s">
        <v>4712</v>
      </c>
      <c r="I278" s="783" t="s">
        <v>4713</v>
      </c>
      <c r="J278" s="783">
        <v>20</v>
      </c>
      <c r="K278" s="783" t="s">
        <v>140</v>
      </c>
      <c r="L278" s="783" t="s">
        <v>4096</v>
      </c>
      <c r="M278" s="784">
        <v>7385.6</v>
      </c>
      <c r="N278" s="784">
        <v>5.77</v>
      </c>
      <c r="O278" s="784">
        <v>5.12</v>
      </c>
      <c r="P278" s="783">
        <v>250</v>
      </c>
      <c r="Q278" s="783">
        <v>710.49</v>
      </c>
      <c r="R278" s="783">
        <v>398.82</v>
      </c>
      <c r="S278" s="783">
        <v>62.78</v>
      </c>
      <c r="T278" s="783">
        <v>248.89</v>
      </c>
      <c r="U278" s="785">
        <v>44631.635520833297</v>
      </c>
    </row>
    <row r="279" spans="1:21">
      <c r="A279" s="782">
        <v>44526</v>
      </c>
      <c r="B279" s="783" t="s">
        <v>41</v>
      </c>
      <c r="C279" s="783" t="s">
        <v>4082</v>
      </c>
      <c r="D279" s="783" t="s">
        <v>4009</v>
      </c>
      <c r="E279" s="783" t="s">
        <v>4714</v>
      </c>
      <c r="F279" s="783" t="s">
        <v>4011</v>
      </c>
      <c r="G279" s="783" t="str">
        <f>VLOOKUP(I279,pacage,2,FALSE)</f>
        <v>Renewal (15% in 2020)</v>
      </c>
      <c r="H279" s="783" t="s">
        <v>4715</v>
      </c>
      <c r="I279" s="783" t="s">
        <v>4716</v>
      </c>
      <c r="J279" s="783">
        <v>15</v>
      </c>
      <c r="K279" s="783" t="s">
        <v>140</v>
      </c>
      <c r="L279" s="783" t="s">
        <v>4096</v>
      </c>
      <c r="M279" s="784">
        <v>11168.61</v>
      </c>
      <c r="N279" s="784">
        <v>7.23</v>
      </c>
      <c r="O279" s="784">
        <v>6.13</v>
      </c>
      <c r="P279" s="783">
        <v>252</v>
      </c>
      <c r="Q279" s="783">
        <v>1230.78</v>
      </c>
      <c r="R279" s="783">
        <v>552.85</v>
      </c>
      <c r="S279" s="783">
        <v>90.47</v>
      </c>
      <c r="T279" s="783">
        <v>587.47</v>
      </c>
      <c r="U279" s="785">
        <v>44631.635648148098</v>
      </c>
    </row>
    <row r="280" spans="1:21">
      <c r="A280" s="782">
        <v>44540</v>
      </c>
      <c r="B280" s="783" t="s">
        <v>113</v>
      </c>
      <c r="C280" s="783" t="s">
        <v>4376</v>
      </c>
      <c r="D280" s="783" t="s">
        <v>4038</v>
      </c>
      <c r="E280" s="783" t="s">
        <v>4717</v>
      </c>
      <c r="F280" s="783" t="s">
        <v>4011</v>
      </c>
      <c r="G280" s="783" t="str">
        <f>VLOOKUP(I280,pacage,2,FALSE)</f>
        <v>New Contract</v>
      </c>
      <c r="H280" s="783" t="s">
        <v>4718</v>
      </c>
      <c r="I280" s="783" t="s">
        <v>4719</v>
      </c>
      <c r="J280" s="783">
        <v>20</v>
      </c>
      <c r="K280" s="783" t="s">
        <v>140</v>
      </c>
      <c r="L280" s="783" t="s">
        <v>4096</v>
      </c>
      <c r="M280" s="784">
        <v>19882.8</v>
      </c>
      <c r="N280" s="784">
        <v>15</v>
      </c>
      <c r="O280" s="784">
        <v>5.26</v>
      </c>
      <c r="P280" s="783">
        <v>252</v>
      </c>
      <c r="Q280" s="783">
        <v>1928.63</v>
      </c>
      <c r="R280" s="783">
        <v>1111.45</v>
      </c>
      <c r="S280" s="783">
        <v>167.02</v>
      </c>
      <c r="T280" s="783">
        <v>650.16999999999996</v>
      </c>
      <c r="U280" s="785">
        <v>44631.636122685202</v>
      </c>
    </row>
    <row r="281" spans="1:21">
      <c r="A281" s="782">
        <v>44434</v>
      </c>
      <c r="B281" s="783" t="s">
        <v>41</v>
      </c>
      <c r="C281" s="783" t="s">
        <v>4082</v>
      </c>
      <c r="D281" s="783" t="s">
        <v>4009</v>
      </c>
      <c r="E281" s="783" t="s">
        <v>4720</v>
      </c>
      <c r="F281" s="783" t="s">
        <v>4011</v>
      </c>
      <c r="G281" s="783" t="str">
        <f>VLOOKUP(I281,pacage,2,FALSE)</f>
        <v>Renewal (30% in 2020)</v>
      </c>
      <c r="H281" s="783" t="s">
        <v>4721</v>
      </c>
      <c r="I281" s="783" t="s">
        <v>4722</v>
      </c>
      <c r="J281" s="783">
        <v>30</v>
      </c>
      <c r="K281" s="783" t="s">
        <v>140</v>
      </c>
      <c r="L281" s="783" t="s">
        <v>4096</v>
      </c>
      <c r="M281" s="784">
        <v>9182.7999999999993</v>
      </c>
      <c r="N281" s="784">
        <v>11.27</v>
      </c>
      <c r="O281" s="784">
        <v>3.88</v>
      </c>
      <c r="P281" s="783">
        <v>210</v>
      </c>
      <c r="Q281" s="783">
        <v>505.05</v>
      </c>
      <c r="R281" s="783">
        <v>454.55</v>
      </c>
      <c r="S281" s="783">
        <v>0</v>
      </c>
      <c r="T281" s="783">
        <v>50.51</v>
      </c>
      <c r="U281" s="785">
        <v>44631.633032407401</v>
      </c>
    </row>
    <row r="282" spans="1:21">
      <c r="A282" s="782">
        <v>44558</v>
      </c>
      <c r="B282" s="783" t="s">
        <v>74</v>
      </c>
      <c r="C282" s="783" t="s">
        <v>4037</v>
      </c>
      <c r="D282" s="783" t="s">
        <v>4038</v>
      </c>
      <c r="E282" s="783" t="s">
        <v>4723</v>
      </c>
      <c r="F282" s="783" t="s">
        <v>4066</v>
      </c>
      <c r="G282" s="783" t="s">
        <v>4028</v>
      </c>
      <c r="H282" s="783" t="s">
        <v>4724</v>
      </c>
      <c r="I282" s="783" t="s">
        <v>4725</v>
      </c>
      <c r="J282" s="783">
        <v>10</v>
      </c>
      <c r="K282" s="783" t="s">
        <v>140</v>
      </c>
      <c r="L282" s="783" t="s">
        <v>4096</v>
      </c>
      <c r="M282" s="784">
        <v>23173.18</v>
      </c>
      <c r="N282" s="784">
        <v>18.600000000000001</v>
      </c>
      <c r="O282" s="784">
        <v>3.81</v>
      </c>
      <c r="P282" s="783">
        <v>327</v>
      </c>
      <c r="Q282" s="783">
        <v>699.83</v>
      </c>
      <c r="R282" s="783">
        <v>0</v>
      </c>
      <c r="S282" s="783">
        <v>0</v>
      </c>
      <c r="T282" s="783">
        <v>699.83</v>
      </c>
      <c r="U282" s="785">
        <v>44631.636909722198</v>
      </c>
    </row>
    <row r="283" spans="1:21">
      <c r="A283" s="782">
        <v>44552</v>
      </c>
      <c r="B283" s="783" t="s">
        <v>74</v>
      </c>
      <c r="C283" s="783" t="s">
        <v>4097</v>
      </c>
      <c r="D283" s="783" t="s">
        <v>4038</v>
      </c>
      <c r="E283" s="783" t="s">
        <v>4726</v>
      </c>
      <c r="F283" s="783" t="s">
        <v>4011</v>
      </c>
      <c r="G283" s="783" t="str">
        <f t="shared" ref="G283:G293" si="16">VLOOKUP(I283,pacage,2,FALSE)</f>
        <v>Renewal (15% in 2020)</v>
      </c>
      <c r="H283" s="783" t="s">
        <v>4727</v>
      </c>
      <c r="I283" s="783" t="s">
        <v>4728</v>
      </c>
      <c r="J283" s="783">
        <v>15</v>
      </c>
      <c r="K283" s="783" t="s">
        <v>140</v>
      </c>
      <c r="L283" s="783" t="s">
        <v>4096</v>
      </c>
      <c r="M283" s="784">
        <v>5450</v>
      </c>
      <c r="N283" s="784">
        <v>5</v>
      </c>
      <c r="O283" s="784">
        <v>4.3600000000000003</v>
      </c>
      <c r="P283" s="783">
        <v>250</v>
      </c>
      <c r="Q283" s="783">
        <v>573.89</v>
      </c>
      <c r="R283" s="783">
        <v>251.25</v>
      </c>
      <c r="S283" s="783">
        <v>38.15</v>
      </c>
      <c r="T283" s="783">
        <v>284.49</v>
      </c>
      <c r="U283" s="785">
        <v>44631.637210648201</v>
      </c>
    </row>
    <row r="284" spans="1:21">
      <c r="A284" s="782">
        <v>44551</v>
      </c>
      <c r="B284" s="783" t="s">
        <v>41</v>
      </c>
      <c r="C284" s="783" t="s">
        <v>4082</v>
      </c>
      <c r="D284" s="783" t="s">
        <v>4009</v>
      </c>
      <c r="E284" s="783" t="s">
        <v>4729</v>
      </c>
      <c r="F284" s="783" t="s">
        <v>4011</v>
      </c>
      <c r="G284" s="783" t="str">
        <f t="shared" si="16"/>
        <v>New contract</v>
      </c>
      <c r="H284" s="783" t="s">
        <v>4730</v>
      </c>
      <c r="I284" s="783" t="s">
        <v>4731</v>
      </c>
      <c r="J284" s="783">
        <v>25</v>
      </c>
      <c r="K284" s="783" t="s">
        <v>140</v>
      </c>
      <c r="L284" s="783" t="s">
        <v>4096</v>
      </c>
      <c r="M284" s="784">
        <v>12242.36</v>
      </c>
      <c r="N284" s="784">
        <v>6.98</v>
      </c>
      <c r="O284" s="784">
        <v>6.96</v>
      </c>
      <c r="P284" s="783">
        <v>252</v>
      </c>
      <c r="Q284" s="783">
        <v>771.27</v>
      </c>
      <c r="R284" s="783">
        <v>606</v>
      </c>
      <c r="S284" s="783">
        <v>99.16</v>
      </c>
      <c r="T284" s="783">
        <v>66.11</v>
      </c>
      <c r="U284" s="785">
        <v>44631.637164351901</v>
      </c>
    </row>
    <row r="285" spans="1:21">
      <c r="A285" s="782">
        <v>44558</v>
      </c>
      <c r="B285" s="783" t="s">
        <v>74</v>
      </c>
      <c r="C285" s="783" t="s">
        <v>4037</v>
      </c>
      <c r="D285" s="783" t="s">
        <v>4038</v>
      </c>
      <c r="E285" s="783" t="s">
        <v>4452</v>
      </c>
      <c r="F285" s="783" t="s">
        <v>4011</v>
      </c>
      <c r="G285" s="783" t="str">
        <f t="shared" si="16"/>
        <v>Renewal (20% in 2020)</v>
      </c>
      <c r="H285" s="783" t="s">
        <v>4453</v>
      </c>
      <c r="I285" s="783" t="s">
        <v>4454</v>
      </c>
      <c r="J285" s="783">
        <v>25</v>
      </c>
      <c r="K285" s="783" t="s">
        <v>140</v>
      </c>
      <c r="L285" s="783" t="s">
        <v>4096</v>
      </c>
      <c r="M285" s="784">
        <v>11211.09</v>
      </c>
      <c r="N285" s="784">
        <v>6.41</v>
      </c>
      <c r="O285" s="784">
        <v>5.83</v>
      </c>
      <c r="P285" s="783">
        <v>300</v>
      </c>
      <c r="Q285" s="783">
        <v>847.56</v>
      </c>
      <c r="R285" s="783">
        <v>508.54</v>
      </c>
      <c r="S285" s="783">
        <v>192.16</v>
      </c>
      <c r="T285" s="783">
        <v>146.87</v>
      </c>
      <c r="U285" s="785">
        <v>44631.637071759302</v>
      </c>
    </row>
    <row r="286" spans="1:21">
      <c r="A286" s="782">
        <v>44561</v>
      </c>
      <c r="B286" s="783" t="s">
        <v>74</v>
      </c>
      <c r="C286" s="783" t="s">
        <v>4037</v>
      </c>
      <c r="D286" s="783" t="s">
        <v>4038</v>
      </c>
      <c r="E286" s="783" t="s">
        <v>4455</v>
      </c>
      <c r="F286" s="783" t="s">
        <v>4011</v>
      </c>
      <c r="G286" s="783" t="str">
        <f t="shared" si="16"/>
        <v>Renewal (20% in 2020)</v>
      </c>
      <c r="H286" s="783" t="s">
        <v>4456</v>
      </c>
      <c r="I286" s="783" t="s">
        <v>4457</v>
      </c>
      <c r="J286" s="783">
        <v>25</v>
      </c>
      <c r="K286" s="783" t="s">
        <v>140</v>
      </c>
      <c r="L286" s="783" t="s">
        <v>4096</v>
      </c>
      <c r="M286" s="784">
        <v>18880.2</v>
      </c>
      <c r="N286" s="784">
        <v>10.199999999999999</v>
      </c>
      <c r="O286" s="784">
        <v>6.17</v>
      </c>
      <c r="P286" s="783">
        <v>300</v>
      </c>
      <c r="Q286" s="783">
        <v>1427.34</v>
      </c>
      <c r="R286" s="783">
        <v>856.41</v>
      </c>
      <c r="S286" s="783">
        <v>323.61</v>
      </c>
      <c r="T286" s="783">
        <v>247.33</v>
      </c>
      <c r="U286" s="785">
        <v>44631.636990740699</v>
      </c>
    </row>
    <row r="287" spans="1:21">
      <c r="A287" s="782">
        <v>44561</v>
      </c>
      <c r="B287" s="783" t="s">
        <v>74</v>
      </c>
      <c r="C287" s="783" t="s">
        <v>4097</v>
      </c>
      <c r="D287" s="783" t="s">
        <v>4038</v>
      </c>
      <c r="E287" s="783" t="s">
        <v>4455</v>
      </c>
      <c r="F287" s="783" t="s">
        <v>4011</v>
      </c>
      <c r="G287" s="783" t="str">
        <f t="shared" si="16"/>
        <v>Renewal (20% in 2020)</v>
      </c>
      <c r="H287" s="783" t="s">
        <v>4456</v>
      </c>
      <c r="I287" s="783" t="s">
        <v>4457</v>
      </c>
      <c r="J287" s="783">
        <v>25</v>
      </c>
      <c r="K287" s="783" t="s">
        <v>140</v>
      </c>
      <c r="L287" s="783" t="s">
        <v>4096</v>
      </c>
      <c r="M287" s="784">
        <v>27394.799999999999</v>
      </c>
      <c r="N287" s="784">
        <v>14.8</v>
      </c>
      <c r="O287" s="784">
        <v>6.17</v>
      </c>
      <c r="P287" s="783">
        <v>300</v>
      </c>
      <c r="Q287" s="783">
        <v>1693</v>
      </c>
      <c r="R287" s="783">
        <v>1060.8399999999999</v>
      </c>
      <c r="S287" s="783">
        <v>393.83</v>
      </c>
      <c r="T287" s="783">
        <v>238.33</v>
      </c>
      <c r="U287" s="785">
        <v>44631.636990740699</v>
      </c>
    </row>
    <row r="288" spans="1:21">
      <c r="A288" s="782">
        <v>44503</v>
      </c>
      <c r="B288" s="783" t="s">
        <v>74</v>
      </c>
      <c r="C288" s="783" t="s">
        <v>4097</v>
      </c>
      <c r="D288" s="783" t="s">
        <v>4038</v>
      </c>
      <c r="E288" s="783" t="s">
        <v>4732</v>
      </c>
      <c r="F288" s="783" t="s">
        <v>4066</v>
      </c>
      <c r="G288" s="783" t="str">
        <f t="shared" si="16"/>
        <v>New Contract</v>
      </c>
      <c r="H288" s="783" t="s">
        <v>4733</v>
      </c>
      <c r="I288" s="783" t="s">
        <v>4734</v>
      </c>
      <c r="J288" s="783">
        <v>10</v>
      </c>
      <c r="K288" s="783" t="s">
        <v>140</v>
      </c>
      <c r="L288" s="783" t="s">
        <v>4096</v>
      </c>
      <c r="M288" s="784">
        <v>9055.2000000000007</v>
      </c>
      <c r="N288" s="784">
        <v>5.39</v>
      </c>
      <c r="O288" s="784">
        <v>6</v>
      </c>
      <c r="P288" s="783">
        <v>280</v>
      </c>
      <c r="Q288" s="783">
        <v>223.66</v>
      </c>
      <c r="R288" s="783">
        <v>0</v>
      </c>
      <c r="S288" s="783">
        <v>0</v>
      </c>
      <c r="T288" s="783">
        <v>223.66</v>
      </c>
      <c r="U288" s="785">
        <v>44631.636504629598</v>
      </c>
    </row>
    <row r="289" spans="1:21">
      <c r="A289" s="782">
        <v>44525</v>
      </c>
      <c r="B289" s="783" t="s">
        <v>397</v>
      </c>
      <c r="C289" s="783" t="s">
        <v>4511</v>
      </c>
      <c r="D289" s="783" t="s">
        <v>4512</v>
      </c>
      <c r="E289" s="783" t="s">
        <v>4735</v>
      </c>
      <c r="F289" s="783" t="s">
        <v>4011</v>
      </c>
      <c r="G289" s="783" t="str">
        <f t="shared" si="16"/>
        <v>Renewal (20% in 2020)</v>
      </c>
      <c r="H289" s="783" t="s">
        <v>4736</v>
      </c>
      <c r="I289" s="783" t="s">
        <v>4737</v>
      </c>
      <c r="J289" s="783">
        <v>20</v>
      </c>
      <c r="K289" s="783" t="s">
        <v>140</v>
      </c>
      <c r="L289" s="783" t="s">
        <v>4096</v>
      </c>
      <c r="M289" s="784">
        <v>7321.6</v>
      </c>
      <c r="N289" s="784">
        <v>4.4000000000000004</v>
      </c>
      <c r="O289" s="784">
        <v>5.2</v>
      </c>
      <c r="P289" s="783">
        <v>320</v>
      </c>
      <c r="Q289" s="783">
        <v>527.89</v>
      </c>
      <c r="R289" s="783">
        <v>234.67</v>
      </c>
      <c r="S289" s="783">
        <v>123.36</v>
      </c>
      <c r="T289" s="783">
        <v>169.86</v>
      </c>
      <c r="U289" s="785">
        <v>44631.637337963002</v>
      </c>
    </row>
    <row r="290" spans="1:21">
      <c r="A290" s="782">
        <v>44592</v>
      </c>
      <c r="B290" s="783" t="s">
        <v>74</v>
      </c>
      <c r="C290" s="783" t="s">
        <v>4097</v>
      </c>
      <c r="D290" s="783" t="s">
        <v>4038</v>
      </c>
      <c r="E290" s="783" t="s">
        <v>4738</v>
      </c>
      <c r="F290" s="783" t="s">
        <v>4011</v>
      </c>
      <c r="G290" s="783" t="str">
        <f t="shared" si="16"/>
        <v>Renewal (15% in 2020)</v>
      </c>
      <c r="H290" s="783" t="s">
        <v>4739</v>
      </c>
      <c r="I290" s="783" t="s">
        <v>4740</v>
      </c>
      <c r="J290" s="783">
        <v>15</v>
      </c>
      <c r="K290" s="783" t="s">
        <v>140</v>
      </c>
      <c r="L290" s="783" t="s">
        <v>4096</v>
      </c>
      <c r="M290" s="784">
        <v>27684</v>
      </c>
      <c r="N290" s="784">
        <v>15.38</v>
      </c>
      <c r="O290" s="784">
        <v>6</v>
      </c>
      <c r="P290" s="783">
        <v>300</v>
      </c>
      <c r="Q290" s="783">
        <v>2915.13</v>
      </c>
      <c r="R290" s="783">
        <v>1072.04</v>
      </c>
      <c r="S290" s="783">
        <v>397.99</v>
      </c>
      <c r="T290" s="783">
        <v>1445.1</v>
      </c>
      <c r="U290" s="785">
        <v>44631.6375694444</v>
      </c>
    </row>
    <row r="291" spans="1:21">
      <c r="A291" s="782">
        <v>44510</v>
      </c>
      <c r="B291" s="783" t="s">
        <v>34</v>
      </c>
      <c r="C291" s="783" t="s">
        <v>4082</v>
      </c>
      <c r="D291" s="783" t="s">
        <v>4009</v>
      </c>
      <c r="E291" s="783" t="s">
        <v>4741</v>
      </c>
      <c r="F291" s="783" t="s">
        <v>4011</v>
      </c>
      <c r="G291" s="783" t="str">
        <f t="shared" si="16"/>
        <v>Renewal (25% in 2020)</v>
      </c>
      <c r="H291" s="783" t="s">
        <v>4742</v>
      </c>
      <c r="I291" s="783" t="s">
        <v>4743</v>
      </c>
      <c r="J291" s="783">
        <v>25</v>
      </c>
      <c r="K291" s="783" t="s">
        <v>140</v>
      </c>
      <c r="L291" s="783" t="s">
        <v>4096</v>
      </c>
      <c r="M291" s="784">
        <v>3762.61</v>
      </c>
      <c r="N291" s="784">
        <v>2.37</v>
      </c>
      <c r="O291" s="784">
        <v>6.3</v>
      </c>
      <c r="P291" s="783">
        <v>252</v>
      </c>
      <c r="Q291" s="783">
        <v>237.04</v>
      </c>
      <c r="R291" s="783">
        <v>186.25</v>
      </c>
      <c r="S291" s="783">
        <v>30.48</v>
      </c>
      <c r="T291" s="783">
        <v>20.32</v>
      </c>
      <c r="U291" s="785">
        <v>44631.637372685203</v>
      </c>
    </row>
    <row r="292" spans="1:21">
      <c r="A292" s="782">
        <v>44409</v>
      </c>
      <c r="B292" s="783" t="s">
        <v>1423</v>
      </c>
      <c r="C292" s="783" t="s">
        <v>4097</v>
      </c>
      <c r="D292" s="783" t="s">
        <v>4038</v>
      </c>
      <c r="E292" s="783" t="s">
        <v>4744</v>
      </c>
      <c r="F292" s="783" t="s">
        <v>4011</v>
      </c>
      <c r="G292" s="783" t="str">
        <f t="shared" si="16"/>
        <v>Renewal (25% in 2020)</v>
      </c>
      <c r="H292" s="783" t="s">
        <v>4745</v>
      </c>
      <c r="I292" s="783" t="s">
        <v>4746</v>
      </c>
      <c r="J292" s="783">
        <v>25</v>
      </c>
      <c r="K292" s="783" t="s">
        <v>503</v>
      </c>
      <c r="L292" s="783" t="s">
        <v>4096</v>
      </c>
      <c r="M292" s="784">
        <v>13200</v>
      </c>
      <c r="N292" s="784">
        <v>12.5</v>
      </c>
      <c r="O292" s="784">
        <v>2.2000000000000002</v>
      </c>
      <c r="P292" s="783">
        <v>480</v>
      </c>
      <c r="Q292" s="783">
        <v>897.6</v>
      </c>
      <c r="R292" s="783">
        <v>491.84</v>
      </c>
      <c r="S292" s="783">
        <v>255.28</v>
      </c>
      <c r="T292" s="783">
        <v>150.47999999999999</v>
      </c>
      <c r="U292" s="785">
        <v>44631.504143518498</v>
      </c>
    </row>
    <row r="293" spans="1:21">
      <c r="A293" s="782">
        <v>44680</v>
      </c>
      <c r="B293" s="783" t="s">
        <v>74</v>
      </c>
      <c r="C293" s="783" t="s">
        <v>4097</v>
      </c>
      <c r="D293" s="783" t="s">
        <v>4038</v>
      </c>
      <c r="E293" s="783" t="s">
        <v>4747</v>
      </c>
      <c r="F293" s="783" t="s">
        <v>4066</v>
      </c>
      <c r="G293" s="783" t="str">
        <f t="shared" si="16"/>
        <v>Renewal (15% in 2020)</v>
      </c>
      <c r="H293" s="783" t="s">
        <v>4748</v>
      </c>
      <c r="I293" s="783" t="s">
        <v>4749</v>
      </c>
      <c r="J293" s="783">
        <v>5</v>
      </c>
      <c r="K293" s="783" t="s">
        <v>503</v>
      </c>
      <c r="L293" s="783" t="s">
        <v>4096</v>
      </c>
      <c r="M293" s="784">
        <v>31472</v>
      </c>
      <c r="N293" s="784">
        <v>19.670000000000002</v>
      </c>
      <c r="O293" s="784">
        <v>4</v>
      </c>
      <c r="P293" s="783">
        <v>400</v>
      </c>
      <c r="Q293" s="783">
        <v>1070.05</v>
      </c>
      <c r="R293" s="783">
        <v>0</v>
      </c>
      <c r="S293" s="783">
        <v>0</v>
      </c>
      <c r="T293" s="783">
        <v>1070.05</v>
      </c>
      <c r="U293" s="785">
        <v>44683.4930902778</v>
      </c>
    </row>
    <row r="294" spans="1:21">
      <c r="A294" s="782">
        <v>44700</v>
      </c>
      <c r="B294" s="783" t="s">
        <v>74</v>
      </c>
      <c r="C294" s="783" t="s">
        <v>4037</v>
      </c>
      <c r="D294" s="783" t="s">
        <v>4038</v>
      </c>
      <c r="E294" s="783" t="s">
        <v>4750</v>
      </c>
      <c r="F294" s="783" t="s">
        <v>4011</v>
      </c>
      <c r="G294" s="783" t="s">
        <v>4028</v>
      </c>
      <c r="H294" s="783" t="s">
        <v>4751</v>
      </c>
      <c r="I294" s="783" t="s">
        <v>4752</v>
      </c>
      <c r="J294" s="783">
        <v>25</v>
      </c>
      <c r="K294" s="783" t="s">
        <v>503</v>
      </c>
      <c r="L294" s="783" t="s">
        <v>4096</v>
      </c>
      <c r="M294" s="784">
        <v>7530</v>
      </c>
      <c r="N294" s="784">
        <v>7.53</v>
      </c>
      <c r="O294" s="784">
        <v>2.5</v>
      </c>
      <c r="P294" s="783">
        <v>400</v>
      </c>
      <c r="Q294" s="783">
        <v>626.5</v>
      </c>
      <c r="R294" s="783">
        <v>390.28</v>
      </c>
      <c r="S294" s="783">
        <v>105.95</v>
      </c>
      <c r="T294" s="783">
        <v>130.27000000000001</v>
      </c>
      <c r="U294" s="785">
        <v>44708.963460648098</v>
      </c>
    </row>
    <row r="295" spans="1:21">
      <c r="A295" s="782">
        <v>44519</v>
      </c>
      <c r="B295" s="783" t="s">
        <v>74</v>
      </c>
      <c r="C295" s="783" t="s">
        <v>4037</v>
      </c>
      <c r="D295" s="783" t="s">
        <v>4038</v>
      </c>
      <c r="E295" s="783" t="s">
        <v>4753</v>
      </c>
      <c r="F295" s="783" t="s">
        <v>4011</v>
      </c>
      <c r="G295" s="783" t="str">
        <f>VLOOKUP(I295,pacage,2,FALSE)</f>
        <v>Renewal (25% in 2020)</v>
      </c>
      <c r="H295" s="783" t="s">
        <v>4754</v>
      </c>
      <c r="I295" s="783" t="s">
        <v>4755</v>
      </c>
      <c r="J295" s="783">
        <v>30</v>
      </c>
      <c r="K295" s="783" t="s">
        <v>503</v>
      </c>
      <c r="L295" s="783" t="s">
        <v>4096</v>
      </c>
      <c r="M295" s="784">
        <v>11610.18</v>
      </c>
      <c r="N295" s="784">
        <v>8.91</v>
      </c>
      <c r="O295" s="784">
        <v>3.57</v>
      </c>
      <c r="P295" s="783">
        <v>365</v>
      </c>
      <c r="Q295" s="783">
        <v>856.83</v>
      </c>
      <c r="R295" s="783">
        <v>659.46</v>
      </c>
      <c r="S295" s="783">
        <v>0</v>
      </c>
      <c r="T295" s="783">
        <v>197.37</v>
      </c>
      <c r="U295" s="785">
        <v>44631.637962963003</v>
      </c>
    </row>
    <row r="296" spans="1:21">
      <c r="A296" s="782">
        <v>44572</v>
      </c>
      <c r="B296" s="783" t="s">
        <v>41</v>
      </c>
      <c r="C296" s="783" t="s">
        <v>4092</v>
      </c>
      <c r="D296" s="783" t="s">
        <v>4009</v>
      </c>
      <c r="E296" s="783" t="s">
        <v>4756</v>
      </c>
      <c r="F296" s="783" t="s">
        <v>4011</v>
      </c>
      <c r="G296" s="783" t="s">
        <v>4028</v>
      </c>
      <c r="H296" s="783" t="s">
        <v>4757</v>
      </c>
      <c r="I296" s="783" t="s">
        <v>4758</v>
      </c>
      <c r="J296" s="783">
        <v>25</v>
      </c>
      <c r="K296" s="783" t="s">
        <v>4759</v>
      </c>
      <c r="L296" s="783" t="s">
        <v>4096</v>
      </c>
      <c r="M296" s="784">
        <v>22913.94</v>
      </c>
      <c r="N296" s="784">
        <v>12.26</v>
      </c>
      <c r="O296" s="784">
        <v>6.23</v>
      </c>
      <c r="P296" s="783">
        <v>300</v>
      </c>
      <c r="Q296" s="783">
        <v>1475.66</v>
      </c>
      <c r="R296" s="783">
        <v>1095.77</v>
      </c>
      <c r="S296" s="783">
        <v>230.95</v>
      </c>
      <c r="T296" s="783">
        <v>148.94</v>
      </c>
      <c r="U296" s="785">
        <v>44631.635659722197</v>
      </c>
    </row>
    <row r="297" spans="1:21">
      <c r="A297" s="782">
        <v>44409</v>
      </c>
      <c r="B297" s="783" t="s">
        <v>41</v>
      </c>
      <c r="C297" s="783" t="s">
        <v>4008</v>
      </c>
      <c r="D297" s="783" t="s">
        <v>4009</v>
      </c>
      <c r="E297" s="783" t="s">
        <v>4503</v>
      </c>
      <c r="F297" s="783" t="s">
        <v>4011</v>
      </c>
      <c r="G297" s="783" t="str">
        <f>VLOOKUP(I297,pacage,2,FALSE)</f>
        <v>Renewal (20% in 2020)</v>
      </c>
      <c r="H297" s="783" t="s">
        <v>4504</v>
      </c>
      <c r="I297" s="783" t="s">
        <v>4505</v>
      </c>
      <c r="J297" s="783">
        <v>20</v>
      </c>
      <c r="K297" s="783" t="s">
        <v>1027</v>
      </c>
      <c r="L297" s="783" t="s">
        <v>4014</v>
      </c>
      <c r="M297" s="784">
        <v>18375.71</v>
      </c>
      <c r="N297" s="784">
        <v>19.670000000000002</v>
      </c>
      <c r="O297" s="784">
        <v>5.4</v>
      </c>
      <c r="P297" s="783">
        <v>173</v>
      </c>
      <c r="Q297" s="783">
        <v>1550.91</v>
      </c>
      <c r="R297" s="783">
        <v>882.03</v>
      </c>
      <c r="S297" s="783">
        <v>135.97999999999999</v>
      </c>
      <c r="T297" s="783">
        <v>532.9</v>
      </c>
      <c r="U297" s="785">
        <v>44631.505231481497</v>
      </c>
    </row>
    <row r="298" spans="1:21">
      <c r="A298" s="782">
        <v>44711</v>
      </c>
      <c r="B298" s="783" t="s">
        <v>51</v>
      </c>
      <c r="C298" s="783" t="s">
        <v>4042</v>
      </c>
      <c r="D298" s="783" t="s">
        <v>4016</v>
      </c>
      <c r="E298" s="783" t="s">
        <v>4760</v>
      </c>
      <c r="F298" s="783" t="s">
        <v>4011</v>
      </c>
      <c r="G298" s="783" t="str">
        <f>VLOOKUP(I298,pacage,2,FALSE)</f>
        <v>New Contract</v>
      </c>
      <c r="H298" s="783" t="s">
        <v>4761</v>
      </c>
      <c r="I298" s="783" t="s">
        <v>4762</v>
      </c>
      <c r="J298" s="783">
        <v>15</v>
      </c>
      <c r="K298" s="783" t="s">
        <v>1027</v>
      </c>
      <c r="L298" s="783" t="s">
        <v>4014</v>
      </c>
      <c r="M298" s="784">
        <v>13112.28</v>
      </c>
      <c r="N298" s="784">
        <v>10.26</v>
      </c>
      <c r="O298" s="784">
        <v>7.1</v>
      </c>
      <c r="P298" s="783">
        <v>180</v>
      </c>
      <c r="Q298" s="783">
        <v>1248.29</v>
      </c>
      <c r="R298" s="783">
        <v>529.29999999999995</v>
      </c>
      <c r="S298" s="783">
        <v>105.34</v>
      </c>
      <c r="T298" s="783">
        <v>613.65</v>
      </c>
      <c r="U298" s="785">
        <v>44713.6401736111</v>
      </c>
    </row>
    <row r="299" spans="1:21">
      <c r="A299" s="782">
        <v>44686</v>
      </c>
      <c r="B299" s="783" t="s">
        <v>41</v>
      </c>
      <c r="C299" s="783" t="s">
        <v>4092</v>
      </c>
      <c r="D299" s="783" t="s">
        <v>4009</v>
      </c>
      <c r="E299" s="783" t="s">
        <v>4763</v>
      </c>
      <c r="F299" s="783" t="s">
        <v>4011</v>
      </c>
      <c r="G299" s="783" t="str">
        <f>VLOOKUP(I299,pacage,2,FALSE)</f>
        <v>Renewal (15% in 2020)</v>
      </c>
      <c r="H299" s="783" t="s">
        <v>4764</v>
      </c>
      <c r="I299" s="783" t="s">
        <v>4765</v>
      </c>
      <c r="J299" s="783">
        <v>15</v>
      </c>
      <c r="K299" s="783" t="s">
        <v>1027</v>
      </c>
      <c r="L299" s="783" t="s">
        <v>4014</v>
      </c>
      <c r="M299" s="784">
        <v>7839.5</v>
      </c>
      <c r="N299" s="784">
        <v>10.07</v>
      </c>
      <c r="O299" s="784">
        <v>4.5</v>
      </c>
      <c r="P299" s="783">
        <v>173</v>
      </c>
      <c r="Q299" s="783">
        <v>899.97</v>
      </c>
      <c r="R299" s="783">
        <v>396.68</v>
      </c>
      <c r="S299" s="783">
        <v>70.56</v>
      </c>
      <c r="T299" s="783">
        <v>432.74</v>
      </c>
      <c r="U299" s="785">
        <v>44687.613275463002</v>
      </c>
    </row>
    <row r="300" spans="1:21">
      <c r="A300" s="782">
        <v>44686</v>
      </c>
      <c r="B300" s="783" t="s">
        <v>4025</v>
      </c>
      <c r="C300" s="783" t="s">
        <v>4026</v>
      </c>
      <c r="D300" s="783" t="s">
        <v>4021</v>
      </c>
      <c r="E300" s="783" t="s">
        <v>4049</v>
      </c>
      <c r="F300" s="783" t="s">
        <v>4011</v>
      </c>
      <c r="G300" s="783" t="str">
        <f>VLOOKUP(I300,pacage,2,FALSE)</f>
        <v>New contract</v>
      </c>
      <c r="H300" s="783" t="s">
        <v>4050</v>
      </c>
      <c r="I300" s="783" t="s">
        <v>4051</v>
      </c>
      <c r="J300" s="783">
        <v>30</v>
      </c>
      <c r="K300" s="783" t="s">
        <v>1027</v>
      </c>
      <c r="L300" s="783" t="s">
        <v>4014</v>
      </c>
      <c r="M300" s="784">
        <v>34537.17</v>
      </c>
      <c r="N300" s="784">
        <v>33.44</v>
      </c>
      <c r="O300" s="784">
        <v>5.97</v>
      </c>
      <c r="P300" s="783">
        <v>173</v>
      </c>
      <c r="Q300" s="783">
        <v>2092.9499999999998</v>
      </c>
      <c r="R300" s="783">
        <v>1716.5</v>
      </c>
      <c r="S300" s="783">
        <v>0</v>
      </c>
      <c r="T300" s="783">
        <v>376.46</v>
      </c>
      <c r="U300" s="785">
        <v>44687.618229166699</v>
      </c>
    </row>
    <row r="301" spans="1:21">
      <c r="A301" s="782">
        <v>44684</v>
      </c>
      <c r="B301" s="783" t="s">
        <v>4025</v>
      </c>
      <c r="C301" s="783" t="s">
        <v>4052</v>
      </c>
      <c r="D301" s="783" t="s">
        <v>4021</v>
      </c>
      <c r="E301" s="783" t="s">
        <v>4053</v>
      </c>
      <c r="F301" s="783" t="s">
        <v>4011</v>
      </c>
      <c r="G301" s="783" t="str">
        <f>VLOOKUP(I301,pacage,2,FALSE)</f>
        <v>New contract</v>
      </c>
      <c r="H301" s="783" t="s">
        <v>4054</v>
      </c>
      <c r="I301" s="783" t="s">
        <v>4055</v>
      </c>
      <c r="J301" s="783">
        <v>25</v>
      </c>
      <c r="K301" s="783" t="s">
        <v>1027</v>
      </c>
      <c r="L301" s="783" t="s">
        <v>4014</v>
      </c>
      <c r="M301" s="784">
        <v>10697</v>
      </c>
      <c r="N301" s="784">
        <v>10</v>
      </c>
      <c r="O301" s="784">
        <v>5.63</v>
      </c>
      <c r="P301" s="783">
        <v>190</v>
      </c>
      <c r="Q301" s="783">
        <v>602.24</v>
      </c>
      <c r="R301" s="783">
        <v>422.71</v>
      </c>
      <c r="S301" s="783">
        <v>111.07</v>
      </c>
      <c r="T301" s="783">
        <v>68.459999999999994</v>
      </c>
      <c r="U301" s="785">
        <v>44685.4058912037</v>
      </c>
    </row>
    <row r="302" spans="1:21">
      <c r="A302" s="782">
        <v>44711</v>
      </c>
      <c r="B302" s="783" t="s">
        <v>228</v>
      </c>
      <c r="C302" s="783" t="s">
        <v>4582</v>
      </c>
      <c r="D302" s="783" t="s">
        <v>4193</v>
      </c>
      <c r="E302" s="783" t="s">
        <v>4766</v>
      </c>
      <c r="F302" s="783" t="s">
        <v>4011</v>
      </c>
      <c r="G302" s="783" t="s">
        <v>4028</v>
      </c>
      <c r="H302" s="783" t="s">
        <v>4767</v>
      </c>
      <c r="I302" s="783" t="s">
        <v>4768</v>
      </c>
      <c r="J302" s="783">
        <v>25</v>
      </c>
      <c r="K302" s="783" t="s">
        <v>1027</v>
      </c>
      <c r="L302" s="783" t="s">
        <v>4014</v>
      </c>
      <c r="M302" s="784">
        <v>22367.97</v>
      </c>
      <c r="N302" s="784">
        <v>19.07</v>
      </c>
      <c r="O302" s="784">
        <v>6.78</v>
      </c>
      <c r="P302" s="783">
        <v>173</v>
      </c>
      <c r="Q302" s="783">
        <v>1357.74</v>
      </c>
      <c r="R302" s="783">
        <v>1062.48</v>
      </c>
      <c r="S302" s="783">
        <v>138.68</v>
      </c>
      <c r="T302" s="783">
        <v>156.58000000000001</v>
      </c>
      <c r="U302" s="785">
        <v>44713.609803240703</v>
      </c>
    </row>
    <row r="303" spans="1:21">
      <c r="A303" s="782">
        <v>44424</v>
      </c>
      <c r="B303" s="783" t="s">
        <v>228</v>
      </c>
      <c r="C303" s="783" t="s">
        <v>4020</v>
      </c>
      <c r="D303" s="783" t="s">
        <v>4021</v>
      </c>
      <c r="E303" s="783" t="s">
        <v>1026</v>
      </c>
      <c r="F303" s="783" t="s">
        <v>4011</v>
      </c>
      <c r="G303" s="783" t="str">
        <f>VLOOKUP(I303,pacage,2,FALSE)</f>
        <v>Renewal (20% in 2020)</v>
      </c>
      <c r="H303" s="783" t="s">
        <v>4242</v>
      </c>
      <c r="I303" s="783" t="s">
        <v>4243</v>
      </c>
      <c r="J303" s="783">
        <v>20</v>
      </c>
      <c r="K303" s="783" t="s">
        <v>1027</v>
      </c>
      <c r="L303" s="783" t="s">
        <v>4014</v>
      </c>
      <c r="M303" s="784">
        <v>16467.75</v>
      </c>
      <c r="N303" s="784">
        <v>11.7</v>
      </c>
      <c r="O303" s="784">
        <v>5.63</v>
      </c>
      <c r="P303" s="783">
        <v>250</v>
      </c>
      <c r="Q303" s="783">
        <v>1543.03</v>
      </c>
      <c r="R303" s="783">
        <v>622.20000000000005</v>
      </c>
      <c r="S303" s="783">
        <v>413.62</v>
      </c>
      <c r="T303" s="783">
        <v>507.21</v>
      </c>
      <c r="U303" s="785">
        <v>44631.632581018501</v>
      </c>
    </row>
    <row r="304" spans="1:21">
      <c r="A304" s="782">
        <v>44524</v>
      </c>
      <c r="B304" s="783" t="s">
        <v>30</v>
      </c>
      <c r="C304" s="783" t="s">
        <v>4089</v>
      </c>
      <c r="D304" s="783" t="s">
        <v>4021</v>
      </c>
      <c r="E304" s="783" t="s">
        <v>4769</v>
      </c>
      <c r="F304" s="783" t="s">
        <v>4011</v>
      </c>
      <c r="G304" s="783" t="str">
        <f>VLOOKUP(I304,pacage,2,FALSE)</f>
        <v>Renewal (30% in 2020)</v>
      </c>
      <c r="H304" s="783" t="s">
        <v>4770</v>
      </c>
      <c r="I304" s="783" t="s">
        <v>4771</v>
      </c>
      <c r="J304" s="783">
        <v>30</v>
      </c>
      <c r="K304" s="783" t="s">
        <v>1027</v>
      </c>
      <c r="L304" s="783" t="s">
        <v>4014</v>
      </c>
      <c r="M304" s="784">
        <v>18676</v>
      </c>
      <c r="N304" s="784">
        <v>13.34</v>
      </c>
      <c r="O304" s="784">
        <v>7</v>
      </c>
      <c r="P304" s="783">
        <v>200</v>
      </c>
      <c r="Q304" s="783">
        <v>978.62</v>
      </c>
      <c r="R304" s="783">
        <v>707.58</v>
      </c>
      <c r="S304" s="783">
        <v>110.43</v>
      </c>
      <c r="T304" s="783">
        <v>160.61000000000001</v>
      </c>
      <c r="U304" s="785">
        <v>44631.635775463001</v>
      </c>
    </row>
    <row r="305" spans="1:21">
      <c r="A305" s="782">
        <v>44692</v>
      </c>
      <c r="B305" s="783" t="s">
        <v>4025</v>
      </c>
      <c r="C305" s="783" t="s">
        <v>4026</v>
      </c>
      <c r="D305" s="783" t="s">
        <v>4021</v>
      </c>
      <c r="E305" s="783" t="s">
        <v>4772</v>
      </c>
      <c r="F305" s="783" t="s">
        <v>4066</v>
      </c>
      <c r="G305" s="783" t="s">
        <v>4028</v>
      </c>
      <c r="H305" s="783" t="s">
        <v>4773</v>
      </c>
      <c r="I305" s="783" t="s">
        <v>4774</v>
      </c>
      <c r="J305" s="783">
        <v>5</v>
      </c>
      <c r="K305" s="783" t="s">
        <v>1376</v>
      </c>
      <c r="L305" s="783" t="s">
        <v>4014</v>
      </c>
      <c r="M305" s="784">
        <v>7654.5</v>
      </c>
      <c r="N305" s="784">
        <v>11.34</v>
      </c>
      <c r="O305" s="784">
        <v>1.5</v>
      </c>
      <c r="P305" s="783">
        <v>450</v>
      </c>
      <c r="Q305" s="783">
        <v>240.35</v>
      </c>
      <c r="R305" s="783">
        <v>0</v>
      </c>
      <c r="S305" s="783">
        <v>0</v>
      </c>
      <c r="T305" s="783">
        <v>240.35</v>
      </c>
      <c r="U305" s="785">
        <v>44692.740416666697</v>
      </c>
    </row>
    <row r="306" spans="1:21">
      <c r="A306" s="782">
        <v>44600</v>
      </c>
      <c r="B306" s="783" t="s">
        <v>4025</v>
      </c>
      <c r="C306" s="783" t="s">
        <v>4026</v>
      </c>
      <c r="D306" s="783" t="s">
        <v>4021</v>
      </c>
      <c r="E306" s="783" t="s">
        <v>4078</v>
      </c>
      <c r="F306" s="783" t="s">
        <v>4011</v>
      </c>
      <c r="G306" s="783" t="s">
        <v>4028</v>
      </c>
      <c r="H306" s="783" t="s">
        <v>4079</v>
      </c>
      <c r="I306" s="783" t="s">
        <v>4080</v>
      </c>
      <c r="J306" s="783">
        <v>25</v>
      </c>
      <c r="K306" s="783" t="s">
        <v>1376</v>
      </c>
      <c r="L306" s="783" t="s">
        <v>4014</v>
      </c>
      <c r="M306" s="784">
        <v>17790.27</v>
      </c>
      <c r="N306" s="784">
        <v>20.53</v>
      </c>
      <c r="O306" s="784">
        <v>2.65</v>
      </c>
      <c r="P306" s="783">
        <v>327</v>
      </c>
      <c r="Q306" s="783">
        <v>1343.17</v>
      </c>
      <c r="R306" s="783">
        <v>751.3</v>
      </c>
      <c r="S306" s="783">
        <v>380.16</v>
      </c>
      <c r="T306" s="783">
        <v>211.7</v>
      </c>
      <c r="U306" s="785">
        <v>44631.629027777803</v>
      </c>
    </row>
    <row r="307" spans="1:21">
      <c r="A307" s="782">
        <v>44712</v>
      </c>
      <c r="B307" s="783" t="s">
        <v>4025</v>
      </c>
      <c r="C307" s="783" t="s">
        <v>4026</v>
      </c>
      <c r="D307" s="783" t="s">
        <v>4021</v>
      </c>
      <c r="E307" s="783" t="s">
        <v>4775</v>
      </c>
      <c r="F307" s="783" t="s">
        <v>4011</v>
      </c>
      <c r="G307" s="783" t="s">
        <v>4028</v>
      </c>
      <c r="H307" s="783" t="s">
        <v>4776</v>
      </c>
      <c r="I307" s="783" t="s">
        <v>4777</v>
      </c>
      <c r="J307" s="783">
        <v>20</v>
      </c>
      <c r="K307" s="783" t="s">
        <v>1376</v>
      </c>
      <c r="L307" s="783" t="s">
        <v>4014</v>
      </c>
      <c r="M307" s="784">
        <v>42564.38</v>
      </c>
      <c r="N307" s="784">
        <v>40.25</v>
      </c>
      <c r="O307" s="784">
        <v>2.35</v>
      </c>
      <c r="P307" s="783">
        <v>450</v>
      </c>
      <c r="Q307" s="783">
        <v>4103.21</v>
      </c>
      <c r="R307" s="783">
        <v>1306.22</v>
      </c>
      <c r="S307" s="783">
        <v>1400.88</v>
      </c>
      <c r="T307" s="783">
        <v>1396.11</v>
      </c>
      <c r="U307" s="785">
        <v>44714.568182870396</v>
      </c>
    </row>
    <row r="308" spans="1:21">
      <c r="A308" s="782">
        <v>44704</v>
      </c>
      <c r="B308" s="783" t="s">
        <v>41</v>
      </c>
      <c r="C308" s="783" t="s">
        <v>4092</v>
      </c>
      <c r="D308" s="783" t="s">
        <v>4009</v>
      </c>
      <c r="E308" s="783" t="s">
        <v>4778</v>
      </c>
      <c r="F308" s="783" t="s">
        <v>4011</v>
      </c>
      <c r="G308" s="783" t="str">
        <f>VLOOKUP(I308,pacage,2,FALSE)</f>
        <v>Renewal (25% in 2020)</v>
      </c>
      <c r="H308" s="783" t="s">
        <v>4779</v>
      </c>
      <c r="I308" s="783" t="s">
        <v>4780</v>
      </c>
      <c r="J308" s="783">
        <v>25</v>
      </c>
      <c r="K308" s="783" t="s">
        <v>1376</v>
      </c>
      <c r="L308" s="783" t="s">
        <v>4014</v>
      </c>
      <c r="M308" s="784">
        <v>32580.63</v>
      </c>
      <c r="N308" s="784">
        <v>21.17</v>
      </c>
      <c r="O308" s="784">
        <v>3.42</v>
      </c>
      <c r="P308" s="783">
        <v>450</v>
      </c>
      <c r="Q308" s="783">
        <v>2371.87</v>
      </c>
      <c r="R308" s="783">
        <v>1014.43</v>
      </c>
      <c r="S308" s="783">
        <v>1116.3399999999999</v>
      </c>
      <c r="T308" s="783">
        <v>241.1</v>
      </c>
      <c r="U308" s="785">
        <v>44704.574444444399</v>
      </c>
    </row>
    <row r="309" spans="1:21">
      <c r="A309" s="782">
        <v>44560</v>
      </c>
      <c r="B309" s="783" t="s">
        <v>4025</v>
      </c>
      <c r="C309" s="783" t="s">
        <v>4026</v>
      </c>
      <c r="D309" s="783" t="s">
        <v>4021</v>
      </c>
      <c r="E309" s="783" t="s">
        <v>4781</v>
      </c>
      <c r="F309" s="783" t="s">
        <v>4011</v>
      </c>
      <c r="G309" s="783" t="s">
        <v>4028</v>
      </c>
      <c r="H309" s="783" t="s">
        <v>4782</v>
      </c>
      <c r="I309" s="783" t="s">
        <v>4783</v>
      </c>
      <c r="J309" s="783">
        <v>25</v>
      </c>
      <c r="K309" s="783" t="s">
        <v>1376</v>
      </c>
      <c r="L309" s="783" t="s">
        <v>4014</v>
      </c>
      <c r="M309" s="784">
        <v>11277.84</v>
      </c>
      <c r="N309" s="784">
        <v>22.69</v>
      </c>
      <c r="O309" s="784">
        <v>1.52</v>
      </c>
      <c r="P309" s="783">
        <v>327</v>
      </c>
      <c r="Q309" s="783">
        <v>851.48</v>
      </c>
      <c r="R309" s="783">
        <v>476.28</v>
      </c>
      <c r="S309" s="783">
        <v>240.99</v>
      </c>
      <c r="T309" s="783">
        <v>134.21</v>
      </c>
      <c r="U309" s="785">
        <v>44631.635659722197</v>
      </c>
    </row>
    <row r="310" spans="1:21">
      <c r="A310" s="782">
        <v>44449</v>
      </c>
      <c r="B310" s="783" t="s">
        <v>41</v>
      </c>
      <c r="C310" s="783" t="s">
        <v>4139</v>
      </c>
      <c r="D310" s="783" t="s">
        <v>4009</v>
      </c>
      <c r="E310" s="783" t="s">
        <v>4495</v>
      </c>
      <c r="F310" s="783" t="s">
        <v>4011</v>
      </c>
      <c r="G310" s="783" t="str">
        <f t="shared" ref="G310:G323" si="17">VLOOKUP(I310,pacage,2,FALSE)</f>
        <v>Renewal (15% in 2020)</v>
      </c>
      <c r="H310" s="783" t="s">
        <v>4496</v>
      </c>
      <c r="I310" s="783" t="s">
        <v>4497</v>
      </c>
      <c r="J310" s="783">
        <v>15</v>
      </c>
      <c r="K310" s="783" t="s">
        <v>99</v>
      </c>
      <c r="L310" s="783" t="s">
        <v>4096</v>
      </c>
      <c r="M310" s="784">
        <v>53768.92</v>
      </c>
      <c r="N310" s="784">
        <v>49.1</v>
      </c>
      <c r="O310" s="784">
        <v>6.33</v>
      </c>
      <c r="P310" s="783">
        <v>173</v>
      </c>
      <c r="Q310" s="783">
        <v>2801.36</v>
      </c>
      <c r="R310" s="783">
        <v>1263.57</v>
      </c>
      <c r="S310" s="783">
        <v>193.57</v>
      </c>
      <c r="T310" s="783">
        <v>1344.22</v>
      </c>
      <c r="U310" s="785">
        <v>44631.502824074101</v>
      </c>
    </row>
    <row r="311" spans="1:21">
      <c r="A311" s="782">
        <v>44448</v>
      </c>
      <c r="B311" s="783" t="s">
        <v>228</v>
      </c>
      <c r="C311" s="783" t="s">
        <v>4020</v>
      </c>
      <c r="D311" s="783" t="s">
        <v>4021</v>
      </c>
      <c r="E311" s="783" t="s">
        <v>4784</v>
      </c>
      <c r="F311" s="783" t="s">
        <v>4011</v>
      </c>
      <c r="G311" s="783" t="str">
        <f t="shared" si="17"/>
        <v>Renewal (30% in 2020)</v>
      </c>
      <c r="H311" s="783" t="s">
        <v>4785</v>
      </c>
      <c r="I311" s="783" t="s">
        <v>4786</v>
      </c>
      <c r="J311" s="783">
        <v>30</v>
      </c>
      <c r="K311" s="783" t="s">
        <v>99</v>
      </c>
      <c r="L311" s="783" t="s">
        <v>4096</v>
      </c>
      <c r="M311" s="784">
        <v>29909.97</v>
      </c>
      <c r="N311" s="784">
        <v>25.5</v>
      </c>
      <c r="O311" s="784">
        <v>6.78</v>
      </c>
      <c r="P311" s="783">
        <v>173</v>
      </c>
      <c r="Q311" s="783">
        <v>1286.1300000000001</v>
      </c>
      <c r="R311" s="783">
        <v>1091.71</v>
      </c>
      <c r="S311" s="783">
        <v>0</v>
      </c>
      <c r="T311" s="783">
        <v>194.41</v>
      </c>
      <c r="U311" s="785">
        <v>44631.502951388902</v>
      </c>
    </row>
    <row r="312" spans="1:21">
      <c r="A312" s="782">
        <v>44495</v>
      </c>
      <c r="B312" s="783" t="s">
        <v>41</v>
      </c>
      <c r="C312" s="783" t="s">
        <v>4092</v>
      </c>
      <c r="D312" s="783" t="s">
        <v>4009</v>
      </c>
      <c r="E312" s="783" t="s">
        <v>4787</v>
      </c>
      <c r="F312" s="783" t="s">
        <v>4011</v>
      </c>
      <c r="G312" s="783" t="str">
        <f t="shared" si="17"/>
        <v>New Contract</v>
      </c>
      <c r="H312" s="783" t="s">
        <v>4788</v>
      </c>
      <c r="I312" s="783" t="s">
        <v>4789</v>
      </c>
      <c r="J312" s="783">
        <v>25</v>
      </c>
      <c r="K312" s="783" t="s">
        <v>99</v>
      </c>
      <c r="L312" s="783" t="s">
        <v>4096</v>
      </c>
      <c r="M312" s="784">
        <v>13662.65</v>
      </c>
      <c r="N312" s="784">
        <v>12.91</v>
      </c>
      <c r="O312" s="784">
        <v>5.57</v>
      </c>
      <c r="P312" s="783">
        <v>190</v>
      </c>
      <c r="Q312" s="783">
        <v>553.34</v>
      </c>
      <c r="R312" s="783">
        <v>384.4</v>
      </c>
      <c r="S312" s="783">
        <v>112.92</v>
      </c>
      <c r="T312" s="783">
        <v>56.02</v>
      </c>
      <c r="U312" s="785">
        <v>44631.506666666697</v>
      </c>
    </row>
    <row r="313" spans="1:21">
      <c r="A313" s="782">
        <v>44525</v>
      </c>
      <c r="B313" s="783" t="s">
        <v>347</v>
      </c>
      <c r="C313" s="783" t="s">
        <v>4139</v>
      </c>
      <c r="D313" s="783" t="s">
        <v>4009</v>
      </c>
      <c r="E313" s="783" t="s">
        <v>4790</v>
      </c>
      <c r="F313" s="783" t="s">
        <v>4011</v>
      </c>
      <c r="G313" s="783" t="str">
        <f t="shared" si="17"/>
        <v>Renewal (15% in 2020)</v>
      </c>
      <c r="H313" s="783" t="s">
        <v>4791</v>
      </c>
      <c r="I313" s="783" t="s">
        <v>4792</v>
      </c>
      <c r="J313" s="783">
        <v>15</v>
      </c>
      <c r="K313" s="783" t="s">
        <v>99</v>
      </c>
      <c r="L313" s="783" t="s">
        <v>4096</v>
      </c>
      <c r="M313" s="784">
        <v>16979.87</v>
      </c>
      <c r="N313" s="784">
        <v>14.58</v>
      </c>
      <c r="O313" s="784">
        <v>6.47</v>
      </c>
      <c r="P313" s="783">
        <v>180</v>
      </c>
      <c r="Q313" s="783">
        <v>884.65</v>
      </c>
      <c r="R313" s="783">
        <v>383.51</v>
      </c>
      <c r="S313" s="783">
        <v>76.650000000000006</v>
      </c>
      <c r="T313" s="783">
        <v>424.5</v>
      </c>
      <c r="U313" s="785">
        <v>44631.503136574102</v>
      </c>
    </row>
    <row r="314" spans="1:21">
      <c r="A314" s="782">
        <v>44496</v>
      </c>
      <c r="B314" s="783" t="s">
        <v>30</v>
      </c>
      <c r="C314" s="783" t="s">
        <v>4089</v>
      </c>
      <c r="D314" s="783" t="s">
        <v>4021</v>
      </c>
      <c r="E314" s="783" t="s">
        <v>4793</v>
      </c>
      <c r="F314" s="783" t="s">
        <v>4011</v>
      </c>
      <c r="G314" s="783" t="str">
        <f t="shared" si="17"/>
        <v>Renewal (15% in 2020)</v>
      </c>
      <c r="H314" s="783" t="s">
        <v>4794</v>
      </c>
      <c r="I314" s="783" t="s">
        <v>4795</v>
      </c>
      <c r="J314" s="783">
        <v>15</v>
      </c>
      <c r="K314" s="783" t="s">
        <v>99</v>
      </c>
      <c r="L314" s="783" t="s">
        <v>4096</v>
      </c>
      <c r="M314" s="784">
        <v>122544</v>
      </c>
      <c r="N314" s="784">
        <v>92</v>
      </c>
      <c r="O314" s="784">
        <v>7.4</v>
      </c>
      <c r="P314" s="783">
        <v>180</v>
      </c>
      <c r="Q314" s="783">
        <v>8198.19</v>
      </c>
      <c r="R314" s="783">
        <v>3427.35</v>
      </c>
      <c r="S314" s="783">
        <v>690.13</v>
      </c>
      <c r="T314" s="783">
        <v>4080.72</v>
      </c>
      <c r="U314" s="785">
        <v>44631.503101851798</v>
      </c>
    </row>
    <row r="315" spans="1:21">
      <c r="A315" s="782">
        <v>44502</v>
      </c>
      <c r="B315" s="783" t="s">
        <v>51</v>
      </c>
      <c r="C315" s="783" t="s">
        <v>4796</v>
      </c>
      <c r="D315" s="783" t="s">
        <v>4016</v>
      </c>
      <c r="E315" s="783" t="s">
        <v>4797</v>
      </c>
      <c r="F315" s="783" t="s">
        <v>4011</v>
      </c>
      <c r="G315" s="783" t="str">
        <f t="shared" si="17"/>
        <v>Renewal (20% in 2020)</v>
      </c>
      <c r="H315" s="783" t="s">
        <v>4798</v>
      </c>
      <c r="I315" s="783" t="s">
        <v>4799</v>
      </c>
      <c r="J315" s="783">
        <v>20</v>
      </c>
      <c r="K315" s="783" t="s">
        <v>99</v>
      </c>
      <c r="L315" s="783" t="s">
        <v>4096</v>
      </c>
      <c r="M315" s="784">
        <v>58885.29</v>
      </c>
      <c r="N315" s="784">
        <v>43.85</v>
      </c>
      <c r="O315" s="784">
        <v>7.63</v>
      </c>
      <c r="P315" s="783">
        <v>176</v>
      </c>
      <c r="Q315" s="783">
        <v>4210.3</v>
      </c>
      <c r="R315" s="783">
        <v>2442.6</v>
      </c>
      <c r="S315" s="783">
        <v>419.22</v>
      </c>
      <c r="T315" s="783">
        <v>1348.47</v>
      </c>
      <c r="U315" s="785">
        <v>44631.503101851798</v>
      </c>
    </row>
    <row r="316" spans="1:21">
      <c r="A316" s="782">
        <v>44508</v>
      </c>
      <c r="B316" s="783" t="s">
        <v>41</v>
      </c>
      <c r="C316" s="783" t="s">
        <v>4092</v>
      </c>
      <c r="D316" s="783" t="s">
        <v>4009</v>
      </c>
      <c r="E316" s="783" t="s">
        <v>4800</v>
      </c>
      <c r="F316" s="783" t="s">
        <v>4011</v>
      </c>
      <c r="G316" s="783" t="str">
        <f t="shared" si="17"/>
        <v>Renewal (30% in 2020)</v>
      </c>
      <c r="H316" s="783" t="s">
        <v>4801</v>
      </c>
      <c r="I316" s="783" t="s">
        <v>4802</v>
      </c>
      <c r="J316" s="783">
        <v>30</v>
      </c>
      <c r="K316" s="783" t="s">
        <v>99</v>
      </c>
      <c r="L316" s="783" t="s">
        <v>4096</v>
      </c>
      <c r="M316" s="784">
        <v>93707.18</v>
      </c>
      <c r="N316" s="784">
        <v>74.2</v>
      </c>
      <c r="O316" s="784">
        <v>7.3</v>
      </c>
      <c r="P316" s="783">
        <v>173</v>
      </c>
      <c r="Q316" s="783">
        <v>3279.75</v>
      </c>
      <c r="R316" s="783">
        <v>2895.55</v>
      </c>
      <c r="S316" s="783">
        <v>0</v>
      </c>
      <c r="T316" s="783">
        <v>384.2</v>
      </c>
      <c r="U316" s="785">
        <v>44631.502812500003</v>
      </c>
    </row>
    <row r="317" spans="1:21">
      <c r="A317" s="782">
        <v>44508</v>
      </c>
      <c r="B317" s="783" t="s">
        <v>4025</v>
      </c>
      <c r="C317" s="783" t="s">
        <v>4026</v>
      </c>
      <c r="D317" s="783" t="s">
        <v>4021</v>
      </c>
      <c r="E317" s="783" t="s">
        <v>4803</v>
      </c>
      <c r="F317" s="783" t="s">
        <v>4011</v>
      </c>
      <c r="G317" s="783" t="str">
        <f t="shared" si="17"/>
        <v>New Contract</v>
      </c>
      <c r="H317" s="783" t="s">
        <v>4804</v>
      </c>
      <c r="I317" s="783" t="s">
        <v>4805</v>
      </c>
      <c r="J317" s="783">
        <v>25</v>
      </c>
      <c r="K317" s="783" t="s">
        <v>99</v>
      </c>
      <c r="L317" s="783" t="s">
        <v>4096</v>
      </c>
      <c r="M317" s="784">
        <v>43282</v>
      </c>
      <c r="N317" s="784">
        <v>34</v>
      </c>
      <c r="O317" s="784">
        <v>6.7</v>
      </c>
      <c r="P317" s="783">
        <v>190</v>
      </c>
      <c r="Q317" s="783">
        <v>1982.32</v>
      </c>
      <c r="R317" s="783">
        <v>1332.04</v>
      </c>
      <c r="S317" s="783">
        <v>355.96</v>
      </c>
      <c r="T317" s="783">
        <v>294.32</v>
      </c>
      <c r="U317" s="785">
        <v>44631.506620370397</v>
      </c>
    </row>
    <row r="318" spans="1:21">
      <c r="A318" s="782">
        <v>44409</v>
      </c>
      <c r="B318" s="783" t="s">
        <v>2866</v>
      </c>
      <c r="C318" s="783" t="s">
        <v>4008</v>
      </c>
      <c r="D318" s="783" t="s">
        <v>4009</v>
      </c>
      <c r="E318" s="783" t="s">
        <v>4806</v>
      </c>
      <c r="F318" s="783" t="s">
        <v>4011</v>
      </c>
      <c r="G318" s="783" t="str">
        <f t="shared" si="17"/>
        <v>Renewal (15% in 2020)</v>
      </c>
      <c r="H318" s="783" t="s">
        <v>4807</v>
      </c>
      <c r="I318" s="783" t="s">
        <v>4808</v>
      </c>
      <c r="J318" s="783">
        <v>15</v>
      </c>
      <c r="K318" s="783" t="s">
        <v>99</v>
      </c>
      <c r="L318" s="783" t="s">
        <v>4096</v>
      </c>
      <c r="M318" s="784">
        <v>30569.4</v>
      </c>
      <c r="N318" s="784">
        <v>27</v>
      </c>
      <c r="O318" s="784">
        <v>6.66</v>
      </c>
      <c r="P318" s="783">
        <v>170</v>
      </c>
      <c r="Q318" s="783">
        <v>2090.9499999999998</v>
      </c>
      <c r="R318" s="783">
        <v>898.74</v>
      </c>
      <c r="S318" s="783">
        <v>140.62</v>
      </c>
      <c r="T318" s="783">
        <v>1051.5899999999999</v>
      </c>
      <c r="U318" s="785">
        <v>44631.504988425899</v>
      </c>
    </row>
    <row r="319" spans="1:21">
      <c r="A319" s="782">
        <v>44409</v>
      </c>
      <c r="B319" s="783" t="s">
        <v>30</v>
      </c>
      <c r="C319" s="783" t="s">
        <v>4089</v>
      </c>
      <c r="D319" s="783" t="s">
        <v>4021</v>
      </c>
      <c r="E319" s="783" t="s">
        <v>2560</v>
      </c>
      <c r="F319" s="783" t="s">
        <v>4011</v>
      </c>
      <c r="G319" s="783" t="str">
        <f t="shared" si="17"/>
        <v>Renewal (20% in 2020)</v>
      </c>
      <c r="H319" s="783" t="s">
        <v>4809</v>
      </c>
      <c r="I319" s="783" t="s">
        <v>4810</v>
      </c>
      <c r="J319" s="783">
        <v>20</v>
      </c>
      <c r="K319" s="783" t="s">
        <v>99</v>
      </c>
      <c r="L319" s="783" t="s">
        <v>4096</v>
      </c>
      <c r="M319" s="784">
        <v>61062.3</v>
      </c>
      <c r="N319" s="784">
        <v>61.4</v>
      </c>
      <c r="O319" s="784">
        <v>6.63</v>
      </c>
      <c r="P319" s="783">
        <v>150</v>
      </c>
      <c r="Q319" s="783">
        <v>3089.75</v>
      </c>
      <c r="R319" s="783">
        <v>1776.91</v>
      </c>
      <c r="S319" s="783">
        <v>274.77999999999997</v>
      </c>
      <c r="T319" s="783">
        <v>1038.06</v>
      </c>
      <c r="U319" s="785">
        <v>44631.507581018501</v>
      </c>
    </row>
    <row r="320" spans="1:21">
      <c r="A320" s="782">
        <v>44409</v>
      </c>
      <c r="B320" s="783" t="s">
        <v>51</v>
      </c>
      <c r="C320" s="783" t="s">
        <v>4042</v>
      </c>
      <c r="D320" s="783" t="s">
        <v>4016</v>
      </c>
      <c r="E320" s="783" t="s">
        <v>4811</v>
      </c>
      <c r="F320" s="783" t="s">
        <v>4011</v>
      </c>
      <c r="G320" s="783" t="str">
        <f t="shared" si="17"/>
        <v>Renewal (25% in 2020)</v>
      </c>
      <c r="H320" s="783" t="s">
        <v>4812</v>
      </c>
      <c r="I320" s="783" t="s">
        <v>4813</v>
      </c>
      <c r="J320" s="783">
        <v>25</v>
      </c>
      <c r="K320" s="783" t="s">
        <v>99</v>
      </c>
      <c r="L320" s="783" t="s">
        <v>4096</v>
      </c>
      <c r="M320" s="784">
        <v>68608</v>
      </c>
      <c r="N320" s="784">
        <v>67</v>
      </c>
      <c r="O320" s="784">
        <v>6.4</v>
      </c>
      <c r="P320" s="783">
        <v>160</v>
      </c>
      <c r="Q320" s="783">
        <v>2538.5</v>
      </c>
      <c r="R320" s="783">
        <v>1927.88</v>
      </c>
      <c r="S320" s="783">
        <v>295.01</v>
      </c>
      <c r="T320" s="783">
        <v>315.60000000000002</v>
      </c>
      <c r="U320" s="785">
        <v>44631.504004629598</v>
      </c>
    </row>
    <row r="321" spans="1:21">
      <c r="A321" s="782">
        <v>44409</v>
      </c>
      <c r="B321" s="783" t="s">
        <v>41</v>
      </c>
      <c r="C321" s="783" t="s">
        <v>4082</v>
      </c>
      <c r="D321" s="783" t="s">
        <v>4009</v>
      </c>
      <c r="E321" s="783" t="s">
        <v>4814</v>
      </c>
      <c r="F321" s="783" t="s">
        <v>4011</v>
      </c>
      <c r="G321" s="783" t="str">
        <f t="shared" si="17"/>
        <v>Renewal (15% in 2020)</v>
      </c>
      <c r="H321" s="783" t="s">
        <v>4815</v>
      </c>
      <c r="I321" s="783" t="s">
        <v>4816</v>
      </c>
      <c r="J321" s="783">
        <v>15</v>
      </c>
      <c r="K321" s="783" t="s">
        <v>99</v>
      </c>
      <c r="L321" s="783" t="s">
        <v>4096</v>
      </c>
      <c r="M321" s="784">
        <v>10886.4</v>
      </c>
      <c r="N321" s="784">
        <v>10.8</v>
      </c>
      <c r="O321" s="784">
        <v>6.3</v>
      </c>
      <c r="P321" s="783">
        <v>160</v>
      </c>
      <c r="Q321" s="783">
        <v>722.86</v>
      </c>
      <c r="R321" s="783">
        <v>317.88</v>
      </c>
      <c r="S321" s="783">
        <v>56.61</v>
      </c>
      <c r="T321" s="783">
        <v>348.36</v>
      </c>
      <c r="U321" s="785">
        <v>44631.504641203697</v>
      </c>
    </row>
    <row r="322" spans="1:21">
      <c r="A322" s="782">
        <v>44418</v>
      </c>
      <c r="B322" s="783" t="s">
        <v>41</v>
      </c>
      <c r="C322" s="783" t="s">
        <v>4082</v>
      </c>
      <c r="D322" s="783" t="s">
        <v>4009</v>
      </c>
      <c r="E322" s="783" t="s">
        <v>509</v>
      </c>
      <c r="F322" s="783" t="s">
        <v>4011</v>
      </c>
      <c r="G322" s="783" t="str">
        <f t="shared" si="17"/>
        <v>Renewal (15% in 2020)</v>
      </c>
      <c r="H322" s="783" t="s">
        <v>4498</v>
      </c>
      <c r="I322" s="783" t="s">
        <v>4499</v>
      </c>
      <c r="J322" s="783">
        <v>15</v>
      </c>
      <c r="K322" s="783" t="s">
        <v>99</v>
      </c>
      <c r="L322" s="783" t="s">
        <v>4096</v>
      </c>
      <c r="M322" s="784">
        <v>84726.399999999994</v>
      </c>
      <c r="N322" s="784">
        <v>73.040000000000006</v>
      </c>
      <c r="O322" s="784">
        <v>7.25</v>
      </c>
      <c r="P322" s="783">
        <v>160</v>
      </c>
      <c r="Q322" s="783">
        <v>5625.83</v>
      </c>
      <c r="R322" s="783">
        <v>2474.0100000000002</v>
      </c>
      <c r="S322" s="783">
        <v>440.58</v>
      </c>
      <c r="T322" s="783">
        <v>2711.24</v>
      </c>
      <c r="U322" s="785">
        <v>44631.503194444398</v>
      </c>
    </row>
    <row r="323" spans="1:21">
      <c r="A323" s="782">
        <v>44409</v>
      </c>
      <c r="B323" s="783" t="s">
        <v>74</v>
      </c>
      <c r="C323" s="783" t="s">
        <v>4097</v>
      </c>
      <c r="D323" s="783" t="s">
        <v>4038</v>
      </c>
      <c r="E323" s="783" t="s">
        <v>4817</v>
      </c>
      <c r="F323" s="783" t="s">
        <v>4011</v>
      </c>
      <c r="G323" s="783" t="str">
        <f t="shared" si="17"/>
        <v>Renewal (15% in 2020)</v>
      </c>
      <c r="H323" s="783" t="s">
        <v>4818</v>
      </c>
      <c r="I323" s="783" t="s">
        <v>4819</v>
      </c>
      <c r="J323" s="783">
        <v>15</v>
      </c>
      <c r="K323" s="783" t="s">
        <v>99</v>
      </c>
      <c r="L323" s="783" t="s">
        <v>4096</v>
      </c>
      <c r="M323" s="784">
        <v>20250</v>
      </c>
      <c r="N323" s="784">
        <v>30</v>
      </c>
      <c r="O323" s="784">
        <v>4.5</v>
      </c>
      <c r="P323" s="783">
        <v>150</v>
      </c>
      <c r="Q323" s="783">
        <v>1340.55</v>
      </c>
      <c r="R323" s="783">
        <v>573.08000000000004</v>
      </c>
      <c r="S323" s="783">
        <v>89.1</v>
      </c>
      <c r="T323" s="783">
        <v>678.38</v>
      </c>
      <c r="U323" s="785">
        <v>44631.503946759301</v>
      </c>
    </row>
    <row r="324" spans="1:21">
      <c r="A324" s="782">
        <v>44409</v>
      </c>
      <c r="B324" s="783" t="s">
        <v>41</v>
      </c>
      <c r="C324" s="783" t="s">
        <v>4071</v>
      </c>
      <c r="D324" s="783" t="s">
        <v>4009</v>
      </c>
      <c r="E324" s="783" t="s">
        <v>4820</v>
      </c>
      <c r="F324" s="783" t="s">
        <v>4011</v>
      </c>
      <c r="G324" s="783" t="s">
        <v>4028</v>
      </c>
      <c r="H324" s="783" t="s">
        <v>4821</v>
      </c>
      <c r="I324" s="783" t="s">
        <v>4822</v>
      </c>
      <c r="J324" s="783">
        <v>25</v>
      </c>
      <c r="K324" s="783" t="s">
        <v>99</v>
      </c>
      <c r="L324" s="783" t="s">
        <v>4096</v>
      </c>
      <c r="M324" s="784">
        <v>29745.919999999998</v>
      </c>
      <c r="N324" s="784">
        <v>27.34</v>
      </c>
      <c r="O324" s="784">
        <v>6.4</v>
      </c>
      <c r="P324" s="783">
        <v>170</v>
      </c>
      <c r="Q324" s="783">
        <v>862.63</v>
      </c>
      <c r="R324" s="783">
        <v>672.26</v>
      </c>
      <c r="S324" s="783">
        <v>104.11</v>
      </c>
      <c r="T324" s="783">
        <v>86.26</v>
      </c>
      <c r="U324" s="785">
        <v>44697.667129629597</v>
      </c>
    </row>
    <row r="325" spans="1:21">
      <c r="A325" s="782">
        <v>44409</v>
      </c>
      <c r="B325" s="783" t="s">
        <v>74</v>
      </c>
      <c r="C325" s="783" t="s">
        <v>4097</v>
      </c>
      <c r="D325" s="783" t="s">
        <v>4038</v>
      </c>
      <c r="E325" s="783" t="s">
        <v>4500</v>
      </c>
      <c r="F325" s="783" t="s">
        <v>4011</v>
      </c>
      <c r="G325" s="783" t="str">
        <f t="shared" ref="G325:G342" si="18">VLOOKUP(I325,pacage,2,FALSE)</f>
        <v>Renewal (15% in 2020)</v>
      </c>
      <c r="H325" s="783" t="s">
        <v>4501</v>
      </c>
      <c r="I325" s="783" t="s">
        <v>4502</v>
      </c>
      <c r="J325" s="783">
        <v>15</v>
      </c>
      <c r="K325" s="783" t="s">
        <v>99</v>
      </c>
      <c r="L325" s="783" t="s">
        <v>4096</v>
      </c>
      <c r="M325" s="784">
        <v>32237.57</v>
      </c>
      <c r="N325" s="784">
        <v>30.72</v>
      </c>
      <c r="O325" s="784">
        <v>5.83</v>
      </c>
      <c r="P325" s="783">
        <v>180</v>
      </c>
      <c r="Q325" s="783">
        <v>2134.13</v>
      </c>
      <c r="R325" s="783">
        <v>876.84</v>
      </c>
      <c r="S325" s="783">
        <v>177.32</v>
      </c>
      <c r="T325" s="783">
        <v>1079.96</v>
      </c>
      <c r="U325" s="785">
        <v>44631.507569444402</v>
      </c>
    </row>
    <row r="326" spans="1:21">
      <c r="A326" s="782">
        <v>44409</v>
      </c>
      <c r="B326" s="783" t="s">
        <v>41</v>
      </c>
      <c r="C326" s="783" t="s">
        <v>4092</v>
      </c>
      <c r="D326" s="783" t="s">
        <v>4009</v>
      </c>
      <c r="E326" s="783" t="s">
        <v>4823</v>
      </c>
      <c r="F326" s="783" t="s">
        <v>4011</v>
      </c>
      <c r="G326" s="783" t="str">
        <f t="shared" si="18"/>
        <v>Renewal (15% in 2020)</v>
      </c>
      <c r="H326" s="783" t="s">
        <v>4824</v>
      </c>
      <c r="I326" s="783" t="s">
        <v>4825</v>
      </c>
      <c r="J326" s="783">
        <v>15</v>
      </c>
      <c r="K326" s="783" t="s">
        <v>99</v>
      </c>
      <c r="L326" s="783" t="s">
        <v>4096</v>
      </c>
      <c r="M326" s="784">
        <v>63011.519999999997</v>
      </c>
      <c r="N326" s="784">
        <v>57.2</v>
      </c>
      <c r="O326" s="784">
        <v>6.48</v>
      </c>
      <c r="P326" s="783">
        <v>170</v>
      </c>
      <c r="Q326" s="783">
        <v>4423.41</v>
      </c>
      <c r="R326" s="783">
        <v>1947.06</v>
      </c>
      <c r="S326" s="783">
        <v>346.56</v>
      </c>
      <c r="T326" s="783">
        <v>2129.79</v>
      </c>
      <c r="U326" s="785">
        <v>44631.5082638889</v>
      </c>
    </row>
    <row r="327" spans="1:21">
      <c r="A327" s="782">
        <v>44415</v>
      </c>
      <c r="B327" s="783" t="s">
        <v>228</v>
      </c>
      <c r="C327" s="783" t="s">
        <v>4192</v>
      </c>
      <c r="D327" s="783" t="s">
        <v>4193</v>
      </c>
      <c r="E327" s="783" t="s">
        <v>4826</v>
      </c>
      <c r="F327" s="783" t="s">
        <v>4011</v>
      </c>
      <c r="G327" s="783" t="str">
        <f t="shared" si="18"/>
        <v>Renewal (15% in 2020)</v>
      </c>
      <c r="H327" s="783" t="s">
        <v>4827</v>
      </c>
      <c r="I327" s="783" t="s">
        <v>4828</v>
      </c>
      <c r="J327" s="783">
        <v>15</v>
      </c>
      <c r="K327" s="783" t="s">
        <v>99</v>
      </c>
      <c r="L327" s="783" t="s">
        <v>4096</v>
      </c>
      <c r="M327" s="784">
        <v>49747.71</v>
      </c>
      <c r="N327" s="784">
        <v>39.76</v>
      </c>
      <c r="O327" s="784">
        <v>7.36</v>
      </c>
      <c r="P327" s="783">
        <v>170</v>
      </c>
      <c r="Q327" s="783">
        <v>3163.95</v>
      </c>
      <c r="R327" s="783">
        <v>1402.89</v>
      </c>
      <c r="S327" s="783">
        <v>213.92</v>
      </c>
      <c r="T327" s="783">
        <v>1547.15</v>
      </c>
      <c r="U327" s="785">
        <v>44631.502858796302</v>
      </c>
    </row>
    <row r="328" spans="1:21">
      <c r="A328" s="782">
        <v>44409</v>
      </c>
      <c r="B328" s="783" t="s">
        <v>34</v>
      </c>
      <c r="C328" s="783" t="s">
        <v>4082</v>
      </c>
      <c r="D328" s="783" t="s">
        <v>4009</v>
      </c>
      <c r="E328" s="783" t="s">
        <v>2979</v>
      </c>
      <c r="F328" s="783" t="s">
        <v>4011</v>
      </c>
      <c r="G328" s="783" t="str">
        <f t="shared" si="18"/>
        <v>Renewal (15% in 2020)</v>
      </c>
      <c r="H328" s="783" t="s">
        <v>4829</v>
      </c>
      <c r="I328" s="783" t="s">
        <v>4830</v>
      </c>
      <c r="J328" s="783">
        <v>15</v>
      </c>
      <c r="K328" s="783" t="s">
        <v>99</v>
      </c>
      <c r="L328" s="783" t="s">
        <v>4096</v>
      </c>
      <c r="M328" s="784">
        <v>31426.2</v>
      </c>
      <c r="N328" s="784">
        <v>26.86</v>
      </c>
      <c r="O328" s="784">
        <v>6.5</v>
      </c>
      <c r="P328" s="783">
        <v>180</v>
      </c>
      <c r="Q328" s="783">
        <v>2086.6999999999998</v>
      </c>
      <c r="R328" s="783">
        <v>881.96</v>
      </c>
      <c r="S328" s="783">
        <v>199.1</v>
      </c>
      <c r="T328" s="783">
        <v>1005.64</v>
      </c>
      <c r="U328" s="785">
        <v>44631.511331018497</v>
      </c>
    </row>
    <row r="329" spans="1:21">
      <c r="A329" s="782">
        <v>44409</v>
      </c>
      <c r="B329" s="783" t="s">
        <v>1423</v>
      </c>
      <c r="C329" s="783" t="s">
        <v>4097</v>
      </c>
      <c r="D329" s="783" t="s">
        <v>4038</v>
      </c>
      <c r="E329" s="783" t="s">
        <v>4831</v>
      </c>
      <c r="F329" s="783" t="s">
        <v>4011</v>
      </c>
      <c r="G329" s="783" t="str">
        <f t="shared" si="18"/>
        <v>Renewal (15% in 2020)</v>
      </c>
      <c r="H329" s="783" t="s">
        <v>4832</v>
      </c>
      <c r="I329" s="783" t="s">
        <v>4833</v>
      </c>
      <c r="J329" s="783">
        <v>15</v>
      </c>
      <c r="K329" s="783" t="s">
        <v>99</v>
      </c>
      <c r="L329" s="783" t="s">
        <v>4096</v>
      </c>
      <c r="M329" s="784">
        <v>44524.35</v>
      </c>
      <c r="N329" s="784">
        <v>50.31</v>
      </c>
      <c r="O329" s="784">
        <v>5.9</v>
      </c>
      <c r="P329" s="783">
        <v>150</v>
      </c>
      <c r="Q329" s="783">
        <v>2947.51</v>
      </c>
      <c r="R329" s="783">
        <v>1260.04</v>
      </c>
      <c r="S329" s="783">
        <v>195.91</v>
      </c>
      <c r="T329" s="783">
        <v>1491.57</v>
      </c>
      <c r="U329" s="785">
        <v>44631.507222222201</v>
      </c>
    </row>
    <row r="330" spans="1:21">
      <c r="A330" s="782">
        <v>44409</v>
      </c>
      <c r="B330" s="783" t="s">
        <v>47</v>
      </c>
      <c r="C330" s="783" t="s">
        <v>4834</v>
      </c>
      <c r="D330" s="783" t="s">
        <v>4258</v>
      </c>
      <c r="E330" s="783" t="s">
        <v>4835</v>
      </c>
      <c r="F330" s="783" t="s">
        <v>4011</v>
      </c>
      <c r="G330" s="783" t="str">
        <f t="shared" si="18"/>
        <v>Renewal (25% in 2020)</v>
      </c>
      <c r="H330" s="783" t="s">
        <v>4836</v>
      </c>
      <c r="I330" s="783" t="s">
        <v>4837</v>
      </c>
      <c r="J330" s="783">
        <v>25</v>
      </c>
      <c r="K330" s="783" t="s">
        <v>99</v>
      </c>
      <c r="L330" s="783" t="s">
        <v>4096</v>
      </c>
      <c r="M330" s="784">
        <v>89789.95</v>
      </c>
      <c r="N330" s="784">
        <v>53</v>
      </c>
      <c r="O330" s="784">
        <v>10.93</v>
      </c>
      <c r="P330" s="783">
        <v>155</v>
      </c>
      <c r="Q330" s="783">
        <v>2882.26</v>
      </c>
      <c r="R330" s="783">
        <v>2217.81</v>
      </c>
      <c r="S330" s="783">
        <v>341.2</v>
      </c>
      <c r="T330" s="783">
        <v>323.24</v>
      </c>
      <c r="U330" s="785">
        <v>44631.503240740698</v>
      </c>
    </row>
    <row r="331" spans="1:21">
      <c r="A331" s="782">
        <v>44409</v>
      </c>
      <c r="B331" s="783" t="s">
        <v>41</v>
      </c>
      <c r="C331" s="783" t="s">
        <v>4071</v>
      </c>
      <c r="D331" s="783" t="s">
        <v>4009</v>
      </c>
      <c r="E331" s="783" t="s">
        <v>4838</v>
      </c>
      <c r="F331" s="783" t="s">
        <v>4011</v>
      </c>
      <c r="G331" s="783" t="str">
        <f t="shared" si="18"/>
        <v>Renewal (30% in 2020)</v>
      </c>
      <c r="H331" s="783" t="s">
        <v>4839</v>
      </c>
      <c r="I331" s="783" t="s">
        <v>4840</v>
      </c>
      <c r="J331" s="783">
        <v>30</v>
      </c>
      <c r="K331" s="783" t="s">
        <v>99</v>
      </c>
      <c r="L331" s="783" t="s">
        <v>4096</v>
      </c>
      <c r="M331" s="784">
        <v>96621.2</v>
      </c>
      <c r="N331" s="784">
        <v>87.44</v>
      </c>
      <c r="O331" s="784">
        <v>6.5</v>
      </c>
      <c r="P331" s="783">
        <v>170</v>
      </c>
      <c r="Q331" s="783">
        <v>2463.84</v>
      </c>
      <c r="R331" s="783">
        <v>2183.64</v>
      </c>
      <c r="S331" s="783">
        <v>0</v>
      </c>
      <c r="T331" s="783">
        <v>280.2</v>
      </c>
      <c r="U331" s="785">
        <v>44631.503854166702</v>
      </c>
    </row>
    <row r="332" spans="1:21">
      <c r="A332" s="782">
        <v>44409</v>
      </c>
      <c r="B332" s="783" t="s">
        <v>74</v>
      </c>
      <c r="C332" s="783" t="s">
        <v>4097</v>
      </c>
      <c r="D332" s="783" t="s">
        <v>4038</v>
      </c>
      <c r="E332" s="783" t="s">
        <v>4508</v>
      </c>
      <c r="F332" s="783" t="s">
        <v>4011</v>
      </c>
      <c r="G332" s="783" t="str">
        <f t="shared" si="18"/>
        <v>Renewal (20% in 2020)</v>
      </c>
      <c r="H332" s="783" t="s">
        <v>4509</v>
      </c>
      <c r="I332" s="783" t="s">
        <v>4510</v>
      </c>
      <c r="J332" s="783">
        <v>20</v>
      </c>
      <c r="K332" s="783" t="s">
        <v>99</v>
      </c>
      <c r="L332" s="783" t="s">
        <v>4096</v>
      </c>
      <c r="M332" s="784">
        <v>15412.8</v>
      </c>
      <c r="N332" s="784">
        <v>16.899999999999999</v>
      </c>
      <c r="O332" s="784">
        <v>5.7</v>
      </c>
      <c r="P332" s="783">
        <v>160</v>
      </c>
      <c r="Q332" s="783">
        <v>772.18</v>
      </c>
      <c r="R332" s="783">
        <v>436.18</v>
      </c>
      <c r="S332" s="783">
        <v>67.819999999999993</v>
      </c>
      <c r="T332" s="783">
        <v>268.18</v>
      </c>
      <c r="U332" s="785">
        <v>44631.503564814797</v>
      </c>
    </row>
    <row r="333" spans="1:21">
      <c r="A333" s="782">
        <v>44409</v>
      </c>
      <c r="B333" s="783" t="s">
        <v>397</v>
      </c>
      <c r="C333" s="783" t="s">
        <v>4511</v>
      </c>
      <c r="D333" s="783" t="s">
        <v>4512</v>
      </c>
      <c r="E333" s="783"/>
      <c r="F333" s="783" t="s">
        <v>4011</v>
      </c>
      <c r="G333" s="783" t="str">
        <f t="shared" si="18"/>
        <v>Renewal (20% in 2020)</v>
      </c>
      <c r="H333" s="783" t="s">
        <v>4513</v>
      </c>
      <c r="I333" s="783" t="s">
        <v>4514</v>
      </c>
      <c r="J333" s="783">
        <v>20</v>
      </c>
      <c r="K333" s="783" t="s">
        <v>99</v>
      </c>
      <c r="L333" s="783" t="s">
        <v>4096</v>
      </c>
      <c r="M333" s="784">
        <v>90908.93</v>
      </c>
      <c r="N333" s="784">
        <v>87.04</v>
      </c>
      <c r="O333" s="784">
        <v>6.33</v>
      </c>
      <c r="P333" s="783">
        <v>165</v>
      </c>
      <c r="Q333" s="783">
        <v>5181.8100000000004</v>
      </c>
      <c r="R333" s="783">
        <v>2809.09</v>
      </c>
      <c r="S333" s="783">
        <v>627.27</v>
      </c>
      <c r="T333" s="783">
        <v>1745.45</v>
      </c>
      <c r="U333" s="785">
        <v>44631.504224536999</v>
      </c>
    </row>
    <row r="334" spans="1:21">
      <c r="A334" s="782">
        <v>44409</v>
      </c>
      <c r="B334" s="783" t="s">
        <v>228</v>
      </c>
      <c r="C334" s="783" t="s">
        <v>4675</v>
      </c>
      <c r="D334" s="783" t="s">
        <v>4193</v>
      </c>
      <c r="E334" s="783" t="s">
        <v>4841</v>
      </c>
      <c r="F334" s="783" t="s">
        <v>4011</v>
      </c>
      <c r="G334" s="783" t="str">
        <f t="shared" si="18"/>
        <v>Renewal (25% in 2020)</v>
      </c>
      <c r="H334" s="783" t="s">
        <v>4842</v>
      </c>
      <c r="I334" s="783" t="s">
        <v>4843</v>
      </c>
      <c r="J334" s="783">
        <v>25</v>
      </c>
      <c r="K334" s="783" t="s">
        <v>99</v>
      </c>
      <c r="L334" s="783" t="s">
        <v>4096</v>
      </c>
      <c r="M334" s="784">
        <v>2137.77</v>
      </c>
      <c r="N334" s="784">
        <v>1.67</v>
      </c>
      <c r="O334" s="784">
        <v>7.53</v>
      </c>
      <c r="P334" s="783">
        <v>170</v>
      </c>
      <c r="Q334" s="783">
        <v>108.81</v>
      </c>
      <c r="R334" s="783">
        <v>80.17</v>
      </c>
      <c r="S334" s="783">
        <v>11.97</v>
      </c>
      <c r="T334" s="783">
        <v>16.670000000000002</v>
      </c>
      <c r="U334" s="785">
        <v>44631.504456018498</v>
      </c>
    </row>
    <row r="335" spans="1:21">
      <c r="A335" s="782">
        <v>44409</v>
      </c>
      <c r="B335" s="783" t="s">
        <v>228</v>
      </c>
      <c r="C335" s="783" t="s">
        <v>4675</v>
      </c>
      <c r="D335" s="783" t="s">
        <v>4193</v>
      </c>
      <c r="E335" s="783" t="s">
        <v>4844</v>
      </c>
      <c r="F335" s="783" t="s">
        <v>4011</v>
      </c>
      <c r="G335" s="783" t="str">
        <f t="shared" si="18"/>
        <v>Renewal (20% in 2020)</v>
      </c>
      <c r="H335" s="783" t="s">
        <v>4845</v>
      </c>
      <c r="I335" s="783" t="s">
        <v>4846</v>
      </c>
      <c r="J335" s="783">
        <v>20</v>
      </c>
      <c r="K335" s="783" t="s">
        <v>99</v>
      </c>
      <c r="L335" s="783" t="s">
        <v>4096</v>
      </c>
      <c r="M335" s="784">
        <v>15912</v>
      </c>
      <c r="N335" s="784">
        <v>17</v>
      </c>
      <c r="O335" s="784">
        <v>5.2</v>
      </c>
      <c r="P335" s="783">
        <v>180</v>
      </c>
      <c r="Q335" s="783">
        <v>1039.05</v>
      </c>
      <c r="R335" s="783">
        <v>573.5</v>
      </c>
      <c r="S335" s="783">
        <v>112.31</v>
      </c>
      <c r="T335" s="783">
        <v>353.25</v>
      </c>
      <c r="U335" s="785">
        <v>44631.507291666698</v>
      </c>
    </row>
    <row r="336" spans="1:21">
      <c r="A336" s="782">
        <v>44409</v>
      </c>
      <c r="B336" s="783" t="s">
        <v>228</v>
      </c>
      <c r="C336" s="783" t="s">
        <v>4847</v>
      </c>
      <c r="D336" s="783" t="s">
        <v>4016</v>
      </c>
      <c r="E336" s="783" t="s">
        <v>4848</v>
      </c>
      <c r="F336" s="783" t="s">
        <v>4011</v>
      </c>
      <c r="G336" s="783" t="str">
        <f t="shared" si="18"/>
        <v>Renewal (20% in 2020)</v>
      </c>
      <c r="H336" s="783" t="s">
        <v>4849</v>
      </c>
      <c r="I336" s="783" t="s">
        <v>4850</v>
      </c>
      <c r="J336" s="783">
        <v>20</v>
      </c>
      <c r="K336" s="783" t="s">
        <v>99</v>
      </c>
      <c r="L336" s="783" t="s">
        <v>4096</v>
      </c>
      <c r="M336" s="784">
        <v>37962.720000000001</v>
      </c>
      <c r="N336" s="784">
        <v>36.9</v>
      </c>
      <c r="O336" s="784">
        <v>6.43</v>
      </c>
      <c r="P336" s="783">
        <v>160</v>
      </c>
      <c r="Q336" s="783">
        <v>1700.73</v>
      </c>
      <c r="R336" s="783">
        <v>1009.81</v>
      </c>
      <c r="S336" s="783">
        <v>155.65</v>
      </c>
      <c r="T336" s="783">
        <v>535.27</v>
      </c>
      <c r="U336" s="785">
        <v>44631.503865740699</v>
      </c>
    </row>
    <row r="337" spans="1:21">
      <c r="A337" s="782">
        <v>44415</v>
      </c>
      <c r="B337" s="783" t="s">
        <v>228</v>
      </c>
      <c r="C337" s="783" t="s">
        <v>4192</v>
      </c>
      <c r="D337" s="783" t="s">
        <v>4193</v>
      </c>
      <c r="E337" s="783" t="s">
        <v>4851</v>
      </c>
      <c r="F337" s="783" t="s">
        <v>4011</v>
      </c>
      <c r="G337" s="783" t="str">
        <f t="shared" si="18"/>
        <v>Renewal (15% in 2020)</v>
      </c>
      <c r="H337" s="783" t="s">
        <v>4852</v>
      </c>
      <c r="I337" s="783" t="s">
        <v>4853</v>
      </c>
      <c r="J337" s="783">
        <v>15</v>
      </c>
      <c r="K337" s="783" t="s">
        <v>99</v>
      </c>
      <c r="L337" s="783" t="s">
        <v>4096</v>
      </c>
      <c r="M337" s="784">
        <v>76966.39</v>
      </c>
      <c r="N337" s="784">
        <v>59.24</v>
      </c>
      <c r="O337" s="784">
        <v>7.51</v>
      </c>
      <c r="P337" s="783">
        <v>173</v>
      </c>
      <c r="Q337" s="783">
        <v>4895.0600000000004</v>
      </c>
      <c r="R337" s="783">
        <v>2170.4499999999998</v>
      </c>
      <c r="S337" s="783">
        <v>330.96</v>
      </c>
      <c r="T337" s="783">
        <v>2393.65</v>
      </c>
      <c r="U337" s="785">
        <v>44631.502951388902</v>
      </c>
    </row>
    <row r="338" spans="1:21">
      <c r="A338" s="782">
        <v>44497</v>
      </c>
      <c r="B338" s="783" t="s">
        <v>41</v>
      </c>
      <c r="C338" s="783" t="s">
        <v>4092</v>
      </c>
      <c r="D338" s="783" t="s">
        <v>4009</v>
      </c>
      <c r="E338" s="783" t="s">
        <v>4854</v>
      </c>
      <c r="F338" s="783" t="s">
        <v>4011</v>
      </c>
      <c r="G338" s="783" t="str">
        <f t="shared" si="18"/>
        <v>Renewal (25% in 2020)</v>
      </c>
      <c r="H338" s="783" t="s">
        <v>4855</v>
      </c>
      <c r="I338" s="783" t="s">
        <v>4856</v>
      </c>
      <c r="J338" s="783">
        <v>25</v>
      </c>
      <c r="K338" s="783" t="s">
        <v>99</v>
      </c>
      <c r="L338" s="783" t="s">
        <v>4096</v>
      </c>
      <c r="M338" s="784">
        <v>52780.15</v>
      </c>
      <c r="N338" s="784">
        <v>42.61</v>
      </c>
      <c r="O338" s="784">
        <v>7.16</v>
      </c>
      <c r="P338" s="783">
        <v>173</v>
      </c>
      <c r="Q338" s="783">
        <v>2137.6</v>
      </c>
      <c r="R338" s="783">
        <v>1630.91</v>
      </c>
      <c r="S338" s="783">
        <v>290.29000000000002</v>
      </c>
      <c r="T338" s="783">
        <v>216.4</v>
      </c>
      <c r="U338" s="785">
        <v>44631.509618055599</v>
      </c>
    </row>
    <row r="339" spans="1:21">
      <c r="A339" s="782">
        <v>44565</v>
      </c>
      <c r="B339" s="783" t="s">
        <v>41</v>
      </c>
      <c r="C339" s="783" t="s">
        <v>4139</v>
      </c>
      <c r="D339" s="783" t="s">
        <v>4009</v>
      </c>
      <c r="E339" s="783" t="s">
        <v>1109</v>
      </c>
      <c r="F339" s="783" t="s">
        <v>4011</v>
      </c>
      <c r="G339" s="783" t="str">
        <f t="shared" si="18"/>
        <v>Renewal (15% in 2020)</v>
      </c>
      <c r="H339" s="783" t="s">
        <v>4857</v>
      </c>
      <c r="I339" s="783" t="s">
        <v>4858</v>
      </c>
      <c r="J339" s="783">
        <v>15</v>
      </c>
      <c r="K339" s="783" t="s">
        <v>99</v>
      </c>
      <c r="L339" s="783" t="s">
        <v>4096</v>
      </c>
      <c r="M339" s="784">
        <v>66643.740000000005</v>
      </c>
      <c r="N339" s="784">
        <v>67.59</v>
      </c>
      <c r="O339" s="784">
        <v>5.8</v>
      </c>
      <c r="P339" s="783">
        <v>170</v>
      </c>
      <c r="Q339" s="783">
        <v>3472.14</v>
      </c>
      <c r="R339" s="783">
        <v>1566.13</v>
      </c>
      <c r="S339" s="783">
        <v>239.92</v>
      </c>
      <c r="T339" s="783">
        <v>1666.09</v>
      </c>
      <c r="U339" s="785">
        <v>44631.503125000003</v>
      </c>
    </row>
    <row r="340" spans="1:21">
      <c r="A340" s="782">
        <v>44554</v>
      </c>
      <c r="B340" s="783" t="s">
        <v>74</v>
      </c>
      <c r="C340" s="783" t="s">
        <v>4097</v>
      </c>
      <c r="D340" s="783" t="s">
        <v>4038</v>
      </c>
      <c r="E340" s="783" t="s">
        <v>4859</v>
      </c>
      <c r="F340" s="783" t="s">
        <v>4011</v>
      </c>
      <c r="G340" s="783" t="str">
        <f t="shared" si="18"/>
        <v>New contract</v>
      </c>
      <c r="H340" s="783" t="s">
        <v>4860</v>
      </c>
      <c r="I340" s="783" t="s">
        <v>4861</v>
      </c>
      <c r="J340" s="783">
        <v>20</v>
      </c>
      <c r="K340" s="783" t="s">
        <v>99</v>
      </c>
      <c r="L340" s="783" t="s">
        <v>4096</v>
      </c>
      <c r="M340" s="784">
        <v>22812.3</v>
      </c>
      <c r="N340" s="784">
        <v>22.95</v>
      </c>
      <c r="O340" s="784">
        <v>4.97</v>
      </c>
      <c r="P340" s="783">
        <v>200</v>
      </c>
      <c r="Q340" s="783">
        <v>1142.9000000000001</v>
      </c>
      <c r="R340" s="783">
        <v>558.42999999999995</v>
      </c>
      <c r="S340" s="783">
        <v>187.53</v>
      </c>
      <c r="T340" s="783">
        <v>396.93</v>
      </c>
      <c r="U340" s="785">
        <v>44631.506562499999</v>
      </c>
    </row>
    <row r="341" spans="1:21">
      <c r="A341" s="782">
        <v>44501</v>
      </c>
      <c r="B341" s="783" t="s">
        <v>41</v>
      </c>
      <c r="C341" s="783" t="s">
        <v>4071</v>
      </c>
      <c r="D341" s="783" t="s">
        <v>4009</v>
      </c>
      <c r="E341" s="783" t="s">
        <v>4862</v>
      </c>
      <c r="F341" s="783" t="s">
        <v>4011</v>
      </c>
      <c r="G341" s="783" t="str">
        <f t="shared" si="18"/>
        <v>Renewal (15% in 2020)</v>
      </c>
      <c r="H341" s="783" t="s">
        <v>4863</v>
      </c>
      <c r="I341" s="783" t="s">
        <v>4864</v>
      </c>
      <c r="J341" s="783">
        <v>15</v>
      </c>
      <c r="K341" s="783" t="s">
        <v>99</v>
      </c>
      <c r="L341" s="783" t="s">
        <v>4096</v>
      </c>
      <c r="M341" s="784">
        <v>11079.1</v>
      </c>
      <c r="N341" s="784">
        <v>11.98</v>
      </c>
      <c r="O341" s="784">
        <v>5.78</v>
      </c>
      <c r="P341" s="783">
        <v>160</v>
      </c>
      <c r="Q341" s="783">
        <v>556.16999999999996</v>
      </c>
      <c r="R341" s="783">
        <v>250.39</v>
      </c>
      <c r="S341" s="783">
        <v>38.78</v>
      </c>
      <c r="T341" s="783">
        <v>267.01</v>
      </c>
      <c r="U341" s="785">
        <v>44631.503043981502</v>
      </c>
    </row>
    <row r="342" spans="1:21">
      <c r="A342" s="782">
        <v>44581</v>
      </c>
      <c r="B342" s="783" t="s">
        <v>41</v>
      </c>
      <c r="C342" s="783" t="s">
        <v>4092</v>
      </c>
      <c r="D342" s="783" t="s">
        <v>4009</v>
      </c>
      <c r="E342" s="783" t="s">
        <v>4865</v>
      </c>
      <c r="F342" s="783" t="s">
        <v>4011</v>
      </c>
      <c r="G342" s="783" t="str">
        <f t="shared" si="18"/>
        <v>New Contract</v>
      </c>
      <c r="H342" s="783" t="s">
        <v>4866</v>
      </c>
      <c r="I342" s="783" t="s">
        <v>4867</v>
      </c>
      <c r="J342" s="783">
        <v>25</v>
      </c>
      <c r="K342" s="783" t="s">
        <v>99</v>
      </c>
      <c r="L342" s="783" t="s">
        <v>4096</v>
      </c>
      <c r="M342" s="784">
        <v>26507.200000000001</v>
      </c>
      <c r="N342" s="784">
        <v>21.92</v>
      </c>
      <c r="O342" s="784">
        <v>6.99</v>
      </c>
      <c r="P342" s="783">
        <v>173</v>
      </c>
      <c r="Q342" s="783">
        <v>1073.54</v>
      </c>
      <c r="R342" s="783">
        <v>819.07</v>
      </c>
      <c r="S342" s="783">
        <v>145.79</v>
      </c>
      <c r="T342" s="783">
        <v>108.68</v>
      </c>
      <c r="U342" s="785">
        <v>44631.516516203701</v>
      </c>
    </row>
    <row r="343" spans="1:21">
      <c r="A343" s="782">
        <v>44577</v>
      </c>
      <c r="B343" s="783" t="s">
        <v>74</v>
      </c>
      <c r="C343" s="783" t="s">
        <v>4037</v>
      </c>
      <c r="D343" s="783" t="s">
        <v>4038</v>
      </c>
      <c r="E343" s="783" t="s">
        <v>4868</v>
      </c>
      <c r="F343" s="783" t="s">
        <v>4066</v>
      </c>
      <c r="G343" s="783" t="s">
        <v>4028</v>
      </c>
      <c r="H343" s="783" t="s">
        <v>4869</v>
      </c>
      <c r="I343" s="783" t="s">
        <v>4870</v>
      </c>
      <c r="J343" s="783">
        <v>5</v>
      </c>
      <c r="K343" s="783" t="s">
        <v>99</v>
      </c>
      <c r="L343" s="783" t="s">
        <v>4096</v>
      </c>
      <c r="M343" s="784">
        <v>3922.75</v>
      </c>
      <c r="N343" s="784">
        <v>3.55</v>
      </c>
      <c r="O343" s="784">
        <v>6.5</v>
      </c>
      <c r="P343" s="783">
        <v>170</v>
      </c>
      <c r="Q343" s="783">
        <v>113.37</v>
      </c>
      <c r="R343" s="783">
        <v>0</v>
      </c>
      <c r="S343" s="783">
        <v>0</v>
      </c>
      <c r="T343" s="783">
        <v>113.37</v>
      </c>
      <c r="U343" s="785">
        <v>44631.512465277803</v>
      </c>
    </row>
    <row r="344" spans="1:21">
      <c r="A344" s="782">
        <v>44650</v>
      </c>
      <c r="B344" s="783" t="s">
        <v>113</v>
      </c>
      <c r="C344" s="783" t="s">
        <v>4606</v>
      </c>
      <c r="D344" s="783" t="s">
        <v>4009</v>
      </c>
      <c r="E344" s="783" t="s">
        <v>3271</v>
      </c>
      <c r="F344" s="783" t="s">
        <v>4011</v>
      </c>
      <c r="G344" s="783" t="str">
        <f t="shared" ref="G344:G350" si="19">VLOOKUP(I344,pacage,2,FALSE)</f>
        <v>Renewal (25% in 2020)</v>
      </c>
      <c r="H344" s="783" t="s">
        <v>4871</v>
      </c>
      <c r="I344" s="783" t="s">
        <v>4872</v>
      </c>
      <c r="J344" s="783">
        <v>25</v>
      </c>
      <c r="K344" s="783" t="s">
        <v>99</v>
      </c>
      <c r="L344" s="783" t="s">
        <v>4096</v>
      </c>
      <c r="M344" s="784">
        <v>21168</v>
      </c>
      <c r="N344" s="784">
        <v>21</v>
      </c>
      <c r="O344" s="784">
        <v>5.6</v>
      </c>
      <c r="P344" s="783">
        <v>180</v>
      </c>
      <c r="Q344" s="783">
        <v>1028.76</v>
      </c>
      <c r="R344" s="783">
        <v>689.69</v>
      </c>
      <c r="S344" s="783">
        <v>142.21</v>
      </c>
      <c r="T344" s="783">
        <v>196.86</v>
      </c>
      <c r="U344" s="785">
        <v>44652.396921296298</v>
      </c>
    </row>
    <row r="345" spans="1:21">
      <c r="A345" s="782">
        <v>44419</v>
      </c>
      <c r="B345" s="783" t="s">
        <v>51</v>
      </c>
      <c r="C345" s="783" t="s">
        <v>4015</v>
      </c>
      <c r="D345" s="783" t="s">
        <v>4016</v>
      </c>
      <c r="E345" s="783" t="s">
        <v>3263</v>
      </c>
      <c r="F345" s="783" t="s">
        <v>4011</v>
      </c>
      <c r="G345" s="783" t="str">
        <f t="shared" si="19"/>
        <v>Renewal (20% in 2020)</v>
      </c>
      <c r="H345" s="783" t="s">
        <v>4873</v>
      </c>
      <c r="I345" s="783" t="s">
        <v>4874</v>
      </c>
      <c r="J345" s="783">
        <v>20</v>
      </c>
      <c r="K345" s="783" t="s">
        <v>99</v>
      </c>
      <c r="L345" s="783" t="s">
        <v>4096</v>
      </c>
      <c r="M345" s="784">
        <v>40120.51</v>
      </c>
      <c r="N345" s="784">
        <v>33.1</v>
      </c>
      <c r="O345" s="784">
        <v>7.13</v>
      </c>
      <c r="P345" s="783">
        <v>170</v>
      </c>
      <c r="Q345" s="783">
        <v>2840.53</v>
      </c>
      <c r="R345" s="783">
        <v>1652.97</v>
      </c>
      <c r="S345" s="783">
        <v>252.76</v>
      </c>
      <c r="T345" s="783">
        <v>934.81</v>
      </c>
      <c r="U345" s="785">
        <v>44631.511747685203</v>
      </c>
    </row>
    <row r="346" spans="1:21">
      <c r="A346" s="782">
        <v>44427</v>
      </c>
      <c r="B346" s="783" t="s">
        <v>41</v>
      </c>
      <c r="C346" s="783" t="s">
        <v>4082</v>
      </c>
      <c r="D346" s="783" t="s">
        <v>4009</v>
      </c>
      <c r="E346" s="783" t="s">
        <v>4518</v>
      </c>
      <c r="F346" s="783" t="s">
        <v>4011</v>
      </c>
      <c r="G346" s="783" t="str">
        <f t="shared" si="19"/>
        <v>Renewal (25% in 2020)</v>
      </c>
      <c r="H346" s="783" t="s">
        <v>4519</v>
      </c>
      <c r="I346" s="783" t="s">
        <v>4520</v>
      </c>
      <c r="J346" s="783">
        <v>25</v>
      </c>
      <c r="K346" s="783" t="s">
        <v>99</v>
      </c>
      <c r="L346" s="783" t="s">
        <v>4096</v>
      </c>
      <c r="M346" s="784">
        <v>58650</v>
      </c>
      <c r="N346" s="784">
        <v>50</v>
      </c>
      <c r="O346" s="784">
        <v>6.9</v>
      </c>
      <c r="P346" s="783">
        <v>170</v>
      </c>
      <c r="Q346" s="783">
        <v>2240.4299999999998</v>
      </c>
      <c r="R346" s="783">
        <v>1712.58</v>
      </c>
      <c r="S346" s="783">
        <v>304.98</v>
      </c>
      <c r="T346" s="783">
        <v>222.87</v>
      </c>
      <c r="U346" s="785">
        <v>44631.512187499997</v>
      </c>
    </row>
    <row r="347" spans="1:21">
      <c r="A347" s="782">
        <v>44422</v>
      </c>
      <c r="B347" s="783" t="s">
        <v>51</v>
      </c>
      <c r="C347" s="783" t="s">
        <v>4796</v>
      </c>
      <c r="D347" s="783" t="s">
        <v>4016</v>
      </c>
      <c r="E347" s="783" t="s">
        <v>67</v>
      </c>
      <c r="F347" s="783" t="s">
        <v>4011</v>
      </c>
      <c r="G347" s="783" t="str">
        <f t="shared" si="19"/>
        <v>Renewal (15% in 2020)</v>
      </c>
      <c r="H347" s="783" t="s">
        <v>4875</v>
      </c>
      <c r="I347" s="783" t="s">
        <v>4876</v>
      </c>
      <c r="J347" s="783">
        <v>15</v>
      </c>
      <c r="K347" s="783" t="s">
        <v>99</v>
      </c>
      <c r="L347" s="783" t="s">
        <v>4096</v>
      </c>
      <c r="M347" s="784">
        <v>82086.399999999994</v>
      </c>
      <c r="N347" s="784">
        <v>88</v>
      </c>
      <c r="O347" s="784">
        <v>5.83</v>
      </c>
      <c r="P347" s="783">
        <v>160</v>
      </c>
      <c r="Q347" s="783">
        <v>7822.83</v>
      </c>
      <c r="R347" s="783">
        <v>3464.05</v>
      </c>
      <c r="S347" s="783">
        <v>525.35</v>
      </c>
      <c r="T347" s="783">
        <v>3833.43</v>
      </c>
      <c r="U347" s="785">
        <v>44631.511990740699</v>
      </c>
    </row>
    <row r="348" spans="1:21">
      <c r="A348" s="782">
        <v>44429</v>
      </c>
      <c r="B348" s="783" t="s">
        <v>41</v>
      </c>
      <c r="C348" s="783" t="s">
        <v>4092</v>
      </c>
      <c r="D348" s="783" t="s">
        <v>4009</v>
      </c>
      <c r="E348" s="783" t="s">
        <v>3066</v>
      </c>
      <c r="F348" s="783" t="s">
        <v>4011</v>
      </c>
      <c r="G348" s="783" t="str">
        <f t="shared" si="19"/>
        <v>Renewal (15% in 2020)</v>
      </c>
      <c r="H348" s="783" t="s">
        <v>4877</v>
      </c>
      <c r="I348" s="783" t="s">
        <v>4878</v>
      </c>
      <c r="J348" s="783">
        <v>15</v>
      </c>
      <c r="K348" s="783" t="s">
        <v>99</v>
      </c>
      <c r="L348" s="783" t="s">
        <v>4096</v>
      </c>
      <c r="M348" s="784">
        <v>21545.66</v>
      </c>
      <c r="N348" s="784">
        <v>20.91</v>
      </c>
      <c r="O348" s="784">
        <v>6.44</v>
      </c>
      <c r="P348" s="783">
        <v>160</v>
      </c>
      <c r="Q348" s="783">
        <v>1512.51</v>
      </c>
      <c r="R348" s="783">
        <v>665.76</v>
      </c>
      <c r="S348" s="783">
        <v>118.5</v>
      </c>
      <c r="T348" s="783">
        <v>728.24</v>
      </c>
      <c r="U348" s="785">
        <v>44631.512210648201</v>
      </c>
    </row>
    <row r="349" spans="1:21">
      <c r="A349" s="782">
        <v>44435</v>
      </c>
      <c r="B349" s="783" t="s">
        <v>41</v>
      </c>
      <c r="C349" s="783" t="s">
        <v>4082</v>
      </c>
      <c r="D349" s="783" t="s">
        <v>4009</v>
      </c>
      <c r="E349" s="783" t="s">
        <v>1290</v>
      </c>
      <c r="F349" s="783" t="s">
        <v>4011</v>
      </c>
      <c r="G349" s="783" t="str">
        <f t="shared" si="19"/>
        <v>Renewal (20% in 2020)</v>
      </c>
      <c r="H349" s="783" t="s">
        <v>4521</v>
      </c>
      <c r="I349" s="783" t="s">
        <v>4522</v>
      </c>
      <c r="J349" s="783">
        <v>20</v>
      </c>
      <c r="K349" s="783" t="s">
        <v>99</v>
      </c>
      <c r="L349" s="783" t="s">
        <v>4096</v>
      </c>
      <c r="M349" s="784">
        <v>29881.599999999999</v>
      </c>
      <c r="N349" s="784">
        <v>28</v>
      </c>
      <c r="O349" s="784">
        <v>6.67</v>
      </c>
      <c r="P349" s="783">
        <v>160</v>
      </c>
      <c r="Q349" s="783">
        <v>1479.14</v>
      </c>
      <c r="R349" s="783">
        <v>872.54</v>
      </c>
      <c r="S349" s="783">
        <v>155.38</v>
      </c>
      <c r="T349" s="783">
        <v>451.21</v>
      </c>
      <c r="U349" s="785">
        <v>44631.512025463002</v>
      </c>
    </row>
    <row r="350" spans="1:21">
      <c r="A350" s="782">
        <v>44572</v>
      </c>
      <c r="B350" s="783" t="s">
        <v>177</v>
      </c>
      <c r="C350" s="783" t="s">
        <v>4274</v>
      </c>
      <c r="D350" s="783" t="s">
        <v>4038</v>
      </c>
      <c r="E350" s="783" t="s">
        <v>4275</v>
      </c>
      <c r="F350" s="783" t="s">
        <v>4011</v>
      </c>
      <c r="G350" s="783" t="str">
        <f t="shared" si="19"/>
        <v>Renewal (20% in 2020)</v>
      </c>
      <c r="H350" s="783" t="s">
        <v>4276</v>
      </c>
      <c r="I350" s="783" t="s">
        <v>4277</v>
      </c>
      <c r="J350" s="783">
        <v>20</v>
      </c>
      <c r="K350" s="783" t="s">
        <v>99</v>
      </c>
      <c r="L350" s="783" t="s">
        <v>4096</v>
      </c>
      <c r="M350" s="784">
        <v>6090</v>
      </c>
      <c r="N350" s="784">
        <v>6</v>
      </c>
      <c r="O350" s="784">
        <v>5.8</v>
      </c>
      <c r="P350" s="783">
        <v>175</v>
      </c>
      <c r="Q350" s="783">
        <v>391.59</v>
      </c>
      <c r="R350" s="783">
        <v>197.47</v>
      </c>
      <c r="S350" s="783">
        <v>54.66</v>
      </c>
      <c r="T350" s="783">
        <v>139.46</v>
      </c>
      <c r="U350" s="785">
        <v>44631.512395833299</v>
      </c>
    </row>
    <row r="351" spans="1:21">
      <c r="A351" s="782">
        <v>44581</v>
      </c>
      <c r="B351" s="783" t="s">
        <v>74</v>
      </c>
      <c r="C351" s="783" t="s">
        <v>4037</v>
      </c>
      <c r="D351" s="783" t="s">
        <v>4038</v>
      </c>
      <c r="E351" s="783" t="s">
        <v>4278</v>
      </c>
      <c r="F351" s="783" t="s">
        <v>4011</v>
      </c>
      <c r="G351" s="783" t="s">
        <v>4028</v>
      </c>
      <c r="H351" s="783" t="s">
        <v>4279</v>
      </c>
      <c r="I351" s="783" t="s">
        <v>4280</v>
      </c>
      <c r="J351" s="783">
        <v>25</v>
      </c>
      <c r="K351" s="783" t="s">
        <v>99</v>
      </c>
      <c r="L351" s="783" t="s">
        <v>4096</v>
      </c>
      <c r="M351" s="784">
        <v>20173.34</v>
      </c>
      <c r="N351" s="784">
        <v>19.510000000000002</v>
      </c>
      <c r="O351" s="784">
        <v>5.17</v>
      </c>
      <c r="P351" s="783">
        <v>200</v>
      </c>
      <c r="Q351" s="783">
        <v>1166.02</v>
      </c>
      <c r="R351" s="783">
        <v>691.02</v>
      </c>
      <c r="S351" s="783">
        <v>234.94</v>
      </c>
      <c r="T351" s="783">
        <v>240.06</v>
      </c>
      <c r="U351" s="785">
        <v>44631.516180555598</v>
      </c>
    </row>
    <row r="352" spans="1:21">
      <c r="A352" s="782">
        <v>44574</v>
      </c>
      <c r="B352" s="783" t="s">
        <v>41</v>
      </c>
      <c r="C352" s="783" t="s">
        <v>4082</v>
      </c>
      <c r="D352" s="783" t="s">
        <v>4009</v>
      </c>
      <c r="E352" s="783" t="s">
        <v>3825</v>
      </c>
      <c r="F352" s="783" t="s">
        <v>4011</v>
      </c>
      <c r="G352" s="783" t="str">
        <f t="shared" ref="G352:G373" si="20">VLOOKUP(I352,pacage,2,FALSE)</f>
        <v>Renewal (15% in 2020)</v>
      </c>
      <c r="H352" s="783" t="s">
        <v>4879</v>
      </c>
      <c r="I352" s="783" t="s">
        <v>4880</v>
      </c>
      <c r="J352" s="783">
        <v>15</v>
      </c>
      <c r="K352" s="783" t="s">
        <v>99</v>
      </c>
      <c r="L352" s="783" t="s">
        <v>4096</v>
      </c>
      <c r="M352" s="784">
        <v>51986.17</v>
      </c>
      <c r="N352" s="784">
        <v>48.85</v>
      </c>
      <c r="O352" s="784">
        <v>6.26</v>
      </c>
      <c r="P352" s="783">
        <v>170</v>
      </c>
      <c r="Q352" s="783">
        <v>3451.88</v>
      </c>
      <c r="R352" s="783">
        <v>1518</v>
      </c>
      <c r="S352" s="783">
        <v>270.33</v>
      </c>
      <c r="T352" s="783">
        <v>1663.56</v>
      </c>
      <c r="U352" s="785">
        <v>44701.658900463</v>
      </c>
    </row>
    <row r="353" spans="1:21">
      <c r="A353" s="782">
        <v>44690</v>
      </c>
      <c r="B353" s="783" t="s">
        <v>4025</v>
      </c>
      <c r="C353" s="783" t="s">
        <v>4026</v>
      </c>
      <c r="D353" s="783" t="s">
        <v>4021</v>
      </c>
      <c r="E353" s="783" t="s">
        <v>4881</v>
      </c>
      <c r="F353" s="783" t="s">
        <v>4011</v>
      </c>
      <c r="G353" s="783" t="str">
        <f t="shared" si="20"/>
        <v>New Contract</v>
      </c>
      <c r="H353" s="783" t="s">
        <v>4882</v>
      </c>
      <c r="I353" s="783" t="s">
        <v>4883</v>
      </c>
      <c r="J353" s="783">
        <v>20</v>
      </c>
      <c r="K353" s="783" t="s">
        <v>99</v>
      </c>
      <c r="L353" s="783" t="s">
        <v>4096</v>
      </c>
      <c r="M353" s="784">
        <v>88552.93</v>
      </c>
      <c r="N353" s="784">
        <v>58.59</v>
      </c>
      <c r="O353" s="784">
        <v>6.87</v>
      </c>
      <c r="P353" s="783">
        <v>220</v>
      </c>
      <c r="Q353" s="783">
        <v>5189.2</v>
      </c>
      <c r="R353" s="783">
        <v>2353.66</v>
      </c>
      <c r="S353" s="783">
        <v>1099.9100000000001</v>
      </c>
      <c r="T353" s="783">
        <v>1735.64</v>
      </c>
      <c r="U353" s="785">
        <v>44690.6879513889</v>
      </c>
    </row>
    <row r="354" spans="1:21">
      <c r="A354" s="782">
        <v>44691</v>
      </c>
      <c r="B354" s="783" t="s">
        <v>51</v>
      </c>
      <c r="C354" s="783" t="s">
        <v>4015</v>
      </c>
      <c r="D354" s="783" t="s">
        <v>4016</v>
      </c>
      <c r="E354" s="783" t="s">
        <v>4017</v>
      </c>
      <c r="F354" s="783" t="s">
        <v>4011</v>
      </c>
      <c r="G354" s="783" t="str">
        <f t="shared" si="20"/>
        <v>New Contract</v>
      </c>
      <c r="H354" s="783" t="s">
        <v>4018</v>
      </c>
      <c r="I354" s="783" t="s">
        <v>4019</v>
      </c>
      <c r="J354" s="783">
        <v>25</v>
      </c>
      <c r="K354" s="783" t="s">
        <v>99</v>
      </c>
      <c r="L354" s="783" t="s">
        <v>4096</v>
      </c>
      <c r="M354" s="784">
        <v>19474.7</v>
      </c>
      <c r="N354" s="784">
        <v>17.2</v>
      </c>
      <c r="O354" s="784">
        <v>6.47</v>
      </c>
      <c r="P354" s="783">
        <v>175</v>
      </c>
      <c r="Q354" s="783">
        <v>1071.1099999999999</v>
      </c>
      <c r="R354" s="783">
        <v>793.19</v>
      </c>
      <c r="S354" s="783">
        <v>131.86000000000001</v>
      </c>
      <c r="T354" s="783">
        <v>146.06</v>
      </c>
      <c r="U354" s="785">
        <v>44691.527569444399</v>
      </c>
    </row>
    <row r="355" spans="1:21">
      <c r="A355" s="782">
        <v>44690</v>
      </c>
      <c r="B355" s="783" t="s">
        <v>4025</v>
      </c>
      <c r="C355" s="783" t="s">
        <v>4026</v>
      </c>
      <c r="D355" s="783" t="s">
        <v>4021</v>
      </c>
      <c r="E355" s="783" t="s">
        <v>4884</v>
      </c>
      <c r="F355" s="783" t="s">
        <v>4011</v>
      </c>
      <c r="G355" s="783" t="str">
        <f t="shared" si="20"/>
        <v>New Contract</v>
      </c>
      <c r="H355" s="783" t="s">
        <v>4885</v>
      </c>
      <c r="I355" s="783" t="s">
        <v>4886</v>
      </c>
      <c r="J355" s="783">
        <v>25</v>
      </c>
      <c r="K355" s="783" t="s">
        <v>99</v>
      </c>
      <c r="L355" s="783" t="s">
        <v>4096</v>
      </c>
      <c r="M355" s="784">
        <v>106304</v>
      </c>
      <c r="N355" s="784">
        <v>83.05</v>
      </c>
      <c r="O355" s="784">
        <v>6.4</v>
      </c>
      <c r="P355" s="783">
        <v>200</v>
      </c>
      <c r="Q355" s="783">
        <v>4868.72</v>
      </c>
      <c r="R355" s="783">
        <v>3108.01</v>
      </c>
      <c r="S355" s="783">
        <v>1037.8499999999999</v>
      </c>
      <c r="T355" s="783">
        <v>722.87</v>
      </c>
      <c r="U355" s="785">
        <v>44694.444571759297</v>
      </c>
    </row>
    <row r="356" spans="1:21">
      <c r="A356" s="782">
        <v>44690</v>
      </c>
      <c r="B356" s="783" t="s">
        <v>41</v>
      </c>
      <c r="C356" s="783" t="s">
        <v>4071</v>
      </c>
      <c r="D356" s="783" t="s">
        <v>4009</v>
      </c>
      <c r="E356" s="783" t="s">
        <v>4887</v>
      </c>
      <c r="F356" s="783" t="s">
        <v>4011</v>
      </c>
      <c r="G356" s="783" t="str">
        <f t="shared" si="20"/>
        <v>Renewal (15% in 2020)</v>
      </c>
      <c r="H356" s="783" t="s">
        <v>4888</v>
      </c>
      <c r="I356" s="783" t="s">
        <v>4889</v>
      </c>
      <c r="J356" s="783">
        <v>15</v>
      </c>
      <c r="K356" s="783" t="s">
        <v>99</v>
      </c>
      <c r="L356" s="783" t="s">
        <v>4096</v>
      </c>
      <c r="M356" s="784">
        <v>107469.42</v>
      </c>
      <c r="N356" s="784">
        <v>85.03</v>
      </c>
      <c r="O356" s="784">
        <v>7.66</v>
      </c>
      <c r="P356" s="783">
        <v>165</v>
      </c>
      <c r="Q356" s="783">
        <v>5394.96</v>
      </c>
      <c r="R356" s="783">
        <v>2428.81</v>
      </c>
      <c r="S356" s="783">
        <v>376.14</v>
      </c>
      <c r="T356" s="783">
        <v>2590.0100000000002</v>
      </c>
      <c r="U356" s="785">
        <v>44691.5058333333</v>
      </c>
    </row>
    <row r="357" spans="1:21">
      <c r="A357" s="782">
        <v>44691</v>
      </c>
      <c r="B357" s="783" t="s">
        <v>41</v>
      </c>
      <c r="C357" s="783" t="s">
        <v>4082</v>
      </c>
      <c r="D357" s="783" t="s">
        <v>4009</v>
      </c>
      <c r="E357" s="783" t="s">
        <v>4523</v>
      </c>
      <c r="F357" s="783" t="s">
        <v>4011</v>
      </c>
      <c r="G357" s="783" t="str">
        <f t="shared" si="20"/>
        <v>Renewal (25% in 2020)</v>
      </c>
      <c r="H357" s="783" t="s">
        <v>4524</v>
      </c>
      <c r="I357" s="783" t="s">
        <v>4525</v>
      </c>
      <c r="J357" s="783">
        <v>25</v>
      </c>
      <c r="K357" s="783" t="s">
        <v>99</v>
      </c>
      <c r="L357" s="783" t="s">
        <v>4096</v>
      </c>
      <c r="M357" s="784">
        <v>44171.95</v>
      </c>
      <c r="N357" s="784">
        <v>24.88</v>
      </c>
      <c r="O357" s="784">
        <v>8.07</v>
      </c>
      <c r="P357" s="783">
        <v>220</v>
      </c>
      <c r="Q357" s="783">
        <v>1687.37</v>
      </c>
      <c r="R357" s="783">
        <v>1014.27</v>
      </c>
      <c r="S357" s="783">
        <v>505.25</v>
      </c>
      <c r="T357" s="783">
        <v>167.85</v>
      </c>
      <c r="U357" s="785">
        <v>44691.530787037002</v>
      </c>
    </row>
    <row r="358" spans="1:21">
      <c r="A358" s="782">
        <v>44693</v>
      </c>
      <c r="B358" s="783" t="s">
        <v>4025</v>
      </c>
      <c r="C358" s="783" t="s">
        <v>4026</v>
      </c>
      <c r="D358" s="783" t="s">
        <v>4021</v>
      </c>
      <c r="E358" s="783" t="s">
        <v>4890</v>
      </c>
      <c r="F358" s="783" t="s">
        <v>4011</v>
      </c>
      <c r="G358" s="783" t="str">
        <f t="shared" si="20"/>
        <v>New Contract</v>
      </c>
      <c r="H358" s="783" t="s">
        <v>4891</v>
      </c>
      <c r="I358" s="783" t="s">
        <v>4892</v>
      </c>
      <c r="J358" s="783">
        <v>25</v>
      </c>
      <c r="K358" s="783" t="s">
        <v>99</v>
      </c>
      <c r="L358" s="783" t="s">
        <v>4096</v>
      </c>
      <c r="M358" s="784">
        <v>42751.72</v>
      </c>
      <c r="N358" s="784">
        <v>26.62</v>
      </c>
      <c r="O358" s="784">
        <v>8.0299999999999994</v>
      </c>
      <c r="P358" s="783">
        <v>200</v>
      </c>
      <c r="Q358" s="783">
        <v>1958.03</v>
      </c>
      <c r="R358" s="783">
        <v>1249.93</v>
      </c>
      <c r="S358" s="783">
        <v>417.39</v>
      </c>
      <c r="T358" s="783">
        <v>290.70999999999998</v>
      </c>
      <c r="U358" s="785">
        <v>44693.699895833299</v>
      </c>
    </row>
    <row r="359" spans="1:21">
      <c r="A359" s="782">
        <v>44693</v>
      </c>
      <c r="B359" s="783" t="s">
        <v>30</v>
      </c>
      <c r="C359" s="783" t="s">
        <v>4893</v>
      </c>
      <c r="D359" s="783" t="s">
        <v>4512</v>
      </c>
      <c r="E359" s="783" t="s">
        <v>4894</v>
      </c>
      <c r="F359" s="783" t="s">
        <v>4011</v>
      </c>
      <c r="G359" s="783" t="str">
        <f t="shared" si="20"/>
        <v>New Contract</v>
      </c>
      <c r="H359" s="783" t="s">
        <v>4895</v>
      </c>
      <c r="I359" s="783" t="s">
        <v>4896</v>
      </c>
      <c r="J359" s="783">
        <v>20</v>
      </c>
      <c r="K359" s="783" t="s">
        <v>99</v>
      </c>
      <c r="L359" s="783" t="s">
        <v>4096</v>
      </c>
      <c r="M359" s="784">
        <v>8131.1</v>
      </c>
      <c r="N359" s="784">
        <v>6.22</v>
      </c>
      <c r="O359" s="784">
        <v>7.47</v>
      </c>
      <c r="P359" s="783">
        <v>175</v>
      </c>
      <c r="Q359" s="783">
        <v>369.96</v>
      </c>
      <c r="R359" s="783">
        <v>199.35</v>
      </c>
      <c r="S359" s="783">
        <v>47.84</v>
      </c>
      <c r="T359" s="783">
        <v>122.78</v>
      </c>
      <c r="U359" s="785">
        <v>44694.435486111099</v>
      </c>
    </row>
    <row r="360" spans="1:21">
      <c r="A360" s="782">
        <v>44693</v>
      </c>
      <c r="B360" s="783" t="s">
        <v>30</v>
      </c>
      <c r="C360" s="783" t="s">
        <v>4239</v>
      </c>
      <c r="D360" s="783" t="s">
        <v>4021</v>
      </c>
      <c r="E360" s="783" t="s">
        <v>4894</v>
      </c>
      <c r="F360" s="783" t="s">
        <v>4011</v>
      </c>
      <c r="G360" s="783" t="str">
        <f t="shared" si="20"/>
        <v>New Contract</v>
      </c>
      <c r="H360" s="783" t="s">
        <v>4895</v>
      </c>
      <c r="I360" s="783" t="s">
        <v>4896</v>
      </c>
      <c r="J360" s="783">
        <v>20</v>
      </c>
      <c r="K360" s="783" t="s">
        <v>99</v>
      </c>
      <c r="L360" s="783" t="s">
        <v>4096</v>
      </c>
      <c r="M360" s="784">
        <v>20275.45</v>
      </c>
      <c r="N360" s="784">
        <v>15.51</v>
      </c>
      <c r="O360" s="784">
        <v>7.47</v>
      </c>
      <c r="P360" s="783">
        <v>175</v>
      </c>
      <c r="Q360" s="783">
        <v>890.09</v>
      </c>
      <c r="R360" s="783">
        <v>497.08</v>
      </c>
      <c r="S360" s="783">
        <v>109.15</v>
      </c>
      <c r="T360" s="783">
        <v>283.86</v>
      </c>
      <c r="U360" s="785">
        <v>44694.435486111099</v>
      </c>
    </row>
    <row r="361" spans="1:21">
      <c r="A361" s="782">
        <v>44700</v>
      </c>
      <c r="B361" s="783" t="s">
        <v>41</v>
      </c>
      <c r="C361" s="783" t="s">
        <v>4071</v>
      </c>
      <c r="D361" s="783" t="s">
        <v>4009</v>
      </c>
      <c r="E361" s="783" t="s">
        <v>678</v>
      </c>
      <c r="F361" s="783" t="s">
        <v>4011</v>
      </c>
      <c r="G361" s="783" t="str">
        <f t="shared" si="20"/>
        <v>Renewal (15% in 2020)</v>
      </c>
      <c r="H361" s="783" t="s">
        <v>4897</v>
      </c>
      <c r="I361" s="783" t="s">
        <v>4898</v>
      </c>
      <c r="J361" s="783">
        <v>15</v>
      </c>
      <c r="K361" s="783" t="s">
        <v>99</v>
      </c>
      <c r="L361" s="783" t="s">
        <v>4096</v>
      </c>
      <c r="M361" s="784">
        <v>15394.22</v>
      </c>
      <c r="N361" s="784">
        <v>14.14</v>
      </c>
      <c r="O361" s="784">
        <v>5.73</v>
      </c>
      <c r="P361" s="783">
        <v>190</v>
      </c>
      <c r="Q361" s="783">
        <v>772.79</v>
      </c>
      <c r="R361" s="783">
        <v>316.77999999999997</v>
      </c>
      <c r="S361" s="783">
        <v>85.01</v>
      </c>
      <c r="T361" s="783">
        <v>371</v>
      </c>
      <c r="U361" s="785">
        <v>44700.595925925903</v>
      </c>
    </row>
    <row r="362" spans="1:21">
      <c r="A362" s="782">
        <v>44692</v>
      </c>
      <c r="B362" s="783" t="s">
        <v>41</v>
      </c>
      <c r="C362" s="783" t="s">
        <v>4139</v>
      </c>
      <c r="D362" s="783" t="s">
        <v>4009</v>
      </c>
      <c r="E362" s="783" t="s">
        <v>4899</v>
      </c>
      <c r="F362" s="783" t="s">
        <v>4011</v>
      </c>
      <c r="G362" s="783" t="str">
        <f t="shared" si="20"/>
        <v>Renewal (30% in 2020)</v>
      </c>
      <c r="H362" s="783" t="s">
        <v>4900</v>
      </c>
      <c r="I362" s="783" t="s">
        <v>4901</v>
      </c>
      <c r="J362" s="783">
        <v>25</v>
      </c>
      <c r="K362" s="783" t="s">
        <v>99</v>
      </c>
      <c r="L362" s="783" t="s">
        <v>4096</v>
      </c>
      <c r="M362" s="784">
        <v>21611.63</v>
      </c>
      <c r="N362" s="784">
        <v>16.59</v>
      </c>
      <c r="O362" s="784">
        <v>7.53</v>
      </c>
      <c r="P362" s="783">
        <v>173</v>
      </c>
      <c r="Q362" s="783">
        <v>650.51</v>
      </c>
      <c r="R362" s="783">
        <v>507.87</v>
      </c>
      <c r="S362" s="783">
        <v>77.8</v>
      </c>
      <c r="T362" s="783">
        <v>64.83</v>
      </c>
      <c r="U362" s="785">
        <v>44693.4159953704</v>
      </c>
    </row>
    <row r="363" spans="1:21">
      <c r="A363" s="782">
        <v>44690</v>
      </c>
      <c r="B363" s="783" t="s">
        <v>74</v>
      </c>
      <c r="C363" s="783" t="s">
        <v>4097</v>
      </c>
      <c r="D363" s="783" t="s">
        <v>4038</v>
      </c>
      <c r="E363" s="783" t="s">
        <v>4098</v>
      </c>
      <c r="F363" s="783" t="s">
        <v>4011</v>
      </c>
      <c r="G363" s="783" t="str">
        <f t="shared" si="20"/>
        <v>Renewal (15% in 2020)</v>
      </c>
      <c r="H363" s="783" t="s">
        <v>4099</v>
      </c>
      <c r="I363" s="783" t="s">
        <v>4100</v>
      </c>
      <c r="J363" s="783">
        <v>20</v>
      </c>
      <c r="K363" s="783" t="s">
        <v>99</v>
      </c>
      <c r="L363" s="783" t="s">
        <v>4096</v>
      </c>
      <c r="M363" s="784">
        <v>72303.62</v>
      </c>
      <c r="N363" s="784">
        <v>58.86</v>
      </c>
      <c r="O363" s="784">
        <v>6.64</v>
      </c>
      <c r="P363" s="783">
        <v>185</v>
      </c>
      <c r="Q363" s="783">
        <v>3622.41</v>
      </c>
      <c r="R363" s="783">
        <v>1913.47</v>
      </c>
      <c r="S363" s="783">
        <v>450.86</v>
      </c>
      <c r="T363" s="783">
        <v>1258.08</v>
      </c>
      <c r="U363" s="785">
        <v>44708.600972222201</v>
      </c>
    </row>
    <row r="364" spans="1:21">
      <c r="A364" s="782">
        <v>44690</v>
      </c>
      <c r="B364" s="783" t="s">
        <v>51</v>
      </c>
      <c r="C364" s="783" t="s">
        <v>4042</v>
      </c>
      <c r="D364" s="783" t="s">
        <v>4016</v>
      </c>
      <c r="E364" s="783" t="s">
        <v>1468</v>
      </c>
      <c r="F364" s="783" t="s">
        <v>4011</v>
      </c>
      <c r="G364" s="783" t="str">
        <f t="shared" si="20"/>
        <v>Renewal (15% in 2020)</v>
      </c>
      <c r="H364" s="783" t="s">
        <v>4902</v>
      </c>
      <c r="I364" s="783" t="s">
        <v>4903</v>
      </c>
      <c r="J364" s="783">
        <v>30</v>
      </c>
      <c r="K364" s="783" t="s">
        <v>99</v>
      </c>
      <c r="L364" s="783" t="s">
        <v>4096</v>
      </c>
      <c r="M364" s="784">
        <v>184409.84</v>
      </c>
      <c r="N364" s="784">
        <v>146.44999999999999</v>
      </c>
      <c r="O364" s="784">
        <v>7.87</v>
      </c>
      <c r="P364" s="783">
        <v>160</v>
      </c>
      <c r="Q364" s="783">
        <v>6048.64</v>
      </c>
      <c r="R364" s="783">
        <v>5181.92</v>
      </c>
      <c r="S364" s="783">
        <v>0</v>
      </c>
      <c r="T364" s="783">
        <v>866.73</v>
      </c>
      <c r="U364" s="785">
        <v>44690.678333333301</v>
      </c>
    </row>
    <row r="365" spans="1:21">
      <c r="A365" s="782">
        <v>44690</v>
      </c>
      <c r="B365" s="783" t="s">
        <v>51</v>
      </c>
      <c r="C365" s="783" t="s">
        <v>4042</v>
      </c>
      <c r="D365" s="783" t="s">
        <v>4016</v>
      </c>
      <c r="E365" s="783" t="s">
        <v>4904</v>
      </c>
      <c r="F365" s="783" t="s">
        <v>4011</v>
      </c>
      <c r="G365" s="783" t="str">
        <f t="shared" si="20"/>
        <v>Renewal (30% in 2020)</v>
      </c>
      <c r="H365" s="783" t="s">
        <v>4905</v>
      </c>
      <c r="I365" s="783" t="s">
        <v>4906</v>
      </c>
      <c r="J365" s="783">
        <v>30</v>
      </c>
      <c r="K365" s="783" t="s">
        <v>99</v>
      </c>
      <c r="L365" s="783" t="s">
        <v>4096</v>
      </c>
      <c r="M365" s="784">
        <v>40054.14</v>
      </c>
      <c r="N365" s="784">
        <v>34.86</v>
      </c>
      <c r="O365" s="784">
        <v>7.66</v>
      </c>
      <c r="P365" s="783">
        <v>150</v>
      </c>
      <c r="Q365" s="783">
        <v>1313.78</v>
      </c>
      <c r="R365" s="783">
        <v>1125.52</v>
      </c>
      <c r="S365" s="783">
        <v>0</v>
      </c>
      <c r="T365" s="783">
        <v>188.25</v>
      </c>
      <c r="U365" s="785">
        <v>44690.683958333299</v>
      </c>
    </row>
    <row r="366" spans="1:21">
      <c r="A366" s="782">
        <v>44690</v>
      </c>
      <c r="B366" s="783" t="s">
        <v>41</v>
      </c>
      <c r="C366" s="783" t="s">
        <v>4071</v>
      </c>
      <c r="D366" s="783" t="s">
        <v>4009</v>
      </c>
      <c r="E366" s="783" t="s">
        <v>4526</v>
      </c>
      <c r="F366" s="783" t="s">
        <v>4011</v>
      </c>
      <c r="G366" s="783" t="str">
        <f t="shared" si="20"/>
        <v>Renewal (25% in 2020)</v>
      </c>
      <c r="H366" s="783" t="s">
        <v>4527</v>
      </c>
      <c r="I366" s="783" t="s">
        <v>4528</v>
      </c>
      <c r="J366" s="783">
        <v>25</v>
      </c>
      <c r="K366" s="783" t="s">
        <v>99</v>
      </c>
      <c r="L366" s="783" t="s">
        <v>4096</v>
      </c>
      <c r="M366" s="784">
        <v>126187.8</v>
      </c>
      <c r="N366" s="784">
        <v>86.43</v>
      </c>
      <c r="O366" s="784">
        <v>7.3</v>
      </c>
      <c r="P366" s="783">
        <v>200</v>
      </c>
      <c r="Q366" s="783">
        <v>3659.45</v>
      </c>
      <c r="R366" s="783">
        <v>2466.85</v>
      </c>
      <c r="S366" s="783">
        <v>826.66</v>
      </c>
      <c r="T366" s="783">
        <v>365.94</v>
      </c>
      <c r="U366" s="785">
        <v>44690.691793981503</v>
      </c>
    </row>
    <row r="367" spans="1:21">
      <c r="A367" s="782">
        <v>44690</v>
      </c>
      <c r="B367" s="783" t="s">
        <v>397</v>
      </c>
      <c r="C367" s="783" t="s">
        <v>4192</v>
      </c>
      <c r="D367" s="783" t="s">
        <v>4193</v>
      </c>
      <c r="E367" s="783" t="s">
        <v>4907</v>
      </c>
      <c r="F367" s="783" t="s">
        <v>4011</v>
      </c>
      <c r="G367" s="783" t="str">
        <f t="shared" si="20"/>
        <v>Renewal (15% in 2020)</v>
      </c>
      <c r="H367" s="783" t="s">
        <v>4908</v>
      </c>
      <c r="I367" s="783" t="s">
        <v>4909</v>
      </c>
      <c r="J367" s="783">
        <v>20</v>
      </c>
      <c r="K367" s="783" t="s">
        <v>99</v>
      </c>
      <c r="L367" s="783" t="s">
        <v>4096</v>
      </c>
      <c r="M367" s="784">
        <v>38607.1</v>
      </c>
      <c r="N367" s="784">
        <v>38.24</v>
      </c>
      <c r="O367" s="784">
        <v>6.31</v>
      </c>
      <c r="P367" s="783">
        <v>160</v>
      </c>
      <c r="Q367" s="783">
        <v>1841.56</v>
      </c>
      <c r="R367" s="783">
        <v>1088.72</v>
      </c>
      <c r="S367" s="783">
        <v>166.01</v>
      </c>
      <c r="T367" s="783">
        <v>586.83000000000004</v>
      </c>
      <c r="U367" s="785">
        <v>44691.480659722198</v>
      </c>
    </row>
    <row r="368" spans="1:21">
      <c r="A368" s="782">
        <v>44690</v>
      </c>
      <c r="B368" s="783" t="s">
        <v>41</v>
      </c>
      <c r="C368" s="783" t="s">
        <v>4092</v>
      </c>
      <c r="D368" s="783" t="s">
        <v>4009</v>
      </c>
      <c r="E368" s="783" t="s">
        <v>4529</v>
      </c>
      <c r="F368" s="783" t="s">
        <v>4011</v>
      </c>
      <c r="G368" s="783" t="str">
        <f t="shared" si="20"/>
        <v>Renewal (25% in 2020)</v>
      </c>
      <c r="H368" s="783" t="s">
        <v>4530</v>
      </c>
      <c r="I368" s="783" t="s">
        <v>4531</v>
      </c>
      <c r="J368" s="783">
        <v>15</v>
      </c>
      <c r="K368" s="783" t="s">
        <v>99</v>
      </c>
      <c r="L368" s="783" t="s">
        <v>4096</v>
      </c>
      <c r="M368" s="784">
        <v>41164.44</v>
      </c>
      <c r="N368" s="784">
        <v>38.770000000000003</v>
      </c>
      <c r="O368" s="784">
        <v>4.74</v>
      </c>
      <c r="P368" s="783">
        <v>224</v>
      </c>
      <c r="Q368" s="783">
        <v>2889.74</v>
      </c>
      <c r="R368" s="783">
        <v>982.38</v>
      </c>
      <c r="S368" s="783">
        <v>516.01</v>
      </c>
      <c r="T368" s="783">
        <v>1391.36</v>
      </c>
      <c r="U368" s="785">
        <v>44706.435763888898</v>
      </c>
    </row>
    <row r="369" spans="1:21">
      <c r="A369" s="782">
        <v>44697</v>
      </c>
      <c r="B369" s="783" t="s">
        <v>41</v>
      </c>
      <c r="C369" s="783" t="s">
        <v>4092</v>
      </c>
      <c r="D369" s="783" t="s">
        <v>4009</v>
      </c>
      <c r="E369" s="783" t="s">
        <v>4535</v>
      </c>
      <c r="F369" s="783" t="s">
        <v>4011</v>
      </c>
      <c r="G369" s="783" t="str">
        <f t="shared" si="20"/>
        <v>Renewal (25% in 2020)</v>
      </c>
      <c r="H369" s="783" t="s">
        <v>4536</v>
      </c>
      <c r="I369" s="783" t="s">
        <v>4537</v>
      </c>
      <c r="J369" s="783">
        <v>25</v>
      </c>
      <c r="K369" s="783" t="s">
        <v>99</v>
      </c>
      <c r="L369" s="783" t="s">
        <v>4096</v>
      </c>
      <c r="M369" s="784">
        <v>39550.43</v>
      </c>
      <c r="N369" s="784">
        <v>35.15</v>
      </c>
      <c r="O369" s="784">
        <v>5.83</v>
      </c>
      <c r="P369" s="783">
        <v>193</v>
      </c>
      <c r="Q369" s="783">
        <v>1601.79</v>
      </c>
      <c r="R369" s="783">
        <v>1095.46</v>
      </c>
      <c r="S369" s="783">
        <v>344.17</v>
      </c>
      <c r="T369" s="783">
        <v>162.16</v>
      </c>
      <c r="U369" s="785">
        <v>44699.505486111098</v>
      </c>
    </row>
    <row r="370" spans="1:21">
      <c r="A370" s="782">
        <v>44692</v>
      </c>
      <c r="B370" s="783" t="s">
        <v>41</v>
      </c>
      <c r="C370" s="783" t="s">
        <v>4139</v>
      </c>
      <c r="D370" s="783" t="s">
        <v>4009</v>
      </c>
      <c r="E370" s="783" t="s">
        <v>4910</v>
      </c>
      <c r="F370" s="783" t="s">
        <v>4011</v>
      </c>
      <c r="G370" s="783" t="str">
        <f t="shared" si="20"/>
        <v>Renewal (30% in 2020)</v>
      </c>
      <c r="H370" s="783" t="s">
        <v>4911</v>
      </c>
      <c r="I370" s="783" t="s">
        <v>4912</v>
      </c>
      <c r="J370" s="783">
        <v>25</v>
      </c>
      <c r="K370" s="783" t="s">
        <v>99</v>
      </c>
      <c r="L370" s="783" t="s">
        <v>4096</v>
      </c>
      <c r="M370" s="784">
        <v>32933.25</v>
      </c>
      <c r="N370" s="784">
        <v>25.83</v>
      </c>
      <c r="O370" s="784">
        <v>7.5</v>
      </c>
      <c r="P370" s="783">
        <v>170</v>
      </c>
      <c r="Q370" s="783">
        <v>991.29</v>
      </c>
      <c r="R370" s="783">
        <v>773.93</v>
      </c>
      <c r="S370" s="783">
        <v>118.56</v>
      </c>
      <c r="T370" s="783">
        <v>98.8</v>
      </c>
      <c r="U370" s="785">
        <v>44708.605243055601</v>
      </c>
    </row>
    <row r="371" spans="1:21">
      <c r="A371" s="782">
        <v>44694</v>
      </c>
      <c r="B371" s="783" t="s">
        <v>65</v>
      </c>
      <c r="C371" s="783" t="s">
        <v>4251</v>
      </c>
      <c r="D371" s="783" t="s">
        <v>4193</v>
      </c>
      <c r="E371" s="783" t="s">
        <v>4913</v>
      </c>
      <c r="F371" s="783" t="s">
        <v>4011</v>
      </c>
      <c r="G371" s="783" t="str">
        <f t="shared" si="20"/>
        <v>Renewal (25% in 2020)</v>
      </c>
      <c r="H371" s="783" t="s">
        <v>4914</v>
      </c>
      <c r="I371" s="783" t="s">
        <v>4915</v>
      </c>
      <c r="J371" s="783">
        <v>25</v>
      </c>
      <c r="K371" s="783" t="s">
        <v>99</v>
      </c>
      <c r="L371" s="783" t="s">
        <v>4096</v>
      </c>
      <c r="M371" s="784">
        <v>30451.74</v>
      </c>
      <c r="N371" s="784">
        <v>24.94</v>
      </c>
      <c r="O371" s="784">
        <v>6.6</v>
      </c>
      <c r="P371" s="783">
        <v>185</v>
      </c>
      <c r="Q371" s="783">
        <v>986.64</v>
      </c>
      <c r="R371" s="783">
        <v>714.76</v>
      </c>
      <c r="S371" s="783">
        <v>171.39</v>
      </c>
      <c r="T371" s="783">
        <v>100.49</v>
      </c>
      <c r="U371" s="785">
        <v>44694.526400463001</v>
      </c>
    </row>
    <row r="372" spans="1:21">
      <c r="A372" s="782">
        <v>44694</v>
      </c>
      <c r="B372" s="783" t="s">
        <v>65</v>
      </c>
      <c r="C372" s="783" t="s">
        <v>4916</v>
      </c>
      <c r="D372" s="783" t="s">
        <v>4102</v>
      </c>
      <c r="E372" s="783" t="s">
        <v>4913</v>
      </c>
      <c r="F372" s="783" t="s">
        <v>4011</v>
      </c>
      <c r="G372" s="783" t="str">
        <f t="shared" si="20"/>
        <v>Renewal (25% in 2020)</v>
      </c>
      <c r="H372" s="783" t="s">
        <v>4914</v>
      </c>
      <c r="I372" s="783" t="s">
        <v>4915</v>
      </c>
      <c r="J372" s="783">
        <v>25</v>
      </c>
      <c r="K372" s="783" t="s">
        <v>99</v>
      </c>
      <c r="L372" s="783" t="s">
        <v>4096</v>
      </c>
      <c r="M372" s="784">
        <v>51526.2</v>
      </c>
      <c r="N372" s="784">
        <v>42.2</v>
      </c>
      <c r="O372" s="784">
        <v>6.6</v>
      </c>
      <c r="P372" s="783">
        <v>185</v>
      </c>
      <c r="Q372" s="783">
        <v>1566.4</v>
      </c>
      <c r="R372" s="783">
        <v>1113.05</v>
      </c>
      <c r="S372" s="783">
        <v>257.55</v>
      </c>
      <c r="T372" s="783">
        <v>195.8</v>
      </c>
      <c r="U372" s="785">
        <v>44694.526400463001</v>
      </c>
    </row>
    <row r="373" spans="1:21">
      <c r="A373" s="782">
        <v>44693</v>
      </c>
      <c r="B373" s="783" t="s">
        <v>4025</v>
      </c>
      <c r="C373" s="783" t="s">
        <v>4026</v>
      </c>
      <c r="D373" s="783" t="s">
        <v>4021</v>
      </c>
      <c r="E373" s="783" t="s">
        <v>4917</v>
      </c>
      <c r="F373" s="783" t="s">
        <v>4011</v>
      </c>
      <c r="G373" s="783" t="str">
        <f t="shared" si="20"/>
        <v>New Contract</v>
      </c>
      <c r="H373" s="783" t="s">
        <v>4918</v>
      </c>
      <c r="I373" s="783" t="s">
        <v>4919</v>
      </c>
      <c r="J373" s="783">
        <v>25</v>
      </c>
      <c r="K373" s="783" t="s">
        <v>99</v>
      </c>
      <c r="L373" s="783" t="s">
        <v>4096</v>
      </c>
      <c r="M373" s="784">
        <v>64445.26</v>
      </c>
      <c r="N373" s="784">
        <v>56.72</v>
      </c>
      <c r="O373" s="784">
        <v>5.98</v>
      </c>
      <c r="P373" s="783">
        <v>190</v>
      </c>
      <c r="Q373" s="783">
        <v>2951.59</v>
      </c>
      <c r="R373" s="783">
        <v>1983.35</v>
      </c>
      <c r="S373" s="783">
        <v>530.01</v>
      </c>
      <c r="T373" s="783">
        <v>438.23</v>
      </c>
      <c r="U373" s="785">
        <v>44694.4207523148</v>
      </c>
    </row>
    <row r="374" spans="1:21">
      <c r="A374" s="782">
        <v>44693</v>
      </c>
      <c r="B374" s="783" t="s">
        <v>397</v>
      </c>
      <c r="C374" s="783" t="s">
        <v>4020</v>
      </c>
      <c r="D374" s="783" t="s">
        <v>4021</v>
      </c>
      <c r="E374" s="783" t="s">
        <v>3774</v>
      </c>
      <c r="F374" s="783" t="s">
        <v>4011</v>
      </c>
      <c r="G374" s="783" t="s">
        <v>4028</v>
      </c>
      <c r="H374" s="783" t="s">
        <v>4920</v>
      </c>
      <c r="I374" s="783" t="s">
        <v>4921</v>
      </c>
      <c r="J374" s="783">
        <v>30</v>
      </c>
      <c r="K374" s="783" t="s">
        <v>99</v>
      </c>
      <c r="L374" s="783" t="s">
        <v>4096</v>
      </c>
      <c r="M374" s="784">
        <v>124456.32000000001</v>
      </c>
      <c r="N374" s="784">
        <v>89.28</v>
      </c>
      <c r="O374" s="784">
        <v>6.97</v>
      </c>
      <c r="P374" s="783">
        <v>200</v>
      </c>
      <c r="Q374" s="783">
        <v>5351.62</v>
      </c>
      <c r="R374" s="783">
        <v>3929.4</v>
      </c>
      <c r="S374" s="783">
        <v>613.26</v>
      </c>
      <c r="T374" s="783">
        <v>808.97</v>
      </c>
      <c r="U374" s="785">
        <v>44694.506215277797</v>
      </c>
    </row>
    <row r="375" spans="1:21">
      <c r="A375" s="782">
        <v>44694</v>
      </c>
      <c r="B375" s="783" t="s">
        <v>47</v>
      </c>
      <c r="C375" s="783" t="s">
        <v>4244</v>
      </c>
      <c r="D375" s="783" t="s">
        <v>4102</v>
      </c>
      <c r="E375" s="783" t="s">
        <v>4922</v>
      </c>
      <c r="F375" s="783" t="s">
        <v>4011</v>
      </c>
      <c r="G375" s="783" t="s">
        <v>4028</v>
      </c>
      <c r="H375" s="783" t="s">
        <v>4923</v>
      </c>
      <c r="I375" s="783" t="s">
        <v>4924</v>
      </c>
      <c r="J375" s="783">
        <v>25</v>
      </c>
      <c r="K375" s="783" t="s">
        <v>99</v>
      </c>
      <c r="L375" s="783" t="s">
        <v>4096</v>
      </c>
      <c r="M375" s="784">
        <v>76143.67</v>
      </c>
      <c r="N375" s="784">
        <v>45.58</v>
      </c>
      <c r="O375" s="784">
        <v>9.0299999999999994</v>
      </c>
      <c r="P375" s="783">
        <v>185</v>
      </c>
      <c r="Q375" s="783">
        <v>2223.4</v>
      </c>
      <c r="R375" s="783">
        <v>1609.22</v>
      </c>
      <c r="S375" s="783">
        <v>370.51</v>
      </c>
      <c r="T375" s="783">
        <v>243.66</v>
      </c>
      <c r="U375" s="785">
        <v>44694.509803240697</v>
      </c>
    </row>
    <row r="376" spans="1:21">
      <c r="A376" s="782">
        <v>44692</v>
      </c>
      <c r="B376" s="783" t="s">
        <v>41</v>
      </c>
      <c r="C376" s="783" t="s">
        <v>4071</v>
      </c>
      <c r="D376" s="783" t="s">
        <v>4009</v>
      </c>
      <c r="E376" s="783" t="s">
        <v>4925</v>
      </c>
      <c r="F376" s="783" t="s">
        <v>4011</v>
      </c>
      <c r="G376" s="783" t="str">
        <f t="shared" ref="G376:G383" si="21">VLOOKUP(I376,pacage,2,FALSE)</f>
        <v>Renewal (15% in 2020)</v>
      </c>
      <c r="H376" s="783" t="s">
        <v>4926</v>
      </c>
      <c r="I376" s="783" t="s">
        <v>4927</v>
      </c>
      <c r="J376" s="783">
        <v>15</v>
      </c>
      <c r="K376" s="783" t="s">
        <v>99</v>
      </c>
      <c r="L376" s="783" t="s">
        <v>4096</v>
      </c>
      <c r="M376" s="784">
        <v>14967.1</v>
      </c>
      <c r="N376" s="784">
        <v>12.1</v>
      </c>
      <c r="O376" s="784">
        <v>5.5</v>
      </c>
      <c r="P376" s="783">
        <v>224.9</v>
      </c>
      <c r="Q376" s="783">
        <v>751.35</v>
      </c>
      <c r="R376" s="783">
        <v>260.2</v>
      </c>
      <c r="S376" s="783">
        <v>130.44</v>
      </c>
      <c r="T376" s="783">
        <v>360.71</v>
      </c>
      <c r="U376" s="785">
        <v>44693.459652777798</v>
      </c>
    </row>
    <row r="377" spans="1:21">
      <c r="A377" s="782">
        <v>44698</v>
      </c>
      <c r="B377" s="783" t="s">
        <v>228</v>
      </c>
      <c r="C377" s="783" t="s">
        <v>4675</v>
      </c>
      <c r="D377" s="783" t="s">
        <v>4193</v>
      </c>
      <c r="E377" s="783" t="s">
        <v>4928</v>
      </c>
      <c r="F377" s="783" t="s">
        <v>4011</v>
      </c>
      <c r="G377" s="783" t="str">
        <f t="shared" si="21"/>
        <v>Renewal (25% in 2020)</v>
      </c>
      <c r="H377" s="783" t="s">
        <v>4929</v>
      </c>
      <c r="I377" s="783" t="s">
        <v>4930</v>
      </c>
      <c r="J377" s="783">
        <v>25</v>
      </c>
      <c r="K377" s="783" t="s">
        <v>99</v>
      </c>
      <c r="L377" s="783" t="s">
        <v>4096</v>
      </c>
      <c r="M377" s="784">
        <v>80845</v>
      </c>
      <c r="N377" s="784">
        <v>57.5</v>
      </c>
      <c r="O377" s="784">
        <v>7.03</v>
      </c>
      <c r="P377" s="783">
        <v>200</v>
      </c>
      <c r="Q377" s="783">
        <v>4115.01</v>
      </c>
      <c r="R377" s="783">
        <v>2622.41</v>
      </c>
      <c r="S377" s="783">
        <v>862.01</v>
      </c>
      <c r="T377" s="783">
        <v>630.59</v>
      </c>
      <c r="U377" s="785">
        <v>44699.478576388901</v>
      </c>
    </row>
    <row r="378" spans="1:21">
      <c r="A378" s="782">
        <v>44691</v>
      </c>
      <c r="B378" s="783" t="s">
        <v>30</v>
      </c>
      <c r="C378" s="783" t="s">
        <v>4239</v>
      </c>
      <c r="D378" s="783" t="s">
        <v>4021</v>
      </c>
      <c r="E378" s="783" t="s">
        <v>4931</v>
      </c>
      <c r="F378" s="783" t="s">
        <v>4011</v>
      </c>
      <c r="G378" s="783" t="str">
        <f t="shared" si="21"/>
        <v>Renewal (20% in 2020)</v>
      </c>
      <c r="H378" s="783" t="s">
        <v>4932</v>
      </c>
      <c r="I378" s="783" t="s">
        <v>4933</v>
      </c>
      <c r="J378" s="783">
        <v>20</v>
      </c>
      <c r="K378" s="783" t="s">
        <v>99</v>
      </c>
      <c r="L378" s="783" t="s">
        <v>4096</v>
      </c>
      <c r="M378" s="784">
        <v>39004.239999999998</v>
      </c>
      <c r="N378" s="784">
        <v>27.94</v>
      </c>
      <c r="O378" s="784">
        <v>6.98</v>
      </c>
      <c r="P378" s="783">
        <v>200</v>
      </c>
      <c r="Q378" s="783">
        <v>1712.29</v>
      </c>
      <c r="R378" s="783">
        <v>836.72</v>
      </c>
      <c r="S378" s="783">
        <v>329.51</v>
      </c>
      <c r="T378" s="783">
        <v>546.05999999999995</v>
      </c>
      <c r="U378" s="785">
        <v>44692.438055555598</v>
      </c>
    </row>
    <row r="379" spans="1:21">
      <c r="A379" s="782">
        <v>44690</v>
      </c>
      <c r="B379" s="783" t="s">
        <v>41</v>
      </c>
      <c r="C379" s="783" t="s">
        <v>4082</v>
      </c>
      <c r="D379" s="783" t="s">
        <v>4009</v>
      </c>
      <c r="E379" s="783" t="s">
        <v>635</v>
      </c>
      <c r="F379" s="783" t="s">
        <v>4011</v>
      </c>
      <c r="G379" s="783" t="str">
        <f t="shared" si="21"/>
        <v>Renewal (20% in 2020)</v>
      </c>
      <c r="H379" s="783" t="s">
        <v>4538</v>
      </c>
      <c r="I379" s="783" t="s">
        <v>4539</v>
      </c>
      <c r="J379" s="783">
        <v>20</v>
      </c>
      <c r="K379" s="783" t="s">
        <v>99</v>
      </c>
      <c r="L379" s="783" t="s">
        <v>4096</v>
      </c>
      <c r="M379" s="784">
        <v>96582.88</v>
      </c>
      <c r="N379" s="784">
        <v>87.54</v>
      </c>
      <c r="O379" s="784">
        <v>6.49</v>
      </c>
      <c r="P379" s="783">
        <v>170</v>
      </c>
      <c r="Q379" s="783">
        <v>4780.8500000000004</v>
      </c>
      <c r="R379" s="783">
        <v>2820.22</v>
      </c>
      <c r="S379" s="783">
        <v>502.23</v>
      </c>
      <c r="T379" s="783">
        <v>1458.4</v>
      </c>
      <c r="U379" s="785">
        <v>44690.674062500002</v>
      </c>
    </row>
    <row r="380" spans="1:21">
      <c r="A380" s="782">
        <v>44693</v>
      </c>
      <c r="B380" s="783" t="s">
        <v>30</v>
      </c>
      <c r="C380" s="783" t="s">
        <v>4089</v>
      </c>
      <c r="D380" s="783" t="s">
        <v>4021</v>
      </c>
      <c r="E380" s="783" t="s">
        <v>4934</v>
      </c>
      <c r="F380" s="783" t="s">
        <v>4011</v>
      </c>
      <c r="G380" s="783" t="str">
        <f t="shared" si="21"/>
        <v>Renewal (15% in 2020)</v>
      </c>
      <c r="H380" s="783" t="s">
        <v>4935</v>
      </c>
      <c r="I380" s="783" t="s">
        <v>4936</v>
      </c>
      <c r="J380" s="783">
        <v>15</v>
      </c>
      <c r="K380" s="783" t="s">
        <v>99</v>
      </c>
      <c r="L380" s="783" t="s">
        <v>4096</v>
      </c>
      <c r="M380" s="784">
        <v>61124.11</v>
      </c>
      <c r="N380" s="784">
        <v>54.81</v>
      </c>
      <c r="O380" s="784">
        <v>6.97</v>
      </c>
      <c r="P380" s="783">
        <v>160</v>
      </c>
      <c r="Q380" s="783">
        <v>4089.2</v>
      </c>
      <c r="R380" s="783">
        <v>1778.71</v>
      </c>
      <c r="S380" s="783">
        <v>275.06</v>
      </c>
      <c r="T380" s="783">
        <v>2035.43</v>
      </c>
      <c r="U380" s="785">
        <v>44694.419212963003</v>
      </c>
    </row>
    <row r="381" spans="1:21">
      <c r="A381" s="782">
        <v>44694</v>
      </c>
      <c r="B381" s="783" t="s">
        <v>30</v>
      </c>
      <c r="C381" s="783" t="s">
        <v>4893</v>
      </c>
      <c r="D381" s="783" t="s">
        <v>4512</v>
      </c>
      <c r="E381" s="783" t="s">
        <v>1792</v>
      </c>
      <c r="F381" s="783" t="s">
        <v>4011</v>
      </c>
      <c r="G381" s="783" t="str">
        <f t="shared" si="21"/>
        <v>Renewal (25% in 2020)</v>
      </c>
      <c r="H381" s="783" t="s">
        <v>4937</v>
      </c>
      <c r="I381" s="783" t="s">
        <v>4938</v>
      </c>
      <c r="J381" s="783">
        <v>25</v>
      </c>
      <c r="K381" s="783" t="s">
        <v>99</v>
      </c>
      <c r="L381" s="783" t="s">
        <v>4096</v>
      </c>
      <c r="M381" s="784">
        <v>14584.64</v>
      </c>
      <c r="N381" s="784">
        <v>8.5</v>
      </c>
      <c r="O381" s="784">
        <v>7.66</v>
      </c>
      <c r="P381" s="783">
        <v>224</v>
      </c>
      <c r="Q381" s="783">
        <v>519.21</v>
      </c>
      <c r="R381" s="783">
        <v>279.35000000000002</v>
      </c>
      <c r="S381" s="783">
        <v>164.03</v>
      </c>
      <c r="T381" s="783">
        <v>75.84</v>
      </c>
      <c r="U381" s="785">
        <v>44697.502337963</v>
      </c>
    </row>
    <row r="382" spans="1:21">
      <c r="A382" s="782">
        <v>44694</v>
      </c>
      <c r="B382" s="783" t="s">
        <v>30</v>
      </c>
      <c r="C382" s="783" t="s">
        <v>4239</v>
      </c>
      <c r="D382" s="783" t="s">
        <v>4021</v>
      </c>
      <c r="E382" s="783" t="s">
        <v>1792</v>
      </c>
      <c r="F382" s="783" t="s">
        <v>4011</v>
      </c>
      <c r="G382" s="783" t="str">
        <f t="shared" si="21"/>
        <v>Renewal (25% in 2020)</v>
      </c>
      <c r="H382" s="783" t="s">
        <v>4937</v>
      </c>
      <c r="I382" s="783" t="s">
        <v>4938</v>
      </c>
      <c r="J382" s="783">
        <v>25</v>
      </c>
      <c r="K382" s="783" t="s">
        <v>99</v>
      </c>
      <c r="L382" s="783" t="s">
        <v>4096</v>
      </c>
      <c r="M382" s="784">
        <v>5147.5200000000004</v>
      </c>
      <c r="N382" s="784">
        <v>3</v>
      </c>
      <c r="O382" s="784">
        <v>7.66</v>
      </c>
      <c r="P382" s="783">
        <v>224</v>
      </c>
      <c r="Q382" s="783">
        <v>176.56</v>
      </c>
      <c r="R382" s="783">
        <v>98.59</v>
      </c>
      <c r="S382" s="783">
        <v>55.32</v>
      </c>
      <c r="T382" s="783">
        <v>22.65</v>
      </c>
      <c r="U382" s="785">
        <v>44697.502337963</v>
      </c>
    </row>
    <row r="383" spans="1:21">
      <c r="A383" s="782">
        <v>44694</v>
      </c>
      <c r="B383" s="783" t="s">
        <v>30</v>
      </c>
      <c r="C383" s="783" t="s">
        <v>4939</v>
      </c>
      <c r="D383" s="783" t="s">
        <v>4021</v>
      </c>
      <c r="E383" s="783" t="s">
        <v>1792</v>
      </c>
      <c r="F383" s="783" t="s">
        <v>4011</v>
      </c>
      <c r="G383" s="783" t="str">
        <f t="shared" si="21"/>
        <v>Renewal (25% in 2020)</v>
      </c>
      <c r="H383" s="783" t="s">
        <v>4937</v>
      </c>
      <c r="I383" s="783" t="s">
        <v>4938</v>
      </c>
      <c r="J383" s="783">
        <v>25</v>
      </c>
      <c r="K383" s="783" t="s">
        <v>99</v>
      </c>
      <c r="L383" s="783" t="s">
        <v>4096</v>
      </c>
      <c r="M383" s="784">
        <v>34316.800000000003</v>
      </c>
      <c r="N383" s="784">
        <v>20</v>
      </c>
      <c r="O383" s="784">
        <v>7.66</v>
      </c>
      <c r="P383" s="783">
        <v>224</v>
      </c>
      <c r="Q383" s="783">
        <v>1746.73</v>
      </c>
      <c r="R383" s="783">
        <v>985.93</v>
      </c>
      <c r="S383" s="783">
        <v>548.03</v>
      </c>
      <c r="T383" s="783">
        <v>212.76</v>
      </c>
      <c r="U383" s="785">
        <v>44697.502337963</v>
      </c>
    </row>
    <row r="384" spans="1:21">
      <c r="A384" s="782">
        <v>44694</v>
      </c>
      <c r="B384" s="783" t="s">
        <v>2866</v>
      </c>
      <c r="C384" s="783" t="s">
        <v>4414</v>
      </c>
      <c r="D384" s="783" t="s">
        <v>4009</v>
      </c>
      <c r="E384" s="783" t="s">
        <v>4940</v>
      </c>
      <c r="F384" s="783" t="s">
        <v>4066</v>
      </c>
      <c r="G384" s="783" t="s">
        <v>4028</v>
      </c>
      <c r="H384" s="783" t="s">
        <v>4941</v>
      </c>
      <c r="I384" s="783" t="s">
        <v>4942</v>
      </c>
      <c r="J384" s="783">
        <v>10</v>
      </c>
      <c r="K384" s="783" t="s">
        <v>99</v>
      </c>
      <c r="L384" s="783" t="s">
        <v>4096</v>
      </c>
      <c r="M384" s="784">
        <v>8650</v>
      </c>
      <c r="N384" s="784">
        <v>10</v>
      </c>
      <c r="O384" s="784">
        <v>5</v>
      </c>
      <c r="P384" s="783">
        <v>173</v>
      </c>
      <c r="Q384" s="783">
        <v>179.92</v>
      </c>
      <c r="R384" s="783">
        <v>0</v>
      </c>
      <c r="S384" s="783">
        <v>0</v>
      </c>
      <c r="T384" s="783">
        <v>179.92</v>
      </c>
      <c r="U384" s="785">
        <v>44694.520810185197</v>
      </c>
    </row>
    <row r="385" spans="1:21">
      <c r="A385" s="782">
        <v>44697</v>
      </c>
      <c r="B385" s="783" t="s">
        <v>4025</v>
      </c>
      <c r="C385" s="783" t="s">
        <v>4026</v>
      </c>
      <c r="D385" s="783" t="s">
        <v>4021</v>
      </c>
      <c r="E385" s="783" t="s">
        <v>4943</v>
      </c>
      <c r="F385" s="783" t="s">
        <v>4011</v>
      </c>
      <c r="G385" s="783" t="str">
        <f>VLOOKUP(I385,pacage,2,FALSE)</f>
        <v>New Contract</v>
      </c>
      <c r="H385" s="783" t="s">
        <v>4944</v>
      </c>
      <c r="I385" s="783" t="s">
        <v>4945</v>
      </c>
      <c r="J385" s="783">
        <v>20</v>
      </c>
      <c r="K385" s="783" t="s">
        <v>99</v>
      </c>
      <c r="L385" s="783" t="s">
        <v>4096</v>
      </c>
      <c r="M385" s="784">
        <v>10001.959999999999</v>
      </c>
      <c r="N385" s="784">
        <v>8.73</v>
      </c>
      <c r="O385" s="784">
        <v>6.03</v>
      </c>
      <c r="P385" s="783">
        <v>190</v>
      </c>
      <c r="Q385" s="783">
        <v>586.11</v>
      </c>
      <c r="R385" s="783">
        <v>307.82</v>
      </c>
      <c r="S385" s="783">
        <v>82.26</v>
      </c>
      <c r="T385" s="783">
        <v>196.04</v>
      </c>
      <c r="U385" s="785">
        <v>44699.416342592602</v>
      </c>
    </row>
    <row r="386" spans="1:21">
      <c r="A386" s="782">
        <v>44694</v>
      </c>
      <c r="B386" s="783" t="s">
        <v>150</v>
      </c>
      <c r="C386" s="783" t="s">
        <v>4037</v>
      </c>
      <c r="D386" s="783" t="s">
        <v>4038</v>
      </c>
      <c r="E386" s="783" t="s">
        <v>4946</v>
      </c>
      <c r="F386" s="783" t="s">
        <v>4011</v>
      </c>
      <c r="G386" s="783" t="str">
        <f>VLOOKUP(I386,pacage,2,FALSE)</f>
        <v>Renewal (15% in 2020)</v>
      </c>
      <c r="H386" s="783" t="s">
        <v>4947</v>
      </c>
      <c r="I386" s="783" t="s">
        <v>4948</v>
      </c>
      <c r="J386" s="783">
        <v>15</v>
      </c>
      <c r="K386" s="783" t="s">
        <v>99</v>
      </c>
      <c r="L386" s="783" t="s">
        <v>4096</v>
      </c>
      <c r="M386" s="784">
        <v>94680.29</v>
      </c>
      <c r="N386" s="784">
        <v>125.04</v>
      </c>
      <c r="O386" s="784">
        <v>6.31</v>
      </c>
      <c r="P386" s="783">
        <v>120</v>
      </c>
      <c r="Q386" s="783">
        <v>7640.7</v>
      </c>
      <c r="R386" s="783">
        <v>3749.34</v>
      </c>
      <c r="S386" s="783">
        <v>596.49</v>
      </c>
      <c r="T386" s="783">
        <v>3294.87</v>
      </c>
      <c r="U386" s="785">
        <v>44694.517685185201</v>
      </c>
    </row>
    <row r="387" spans="1:21">
      <c r="A387" s="782">
        <v>44693</v>
      </c>
      <c r="B387" s="783" t="s">
        <v>41</v>
      </c>
      <c r="C387" s="783" t="s">
        <v>4071</v>
      </c>
      <c r="D387" s="783" t="s">
        <v>4009</v>
      </c>
      <c r="E387" s="783" t="s">
        <v>4949</v>
      </c>
      <c r="F387" s="783" t="s">
        <v>4011</v>
      </c>
      <c r="G387" s="783" t="str">
        <f>VLOOKUP(I387,pacage,2,FALSE)</f>
        <v>Renewal (30% in 2020)</v>
      </c>
      <c r="H387" s="783" t="s">
        <v>4950</v>
      </c>
      <c r="I387" s="783" t="s">
        <v>4951</v>
      </c>
      <c r="J387" s="783">
        <v>30</v>
      </c>
      <c r="K387" s="783" t="s">
        <v>99</v>
      </c>
      <c r="L387" s="783" t="s">
        <v>4096</v>
      </c>
      <c r="M387" s="784">
        <v>63644</v>
      </c>
      <c r="N387" s="784">
        <v>45.46</v>
      </c>
      <c r="O387" s="784">
        <v>7</v>
      </c>
      <c r="P387" s="783">
        <v>200</v>
      </c>
      <c r="Q387" s="783">
        <v>1622.92</v>
      </c>
      <c r="R387" s="783">
        <v>1244.18</v>
      </c>
      <c r="S387" s="783">
        <v>194.18</v>
      </c>
      <c r="T387" s="783">
        <v>184.57</v>
      </c>
      <c r="U387" s="785">
        <v>44693.696516203701</v>
      </c>
    </row>
    <row r="388" spans="1:21">
      <c r="A388" s="782">
        <v>44699</v>
      </c>
      <c r="B388" s="783" t="s">
        <v>118</v>
      </c>
      <c r="C388" s="783" t="s">
        <v>4139</v>
      </c>
      <c r="D388" s="783" t="s">
        <v>4009</v>
      </c>
      <c r="E388" s="783" t="s">
        <v>4952</v>
      </c>
      <c r="F388" s="783" t="s">
        <v>4011</v>
      </c>
      <c r="G388" s="783" t="s">
        <v>4028</v>
      </c>
      <c r="H388" s="783" t="s">
        <v>4953</v>
      </c>
      <c r="I388" s="783" t="s">
        <v>4954</v>
      </c>
      <c r="J388" s="783">
        <v>25</v>
      </c>
      <c r="K388" s="783" t="s">
        <v>99</v>
      </c>
      <c r="L388" s="783" t="s">
        <v>4096</v>
      </c>
      <c r="M388" s="784">
        <v>50982.2</v>
      </c>
      <c r="N388" s="784">
        <v>40.76</v>
      </c>
      <c r="O388" s="784">
        <v>7.23</v>
      </c>
      <c r="P388" s="783">
        <v>173</v>
      </c>
      <c r="Q388" s="783">
        <v>1534.56</v>
      </c>
      <c r="R388" s="783">
        <v>1198.08</v>
      </c>
      <c r="S388" s="783">
        <v>183.54</v>
      </c>
      <c r="T388" s="783">
        <v>152.94999999999999</v>
      </c>
      <c r="U388" s="785">
        <v>44700.520960648202</v>
      </c>
    </row>
    <row r="389" spans="1:21">
      <c r="A389" s="782">
        <v>44697</v>
      </c>
      <c r="B389" s="783" t="s">
        <v>4025</v>
      </c>
      <c r="C389" s="783" t="s">
        <v>4026</v>
      </c>
      <c r="D389" s="783" t="s">
        <v>4021</v>
      </c>
      <c r="E389" s="783" t="s">
        <v>3552</v>
      </c>
      <c r="F389" s="783" t="s">
        <v>4011</v>
      </c>
      <c r="G389" s="783" t="str">
        <f t="shared" ref="G389:G410" si="22">VLOOKUP(I389,pacage,2,FALSE)</f>
        <v>New Contract</v>
      </c>
      <c r="H389" s="783" t="s">
        <v>4955</v>
      </c>
      <c r="I389" s="783" t="s">
        <v>4956</v>
      </c>
      <c r="J389" s="783">
        <v>20</v>
      </c>
      <c r="K389" s="783" t="s">
        <v>99</v>
      </c>
      <c r="L389" s="783" t="s">
        <v>4096</v>
      </c>
      <c r="M389" s="784">
        <v>68986.5</v>
      </c>
      <c r="N389" s="784">
        <v>41.81</v>
      </c>
      <c r="O389" s="784">
        <v>5</v>
      </c>
      <c r="P389" s="783">
        <v>330</v>
      </c>
      <c r="Q389" s="783">
        <v>4042.61</v>
      </c>
      <c r="R389" s="783">
        <v>1222.4000000000001</v>
      </c>
      <c r="S389" s="783">
        <v>1468.07</v>
      </c>
      <c r="T389" s="783">
        <v>1352.14</v>
      </c>
      <c r="U389" s="785">
        <v>44708.607361111099</v>
      </c>
    </row>
    <row r="390" spans="1:21">
      <c r="A390" s="782">
        <v>44693</v>
      </c>
      <c r="B390" s="783" t="s">
        <v>34</v>
      </c>
      <c r="C390" s="783" t="s">
        <v>4139</v>
      </c>
      <c r="D390" s="783" t="s">
        <v>4009</v>
      </c>
      <c r="E390" s="783" t="s">
        <v>4544</v>
      </c>
      <c r="F390" s="783" t="s">
        <v>4011</v>
      </c>
      <c r="G390" s="783" t="str">
        <f t="shared" si="22"/>
        <v>Renewal (30% in 2020)</v>
      </c>
      <c r="H390" s="783" t="s">
        <v>4545</v>
      </c>
      <c r="I390" s="783" t="s">
        <v>4546</v>
      </c>
      <c r="J390" s="783">
        <v>30</v>
      </c>
      <c r="K390" s="783" t="s">
        <v>99</v>
      </c>
      <c r="L390" s="783" t="s">
        <v>4096</v>
      </c>
      <c r="M390" s="784">
        <v>88278.31</v>
      </c>
      <c r="N390" s="784">
        <v>70.75</v>
      </c>
      <c r="O390" s="784">
        <v>7.13</v>
      </c>
      <c r="P390" s="783">
        <v>175</v>
      </c>
      <c r="Q390" s="783">
        <v>2339.38</v>
      </c>
      <c r="R390" s="783">
        <v>2050.83</v>
      </c>
      <c r="S390" s="783">
        <v>23.71</v>
      </c>
      <c r="T390" s="783">
        <v>264.83</v>
      </c>
      <c r="U390" s="785">
        <v>44693.603553240697</v>
      </c>
    </row>
    <row r="391" spans="1:21">
      <c r="A391" s="782">
        <v>44690</v>
      </c>
      <c r="B391" s="783" t="s">
        <v>41</v>
      </c>
      <c r="C391" s="783" t="s">
        <v>4139</v>
      </c>
      <c r="D391" s="783" t="s">
        <v>4009</v>
      </c>
      <c r="E391" s="783" t="s">
        <v>1386</v>
      </c>
      <c r="F391" s="783" t="s">
        <v>4011</v>
      </c>
      <c r="G391" s="783" t="str">
        <f t="shared" si="22"/>
        <v>Renewal (15% in 2020)</v>
      </c>
      <c r="H391" s="783" t="s">
        <v>4957</v>
      </c>
      <c r="I391" s="783" t="s">
        <v>4958</v>
      </c>
      <c r="J391" s="783">
        <v>15</v>
      </c>
      <c r="K391" s="783" t="s">
        <v>99</v>
      </c>
      <c r="L391" s="783" t="s">
        <v>4096</v>
      </c>
      <c r="M391" s="784">
        <v>78301.58</v>
      </c>
      <c r="N391" s="784">
        <v>59.79</v>
      </c>
      <c r="O391" s="784">
        <v>7.57</v>
      </c>
      <c r="P391" s="783">
        <v>173</v>
      </c>
      <c r="Q391" s="783">
        <v>4079.51</v>
      </c>
      <c r="R391" s="783">
        <v>1840.09</v>
      </c>
      <c r="S391" s="783">
        <v>281.89</v>
      </c>
      <c r="T391" s="783">
        <v>1957.54</v>
      </c>
      <c r="U391" s="785">
        <v>44691.522037037001</v>
      </c>
    </row>
    <row r="392" spans="1:21">
      <c r="A392" s="782">
        <v>44690</v>
      </c>
      <c r="B392" s="783" t="s">
        <v>65</v>
      </c>
      <c r="C392" s="783" t="s">
        <v>4244</v>
      </c>
      <c r="D392" s="783" t="s">
        <v>4102</v>
      </c>
      <c r="E392" s="783" t="s">
        <v>1389</v>
      </c>
      <c r="F392" s="783" t="s">
        <v>4011</v>
      </c>
      <c r="G392" s="783" t="str">
        <f t="shared" si="22"/>
        <v>Renewal (25% in 2020)</v>
      </c>
      <c r="H392" s="783" t="s">
        <v>4959</v>
      </c>
      <c r="I392" s="783" t="s">
        <v>4960</v>
      </c>
      <c r="J392" s="783">
        <v>25</v>
      </c>
      <c r="K392" s="783" t="s">
        <v>99</v>
      </c>
      <c r="L392" s="783" t="s">
        <v>4096</v>
      </c>
      <c r="M392" s="784">
        <v>292338.02</v>
      </c>
      <c r="N392" s="784">
        <v>183.33</v>
      </c>
      <c r="O392" s="784">
        <v>9.3800000000000008</v>
      </c>
      <c r="P392" s="783">
        <v>170</v>
      </c>
      <c r="Q392" s="783">
        <v>8536.27</v>
      </c>
      <c r="R392" s="783">
        <v>6606.84</v>
      </c>
      <c r="S392" s="783">
        <v>993.95</v>
      </c>
      <c r="T392" s="783">
        <v>935.48</v>
      </c>
      <c r="U392" s="785">
        <v>44690.690034722204</v>
      </c>
    </row>
    <row r="393" spans="1:21">
      <c r="A393" s="782">
        <v>44691</v>
      </c>
      <c r="B393" s="783" t="s">
        <v>4025</v>
      </c>
      <c r="C393" s="783" t="s">
        <v>4026</v>
      </c>
      <c r="D393" s="783" t="s">
        <v>4021</v>
      </c>
      <c r="E393" s="783" t="s">
        <v>4961</v>
      </c>
      <c r="F393" s="783" t="s">
        <v>4011</v>
      </c>
      <c r="G393" s="783" t="str">
        <f t="shared" si="22"/>
        <v>New Contract</v>
      </c>
      <c r="H393" s="783" t="s">
        <v>4962</v>
      </c>
      <c r="I393" s="783" t="s">
        <v>4963</v>
      </c>
      <c r="J393" s="783">
        <v>20</v>
      </c>
      <c r="K393" s="783" t="s">
        <v>99</v>
      </c>
      <c r="L393" s="783" t="s">
        <v>4096</v>
      </c>
      <c r="M393" s="784">
        <v>270510.59999999998</v>
      </c>
      <c r="N393" s="784">
        <v>147.82</v>
      </c>
      <c r="O393" s="784">
        <v>6.1</v>
      </c>
      <c r="P393" s="783">
        <v>300</v>
      </c>
      <c r="Q393" s="783">
        <v>15851.92</v>
      </c>
      <c r="R393" s="783">
        <v>5272.61</v>
      </c>
      <c r="S393" s="783">
        <v>5277.3</v>
      </c>
      <c r="T393" s="783">
        <v>5302.01</v>
      </c>
      <c r="U393" s="785">
        <v>44691.525578703702</v>
      </c>
    </row>
    <row r="394" spans="1:21">
      <c r="A394" s="782">
        <v>44691</v>
      </c>
      <c r="B394" s="783" t="s">
        <v>4025</v>
      </c>
      <c r="C394" s="783" t="s">
        <v>4015</v>
      </c>
      <c r="D394" s="783" t="s">
        <v>4016</v>
      </c>
      <c r="E394" s="783" t="s">
        <v>4964</v>
      </c>
      <c r="F394" s="783" t="s">
        <v>4011</v>
      </c>
      <c r="G394" s="783" t="str">
        <f t="shared" si="22"/>
        <v>New Contract</v>
      </c>
      <c r="H394" s="783" t="s">
        <v>4965</v>
      </c>
      <c r="I394" s="783" t="s">
        <v>4966</v>
      </c>
      <c r="J394" s="783">
        <v>25</v>
      </c>
      <c r="K394" s="783" t="s">
        <v>99</v>
      </c>
      <c r="L394" s="783" t="s">
        <v>4096</v>
      </c>
      <c r="M394" s="784">
        <v>199169.81</v>
      </c>
      <c r="N394" s="784">
        <v>158.31</v>
      </c>
      <c r="O394" s="784">
        <v>5.47</v>
      </c>
      <c r="P394" s="783">
        <v>230</v>
      </c>
      <c r="Q394" s="783">
        <v>10954.34</v>
      </c>
      <c r="R394" s="783">
        <v>6172.19</v>
      </c>
      <c r="S394" s="783">
        <v>3288.38</v>
      </c>
      <c r="T394" s="783">
        <v>1493.77</v>
      </c>
      <c r="U394" s="785">
        <v>44699.684953703698</v>
      </c>
    </row>
    <row r="395" spans="1:21">
      <c r="A395" s="782">
        <v>44694</v>
      </c>
      <c r="B395" s="783" t="s">
        <v>30</v>
      </c>
      <c r="C395" s="783" t="s">
        <v>4089</v>
      </c>
      <c r="D395" s="783" t="s">
        <v>4021</v>
      </c>
      <c r="E395" s="783" t="s">
        <v>4967</v>
      </c>
      <c r="F395" s="783" t="s">
        <v>4011</v>
      </c>
      <c r="G395" s="783" t="str">
        <f t="shared" si="22"/>
        <v>Renewal (15% in 2020)</v>
      </c>
      <c r="H395" s="783" t="s">
        <v>4968</v>
      </c>
      <c r="I395" s="783" t="s">
        <v>4969</v>
      </c>
      <c r="J395" s="783">
        <v>20</v>
      </c>
      <c r="K395" s="783" t="s">
        <v>99</v>
      </c>
      <c r="L395" s="783" t="s">
        <v>4096</v>
      </c>
      <c r="M395" s="784">
        <v>43284.24</v>
      </c>
      <c r="N395" s="784">
        <v>34.549999999999997</v>
      </c>
      <c r="O395" s="784">
        <v>7.83</v>
      </c>
      <c r="P395" s="783">
        <v>160</v>
      </c>
      <c r="Q395" s="783">
        <v>2190.1799999999998</v>
      </c>
      <c r="R395" s="783">
        <v>1259.57</v>
      </c>
      <c r="S395" s="783">
        <v>194.78</v>
      </c>
      <c r="T395" s="783">
        <v>735.83</v>
      </c>
      <c r="U395" s="785">
        <v>44694.513391203698</v>
      </c>
    </row>
    <row r="396" spans="1:21">
      <c r="A396" s="782">
        <v>44692</v>
      </c>
      <c r="B396" s="783" t="s">
        <v>34</v>
      </c>
      <c r="C396" s="783" t="s">
        <v>4082</v>
      </c>
      <c r="D396" s="783" t="s">
        <v>4009</v>
      </c>
      <c r="E396" s="783" t="s">
        <v>4970</v>
      </c>
      <c r="F396" s="783" t="s">
        <v>4011</v>
      </c>
      <c r="G396" s="783" t="str">
        <f t="shared" si="22"/>
        <v>Renewal (25% in 2020)</v>
      </c>
      <c r="H396" s="783" t="s">
        <v>4971</v>
      </c>
      <c r="I396" s="783" t="s">
        <v>4972</v>
      </c>
      <c r="J396" s="783">
        <v>25</v>
      </c>
      <c r="K396" s="783" t="s">
        <v>99</v>
      </c>
      <c r="L396" s="783" t="s">
        <v>4096</v>
      </c>
      <c r="M396" s="784">
        <v>56678.98</v>
      </c>
      <c r="N396" s="784">
        <v>51.79</v>
      </c>
      <c r="O396" s="784">
        <v>6.84</v>
      </c>
      <c r="P396" s="783">
        <v>160</v>
      </c>
      <c r="Q396" s="783">
        <v>2165.14</v>
      </c>
      <c r="R396" s="783">
        <v>1655.03</v>
      </c>
      <c r="S396" s="783">
        <v>294.73</v>
      </c>
      <c r="T396" s="783">
        <v>215.38</v>
      </c>
      <c r="U396" s="785">
        <v>44692.477835648097</v>
      </c>
    </row>
    <row r="397" spans="1:21">
      <c r="A397" s="782">
        <v>44697</v>
      </c>
      <c r="B397" s="783" t="s">
        <v>65</v>
      </c>
      <c r="C397" s="783" t="s">
        <v>4543</v>
      </c>
      <c r="D397" s="783" t="s">
        <v>4038</v>
      </c>
      <c r="E397" s="783" t="s">
        <v>1284</v>
      </c>
      <c r="F397" s="783" t="s">
        <v>4011</v>
      </c>
      <c r="G397" s="783" t="str">
        <f t="shared" si="22"/>
        <v>Renewal (25% in 2020)</v>
      </c>
      <c r="H397" s="783" t="s">
        <v>4547</v>
      </c>
      <c r="I397" s="783" t="s">
        <v>4548</v>
      </c>
      <c r="J397" s="783">
        <v>20</v>
      </c>
      <c r="K397" s="783" t="s">
        <v>99</v>
      </c>
      <c r="L397" s="783" t="s">
        <v>4096</v>
      </c>
      <c r="M397" s="784">
        <v>8055.6</v>
      </c>
      <c r="N397" s="784">
        <v>9.59</v>
      </c>
      <c r="O397" s="784">
        <v>4</v>
      </c>
      <c r="P397" s="783">
        <v>210</v>
      </c>
      <c r="Q397" s="783">
        <v>441.45</v>
      </c>
      <c r="R397" s="783">
        <v>201.08</v>
      </c>
      <c r="S397" s="783">
        <v>96.17</v>
      </c>
      <c r="T397" s="783">
        <v>144.19999999999999</v>
      </c>
      <c r="U397" s="785">
        <v>44698.514212962997</v>
      </c>
    </row>
    <row r="398" spans="1:21">
      <c r="A398" s="782">
        <v>44700</v>
      </c>
      <c r="B398" s="783" t="s">
        <v>4025</v>
      </c>
      <c r="C398" s="783" t="s">
        <v>4026</v>
      </c>
      <c r="D398" s="783" t="s">
        <v>4021</v>
      </c>
      <c r="E398" s="783" t="s">
        <v>4973</v>
      </c>
      <c r="F398" s="783" t="s">
        <v>4011</v>
      </c>
      <c r="G398" s="783" t="str">
        <f t="shared" si="22"/>
        <v>New Contract</v>
      </c>
      <c r="H398" s="783" t="s">
        <v>4974</v>
      </c>
      <c r="I398" s="783" t="s">
        <v>4975</v>
      </c>
      <c r="J398" s="783">
        <v>20</v>
      </c>
      <c r="K398" s="783" t="s">
        <v>99</v>
      </c>
      <c r="L398" s="783" t="s">
        <v>4096</v>
      </c>
      <c r="M398" s="784">
        <v>31763.919999999998</v>
      </c>
      <c r="N398" s="784">
        <v>28.06</v>
      </c>
      <c r="O398" s="784">
        <v>5.66</v>
      </c>
      <c r="P398" s="783">
        <v>200</v>
      </c>
      <c r="Q398" s="783">
        <v>1861.37</v>
      </c>
      <c r="R398" s="783">
        <v>928.68</v>
      </c>
      <c r="S398" s="783">
        <v>310.11</v>
      </c>
      <c r="T398" s="783">
        <v>622.57000000000005</v>
      </c>
      <c r="U398" s="785">
        <v>44700.633287037002</v>
      </c>
    </row>
    <row r="399" spans="1:21">
      <c r="A399" s="782">
        <v>44692</v>
      </c>
      <c r="B399" s="783" t="s">
        <v>51</v>
      </c>
      <c r="C399" s="783" t="s">
        <v>4042</v>
      </c>
      <c r="D399" s="783" t="s">
        <v>4016</v>
      </c>
      <c r="E399" s="783" t="s">
        <v>4976</v>
      </c>
      <c r="F399" s="783" t="s">
        <v>4011</v>
      </c>
      <c r="G399" s="783" t="str">
        <f t="shared" si="22"/>
        <v>New Contract</v>
      </c>
      <c r="H399" s="783" t="s">
        <v>4977</v>
      </c>
      <c r="I399" s="783" t="s">
        <v>4978</v>
      </c>
      <c r="J399" s="783">
        <v>30</v>
      </c>
      <c r="K399" s="783" t="s">
        <v>99</v>
      </c>
      <c r="L399" s="783" t="s">
        <v>4096</v>
      </c>
      <c r="M399" s="784">
        <v>44825.93</v>
      </c>
      <c r="N399" s="784">
        <v>35.69</v>
      </c>
      <c r="O399" s="784">
        <v>7.26</v>
      </c>
      <c r="P399" s="783">
        <v>173</v>
      </c>
      <c r="Q399" s="783">
        <v>1470.29</v>
      </c>
      <c r="R399" s="783">
        <v>1259.6099999999999</v>
      </c>
      <c r="S399" s="783">
        <v>0</v>
      </c>
      <c r="T399" s="783">
        <v>210.68</v>
      </c>
      <c r="U399" s="785">
        <v>44693.716122685197</v>
      </c>
    </row>
    <row r="400" spans="1:21">
      <c r="A400" s="782">
        <v>44695</v>
      </c>
      <c r="B400" s="783" t="s">
        <v>47</v>
      </c>
      <c r="C400" s="783" t="s">
        <v>4244</v>
      </c>
      <c r="D400" s="783" t="s">
        <v>4102</v>
      </c>
      <c r="E400" s="783" t="s">
        <v>4979</v>
      </c>
      <c r="F400" s="783" t="s">
        <v>4011</v>
      </c>
      <c r="G400" s="783" t="str">
        <f t="shared" si="22"/>
        <v>Renewal (25% in 2020)</v>
      </c>
      <c r="H400" s="783" t="s">
        <v>4980</v>
      </c>
      <c r="I400" s="783" t="s">
        <v>4981</v>
      </c>
      <c r="J400" s="783">
        <v>25</v>
      </c>
      <c r="K400" s="783" t="s">
        <v>99</v>
      </c>
      <c r="L400" s="783" t="s">
        <v>4096</v>
      </c>
      <c r="M400" s="784">
        <v>74931.75</v>
      </c>
      <c r="N400" s="784">
        <v>76.5</v>
      </c>
      <c r="O400" s="784">
        <v>6.53</v>
      </c>
      <c r="P400" s="783">
        <v>150</v>
      </c>
      <c r="Q400" s="783">
        <v>2188.0100000000002</v>
      </c>
      <c r="R400" s="783">
        <v>1693.46</v>
      </c>
      <c r="S400" s="783">
        <v>254.77</v>
      </c>
      <c r="T400" s="783">
        <v>239.78</v>
      </c>
      <c r="U400" s="785">
        <v>44697.669027777803</v>
      </c>
    </row>
    <row r="401" spans="1:21">
      <c r="A401" s="782">
        <v>44698</v>
      </c>
      <c r="B401" s="783" t="s">
        <v>41</v>
      </c>
      <c r="C401" s="783" t="s">
        <v>4092</v>
      </c>
      <c r="D401" s="783" t="s">
        <v>4009</v>
      </c>
      <c r="E401" s="783" t="s">
        <v>1411</v>
      </c>
      <c r="F401" s="783" t="s">
        <v>4011</v>
      </c>
      <c r="G401" s="783" t="str">
        <f t="shared" si="22"/>
        <v>Renewal (20% in 2020)</v>
      </c>
      <c r="H401" s="783" t="s">
        <v>4982</v>
      </c>
      <c r="I401" s="783" t="s">
        <v>4983</v>
      </c>
      <c r="J401" s="783">
        <v>20</v>
      </c>
      <c r="K401" s="783" t="s">
        <v>99</v>
      </c>
      <c r="L401" s="783" t="s">
        <v>4096</v>
      </c>
      <c r="M401" s="784">
        <v>85823.73</v>
      </c>
      <c r="N401" s="784">
        <v>78.55</v>
      </c>
      <c r="O401" s="784">
        <v>6.07</v>
      </c>
      <c r="P401" s="783">
        <v>180</v>
      </c>
      <c r="Q401" s="783">
        <v>4497.16</v>
      </c>
      <c r="R401" s="783">
        <v>2548.8200000000002</v>
      </c>
      <c r="S401" s="783">
        <v>575.16</v>
      </c>
      <c r="T401" s="783">
        <v>1373.18</v>
      </c>
      <c r="U401" s="785">
        <v>44699.484398148103</v>
      </c>
    </row>
    <row r="402" spans="1:21">
      <c r="A402" s="782">
        <v>44448</v>
      </c>
      <c r="B402" s="783" t="s">
        <v>4025</v>
      </c>
      <c r="C402" s="783" t="s">
        <v>4026</v>
      </c>
      <c r="D402" s="783" t="s">
        <v>4021</v>
      </c>
      <c r="E402" s="783" t="s">
        <v>4984</v>
      </c>
      <c r="F402" s="783" t="s">
        <v>4011</v>
      </c>
      <c r="G402" s="783" t="str">
        <f t="shared" si="22"/>
        <v>New Contract</v>
      </c>
      <c r="H402" s="783" t="s">
        <v>4985</v>
      </c>
      <c r="I402" s="783" t="s">
        <v>4986</v>
      </c>
      <c r="J402" s="783">
        <v>25</v>
      </c>
      <c r="K402" s="783" t="s">
        <v>99</v>
      </c>
      <c r="L402" s="783" t="s">
        <v>4096</v>
      </c>
      <c r="M402" s="784">
        <v>166320</v>
      </c>
      <c r="N402" s="784">
        <v>120</v>
      </c>
      <c r="O402" s="784">
        <v>7.7</v>
      </c>
      <c r="P402" s="783">
        <v>180</v>
      </c>
      <c r="Q402" s="783">
        <v>7617.46</v>
      </c>
      <c r="R402" s="783">
        <v>5403</v>
      </c>
      <c r="S402" s="783">
        <v>1083.48</v>
      </c>
      <c r="T402" s="783">
        <v>1130.98</v>
      </c>
      <c r="U402" s="785">
        <v>44631.516504629602</v>
      </c>
    </row>
    <row r="403" spans="1:21">
      <c r="A403" s="782">
        <v>44445</v>
      </c>
      <c r="B403" s="783" t="s">
        <v>30</v>
      </c>
      <c r="C403" s="783" t="s">
        <v>4089</v>
      </c>
      <c r="D403" s="783" t="s">
        <v>4021</v>
      </c>
      <c r="E403" s="783" t="s">
        <v>4987</v>
      </c>
      <c r="F403" s="783" t="s">
        <v>4011</v>
      </c>
      <c r="G403" s="783" t="str">
        <f t="shared" si="22"/>
        <v>Renewal (15% in 2020)</v>
      </c>
      <c r="H403" s="783" t="s">
        <v>4988</v>
      </c>
      <c r="I403" s="783" t="s">
        <v>4989</v>
      </c>
      <c r="J403" s="783">
        <v>15</v>
      </c>
      <c r="K403" s="783" t="s">
        <v>99</v>
      </c>
      <c r="L403" s="783" t="s">
        <v>4096</v>
      </c>
      <c r="M403" s="784">
        <v>105704</v>
      </c>
      <c r="N403" s="784">
        <v>73</v>
      </c>
      <c r="O403" s="784">
        <v>9.0500000000000007</v>
      </c>
      <c r="P403" s="783">
        <v>160</v>
      </c>
      <c r="Q403" s="783">
        <v>6877.86</v>
      </c>
      <c r="R403" s="783">
        <v>2991.71</v>
      </c>
      <c r="S403" s="783">
        <v>462.64</v>
      </c>
      <c r="T403" s="783">
        <v>3423.51</v>
      </c>
      <c r="U403" s="785">
        <v>44631.513402777797</v>
      </c>
    </row>
    <row r="404" spans="1:21">
      <c r="A404" s="782">
        <v>44447</v>
      </c>
      <c r="B404" s="783" t="s">
        <v>30</v>
      </c>
      <c r="C404" s="783" t="s">
        <v>4089</v>
      </c>
      <c r="D404" s="783" t="s">
        <v>4021</v>
      </c>
      <c r="E404" s="783" t="s">
        <v>4990</v>
      </c>
      <c r="F404" s="783" t="s">
        <v>4011</v>
      </c>
      <c r="G404" s="783" t="str">
        <f t="shared" si="22"/>
        <v>Renewal (25% in 2020)</v>
      </c>
      <c r="H404" s="783" t="s">
        <v>4991</v>
      </c>
      <c r="I404" s="783" t="s">
        <v>4992</v>
      </c>
      <c r="J404" s="783">
        <v>25</v>
      </c>
      <c r="K404" s="783" t="s">
        <v>99</v>
      </c>
      <c r="L404" s="783" t="s">
        <v>4096</v>
      </c>
      <c r="M404" s="784">
        <v>42764</v>
      </c>
      <c r="N404" s="784">
        <v>32.86</v>
      </c>
      <c r="O404" s="784">
        <v>7.23</v>
      </c>
      <c r="P404" s="783">
        <v>180</v>
      </c>
      <c r="Q404" s="783">
        <v>1684.9</v>
      </c>
      <c r="R404" s="783">
        <v>1196.04</v>
      </c>
      <c r="S404" s="783">
        <v>240.83</v>
      </c>
      <c r="T404" s="783">
        <v>248.03</v>
      </c>
      <c r="U404" s="785">
        <v>44631.521134259303</v>
      </c>
    </row>
    <row r="405" spans="1:21">
      <c r="A405" s="782">
        <v>44447</v>
      </c>
      <c r="B405" s="783" t="s">
        <v>41</v>
      </c>
      <c r="C405" s="783" t="s">
        <v>4139</v>
      </c>
      <c r="D405" s="783" t="s">
        <v>4009</v>
      </c>
      <c r="E405" s="783" t="s">
        <v>4993</v>
      </c>
      <c r="F405" s="783" t="s">
        <v>4011</v>
      </c>
      <c r="G405" s="783" t="str">
        <f t="shared" si="22"/>
        <v>Renewal (15% in 2020)</v>
      </c>
      <c r="H405" s="783" t="s">
        <v>4994</v>
      </c>
      <c r="I405" s="783" t="s">
        <v>4995</v>
      </c>
      <c r="J405" s="783">
        <v>15</v>
      </c>
      <c r="K405" s="783" t="s">
        <v>99</v>
      </c>
      <c r="L405" s="783" t="s">
        <v>4096</v>
      </c>
      <c r="M405" s="784">
        <v>46287.360000000001</v>
      </c>
      <c r="N405" s="784">
        <v>45.92</v>
      </c>
      <c r="O405" s="784">
        <v>6.3</v>
      </c>
      <c r="P405" s="783">
        <v>160</v>
      </c>
      <c r="Q405" s="783">
        <v>2411.5700000000002</v>
      </c>
      <c r="R405" s="783">
        <v>1087.75</v>
      </c>
      <c r="S405" s="783">
        <v>166.63</v>
      </c>
      <c r="T405" s="783">
        <v>1157.18</v>
      </c>
      <c r="U405" s="785">
        <v>44708.987847222197</v>
      </c>
    </row>
    <row r="406" spans="1:21">
      <c r="A406" s="782">
        <v>44447</v>
      </c>
      <c r="B406" s="783" t="s">
        <v>51</v>
      </c>
      <c r="C406" s="783" t="s">
        <v>4796</v>
      </c>
      <c r="D406" s="783" t="s">
        <v>4016</v>
      </c>
      <c r="E406" s="783" t="s">
        <v>2934</v>
      </c>
      <c r="F406" s="783" t="s">
        <v>4011</v>
      </c>
      <c r="G406" s="783" t="str">
        <f t="shared" si="22"/>
        <v>Renewal (30% in 2020)</v>
      </c>
      <c r="H406" s="783" t="s">
        <v>4996</v>
      </c>
      <c r="I406" s="783" t="s">
        <v>4997</v>
      </c>
      <c r="J406" s="783">
        <v>20</v>
      </c>
      <c r="K406" s="783" t="s">
        <v>99</v>
      </c>
      <c r="L406" s="783" t="s">
        <v>4096</v>
      </c>
      <c r="M406" s="784">
        <v>34466.85</v>
      </c>
      <c r="N406" s="784">
        <v>36.299999999999997</v>
      </c>
      <c r="O406" s="784">
        <v>6.33</v>
      </c>
      <c r="P406" s="783">
        <v>150</v>
      </c>
      <c r="Q406" s="783">
        <v>2464.38</v>
      </c>
      <c r="R406" s="783">
        <v>1454.5</v>
      </c>
      <c r="S406" s="783">
        <v>220.59</v>
      </c>
      <c r="T406" s="783">
        <v>789.29</v>
      </c>
      <c r="U406" s="785">
        <v>44631.513622685197</v>
      </c>
    </row>
    <row r="407" spans="1:21">
      <c r="A407" s="782">
        <v>44452</v>
      </c>
      <c r="B407" s="783" t="s">
        <v>51</v>
      </c>
      <c r="C407" s="783" t="s">
        <v>4015</v>
      </c>
      <c r="D407" s="783" t="s">
        <v>4016</v>
      </c>
      <c r="E407" s="783" t="s">
        <v>4998</v>
      </c>
      <c r="F407" s="783" t="s">
        <v>4011</v>
      </c>
      <c r="G407" s="783" t="str">
        <f t="shared" si="22"/>
        <v>New Contract</v>
      </c>
      <c r="H407" s="783" t="s">
        <v>4999</v>
      </c>
      <c r="I407" s="783" t="s">
        <v>5000</v>
      </c>
      <c r="J407" s="783">
        <v>25</v>
      </c>
      <c r="K407" s="783" t="s">
        <v>99</v>
      </c>
      <c r="L407" s="783" t="s">
        <v>4096</v>
      </c>
      <c r="M407" s="784">
        <v>10457.950000000001</v>
      </c>
      <c r="N407" s="784">
        <v>10.01</v>
      </c>
      <c r="O407" s="784">
        <v>5.97</v>
      </c>
      <c r="P407" s="783">
        <v>175</v>
      </c>
      <c r="Q407" s="783">
        <v>575.19000000000005</v>
      </c>
      <c r="R407" s="783">
        <v>425.94</v>
      </c>
      <c r="S407" s="783">
        <v>70.81</v>
      </c>
      <c r="T407" s="783">
        <v>78.430000000000007</v>
      </c>
      <c r="U407" s="785">
        <v>44631.519826388903</v>
      </c>
    </row>
    <row r="408" spans="1:21">
      <c r="A408" s="782">
        <v>44447</v>
      </c>
      <c r="B408" s="783" t="s">
        <v>30</v>
      </c>
      <c r="C408" s="783" t="s">
        <v>4939</v>
      </c>
      <c r="D408" s="783" t="s">
        <v>4021</v>
      </c>
      <c r="E408" s="783" t="s">
        <v>3477</v>
      </c>
      <c r="F408" s="783" t="s">
        <v>4011</v>
      </c>
      <c r="G408" s="783" t="str">
        <f t="shared" si="22"/>
        <v>Renewal (30% in 2020)</v>
      </c>
      <c r="H408" s="783" t="s">
        <v>5001</v>
      </c>
      <c r="I408" s="783" t="s">
        <v>5002</v>
      </c>
      <c r="J408" s="783">
        <v>30</v>
      </c>
      <c r="K408" s="783" t="s">
        <v>99</v>
      </c>
      <c r="L408" s="783" t="s">
        <v>4096</v>
      </c>
      <c r="M408" s="784">
        <v>32889.300000000003</v>
      </c>
      <c r="N408" s="784">
        <v>29.63</v>
      </c>
      <c r="O408" s="784">
        <v>7.4</v>
      </c>
      <c r="P408" s="783">
        <v>150</v>
      </c>
      <c r="Q408" s="783">
        <v>1427.4</v>
      </c>
      <c r="R408" s="783">
        <v>1223.48</v>
      </c>
      <c r="S408" s="783">
        <v>0</v>
      </c>
      <c r="T408" s="783">
        <v>203.91</v>
      </c>
      <c r="U408" s="785">
        <v>44631.516759259299</v>
      </c>
    </row>
    <row r="409" spans="1:21">
      <c r="A409" s="782">
        <v>44638</v>
      </c>
      <c r="B409" s="783" t="s">
        <v>30</v>
      </c>
      <c r="C409" s="783" t="s">
        <v>4089</v>
      </c>
      <c r="D409" s="783" t="s">
        <v>4021</v>
      </c>
      <c r="E409" s="783" t="s">
        <v>2691</v>
      </c>
      <c r="F409" s="783" t="s">
        <v>4011</v>
      </c>
      <c r="G409" s="783" t="str">
        <f t="shared" si="22"/>
        <v>Renewal (15% in 2020)</v>
      </c>
      <c r="H409" s="783" t="s">
        <v>5003</v>
      </c>
      <c r="I409" s="783" t="s">
        <v>5004</v>
      </c>
      <c r="J409" s="783">
        <v>15</v>
      </c>
      <c r="K409" s="783" t="s">
        <v>99</v>
      </c>
      <c r="L409" s="783" t="s">
        <v>4096</v>
      </c>
      <c r="M409" s="784">
        <v>82997.48</v>
      </c>
      <c r="N409" s="784">
        <v>69.13</v>
      </c>
      <c r="O409" s="784">
        <v>6.67</v>
      </c>
      <c r="P409" s="783">
        <v>180</v>
      </c>
      <c r="Q409" s="783">
        <v>5552.53</v>
      </c>
      <c r="R409" s="783">
        <v>2321.3000000000002</v>
      </c>
      <c r="S409" s="783">
        <v>467.41</v>
      </c>
      <c r="T409" s="783">
        <v>2763.82</v>
      </c>
      <c r="U409" s="785">
        <v>44638.561354166697</v>
      </c>
    </row>
    <row r="410" spans="1:21">
      <c r="A410" s="782">
        <v>44606</v>
      </c>
      <c r="B410" s="783" t="s">
        <v>41</v>
      </c>
      <c r="C410" s="783" t="s">
        <v>4008</v>
      </c>
      <c r="D410" s="783" t="s">
        <v>4009</v>
      </c>
      <c r="E410" s="783" t="s">
        <v>5005</v>
      </c>
      <c r="F410" s="783" t="s">
        <v>4011</v>
      </c>
      <c r="G410" s="783" t="str">
        <f t="shared" si="22"/>
        <v>Renewal (15% in 2020)</v>
      </c>
      <c r="H410" s="783" t="s">
        <v>5006</v>
      </c>
      <c r="I410" s="783" t="s">
        <v>5007</v>
      </c>
      <c r="J410" s="783">
        <v>20</v>
      </c>
      <c r="K410" s="783" t="s">
        <v>99</v>
      </c>
      <c r="L410" s="783" t="s">
        <v>4096</v>
      </c>
      <c r="M410" s="784">
        <v>31968</v>
      </c>
      <c r="N410" s="784">
        <v>33.299999999999997</v>
      </c>
      <c r="O410" s="784">
        <v>4.8</v>
      </c>
      <c r="P410" s="783">
        <v>200</v>
      </c>
      <c r="Q410" s="783">
        <v>1652.75</v>
      </c>
      <c r="R410" s="783">
        <v>812.98</v>
      </c>
      <c r="S410" s="783">
        <v>273.93</v>
      </c>
      <c r="T410" s="783">
        <v>565.83000000000004</v>
      </c>
      <c r="U410" s="785">
        <v>44631.516909722202</v>
      </c>
    </row>
    <row r="411" spans="1:21">
      <c r="A411" s="782">
        <v>44592</v>
      </c>
      <c r="B411" s="783" t="s">
        <v>4025</v>
      </c>
      <c r="C411" s="783" t="s">
        <v>4026</v>
      </c>
      <c r="D411" s="783" t="s">
        <v>4021</v>
      </c>
      <c r="E411" s="783" t="s">
        <v>5008</v>
      </c>
      <c r="F411" s="783" t="s">
        <v>4011</v>
      </c>
      <c r="G411" s="783" t="s">
        <v>4028</v>
      </c>
      <c r="H411" s="783" t="s">
        <v>5009</v>
      </c>
      <c r="I411" s="783" t="s">
        <v>5010</v>
      </c>
      <c r="J411" s="783">
        <v>25</v>
      </c>
      <c r="K411" s="783" t="s">
        <v>99</v>
      </c>
      <c r="L411" s="783" t="s">
        <v>4096</v>
      </c>
      <c r="M411" s="784">
        <v>28509.98</v>
      </c>
      <c r="N411" s="784">
        <v>23.6</v>
      </c>
      <c r="O411" s="784">
        <v>6.53</v>
      </c>
      <c r="P411" s="783">
        <v>185</v>
      </c>
      <c r="Q411" s="783">
        <v>1305.76</v>
      </c>
      <c r="R411" s="783">
        <v>901.13</v>
      </c>
      <c r="S411" s="783">
        <v>210.76</v>
      </c>
      <c r="T411" s="783">
        <v>193.87</v>
      </c>
      <c r="U411" s="785">
        <v>44631.5171527778</v>
      </c>
    </row>
    <row r="412" spans="1:21">
      <c r="A412" s="782">
        <v>44603</v>
      </c>
      <c r="B412" s="783" t="s">
        <v>228</v>
      </c>
      <c r="C412" s="783" t="s">
        <v>4251</v>
      </c>
      <c r="D412" s="783" t="s">
        <v>4193</v>
      </c>
      <c r="E412" s="783" t="s">
        <v>5011</v>
      </c>
      <c r="F412" s="783" t="s">
        <v>4011</v>
      </c>
      <c r="G412" s="783" t="s">
        <v>4028</v>
      </c>
      <c r="H412" s="783" t="s">
        <v>5012</v>
      </c>
      <c r="I412" s="783" t="s">
        <v>5013</v>
      </c>
      <c r="J412" s="783">
        <v>25</v>
      </c>
      <c r="K412" s="783" t="s">
        <v>99</v>
      </c>
      <c r="L412" s="783" t="s">
        <v>4096</v>
      </c>
      <c r="M412" s="784">
        <v>10833.95</v>
      </c>
      <c r="N412" s="784">
        <v>7.6</v>
      </c>
      <c r="O412" s="784">
        <v>8.24</v>
      </c>
      <c r="P412" s="783">
        <v>173</v>
      </c>
      <c r="Q412" s="783">
        <v>351.02</v>
      </c>
      <c r="R412" s="783">
        <v>271.93</v>
      </c>
      <c r="S412" s="783">
        <v>43.34</v>
      </c>
      <c r="T412" s="783">
        <v>35.75</v>
      </c>
      <c r="U412" s="785">
        <v>44631.513923611099</v>
      </c>
    </row>
    <row r="413" spans="1:21">
      <c r="A413" s="782">
        <v>44606</v>
      </c>
      <c r="B413" s="783" t="s">
        <v>74</v>
      </c>
      <c r="C413" s="783" t="s">
        <v>4037</v>
      </c>
      <c r="D413" s="783" t="s">
        <v>4038</v>
      </c>
      <c r="E413" s="783" t="s">
        <v>4549</v>
      </c>
      <c r="F413" s="783" t="s">
        <v>4011</v>
      </c>
      <c r="G413" s="783" t="s">
        <v>4028</v>
      </c>
      <c r="H413" s="783" t="s">
        <v>4550</v>
      </c>
      <c r="I413" s="783" t="s">
        <v>4551</v>
      </c>
      <c r="J413" s="783">
        <v>25</v>
      </c>
      <c r="K413" s="783" t="s">
        <v>99</v>
      </c>
      <c r="L413" s="783" t="s">
        <v>4096</v>
      </c>
      <c r="M413" s="784">
        <v>15002</v>
      </c>
      <c r="N413" s="784">
        <v>13</v>
      </c>
      <c r="O413" s="784">
        <v>5.77</v>
      </c>
      <c r="P413" s="783">
        <v>200</v>
      </c>
      <c r="Q413" s="783">
        <v>867.12</v>
      </c>
      <c r="R413" s="783">
        <v>513.88</v>
      </c>
      <c r="S413" s="783">
        <v>174.71</v>
      </c>
      <c r="T413" s="783">
        <v>178.52</v>
      </c>
      <c r="U413" s="785">
        <v>44631.516898148097</v>
      </c>
    </row>
    <row r="414" spans="1:21">
      <c r="A414" s="782">
        <v>44586</v>
      </c>
      <c r="B414" s="783" t="s">
        <v>41</v>
      </c>
      <c r="C414" s="783" t="s">
        <v>4071</v>
      </c>
      <c r="D414" s="783" t="s">
        <v>4009</v>
      </c>
      <c r="E414" s="783" t="s">
        <v>4106</v>
      </c>
      <c r="F414" s="783" t="s">
        <v>4011</v>
      </c>
      <c r="G414" s="783" t="str">
        <f t="shared" ref="G414:G420" si="23">VLOOKUP(I414,pacage,2,FALSE)</f>
        <v>Renewal (15% in 2020)</v>
      </c>
      <c r="H414" s="783" t="s">
        <v>4107</v>
      </c>
      <c r="I414" s="783" t="s">
        <v>4108</v>
      </c>
      <c r="J414" s="783">
        <v>15</v>
      </c>
      <c r="K414" s="783" t="s">
        <v>99</v>
      </c>
      <c r="L414" s="783" t="s">
        <v>4096</v>
      </c>
      <c r="M414" s="784">
        <v>40339.199999999997</v>
      </c>
      <c r="N414" s="784">
        <v>44</v>
      </c>
      <c r="O414" s="784">
        <v>5.73</v>
      </c>
      <c r="P414" s="783">
        <v>160</v>
      </c>
      <c r="Q414" s="783">
        <v>2025.03</v>
      </c>
      <c r="R414" s="783">
        <v>911.67</v>
      </c>
      <c r="S414" s="783">
        <v>141.19</v>
      </c>
      <c r="T414" s="783">
        <v>972.17</v>
      </c>
      <c r="U414" s="785">
        <v>44631.635891203703</v>
      </c>
    </row>
    <row r="415" spans="1:21">
      <c r="A415" s="782">
        <v>44439</v>
      </c>
      <c r="B415" s="783" t="s">
        <v>51</v>
      </c>
      <c r="C415" s="783" t="s">
        <v>4042</v>
      </c>
      <c r="D415" s="783" t="s">
        <v>4016</v>
      </c>
      <c r="E415" s="783" t="s">
        <v>5014</v>
      </c>
      <c r="F415" s="783" t="s">
        <v>4011</v>
      </c>
      <c r="G415" s="783" t="str">
        <f t="shared" si="23"/>
        <v>New Contract</v>
      </c>
      <c r="H415" s="783" t="s">
        <v>5015</v>
      </c>
      <c r="I415" s="783" t="s">
        <v>5016</v>
      </c>
      <c r="J415" s="783">
        <v>25</v>
      </c>
      <c r="K415" s="783" t="s">
        <v>99</v>
      </c>
      <c r="L415" s="783" t="s">
        <v>4096</v>
      </c>
      <c r="M415" s="784">
        <v>78606</v>
      </c>
      <c r="N415" s="784">
        <v>55</v>
      </c>
      <c r="O415" s="784">
        <v>7.94</v>
      </c>
      <c r="P415" s="783">
        <v>180</v>
      </c>
      <c r="Q415" s="783">
        <v>2908.42</v>
      </c>
      <c r="R415" s="783">
        <v>2122.9299999999998</v>
      </c>
      <c r="S415" s="783">
        <v>423.9</v>
      </c>
      <c r="T415" s="783">
        <v>361.59</v>
      </c>
      <c r="U415" s="785">
        <v>44631.518113425896</v>
      </c>
    </row>
    <row r="416" spans="1:21">
      <c r="A416" s="782">
        <v>44446</v>
      </c>
      <c r="B416" s="783" t="s">
        <v>41</v>
      </c>
      <c r="C416" s="783" t="s">
        <v>4071</v>
      </c>
      <c r="D416" s="783" t="s">
        <v>4009</v>
      </c>
      <c r="E416" s="783" t="s">
        <v>5017</v>
      </c>
      <c r="F416" s="783" t="s">
        <v>4011</v>
      </c>
      <c r="G416" s="783" t="str">
        <f t="shared" si="23"/>
        <v>Renewal (30% in 2020)</v>
      </c>
      <c r="H416" s="783" t="s">
        <v>5018</v>
      </c>
      <c r="I416" s="783" t="s">
        <v>5019</v>
      </c>
      <c r="J416" s="783">
        <v>30</v>
      </c>
      <c r="K416" s="783" t="s">
        <v>99</v>
      </c>
      <c r="L416" s="783" t="s">
        <v>4096</v>
      </c>
      <c r="M416" s="784">
        <v>105792</v>
      </c>
      <c r="N416" s="784">
        <v>96</v>
      </c>
      <c r="O416" s="784">
        <v>5.51</v>
      </c>
      <c r="P416" s="783">
        <v>200</v>
      </c>
      <c r="Q416" s="783">
        <v>2697.7</v>
      </c>
      <c r="R416" s="783">
        <v>2068.13</v>
      </c>
      <c r="S416" s="783">
        <v>322.77</v>
      </c>
      <c r="T416" s="783">
        <v>306.8</v>
      </c>
      <c r="U416" s="785">
        <v>44631.625983796301</v>
      </c>
    </row>
    <row r="417" spans="1:21">
      <c r="A417" s="782">
        <v>44452</v>
      </c>
      <c r="B417" s="783" t="s">
        <v>228</v>
      </c>
      <c r="C417" s="783" t="s">
        <v>4020</v>
      </c>
      <c r="D417" s="783" t="s">
        <v>4021</v>
      </c>
      <c r="E417" s="783" t="s">
        <v>4022</v>
      </c>
      <c r="F417" s="783" t="s">
        <v>4011</v>
      </c>
      <c r="G417" s="783" t="str">
        <f t="shared" si="23"/>
        <v>Renewal (25% in 2020)</v>
      </c>
      <c r="H417" s="783" t="s">
        <v>4023</v>
      </c>
      <c r="I417" s="783" t="s">
        <v>4024</v>
      </c>
      <c r="J417" s="783">
        <v>25</v>
      </c>
      <c r="K417" s="783" t="s">
        <v>99</v>
      </c>
      <c r="L417" s="783" t="s">
        <v>4096</v>
      </c>
      <c r="M417" s="784">
        <v>49933.14</v>
      </c>
      <c r="N417" s="784">
        <v>46.51</v>
      </c>
      <c r="O417" s="784">
        <v>6.71</v>
      </c>
      <c r="P417" s="783">
        <v>160</v>
      </c>
      <c r="Q417" s="783">
        <v>2426.75</v>
      </c>
      <c r="R417" s="783">
        <v>1822.56</v>
      </c>
      <c r="S417" s="783">
        <v>279.63</v>
      </c>
      <c r="T417" s="783">
        <v>324.57</v>
      </c>
      <c r="U417" s="785">
        <v>44631.513854166697</v>
      </c>
    </row>
    <row r="418" spans="1:21">
      <c r="A418" s="782">
        <v>44446</v>
      </c>
      <c r="B418" s="783" t="s">
        <v>41</v>
      </c>
      <c r="C418" s="783" t="s">
        <v>4082</v>
      </c>
      <c r="D418" s="783" t="s">
        <v>4009</v>
      </c>
      <c r="E418" s="783" t="s">
        <v>4552</v>
      </c>
      <c r="F418" s="783" t="s">
        <v>4011</v>
      </c>
      <c r="G418" s="783" t="str">
        <f t="shared" si="23"/>
        <v>Renewal (20% in 2020)</v>
      </c>
      <c r="H418" s="783" t="s">
        <v>4553</v>
      </c>
      <c r="I418" s="783" t="s">
        <v>4554</v>
      </c>
      <c r="J418" s="783">
        <v>20</v>
      </c>
      <c r="K418" s="783" t="s">
        <v>99</v>
      </c>
      <c r="L418" s="783" t="s">
        <v>4096</v>
      </c>
      <c r="M418" s="784">
        <v>51920.1</v>
      </c>
      <c r="N418" s="784">
        <v>46.82</v>
      </c>
      <c r="O418" s="784">
        <v>6.41</v>
      </c>
      <c r="P418" s="783">
        <v>173</v>
      </c>
      <c r="Q418" s="783">
        <v>2570.0500000000002</v>
      </c>
      <c r="R418" s="783">
        <v>1516.07</v>
      </c>
      <c r="S418" s="783">
        <v>269.98</v>
      </c>
      <c r="T418" s="783">
        <v>783.99</v>
      </c>
      <c r="U418" s="785">
        <v>44631.630150463003</v>
      </c>
    </row>
    <row r="419" spans="1:21">
      <c r="A419" s="782">
        <v>44456</v>
      </c>
      <c r="B419" s="783" t="s">
        <v>51</v>
      </c>
      <c r="C419" s="783" t="s">
        <v>4042</v>
      </c>
      <c r="D419" s="783" t="s">
        <v>4016</v>
      </c>
      <c r="E419" s="783" t="s">
        <v>525</v>
      </c>
      <c r="F419" s="783" t="s">
        <v>4011</v>
      </c>
      <c r="G419" s="783" t="str">
        <f t="shared" si="23"/>
        <v>Renewal (15% in 2020)</v>
      </c>
      <c r="H419" s="783" t="s">
        <v>5020</v>
      </c>
      <c r="I419" s="783" t="s">
        <v>5021</v>
      </c>
      <c r="J419" s="783">
        <v>15</v>
      </c>
      <c r="K419" s="783" t="s">
        <v>99</v>
      </c>
      <c r="L419" s="783" t="s">
        <v>4096</v>
      </c>
      <c r="M419" s="784">
        <v>43401</v>
      </c>
      <c r="N419" s="784">
        <v>37</v>
      </c>
      <c r="O419" s="784">
        <v>6.9</v>
      </c>
      <c r="P419" s="783">
        <v>170</v>
      </c>
      <c r="Q419" s="783">
        <v>2304.59</v>
      </c>
      <c r="R419" s="783">
        <v>1219.57</v>
      </c>
      <c r="S419" s="783">
        <v>186.62</v>
      </c>
      <c r="T419" s="783">
        <v>898.4</v>
      </c>
      <c r="U419" s="785">
        <v>44631.629247685203</v>
      </c>
    </row>
    <row r="420" spans="1:21">
      <c r="A420" s="782">
        <v>44439</v>
      </c>
      <c r="B420" s="783" t="s">
        <v>41</v>
      </c>
      <c r="C420" s="783" t="s">
        <v>4008</v>
      </c>
      <c r="D420" s="783" t="s">
        <v>4009</v>
      </c>
      <c r="E420" s="783" t="s">
        <v>5022</v>
      </c>
      <c r="F420" s="783" t="s">
        <v>4011</v>
      </c>
      <c r="G420" s="783" t="str">
        <f t="shared" si="23"/>
        <v>Renewal (15% in 2020)</v>
      </c>
      <c r="H420" s="783" t="s">
        <v>5023</v>
      </c>
      <c r="I420" s="783" t="s">
        <v>5024</v>
      </c>
      <c r="J420" s="783">
        <v>15</v>
      </c>
      <c r="K420" s="783" t="s">
        <v>99</v>
      </c>
      <c r="L420" s="783" t="s">
        <v>4096</v>
      </c>
      <c r="M420" s="784">
        <v>7435.35</v>
      </c>
      <c r="N420" s="784">
        <v>9</v>
      </c>
      <c r="O420" s="784">
        <v>5.33</v>
      </c>
      <c r="P420" s="783">
        <v>155</v>
      </c>
      <c r="Q420" s="783">
        <v>508.58</v>
      </c>
      <c r="R420" s="783">
        <v>218.6</v>
      </c>
      <c r="S420" s="783">
        <v>34.200000000000003</v>
      </c>
      <c r="T420" s="783">
        <v>255.78</v>
      </c>
      <c r="U420" s="785">
        <v>44631.625972222202</v>
      </c>
    </row>
    <row r="421" spans="1:21">
      <c r="A421" s="782">
        <v>44585</v>
      </c>
      <c r="B421" s="783" t="s">
        <v>74</v>
      </c>
      <c r="C421" s="783" t="s">
        <v>4097</v>
      </c>
      <c r="D421" s="783" t="s">
        <v>4038</v>
      </c>
      <c r="E421" s="783" t="s">
        <v>4281</v>
      </c>
      <c r="F421" s="783" t="s">
        <v>4011</v>
      </c>
      <c r="G421" s="783" t="s">
        <v>4028</v>
      </c>
      <c r="H421" s="783" t="s">
        <v>4282</v>
      </c>
      <c r="I421" s="783" t="s">
        <v>4283</v>
      </c>
      <c r="J421" s="783">
        <v>25</v>
      </c>
      <c r="K421" s="783" t="s">
        <v>99</v>
      </c>
      <c r="L421" s="783" t="s">
        <v>4096</v>
      </c>
      <c r="M421" s="784">
        <v>28628.799999999999</v>
      </c>
      <c r="N421" s="784">
        <v>32</v>
      </c>
      <c r="O421" s="784">
        <v>6.17</v>
      </c>
      <c r="P421" s="783">
        <v>145</v>
      </c>
      <c r="Q421" s="783">
        <v>1125.1099999999999</v>
      </c>
      <c r="R421" s="783">
        <v>810.2</v>
      </c>
      <c r="S421" s="783">
        <v>125.97</v>
      </c>
      <c r="T421" s="783">
        <v>188.95</v>
      </c>
      <c r="U421" s="785">
        <v>44631.633425925902</v>
      </c>
    </row>
    <row r="422" spans="1:21">
      <c r="A422" s="782">
        <v>44588</v>
      </c>
      <c r="B422" s="783" t="s">
        <v>118</v>
      </c>
      <c r="C422" s="783" t="s">
        <v>4139</v>
      </c>
      <c r="D422" s="783" t="s">
        <v>4009</v>
      </c>
      <c r="E422" s="783" t="s">
        <v>693</v>
      </c>
      <c r="F422" s="783" t="s">
        <v>4066</v>
      </c>
      <c r="G422" s="783" t="s">
        <v>4028</v>
      </c>
      <c r="H422" s="783" t="s">
        <v>5025</v>
      </c>
      <c r="I422" s="783" t="s">
        <v>5026</v>
      </c>
      <c r="J422" s="783">
        <v>10</v>
      </c>
      <c r="K422" s="783" t="s">
        <v>99</v>
      </c>
      <c r="L422" s="783" t="s">
        <v>4096</v>
      </c>
      <c r="M422" s="784">
        <v>91392</v>
      </c>
      <c r="N422" s="784">
        <v>51</v>
      </c>
      <c r="O422" s="784">
        <v>8</v>
      </c>
      <c r="P422" s="783">
        <v>224</v>
      </c>
      <c r="Q422" s="783">
        <v>685.44</v>
      </c>
      <c r="R422" s="783">
        <v>0</v>
      </c>
      <c r="S422" s="783">
        <v>0</v>
      </c>
      <c r="T422" s="783">
        <v>685.44</v>
      </c>
      <c r="U422" s="785">
        <v>44631.633391203701</v>
      </c>
    </row>
    <row r="423" spans="1:21">
      <c r="A423" s="782">
        <v>44588</v>
      </c>
      <c r="B423" s="783" t="s">
        <v>74</v>
      </c>
      <c r="C423" s="783" t="s">
        <v>4037</v>
      </c>
      <c r="D423" s="783" t="s">
        <v>4038</v>
      </c>
      <c r="E423" s="783" t="s">
        <v>2504</v>
      </c>
      <c r="F423" s="783" t="s">
        <v>4011</v>
      </c>
      <c r="G423" s="783" t="str">
        <f>VLOOKUP(I423,pacage,2,FALSE)</f>
        <v>Renewal (15% in 2020)</v>
      </c>
      <c r="H423" s="783" t="s">
        <v>5027</v>
      </c>
      <c r="I423" s="783" t="s">
        <v>5028</v>
      </c>
      <c r="J423" s="783">
        <v>15</v>
      </c>
      <c r="K423" s="783" t="s">
        <v>99</v>
      </c>
      <c r="L423" s="783" t="s">
        <v>4096</v>
      </c>
      <c r="M423" s="784">
        <v>10741</v>
      </c>
      <c r="N423" s="784">
        <v>11.5</v>
      </c>
      <c r="O423" s="784">
        <v>4.67</v>
      </c>
      <c r="P423" s="783">
        <v>200</v>
      </c>
      <c r="Q423" s="783">
        <v>866.8</v>
      </c>
      <c r="R423" s="783">
        <v>367.92</v>
      </c>
      <c r="S423" s="783">
        <v>125.09</v>
      </c>
      <c r="T423" s="783">
        <v>373.79</v>
      </c>
      <c r="U423" s="785">
        <v>44631.636319444398</v>
      </c>
    </row>
    <row r="424" spans="1:21">
      <c r="A424" s="782">
        <v>44588</v>
      </c>
      <c r="B424" s="783" t="s">
        <v>74</v>
      </c>
      <c r="C424" s="783" t="s">
        <v>4097</v>
      </c>
      <c r="D424" s="783" t="s">
        <v>4038</v>
      </c>
      <c r="E424" s="783" t="s">
        <v>2504</v>
      </c>
      <c r="F424" s="783" t="s">
        <v>4011</v>
      </c>
      <c r="G424" s="783" t="str">
        <f>VLOOKUP(I424,pacage,2,FALSE)</f>
        <v>Renewal (15% in 2020)</v>
      </c>
      <c r="H424" s="783" t="s">
        <v>5027</v>
      </c>
      <c r="I424" s="783" t="s">
        <v>5028</v>
      </c>
      <c r="J424" s="783">
        <v>15</v>
      </c>
      <c r="K424" s="783" t="s">
        <v>99</v>
      </c>
      <c r="L424" s="783" t="s">
        <v>4096</v>
      </c>
      <c r="M424" s="784">
        <v>9996</v>
      </c>
      <c r="N424" s="784">
        <v>14</v>
      </c>
      <c r="O424" s="784">
        <v>3.57</v>
      </c>
      <c r="P424" s="783">
        <v>200</v>
      </c>
      <c r="Q424" s="783">
        <v>661.74</v>
      </c>
      <c r="R424" s="783">
        <v>244.7</v>
      </c>
      <c r="S424" s="783">
        <v>82.17</v>
      </c>
      <c r="T424" s="783">
        <v>334.87</v>
      </c>
      <c r="U424" s="785">
        <v>44631.636319444398</v>
      </c>
    </row>
    <row r="425" spans="1:21">
      <c r="A425" s="782">
        <v>44616</v>
      </c>
      <c r="B425" s="783" t="s">
        <v>118</v>
      </c>
      <c r="C425" s="783" t="s">
        <v>4139</v>
      </c>
      <c r="D425" s="783" t="s">
        <v>4009</v>
      </c>
      <c r="E425" s="783" t="s">
        <v>5029</v>
      </c>
      <c r="F425" s="783" t="s">
        <v>4066</v>
      </c>
      <c r="G425" s="783" t="s">
        <v>4028</v>
      </c>
      <c r="H425" s="783" t="s">
        <v>5030</v>
      </c>
      <c r="I425" s="783" t="s">
        <v>5031</v>
      </c>
      <c r="J425" s="783">
        <v>10</v>
      </c>
      <c r="K425" s="783" t="s">
        <v>99</v>
      </c>
      <c r="L425" s="783" t="s">
        <v>4096</v>
      </c>
      <c r="M425" s="784">
        <v>124200</v>
      </c>
      <c r="N425" s="784">
        <v>92</v>
      </c>
      <c r="O425" s="784">
        <v>7.5</v>
      </c>
      <c r="P425" s="783">
        <v>180</v>
      </c>
      <c r="Q425" s="783">
        <v>931.5</v>
      </c>
      <c r="R425" s="783">
        <v>0</v>
      </c>
      <c r="S425" s="783">
        <v>0</v>
      </c>
      <c r="T425" s="783">
        <v>931.5</v>
      </c>
      <c r="U425" s="785">
        <v>44631.626041666699</v>
      </c>
    </row>
    <row r="426" spans="1:21">
      <c r="A426" s="782">
        <v>44594</v>
      </c>
      <c r="B426" s="783" t="s">
        <v>228</v>
      </c>
      <c r="C426" s="783" t="s">
        <v>4417</v>
      </c>
      <c r="D426" s="783" t="s">
        <v>4193</v>
      </c>
      <c r="E426" s="783" t="s">
        <v>5032</v>
      </c>
      <c r="F426" s="783" t="s">
        <v>4011</v>
      </c>
      <c r="G426" s="783" t="s">
        <v>4028</v>
      </c>
      <c r="H426" s="783" t="s">
        <v>5033</v>
      </c>
      <c r="I426" s="783" t="s">
        <v>5034</v>
      </c>
      <c r="J426" s="783">
        <v>25</v>
      </c>
      <c r="K426" s="783" t="s">
        <v>99</v>
      </c>
      <c r="L426" s="783" t="s">
        <v>4096</v>
      </c>
      <c r="M426" s="784">
        <v>28293.439999999999</v>
      </c>
      <c r="N426" s="784">
        <v>17</v>
      </c>
      <c r="O426" s="784">
        <v>7.43</v>
      </c>
      <c r="P426" s="783">
        <v>224</v>
      </c>
      <c r="Q426" s="783">
        <v>1145.8800000000001</v>
      </c>
      <c r="R426" s="783">
        <v>683.96</v>
      </c>
      <c r="S426" s="783">
        <v>337.44</v>
      </c>
      <c r="T426" s="783">
        <v>124.49</v>
      </c>
      <c r="U426" s="785">
        <v>44631.629421296297</v>
      </c>
    </row>
    <row r="427" spans="1:21">
      <c r="A427" s="782">
        <v>44592</v>
      </c>
      <c r="B427" s="783" t="s">
        <v>41</v>
      </c>
      <c r="C427" s="783" t="s">
        <v>4139</v>
      </c>
      <c r="D427" s="783" t="s">
        <v>4009</v>
      </c>
      <c r="E427" s="783" t="s">
        <v>5035</v>
      </c>
      <c r="F427" s="783" t="s">
        <v>4011</v>
      </c>
      <c r="G427" s="783" t="str">
        <f>VLOOKUP(I427,pacage,2,FALSE)</f>
        <v>Renewal (15% in 2020)</v>
      </c>
      <c r="H427" s="783" t="s">
        <v>5036</v>
      </c>
      <c r="I427" s="783" t="s">
        <v>5037</v>
      </c>
      <c r="J427" s="783">
        <v>15</v>
      </c>
      <c r="K427" s="783" t="s">
        <v>99</v>
      </c>
      <c r="L427" s="783" t="s">
        <v>4096</v>
      </c>
      <c r="M427" s="784">
        <v>19080.05</v>
      </c>
      <c r="N427" s="784">
        <v>17.59</v>
      </c>
      <c r="O427" s="784">
        <v>6.27</v>
      </c>
      <c r="P427" s="783">
        <v>173</v>
      </c>
      <c r="Q427" s="783">
        <v>994.07</v>
      </c>
      <c r="R427" s="783">
        <v>448.38</v>
      </c>
      <c r="S427" s="783">
        <v>68.69</v>
      </c>
      <c r="T427" s="783">
        <v>477</v>
      </c>
      <c r="U427" s="785">
        <v>44631.6260763889</v>
      </c>
    </row>
    <row r="428" spans="1:21">
      <c r="A428" s="782">
        <v>44594</v>
      </c>
      <c r="B428" s="783" t="s">
        <v>47</v>
      </c>
      <c r="C428" s="783" t="s">
        <v>4916</v>
      </c>
      <c r="D428" s="783" t="s">
        <v>4102</v>
      </c>
      <c r="E428" s="783" t="s">
        <v>5038</v>
      </c>
      <c r="F428" s="783" t="s">
        <v>4066</v>
      </c>
      <c r="G428" s="783" t="s">
        <v>4028</v>
      </c>
      <c r="H428" s="783" t="s">
        <v>5039</v>
      </c>
      <c r="I428" s="783" t="s">
        <v>5040</v>
      </c>
      <c r="J428" s="783">
        <v>10</v>
      </c>
      <c r="K428" s="783" t="s">
        <v>99</v>
      </c>
      <c r="L428" s="783" t="s">
        <v>4096</v>
      </c>
      <c r="M428" s="784">
        <v>78746.3</v>
      </c>
      <c r="N428" s="784">
        <v>45.07</v>
      </c>
      <c r="O428" s="784">
        <v>7.8</v>
      </c>
      <c r="P428" s="783">
        <v>224</v>
      </c>
      <c r="Q428" s="783">
        <v>480.35</v>
      </c>
      <c r="R428" s="783">
        <v>0</v>
      </c>
      <c r="S428" s="783">
        <v>0</v>
      </c>
      <c r="T428" s="783">
        <v>480.35</v>
      </c>
      <c r="U428" s="785">
        <v>44631.625995370399</v>
      </c>
    </row>
    <row r="429" spans="1:21">
      <c r="A429" s="782">
        <v>44615</v>
      </c>
      <c r="B429" s="783" t="s">
        <v>30</v>
      </c>
      <c r="C429" s="783" t="s">
        <v>4239</v>
      </c>
      <c r="D429" s="783" t="s">
        <v>4021</v>
      </c>
      <c r="E429" s="783" t="s">
        <v>5041</v>
      </c>
      <c r="F429" s="783" t="s">
        <v>4066</v>
      </c>
      <c r="G429" s="783" t="s">
        <v>4028</v>
      </c>
      <c r="H429" s="783" t="s">
        <v>5042</v>
      </c>
      <c r="I429" s="783" t="s">
        <v>5043</v>
      </c>
      <c r="J429" s="783">
        <v>10</v>
      </c>
      <c r="K429" s="783" t="s">
        <v>99</v>
      </c>
      <c r="L429" s="783" t="s">
        <v>4096</v>
      </c>
      <c r="M429" s="784">
        <v>54432</v>
      </c>
      <c r="N429" s="784">
        <v>50.4</v>
      </c>
      <c r="O429" s="784">
        <v>6</v>
      </c>
      <c r="P429" s="783">
        <v>180</v>
      </c>
      <c r="Q429" s="783">
        <v>620.52</v>
      </c>
      <c r="R429" s="783">
        <v>0</v>
      </c>
      <c r="S429" s="783">
        <v>0</v>
      </c>
      <c r="T429" s="783">
        <v>620.52</v>
      </c>
      <c r="U429" s="785">
        <v>44631.626284722202</v>
      </c>
    </row>
    <row r="430" spans="1:21">
      <c r="A430" s="782">
        <v>44601</v>
      </c>
      <c r="B430" s="783" t="s">
        <v>113</v>
      </c>
      <c r="C430" s="783" t="s">
        <v>4097</v>
      </c>
      <c r="D430" s="783" t="s">
        <v>4038</v>
      </c>
      <c r="E430" s="783" t="s">
        <v>5044</v>
      </c>
      <c r="F430" s="783" t="s">
        <v>4066</v>
      </c>
      <c r="G430" s="783" t="str">
        <f t="shared" ref="G430:G437" si="24">VLOOKUP(I430,pacage,2,FALSE)</f>
        <v>Renewal (15% in 2020)</v>
      </c>
      <c r="H430" s="783" t="s">
        <v>5045</v>
      </c>
      <c r="I430" s="783" t="s">
        <v>5046</v>
      </c>
      <c r="J430" s="783">
        <v>5</v>
      </c>
      <c r="K430" s="783" t="s">
        <v>99</v>
      </c>
      <c r="L430" s="783" t="s">
        <v>4096</v>
      </c>
      <c r="M430" s="784">
        <v>45760</v>
      </c>
      <c r="N430" s="784">
        <v>28.6</v>
      </c>
      <c r="O430" s="784">
        <v>8</v>
      </c>
      <c r="P430" s="783">
        <v>200</v>
      </c>
      <c r="Q430" s="783">
        <v>896.9</v>
      </c>
      <c r="R430" s="783">
        <v>0</v>
      </c>
      <c r="S430" s="783">
        <v>0</v>
      </c>
      <c r="T430" s="783">
        <v>896.9</v>
      </c>
      <c r="U430" s="785">
        <v>44631.626388888901</v>
      </c>
    </row>
    <row r="431" spans="1:21">
      <c r="A431" s="782">
        <v>44633</v>
      </c>
      <c r="B431" s="783" t="s">
        <v>30</v>
      </c>
      <c r="C431" s="783" t="s">
        <v>4089</v>
      </c>
      <c r="D431" s="783" t="s">
        <v>4021</v>
      </c>
      <c r="E431" s="783" t="s">
        <v>5047</v>
      </c>
      <c r="F431" s="783" t="s">
        <v>4011</v>
      </c>
      <c r="G431" s="783" t="str">
        <f t="shared" si="24"/>
        <v>Renewal (15% in 2020)</v>
      </c>
      <c r="H431" s="783" t="s">
        <v>5048</v>
      </c>
      <c r="I431" s="783" t="s">
        <v>5049</v>
      </c>
      <c r="J431" s="783">
        <v>15</v>
      </c>
      <c r="K431" s="783" t="s">
        <v>99</v>
      </c>
      <c r="L431" s="783" t="s">
        <v>4096</v>
      </c>
      <c r="M431" s="784">
        <v>101163.92</v>
      </c>
      <c r="N431" s="784">
        <v>84.17</v>
      </c>
      <c r="O431" s="784">
        <v>7.07</v>
      </c>
      <c r="P431" s="783">
        <v>170</v>
      </c>
      <c r="Q431" s="783">
        <v>6767.87</v>
      </c>
      <c r="R431" s="783">
        <v>2943.87</v>
      </c>
      <c r="S431" s="783">
        <v>455.24</v>
      </c>
      <c r="T431" s="783">
        <v>3368.76</v>
      </c>
      <c r="U431" s="785">
        <v>44634.389189814799</v>
      </c>
    </row>
    <row r="432" spans="1:21">
      <c r="A432" s="782">
        <v>44656</v>
      </c>
      <c r="B432" s="783" t="s">
        <v>41</v>
      </c>
      <c r="C432" s="783" t="s">
        <v>4092</v>
      </c>
      <c r="D432" s="783" t="s">
        <v>4009</v>
      </c>
      <c r="E432" s="783" t="s">
        <v>4287</v>
      </c>
      <c r="F432" s="783" t="s">
        <v>4011</v>
      </c>
      <c r="G432" s="783" t="str">
        <f t="shared" si="24"/>
        <v>Renewal (15% in 2020)</v>
      </c>
      <c r="H432" s="783" t="s">
        <v>4288</v>
      </c>
      <c r="I432" s="783" t="s">
        <v>4289</v>
      </c>
      <c r="J432" s="783">
        <v>30</v>
      </c>
      <c r="K432" s="783" t="s">
        <v>99</v>
      </c>
      <c r="L432" s="783" t="s">
        <v>4096</v>
      </c>
      <c r="M432" s="784">
        <v>36925.199999999997</v>
      </c>
      <c r="N432" s="784">
        <v>31.56</v>
      </c>
      <c r="O432" s="784">
        <v>6.5</v>
      </c>
      <c r="P432" s="783">
        <v>180</v>
      </c>
      <c r="Q432" s="783">
        <v>1292.3800000000001</v>
      </c>
      <c r="R432" s="783">
        <v>1096.6199999999999</v>
      </c>
      <c r="S432" s="783">
        <v>44.37</v>
      </c>
      <c r="T432" s="783">
        <v>151.38999999999999</v>
      </c>
      <c r="U432" s="785">
        <v>44657.630127314798</v>
      </c>
    </row>
    <row r="433" spans="1:21">
      <c r="A433" s="782">
        <v>44656</v>
      </c>
      <c r="B433" s="783" t="s">
        <v>41</v>
      </c>
      <c r="C433" s="783" t="s">
        <v>4071</v>
      </c>
      <c r="D433" s="783" t="s">
        <v>4009</v>
      </c>
      <c r="E433" s="783" t="s">
        <v>4287</v>
      </c>
      <c r="F433" s="783" t="s">
        <v>4011</v>
      </c>
      <c r="G433" s="783" t="str">
        <f t="shared" si="24"/>
        <v>Renewal (15% in 2020)</v>
      </c>
      <c r="H433" s="783" t="s">
        <v>4288</v>
      </c>
      <c r="I433" s="783" t="s">
        <v>4289</v>
      </c>
      <c r="J433" s="783">
        <v>30</v>
      </c>
      <c r="K433" s="783" t="s">
        <v>99</v>
      </c>
      <c r="L433" s="783" t="s">
        <v>4096</v>
      </c>
      <c r="M433" s="784">
        <v>72417.240000000005</v>
      </c>
      <c r="N433" s="784">
        <v>61.8</v>
      </c>
      <c r="O433" s="784">
        <v>6.51</v>
      </c>
      <c r="P433" s="783">
        <v>180</v>
      </c>
      <c r="Q433" s="783">
        <v>1846.64</v>
      </c>
      <c r="R433" s="783">
        <v>1572.98</v>
      </c>
      <c r="S433" s="783">
        <v>63.65</v>
      </c>
      <c r="T433" s="783">
        <v>210.01</v>
      </c>
      <c r="U433" s="785">
        <v>44657.630127314798</v>
      </c>
    </row>
    <row r="434" spans="1:21">
      <c r="A434" s="782">
        <v>44615</v>
      </c>
      <c r="B434" s="783" t="s">
        <v>41</v>
      </c>
      <c r="C434" s="783" t="s">
        <v>4139</v>
      </c>
      <c r="D434" s="783" t="s">
        <v>4009</v>
      </c>
      <c r="E434" s="783" t="s">
        <v>5050</v>
      </c>
      <c r="F434" s="783" t="s">
        <v>4011</v>
      </c>
      <c r="G434" s="783" t="str">
        <f t="shared" si="24"/>
        <v>Renewal (30% in 2020)</v>
      </c>
      <c r="H434" s="783" t="s">
        <v>5051</v>
      </c>
      <c r="I434" s="783" t="s">
        <v>5052</v>
      </c>
      <c r="J434" s="783">
        <v>30</v>
      </c>
      <c r="K434" s="783" t="s">
        <v>99</v>
      </c>
      <c r="L434" s="783" t="s">
        <v>4096</v>
      </c>
      <c r="M434" s="784">
        <v>50626</v>
      </c>
      <c r="N434" s="784">
        <v>29.78</v>
      </c>
      <c r="O434" s="784">
        <v>6.8</v>
      </c>
      <c r="P434" s="783">
        <v>250</v>
      </c>
      <c r="Q434" s="783">
        <v>1341.59</v>
      </c>
      <c r="R434" s="783">
        <v>823.28</v>
      </c>
      <c r="S434" s="783">
        <v>366.43</v>
      </c>
      <c r="T434" s="783">
        <v>151.88</v>
      </c>
      <c r="U434" s="785">
        <v>44631.626365740703</v>
      </c>
    </row>
    <row r="435" spans="1:21">
      <c r="A435" s="782">
        <v>44693</v>
      </c>
      <c r="B435" s="783" t="s">
        <v>51</v>
      </c>
      <c r="C435" s="783" t="s">
        <v>4042</v>
      </c>
      <c r="D435" s="783" t="s">
        <v>4016</v>
      </c>
      <c r="E435" s="783" t="s">
        <v>1359</v>
      </c>
      <c r="F435" s="783" t="s">
        <v>4011</v>
      </c>
      <c r="G435" s="783" t="str">
        <f t="shared" si="24"/>
        <v>Renewal (20% in 2020)</v>
      </c>
      <c r="H435" s="783" t="s">
        <v>5053</v>
      </c>
      <c r="I435" s="783" t="s">
        <v>5054</v>
      </c>
      <c r="J435" s="783">
        <v>20</v>
      </c>
      <c r="K435" s="783" t="s">
        <v>99</v>
      </c>
      <c r="L435" s="783" t="s">
        <v>4096</v>
      </c>
      <c r="M435" s="784">
        <v>130416.07</v>
      </c>
      <c r="N435" s="784">
        <v>92.77</v>
      </c>
      <c r="O435" s="784">
        <v>8.52</v>
      </c>
      <c r="P435" s="783">
        <v>165</v>
      </c>
      <c r="Q435" s="783">
        <v>5673.1</v>
      </c>
      <c r="R435" s="783">
        <v>3664.69</v>
      </c>
      <c r="S435" s="783">
        <v>560.79</v>
      </c>
      <c r="T435" s="783">
        <v>1447.62</v>
      </c>
      <c r="U435" s="785">
        <v>44694.5081712963</v>
      </c>
    </row>
    <row r="436" spans="1:21">
      <c r="A436" s="782">
        <v>44699</v>
      </c>
      <c r="B436" s="783" t="s">
        <v>113</v>
      </c>
      <c r="C436" s="783" t="s">
        <v>4606</v>
      </c>
      <c r="D436" s="783" t="s">
        <v>4009</v>
      </c>
      <c r="E436" s="783" t="s">
        <v>159</v>
      </c>
      <c r="F436" s="783" t="s">
        <v>4011</v>
      </c>
      <c r="G436" s="783" t="str">
        <f t="shared" si="24"/>
        <v>Renewal (15% in 2020)</v>
      </c>
      <c r="H436" s="783" t="s">
        <v>5055</v>
      </c>
      <c r="I436" s="783" t="s">
        <v>5056</v>
      </c>
      <c r="J436" s="783">
        <v>15</v>
      </c>
      <c r="K436" s="783" t="s">
        <v>99</v>
      </c>
      <c r="L436" s="783" t="s">
        <v>4096</v>
      </c>
      <c r="M436" s="784">
        <v>10355.69</v>
      </c>
      <c r="N436" s="784">
        <v>7.61</v>
      </c>
      <c r="O436" s="784">
        <v>7.56</v>
      </c>
      <c r="P436" s="783">
        <v>180</v>
      </c>
      <c r="Q436" s="783">
        <v>836.74</v>
      </c>
      <c r="R436" s="783">
        <v>337.41</v>
      </c>
      <c r="S436" s="783">
        <v>69.569999999999993</v>
      </c>
      <c r="T436" s="783">
        <v>429.76</v>
      </c>
      <c r="U436" s="785">
        <v>44700.505393518499</v>
      </c>
    </row>
    <row r="437" spans="1:21">
      <c r="A437" s="782">
        <v>44694</v>
      </c>
      <c r="B437" s="783" t="s">
        <v>228</v>
      </c>
      <c r="C437" s="783" t="s">
        <v>4020</v>
      </c>
      <c r="D437" s="783" t="s">
        <v>4021</v>
      </c>
      <c r="E437" s="783" t="s">
        <v>5057</v>
      </c>
      <c r="F437" s="783" t="s">
        <v>4011</v>
      </c>
      <c r="G437" s="783" t="str">
        <f t="shared" si="24"/>
        <v>Renewal (25% in 2020)</v>
      </c>
      <c r="H437" s="783" t="s">
        <v>5058</v>
      </c>
      <c r="I437" s="783" t="s">
        <v>5059</v>
      </c>
      <c r="J437" s="783">
        <v>25</v>
      </c>
      <c r="K437" s="783" t="s">
        <v>99</v>
      </c>
      <c r="L437" s="783" t="s">
        <v>4096</v>
      </c>
      <c r="M437" s="784">
        <v>31568.87</v>
      </c>
      <c r="N437" s="784">
        <v>29.15</v>
      </c>
      <c r="O437" s="784">
        <v>6.26</v>
      </c>
      <c r="P437" s="783">
        <v>173</v>
      </c>
      <c r="Q437" s="783">
        <v>1534.25</v>
      </c>
      <c r="R437" s="783">
        <v>1152.26</v>
      </c>
      <c r="S437" s="783">
        <v>176.79</v>
      </c>
      <c r="T437" s="783">
        <v>205.2</v>
      </c>
      <c r="U437" s="785">
        <v>44694.624201388899</v>
      </c>
    </row>
    <row r="438" spans="1:21">
      <c r="A438" s="782">
        <v>44693</v>
      </c>
      <c r="B438" s="783" t="s">
        <v>4025</v>
      </c>
      <c r="C438" s="783" t="s">
        <v>4026</v>
      </c>
      <c r="D438" s="783" t="s">
        <v>4021</v>
      </c>
      <c r="E438" s="783" t="s">
        <v>5060</v>
      </c>
      <c r="F438" s="783" t="s">
        <v>4011</v>
      </c>
      <c r="G438" s="783" t="s">
        <v>4028</v>
      </c>
      <c r="H438" s="783" t="s">
        <v>5061</v>
      </c>
      <c r="I438" s="783" t="s">
        <v>5062</v>
      </c>
      <c r="J438" s="783">
        <v>25</v>
      </c>
      <c r="K438" s="783" t="s">
        <v>99</v>
      </c>
      <c r="L438" s="783" t="s">
        <v>4096</v>
      </c>
      <c r="M438" s="784">
        <v>83952.26</v>
      </c>
      <c r="N438" s="784">
        <v>53.2</v>
      </c>
      <c r="O438" s="784">
        <v>8.5299999999999994</v>
      </c>
      <c r="P438" s="783">
        <v>185</v>
      </c>
      <c r="Q438" s="783">
        <v>3845.01</v>
      </c>
      <c r="R438" s="783">
        <v>2653.53</v>
      </c>
      <c r="S438" s="783">
        <v>620.61</v>
      </c>
      <c r="T438" s="783">
        <v>570.88</v>
      </c>
      <c r="U438" s="785">
        <v>44694.438854166699</v>
      </c>
    </row>
    <row r="439" spans="1:21">
      <c r="A439" s="782">
        <v>44698</v>
      </c>
      <c r="B439" s="783" t="s">
        <v>41</v>
      </c>
      <c r="C439" s="783" t="s">
        <v>4092</v>
      </c>
      <c r="D439" s="783" t="s">
        <v>4009</v>
      </c>
      <c r="E439" s="783" t="s">
        <v>5063</v>
      </c>
      <c r="F439" s="783" t="s">
        <v>4011</v>
      </c>
      <c r="G439" s="783" t="str">
        <f>VLOOKUP(I439,pacage,2,FALSE)</f>
        <v>Renewal (15% in 2020)</v>
      </c>
      <c r="H439" s="783" t="s">
        <v>5064</v>
      </c>
      <c r="I439" s="783" t="s">
        <v>5065</v>
      </c>
      <c r="J439" s="783">
        <v>15</v>
      </c>
      <c r="K439" s="783" t="s">
        <v>99</v>
      </c>
      <c r="L439" s="783" t="s">
        <v>4096</v>
      </c>
      <c r="M439" s="784">
        <v>32307.55</v>
      </c>
      <c r="N439" s="784">
        <v>36.78</v>
      </c>
      <c r="O439" s="784">
        <v>5.49</v>
      </c>
      <c r="P439" s="783">
        <v>160</v>
      </c>
      <c r="Q439" s="783">
        <v>2267.9899999999998</v>
      </c>
      <c r="R439" s="783">
        <v>998.3</v>
      </c>
      <c r="S439" s="783">
        <v>177.69</v>
      </c>
      <c r="T439" s="783">
        <v>1092</v>
      </c>
      <c r="U439" s="785">
        <v>44699.508784722202</v>
      </c>
    </row>
    <row r="440" spans="1:21">
      <c r="A440" s="782">
        <v>44694</v>
      </c>
      <c r="B440" s="783" t="s">
        <v>4025</v>
      </c>
      <c r="C440" s="783" t="s">
        <v>4239</v>
      </c>
      <c r="D440" s="783" t="s">
        <v>4021</v>
      </c>
      <c r="E440" s="783" t="s">
        <v>5066</v>
      </c>
      <c r="F440" s="783" t="s">
        <v>4066</v>
      </c>
      <c r="G440" s="783" t="s">
        <v>4028</v>
      </c>
      <c r="H440" s="783" t="s">
        <v>5067</v>
      </c>
      <c r="I440" s="783" t="s">
        <v>5068</v>
      </c>
      <c r="J440" s="783">
        <v>10</v>
      </c>
      <c r="K440" s="783" t="s">
        <v>99</v>
      </c>
      <c r="L440" s="783" t="s">
        <v>4096</v>
      </c>
      <c r="M440" s="784">
        <v>13640.4</v>
      </c>
      <c r="N440" s="784">
        <v>12.63</v>
      </c>
      <c r="O440" s="784">
        <v>6</v>
      </c>
      <c r="P440" s="783">
        <v>180</v>
      </c>
      <c r="Q440" s="783">
        <v>155.5</v>
      </c>
      <c r="R440" s="783">
        <v>0</v>
      </c>
      <c r="S440" s="783">
        <v>0</v>
      </c>
      <c r="T440" s="783">
        <v>155.5</v>
      </c>
      <c r="U440" s="785">
        <v>44697.474201388897</v>
      </c>
    </row>
    <row r="441" spans="1:21">
      <c r="A441" s="782">
        <v>44698</v>
      </c>
      <c r="B441" s="783" t="s">
        <v>41</v>
      </c>
      <c r="C441" s="783" t="s">
        <v>4082</v>
      </c>
      <c r="D441" s="783" t="s">
        <v>4009</v>
      </c>
      <c r="E441" s="783" t="s">
        <v>5069</v>
      </c>
      <c r="F441" s="783" t="s">
        <v>4011</v>
      </c>
      <c r="G441" s="783" t="str">
        <f t="shared" ref="G441:G449" si="25">VLOOKUP(I441,pacage,2,FALSE)</f>
        <v>Renewal (15% in 2020)</v>
      </c>
      <c r="H441" s="783" t="s">
        <v>5070</v>
      </c>
      <c r="I441" s="783" t="s">
        <v>5071</v>
      </c>
      <c r="J441" s="783">
        <v>15</v>
      </c>
      <c r="K441" s="783" t="s">
        <v>99</v>
      </c>
      <c r="L441" s="783" t="s">
        <v>4096</v>
      </c>
      <c r="M441" s="784">
        <v>12498.56</v>
      </c>
      <c r="N441" s="784">
        <v>13.24</v>
      </c>
      <c r="O441" s="784">
        <v>5.9</v>
      </c>
      <c r="P441" s="783">
        <v>160</v>
      </c>
      <c r="Q441" s="783">
        <v>829.9</v>
      </c>
      <c r="R441" s="783">
        <v>364.96</v>
      </c>
      <c r="S441" s="783">
        <v>64.989999999999995</v>
      </c>
      <c r="T441" s="783">
        <v>399.95</v>
      </c>
      <c r="U441" s="785">
        <v>44699.477245370399</v>
      </c>
    </row>
    <row r="442" spans="1:21">
      <c r="A442" s="782">
        <v>44711</v>
      </c>
      <c r="B442" s="783" t="s">
        <v>51</v>
      </c>
      <c r="C442" s="783" t="s">
        <v>4042</v>
      </c>
      <c r="D442" s="783" t="s">
        <v>4016</v>
      </c>
      <c r="E442" s="783" t="s">
        <v>4760</v>
      </c>
      <c r="F442" s="783" t="s">
        <v>4011</v>
      </c>
      <c r="G442" s="783" t="str">
        <f t="shared" si="25"/>
        <v>New Contract</v>
      </c>
      <c r="H442" s="783" t="s">
        <v>4761</v>
      </c>
      <c r="I442" s="783" t="s">
        <v>4762</v>
      </c>
      <c r="J442" s="783">
        <v>15</v>
      </c>
      <c r="K442" s="783" t="s">
        <v>99</v>
      </c>
      <c r="L442" s="783" t="s">
        <v>4096</v>
      </c>
      <c r="M442" s="784">
        <v>68742</v>
      </c>
      <c r="N442" s="784">
        <v>50.92</v>
      </c>
      <c r="O442" s="784">
        <v>7.5</v>
      </c>
      <c r="P442" s="783">
        <v>180</v>
      </c>
      <c r="Q442" s="783">
        <v>3650.2</v>
      </c>
      <c r="R442" s="783">
        <v>1856.53</v>
      </c>
      <c r="S442" s="783">
        <v>370.71</v>
      </c>
      <c r="T442" s="783">
        <v>1422.96</v>
      </c>
      <c r="U442" s="785">
        <v>44713.6401736111</v>
      </c>
    </row>
    <row r="443" spans="1:21">
      <c r="A443" s="782">
        <v>44701</v>
      </c>
      <c r="B443" s="783" t="s">
        <v>41</v>
      </c>
      <c r="C443" s="783" t="s">
        <v>4071</v>
      </c>
      <c r="D443" s="783" t="s">
        <v>4009</v>
      </c>
      <c r="E443" s="783" t="s">
        <v>5072</v>
      </c>
      <c r="F443" s="783" t="s">
        <v>4011</v>
      </c>
      <c r="G443" s="783" t="str">
        <f t="shared" si="25"/>
        <v>Renewal (25% in 2020)</v>
      </c>
      <c r="H443" s="783" t="s">
        <v>5073</v>
      </c>
      <c r="I443" s="783" t="s">
        <v>5074</v>
      </c>
      <c r="J443" s="783">
        <v>25</v>
      </c>
      <c r="K443" s="783" t="s">
        <v>99</v>
      </c>
      <c r="L443" s="783" t="s">
        <v>4096</v>
      </c>
      <c r="M443" s="784">
        <v>41748.65</v>
      </c>
      <c r="N443" s="784">
        <v>41.63</v>
      </c>
      <c r="O443" s="784">
        <v>6.47</v>
      </c>
      <c r="P443" s="783">
        <v>155</v>
      </c>
      <c r="Q443" s="783">
        <v>1210.71</v>
      </c>
      <c r="R443" s="783">
        <v>943.52</v>
      </c>
      <c r="S443" s="783">
        <v>146.12</v>
      </c>
      <c r="T443" s="783">
        <v>121.07</v>
      </c>
      <c r="U443" s="785">
        <v>44701.569374999999</v>
      </c>
    </row>
    <row r="444" spans="1:21">
      <c r="A444" s="782">
        <v>44700</v>
      </c>
      <c r="B444" s="783" t="s">
        <v>51</v>
      </c>
      <c r="C444" s="783" t="s">
        <v>4015</v>
      </c>
      <c r="D444" s="783" t="s">
        <v>4016</v>
      </c>
      <c r="E444" s="783" t="s">
        <v>5075</v>
      </c>
      <c r="F444" s="783" t="s">
        <v>4011</v>
      </c>
      <c r="G444" s="783" t="str">
        <f t="shared" si="25"/>
        <v>Renewal (25% in 2020)</v>
      </c>
      <c r="H444" s="783" t="s">
        <v>5076</v>
      </c>
      <c r="I444" s="783" t="s">
        <v>5077</v>
      </c>
      <c r="J444" s="783">
        <v>25</v>
      </c>
      <c r="K444" s="783" t="s">
        <v>99</v>
      </c>
      <c r="L444" s="783" t="s">
        <v>4096</v>
      </c>
      <c r="M444" s="784">
        <v>46068.75</v>
      </c>
      <c r="N444" s="784">
        <v>40.950000000000003</v>
      </c>
      <c r="O444" s="784">
        <v>7.5</v>
      </c>
      <c r="P444" s="783">
        <v>150</v>
      </c>
      <c r="Q444" s="783">
        <v>2533.7800000000002</v>
      </c>
      <c r="R444" s="783">
        <v>1898.03</v>
      </c>
      <c r="S444" s="783">
        <v>290.23</v>
      </c>
      <c r="T444" s="783">
        <v>345.52</v>
      </c>
      <c r="U444" s="785">
        <v>44700.719907407401</v>
      </c>
    </row>
    <row r="445" spans="1:21">
      <c r="A445" s="782">
        <v>44702</v>
      </c>
      <c r="B445" s="783" t="s">
        <v>41</v>
      </c>
      <c r="C445" s="783" t="s">
        <v>4092</v>
      </c>
      <c r="D445" s="783" t="s">
        <v>4009</v>
      </c>
      <c r="E445" s="783" t="s">
        <v>5078</v>
      </c>
      <c r="F445" s="783" t="s">
        <v>4011</v>
      </c>
      <c r="G445" s="783" t="str">
        <f t="shared" si="25"/>
        <v>New Contract</v>
      </c>
      <c r="H445" s="783" t="s">
        <v>5079</v>
      </c>
      <c r="I445" s="783" t="s">
        <v>5080</v>
      </c>
      <c r="J445" s="783">
        <v>25</v>
      </c>
      <c r="K445" s="783" t="s">
        <v>99</v>
      </c>
      <c r="L445" s="783" t="s">
        <v>4096</v>
      </c>
      <c r="M445" s="784">
        <v>13815.88</v>
      </c>
      <c r="N445" s="784">
        <v>12.42</v>
      </c>
      <c r="O445" s="784">
        <v>6.43</v>
      </c>
      <c r="P445" s="783">
        <v>173</v>
      </c>
      <c r="Q445" s="783">
        <v>559.54</v>
      </c>
      <c r="R445" s="783">
        <v>426.91</v>
      </c>
      <c r="S445" s="783">
        <v>75.989999999999995</v>
      </c>
      <c r="T445" s="783">
        <v>56.65</v>
      </c>
      <c r="U445" s="785">
        <v>44708.596203703702</v>
      </c>
    </row>
    <row r="446" spans="1:21">
      <c r="A446" s="782">
        <v>44704</v>
      </c>
      <c r="B446" s="783" t="s">
        <v>41</v>
      </c>
      <c r="C446" s="783" t="s">
        <v>4139</v>
      </c>
      <c r="D446" s="783" t="s">
        <v>4009</v>
      </c>
      <c r="E446" s="783" t="s">
        <v>5081</v>
      </c>
      <c r="F446" s="783" t="s">
        <v>4011</v>
      </c>
      <c r="G446" s="783" t="str">
        <f t="shared" si="25"/>
        <v>Renewal (30% in 2020)</v>
      </c>
      <c r="H446" s="783" t="s">
        <v>5082</v>
      </c>
      <c r="I446" s="783" t="s">
        <v>5083</v>
      </c>
      <c r="J446" s="783">
        <v>30</v>
      </c>
      <c r="K446" s="783" t="s">
        <v>99</v>
      </c>
      <c r="L446" s="783" t="s">
        <v>4096</v>
      </c>
      <c r="M446" s="784">
        <v>44429.04</v>
      </c>
      <c r="N446" s="784">
        <v>46.05</v>
      </c>
      <c r="O446" s="784">
        <v>6.03</v>
      </c>
      <c r="P446" s="783">
        <v>160</v>
      </c>
      <c r="Q446" s="783">
        <v>1177.3699999999999</v>
      </c>
      <c r="R446" s="783">
        <v>1044.08</v>
      </c>
      <c r="S446" s="783">
        <v>0</v>
      </c>
      <c r="T446" s="783">
        <v>133.29</v>
      </c>
      <c r="U446" s="785">
        <v>44704.632754629602</v>
      </c>
    </row>
    <row r="447" spans="1:21">
      <c r="A447" s="782">
        <v>44704</v>
      </c>
      <c r="B447" s="783" t="s">
        <v>41</v>
      </c>
      <c r="C447" s="783" t="s">
        <v>4071</v>
      </c>
      <c r="D447" s="783" t="s">
        <v>4009</v>
      </c>
      <c r="E447" s="783" t="s">
        <v>5084</v>
      </c>
      <c r="F447" s="783" t="s">
        <v>4011</v>
      </c>
      <c r="G447" s="783" t="str">
        <f t="shared" si="25"/>
        <v>Renewal (15% in 2020)</v>
      </c>
      <c r="H447" s="783" t="s">
        <v>5085</v>
      </c>
      <c r="I447" s="783" t="s">
        <v>5086</v>
      </c>
      <c r="J447" s="783">
        <v>15</v>
      </c>
      <c r="K447" s="783" t="s">
        <v>99</v>
      </c>
      <c r="L447" s="783" t="s">
        <v>4096</v>
      </c>
      <c r="M447" s="784">
        <v>62749.53</v>
      </c>
      <c r="N447" s="784">
        <v>60.61</v>
      </c>
      <c r="O447" s="784">
        <v>6.09</v>
      </c>
      <c r="P447" s="783">
        <v>170</v>
      </c>
      <c r="Q447" s="783">
        <v>3150.03</v>
      </c>
      <c r="R447" s="783">
        <v>1418.14</v>
      </c>
      <c r="S447" s="783">
        <v>219.62</v>
      </c>
      <c r="T447" s="783">
        <v>1512.26</v>
      </c>
      <c r="U447" s="785">
        <v>44708.798425925903</v>
      </c>
    </row>
    <row r="448" spans="1:21">
      <c r="A448" s="782">
        <v>44704</v>
      </c>
      <c r="B448" s="783" t="s">
        <v>228</v>
      </c>
      <c r="C448" s="783" t="s">
        <v>4582</v>
      </c>
      <c r="D448" s="783" t="s">
        <v>4193</v>
      </c>
      <c r="E448" s="783" t="s">
        <v>5087</v>
      </c>
      <c r="F448" s="783" t="s">
        <v>4011</v>
      </c>
      <c r="G448" s="783" t="str">
        <f t="shared" si="25"/>
        <v>Renewal (25% in 2020)</v>
      </c>
      <c r="H448" s="783" t="s">
        <v>5088</v>
      </c>
      <c r="I448" s="783" t="s">
        <v>5089</v>
      </c>
      <c r="J448" s="783">
        <v>25</v>
      </c>
      <c r="K448" s="783" t="s">
        <v>99</v>
      </c>
      <c r="L448" s="783" t="s">
        <v>4096</v>
      </c>
      <c r="M448" s="784">
        <v>62149.59</v>
      </c>
      <c r="N448" s="784">
        <v>53.86</v>
      </c>
      <c r="O448" s="784">
        <v>6.67</v>
      </c>
      <c r="P448" s="783">
        <v>173</v>
      </c>
      <c r="Q448" s="783">
        <v>2517.06</v>
      </c>
      <c r="R448" s="783">
        <v>1963.93</v>
      </c>
      <c r="S448" s="783">
        <v>261.02999999999997</v>
      </c>
      <c r="T448" s="783">
        <v>292.10000000000002</v>
      </c>
      <c r="U448" s="785">
        <v>44708.951261574097</v>
      </c>
    </row>
    <row r="449" spans="1:21">
      <c r="A449" s="782">
        <v>44705</v>
      </c>
      <c r="B449" s="783" t="s">
        <v>41</v>
      </c>
      <c r="C449" s="783" t="s">
        <v>4139</v>
      </c>
      <c r="D449" s="783" t="s">
        <v>4009</v>
      </c>
      <c r="E449" s="783" t="s">
        <v>5090</v>
      </c>
      <c r="F449" s="783" t="s">
        <v>4011</v>
      </c>
      <c r="G449" s="783" t="str">
        <f t="shared" si="25"/>
        <v>Renewal (30% in 2020)</v>
      </c>
      <c r="H449" s="783" t="s">
        <v>5091</v>
      </c>
      <c r="I449" s="783" t="s">
        <v>5092</v>
      </c>
      <c r="J449" s="783">
        <v>30</v>
      </c>
      <c r="K449" s="783" t="s">
        <v>99</v>
      </c>
      <c r="L449" s="783" t="s">
        <v>4096</v>
      </c>
      <c r="M449" s="784">
        <v>51111.17</v>
      </c>
      <c r="N449" s="784">
        <v>41.67</v>
      </c>
      <c r="O449" s="784">
        <v>7.09</v>
      </c>
      <c r="P449" s="783">
        <v>173</v>
      </c>
      <c r="Q449" s="783">
        <v>1354.45</v>
      </c>
      <c r="R449" s="783">
        <v>1201.1099999999999</v>
      </c>
      <c r="S449" s="783">
        <v>0</v>
      </c>
      <c r="T449" s="783">
        <v>153.33000000000001</v>
      </c>
      <c r="U449" s="785">
        <v>44708.953414351898</v>
      </c>
    </row>
    <row r="450" spans="1:21">
      <c r="A450" s="782">
        <v>44712</v>
      </c>
      <c r="B450" s="783" t="s">
        <v>4025</v>
      </c>
      <c r="C450" s="783" t="s">
        <v>4026</v>
      </c>
      <c r="D450" s="783" t="s">
        <v>4021</v>
      </c>
      <c r="E450" s="783" t="s">
        <v>4027</v>
      </c>
      <c r="F450" s="783" t="s">
        <v>4011</v>
      </c>
      <c r="G450" s="783" t="s">
        <v>4028</v>
      </c>
      <c r="H450" s="783" t="s">
        <v>4029</v>
      </c>
      <c r="I450" s="783" t="s">
        <v>4030</v>
      </c>
      <c r="J450" s="783">
        <v>25</v>
      </c>
      <c r="K450" s="783" t="s">
        <v>99</v>
      </c>
      <c r="L450" s="783" t="s">
        <v>4096</v>
      </c>
      <c r="M450" s="784">
        <v>29490.79</v>
      </c>
      <c r="N450" s="784">
        <v>25.09</v>
      </c>
      <c r="O450" s="784">
        <v>6.53</v>
      </c>
      <c r="P450" s="783">
        <v>180</v>
      </c>
      <c r="Q450" s="783">
        <v>1350.68</v>
      </c>
      <c r="R450" s="783">
        <v>958.02</v>
      </c>
      <c r="S450" s="783">
        <v>192.12</v>
      </c>
      <c r="T450" s="783">
        <v>200.54</v>
      </c>
      <c r="U450" s="785">
        <v>44714.007592592599</v>
      </c>
    </row>
    <row r="451" spans="1:21">
      <c r="A451" s="782">
        <v>44712</v>
      </c>
      <c r="B451" s="783" t="s">
        <v>4025</v>
      </c>
      <c r="C451" s="783" t="s">
        <v>4026</v>
      </c>
      <c r="D451" s="783" t="s">
        <v>4021</v>
      </c>
      <c r="E451" s="783" t="s">
        <v>4031</v>
      </c>
      <c r="F451" s="783" t="s">
        <v>4011</v>
      </c>
      <c r="G451" s="783" t="s">
        <v>4028</v>
      </c>
      <c r="H451" s="783" t="s">
        <v>4032</v>
      </c>
      <c r="I451" s="783" t="s">
        <v>4033</v>
      </c>
      <c r="J451" s="783">
        <v>25</v>
      </c>
      <c r="K451" s="783" t="s">
        <v>99</v>
      </c>
      <c r="L451" s="783" t="s">
        <v>4096</v>
      </c>
      <c r="M451" s="784">
        <v>10588.74</v>
      </c>
      <c r="N451" s="784">
        <v>14.82</v>
      </c>
      <c r="O451" s="784">
        <v>4.13</v>
      </c>
      <c r="P451" s="783">
        <v>173</v>
      </c>
      <c r="Q451" s="783">
        <v>484.96</v>
      </c>
      <c r="R451" s="783">
        <v>357.9</v>
      </c>
      <c r="S451" s="783">
        <v>55.06</v>
      </c>
      <c r="T451" s="783">
        <v>72</v>
      </c>
      <c r="U451" s="785">
        <v>44714.019027777802</v>
      </c>
    </row>
    <row r="452" spans="1:21">
      <c r="A452" s="782">
        <v>44706</v>
      </c>
      <c r="B452" s="783" t="s">
        <v>74</v>
      </c>
      <c r="C452" s="783" t="s">
        <v>4037</v>
      </c>
      <c r="D452" s="783" t="s">
        <v>4038</v>
      </c>
      <c r="E452" s="783" t="s">
        <v>4290</v>
      </c>
      <c r="F452" s="783" t="s">
        <v>4011</v>
      </c>
      <c r="G452" s="783" t="str">
        <f t="shared" ref="G452:G464" si="26">VLOOKUP(I452,pacage,2,FALSE)</f>
        <v>Renewal (15% in 2020)</v>
      </c>
      <c r="H452" s="783" t="s">
        <v>4291</v>
      </c>
      <c r="I452" s="783" t="s">
        <v>4292</v>
      </c>
      <c r="J452" s="783">
        <v>15</v>
      </c>
      <c r="K452" s="783" t="s">
        <v>99</v>
      </c>
      <c r="L452" s="783" t="s">
        <v>4096</v>
      </c>
      <c r="M452" s="784">
        <v>7430.94</v>
      </c>
      <c r="N452" s="784">
        <v>9.9</v>
      </c>
      <c r="O452" s="784">
        <v>4.17</v>
      </c>
      <c r="P452" s="783">
        <v>180</v>
      </c>
      <c r="Q452" s="783">
        <v>599.67999999999995</v>
      </c>
      <c r="R452" s="783">
        <v>282.82</v>
      </c>
      <c r="S452" s="783">
        <v>58.26</v>
      </c>
      <c r="T452" s="783">
        <v>258.60000000000002</v>
      </c>
      <c r="U452" s="785">
        <v>44706.615312499998</v>
      </c>
    </row>
    <row r="453" spans="1:21">
      <c r="A453" s="782">
        <v>44706</v>
      </c>
      <c r="B453" s="783" t="s">
        <v>41</v>
      </c>
      <c r="C453" s="783" t="s">
        <v>4139</v>
      </c>
      <c r="D453" s="783" t="s">
        <v>4009</v>
      </c>
      <c r="E453" s="783" t="s">
        <v>5093</v>
      </c>
      <c r="F453" s="783" t="s">
        <v>4011</v>
      </c>
      <c r="G453" s="783" t="str">
        <f t="shared" si="26"/>
        <v>Renewal (15% in 2020)</v>
      </c>
      <c r="H453" s="783" t="s">
        <v>5094</v>
      </c>
      <c r="I453" s="783" t="s">
        <v>5095</v>
      </c>
      <c r="J453" s="783">
        <v>25</v>
      </c>
      <c r="K453" s="783" t="s">
        <v>99</v>
      </c>
      <c r="L453" s="783" t="s">
        <v>4096</v>
      </c>
      <c r="M453" s="784">
        <v>20908.89</v>
      </c>
      <c r="N453" s="784">
        <v>14.92</v>
      </c>
      <c r="O453" s="784">
        <v>6.37</v>
      </c>
      <c r="P453" s="783">
        <v>220</v>
      </c>
      <c r="Q453" s="783">
        <v>629.36</v>
      </c>
      <c r="R453" s="783">
        <v>386.39</v>
      </c>
      <c r="S453" s="783">
        <v>180.24</v>
      </c>
      <c r="T453" s="783">
        <v>62.73</v>
      </c>
      <c r="U453" s="785">
        <v>44708.575486111098</v>
      </c>
    </row>
    <row r="454" spans="1:21">
      <c r="A454" s="782">
        <v>44685</v>
      </c>
      <c r="B454" s="783" t="s">
        <v>41</v>
      </c>
      <c r="C454" s="783" t="s">
        <v>4139</v>
      </c>
      <c r="D454" s="783" t="s">
        <v>4009</v>
      </c>
      <c r="E454" s="783" t="s">
        <v>4563</v>
      </c>
      <c r="F454" s="783" t="s">
        <v>4011</v>
      </c>
      <c r="G454" s="783" t="str">
        <f t="shared" si="26"/>
        <v>Renewal (30% in 2020)</v>
      </c>
      <c r="H454" s="783" t="s">
        <v>4564</v>
      </c>
      <c r="I454" s="783" t="s">
        <v>4565</v>
      </c>
      <c r="J454" s="783">
        <v>30</v>
      </c>
      <c r="K454" s="783" t="s">
        <v>99</v>
      </c>
      <c r="L454" s="783" t="s">
        <v>4096</v>
      </c>
      <c r="M454" s="784">
        <v>91377.31</v>
      </c>
      <c r="N454" s="784">
        <v>61.36</v>
      </c>
      <c r="O454" s="784">
        <v>8.76</v>
      </c>
      <c r="P454" s="783">
        <v>170</v>
      </c>
      <c r="Q454" s="783">
        <v>2421.5</v>
      </c>
      <c r="R454" s="783">
        <v>2147.37</v>
      </c>
      <c r="S454" s="783">
        <v>0</v>
      </c>
      <c r="T454" s="783">
        <v>274.13</v>
      </c>
      <c r="U454" s="785">
        <v>44685.417777777802</v>
      </c>
    </row>
    <row r="455" spans="1:21">
      <c r="A455" s="782">
        <v>44684</v>
      </c>
      <c r="B455" s="783" t="s">
        <v>41</v>
      </c>
      <c r="C455" s="783" t="s">
        <v>4071</v>
      </c>
      <c r="D455" s="783" t="s">
        <v>4009</v>
      </c>
      <c r="E455" s="783" t="s">
        <v>5096</v>
      </c>
      <c r="F455" s="783" t="s">
        <v>4011</v>
      </c>
      <c r="G455" s="783" t="str">
        <f t="shared" si="26"/>
        <v>Renewal (30% in 2020)</v>
      </c>
      <c r="H455" s="783" t="s">
        <v>5097</v>
      </c>
      <c r="I455" s="783" t="s">
        <v>5098</v>
      </c>
      <c r="J455" s="783">
        <v>30</v>
      </c>
      <c r="K455" s="783" t="s">
        <v>99</v>
      </c>
      <c r="L455" s="783" t="s">
        <v>4096</v>
      </c>
      <c r="M455" s="784">
        <v>13164.8</v>
      </c>
      <c r="N455" s="784">
        <v>9.68</v>
      </c>
      <c r="O455" s="784">
        <v>8</v>
      </c>
      <c r="P455" s="783">
        <v>170</v>
      </c>
      <c r="Q455" s="783">
        <v>335.7</v>
      </c>
      <c r="R455" s="783">
        <v>297.52</v>
      </c>
      <c r="S455" s="783">
        <v>0</v>
      </c>
      <c r="T455" s="783">
        <v>38.18</v>
      </c>
      <c r="U455" s="785">
        <v>44705.6542708333</v>
      </c>
    </row>
    <row r="456" spans="1:21">
      <c r="A456" s="782">
        <v>44686</v>
      </c>
      <c r="B456" s="783" t="s">
        <v>41</v>
      </c>
      <c r="C456" s="783" t="s">
        <v>4139</v>
      </c>
      <c r="D456" s="783" t="s">
        <v>4009</v>
      </c>
      <c r="E456" s="783" t="s">
        <v>5099</v>
      </c>
      <c r="F456" s="783" t="s">
        <v>4011</v>
      </c>
      <c r="G456" s="783" t="str">
        <f t="shared" si="26"/>
        <v>New Contract</v>
      </c>
      <c r="H456" s="783" t="s">
        <v>5100</v>
      </c>
      <c r="I456" s="783" t="s">
        <v>5101</v>
      </c>
      <c r="J456" s="783">
        <v>20</v>
      </c>
      <c r="K456" s="783" t="s">
        <v>99</v>
      </c>
      <c r="L456" s="783" t="s">
        <v>4096</v>
      </c>
      <c r="M456" s="784">
        <v>72488.05</v>
      </c>
      <c r="N456" s="784">
        <v>63.22</v>
      </c>
      <c r="O456" s="784">
        <v>6.37</v>
      </c>
      <c r="P456" s="783">
        <v>180</v>
      </c>
      <c r="Q456" s="783">
        <v>2819.79</v>
      </c>
      <c r="R456" s="783">
        <v>1637.22</v>
      </c>
      <c r="S456" s="783">
        <v>327.2</v>
      </c>
      <c r="T456" s="783">
        <v>855.36</v>
      </c>
      <c r="U456" s="785">
        <v>44687.631249999999</v>
      </c>
    </row>
    <row r="457" spans="1:21">
      <c r="A457" s="782">
        <v>44685</v>
      </c>
      <c r="B457" s="783" t="s">
        <v>118</v>
      </c>
      <c r="C457" s="783" t="s">
        <v>4139</v>
      </c>
      <c r="D457" s="783" t="s">
        <v>4009</v>
      </c>
      <c r="E457" s="783" t="s">
        <v>5102</v>
      </c>
      <c r="F457" s="783" t="s">
        <v>4011</v>
      </c>
      <c r="G457" s="783" t="str">
        <f t="shared" si="26"/>
        <v>Renewal (15% in 2020)</v>
      </c>
      <c r="H457" s="783" t="s">
        <v>5103</v>
      </c>
      <c r="I457" s="783" t="s">
        <v>5104</v>
      </c>
      <c r="J457" s="783">
        <v>30</v>
      </c>
      <c r="K457" s="783" t="s">
        <v>99</v>
      </c>
      <c r="L457" s="783" t="s">
        <v>4096</v>
      </c>
      <c r="M457" s="784">
        <v>52642.22</v>
      </c>
      <c r="N457" s="784">
        <v>36.24</v>
      </c>
      <c r="O457" s="784">
        <v>8.07</v>
      </c>
      <c r="P457" s="783">
        <v>180</v>
      </c>
      <c r="Q457" s="783">
        <v>1395.02</v>
      </c>
      <c r="R457" s="783">
        <v>1188.98</v>
      </c>
      <c r="S457" s="783">
        <v>48.11</v>
      </c>
      <c r="T457" s="783">
        <v>157.93</v>
      </c>
      <c r="U457" s="785">
        <v>44687.648854166699</v>
      </c>
    </row>
    <row r="458" spans="1:21">
      <c r="A458" s="782">
        <v>44685</v>
      </c>
      <c r="B458" s="783" t="s">
        <v>51</v>
      </c>
      <c r="C458" s="783" t="s">
        <v>4796</v>
      </c>
      <c r="D458" s="783" t="s">
        <v>4016</v>
      </c>
      <c r="E458" s="783" t="s">
        <v>5105</v>
      </c>
      <c r="F458" s="783" t="s">
        <v>4011</v>
      </c>
      <c r="G458" s="783" t="str">
        <f t="shared" si="26"/>
        <v>Renewal (20% in 2020)</v>
      </c>
      <c r="H458" s="783" t="s">
        <v>5106</v>
      </c>
      <c r="I458" s="783" t="s">
        <v>5107</v>
      </c>
      <c r="J458" s="783">
        <v>20</v>
      </c>
      <c r="K458" s="783" t="s">
        <v>99</v>
      </c>
      <c r="L458" s="783" t="s">
        <v>4096</v>
      </c>
      <c r="M458" s="784">
        <v>72996.44</v>
      </c>
      <c r="N458" s="784">
        <v>53.54</v>
      </c>
      <c r="O458" s="784">
        <v>8.02</v>
      </c>
      <c r="P458" s="783">
        <v>170</v>
      </c>
      <c r="Q458" s="783">
        <v>5219.25</v>
      </c>
      <c r="R458" s="783">
        <v>3080.45</v>
      </c>
      <c r="S458" s="783">
        <v>467.18</v>
      </c>
      <c r="T458" s="783">
        <v>1671.62</v>
      </c>
      <c r="U458" s="785">
        <v>44685.660266203697</v>
      </c>
    </row>
    <row r="459" spans="1:21">
      <c r="A459" s="782">
        <v>44687</v>
      </c>
      <c r="B459" s="783" t="s">
        <v>41</v>
      </c>
      <c r="C459" s="783" t="s">
        <v>4082</v>
      </c>
      <c r="D459" s="783" t="s">
        <v>4009</v>
      </c>
      <c r="E459" s="783" t="s">
        <v>1515</v>
      </c>
      <c r="F459" s="783" t="s">
        <v>4011</v>
      </c>
      <c r="G459" s="783" t="str">
        <f t="shared" si="26"/>
        <v>Renewal (15% in 2020)</v>
      </c>
      <c r="H459" s="783" t="s">
        <v>5108</v>
      </c>
      <c r="I459" s="783" t="s">
        <v>5109</v>
      </c>
      <c r="J459" s="783">
        <v>15</v>
      </c>
      <c r="K459" s="783" t="s">
        <v>99</v>
      </c>
      <c r="L459" s="783" t="s">
        <v>4096</v>
      </c>
      <c r="M459" s="784">
        <v>12941.25</v>
      </c>
      <c r="N459" s="784">
        <v>11.9</v>
      </c>
      <c r="O459" s="784">
        <v>7.25</v>
      </c>
      <c r="P459" s="783">
        <v>150</v>
      </c>
      <c r="Q459" s="783">
        <v>859.3</v>
      </c>
      <c r="R459" s="783">
        <v>377.88</v>
      </c>
      <c r="S459" s="783">
        <v>67.290000000000006</v>
      </c>
      <c r="T459" s="783">
        <v>414.12</v>
      </c>
      <c r="U459" s="785">
        <v>44690.597314814797</v>
      </c>
    </row>
    <row r="460" spans="1:21">
      <c r="A460" s="782">
        <v>44686</v>
      </c>
      <c r="B460" s="783" t="s">
        <v>41</v>
      </c>
      <c r="C460" s="783" t="s">
        <v>4071</v>
      </c>
      <c r="D460" s="783" t="s">
        <v>4009</v>
      </c>
      <c r="E460" s="783" t="s">
        <v>505</v>
      </c>
      <c r="F460" s="783" t="s">
        <v>4011</v>
      </c>
      <c r="G460" s="783" t="str">
        <f t="shared" si="26"/>
        <v>Renewal (15% in 2020)</v>
      </c>
      <c r="H460" s="783" t="s">
        <v>4112</v>
      </c>
      <c r="I460" s="783" t="s">
        <v>4113</v>
      </c>
      <c r="J460" s="783">
        <v>15</v>
      </c>
      <c r="K460" s="783" t="s">
        <v>99</v>
      </c>
      <c r="L460" s="783" t="s">
        <v>4096</v>
      </c>
      <c r="M460" s="784">
        <v>74600.740000000005</v>
      </c>
      <c r="N460" s="784">
        <v>102.77</v>
      </c>
      <c r="O460" s="784">
        <v>4.2699999999999996</v>
      </c>
      <c r="P460" s="783">
        <v>170</v>
      </c>
      <c r="Q460" s="783">
        <v>3744.96</v>
      </c>
      <c r="R460" s="783">
        <v>1685.98</v>
      </c>
      <c r="S460" s="783">
        <v>261.10000000000002</v>
      </c>
      <c r="T460" s="783">
        <v>1797.88</v>
      </c>
      <c r="U460" s="785">
        <v>44687.621053240699</v>
      </c>
    </row>
    <row r="461" spans="1:21">
      <c r="A461" s="782">
        <v>44687</v>
      </c>
      <c r="B461" s="783" t="s">
        <v>51</v>
      </c>
      <c r="C461" s="783" t="s">
        <v>4042</v>
      </c>
      <c r="D461" s="783" t="s">
        <v>4016</v>
      </c>
      <c r="E461" s="783" t="s">
        <v>908</v>
      </c>
      <c r="F461" s="783" t="s">
        <v>4011</v>
      </c>
      <c r="G461" s="783" t="str">
        <f t="shared" si="26"/>
        <v>Renewal (20% in 2020)</v>
      </c>
      <c r="H461" s="783" t="s">
        <v>5110</v>
      </c>
      <c r="I461" s="783" t="s">
        <v>5111</v>
      </c>
      <c r="J461" s="783">
        <v>20</v>
      </c>
      <c r="K461" s="783" t="s">
        <v>99</v>
      </c>
      <c r="L461" s="783" t="s">
        <v>4096</v>
      </c>
      <c r="M461" s="784">
        <v>114328.5</v>
      </c>
      <c r="N461" s="784">
        <v>106.6</v>
      </c>
      <c r="O461" s="784">
        <v>7.15</v>
      </c>
      <c r="P461" s="783">
        <v>150</v>
      </c>
      <c r="Q461" s="783">
        <v>4973.29</v>
      </c>
      <c r="R461" s="783">
        <v>3212.63</v>
      </c>
      <c r="S461" s="783">
        <v>491.61</v>
      </c>
      <c r="T461" s="783">
        <v>1269.05</v>
      </c>
      <c r="U461" s="785">
        <v>44687.673564814802</v>
      </c>
    </row>
    <row r="462" spans="1:21">
      <c r="A462" s="782">
        <v>44692</v>
      </c>
      <c r="B462" s="783" t="s">
        <v>30</v>
      </c>
      <c r="C462" s="783" t="s">
        <v>4239</v>
      </c>
      <c r="D462" s="783" t="s">
        <v>4021</v>
      </c>
      <c r="E462" s="783" t="s">
        <v>5112</v>
      </c>
      <c r="F462" s="783" t="s">
        <v>4011</v>
      </c>
      <c r="G462" s="783" t="str">
        <f t="shared" si="26"/>
        <v>Renewal (30% in 2020)</v>
      </c>
      <c r="H462" s="783" t="s">
        <v>5113</v>
      </c>
      <c r="I462" s="783" t="s">
        <v>5114</v>
      </c>
      <c r="J462" s="783">
        <v>25</v>
      </c>
      <c r="K462" s="783" t="s">
        <v>99</v>
      </c>
      <c r="L462" s="783" t="s">
        <v>4096</v>
      </c>
      <c r="M462" s="784">
        <v>35475.160000000003</v>
      </c>
      <c r="N462" s="784">
        <v>25.41</v>
      </c>
      <c r="O462" s="784">
        <v>8.07</v>
      </c>
      <c r="P462" s="783">
        <v>173</v>
      </c>
      <c r="Q462" s="783">
        <v>1216.8</v>
      </c>
      <c r="R462" s="783">
        <v>879.78</v>
      </c>
      <c r="S462" s="783">
        <v>180.92</v>
      </c>
      <c r="T462" s="783">
        <v>156.09</v>
      </c>
      <c r="U462" s="785">
        <v>44692.484965277799</v>
      </c>
    </row>
    <row r="463" spans="1:21">
      <c r="A463" s="782">
        <v>44696</v>
      </c>
      <c r="B463" s="783" t="s">
        <v>47</v>
      </c>
      <c r="C463" s="783" t="s">
        <v>4244</v>
      </c>
      <c r="D463" s="783" t="s">
        <v>4102</v>
      </c>
      <c r="E463" s="783" t="s">
        <v>1437</v>
      </c>
      <c r="F463" s="783" t="s">
        <v>4011</v>
      </c>
      <c r="G463" s="783" t="str">
        <f t="shared" si="26"/>
        <v>Renewal (30% in 2020)</v>
      </c>
      <c r="H463" s="783" t="s">
        <v>5115</v>
      </c>
      <c r="I463" s="783" t="s">
        <v>5116</v>
      </c>
      <c r="J463" s="783">
        <v>30</v>
      </c>
      <c r="K463" s="783" t="s">
        <v>99</v>
      </c>
      <c r="L463" s="783" t="s">
        <v>4096</v>
      </c>
      <c r="M463" s="784">
        <v>95105.34</v>
      </c>
      <c r="N463" s="784">
        <v>53.37</v>
      </c>
      <c r="O463" s="784">
        <v>9.9</v>
      </c>
      <c r="P463" s="783">
        <v>180</v>
      </c>
      <c r="Q463" s="783">
        <v>2463.23</v>
      </c>
      <c r="R463" s="783">
        <v>2065.79</v>
      </c>
      <c r="S463" s="783">
        <v>83.59</v>
      </c>
      <c r="T463" s="783">
        <v>313.85000000000002</v>
      </c>
      <c r="U463" s="785">
        <v>44697.413182870398</v>
      </c>
    </row>
    <row r="464" spans="1:21">
      <c r="A464" s="782">
        <v>44685</v>
      </c>
      <c r="B464" s="783" t="s">
        <v>47</v>
      </c>
      <c r="C464" s="783" t="s">
        <v>4244</v>
      </c>
      <c r="D464" s="783" t="s">
        <v>4102</v>
      </c>
      <c r="E464" s="783" t="s">
        <v>425</v>
      </c>
      <c r="F464" s="783" t="s">
        <v>4011</v>
      </c>
      <c r="G464" s="783" t="str">
        <f t="shared" si="26"/>
        <v>Renewal (30% in 2020)</v>
      </c>
      <c r="H464" s="783" t="s">
        <v>4245</v>
      </c>
      <c r="I464" s="783" t="s">
        <v>4246</v>
      </c>
      <c r="J464" s="783">
        <v>30</v>
      </c>
      <c r="K464" s="783" t="s">
        <v>99</v>
      </c>
      <c r="L464" s="783" t="s">
        <v>4096</v>
      </c>
      <c r="M464" s="784">
        <v>96597.01</v>
      </c>
      <c r="N464" s="784">
        <v>64.05</v>
      </c>
      <c r="O464" s="784">
        <v>9.73</v>
      </c>
      <c r="P464" s="783">
        <v>155</v>
      </c>
      <c r="Q464" s="783">
        <v>2501.86</v>
      </c>
      <c r="R464" s="783">
        <v>2183.09</v>
      </c>
      <c r="S464" s="783">
        <v>0</v>
      </c>
      <c r="T464" s="783">
        <v>318.77</v>
      </c>
      <c r="U464" s="785">
        <v>44685.419155092597</v>
      </c>
    </row>
    <row r="465" spans="1:21">
      <c r="A465" s="782">
        <v>44685</v>
      </c>
      <c r="B465" s="783" t="s">
        <v>4025</v>
      </c>
      <c r="C465" s="783" t="s">
        <v>4026</v>
      </c>
      <c r="D465" s="783" t="s">
        <v>4021</v>
      </c>
      <c r="E465" s="783" t="s">
        <v>4114</v>
      </c>
      <c r="F465" s="783" t="s">
        <v>4011</v>
      </c>
      <c r="G465" s="783" t="s">
        <v>4028</v>
      </c>
      <c r="H465" s="783" t="s">
        <v>4115</v>
      </c>
      <c r="I465" s="783" t="s">
        <v>4116</v>
      </c>
      <c r="J465" s="783">
        <v>25</v>
      </c>
      <c r="K465" s="783" t="s">
        <v>99</v>
      </c>
      <c r="L465" s="783" t="s">
        <v>4096</v>
      </c>
      <c r="M465" s="784">
        <v>74780.350000000006</v>
      </c>
      <c r="N465" s="784">
        <v>68.33</v>
      </c>
      <c r="O465" s="784">
        <v>5.76</v>
      </c>
      <c r="P465" s="783">
        <v>190</v>
      </c>
      <c r="Q465" s="783">
        <v>3424.94</v>
      </c>
      <c r="R465" s="783">
        <v>2301.42</v>
      </c>
      <c r="S465" s="783">
        <v>615.01</v>
      </c>
      <c r="T465" s="783">
        <v>508.51</v>
      </c>
      <c r="U465" s="785">
        <v>44685.413182870398</v>
      </c>
    </row>
    <row r="466" spans="1:21">
      <c r="A466" s="782">
        <v>44684</v>
      </c>
      <c r="B466" s="783" t="s">
        <v>4025</v>
      </c>
      <c r="C466" s="783" t="s">
        <v>4026</v>
      </c>
      <c r="D466" s="783" t="s">
        <v>4021</v>
      </c>
      <c r="E466" s="783" t="s">
        <v>5117</v>
      </c>
      <c r="F466" s="783" t="s">
        <v>4011</v>
      </c>
      <c r="G466" s="783" t="str">
        <f t="shared" ref="G466:G494" si="27">VLOOKUP(I466,pacage,2,FALSE)</f>
        <v>New Contract</v>
      </c>
      <c r="H466" s="783" t="s">
        <v>5118</v>
      </c>
      <c r="I466" s="783" t="s">
        <v>5119</v>
      </c>
      <c r="J466" s="783">
        <v>25</v>
      </c>
      <c r="K466" s="783" t="s">
        <v>99</v>
      </c>
      <c r="L466" s="783" t="s">
        <v>4096</v>
      </c>
      <c r="M466" s="784">
        <v>47403.88</v>
      </c>
      <c r="N466" s="784">
        <v>39.24</v>
      </c>
      <c r="O466" s="784">
        <v>6.53</v>
      </c>
      <c r="P466" s="783">
        <v>185</v>
      </c>
      <c r="Q466" s="783">
        <v>2171.1</v>
      </c>
      <c r="R466" s="783">
        <v>1498.32</v>
      </c>
      <c r="S466" s="783">
        <v>350.43</v>
      </c>
      <c r="T466" s="783">
        <v>322.35000000000002</v>
      </c>
      <c r="U466" s="785">
        <v>44685.446539351899</v>
      </c>
    </row>
    <row r="467" spans="1:21">
      <c r="A467" s="782">
        <v>44684</v>
      </c>
      <c r="B467" s="783" t="s">
        <v>113</v>
      </c>
      <c r="C467" s="783" t="s">
        <v>4602</v>
      </c>
      <c r="D467" s="783" t="s">
        <v>4038</v>
      </c>
      <c r="E467" s="783" t="s">
        <v>5120</v>
      </c>
      <c r="F467" s="783" t="s">
        <v>4011</v>
      </c>
      <c r="G467" s="783" t="str">
        <f t="shared" si="27"/>
        <v>New contract</v>
      </c>
      <c r="H467" s="783" t="s">
        <v>5121</v>
      </c>
      <c r="I467" s="783" t="s">
        <v>5122</v>
      </c>
      <c r="J467" s="783">
        <v>25</v>
      </c>
      <c r="K467" s="783" t="s">
        <v>99</v>
      </c>
      <c r="L467" s="783" t="s">
        <v>4096</v>
      </c>
      <c r="M467" s="784">
        <v>98854.07</v>
      </c>
      <c r="N467" s="784">
        <v>82.98</v>
      </c>
      <c r="O467" s="784">
        <v>6.27</v>
      </c>
      <c r="P467" s="783">
        <v>190</v>
      </c>
      <c r="Q467" s="783">
        <v>2995.28</v>
      </c>
      <c r="R467" s="783">
        <v>2007.21</v>
      </c>
      <c r="S467" s="783">
        <v>642.08000000000004</v>
      </c>
      <c r="T467" s="783">
        <v>345.99</v>
      </c>
      <c r="U467" s="785">
        <v>44687.652731481503</v>
      </c>
    </row>
    <row r="468" spans="1:21">
      <c r="A468" s="782">
        <v>44681</v>
      </c>
      <c r="B468" s="783" t="s">
        <v>4025</v>
      </c>
      <c r="C468" s="783" t="s">
        <v>4026</v>
      </c>
      <c r="D468" s="783" t="s">
        <v>4021</v>
      </c>
      <c r="E468" s="783" t="s">
        <v>5123</v>
      </c>
      <c r="F468" s="783" t="s">
        <v>4011</v>
      </c>
      <c r="G468" s="783" t="str">
        <f t="shared" si="27"/>
        <v>New Contract</v>
      </c>
      <c r="H468" s="783" t="s">
        <v>5124</v>
      </c>
      <c r="I468" s="783" t="s">
        <v>5125</v>
      </c>
      <c r="J468" s="783">
        <v>20</v>
      </c>
      <c r="K468" s="783" t="s">
        <v>99</v>
      </c>
      <c r="L468" s="783" t="s">
        <v>4096</v>
      </c>
      <c r="M468" s="784">
        <v>228267.18</v>
      </c>
      <c r="N468" s="784">
        <v>138.27000000000001</v>
      </c>
      <c r="O468" s="784">
        <v>7.37</v>
      </c>
      <c r="P468" s="783">
        <v>224</v>
      </c>
      <c r="Q468" s="783">
        <v>13376.46</v>
      </c>
      <c r="R468" s="783">
        <v>5958.79</v>
      </c>
      <c r="S468" s="783">
        <v>2943.63</v>
      </c>
      <c r="T468" s="783">
        <v>4474.04</v>
      </c>
      <c r="U468" s="785">
        <v>44701.992164351897</v>
      </c>
    </row>
    <row r="469" spans="1:21">
      <c r="A469" s="782">
        <v>44684</v>
      </c>
      <c r="B469" s="783" t="s">
        <v>41</v>
      </c>
      <c r="C469" s="783" t="s">
        <v>4092</v>
      </c>
      <c r="D469" s="783" t="s">
        <v>4009</v>
      </c>
      <c r="E469" s="783" t="s">
        <v>4569</v>
      </c>
      <c r="F469" s="783" t="s">
        <v>4011</v>
      </c>
      <c r="G469" s="783" t="str">
        <f t="shared" si="27"/>
        <v>Renewal (20% in 2020)</v>
      </c>
      <c r="H469" s="783" t="s">
        <v>4570</v>
      </c>
      <c r="I469" s="783" t="s">
        <v>4571</v>
      </c>
      <c r="J469" s="783">
        <v>20</v>
      </c>
      <c r="K469" s="783" t="s">
        <v>99</v>
      </c>
      <c r="L469" s="783" t="s">
        <v>4096</v>
      </c>
      <c r="M469" s="784">
        <v>51261.06</v>
      </c>
      <c r="N469" s="784">
        <v>37.15</v>
      </c>
      <c r="O469" s="784">
        <v>6.16</v>
      </c>
      <c r="P469" s="783">
        <v>224</v>
      </c>
      <c r="Q469" s="783">
        <v>2686.08</v>
      </c>
      <c r="R469" s="783">
        <v>1223.33</v>
      </c>
      <c r="S469" s="783">
        <v>642.57000000000005</v>
      </c>
      <c r="T469" s="783">
        <v>820.18</v>
      </c>
      <c r="U469" s="785">
        <v>44685.412025463003</v>
      </c>
    </row>
    <row r="470" spans="1:21">
      <c r="A470" s="782">
        <v>44697</v>
      </c>
      <c r="B470" s="783" t="s">
        <v>51</v>
      </c>
      <c r="C470" s="783" t="s">
        <v>4042</v>
      </c>
      <c r="D470" s="783" t="s">
        <v>4016</v>
      </c>
      <c r="E470" s="783" t="s">
        <v>2427</v>
      </c>
      <c r="F470" s="783" t="s">
        <v>4011</v>
      </c>
      <c r="G470" s="783" t="str">
        <f t="shared" si="27"/>
        <v>Renewal (20% in 2020)</v>
      </c>
      <c r="H470" s="783" t="s">
        <v>5126</v>
      </c>
      <c r="I470" s="783" t="s">
        <v>5127</v>
      </c>
      <c r="J470" s="783">
        <v>20</v>
      </c>
      <c r="K470" s="783" t="s">
        <v>99</v>
      </c>
      <c r="L470" s="783" t="s">
        <v>4096</v>
      </c>
      <c r="M470" s="784">
        <v>69530.399999999994</v>
      </c>
      <c r="N470" s="784">
        <v>53.28</v>
      </c>
      <c r="O470" s="784">
        <v>8.6999999999999993</v>
      </c>
      <c r="P470" s="783">
        <v>150</v>
      </c>
      <c r="Q470" s="783">
        <v>3024.57</v>
      </c>
      <c r="R470" s="783">
        <v>1953.8</v>
      </c>
      <c r="S470" s="783">
        <v>298.98</v>
      </c>
      <c r="T470" s="783">
        <v>771.79</v>
      </c>
      <c r="U470" s="785">
        <v>44698.485787037003</v>
      </c>
    </row>
    <row r="471" spans="1:21">
      <c r="A471" s="782">
        <v>44690</v>
      </c>
      <c r="B471" s="783" t="s">
        <v>41</v>
      </c>
      <c r="C471" s="783" t="s">
        <v>4071</v>
      </c>
      <c r="D471" s="783" t="s">
        <v>4009</v>
      </c>
      <c r="E471" s="783" t="s">
        <v>1477</v>
      </c>
      <c r="F471" s="783" t="s">
        <v>4011</v>
      </c>
      <c r="G471" s="783" t="str">
        <f t="shared" si="27"/>
        <v>Renewal (15% in 2020)</v>
      </c>
      <c r="H471" s="783" t="s">
        <v>5128</v>
      </c>
      <c r="I471" s="783" t="s">
        <v>5129</v>
      </c>
      <c r="J471" s="783">
        <v>15</v>
      </c>
      <c r="K471" s="783" t="s">
        <v>99</v>
      </c>
      <c r="L471" s="783" t="s">
        <v>4096</v>
      </c>
      <c r="M471" s="784">
        <v>68847.789999999994</v>
      </c>
      <c r="N471" s="784">
        <v>66.94</v>
      </c>
      <c r="O471" s="784">
        <v>6.05</v>
      </c>
      <c r="P471" s="783">
        <v>170</v>
      </c>
      <c r="Q471" s="783">
        <v>3456.16</v>
      </c>
      <c r="R471" s="783">
        <v>1555.96</v>
      </c>
      <c r="S471" s="783">
        <v>240.97</v>
      </c>
      <c r="T471" s="783">
        <v>1659.23</v>
      </c>
      <c r="U471" s="785">
        <v>44690.681192129603</v>
      </c>
    </row>
    <row r="472" spans="1:21">
      <c r="A472" s="782">
        <v>44685</v>
      </c>
      <c r="B472" s="783" t="s">
        <v>41</v>
      </c>
      <c r="C472" s="783" t="s">
        <v>4139</v>
      </c>
      <c r="D472" s="783" t="s">
        <v>4009</v>
      </c>
      <c r="E472" s="783" t="s">
        <v>737</v>
      </c>
      <c r="F472" s="783" t="s">
        <v>4011</v>
      </c>
      <c r="G472" s="783" t="str">
        <f t="shared" si="27"/>
        <v>Renewal (20% in 2020)</v>
      </c>
      <c r="H472" s="783" t="s">
        <v>5130</v>
      </c>
      <c r="I472" s="783" t="s">
        <v>5131</v>
      </c>
      <c r="J472" s="783">
        <v>20</v>
      </c>
      <c r="K472" s="783" t="s">
        <v>99</v>
      </c>
      <c r="L472" s="783" t="s">
        <v>4096</v>
      </c>
      <c r="M472" s="784">
        <v>62459.65</v>
      </c>
      <c r="N472" s="784">
        <v>59.77</v>
      </c>
      <c r="O472" s="784">
        <v>5.5</v>
      </c>
      <c r="P472" s="783">
        <v>190</v>
      </c>
      <c r="Q472" s="783">
        <v>2429.6799999999998</v>
      </c>
      <c r="R472" s="783">
        <v>1336.47</v>
      </c>
      <c r="S472" s="783">
        <v>356.18</v>
      </c>
      <c r="T472" s="783">
        <v>737.02</v>
      </c>
      <c r="U472" s="785">
        <v>44687.665717592601</v>
      </c>
    </row>
    <row r="473" spans="1:21">
      <c r="A473" s="782">
        <v>44697</v>
      </c>
      <c r="B473" s="783" t="s">
        <v>41</v>
      </c>
      <c r="C473" s="783" t="s">
        <v>4082</v>
      </c>
      <c r="D473" s="783" t="s">
        <v>4009</v>
      </c>
      <c r="E473" s="783" t="s">
        <v>5132</v>
      </c>
      <c r="F473" s="783" t="s">
        <v>4011</v>
      </c>
      <c r="G473" s="783" t="str">
        <f t="shared" si="27"/>
        <v>Renewal (15% in 2020)</v>
      </c>
      <c r="H473" s="783" t="s">
        <v>5133</v>
      </c>
      <c r="I473" s="783" t="s">
        <v>5134</v>
      </c>
      <c r="J473" s="783">
        <v>20</v>
      </c>
      <c r="K473" s="783" t="s">
        <v>99</v>
      </c>
      <c r="L473" s="783" t="s">
        <v>4096</v>
      </c>
      <c r="M473" s="784">
        <v>42712.35</v>
      </c>
      <c r="N473" s="784">
        <v>41.26</v>
      </c>
      <c r="O473" s="784">
        <v>6.47</v>
      </c>
      <c r="P473" s="783">
        <v>160</v>
      </c>
      <c r="Q473" s="783">
        <v>2114.2600000000002</v>
      </c>
      <c r="R473" s="783">
        <v>1247.2</v>
      </c>
      <c r="S473" s="783">
        <v>222.1</v>
      </c>
      <c r="T473" s="783">
        <v>644.96</v>
      </c>
      <c r="U473" s="785">
        <v>44705.6020138889</v>
      </c>
    </row>
    <row r="474" spans="1:21">
      <c r="A474" s="782">
        <v>44692</v>
      </c>
      <c r="B474" s="783" t="s">
        <v>74</v>
      </c>
      <c r="C474" s="783" t="s">
        <v>4037</v>
      </c>
      <c r="D474" s="783" t="s">
        <v>4038</v>
      </c>
      <c r="E474" s="783" t="s">
        <v>4572</v>
      </c>
      <c r="F474" s="783" t="s">
        <v>4011</v>
      </c>
      <c r="G474" s="783" t="str">
        <f t="shared" si="27"/>
        <v>Renewal (15% in 2020)</v>
      </c>
      <c r="H474" s="783" t="s">
        <v>4573</v>
      </c>
      <c r="I474" s="783" t="s">
        <v>4574</v>
      </c>
      <c r="J474" s="783">
        <v>25</v>
      </c>
      <c r="K474" s="783" t="s">
        <v>99</v>
      </c>
      <c r="L474" s="783" t="s">
        <v>4096</v>
      </c>
      <c r="M474" s="784">
        <v>61087.5</v>
      </c>
      <c r="N474" s="784">
        <v>56.25</v>
      </c>
      <c r="O474" s="784">
        <v>5.43</v>
      </c>
      <c r="P474" s="783">
        <v>200</v>
      </c>
      <c r="Q474" s="783">
        <v>3530.86</v>
      </c>
      <c r="R474" s="783">
        <v>2092.4899999999998</v>
      </c>
      <c r="S474" s="783">
        <v>711.43</v>
      </c>
      <c r="T474" s="783">
        <v>726.94</v>
      </c>
      <c r="U474" s="785">
        <v>44692.518634259301</v>
      </c>
    </row>
    <row r="475" spans="1:21">
      <c r="A475" s="782">
        <v>44687</v>
      </c>
      <c r="B475" s="783" t="s">
        <v>41</v>
      </c>
      <c r="C475" s="783" t="s">
        <v>4071</v>
      </c>
      <c r="D475" s="783" t="s">
        <v>4009</v>
      </c>
      <c r="E475" s="783" t="s">
        <v>404</v>
      </c>
      <c r="F475" s="783" t="s">
        <v>4011</v>
      </c>
      <c r="G475" s="783" t="str">
        <f t="shared" si="27"/>
        <v>Renewal (15% in 2020)</v>
      </c>
      <c r="H475" s="783" t="s">
        <v>5135</v>
      </c>
      <c r="I475" s="783" t="s">
        <v>5136</v>
      </c>
      <c r="J475" s="783">
        <v>15</v>
      </c>
      <c r="K475" s="783" t="s">
        <v>99</v>
      </c>
      <c r="L475" s="783" t="s">
        <v>4096</v>
      </c>
      <c r="M475" s="784">
        <v>31785.08</v>
      </c>
      <c r="N475" s="784">
        <v>28.83</v>
      </c>
      <c r="O475" s="784">
        <v>6.3</v>
      </c>
      <c r="P475" s="783">
        <v>175</v>
      </c>
      <c r="Q475" s="783">
        <v>1595.61</v>
      </c>
      <c r="R475" s="783">
        <v>710.13</v>
      </c>
      <c r="S475" s="783">
        <v>119.46</v>
      </c>
      <c r="T475" s="783">
        <v>766.02</v>
      </c>
      <c r="U475" s="785">
        <v>44687.593969907401</v>
      </c>
    </row>
    <row r="476" spans="1:21">
      <c r="A476" s="782">
        <v>44687</v>
      </c>
      <c r="B476" s="783" t="s">
        <v>41</v>
      </c>
      <c r="C476" s="783" t="s">
        <v>4092</v>
      </c>
      <c r="D476" s="783" t="s">
        <v>4009</v>
      </c>
      <c r="E476" s="783" t="s">
        <v>404</v>
      </c>
      <c r="F476" s="783" t="s">
        <v>4011</v>
      </c>
      <c r="G476" s="783" t="str">
        <f t="shared" si="27"/>
        <v>Renewal (15% in 2020)</v>
      </c>
      <c r="H476" s="783" t="s">
        <v>5135</v>
      </c>
      <c r="I476" s="783" t="s">
        <v>5136</v>
      </c>
      <c r="J476" s="783">
        <v>15</v>
      </c>
      <c r="K476" s="783" t="s">
        <v>99</v>
      </c>
      <c r="L476" s="783" t="s">
        <v>4096</v>
      </c>
      <c r="M476" s="784">
        <v>10275.299999999999</v>
      </c>
      <c r="N476" s="784">
        <v>9.32</v>
      </c>
      <c r="O476" s="784">
        <v>6.3</v>
      </c>
      <c r="P476" s="783">
        <v>175</v>
      </c>
      <c r="Q476" s="783">
        <v>721.33</v>
      </c>
      <c r="R476" s="783">
        <v>313.88</v>
      </c>
      <c r="S476" s="783">
        <v>60.14</v>
      </c>
      <c r="T476" s="783">
        <v>347.31</v>
      </c>
      <c r="U476" s="785">
        <v>44687.593981481499</v>
      </c>
    </row>
    <row r="477" spans="1:21">
      <c r="A477" s="782">
        <v>44687</v>
      </c>
      <c r="B477" s="783" t="s">
        <v>228</v>
      </c>
      <c r="C477" s="783" t="s">
        <v>4247</v>
      </c>
      <c r="D477" s="783" t="s">
        <v>4248</v>
      </c>
      <c r="E477" s="783" t="s">
        <v>3566</v>
      </c>
      <c r="F477" s="783" t="s">
        <v>4011</v>
      </c>
      <c r="G477" s="783" t="str">
        <f t="shared" si="27"/>
        <v>Renewal (25% in 2020)</v>
      </c>
      <c r="H477" s="783" t="s">
        <v>4249</v>
      </c>
      <c r="I477" s="783" t="s">
        <v>4250</v>
      </c>
      <c r="J477" s="783">
        <v>25</v>
      </c>
      <c r="K477" s="783" t="s">
        <v>99</v>
      </c>
      <c r="L477" s="783" t="s">
        <v>4096</v>
      </c>
      <c r="M477" s="784">
        <v>70822.5</v>
      </c>
      <c r="N477" s="784">
        <v>47.5</v>
      </c>
      <c r="O477" s="784">
        <v>7.1</v>
      </c>
      <c r="P477" s="783">
        <v>210</v>
      </c>
      <c r="Q477" s="783">
        <v>3151.6</v>
      </c>
      <c r="R477" s="783">
        <v>2012.88</v>
      </c>
      <c r="S477" s="783">
        <v>798.78</v>
      </c>
      <c r="T477" s="783">
        <v>339.95</v>
      </c>
      <c r="U477" s="785">
        <v>44687.670960648102</v>
      </c>
    </row>
    <row r="478" spans="1:21">
      <c r="A478" s="782">
        <v>44691</v>
      </c>
      <c r="B478" s="783" t="s">
        <v>30</v>
      </c>
      <c r="C478" s="783" t="s">
        <v>4239</v>
      </c>
      <c r="D478" s="783" t="s">
        <v>4021</v>
      </c>
      <c r="E478" s="783" t="s">
        <v>5137</v>
      </c>
      <c r="F478" s="783" t="s">
        <v>4011</v>
      </c>
      <c r="G478" s="783" t="str">
        <f t="shared" si="27"/>
        <v>Renewal (30% in 2020)</v>
      </c>
      <c r="H478" s="783" t="s">
        <v>5138</v>
      </c>
      <c r="I478" s="783" t="s">
        <v>5139</v>
      </c>
      <c r="J478" s="783">
        <v>30</v>
      </c>
      <c r="K478" s="783" t="s">
        <v>99</v>
      </c>
      <c r="L478" s="783" t="s">
        <v>4096</v>
      </c>
      <c r="M478" s="784">
        <v>51108.480000000003</v>
      </c>
      <c r="N478" s="784">
        <v>42.03</v>
      </c>
      <c r="O478" s="784">
        <v>6.4</v>
      </c>
      <c r="P478" s="783">
        <v>190</v>
      </c>
      <c r="Q478" s="783">
        <v>1492.37</v>
      </c>
      <c r="R478" s="783">
        <v>1154.08</v>
      </c>
      <c r="S478" s="783">
        <v>113.41</v>
      </c>
      <c r="T478" s="783">
        <v>224.88</v>
      </c>
      <c r="U478" s="785">
        <v>44692.462071759299</v>
      </c>
    </row>
    <row r="479" spans="1:21">
      <c r="A479" s="782">
        <v>44690</v>
      </c>
      <c r="B479" s="783" t="s">
        <v>41</v>
      </c>
      <c r="C479" s="783" t="s">
        <v>4071</v>
      </c>
      <c r="D479" s="783" t="s">
        <v>4009</v>
      </c>
      <c r="E479" s="783" t="s">
        <v>1570</v>
      </c>
      <c r="F479" s="783" t="s">
        <v>4011</v>
      </c>
      <c r="G479" s="783" t="str">
        <f t="shared" si="27"/>
        <v>Renewal (30% in 2020)</v>
      </c>
      <c r="H479" s="783" t="s">
        <v>5140</v>
      </c>
      <c r="I479" s="783" t="s">
        <v>5141</v>
      </c>
      <c r="J479" s="783">
        <v>30</v>
      </c>
      <c r="K479" s="783" t="s">
        <v>99</v>
      </c>
      <c r="L479" s="783" t="s">
        <v>4096</v>
      </c>
      <c r="M479" s="784">
        <v>45244.66</v>
      </c>
      <c r="N479" s="784">
        <v>34.479999999999997</v>
      </c>
      <c r="O479" s="784">
        <v>7.29</v>
      </c>
      <c r="P479" s="783">
        <v>180</v>
      </c>
      <c r="Q479" s="783">
        <v>1153.74</v>
      </c>
      <c r="R479" s="783">
        <v>982.76</v>
      </c>
      <c r="S479" s="783">
        <v>39.770000000000003</v>
      </c>
      <c r="T479" s="783">
        <v>131.21</v>
      </c>
      <c r="U479" s="785">
        <v>44691.507743055598</v>
      </c>
    </row>
    <row r="480" spans="1:21">
      <c r="A480" s="782">
        <v>44690</v>
      </c>
      <c r="B480" s="783" t="s">
        <v>41</v>
      </c>
      <c r="C480" s="783" t="s">
        <v>4092</v>
      </c>
      <c r="D480" s="783" t="s">
        <v>4009</v>
      </c>
      <c r="E480" s="783" t="s">
        <v>1570</v>
      </c>
      <c r="F480" s="783" t="s">
        <v>4011</v>
      </c>
      <c r="G480" s="783" t="str">
        <f t="shared" si="27"/>
        <v>Renewal (30% in 2020)</v>
      </c>
      <c r="H480" s="783" t="s">
        <v>5140</v>
      </c>
      <c r="I480" s="783" t="s">
        <v>5141</v>
      </c>
      <c r="J480" s="783">
        <v>30</v>
      </c>
      <c r="K480" s="783" t="s">
        <v>99</v>
      </c>
      <c r="L480" s="783" t="s">
        <v>4096</v>
      </c>
      <c r="M480" s="784">
        <v>18672.61</v>
      </c>
      <c r="N480" s="784">
        <v>14.23</v>
      </c>
      <c r="O480" s="784">
        <v>7.29</v>
      </c>
      <c r="P480" s="783">
        <v>180</v>
      </c>
      <c r="Q480" s="783">
        <v>653.54</v>
      </c>
      <c r="R480" s="783">
        <v>554.54999999999995</v>
      </c>
      <c r="S480" s="783">
        <v>22.44</v>
      </c>
      <c r="T480" s="783">
        <v>76.56</v>
      </c>
      <c r="U480" s="785">
        <v>44691.507754629602</v>
      </c>
    </row>
    <row r="481" spans="1:21">
      <c r="A481" s="782">
        <v>44684</v>
      </c>
      <c r="B481" s="783" t="s">
        <v>30</v>
      </c>
      <c r="C481" s="783" t="s">
        <v>4239</v>
      </c>
      <c r="D481" s="783" t="s">
        <v>4021</v>
      </c>
      <c r="E481" s="783" t="s">
        <v>3496</v>
      </c>
      <c r="F481" s="783" t="s">
        <v>4011</v>
      </c>
      <c r="G481" s="783" t="str">
        <f t="shared" si="27"/>
        <v>Renewal (25% in 2020)</v>
      </c>
      <c r="H481" s="783" t="s">
        <v>5142</v>
      </c>
      <c r="I481" s="783" t="s">
        <v>5143</v>
      </c>
      <c r="J481" s="783">
        <v>25</v>
      </c>
      <c r="K481" s="783" t="s">
        <v>99</v>
      </c>
      <c r="L481" s="783" t="s">
        <v>4096</v>
      </c>
      <c r="M481" s="784">
        <v>21396.639999999999</v>
      </c>
      <c r="N481" s="784">
        <v>13.84</v>
      </c>
      <c r="O481" s="784">
        <v>7.73</v>
      </c>
      <c r="P481" s="783">
        <v>200</v>
      </c>
      <c r="Q481" s="783">
        <v>733.9</v>
      </c>
      <c r="R481" s="783">
        <v>459</v>
      </c>
      <c r="S481" s="783">
        <v>180.76</v>
      </c>
      <c r="T481" s="783">
        <v>94.15</v>
      </c>
      <c r="U481" s="785">
        <v>44685.453148148103</v>
      </c>
    </row>
    <row r="482" spans="1:21">
      <c r="A482" s="782">
        <v>44685</v>
      </c>
      <c r="B482" s="783" t="s">
        <v>30</v>
      </c>
      <c r="C482" s="783" t="s">
        <v>4939</v>
      </c>
      <c r="D482" s="783" t="s">
        <v>4021</v>
      </c>
      <c r="E482" s="783" t="s">
        <v>5144</v>
      </c>
      <c r="F482" s="783" t="s">
        <v>4011</v>
      </c>
      <c r="G482" s="783" t="str">
        <f t="shared" si="27"/>
        <v>Renewal (20% in 2020)</v>
      </c>
      <c r="H482" s="783" t="s">
        <v>5145</v>
      </c>
      <c r="I482" s="783" t="s">
        <v>5146</v>
      </c>
      <c r="J482" s="783">
        <v>20</v>
      </c>
      <c r="K482" s="783" t="s">
        <v>99</v>
      </c>
      <c r="L482" s="783" t="s">
        <v>4096</v>
      </c>
      <c r="M482" s="784">
        <v>42835.72</v>
      </c>
      <c r="N482" s="784">
        <v>36.36</v>
      </c>
      <c r="O482" s="784">
        <v>6.93</v>
      </c>
      <c r="P482" s="783">
        <v>170</v>
      </c>
      <c r="Q482" s="783">
        <v>2805.74</v>
      </c>
      <c r="R482" s="783">
        <v>1593.49</v>
      </c>
      <c r="S482" s="783">
        <v>321.27</v>
      </c>
      <c r="T482" s="783">
        <v>890.98</v>
      </c>
      <c r="U482" s="785">
        <v>44685.669039351902</v>
      </c>
    </row>
    <row r="483" spans="1:21">
      <c r="A483" s="782">
        <v>44683</v>
      </c>
      <c r="B483" s="783" t="s">
        <v>41</v>
      </c>
      <c r="C483" s="783" t="s">
        <v>4071</v>
      </c>
      <c r="D483" s="783" t="s">
        <v>4009</v>
      </c>
      <c r="E483" s="783" t="s">
        <v>5147</v>
      </c>
      <c r="F483" s="783" t="s">
        <v>4011</v>
      </c>
      <c r="G483" s="783" t="str">
        <f t="shared" si="27"/>
        <v>Renewal (15% in 2020)</v>
      </c>
      <c r="H483" s="783" t="s">
        <v>5148</v>
      </c>
      <c r="I483" s="783" t="s">
        <v>5149</v>
      </c>
      <c r="J483" s="783">
        <v>15</v>
      </c>
      <c r="K483" s="783" t="s">
        <v>99</v>
      </c>
      <c r="L483" s="783" t="s">
        <v>4096</v>
      </c>
      <c r="M483" s="784">
        <v>61569.69</v>
      </c>
      <c r="N483" s="784">
        <v>59.35</v>
      </c>
      <c r="O483" s="784">
        <v>5.46</v>
      </c>
      <c r="P483" s="783">
        <v>190</v>
      </c>
      <c r="Q483" s="783">
        <v>3090.8</v>
      </c>
      <c r="R483" s="783">
        <v>1266.97</v>
      </c>
      <c r="S483" s="783">
        <v>339.99</v>
      </c>
      <c r="T483" s="783">
        <v>1483.83</v>
      </c>
      <c r="U483" s="785">
        <v>44684.411226851902</v>
      </c>
    </row>
    <row r="484" spans="1:21">
      <c r="A484" s="782">
        <v>44685</v>
      </c>
      <c r="B484" s="783" t="s">
        <v>47</v>
      </c>
      <c r="C484" s="783" t="s">
        <v>4251</v>
      </c>
      <c r="D484" s="783" t="s">
        <v>4193</v>
      </c>
      <c r="E484" s="783" t="s">
        <v>1933</v>
      </c>
      <c r="F484" s="783" t="s">
        <v>4011</v>
      </c>
      <c r="G484" s="783" t="str">
        <f t="shared" si="27"/>
        <v>Renewal (25% in 2020)</v>
      </c>
      <c r="H484" s="783" t="s">
        <v>4252</v>
      </c>
      <c r="I484" s="783" t="s">
        <v>4253</v>
      </c>
      <c r="J484" s="783">
        <v>25</v>
      </c>
      <c r="K484" s="783" t="s">
        <v>99</v>
      </c>
      <c r="L484" s="783" t="s">
        <v>4096</v>
      </c>
      <c r="M484" s="784">
        <v>157639.35999999999</v>
      </c>
      <c r="N484" s="784">
        <v>128.97999999999999</v>
      </c>
      <c r="O484" s="784">
        <v>6.79</v>
      </c>
      <c r="P484" s="783">
        <v>180</v>
      </c>
      <c r="Q484" s="783">
        <v>5107.5200000000004</v>
      </c>
      <c r="R484" s="783">
        <v>3802.87</v>
      </c>
      <c r="S484" s="783">
        <v>784.43</v>
      </c>
      <c r="T484" s="783">
        <v>520.21</v>
      </c>
      <c r="U484" s="785">
        <v>44685.414409722202</v>
      </c>
    </row>
    <row r="485" spans="1:21">
      <c r="A485" s="782">
        <v>44686</v>
      </c>
      <c r="B485" s="783" t="s">
        <v>51</v>
      </c>
      <c r="C485" s="783" t="s">
        <v>4042</v>
      </c>
      <c r="D485" s="783" t="s">
        <v>4016</v>
      </c>
      <c r="E485" s="783" t="s">
        <v>120</v>
      </c>
      <c r="F485" s="783" t="s">
        <v>4011</v>
      </c>
      <c r="G485" s="783" t="str">
        <f t="shared" si="27"/>
        <v>Renewal (20% in 2020)</v>
      </c>
      <c r="H485" s="783" t="s">
        <v>5150</v>
      </c>
      <c r="I485" s="783" t="s">
        <v>5151</v>
      </c>
      <c r="J485" s="783">
        <v>20</v>
      </c>
      <c r="K485" s="783" t="s">
        <v>99</v>
      </c>
      <c r="L485" s="783" t="s">
        <v>4096</v>
      </c>
      <c r="M485" s="784">
        <v>47436.959999999999</v>
      </c>
      <c r="N485" s="784">
        <v>53.42</v>
      </c>
      <c r="O485" s="784">
        <v>5.92</v>
      </c>
      <c r="P485" s="783">
        <v>150</v>
      </c>
      <c r="Q485" s="783">
        <v>2063.5100000000002</v>
      </c>
      <c r="R485" s="783">
        <v>1332.98</v>
      </c>
      <c r="S485" s="783">
        <v>203.98</v>
      </c>
      <c r="T485" s="783">
        <v>526.54999999999995</v>
      </c>
      <c r="U485" s="785">
        <v>44687.624166666697</v>
      </c>
    </row>
    <row r="486" spans="1:21">
      <c r="A486" s="782">
        <v>44685</v>
      </c>
      <c r="B486" s="783" t="s">
        <v>47</v>
      </c>
      <c r="C486" s="783" t="s">
        <v>4251</v>
      </c>
      <c r="D486" s="783" t="s">
        <v>4193</v>
      </c>
      <c r="E486" s="783" t="s">
        <v>4254</v>
      </c>
      <c r="F486" s="783" t="s">
        <v>4011</v>
      </c>
      <c r="G486" s="783" t="str">
        <f t="shared" si="27"/>
        <v>Renewal (25% in 2020)</v>
      </c>
      <c r="H486" s="783" t="s">
        <v>4255</v>
      </c>
      <c r="I486" s="783" t="s">
        <v>4256</v>
      </c>
      <c r="J486" s="783">
        <v>25</v>
      </c>
      <c r="K486" s="783" t="s">
        <v>99</v>
      </c>
      <c r="L486" s="783" t="s">
        <v>4096</v>
      </c>
      <c r="M486" s="784">
        <v>174084.34</v>
      </c>
      <c r="N486" s="784">
        <v>147.88</v>
      </c>
      <c r="O486" s="784">
        <v>6.54</v>
      </c>
      <c r="P486" s="783">
        <v>180</v>
      </c>
      <c r="Q486" s="783">
        <v>5640.33</v>
      </c>
      <c r="R486" s="783">
        <v>4199.59</v>
      </c>
      <c r="S486" s="783">
        <v>866.26</v>
      </c>
      <c r="T486" s="783">
        <v>574.48</v>
      </c>
      <c r="U486" s="785">
        <v>44685.416157407402</v>
      </c>
    </row>
    <row r="487" spans="1:21">
      <c r="A487" s="782">
        <v>44684</v>
      </c>
      <c r="B487" s="783" t="s">
        <v>41</v>
      </c>
      <c r="C487" s="783" t="s">
        <v>4092</v>
      </c>
      <c r="D487" s="783" t="s">
        <v>4009</v>
      </c>
      <c r="E487" s="783" t="s">
        <v>601</v>
      </c>
      <c r="F487" s="783" t="s">
        <v>4011</v>
      </c>
      <c r="G487" s="783" t="str">
        <f t="shared" si="27"/>
        <v>Renewal (20% in 2020)</v>
      </c>
      <c r="H487" s="783" t="s">
        <v>5152</v>
      </c>
      <c r="I487" s="783" t="s">
        <v>5153</v>
      </c>
      <c r="J487" s="783">
        <v>20</v>
      </c>
      <c r="K487" s="783" t="s">
        <v>99</v>
      </c>
      <c r="L487" s="783" t="s">
        <v>4096</v>
      </c>
      <c r="M487" s="784">
        <v>59398.52</v>
      </c>
      <c r="N487" s="784">
        <v>59.7</v>
      </c>
      <c r="O487" s="784">
        <v>6.03</v>
      </c>
      <c r="P487" s="783">
        <v>165</v>
      </c>
      <c r="Q487" s="783">
        <v>3112.48</v>
      </c>
      <c r="R487" s="783">
        <v>1835.41</v>
      </c>
      <c r="S487" s="783">
        <v>326.69</v>
      </c>
      <c r="T487" s="783">
        <v>950.38</v>
      </c>
      <c r="U487" s="785">
        <v>44685.408287036997</v>
      </c>
    </row>
    <row r="488" spans="1:21">
      <c r="A488" s="782">
        <v>44683</v>
      </c>
      <c r="B488" s="783" t="s">
        <v>51</v>
      </c>
      <c r="C488" s="783" t="s">
        <v>4042</v>
      </c>
      <c r="D488" s="783" t="s">
        <v>4016</v>
      </c>
      <c r="E488" s="783" t="s">
        <v>5154</v>
      </c>
      <c r="F488" s="783" t="s">
        <v>4011</v>
      </c>
      <c r="G488" s="783" t="str">
        <f t="shared" si="27"/>
        <v>New Contract</v>
      </c>
      <c r="H488" s="783" t="s">
        <v>5155</v>
      </c>
      <c r="I488" s="783" t="s">
        <v>5156</v>
      </c>
      <c r="J488" s="783">
        <v>25</v>
      </c>
      <c r="K488" s="783" t="s">
        <v>99</v>
      </c>
      <c r="L488" s="783" t="s">
        <v>4096</v>
      </c>
      <c r="M488" s="784">
        <v>119537.93</v>
      </c>
      <c r="N488" s="784">
        <v>99.6</v>
      </c>
      <c r="O488" s="784">
        <v>7.23</v>
      </c>
      <c r="P488" s="783">
        <v>166</v>
      </c>
      <c r="Q488" s="783">
        <v>4422.8999999999996</v>
      </c>
      <c r="R488" s="783">
        <v>3359.02</v>
      </c>
      <c r="S488" s="783">
        <v>514.01</v>
      </c>
      <c r="T488" s="783">
        <v>549.87</v>
      </c>
      <c r="U488" s="785">
        <v>44684.405150462997</v>
      </c>
    </row>
    <row r="489" spans="1:21">
      <c r="A489" s="782">
        <v>44694</v>
      </c>
      <c r="B489" s="783" t="s">
        <v>2866</v>
      </c>
      <c r="C489" s="783" t="s">
        <v>4008</v>
      </c>
      <c r="D489" s="783" t="s">
        <v>4009</v>
      </c>
      <c r="E489" s="783" t="s">
        <v>5157</v>
      </c>
      <c r="F489" s="783" t="s">
        <v>4011</v>
      </c>
      <c r="G489" s="783" t="str">
        <f t="shared" si="27"/>
        <v>Renewal (15% in 2020)</v>
      </c>
      <c r="H489" s="783" t="s">
        <v>5158</v>
      </c>
      <c r="I489" s="783" t="s">
        <v>5159</v>
      </c>
      <c r="J489" s="783">
        <v>15</v>
      </c>
      <c r="K489" s="783" t="s">
        <v>99</v>
      </c>
      <c r="L489" s="783" t="s">
        <v>4096</v>
      </c>
      <c r="M489" s="784">
        <v>71118.240000000005</v>
      </c>
      <c r="N489" s="784">
        <v>51.76</v>
      </c>
      <c r="O489" s="784">
        <v>6.87</v>
      </c>
      <c r="P489" s="783">
        <v>200</v>
      </c>
      <c r="Q489" s="783">
        <v>4864.49</v>
      </c>
      <c r="R489" s="783">
        <v>1808.61</v>
      </c>
      <c r="S489" s="783">
        <v>609.41</v>
      </c>
      <c r="T489" s="783">
        <v>2446.4699999999998</v>
      </c>
      <c r="U489" s="785">
        <v>44694.529247685197</v>
      </c>
    </row>
    <row r="490" spans="1:21">
      <c r="A490" s="782">
        <v>44686</v>
      </c>
      <c r="B490" s="783" t="s">
        <v>41</v>
      </c>
      <c r="C490" s="783" t="s">
        <v>4082</v>
      </c>
      <c r="D490" s="783" t="s">
        <v>4009</v>
      </c>
      <c r="E490" s="783" t="s">
        <v>5160</v>
      </c>
      <c r="F490" s="783" t="s">
        <v>4011</v>
      </c>
      <c r="G490" s="783" t="str">
        <f t="shared" si="27"/>
        <v>Renewal (25% in 2020)</v>
      </c>
      <c r="H490" s="783" t="s">
        <v>5161</v>
      </c>
      <c r="I490" s="783" t="s">
        <v>5162</v>
      </c>
      <c r="J490" s="783">
        <v>25</v>
      </c>
      <c r="K490" s="783" t="s">
        <v>99</v>
      </c>
      <c r="L490" s="783" t="s">
        <v>4096</v>
      </c>
      <c r="M490" s="784">
        <v>31756.73</v>
      </c>
      <c r="N490" s="784">
        <v>25.04</v>
      </c>
      <c r="O490" s="784">
        <v>6.64</v>
      </c>
      <c r="P490" s="783">
        <v>191</v>
      </c>
      <c r="Q490" s="783">
        <v>1213.1099999999999</v>
      </c>
      <c r="R490" s="783">
        <v>839.91</v>
      </c>
      <c r="S490" s="783">
        <v>252.52</v>
      </c>
      <c r="T490" s="783">
        <v>120.68</v>
      </c>
      <c r="U490" s="785">
        <v>44687.634189814802</v>
      </c>
    </row>
    <row r="491" spans="1:21">
      <c r="A491" s="782">
        <v>44684</v>
      </c>
      <c r="B491" s="783" t="s">
        <v>51</v>
      </c>
      <c r="C491" s="783" t="s">
        <v>4796</v>
      </c>
      <c r="D491" s="783" t="s">
        <v>4016</v>
      </c>
      <c r="E491" s="783" t="s">
        <v>5163</v>
      </c>
      <c r="F491" s="783" t="s">
        <v>4011</v>
      </c>
      <c r="G491" s="783" t="str">
        <f t="shared" si="27"/>
        <v>New Contract</v>
      </c>
      <c r="H491" s="783" t="s">
        <v>5164</v>
      </c>
      <c r="I491" s="783" t="s">
        <v>5165</v>
      </c>
      <c r="J491" s="783">
        <v>25</v>
      </c>
      <c r="K491" s="783" t="s">
        <v>99</v>
      </c>
      <c r="L491" s="783" t="s">
        <v>4096</v>
      </c>
      <c r="M491" s="784">
        <v>45035.19</v>
      </c>
      <c r="N491" s="784">
        <v>32.29</v>
      </c>
      <c r="O491" s="784">
        <v>6.61</v>
      </c>
      <c r="P491" s="783">
        <v>211</v>
      </c>
      <c r="Q491" s="783">
        <v>2499.4499999999998</v>
      </c>
      <c r="R491" s="783">
        <v>1558.22</v>
      </c>
      <c r="S491" s="783">
        <v>630.49</v>
      </c>
      <c r="T491" s="783">
        <v>310.74</v>
      </c>
      <c r="U491" s="785">
        <v>44685.451851851903</v>
      </c>
    </row>
    <row r="492" spans="1:21">
      <c r="A492" s="782">
        <v>44709</v>
      </c>
      <c r="B492" s="783" t="s">
        <v>228</v>
      </c>
      <c r="C492" s="783" t="s">
        <v>4491</v>
      </c>
      <c r="D492" s="783" t="s">
        <v>4193</v>
      </c>
      <c r="E492" s="783" t="s">
        <v>5166</v>
      </c>
      <c r="F492" s="783" t="s">
        <v>4011</v>
      </c>
      <c r="G492" s="783" t="str">
        <f t="shared" si="27"/>
        <v>Renewal (25% in 2020)</v>
      </c>
      <c r="H492" s="783" t="s">
        <v>5167</v>
      </c>
      <c r="I492" s="783" t="s">
        <v>5168</v>
      </c>
      <c r="J492" s="783">
        <v>25</v>
      </c>
      <c r="K492" s="783" t="s">
        <v>99</v>
      </c>
      <c r="L492" s="783" t="s">
        <v>4096</v>
      </c>
      <c r="M492" s="784">
        <v>151897.20000000001</v>
      </c>
      <c r="N492" s="784">
        <v>97.37</v>
      </c>
      <c r="O492" s="784">
        <v>7.8</v>
      </c>
      <c r="P492" s="783">
        <v>200</v>
      </c>
      <c r="Q492" s="783">
        <v>4754.38</v>
      </c>
      <c r="R492" s="783">
        <v>3192.8</v>
      </c>
      <c r="S492" s="783">
        <v>1060.32</v>
      </c>
      <c r="T492" s="783">
        <v>501.26</v>
      </c>
      <c r="U492" s="785">
        <v>44711.6583680556</v>
      </c>
    </row>
    <row r="493" spans="1:21">
      <c r="A493" s="782">
        <v>44686</v>
      </c>
      <c r="B493" s="783" t="s">
        <v>4025</v>
      </c>
      <c r="C493" s="783" t="s">
        <v>4026</v>
      </c>
      <c r="D493" s="783" t="s">
        <v>4021</v>
      </c>
      <c r="E493" s="783" t="s">
        <v>5169</v>
      </c>
      <c r="F493" s="783" t="s">
        <v>4011</v>
      </c>
      <c r="G493" s="783" t="str">
        <f t="shared" si="27"/>
        <v>New contract</v>
      </c>
      <c r="H493" s="783" t="s">
        <v>5170</v>
      </c>
      <c r="I493" s="783" t="s">
        <v>5171</v>
      </c>
      <c r="J493" s="783">
        <v>25</v>
      </c>
      <c r="K493" s="783" t="s">
        <v>99</v>
      </c>
      <c r="L493" s="783" t="s">
        <v>4096</v>
      </c>
      <c r="M493" s="784">
        <v>61052.639999999999</v>
      </c>
      <c r="N493" s="784">
        <v>41.03</v>
      </c>
      <c r="O493" s="784">
        <v>7.44</v>
      </c>
      <c r="P493" s="783">
        <v>200</v>
      </c>
      <c r="Q493" s="783">
        <v>2796.21</v>
      </c>
      <c r="R493" s="783">
        <v>1785</v>
      </c>
      <c r="S493" s="783">
        <v>596.05999999999995</v>
      </c>
      <c r="T493" s="783">
        <v>415.16</v>
      </c>
      <c r="U493" s="785">
        <v>44687.651446759301</v>
      </c>
    </row>
    <row r="494" spans="1:21">
      <c r="A494" s="782">
        <v>44688</v>
      </c>
      <c r="B494" s="783" t="s">
        <v>150</v>
      </c>
      <c r="C494" s="783" t="s">
        <v>4097</v>
      </c>
      <c r="D494" s="783" t="s">
        <v>4038</v>
      </c>
      <c r="E494" s="783" t="s">
        <v>5172</v>
      </c>
      <c r="F494" s="783" t="s">
        <v>4011</v>
      </c>
      <c r="G494" s="783" t="str">
        <f t="shared" si="27"/>
        <v>Renewal (20% in 2020)</v>
      </c>
      <c r="H494" s="783" t="s">
        <v>5173</v>
      </c>
      <c r="I494" s="783" t="s">
        <v>5174</v>
      </c>
      <c r="J494" s="783">
        <v>20</v>
      </c>
      <c r="K494" s="783" t="s">
        <v>99</v>
      </c>
      <c r="L494" s="783" t="s">
        <v>4096</v>
      </c>
      <c r="M494" s="784">
        <v>49285.57</v>
      </c>
      <c r="N494" s="784">
        <v>42.44</v>
      </c>
      <c r="O494" s="784">
        <v>5.53</v>
      </c>
      <c r="P494" s="783">
        <v>210</v>
      </c>
      <c r="Q494" s="783">
        <v>2469.21</v>
      </c>
      <c r="R494" s="783">
        <v>1149.03</v>
      </c>
      <c r="S494" s="783">
        <v>462.6</v>
      </c>
      <c r="T494" s="783">
        <v>857.57</v>
      </c>
      <c r="U494" s="785">
        <v>44690.632638888899</v>
      </c>
    </row>
    <row r="495" spans="1:21">
      <c r="A495" s="782">
        <v>44690</v>
      </c>
      <c r="B495" s="783" t="s">
        <v>65</v>
      </c>
      <c r="C495" s="783" t="s">
        <v>4491</v>
      </c>
      <c r="D495" s="783" t="s">
        <v>4193</v>
      </c>
      <c r="E495" s="783" t="s">
        <v>5175</v>
      </c>
      <c r="F495" s="783" t="s">
        <v>4011</v>
      </c>
      <c r="G495" s="783" t="s">
        <v>4028</v>
      </c>
      <c r="H495" s="783" t="s">
        <v>5176</v>
      </c>
      <c r="I495" s="783" t="s">
        <v>5177</v>
      </c>
      <c r="J495" s="783">
        <v>25</v>
      </c>
      <c r="K495" s="783" t="s">
        <v>99</v>
      </c>
      <c r="L495" s="783" t="s">
        <v>4096</v>
      </c>
      <c r="M495" s="784">
        <v>77182.92</v>
      </c>
      <c r="N495" s="784">
        <v>73.930000000000007</v>
      </c>
      <c r="O495" s="784">
        <v>5.22</v>
      </c>
      <c r="P495" s="783">
        <v>200</v>
      </c>
      <c r="Q495" s="783">
        <v>2415.83</v>
      </c>
      <c r="R495" s="783">
        <v>1622.35</v>
      </c>
      <c r="S495" s="783">
        <v>538.78</v>
      </c>
      <c r="T495" s="783">
        <v>254.7</v>
      </c>
      <c r="U495" s="785">
        <v>44690.663842592599</v>
      </c>
    </row>
    <row r="496" spans="1:21">
      <c r="A496" s="782">
        <v>44681</v>
      </c>
      <c r="B496" s="783" t="s">
        <v>74</v>
      </c>
      <c r="C496" s="783" t="s">
        <v>4097</v>
      </c>
      <c r="D496" s="783" t="s">
        <v>4038</v>
      </c>
      <c r="E496" s="783" t="s">
        <v>4293</v>
      </c>
      <c r="F496" s="783" t="s">
        <v>4011</v>
      </c>
      <c r="G496" s="783" t="str">
        <f>VLOOKUP(I496,pacage,2,FALSE)</f>
        <v>Renewal (20% in 2020)</v>
      </c>
      <c r="H496" s="783" t="s">
        <v>4294</v>
      </c>
      <c r="I496" s="783" t="s">
        <v>4295</v>
      </c>
      <c r="J496" s="783">
        <v>20</v>
      </c>
      <c r="K496" s="783" t="s">
        <v>99</v>
      </c>
      <c r="L496" s="783" t="s">
        <v>4096</v>
      </c>
      <c r="M496" s="784">
        <v>45265</v>
      </c>
      <c r="N496" s="784">
        <v>27.5</v>
      </c>
      <c r="O496" s="784">
        <v>8.23</v>
      </c>
      <c r="P496" s="783">
        <v>200</v>
      </c>
      <c r="Q496" s="783">
        <v>2267.7800000000002</v>
      </c>
      <c r="R496" s="783">
        <v>1108.06</v>
      </c>
      <c r="S496" s="783">
        <v>372.1</v>
      </c>
      <c r="T496" s="783">
        <v>787.61</v>
      </c>
      <c r="U496" s="785">
        <v>44683.449317129598</v>
      </c>
    </row>
    <row r="497" spans="1:21">
      <c r="A497" s="782">
        <v>44678</v>
      </c>
      <c r="B497" s="783" t="s">
        <v>41</v>
      </c>
      <c r="C497" s="783" t="s">
        <v>4092</v>
      </c>
      <c r="D497" s="783" t="s">
        <v>4009</v>
      </c>
      <c r="E497" s="783" t="s">
        <v>5178</v>
      </c>
      <c r="F497" s="783" t="s">
        <v>4011</v>
      </c>
      <c r="G497" s="783" t="str">
        <f>VLOOKUP(I497,pacage,2,FALSE)</f>
        <v>Renewal (20% in 2020)</v>
      </c>
      <c r="H497" s="783" t="s">
        <v>5179</v>
      </c>
      <c r="I497" s="783" t="s">
        <v>5180</v>
      </c>
      <c r="J497" s="783">
        <v>20</v>
      </c>
      <c r="K497" s="783" t="s">
        <v>99</v>
      </c>
      <c r="L497" s="783" t="s">
        <v>4096</v>
      </c>
      <c r="M497" s="784">
        <v>30784.799999999999</v>
      </c>
      <c r="N497" s="784">
        <v>23.08</v>
      </c>
      <c r="O497" s="784">
        <v>7.71</v>
      </c>
      <c r="P497" s="783">
        <v>173</v>
      </c>
      <c r="Q497" s="783">
        <v>1613.12</v>
      </c>
      <c r="R497" s="783">
        <v>951.25</v>
      </c>
      <c r="S497" s="783">
        <v>169.32</v>
      </c>
      <c r="T497" s="783">
        <v>492.56</v>
      </c>
      <c r="U497" s="785">
        <v>44680.490312499998</v>
      </c>
    </row>
    <row r="498" spans="1:21">
      <c r="A498" s="782">
        <v>44678</v>
      </c>
      <c r="B498" s="783" t="s">
        <v>41</v>
      </c>
      <c r="C498" s="783" t="s">
        <v>4139</v>
      </c>
      <c r="D498" s="783" t="s">
        <v>4009</v>
      </c>
      <c r="E498" s="783" t="s">
        <v>5181</v>
      </c>
      <c r="F498" s="783" t="s">
        <v>4011</v>
      </c>
      <c r="G498" s="783" t="str">
        <f>VLOOKUP(I498,pacage,2,FALSE)</f>
        <v>Renewal (25% in 2020)</v>
      </c>
      <c r="H498" s="783" t="s">
        <v>5182</v>
      </c>
      <c r="I498" s="783" t="s">
        <v>5183</v>
      </c>
      <c r="J498" s="783">
        <v>25</v>
      </c>
      <c r="K498" s="783" t="s">
        <v>99</v>
      </c>
      <c r="L498" s="783" t="s">
        <v>4096</v>
      </c>
      <c r="M498" s="784">
        <v>25449</v>
      </c>
      <c r="N498" s="784">
        <v>24.95</v>
      </c>
      <c r="O498" s="784">
        <v>5.0999999999999996</v>
      </c>
      <c r="P498" s="783">
        <v>200</v>
      </c>
      <c r="Q498" s="783">
        <v>766.01</v>
      </c>
      <c r="R498" s="783">
        <v>517.30999999999995</v>
      </c>
      <c r="S498" s="783">
        <v>172.35</v>
      </c>
      <c r="T498" s="783">
        <v>76.349999999999994</v>
      </c>
      <c r="U498" s="785">
        <v>44680.658981481502</v>
      </c>
    </row>
    <row r="499" spans="1:21">
      <c r="A499" s="782">
        <v>44679</v>
      </c>
      <c r="B499" s="783" t="s">
        <v>41</v>
      </c>
      <c r="C499" s="783" t="s">
        <v>4008</v>
      </c>
      <c r="D499" s="783" t="s">
        <v>4009</v>
      </c>
      <c r="E499" s="783" t="s">
        <v>4034</v>
      </c>
      <c r="F499" s="783" t="s">
        <v>4011</v>
      </c>
      <c r="G499" s="783" t="str">
        <f>VLOOKUP(I499,pacage,2,FALSE)</f>
        <v>Renewal (25% in 2020)</v>
      </c>
      <c r="H499" s="783" t="s">
        <v>4035</v>
      </c>
      <c r="I499" s="783" t="s">
        <v>4036</v>
      </c>
      <c r="J499" s="783">
        <v>25</v>
      </c>
      <c r="K499" s="783" t="s">
        <v>99</v>
      </c>
      <c r="L499" s="783" t="s">
        <v>4096</v>
      </c>
      <c r="M499" s="784">
        <v>20548.080000000002</v>
      </c>
      <c r="N499" s="784">
        <v>24.16</v>
      </c>
      <c r="O499" s="784">
        <v>5.67</v>
      </c>
      <c r="P499" s="783">
        <v>150</v>
      </c>
      <c r="Q499" s="783">
        <v>832.2</v>
      </c>
      <c r="R499" s="783">
        <v>604.11</v>
      </c>
      <c r="S499" s="783">
        <v>94.52</v>
      </c>
      <c r="T499" s="783">
        <v>133.56</v>
      </c>
      <c r="U499" s="785">
        <v>44680.690590277802</v>
      </c>
    </row>
    <row r="500" spans="1:21">
      <c r="A500" s="782">
        <v>44679</v>
      </c>
      <c r="B500" s="783" t="s">
        <v>228</v>
      </c>
      <c r="C500" s="783" t="s">
        <v>4675</v>
      </c>
      <c r="D500" s="783" t="s">
        <v>4193</v>
      </c>
      <c r="E500" s="783" t="s">
        <v>5184</v>
      </c>
      <c r="F500" s="783" t="s">
        <v>4011</v>
      </c>
      <c r="G500" s="783" t="s">
        <v>4028</v>
      </c>
      <c r="H500" s="783" t="s">
        <v>5185</v>
      </c>
      <c r="I500" s="783" t="s">
        <v>5186</v>
      </c>
      <c r="J500" s="783">
        <v>25</v>
      </c>
      <c r="K500" s="783" t="s">
        <v>99</v>
      </c>
      <c r="L500" s="783" t="s">
        <v>4096</v>
      </c>
      <c r="M500" s="784">
        <v>71604</v>
      </c>
      <c r="N500" s="784">
        <v>54</v>
      </c>
      <c r="O500" s="784">
        <v>6.8</v>
      </c>
      <c r="P500" s="783">
        <v>195</v>
      </c>
      <c r="Q500" s="783">
        <v>3644.64</v>
      </c>
      <c r="R500" s="783">
        <v>2382.21</v>
      </c>
      <c r="S500" s="783">
        <v>703.92</v>
      </c>
      <c r="T500" s="783">
        <v>558.51</v>
      </c>
      <c r="U500" s="785">
        <v>44680.691585648201</v>
      </c>
    </row>
    <row r="501" spans="1:21">
      <c r="A501" s="782">
        <v>44679</v>
      </c>
      <c r="B501" s="783" t="s">
        <v>41</v>
      </c>
      <c r="C501" s="783" t="s">
        <v>4092</v>
      </c>
      <c r="D501" s="783" t="s">
        <v>4009</v>
      </c>
      <c r="E501" s="783" t="s">
        <v>608</v>
      </c>
      <c r="F501" s="783" t="s">
        <v>4011</v>
      </c>
      <c r="G501" s="783" t="str">
        <f t="shared" ref="G501:G509" si="28">VLOOKUP(I501,pacage,2,FALSE)</f>
        <v>Renewal (15% in 2020)</v>
      </c>
      <c r="H501" s="783" t="s">
        <v>4575</v>
      </c>
      <c r="I501" s="783" t="s">
        <v>4576</v>
      </c>
      <c r="J501" s="783">
        <v>15</v>
      </c>
      <c r="K501" s="783" t="s">
        <v>99</v>
      </c>
      <c r="L501" s="783" t="s">
        <v>4096</v>
      </c>
      <c r="M501" s="784">
        <v>87995</v>
      </c>
      <c r="N501" s="784">
        <v>80.010000000000005</v>
      </c>
      <c r="O501" s="784">
        <v>6.11</v>
      </c>
      <c r="P501" s="783">
        <v>180</v>
      </c>
      <c r="Q501" s="783">
        <v>6177.25</v>
      </c>
      <c r="R501" s="783">
        <v>2613.3000000000002</v>
      </c>
      <c r="S501" s="783">
        <v>589.71</v>
      </c>
      <c r="T501" s="783">
        <v>2974.23</v>
      </c>
      <c r="U501" s="785">
        <v>44680.705127314803</v>
      </c>
    </row>
    <row r="502" spans="1:21">
      <c r="A502" s="782">
        <v>44710</v>
      </c>
      <c r="B502" s="783" t="s">
        <v>51</v>
      </c>
      <c r="C502" s="783" t="s">
        <v>4042</v>
      </c>
      <c r="D502" s="783" t="s">
        <v>4016</v>
      </c>
      <c r="E502" s="783" t="s">
        <v>5187</v>
      </c>
      <c r="F502" s="783" t="s">
        <v>4011</v>
      </c>
      <c r="G502" s="783" t="str">
        <f t="shared" si="28"/>
        <v>Renewal (15% in 2020)</v>
      </c>
      <c r="H502" s="783" t="s">
        <v>5188</v>
      </c>
      <c r="I502" s="783" t="s">
        <v>5189</v>
      </c>
      <c r="J502" s="783">
        <v>15</v>
      </c>
      <c r="K502" s="783" t="s">
        <v>99</v>
      </c>
      <c r="L502" s="783" t="s">
        <v>4096</v>
      </c>
      <c r="M502" s="784">
        <v>355368</v>
      </c>
      <c r="N502" s="784">
        <v>268</v>
      </c>
      <c r="O502" s="784">
        <v>7.8</v>
      </c>
      <c r="P502" s="783">
        <v>170</v>
      </c>
      <c r="Q502" s="783">
        <v>18870.04</v>
      </c>
      <c r="R502" s="783">
        <v>9985.84</v>
      </c>
      <c r="S502" s="783">
        <v>1528.08</v>
      </c>
      <c r="T502" s="783">
        <v>7356.12</v>
      </c>
      <c r="U502" s="785">
        <v>44712.649722222202</v>
      </c>
    </row>
    <row r="503" spans="1:21">
      <c r="A503" s="782">
        <v>44680</v>
      </c>
      <c r="B503" s="783" t="s">
        <v>51</v>
      </c>
      <c r="C503" s="783" t="s">
        <v>4015</v>
      </c>
      <c r="D503" s="783" t="s">
        <v>4016</v>
      </c>
      <c r="E503" s="783" t="s">
        <v>89</v>
      </c>
      <c r="F503" s="783" t="s">
        <v>4011</v>
      </c>
      <c r="G503" s="783" t="str">
        <f t="shared" si="28"/>
        <v>Renewal (20% in 2020)</v>
      </c>
      <c r="H503" s="783" t="s">
        <v>5190</v>
      </c>
      <c r="I503" s="783" t="s">
        <v>5191</v>
      </c>
      <c r="J503" s="783">
        <v>20</v>
      </c>
      <c r="K503" s="783" t="s">
        <v>99</v>
      </c>
      <c r="L503" s="783" t="s">
        <v>4096</v>
      </c>
      <c r="M503" s="784">
        <v>85473.99</v>
      </c>
      <c r="N503" s="784">
        <v>73.849999999999994</v>
      </c>
      <c r="O503" s="784">
        <v>6.43</v>
      </c>
      <c r="P503" s="783">
        <v>180</v>
      </c>
      <c r="Q503" s="783">
        <v>6051.56</v>
      </c>
      <c r="R503" s="783">
        <v>3384.58</v>
      </c>
      <c r="S503" s="783">
        <v>675.43</v>
      </c>
      <c r="T503" s="783">
        <v>1991.54</v>
      </c>
      <c r="U503" s="785">
        <v>44680.747037036999</v>
      </c>
    </row>
    <row r="504" spans="1:21">
      <c r="A504" s="782">
        <v>44681</v>
      </c>
      <c r="B504" s="783" t="s">
        <v>51</v>
      </c>
      <c r="C504" s="783" t="s">
        <v>4042</v>
      </c>
      <c r="D504" s="783" t="s">
        <v>4016</v>
      </c>
      <c r="E504" s="783" t="s">
        <v>5192</v>
      </c>
      <c r="F504" s="783" t="s">
        <v>4011</v>
      </c>
      <c r="G504" s="783" t="str">
        <f t="shared" si="28"/>
        <v>Renewal (30% in 2020)</v>
      </c>
      <c r="H504" s="783" t="s">
        <v>5193</v>
      </c>
      <c r="I504" s="783" t="s">
        <v>5194</v>
      </c>
      <c r="J504" s="783">
        <v>30</v>
      </c>
      <c r="K504" s="783" t="s">
        <v>99</v>
      </c>
      <c r="L504" s="783" t="s">
        <v>4096</v>
      </c>
      <c r="M504" s="784">
        <v>27498.240000000002</v>
      </c>
      <c r="N504" s="784">
        <v>24.8</v>
      </c>
      <c r="O504" s="784">
        <v>7.92</v>
      </c>
      <c r="P504" s="783">
        <v>140</v>
      </c>
      <c r="Q504" s="783">
        <v>901.94</v>
      </c>
      <c r="R504" s="783">
        <v>772.7</v>
      </c>
      <c r="S504" s="783">
        <v>0</v>
      </c>
      <c r="T504" s="783">
        <v>129.24</v>
      </c>
      <c r="U504" s="785">
        <v>44683.456782407397</v>
      </c>
    </row>
    <row r="505" spans="1:21">
      <c r="A505" s="782">
        <v>44710</v>
      </c>
      <c r="B505" s="783" t="s">
        <v>41</v>
      </c>
      <c r="C505" s="783" t="s">
        <v>4092</v>
      </c>
      <c r="D505" s="783" t="s">
        <v>4009</v>
      </c>
      <c r="E505" s="783" t="s">
        <v>1795</v>
      </c>
      <c r="F505" s="783" t="s">
        <v>4011</v>
      </c>
      <c r="G505" s="783" t="str">
        <f t="shared" si="28"/>
        <v>Renewal (20% in 2020)</v>
      </c>
      <c r="H505" s="783" t="s">
        <v>4117</v>
      </c>
      <c r="I505" s="783" t="s">
        <v>4118</v>
      </c>
      <c r="J505" s="783">
        <v>20</v>
      </c>
      <c r="K505" s="783" t="s">
        <v>99</v>
      </c>
      <c r="L505" s="783" t="s">
        <v>4096</v>
      </c>
      <c r="M505" s="784">
        <v>80533.490000000005</v>
      </c>
      <c r="N505" s="784">
        <v>62.56</v>
      </c>
      <c r="O505" s="784">
        <v>6.13</v>
      </c>
      <c r="P505" s="783">
        <v>210</v>
      </c>
      <c r="Q505" s="783">
        <v>4219.95</v>
      </c>
      <c r="R505" s="783">
        <v>2050.04</v>
      </c>
      <c r="S505" s="783">
        <v>881.38</v>
      </c>
      <c r="T505" s="783">
        <v>1288.54</v>
      </c>
      <c r="U505" s="785">
        <v>44712.585555555597</v>
      </c>
    </row>
    <row r="506" spans="1:21">
      <c r="A506" s="782">
        <v>44680</v>
      </c>
      <c r="B506" s="783" t="s">
        <v>41</v>
      </c>
      <c r="C506" s="783" t="s">
        <v>4092</v>
      </c>
      <c r="D506" s="783" t="s">
        <v>4009</v>
      </c>
      <c r="E506" s="783" t="s">
        <v>5195</v>
      </c>
      <c r="F506" s="783" t="s">
        <v>4011</v>
      </c>
      <c r="G506" s="783" t="str">
        <f t="shared" si="28"/>
        <v>Renewal (20% in 2020)</v>
      </c>
      <c r="H506" s="783" t="s">
        <v>5196</v>
      </c>
      <c r="I506" s="783" t="s">
        <v>5197</v>
      </c>
      <c r="J506" s="783">
        <v>20</v>
      </c>
      <c r="K506" s="783" t="s">
        <v>99</v>
      </c>
      <c r="L506" s="783" t="s">
        <v>4096</v>
      </c>
      <c r="M506" s="784">
        <v>105727.61</v>
      </c>
      <c r="N506" s="784">
        <v>72.72</v>
      </c>
      <c r="O506" s="784">
        <v>6.7</v>
      </c>
      <c r="P506" s="783">
        <v>217</v>
      </c>
      <c r="Q506" s="783">
        <v>5540.13</v>
      </c>
      <c r="R506" s="783">
        <v>2604.5500000000002</v>
      </c>
      <c r="S506" s="783">
        <v>1243.93</v>
      </c>
      <c r="T506" s="783">
        <v>1691.64</v>
      </c>
      <c r="U506" s="785">
        <v>44680.724687499998</v>
      </c>
    </row>
    <row r="507" spans="1:21">
      <c r="A507" s="782">
        <v>44694</v>
      </c>
      <c r="B507" s="783" t="s">
        <v>41</v>
      </c>
      <c r="C507" s="783" t="s">
        <v>4008</v>
      </c>
      <c r="D507" s="783" t="s">
        <v>4009</v>
      </c>
      <c r="E507" s="783" t="s">
        <v>4577</v>
      </c>
      <c r="F507" s="783" t="s">
        <v>4011</v>
      </c>
      <c r="G507" s="783" t="str">
        <f t="shared" si="28"/>
        <v>Renewal (30% in 2020)</v>
      </c>
      <c r="H507" s="783" t="s">
        <v>4578</v>
      </c>
      <c r="I507" s="783" t="s">
        <v>4579</v>
      </c>
      <c r="J507" s="783">
        <v>30</v>
      </c>
      <c r="K507" s="783" t="s">
        <v>99</v>
      </c>
      <c r="L507" s="783" t="s">
        <v>4096</v>
      </c>
      <c r="M507" s="784">
        <v>42525</v>
      </c>
      <c r="N507" s="784">
        <v>50</v>
      </c>
      <c r="O507" s="784">
        <v>5.67</v>
      </c>
      <c r="P507" s="783">
        <v>150</v>
      </c>
      <c r="Q507" s="783">
        <v>1530.9</v>
      </c>
      <c r="R507" s="783">
        <v>1250.24</v>
      </c>
      <c r="S507" s="783">
        <v>0</v>
      </c>
      <c r="T507" s="783">
        <v>280.67</v>
      </c>
      <c r="U507" s="785">
        <v>44694.519189814797</v>
      </c>
    </row>
    <row r="508" spans="1:21">
      <c r="A508" s="782">
        <v>44681</v>
      </c>
      <c r="B508" s="783" t="s">
        <v>41</v>
      </c>
      <c r="C508" s="783" t="s">
        <v>4139</v>
      </c>
      <c r="D508" s="783" t="s">
        <v>4009</v>
      </c>
      <c r="E508" s="783" t="s">
        <v>4296</v>
      </c>
      <c r="F508" s="783" t="s">
        <v>4011</v>
      </c>
      <c r="G508" s="783" t="str">
        <f t="shared" si="28"/>
        <v>Renewal (30% in 2020)</v>
      </c>
      <c r="H508" s="783" t="s">
        <v>4297</v>
      </c>
      <c r="I508" s="783" t="s">
        <v>4298</v>
      </c>
      <c r="J508" s="783">
        <v>30</v>
      </c>
      <c r="K508" s="783" t="s">
        <v>99</v>
      </c>
      <c r="L508" s="783" t="s">
        <v>4096</v>
      </c>
      <c r="M508" s="784">
        <v>52673.4</v>
      </c>
      <c r="N508" s="784">
        <v>45.02</v>
      </c>
      <c r="O508" s="784">
        <v>6.5</v>
      </c>
      <c r="P508" s="783">
        <v>180</v>
      </c>
      <c r="Q508" s="783">
        <v>1395.85</v>
      </c>
      <c r="R508" s="783">
        <v>1189.69</v>
      </c>
      <c r="S508" s="783">
        <v>48.14</v>
      </c>
      <c r="T508" s="783">
        <v>158.02000000000001</v>
      </c>
      <c r="U508" s="785">
        <v>44683.422060185199</v>
      </c>
    </row>
    <row r="509" spans="1:21">
      <c r="A509" s="782">
        <v>44680</v>
      </c>
      <c r="B509" s="783" t="s">
        <v>41</v>
      </c>
      <c r="C509" s="783" t="s">
        <v>4071</v>
      </c>
      <c r="D509" s="783" t="s">
        <v>4009</v>
      </c>
      <c r="E509" s="783" t="s">
        <v>5198</v>
      </c>
      <c r="F509" s="783" t="s">
        <v>4011</v>
      </c>
      <c r="G509" s="783" t="str">
        <f t="shared" si="28"/>
        <v>Renewal (15% in 2020)</v>
      </c>
      <c r="H509" s="783" t="s">
        <v>5199</v>
      </c>
      <c r="I509" s="783" t="s">
        <v>5200</v>
      </c>
      <c r="J509" s="783">
        <v>15</v>
      </c>
      <c r="K509" s="783" t="s">
        <v>99</v>
      </c>
      <c r="L509" s="783" t="s">
        <v>4096</v>
      </c>
      <c r="M509" s="784">
        <v>78277.95</v>
      </c>
      <c r="N509" s="784">
        <v>94.55</v>
      </c>
      <c r="O509" s="784">
        <v>4.87</v>
      </c>
      <c r="P509" s="783">
        <v>170</v>
      </c>
      <c r="Q509" s="783">
        <v>3929.55</v>
      </c>
      <c r="R509" s="783">
        <v>1769.08</v>
      </c>
      <c r="S509" s="783">
        <v>273.97000000000003</v>
      </c>
      <c r="T509" s="783">
        <v>1886.5</v>
      </c>
      <c r="U509" s="785">
        <v>44683.501400462999</v>
      </c>
    </row>
    <row r="510" spans="1:21">
      <c r="A510" s="782">
        <v>44697</v>
      </c>
      <c r="B510" s="783" t="s">
        <v>41</v>
      </c>
      <c r="C510" s="783" t="s">
        <v>4092</v>
      </c>
      <c r="D510" s="783" t="s">
        <v>4009</v>
      </c>
      <c r="E510" s="783" t="s">
        <v>5201</v>
      </c>
      <c r="F510" s="783" t="s">
        <v>4011</v>
      </c>
      <c r="G510" s="783" t="s">
        <v>4028</v>
      </c>
      <c r="H510" s="783" t="s">
        <v>5202</v>
      </c>
      <c r="I510" s="783" t="s">
        <v>5203</v>
      </c>
      <c r="J510" s="783">
        <v>20</v>
      </c>
      <c r="K510" s="783" t="s">
        <v>99</v>
      </c>
      <c r="L510" s="783" t="s">
        <v>4096</v>
      </c>
      <c r="M510" s="784">
        <v>10305.61</v>
      </c>
      <c r="N510" s="784">
        <v>8.51</v>
      </c>
      <c r="O510" s="784">
        <v>7</v>
      </c>
      <c r="P510" s="783">
        <v>173</v>
      </c>
      <c r="Q510" s="783">
        <v>540.01</v>
      </c>
      <c r="R510" s="783">
        <v>318.44</v>
      </c>
      <c r="S510" s="783">
        <v>56.68</v>
      </c>
      <c r="T510" s="783">
        <v>164.89</v>
      </c>
      <c r="U510" s="785">
        <v>44699.481064814798</v>
      </c>
    </row>
    <row r="511" spans="1:21">
      <c r="A511" s="782">
        <v>44709</v>
      </c>
      <c r="B511" s="783" t="s">
        <v>65</v>
      </c>
      <c r="C511" s="783" t="s">
        <v>4257</v>
      </c>
      <c r="D511" s="783" t="s">
        <v>4258</v>
      </c>
      <c r="E511" s="783" t="s">
        <v>4259</v>
      </c>
      <c r="F511" s="783" t="s">
        <v>4011</v>
      </c>
      <c r="G511" s="783" t="str">
        <f>VLOOKUP(I511,pacage,2,FALSE)</f>
        <v>Renewal (30% in 2020)</v>
      </c>
      <c r="H511" s="783" t="s">
        <v>4260</v>
      </c>
      <c r="I511" s="783" t="s">
        <v>4261</v>
      </c>
      <c r="J511" s="783">
        <v>30</v>
      </c>
      <c r="K511" s="783" t="s">
        <v>99</v>
      </c>
      <c r="L511" s="783" t="s">
        <v>4096</v>
      </c>
      <c r="M511" s="784">
        <v>61434.6</v>
      </c>
      <c r="N511" s="784">
        <v>38.04</v>
      </c>
      <c r="O511" s="784">
        <v>9.5</v>
      </c>
      <c r="P511" s="783">
        <v>170</v>
      </c>
      <c r="Q511" s="783">
        <v>1769.32</v>
      </c>
      <c r="R511" s="783">
        <v>1548.15</v>
      </c>
      <c r="S511" s="783">
        <v>0</v>
      </c>
      <c r="T511" s="783">
        <v>221.16</v>
      </c>
      <c r="U511" s="785">
        <v>44712.508101851898</v>
      </c>
    </row>
    <row r="512" spans="1:21">
      <c r="A512" s="782">
        <v>44709</v>
      </c>
      <c r="B512" s="783" t="s">
        <v>65</v>
      </c>
      <c r="C512" s="783" t="s">
        <v>4101</v>
      </c>
      <c r="D512" s="783" t="s">
        <v>4102</v>
      </c>
      <c r="E512" s="783" t="s">
        <v>4259</v>
      </c>
      <c r="F512" s="783" t="s">
        <v>4011</v>
      </c>
      <c r="G512" s="783" t="str">
        <f>VLOOKUP(I512,pacage,2,FALSE)</f>
        <v>Renewal (30% in 2020)</v>
      </c>
      <c r="H512" s="783" t="s">
        <v>4260</v>
      </c>
      <c r="I512" s="783" t="s">
        <v>4261</v>
      </c>
      <c r="J512" s="783">
        <v>30</v>
      </c>
      <c r="K512" s="783" t="s">
        <v>99</v>
      </c>
      <c r="L512" s="783" t="s">
        <v>4096</v>
      </c>
      <c r="M512" s="784">
        <v>63658.080000000002</v>
      </c>
      <c r="N512" s="784">
        <v>45.17</v>
      </c>
      <c r="O512" s="784">
        <v>8.2899999999999991</v>
      </c>
      <c r="P512" s="783">
        <v>170</v>
      </c>
      <c r="Q512" s="783">
        <v>1674.21</v>
      </c>
      <c r="R512" s="783">
        <v>1457.77</v>
      </c>
      <c r="S512" s="783">
        <v>0</v>
      </c>
      <c r="T512" s="783">
        <v>216.44</v>
      </c>
      <c r="U512" s="785">
        <v>44712.508101851898</v>
      </c>
    </row>
    <row r="513" spans="1:21">
      <c r="A513" s="782">
        <v>44698</v>
      </c>
      <c r="B513" s="783" t="s">
        <v>41</v>
      </c>
      <c r="C513" s="783" t="s">
        <v>4092</v>
      </c>
      <c r="D513" s="783" t="s">
        <v>4009</v>
      </c>
      <c r="E513" s="783" t="s">
        <v>5204</v>
      </c>
      <c r="F513" s="783" t="s">
        <v>4011</v>
      </c>
      <c r="G513" s="783" t="str">
        <f>VLOOKUP(I513,pacage,2,FALSE)</f>
        <v>Renewal (15% in 2020)</v>
      </c>
      <c r="H513" s="783" t="s">
        <v>5205</v>
      </c>
      <c r="I513" s="783" t="s">
        <v>5206</v>
      </c>
      <c r="J513" s="783">
        <v>15</v>
      </c>
      <c r="K513" s="783" t="s">
        <v>99</v>
      </c>
      <c r="L513" s="783" t="s">
        <v>4096</v>
      </c>
      <c r="M513" s="784">
        <v>54044.5</v>
      </c>
      <c r="N513" s="784">
        <v>35.68</v>
      </c>
      <c r="O513" s="784">
        <v>5.0999999999999996</v>
      </c>
      <c r="P513" s="783">
        <v>297</v>
      </c>
      <c r="Q513" s="783">
        <v>3793.92</v>
      </c>
      <c r="R513" s="783">
        <v>972.75</v>
      </c>
      <c r="S513" s="783">
        <v>994.47</v>
      </c>
      <c r="T513" s="783">
        <v>1826.7</v>
      </c>
      <c r="U513" s="785">
        <v>44699.741724537002</v>
      </c>
    </row>
    <row r="514" spans="1:21">
      <c r="A514" s="782">
        <v>44699</v>
      </c>
      <c r="B514" s="783" t="s">
        <v>41</v>
      </c>
      <c r="C514" s="783" t="s">
        <v>4071</v>
      </c>
      <c r="D514" s="783" t="s">
        <v>4009</v>
      </c>
      <c r="E514" s="783" t="s">
        <v>5207</v>
      </c>
      <c r="F514" s="783" t="s">
        <v>4011</v>
      </c>
      <c r="G514" s="783" t="str">
        <f>VLOOKUP(I514,pacage,2,FALSE)</f>
        <v>Renewal (15% in 2020)</v>
      </c>
      <c r="H514" s="783" t="s">
        <v>5208</v>
      </c>
      <c r="I514" s="783" t="s">
        <v>5209</v>
      </c>
      <c r="J514" s="783">
        <v>15</v>
      </c>
      <c r="K514" s="783" t="s">
        <v>99</v>
      </c>
      <c r="L514" s="783" t="s">
        <v>4096</v>
      </c>
      <c r="M514" s="784">
        <v>34790.21</v>
      </c>
      <c r="N514" s="784">
        <v>38.21</v>
      </c>
      <c r="O514" s="784">
        <v>6.07</v>
      </c>
      <c r="P514" s="783">
        <v>150</v>
      </c>
      <c r="Q514" s="783">
        <v>1746.47</v>
      </c>
      <c r="R514" s="783">
        <v>786.26</v>
      </c>
      <c r="S514" s="783">
        <v>121.77</v>
      </c>
      <c r="T514" s="783">
        <v>838.44</v>
      </c>
      <c r="U514" s="785">
        <v>44705.458668981497</v>
      </c>
    </row>
    <row r="515" spans="1:21">
      <c r="A515" s="782">
        <v>44711</v>
      </c>
      <c r="B515" s="783" t="s">
        <v>74</v>
      </c>
      <c r="C515" s="783" t="s">
        <v>4097</v>
      </c>
      <c r="D515" s="783" t="s">
        <v>4038</v>
      </c>
      <c r="E515" s="783" t="s">
        <v>5210</v>
      </c>
      <c r="F515" s="783" t="s">
        <v>4011</v>
      </c>
      <c r="G515" s="783" t="s">
        <v>4028</v>
      </c>
      <c r="H515" s="783" t="s">
        <v>5211</v>
      </c>
      <c r="I515" s="783" t="s">
        <v>5212</v>
      </c>
      <c r="J515" s="783">
        <v>20</v>
      </c>
      <c r="K515" s="783" t="s">
        <v>99</v>
      </c>
      <c r="L515" s="783" t="s">
        <v>4096</v>
      </c>
      <c r="M515" s="784">
        <v>49114.400000000001</v>
      </c>
      <c r="N515" s="784">
        <v>42.34</v>
      </c>
      <c r="O515" s="784">
        <v>5.8</v>
      </c>
      <c r="P515" s="783">
        <v>200</v>
      </c>
      <c r="Q515" s="783">
        <v>2460.63</v>
      </c>
      <c r="R515" s="783">
        <v>1202.3</v>
      </c>
      <c r="S515" s="783">
        <v>403.74</v>
      </c>
      <c r="T515" s="783">
        <v>854.59</v>
      </c>
      <c r="U515" s="785">
        <v>44713.993634259299</v>
      </c>
    </row>
    <row r="516" spans="1:21">
      <c r="A516" s="782">
        <v>44698</v>
      </c>
      <c r="B516" s="783" t="s">
        <v>30</v>
      </c>
      <c r="C516" s="783" t="s">
        <v>5213</v>
      </c>
      <c r="D516" s="783" t="s">
        <v>4021</v>
      </c>
      <c r="E516" s="783" t="s">
        <v>1513</v>
      </c>
      <c r="F516" s="783" t="s">
        <v>4011</v>
      </c>
      <c r="G516" s="783" t="str">
        <f>VLOOKUP(I516,pacage,2,FALSE)</f>
        <v>Renewal (15% in 2020)</v>
      </c>
      <c r="H516" s="783" t="s">
        <v>5214</v>
      </c>
      <c r="I516" s="783" t="s">
        <v>5215</v>
      </c>
      <c r="J516" s="783">
        <v>15</v>
      </c>
      <c r="K516" s="783" t="s">
        <v>99</v>
      </c>
      <c r="L516" s="783" t="s">
        <v>4096</v>
      </c>
      <c r="M516" s="784">
        <v>123275.1</v>
      </c>
      <c r="N516" s="784">
        <v>86.6</v>
      </c>
      <c r="O516" s="784">
        <v>7.3</v>
      </c>
      <c r="P516" s="783">
        <v>195</v>
      </c>
      <c r="Q516" s="783">
        <v>11156.4</v>
      </c>
      <c r="R516" s="783">
        <v>4330.9399999999996</v>
      </c>
      <c r="S516" s="783">
        <v>1278.08</v>
      </c>
      <c r="T516" s="783">
        <v>5547.38</v>
      </c>
      <c r="U516" s="785">
        <v>44699.511724536998</v>
      </c>
    </row>
    <row r="517" spans="1:21">
      <c r="A517" s="782">
        <v>44698</v>
      </c>
      <c r="B517" s="783" t="s">
        <v>41</v>
      </c>
      <c r="C517" s="783" t="s">
        <v>4082</v>
      </c>
      <c r="D517" s="783" t="s">
        <v>4009</v>
      </c>
      <c r="E517" s="783" t="s">
        <v>5216</v>
      </c>
      <c r="F517" s="783" t="s">
        <v>4011</v>
      </c>
      <c r="G517" s="783" t="str">
        <f>VLOOKUP(I517,pacage,2,FALSE)</f>
        <v>Renewal (20% in 2020)</v>
      </c>
      <c r="H517" s="783" t="s">
        <v>5217</v>
      </c>
      <c r="I517" s="783" t="s">
        <v>5218</v>
      </c>
      <c r="J517" s="783">
        <v>20</v>
      </c>
      <c r="K517" s="783" t="s">
        <v>99</v>
      </c>
      <c r="L517" s="783" t="s">
        <v>4096</v>
      </c>
      <c r="M517" s="784">
        <v>15921</v>
      </c>
      <c r="N517" s="784">
        <v>17.690000000000001</v>
      </c>
      <c r="O517" s="784">
        <v>6</v>
      </c>
      <c r="P517" s="783">
        <v>150</v>
      </c>
      <c r="Q517" s="783">
        <v>788.09</v>
      </c>
      <c r="R517" s="783">
        <v>464.89</v>
      </c>
      <c r="S517" s="783">
        <v>82.79</v>
      </c>
      <c r="T517" s="783">
        <v>240.41</v>
      </c>
      <c r="U517" s="785">
        <v>44699.474409722199</v>
      </c>
    </row>
    <row r="518" spans="1:21">
      <c r="A518" s="782">
        <v>44698</v>
      </c>
      <c r="B518" s="783" t="s">
        <v>3078</v>
      </c>
      <c r="C518" s="783" t="s">
        <v>4414</v>
      </c>
      <c r="D518" s="783" t="s">
        <v>4009</v>
      </c>
      <c r="E518" s="783" t="s">
        <v>5219</v>
      </c>
      <c r="F518" s="783" t="s">
        <v>4011</v>
      </c>
      <c r="G518" s="783" t="s">
        <v>4028</v>
      </c>
      <c r="H518" s="783" t="s">
        <v>5220</v>
      </c>
      <c r="I518" s="783" t="s">
        <v>5221</v>
      </c>
      <c r="J518" s="783">
        <v>20</v>
      </c>
      <c r="K518" s="783" t="s">
        <v>99</v>
      </c>
      <c r="L518" s="783" t="s">
        <v>4096</v>
      </c>
      <c r="M518" s="784">
        <v>12790.8</v>
      </c>
      <c r="N518" s="784">
        <v>10.199999999999999</v>
      </c>
      <c r="O518" s="784">
        <v>6.27</v>
      </c>
      <c r="P518" s="783">
        <v>200</v>
      </c>
      <c r="Q518" s="783">
        <v>837.8</v>
      </c>
      <c r="R518" s="783">
        <v>392.77</v>
      </c>
      <c r="S518" s="783">
        <v>134.21</v>
      </c>
      <c r="T518" s="783">
        <v>310.82</v>
      </c>
      <c r="U518" s="785">
        <v>44708.685127314799</v>
      </c>
    </row>
    <row r="519" spans="1:21">
      <c r="A519" s="782">
        <v>44698</v>
      </c>
      <c r="B519" s="783" t="s">
        <v>41</v>
      </c>
      <c r="C519" s="783" t="s">
        <v>4092</v>
      </c>
      <c r="D519" s="783" t="s">
        <v>4009</v>
      </c>
      <c r="E519" s="783" t="s">
        <v>3805</v>
      </c>
      <c r="F519" s="783" t="s">
        <v>4011</v>
      </c>
      <c r="G519" s="783" t="str">
        <f t="shared" ref="G519:G524" si="29">VLOOKUP(I519,pacage,2,FALSE)</f>
        <v>Renewal (15% in 2020)</v>
      </c>
      <c r="H519" s="783" t="s">
        <v>4119</v>
      </c>
      <c r="I519" s="783" t="s">
        <v>4120</v>
      </c>
      <c r="J519" s="783">
        <v>15</v>
      </c>
      <c r="K519" s="783" t="s">
        <v>99</v>
      </c>
      <c r="L519" s="783" t="s">
        <v>4096</v>
      </c>
      <c r="M519" s="784">
        <v>11735.82</v>
      </c>
      <c r="N519" s="784">
        <v>10.3</v>
      </c>
      <c r="O519" s="784">
        <v>6.33</v>
      </c>
      <c r="P519" s="783">
        <v>180</v>
      </c>
      <c r="Q519" s="783">
        <v>823.85</v>
      </c>
      <c r="R519" s="783">
        <v>348.53</v>
      </c>
      <c r="S519" s="783">
        <v>78.650000000000006</v>
      </c>
      <c r="T519" s="783">
        <v>396.67</v>
      </c>
      <c r="U519" s="785">
        <v>44699.745254629597</v>
      </c>
    </row>
    <row r="520" spans="1:21">
      <c r="A520" s="782">
        <v>44698</v>
      </c>
      <c r="B520" s="783" t="s">
        <v>41</v>
      </c>
      <c r="C520" s="783" t="s">
        <v>4071</v>
      </c>
      <c r="D520" s="783" t="s">
        <v>4009</v>
      </c>
      <c r="E520" s="783" t="s">
        <v>3805</v>
      </c>
      <c r="F520" s="783" t="s">
        <v>4011</v>
      </c>
      <c r="G520" s="783" t="str">
        <f t="shared" si="29"/>
        <v>Renewal (15% in 2020)</v>
      </c>
      <c r="H520" s="783" t="s">
        <v>4119</v>
      </c>
      <c r="I520" s="783" t="s">
        <v>4120</v>
      </c>
      <c r="J520" s="783">
        <v>15</v>
      </c>
      <c r="K520" s="783" t="s">
        <v>99</v>
      </c>
      <c r="L520" s="783" t="s">
        <v>4096</v>
      </c>
      <c r="M520" s="784">
        <v>136722.6</v>
      </c>
      <c r="N520" s="784">
        <v>108.51</v>
      </c>
      <c r="O520" s="784">
        <v>7</v>
      </c>
      <c r="P520" s="783">
        <v>180</v>
      </c>
      <c r="Q520" s="783">
        <v>6863.47</v>
      </c>
      <c r="R520" s="783">
        <v>2969.77</v>
      </c>
      <c r="S520" s="783">
        <v>598.69000000000005</v>
      </c>
      <c r="T520" s="783">
        <v>3295.01</v>
      </c>
      <c r="U520" s="785">
        <v>44699.745254629597</v>
      </c>
    </row>
    <row r="521" spans="1:21">
      <c r="A521" s="782">
        <v>44698</v>
      </c>
      <c r="B521" s="783" t="s">
        <v>41</v>
      </c>
      <c r="C521" s="783" t="s">
        <v>4192</v>
      </c>
      <c r="D521" s="783" t="s">
        <v>4193</v>
      </c>
      <c r="E521" s="783" t="s">
        <v>5222</v>
      </c>
      <c r="F521" s="783" t="s">
        <v>4011</v>
      </c>
      <c r="G521" s="783" t="str">
        <f t="shared" si="29"/>
        <v>Renewal (20% in 2020)</v>
      </c>
      <c r="H521" s="783" t="s">
        <v>5223</v>
      </c>
      <c r="I521" s="783" t="s">
        <v>5224</v>
      </c>
      <c r="J521" s="783">
        <v>20</v>
      </c>
      <c r="K521" s="783" t="s">
        <v>99</v>
      </c>
      <c r="L521" s="783" t="s">
        <v>4096</v>
      </c>
      <c r="M521" s="784">
        <v>53127.95</v>
      </c>
      <c r="N521" s="784">
        <v>56.87</v>
      </c>
      <c r="O521" s="784">
        <v>5.4</v>
      </c>
      <c r="P521" s="783">
        <v>173</v>
      </c>
      <c r="Q521" s="783">
        <v>2534.1999999999998</v>
      </c>
      <c r="R521" s="783">
        <v>1498.21</v>
      </c>
      <c r="S521" s="783">
        <v>228.45</v>
      </c>
      <c r="T521" s="783">
        <v>807.54</v>
      </c>
      <c r="U521" s="785">
        <v>44699.499062499999</v>
      </c>
    </row>
    <row r="522" spans="1:21">
      <c r="A522" s="782">
        <v>44698</v>
      </c>
      <c r="B522" s="783" t="s">
        <v>41</v>
      </c>
      <c r="C522" s="783" t="s">
        <v>4121</v>
      </c>
      <c r="D522" s="783" t="s">
        <v>4009</v>
      </c>
      <c r="E522" s="783" t="s">
        <v>5222</v>
      </c>
      <c r="F522" s="783" t="s">
        <v>4011</v>
      </c>
      <c r="G522" s="783" t="str">
        <f t="shared" si="29"/>
        <v>Renewal (20% in 2020)</v>
      </c>
      <c r="H522" s="783" t="s">
        <v>5223</v>
      </c>
      <c r="I522" s="783" t="s">
        <v>5224</v>
      </c>
      <c r="J522" s="783">
        <v>20</v>
      </c>
      <c r="K522" s="783" t="s">
        <v>99</v>
      </c>
      <c r="L522" s="783" t="s">
        <v>4096</v>
      </c>
      <c r="M522" s="784">
        <v>12074.54</v>
      </c>
      <c r="N522" s="784">
        <v>13.5</v>
      </c>
      <c r="O522" s="784">
        <v>5.17</v>
      </c>
      <c r="P522" s="783">
        <v>173</v>
      </c>
      <c r="Q522" s="783">
        <v>537.32000000000005</v>
      </c>
      <c r="R522" s="783">
        <v>316.35000000000002</v>
      </c>
      <c r="S522" s="783">
        <v>48.3</v>
      </c>
      <c r="T522" s="783">
        <v>172.67</v>
      </c>
      <c r="U522" s="785">
        <v>44699.499062499999</v>
      </c>
    </row>
    <row r="523" spans="1:21">
      <c r="A523" s="782">
        <v>44704</v>
      </c>
      <c r="B523" s="783" t="s">
        <v>41</v>
      </c>
      <c r="C523" s="783" t="s">
        <v>4082</v>
      </c>
      <c r="D523" s="783" t="s">
        <v>4009</v>
      </c>
      <c r="E523" s="783" t="s">
        <v>2021</v>
      </c>
      <c r="F523" s="783" t="s">
        <v>4011</v>
      </c>
      <c r="G523" s="783" t="str">
        <f t="shared" si="29"/>
        <v>Renewal (25% in 2020)</v>
      </c>
      <c r="H523" s="783" t="s">
        <v>4580</v>
      </c>
      <c r="I523" s="783" t="s">
        <v>4581</v>
      </c>
      <c r="J523" s="783">
        <v>25</v>
      </c>
      <c r="K523" s="783" t="s">
        <v>99</v>
      </c>
      <c r="L523" s="783" t="s">
        <v>4096</v>
      </c>
      <c r="M523" s="784">
        <v>37452.800000000003</v>
      </c>
      <c r="N523" s="784">
        <v>29.26</v>
      </c>
      <c r="O523" s="784">
        <v>8</v>
      </c>
      <c r="P523" s="783">
        <v>160</v>
      </c>
      <c r="Q523" s="783">
        <v>1430.7</v>
      </c>
      <c r="R523" s="783">
        <v>1093.6199999999999</v>
      </c>
      <c r="S523" s="783">
        <v>194.75</v>
      </c>
      <c r="T523" s="783">
        <v>142.32</v>
      </c>
      <c r="U523" s="785">
        <v>44704.3933680556</v>
      </c>
    </row>
    <row r="524" spans="1:21">
      <c r="A524" s="782">
        <v>44700</v>
      </c>
      <c r="B524" s="783" t="s">
        <v>51</v>
      </c>
      <c r="C524" s="783" t="s">
        <v>4042</v>
      </c>
      <c r="D524" s="783" t="s">
        <v>4016</v>
      </c>
      <c r="E524" s="783" t="s">
        <v>5225</v>
      </c>
      <c r="F524" s="783" t="s">
        <v>4011</v>
      </c>
      <c r="G524" s="783" t="str">
        <f t="shared" si="29"/>
        <v>Renewal (30% in 2020)</v>
      </c>
      <c r="H524" s="783" t="s">
        <v>5226</v>
      </c>
      <c r="I524" s="783" t="s">
        <v>5227</v>
      </c>
      <c r="J524" s="783">
        <v>30</v>
      </c>
      <c r="K524" s="783" t="s">
        <v>99</v>
      </c>
      <c r="L524" s="783" t="s">
        <v>4096</v>
      </c>
      <c r="M524" s="784">
        <v>143023.1</v>
      </c>
      <c r="N524" s="784">
        <v>133.02000000000001</v>
      </c>
      <c r="O524" s="784">
        <v>6.72</v>
      </c>
      <c r="P524" s="783">
        <v>160</v>
      </c>
      <c r="Q524" s="783">
        <v>4691.16</v>
      </c>
      <c r="R524" s="783">
        <v>4018.95</v>
      </c>
      <c r="S524" s="783">
        <v>0</v>
      </c>
      <c r="T524" s="783">
        <v>672.21</v>
      </c>
      <c r="U524" s="785">
        <v>44708.688935185201</v>
      </c>
    </row>
    <row r="525" spans="1:21">
      <c r="A525" s="782">
        <v>44705</v>
      </c>
      <c r="B525" s="783" t="s">
        <v>228</v>
      </c>
      <c r="C525" s="783" t="s">
        <v>4582</v>
      </c>
      <c r="D525" s="783" t="s">
        <v>4193</v>
      </c>
      <c r="E525" s="783" t="s">
        <v>4583</v>
      </c>
      <c r="F525" s="783" t="s">
        <v>4011</v>
      </c>
      <c r="G525" s="783" t="s">
        <v>4028</v>
      </c>
      <c r="H525" s="783" t="s">
        <v>4584</v>
      </c>
      <c r="I525" s="783" t="s">
        <v>4585</v>
      </c>
      <c r="J525" s="783">
        <v>25</v>
      </c>
      <c r="K525" s="783" t="s">
        <v>99</v>
      </c>
      <c r="L525" s="783" t="s">
        <v>4096</v>
      </c>
      <c r="M525" s="784">
        <v>13899.55</v>
      </c>
      <c r="N525" s="784">
        <v>11.19</v>
      </c>
      <c r="O525" s="784">
        <v>7.18</v>
      </c>
      <c r="P525" s="783">
        <v>173</v>
      </c>
      <c r="Q525" s="783">
        <v>562.92999999999995</v>
      </c>
      <c r="R525" s="783">
        <v>439.23</v>
      </c>
      <c r="S525" s="783">
        <v>58.38</v>
      </c>
      <c r="T525" s="783">
        <v>65.33</v>
      </c>
      <c r="U525" s="785">
        <v>44708.690625000003</v>
      </c>
    </row>
    <row r="526" spans="1:21">
      <c r="A526" s="782">
        <v>44710</v>
      </c>
      <c r="B526" s="783" t="s">
        <v>41</v>
      </c>
      <c r="C526" s="783" t="s">
        <v>4071</v>
      </c>
      <c r="D526" s="783" t="s">
        <v>4009</v>
      </c>
      <c r="E526" s="783" t="s">
        <v>1125</v>
      </c>
      <c r="F526" s="783" t="s">
        <v>4011</v>
      </c>
      <c r="G526" s="783" t="str">
        <f t="shared" ref="G526:G532" si="30">VLOOKUP(I526,pacage,2,FALSE)</f>
        <v>Renewal (15% in 2020)</v>
      </c>
      <c r="H526" s="783" t="s">
        <v>5228</v>
      </c>
      <c r="I526" s="783" t="s">
        <v>5229</v>
      </c>
      <c r="J526" s="783">
        <v>20</v>
      </c>
      <c r="K526" s="783" t="s">
        <v>99</v>
      </c>
      <c r="L526" s="783" t="s">
        <v>4096</v>
      </c>
      <c r="M526" s="784">
        <v>74388.13</v>
      </c>
      <c r="N526" s="784">
        <v>54.81</v>
      </c>
      <c r="O526" s="784">
        <v>7.54</v>
      </c>
      <c r="P526" s="783">
        <v>180</v>
      </c>
      <c r="Q526" s="783">
        <v>2782.12</v>
      </c>
      <c r="R526" s="783">
        <v>1615.79</v>
      </c>
      <c r="S526" s="783">
        <v>325.74</v>
      </c>
      <c r="T526" s="783">
        <v>840.59</v>
      </c>
      <c r="U526" s="785">
        <v>44712.651805555601</v>
      </c>
    </row>
    <row r="527" spans="1:21">
      <c r="A527" s="782">
        <v>44710</v>
      </c>
      <c r="B527" s="783" t="s">
        <v>41</v>
      </c>
      <c r="C527" s="783" t="s">
        <v>4092</v>
      </c>
      <c r="D527" s="783" t="s">
        <v>4009</v>
      </c>
      <c r="E527" s="783" t="s">
        <v>1125</v>
      </c>
      <c r="F527" s="783" t="s">
        <v>4011</v>
      </c>
      <c r="G527" s="783" t="str">
        <f t="shared" si="30"/>
        <v>Renewal (15% in 2020)</v>
      </c>
      <c r="H527" s="783" t="s">
        <v>5228</v>
      </c>
      <c r="I527" s="783" t="s">
        <v>5229</v>
      </c>
      <c r="J527" s="783">
        <v>20</v>
      </c>
      <c r="K527" s="783" t="s">
        <v>99</v>
      </c>
      <c r="L527" s="783" t="s">
        <v>4096</v>
      </c>
      <c r="M527" s="784">
        <v>16449.259999999998</v>
      </c>
      <c r="N527" s="784">
        <v>12.12</v>
      </c>
      <c r="O527" s="784">
        <v>7.54</v>
      </c>
      <c r="P527" s="783">
        <v>180</v>
      </c>
      <c r="Q527" s="783">
        <v>861.94</v>
      </c>
      <c r="R527" s="783">
        <v>488.52</v>
      </c>
      <c r="S527" s="783">
        <v>110.24</v>
      </c>
      <c r="T527" s="783">
        <v>263.19</v>
      </c>
      <c r="U527" s="785">
        <v>44712.651805555601</v>
      </c>
    </row>
    <row r="528" spans="1:21">
      <c r="A528" s="782">
        <v>44699</v>
      </c>
      <c r="B528" s="783" t="s">
        <v>41</v>
      </c>
      <c r="C528" s="783" t="s">
        <v>4092</v>
      </c>
      <c r="D528" s="783" t="s">
        <v>4009</v>
      </c>
      <c r="E528" s="783" t="s">
        <v>5230</v>
      </c>
      <c r="F528" s="783" t="s">
        <v>4011</v>
      </c>
      <c r="G528" s="783" t="str">
        <f t="shared" si="30"/>
        <v>Renewal (20% in 2020)</v>
      </c>
      <c r="H528" s="783" t="s">
        <v>5231</v>
      </c>
      <c r="I528" s="783" t="s">
        <v>5232</v>
      </c>
      <c r="J528" s="783">
        <v>20</v>
      </c>
      <c r="K528" s="783" t="s">
        <v>99</v>
      </c>
      <c r="L528" s="783" t="s">
        <v>4096</v>
      </c>
      <c r="M528" s="784">
        <v>15791.4</v>
      </c>
      <c r="N528" s="784">
        <v>14.15</v>
      </c>
      <c r="O528" s="784">
        <v>6.2</v>
      </c>
      <c r="P528" s="783">
        <v>180</v>
      </c>
      <c r="Q528" s="783">
        <v>827.47</v>
      </c>
      <c r="R528" s="783">
        <v>468.98</v>
      </c>
      <c r="S528" s="783">
        <v>105.83</v>
      </c>
      <c r="T528" s="783">
        <v>252.66</v>
      </c>
      <c r="U528" s="785">
        <v>44700.525358796302</v>
      </c>
    </row>
    <row r="529" spans="1:21">
      <c r="A529" s="782">
        <v>44699</v>
      </c>
      <c r="B529" s="783" t="s">
        <v>41</v>
      </c>
      <c r="C529" s="783" t="s">
        <v>4082</v>
      </c>
      <c r="D529" s="783" t="s">
        <v>4009</v>
      </c>
      <c r="E529" s="783" t="s">
        <v>5230</v>
      </c>
      <c r="F529" s="783" t="s">
        <v>4011</v>
      </c>
      <c r="G529" s="783" t="str">
        <f t="shared" si="30"/>
        <v>Renewal (20% in 2020)</v>
      </c>
      <c r="H529" s="783" t="s">
        <v>5231</v>
      </c>
      <c r="I529" s="783" t="s">
        <v>5232</v>
      </c>
      <c r="J529" s="783">
        <v>20</v>
      </c>
      <c r="K529" s="783" t="s">
        <v>99</v>
      </c>
      <c r="L529" s="783" t="s">
        <v>4096</v>
      </c>
      <c r="M529" s="784">
        <v>5624.64</v>
      </c>
      <c r="N529" s="784">
        <v>5.04</v>
      </c>
      <c r="O529" s="784">
        <v>6.2</v>
      </c>
      <c r="P529" s="783">
        <v>180</v>
      </c>
      <c r="Q529" s="783">
        <v>278.42</v>
      </c>
      <c r="R529" s="783">
        <v>157.85</v>
      </c>
      <c r="S529" s="783">
        <v>35.64</v>
      </c>
      <c r="T529" s="783">
        <v>84.93</v>
      </c>
      <c r="U529" s="785">
        <v>44700.525358796302</v>
      </c>
    </row>
    <row r="530" spans="1:21">
      <c r="A530" s="782">
        <v>44705</v>
      </c>
      <c r="B530" s="783" t="s">
        <v>4025</v>
      </c>
      <c r="C530" s="783" t="s">
        <v>4026</v>
      </c>
      <c r="D530" s="783" t="s">
        <v>4021</v>
      </c>
      <c r="E530" s="783" t="s">
        <v>5233</v>
      </c>
      <c r="F530" s="783" t="s">
        <v>4011</v>
      </c>
      <c r="G530" s="783" t="str">
        <f t="shared" si="30"/>
        <v>New Contract</v>
      </c>
      <c r="H530" s="783" t="s">
        <v>5234</v>
      </c>
      <c r="I530" s="783" t="s">
        <v>5235</v>
      </c>
      <c r="J530" s="783">
        <v>20</v>
      </c>
      <c r="K530" s="783" t="s">
        <v>99</v>
      </c>
      <c r="L530" s="783" t="s">
        <v>4096</v>
      </c>
      <c r="M530" s="784">
        <v>72658.34</v>
      </c>
      <c r="N530" s="784">
        <v>73.69</v>
      </c>
      <c r="O530" s="784">
        <v>4.93</v>
      </c>
      <c r="P530" s="783">
        <v>200</v>
      </c>
      <c r="Q530" s="783">
        <v>4257.78</v>
      </c>
      <c r="R530" s="783">
        <v>2124.31</v>
      </c>
      <c r="S530" s="783">
        <v>709.36</v>
      </c>
      <c r="T530" s="783">
        <v>1424.1</v>
      </c>
      <c r="U530" s="785">
        <v>44708.694351851896</v>
      </c>
    </row>
    <row r="531" spans="1:21">
      <c r="A531" s="782">
        <v>44701</v>
      </c>
      <c r="B531" s="783" t="s">
        <v>228</v>
      </c>
      <c r="C531" s="783" t="s">
        <v>4251</v>
      </c>
      <c r="D531" s="783" t="s">
        <v>4193</v>
      </c>
      <c r="E531" s="783" t="s">
        <v>5236</v>
      </c>
      <c r="F531" s="783" t="s">
        <v>4011</v>
      </c>
      <c r="G531" s="783" t="str">
        <f t="shared" si="30"/>
        <v>New contract</v>
      </c>
      <c r="H531" s="783" t="s">
        <v>5237</v>
      </c>
      <c r="I531" s="783" t="s">
        <v>5238</v>
      </c>
      <c r="J531" s="783">
        <v>25</v>
      </c>
      <c r="K531" s="783" t="s">
        <v>99</v>
      </c>
      <c r="L531" s="783" t="s">
        <v>4096</v>
      </c>
      <c r="M531" s="784">
        <v>69721.8</v>
      </c>
      <c r="N531" s="784">
        <v>40.07</v>
      </c>
      <c r="O531" s="784">
        <v>8.6999999999999993</v>
      </c>
      <c r="P531" s="783">
        <v>200</v>
      </c>
      <c r="Q531" s="783">
        <v>2258.9899999999998</v>
      </c>
      <c r="R531" s="783">
        <v>1513.76</v>
      </c>
      <c r="S531" s="783">
        <v>515.14</v>
      </c>
      <c r="T531" s="783">
        <v>230.08</v>
      </c>
      <c r="U531" s="785">
        <v>44701.497337963003</v>
      </c>
    </row>
    <row r="532" spans="1:21">
      <c r="A532" s="782">
        <v>44708</v>
      </c>
      <c r="B532" s="783" t="s">
        <v>4025</v>
      </c>
      <c r="C532" s="783" t="s">
        <v>4026</v>
      </c>
      <c r="D532" s="783" t="s">
        <v>4021</v>
      </c>
      <c r="E532" s="783" t="s">
        <v>5239</v>
      </c>
      <c r="F532" s="783" t="s">
        <v>4011</v>
      </c>
      <c r="G532" s="783" t="str">
        <f t="shared" si="30"/>
        <v>New Contract</v>
      </c>
      <c r="H532" s="783" t="s">
        <v>5240</v>
      </c>
      <c r="I532" s="783" t="s">
        <v>5241</v>
      </c>
      <c r="J532" s="783">
        <v>25</v>
      </c>
      <c r="K532" s="783" t="s">
        <v>99</v>
      </c>
      <c r="L532" s="783" t="s">
        <v>4096</v>
      </c>
      <c r="M532" s="784">
        <v>32212.87</v>
      </c>
      <c r="N532" s="784">
        <v>21.82</v>
      </c>
      <c r="O532" s="784">
        <v>7.77</v>
      </c>
      <c r="P532" s="783">
        <v>190</v>
      </c>
      <c r="Q532" s="783">
        <v>1475.35</v>
      </c>
      <c r="R532" s="783">
        <v>991.38</v>
      </c>
      <c r="S532" s="783">
        <v>264.93</v>
      </c>
      <c r="T532" s="783">
        <v>219.05</v>
      </c>
      <c r="U532" s="785">
        <v>44711.534571759301</v>
      </c>
    </row>
    <row r="533" spans="1:21">
      <c r="A533" s="782">
        <v>44711</v>
      </c>
      <c r="B533" s="783" t="s">
        <v>624</v>
      </c>
      <c r="C533" s="783" t="s">
        <v>4037</v>
      </c>
      <c r="D533" s="783" t="s">
        <v>4038</v>
      </c>
      <c r="E533" s="783" t="s">
        <v>4039</v>
      </c>
      <c r="F533" s="783" t="s">
        <v>4011</v>
      </c>
      <c r="G533" s="783" t="s">
        <v>4028</v>
      </c>
      <c r="H533" s="783" t="s">
        <v>4040</v>
      </c>
      <c r="I533" s="783" t="s">
        <v>4041</v>
      </c>
      <c r="J533" s="783">
        <v>20</v>
      </c>
      <c r="K533" s="783" t="s">
        <v>99</v>
      </c>
      <c r="L533" s="783" t="s">
        <v>4096</v>
      </c>
      <c r="M533" s="784">
        <v>9887.68</v>
      </c>
      <c r="N533" s="784">
        <v>8.48</v>
      </c>
      <c r="O533" s="784">
        <v>5.83</v>
      </c>
      <c r="P533" s="783">
        <v>200</v>
      </c>
      <c r="Q533" s="783">
        <v>662.47</v>
      </c>
      <c r="R533" s="783">
        <v>338.69</v>
      </c>
      <c r="S533" s="783">
        <v>115.15</v>
      </c>
      <c r="T533" s="783">
        <v>208.63</v>
      </c>
      <c r="U533" s="785">
        <v>44713.980636574102</v>
      </c>
    </row>
    <row r="534" spans="1:21">
      <c r="A534" s="782">
        <v>44700</v>
      </c>
      <c r="B534" s="783" t="s">
        <v>41</v>
      </c>
      <c r="C534" s="783" t="s">
        <v>4354</v>
      </c>
      <c r="D534" s="783" t="s">
        <v>4009</v>
      </c>
      <c r="E534" s="783" t="s">
        <v>4586</v>
      </c>
      <c r="F534" s="783" t="s">
        <v>4011</v>
      </c>
      <c r="G534" s="783" t="str">
        <f t="shared" ref="G534:G553" si="31">VLOOKUP(I534,pacage,2,FALSE)</f>
        <v>New contract</v>
      </c>
      <c r="H534" s="783" t="s">
        <v>4587</v>
      </c>
      <c r="I534" s="783" t="s">
        <v>4588</v>
      </c>
      <c r="J534" s="783">
        <v>25</v>
      </c>
      <c r="K534" s="783" t="s">
        <v>99</v>
      </c>
      <c r="L534" s="783" t="s">
        <v>4096</v>
      </c>
      <c r="M534" s="784">
        <v>9108</v>
      </c>
      <c r="N534" s="784">
        <v>7.59</v>
      </c>
      <c r="O534" s="784">
        <v>6</v>
      </c>
      <c r="P534" s="783">
        <v>200</v>
      </c>
      <c r="Q534" s="783">
        <v>516.41999999999996</v>
      </c>
      <c r="R534" s="783">
        <v>323.02</v>
      </c>
      <c r="S534" s="783">
        <v>109.61</v>
      </c>
      <c r="T534" s="783">
        <v>83.79</v>
      </c>
      <c r="U534" s="785">
        <v>44700.718599537002</v>
      </c>
    </row>
    <row r="535" spans="1:21">
      <c r="A535" s="782">
        <v>44657</v>
      </c>
      <c r="B535" s="783" t="s">
        <v>41</v>
      </c>
      <c r="C535" s="783" t="s">
        <v>4092</v>
      </c>
      <c r="D535" s="783" t="s">
        <v>4009</v>
      </c>
      <c r="E535" s="783" t="s">
        <v>338</v>
      </c>
      <c r="F535" s="783" t="s">
        <v>4011</v>
      </c>
      <c r="G535" s="783" t="str">
        <f t="shared" si="31"/>
        <v>New Contract</v>
      </c>
      <c r="H535" s="783" t="s">
        <v>4589</v>
      </c>
      <c r="I535" s="783" t="s">
        <v>4590</v>
      </c>
      <c r="J535" s="783">
        <v>15</v>
      </c>
      <c r="K535" s="783" t="s">
        <v>99</v>
      </c>
      <c r="L535" s="783" t="s">
        <v>4096</v>
      </c>
      <c r="M535" s="784">
        <v>168341.18</v>
      </c>
      <c r="N535" s="784">
        <v>143.44</v>
      </c>
      <c r="O535" s="784">
        <v>6.52</v>
      </c>
      <c r="P535" s="783">
        <v>180</v>
      </c>
      <c r="Q535" s="783">
        <v>11817.55</v>
      </c>
      <c r="R535" s="783">
        <v>4999.45</v>
      </c>
      <c r="S535" s="783">
        <v>1128.17</v>
      </c>
      <c r="T535" s="783">
        <v>5689.93</v>
      </c>
      <c r="U535" s="785">
        <v>44657.603819444397</v>
      </c>
    </row>
    <row r="536" spans="1:21">
      <c r="A536" s="782">
        <v>44655</v>
      </c>
      <c r="B536" s="783" t="s">
        <v>2866</v>
      </c>
      <c r="C536" s="783" t="s">
        <v>4414</v>
      </c>
      <c r="D536" s="783" t="s">
        <v>4009</v>
      </c>
      <c r="E536" s="783" t="s">
        <v>5242</v>
      </c>
      <c r="F536" s="783" t="s">
        <v>4011</v>
      </c>
      <c r="G536" s="783" t="str">
        <f t="shared" si="31"/>
        <v>Renewal (30% in 2020)</v>
      </c>
      <c r="H536" s="783" t="s">
        <v>5243</v>
      </c>
      <c r="I536" s="783" t="s">
        <v>5244</v>
      </c>
      <c r="J536" s="783">
        <v>30</v>
      </c>
      <c r="K536" s="783" t="s">
        <v>99</v>
      </c>
      <c r="L536" s="783" t="s">
        <v>4096</v>
      </c>
      <c r="M536" s="784">
        <v>36774</v>
      </c>
      <c r="N536" s="784">
        <v>34.049999999999997</v>
      </c>
      <c r="O536" s="784">
        <v>7.2</v>
      </c>
      <c r="P536" s="783">
        <v>150</v>
      </c>
      <c r="Q536" s="783">
        <v>1702.64</v>
      </c>
      <c r="R536" s="783">
        <v>1305.48</v>
      </c>
      <c r="S536" s="783">
        <v>0</v>
      </c>
      <c r="T536" s="783">
        <v>397.16</v>
      </c>
      <c r="U536" s="785">
        <v>44657.6155671296</v>
      </c>
    </row>
    <row r="537" spans="1:21">
      <c r="A537" s="782">
        <v>44657</v>
      </c>
      <c r="B537" s="783" t="s">
        <v>41</v>
      </c>
      <c r="C537" s="783" t="s">
        <v>4092</v>
      </c>
      <c r="D537" s="783" t="s">
        <v>4009</v>
      </c>
      <c r="E537" s="783" t="s">
        <v>5245</v>
      </c>
      <c r="F537" s="783" t="s">
        <v>4011</v>
      </c>
      <c r="G537" s="783" t="str">
        <f t="shared" si="31"/>
        <v>Renewal (30% in 2020)</v>
      </c>
      <c r="H537" s="783" t="s">
        <v>5246</v>
      </c>
      <c r="I537" s="783" t="s">
        <v>5247</v>
      </c>
      <c r="J537" s="783">
        <v>30</v>
      </c>
      <c r="K537" s="783" t="s">
        <v>99</v>
      </c>
      <c r="L537" s="783" t="s">
        <v>4096</v>
      </c>
      <c r="M537" s="784">
        <v>15469.6</v>
      </c>
      <c r="N537" s="784">
        <v>15.85</v>
      </c>
      <c r="O537" s="784">
        <v>6.1</v>
      </c>
      <c r="P537" s="783">
        <v>160</v>
      </c>
      <c r="Q537" s="783">
        <v>541.44000000000005</v>
      </c>
      <c r="R537" s="783">
        <v>478.01</v>
      </c>
      <c r="S537" s="783">
        <v>0</v>
      </c>
      <c r="T537" s="783">
        <v>63.43</v>
      </c>
      <c r="U537" s="785">
        <v>44657.628784722197</v>
      </c>
    </row>
    <row r="538" spans="1:21">
      <c r="A538" s="782">
        <v>44657</v>
      </c>
      <c r="B538" s="783" t="s">
        <v>51</v>
      </c>
      <c r="C538" s="783" t="s">
        <v>4042</v>
      </c>
      <c r="D538" s="783" t="s">
        <v>4016</v>
      </c>
      <c r="E538" s="783" t="s">
        <v>56</v>
      </c>
      <c r="F538" s="783" t="s">
        <v>4011</v>
      </c>
      <c r="G538" s="783" t="str">
        <f t="shared" si="31"/>
        <v>Renewal (25% in 2020)</v>
      </c>
      <c r="H538" s="783" t="s">
        <v>5248</v>
      </c>
      <c r="I538" s="783" t="s">
        <v>5249</v>
      </c>
      <c r="J538" s="783">
        <v>25</v>
      </c>
      <c r="K538" s="783" t="s">
        <v>99</v>
      </c>
      <c r="L538" s="783" t="s">
        <v>4096</v>
      </c>
      <c r="M538" s="784">
        <v>121474.66</v>
      </c>
      <c r="N538" s="784">
        <v>98.09</v>
      </c>
      <c r="O538" s="784">
        <v>7.74</v>
      </c>
      <c r="P538" s="783">
        <v>160</v>
      </c>
      <c r="Q538" s="783">
        <v>4494.5600000000004</v>
      </c>
      <c r="R538" s="783">
        <v>3413.44</v>
      </c>
      <c r="S538" s="783">
        <v>522.34</v>
      </c>
      <c r="T538" s="783">
        <v>558.78</v>
      </c>
      <c r="U538" s="785">
        <v>44657.616006944401</v>
      </c>
    </row>
    <row r="539" spans="1:21">
      <c r="A539" s="782">
        <v>44657</v>
      </c>
      <c r="B539" s="783" t="s">
        <v>51</v>
      </c>
      <c r="C539" s="783" t="s">
        <v>4042</v>
      </c>
      <c r="D539" s="783" t="s">
        <v>4016</v>
      </c>
      <c r="E539" s="783" t="s">
        <v>49</v>
      </c>
      <c r="F539" s="783" t="s">
        <v>4011</v>
      </c>
      <c r="G539" s="783" t="str">
        <f t="shared" si="31"/>
        <v>Renewal (20% in 2020)</v>
      </c>
      <c r="H539" s="783" t="s">
        <v>5250</v>
      </c>
      <c r="I539" s="783" t="s">
        <v>5251</v>
      </c>
      <c r="J539" s="783">
        <v>20</v>
      </c>
      <c r="K539" s="783" t="s">
        <v>99</v>
      </c>
      <c r="L539" s="783" t="s">
        <v>4096</v>
      </c>
      <c r="M539" s="784">
        <v>89721.4</v>
      </c>
      <c r="N539" s="784">
        <v>72.930000000000007</v>
      </c>
      <c r="O539" s="784">
        <v>6.99</v>
      </c>
      <c r="P539" s="783">
        <v>176</v>
      </c>
      <c r="Q539" s="783">
        <v>3902.88</v>
      </c>
      <c r="R539" s="783">
        <v>2478.1999999999998</v>
      </c>
      <c r="S539" s="783">
        <v>428.78</v>
      </c>
      <c r="T539" s="783">
        <v>995.91</v>
      </c>
      <c r="U539" s="785">
        <v>44657.614317129599</v>
      </c>
    </row>
    <row r="540" spans="1:21">
      <c r="A540" s="782">
        <v>44662</v>
      </c>
      <c r="B540" s="783" t="s">
        <v>41</v>
      </c>
      <c r="C540" s="783" t="s">
        <v>4092</v>
      </c>
      <c r="D540" s="783" t="s">
        <v>4009</v>
      </c>
      <c r="E540" s="783" t="s">
        <v>473</v>
      </c>
      <c r="F540" s="783" t="s">
        <v>4011</v>
      </c>
      <c r="G540" s="783" t="str">
        <f t="shared" si="31"/>
        <v>New Contract</v>
      </c>
      <c r="H540" s="783" t="s">
        <v>5252</v>
      </c>
      <c r="I540" s="783" t="s">
        <v>5253</v>
      </c>
      <c r="J540" s="783">
        <v>25</v>
      </c>
      <c r="K540" s="783" t="s">
        <v>99</v>
      </c>
      <c r="L540" s="783" t="s">
        <v>4096</v>
      </c>
      <c r="M540" s="784">
        <v>103098.52</v>
      </c>
      <c r="N540" s="784">
        <v>75.819999999999993</v>
      </c>
      <c r="O540" s="784">
        <v>7.86</v>
      </c>
      <c r="P540" s="783">
        <v>173</v>
      </c>
      <c r="Q540" s="783">
        <v>4175.49</v>
      </c>
      <c r="R540" s="783">
        <v>3185.74</v>
      </c>
      <c r="S540" s="783">
        <v>567.04</v>
      </c>
      <c r="T540" s="783">
        <v>422.7</v>
      </c>
      <c r="U540" s="785">
        <v>44663.428599537001</v>
      </c>
    </row>
    <row r="541" spans="1:21">
      <c r="A541" s="782">
        <v>44656</v>
      </c>
      <c r="B541" s="783" t="s">
        <v>41</v>
      </c>
      <c r="C541" s="783" t="s">
        <v>4092</v>
      </c>
      <c r="D541" s="783" t="s">
        <v>4009</v>
      </c>
      <c r="E541" s="783" t="s">
        <v>5254</v>
      </c>
      <c r="F541" s="783" t="s">
        <v>4011</v>
      </c>
      <c r="G541" s="783" t="str">
        <f t="shared" si="31"/>
        <v>Renewal (15% in 2020)</v>
      </c>
      <c r="H541" s="783" t="s">
        <v>5255</v>
      </c>
      <c r="I541" s="783" t="s">
        <v>5256</v>
      </c>
      <c r="J541" s="783">
        <v>15</v>
      </c>
      <c r="K541" s="783" t="s">
        <v>99</v>
      </c>
      <c r="L541" s="783" t="s">
        <v>4096</v>
      </c>
      <c r="M541" s="784">
        <v>18459.79</v>
      </c>
      <c r="N541" s="784">
        <v>17.100000000000001</v>
      </c>
      <c r="O541" s="784">
        <v>6.24</v>
      </c>
      <c r="P541" s="783">
        <v>173</v>
      </c>
      <c r="Q541" s="783">
        <v>1295.8800000000001</v>
      </c>
      <c r="R541" s="783">
        <v>570.41</v>
      </c>
      <c r="S541" s="783">
        <v>101.53</v>
      </c>
      <c r="T541" s="783">
        <v>623.94000000000005</v>
      </c>
      <c r="U541" s="785">
        <v>44657.6323148148</v>
      </c>
    </row>
    <row r="542" spans="1:21">
      <c r="A542" s="782">
        <v>44657</v>
      </c>
      <c r="B542" s="783" t="s">
        <v>34</v>
      </c>
      <c r="C542" s="783" t="s">
        <v>4082</v>
      </c>
      <c r="D542" s="783" t="s">
        <v>4009</v>
      </c>
      <c r="E542" s="783" t="s">
        <v>4593</v>
      </c>
      <c r="F542" s="783" t="s">
        <v>4011</v>
      </c>
      <c r="G542" s="783" t="str">
        <f t="shared" si="31"/>
        <v>Renewal (30% in 2020)</v>
      </c>
      <c r="H542" s="783" t="s">
        <v>4594</v>
      </c>
      <c r="I542" s="783" t="s">
        <v>4595</v>
      </c>
      <c r="J542" s="783">
        <v>30</v>
      </c>
      <c r="K542" s="783" t="s">
        <v>99</v>
      </c>
      <c r="L542" s="783" t="s">
        <v>4096</v>
      </c>
      <c r="M542" s="784">
        <v>38530.269999999997</v>
      </c>
      <c r="N542" s="784">
        <v>35.31</v>
      </c>
      <c r="O542" s="784">
        <v>6.82</v>
      </c>
      <c r="P542" s="783">
        <v>160</v>
      </c>
      <c r="Q542" s="783">
        <v>1275.3499999999999</v>
      </c>
      <c r="R542" s="783">
        <v>1125.08</v>
      </c>
      <c r="S542" s="783">
        <v>0</v>
      </c>
      <c r="T542" s="783">
        <v>150.27000000000001</v>
      </c>
      <c r="U542" s="785">
        <v>44657.630636574097</v>
      </c>
    </row>
    <row r="543" spans="1:21">
      <c r="A543" s="782">
        <v>44705</v>
      </c>
      <c r="B543" s="783" t="s">
        <v>4025</v>
      </c>
      <c r="C543" s="783" t="s">
        <v>4026</v>
      </c>
      <c r="D543" s="783" t="s">
        <v>4021</v>
      </c>
      <c r="E543" s="783" t="s">
        <v>5257</v>
      </c>
      <c r="F543" s="783" t="s">
        <v>4011</v>
      </c>
      <c r="G543" s="783" t="str">
        <f t="shared" si="31"/>
        <v>New Contract</v>
      </c>
      <c r="H543" s="783" t="s">
        <v>5258</v>
      </c>
      <c r="I543" s="783" t="s">
        <v>5259</v>
      </c>
      <c r="J543" s="783">
        <v>15</v>
      </c>
      <c r="K543" s="783" t="s">
        <v>99</v>
      </c>
      <c r="L543" s="783" t="s">
        <v>4096</v>
      </c>
      <c r="M543" s="784">
        <v>40508.620000000003</v>
      </c>
      <c r="N543" s="784">
        <v>48.11</v>
      </c>
      <c r="O543" s="784">
        <v>4.21</v>
      </c>
      <c r="P543" s="783">
        <v>200</v>
      </c>
      <c r="Q543" s="783">
        <v>3147.52</v>
      </c>
      <c r="R543" s="783">
        <v>1184.3499999999999</v>
      </c>
      <c r="S543" s="783">
        <v>395.49</v>
      </c>
      <c r="T543" s="783">
        <v>1567.68</v>
      </c>
      <c r="U543" s="785">
        <v>44708.986585648097</v>
      </c>
    </row>
    <row r="544" spans="1:21">
      <c r="A544" s="782">
        <v>44659</v>
      </c>
      <c r="B544" s="783" t="s">
        <v>34</v>
      </c>
      <c r="C544" s="783" t="s">
        <v>4139</v>
      </c>
      <c r="D544" s="783" t="s">
        <v>4009</v>
      </c>
      <c r="E544" s="783" t="s">
        <v>1585</v>
      </c>
      <c r="F544" s="783" t="s">
        <v>4011</v>
      </c>
      <c r="G544" s="783" t="str">
        <f t="shared" si="31"/>
        <v>Renewal (20% in 2020)</v>
      </c>
      <c r="H544" s="783" t="s">
        <v>4299</v>
      </c>
      <c r="I544" s="783" t="s">
        <v>4300</v>
      </c>
      <c r="J544" s="783">
        <v>20</v>
      </c>
      <c r="K544" s="783" t="s">
        <v>99</v>
      </c>
      <c r="L544" s="783" t="s">
        <v>4096</v>
      </c>
      <c r="M544" s="784">
        <v>22570.9</v>
      </c>
      <c r="N544" s="784">
        <v>14.45</v>
      </c>
      <c r="O544" s="784">
        <v>7.1</v>
      </c>
      <c r="P544" s="783">
        <v>220</v>
      </c>
      <c r="Q544" s="783">
        <v>878.01</v>
      </c>
      <c r="R544" s="783">
        <v>417.1</v>
      </c>
      <c r="S544" s="783">
        <v>194.57</v>
      </c>
      <c r="T544" s="783">
        <v>266.33999999999997</v>
      </c>
      <c r="U544" s="785">
        <v>44663.407847222203</v>
      </c>
    </row>
    <row r="545" spans="1:21">
      <c r="A545" s="782">
        <v>44690</v>
      </c>
      <c r="B545" s="783" t="s">
        <v>41</v>
      </c>
      <c r="C545" s="783" t="s">
        <v>4121</v>
      </c>
      <c r="D545" s="783" t="s">
        <v>4009</v>
      </c>
      <c r="E545" s="783" t="s">
        <v>4122</v>
      </c>
      <c r="F545" s="783" t="s">
        <v>4011</v>
      </c>
      <c r="G545" s="783" t="str">
        <f t="shared" si="31"/>
        <v>Renewal (20% in 2020)</v>
      </c>
      <c r="H545" s="783" t="s">
        <v>4123</v>
      </c>
      <c r="I545" s="783" t="s">
        <v>4124</v>
      </c>
      <c r="J545" s="783">
        <v>20</v>
      </c>
      <c r="K545" s="783" t="s">
        <v>99</v>
      </c>
      <c r="L545" s="783" t="s">
        <v>4096</v>
      </c>
      <c r="M545" s="784">
        <v>30420</v>
      </c>
      <c r="N545" s="784">
        <v>26</v>
      </c>
      <c r="O545" s="784">
        <v>6.5</v>
      </c>
      <c r="P545" s="783">
        <v>180</v>
      </c>
      <c r="Q545" s="783">
        <v>1353.69</v>
      </c>
      <c r="R545" s="783">
        <v>766.01</v>
      </c>
      <c r="S545" s="783">
        <v>152.66999999999999</v>
      </c>
      <c r="T545" s="783">
        <v>435.01</v>
      </c>
      <c r="U545" s="785">
        <v>44690.676423611098</v>
      </c>
    </row>
    <row r="546" spans="1:21">
      <c r="A546" s="782">
        <v>44684</v>
      </c>
      <c r="B546" s="783" t="s">
        <v>113</v>
      </c>
      <c r="C546" s="783" t="s">
        <v>4097</v>
      </c>
      <c r="D546" s="783" t="s">
        <v>4038</v>
      </c>
      <c r="E546" s="783" t="s">
        <v>195</v>
      </c>
      <c r="F546" s="783" t="s">
        <v>4011</v>
      </c>
      <c r="G546" s="783" t="str">
        <f t="shared" si="31"/>
        <v>Renewal (25% in 2020)</v>
      </c>
      <c r="H546" s="783" t="s">
        <v>5260</v>
      </c>
      <c r="I546" s="783" t="s">
        <v>5261</v>
      </c>
      <c r="J546" s="783">
        <v>25</v>
      </c>
      <c r="K546" s="783" t="s">
        <v>99</v>
      </c>
      <c r="L546" s="783" t="s">
        <v>4096</v>
      </c>
      <c r="M546" s="784">
        <v>36448.559999999998</v>
      </c>
      <c r="N546" s="784">
        <v>32.659999999999997</v>
      </c>
      <c r="O546" s="784">
        <v>4.96</v>
      </c>
      <c r="P546" s="783">
        <v>225</v>
      </c>
      <c r="Q546" s="783">
        <v>1432.43</v>
      </c>
      <c r="R546" s="783">
        <v>793.1</v>
      </c>
      <c r="S546" s="783">
        <v>398.76</v>
      </c>
      <c r="T546" s="783">
        <v>240.56</v>
      </c>
      <c r="U546" s="785">
        <v>44685.457511574103</v>
      </c>
    </row>
    <row r="547" spans="1:21">
      <c r="A547" s="782">
        <v>44685</v>
      </c>
      <c r="B547" s="783" t="s">
        <v>41</v>
      </c>
      <c r="C547" s="783" t="s">
        <v>4082</v>
      </c>
      <c r="D547" s="783" t="s">
        <v>4009</v>
      </c>
      <c r="E547" s="783" t="s">
        <v>533</v>
      </c>
      <c r="F547" s="783" t="s">
        <v>4011</v>
      </c>
      <c r="G547" s="783" t="str">
        <f t="shared" si="31"/>
        <v>Renewal (15% in 2020)</v>
      </c>
      <c r="H547" s="783" t="s">
        <v>4596</v>
      </c>
      <c r="I547" s="783" t="s">
        <v>4597</v>
      </c>
      <c r="J547" s="783">
        <v>15</v>
      </c>
      <c r="K547" s="783" t="s">
        <v>99</v>
      </c>
      <c r="L547" s="783" t="s">
        <v>4096</v>
      </c>
      <c r="M547" s="784">
        <v>12901.27</v>
      </c>
      <c r="N547" s="784">
        <v>12.16</v>
      </c>
      <c r="O547" s="784">
        <v>6.98</v>
      </c>
      <c r="P547" s="783">
        <v>152</v>
      </c>
      <c r="Q547" s="783">
        <v>856.64</v>
      </c>
      <c r="R547" s="783">
        <v>376.72</v>
      </c>
      <c r="S547" s="783">
        <v>67.09</v>
      </c>
      <c r="T547" s="783">
        <v>412.84</v>
      </c>
      <c r="U547" s="785">
        <v>44687.643043981501</v>
      </c>
    </row>
    <row r="548" spans="1:21">
      <c r="A548" s="782">
        <v>44683</v>
      </c>
      <c r="B548" s="783" t="s">
        <v>41</v>
      </c>
      <c r="C548" s="783" t="s">
        <v>4082</v>
      </c>
      <c r="D548" s="783" t="s">
        <v>4009</v>
      </c>
      <c r="E548" s="783" t="s">
        <v>870</v>
      </c>
      <c r="F548" s="783" t="s">
        <v>4011</v>
      </c>
      <c r="G548" s="783" t="str">
        <f t="shared" si="31"/>
        <v>Renewal (20% in 2020)</v>
      </c>
      <c r="H548" s="783" t="s">
        <v>5262</v>
      </c>
      <c r="I548" s="783" t="s">
        <v>5263</v>
      </c>
      <c r="J548" s="783">
        <v>20</v>
      </c>
      <c r="K548" s="783" t="s">
        <v>99</v>
      </c>
      <c r="L548" s="783" t="s">
        <v>4096</v>
      </c>
      <c r="M548" s="784">
        <v>35712.449999999997</v>
      </c>
      <c r="N548" s="784">
        <v>39.03</v>
      </c>
      <c r="O548" s="784">
        <v>6.1</v>
      </c>
      <c r="P548" s="783">
        <v>150</v>
      </c>
      <c r="Q548" s="783">
        <v>1767.77</v>
      </c>
      <c r="R548" s="783">
        <v>1042.8</v>
      </c>
      <c r="S548" s="783">
        <v>185.7</v>
      </c>
      <c r="T548" s="783">
        <v>539.26</v>
      </c>
      <c r="U548" s="785">
        <v>44708.637372685203</v>
      </c>
    </row>
    <row r="549" spans="1:21">
      <c r="A549" s="782">
        <v>44684</v>
      </c>
      <c r="B549" s="783" t="s">
        <v>30</v>
      </c>
      <c r="C549" s="783" t="s">
        <v>4239</v>
      </c>
      <c r="D549" s="783" t="s">
        <v>4021</v>
      </c>
      <c r="E549" s="783" t="s">
        <v>5264</v>
      </c>
      <c r="F549" s="783" t="s">
        <v>4011</v>
      </c>
      <c r="G549" s="783" t="str">
        <f t="shared" si="31"/>
        <v>Renewal (15% in 2020)</v>
      </c>
      <c r="H549" s="783" t="s">
        <v>5265</v>
      </c>
      <c r="I549" s="783" t="s">
        <v>5266</v>
      </c>
      <c r="J549" s="783">
        <v>15</v>
      </c>
      <c r="K549" s="783" t="s">
        <v>99</v>
      </c>
      <c r="L549" s="783" t="s">
        <v>4096</v>
      </c>
      <c r="M549" s="784">
        <v>30046.799999999999</v>
      </c>
      <c r="N549" s="784">
        <v>30.66</v>
      </c>
      <c r="O549" s="784">
        <v>7</v>
      </c>
      <c r="P549" s="783">
        <v>140</v>
      </c>
      <c r="Q549" s="783">
        <v>1757.74</v>
      </c>
      <c r="R549" s="783">
        <v>745.16</v>
      </c>
      <c r="S549" s="783">
        <v>153.24</v>
      </c>
      <c r="T549" s="783">
        <v>859.34</v>
      </c>
      <c r="U549" s="785">
        <v>44685.407048611101</v>
      </c>
    </row>
    <row r="550" spans="1:21">
      <c r="A550" s="782">
        <v>44684</v>
      </c>
      <c r="B550" s="783" t="s">
        <v>41</v>
      </c>
      <c r="C550" s="783" t="s">
        <v>4082</v>
      </c>
      <c r="D550" s="783" t="s">
        <v>4009</v>
      </c>
      <c r="E550" s="783" t="s">
        <v>5267</v>
      </c>
      <c r="F550" s="783" t="s">
        <v>4011</v>
      </c>
      <c r="G550" s="783" t="str">
        <f t="shared" si="31"/>
        <v>Renewal (20% in 2020)</v>
      </c>
      <c r="H550" s="783" t="s">
        <v>5268</v>
      </c>
      <c r="I550" s="783" t="s">
        <v>5269</v>
      </c>
      <c r="J550" s="783">
        <v>20</v>
      </c>
      <c r="K550" s="783" t="s">
        <v>99</v>
      </c>
      <c r="L550" s="783" t="s">
        <v>4096</v>
      </c>
      <c r="M550" s="784">
        <v>16772.509999999998</v>
      </c>
      <c r="N550" s="784">
        <v>14.66</v>
      </c>
      <c r="O550" s="784">
        <v>6.73</v>
      </c>
      <c r="P550" s="783">
        <v>170</v>
      </c>
      <c r="Q550" s="783">
        <v>830.24</v>
      </c>
      <c r="R550" s="783">
        <v>489.76</v>
      </c>
      <c r="S550" s="783">
        <v>87.22</v>
      </c>
      <c r="T550" s="783">
        <v>253.26</v>
      </c>
      <c r="U550" s="785">
        <v>44685.454236111102</v>
      </c>
    </row>
    <row r="551" spans="1:21">
      <c r="A551" s="782">
        <v>44685</v>
      </c>
      <c r="B551" s="783" t="s">
        <v>41</v>
      </c>
      <c r="C551" s="783" t="s">
        <v>4092</v>
      </c>
      <c r="D551" s="783" t="s">
        <v>4009</v>
      </c>
      <c r="E551" s="783" t="s">
        <v>5270</v>
      </c>
      <c r="F551" s="783" t="s">
        <v>4011</v>
      </c>
      <c r="G551" s="783" t="str">
        <f t="shared" si="31"/>
        <v>Renewal (15% in 2020)</v>
      </c>
      <c r="H551" s="783" t="s">
        <v>5271</v>
      </c>
      <c r="I551" s="783" t="s">
        <v>5272</v>
      </c>
      <c r="J551" s="783">
        <v>15</v>
      </c>
      <c r="K551" s="783" t="s">
        <v>99</v>
      </c>
      <c r="L551" s="783" t="s">
        <v>4096</v>
      </c>
      <c r="M551" s="784">
        <v>45025.2</v>
      </c>
      <c r="N551" s="784">
        <v>45.48</v>
      </c>
      <c r="O551" s="784">
        <v>6.6</v>
      </c>
      <c r="P551" s="783">
        <v>150</v>
      </c>
      <c r="Q551" s="783">
        <v>3160.77</v>
      </c>
      <c r="R551" s="783">
        <v>1391.28</v>
      </c>
      <c r="S551" s="783">
        <v>247.64</v>
      </c>
      <c r="T551" s="783">
        <v>1521.85</v>
      </c>
      <c r="U551" s="785">
        <v>44685.625937500001</v>
      </c>
    </row>
    <row r="552" spans="1:21">
      <c r="A552" s="782">
        <v>44686</v>
      </c>
      <c r="B552" s="783" t="s">
        <v>41</v>
      </c>
      <c r="C552" s="783" t="s">
        <v>4092</v>
      </c>
      <c r="D552" s="783" t="s">
        <v>4009</v>
      </c>
      <c r="E552" s="783" t="s">
        <v>5273</v>
      </c>
      <c r="F552" s="783" t="s">
        <v>4011</v>
      </c>
      <c r="G552" s="783" t="str">
        <f t="shared" si="31"/>
        <v>New Contract</v>
      </c>
      <c r="H552" s="783" t="s">
        <v>5274</v>
      </c>
      <c r="I552" s="783" t="s">
        <v>5275</v>
      </c>
      <c r="J552" s="783">
        <v>25</v>
      </c>
      <c r="K552" s="783" t="s">
        <v>99</v>
      </c>
      <c r="L552" s="783" t="s">
        <v>4096</v>
      </c>
      <c r="M552" s="784">
        <v>40653.269999999997</v>
      </c>
      <c r="N552" s="784">
        <v>33.57</v>
      </c>
      <c r="O552" s="784">
        <v>7</v>
      </c>
      <c r="P552" s="783">
        <v>173</v>
      </c>
      <c r="Q552" s="783">
        <v>1646.46</v>
      </c>
      <c r="R552" s="783">
        <v>1256.19</v>
      </c>
      <c r="S552" s="783">
        <v>223.59</v>
      </c>
      <c r="T552" s="783">
        <v>166.68</v>
      </c>
      <c r="U552" s="785">
        <v>44687.614872685197</v>
      </c>
    </row>
    <row r="553" spans="1:21">
      <c r="A553" s="782">
        <v>44691</v>
      </c>
      <c r="B553" s="783" t="s">
        <v>41</v>
      </c>
      <c r="C553" s="783" t="s">
        <v>4092</v>
      </c>
      <c r="D553" s="783" t="s">
        <v>4009</v>
      </c>
      <c r="E553" s="783" t="s">
        <v>5276</v>
      </c>
      <c r="F553" s="783" t="s">
        <v>4011</v>
      </c>
      <c r="G553" s="783" t="str">
        <f t="shared" si="31"/>
        <v>Renewal (20% in 2020)</v>
      </c>
      <c r="H553" s="783" t="s">
        <v>5277</v>
      </c>
      <c r="I553" s="783" t="s">
        <v>5278</v>
      </c>
      <c r="J553" s="783">
        <v>20</v>
      </c>
      <c r="K553" s="783" t="s">
        <v>99</v>
      </c>
      <c r="L553" s="783" t="s">
        <v>4096</v>
      </c>
      <c r="M553" s="784">
        <v>42125.5</v>
      </c>
      <c r="N553" s="784">
        <v>48.7</v>
      </c>
      <c r="O553" s="784">
        <v>5</v>
      </c>
      <c r="P553" s="783">
        <v>173</v>
      </c>
      <c r="Q553" s="783">
        <v>2207.38</v>
      </c>
      <c r="R553" s="783">
        <v>1301.68</v>
      </c>
      <c r="S553" s="783">
        <v>231.69</v>
      </c>
      <c r="T553" s="783">
        <v>674.01</v>
      </c>
      <c r="U553" s="785">
        <v>44708.6492939815</v>
      </c>
    </row>
    <row r="554" spans="1:21">
      <c r="A554" s="782">
        <v>44687</v>
      </c>
      <c r="B554" s="783" t="s">
        <v>51</v>
      </c>
      <c r="C554" s="783" t="s">
        <v>4042</v>
      </c>
      <c r="D554" s="783" t="s">
        <v>4016</v>
      </c>
      <c r="E554" s="783" t="s">
        <v>4043</v>
      </c>
      <c r="F554" s="783" t="s">
        <v>4011</v>
      </c>
      <c r="G554" s="783" t="s">
        <v>4028</v>
      </c>
      <c r="H554" s="783" t="s">
        <v>4044</v>
      </c>
      <c r="I554" s="783" t="s">
        <v>4045</v>
      </c>
      <c r="J554" s="783">
        <v>25</v>
      </c>
      <c r="K554" s="783" t="s">
        <v>99</v>
      </c>
      <c r="L554" s="783" t="s">
        <v>4096</v>
      </c>
      <c r="M554" s="784">
        <v>135260.49</v>
      </c>
      <c r="N554" s="784">
        <v>123.02</v>
      </c>
      <c r="O554" s="784">
        <v>7.33</v>
      </c>
      <c r="P554" s="783">
        <v>150</v>
      </c>
      <c r="Q554" s="783">
        <v>5004.6400000000003</v>
      </c>
      <c r="R554" s="783">
        <v>3800.82</v>
      </c>
      <c r="S554" s="783">
        <v>581.62</v>
      </c>
      <c r="T554" s="783">
        <v>622.20000000000005</v>
      </c>
      <c r="U554" s="785">
        <v>44687.596307870401</v>
      </c>
    </row>
    <row r="555" spans="1:21">
      <c r="A555" s="782">
        <v>44690</v>
      </c>
      <c r="B555" s="783" t="s">
        <v>41</v>
      </c>
      <c r="C555" s="783" t="s">
        <v>4092</v>
      </c>
      <c r="D555" s="783" t="s">
        <v>4009</v>
      </c>
      <c r="E555" s="783" t="s">
        <v>5279</v>
      </c>
      <c r="F555" s="783" t="s">
        <v>4011</v>
      </c>
      <c r="G555" s="783" t="str">
        <f t="shared" ref="G555:G562" si="32">VLOOKUP(I555,pacage,2,FALSE)</f>
        <v>New contract</v>
      </c>
      <c r="H555" s="783" t="s">
        <v>5280</v>
      </c>
      <c r="I555" s="783" t="s">
        <v>5281</v>
      </c>
      <c r="J555" s="783">
        <v>30</v>
      </c>
      <c r="K555" s="783" t="s">
        <v>99</v>
      </c>
      <c r="L555" s="783" t="s">
        <v>4096</v>
      </c>
      <c r="M555" s="784">
        <v>67657.210000000006</v>
      </c>
      <c r="N555" s="784">
        <v>91.54</v>
      </c>
      <c r="O555" s="784">
        <v>3.89</v>
      </c>
      <c r="P555" s="783">
        <v>190</v>
      </c>
      <c r="Q555" s="783">
        <v>2368</v>
      </c>
      <c r="R555" s="783">
        <v>1903.55</v>
      </c>
      <c r="S555" s="783">
        <v>187.05</v>
      </c>
      <c r="T555" s="783">
        <v>277.39</v>
      </c>
      <c r="U555" s="785">
        <v>44691.487615740698</v>
      </c>
    </row>
    <row r="556" spans="1:21">
      <c r="A556" s="782">
        <v>44687</v>
      </c>
      <c r="B556" s="783" t="s">
        <v>118</v>
      </c>
      <c r="C556" s="783" t="s">
        <v>4139</v>
      </c>
      <c r="D556" s="783" t="s">
        <v>4009</v>
      </c>
      <c r="E556" s="783" t="s">
        <v>5282</v>
      </c>
      <c r="F556" s="783" t="s">
        <v>4011</v>
      </c>
      <c r="G556" s="783" t="str">
        <f t="shared" si="32"/>
        <v>Renewal (15% in 2020)</v>
      </c>
      <c r="H556" s="783" t="s">
        <v>5283</v>
      </c>
      <c r="I556" s="783" t="s">
        <v>5284</v>
      </c>
      <c r="J556" s="783">
        <v>15</v>
      </c>
      <c r="K556" s="783" t="s">
        <v>99</v>
      </c>
      <c r="L556" s="783" t="s">
        <v>4096</v>
      </c>
      <c r="M556" s="784">
        <v>29457.89</v>
      </c>
      <c r="N556" s="784">
        <v>25.21</v>
      </c>
      <c r="O556" s="784">
        <v>6.15</v>
      </c>
      <c r="P556" s="783">
        <v>190</v>
      </c>
      <c r="Q556" s="783">
        <v>1534.76</v>
      </c>
      <c r="R556" s="783">
        <v>630.32000000000005</v>
      </c>
      <c r="S556" s="783">
        <v>167.99</v>
      </c>
      <c r="T556" s="783">
        <v>736.45</v>
      </c>
      <c r="U556" s="785">
        <v>44690.591203703698</v>
      </c>
    </row>
    <row r="557" spans="1:21">
      <c r="A557" s="782">
        <v>44687</v>
      </c>
      <c r="B557" s="783" t="s">
        <v>74</v>
      </c>
      <c r="C557" s="783" t="s">
        <v>4097</v>
      </c>
      <c r="D557" s="783" t="s">
        <v>4038</v>
      </c>
      <c r="E557" s="783" t="s">
        <v>5285</v>
      </c>
      <c r="F557" s="783" t="s">
        <v>4011</v>
      </c>
      <c r="G557" s="783" t="str">
        <f t="shared" si="32"/>
        <v>New Contract</v>
      </c>
      <c r="H557" s="783" t="s">
        <v>5286</v>
      </c>
      <c r="I557" s="783" t="s">
        <v>5287</v>
      </c>
      <c r="J557" s="783">
        <v>25</v>
      </c>
      <c r="K557" s="783" t="s">
        <v>99</v>
      </c>
      <c r="L557" s="783" t="s">
        <v>4096</v>
      </c>
      <c r="M557" s="784">
        <v>12119.26</v>
      </c>
      <c r="N557" s="784">
        <v>13.55</v>
      </c>
      <c r="O557" s="784">
        <v>5.17</v>
      </c>
      <c r="P557" s="783">
        <v>173</v>
      </c>
      <c r="Q557" s="783">
        <v>476.29</v>
      </c>
      <c r="R557" s="783">
        <v>342.97</v>
      </c>
      <c r="S557" s="783">
        <v>53.32</v>
      </c>
      <c r="T557" s="783">
        <v>79.989999999999995</v>
      </c>
      <c r="U557" s="785">
        <v>44690.611793981501</v>
      </c>
    </row>
    <row r="558" spans="1:21">
      <c r="A558" s="782">
        <v>44693</v>
      </c>
      <c r="B558" s="783" t="s">
        <v>397</v>
      </c>
      <c r="C558" s="783" t="s">
        <v>4491</v>
      </c>
      <c r="D558" s="783" t="s">
        <v>4193</v>
      </c>
      <c r="E558" s="783" t="s">
        <v>4492</v>
      </c>
      <c r="F558" s="783" t="s">
        <v>4011</v>
      </c>
      <c r="G558" s="783" t="str">
        <f t="shared" si="32"/>
        <v>Renewal (20% in 2020)</v>
      </c>
      <c r="H558" s="783" t="s">
        <v>4493</v>
      </c>
      <c r="I558" s="783" t="s">
        <v>4494</v>
      </c>
      <c r="J558" s="783">
        <v>20</v>
      </c>
      <c r="K558" s="783" t="s">
        <v>99</v>
      </c>
      <c r="L558" s="783" t="s">
        <v>4096</v>
      </c>
      <c r="M558" s="784">
        <v>28005.119999999999</v>
      </c>
      <c r="N558" s="784">
        <v>24.31</v>
      </c>
      <c r="O558" s="784">
        <v>7.2</v>
      </c>
      <c r="P558" s="783">
        <v>160</v>
      </c>
      <c r="Q558" s="783">
        <v>1134.21</v>
      </c>
      <c r="R558" s="783">
        <v>680.52</v>
      </c>
      <c r="S558" s="783">
        <v>103.62</v>
      </c>
      <c r="T558" s="783">
        <v>350.06</v>
      </c>
      <c r="U558" s="785">
        <v>44693.475787037001</v>
      </c>
    </row>
    <row r="559" spans="1:21">
      <c r="A559" s="782">
        <v>44676</v>
      </c>
      <c r="B559" s="783" t="s">
        <v>34</v>
      </c>
      <c r="C559" s="783" t="s">
        <v>4139</v>
      </c>
      <c r="D559" s="783" t="s">
        <v>4009</v>
      </c>
      <c r="E559" s="783" t="s">
        <v>5288</v>
      </c>
      <c r="F559" s="783" t="s">
        <v>4011</v>
      </c>
      <c r="G559" s="783" t="str">
        <f t="shared" si="32"/>
        <v>Renewal (15% in 2020)</v>
      </c>
      <c r="H559" s="783" t="s">
        <v>5289</v>
      </c>
      <c r="I559" s="783" t="s">
        <v>5290</v>
      </c>
      <c r="J559" s="783">
        <v>15</v>
      </c>
      <c r="K559" s="783" t="s">
        <v>99</v>
      </c>
      <c r="L559" s="783" t="s">
        <v>4096</v>
      </c>
      <c r="M559" s="784">
        <v>23512.01</v>
      </c>
      <c r="N559" s="784">
        <v>22.3</v>
      </c>
      <c r="O559" s="784">
        <v>6.39</v>
      </c>
      <c r="P559" s="783">
        <v>165</v>
      </c>
      <c r="Q559" s="783">
        <v>1224.98</v>
      </c>
      <c r="R559" s="783">
        <v>552.53</v>
      </c>
      <c r="S559" s="783">
        <v>84.64</v>
      </c>
      <c r="T559" s="783">
        <v>587.79999999999995</v>
      </c>
      <c r="U559" s="785">
        <v>44676.723749999997</v>
      </c>
    </row>
    <row r="560" spans="1:21">
      <c r="A560" s="782">
        <v>44663</v>
      </c>
      <c r="B560" s="783" t="s">
        <v>41</v>
      </c>
      <c r="C560" s="783" t="s">
        <v>4092</v>
      </c>
      <c r="D560" s="783" t="s">
        <v>4009</v>
      </c>
      <c r="E560" s="783" t="s">
        <v>4301</v>
      </c>
      <c r="F560" s="783" t="s">
        <v>4011</v>
      </c>
      <c r="G560" s="783" t="str">
        <f t="shared" si="32"/>
        <v>Renewal (15% in 2020)</v>
      </c>
      <c r="H560" s="783" t="s">
        <v>4302</v>
      </c>
      <c r="I560" s="783" t="s">
        <v>4303</v>
      </c>
      <c r="J560" s="783">
        <v>15</v>
      </c>
      <c r="K560" s="783" t="s">
        <v>99</v>
      </c>
      <c r="L560" s="783" t="s">
        <v>4096</v>
      </c>
      <c r="M560" s="784">
        <v>15711.37</v>
      </c>
      <c r="N560" s="784">
        <v>14.74</v>
      </c>
      <c r="O560" s="784">
        <v>6.27</v>
      </c>
      <c r="P560" s="783">
        <v>170</v>
      </c>
      <c r="Q560" s="783">
        <v>1102.94</v>
      </c>
      <c r="R560" s="783">
        <v>485.48</v>
      </c>
      <c r="S560" s="783">
        <v>86.41</v>
      </c>
      <c r="T560" s="783">
        <v>531.04</v>
      </c>
      <c r="U560" s="785">
        <v>44663.637013888903</v>
      </c>
    </row>
    <row r="561" spans="1:21">
      <c r="A561" s="782">
        <v>44665</v>
      </c>
      <c r="B561" s="783" t="s">
        <v>74</v>
      </c>
      <c r="C561" s="783" t="s">
        <v>4037</v>
      </c>
      <c r="D561" s="783" t="s">
        <v>4038</v>
      </c>
      <c r="E561" s="783" t="s">
        <v>4304</v>
      </c>
      <c r="F561" s="783" t="s">
        <v>4011</v>
      </c>
      <c r="G561" s="783" t="str">
        <f t="shared" si="32"/>
        <v>Renewal (15% in 2020)</v>
      </c>
      <c r="H561" s="783" t="s">
        <v>4305</v>
      </c>
      <c r="I561" s="783" t="s">
        <v>4306</v>
      </c>
      <c r="J561" s="783">
        <v>30</v>
      </c>
      <c r="K561" s="783" t="s">
        <v>99</v>
      </c>
      <c r="L561" s="783" t="s">
        <v>4096</v>
      </c>
      <c r="M561" s="784">
        <v>24168.76</v>
      </c>
      <c r="N561" s="784">
        <v>24.25</v>
      </c>
      <c r="O561" s="784">
        <v>6.43</v>
      </c>
      <c r="P561" s="783">
        <v>155</v>
      </c>
      <c r="Q561" s="783">
        <v>1244.69</v>
      </c>
      <c r="R561" s="783">
        <v>957.08</v>
      </c>
      <c r="S561" s="783">
        <v>0</v>
      </c>
      <c r="T561" s="783">
        <v>287.61</v>
      </c>
      <c r="U561" s="785">
        <v>44666.389201388898</v>
      </c>
    </row>
    <row r="562" spans="1:21">
      <c r="A562" s="782">
        <v>44665</v>
      </c>
      <c r="B562" s="783" t="s">
        <v>41</v>
      </c>
      <c r="C562" s="783" t="s">
        <v>4092</v>
      </c>
      <c r="D562" s="783" t="s">
        <v>4009</v>
      </c>
      <c r="E562" s="783" t="s">
        <v>4310</v>
      </c>
      <c r="F562" s="783" t="s">
        <v>4011</v>
      </c>
      <c r="G562" s="783" t="str">
        <f t="shared" si="32"/>
        <v>New Contract</v>
      </c>
      <c r="H562" s="783" t="s">
        <v>4311</v>
      </c>
      <c r="I562" s="783" t="s">
        <v>4312</v>
      </c>
      <c r="J562" s="783">
        <v>25</v>
      </c>
      <c r="K562" s="783" t="s">
        <v>99</v>
      </c>
      <c r="L562" s="783" t="s">
        <v>4096</v>
      </c>
      <c r="M562" s="784">
        <v>25470.720000000001</v>
      </c>
      <c r="N562" s="784">
        <v>26.4</v>
      </c>
      <c r="O562" s="784">
        <v>6.03</v>
      </c>
      <c r="P562" s="783">
        <v>160</v>
      </c>
      <c r="Q562" s="783">
        <v>1031.56</v>
      </c>
      <c r="R562" s="783">
        <v>787.05</v>
      </c>
      <c r="S562" s="783">
        <v>140.09</v>
      </c>
      <c r="T562" s="783">
        <v>104.43</v>
      </c>
      <c r="U562" s="785">
        <v>44665.6621759259</v>
      </c>
    </row>
    <row r="563" spans="1:21">
      <c r="A563" s="782">
        <v>44668</v>
      </c>
      <c r="B563" s="783" t="s">
        <v>4025</v>
      </c>
      <c r="C563" s="783" t="s">
        <v>4026</v>
      </c>
      <c r="D563" s="783" t="s">
        <v>4021</v>
      </c>
      <c r="E563" s="783" t="s">
        <v>5291</v>
      </c>
      <c r="F563" s="783" t="s">
        <v>4066</v>
      </c>
      <c r="G563" s="783" t="s">
        <v>4028</v>
      </c>
      <c r="H563" s="783" t="s">
        <v>5292</v>
      </c>
      <c r="I563" s="783" t="s">
        <v>5293</v>
      </c>
      <c r="J563" s="783">
        <v>5</v>
      </c>
      <c r="K563" s="783" t="s">
        <v>99</v>
      </c>
      <c r="L563" s="783" t="s">
        <v>4096</v>
      </c>
      <c r="M563" s="784">
        <v>43890</v>
      </c>
      <c r="N563" s="784">
        <v>28.5</v>
      </c>
      <c r="O563" s="784">
        <v>7</v>
      </c>
      <c r="P563" s="783">
        <v>220</v>
      </c>
      <c r="Q563" s="783">
        <v>838.3</v>
      </c>
      <c r="R563" s="783">
        <v>0</v>
      </c>
      <c r="S563" s="783">
        <v>0</v>
      </c>
      <c r="T563" s="783">
        <v>838.3</v>
      </c>
      <c r="U563" s="785">
        <v>44671.489861111098</v>
      </c>
    </row>
    <row r="564" spans="1:21">
      <c r="A564" s="782">
        <v>44673</v>
      </c>
      <c r="B564" s="783" t="s">
        <v>51</v>
      </c>
      <c r="C564" s="783" t="s">
        <v>4015</v>
      </c>
      <c r="D564" s="783" t="s">
        <v>4016</v>
      </c>
      <c r="E564" s="783" t="s">
        <v>2016</v>
      </c>
      <c r="F564" s="783" t="s">
        <v>4011</v>
      </c>
      <c r="G564" s="783" t="str">
        <f t="shared" ref="G564:G577" si="33">VLOOKUP(I564,pacage,2,FALSE)</f>
        <v>Renewal (20% in 2020)</v>
      </c>
      <c r="H564" s="783" t="s">
        <v>5294</v>
      </c>
      <c r="I564" s="783" t="s">
        <v>5295</v>
      </c>
      <c r="J564" s="783">
        <v>20</v>
      </c>
      <c r="K564" s="783" t="s">
        <v>99</v>
      </c>
      <c r="L564" s="783" t="s">
        <v>4096</v>
      </c>
      <c r="M564" s="784">
        <v>56632.95</v>
      </c>
      <c r="N564" s="784">
        <v>49.5</v>
      </c>
      <c r="O564" s="784">
        <v>6.73</v>
      </c>
      <c r="P564" s="783">
        <v>170</v>
      </c>
      <c r="Q564" s="783">
        <v>4009.61</v>
      </c>
      <c r="R564" s="783">
        <v>2333.2800000000002</v>
      </c>
      <c r="S564" s="783">
        <v>356.79</v>
      </c>
      <c r="T564" s="783">
        <v>1319.55</v>
      </c>
      <c r="U564" s="785">
        <v>44673.708275463003</v>
      </c>
    </row>
    <row r="565" spans="1:21">
      <c r="A565" s="782">
        <v>44666</v>
      </c>
      <c r="B565" s="783" t="s">
        <v>41</v>
      </c>
      <c r="C565" s="783" t="s">
        <v>4008</v>
      </c>
      <c r="D565" s="783" t="s">
        <v>4009</v>
      </c>
      <c r="E565" s="783" t="s">
        <v>5296</v>
      </c>
      <c r="F565" s="783" t="s">
        <v>4011</v>
      </c>
      <c r="G565" s="783" t="str">
        <f t="shared" si="33"/>
        <v>Renewal (20% in 2020)</v>
      </c>
      <c r="H565" s="783" t="s">
        <v>5297</v>
      </c>
      <c r="I565" s="783" t="s">
        <v>5298</v>
      </c>
      <c r="J565" s="783">
        <v>20</v>
      </c>
      <c r="K565" s="783" t="s">
        <v>99</v>
      </c>
      <c r="L565" s="783" t="s">
        <v>4096</v>
      </c>
      <c r="M565" s="784">
        <v>37977.120000000003</v>
      </c>
      <c r="N565" s="784">
        <v>40.840000000000003</v>
      </c>
      <c r="O565" s="784">
        <v>5.47</v>
      </c>
      <c r="P565" s="783">
        <v>170</v>
      </c>
      <c r="Q565" s="783">
        <v>1963.42</v>
      </c>
      <c r="R565" s="783">
        <v>1116.53</v>
      </c>
      <c r="S565" s="783">
        <v>174.69</v>
      </c>
      <c r="T565" s="783">
        <v>672.19</v>
      </c>
      <c r="U565" s="785">
        <v>44671.483136574097</v>
      </c>
    </row>
    <row r="566" spans="1:21">
      <c r="A566" s="782">
        <v>44665</v>
      </c>
      <c r="B566" s="783" t="s">
        <v>41</v>
      </c>
      <c r="C566" s="783" t="s">
        <v>4092</v>
      </c>
      <c r="D566" s="783" t="s">
        <v>4009</v>
      </c>
      <c r="E566" s="783" t="s">
        <v>4125</v>
      </c>
      <c r="F566" s="783" t="s">
        <v>4011</v>
      </c>
      <c r="G566" s="783" t="str">
        <f t="shared" si="33"/>
        <v>Renewal (20% in 2020)</v>
      </c>
      <c r="H566" s="783" t="s">
        <v>4126</v>
      </c>
      <c r="I566" s="783" t="s">
        <v>4127</v>
      </c>
      <c r="J566" s="783">
        <v>20</v>
      </c>
      <c r="K566" s="783" t="s">
        <v>99</v>
      </c>
      <c r="L566" s="783" t="s">
        <v>4096</v>
      </c>
      <c r="M566" s="784">
        <v>15708</v>
      </c>
      <c r="N566" s="784">
        <v>15</v>
      </c>
      <c r="O566" s="784">
        <v>4.76</v>
      </c>
      <c r="P566" s="783">
        <v>220</v>
      </c>
      <c r="Q566" s="783">
        <v>823.1</v>
      </c>
      <c r="R566" s="783">
        <v>381.68</v>
      </c>
      <c r="S566" s="783">
        <v>190.09</v>
      </c>
      <c r="T566" s="783">
        <v>251.33</v>
      </c>
      <c r="U566" s="785">
        <v>44665.668240740699</v>
      </c>
    </row>
    <row r="567" spans="1:21">
      <c r="A567" s="782">
        <v>44666</v>
      </c>
      <c r="B567" s="783" t="s">
        <v>41</v>
      </c>
      <c r="C567" s="783" t="s">
        <v>4092</v>
      </c>
      <c r="D567" s="783" t="s">
        <v>4009</v>
      </c>
      <c r="E567" s="783" t="s">
        <v>5299</v>
      </c>
      <c r="F567" s="783" t="s">
        <v>4011</v>
      </c>
      <c r="G567" s="783" t="str">
        <f t="shared" si="33"/>
        <v>Renewal (20% in 2020)</v>
      </c>
      <c r="H567" s="783" t="s">
        <v>5300</v>
      </c>
      <c r="I567" s="783" t="s">
        <v>5301</v>
      </c>
      <c r="J567" s="783">
        <v>20</v>
      </c>
      <c r="K567" s="783" t="s">
        <v>99</v>
      </c>
      <c r="L567" s="783" t="s">
        <v>4096</v>
      </c>
      <c r="M567" s="784">
        <v>39353.18</v>
      </c>
      <c r="N567" s="784">
        <v>30.33</v>
      </c>
      <c r="O567" s="784">
        <v>7.5</v>
      </c>
      <c r="P567" s="783">
        <v>173</v>
      </c>
      <c r="Q567" s="783">
        <v>2062.11</v>
      </c>
      <c r="R567" s="783">
        <v>1216.01</v>
      </c>
      <c r="S567" s="783">
        <v>216.44</v>
      </c>
      <c r="T567" s="783">
        <v>629.65</v>
      </c>
      <c r="U567" s="785">
        <v>44671.484583333302</v>
      </c>
    </row>
    <row r="568" spans="1:21">
      <c r="A568" s="782">
        <v>44712</v>
      </c>
      <c r="B568" s="783" t="s">
        <v>715</v>
      </c>
      <c r="C568" s="783" t="s">
        <v>4042</v>
      </c>
      <c r="D568" s="783" t="s">
        <v>4016</v>
      </c>
      <c r="E568" s="783" t="s">
        <v>1478</v>
      </c>
      <c r="F568" s="783" t="s">
        <v>4011</v>
      </c>
      <c r="G568" s="783" t="str">
        <f t="shared" si="33"/>
        <v>Renewal (20% in 2020)</v>
      </c>
      <c r="H568" s="783" t="s">
        <v>5302</v>
      </c>
      <c r="I568" s="783" t="s">
        <v>5303</v>
      </c>
      <c r="J568" s="783">
        <v>20</v>
      </c>
      <c r="K568" s="783" t="s">
        <v>99</v>
      </c>
      <c r="L568" s="783" t="s">
        <v>4096</v>
      </c>
      <c r="M568" s="784">
        <v>357749.53</v>
      </c>
      <c r="N568" s="784">
        <v>180.91</v>
      </c>
      <c r="O568" s="784">
        <v>7.91</v>
      </c>
      <c r="P568" s="783">
        <v>250</v>
      </c>
      <c r="Q568" s="783">
        <v>15562.1</v>
      </c>
      <c r="R568" s="783">
        <v>6956.51</v>
      </c>
      <c r="S568" s="783">
        <v>4634.57</v>
      </c>
      <c r="T568" s="783">
        <v>3971.02</v>
      </c>
      <c r="U568" s="785">
        <v>44714.010312500002</v>
      </c>
    </row>
    <row r="569" spans="1:21">
      <c r="A569" s="782">
        <v>44712</v>
      </c>
      <c r="B569" s="783" t="s">
        <v>30</v>
      </c>
      <c r="C569" s="783" t="s">
        <v>4239</v>
      </c>
      <c r="D569" s="783" t="s">
        <v>4021</v>
      </c>
      <c r="E569" s="783" t="s">
        <v>787</v>
      </c>
      <c r="F569" s="783" t="s">
        <v>4011</v>
      </c>
      <c r="G569" s="783" t="str">
        <f t="shared" si="33"/>
        <v>Renewal (15% in 2020)</v>
      </c>
      <c r="H569" s="783" t="s">
        <v>5304</v>
      </c>
      <c r="I569" s="783" t="s">
        <v>5305</v>
      </c>
      <c r="J569" s="783">
        <v>15</v>
      </c>
      <c r="K569" s="783" t="s">
        <v>99</v>
      </c>
      <c r="L569" s="783" t="s">
        <v>4096</v>
      </c>
      <c r="M569" s="784">
        <v>130750.68</v>
      </c>
      <c r="N569" s="784">
        <v>112.04</v>
      </c>
      <c r="O569" s="784">
        <v>7.78</v>
      </c>
      <c r="P569" s="783">
        <v>150</v>
      </c>
      <c r="Q569" s="783">
        <v>7648.91</v>
      </c>
      <c r="R569" s="783">
        <v>3242.62</v>
      </c>
      <c r="S569" s="783">
        <v>666.83</v>
      </c>
      <c r="T569" s="783">
        <v>3739.47</v>
      </c>
      <c r="U569" s="785">
        <v>44714.581064814804</v>
      </c>
    </row>
    <row r="570" spans="1:21">
      <c r="A570" s="782">
        <v>44712</v>
      </c>
      <c r="B570" s="783" t="s">
        <v>41</v>
      </c>
      <c r="C570" s="783" t="s">
        <v>4071</v>
      </c>
      <c r="D570" s="783" t="s">
        <v>4009</v>
      </c>
      <c r="E570" s="783" t="s">
        <v>4313</v>
      </c>
      <c r="F570" s="783" t="s">
        <v>4011</v>
      </c>
      <c r="G570" s="783" t="str">
        <f t="shared" si="33"/>
        <v>Renewal (15% in 2020)</v>
      </c>
      <c r="H570" s="783" t="s">
        <v>4314</v>
      </c>
      <c r="I570" s="783" t="s">
        <v>4315</v>
      </c>
      <c r="J570" s="783">
        <v>15</v>
      </c>
      <c r="K570" s="783" t="s">
        <v>99</v>
      </c>
      <c r="L570" s="783" t="s">
        <v>4096</v>
      </c>
      <c r="M570" s="784">
        <v>66943.58</v>
      </c>
      <c r="N570" s="784">
        <v>86.09</v>
      </c>
      <c r="O570" s="784">
        <v>4.8600000000000003</v>
      </c>
      <c r="P570" s="783">
        <v>160</v>
      </c>
      <c r="Q570" s="783">
        <v>3360.57</v>
      </c>
      <c r="R570" s="783">
        <v>1512.92</v>
      </c>
      <c r="S570" s="783">
        <v>234.3</v>
      </c>
      <c r="T570" s="783">
        <v>1613.34</v>
      </c>
      <c r="U570" s="785">
        <v>44714.669097222199</v>
      </c>
    </row>
    <row r="571" spans="1:21">
      <c r="A571" s="782">
        <v>44708</v>
      </c>
      <c r="B571" s="783" t="s">
        <v>74</v>
      </c>
      <c r="C571" s="783" t="s">
        <v>4037</v>
      </c>
      <c r="D571" s="783" t="s">
        <v>4038</v>
      </c>
      <c r="E571" s="783" t="s">
        <v>1920</v>
      </c>
      <c r="F571" s="783" t="s">
        <v>4011</v>
      </c>
      <c r="G571" s="783" t="str">
        <f t="shared" si="33"/>
        <v>Renewal (25% in 2020)</v>
      </c>
      <c r="H571" s="783" t="s">
        <v>5306</v>
      </c>
      <c r="I571" s="783" t="s">
        <v>5307</v>
      </c>
      <c r="J571" s="783">
        <v>25</v>
      </c>
      <c r="K571" s="783" t="s">
        <v>99</v>
      </c>
      <c r="L571" s="783" t="s">
        <v>4096</v>
      </c>
      <c r="M571" s="784">
        <v>17967.599999999999</v>
      </c>
      <c r="N571" s="784">
        <v>14.49</v>
      </c>
      <c r="O571" s="784">
        <v>6.2</v>
      </c>
      <c r="P571" s="783">
        <v>200</v>
      </c>
      <c r="Q571" s="783">
        <v>1038.53</v>
      </c>
      <c r="R571" s="783">
        <v>615.46</v>
      </c>
      <c r="S571" s="783">
        <v>209.25</v>
      </c>
      <c r="T571" s="783">
        <v>213.81</v>
      </c>
      <c r="U571" s="785">
        <v>44711.516006944403</v>
      </c>
    </row>
    <row r="572" spans="1:21">
      <c r="A572" s="782">
        <v>44712</v>
      </c>
      <c r="B572" s="783" t="s">
        <v>74</v>
      </c>
      <c r="C572" s="783" t="s">
        <v>4037</v>
      </c>
      <c r="D572" s="783" t="s">
        <v>4038</v>
      </c>
      <c r="E572" s="783" t="s">
        <v>1916</v>
      </c>
      <c r="F572" s="783" t="s">
        <v>4011</v>
      </c>
      <c r="G572" s="783" t="str">
        <f t="shared" si="33"/>
        <v>Renewal (25% in 2020)</v>
      </c>
      <c r="H572" s="783" t="s">
        <v>5308</v>
      </c>
      <c r="I572" s="783" t="s">
        <v>5309</v>
      </c>
      <c r="J572" s="783">
        <v>30</v>
      </c>
      <c r="K572" s="783" t="s">
        <v>99</v>
      </c>
      <c r="L572" s="783" t="s">
        <v>4096</v>
      </c>
      <c r="M572" s="784">
        <v>20631.2</v>
      </c>
      <c r="N572" s="784">
        <v>19.66</v>
      </c>
      <c r="O572" s="784">
        <v>5.83</v>
      </c>
      <c r="P572" s="783">
        <v>180</v>
      </c>
      <c r="Q572" s="783">
        <v>1062.51</v>
      </c>
      <c r="R572" s="783">
        <v>785.22</v>
      </c>
      <c r="S572" s="783">
        <v>31.77</v>
      </c>
      <c r="T572" s="783">
        <v>245.51</v>
      </c>
      <c r="U572" s="785">
        <v>44714.023819444403</v>
      </c>
    </row>
    <row r="573" spans="1:21">
      <c r="A573" s="782">
        <v>44697</v>
      </c>
      <c r="B573" s="783" t="s">
        <v>41</v>
      </c>
      <c r="C573" s="783" t="s">
        <v>4071</v>
      </c>
      <c r="D573" s="783" t="s">
        <v>4009</v>
      </c>
      <c r="E573" s="783" t="s">
        <v>5310</v>
      </c>
      <c r="F573" s="783" t="s">
        <v>4011</v>
      </c>
      <c r="G573" s="783" t="str">
        <f t="shared" si="33"/>
        <v>Renewal (15% in 2020)</v>
      </c>
      <c r="H573" s="783" t="s">
        <v>5311</v>
      </c>
      <c r="I573" s="783" t="s">
        <v>5312</v>
      </c>
      <c r="J573" s="783">
        <v>15</v>
      </c>
      <c r="K573" s="783" t="s">
        <v>99</v>
      </c>
      <c r="L573" s="783" t="s">
        <v>4096</v>
      </c>
      <c r="M573" s="784">
        <v>31728.43</v>
      </c>
      <c r="N573" s="784">
        <v>31.58</v>
      </c>
      <c r="O573" s="784">
        <v>5.91</v>
      </c>
      <c r="P573" s="783">
        <v>170</v>
      </c>
      <c r="Q573" s="783">
        <v>1592.77</v>
      </c>
      <c r="R573" s="783">
        <v>717.06</v>
      </c>
      <c r="S573" s="783">
        <v>111.05</v>
      </c>
      <c r="T573" s="783">
        <v>764.66</v>
      </c>
      <c r="U573" s="785">
        <v>44698.593171296299</v>
      </c>
    </row>
    <row r="574" spans="1:21">
      <c r="A574" s="782">
        <v>44705</v>
      </c>
      <c r="B574" s="783" t="s">
        <v>150</v>
      </c>
      <c r="C574" s="783" t="s">
        <v>5313</v>
      </c>
      <c r="D574" s="783" t="s">
        <v>4009</v>
      </c>
      <c r="E574" s="783" t="s">
        <v>5314</v>
      </c>
      <c r="F574" s="783" t="s">
        <v>4011</v>
      </c>
      <c r="G574" s="783" t="str">
        <f t="shared" si="33"/>
        <v>New Contract</v>
      </c>
      <c r="H574" s="783" t="s">
        <v>5315</v>
      </c>
      <c r="I574" s="783" t="s">
        <v>5316</v>
      </c>
      <c r="J574" s="783">
        <v>20</v>
      </c>
      <c r="K574" s="783" t="s">
        <v>99</v>
      </c>
      <c r="L574" s="783" t="s">
        <v>4096</v>
      </c>
      <c r="M574" s="784">
        <v>11306.29</v>
      </c>
      <c r="N574" s="784">
        <v>11.21</v>
      </c>
      <c r="O574" s="784">
        <v>5.83</v>
      </c>
      <c r="P574" s="783">
        <v>173</v>
      </c>
      <c r="Q574" s="783">
        <v>468.08</v>
      </c>
      <c r="R574" s="783">
        <v>269.08999999999997</v>
      </c>
      <c r="S574" s="783">
        <v>40.700000000000003</v>
      </c>
      <c r="T574" s="783">
        <v>158.29</v>
      </c>
      <c r="U574" s="785">
        <v>44706.525069444397</v>
      </c>
    </row>
    <row r="575" spans="1:21">
      <c r="A575" s="782">
        <v>44697</v>
      </c>
      <c r="B575" s="783" t="s">
        <v>51</v>
      </c>
      <c r="C575" s="783" t="s">
        <v>4042</v>
      </c>
      <c r="D575" s="783" t="s">
        <v>4016</v>
      </c>
      <c r="E575" s="783" t="s">
        <v>87</v>
      </c>
      <c r="F575" s="783" t="s">
        <v>4011</v>
      </c>
      <c r="G575" s="783" t="str">
        <f t="shared" si="33"/>
        <v>Renewal (20% in 2020)</v>
      </c>
      <c r="H575" s="783" t="s">
        <v>5317</v>
      </c>
      <c r="I575" s="783" t="s">
        <v>5318</v>
      </c>
      <c r="J575" s="783">
        <v>20</v>
      </c>
      <c r="K575" s="783" t="s">
        <v>99</v>
      </c>
      <c r="L575" s="783" t="s">
        <v>4096</v>
      </c>
      <c r="M575" s="784">
        <v>191882.16</v>
      </c>
      <c r="N575" s="784">
        <v>180.68</v>
      </c>
      <c r="O575" s="784">
        <v>7.08</v>
      </c>
      <c r="P575" s="783">
        <v>150</v>
      </c>
      <c r="Q575" s="783">
        <v>8346.8700000000008</v>
      </c>
      <c r="R575" s="783">
        <v>5391.89</v>
      </c>
      <c r="S575" s="783">
        <v>825.09</v>
      </c>
      <c r="T575" s="783">
        <v>2129.89</v>
      </c>
      <c r="U575" s="785">
        <v>44699.504178240699</v>
      </c>
    </row>
    <row r="576" spans="1:21">
      <c r="A576" s="782">
        <v>44697</v>
      </c>
      <c r="B576" s="783" t="s">
        <v>41</v>
      </c>
      <c r="C576" s="783" t="s">
        <v>4092</v>
      </c>
      <c r="D576" s="783" t="s">
        <v>4009</v>
      </c>
      <c r="E576" s="783" t="s">
        <v>4128</v>
      </c>
      <c r="F576" s="783" t="s">
        <v>4011</v>
      </c>
      <c r="G576" s="783" t="str">
        <f t="shared" si="33"/>
        <v>Renewal (20% in 2020)</v>
      </c>
      <c r="H576" s="783" t="s">
        <v>4129</v>
      </c>
      <c r="I576" s="783" t="s">
        <v>4130</v>
      </c>
      <c r="J576" s="783">
        <v>20</v>
      </c>
      <c r="K576" s="783" t="s">
        <v>99</v>
      </c>
      <c r="L576" s="783" t="s">
        <v>4096</v>
      </c>
      <c r="M576" s="784">
        <v>53838.15</v>
      </c>
      <c r="N576" s="784">
        <v>46.31</v>
      </c>
      <c r="O576" s="784">
        <v>5.19</v>
      </c>
      <c r="P576" s="783">
        <v>224</v>
      </c>
      <c r="Q576" s="783">
        <v>2821.12</v>
      </c>
      <c r="R576" s="783">
        <v>1284.83</v>
      </c>
      <c r="S576" s="783">
        <v>674.88</v>
      </c>
      <c r="T576" s="783">
        <v>861.41</v>
      </c>
      <c r="U576" s="785">
        <v>44699.507291666698</v>
      </c>
    </row>
    <row r="577" spans="1:21">
      <c r="A577" s="782">
        <v>44699</v>
      </c>
      <c r="B577" s="783" t="s">
        <v>41</v>
      </c>
      <c r="C577" s="783" t="s">
        <v>4092</v>
      </c>
      <c r="D577" s="783" t="s">
        <v>4009</v>
      </c>
      <c r="E577" s="783" t="s">
        <v>507</v>
      </c>
      <c r="F577" s="783" t="s">
        <v>4011</v>
      </c>
      <c r="G577" s="783" t="str">
        <f t="shared" si="33"/>
        <v>Renewal (15% in 2020)</v>
      </c>
      <c r="H577" s="783" t="s">
        <v>4318</v>
      </c>
      <c r="I577" s="783" t="s">
        <v>4319</v>
      </c>
      <c r="J577" s="783">
        <v>15</v>
      </c>
      <c r="K577" s="783" t="s">
        <v>99</v>
      </c>
      <c r="L577" s="783" t="s">
        <v>4096</v>
      </c>
      <c r="M577" s="784">
        <v>106007.55</v>
      </c>
      <c r="N577" s="784">
        <v>102.88</v>
      </c>
      <c r="O577" s="784">
        <v>6.44</v>
      </c>
      <c r="P577" s="783">
        <v>160</v>
      </c>
      <c r="Q577" s="783">
        <v>7441.73</v>
      </c>
      <c r="R577" s="783">
        <v>3275.63</v>
      </c>
      <c r="S577" s="783">
        <v>583.04</v>
      </c>
      <c r="T577" s="783">
        <v>3583.06</v>
      </c>
      <c r="U577" s="785">
        <v>44700.5155324074</v>
      </c>
    </row>
    <row r="578" spans="1:21">
      <c r="A578" s="782">
        <v>44701</v>
      </c>
      <c r="B578" s="783" t="s">
        <v>34</v>
      </c>
      <c r="C578" s="783" t="s">
        <v>4082</v>
      </c>
      <c r="D578" s="783" t="s">
        <v>4009</v>
      </c>
      <c r="E578" s="783" t="s">
        <v>5319</v>
      </c>
      <c r="F578" s="783" t="s">
        <v>4011</v>
      </c>
      <c r="G578" s="783" t="s">
        <v>4028</v>
      </c>
      <c r="H578" s="783" t="s">
        <v>5320</v>
      </c>
      <c r="I578" s="783" t="s">
        <v>5321</v>
      </c>
      <c r="J578" s="783">
        <v>30</v>
      </c>
      <c r="K578" s="783" t="s">
        <v>99</v>
      </c>
      <c r="L578" s="783" t="s">
        <v>4096</v>
      </c>
      <c r="M578" s="784">
        <v>48909.96</v>
      </c>
      <c r="N578" s="784">
        <v>37.950000000000003</v>
      </c>
      <c r="O578" s="784">
        <v>7.16</v>
      </c>
      <c r="P578" s="783">
        <v>180</v>
      </c>
      <c r="Q578" s="783">
        <v>1618.92</v>
      </c>
      <c r="R578" s="783">
        <v>1372.63</v>
      </c>
      <c r="S578" s="783">
        <v>55.54</v>
      </c>
      <c r="T578" s="783">
        <v>190.75</v>
      </c>
      <c r="U578" s="785">
        <v>44701.662430555603</v>
      </c>
    </row>
    <row r="579" spans="1:21">
      <c r="A579" s="782">
        <v>44698</v>
      </c>
      <c r="B579" s="783" t="s">
        <v>41</v>
      </c>
      <c r="C579" s="783" t="s">
        <v>4354</v>
      </c>
      <c r="D579" s="783" t="s">
        <v>4009</v>
      </c>
      <c r="E579" s="783" t="s">
        <v>767</v>
      </c>
      <c r="F579" s="783" t="s">
        <v>4011</v>
      </c>
      <c r="G579" s="783" t="s">
        <v>4028</v>
      </c>
      <c r="H579" s="783" t="s">
        <v>5322</v>
      </c>
      <c r="I579" s="783" t="s">
        <v>5323</v>
      </c>
      <c r="J579" s="783">
        <v>25</v>
      </c>
      <c r="K579" s="783" t="s">
        <v>99</v>
      </c>
      <c r="L579" s="783" t="s">
        <v>4096</v>
      </c>
      <c r="M579" s="784">
        <v>11358.57</v>
      </c>
      <c r="N579" s="784">
        <v>12.95</v>
      </c>
      <c r="O579" s="784">
        <v>5.07</v>
      </c>
      <c r="P579" s="783">
        <v>173</v>
      </c>
      <c r="Q579" s="783">
        <v>644.03</v>
      </c>
      <c r="R579" s="783">
        <v>465.7</v>
      </c>
      <c r="S579" s="783">
        <v>73.83</v>
      </c>
      <c r="T579" s="783">
        <v>104.5</v>
      </c>
      <c r="U579" s="785">
        <v>44699.483101851903</v>
      </c>
    </row>
    <row r="580" spans="1:21">
      <c r="A580" s="782">
        <v>44699</v>
      </c>
      <c r="B580" s="783" t="s">
        <v>2866</v>
      </c>
      <c r="C580" s="783" t="s">
        <v>4414</v>
      </c>
      <c r="D580" s="783" t="s">
        <v>4009</v>
      </c>
      <c r="E580" s="783" t="s">
        <v>5324</v>
      </c>
      <c r="F580" s="783" t="s">
        <v>4011</v>
      </c>
      <c r="G580" s="783" t="str">
        <f t="shared" ref="G580:G606" si="34">VLOOKUP(I580,pacage,2,FALSE)</f>
        <v>Renewal (15% in 2020)</v>
      </c>
      <c r="H580" s="783" t="s">
        <v>5325</v>
      </c>
      <c r="I580" s="783" t="s">
        <v>5326</v>
      </c>
      <c r="J580" s="783">
        <v>20</v>
      </c>
      <c r="K580" s="783" t="s">
        <v>99</v>
      </c>
      <c r="L580" s="783" t="s">
        <v>4096</v>
      </c>
      <c r="M580" s="784">
        <v>24753.599999999999</v>
      </c>
      <c r="N580" s="784">
        <v>45.84</v>
      </c>
      <c r="O580" s="784">
        <v>6</v>
      </c>
      <c r="P580" s="783">
        <v>90</v>
      </c>
      <c r="Q580" s="783">
        <v>1621.36</v>
      </c>
      <c r="R580" s="783">
        <v>878.75</v>
      </c>
      <c r="S580" s="783">
        <v>141.1</v>
      </c>
      <c r="T580" s="783">
        <v>601.51</v>
      </c>
      <c r="U580" s="785">
        <v>44708.702685185199</v>
      </c>
    </row>
    <row r="581" spans="1:21">
      <c r="A581" s="782">
        <v>44702</v>
      </c>
      <c r="B581" s="783" t="s">
        <v>41</v>
      </c>
      <c r="C581" s="783" t="s">
        <v>4071</v>
      </c>
      <c r="D581" s="783" t="s">
        <v>4009</v>
      </c>
      <c r="E581" s="783" t="s">
        <v>5327</v>
      </c>
      <c r="F581" s="783" t="s">
        <v>4011</v>
      </c>
      <c r="G581" s="783" t="str">
        <f t="shared" si="34"/>
        <v>Renewal (20% in 2020)</v>
      </c>
      <c r="H581" s="783" t="s">
        <v>5328</v>
      </c>
      <c r="I581" s="783" t="s">
        <v>5329</v>
      </c>
      <c r="J581" s="783">
        <v>20</v>
      </c>
      <c r="K581" s="783" t="s">
        <v>99</v>
      </c>
      <c r="L581" s="783" t="s">
        <v>4096</v>
      </c>
      <c r="M581" s="784">
        <v>93607.1</v>
      </c>
      <c r="N581" s="784">
        <v>53.72</v>
      </c>
      <c r="O581" s="784">
        <v>8.5</v>
      </c>
      <c r="P581" s="783">
        <v>205</v>
      </c>
      <c r="Q581" s="783">
        <v>3500.91</v>
      </c>
      <c r="R581" s="783">
        <v>1785.29</v>
      </c>
      <c r="S581" s="783">
        <v>657.85</v>
      </c>
      <c r="T581" s="783">
        <v>1057.76</v>
      </c>
      <c r="U581" s="785">
        <v>44704.410868055602</v>
      </c>
    </row>
    <row r="582" spans="1:21">
      <c r="A582" s="782">
        <v>44697</v>
      </c>
      <c r="B582" s="783" t="s">
        <v>74</v>
      </c>
      <c r="C582" s="783" t="s">
        <v>4097</v>
      </c>
      <c r="D582" s="783" t="s">
        <v>4038</v>
      </c>
      <c r="E582" s="783" t="s">
        <v>2064</v>
      </c>
      <c r="F582" s="783" t="s">
        <v>4011</v>
      </c>
      <c r="G582" s="783" t="str">
        <f t="shared" si="34"/>
        <v>Renewal (15% in 2020)</v>
      </c>
      <c r="H582" s="783" t="s">
        <v>4320</v>
      </c>
      <c r="I582" s="783" t="s">
        <v>4321</v>
      </c>
      <c r="J582" s="783">
        <v>20</v>
      </c>
      <c r="K582" s="783" t="s">
        <v>99</v>
      </c>
      <c r="L582" s="783" t="s">
        <v>4096</v>
      </c>
      <c r="M582" s="784">
        <v>15946.31</v>
      </c>
      <c r="N582" s="784">
        <v>14.22</v>
      </c>
      <c r="O582" s="784">
        <v>6.23</v>
      </c>
      <c r="P582" s="783">
        <v>180</v>
      </c>
      <c r="Q582" s="783">
        <v>798.91</v>
      </c>
      <c r="R582" s="783">
        <v>433.73</v>
      </c>
      <c r="S582" s="783">
        <v>87.71</v>
      </c>
      <c r="T582" s="783">
        <v>277.47000000000003</v>
      </c>
      <c r="U582" s="785">
        <v>44708.962384259299</v>
      </c>
    </row>
    <row r="583" spans="1:21">
      <c r="A583" s="782">
        <v>44693</v>
      </c>
      <c r="B583" s="783" t="s">
        <v>51</v>
      </c>
      <c r="C583" s="783" t="s">
        <v>4015</v>
      </c>
      <c r="D583" s="783" t="s">
        <v>4016</v>
      </c>
      <c r="E583" s="783" t="s">
        <v>1719</v>
      </c>
      <c r="F583" s="783" t="s">
        <v>4011</v>
      </c>
      <c r="G583" s="783" t="str">
        <f t="shared" si="34"/>
        <v>Renewal (20% in 2020)</v>
      </c>
      <c r="H583" s="783" t="s">
        <v>5330</v>
      </c>
      <c r="I583" s="783" t="s">
        <v>5331</v>
      </c>
      <c r="J583" s="783">
        <v>20</v>
      </c>
      <c r="K583" s="783" t="s">
        <v>99</v>
      </c>
      <c r="L583" s="783" t="s">
        <v>4096</v>
      </c>
      <c r="M583" s="784">
        <v>57621</v>
      </c>
      <c r="N583" s="784">
        <v>50.21</v>
      </c>
      <c r="O583" s="784">
        <v>6.04</v>
      </c>
      <c r="P583" s="783">
        <v>190</v>
      </c>
      <c r="Q583" s="783">
        <v>4079.57</v>
      </c>
      <c r="R583" s="783">
        <v>2161.58</v>
      </c>
      <c r="S583" s="783">
        <v>575.41999999999996</v>
      </c>
      <c r="T583" s="783">
        <v>1342.57</v>
      </c>
      <c r="U583" s="785">
        <v>44693.600937499999</v>
      </c>
    </row>
    <row r="584" spans="1:21">
      <c r="A584" s="782">
        <v>44694</v>
      </c>
      <c r="B584" s="783" t="s">
        <v>41</v>
      </c>
      <c r="C584" s="783" t="s">
        <v>4082</v>
      </c>
      <c r="D584" s="783" t="s">
        <v>4009</v>
      </c>
      <c r="E584" s="783" t="s">
        <v>5332</v>
      </c>
      <c r="F584" s="783" t="s">
        <v>4011</v>
      </c>
      <c r="G584" s="783" t="str">
        <f t="shared" si="34"/>
        <v>Renewal (15% in 2020)</v>
      </c>
      <c r="H584" s="783" t="s">
        <v>5333</v>
      </c>
      <c r="I584" s="783" t="s">
        <v>5334</v>
      </c>
      <c r="J584" s="783">
        <v>15</v>
      </c>
      <c r="K584" s="783" t="s">
        <v>99</v>
      </c>
      <c r="L584" s="783" t="s">
        <v>4096</v>
      </c>
      <c r="M584" s="784">
        <v>14098.74</v>
      </c>
      <c r="N584" s="784">
        <v>14.24</v>
      </c>
      <c r="O584" s="784">
        <v>4.42</v>
      </c>
      <c r="P584" s="783">
        <v>224</v>
      </c>
      <c r="Q584" s="783">
        <v>936.16</v>
      </c>
      <c r="R584" s="783">
        <v>317.95</v>
      </c>
      <c r="S584" s="783">
        <v>167.04</v>
      </c>
      <c r="T584" s="783">
        <v>451.16</v>
      </c>
      <c r="U584" s="785">
        <v>44697.506168981497</v>
      </c>
    </row>
    <row r="585" spans="1:21">
      <c r="A585" s="782">
        <v>44706</v>
      </c>
      <c r="B585" s="783" t="s">
        <v>41</v>
      </c>
      <c r="C585" s="783" t="s">
        <v>4071</v>
      </c>
      <c r="D585" s="783" t="s">
        <v>4009</v>
      </c>
      <c r="E585" s="783" t="s">
        <v>5335</v>
      </c>
      <c r="F585" s="783" t="s">
        <v>4011</v>
      </c>
      <c r="G585" s="783" t="str">
        <f t="shared" si="34"/>
        <v>Renewal (15% in 2020)</v>
      </c>
      <c r="H585" s="783" t="s">
        <v>5336</v>
      </c>
      <c r="I585" s="783" t="s">
        <v>5337</v>
      </c>
      <c r="J585" s="783">
        <v>15</v>
      </c>
      <c r="K585" s="783" t="s">
        <v>99</v>
      </c>
      <c r="L585" s="783" t="s">
        <v>4096</v>
      </c>
      <c r="M585" s="784">
        <v>81982.62</v>
      </c>
      <c r="N585" s="784">
        <v>100.4</v>
      </c>
      <c r="O585" s="784">
        <v>4.72</v>
      </c>
      <c r="P585" s="783">
        <v>173</v>
      </c>
      <c r="Q585" s="783">
        <v>4115.53</v>
      </c>
      <c r="R585" s="783">
        <v>1852.81</v>
      </c>
      <c r="S585" s="783">
        <v>286.94</v>
      </c>
      <c r="T585" s="783">
        <v>1975.78</v>
      </c>
      <c r="U585" s="785">
        <v>44708.580891203703</v>
      </c>
    </row>
    <row r="586" spans="1:21">
      <c r="A586" s="782">
        <v>44698</v>
      </c>
      <c r="B586" s="783" t="s">
        <v>41</v>
      </c>
      <c r="C586" s="783" t="s">
        <v>4092</v>
      </c>
      <c r="D586" s="783" t="s">
        <v>4009</v>
      </c>
      <c r="E586" s="783" t="s">
        <v>5338</v>
      </c>
      <c r="F586" s="783" t="s">
        <v>4011</v>
      </c>
      <c r="G586" s="783" t="str">
        <f t="shared" si="34"/>
        <v>Renewal (15% in 2020)</v>
      </c>
      <c r="H586" s="783" t="s">
        <v>5339</v>
      </c>
      <c r="I586" s="783" t="s">
        <v>5340</v>
      </c>
      <c r="J586" s="783">
        <v>15</v>
      </c>
      <c r="K586" s="783" t="s">
        <v>99</v>
      </c>
      <c r="L586" s="783" t="s">
        <v>4096</v>
      </c>
      <c r="M586" s="784">
        <v>40738.1</v>
      </c>
      <c r="N586" s="784">
        <v>33.369999999999997</v>
      </c>
      <c r="O586" s="784">
        <v>5.45</v>
      </c>
      <c r="P586" s="783">
        <v>224</v>
      </c>
      <c r="Q586" s="783">
        <v>2859.81</v>
      </c>
      <c r="R586" s="783">
        <v>972.2</v>
      </c>
      <c r="S586" s="783">
        <v>510.66</v>
      </c>
      <c r="T586" s="783">
        <v>1376.95</v>
      </c>
      <c r="U586" s="785">
        <v>44699.495023148098</v>
      </c>
    </row>
    <row r="587" spans="1:21">
      <c r="A587" s="782">
        <v>44543</v>
      </c>
      <c r="B587" s="783" t="s">
        <v>74</v>
      </c>
      <c r="C587" s="783" t="s">
        <v>4097</v>
      </c>
      <c r="D587" s="783" t="s">
        <v>4038</v>
      </c>
      <c r="E587" s="783" t="s">
        <v>4322</v>
      </c>
      <c r="F587" s="783" t="s">
        <v>4011</v>
      </c>
      <c r="G587" s="783" t="str">
        <f t="shared" si="34"/>
        <v>Renewal (25% in 2020)</v>
      </c>
      <c r="H587" s="783" t="s">
        <v>4323</v>
      </c>
      <c r="I587" s="783" t="s">
        <v>4324</v>
      </c>
      <c r="J587" s="783">
        <v>25</v>
      </c>
      <c r="K587" s="783" t="s">
        <v>99</v>
      </c>
      <c r="L587" s="783" t="s">
        <v>4096</v>
      </c>
      <c r="M587" s="784">
        <v>27852</v>
      </c>
      <c r="N587" s="784">
        <v>22</v>
      </c>
      <c r="O587" s="784">
        <v>6.33</v>
      </c>
      <c r="P587" s="783">
        <v>200</v>
      </c>
      <c r="Q587" s="783">
        <v>1094.58</v>
      </c>
      <c r="R587" s="783">
        <v>681.8</v>
      </c>
      <c r="S587" s="783">
        <v>228.96</v>
      </c>
      <c r="T587" s="783">
        <v>183.82</v>
      </c>
      <c r="U587" s="785">
        <v>44631.626736111102</v>
      </c>
    </row>
    <row r="588" spans="1:21">
      <c r="A588" s="782">
        <v>44540</v>
      </c>
      <c r="B588" s="783" t="s">
        <v>4025</v>
      </c>
      <c r="C588" s="783" t="s">
        <v>4026</v>
      </c>
      <c r="D588" s="783" t="s">
        <v>4021</v>
      </c>
      <c r="E588" s="783" t="s">
        <v>5341</v>
      </c>
      <c r="F588" s="783" t="s">
        <v>4011</v>
      </c>
      <c r="G588" s="783" t="str">
        <f t="shared" si="34"/>
        <v>New Contract</v>
      </c>
      <c r="H588" s="783" t="s">
        <v>5342</v>
      </c>
      <c r="I588" s="783" t="s">
        <v>5343</v>
      </c>
      <c r="J588" s="783">
        <v>25</v>
      </c>
      <c r="K588" s="783" t="s">
        <v>99</v>
      </c>
      <c r="L588" s="783" t="s">
        <v>4096</v>
      </c>
      <c r="M588" s="784">
        <v>13067.4</v>
      </c>
      <c r="N588" s="784">
        <v>15.02</v>
      </c>
      <c r="O588" s="784">
        <v>5.8</v>
      </c>
      <c r="P588" s="783">
        <v>150</v>
      </c>
      <c r="Q588" s="783">
        <v>598.49</v>
      </c>
      <c r="R588" s="783">
        <v>441.68</v>
      </c>
      <c r="S588" s="783">
        <v>67.95</v>
      </c>
      <c r="T588" s="783">
        <v>88.86</v>
      </c>
      <c r="U588" s="785">
        <v>44631.629675925898</v>
      </c>
    </row>
    <row r="589" spans="1:21">
      <c r="A589" s="782">
        <v>44548</v>
      </c>
      <c r="B589" s="783" t="s">
        <v>47</v>
      </c>
      <c r="C589" s="783" t="s">
        <v>4916</v>
      </c>
      <c r="D589" s="783" t="s">
        <v>4102</v>
      </c>
      <c r="E589" s="783" t="s">
        <v>5344</v>
      </c>
      <c r="F589" s="783" t="s">
        <v>4011</v>
      </c>
      <c r="G589" s="783" t="str">
        <f t="shared" si="34"/>
        <v>New contract</v>
      </c>
      <c r="H589" s="783" t="s">
        <v>5345</v>
      </c>
      <c r="I589" s="783" t="s">
        <v>5346</v>
      </c>
      <c r="J589" s="783">
        <v>20</v>
      </c>
      <c r="K589" s="783" t="s">
        <v>99</v>
      </c>
      <c r="L589" s="783" t="s">
        <v>4096</v>
      </c>
      <c r="M589" s="784">
        <v>33548.199999999997</v>
      </c>
      <c r="N589" s="784">
        <v>17.36</v>
      </c>
      <c r="O589" s="784">
        <v>7.73</v>
      </c>
      <c r="P589" s="783">
        <v>250</v>
      </c>
      <c r="Q589" s="783">
        <v>1311.73</v>
      </c>
      <c r="R589" s="783">
        <v>536.27</v>
      </c>
      <c r="S589" s="783">
        <v>356.11</v>
      </c>
      <c r="T589" s="783">
        <v>419.35</v>
      </c>
      <c r="U589" s="785">
        <v>44631.626655092601</v>
      </c>
    </row>
    <row r="590" spans="1:21">
      <c r="A590" s="782">
        <v>44539</v>
      </c>
      <c r="B590" s="783" t="s">
        <v>41</v>
      </c>
      <c r="C590" s="783" t="s">
        <v>4071</v>
      </c>
      <c r="D590" s="783" t="s">
        <v>4009</v>
      </c>
      <c r="E590" s="783" t="s">
        <v>5347</v>
      </c>
      <c r="F590" s="783" t="s">
        <v>4011</v>
      </c>
      <c r="G590" s="783" t="str">
        <f t="shared" si="34"/>
        <v>Renewal (15% in 2020)</v>
      </c>
      <c r="H590" s="783" t="s">
        <v>5348</v>
      </c>
      <c r="I590" s="783" t="s">
        <v>5349</v>
      </c>
      <c r="J590" s="783">
        <v>15</v>
      </c>
      <c r="K590" s="783" t="s">
        <v>99</v>
      </c>
      <c r="L590" s="783" t="s">
        <v>4096</v>
      </c>
      <c r="M590" s="784">
        <v>28407</v>
      </c>
      <c r="N590" s="784">
        <v>30</v>
      </c>
      <c r="O590" s="784">
        <v>5.57</v>
      </c>
      <c r="P590" s="783">
        <v>170</v>
      </c>
      <c r="Q590" s="783">
        <v>1426.03</v>
      </c>
      <c r="R590" s="783">
        <v>642</v>
      </c>
      <c r="S590" s="783">
        <v>99.42</v>
      </c>
      <c r="T590" s="783">
        <v>684.61</v>
      </c>
      <c r="U590" s="785">
        <v>44631.626736111102</v>
      </c>
    </row>
    <row r="591" spans="1:21">
      <c r="A591" s="782">
        <v>44560</v>
      </c>
      <c r="B591" s="783" t="s">
        <v>228</v>
      </c>
      <c r="C591" s="783" t="s">
        <v>4582</v>
      </c>
      <c r="D591" s="783" t="s">
        <v>4193</v>
      </c>
      <c r="E591" s="783" t="s">
        <v>5350</v>
      </c>
      <c r="F591" s="783" t="s">
        <v>4011</v>
      </c>
      <c r="G591" s="783" t="str">
        <f t="shared" si="34"/>
        <v>Renewal (25% in 2020)</v>
      </c>
      <c r="H591" s="783" t="s">
        <v>5351</v>
      </c>
      <c r="I591" s="783" t="s">
        <v>5352</v>
      </c>
      <c r="J591" s="783">
        <v>25</v>
      </c>
      <c r="K591" s="783" t="s">
        <v>99</v>
      </c>
      <c r="L591" s="783" t="s">
        <v>4096</v>
      </c>
      <c r="M591" s="784">
        <v>38550.050000000003</v>
      </c>
      <c r="N591" s="784">
        <v>29.26</v>
      </c>
      <c r="O591" s="784">
        <v>7.75</v>
      </c>
      <c r="P591" s="783">
        <v>170</v>
      </c>
      <c r="Q591" s="783">
        <v>1561.28</v>
      </c>
      <c r="R591" s="783">
        <v>1218.18</v>
      </c>
      <c r="S591" s="783">
        <v>161.91</v>
      </c>
      <c r="T591" s="783">
        <v>181.19</v>
      </c>
      <c r="U591" s="785">
        <v>44631.626678240696</v>
      </c>
    </row>
    <row r="592" spans="1:21">
      <c r="A592" s="782">
        <v>44560</v>
      </c>
      <c r="B592" s="783" t="s">
        <v>228</v>
      </c>
      <c r="C592" s="783" t="s">
        <v>4251</v>
      </c>
      <c r="D592" s="783" t="s">
        <v>4193</v>
      </c>
      <c r="E592" s="783" t="s">
        <v>5350</v>
      </c>
      <c r="F592" s="783" t="s">
        <v>4011</v>
      </c>
      <c r="G592" s="783" t="str">
        <f t="shared" si="34"/>
        <v>Renewal (25% in 2020)</v>
      </c>
      <c r="H592" s="783" t="s">
        <v>5351</v>
      </c>
      <c r="I592" s="783" t="s">
        <v>5352</v>
      </c>
      <c r="J592" s="783">
        <v>25</v>
      </c>
      <c r="K592" s="783" t="s">
        <v>99</v>
      </c>
      <c r="L592" s="783" t="s">
        <v>4096</v>
      </c>
      <c r="M592" s="784">
        <v>15783.65</v>
      </c>
      <c r="N592" s="784">
        <v>11.98</v>
      </c>
      <c r="O592" s="784">
        <v>7.75</v>
      </c>
      <c r="P592" s="783">
        <v>170</v>
      </c>
      <c r="Q592" s="783">
        <v>511.39</v>
      </c>
      <c r="R592" s="783">
        <v>396.17</v>
      </c>
      <c r="S592" s="783">
        <v>63.13</v>
      </c>
      <c r="T592" s="783">
        <v>52.09</v>
      </c>
      <c r="U592" s="785">
        <v>44631.626678240696</v>
      </c>
    </row>
    <row r="593" spans="1:21">
      <c r="A593" s="782">
        <v>44543</v>
      </c>
      <c r="B593" s="783" t="s">
        <v>41</v>
      </c>
      <c r="C593" s="783" t="s">
        <v>4092</v>
      </c>
      <c r="D593" s="783" t="s">
        <v>4009</v>
      </c>
      <c r="E593" s="783" t="s">
        <v>4131</v>
      </c>
      <c r="F593" s="783" t="s">
        <v>4011</v>
      </c>
      <c r="G593" s="783" t="str">
        <f t="shared" si="34"/>
        <v>Renewal (20% in 2020)</v>
      </c>
      <c r="H593" s="783" t="s">
        <v>4132</v>
      </c>
      <c r="I593" s="783" t="s">
        <v>4133</v>
      </c>
      <c r="J593" s="783">
        <v>20</v>
      </c>
      <c r="K593" s="783" t="s">
        <v>99</v>
      </c>
      <c r="L593" s="783" t="s">
        <v>4096</v>
      </c>
      <c r="M593" s="784">
        <v>68196.399999999994</v>
      </c>
      <c r="N593" s="784">
        <v>58.79</v>
      </c>
      <c r="O593" s="784">
        <v>5.8</v>
      </c>
      <c r="P593" s="783">
        <v>200</v>
      </c>
      <c r="Q593" s="783">
        <v>3573.49</v>
      </c>
      <c r="R593" s="783">
        <v>1822.79</v>
      </c>
      <c r="S593" s="783">
        <v>659.56</v>
      </c>
      <c r="T593" s="783">
        <v>1091.1400000000001</v>
      </c>
      <c r="U593" s="785">
        <v>44631.6266203704</v>
      </c>
    </row>
    <row r="594" spans="1:21">
      <c r="A594" s="782">
        <v>44544</v>
      </c>
      <c r="B594" s="783" t="s">
        <v>397</v>
      </c>
      <c r="C594" s="783" t="s">
        <v>4511</v>
      </c>
      <c r="D594" s="783" t="s">
        <v>4512</v>
      </c>
      <c r="E594" s="783" t="s">
        <v>4610</v>
      </c>
      <c r="F594" s="783" t="s">
        <v>4011</v>
      </c>
      <c r="G594" s="783" t="str">
        <f t="shared" si="34"/>
        <v>Renewal (15% in 2020)</v>
      </c>
      <c r="H594" s="783" t="s">
        <v>4611</v>
      </c>
      <c r="I594" s="783" t="s">
        <v>4612</v>
      </c>
      <c r="J594" s="783">
        <v>15</v>
      </c>
      <c r="K594" s="783" t="s">
        <v>99</v>
      </c>
      <c r="L594" s="783" t="s">
        <v>4096</v>
      </c>
      <c r="M594" s="784">
        <v>51558.1</v>
      </c>
      <c r="N594" s="784">
        <v>42.61</v>
      </c>
      <c r="O594" s="784">
        <v>6.05</v>
      </c>
      <c r="P594" s="783">
        <v>200</v>
      </c>
      <c r="Q594" s="783">
        <v>3887.48</v>
      </c>
      <c r="R594" s="783">
        <v>1378.07</v>
      </c>
      <c r="S594" s="783">
        <v>570.83000000000004</v>
      </c>
      <c r="T594" s="783">
        <v>1938.58</v>
      </c>
      <c r="U594" s="785">
        <v>44631.626770833303</v>
      </c>
    </row>
    <row r="595" spans="1:21">
      <c r="A595" s="782">
        <v>44541</v>
      </c>
      <c r="B595" s="783" t="s">
        <v>74</v>
      </c>
      <c r="C595" s="783" t="s">
        <v>4097</v>
      </c>
      <c r="D595" s="783" t="s">
        <v>4038</v>
      </c>
      <c r="E595" s="783" t="s">
        <v>4613</v>
      </c>
      <c r="F595" s="783" t="s">
        <v>4011</v>
      </c>
      <c r="G595" s="783" t="str">
        <f t="shared" si="34"/>
        <v>New Contract</v>
      </c>
      <c r="H595" s="783" t="s">
        <v>4614</v>
      </c>
      <c r="I595" s="783" t="s">
        <v>4615</v>
      </c>
      <c r="J595" s="783">
        <v>25</v>
      </c>
      <c r="K595" s="783" t="s">
        <v>99</v>
      </c>
      <c r="L595" s="783" t="s">
        <v>4096</v>
      </c>
      <c r="M595" s="784">
        <v>9918</v>
      </c>
      <c r="N595" s="784">
        <v>9</v>
      </c>
      <c r="O595" s="784">
        <v>5.8</v>
      </c>
      <c r="P595" s="783">
        <v>190</v>
      </c>
      <c r="Q595" s="783">
        <v>389.78</v>
      </c>
      <c r="R595" s="783">
        <v>255.57</v>
      </c>
      <c r="S595" s="783">
        <v>68.75</v>
      </c>
      <c r="T595" s="783">
        <v>65.459999999999994</v>
      </c>
      <c r="U595" s="785">
        <v>44631.629675925898</v>
      </c>
    </row>
    <row r="596" spans="1:21">
      <c r="A596" s="782">
        <v>44641</v>
      </c>
      <c r="B596" s="783" t="s">
        <v>30</v>
      </c>
      <c r="C596" s="783" t="s">
        <v>4239</v>
      </c>
      <c r="D596" s="783" t="s">
        <v>4021</v>
      </c>
      <c r="E596" s="783" t="s">
        <v>5353</v>
      </c>
      <c r="F596" s="783" t="s">
        <v>4011</v>
      </c>
      <c r="G596" s="783" t="str">
        <f t="shared" si="34"/>
        <v>Renewal (20% in 2020)</v>
      </c>
      <c r="H596" s="783" t="s">
        <v>5354</v>
      </c>
      <c r="I596" s="783" t="s">
        <v>5355</v>
      </c>
      <c r="J596" s="783">
        <v>20</v>
      </c>
      <c r="K596" s="783" t="s">
        <v>99</v>
      </c>
      <c r="L596" s="783" t="s">
        <v>4096</v>
      </c>
      <c r="M596" s="784">
        <v>106466.42</v>
      </c>
      <c r="N596" s="784">
        <v>72.209999999999994</v>
      </c>
      <c r="O596" s="784">
        <v>7.76</v>
      </c>
      <c r="P596" s="783">
        <v>190</v>
      </c>
      <c r="Q596" s="783">
        <v>4673.88</v>
      </c>
      <c r="R596" s="783">
        <v>2404.12</v>
      </c>
      <c r="S596" s="783">
        <v>779.22</v>
      </c>
      <c r="T596" s="783">
        <v>1490.53</v>
      </c>
      <c r="U596" s="785">
        <v>44641.473437499997</v>
      </c>
    </row>
    <row r="597" spans="1:21">
      <c r="A597" s="782">
        <v>44539</v>
      </c>
      <c r="B597" s="783" t="s">
        <v>30</v>
      </c>
      <c r="C597" s="783" t="s">
        <v>4239</v>
      </c>
      <c r="D597" s="783" t="s">
        <v>4021</v>
      </c>
      <c r="E597" s="783" t="s">
        <v>5356</v>
      </c>
      <c r="F597" s="783" t="s">
        <v>4011</v>
      </c>
      <c r="G597" s="783" t="str">
        <f t="shared" si="34"/>
        <v>New contract</v>
      </c>
      <c r="H597" s="783" t="s">
        <v>5357</v>
      </c>
      <c r="I597" s="783" t="s">
        <v>5358</v>
      </c>
      <c r="J597" s="783">
        <v>25</v>
      </c>
      <c r="K597" s="783" t="s">
        <v>99</v>
      </c>
      <c r="L597" s="783" t="s">
        <v>4096</v>
      </c>
      <c r="M597" s="784">
        <v>36203.71</v>
      </c>
      <c r="N597" s="784">
        <v>24.62</v>
      </c>
      <c r="O597" s="784">
        <v>8.5</v>
      </c>
      <c r="P597" s="783">
        <v>173</v>
      </c>
      <c r="Q597" s="783">
        <v>1241.79</v>
      </c>
      <c r="R597" s="783">
        <v>897.85</v>
      </c>
      <c r="S597" s="783">
        <v>184.64</v>
      </c>
      <c r="T597" s="783">
        <v>159.30000000000001</v>
      </c>
      <c r="U597" s="785">
        <v>44631.630405092597</v>
      </c>
    </row>
    <row r="598" spans="1:21">
      <c r="A598" s="782">
        <v>44540</v>
      </c>
      <c r="B598" s="783" t="s">
        <v>41</v>
      </c>
      <c r="C598" s="783" t="s">
        <v>4071</v>
      </c>
      <c r="D598" s="783" t="s">
        <v>4009</v>
      </c>
      <c r="E598" s="783" t="s">
        <v>321</v>
      </c>
      <c r="F598" s="783" t="s">
        <v>4011</v>
      </c>
      <c r="G598" s="783" t="str">
        <f t="shared" si="34"/>
        <v>Renewal (25% in 2020)</v>
      </c>
      <c r="H598" s="783" t="s">
        <v>5359</v>
      </c>
      <c r="I598" s="783" t="s">
        <v>5360</v>
      </c>
      <c r="J598" s="783">
        <v>25</v>
      </c>
      <c r="K598" s="783" t="s">
        <v>99</v>
      </c>
      <c r="L598" s="783" t="s">
        <v>4096</v>
      </c>
      <c r="M598" s="784">
        <v>73427.210000000006</v>
      </c>
      <c r="N598" s="784">
        <v>55.04</v>
      </c>
      <c r="O598" s="784">
        <v>7.29</v>
      </c>
      <c r="P598" s="783">
        <v>183</v>
      </c>
      <c r="Q598" s="783">
        <v>2129.39</v>
      </c>
      <c r="R598" s="783">
        <v>1568.77</v>
      </c>
      <c r="S598" s="783">
        <v>347.68</v>
      </c>
      <c r="T598" s="783">
        <v>212.94</v>
      </c>
      <c r="U598" s="785">
        <v>44631.626689814802</v>
      </c>
    </row>
    <row r="599" spans="1:21">
      <c r="A599" s="782">
        <v>44540</v>
      </c>
      <c r="B599" s="783" t="s">
        <v>74</v>
      </c>
      <c r="C599" s="783" t="s">
        <v>4037</v>
      </c>
      <c r="D599" s="783" t="s">
        <v>4038</v>
      </c>
      <c r="E599" s="783" t="s">
        <v>4325</v>
      </c>
      <c r="F599" s="783" t="s">
        <v>4011</v>
      </c>
      <c r="G599" s="783" t="str">
        <f t="shared" si="34"/>
        <v>Renewal (20% in 2020)</v>
      </c>
      <c r="H599" s="783" t="s">
        <v>4326</v>
      </c>
      <c r="I599" s="783" t="s">
        <v>4327</v>
      </c>
      <c r="J599" s="783">
        <v>20</v>
      </c>
      <c r="K599" s="783" t="s">
        <v>99</v>
      </c>
      <c r="L599" s="783" t="s">
        <v>4096</v>
      </c>
      <c r="M599" s="784">
        <v>32077.71</v>
      </c>
      <c r="N599" s="784">
        <v>25.89</v>
      </c>
      <c r="O599" s="784">
        <v>5.9</v>
      </c>
      <c r="P599" s="783">
        <v>210</v>
      </c>
      <c r="Q599" s="783">
        <v>2149.21</v>
      </c>
      <c r="R599" s="783">
        <v>1046.47</v>
      </c>
      <c r="S599" s="783">
        <v>425.9</v>
      </c>
      <c r="T599" s="783">
        <v>676.84</v>
      </c>
      <c r="U599" s="785">
        <v>44631.6268865741</v>
      </c>
    </row>
    <row r="600" spans="1:21">
      <c r="A600" s="782">
        <v>44536</v>
      </c>
      <c r="B600" s="783" t="s">
        <v>41</v>
      </c>
      <c r="C600" s="783" t="s">
        <v>4082</v>
      </c>
      <c r="D600" s="783" t="s">
        <v>4009</v>
      </c>
      <c r="E600" s="783" t="s">
        <v>5361</v>
      </c>
      <c r="F600" s="783" t="s">
        <v>4011</v>
      </c>
      <c r="G600" s="783" t="str">
        <f t="shared" si="34"/>
        <v>Renewal (15% in 2020)</v>
      </c>
      <c r="H600" s="783" t="s">
        <v>5362</v>
      </c>
      <c r="I600" s="783" t="s">
        <v>5363</v>
      </c>
      <c r="J600" s="783">
        <v>15</v>
      </c>
      <c r="K600" s="783" t="s">
        <v>99</v>
      </c>
      <c r="L600" s="783" t="s">
        <v>4096</v>
      </c>
      <c r="M600" s="784">
        <v>28977.61</v>
      </c>
      <c r="N600" s="784">
        <v>23.69</v>
      </c>
      <c r="O600" s="784">
        <v>5.56</v>
      </c>
      <c r="P600" s="783">
        <v>220</v>
      </c>
      <c r="Q600" s="783">
        <v>1924.11</v>
      </c>
      <c r="R600" s="783">
        <v>665.38</v>
      </c>
      <c r="S600" s="783">
        <v>331.45</v>
      </c>
      <c r="T600" s="783">
        <v>927.28</v>
      </c>
      <c r="U600" s="785">
        <v>44631.629664351902</v>
      </c>
    </row>
    <row r="601" spans="1:21">
      <c r="A601" s="782">
        <v>44598</v>
      </c>
      <c r="B601" s="783" t="s">
        <v>74</v>
      </c>
      <c r="C601" s="783" t="s">
        <v>4097</v>
      </c>
      <c r="D601" s="783" t="s">
        <v>4038</v>
      </c>
      <c r="E601" s="783" t="s">
        <v>4328</v>
      </c>
      <c r="F601" s="783" t="s">
        <v>4011</v>
      </c>
      <c r="G601" s="783" t="str">
        <f t="shared" si="34"/>
        <v>Renewal (20% in 2020)</v>
      </c>
      <c r="H601" s="783" t="s">
        <v>4329</v>
      </c>
      <c r="I601" s="783" t="s">
        <v>4330</v>
      </c>
      <c r="J601" s="783">
        <v>25</v>
      </c>
      <c r="K601" s="783" t="s">
        <v>99</v>
      </c>
      <c r="L601" s="783" t="s">
        <v>4096</v>
      </c>
      <c r="M601" s="784">
        <v>34104</v>
      </c>
      <c r="N601" s="784">
        <v>28.42</v>
      </c>
      <c r="O601" s="784">
        <v>6</v>
      </c>
      <c r="P601" s="783">
        <v>200</v>
      </c>
      <c r="Q601" s="783">
        <v>1340.29</v>
      </c>
      <c r="R601" s="783">
        <v>834.85</v>
      </c>
      <c r="S601" s="783">
        <v>280.35000000000002</v>
      </c>
      <c r="T601" s="783">
        <v>225.09</v>
      </c>
      <c r="U601" s="785">
        <v>44631.626909722203</v>
      </c>
    </row>
    <row r="602" spans="1:21">
      <c r="A602" s="782">
        <v>44536</v>
      </c>
      <c r="B602" s="783" t="s">
        <v>4025</v>
      </c>
      <c r="C602" s="783" t="s">
        <v>4026</v>
      </c>
      <c r="D602" s="783" t="s">
        <v>4021</v>
      </c>
      <c r="E602" s="783" t="s">
        <v>5364</v>
      </c>
      <c r="F602" s="783" t="s">
        <v>4011</v>
      </c>
      <c r="G602" s="783" t="str">
        <f t="shared" si="34"/>
        <v>New contract</v>
      </c>
      <c r="H602" s="783" t="s">
        <v>5365</v>
      </c>
      <c r="I602" s="783" t="s">
        <v>5366</v>
      </c>
      <c r="J602" s="783">
        <v>20</v>
      </c>
      <c r="K602" s="783" t="s">
        <v>99</v>
      </c>
      <c r="L602" s="783" t="s">
        <v>4096</v>
      </c>
      <c r="M602" s="784">
        <v>79845.600000000006</v>
      </c>
      <c r="N602" s="784">
        <v>68</v>
      </c>
      <c r="O602" s="784">
        <v>6.18</v>
      </c>
      <c r="P602" s="783">
        <v>190</v>
      </c>
      <c r="Q602" s="783">
        <v>4678.95</v>
      </c>
      <c r="R602" s="783">
        <v>2457.31</v>
      </c>
      <c r="S602" s="783">
        <v>656.67</v>
      </c>
      <c r="T602" s="783">
        <v>1564.97</v>
      </c>
      <c r="U602" s="785">
        <v>44631.630104166703</v>
      </c>
    </row>
    <row r="603" spans="1:21">
      <c r="A603" s="782">
        <v>44539</v>
      </c>
      <c r="B603" s="783" t="s">
        <v>228</v>
      </c>
      <c r="C603" s="783" t="s">
        <v>4491</v>
      </c>
      <c r="D603" s="783" t="s">
        <v>4193</v>
      </c>
      <c r="E603" s="783" t="s">
        <v>5367</v>
      </c>
      <c r="F603" s="783" t="s">
        <v>4011</v>
      </c>
      <c r="G603" s="783" t="str">
        <f t="shared" si="34"/>
        <v>New contract</v>
      </c>
      <c r="H603" s="783" t="s">
        <v>5368</v>
      </c>
      <c r="I603" s="783" t="s">
        <v>5369</v>
      </c>
      <c r="J603" s="783">
        <v>20</v>
      </c>
      <c r="K603" s="783" t="s">
        <v>99</v>
      </c>
      <c r="L603" s="783" t="s">
        <v>4096</v>
      </c>
      <c r="M603" s="784">
        <v>56959.77</v>
      </c>
      <c r="N603" s="784">
        <v>59.7</v>
      </c>
      <c r="O603" s="784">
        <v>4.7</v>
      </c>
      <c r="P603" s="783">
        <v>203</v>
      </c>
      <c r="Q603" s="783">
        <v>2306.87</v>
      </c>
      <c r="R603" s="783">
        <v>1179.57</v>
      </c>
      <c r="S603" s="783">
        <v>415.3</v>
      </c>
      <c r="T603" s="783">
        <v>712</v>
      </c>
      <c r="U603" s="785">
        <v>44631.626770833303</v>
      </c>
    </row>
    <row r="604" spans="1:21">
      <c r="A604" s="782">
        <v>44547</v>
      </c>
      <c r="B604" s="783" t="s">
        <v>74</v>
      </c>
      <c r="C604" s="783" t="s">
        <v>4097</v>
      </c>
      <c r="D604" s="783" t="s">
        <v>4038</v>
      </c>
      <c r="E604" s="783" t="s">
        <v>5370</v>
      </c>
      <c r="F604" s="783" t="s">
        <v>4066</v>
      </c>
      <c r="G604" s="783" t="str">
        <f t="shared" si="34"/>
        <v>New Contract</v>
      </c>
      <c r="H604" s="783" t="s">
        <v>5371</v>
      </c>
      <c r="I604" s="783" t="s">
        <v>5372</v>
      </c>
      <c r="J604" s="783">
        <v>10</v>
      </c>
      <c r="K604" s="783" t="s">
        <v>99</v>
      </c>
      <c r="L604" s="783" t="s">
        <v>4096</v>
      </c>
      <c r="M604" s="784">
        <v>12452.4</v>
      </c>
      <c r="N604" s="784">
        <v>11.53</v>
      </c>
      <c r="O604" s="784">
        <v>6</v>
      </c>
      <c r="P604" s="783">
        <v>180</v>
      </c>
      <c r="Q604" s="783">
        <v>195.5</v>
      </c>
      <c r="R604" s="783">
        <v>0</v>
      </c>
      <c r="S604" s="783">
        <v>0</v>
      </c>
      <c r="T604" s="783">
        <v>195.5</v>
      </c>
      <c r="U604" s="785">
        <v>44631.629502314798</v>
      </c>
    </row>
    <row r="605" spans="1:21">
      <c r="A605" s="782">
        <v>44544</v>
      </c>
      <c r="B605" s="783" t="s">
        <v>74</v>
      </c>
      <c r="C605" s="783" t="s">
        <v>4097</v>
      </c>
      <c r="D605" s="783" t="s">
        <v>4038</v>
      </c>
      <c r="E605" s="783" t="s">
        <v>2961</v>
      </c>
      <c r="F605" s="783" t="s">
        <v>4011</v>
      </c>
      <c r="G605" s="783" t="str">
        <f t="shared" si="34"/>
        <v>New Contract</v>
      </c>
      <c r="H605" s="783" t="s">
        <v>5373</v>
      </c>
      <c r="I605" s="783" t="s">
        <v>5374</v>
      </c>
      <c r="J605" s="783">
        <v>25</v>
      </c>
      <c r="K605" s="783" t="s">
        <v>99</v>
      </c>
      <c r="L605" s="783" t="s">
        <v>4096</v>
      </c>
      <c r="M605" s="784">
        <v>47946.6</v>
      </c>
      <c r="N605" s="784">
        <v>39</v>
      </c>
      <c r="O605" s="784">
        <v>6.83</v>
      </c>
      <c r="P605" s="783">
        <v>180</v>
      </c>
      <c r="Q605" s="783">
        <v>1884.3</v>
      </c>
      <c r="R605" s="783">
        <v>1304.1199999999999</v>
      </c>
      <c r="S605" s="783">
        <v>263.73</v>
      </c>
      <c r="T605" s="783">
        <v>316.45</v>
      </c>
      <c r="U605" s="785">
        <v>44631.630868055603</v>
      </c>
    </row>
    <row r="606" spans="1:21">
      <c r="A606" s="782">
        <v>44547</v>
      </c>
      <c r="B606" s="783" t="s">
        <v>51</v>
      </c>
      <c r="C606" s="783" t="s">
        <v>4042</v>
      </c>
      <c r="D606" s="783" t="s">
        <v>4016</v>
      </c>
      <c r="E606" s="783" t="s">
        <v>5375</v>
      </c>
      <c r="F606" s="783" t="s">
        <v>4011</v>
      </c>
      <c r="G606" s="783" t="str">
        <f t="shared" si="34"/>
        <v>Renewal (15% in 2020)</v>
      </c>
      <c r="H606" s="783" t="s">
        <v>5376</v>
      </c>
      <c r="I606" s="783" t="s">
        <v>5377</v>
      </c>
      <c r="J606" s="783">
        <v>15</v>
      </c>
      <c r="K606" s="783" t="s">
        <v>99</v>
      </c>
      <c r="L606" s="783" t="s">
        <v>4096</v>
      </c>
      <c r="M606" s="784">
        <v>52412.94</v>
      </c>
      <c r="N606" s="784">
        <v>28.83</v>
      </c>
      <c r="O606" s="784">
        <v>9.09</v>
      </c>
      <c r="P606" s="783">
        <v>200</v>
      </c>
      <c r="Q606" s="783">
        <v>2783.13</v>
      </c>
      <c r="R606" s="783">
        <v>1273.98</v>
      </c>
      <c r="S606" s="783">
        <v>424.2</v>
      </c>
      <c r="T606" s="783">
        <v>1084.95</v>
      </c>
      <c r="U606" s="785">
        <v>44631.630960648101</v>
      </c>
    </row>
    <row r="607" spans="1:21">
      <c r="A607" s="782">
        <v>44615</v>
      </c>
      <c r="B607" s="783" t="s">
        <v>74</v>
      </c>
      <c r="C607" s="783" t="s">
        <v>4037</v>
      </c>
      <c r="D607" s="783" t="s">
        <v>4038</v>
      </c>
      <c r="E607" s="783" t="s">
        <v>5378</v>
      </c>
      <c r="F607" s="783" t="s">
        <v>4011</v>
      </c>
      <c r="G607" s="783" t="s">
        <v>4028</v>
      </c>
      <c r="H607" s="783" t="s">
        <v>5379</v>
      </c>
      <c r="I607" s="783" t="s">
        <v>5380</v>
      </c>
      <c r="J607" s="783">
        <v>30</v>
      </c>
      <c r="K607" s="783" t="s">
        <v>99</v>
      </c>
      <c r="L607" s="783" t="s">
        <v>4096</v>
      </c>
      <c r="M607" s="784">
        <v>39223.08</v>
      </c>
      <c r="N607" s="784">
        <v>39.78</v>
      </c>
      <c r="O607" s="784">
        <v>4.93</v>
      </c>
      <c r="P607" s="783">
        <v>200</v>
      </c>
      <c r="Q607" s="783">
        <v>2019.99</v>
      </c>
      <c r="R607" s="783">
        <v>1343.55</v>
      </c>
      <c r="S607" s="783">
        <v>209.69</v>
      </c>
      <c r="T607" s="783">
        <v>466.75</v>
      </c>
      <c r="U607" s="785">
        <v>44631.511851851901</v>
      </c>
    </row>
    <row r="608" spans="1:21">
      <c r="A608" s="782">
        <v>44610</v>
      </c>
      <c r="B608" s="783" t="s">
        <v>150</v>
      </c>
      <c r="C608" s="783" t="s">
        <v>4598</v>
      </c>
      <c r="D608" s="783" t="s">
        <v>4009</v>
      </c>
      <c r="E608" s="783" t="s">
        <v>612</v>
      </c>
      <c r="F608" s="783" t="s">
        <v>4011</v>
      </c>
      <c r="G608" s="783" t="str">
        <f>VLOOKUP(I608,pacage,2,FALSE)</f>
        <v>Renewal (30% in 2020)</v>
      </c>
      <c r="H608" s="783" t="s">
        <v>5381</v>
      </c>
      <c r="I608" s="783" t="s">
        <v>5382</v>
      </c>
      <c r="J608" s="783">
        <v>30</v>
      </c>
      <c r="K608" s="783" t="s">
        <v>99</v>
      </c>
      <c r="L608" s="783" t="s">
        <v>4096</v>
      </c>
      <c r="M608" s="784">
        <v>33878.11</v>
      </c>
      <c r="N608" s="784">
        <v>29.49</v>
      </c>
      <c r="O608" s="784">
        <v>7.18</v>
      </c>
      <c r="P608" s="783">
        <v>160</v>
      </c>
      <c r="Q608" s="783">
        <v>1134.92</v>
      </c>
      <c r="R608" s="783">
        <v>918.1</v>
      </c>
      <c r="S608" s="783">
        <v>0</v>
      </c>
      <c r="T608" s="783">
        <v>216.82</v>
      </c>
      <c r="U608" s="785">
        <v>44631.511736111097</v>
      </c>
    </row>
    <row r="609" spans="1:21">
      <c r="A609" s="782">
        <v>44606</v>
      </c>
      <c r="B609" s="783" t="s">
        <v>30</v>
      </c>
      <c r="C609" s="783" t="s">
        <v>4239</v>
      </c>
      <c r="D609" s="783" t="s">
        <v>4021</v>
      </c>
      <c r="E609" s="783" t="s">
        <v>5383</v>
      </c>
      <c r="F609" s="783" t="s">
        <v>4011</v>
      </c>
      <c r="G609" s="783" t="str">
        <f>VLOOKUP(I609,pacage,2,FALSE)</f>
        <v>New Contract</v>
      </c>
      <c r="H609" s="783" t="s">
        <v>5384</v>
      </c>
      <c r="I609" s="783" t="s">
        <v>5385</v>
      </c>
      <c r="J609" s="783">
        <v>20</v>
      </c>
      <c r="K609" s="783" t="s">
        <v>99</v>
      </c>
      <c r="L609" s="783" t="s">
        <v>4096</v>
      </c>
      <c r="M609" s="784">
        <v>68884.34</v>
      </c>
      <c r="N609" s="784">
        <v>47.77</v>
      </c>
      <c r="O609" s="784">
        <v>7.21</v>
      </c>
      <c r="P609" s="783">
        <v>200</v>
      </c>
      <c r="Q609" s="783">
        <v>3024.02</v>
      </c>
      <c r="R609" s="783">
        <v>1477.71</v>
      </c>
      <c r="S609" s="783">
        <v>581.92999999999995</v>
      </c>
      <c r="T609" s="783">
        <v>964.38</v>
      </c>
      <c r="U609" s="785">
        <v>44631.511828703697</v>
      </c>
    </row>
    <row r="610" spans="1:21">
      <c r="A610" s="782">
        <v>44615</v>
      </c>
      <c r="B610" s="783" t="s">
        <v>74</v>
      </c>
      <c r="C610" s="783" t="s">
        <v>4037</v>
      </c>
      <c r="D610" s="783" t="s">
        <v>4038</v>
      </c>
      <c r="E610" s="783" t="s">
        <v>4334</v>
      </c>
      <c r="F610" s="783" t="s">
        <v>4011</v>
      </c>
      <c r="G610" s="783" t="s">
        <v>4028</v>
      </c>
      <c r="H610" s="783" t="s">
        <v>4335</v>
      </c>
      <c r="I610" s="783" t="s">
        <v>4336</v>
      </c>
      <c r="J610" s="783">
        <v>30</v>
      </c>
      <c r="K610" s="783" t="s">
        <v>99</v>
      </c>
      <c r="L610" s="783" t="s">
        <v>4096</v>
      </c>
      <c r="M610" s="784">
        <v>27706.6</v>
      </c>
      <c r="N610" s="784">
        <v>28.1</v>
      </c>
      <c r="O610" s="784">
        <v>4.93</v>
      </c>
      <c r="P610" s="783">
        <v>200</v>
      </c>
      <c r="Q610" s="783">
        <v>1426.89</v>
      </c>
      <c r="R610" s="783">
        <v>949.06</v>
      </c>
      <c r="S610" s="783">
        <v>148.12</v>
      </c>
      <c r="T610" s="783">
        <v>329.71</v>
      </c>
      <c r="U610" s="785">
        <v>44631.511851851901</v>
      </c>
    </row>
    <row r="611" spans="1:21">
      <c r="A611" s="782">
        <v>44546</v>
      </c>
      <c r="B611" s="783" t="s">
        <v>74</v>
      </c>
      <c r="C611" s="783" t="s">
        <v>4097</v>
      </c>
      <c r="D611" s="783" t="s">
        <v>4038</v>
      </c>
      <c r="E611" s="783" t="s">
        <v>5386</v>
      </c>
      <c r="F611" s="783" t="s">
        <v>4011</v>
      </c>
      <c r="G611" s="783" t="str">
        <f t="shared" ref="G611:G617" si="35">VLOOKUP(I611,pacage,2,FALSE)</f>
        <v>Renewal (15% in 2020)</v>
      </c>
      <c r="H611" s="783" t="s">
        <v>5387</v>
      </c>
      <c r="I611" s="783" t="s">
        <v>5388</v>
      </c>
      <c r="J611" s="783">
        <v>15</v>
      </c>
      <c r="K611" s="783" t="s">
        <v>99</v>
      </c>
      <c r="L611" s="783" t="s">
        <v>4096</v>
      </c>
      <c r="M611" s="784">
        <v>27956.62</v>
      </c>
      <c r="N611" s="784">
        <v>19.07</v>
      </c>
      <c r="O611" s="784">
        <v>7.33</v>
      </c>
      <c r="P611" s="783">
        <v>200</v>
      </c>
      <c r="Q611" s="783">
        <v>1850.73</v>
      </c>
      <c r="R611" s="783">
        <v>684.36</v>
      </c>
      <c r="S611" s="783">
        <v>229.82</v>
      </c>
      <c r="T611" s="783">
        <v>936.55</v>
      </c>
      <c r="U611" s="785">
        <v>44631.634282407402</v>
      </c>
    </row>
    <row r="612" spans="1:21">
      <c r="A612" s="782">
        <v>44550</v>
      </c>
      <c r="B612" s="783" t="s">
        <v>113</v>
      </c>
      <c r="C612" s="783" t="s">
        <v>4097</v>
      </c>
      <c r="D612" s="783" t="s">
        <v>4038</v>
      </c>
      <c r="E612" s="783" t="s">
        <v>5389</v>
      </c>
      <c r="F612" s="783" t="s">
        <v>4011</v>
      </c>
      <c r="G612" s="783" t="str">
        <f t="shared" si="35"/>
        <v>Renewal (20% in 2020)</v>
      </c>
      <c r="H612" s="783" t="s">
        <v>5390</v>
      </c>
      <c r="I612" s="783" t="s">
        <v>5391</v>
      </c>
      <c r="J612" s="783">
        <v>25</v>
      </c>
      <c r="K612" s="783" t="s">
        <v>99</v>
      </c>
      <c r="L612" s="783" t="s">
        <v>4096</v>
      </c>
      <c r="M612" s="784">
        <v>25471.599999999999</v>
      </c>
      <c r="N612" s="784">
        <v>16.54</v>
      </c>
      <c r="O612" s="784">
        <v>7.7</v>
      </c>
      <c r="P612" s="783">
        <v>200</v>
      </c>
      <c r="Q612" s="783">
        <v>1001.03</v>
      </c>
      <c r="R612" s="783">
        <v>623.53</v>
      </c>
      <c r="S612" s="783">
        <v>209.39</v>
      </c>
      <c r="T612" s="783">
        <v>168.11</v>
      </c>
      <c r="U612" s="785">
        <v>44631.630868055603</v>
      </c>
    </row>
    <row r="613" spans="1:21">
      <c r="A613" s="782">
        <v>44550</v>
      </c>
      <c r="B613" s="783" t="s">
        <v>113</v>
      </c>
      <c r="C613" s="783" t="s">
        <v>4097</v>
      </c>
      <c r="D613" s="783" t="s">
        <v>4038</v>
      </c>
      <c r="E613" s="783" t="s">
        <v>5392</v>
      </c>
      <c r="F613" s="783" t="s">
        <v>4011</v>
      </c>
      <c r="G613" s="783" t="str">
        <f t="shared" si="35"/>
        <v>Renewal (20% in 2020)</v>
      </c>
      <c r="H613" s="783" t="s">
        <v>5393</v>
      </c>
      <c r="I613" s="783" t="s">
        <v>5394</v>
      </c>
      <c r="J613" s="783">
        <v>25</v>
      </c>
      <c r="K613" s="783" t="s">
        <v>99</v>
      </c>
      <c r="L613" s="783" t="s">
        <v>4096</v>
      </c>
      <c r="M613" s="784">
        <v>9912.5400000000009</v>
      </c>
      <c r="N613" s="784">
        <v>7.59</v>
      </c>
      <c r="O613" s="784">
        <v>6.53</v>
      </c>
      <c r="P613" s="783">
        <v>200</v>
      </c>
      <c r="Q613" s="783">
        <v>389.56</v>
      </c>
      <c r="R613" s="783">
        <v>242.65</v>
      </c>
      <c r="S613" s="783">
        <v>81.489999999999995</v>
      </c>
      <c r="T613" s="783">
        <v>65.42</v>
      </c>
      <c r="U613" s="785">
        <v>44631.630844907399</v>
      </c>
    </row>
    <row r="614" spans="1:21">
      <c r="A614" s="782">
        <v>44543</v>
      </c>
      <c r="B614" s="783" t="s">
        <v>65</v>
      </c>
      <c r="C614" s="783" t="s">
        <v>4491</v>
      </c>
      <c r="D614" s="783" t="s">
        <v>4193</v>
      </c>
      <c r="E614" s="783" t="s">
        <v>5395</v>
      </c>
      <c r="F614" s="783" t="s">
        <v>4011</v>
      </c>
      <c r="G614" s="783" t="str">
        <f t="shared" si="35"/>
        <v>New Contract</v>
      </c>
      <c r="H614" s="783" t="s">
        <v>5396</v>
      </c>
      <c r="I614" s="783" t="s">
        <v>5397</v>
      </c>
      <c r="J614" s="783">
        <v>25</v>
      </c>
      <c r="K614" s="783" t="s">
        <v>99</v>
      </c>
      <c r="L614" s="783" t="s">
        <v>4096</v>
      </c>
      <c r="M614" s="784">
        <v>160608</v>
      </c>
      <c r="N614" s="784">
        <v>112</v>
      </c>
      <c r="O614" s="784">
        <v>7.17</v>
      </c>
      <c r="P614" s="783">
        <v>200</v>
      </c>
      <c r="Q614" s="783">
        <v>5027.03</v>
      </c>
      <c r="R614" s="783">
        <v>3375.9</v>
      </c>
      <c r="S614" s="783">
        <v>1121.1199999999999</v>
      </c>
      <c r="T614" s="783">
        <v>530.01</v>
      </c>
      <c r="U614" s="785">
        <v>44631.631053240701</v>
      </c>
    </row>
    <row r="615" spans="1:21">
      <c r="A615" s="782">
        <v>44546</v>
      </c>
      <c r="B615" s="783" t="s">
        <v>113</v>
      </c>
      <c r="C615" s="783" t="s">
        <v>4097</v>
      </c>
      <c r="D615" s="783" t="s">
        <v>4038</v>
      </c>
      <c r="E615" s="783" t="s">
        <v>5398</v>
      </c>
      <c r="F615" s="783" t="s">
        <v>4011</v>
      </c>
      <c r="G615" s="783" t="str">
        <f t="shared" si="35"/>
        <v>Renewal (15% in 2020)</v>
      </c>
      <c r="H615" s="783" t="s">
        <v>5399</v>
      </c>
      <c r="I615" s="783" t="s">
        <v>5400</v>
      </c>
      <c r="J615" s="783">
        <v>15</v>
      </c>
      <c r="K615" s="783" t="s">
        <v>99</v>
      </c>
      <c r="L615" s="783" t="s">
        <v>4096</v>
      </c>
      <c r="M615" s="784">
        <v>4233.5200000000004</v>
      </c>
      <c r="N615" s="784">
        <v>3.62</v>
      </c>
      <c r="O615" s="784">
        <v>5.2</v>
      </c>
      <c r="P615" s="783">
        <v>224.9</v>
      </c>
      <c r="Q615" s="783">
        <v>280.26</v>
      </c>
      <c r="R615" s="783">
        <v>92.16</v>
      </c>
      <c r="S615" s="783">
        <v>46.28</v>
      </c>
      <c r="T615" s="783">
        <v>141.82</v>
      </c>
      <c r="U615" s="785">
        <v>44631.630798611099</v>
      </c>
    </row>
    <row r="616" spans="1:21">
      <c r="A616" s="782">
        <v>44546</v>
      </c>
      <c r="B616" s="783" t="s">
        <v>74</v>
      </c>
      <c r="C616" s="783" t="s">
        <v>4097</v>
      </c>
      <c r="D616" s="783" t="s">
        <v>4038</v>
      </c>
      <c r="E616" s="783" t="s">
        <v>4337</v>
      </c>
      <c r="F616" s="783" t="s">
        <v>4011</v>
      </c>
      <c r="G616" s="783" t="str">
        <f t="shared" si="35"/>
        <v>New Contract</v>
      </c>
      <c r="H616" s="783" t="s">
        <v>4338</v>
      </c>
      <c r="I616" s="783" t="s">
        <v>4339</v>
      </c>
      <c r="J616" s="783">
        <v>20</v>
      </c>
      <c r="K616" s="783" t="s">
        <v>99</v>
      </c>
      <c r="L616" s="783" t="s">
        <v>4096</v>
      </c>
      <c r="M616" s="784">
        <v>118900.8</v>
      </c>
      <c r="N616" s="784">
        <v>86.16</v>
      </c>
      <c r="O616" s="784">
        <v>6.9</v>
      </c>
      <c r="P616" s="783">
        <v>200</v>
      </c>
      <c r="Q616" s="783">
        <v>5956.93</v>
      </c>
      <c r="R616" s="783">
        <v>2910.63</v>
      </c>
      <c r="S616" s="783">
        <v>977.42</v>
      </c>
      <c r="T616" s="783">
        <v>2068.87</v>
      </c>
      <c r="U616" s="785">
        <v>44631.631157407399</v>
      </c>
    </row>
    <row r="617" spans="1:21">
      <c r="A617" s="782">
        <v>44546</v>
      </c>
      <c r="B617" s="783" t="s">
        <v>30</v>
      </c>
      <c r="C617" s="783" t="s">
        <v>4089</v>
      </c>
      <c r="D617" s="783" t="s">
        <v>4021</v>
      </c>
      <c r="E617" s="783" t="s">
        <v>1942</v>
      </c>
      <c r="F617" s="783" t="s">
        <v>4011</v>
      </c>
      <c r="G617" s="783" t="str">
        <f t="shared" si="35"/>
        <v>Renewal (20% in 2020)</v>
      </c>
      <c r="H617" s="783" t="s">
        <v>5401</v>
      </c>
      <c r="I617" s="783" t="s">
        <v>5402</v>
      </c>
      <c r="J617" s="783">
        <v>20</v>
      </c>
      <c r="K617" s="783" t="s">
        <v>99</v>
      </c>
      <c r="L617" s="783" t="s">
        <v>4096</v>
      </c>
      <c r="M617" s="784">
        <v>57734.75</v>
      </c>
      <c r="N617" s="784">
        <v>52.51</v>
      </c>
      <c r="O617" s="784">
        <v>7.33</v>
      </c>
      <c r="P617" s="783">
        <v>150</v>
      </c>
      <c r="Q617" s="783">
        <v>2921.38</v>
      </c>
      <c r="R617" s="783">
        <v>1680.08</v>
      </c>
      <c r="S617" s="783">
        <v>259.81</v>
      </c>
      <c r="T617" s="783">
        <v>981.49</v>
      </c>
      <c r="U617" s="785">
        <v>44631.630960648101</v>
      </c>
    </row>
    <row r="618" spans="1:21">
      <c r="A618" s="782">
        <v>44573</v>
      </c>
      <c r="B618" s="783" t="s">
        <v>30</v>
      </c>
      <c r="C618" s="783" t="s">
        <v>4089</v>
      </c>
      <c r="D618" s="783" t="s">
        <v>4021</v>
      </c>
      <c r="E618" s="783" t="s">
        <v>5403</v>
      </c>
      <c r="F618" s="783" t="s">
        <v>4066</v>
      </c>
      <c r="G618" s="783" t="s">
        <v>4028</v>
      </c>
      <c r="H618" s="783" t="s">
        <v>5404</v>
      </c>
      <c r="I618" s="783" t="s">
        <v>5405</v>
      </c>
      <c r="J618" s="783">
        <v>10</v>
      </c>
      <c r="K618" s="783" t="s">
        <v>99</v>
      </c>
      <c r="L618" s="783" t="s">
        <v>4096</v>
      </c>
      <c r="M618" s="784">
        <v>90825</v>
      </c>
      <c r="N618" s="784">
        <v>70</v>
      </c>
      <c r="O618" s="784">
        <v>7.5</v>
      </c>
      <c r="P618" s="783">
        <v>173</v>
      </c>
      <c r="Q618" s="783">
        <v>1189.81</v>
      </c>
      <c r="R618" s="783">
        <v>0</v>
      </c>
      <c r="S618" s="783">
        <v>0</v>
      </c>
      <c r="T618" s="783">
        <v>1189.81</v>
      </c>
      <c r="U618" s="785">
        <v>44631.630868055603</v>
      </c>
    </row>
    <row r="619" spans="1:21">
      <c r="A619" s="782">
        <v>44553</v>
      </c>
      <c r="B619" s="783" t="s">
        <v>41</v>
      </c>
      <c r="C619" s="783" t="s">
        <v>4092</v>
      </c>
      <c r="D619" s="783" t="s">
        <v>4009</v>
      </c>
      <c r="E619" s="783" t="s">
        <v>4616</v>
      </c>
      <c r="F619" s="783" t="s">
        <v>4011</v>
      </c>
      <c r="G619" s="783" t="str">
        <f>VLOOKUP(I619,pacage,2,FALSE)</f>
        <v>Renewal (25% in 2020)</v>
      </c>
      <c r="H619" s="783" t="s">
        <v>4617</v>
      </c>
      <c r="I619" s="783" t="s">
        <v>4618</v>
      </c>
      <c r="J619" s="783">
        <v>25</v>
      </c>
      <c r="K619" s="783" t="s">
        <v>99</v>
      </c>
      <c r="L619" s="783" t="s">
        <v>4096</v>
      </c>
      <c r="M619" s="784">
        <v>10297.58</v>
      </c>
      <c r="N619" s="784">
        <v>17.73</v>
      </c>
      <c r="O619" s="784">
        <v>3.63</v>
      </c>
      <c r="P619" s="783">
        <v>160</v>
      </c>
      <c r="Q619" s="783">
        <v>417.05</v>
      </c>
      <c r="R619" s="783">
        <v>318.2</v>
      </c>
      <c r="S619" s="783">
        <v>56.64</v>
      </c>
      <c r="T619" s="783">
        <v>42.22</v>
      </c>
      <c r="U619" s="785">
        <v>44631.6308333333</v>
      </c>
    </row>
    <row r="620" spans="1:21">
      <c r="A620" s="782">
        <v>44546</v>
      </c>
      <c r="B620" s="783" t="s">
        <v>41</v>
      </c>
      <c r="C620" s="783" t="s">
        <v>4071</v>
      </c>
      <c r="D620" s="783" t="s">
        <v>4009</v>
      </c>
      <c r="E620" s="783" t="s">
        <v>5406</v>
      </c>
      <c r="F620" s="783" t="s">
        <v>4011</v>
      </c>
      <c r="G620" s="783" t="str">
        <f>VLOOKUP(I620,pacage,2,FALSE)</f>
        <v>New Contract</v>
      </c>
      <c r="H620" s="783" t="s">
        <v>5407</v>
      </c>
      <c r="I620" s="783" t="s">
        <v>5408</v>
      </c>
      <c r="J620" s="783">
        <v>20</v>
      </c>
      <c r="K620" s="783" t="s">
        <v>99</v>
      </c>
      <c r="L620" s="783" t="s">
        <v>4096</v>
      </c>
      <c r="M620" s="784">
        <v>33143.370000000003</v>
      </c>
      <c r="N620" s="784">
        <v>24.22</v>
      </c>
      <c r="O620" s="784">
        <v>7.91</v>
      </c>
      <c r="P620" s="783">
        <v>173</v>
      </c>
      <c r="Q620" s="783">
        <v>1239.56</v>
      </c>
      <c r="R620" s="783">
        <v>749.04</v>
      </c>
      <c r="S620" s="783">
        <v>116</v>
      </c>
      <c r="T620" s="783">
        <v>374.52</v>
      </c>
      <c r="U620" s="785">
        <v>44631.634375000001</v>
      </c>
    </row>
    <row r="621" spans="1:21">
      <c r="A621" s="782">
        <v>44547</v>
      </c>
      <c r="B621" s="783" t="s">
        <v>41</v>
      </c>
      <c r="C621" s="783" t="s">
        <v>4092</v>
      </c>
      <c r="D621" s="783" t="s">
        <v>4009</v>
      </c>
      <c r="E621" s="783" t="s">
        <v>4340</v>
      </c>
      <c r="F621" s="783" t="s">
        <v>4011</v>
      </c>
      <c r="G621" s="783" t="str">
        <f>VLOOKUP(I621,pacage,2,FALSE)</f>
        <v>New Contract</v>
      </c>
      <c r="H621" s="783" t="s">
        <v>4341</v>
      </c>
      <c r="I621" s="783" t="s">
        <v>4342</v>
      </c>
      <c r="J621" s="783">
        <v>25</v>
      </c>
      <c r="K621" s="783" t="s">
        <v>99</v>
      </c>
      <c r="L621" s="783" t="s">
        <v>4096</v>
      </c>
      <c r="M621" s="784">
        <v>31333.5</v>
      </c>
      <c r="N621" s="784">
        <v>30</v>
      </c>
      <c r="O621" s="784">
        <v>6.33</v>
      </c>
      <c r="P621" s="783">
        <v>165</v>
      </c>
      <c r="Q621" s="783">
        <v>1269.01</v>
      </c>
      <c r="R621" s="783">
        <v>968.21</v>
      </c>
      <c r="S621" s="783">
        <v>172.33</v>
      </c>
      <c r="T621" s="783">
        <v>128.47</v>
      </c>
      <c r="U621" s="785">
        <v>44631.634305555599</v>
      </c>
    </row>
    <row r="622" spans="1:21">
      <c r="A622" s="782">
        <v>44564</v>
      </c>
      <c r="B622" s="783" t="s">
        <v>41</v>
      </c>
      <c r="C622" s="783" t="s">
        <v>4082</v>
      </c>
      <c r="D622" s="783" t="s">
        <v>4009</v>
      </c>
      <c r="E622" s="783" t="s">
        <v>5409</v>
      </c>
      <c r="F622" s="783" t="s">
        <v>4011</v>
      </c>
      <c r="G622" s="783" t="str">
        <f>VLOOKUP(I622,pacage,2,FALSE)</f>
        <v>Renewal (15% in 2020)</v>
      </c>
      <c r="H622" s="783" t="s">
        <v>5410</v>
      </c>
      <c r="I622" s="783" t="s">
        <v>5411</v>
      </c>
      <c r="J622" s="783">
        <v>15</v>
      </c>
      <c r="K622" s="783" t="s">
        <v>99</v>
      </c>
      <c r="L622" s="783" t="s">
        <v>4096</v>
      </c>
      <c r="M622" s="784">
        <v>18057.599999999999</v>
      </c>
      <c r="N622" s="784">
        <v>18</v>
      </c>
      <c r="O622" s="784">
        <v>6.08</v>
      </c>
      <c r="P622" s="783">
        <v>165</v>
      </c>
      <c r="Q622" s="783">
        <v>1199.02</v>
      </c>
      <c r="R622" s="783">
        <v>527.28</v>
      </c>
      <c r="S622" s="783">
        <v>93.9</v>
      </c>
      <c r="T622" s="783">
        <v>577.84</v>
      </c>
      <c r="U622" s="785">
        <v>44631.6343402778</v>
      </c>
    </row>
    <row r="623" spans="1:21">
      <c r="A623" s="782">
        <v>44557</v>
      </c>
      <c r="B623" s="783" t="s">
        <v>74</v>
      </c>
      <c r="C623" s="783" t="s">
        <v>4097</v>
      </c>
      <c r="D623" s="783" t="s">
        <v>4038</v>
      </c>
      <c r="E623" s="783" t="s">
        <v>5412</v>
      </c>
      <c r="F623" s="783" t="s">
        <v>4011</v>
      </c>
      <c r="G623" s="783" t="s">
        <v>4028</v>
      </c>
      <c r="H623" s="783" t="s">
        <v>5413</v>
      </c>
      <c r="I623" s="783" t="s">
        <v>5414</v>
      </c>
      <c r="J623" s="783">
        <v>25</v>
      </c>
      <c r="K623" s="783" t="s">
        <v>99</v>
      </c>
      <c r="L623" s="783" t="s">
        <v>4096</v>
      </c>
      <c r="M623" s="784">
        <v>21580.74</v>
      </c>
      <c r="N623" s="784">
        <v>15.22</v>
      </c>
      <c r="O623" s="784">
        <v>6.33</v>
      </c>
      <c r="P623" s="783">
        <v>224</v>
      </c>
      <c r="Q623" s="783">
        <v>848.12</v>
      </c>
      <c r="R623" s="783">
        <v>471.68</v>
      </c>
      <c r="S623" s="783">
        <v>234.01</v>
      </c>
      <c r="T623" s="783">
        <v>142.43</v>
      </c>
      <c r="U623" s="785">
        <v>44631.631180555603</v>
      </c>
    </row>
    <row r="624" spans="1:21">
      <c r="A624" s="782">
        <v>44555</v>
      </c>
      <c r="B624" s="783" t="s">
        <v>74</v>
      </c>
      <c r="C624" s="783" t="s">
        <v>4037</v>
      </c>
      <c r="D624" s="783" t="s">
        <v>4038</v>
      </c>
      <c r="E624" s="783" t="s">
        <v>4343</v>
      </c>
      <c r="F624" s="783" t="s">
        <v>4011</v>
      </c>
      <c r="G624" s="783" t="s">
        <v>4028</v>
      </c>
      <c r="H624" s="783" t="s">
        <v>4344</v>
      </c>
      <c r="I624" s="783" t="s">
        <v>4345</v>
      </c>
      <c r="J624" s="783">
        <v>30</v>
      </c>
      <c r="K624" s="783" t="s">
        <v>99</v>
      </c>
      <c r="L624" s="783" t="s">
        <v>4096</v>
      </c>
      <c r="M624" s="784">
        <v>15386.29</v>
      </c>
      <c r="N624" s="784">
        <v>16.22</v>
      </c>
      <c r="O624" s="784">
        <v>5.27</v>
      </c>
      <c r="P624" s="783">
        <v>180</v>
      </c>
      <c r="Q624" s="783">
        <v>792.39</v>
      </c>
      <c r="R624" s="783">
        <v>585.6</v>
      </c>
      <c r="S624" s="783">
        <v>23.69</v>
      </c>
      <c r="T624" s="783">
        <v>183.1</v>
      </c>
      <c r="U624" s="785">
        <v>44631.6307407407</v>
      </c>
    </row>
    <row r="625" spans="1:21">
      <c r="A625" s="782">
        <v>44545</v>
      </c>
      <c r="B625" s="783" t="s">
        <v>74</v>
      </c>
      <c r="C625" s="783" t="s">
        <v>4097</v>
      </c>
      <c r="D625" s="783" t="s">
        <v>4038</v>
      </c>
      <c r="E625" s="783" t="s">
        <v>4134</v>
      </c>
      <c r="F625" s="783" t="s">
        <v>4011</v>
      </c>
      <c r="G625" s="783" t="str">
        <f t="shared" ref="G625:G658" si="36">VLOOKUP(I625,pacage,2,FALSE)</f>
        <v>New Contract</v>
      </c>
      <c r="H625" s="783" t="s">
        <v>4135</v>
      </c>
      <c r="I625" s="783" t="s">
        <v>4136</v>
      </c>
      <c r="J625" s="783">
        <v>25</v>
      </c>
      <c r="K625" s="783" t="s">
        <v>99</v>
      </c>
      <c r="L625" s="783" t="s">
        <v>4096</v>
      </c>
      <c r="M625" s="784">
        <v>11559.6</v>
      </c>
      <c r="N625" s="784">
        <v>12.35</v>
      </c>
      <c r="O625" s="784">
        <v>5.2</v>
      </c>
      <c r="P625" s="783">
        <v>180</v>
      </c>
      <c r="Q625" s="783">
        <v>454.29</v>
      </c>
      <c r="R625" s="783">
        <v>314.41000000000003</v>
      </c>
      <c r="S625" s="783">
        <v>63.58</v>
      </c>
      <c r="T625" s="783">
        <v>76.290000000000006</v>
      </c>
      <c r="U625" s="785">
        <v>44631.630752314799</v>
      </c>
    </row>
    <row r="626" spans="1:21">
      <c r="A626" s="782">
        <v>44547</v>
      </c>
      <c r="B626" s="783" t="s">
        <v>4025</v>
      </c>
      <c r="C626" s="783" t="s">
        <v>4026</v>
      </c>
      <c r="D626" s="783" t="s">
        <v>4021</v>
      </c>
      <c r="E626" s="783" t="s">
        <v>5415</v>
      </c>
      <c r="F626" s="783" t="s">
        <v>4011</v>
      </c>
      <c r="G626" s="783" t="str">
        <f t="shared" si="36"/>
        <v>New Contract</v>
      </c>
      <c r="H626" s="783" t="s">
        <v>5416</v>
      </c>
      <c r="I626" s="783" t="s">
        <v>5417</v>
      </c>
      <c r="J626" s="783">
        <v>20</v>
      </c>
      <c r="K626" s="783" t="s">
        <v>99</v>
      </c>
      <c r="L626" s="783" t="s">
        <v>4096</v>
      </c>
      <c r="M626" s="784">
        <v>3853.2</v>
      </c>
      <c r="N626" s="784">
        <v>3.8</v>
      </c>
      <c r="O626" s="784">
        <v>5.07</v>
      </c>
      <c r="P626" s="783">
        <v>200</v>
      </c>
      <c r="Q626" s="783">
        <v>225.8</v>
      </c>
      <c r="R626" s="783">
        <v>112.66</v>
      </c>
      <c r="S626" s="783">
        <v>37.619999999999997</v>
      </c>
      <c r="T626" s="783">
        <v>75.52</v>
      </c>
      <c r="U626" s="785">
        <v>44631.631122685198</v>
      </c>
    </row>
    <row r="627" spans="1:21">
      <c r="A627" s="782">
        <v>44552</v>
      </c>
      <c r="B627" s="783" t="s">
        <v>74</v>
      </c>
      <c r="C627" s="783" t="s">
        <v>4097</v>
      </c>
      <c r="D627" s="783" t="s">
        <v>4038</v>
      </c>
      <c r="E627" s="783" t="s">
        <v>1621</v>
      </c>
      <c r="F627" s="783" t="s">
        <v>4011</v>
      </c>
      <c r="G627" s="783" t="str">
        <f t="shared" si="36"/>
        <v>Renewal (20% in 2020)</v>
      </c>
      <c r="H627" s="783" t="s">
        <v>4346</v>
      </c>
      <c r="I627" s="783" t="s">
        <v>4347</v>
      </c>
      <c r="J627" s="783">
        <v>25</v>
      </c>
      <c r="K627" s="783" t="s">
        <v>99</v>
      </c>
      <c r="L627" s="783" t="s">
        <v>4096</v>
      </c>
      <c r="M627" s="784">
        <v>48298.2</v>
      </c>
      <c r="N627" s="784">
        <v>39.85</v>
      </c>
      <c r="O627" s="784">
        <v>6.06</v>
      </c>
      <c r="P627" s="783">
        <v>200</v>
      </c>
      <c r="Q627" s="783">
        <v>1898.12</v>
      </c>
      <c r="R627" s="783">
        <v>1182.32</v>
      </c>
      <c r="S627" s="783">
        <v>397.04</v>
      </c>
      <c r="T627" s="783">
        <v>318.77</v>
      </c>
      <c r="U627" s="785">
        <v>44631.631122685198</v>
      </c>
    </row>
    <row r="628" spans="1:21">
      <c r="A628" s="782">
        <v>44544</v>
      </c>
      <c r="B628" s="783" t="s">
        <v>41</v>
      </c>
      <c r="C628" s="783" t="s">
        <v>4008</v>
      </c>
      <c r="D628" s="783" t="s">
        <v>4009</v>
      </c>
      <c r="E628" s="783" t="s">
        <v>4619</v>
      </c>
      <c r="F628" s="783" t="s">
        <v>4011</v>
      </c>
      <c r="G628" s="783" t="str">
        <f t="shared" si="36"/>
        <v>Renewal (20% in 2020)</v>
      </c>
      <c r="H628" s="783" t="s">
        <v>4620</v>
      </c>
      <c r="I628" s="783" t="s">
        <v>4621</v>
      </c>
      <c r="J628" s="783">
        <v>25</v>
      </c>
      <c r="K628" s="783" t="s">
        <v>99</v>
      </c>
      <c r="L628" s="783" t="s">
        <v>4096</v>
      </c>
      <c r="M628" s="784">
        <v>14464.8</v>
      </c>
      <c r="N628" s="784">
        <v>12.6</v>
      </c>
      <c r="O628" s="784">
        <v>5.74</v>
      </c>
      <c r="P628" s="783">
        <v>200</v>
      </c>
      <c r="Q628" s="783">
        <v>585.82000000000005</v>
      </c>
      <c r="R628" s="783">
        <v>367.85</v>
      </c>
      <c r="S628" s="783">
        <v>123.95</v>
      </c>
      <c r="T628" s="783">
        <v>94.02</v>
      </c>
      <c r="U628" s="785">
        <v>44631.630798611099</v>
      </c>
    </row>
    <row r="629" spans="1:21">
      <c r="A629" s="782">
        <v>44546</v>
      </c>
      <c r="B629" s="783" t="s">
        <v>113</v>
      </c>
      <c r="C629" s="783" t="s">
        <v>4097</v>
      </c>
      <c r="D629" s="783" t="s">
        <v>4038</v>
      </c>
      <c r="E629" s="783" t="s">
        <v>5418</v>
      </c>
      <c r="F629" s="783" t="s">
        <v>4011</v>
      </c>
      <c r="G629" s="783" t="str">
        <f t="shared" si="36"/>
        <v>New contract</v>
      </c>
      <c r="H629" s="783" t="s">
        <v>5419</v>
      </c>
      <c r="I629" s="783" t="s">
        <v>5420</v>
      </c>
      <c r="J629" s="783">
        <v>15</v>
      </c>
      <c r="K629" s="783" t="s">
        <v>99</v>
      </c>
      <c r="L629" s="783" t="s">
        <v>4096</v>
      </c>
      <c r="M629" s="784">
        <v>41848.129999999997</v>
      </c>
      <c r="N629" s="784">
        <v>29.1</v>
      </c>
      <c r="O629" s="784">
        <v>6.42</v>
      </c>
      <c r="P629" s="783">
        <v>224</v>
      </c>
      <c r="Q629" s="783">
        <v>2770.35</v>
      </c>
      <c r="R629" s="783">
        <v>914.66</v>
      </c>
      <c r="S629" s="783">
        <v>453.77</v>
      </c>
      <c r="T629" s="783">
        <v>1401.91</v>
      </c>
      <c r="U629" s="785">
        <v>44631.6309259259</v>
      </c>
    </row>
    <row r="630" spans="1:21">
      <c r="A630" s="782">
        <v>44551</v>
      </c>
      <c r="B630" s="783" t="s">
        <v>397</v>
      </c>
      <c r="C630" s="783" t="s">
        <v>4511</v>
      </c>
      <c r="D630" s="783" t="s">
        <v>4512</v>
      </c>
      <c r="E630" s="783" t="s">
        <v>4622</v>
      </c>
      <c r="F630" s="783" t="s">
        <v>4011</v>
      </c>
      <c r="G630" s="783" t="str">
        <f t="shared" si="36"/>
        <v>Renewal (20% in 2020)</v>
      </c>
      <c r="H630" s="783" t="s">
        <v>4623</v>
      </c>
      <c r="I630" s="783" t="s">
        <v>4624</v>
      </c>
      <c r="J630" s="783">
        <v>30</v>
      </c>
      <c r="K630" s="783" t="s">
        <v>99</v>
      </c>
      <c r="L630" s="783" t="s">
        <v>4096</v>
      </c>
      <c r="M630" s="784">
        <v>28147.84</v>
      </c>
      <c r="N630" s="784">
        <v>20.6</v>
      </c>
      <c r="O630" s="784">
        <v>6.1</v>
      </c>
      <c r="P630" s="783">
        <v>224</v>
      </c>
      <c r="Q630" s="783">
        <v>1055.54</v>
      </c>
      <c r="R630" s="783">
        <v>671.74</v>
      </c>
      <c r="S630" s="783">
        <v>198.03</v>
      </c>
      <c r="T630" s="783">
        <v>185.78</v>
      </c>
      <c r="U630" s="785">
        <v>44631.630891203698</v>
      </c>
    </row>
    <row r="631" spans="1:21">
      <c r="A631" s="782">
        <v>44551</v>
      </c>
      <c r="B631" s="783" t="s">
        <v>74</v>
      </c>
      <c r="C631" s="783" t="s">
        <v>4037</v>
      </c>
      <c r="D631" s="783" t="s">
        <v>4038</v>
      </c>
      <c r="E631" s="783" t="s">
        <v>5421</v>
      </c>
      <c r="F631" s="783" t="s">
        <v>4011</v>
      </c>
      <c r="G631" s="783" t="str">
        <f t="shared" si="36"/>
        <v>New contract</v>
      </c>
      <c r="H631" s="783" t="s">
        <v>5422</v>
      </c>
      <c r="I631" s="783" t="s">
        <v>5423</v>
      </c>
      <c r="J631" s="783">
        <v>20</v>
      </c>
      <c r="K631" s="783" t="s">
        <v>99</v>
      </c>
      <c r="L631" s="783" t="s">
        <v>4096</v>
      </c>
      <c r="M631" s="784">
        <v>23162.58</v>
      </c>
      <c r="N631" s="784">
        <v>21.7</v>
      </c>
      <c r="O631" s="784">
        <v>5.93</v>
      </c>
      <c r="P631" s="783">
        <v>180</v>
      </c>
      <c r="Q631" s="783">
        <v>1551.89</v>
      </c>
      <c r="R631" s="783">
        <v>881.57</v>
      </c>
      <c r="S631" s="783">
        <v>181.59</v>
      </c>
      <c r="T631" s="783">
        <v>488.73</v>
      </c>
      <c r="U631" s="785">
        <v>44631.631018518499</v>
      </c>
    </row>
    <row r="632" spans="1:21">
      <c r="A632" s="782">
        <v>44622</v>
      </c>
      <c r="B632" s="783" t="s">
        <v>41</v>
      </c>
      <c r="C632" s="783" t="s">
        <v>4092</v>
      </c>
      <c r="D632" s="783" t="s">
        <v>4009</v>
      </c>
      <c r="E632" s="783" t="s">
        <v>5424</v>
      </c>
      <c r="F632" s="783" t="s">
        <v>4011</v>
      </c>
      <c r="G632" s="783" t="str">
        <f t="shared" si="36"/>
        <v>Renewal (15% in 2020)</v>
      </c>
      <c r="H632" s="783" t="s">
        <v>5425</v>
      </c>
      <c r="I632" s="783" t="s">
        <v>5426</v>
      </c>
      <c r="J632" s="783">
        <v>25</v>
      </c>
      <c r="K632" s="783" t="s">
        <v>99</v>
      </c>
      <c r="L632" s="783" t="s">
        <v>4096</v>
      </c>
      <c r="M632" s="784">
        <v>52381.61</v>
      </c>
      <c r="N632" s="784">
        <v>49.15</v>
      </c>
      <c r="O632" s="784">
        <v>6.09</v>
      </c>
      <c r="P632" s="783">
        <v>175</v>
      </c>
      <c r="Q632" s="783">
        <v>2121.46</v>
      </c>
      <c r="R632" s="783">
        <v>1600.09</v>
      </c>
      <c r="S632" s="783">
        <v>306.60000000000002</v>
      </c>
      <c r="T632" s="783">
        <v>214.76</v>
      </c>
      <c r="U632" s="785">
        <v>44631.631215277797</v>
      </c>
    </row>
    <row r="633" spans="1:21">
      <c r="A633" s="782">
        <v>44547</v>
      </c>
      <c r="B633" s="783" t="s">
        <v>41</v>
      </c>
      <c r="C633" s="783" t="s">
        <v>4092</v>
      </c>
      <c r="D633" s="783" t="s">
        <v>4009</v>
      </c>
      <c r="E633" s="783" t="s">
        <v>5427</v>
      </c>
      <c r="F633" s="783" t="s">
        <v>4011</v>
      </c>
      <c r="G633" s="783" t="str">
        <f t="shared" si="36"/>
        <v>New contract</v>
      </c>
      <c r="H633" s="783" t="s">
        <v>5428</v>
      </c>
      <c r="I633" s="783" t="s">
        <v>5429</v>
      </c>
      <c r="J633" s="783">
        <v>25</v>
      </c>
      <c r="K633" s="783" t="s">
        <v>99</v>
      </c>
      <c r="L633" s="783" t="s">
        <v>4096</v>
      </c>
      <c r="M633" s="784">
        <v>19161.13</v>
      </c>
      <c r="N633" s="784">
        <v>15.8</v>
      </c>
      <c r="O633" s="784">
        <v>7.01</v>
      </c>
      <c r="P633" s="783">
        <v>173</v>
      </c>
      <c r="Q633" s="783">
        <v>776.03</v>
      </c>
      <c r="R633" s="783">
        <v>592.08000000000004</v>
      </c>
      <c r="S633" s="783">
        <v>105.39</v>
      </c>
      <c r="T633" s="783">
        <v>78.56</v>
      </c>
      <c r="U633" s="785">
        <v>44631.631018518499</v>
      </c>
    </row>
    <row r="634" spans="1:21">
      <c r="A634" s="782">
        <v>44572</v>
      </c>
      <c r="B634" s="783" t="s">
        <v>397</v>
      </c>
      <c r="C634" s="783" t="s">
        <v>4020</v>
      </c>
      <c r="D634" s="783" t="s">
        <v>4021</v>
      </c>
      <c r="E634" s="783" t="s">
        <v>5430</v>
      </c>
      <c r="F634" s="783" t="s">
        <v>4011</v>
      </c>
      <c r="G634" s="783" t="str">
        <f t="shared" si="36"/>
        <v>Renewal (15% in 2020)</v>
      </c>
      <c r="H634" s="783" t="s">
        <v>5431</v>
      </c>
      <c r="I634" s="783" t="s">
        <v>5432</v>
      </c>
      <c r="J634" s="783">
        <v>15</v>
      </c>
      <c r="K634" s="783" t="s">
        <v>99</v>
      </c>
      <c r="L634" s="783" t="s">
        <v>4096</v>
      </c>
      <c r="M634" s="784">
        <v>73810</v>
      </c>
      <c r="N634" s="784">
        <v>61</v>
      </c>
      <c r="O634" s="784">
        <v>5.5</v>
      </c>
      <c r="P634" s="783">
        <v>220</v>
      </c>
      <c r="Q634" s="783">
        <v>6126.23</v>
      </c>
      <c r="R634" s="783">
        <v>2118.5100000000002</v>
      </c>
      <c r="S634" s="783">
        <v>988.89</v>
      </c>
      <c r="T634" s="783">
        <v>3018.83</v>
      </c>
      <c r="U634" s="785">
        <v>44631.630995370397</v>
      </c>
    </row>
    <row r="635" spans="1:21">
      <c r="A635" s="782">
        <v>44553</v>
      </c>
      <c r="B635" s="783" t="s">
        <v>74</v>
      </c>
      <c r="C635" s="783" t="s">
        <v>4037</v>
      </c>
      <c r="D635" s="783" t="s">
        <v>4038</v>
      </c>
      <c r="E635" s="783" t="s">
        <v>4351</v>
      </c>
      <c r="F635" s="783" t="s">
        <v>4011</v>
      </c>
      <c r="G635" s="783" t="str">
        <f t="shared" si="36"/>
        <v>New contract</v>
      </c>
      <c r="H635" s="783" t="s">
        <v>4352</v>
      </c>
      <c r="I635" s="783" t="s">
        <v>4353</v>
      </c>
      <c r="J635" s="783">
        <v>25</v>
      </c>
      <c r="K635" s="783" t="s">
        <v>99</v>
      </c>
      <c r="L635" s="783" t="s">
        <v>4096</v>
      </c>
      <c r="M635" s="784">
        <v>19323.36</v>
      </c>
      <c r="N635" s="784">
        <v>18.899999999999999</v>
      </c>
      <c r="O635" s="784">
        <v>5.68</v>
      </c>
      <c r="P635" s="783">
        <v>180</v>
      </c>
      <c r="Q635" s="783">
        <v>1116.8900000000001</v>
      </c>
      <c r="R635" s="783">
        <v>735.45</v>
      </c>
      <c r="S635" s="783">
        <v>151.5</v>
      </c>
      <c r="T635" s="783">
        <v>229.95</v>
      </c>
      <c r="U635" s="785">
        <v>44631.634351851899</v>
      </c>
    </row>
    <row r="636" spans="1:21">
      <c r="A636" s="782">
        <v>44657</v>
      </c>
      <c r="B636" s="783" t="s">
        <v>74</v>
      </c>
      <c r="C636" s="783" t="s">
        <v>4037</v>
      </c>
      <c r="D636" s="783" t="s">
        <v>4038</v>
      </c>
      <c r="E636" s="783" t="s">
        <v>3455</v>
      </c>
      <c r="F636" s="783" t="s">
        <v>4011</v>
      </c>
      <c r="G636" s="783" t="str">
        <f t="shared" si="36"/>
        <v>Renewal (15% in 2020)</v>
      </c>
      <c r="H636" s="783" t="s">
        <v>5433</v>
      </c>
      <c r="I636" s="783" t="s">
        <v>5434</v>
      </c>
      <c r="J636" s="783">
        <v>15</v>
      </c>
      <c r="K636" s="783" t="s">
        <v>99</v>
      </c>
      <c r="L636" s="783" t="s">
        <v>4096</v>
      </c>
      <c r="M636" s="784">
        <v>19477.919999999998</v>
      </c>
      <c r="N636" s="784">
        <v>13.02</v>
      </c>
      <c r="O636" s="784">
        <v>6.8</v>
      </c>
      <c r="P636" s="783">
        <v>220</v>
      </c>
      <c r="Q636" s="783">
        <v>1571.87</v>
      </c>
      <c r="R636" s="783">
        <v>606.54</v>
      </c>
      <c r="S636" s="783">
        <v>287.49</v>
      </c>
      <c r="T636" s="783">
        <v>677.83</v>
      </c>
      <c r="U636" s="785">
        <v>44657.633321759298</v>
      </c>
    </row>
    <row r="637" spans="1:21">
      <c r="A637" s="782">
        <v>44666</v>
      </c>
      <c r="B637" s="783" t="s">
        <v>41</v>
      </c>
      <c r="C637" s="783" t="s">
        <v>4082</v>
      </c>
      <c r="D637" s="783" t="s">
        <v>4009</v>
      </c>
      <c r="E637" s="783" t="s">
        <v>5435</v>
      </c>
      <c r="F637" s="783" t="s">
        <v>4011</v>
      </c>
      <c r="G637" s="783" t="str">
        <f t="shared" si="36"/>
        <v>Renewal (20% in 2020)</v>
      </c>
      <c r="H637" s="783" t="s">
        <v>5436</v>
      </c>
      <c r="I637" s="783" t="s">
        <v>5437</v>
      </c>
      <c r="J637" s="783">
        <v>25</v>
      </c>
      <c r="K637" s="783" t="s">
        <v>99</v>
      </c>
      <c r="L637" s="783" t="s">
        <v>4096</v>
      </c>
      <c r="M637" s="784">
        <v>100021.5</v>
      </c>
      <c r="N637" s="784">
        <v>93</v>
      </c>
      <c r="O637" s="784">
        <v>7.17</v>
      </c>
      <c r="P637" s="783">
        <v>150</v>
      </c>
      <c r="Q637" s="783">
        <v>3820.82</v>
      </c>
      <c r="R637" s="783">
        <v>2920.63</v>
      </c>
      <c r="S637" s="783">
        <v>520.11</v>
      </c>
      <c r="T637" s="783">
        <v>380.08</v>
      </c>
      <c r="U637" s="785">
        <v>44671.479236111103</v>
      </c>
    </row>
    <row r="638" spans="1:21">
      <c r="A638" s="782">
        <v>44659</v>
      </c>
      <c r="B638" s="783" t="s">
        <v>30</v>
      </c>
      <c r="C638" s="783" t="s">
        <v>4239</v>
      </c>
      <c r="D638" s="783" t="s">
        <v>4021</v>
      </c>
      <c r="E638" s="783" t="s">
        <v>3763</v>
      </c>
      <c r="F638" s="783" t="s">
        <v>4011</v>
      </c>
      <c r="G638" s="783" t="str">
        <f t="shared" si="36"/>
        <v>Renewal (25% in 2020)</v>
      </c>
      <c r="H638" s="783" t="s">
        <v>5438</v>
      </c>
      <c r="I638" s="783" t="s">
        <v>5439</v>
      </c>
      <c r="J638" s="783">
        <v>20</v>
      </c>
      <c r="K638" s="783" t="s">
        <v>99</v>
      </c>
      <c r="L638" s="783" t="s">
        <v>4096</v>
      </c>
      <c r="M638" s="784">
        <v>53582.38</v>
      </c>
      <c r="N638" s="784">
        <v>38.71</v>
      </c>
      <c r="O638" s="784">
        <v>7.69</v>
      </c>
      <c r="P638" s="783">
        <v>180</v>
      </c>
      <c r="Q638" s="783">
        <v>2352.27</v>
      </c>
      <c r="R638" s="783">
        <v>1277.17</v>
      </c>
      <c r="S638" s="783">
        <v>324.95</v>
      </c>
      <c r="T638" s="783">
        <v>750.15</v>
      </c>
      <c r="U638" s="785">
        <v>44663.405995370398</v>
      </c>
    </row>
    <row r="639" spans="1:21">
      <c r="A639" s="782">
        <v>44706</v>
      </c>
      <c r="B639" s="783" t="s">
        <v>41</v>
      </c>
      <c r="C639" s="783" t="s">
        <v>4139</v>
      </c>
      <c r="D639" s="783" t="s">
        <v>4009</v>
      </c>
      <c r="E639" s="783" t="s">
        <v>5440</v>
      </c>
      <c r="F639" s="783" t="s">
        <v>4011</v>
      </c>
      <c r="G639" s="783" t="str">
        <f t="shared" si="36"/>
        <v>Renewal (15% in 2020)</v>
      </c>
      <c r="H639" s="783" t="s">
        <v>5441</v>
      </c>
      <c r="I639" s="783" t="s">
        <v>5442</v>
      </c>
      <c r="J639" s="783">
        <v>20</v>
      </c>
      <c r="K639" s="783" t="s">
        <v>99</v>
      </c>
      <c r="L639" s="783" t="s">
        <v>4096</v>
      </c>
      <c r="M639" s="784">
        <v>12137.85</v>
      </c>
      <c r="N639" s="784">
        <v>12.85</v>
      </c>
      <c r="O639" s="784">
        <v>5.46</v>
      </c>
      <c r="P639" s="783">
        <v>173</v>
      </c>
      <c r="Q639" s="783">
        <v>472.16</v>
      </c>
      <c r="R639" s="783">
        <v>285.24</v>
      </c>
      <c r="S639" s="783">
        <v>43.7</v>
      </c>
      <c r="T639" s="783">
        <v>143.22999999999999</v>
      </c>
      <c r="U639" s="785">
        <v>44706.527476851901</v>
      </c>
    </row>
    <row r="640" spans="1:21">
      <c r="A640" s="782">
        <v>44663</v>
      </c>
      <c r="B640" s="783" t="s">
        <v>41</v>
      </c>
      <c r="C640" s="783" t="s">
        <v>4071</v>
      </c>
      <c r="D640" s="783" t="s">
        <v>4009</v>
      </c>
      <c r="E640" s="783" t="s">
        <v>169</v>
      </c>
      <c r="F640" s="783" t="s">
        <v>4011</v>
      </c>
      <c r="G640" s="783" t="str">
        <f t="shared" si="36"/>
        <v>Renewal (15% in 2020)</v>
      </c>
      <c r="H640" s="783" t="s">
        <v>4137</v>
      </c>
      <c r="I640" s="783" t="s">
        <v>4138</v>
      </c>
      <c r="J640" s="783">
        <v>15</v>
      </c>
      <c r="K640" s="783" t="s">
        <v>99</v>
      </c>
      <c r="L640" s="783" t="s">
        <v>4096</v>
      </c>
      <c r="M640" s="784">
        <v>39391.129999999997</v>
      </c>
      <c r="N640" s="784">
        <v>61.79</v>
      </c>
      <c r="O640" s="784">
        <v>3.75</v>
      </c>
      <c r="P640" s="783">
        <v>170</v>
      </c>
      <c r="Q640" s="783">
        <v>1977.43</v>
      </c>
      <c r="R640" s="783">
        <v>890.24</v>
      </c>
      <c r="S640" s="783">
        <v>137.87</v>
      </c>
      <c r="T640" s="783">
        <v>949.33</v>
      </c>
      <c r="U640" s="785">
        <v>44663.4275694444</v>
      </c>
    </row>
    <row r="641" spans="1:21">
      <c r="A641" s="782">
        <v>44700</v>
      </c>
      <c r="B641" s="783" t="s">
        <v>51</v>
      </c>
      <c r="C641" s="783" t="s">
        <v>4042</v>
      </c>
      <c r="D641" s="783" t="s">
        <v>4016</v>
      </c>
      <c r="E641" s="783" t="s">
        <v>5443</v>
      </c>
      <c r="F641" s="783" t="s">
        <v>4011</v>
      </c>
      <c r="G641" s="783" t="str">
        <f t="shared" si="36"/>
        <v>New Contract</v>
      </c>
      <c r="H641" s="783" t="s">
        <v>5444</v>
      </c>
      <c r="I641" s="783" t="s">
        <v>5445</v>
      </c>
      <c r="J641" s="783">
        <v>25</v>
      </c>
      <c r="K641" s="783" t="s">
        <v>99</v>
      </c>
      <c r="L641" s="783" t="s">
        <v>4096</v>
      </c>
      <c r="M641" s="784">
        <v>47635.88</v>
      </c>
      <c r="N641" s="784">
        <v>34.5</v>
      </c>
      <c r="O641" s="784">
        <v>7.89</v>
      </c>
      <c r="P641" s="783">
        <v>175</v>
      </c>
      <c r="Q641" s="783">
        <v>1762.53</v>
      </c>
      <c r="R641" s="783">
        <v>1323.27</v>
      </c>
      <c r="S641" s="783">
        <v>220.13</v>
      </c>
      <c r="T641" s="783">
        <v>219.13</v>
      </c>
      <c r="U641" s="785">
        <v>44708.983275462997</v>
      </c>
    </row>
    <row r="642" spans="1:21">
      <c r="A642" s="782">
        <v>44677</v>
      </c>
      <c r="B642" s="783" t="s">
        <v>41</v>
      </c>
      <c r="C642" s="783" t="s">
        <v>4092</v>
      </c>
      <c r="D642" s="783" t="s">
        <v>4009</v>
      </c>
      <c r="E642" s="783" t="s">
        <v>5446</v>
      </c>
      <c r="F642" s="783" t="s">
        <v>4011</v>
      </c>
      <c r="G642" s="783" t="str">
        <f t="shared" si="36"/>
        <v>Renewal (15% in 2020)</v>
      </c>
      <c r="H642" s="783" t="s">
        <v>5447</v>
      </c>
      <c r="I642" s="783" t="s">
        <v>5448</v>
      </c>
      <c r="J642" s="783">
        <v>15</v>
      </c>
      <c r="K642" s="783" t="s">
        <v>99</v>
      </c>
      <c r="L642" s="783" t="s">
        <v>4096</v>
      </c>
      <c r="M642" s="784">
        <v>13991.6</v>
      </c>
      <c r="N642" s="784">
        <v>13.3</v>
      </c>
      <c r="O642" s="784">
        <v>5.26</v>
      </c>
      <c r="P642" s="783">
        <v>200</v>
      </c>
      <c r="Q642" s="783">
        <v>982.21</v>
      </c>
      <c r="R642" s="783">
        <v>373.97</v>
      </c>
      <c r="S642" s="783">
        <v>135.32</v>
      </c>
      <c r="T642" s="783">
        <v>472.92</v>
      </c>
      <c r="U642" s="785">
        <v>44678.776319444398</v>
      </c>
    </row>
    <row r="643" spans="1:21">
      <c r="A643" s="782">
        <v>44678</v>
      </c>
      <c r="B643" s="783" t="s">
        <v>41</v>
      </c>
      <c r="C643" s="783" t="s">
        <v>4139</v>
      </c>
      <c r="D643" s="783" t="s">
        <v>4009</v>
      </c>
      <c r="E643" s="783" t="s">
        <v>261</v>
      </c>
      <c r="F643" s="783" t="s">
        <v>4011</v>
      </c>
      <c r="G643" s="783" t="str">
        <f t="shared" si="36"/>
        <v>New Contract</v>
      </c>
      <c r="H643" s="783" t="s">
        <v>4140</v>
      </c>
      <c r="I643" s="783" t="s">
        <v>4141</v>
      </c>
      <c r="J643" s="783">
        <v>15</v>
      </c>
      <c r="K643" s="783" t="s">
        <v>99</v>
      </c>
      <c r="L643" s="783" t="s">
        <v>4096</v>
      </c>
      <c r="M643" s="784">
        <v>22606.080000000002</v>
      </c>
      <c r="N643" s="784">
        <v>24.36</v>
      </c>
      <c r="O643" s="784">
        <v>5.8</v>
      </c>
      <c r="P643" s="783">
        <v>160</v>
      </c>
      <c r="Q643" s="783">
        <v>1177.78</v>
      </c>
      <c r="R643" s="783">
        <v>531.24</v>
      </c>
      <c r="S643" s="783">
        <v>81.38</v>
      </c>
      <c r="T643" s="783">
        <v>565.15</v>
      </c>
      <c r="U643" s="785">
        <v>44680.488356481503</v>
      </c>
    </row>
    <row r="644" spans="1:21">
      <c r="A644" s="782">
        <v>44678</v>
      </c>
      <c r="B644" s="783" t="s">
        <v>118</v>
      </c>
      <c r="C644" s="783" t="s">
        <v>4139</v>
      </c>
      <c r="D644" s="783" t="s">
        <v>4009</v>
      </c>
      <c r="E644" s="783" t="s">
        <v>1097</v>
      </c>
      <c r="F644" s="783" t="s">
        <v>4011</v>
      </c>
      <c r="G644" s="783" t="str">
        <f t="shared" si="36"/>
        <v>New contract</v>
      </c>
      <c r="H644" s="783" t="s">
        <v>4235</v>
      </c>
      <c r="I644" s="783" t="s">
        <v>4236</v>
      </c>
      <c r="J644" s="783">
        <v>25</v>
      </c>
      <c r="K644" s="783" t="s">
        <v>99</v>
      </c>
      <c r="L644" s="783" t="s">
        <v>4096</v>
      </c>
      <c r="M644" s="784">
        <v>103424.75</v>
      </c>
      <c r="N644" s="784">
        <v>98.99</v>
      </c>
      <c r="O644" s="784">
        <v>6.53</v>
      </c>
      <c r="P644" s="783">
        <v>160</v>
      </c>
      <c r="Q644" s="783">
        <v>3113.09</v>
      </c>
      <c r="R644" s="783">
        <v>2430.48</v>
      </c>
      <c r="S644" s="783">
        <v>372.33</v>
      </c>
      <c r="T644" s="783">
        <v>310.27</v>
      </c>
      <c r="U644" s="785">
        <v>44680.660208333298</v>
      </c>
    </row>
    <row r="645" spans="1:21">
      <c r="A645" s="782">
        <v>44678</v>
      </c>
      <c r="B645" s="783" t="s">
        <v>113</v>
      </c>
      <c r="C645" s="783" t="s">
        <v>4097</v>
      </c>
      <c r="D645" s="783" t="s">
        <v>4038</v>
      </c>
      <c r="E645" s="783" t="s">
        <v>5449</v>
      </c>
      <c r="F645" s="783" t="s">
        <v>4011</v>
      </c>
      <c r="G645" s="783" t="str">
        <f t="shared" si="36"/>
        <v>Renewal (15% in 2020)</v>
      </c>
      <c r="H645" s="783" t="s">
        <v>5450</v>
      </c>
      <c r="I645" s="783" t="s">
        <v>5451</v>
      </c>
      <c r="J645" s="783">
        <v>15</v>
      </c>
      <c r="K645" s="783" t="s">
        <v>99</v>
      </c>
      <c r="L645" s="783" t="s">
        <v>4096</v>
      </c>
      <c r="M645" s="784">
        <v>95901.35</v>
      </c>
      <c r="N645" s="784">
        <v>89.93</v>
      </c>
      <c r="O645" s="784">
        <v>6.2</v>
      </c>
      <c r="P645" s="783">
        <v>172</v>
      </c>
      <c r="Q645" s="783">
        <v>6348.67</v>
      </c>
      <c r="R645" s="783">
        <v>2714.01</v>
      </c>
      <c r="S645" s="783">
        <v>421.97</v>
      </c>
      <c r="T645" s="783">
        <v>3212.7</v>
      </c>
      <c r="U645" s="785">
        <v>44680.656597222202</v>
      </c>
    </row>
    <row r="646" spans="1:21">
      <c r="A646" s="782">
        <v>44678</v>
      </c>
      <c r="B646" s="783" t="s">
        <v>41</v>
      </c>
      <c r="C646" s="783" t="s">
        <v>4092</v>
      </c>
      <c r="D646" s="783" t="s">
        <v>4009</v>
      </c>
      <c r="E646" s="783" t="s">
        <v>5452</v>
      </c>
      <c r="F646" s="783" t="s">
        <v>4011</v>
      </c>
      <c r="G646" s="783" t="str">
        <f t="shared" si="36"/>
        <v>Renewal (20% in 2020)</v>
      </c>
      <c r="H646" s="783" t="s">
        <v>5453</v>
      </c>
      <c r="I646" s="783" t="s">
        <v>5454</v>
      </c>
      <c r="J646" s="783">
        <v>20</v>
      </c>
      <c r="K646" s="783" t="s">
        <v>99</v>
      </c>
      <c r="L646" s="783" t="s">
        <v>4096</v>
      </c>
      <c r="M646" s="784">
        <v>11970.56</v>
      </c>
      <c r="N646" s="784">
        <v>11.2</v>
      </c>
      <c r="O646" s="784">
        <v>6.68</v>
      </c>
      <c r="P646" s="783">
        <v>160</v>
      </c>
      <c r="Q646" s="783">
        <v>627.26</v>
      </c>
      <c r="R646" s="783">
        <v>369.89</v>
      </c>
      <c r="S646" s="783">
        <v>65.84</v>
      </c>
      <c r="T646" s="783">
        <v>191.53</v>
      </c>
      <c r="U646" s="785">
        <v>44680.662523148101</v>
      </c>
    </row>
    <row r="647" spans="1:21">
      <c r="A647" s="782">
        <v>44680</v>
      </c>
      <c r="B647" s="783" t="s">
        <v>228</v>
      </c>
      <c r="C647" s="783" t="s">
        <v>4625</v>
      </c>
      <c r="D647" s="783" t="s">
        <v>4248</v>
      </c>
      <c r="E647" s="783" t="s">
        <v>4626</v>
      </c>
      <c r="F647" s="783" t="s">
        <v>4011</v>
      </c>
      <c r="G647" s="783" t="str">
        <f t="shared" si="36"/>
        <v>New Contract</v>
      </c>
      <c r="H647" s="783" t="s">
        <v>4627</v>
      </c>
      <c r="I647" s="783" t="s">
        <v>4628</v>
      </c>
      <c r="J647" s="783">
        <v>25</v>
      </c>
      <c r="K647" s="783" t="s">
        <v>99</v>
      </c>
      <c r="L647" s="783" t="s">
        <v>4096</v>
      </c>
      <c r="M647" s="784">
        <v>113295.93</v>
      </c>
      <c r="N647" s="784">
        <v>64.900000000000006</v>
      </c>
      <c r="O647" s="784">
        <v>7.59</v>
      </c>
      <c r="P647" s="783">
        <v>230</v>
      </c>
      <c r="Q647" s="783">
        <v>3557.49</v>
      </c>
      <c r="R647" s="783">
        <v>2087.85</v>
      </c>
      <c r="S647" s="783">
        <v>1095.77</v>
      </c>
      <c r="T647" s="783">
        <v>373.88</v>
      </c>
      <c r="U647" s="785">
        <v>44680.726504629602</v>
      </c>
    </row>
    <row r="648" spans="1:21">
      <c r="A648" s="782">
        <v>44680</v>
      </c>
      <c r="B648" s="783" t="s">
        <v>41</v>
      </c>
      <c r="C648" s="783" t="s">
        <v>4354</v>
      </c>
      <c r="D648" s="783" t="s">
        <v>4009</v>
      </c>
      <c r="E648" s="783" t="s">
        <v>4355</v>
      </c>
      <c r="F648" s="783" t="s">
        <v>4011</v>
      </c>
      <c r="G648" s="783" t="str">
        <f t="shared" si="36"/>
        <v>Renewal (30% in 2020)</v>
      </c>
      <c r="H648" s="783" t="s">
        <v>4356</v>
      </c>
      <c r="I648" s="783" t="s">
        <v>4357</v>
      </c>
      <c r="J648" s="783">
        <v>30</v>
      </c>
      <c r="K648" s="783" t="s">
        <v>99</v>
      </c>
      <c r="L648" s="783" t="s">
        <v>4096</v>
      </c>
      <c r="M648" s="784">
        <v>15370.7</v>
      </c>
      <c r="N648" s="784">
        <v>14.05</v>
      </c>
      <c r="O648" s="784">
        <v>5.47</v>
      </c>
      <c r="P648" s="783">
        <v>200</v>
      </c>
      <c r="Q648" s="783">
        <v>771.61</v>
      </c>
      <c r="R648" s="783">
        <v>545.12</v>
      </c>
      <c r="S648" s="783">
        <v>85.08</v>
      </c>
      <c r="T648" s="783">
        <v>141.41</v>
      </c>
      <c r="U648" s="785">
        <v>44683.4914236111</v>
      </c>
    </row>
    <row r="649" spans="1:21">
      <c r="A649" s="782">
        <v>44681</v>
      </c>
      <c r="B649" s="783" t="s">
        <v>34</v>
      </c>
      <c r="C649" s="783" t="s">
        <v>4082</v>
      </c>
      <c r="D649" s="783" t="s">
        <v>4009</v>
      </c>
      <c r="E649" s="783" t="s">
        <v>4629</v>
      </c>
      <c r="F649" s="783" t="s">
        <v>4011</v>
      </c>
      <c r="G649" s="783" t="str">
        <f t="shared" si="36"/>
        <v>Renewal (20% in 2020)</v>
      </c>
      <c r="H649" s="783" t="s">
        <v>4630</v>
      </c>
      <c r="I649" s="783" t="s">
        <v>4631</v>
      </c>
      <c r="J649" s="783">
        <v>20</v>
      </c>
      <c r="K649" s="783" t="s">
        <v>99</v>
      </c>
      <c r="L649" s="783" t="s">
        <v>4096</v>
      </c>
      <c r="M649" s="784">
        <v>24585.93</v>
      </c>
      <c r="N649" s="784">
        <v>20.69</v>
      </c>
      <c r="O649" s="784">
        <v>6.99</v>
      </c>
      <c r="P649" s="783">
        <v>170</v>
      </c>
      <c r="Q649" s="783">
        <v>1217</v>
      </c>
      <c r="R649" s="783">
        <v>717.91</v>
      </c>
      <c r="S649" s="783">
        <v>127.85</v>
      </c>
      <c r="T649" s="783">
        <v>371.25</v>
      </c>
      <c r="U649" s="785">
        <v>44683.416793981502</v>
      </c>
    </row>
    <row r="650" spans="1:21">
      <c r="A650" s="782">
        <v>44680</v>
      </c>
      <c r="B650" s="783" t="s">
        <v>41</v>
      </c>
      <c r="C650" s="783" t="s">
        <v>4082</v>
      </c>
      <c r="D650" s="783" t="s">
        <v>4009</v>
      </c>
      <c r="E650" s="783" t="s">
        <v>5455</v>
      </c>
      <c r="F650" s="783" t="s">
        <v>4011</v>
      </c>
      <c r="G650" s="783" t="str">
        <f t="shared" si="36"/>
        <v>Renewal (25% in 2020)</v>
      </c>
      <c r="H650" s="783" t="s">
        <v>5456</v>
      </c>
      <c r="I650" s="783" t="s">
        <v>5457</v>
      </c>
      <c r="J650" s="783">
        <v>25</v>
      </c>
      <c r="K650" s="783" t="s">
        <v>99</v>
      </c>
      <c r="L650" s="783" t="s">
        <v>4096</v>
      </c>
      <c r="M650" s="784">
        <v>43031.75</v>
      </c>
      <c r="N650" s="784">
        <v>34.79</v>
      </c>
      <c r="O650" s="784">
        <v>7.98</v>
      </c>
      <c r="P650" s="783">
        <v>155</v>
      </c>
      <c r="Q650" s="783">
        <v>1643.81</v>
      </c>
      <c r="R650" s="783">
        <v>1256.53</v>
      </c>
      <c r="S650" s="783">
        <v>223.77</v>
      </c>
      <c r="T650" s="783">
        <v>163.52000000000001</v>
      </c>
      <c r="U650" s="785">
        <v>44683.4768287037</v>
      </c>
    </row>
    <row r="651" spans="1:21">
      <c r="A651" s="782">
        <v>44680</v>
      </c>
      <c r="B651" s="783" t="s">
        <v>41</v>
      </c>
      <c r="C651" s="783" t="s">
        <v>4139</v>
      </c>
      <c r="D651" s="783" t="s">
        <v>4009</v>
      </c>
      <c r="E651" s="783" t="s">
        <v>5458</v>
      </c>
      <c r="F651" s="783" t="s">
        <v>4011</v>
      </c>
      <c r="G651" s="783" t="str">
        <f t="shared" si="36"/>
        <v>Renewal (15% in 2020)</v>
      </c>
      <c r="H651" s="783" t="s">
        <v>5459</v>
      </c>
      <c r="I651" s="783" t="s">
        <v>5460</v>
      </c>
      <c r="J651" s="783">
        <v>20</v>
      </c>
      <c r="K651" s="783" t="s">
        <v>99</v>
      </c>
      <c r="L651" s="783" t="s">
        <v>4096</v>
      </c>
      <c r="M651" s="784">
        <v>20629.830000000002</v>
      </c>
      <c r="N651" s="784">
        <v>23.11</v>
      </c>
      <c r="O651" s="784">
        <v>5.16</v>
      </c>
      <c r="P651" s="783">
        <v>173</v>
      </c>
      <c r="Q651" s="783">
        <v>802.5</v>
      </c>
      <c r="R651" s="783">
        <v>484.8</v>
      </c>
      <c r="S651" s="783">
        <v>74.27</v>
      </c>
      <c r="T651" s="783">
        <v>243.43</v>
      </c>
      <c r="U651" s="785">
        <v>44715.443576388898</v>
      </c>
    </row>
    <row r="652" spans="1:21">
      <c r="A652" s="782">
        <v>44686</v>
      </c>
      <c r="B652" s="783" t="s">
        <v>41</v>
      </c>
      <c r="C652" s="783" t="s">
        <v>4139</v>
      </c>
      <c r="D652" s="783" t="s">
        <v>4009</v>
      </c>
      <c r="E652" s="783" t="s">
        <v>5461</v>
      </c>
      <c r="F652" s="783" t="s">
        <v>4011</v>
      </c>
      <c r="G652" s="783" t="str">
        <f t="shared" si="36"/>
        <v>Renewal (20% in 2020)</v>
      </c>
      <c r="H652" s="783" t="s">
        <v>5462</v>
      </c>
      <c r="I652" s="783" t="s">
        <v>5463</v>
      </c>
      <c r="J652" s="783">
        <v>20</v>
      </c>
      <c r="K652" s="783" t="s">
        <v>99</v>
      </c>
      <c r="L652" s="783" t="s">
        <v>4096</v>
      </c>
      <c r="M652" s="784">
        <v>77160.710000000006</v>
      </c>
      <c r="N652" s="784">
        <v>70.37</v>
      </c>
      <c r="O652" s="784">
        <v>6.45</v>
      </c>
      <c r="P652" s="783">
        <v>170</v>
      </c>
      <c r="Q652" s="783">
        <v>3001.55</v>
      </c>
      <c r="R652" s="783">
        <v>1813.28</v>
      </c>
      <c r="S652" s="783">
        <v>277.77999999999997</v>
      </c>
      <c r="T652" s="783">
        <v>910.5</v>
      </c>
      <c r="U652" s="785">
        <v>44687.632581018501</v>
      </c>
    </row>
    <row r="653" spans="1:21">
      <c r="A653" s="782">
        <v>44695</v>
      </c>
      <c r="B653" s="783" t="s">
        <v>74</v>
      </c>
      <c r="C653" s="783" t="s">
        <v>4037</v>
      </c>
      <c r="D653" s="783" t="s">
        <v>4038</v>
      </c>
      <c r="E653" s="783" t="s">
        <v>4358</v>
      </c>
      <c r="F653" s="783" t="s">
        <v>4011</v>
      </c>
      <c r="G653" s="783" t="str">
        <f t="shared" si="36"/>
        <v>Renewal (15% in 2020)</v>
      </c>
      <c r="H653" s="783" t="s">
        <v>4359</v>
      </c>
      <c r="I653" s="783" t="s">
        <v>4360</v>
      </c>
      <c r="J653" s="783">
        <v>20</v>
      </c>
      <c r="K653" s="783" t="s">
        <v>99</v>
      </c>
      <c r="L653" s="783" t="s">
        <v>4096</v>
      </c>
      <c r="M653" s="784">
        <v>20384.82</v>
      </c>
      <c r="N653" s="784">
        <v>21.05</v>
      </c>
      <c r="O653" s="784">
        <v>5.38</v>
      </c>
      <c r="P653" s="783">
        <v>180</v>
      </c>
      <c r="Q653" s="783">
        <v>1365.78</v>
      </c>
      <c r="R653" s="783">
        <v>775.85</v>
      </c>
      <c r="S653" s="783">
        <v>159.82</v>
      </c>
      <c r="T653" s="783">
        <v>430.12</v>
      </c>
      <c r="U653" s="785">
        <v>44697.687083333301</v>
      </c>
    </row>
    <row r="654" spans="1:21">
      <c r="A654" s="782">
        <v>44685</v>
      </c>
      <c r="B654" s="783" t="s">
        <v>3078</v>
      </c>
      <c r="C654" s="783" t="s">
        <v>4008</v>
      </c>
      <c r="D654" s="783" t="s">
        <v>4009</v>
      </c>
      <c r="E654" s="783" t="s">
        <v>5464</v>
      </c>
      <c r="F654" s="783" t="s">
        <v>4011</v>
      </c>
      <c r="G654" s="783" t="str">
        <f t="shared" si="36"/>
        <v>Renewal (20% in 2020)</v>
      </c>
      <c r="H654" s="783" t="s">
        <v>5465</v>
      </c>
      <c r="I654" s="783" t="s">
        <v>5466</v>
      </c>
      <c r="J654" s="783">
        <v>20</v>
      </c>
      <c r="K654" s="783" t="s">
        <v>99</v>
      </c>
      <c r="L654" s="783" t="s">
        <v>4096</v>
      </c>
      <c r="M654" s="784">
        <v>14064.12</v>
      </c>
      <c r="N654" s="784">
        <v>11.37</v>
      </c>
      <c r="O654" s="784">
        <v>5.5</v>
      </c>
      <c r="P654" s="783">
        <v>224.9</v>
      </c>
      <c r="Q654" s="783">
        <v>727.12</v>
      </c>
      <c r="R654" s="783">
        <v>318.07</v>
      </c>
      <c r="S654" s="783">
        <v>160.11000000000001</v>
      </c>
      <c r="T654" s="783">
        <v>248.93</v>
      </c>
      <c r="U654" s="785">
        <v>44685.634270833303</v>
      </c>
    </row>
    <row r="655" spans="1:21">
      <c r="A655" s="782">
        <v>44686</v>
      </c>
      <c r="B655" s="783" t="s">
        <v>41</v>
      </c>
      <c r="C655" s="783" t="s">
        <v>4092</v>
      </c>
      <c r="D655" s="783" t="s">
        <v>4009</v>
      </c>
      <c r="E655" s="783" t="s">
        <v>4763</v>
      </c>
      <c r="F655" s="783" t="s">
        <v>4011</v>
      </c>
      <c r="G655" s="783" t="str">
        <f t="shared" si="36"/>
        <v>Renewal (15% in 2020)</v>
      </c>
      <c r="H655" s="783" t="s">
        <v>4764</v>
      </c>
      <c r="I655" s="783" t="s">
        <v>4765</v>
      </c>
      <c r="J655" s="783">
        <v>15</v>
      </c>
      <c r="K655" s="783" t="s">
        <v>99</v>
      </c>
      <c r="L655" s="783" t="s">
        <v>4096</v>
      </c>
      <c r="M655" s="784">
        <v>11777.74</v>
      </c>
      <c r="N655" s="784">
        <v>12.61</v>
      </c>
      <c r="O655" s="784">
        <v>4.67</v>
      </c>
      <c r="P655" s="783">
        <v>200</v>
      </c>
      <c r="Q655" s="783">
        <v>826.8</v>
      </c>
      <c r="R655" s="783">
        <v>314.8</v>
      </c>
      <c r="S655" s="783">
        <v>113.91</v>
      </c>
      <c r="T655" s="783">
        <v>398.09</v>
      </c>
      <c r="U655" s="785">
        <v>44687.613275463002</v>
      </c>
    </row>
    <row r="656" spans="1:21">
      <c r="A656" s="782">
        <v>44686</v>
      </c>
      <c r="B656" s="783" t="s">
        <v>4025</v>
      </c>
      <c r="C656" s="783" t="s">
        <v>4026</v>
      </c>
      <c r="D656" s="783" t="s">
        <v>4021</v>
      </c>
      <c r="E656" s="783" t="s">
        <v>4049</v>
      </c>
      <c r="F656" s="783" t="s">
        <v>4011</v>
      </c>
      <c r="G656" s="783" t="str">
        <f t="shared" si="36"/>
        <v>New contract</v>
      </c>
      <c r="H656" s="783" t="s">
        <v>4050</v>
      </c>
      <c r="I656" s="783" t="s">
        <v>4051</v>
      </c>
      <c r="J656" s="783">
        <v>30</v>
      </c>
      <c r="K656" s="783" t="s">
        <v>99</v>
      </c>
      <c r="L656" s="783" t="s">
        <v>4096</v>
      </c>
      <c r="M656" s="784">
        <v>11463.76</v>
      </c>
      <c r="N656" s="784">
        <v>10.66</v>
      </c>
      <c r="O656" s="784">
        <v>5.66</v>
      </c>
      <c r="P656" s="783">
        <v>190</v>
      </c>
      <c r="Q656" s="783">
        <v>465.43</v>
      </c>
      <c r="R656" s="783">
        <v>352.81</v>
      </c>
      <c r="S656" s="783">
        <v>34.67</v>
      </c>
      <c r="T656" s="783">
        <v>77.95</v>
      </c>
      <c r="U656" s="785">
        <v>44687.618229166699</v>
      </c>
    </row>
    <row r="657" spans="1:21">
      <c r="A657" s="782">
        <v>44685</v>
      </c>
      <c r="B657" s="783" t="s">
        <v>41</v>
      </c>
      <c r="C657" s="783" t="s">
        <v>4092</v>
      </c>
      <c r="D657" s="783" t="s">
        <v>4009</v>
      </c>
      <c r="E657" s="783" t="s">
        <v>726</v>
      </c>
      <c r="F657" s="783" t="s">
        <v>4011</v>
      </c>
      <c r="G657" s="783" t="str">
        <f t="shared" si="36"/>
        <v>Renewal (15% in 2020)</v>
      </c>
      <c r="H657" s="783" t="s">
        <v>5467</v>
      </c>
      <c r="I657" s="783" t="s">
        <v>5468</v>
      </c>
      <c r="J657" s="783">
        <v>15</v>
      </c>
      <c r="K657" s="783" t="s">
        <v>99</v>
      </c>
      <c r="L657" s="783" t="s">
        <v>4096</v>
      </c>
      <c r="M657" s="784">
        <v>51040.7</v>
      </c>
      <c r="N657" s="784">
        <v>43.94</v>
      </c>
      <c r="O657" s="784">
        <v>7.04</v>
      </c>
      <c r="P657" s="783">
        <v>165</v>
      </c>
      <c r="Q657" s="783">
        <v>3583.06</v>
      </c>
      <c r="R657" s="783">
        <v>1577.16</v>
      </c>
      <c r="S657" s="783">
        <v>280.72000000000003</v>
      </c>
      <c r="T657" s="783">
        <v>1725.18</v>
      </c>
      <c r="U657" s="785">
        <v>44687.647280092599</v>
      </c>
    </row>
    <row r="658" spans="1:21">
      <c r="A658" s="782">
        <v>44676</v>
      </c>
      <c r="B658" s="783" t="s">
        <v>51</v>
      </c>
      <c r="C658" s="783" t="s">
        <v>4042</v>
      </c>
      <c r="D658" s="783" t="s">
        <v>4016</v>
      </c>
      <c r="E658" s="783" t="s">
        <v>2246</v>
      </c>
      <c r="F658" s="783" t="s">
        <v>4011</v>
      </c>
      <c r="G658" s="783" t="str">
        <f t="shared" si="36"/>
        <v>Renewal (20% in 2020)</v>
      </c>
      <c r="H658" s="783" t="s">
        <v>5469</v>
      </c>
      <c r="I658" s="783" t="s">
        <v>5470</v>
      </c>
      <c r="J658" s="783">
        <v>20</v>
      </c>
      <c r="K658" s="783" t="s">
        <v>99</v>
      </c>
      <c r="L658" s="783" t="s">
        <v>4096</v>
      </c>
      <c r="M658" s="784">
        <v>49595</v>
      </c>
      <c r="N658" s="784">
        <v>32.5</v>
      </c>
      <c r="O658" s="784">
        <v>7.63</v>
      </c>
      <c r="P658" s="783">
        <v>200</v>
      </c>
      <c r="Q658" s="783">
        <v>2157.38</v>
      </c>
      <c r="R658" s="783">
        <v>1205.48</v>
      </c>
      <c r="S658" s="783">
        <v>401.4</v>
      </c>
      <c r="T658" s="783">
        <v>550.5</v>
      </c>
      <c r="U658" s="785">
        <v>44678.769467592603</v>
      </c>
    </row>
    <row r="659" spans="1:21">
      <c r="A659" s="782">
        <v>44676</v>
      </c>
      <c r="B659" s="783" t="s">
        <v>51</v>
      </c>
      <c r="C659" s="783" t="s">
        <v>4042</v>
      </c>
      <c r="D659" s="783" t="s">
        <v>4016</v>
      </c>
      <c r="E659" s="783" t="s">
        <v>5471</v>
      </c>
      <c r="F659" s="783" t="s">
        <v>4066</v>
      </c>
      <c r="G659" s="783" t="s">
        <v>4028</v>
      </c>
      <c r="H659" s="783" t="s">
        <v>5472</v>
      </c>
      <c r="I659" s="783" t="s">
        <v>5473</v>
      </c>
      <c r="J659" s="783">
        <v>10</v>
      </c>
      <c r="K659" s="783" t="s">
        <v>99</v>
      </c>
      <c r="L659" s="783" t="s">
        <v>4096</v>
      </c>
      <c r="M659" s="784">
        <v>27664</v>
      </c>
      <c r="N659" s="784">
        <v>18.2</v>
      </c>
      <c r="O659" s="784">
        <v>8</v>
      </c>
      <c r="P659" s="783">
        <v>190</v>
      </c>
      <c r="Q659" s="783">
        <v>340.27</v>
      </c>
      <c r="R659" s="783">
        <v>0</v>
      </c>
      <c r="S659" s="783">
        <v>0</v>
      </c>
      <c r="T659" s="783">
        <v>340.27</v>
      </c>
      <c r="U659" s="785">
        <v>44676.727986111102</v>
      </c>
    </row>
    <row r="660" spans="1:21">
      <c r="A660" s="782">
        <v>44689</v>
      </c>
      <c r="B660" s="783" t="s">
        <v>41</v>
      </c>
      <c r="C660" s="783" t="s">
        <v>4092</v>
      </c>
      <c r="D660" s="783" t="s">
        <v>4009</v>
      </c>
      <c r="E660" s="783" t="s">
        <v>5474</v>
      </c>
      <c r="F660" s="783" t="s">
        <v>4011</v>
      </c>
      <c r="G660" s="783" t="str">
        <f t="shared" ref="G660:G680" si="37">VLOOKUP(I660,pacage,2,FALSE)</f>
        <v>Renewal (20% in 2020)</v>
      </c>
      <c r="H660" s="783" t="s">
        <v>5475</v>
      </c>
      <c r="I660" s="783" t="s">
        <v>5476</v>
      </c>
      <c r="J660" s="783">
        <v>20</v>
      </c>
      <c r="K660" s="783" t="s">
        <v>99</v>
      </c>
      <c r="L660" s="783" t="s">
        <v>4096</v>
      </c>
      <c r="M660" s="784">
        <v>77355.649999999994</v>
      </c>
      <c r="N660" s="784">
        <v>56.53</v>
      </c>
      <c r="O660" s="784">
        <v>6.22</v>
      </c>
      <c r="P660" s="783">
        <v>220</v>
      </c>
      <c r="Q660" s="783">
        <v>4053.44</v>
      </c>
      <c r="R660" s="783">
        <v>1879.64</v>
      </c>
      <c r="S660" s="783">
        <v>936.11</v>
      </c>
      <c r="T660" s="783">
        <v>1237.69</v>
      </c>
      <c r="U660" s="785">
        <v>44690.659444444398</v>
      </c>
    </row>
    <row r="661" spans="1:21">
      <c r="A661" s="782">
        <v>44677</v>
      </c>
      <c r="B661" s="783" t="s">
        <v>4025</v>
      </c>
      <c r="C661" s="783" t="s">
        <v>4026</v>
      </c>
      <c r="D661" s="783" t="s">
        <v>4021</v>
      </c>
      <c r="E661" s="783" t="s">
        <v>5477</v>
      </c>
      <c r="F661" s="783" t="s">
        <v>4011</v>
      </c>
      <c r="G661" s="783" t="str">
        <f t="shared" si="37"/>
        <v>New Contract</v>
      </c>
      <c r="H661" s="783" t="s">
        <v>5478</v>
      </c>
      <c r="I661" s="783" t="s">
        <v>5479</v>
      </c>
      <c r="J661" s="783">
        <v>20</v>
      </c>
      <c r="K661" s="783" t="s">
        <v>99</v>
      </c>
      <c r="L661" s="783" t="s">
        <v>4096</v>
      </c>
      <c r="M661" s="784">
        <v>272527.2</v>
      </c>
      <c r="N661" s="784">
        <v>183.52</v>
      </c>
      <c r="O661" s="784">
        <v>6.75</v>
      </c>
      <c r="P661" s="783">
        <v>220</v>
      </c>
      <c r="Q661" s="783">
        <v>15970.09</v>
      </c>
      <c r="R661" s="783">
        <v>7243.53</v>
      </c>
      <c r="S661" s="783">
        <v>3385.04</v>
      </c>
      <c r="T661" s="783">
        <v>5341.53</v>
      </c>
      <c r="U661" s="785">
        <v>44678.783344907402</v>
      </c>
    </row>
    <row r="662" spans="1:21">
      <c r="A662" s="782">
        <v>44678</v>
      </c>
      <c r="B662" s="783" t="s">
        <v>113</v>
      </c>
      <c r="C662" s="783" t="s">
        <v>4598</v>
      </c>
      <c r="D662" s="783" t="s">
        <v>4009</v>
      </c>
      <c r="E662" s="783" t="s">
        <v>5480</v>
      </c>
      <c r="F662" s="783" t="s">
        <v>4011</v>
      </c>
      <c r="G662" s="783" t="str">
        <f t="shared" si="37"/>
        <v>Renewal (30% in 2020)</v>
      </c>
      <c r="H662" s="783" t="s">
        <v>5481</v>
      </c>
      <c r="I662" s="783" t="s">
        <v>5482</v>
      </c>
      <c r="J662" s="783">
        <v>30</v>
      </c>
      <c r="K662" s="783" t="s">
        <v>99</v>
      </c>
      <c r="L662" s="783" t="s">
        <v>4096</v>
      </c>
      <c r="M662" s="784">
        <v>9921.69</v>
      </c>
      <c r="N662" s="784">
        <v>10.76</v>
      </c>
      <c r="O662" s="784">
        <v>5.33</v>
      </c>
      <c r="P662" s="783">
        <v>173</v>
      </c>
      <c r="Q662" s="783">
        <v>332.38</v>
      </c>
      <c r="R662" s="783">
        <v>268.88</v>
      </c>
      <c r="S662" s="783">
        <v>0</v>
      </c>
      <c r="T662" s="783">
        <v>63.5</v>
      </c>
      <c r="U662" s="785">
        <v>44680.4984259259</v>
      </c>
    </row>
    <row r="663" spans="1:21">
      <c r="A663" s="782">
        <v>44678</v>
      </c>
      <c r="B663" s="783" t="s">
        <v>228</v>
      </c>
      <c r="C663" s="783" t="s">
        <v>4020</v>
      </c>
      <c r="D663" s="783" t="s">
        <v>4021</v>
      </c>
      <c r="E663" s="783" t="s">
        <v>5483</v>
      </c>
      <c r="F663" s="783" t="s">
        <v>4011</v>
      </c>
      <c r="G663" s="783" t="str">
        <f t="shared" si="37"/>
        <v>Renewal (25% in 2020)</v>
      </c>
      <c r="H663" s="783" t="s">
        <v>5484</v>
      </c>
      <c r="I663" s="783" t="s">
        <v>5485</v>
      </c>
      <c r="J663" s="783">
        <v>25</v>
      </c>
      <c r="K663" s="783" t="s">
        <v>99</v>
      </c>
      <c r="L663" s="783" t="s">
        <v>4096</v>
      </c>
      <c r="M663" s="784">
        <v>64606.5</v>
      </c>
      <c r="N663" s="784">
        <v>61.53</v>
      </c>
      <c r="O663" s="784">
        <v>6</v>
      </c>
      <c r="P663" s="783">
        <v>175</v>
      </c>
      <c r="Q663" s="783">
        <v>3139.88</v>
      </c>
      <c r="R663" s="783">
        <v>2331.19</v>
      </c>
      <c r="S663" s="783">
        <v>388.75</v>
      </c>
      <c r="T663" s="783">
        <v>419.94</v>
      </c>
      <c r="U663" s="785">
        <v>44680.643946759301</v>
      </c>
    </row>
    <row r="664" spans="1:21">
      <c r="A664" s="782">
        <v>44681</v>
      </c>
      <c r="B664" s="783" t="s">
        <v>51</v>
      </c>
      <c r="C664" s="783" t="s">
        <v>4042</v>
      </c>
      <c r="D664" s="783" t="s">
        <v>4016</v>
      </c>
      <c r="E664" s="783" t="s">
        <v>5486</v>
      </c>
      <c r="F664" s="783" t="s">
        <v>4011</v>
      </c>
      <c r="G664" s="783" t="str">
        <f t="shared" si="37"/>
        <v>Renewal (30% in 2020)</v>
      </c>
      <c r="H664" s="783" t="s">
        <v>5487</v>
      </c>
      <c r="I664" s="783" t="s">
        <v>5488</v>
      </c>
      <c r="J664" s="783">
        <v>30</v>
      </c>
      <c r="K664" s="783" t="s">
        <v>99</v>
      </c>
      <c r="L664" s="783" t="s">
        <v>4096</v>
      </c>
      <c r="M664" s="784">
        <v>68870.100000000006</v>
      </c>
      <c r="N664" s="784">
        <v>45.14</v>
      </c>
      <c r="O664" s="784">
        <v>8.0299999999999994</v>
      </c>
      <c r="P664" s="783">
        <v>190</v>
      </c>
      <c r="Q664" s="783">
        <v>2258.94</v>
      </c>
      <c r="R664" s="783">
        <v>1762.1</v>
      </c>
      <c r="S664" s="783">
        <v>173.15</v>
      </c>
      <c r="T664" s="783">
        <v>323.69</v>
      </c>
      <c r="U664" s="785">
        <v>44683.458310185197</v>
      </c>
    </row>
    <row r="665" spans="1:21">
      <c r="A665" s="782">
        <v>44678</v>
      </c>
      <c r="B665" s="783" t="s">
        <v>51</v>
      </c>
      <c r="C665" s="783" t="s">
        <v>5489</v>
      </c>
      <c r="D665" s="783" t="s">
        <v>4016</v>
      </c>
      <c r="E665" s="783" t="s">
        <v>5490</v>
      </c>
      <c r="F665" s="783" t="s">
        <v>4011</v>
      </c>
      <c r="G665" s="783" t="str">
        <f t="shared" si="37"/>
        <v>Renewal (20% in 2020)</v>
      </c>
      <c r="H665" s="783" t="s">
        <v>5491</v>
      </c>
      <c r="I665" s="783" t="s">
        <v>5492</v>
      </c>
      <c r="J665" s="783">
        <v>30</v>
      </c>
      <c r="K665" s="783" t="s">
        <v>99</v>
      </c>
      <c r="L665" s="783" t="s">
        <v>4096</v>
      </c>
      <c r="M665" s="784">
        <v>33522.910000000003</v>
      </c>
      <c r="N665" s="784">
        <v>30.06</v>
      </c>
      <c r="O665" s="784">
        <v>6.97</v>
      </c>
      <c r="P665" s="783">
        <v>160</v>
      </c>
      <c r="Q665" s="783">
        <v>1652.68</v>
      </c>
      <c r="R665" s="783">
        <v>1418.02</v>
      </c>
      <c r="S665" s="783">
        <v>0</v>
      </c>
      <c r="T665" s="783">
        <v>234.66</v>
      </c>
      <c r="U665" s="785">
        <v>44680.652604166702</v>
      </c>
    </row>
    <row r="666" spans="1:21">
      <c r="A666" s="782">
        <v>44708</v>
      </c>
      <c r="B666" s="783" t="s">
        <v>41</v>
      </c>
      <c r="C666" s="783" t="s">
        <v>4082</v>
      </c>
      <c r="D666" s="783" t="s">
        <v>4009</v>
      </c>
      <c r="E666" s="783" t="s">
        <v>4632</v>
      </c>
      <c r="F666" s="783" t="s">
        <v>4011</v>
      </c>
      <c r="G666" s="783" t="str">
        <f t="shared" si="37"/>
        <v>Renewal (15% in 2020)</v>
      </c>
      <c r="H666" s="783" t="s">
        <v>4633</v>
      </c>
      <c r="I666" s="783" t="s">
        <v>4634</v>
      </c>
      <c r="J666" s="783">
        <v>15</v>
      </c>
      <c r="K666" s="783" t="s">
        <v>99</v>
      </c>
      <c r="L666" s="783" t="s">
        <v>4096</v>
      </c>
      <c r="M666" s="784">
        <v>62174.720000000001</v>
      </c>
      <c r="N666" s="784">
        <v>52.16</v>
      </c>
      <c r="O666" s="784">
        <v>5.96</v>
      </c>
      <c r="P666" s="783">
        <v>200</v>
      </c>
      <c r="Q666" s="783">
        <v>4128.3999999999996</v>
      </c>
      <c r="R666" s="783">
        <v>1570.41</v>
      </c>
      <c r="S666" s="783">
        <v>568.4</v>
      </c>
      <c r="T666" s="783">
        <v>1989.59</v>
      </c>
      <c r="U666" s="785">
        <v>44711.537094907399</v>
      </c>
    </row>
    <row r="667" spans="1:21">
      <c r="A667" s="782">
        <v>44680</v>
      </c>
      <c r="B667" s="783" t="s">
        <v>113</v>
      </c>
      <c r="C667" s="783" t="s">
        <v>4097</v>
      </c>
      <c r="D667" s="783" t="s">
        <v>4038</v>
      </c>
      <c r="E667" s="783" t="s">
        <v>5493</v>
      </c>
      <c r="F667" s="783" t="s">
        <v>4011</v>
      </c>
      <c r="G667" s="783" t="str">
        <f t="shared" si="37"/>
        <v>Renewal (15% in 2020)</v>
      </c>
      <c r="H667" s="783" t="s">
        <v>5494</v>
      </c>
      <c r="I667" s="783" t="s">
        <v>5495</v>
      </c>
      <c r="J667" s="783">
        <v>15</v>
      </c>
      <c r="K667" s="783" t="s">
        <v>99</v>
      </c>
      <c r="L667" s="783" t="s">
        <v>4096</v>
      </c>
      <c r="M667" s="784">
        <v>28289.360000000001</v>
      </c>
      <c r="N667" s="784">
        <v>33.549999999999997</v>
      </c>
      <c r="O667" s="784">
        <v>5.27</v>
      </c>
      <c r="P667" s="783">
        <v>160</v>
      </c>
      <c r="Q667" s="783">
        <v>1872.76</v>
      </c>
      <c r="R667" s="783">
        <v>800.59</v>
      </c>
      <c r="S667" s="783">
        <v>124.47</v>
      </c>
      <c r="T667" s="783">
        <v>947.69</v>
      </c>
      <c r="U667" s="785">
        <v>44683.465462963002</v>
      </c>
    </row>
    <row r="668" spans="1:21">
      <c r="A668" s="782">
        <v>44679</v>
      </c>
      <c r="B668" s="783" t="s">
        <v>41</v>
      </c>
      <c r="C668" s="783" t="s">
        <v>4008</v>
      </c>
      <c r="D668" s="783" t="s">
        <v>4009</v>
      </c>
      <c r="E668" s="783" t="s">
        <v>5496</v>
      </c>
      <c r="F668" s="783" t="s">
        <v>4011</v>
      </c>
      <c r="G668" s="783" t="str">
        <f t="shared" si="37"/>
        <v>Renewal (15% in 2020)</v>
      </c>
      <c r="H668" s="783" t="s">
        <v>5497</v>
      </c>
      <c r="I668" s="783" t="s">
        <v>5498</v>
      </c>
      <c r="J668" s="783">
        <v>15</v>
      </c>
      <c r="K668" s="783" t="s">
        <v>99</v>
      </c>
      <c r="L668" s="783" t="s">
        <v>4096</v>
      </c>
      <c r="M668" s="784">
        <v>22280</v>
      </c>
      <c r="N668" s="784">
        <v>25</v>
      </c>
      <c r="O668" s="784">
        <v>5.57</v>
      </c>
      <c r="P668" s="783">
        <v>160</v>
      </c>
      <c r="Q668" s="783">
        <v>1523.95</v>
      </c>
      <c r="R668" s="783">
        <v>655.03</v>
      </c>
      <c r="S668" s="783">
        <v>102.49</v>
      </c>
      <c r="T668" s="783">
        <v>766.43</v>
      </c>
      <c r="U668" s="785">
        <v>44704.4525810185</v>
      </c>
    </row>
    <row r="669" spans="1:21">
      <c r="A669" s="782">
        <v>44681</v>
      </c>
      <c r="B669" s="783" t="s">
        <v>51</v>
      </c>
      <c r="C669" s="783" t="s">
        <v>4042</v>
      </c>
      <c r="D669" s="783" t="s">
        <v>4016</v>
      </c>
      <c r="E669" s="783" t="s">
        <v>96</v>
      </c>
      <c r="F669" s="783" t="s">
        <v>4011</v>
      </c>
      <c r="G669" s="783" t="str">
        <f t="shared" si="37"/>
        <v>Renewal (20% in 2020)</v>
      </c>
      <c r="H669" s="783" t="s">
        <v>5499</v>
      </c>
      <c r="I669" s="783" t="s">
        <v>5500</v>
      </c>
      <c r="J669" s="783">
        <v>20</v>
      </c>
      <c r="K669" s="783" t="s">
        <v>99</v>
      </c>
      <c r="L669" s="783" t="s">
        <v>4096</v>
      </c>
      <c r="M669" s="784">
        <v>144339.74</v>
      </c>
      <c r="N669" s="784">
        <v>122.27</v>
      </c>
      <c r="O669" s="784">
        <v>7.87</v>
      </c>
      <c r="P669" s="783">
        <v>150</v>
      </c>
      <c r="Q669" s="783">
        <v>6278.78</v>
      </c>
      <c r="R669" s="783">
        <v>4055.95</v>
      </c>
      <c r="S669" s="783">
        <v>620.66</v>
      </c>
      <c r="T669" s="783">
        <v>1602.17</v>
      </c>
      <c r="U669" s="785">
        <v>44683.464166666701</v>
      </c>
    </row>
    <row r="670" spans="1:21">
      <c r="A670" s="782">
        <v>44681</v>
      </c>
      <c r="B670" s="783" t="s">
        <v>74</v>
      </c>
      <c r="C670" s="783" t="s">
        <v>4097</v>
      </c>
      <c r="D670" s="783" t="s">
        <v>4038</v>
      </c>
      <c r="E670" s="783" t="s">
        <v>4635</v>
      </c>
      <c r="F670" s="783" t="s">
        <v>4011</v>
      </c>
      <c r="G670" s="783" t="str">
        <f t="shared" si="37"/>
        <v>Renewal (25% in 2020)</v>
      </c>
      <c r="H670" s="783" t="s">
        <v>4636</v>
      </c>
      <c r="I670" s="783" t="s">
        <v>4637</v>
      </c>
      <c r="J670" s="783">
        <v>25</v>
      </c>
      <c r="K670" s="783" t="s">
        <v>99</v>
      </c>
      <c r="L670" s="783" t="s">
        <v>4096</v>
      </c>
      <c r="M670" s="784">
        <v>20477.84</v>
      </c>
      <c r="N670" s="784">
        <v>19.09</v>
      </c>
      <c r="O670" s="784">
        <v>6.31</v>
      </c>
      <c r="P670" s="783">
        <v>170</v>
      </c>
      <c r="Q670" s="783">
        <v>804.78</v>
      </c>
      <c r="R670" s="783">
        <v>579.52</v>
      </c>
      <c r="S670" s="783">
        <v>90.1</v>
      </c>
      <c r="T670" s="783">
        <v>135.15</v>
      </c>
      <c r="U670" s="785">
        <v>44683.46</v>
      </c>
    </row>
    <row r="671" spans="1:21">
      <c r="A671" s="782">
        <v>44680</v>
      </c>
      <c r="B671" s="783" t="s">
        <v>51</v>
      </c>
      <c r="C671" s="783" t="s">
        <v>4042</v>
      </c>
      <c r="D671" s="783" t="s">
        <v>4016</v>
      </c>
      <c r="E671" s="783" t="s">
        <v>5501</v>
      </c>
      <c r="F671" s="783" t="s">
        <v>4011</v>
      </c>
      <c r="G671" s="783" t="str">
        <f t="shared" si="37"/>
        <v>Renewal (15% in 2020)</v>
      </c>
      <c r="H671" s="783" t="s">
        <v>5502</v>
      </c>
      <c r="I671" s="783" t="s">
        <v>5503</v>
      </c>
      <c r="J671" s="783">
        <v>15</v>
      </c>
      <c r="K671" s="783" t="s">
        <v>99</v>
      </c>
      <c r="L671" s="783" t="s">
        <v>4096</v>
      </c>
      <c r="M671" s="784">
        <v>27595.17</v>
      </c>
      <c r="N671" s="784">
        <v>19.21</v>
      </c>
      <c r="O671" s="784">
        <v>8.4499999999999993</v>
      </c>
      <c r="P671" s="783">
        <v>170</v>
      </c>
      <c r="Q671" s="783">
        <v>1465.3</v>
      </c>
      <c r="R671" s="783">
        <v>775.42</v>
      </c>
      <c r="S671" s="783">
        <v>118.66</v>
      </c>
      <c r="T671" s="783">
        <v>571.22</v>
      </c>
      <c r="U671" s="785">
        <v>44680.741655092599</v>
      </c>
    </row>
    <row r="672" spans="1:21">
      <c r="A672" s="782">
        <v>44684</v>
      </c>
      <c r="B672" s="783" t="s">
        <v>30</v>
      </c>
      <c r="C672" s="783" t="s">
        <v>4089</v>
      </c>
      <c r="D672" s="783" t="s">
        <v>4021</v>
      </c>
      <c r="E672" s="783" t="s">
        <v>5504</v>
      </c>
      <c r="F672" s="783" t="s">
        <v>4011</v>
      </c>
      <c r="G672" s="783" t="str">
        <f t="shared" si="37"/>
        <v>Renewal (20% in 2020)</v>
      </c>
      <c r="H672" s="783" t="s">
        <v>5505</v>
      </c>
      <c r="I672" s="783" t="s">
        <v>5506</v>
      </c>
      <c r="J672" s="783">
        <v>30</v>
      </c>
      <c r="K672" s="783" t="s">
        <v>99</v>
      </c>
      <c r="L672" s="783" t="s">
        <v>4096</v>
      </c>
      <c r="M672" s="784">
        <v>70686</v>
      </c>
      <c r="N672" s="784">
        <v>52.36</v>
      </c>
      <c r="O672" s="784">
        <v>7.5</v>
      </c>
      <c r="P672" s="783">
        <v>180</v>
      </c>
      <c r="Q672" s="783">
        <v>2466.94</v>
      </c>
      <c r="R672" s="783">
        <v>1976.97</v>
      </c>
      <c r="S672" s="783">
        <v>79.989999999999995</v>
      </c>
      <c r="T672" s="783">
        <v>409.98</v>
      </c>
      <c r="U672" s="785">
        <v>44685.409467592603</v>
      </c>
    </row>
    <row r="673" spans="1:21">
      <c r="A673" s="782">
        <v>44684</v>
      </c>
      <c r="B673" s="783" t="s">
        <v>118</v>
      </c>
      <c r="C673" s="783" t="s">
        <v>4139</v>
      </c>
      <c r="D673" s="783" t="s">
        <v>4009</v>
      </c>
      <c r="E673" s="783" t="s">
        <v>1581</v>
      </c>
      <c r="F673" s="783" t="s">
        <v>4011</v>
      </c>
      <c r="G673" s="783" t="str">
        <f t="shared" si="37"/>
        <v>Renewal (15% in 2020)</v>
      </c>
      <c r="H673" s="783" t="s">
        <v>5507</v>
      </c>
      <c r="I673" s="783" t="s">
        <v>5508</v>
      </c>
      <c r="J673" s="783">
        <v>15</v>
      </c>
      <c r="K673" s="783" t="s">
        <v>99</v>
      </c>
      <c r="L673" s="783" t="s">
        <v>4096</v>
      </c>
      <c r="M673" s="784">
        <v>87925.13</v>
      </c>
      <c r="N673" s="784">
        <v>53.79</v>
      </c>
      <c r="O673" s="784">
        <v>7.43</v>
      </c>
      <c r="P673" s="783">
        <v>220</v>
      </c>
      <c r="Q673" s="783">
        <v>4580.8999999999996</v>
      </c>
      <c r="R673" s="783">
        <v>1624.82</v>
      </c>
      <c r="S673" s="783">
        <v>757.95</v>
      </c>
      <c r="T673" s="783">
        <v>2198.13</v>
      </c>
      <c r="U673" s="785">
        <v>44684.386493055601</v>
      </c>
    </row>
    <row r="674" spans="1:21">
      <c r="A674" s="782">
        <v>44680</v>
      </c>
      <c r="B674" s="783" t="s">
        <v>41</v>
      </c>
      <c r="C674" s="783" t="s">
        <v>4082</v>
      </c>
      <c r="D674" s="783" t="s">
        <v>4009</v>
      </c>
      <c r="E674" s="783" t="s">
        <v>5509</v>
      </c>
      <c r="F674" s="783" t="s">
        <v>4011</v>
      </c>
      <c r="G674" s="783" t="str">
        <f t="shared" si="37"/>
        <v>Renewal (15% in 2020)</v>
      </c>
      <c r="H674" s="783" t="s">
        <v>5510</v>
      </c>
      <c r="I674" s="783" t="s">
        <v>5511</v>
      </c>
      <c r="J674" s="783">
        <v>15</v>
      </c>
      <c r="K674" s="783" t="s">
        <v>99</v>
      </c>
      <c r="L674" s="783" t="s">
        <v>4096</v>
      </c>
      <c r="M674" s="784">
        <v>12067.27</v>
      </c>
      <c r="N674" s="784">
        <v>10.41</v>
      </c>
      <c r="O674" s="784">
        <v>6.44</v>
      </c>
      <c r="P674" s="783">
        <v>180</v>
      </c>
      <c r="Q674" s="783">
        <v>801.27</v>
      </c>
      <c r="R674" s="783">
        <v>338.66</v>
      </c>
      <c r="S674" s="783">
        <v>76.45</v>
      </c>
      <c r="T674" s="783">
        <v>386.15</v>
      </c>
      <c r="U674" s="785">
        <v>44680.750289351898</v>
      </c>
    </row>
    <row r="675" spans="1:21">
      <c r="A675" s="782">
        <v>44680</v>
      </c>
      <c r="B675" s="783" t="s">
        <v>51</v>
      </c>
      <c r="C675" s="783" t="s">
        <v>4042</v>
      </c>
      <c r="D675" s="783" t="s">
        <v>4016</v>
      </c>
      <c r="E675" s="783" t="s">
        <v>106</v>
      </c>
      <c r="F675" s="783" t="s">
        <v>4011</v>
      </c>
      <c r="G675" s="783" t="str">
        <f t="shared" si="37"/>
        <v>Renewal (20% in 2020)</v>
      </c>
      <c r="H675" s="783" t="s">
        <v>5512</v>
      </c>
      <c r="I675" s="783" t="s">
        <v>5513</v>
      </c>
      <c r="J675" s="783">
        <v>20</v>
      </c>
      <c r="K675" s="783" t="s">
        <v>99</v>
      </c>
      <c r="L675" s="783" t="s">
        <v>4096</v>
      </c>
      <c r="M675" s="784">
        <v>125626.75</v>
      </c>
      <c r="N675" s="784">
        <v>120.24</v>
      </c>
      <c r="O675" s="784">
        <v>6.53</v>
      </c>
      <c r="P675" s="783">
        <v>160</v>
      </c>
      <c r="Q675" s="783">
        <v>5464.76</v>
      </c>
      <c r="R675" s="783">
        <v>3530.11</v>
      </c>
      <c r="S675" s="783">
        <v>540.20000000000005</v>
      </c>
      <c r="T675" s="783">
        <v>1394.46</v>
      </c>
      <c r="U675" s="785">
        <v>44683.4868055556</v>
      </c>
    </row>
    <row r="676" spans="1:21">
      <c r="A676" s="782">
        <v>44709</v>
      </c>
      <c r="B676" s="783" t="s">
        <v>882</v>
      </c>
      <c r="C676" s="783" t="s">
        <v>4052</v>
      </c>
      <c r="D676" s="783" t="s">
        <v>4021</v>
      </c>
      <c r="E676" s="783" t="s">
        <v>5514</v>
      </c>
      <c r="F676" s="783" t="s">
        <v>4011</v>
      </c>
      <c r="G676" s="783" t="str">
        <f t="shared" si="37"/>
        <v>Renewal (25% in 2020)</v>
      </c>
      <c r="H676" s="783" t="s">
        <v>5515</v>
      </c>
      <c r="I676" s="783" t="s">
        <v>5516</v>
      </c>
      <c r="J676" s="783">
        <v>15</v>
      </c>
      <c r="K676" s="783" t="s">
        <v>99</v>
      </c>
      <c r="L676" s="783" t="s">
        <v>4096</v>
      </c>
      <c r="M676" s="784">
        <v>74282.179999999993</v>
      </c>
      <c r="N676" s="784">
        <v>70.209999999999994</v>
      </c>
      <c r="O676" s="784">
        <v>5.29</v>
      </c>
      <c r="P676" s="783">
        <v>200</v>
      </c>
      <c r="Q676" s="783">
        <v>4798.63</v>
      </c>
      <c r="R676" s="783">
        <v>1856.94</v>
      </c>
      <c r="S676" s="783">
        <v>616.65</v>
      </c>
      <c r="T676" s="783">
        <v>2325.0300000000002</v>
      </c>
      <c r="U676" s="785">
        <v>44711.660694444399</v>
      </c>
    </row>
    <row r="677" spans="1:21">
      <c r="A677" s="782">
        <v>44685</v>
      </c>
      <c r="B677" s="783" t="s">
        <v>113</v>
      </c>
      <c r="C677" s="783" t="s">
        <v>4097</v>
      </c>
      <c r="D677" s="783" t="s">
        <v>4038</v>
      </c>
      <c r="E677" s="783" t="s">
        <v>5517</v>
      </c>
      <c r="F677" s="783" t="s">
        <v>4011</v>
      </c>
      <c r="G677" s="783" t="str">
        <f t="shared" si="37"/>
        <v>Renewal (15% in 2020)</v>
      </c>
      <c r="H677" s="783" t="s">
        <v>5518</v>
      </c>
      <c r="I677" s="783" t="s">
        <v>5519</v>
      </c>
      <c r="J677" s="783">
        <v>15</v>
      </c>
      <c r="K677" s="783" t="s">
        <v>99</v>
      </c>
      <c r="L677" s="783" t="s">
        <v>4096</v>
      </c>
      <c r="M677" s="784">
        <v>14833.9</v>
      </c>
      <c r="N677" s="784">
        <v>13.96</v>
      </c>
      <c r="O677" s="784">
        <v>4.83</v>
      </c>
      <c r="P677" s="783">
        <v>220</v>
      </c>
      <c r="Q677" s="783">
        <v>982</v>
      </c>
      <c r="R677" s="783">
        <v>330.11</v>
      </c>
      <c r="S677" s="783">
        <v>154.94999999999999</v>
      </c>
      <c r="T677" s="783">
        <v>496.94</v>
      </c>
      <c r="U677" s="785">
        <v>44687.659293981502</v>
      </c>
    </row>
    <row r="678" spans="1:21">
      <c r="A678" s="782">
        <v>44699</v>
      </c>
      <c r="B678" s="783" t="s">
        <v>41</v>
      </c>
      <c r="C678" s="783" t="s">
        <v>4121</v>
      </c>
      <c r="D678" s="783" t="s">
        <v>4009</v>
      </c>
      <c r="E678" s="783" t="s">
        <v>5520</v>
      </c>
      <c r="F678" s="783" t="s">
        <v>4011</v>
      </c>
      <c r="G678" s="783" t="str">
        <f t="shared" si="37"/>
        <v>Renewal (25% in 2020)</v>
      </c>
      <c r="H678" s="783" t="s">
        <v>5521</v>
      </c>
      <c r="I678" s="783" t="s">
        <v>5522</v>
      </c>
      <c r="J678" s="783">
        <v>25</v>
      </c>
      <c r="K678" s="783" t="s">
        <v>99</v>
      </c>
      <c r="L678" s="783" t="s">
        <v>4096</v>
      </c>
      <c r="M678" s="784">
        <v>23501.56</v>
      </c>
      <c r="N678" s="784">
        <v>26.43</v>
      </c>
      <c r="O678" s="784">
        <v>4.9400000000000004</v>
      </c>
      <c r="P678" s="783">
        <v>180</v>
      </c>
      <c r="Q678" s="783">
        <v>815.5</v>
      </c>
      <c r="R678" s="783">
        <v>591.79999999999995</v>
      </c>
      <c r="S678" s="783">
        <v>117.95</v>
      </c>
      <c r="T678" s="783">
        <v>105.76</v>
      </c>
      <c r="U678" s="785">
        <v>44700.597268518497</v>
      </c>
    </row>
    <row r="679" spans="1:21">
      <c r="A679" s="782">
        <v>44686</v>
      </c>
      <c r="B679" s="783" t="s">
        <v>41</v>
      </c>
      <c r="C679" s="783" t="s">
        <v>4092</v>
      </c>
      <c r="D679" s="783" t="s">
        <v>4009</v>
      </c>
      <c r="E679" s="783" t="s">
        <v>5523</v>
      </c>
      <c r="F679" s="783" t="s">
        <v>4011</v>
      </c>
      <c r="G679" s="783" t="str">
        <f t="shared" si="37"/>
        <v>Renewal (20% in 2020)</v>
      </c>
      <c r="H679" s="783" t="s">
        <v>5524</v>
      </c>
      <c r="I679" s="783" t="s">
        <v>5525</v>
      </c>
      <c r="J679" s="783">
        <v>20</v>
      </c>
      <c r="K679" s="783" t="s">
        <v>99</v>
      </c>
      <c r="L679" s="783" t="s">
        <v>4096</v>
      </c>
      <c r="M679" s="784">
        <v>25440</v>
      </c>
      <c r="N679" s="784">
        <v>20</v>
      </c>
      <c r="O679" s="784">
        <v>6.36</v>
      </c>
      <c r="P679" s="783">
        <v>200</v>
      </c>
      <c r="Q679" s="783">
        <v>1333.06</v>
      </c>
      <c r="R679" s="783">
        <v>679.97</v>
      </c>
      <c r="S679" s="783">
        <v>246.04</v>
      </c>
      <c r="T679" s="783">
        <v>407.04</v>
      </c>
      <c r="U679" s="785">
        <v>44687.626284722202</v>
      </c>
    </row>
    <row r="680" spans="1:21">
      <c r="A680" s="782">
        <v>44686</v>
      </c>
      <c r="B680" s="783" t="s">
        <v>41</v>
      </c>
      <c r="C680" s="783" t="s">
        <v>4071</v>
      </c>
      <c r="D680" s="783" t="s">
        <v>4009</v>
      </c>
      <c r="E680" s="783" t="s">
        <v>5523</v>
      </c>
      <c r="F680" s="783" t="s">
        <v>4011</v>
      </c>
      <c r="G680" s="783" t="str">
        <f t="shared" si="37"/>
        <v>Renewal (20% in 2020)</v>
      </c>
      <c r="H680" s="783" t="s">
        <v>5524</v>
      </c>
      <c r="I680" s="783" t="s">
        <v>5525</v>
      </c>
      <c r="J680" s="783">
        <v>20</v>
      </c>
      <c r="K680" s="783" t="s">
        <v>99</v>
      </c>
      <c r="L680" s="783" t="s">
        <v>4096</v>
      </c>
      <c r="M680" s="784">
        <v>47954.400000000001</v>
      </c>
      <c r="N680" s="784">
        <v>37.700000000000003</v>
      </c>
      <c r="O680" s="784">
        <v>6.36</v>
      </c>
      <c r="P680" s="783">
        <v>200</v>
      </c>
      <c r="Q680" s="783">
        <v>1793.49</v>
      </c>
      <c r="R680" s="783">
        <v>937.46</v>
      </c>
      <c r="S680" s="783">
        <v>314.14999999999998</v>
      </c>
      <c r="T680" s="783">
        <v>541.88</v>
      </c>
      <c r="U680" s="785">
        <v>44687.626284722202</v>
      </c>
    </row>
    <row r="681" spans="1:21">
      <c r="A681" s="782">
        <v>44678</v>
      </c>
      <c r="B681" s="783" t="s">
        <v>74</v>
      </c>
      <c r="C681" s="783" t="s">
        <v>4097</v>
      </c>
      <c r="D681" s="783" t="s">
        <v>4038</v>
      </c>
      <c r="E681" s="783" t="s">
        <v>4361</v>
      </c>
      <c r="F681" s="783" t="s">
        <v>4011</v>
      </c>
      <c r="G681" s="783" t="s">
        <v>4028</v>
      </c>
      <c r="H681" s="783" t="s">
        <v>4362</v>
      </c>
      <c r="I681" s="783" t="s">
        <v>4363</v>
      </c>
      <c r="J681" s="783">
        <v>15</v>
      </c>
      <c r="K681" s="783" t="s">
        <v>99</v>
      </c>
      <c r="L681" s="783" t="s">
        <v>4096</v>
      </c>
      <c r="M681" s="784">
        <v>29910.51</v>
      </c>
      <c r="N681" s="784">
        <v>27.58</v>
      </c>
      <c r="O681" s="784">
        <v>7.23</v>
      </c>
      <c r="P681" s="783">
        <v>150</v>
      </c>
      <c r="Q681" s="783">
        <v>1980.08</v>
      </c>
      <c r="R681" s="783">
        <v>846.47</v>
      </c>
      <c r="S681" s="783">
        <v>131.61000000000001</v>
      </c>
      <c r="T681" s="783">
        <v>1002</v>
      </c>
      <c r="U681" s="785">
        <v>44680.483090277798</v>
      </c>
    </row>
    <row r="682" spans="1:21">
      <c r="A682" s="782">
        <v>44714</v>
      </c>
      <c r="B682" s="783" t="s">
        <v>74</v>
      </c>
      <c r="C682" s="783" t="s">
        <v>4097</v>
      </c>
      <c r="D682" s="783" t="s">
        <v>4038</v>
      </c>
      <c r="E682" s="783" t="s">
        <v>4364</v>
      </c>
      <c r="F682" s="783" t="s">
        <v>4011</v>
      </c>
      <c r="G682" s="783" t="str">
        <f t="shared" ref="G682:G694" si="38">VLOOKUP(I682,pacage,2,FALSE)</f>
        <v>Renewal (20% in 2020)</v>
      </c>
      <c r="H682" s="783" t="s">
        <v>4365</v>
      </c>
      <c r="I682" s="783" t="s">
        <v>4366</v>
      </c>
      <c r="J682" s="783">
        <v>20</v>
      </c>
      <c r="K682" s="783" t="s">
        <v>99</v>
      </c>
      <c r="L682" s="783" t="s">
        <v>4096</v>
      </c>
      <c r="M682" s="784">
        <v>37730</v>
      </c>
      <c r="N682" s="784">
        <v>24.5</v>
      </c>
      <c r="O682" s="784">
        <v>7</v>
      </c>
      <c r="P682" s="783">
        <v>220</v>
      </c>
      <c r="Q682" s="783">
        <v>1890.27</v>
      </c>
      <c r="R682" s="783">
        <v>839.65</v>
      </c>
      <c r="S682" s="783">
        <v>394.12</v>
      </c>
      <c r="T682" s="783">
        <v>656.5</v>
      </c>
      <c r="U682" s="785">
        <v>44715.463217592602</v>
      </c>
    </row>
    <row r="683" spans="1:21">
      <c r="A683" s="782">
        <v>44677</v>
      </c>
      <c r="B683" s="783" t="s">
        <v>30</v>
      </c>
      <c r="C683" s="783" t="s">
        <v>4026</v>
      </c>
      <c r="D683" s="783" t="s">
        <v>4021</v>
      </c>
      <c r="E683" s="783" t="s">
        <v>5526</v>
      </c>
      <c r="F683" s="783" t="s">
        <v>4011</v>
      </c>
      <c r="G683" s="783" t="str">
        <f t="shared" si="38"/>
        <v>Renewal (25% in 2020)</v>
      </c>
      <c r="H683" s="783" t="s">
        <v>5527</v>
      </c>
      <c r="I683" s="783" t="s">
        <v>5528</v>
      </c>
      <c r="J683" s="783">
        <v>25</v>
      </c>
      <c r="K683" s="783" t="s">
        <v>99</v>
      </c>
      <c r="L683" s="783" t="s">
        <v>4096</v>
      </c>
      <c r="M683" s="784">
        <v>2979.29</v>
      </c>
      <c r="N683" s="784">
        <v>1.64</v>
      </c>
      <c r="O683" s="784">
        <v>8.11</v>
      </c>
      <c r="P683" s="783">
        <v>224</v>
      </c>
      <c r="Q683" s="783">
        <v>136.44999999999999</v>
      </c>
      <c r="R683" s="783">
        <v>77.77</v>
      </c>
      <c r="S683" s="783">
        <v>38.42</v>
      </c>
      <c r="T683" s="783">
        <v>20.260000000000002</v>
      </c>
      <c r="U683" s="785">
        <v>44678.781539351898</v>
      </c>
    </row>
    <row r="684" spans="1:21">
      <c r="A684" s="782">
        <v>44677</v>
      </c>
      <c r="B684" s="783" t="s">
        <v>30</v>
      </c>
      <c r="C684" s="783" t="s">
        <v>4239</v>
      </c>
      <c r="D684" s="783" t="s">
        <v>4021</v>
      </c>
      <c r="E684" s="783" t="s">
        <v>5526</v>
      </c>
      <c r="F684" s="783" t="s">
        <v>4011</v>
      </c>
      <c r="G684" s="783" t="str">
        <f t="shared" si="38"/>
        <v>Renewal (25% in 2020)</v>
      </c>
      <c r="H684" s="783" t="s">
        <v>5527</v>
      </c>
      <c r="I684" s="783" t="s">
        <v>5528</v>
      </c>
      <c r="J684" s="783">
        <v>25</v>
      </c>
      <c r="K684" s="783" t="s">
        <v>99</v>
      </c>
      <c r="L684" s="783" t="s">
        <v>4096</v>
      </c>
      <c r="M684" s="784">
        <v>67778.84</v>
      </c>
      <c r="N684" s="784">
        <v>37.31</v>
      </c>
      <c r="O684" s="784">
        <v>8.11</v>
      </c>
      <c r="P684" s="783">
        <v>224</v>
      </c>
      <c r="Q684" s="783">
        <v>2324.81</v>
      </c>
      <c r="R684" s="783">
        <v>1298.21</v>
      </c>
      <c r="S684" s="783">
        <v>728.38</v>
      </c>
      <c r="T684" s="783">
        <v>298.23</v>
      </c>
      <c r="U684" s="785">
        <v>44678.781539351898</v>
      </c>
    </row>
    <row r="685" spans="1:21">
      <c r="A685" s="782">
        <v>44684</v>
      </c>
      <c r="B685" s="783" t="s">
        <v>4025</v>
      </c>
      <c r="C685" s="783" t="s">
        <v>4052</v>
      </c>
      <c r="D685" s="783" t="s">
        <v>4021</v>
      </c>
      <c r="E685" s="783" t="s">
        <v>4053</v>
      </c>
      <c r="F685" s="783" t="s">
        <v>4011</v>
      </c>
      <c r="G685" s="783" t="str">
        <f t="shared" si="38"/>
        <v>New contract</v>
      </c>
      <c r="H685" s="783" t="s">
        <v>4054</v>
      </c>
      <c r="I685" s="783" t="s">
        <v>4055</v>
      </c>
      <c r="J685" s="783">
        <v>25</v>
      </c>
      <c r="K685" s="783" t="s">
        <v>99</v>
      </c>
      <c r="L685" s="783" t="s">
        <v>4096</v>
      </c>
      <c r="M685" s="784">
        <v>100926</v>
      </c>
      <c r="N685" s="784">
        <v>90</v>
      </c>
      <c r="O685" s="784">
        <v>6.23</v>
      </c>
      <c r="P685" s="783">
        <v>180</v>
      </c>
      <c r="Q685" s="783">
        <v>3784.73</v>
      </c>
      <c r="R685" s="783">
        <v>2803.33</v>
      </c>
      <c r="S685" s="783">
        <v>557.5</v>
      </c>
      <c r="T685" s="783">
        <v>423.89</v>
      </c>
      <c r="U685" s="785">
        <v>44685.4058912037</v>
      </c>
    </row>
    <row r="686" spans="1:21">
      <c r="A686" s="782">
        <v>44678</v>
      </c>
      <c r="B686" s="783" t="s">
        <v>41</v>
      </c>
      <c r="C686" s="783" t="s">
        <v>4071</v>
      </c>
      <c r="D686" s="783" t="s">
        <v>4009</v>
      </c>
      <c r="E686" s="783" t="s">
        <v>1148</v>
      </c>
      <c r="F686" s="783" t="s">
        <v>4011</v>
      </c>
      <c r="G686" s="783" t="str">
        <f t="shared" si="38"/>
        <v>Renewal (20% in 2020)</v>
      </c>
      <c r="H686" s="783" t="s">
        <v>4142</v>
      </c>
      <c r="I686" s="783" t="s">
        <v>4143</v>
      </c>
      <c r="J686" s="783">
        <v>15</v>
      </c>
      <c r="K686" s="783" t="s">
        <v>99</v>
      </c>
      <c r="L686" s="783" t="s">
        <v>4096</v>
      </c>
      <c r="M686" s="784">
        <v>14972.36</v>
      </c>
      <c r="N686" s="784">
        <v>13.61</v>
      </c>
      <c r="O686" s="784">
        <v>5.79</v>
      </c>
      <c r="P686" s="783">
        <v>190</v>
      </c>
      <c r="Q686" s="783">
        <v>751.61</v>
      </c>
      <c r="R686" s="783">
        <v>308.10000000000002</v>
      </c>
      <c r="S686" s="783">
        <v>82.68</v>
      </c>
      <c r="T686" s="783">
        <v>360.83</v>
      </c>
      <c r="U686" s="785">
        <v>44680.655138888898</v>
      </c>
    </row>
    <row r="687" spans="1:21">
      <c r="A687" s="782">
        <v>44708</v>
      </c>
      <c r="B687" s="783" t="s">
        <v>41</v>
      </c>
      <c r="C687" s="783" t="s">
        <v>4008</v>
      </c>
      <c r="D687" s="783" t="s">
        <v>4009</v>
      </c>
      <c r="E687" s="783" t="s">
        <v>5529</v>
      </c>
      <c r="F687" s="783" t="s">
        <v>4011</v>
      </c>
      <c r="G687" s="783" t="str">
        <f t="shared" si="38"/>
        <v>Renewal (20% in 2020)</v>
      </c>
      <c r="H687" s="783" t="s">
        <v>5530</v>
      </c>
      <c r="I687" s="783" t="s">
        <v>5531</v>
      </c>
      <c r="J687" s="783">
        <v>20</v>
      </c>
      <c r="K687" s="783" t="s">
        <v>99</v>
      </c>
      <c r="L687" s="783" t="s">
        <v>4096</v>
      </c>
      <c r="M687" s="784">
        <v>18370.8</v>
      </c>
      <c r="N687" s="784">
        <v>18</v>
      </c>
      <c r="O687" s="784">
        <v>5.67</v>
      </c>
      <c r="P687" s="783">
        <v>180</v>
      </c>
      <c r="Q687" s="783">
        <v>949.77</v>
      </c>
      <c r="R687" s="783">
        <v>519.1</v>
      </c>
      <c r="S687" s="783">
        <v>105.51</v>
      </c>
      <c r="T687" s="783">
        <v>325.16000000000003</v>
      </c>
      <c r="U687" s="785">
        <v>44708.588553240697</v>
      </c>
    </row>
    <row r="688" spans="1:21">
      <c r="A688" s="782">
        <v>44678</v>
      </c>
      <c r="B688" s="783" t="s">
        <v>41</v>
      </c>
      <c r="C688" s="783" t="s">
        <v>4008</v>
      </c>
      <c r="D688" s="783" t="s">
        <v>4009</v>
      </c>
      <c r="E688" s="783" t="s">
        <v>5532</v>
      </c>
      <c r="F688" s="783" t="s">
        <v>4011</v>
      </c>
      <c r="G688" s="783" t="str">
        <f t="shared" si="38"/>
        <v>Renewal (15% in 2020)</v>
      </c>
      <c r="H688" s="783" t="s">
        <v>5533</v>
      </c>
      <c r="I688" s="783" t="s">
        <v>5534</v>
      </c>
      <c r="J688" s="783">
        <v>15</v>
      </c>
      <c r="K688" s="783" t="s">
        <v>99</v>
      </c>
      <c r="L688" s="783" t="s">
        <v>4096</v>
      </c>
      <c r="M688" s="784">
        <v>51738.06</v>
      </c>
      <c r="N688" s="784">
        <v>54.53</v>
      </c>
      <c r="O688" s="784">
        <v>5.93</v>
      </c>
      <c r="P688" s="783">
        <v>160</v>
      </c>
      <c r="Q688" s="783">
        <v>3538.88</v>
      </c>
      <c r="R688" s="783">
        <v>1521.1</v>
      </c>
      <c r="S688" s="783">
        <v>238</v>
      </c>
      <c r="T688" s="783">
        <v>1779.79</v>
      </c>
      <c r="U688" s="785">
        <v>44680.657766203702</v>
      </c>
    </row>
    <row r="689" spans="1:21">
      <c r="A689" s="782">
        <v>44714</v>
      </c>
      <c r="B689" s="783" t="s">
        <v>41</v>
      </c>
      <c r="C689" s="783" t="s">
        <v>4008</v>
      </c>
      <c r="D689" s="783" t="s">
        <v>4009</v>
      </c>
      <c r="E689" s="783" t="s">
        <v>5535</v>
      </c>
      <c r="F689" s="783" t="s">
        <v>4011</v>
      </c>
      <c r="G689" s="783" t="str">
        <f t="shared" si="38"/>
        <v>Renewal (20% in 2020)</v>
      </c>
      <c r="H689" s="783" t="s">
        <v>5536</v>
      </c>
      <c r="I689" s="783" t="s">
        <v>5537</v>
      </c>
      <c r="J689" s="783">
        <v>20</v>
      </c>
      <c r="K689" s="783" t="s">
        <v>99</v>
      </c>
      <c r="L689" s="783" t="s">
        <v>4096</v>
      </c>
      <c r="M689" s="784">
        <v>12243.83</v>
      </c>
      <c r="N689" s="784">
        <v>9.9600000000000009</v>
      </c>
      <c r="O689" s="784">
        <v>6.47</v>
      </c>
      <c r="P689" s="783">
        <v>190</v>
      </c>
      <c r="Q689" s="783">
        <v>633.01</v>
      </c>
      <c r="R689" s="783">
        <v>327.76</v>
      </c>
      <c r="S689" s="783">
        <v>88.53</v>
      </c>
      <c r="T689" s="783">
        <v>216.72</v>
      </c>
      <c r="U689" s="785">
        <v>44715.5711226852</v>
      </c>
    </row>
    <row r="690" spans="1:21">
      <c r="A690" s="782">
        <v>44680</v>
      </c>
      <c r="B690" s="783" t="s">
        <v>41</v>
      </c>
      <c r="C690" s="783" t="s">
        <v>4082</v>
      </c>
      <c r="D690" s="783" t="s">
        <v>4009</v>
      </c>
      <c r="E690" s="783" t="s">
        <v>5538</v>
      </c>
      <c r="F690" s="783" t="s">
        <v>4011</v>
      </c>
      <c r="G690" s="783" t="str">
        <f t="shared" si="38"/>
        <v>New Contract</v>
      </c>
      <c r="H690" s="783" t="s">
        <v>5539</v>
      </c>
      <c r="I690" s="783" t="s">
        <v>5540</v>
      </c>
      <c r="J690" s="783">
        <v>30</v>
      </c>
      <c r="K690" s="783" t="s">
        <v>99</v>
      </c>
      <c r="L690" s="783" t="s">
        <v>4096</v>
      </c>
      <c r="M690" s="784">
        <v>25768.14</v>
      </c>
      <c r="N690" s="784">
        <v>23.87</v>
      </c>
      <c r="O690" s="784">
        <v>6.24</v>
      </c>
      <c r="P690" s="783">
        <v>173</v>
      </c>
      <c r="Q690" s="783">
        <v>852.93</v>
      </c>
      <c r="R690" s="783">
        <v>752.43</v>
      </c>
      <c r="S690" s="783">
        <v>0</v>
      </c>
      <c r="T690" s="783">
        <v>100.5</v>
      </c>
      <c r="U690" s="785">
        <v>44680.743125000001</v>
      </c>
    </row>
    <row r="691" spans="1:21">
      <c r="A691" s="782">
        <v>44680</v>
      </c>
      <c r="B691" s="783" t="s">
        <v>228</v>
      </c>
      <c r="C691" s="783" t="s">
        <v>4675</v>
      </c>
      <c r="D691" s="783" t="s">
        <v>4193</v>
      </c>
      <c r="E691" s="783" t="s">
        <v>5541</v>
      </c>
      <c r="F691" s="783" t="s">
        <v>4011</v>
      </c>
      <c r="G691" s="783" t="str">
        <f t="shared" si="38"/>
        <v>Renewal (20% in 2020)</v>
      </c>
      <c r="H691" s="783" t="s">
        <v>5542</v>
      </c>
      <c r="I691" s="783" t="s">
        <v>5543</v>
      </c>
      <c r="J691" s="783">
        <v>25</v>
      </c>
      <c r="K691" s="783" t="s">
        <v>99</v>
      </c>
      <c r="L691" s="783" t="s">
        <v>4096</v>
      </c>
      <c r="M691" s="784">
        <v>156202.79999999999</v>
      </c>
      <c r="N691" s="784">
        <v>117.8</v>
      </c>
      <c r="O691" s="784">
        <v>6.63</v>
      </c>
      <c r="P691" s="783">
        <v>200</v>
      </c>
      <c r="Q691" s="783">
        <v>7950.72</v>
      </c>
      <c r="R691" s="783">
        <v>5066.83</v>
      </c>
      <c r="S691" s="783">
        <v>1665.51</v>
      </c>
      <c r="T691" s="783">
        <v>1218.3800000000001</v>
      </c>
      <c r="U691" s="785">
        <v>44683.503043981502</v>
      </c>
    </row>
    <row r="692" spans="1:21">
      <c r="A692" s="782">
        <v>44680</v>
      </c>
      <c r="B692" s="783" t="s">
        <v>47</v>
      </c>
      <c r="C692" s="783" t="s">
        <v>4101</v>
      </c>
      <c r="D692" s="783" t="s">
        <v>4102</v>
      </c>
      <c r="E692" s="783" t="s">
        <v>4638</v>
      </c>
      <c r="F692" s="783" t="s">
        <v>4011</v>
      </c>
      <c r="G692" s="783" t="str">
        <f t="shared" si="38"/>
        <v>Renewal (15% in 2020)</v>
      </c>
      <c r="H692" s="783" t="s">
        <v>4639</v>
      </c>
      <c r="I692" s="783" t="s">
        <v>4640</v>
      </c>
      <c r="J692" s="783">
        <v>15</v>
      </c>
      <c r="K692" s="783" t="s">
        <v>99</v>
      </c>
      <c r="L692" s="783" t="s">
        <v>4096</v>
      </c>
      <c r="M692" s="784">
        <v>212283.5</v>
      </c>
      <c r="N692" s="784">
        <v>148.44999999999999</v>
      </c>
      <c r="O692" s="784">
        <v>6.5</v>
      </c>
      <c r="P692" s="783">
        <v>220</v>
      </c>
      <c r="Q692" s="783">
        <v>10911.37</v>
      </c>
      <c r="R692" s="783">
        <v>3822.74</v>
      </c>
      <c r="S692" s="783">
        <v>1781.54</v>
      </c>
      <c r="T692" s="783">
        <v>5307.09</v>
      </c>
      <c r="U692" s="785">
        <v>44683.488113425898</v>
      </c>
    </row>
    <row r="693" spans="1:21">
      <c r="A693" s="782">
        <v>44680</v>
      </c>
      <c r="B693" s="783" t="s">
        <v>41</v>
      </c>
      <c r="C693" s="783" t="s">
        <v>4139</v>
      </c>
      <c r="D693" s="783" t="s">
        <v>4009</v>
      </c>
      <c r="E693" s="783" t="s">
        <v>4144</v>
      </c>
      <c r="F693" s="783" t="s">
        <v>4011</v>
      </c>
      <c r="G693" s="783" t="str">
        <f t="shared" si="38"/>
        <v>Renewal (15% in 2020)</v>
      </c>
      <c r="H693" s="783" t="s">
        <v>4145</v>
      </c>
      <c r="I693" s="783" t="s">
        <v>4146</v>
      </c>
      <c r="J693" s="783">
        <v>15</v>
      </c>
      <c r="K693" s="783" t="s">
        <v>99</v>
      </c>
      <c r="L693" s="783" t="s">
        <v>4096</v>
      </c>
      <c r="M693" s="784">
        <v>12502.68</v>
      </c>
      <c r="N693" s="784">
        <v>11.77</v>
      </c>
      <c r="O693" s="784">
        <v>6.07</v>
      </c>
      <c r="P693" s="783">
        <v>175</v>
      </c>
      <c r="Q693" s="783">
        <v>651.39</v>
      </c>
      <c r="R693" s="783">
        <v>290.45999999999998</v>
      </c>
      <c r="S693" s="783">
        <v>48.37</v>
      </c>
      <c r="T693" s="783">
        <v>312.57</v>
      </c>
      <c r="U693" s="785">
        <v>44680.748159722199</v>
      </c>
    </row>
    <row r="694" spans="1:21">
      <c r="A694" s="782">
        <v>44680</v>
      </c>
      <c r="B694" s="783" t="s">
        <v>30</v>
      </c>
      <c r="C694" s="783" t="s">
        <v>4089</v>
      </c>
      <c r="D694" s="783" t="s">
        <v>4021</v>
      </c>
      <c r="E694" s="783" t="s">
        <v>5544</v>
      </c>
      <c r="F694" s="783" t="s">
        <v>4011</v>
      </c>
      <c r="G694" s="783" t="str">
        <f t="shared" si="38"/>
        <v>Renewal (15% in 2020)</v>
      </c>
      <c r="H694" s="783" t="s">
        <v>5545</v>
      </c>
      <c r="I694" s="783" t="s">
        <v>5546</v>
      </c>
      <c r="J694" s="783">
        <v>15</v>
      </c>
      <c r="K694" s="783" t="s">
        <v>99</v>
      </c>
      <c r="L694" s="783" t="s">
        <v>4096</v>
      </c>
      <c r="M694" s="784">
        <v>21518.37</v>
      </c>
      <c r="N694" s="784">
        <v>19.23</v>
      </c>
      <c r="O694" s="784">
        <v>7.46</v>
      </c>
      <c r="P694" s="783">
        <v>150</v>
      </c>
      <c r="Q694" s="783">
        <v>1439.58</v>
      </c>
      <c r="R694" s="783">
        <v>626.17999999999995</v>
      </c>
      <c r="S694" s="783">
        <v>96.83</v>
      </c>
      <c r="T694" s="783">
        <v>716.56</v>
      </c>
      <c r="U694" s="785">
        <v>44683.468275462998</v>
      </c>
    </row>
    <row r="695" spans="1:21">
      <c r="A695" s="782">
        <v>44680</v>
      </c>
      <c r="B695" s="783" t="s">
        <v>4025</v>
      </c>
      <c r="C695" s="783" t="s">
        <v>4026</v>
      </c>
      <c r="D695" s="783" t="s">
        <v>4021</v>
      </c>
      <c r="E695" s="783" t="s">
        <v>5547</v>
      </c>
      <c r="F695" s="783" t="s">
        <v>4011</v>
      </c>
      <c r="G695" s="783" t="s">
        <v>4028</v>
      </c>
      <c r="H695" s="783" t="s">
        <v>5548</v>
      </c>
      <c r="I695" s="783" t="s">
        <v>5549</v>
      </c>
      <c r="J695" s="783">
        <v>20</v>
      </c>
      <c r="K695" s="783" t="s">
        <v>99</v>
      </c>
      <c r="L695" s="783" t="s">
        <v>4096</v>
      </c>
      <c r="M695" s="784">
        <v>17179.8</v>
      </c>
      <c r="N695" s="784">
        <v>16.5</v>
      </c>
      <c r="O695" s="784">
        <v>5.48</v>
      </c>
      <c r="P695" s="783">
        <v>190</v>
      </c>
      <c r="Q695" s="783">
        <v>1006.74</v>
      </c>
      <c r="R695" s="783">
        <v>528.72</v>
      </c>
      <c r="S695" s="783">
        <v>141.29</v>
      </c>
      <c r="T695" s="783">
        <v>336.72</v>
      </c>
      <c r="U695" s="785">
        <v>44680.740601851903</v>
      </c>
    </row>
    <row r="696" spans="1:21">
      <c r="A696" s="782">
        <v>44680</v>
      </c>
      <c r="B696" s="783" t="s">
        <v>113</v>
      </c>
      <c r="C696" s="783" t="s">
        <v>4606</v>
      </c>
      <c r="D696" s="783" t="s">
        <v>4009</v>
      </c>
      <c r="E696" s="783" t="s">
        <v>2717</v>
      </c>
      <c r="F696" s="783" t="s">
        <v>4011</v>
      </c>
      <c r="G696" s="783" t="s">
        <v>4028</v>
      </c>
      <c r="H696" s="783" t="s">
        <v>5550</v>
      </c>
      <c r="I696" s="783" t="s">
        <v>5551</v>
      </c>
      <c r="J696" s="783">
        <v>25</v>
      </c>
      <c r="K696" s="783" t="s">
        <v>99</v>
      </c>
      <c r="L696" s="783" t="s">
        <v>4096</v>
      </c>
      <c r="M696" s="784">
        <v>5359.05</v>
      </c>
      <c r="N696" s="784">
        <v>3.91</v>
      </c>
      <c r="O696" s="784">
        <v>6.23</v>
      </c>
      <c r="P696" s="783">
        <v>220</v>
      </c>
      <c r="Q696" s="783">
        <v>260.45</v>
      </c>
      <c r="R696" s="783">
        <v>142.86000000000001</v>
      </c>
      <c r="S696" s="783">
        <v>67.75</v>
      </c>
      <c r="T696" s="783">
        <v>49.84</v>
      </c>
      <c r="U696" s="785">
        <v>44683.484479166698</v>
      </c>
    </row>
    <row r="697" spans="1:21">
      <c r="A697" s="782">
        <v>44680</v>
      </c>
      <c r="B697" s="783" t="s">
        <v>4025</v>
      </c>
      <c r="C697" s="783" t="s">
        <v>4026</v>
      </c>
      <c r="D697" s="783" t="s">
        <v>4021</v>
      </c>
      <c r="E697" s="783" t="s">
        <v>5552</v>
      </c>
      <c r="F697" s="783" t="s">
        <v>4011</v>
      </c>
      <c r="G697" s="783" t="str">
        <f>VLOOKUP(I697,pacage,2,FALSE)</f>
        <v>New Contract</v>
      </c>
      <c r="H697" s="783" t="s">
        <v>5553</v>
      </c>
      <c r="I697" s="783" t="s">
        <v>5554</v>
      </c>
      <c r="J697" s="783">
        <v>25</v>
      </c>
      <c r="K697" s="783" t="s">
        <v>99</v>
      </c>
      <c r="L697" s="783" t="s">
        <v>4096</v>
      </c>
      <c r="M697" s="784">
        <v>16964.099999999999</v>
      </c>
      <c r="N697" s="784">
        <v>15.45</v>
      </c>
      <c r="O697" s="784">
        <v>6.1</v>
      </c>
      <c r="P697" s="783">
        <v>180</v>
      </c>
      <c r="Q697" s="783">
        <v>776.96</v>
      </c>
      <c r="R697" s="783">
        <v>551.09</v>
      </c>
      <c r="S697" s="783">
        <v>110.51</v>
      </c>
      <c r="T697" s="783">
        <v>115.36</v>
      </c>
      <c r="U697" s="785">
        <v>44684.390243055597</v>
      </c>
    </row>
    <row r="698" spans="1:21">
      <c r="A698" s="782">
        <v>44693</v>
      </c>
      <c r="B698" s="783" t="s">
        <v>41</v>
      </c>
      <c r="C698" s="783" t="s">
        <v>4008</v>
      </c>
      <c r="D698" s="783" t="s">
        <v>4009</v>
      </c>
      <c r="E698" s="783" t="s">
        <v>5555</v>
      </c>
      <c r="F698" s="783" t="s">
        <v>4011</v>
      </c>
      <c r="G698" s="783" t="str">
        <f>VLOOKUP(I698,pacage,2,FALSE)</f>
        <v>Renewal (20% in 2020)</v>
      </c>
      <c r="H698" s="783" t="s">
        <v>5556</v>
      </c>
      <c r="I698" s="783" t="s">
        <v>5557</v>
      </c>
      <c r="J698" s="783">
        <v>20</v>
      </c>
      <c r="K698" s="783" t="s">
        <v>99</v>
      </c>
      <c r="L698" s="783" t="s">
        <v>4096</v>
      </c>
      <c r="M698" s="784">
        <v>25764</v>
      </c>
      <c r="N698" s="784">
        <v>21.47</v>
      </c>
      <c r="O698" s="784">
        <v>6</v>
      </c>
      <c r="P698" s="783">
        <v>200</v>
      </c>
      <c r="Q698" s="783">
        <v>1332</v>
      </c>
      <c r="R698" s="783">
        <v>655.20000000000005</v>
      </c>
      <c r="S698" s="783">
        <v>220.77</v>
      </c>
      <c r="T698" s="783">
        <v>456.02</v>
      </c>
      <c r="U698" s="785">
        <v>44693.465833333299</v>
      </c>
    </row>
    <row r="699" spans="1:21">
      <c r="A699" s="782">
        <v>44681</v>
      </c>
      <c r="B699" s="783" t="s">
        <v>41</v>
      </c>
      <c r="C699" s="783" t="s">
        <v>4092</v>
      </c>
      <c r="D699" s="783" t="s">
        <v>4009</v>
      </c>
      <c r="E699" s="783" t="s">
        <v>5558</v>
      </c>
      <c r="F699" s="783" t="s">
        <v>4011</v>
      </c>
      <c r="G699" s="783" t="str">
        <f>VLOOKUP(I699,pacage,2,FALSE)</f>
        <v>Renewal (25% in 2020)</v>
      </c>
      <c r="H699" s="783" t="s">
        <v>5559</v>
      </c>
      <c r="I699" s="783" t="s">
        <v>5560</v>
      </c>
      <c r="J699" s="783">
        <v>25</v>
      </c>
      <c r="K699" s="783" t="s">
        <v>99</v>
      </c>
      <c r="L699" s="783" t="s">
        <v>4096</v>
      </c>
      <c r="M699" s="784">
        <v>53606.73</v>
      </c>
      <c r="N699" s="784">
        <v>54.65</v>
      </c>
      <c r="O699" s="784">
        <v>5.67</v>
      </c>
      <c r="P699" s="783">
        <v>173</v>
      </c>
      <c r="Q699" s="783">
        <v>2171.0700000000002</v>
      </c>
      <c r="R699" s="783">
        <v>1656.45</v>
      </c>
      <c r="S699" s="783">
        <v>294.83999999999997</v>
      </c>
      <c r="T699" s="783">
        <v>219.79</v>
      </c>
      <c r="U699" s="785">
        <v>44683.418275463002</v>
      </c>
    </row>
    <row r="700" spans="1:21">
      <c r="A700" s="782">
        <v>44715</v>
      </c>
      <c r="B700" s="783" t="s">
        <v>51</v>
      </c>
      <c r="C700" s="783" t="s">
        <v>4042</v>
      </c>
      <c r="D700" s="783" t="s">
        <v>4016</v>
      </c>
      <c r="E700" s="783" t="s">
        <v>3849</v>
      </c>
      <c r="F700" s="783" t="s">
        <v>4011</v>
      </c>
      <c r="G700" s="783" t="str">
        <f>VLOOKUP(I700,pacage,2,FALSE)</f>
        <v>Renewal (15% in 2020)</v>
      </c>
      <c r="H700" s="783" t="s">
        <v>5561</v>
      </c>
      <c r="I700" s="783" t="s">
        <v>5562</v>
      </c>
      <c r="J700" s="783">
        <v>15</v>
      </c>
      <c r="K700" s="783" t="s">
        <v>99</v>
      </c>
      <c r="L700" s="783" t="s">
        <v>4096</v>
      </c>
      <c r="M700" s="784">
        <v>42308.88</v>
      </c>
      <c r="N700" s="784">
        <v>30.57</v>
      </c>
      <c r="O700" s="784">
        <v>8</v>
      </c>
      <c r="P700" s="783">
        <v>173</v>
      </c>
      <c r="Q700" s="783">
        <v>2246.6</v>
      </c>
      <c r="R700" s="783">
        <v>1188.8800000000001</v>
      </c>
      <c r="S700" s="783">
        <v>181.93</v>
      </c>
      <c r="T700" s="783">
        <v>875.79</v>
      </c>
      <c r="U700" s="785">
        <v>44715.466388888897</v>
      </c>
    </row>
    <row r="701" spans="1:21">
      <c r="A701" s="782">
        <v>44705</v>
      </c>
      <c r="B701" s="783" t="s">
        <v>41</v>
      </c>
      <c r="C701" s="783" t="s">
        <v>4082</v>
      </c>
      <c r="D701" s="783" t="s">
        <v>4009</v>
      </c>
      <c r="E701" s="783" t="s">
        <v>535</v>
      </c>
      <c r="F701" s="783" t="s">
        <v>4011</v>
      </c>
      <c r="G701" s="783" t="str">
        <f>VLOOKUP(I701,pacage,2,FALSE)</f>
        <v>Renewal (20% in 2020)</v>
      </c>
      <c r="H701" s="783" t="s">
        <v>5563</v>
      </c>
      <c r="I701" s="783" t="s">
        <v>5564</v>
      </c>
      <c r="J701" s="783">
        <v>20</v>
      </c>
      <c r="K701" s="783" t="s">
        <v>99</v>
      </c>
      <c r="L701" s="783" t="s">
        <v>4096</v>
      </c>
      <c r="M701" s="784">
        <v>17056.419999999998</v>
      </c>
      <c r="N701" s="784">
        <v>12.48</v>
      </c>
      <c r="O701" s="784">
        <v>7.9</v>
      </c>
      <c r="P701" s="783">
        <v>173</v>
      </c>
      <c r="Q701" s="783">
        <v>844.29</v>
      </c>
      <c r="R701" s="783">
        <v>498.05</v>
      </c>
      <c r="S701" s="783">
        <v>88.69</v>
      </c>
      <c r="T701" s="783">
        <v>257.55</v>
      </c>
      <c r="U701" s="785">
        <v>44706.465775463003</v>
      </c>
    </row>
    <row r="702" spans="1:21">
      <c r="A702" s="782">
        <v>44700</v>
      </c>
      <c r="B702" s="783" t="s">
        <v>41</v>
      </c>
      <c r="C702" s="783" t="s">
        <v>4071</v>
      </c>
      <c r="D702" s="783" t="s">
        <v>4009</v>
      </c>
      <c r="E702" s="783" t="s">
        <v>5565</v>
      </c>
      <c r="F702" s="783" t="s">
        <v>4011</v>
      </c>
      <c r="G702" s="783" t="s">
        <v>4028</v>
      </c>
      <c r="H702" s="783" t="s">
        <v>5566</v>
      </c>
      <c r="I702" s="783" t="s">
        <v>5567</v>
      </c>
      <c r="J702" s="783">
        <v>25</v>
      </c>
      <c r="K702" s="783" t="s">
        <v>99</v>
      </c>
      <c r="L702" s="783" t="s">
        <v>4096</v>
      </c>
      <c r="M702" s="784">
        <v>36085.29</v>
      </c>
      <c r="N702" s="784">
        <v>28.85</v>
      </c>
      <c r="O702" s="784">
        <v>7.23</v>
      </c>
      <c r="P702" s="783">
        <v>173</v>
      </c>
      <c r="Q702" s="783">
        <v>1046.47</v>
      </c>
      <c r="R702" s="783">
        <v>815.53</v>
      </c>
      <c r="S702" s="783">
        <v>126.3</v>
      </c>
      <c r="T702" s="783">
        <v>104.65</v>
      </c>
      <c r="U702" s="785">
        <v>44705.666585648098</v>
      </c>
    </row>
    <row r="703" spans="1:21">
      <c r="A703" s="782">
        <v>44703</v>
      </c>
      <c r="B703" s="783" t="s">
        <v>41</v>
      </c>
      <c r="C703" s="783" t="s">
        <v>4071</v>
      </c>
      <c r="D703" s="783" t="s">
        <v>4009</v>
      </c>
      <c r="E703" s="783" t="s">
        <v>4147</v>
      </c>
      <c r="F703" s="783" t="s">
        <v>4011</v>
      </c>
      <c r="G703" s="783" t="str">
        <f>VLOOKUP(I703,pacage,2,FALSE)</f>
        <v>Renewal (15% in 2020)</v>
      </c>
      <c r="H703" s="783" t="s">
        <v>4148</v>
      </c>
      <c r="I703" s="783" t="s">
        <v>4149</v>
      </c>
      <c r="J703" s="783">
        <v>15</v>
      </c>
      <c r="K703" s="783" t="s">
        <v>99</v>
      </c>
      <c r="L703" s="783" t="s">
        <v>4096</v>
      </c>
      <c r="M703" s="784">
        <v>31989.54</v>
      </c>
      <c r="N703" s="784">
        <v>25.51</v>
      </c>
      <c r="O703" s="784">
        <v>6.27</v>
      </c>
      <c r="P703" s="783">
        <v>200</v>
      </c>
      <c r="Q703" s="783">
        <v>1605.87</v>
      </c>
      <c r="R703" s="783">
        <v>625.36</v>
      </c>
      <c r="S703" s="783">
        <v>209.56</v>
      </c>
      <c r="T703" s="783">
        <v>770.95</v>
      </c>
      <c r="U703" s="785">
        <v>44704.407847222203</v>
      </c>
    </row>
    <row r="704" spans="1:21">
      <c r="A704" s="782">
        <v>44701</v>
      </c>
      <c r="B704" s="783" t="s">
        <v>1274</v>
      </c>
      <c r="C704" s="783" t="s">
        <v>4139</v>
      </c>
      <c r="D704" s="783" t="s">
        <v>4009</v>
      </c>
      <c r="E704" s="783" t="s">
        <v>5568</v>
      </c>
      <c r="F704" s="783" t="s">
        <v>4011</v>
      </c>
      <c r="G704" s="783" t="s">
        <v>4028</v>
      </c>
      <c r="H704" s="783" t="s">
        <v>5569</v>
      </c>
      <c r="I704" s="783" t="s">
        <v>5570</v>
      </c>
      <c r="J704" s="783">
        <v>25</v>
      </c>
      <c r="K704" s="783" t="s">
        <v>99</v>
      </c>
      <c r="L704" s="783" t="s">
        <v>4096</v>
      </c>
      <c r="M704" s="784">
        <v>46711.62</v>
      </c>
      <c r="N704" s="784">
        <v>37.61</v>
      </c>
      <c r="O704" s="784">
        <v>6.9</v>
      </c>
      <c r="P704" s="783">
        <v>180</v>
      </c>
      <c r="Q704" s="783">
        <v>1406.02</v>
      </c>
      <c r="R704" s="783">
        <v>1055.03</v>
      </c>
      <c r="S704" s="783">
        <v>210.85</v>
      </c>
      <c r="T704" s="783">
        <v>140.13</v>
      </c>
      <c r="U704" s="785">
        <v>44704.417534722197</v>
      </c>
    </row>
    <row r="705" spans="1:21">
      <c r="A705" s="782">
        <v>44701</v>
      </c>
      <c r="B705" s="783" t="s">
        <v>41</v>
      </c>
      <c r="C705" s="783" t="s">
        <v>4071</v>
      </c>
      <c r="D705" s="783" t="s">
        <v>4009</v>
      </c>
      <c r="E705" s="783" t="s">
        <v>5571</v>
      </c>
      <c r="F705" s="783" t="s">
        <v>4011</v>
      </c>
      <c r="G705" s="783" t="str">
        <f t="shared" ref="G705:G716" si="39">VLOOKUP(I705,pacage,2,FALSE)</f>
        <v>New Contract</v>
      </c>
      <c r="H705" s="783" t="s">
        <v>5572</v>
      </c>
      <c r="I705" s="783" t="s">
        <v>5573</v>
      </c>
      <c r="J705" s="783">
        <v>25</v>
      </c>
      <c r="K705" s="783" t="s">
        <v>99</v>
      </c>
      <c r="L705" s="783" t="s">
        <v>4096</v>
      </c>
      <c r="M705" s="784">
        <v>53422.74</v>
      </c>
      <c r="N705" s="784">
        <v>39.69</v>
      </c>
      <c r="O705" s="784">
        <v>6.73</v>
      </c>
      <c r="P705" s="783">
        <v>200</v>
      </c>
      <c r="Q705" s="783">
        <v>1549.26</v>
      </c>
      <c r="R705" s="783">
        <v>1044.3599999999999</v>
      </c>
      <c r="S705" s="783">
        <v>349.97</v>
      </c>
      <c r="T705" s="783">
        <v>154.93</v>
      </c>
      <c r="U705" s="785">
        <v>44704.414976851898</v>
      </c>
    </row>
    <row r="706" spans="1:21">
      <c r="A706" s="782">
        <v>44704</v>
      </c>
      <c r="B706" s="783" t="s">
        <v>228</v>
      </c>
      <c r="C706" s="783" t="s">
        <v>4251</v>
      </c>
      <c r="D706" s="783" t="s">
        <v>4193</v>
      </c>
      <c r="E706" s="783" t="s">
        <v>5574</v>
      </c>
      <c r="F706" s="783" t="s">
        <v>4011</v>
      </c>
      <c r="G706" s="783" t="str">
        <f t="shared" si="39"/>
        <v>New contract</v>
      </c>
      <c r="H706" s="783" t="s">
        <v>5575</v>
      </c>
      <c r="I706" s="783" t="s">
        <v>5576</v>
      </c>
      <c r="J706" s="783">
        <v>25</v>
      </c>
      <c r="K706" s="783" t="s">
        <v>99</v>
      </c>
      <c r="L706" s="783" t="s">
        <v>4096</v>
      </c>
      <c r="M706" s="784">
        <v>40385.4</v>
      </c>
      <c r="N706" s="784">
        <v>23.21</v>
      </c>
      <c r="O706" s="784">
        <v>8.6999999999999993</v>
      </c>
      <c r="P706" s="783">
        <v>200</v>
      </c>
      <c r="Q706" s="783">
        <v>1308.49</v>
      </c>
      <c r="R706" s="783">
        <v>876.83</v>
      </c>
      <c r="S706" s="783">
        <v>298.39</v>
      </c>
      <c r="T706" s="783">
        <v>133.27000000000001</v>
      </c>
      <c r="U706" s="785">
        <v>44704.5703587963</v>
      </c>
    </row>
    <row r="707" spans="1:21">
      <c r="A707" s="782">
        <v>44705</v>
      </c>
      <c r="B707" s="783" t="s">
        <v>74</v>
      </c>
      <c r="C707" s="783" t="s">
        <v>4097</v>
      </c>
      <c r="D707" s="783" t="s">
        <v>4038</v>
      </c>
      <c r="E707" s="783" t="s">
        <v>5577</v>
      </c>
      <c r="F707" s="783" t="s">
        <v>4011</v>
      </c>
      <c r="G707" s="783" t="str">
        <f t="shared" si="39"/>
        <v>Renewal (20% in 2020)</v>
      </c>
      <c r="H707" s="783" t="s">
        <v>5578</v>
      </c>
      <c r="I707" s="783" t="s">
        <v>5579</v>
      </c>
      <c r="J707" s="783">
        <v>20</v>
      </c>
      <c r="K707" s="783" t="s">
        <v>99</v>
      </c>
      <c r="L707" s="783" t="s">
        <v>4096</v>
      </c>
      <c r="M707" s="784">
        <v>35669.32</v>
      </c>
      <c r="N707" s="784">
        <v>31.51</v>
      </c>
      <c r="O707" s="784">
        <v>5.66</v>
      </c>
      <c r="P707" s="783">
        <v>200</v>
      </c>
      <c r="Q707" s="783">
        <v>1787.03</v>
      </c>
      <c r="R707" s="783">
        <v>873.17</v>
      </c>
      <c r="S707" s="783">
        <v>293.22000000000003</v>
      </c>
      <c r="T707" s="783">
        <v>620.65</v>
      </c>
      <c r="U707" s="785">
        <v>44708.952141203699</v>
      </c>
    </row>
    <row r="708" spans="1:21">
      <c r="A708" s="782">
        <v>44704</v>
      </c>
      <c r="B708" s="783" t="s">
        <v>41</v>
      </c>
      <c r="C708" s="783" t="s">
        <v>4071</v>
      </c>
      <c r="D708" s="783" t="s">
        <v>4009</v>
      </c>
      <c r="E708" s="783" t="s">
        <v>322</v>
      </c>
      <c r="F708" s="783" t="s">
        <v>4011</v>
      </c>
      <c r="G708" s="783" t="str">
        <f t="shared" si="39"/>
        <v>Renewal (20% in 2020)</v>
      </c>
      <c r="H708" s="783" t="s">
        <v>5580</v>
      </c>
      <c r="I708" s="783" t="s">
        <v>5581</v>
      </c>
      <c r="J708" s="783">
        <v>20</v>
      </c>
      <c r="K708" s="783" t="s">
        <v>99</v>
      </c>
      <c r="L708" s="783" t="s">
        <v>4096</v>
      </c>
      <c r="M708" s="784">
        <v>36048.78</v>
      </c>
      <c r="N708" s="784">
        <v>27.7</v>
      </c>
      <c r="O708" s="784">
        <v>7.23</v>
      </c>
      <c r="P708" s="783">
        <v>180</v>
      </c>
      <c r="Q708" s="783">
        <v>1348.22</v>
      </c>
      <c r="R708" s="783">
        <v>783.02</v>
      </c>
      <c r="S708" s="783">
        <v>157.85</v>
      </c>
      <c r="T708" s="783">
        <v>407.35</v>
      </c>
      <c r="U708" s="785">
        <v>44708.801157407397</v>
      </c>
    </row>
    <row r="709" spans="1:21">
      <c r="A709" s="782">
        <v>44712</v>
      </c>
      <c r="B709" s="783" t="s">
        <v>51</v>
      </c>
      <c r="C709" s="783" t="s">
        <v>4042</v>
      </c>
      <c r="D709" s="783" t="s">
        <v>4016</v>
      </c>
      <c r="E709" s="783" t="s">
        <v>1353</v>
      </c>
      <c r="F709" s="783" t="s">
        <v>4011</v>
      </c>
      <c r="G709" s="783" t="str">
        <f t="shared" si="39"/>
        <v>Renewal (30% in 2020)</v>
      </c>
      <c r="H709" s="783" t="s">
        <v>5582</v>
      </c>
      <c r="I709" s="783" t="s">
        <v>5583</v>
      </c>
      <c r="J709" s="783">
        <v>30</v>
      </c>
      <c r="K709" s="783" t="s">
        <v>99</v>
      </c>
      <c r="L709" s="783" t="s">
        <v>4096</v>
      </c>
      <c r="M709" s="784">
        <v>83505.5</v>
      </c>
      <c r="N709" s="784">
        <v>57.59</v>
      </c>
      <c r="O709" s="784">
        <v>7.25</v>
      </c>
      <c r="P709" s="783">
        <v>200</v>
      </c>
      <c r="Q709" s="783">
        <v>2738.98</v>
      </c>
      <c r="R709" s="783">
        <v>2029.73</v>
      </c>
      <c r="S709" s="783">
        <v>316.77999999999997</v>
      </c>
      <c r="T709" s="783">
        <v>392.48</v>
      </c>
      <c r="U709" s="785">
        <v>44714.001111111102</v>
      </c>
    </row>
    <row r="710" spans="1:21">
      <c r="A710" s="782">
        <v>44705</v>
      </c>
      <c r="B710" s="783" t="s">
        <v>30</v>
      </c>
      <c r="C710" s="783" t="s">
        <v>4239</v>
      </c>
      <c r="D710" s="783" t="s">
        <v>4021</v>
      </c>
      <c r="E710" s="783" t="s">
        <v>2576</v>
      </c>
      <c r="F710" s="783" t="s">
        <v>4011</v>
      </c>
      <c r="G710" s="783" t="str">
        <f t="shared" si="39"/>
        <v>Renewal (15% in 2020)</v>
      </c>
      <c r="H710" s="783" t="s">
        <v>5584</v>
      </c>
      <c r="I710" s="783" t="s">
        <v>5585</v>
      </c>
      <c r="J710" s="783">
        <v>15</v>
      </c>
      <c r="K710" s="783" t="s">
        <v>99</v>
      </c>
      <c r="L710" s="783" t="s">
        <v>4096</v>
      </c>
      <c r="M710" s="784">
        <v>23106.38</v>
      </c>
      <c r="N710" s="784">
        <v>21.85</v>
      </c>
      <c r="O710" s="784">
        <v>7.05</v>
      </c>
      <c r="P710" s="783">
        <v>150</v>
      </c>
      <c r="Q710" s="783">
        <v>1351.72</v>
      </c>
      <c r="R710" s="783">
        <v>573.04</v>
      </c>
      <c r="S710" s="783">
        <v>117.84</v>
      </c>
      <c r="T710" s="783">
        <v>660.84</v>
      </c>
      <c r="U710" s="785">
        <v>44705.529930555596</v>
      </c>
    </row>
    <row r="711" spans="1:21">
      <c r="A711" s="782">
        <v>44705</v>
      </c>
      <c r="B711" s="783" t="s">
        <v>118</v>
      </c>
      <c r="C711" s="783" t="s">
        <v>4139</v>
      </c>
      <c r="D711" s="783" t="s">
        <v>4009</v>
      </c>
      <c r="E711" s="783" t="s">
        <v>5586</v>
      </c>
      <c r="F711" s="783" t="s">
        <v>4011</v>
      </c>
      <c r="G711" s="783" t="str">
        <f t="shared" si="39"/>
        <v>Renewal (15% in 2020)</v>
      </c>
      <c r="H711" s="783" t="s">
        <v>5587</v>
      </c>
      <c r="I711" s="783" t="s">
        <v>5588</v>
      </c>
      <c r="J711" s="783">
        <v>15</v>
      </c>
      <c r="K711" s="783" t="s">
        <v>99</v>
      </c>
      <c r="L711" s="783" t="s">
        <v>4096</v>
      </c>
      <c r="M711" s="784">
        <v>26764.080000000002</v>
      </c>
      <c r="N711" s="784">
        <v>28.64</v>
      </c>
      <c r="O711" s="784">
        <v>6.23</v>
      </c>
      <c r="P711" s="783">
        <v>150</v>
      </c>
      <c r="Q711" s="783">
        <v>1394.41</v>
      </c>
      <c r="R711" s="783">
        <v>628.96</v>
      </c>
      <c r="S711" s="783">
        <v>96.35</v>
      </c>
      <c r="T711" s="783">
        <v>669.1</v>
      </c>
      <c r="U711" s="785">
        <v>44706.462696759299</v>
      </c>
    </row>
    <row r="712" spans="1:21">
      <c r="A712" s="782">
        <v>44711</v>
      </c>
      <c r="B712" s="783" t="s">
        <v>4025</v>
      </c>
      <c r="C712" s="783" t="s">
        <v>4026</v>
      </c>
      <c r="D712" s="783" t="s">
        <v>4021</v>
      </c>
      <c r="E712" s="783" t="s">
        <v>5589</v>
      </c>
      <c r="F712" s="783" t="s">
        <v>4011</v>
      </c>
      <c r="G712" s="783" t="str">
        <f t="shared" si="39"/>
        <v>New Contract</v>
      </c>
      <c r="H712" s="783" t="s">
        <v>5590</v>
      </c>
      <c r="I712" s="783" t="s">
        <v>5591</v>
      </c>
      <c r="J712" s="783">
        <v>25</v>
      </c>
      <c r="K712" s="783" t="s">
        <v>99</v>
      </c>
      <c r="L712" s="783" t="s">
        <v>4096</v>
      </c>
      <c r="M712" s="784">
        <v>69362.539999999994</v>
      </c>
      <c r="N712" s="784">
        <v>46.93</v>
      </c>
      <c r="O712" s="784">
        <v>7.39</v>
      </c>
      <c r="P712" s="783">
        <v>200</v>
      </c>
      <c r="Q712" s="783">
        <v>3176.8</v>
      </c>
      <c r="R712" s="783">
        <v>2027.95</v>
      </c>
      <c r="S712" s="783">
        <v>677.19</v>
      </c>
      <c r="T712" s="783">
        <v>471.67</v>
      </c>
      <c r="U712" s="785">
        <v>44713.639247685198</v>
      </c>
    </row>
    <row r="713" spans="1:21">
      <c r="A713" s="782">
        <v>44711</v>
      </c>
      <c r="B713" s="783" t="s">
        <v>41</v>
      </c>
      <c r="C713" s="783" t="s">
        <v>4092</v>
      </c>
      <c r="D713" s="783" t="s">
        <v>4009</v>
      </c>
      <c r="E713" s="783" t="s">
        <v>891</v>
      </c>
      <c r="F713" s="783" t="s">
        <v>4011</v>
      </c>
      <c r="G713" s="783" t="str">
        <f t="shared" si="39"/>
        <v>Renewal (15% in 2020)</v>
      </c>
      <c r="H713" s="783" t="s">
        <v>5592</v>
      </c>
      <c r="I713" s="783" t="s">
        <v>5593</v>
      </c>
      <c r="J713" s="783">
        <v>15</v>
      </c>
      <c r="K713" s="783" t="s">
        <v>99</v>
      </c>
      <c r="L713" s="783" t="s">
        <v>4096</v>
      </c>
      <c r="M713" s="784">
        <v>37770.82</v>
      </c>
      <c r="N713" s="784">
        <v>38.11</v>
      </c>
      <c r="O713" s="784">
        <v>5.83</v>
      </c>
      <c r="P713" s="783">
        <v>170</v>
      </c>
      <c r="Q713" s="783">
        <v>2651.51</v>
      </c>
      <c r="R713" s="783">
        <v>1167.1199999999999</v>
      </c>
      <c r="S713" s="783">
        <v>207.74</v>
      </c>
      <c r="T713" s="783">
        <v>1276.6500000000001</v>
      </c>
      <c r="U713" s="785">
        <v>44712.7203240741</v>
      </c>
    </row>
    <row r="714" spans="1:21">
      <c r="A714" s="782">
        <v>44706</v>
      </c>
      <c r="B714" s="783" t="s">
        <v>41</v>
      </c>
      <c r="C714" s="783" t="s">
        <v>4092</v>
      </c>
      <c r="D714" s="783" t="s">
        <v>4009</v>
      </c>
      <c r="E714" s="783" t="s">
        <v>4641</v>
      </c>
      <c r="F714" s="783" t="s">
        <v>4011</v>
      </c>
      <c r="G714" s="783" t="str">
        <f t="shared" si="39"/>
        <v>Renewal (15% in 2020)</v>
      </c>
      <c r="H714" s="783" t="s">
        <v>4642</v>
      </c>
      <c r="I714" s="783" t="s">
        <v>4643</v>
      </c>
      <c r="J714" s="783">
        <v>20</v>
      </c>
      <c r="K714" s="783" t="s">
        <v>99</v>
      </c>
      <c r="L714" s="783" t="s">
        <v>4096</v>
      </c>
      <c r="M714" s="784">
        <v>23082.6</v>
      </c>
      <c r="N714" s="784">
        <v>21.9</v>
      </c>
      <c r="O714" s="784">
        <v>6.2</v>
      </c>
      <c r="P714" s="783">
        <v>170</v>
      </c>
      <c r="Q714" s="783">
        <v>1209.53</v>
      </c>
      <c r="R714" s="783">
        <v>713.25</v>
      </c>
      <c r="S714" s="783">
        <v>126.95</v>
      </c>
      <c r="T714" s="783">
        <v>369.32</v>
      </c>
      <c r="U714" s="785">
        <v>44706.619212963</v>
      </c>
    </row>
    <row r="715" spans="1:21">
      <c r="A715" s="782">
        <v>44706</v>
      </c>
      <c r="B715" s="783" t="s">
        <v>113</v>
      </c>
      <c r="C715" s="783" t="s">
        <v>4097</v>
      </c>
      <c r="D715" s="783" t="s">
        <v>4038</v>
      </c>
      <c r="E715" s="783" t="s">
        <v>4644</v>
      </c>
      <c r="F715" s="783" t="s">
        <v>4011</v>
      </c>
      <c r="G715" s="783" t="str">
        <f t="shared" si="39"/>
        <v>Renewal (15% in 2020)</v>
      </c>
      <c r="H715" s="783" t="s">
        <v>4645</v>
      </c>
      <c r="I715" s="783" t="s">
        <v>4646</v>
      </c>
      <c r="J715" s="783">
        <v>15</v>
      </c>
      <c r="K715" s="783" t="s">
        <v>99</v>
      </c>
      <c r="L715" s="783" t="s">
        <v>4096</v>
      </c>
      <c r="M715" s="784">
        <v>10155.450000000001</v>
      </c>
      <c r="N715" s="784">
        <v>9.89</v>
      </c>
      <c r="O715" s="784">
        <v>5.97</v>
      </c>
      <c r="P715" s="783">
        <v>172</v>
      </c>
      <c r="Q715" s="783">
        <v>672.29</v>
      </c>
      <c r="R715" s="783">
        <v>287.39999999999998</v>
      </c>
      <c r="S715" s="783">
        <v>44.68</v>
      </c>
      <c r="T715" s="783">
        <v>340.21</v>
      </c>
      <c r="U715" s="785">
        <v>44706.638182870403</v>
      </c>
    </row>
    <row r="716" spans="1:21">
      <c r="A716" s="782">
        <v>44707</v>
      </c>
      <c r="B716" s="783" t="s">
        <v>41</v>
      </c>
      <c r="C716" s="783" t="s">
        <v>4071</v>
      </c>
      <c r="D716" s="783" t="s">
        <v>4009</v>
      </c>
      <c r="E716" s="783" t="s">
        <v>5594</v>
      </c>
      <c r="F716" s="783" t="s">
        <v>4011</v>
      </c>
      <c r="G716" s="783" t="str">
        <f t="shared" si="39"/>
        <v>New Contract</v>
      </c>
      <c r="H716" s="783" t="s">
        <v>5595</v>
      </c>
      <c r="I716" s="783" t="s">
        <v>5596</v>
      </c>
      <c r="J716" s="783">
        <v>25</v>
      </c>
      <c r="K716" s="783" t="s">
        <v>99</v>
      </c>
      <c r="L716" s="783" t="s">
        <v>4096</v>
      </c>
      <c r="M716" s="784">
        <v>36829.449999999997</v>
      </c>
      <c r="N716" s="784">
        <v>29.65</v>
      </c>
      <c r="O716" s="784">
        <v>7.18</v>
      </c>
      <c r="P716" s="783">
        <v>173</v>
      </c>
      <c r="Q716" s="783">
        <v>1068.05</v>
      </c>
      <c r="R716" s="783">
        <v>832.35</v>
      </c>
      <c r="S716" s="783">
        <v>128.9</v>
      </c>
      <c r="T716" s="783">
        <v>106.81</v>
      </c>
      <c r="U716" s="785">
        <v>44708.583842592598</v>
      </c>
    </row>
    <row r="717" spans="1:21">
      <c r="A717" s="782">
        <v>44712</v>
      </c>
      <c r="B717" s="783" t="s">
        <v>41</v>
      </c>
      <c r="C717" s="783" t="s">
        <v>4092</v>
      </c>
      <c r="D717" s="783" t="s">
        <v>4009</v>
      </c>
      <c r="E717" s="783" t="s">
        <v>5597</v>
      </c>
      <c r="F717" s="783" t="s">
        <v>4011</v>
      </c>
      <c r="G717" s="783" t="s">
        <v>4028</v>
      </c>
      <c r="H717" s="783" t="s">
        <v>5598</v>
      </c>
      <c r="I717" s="783" t="s">
        <v>5599</v>
      </c>
      <c r="J717" s="783">
        <v>25</v>
      </c>
      <c r="K717" s="783" t="s">
        <v>99</v>
      </c>
      <c r="L717" s="783" t="s">
        <v>4096</v>
      </c>
      <c r="M717" s="784">
        <v>11968.06</v>
      </c>
      <c r="N717" s="784">
        <v>14.71</v>
      </c>
      <c r="O717" s="784">
        <v>4.5199999999999996</v>
      </c>
      <c r="P717" s="783">
        <v>180</v>
      </c>
      <c r="Q717" s="783">
        <v>484.71</v>
      </c>
      <c r="R717" s="783">
        <v>355.43</v>
      </c>
      <c r="S717" s="783">
        <v>80.209999999999994</v>
      </c>
      <c r="T717" s="783">
        <v>49.07</v>
      </c>
      <c r="U717" s="785">
        <v>44715.397280092599</v>
      </c>
    </row>
    <row r="718" spans="1:21">
      <c r="A718" s="782">
        <v>44708</v>
      </c>
      <c r="B718" s="783" t="s">
        <v>41</v>
      </c>
      <c r="C718" s="783" t="s">
        <v>4082</v>
      </c>
      <c r="D718" s="783" t="s">
        <v>4009</v>
      </c>
      <c r="E718" s="783" t="s">
        <v>5600</v>
      </c>
      <c r="F718" s="783" t="s">
        <v>4011</v>
      </c>
      <c r="G718" s="783" t="str">
        <f t="shared" ref="G718:G728" si="40">VLOOKUP(I718,pacage,2,FALSE)</f>
        <v>Renewal (15% in 2020)</v>
      </c>
      <c r="H718" s="783" t="s">
        <v>5601</v>
      </c>
      <c r="I718" s="783" t="s">
        <v>5602</v>
      </c>
      <c r="J718" s="783">
        <v>15</v>
      </c>
      <c r="K718" s="783" t="s">
        <v>99</v>
      </c>
      <c r="L718" s="783" t="s">
        <v>4096</v>
      </c>
      <c r="M718" s="784">
        <v>51098.71</v>
      </c>
      <c r="N718" s="784">
        <v>46.01</v>
      </c>
      <c r="O718" s="784">
        <v>6.17</v>
      </c>
      <c r="P718" s="783">
        <v>180</v>
      </c>
      <c r="Q718" s="783">
        <v>3392.95</v>
      </c>
      <c r="R718" s="783">
        <v>1434.06</v>
      </c>
      <c r="S718" s="783">
        <v>323.74</v>
      </c>
      <c r="T718" s="783">
        <v>1635.16</v>
      </c>
      <c r="U718" s="785">
        <v>44711.535879629599</v>
      </c>
    </row>
    <row r="719" spans="1:21">
      <c r="A719" s="782">
        <v>44701</v>
      </c>
      <c r="B719" s="783" t="s">
        <v>51</v>
      </c>
      <c r="C719" s="783" t="s">
        <v>4042</v>
      </c>
      <c r="D719" s="783" t="s">
        <v>4016</v>
      </c>
      <c r="E719" s="783" t="s">
        <v>5603</v>
      </c>
      <c r="F719" s="783" t="s">
        <v>4011</v>
      </c>
      <c r="G719" s="783" t="str">
        <f t="shared" si="40"/>
        <v>Renewal (15% in 2020)</v>
      </c>
      <c r="H719" s="783" t="s">
        <v>5604</v>
      </c>
      <c r="I719" s="783" t="s">
        <v>5605</v>
      </c>
      <c r="J719" s="783">
        <v>15</v>
      </c>
      <c r="K719" s="783" t="s">
        <v>99</v>
      </c>
      <c r="L719" s="783" t="s">
        <v>4096</v>
      </c>
      <c r="M719" s="784">
        <v>110205.65</v>
      </c>
      <c r="N719" s="784">
        <v>116.7</v>
      </c>
      <c r="O719" s="784">
        <v>5.05</v>
      </c>
      <c r="P719" s="783">
        <v>187</v>
      </c>
      <c r="Q719" s="783">
        <v>5851.92</v>
      </c>
      <c r="R719" s="783">
        <v>2864.93</v>
      </c>
      <c r="S719" s="783">
        <v>705.73</v>
      </c>
      <c r="T719" s="783">
        <v>2281.2600000000002</v>
      </c>
      <c r="U719" s="785">
        <v>44704.418981481504</v>
      </c>
    </row>
    <row r="720" spans="1:21">
      <c r="A720" s="782">
        <v>44704</v>
      </c>
      <c r="B720" s="783" t="s">
        <v>41</v>
      </c>
      <c r="C720" s="783" t="s">
        <v>4092</v>
      </c>
      <c r="D720" s="783" t="s">
        <v>4009</v>
      </c>
      <c r="E720" s="783" t="s">
        <v>81</v>
      </c>
      <c r="F720" s="783" t="s">
        <v>4011</v>
      </c>
      <c r="G720" s="783" t="str">
        <f t="shared" si="40"/>
        <v>Renewal (20% in 2020)</v>
      </c>
      <c r="H720" s="783" t="s">
        <v>5606</v>
      </c>
      <c r="I720" s="783" t="s">
        <v>5607</v>
      </c>
      <c r="J720" s="783">
        <v>20</v>
      </c>
      <c r="K720" s="783" t="s">
        <v>99</v>
      </c>
      <c r="L720" s="783" t="s">
        <v>4096</v>
      </c>
      <c r="M720" s="784">
        <v>41733.15</v>
      </c>
      <c r="N720" s="784">
        <v>45.61</v>
      </c>
      <c r="O720" s="784">
        <v>6.1</v>
      </c>
      <c r="P720" s="783">
        <v>150</v>
      </c>
      <c r="Q720" s="783">
        <v>2186.8200000000002</v>
      </c>
      <c r="R720" s="783">
        <v>1289.55</v>
      </c>
      <c r="S720" s="783">
        <v>229.53</v>
      </c>
      <c r="T720" s="783">
        <v>667.73</v>
      </c>
      <c r="U720" s="785">
        <v>44704.571990740696</v>
      </c>
    </row>
    <row r="721" spans="1:21">
      <c r="A721" s="782">
        <v>44709</v>
      </c>
      <c r="B721" s="783" t="s">
        <v>41</v>
      </c>
      <c r="C721" s="783" t="s">
        <v>4092</v>
      </c>
      <c r="D721" s="783" t="s">
        <v>4009</v>
      </c>
      <c r="E721" s="783" t="s">
        <v>5608</v>
      </c>
      <c r="F721" s="783" t="s">
        <v>4011</v>
      </c>
      <c r="G721" s="783" t="str">
        <f t="shared" si="40"/>
        <v>Renewal (15% in 2020)</v>
      </c>
      <c r="H721" s="783" t="s">
        <v>5609</v>
      </c>
      <c r="I721" s="783" t="s">
        <v>5610</v>
      </c>
      <c r="J721" s="783">
        <v>15</v>
      </c>
      <c r="K721" s="783" t="s">
        <v>99</v>
      </c>
      <c r="L721" s="783" t="s">
        <v>4096</v>
      </c>
      <c r="M721" s="784">
        <v>24582.959999999999</v>
      </c>
      <c r="N721" s="784">
        <v>29.95</v>
      </c>
      <c r="O721" s="784">
        <v>5.13</v>
      </c>
      <c r="P721" s="783">
        <v>160</v>
      </c>
      <c r="Q721" s="783">
        <v>1725.72</v>
      </c>
      <c r="R721" s="783">
        <v>759.61</v>
      </c>
      <c r="S721" s="783">
        <v>135.21</v>
      </c>
      <c r="T721" s="783">
        <v>830.9</v>
      </c>
      <c r="U721" s="785">
        <v>44711.647812499999</v>
      </c>
    </row>
    <row r="722" spans="1:21">
      <c r="A722" s="782">
        <v>44704</v>
      </c>
      <c r="B722" s="783" t="s">
        <v>30</v>
      </c>
      <c r="C722" s="783" t="s">
        <v>4239</v>
      </c>
      <c r="D722" s="783" t="s">
        <v>4021</v>
      </c>
      <c r="E722" s="783" t="s">
        <v>5611</v>
      </c>
      <c r="F722" s="783" t="s">
        <v>4011</v>
      </c>
      <c r="G722" s="783" t="str">
        <f t="shared" si="40"/>
        <v>Renewal (30% in 2020)</v>
      </c>
      <c r="H722" s="783" t="s">
        <v>5612</v>
      </c>
      <c r="I722" s="783" t="s">
        <v>5613</v>
      </c>
      <c r="J722" s="783">
        <v>30</v>
      </c>
      <c r="K722" s="783" t="s">
        <v>99</v>
      </c>
      <c r="L722" s="783" t="s">
        <v>4096</v>
      </c>
      <c r="M722" s="784">
        <v>227485.44</v>
      </c>
      <c r="N722" s="784">
        <v>101.92</v>
      </c>
      <c r="O722" s="784">
        <v>7.44</v>
      </c>
      <c r="P722" s="783">
        <v>300</v>
      </c>
      <c r="Q722" s="783">
        <v>6642.57</v>
      </c>
      <c r="R722" s="783">
        <v>3253.35</v>
      </c>
      <c r="S722" s="783">
        <v>2388.29</v>
      </c>
      <c r="T722" s="783">
        <v>1000.94</v>
      </c>
      <c r="U722" s="785">
        <v>44704.427673611099</v>
      </c>
    </row>
    <row r="723" spans="1:21">
      <c r="A723" s="782">
        <v>44715</v>
      </c>
      <c r="B723" s="783" t="s">
        <v>4025</v>
      </c>
      <c r="C723" s="783" t="s">
        <v>4026</v>
      </c>
      <c r="D723" s="783" t="s">
        <v>4021</v>
      </c>
      <c r="E723" s="783" t="s">
        <v>5614</v>
      </c>
      <c r="F723" s="783" t="s">
        <v>4011</v>
      </c>
      <c r="G723" s="783" t="str">
        <f t="shared" si="40"/>
        <v>New contract</v>
      </c>
      <c r="H723" s="783" t="s">
        <v>5615</v>
      </c>
      <c r="I723" s="783" t="s">
        <v>5616</v>
      </c>
      <c r="J723" s="783">
        <v>25</v>
      </c>
      <c r="K723" s="783" t="s">
        <v>99</v>
      </c>
      <c r="L723" s="783" t="s">
        <v>4096</v>
      </c>
      <c r="M723" s="784">
        <v>68614.320000000007</v>
      </c>
      <c r="N723" s="784">
        <v>49.2</v>
      </c>
      <c r="O723" s="784">
        <v>7.34</v>
      </c>
      <c r="P723" s="783">
        <v>190</v>
      </c>
      <c r="Q723" s="783">
        <v>3142.54</v>
      </c>
      <c r="R723" s="783">
        <v>2111.66</v>
      </c>
      <c r="S723" s="783">
        <v>564.29999999999995</v>
      </c>
      <c r="T723" s="783">
        <v>466.58</v>
      </c>
      <c r="U723" s="785">
        <v>44715.462627314802</v>
      </c>
    </row>
    <row r="724" spans="1:21">
      <c r="A724" s="782">
        <v>44705</v>
      </c>
      <c r="B724" s="783" t="s">
        <v>41</v>
      </c>
      <c r="C724" s="783" t="s">
        <v>4082</v>
      </c>
      <c r="D724" s="783" t="s">
        <v>4009</v>
      </c>
      <c r="E724" s="783" t="s">
        <v>1024</v>
      </c>
      <c r="F724" s="783" t="s">
        <v>4011</v>
      </c>
      <c r="G724" s="783" t="str">
        <f t="shared" si="40"/>
        <v>Renewal (20% in 2020)</v>
      </c>
      <c r="H724" s="783" t="s">
        <v>4150</v>
      </c>
      <c r="I724" s="783" t="s">
        <v>4151</v>
      </c>
      <c r="J724" s="783">
        <v>20</v>
      </c>
      <c r="K724" s="783" t="s">
        <v>99</v>
      </c>
      <c r="L724" s="783" t="s">
        <v>4096</v>
      </c>
      <c r="M724" s="784">
        <v>51853.82</v>
      </c>
      <c r="N724" s="784">
        <v>40.92</v>
      </c>
      <c r="O724" s="784">
        <v>7.92</v>
      </c>
      <c r="P724" s="783">
        <v>160</v>
      </c>
      <c r="Q724" s="783">
        <v>2566.7600000000002</v>
      </c>
      <c r="R724" s="783">
        <v>1514.13</v>
      </c>
      <c r="S724" s="783">
        <v>269.64</v>
      </c>
      <c r="T724" s="783">
        <v>782.99</v>
      </c>
      <c r="U724" s="785">
        <v>44705.577129629601</v>
      </c>
    </row>
    <row r="725" spans="1:21">
      <c r="A725" s="782">
        <v>44685</v>
      </c>
      <c r="B725" s="783" t="s">
        <v>41</v>
      </c>
      <c r="C725" s="783" t="s">
        <v>4092</v>
      </c>
      <c r="D725" s="783" t="s">
        <v>4009</v>
      </c>
      <c r="E725" s="783" t="s">
        <v>5617</v>
      </c>
      <c r="F725" s="783" t="s">
        <v>4011</v>
      </c>
      <c r="G725" s="783" t="str">
        <f t="shared" si="40"/>
        <v>Renewal (15% in 2020)</v>
      </c>
      <c r="H725" s="783" t="s">
        <v>5618</v>
      </c>
      <c r="I725" s="783" t="s">
        <v>5619</v>
      </c>
      <c r="J725" s="783">
        <v>15</v>
      </c>
      <c r="K725" s="783" t="s">
        <v>99</v>
      </c>
      <c r="L725" s="783" t="s">
        <v>4096</v>
      </c>
      <c r="M725" s="784">
        <v>29715.89</v>
      </c>
      <c r="N725" s="784">
        <v>26.57</v>
      </c>
      <c r="O725" s="784">
        <v>6.99</v>
      </c>
      <c r="P725" s="783">
        <v>160</v>
      </c>
      <c r="Q725" s="783">
        <v>2086.06</v>
      </c>
      <c r="R725" s="783">
        <v>918.22</v>
      </c>
      <c r="S725" s="783">
        <v>163.44</v>
      </c>
      <c r="T725" s="783">
        <v>1004.4</v>
      </c>
      <c r="U725" s="785">
        <v>44705.458449074104</v>
      </c>
    </row>
    <row r="726" spans="1:21">
      <c r="A726" s="782">
        <v>44706</v>
      </c>
      <c r="B726" s="783" t="s">
        <v>41</v>
      </c>
      <c r="C726" s="783" t="s">
        <v>4092</v>
      </c>
      <c r="D726" s="783" t="s">
        <v>4009</v>
      </c>
      <c r="E726" s="783" t="s">
        <v>5620</v>
      </c>
      <c r="F726" s="783" t="s">
        <v>4011</v>
      </c>
      <c r="G726" s="783" t="str">
        <f t="shared" si="40"/>
        <v>New contract</v>
      </c>
      <c r="H726" s="783" t="s">
        <v>5621</v>
      </c>
      <c r="I726" s="783" t="s">
        <v>5622</v>
      </c>
      <c r="J726" s="783">
        <v>25</v>
      </c>
      <c r="K726" s="783" t="s">
        <v>99</v>
      </c>
      <c r="L726" s="783" t="s">
        <v>4096</v>
      </c>
      <c r="M726" s="784">
        <v>9159.81</v>
      </c>
      <c r="N726" s="784">
        <v>6.15</v>
      </c>
      <c r="O726" s="784">
        <v>6.77</v>
      </c>
      <c r="P726" s="783">
        <v>220</v>
      </c>
      <c r="Q726" s="783">
        <v>370.97</v>
      </c>
      <c r="R726" s="783">
        <v>222.57</v>
      </c>
      <c r="S726" s="783">
        <v>110.85</v>
      </c>
      <c r="T726" s="783">
        <v>37.56</v>
      </c>
      <c r="U726" s="785">
        <v>44706.626828703702</v>
      </c>
    </row>
    <row r="727" spans="1:21">
      <c r="A727" s="782">
        <v>44707</v>
      </c>
      <c r="B727" s="783" t="s">
        <v>51</v>
      </c>
      <c r="C727" s="783" t="s">
        <v>4015</v>
      </c>
      <c r="D727" s="783" t="s">
        <v>4016</v>
      </c>
      <c r="E727" s="783" t="s">
        <v>5623</v>
      </c>
      <c r="F727" s="783" t="s">
        <v>4011</v>
      </c>
      <c r="G727" s="783" t="str">
        <f t="shared" si="40"/>
        <v>Renewal (25% in 2020)</v>
      </c>
      <c r="H727" s="783" t="s">
        <v>5624</v>
      </c>
      <c r="I727" s="783" t="s">
        <v>5625</v>
      </c>
      <c r="J727" s="783">
        <v>25</v>
      </c>
      <c r="K727" s="783" t="s">
        <v>99</v>
      </c>
      <c r="L727" s="783" t="s">
        <v>4096</v>
      </c>
      <c r="M727" s="784">
        <v>35759.5</v>
      </c>
      <c r="N727" s="784">
        <v>30.05</v>
      </c>
      <c r="O727" s="784">
        <v>7</v>
      </c>
      <c r="P727" s="783">
        <v>170</v>
      </c>
      <c r="Q727" s="783">
        <v>1966.77</v>
      </c>
      <c r="R727" s="783">
        <v>1473.29</v>
      </c>
      <c r="S727" s="783">
        <v>225.28</v>
      </c>
      <c r="T727" s="783">
        <v>268.2</v>
      </c>
      <c r="U727" s="785">
        <v>44708.5859837963</v>
      </c>
    </row>
    <row r="728" spans="1:21">
      <c r="A728" s="782">
        <v>44711</v>
      </c>
      <c r="B728" s="783" t="s">
        <v>41</v>
      </c>
      <c r="C728" s="783" t="s">
        <v>4139</v>
      </c>
      <c r="D728" s="783" t="s">
        <v>4009</v>
      </c>
      <c r="E728" s="783" t="s">
        <v>549</v>
      </c>
      <c r="F728" s="783" t="s">
        <v>4011</v>
      </c>
      <c r="G728" s="783" t="str">
        <f t="shared" si="40"/>
        <v>Renewal (25% in 2020)</v>
      </c>
      <c r="H728" s="783" t="s">
        <v>5626</v>
      </c>
      <c r="I728" s="783" t="s">
        <v>5627</v>
      </c>
      <c r="J728" s="783">
        <v>25</v>
      </c>
      <c r="K728" s="783" t="s">
        <v>99</v>
      </c>
      <c r="L728" s="783" t="s">
        <v>4096</v>
      </c>
      <c r="M728" s="784">
        <v>77323.789999999994</v>
      </c>
      <c r="N728" s="784">
        <v>80.430000000000007</v>
      </c>
      <c r="O728" s="784">
        <v>6.54</v>
      </c>
      <c r="P728" s="783">
        <v>147</v>
      </c>
      <c r="Q728" s="783">
        <v>2327.4499999999998</v>
      </c>
      <c r="R728" s="783">
        <v>1817.11</v>
      </c>
      <c r="S728" s="783">
        <v>278.37</v>
      </c>
      <c r="T728" s="783">
        <v>231.97</v>
      </c>
      <c r="U728" s="785">
        <v>44712.724351851903</v>
      </c>
    </row>
    <row r="729" spans="1:21">
      <c r="A729" s="782">
        <v>44712</v>
      </c>
      <c r="B729" s="783" t="s">
        <v>228</v>
      </c>
      <c r="C729" s="783" t="s">
        <v>4354</v>
      </c>
      <c r="D729" s="783" t="s">
        <v>4009</v>
      </c>
      <c r="E729" s="783" t="s">
        <v>4647</v>
      </c>
      <c r="F729" s="783" t="s">
        <v>4011</v>
      </c>
      <c r="G729" s="783" t="s">
        <v>4028</v>
      </c>
      <c r="H729" s="783" t="s">
        <v>4648</v>
      </c>
      <c r="I729" s="783" t="s">
        <v>4649</v>
      </c>
      <c r="J729" s="783">
        <v>25</v>
      </c>
      <c r="K729" s="783" t="s">
        <v>99</v>
      </c>
      <c r="L729" s="783" t="s">
        <v>4096</v>
      </c>
      <c r="M729" s="784">
        <v>15873</v>
      </c>
      <c r="N729" s="784">
        <v>12.21</v>
      </c>
      <c r="O729" s="784">
        <v>6.5</v>
      </c>
      <c r="P729" s="783">
        <v>200</v>
      </c>
      <c r="Q729" s="783">
        <v>900</v>
      </c>
      <c r="R729" s="783">
        <v>562.94000000000005</v>
      </c>
      <c r="S729" s="783">
        <v>191.03</v>
      </c>
      <c r="T729" s="783">
        <v>146.03</v>
      </c>
      <c r="U729" s="785">
        <v>44714.015439814801</v>
      </c>
    </row>
    <row r="730" spans="1:21">
      <c r="A730" s="782">
        <v>44711</v>
      </c>
      <c r="B730" s="783" t="s">
        <v>65</v>
      </c>
      <c r="C730" s="783" t="s">
        <v>4152</v>
      </c>
      <c r="D730" s="783" t="s">
        <v>4102</v>
      </c>
      <c r="E730" s="783" t="s">
        <v>1769</v>
      </c>
      <c r="F730" s="783" t="s">
        <v>4011</v>
      </c>
      <c r="G730" s="783" t="str">
        <f t="shared" ref="G730:G740" si="41">VLOOKUP(I730,pacage,2,FALSE)</f>
        <v>Renewal (20% in 2020)</v>
      </c>
      <c r="H730" s="783" t="s">
        <v>4153</v>
      </c>
      <c r="I730" s="783" t="s">
        <v>4154</v>
      </c>
      <c r="J730" s="783">
        <v>20</v>
      </c>
      <c r="K730" s="783" t="s">
        <v>99</v>
      </c>
      <c r="L730" s="783" t="s">
        <v>4096</v>
      </c>
      <c r="M730" s="784">
        <v>120234.04</v>
      </c>
      <c r="N730" s="784">
        <v>81.87</v>
      </c>
      <c r="O730" s="784">
        <v>6.53</v>
      </c>
      <c r="P730" s="783">
        <v>224.9</v>
      </c>
      <c r="Q730" s="783">
        <v>4629.01</v>
      </c>
      <c r="R730" s="783">
        <v>2117.9699999999998</v>
      </c>
      <c r="S730" s="783">
        <v>1056.21</v>
      </c>
      <c r="T730" s="783">
        <v>1454.83</v>
      </c>
      <c r="U730" s="785">
        <v>44713.613599536999</v>
      </c>
    </row>
    <row r="731" spans="1:21">
      <c r="A731" s="782">
        <v>44711</v>
      </c>
      <c r="B731" s="783" t="s">
        <v>4025</v>
      </c>
      <c r="C731" s="783" t="s">
        <v>4026</v>
      </c>
      <c r="D731" s="783" t="s">
        <v>4021</v>
      </c>
      <c r="E731" s="783" t="s">
        <v>4155</v>
      </c>
      <c r="F731" s="783" t="s">
        <v>4011</v>
      </c>
      <c r="G731" s="783" t="str">
        <f t="shared" si="41"/>
        <v>New contract</v>
      </c>
      <c r="H731" s="783" t="s">
        <v>4156</v>
      </c>
      <c r="I731" s="783" t="s">
        <v>4157</v>
      </c>
      <c r="J731" s="783">
        <v>25</v>
      </c>
      <c r="K731" s="783" t="s">
        <v>99</v>
      </c>
      <c r="L731" s="783" t="s">
        <v>4096</v>
      </c>
      <c r="M731" s="784">
        <v>85257.52</v>
      </c>
      <c r="N731" s="784">
        <v>79.14</v>
      </c>
      <c r="O731" s="784">
        <v>5.67</v>
      </c>
      <c r="P731" s="783">
        <v>190</v>
      </c>
      <c r="Q731" s="783">
        <v>3904.79</v>
      </c>
      <c r="R731" s="783">
        <v>2623.87</v>
      </c>
      <c r="S731" s="783">
        <v>701.18</v>
      </c>
      <c r="T731" s="783">
        <v>579.75</v>
      </c>
      <c r="U731" s="785">
        <v>44713.9839236111</v>
      </c>
    </row>
    <row r="732" spans="1:21">
      <c r="A732" s="782">
        <v>44711</v>
      </c>
      <c r="B732" s="783" t="s">
        <v>41</v>
      </c>
      <c r="C732" s="783" t="s">
        <v>4071</v>
      </c>
      <c r="D732" s="783" t="s">
        <v>4009</v>
      </c>
      <c r="E732" s="783" t="s">
        <v>5628</v>
      </c>
      <c r="F732" s="783" t="s">
        <v>4011</v>
      </c>
      <c r="G732" s="783" t="str">
        <f t="shared" si="41"/>
        <v>Renewal (25% in 2020)</v>
      </c>
      <c r="H732" s="783" t="s">
        <v>5629</v>
      </c>
      <c r="I732" s="783" t="s">
        <v>5630</v>
      </c>
      <c r="J732" s="783">
        <v>25</v>
      </c>
      <c r="K732" s="783" t="s">
        <v>99</v>
      </c>
      <c r="L732" s="783" t="s">
        <v>4096</v>
      </c>
      <c r="M732" s="784">
        <v>15394.05</v>
      </c>
      <c r="N732" s="784">
        <v>18.100000000000001</v>
      </c>
      <c r="O732" s="784">
        <v>5.67</v>
      </c>
      <c r="P732" s="783">
        <v>150</v>
      </c>
      <c r="Q732" s="783">
        <v>446.43</v>
      </c>
      <c r="R732" s="783">
        <v>347.91</v>
      </c>
      <c r="S732" s="783">
        <v>53.88</v>
      </c>
      <c r="T732" s="783">
        <v>44.64</v>
      </c>
      <c r="U732" s="785">
        <v>44713.626805555599</v>
      </c>
    </row>
    <row r="733" spans="1:21">
      <c r="A733" s="782">
        <v>44714</v>
      </c>
      <c r="B733" s="783" t="s">
        <v>41</v>
      </c>
      <c r="C733" s="783" t="s">
        <v>4071</v>
      </c>
      <c r="D733" s="783" t="s">
        <v>4009</v>
      </c>
      <c r="E733" s="783" t="s">
        <v>5631</v>
      </c>
      <c r="F733" s="783" t="s">
        <v>4011</v>
      </c>
      <c r="G733" s="783" t="str">
        <f t="shared" si="41"/>
        <v>Renewal (15% in 2020)</v>
      </c>
      <c r="H733" s="783" t="s">
        <v>5632</v>
      </c>
      <c r="I733" s="783" t="s">
        <v>5633</v>
      </c>
      <c r="J733" s="783">
        <v>15</v>
      </c>
      <c r="K733" s="783" t="s">
        <v>99</v>
      </c>
      <c r="L733" s="783" t="s">
        <v>4096</v>
      </c>
      <c r="M733" s="784">
        <v>61730.22</v>
      </c>
      <c r="N733" s="784">
        <v>56.37</v>
      </c>
      <c r="O733" s="784">
        <v>6.33</v>
      </c>
      <c r="P733" s="783">
        <v>173</v>
      </c>
      <c r="Q733" s="783">
        <v>3098.86</v>
      </c>
      <c r="R733" s="783">
        <v>1395.1</v>
      </c>
      <c r="S733" s="783">
        <v>216.06</v>
      </c>
      <c r="T733" s="783">
        <v>1487.7</v>
      </c>
      <c r="U733" s="785">
        <v>44715.466041666703</v>
      </c>
    </row>
    <row r="734" spans="1:21">
      <c r="A734" s="782">
        <v>44715</v>
      </c>
      <c r="B734" s="783" t="s">
        <v>228</v>
      </c>
      <c r="C734" s="783" t="s">
        <v>4192</v>
      </c>
      <c r="D734" s="783" t="s">
        <v>4193</v>
      </c>
      <c r="E734" s="783" t="s">
        <v>3835</v>
      </c>
      <c r="F734" s="783" t="s">
        <v>4011</v>
      </c>
      <c r="G734" s="783" t="str">
        <f t="shared" si="41"/>
        <v>Renewal (25% in 2020)</v>
      </c>
      <c r="H734" s="783" t="s">
        <v>5634</v>
      </c>
      <c r="I734" s="783" t="s">
        <v>5635</v>
      </c>
      <c r="J734" s="783">
        <v>25</v>
      </c>
      <c r="K734" s="783" t="s">
        <v>99</v>
      </c>
      <c r="L734" s="783" t="s">
        <v>4096</v>
      </c>
      <c r="M734" s="784">
        <v>76954.19</v>
      </c>
      <c r="N734" s="784">
        <v>74.03</v>
      </c>
      <c r="O734" s="784">
        <v>6.93</v>
      </c>
      <c r="P734" s="783">
        <v>150</v>
      </c>
      <c r="Q734" s="783">
        <v>2847.3</v>
      </c>
      <c r="R734" s="783">
        <v>2170.11</v>
      </c>
      <c r="S734" s="783">
        <v>330.9</v>
      </c>
      <c r="T734" s="783">
        <v>346.29</v>
      </c>
      <c r="U734" s="785">
        <v>44715.461851851898</v>
      </c>
    </row>
    <row r="735" spans="1:21">
      <c r="A735" s="782">
        <v>44712</v>
      </c>
      <c r="B735" s="783" t="s">
        <v>51</v>
      </c>
      <c r="C735" s="783" t="s">
        <v>4042</v>
      </c>
      <c r="D735" s="783" t="s">
        <v>4016</v>
      </c>
      <c r="E735" s="783" t="s">
        <v>5636</v>
      </c>
      <c r="F735" s="783" t="s">
        <v>4011</v>
      </c>
      <c r="G735" s="783" t="str">
        <f t="shared" si="41"/>
        <v>Renewal (30% in 2020)</v>
      </c>
      <c r="H735" s="783" t="s">
        <v>5637</v>
      </c>
      <c r="I735" s="783" t="s">
        <v>5638</v>
      </c>
      <c r="J735" s="783">
        <v>30</v>
      </c>
      <c r="K735" s="783" t="s">
        <v>99</v>
      </c>
      <c r="L735" s="783" t="s">
        <v>4096</v>
      </c>
      <c r="M735" s="784">
        <v>51494.400000000001</v>
      </c>
      <c r="N735" s="784">
        <v>44.7</v>
      </c>
      <c r="O735" s="784">
        <v>7.2</v>
      </c>
      <c r="P735" s="783">
        <v>160</v>
      </c>
      <c r="Q735" s="783">
        <v>1689.02</v>
      </c>
      <c r="R735" s="783">
        <v>1446.99</v>
      </c>
      <c r="S735" s="783">
        <v>0</v>
      </c>
      <c r="T735" s="783">
        <v>242.02</v>
      </c>
      <c r="U735" s="785">
        <v>44714.579861111102</v>
      </c>
    </row>
    <row r="736" spans="1:21">
      <c r="A736" s="782">
        <v>44712</v>
      </c>
      <c r="B736" s="783" t="s">
        <v>30</v>
      </c>
      <c r="C736" s="783" t="s">
        <v>4239</v>
      </c>
      <c r="D736" s="783" t="s">
        <v>4021</v>
      </c>
      <c r="E736" s="783" t="s">
        <v>5639</v>
      </c>
      <c r="F736" s="783" t="s">
        <v>4011</v>
      </c>
      <c r="G736" s="783" t="str">
        <f t="shared" si="41"/>
        <v>Renewal (15% in 2020)</v>
      </c>
      <c r="H736" s="783" t="s">
        <v>5640</v>
      </c>
      <c r="I736" s="783" t="s">
        <v>5641</v>
      </c>
      <c r="J736" s="783">
        <v>15</v>
      </c>
      <c r="K736" s="783" t="s">
        <v>99</v>
      </c>
      <c r="L736" s="783" t="s">
        <v>4096</v>
      </c>
      <c r="M736" s="784">
        <v>46297.24</v>
      </c>
      <c r="N736" s="784">
        <v>34.71</v>
      </c>
      <c r="O736" s="784">
        <v>7.71</v>
      </c>
      <c r="P736" s="783">
        <v>173</v>
      </c>
      <c r="Q736" s="783">
        <v>2708.39</v>
      </c>
      <c r="R736" s="783">
        <v>1148.17</v>
      </c>
      <c r="S736" s="783">
        <v>236.12</v>
      </c>
      <c r="T736" s="783">
        <v>1324.1</v>
      </c>
      <c r="U736" s="785">
        <v>44714.577662037002</v>
      </c>
    </row>
    <row r="737" spans="1:21">
      <c r="A737" s="782">
        <v>44712</v>
      </c>
      <c r="B737" s="783" t="s">
        <v>51</v>
      </c>
      <c r="C737" s="783" t="s">
        <v>4042</v>
      </c>
      <c r="D737" s="783" t="s">
        <v>4016</v>
      </c>
      <c r="E737" s="783" t="s">
        <v>5642</v>
      </c>
      <c r="F737" s="783" t="s">
        <v>4011</v>
      </c>
      <c r="G737" s="783" t="str">
        <f t="shared" si="41"/>
        <v>Renewal (20% in 2020)</v>
      </c>
      <c r="H737" s="783" t="s">
        <v>5643</v>
      </c>
      <c r="I737" s="783" t="s">
        <v>5644</v>
      </c>
      <c r="J737" s="783">
        <v>20</v>
      </c>
      <c r="K737" s="783" t="s">
        <v>99</v>
      </c>
      <c r="L737" s="783" t="s">
        <v>4096</v>
      </c>
      <c r="M737" s="784">
        <v>130548.6</v>
      </c>
      <c r="N737" s="784">
        <v>111.58</v>
      </c>
      <c r="O737" s="784">
        <v>7.8</v>
      </c>
      <c r="P737" s="783">
        <v>150</v>
      </c>
      <c r="Q737" s="783">
        <v>5678.86</v>
      </c>
      <c r="R737" s="783">
        <v>3668.42</v>
      </c>
      <c r="S737" s="783">
        <v>561.36</v>
      </c>
      <c r="T737" s="783">
        <v>1449.09</v>
      </c>
      <c r="U737" s="785">
        <v>44714.585717592599</v>
      </c>
    </row>
    <row r="738" spans="1:21">
      <c r="A738" s="782">
        <v>44712</v>
      </c>
      <c r="B738" s="783" t="s">
        <v>41</v>
      </c>
      <c r="C738" s="783" t="s">
        <v>4092</v>
      </c>
      <c r="D738" s="783" t="s">
        <v>4009</v>
      </c>
      <c r="E738" s="783" t="s">
        <v>5645</v>
      </c>
      <c r="F738" s="783" t="s">
        <v>4011</v>
      </c>
      <c r="G738" s="783" t="str">
        <f t="shared" si="41"/>
        <v>Renewal (15% in 2020)</v>
      </c>
      <c r="H738" s="783" t="s">
        <v>5646</v>
      </c>
      <c r="I738" s="783" t="s">
        <v>5647</v>
      </c>
      <c r="J738" s="783">
        <v>15</v>
      </c>
      <c r="K738" s="783" t="s">
        <v>99</v>
      </c>
      <c r="L738" s="783" t="s">
        <v>4096</v>
      </c>
      <c r="M738" s="784">
        <v>26420.6</v>
      </c>
      <c r="N738" s="784">
        <v>20.54</v>
      </c>
      <c r="O738" s="784">
        <v>6.77</v>
      </c>
      <c r="P738" s="783">
        <v>190</v>
      </c>
      <c r="Q738" s="783">
        <v>1854.73</v>
      </c>
      <c r="R738" s="783">
        <v>743.35</v>
      </c>
      <c r="S738" s="783">
        <v>218.36</v>
      </c>
      <c r="T738" s="783">
        <v>893.02</v>
      </c>
      <c r="U738" s="785">
        <v>44714.586956018502</v>
      </c>
    </row>
    <row r="739" spans="1:21">
      <c r="A739" s="782">
        <v>44713</v>
      </c>
      <c r="B739" s="783" t="s">
        <v>51</v>
      </c>
      <c r="C739" s="783" t="s">
        <v>4042</v>
      </c>
      <c r="D739" s="783" t="s">
        <v>4016</v>
      </c>
      <c r="E739" s="783" t="s">
        <v>1417</v>
      </c>
      <c r="F739" s="783" t="s">
        <v>4011</v>
      </c>
      <c r="G739" s="783" t="str">
        <f t="shared" si="41"/>
        <v>Renewal (20% in 2020)</v>
      </c>
      <c r="H739" s="783" t="s">
        <v>5648</v>
      </c>
      <c r="I739" s="783" t="s">
        <v>5649</v>
      </c>
      <c r="J739" s="783">
        <v>20</v>
      </c>
      <c r="K739" s="783" t="s">
        <v>99</v>
      </c>
      <c r="L739" s="783" t="s">
        <v>4096</v>
      </c>
      <c r="M739" s="784">
        <v>48906</v>
      </c>
      <c r="N739" s="784">
        <v>49.4</v>
      </c>
      <c r="O739" s="784">
        <v>6.6</v>
      </c>
      <c r="P739" s="783">
        <v>150</v>
      </c>
      <c r="Q739" s="783">
        <v>2127.41</v>
      </c>
      <c r="R739" s="783">
        <v>1374.26</v>
      </c>
      <c r="S739" s="783">
        <v>210.3</v>
      </c>
      <c r="T739" s="783">
        <v>542.86</v>
      </c>
      <c r="U739" s="785">
        <v>44713.507650462998</v>
      </c>
    </row>
    <row r="740" spans="1:21">
      <c r="A740" s="782">
        <v>44715</v>
      </c>
      <c r="B740" s="783" t="s">
        <v>74</v>
      </c>
      <c r="C740" s="783" t="s">
        <v>4097</v>
      </c>
      <c r="D740" s="783" t="s">
        <v>4038</v>
      </c>
      <c r="E740" s="783" t="s">
        <v>4367</v>
      </c>
      <c r="F740" s="783" t="s">
        <v>4011</v>
      </c>
      <c r="G740" s="783" t="str">
        <f t="shared" si="41"/>
        <v>Renewal (15% in 2020)</v>
      </c>
      <c r="H740" s="783" t="s">
        <v>4368</v>
      </c>
      <c r="I740" s="783" t="s">
        <v>4369</v>
      </c>
      <c r="J740" s="783">
        <v>20</v>
      </c>
      <c r="K740" s="783" t="s">
        <v>99</v>
      </c>
      <c r="L740" s="783" t="s">
        <v>4096</v>
      </c>
      <c r="M740" s="784">
        <v>26067.599999999999</v>
      </c>
      <c r="N740" s="784">
        <v>26</v>
      </c>
      <c r="O740" s="784">
        <v>5.57</v>
      </c>
      <c r="P740" s="783">
        <v>180</v>
      </c>
      <c r="Q740" s="783">
        <v>1305.99</v>
      </c>
      <c r="R740" s="783">
        <v>709.02</v>
      </c>
      <c r="S740" s="783">
        <v>143.38999999999999</v>
      </c>
      <c r="T740" s="783">
        <v>453.58</v>
      </c>
      <c r="U740" s="785">
        <v>44715.465127314797</v>
      </c>
    </row>
    <row r="741" spans="1:21">
      <c r="A741" s="782">
        <v>44713</v>
      </c>
      <c r="B741" s="783" t="s">
        <v>3078</v>
      </c>
      <c r="C741" s="783" t="s">
        <v>4414</v>
      </c>
      <c r="D741" s="783" t="s">
        <v>4009</v>
      </c>
      <c r="E741" s="783" t="s">
        <v>5650</v>
      </c>
      <c r="F741" s="783" t="s">
        <v>4066</v>
      </c>
      <c r="G741" s="783" t="s">
        <v>4028</v>
      </c>
      <c r="H741" s="783" t="s">
        <v>5651</v>
      </c>
      <c r="I741" s="783" t="s">
        <v>5652</v>
      </c>
      <c r="J741" s="783">
        <v>10</v>
      </c>
      <c r="K741" s="783" t="s">
        <v>99</v>
      </c>
      <c r="L741" s="783" t="s">
        <v>4096</v>
      </c>
      <c r="M741" s="784">
        <v>10941.39</v>
      </c>
      <c r="N741" s="784">
        <v>13.9</v>
      </c>
      <c r="O741" s="784">
        <v>3.5</v>
      </c>
      <c r="P741" s="783">
        <v>224.9</v>
      </c>
      <c r="Q741" s="783">
        <v>227.58</v>
      </c>
      <c r="R741" s="783">
        <v>0</v>
      </c>
      <c r="S741" s="783">
        <v>0</v>
      </c>
      <c r="T741" s="783">
        <v>227.58</v>
      </c>
      <c r="U741" s="785">
        <v>44715.418124999997</v>
      </c>
    </row>
    <row r="742" spans="1:21">
      <c r="A742" s="782">
        <v>44713</v>
      </c>
      <c r="B742" s="783" t="s">
        <v>41</v>
      </c>
      <c r="C742" s="783" t="s">
        <v>4092</v>
      </c>
      <c r="D742" s="783" t="s">
        <v>4009</v>
      </c>
      <c r="E742" s="783" t="s">
        <v>5653</v>
      </c>
      <c r="F742" s="783" t="s">
        <v>4011</v>
      </c>
      <c r="G742" s="783" t="str">
        <f t="shared" ref="G742:G747" si="42">VLOOKUP(I742,pacage,2,FALSE)</f>
        <v>New contract</v>
      </c>
      <c r="H742" s="783" t="s">
        <v>5654</v>
      </c>
      <c r="I742" s="783" t="s">
        <v>5655</v>
      </c>
      <c r="J742" s="783">
        <v>20</v>
      </c>
      <c r="K742" s="783" t="s">
        <v>99</v>
      </c>
      <c r="L742" s="783" t="s">
        <v>4096</v>
      </c>
      <c r="M742" s="784">
        <v>15948</v>
      </c>
      <c r="N742" s="784">
        <v>13.29</v>
      </c>
      <c r="O742" s="784">
        <v>6</v>
      </c>
      <c r="P742" s="783">
        <v>200</v>
      </c>
      <c r="Q742" s="783">
        <v>835.68</v>
      </c>
      <c r="R742" s="783">
        <v>426.27</v>
      </c>
      <c r="S742" s="783">
        <v>154.24</v>
      </c>
      <c r="T742" s="783">
        <v>255.17</v>
      </c>
      <c r="U742" s="785">
        <v>44715.425567129598</v>
      </c>
    </row>
    <row r="743" spans="1:21">
      <c r="A743" s="782">
        <v>44715</v>
      </c>
      <c r="B743" s="783" t="s">
        <v>882</v>
      </c>
      <c r="C743" s="783" t="s">
        <v>5656</v>
      </c>
      <c r="D743" s="783" t="s">
        <v>4248</v>
      </c>
      <c r="E743" s="783" t="s">
        <v>5657</v>
      </c>
      <c r="F743" s="783" t="s">
        <v>4011</v>
      </c>
      <c r="G743" s="783" t="str">
        <f t="shared" si="42"/>
        <v>New Contract</v>
      </c>
      <c r="H743" s="783" t="s">
        <v>5658</v>
      </c>
      <c r="I743" s="783" t="s">
        <v>5659</v>
      </c>
      <c r="J743" s="783">
        <v>25</v>
      </c>
      <c r="K743" s="783" t="s">
        <v>99</v>
      </c>
      <c r="L743" s="783" t="s">
        <v>4096</v>
      </c>
      <c r="M743" s="784">
        <v>91753.47</v>
      </c>
      <c r="N743" s="784">
        <v>78.11</v>
      </c>
      <c r="O743" s="784">
        <v>6.79</v>
      </c>
      <c r="P743" s="783">
        <v>173</v>
      </c>
      <c r="Q743" s="783">
        <v>3238.9</v>
      </c>
      <c r="R743" s="783">
        <v>2504.87</v>
      </c>
      <c r="S743" s="783">
        <v>376.19</v>
      </c>
      <c r="T743" s="783">
        <v>357.84</v>
      </c>
      <c r="U743" s="785">
        <v>44715.469027777799</v>
      </c>
    </row>
    <row r="744" spans="1:21">
      <c r="A744" s="782">
        <v>44714</v>
      </c>
      <c r="B744" s="783" t="s">
        <v>41</v>
      </c>
      <c r="C744" s="783" t="s">
        <v>4092</v>
      </c>
      <c r="D744" s="783" t="s">
        <v>4009</v>
      </c>
      <c r="E744" s="783" t="s">
        <v>5660</v>
      </c>
      <c r="F744" s="783" t="s">
        <v>4011</v>
      </c>
      <c r="G744" s="783" t="str">
        <f t="shared" si="42"/>
        <v>Renewal (25% in 2020)</v>
      </c>
      <c r="H744" s="783" t="s">
        <v>5661</v>
      </c>
      <c r="I744" s="783" t="s">
        <v>5662</v>
      </c>
      <c r="J744" s="783">
        <v>20</v>
      </c>
      <c r="K744" s="783" t="s">
        <v>99</v>
      </c>
      <c r="L744" s="783" t="s">
        <v>4096</v>
      </c>
      <c r="M744" s="784">
        <v>42778.8</v>
      </c>
      <c r="N744" s="784">
        <v>30.6</v>
      </c>
      <c r="O744" s="784">
        <v>6.99</v>
      </c>
      <c r="P744" s="783">
        <v>200</v>
      </c>
      <c r="Q744" s="783">
        <v>2241.61</v>
      </c>
      <c r="R744" s="783">
        <v>1143.4100000000001</v>
      </c>
      <c r="S744" s="783">
        <v>413.74</v>
      </c>
      <c r="T744" s="783">
        <v>684.46</v>
      </c>
      <c r="U744" s="785">
        <v>44715.458148148202</v>
      </c>
    </row>
    <row r="745" spans="1:21">
      <c r="A745" s="782">
        <v>44714</v>
      </c>
      <c r="B745" s="783" t="s">
        <v>41</v>
      </c>
      <c r="C745" s="783" t="s">
        <v>4082</v>
      </c>
      <c r="D745" s="783" t="s">
        <v>4009</v>
      </c>
      <c r="E745" s="783" t="s">
        <v>960</v>
      </c>
      <c r="F745" s="783" t="s">
        <v>4011</v>
      </c>
      <c r="G745" s="783" t="str">
        <f t="shared" si="42"/>
        <v>Renewal (15% in 2020)</v>
      </c>
      <c r="H745" s="783" t="s">
        <v>5663</v>
      </c>
      <c r="I745" s="783" t="s">
        <v>5664</v>
      </c>
      <c r="J745" s="783">
        <v>15</v>
      </c>
      <c r="K745" s="783" t="s">
        <v>99</v>
      </c>
      <c r="L745" s="783" t="s">
        <v>4096</v>
      </c>
      <c r="M745" s="784">
        <v>87652.5</v>
      </c>
      <c r="N745" s="784">
        <v>89.9</v>
      </c>
      <c r="O745" s="784">
        <v>6.5</v>
      </c>
      <c r="P745" s="783">
        <v>150</v>
      </c>
      <c r="Q745" s="783">
        <v>5820.13</v>
      </c>
      <c r="R745" s="783">
        <v>2559.4499999999998</v>
      </c>
      <c r="S745" s="783">
        <v>455.79</v>
      </c>
      <c r="T745" s="783">
        <v>2804.88</v>
      </c>
      <c r="U745" s="785">
        <v>44715.453449074099</v>
      </c>
    </row>
    <row r="746" spans="1:21">
      <c r="A746" s="782">
        <v>44712</v>
      </c>
      <c r="B746" s="783" t="s">
        <v>4025</v>
      </c>
      <c r="C746" s="783" t="s">
        <v>4026</v>
      </c>
      <c r="D746" s="783" t="s">
        <v>4021</v>
      </c>
      <c r="E746" s="783" t="s">
        <v>4158</v>
      </c>
      <c r="F746" s="783" t="s">
        <v>4011</v>
      </c>
      <c r="G746" s="783" t="str">
        <f t="shared" si="42"/>
        <v>New Contract</v>
      </c>
      <c r="H746" s="783" t="s">
        <v>4159</v>
      </c>
      <c r="I746" s="783" t="s">
        <v>4160</v>
      </c>
      <c r="J746" s="783">
        <v>25</v>
      </c>
      <c r="K746" s="783" t="s">
        <v>99</v>
      </c>
      <c r="L746" s="783" t="s">
        <v>4096</v>
      </c>
      <c r="M746" s="784">
        <v>143933.23000000001</v>
      </c>
      <c r="N746" s="784">
        <v>131.29</v>
      </c>
      <c r="O746" s="784">
        <v>5.77</v>
      </c>
      <c r="P746" s="783">
        <v>190</v>
      </c>
      <c r="Q746" s="783">
        <v>6592.14</v>
      </c>
      <c r="R746" s="783">
        <v>4429.66</v>
      </c>
      <c r="S746" s="783">
        <v>1183.74</v>
      </c>
      <c r="T746" s="783">
        <v>978.75</v>
      </c>
      <c r="U746" s="785">
        <v>44714.012060185203</v>
      </c>
    </row>
    <row r="747" spans="1:21">
      <c r="A747" s="782">
        <v>44711</v>
      </c>
      <c r="B747" s="783" t="s">
        <v>74</v>
      </c>
      <c r="C747" s="783" t="s">
        <v>4097</v>
      </c>
      <c r="D747" s="783" t="s">
        <v>4038</v>
      </c>
      <c r="E747" s="783" t="s">
        <v>4370</v>
      </c>
      <c r="F747" s="783" t="s">
        <v>4011</v>
      </c>
      <c r="G747" s="783" t="str">
        <f t="shared" si="42"/>
        <v>Renewal (20% in 2020)</v>
      </c>
      <c r="H747" s="783" t="s">
        <v>4371</v>
      </c>
      <c r="I747" s="783" t="s">
        <v>4372</v>
      </c>
      <c r="J747" s="783">
        <v>20</v>
      </c>
      <c r="K747" s="783" t="s">
        <v>99</v>
      </c>
      <c r="L747" s="783" t="s">
        <v>4096</v>
      </c>
      <c r="M747" s="784">
        <v>44296</v>
      </c>
      <c r="N747" s="784">
        <v>39.549999999999997</v>
      </c>
      <c r="O747" s="784">
        <v>5.6</v>
      </c>
      <c r="P747" s="783">
        <v>200</v>
      </c>
      <c r="Q747" s="783">
        <v>2219.23</v>
      </c>
      <c r="R747" s="783">
        <v>1084.3399999999999</v>
      </c>
      <c r="S747" s="783">
        <v>364.14</v>
      </c>
      <c r="T747" s="783">
        <v>770.75</v>
      </c>
      <c r="U747" s="785">
        <v>44713.987743055601</v>
      </c>
    </row>
    <row r="748" spans="1:21">
      <c r="A748" s="782">
        <v>44711</v>
      </c>
      <c r="B748" s="783" t="s">
        <v>228</v>
      </c>
      <c r="C748" s="783" t="s">
        <v>4582</v>
      </c>
      <c r="D748" s="783" t="s">
        <v>4193</v>
      </c>
      <c r="E748" s="783" t="s">
        <v>4766</v>
      </c>
      <c r="F748" s="783" t="s">
        <v>4011</v>
      </c>
      <c r="G748" s="783" t="s">
        <v>4028</v>
      </c>
      <c r="H748" s="783" t="s">
        <v>4767</v>
      </c>
      <c r="I748" s="783" t="s">
        <v>4768</v>
      </c>
      <c r="J748" s="783">
        <v>25</v>
      </c>
      <c r="K748" s="783" t="s">
        <v>99</v>
      </c>
      <c r="L748" s="783" t="s">
        <v>4096</v>
      </c>
      <c r="M748" s="784">
        <v>26371.26</v>
      </c>
      <c r="N748" s="784">
        <v>21.5</v>
      </c>
      <c r="O748" s="784">
        <v>7.09</v>
      </c>
      <c r="P748" s="783">
        <v>173</v>
      </c>
      <c r="Q748" s="783">
        <v>1068.04</v>
      </c>
      <c r="R748" s="783">
        <v>833.33</v>
      </c>
      <c r="S748" s="783">
        <v>110.76</v>
      </c>
      <c r="T748" s="783">
        <v>123.94</v>
      </c>
      <c r="U748" s="785">
        <v>44713.609803240703</v>
      </c>
    </row>
    <row r="749" spans="1:21">
      <c r="A749" s="782">
        <v>44711</v>
      </c>
      <c r="B749" s="783" t="s">
        <v>113</v>
      </c>
      <c r="C749" s="783" t="s">
        <v>4097</v>
      </c>
      <c r="D749" s="783" t="s">
        <v>4038</v>
      </c>
      <c r="E749" s="783" t="s">
        <v>4373</v>
      </c>
      <c r="F749" s="783" t="s">
        <v>4011</v>
      </c>
      <c r="G749" s="783" t="str">
        <f t="shared" ref="G749:G761" si="43">VLOOKUP(I749,pacage,2,FALSE)</f>
        <v>Renewal (15% in 2020)</v>
      </c>
      <c r="H749" s="783" t="s">
        <v>4374</v>
      </c>
      <c r="I749" s="783" t="s">
        <v>4375</v>
      </c>
      <c r="J749" s="783">
        <v>15</v>
      </c>
      <c r="K749" s="783" t="s">
        <v>99</v>
      </c>
      <c r="L749" s="783" t="s">
        <v>4096</v>
      </c>
      <c r="M749" s="784">
        <v>46665.77</v>
      </c>
      <c r="N749" s="784">
        <v>45.37</v>
      </c>
      <c r="O749" s="784">
        <v>5.98</v>
      </c>
      <c r="P749" s="783">
        <v>172</v>
      </c>
      <c r="Q749" s="783">
        <v>3089.27</v>
      </c>
      <c r="R749" s="783">
        <v>1320.64</v>
      </c>
      <c r="S749" s="783">
        <v>205.33</v>
      </c>
      <c r="T749" s="783">
        <v>1563.3</v>
      </c>
      <c r="U749" s="785">
        <v>44713.979664351798</v>
      </c>
    </row>
    <row r="750" spans="1:21">
      <c r="A750" s="782">
        <v>44711</v>
      </c>
      <c r="B750" s="783" t="s">
        <v>113</v>
      </c>
      <c r="C750" s="783" t="s">
        <v>4097</v>
      </c>
      <c r="D750" s="783" t="s">
        <v>4038</v>
      </c>
      <c r="E750" s="783" t="s">
        <v>5665</v>
      </c>
      <c r="F750" s="783" t="s">
        <v>4011</v>
      </c>
      <c r="G750" s="783" t="str">
        <f t="shared" si="43"/>
        <v>Renewal (15% in 2020)</v>
      </c>
      <c r="H750" s="783" t="s">
        <v>5666</v>
      </c>
      <c r="I750" s="783" t="s">
        <v>5667</v>
      </c>
      <c r="J750" s="783">
        <v>15</v>
      </c>
      <c r="K750" s="783" t="s">
        <v>99</v>
      </c>
      <c r="L750" s="783" t="s">
        <v>4096</v>
      </c>
      <c r="M750" s="784">
        <v>39409.67</v>
      </c>
      <c r="N750" s="784">
        <v>39.1</v>
      </c>
      <c r="O750" s="784">
        <v>5.86</v>
      </c>
      <c r="P750" s="783">
        <v>172</v>
      </c>
      <c r="Q750" s="783">
        <v>2608.92</v>
      </c>
      <c r="R750" s="783">
        <v>1115.29</v>
      </c>
      <c r="S750" s="783">
        <v>173.4</v>
      </c>
      <c r="T750" s="783">
        <v>1320.22</v>
      </c>
      <c r="U750" s="785">
        <v>44713.627754629597</v>
      </c>
    </row>
    <row r="751" spans="1:21">
      <c r="A751" s="782">
        <v>44712</v>
      </c>
      <c r="B751" s="783" t="s">
        <v>41</v>
      </c>
      <c r="C751" s="783" t="s">
        <v>4092</v>
      </c>
      <c r="D751" s="783" t="s">
        <v>4009</v>
      </c>
      <c r="E751" s="783" t="s">
        <v>1194</v>
      </c>
      <c r="F751" s="783" t="s">
        <v>4011</v>
      </c>
      <c r="G751" s="783" t="str">
        <f t="shared" si="43"/>
        <v>Renewal (15% in 2020)</v>
      </c>
      <c r="H751" s="783" t="s">
        <v>5668</v>
      </c>
      <c r="I751" s="783" t="s">
        <v>5669</v>
      </c>
      <c r="J751" s="783">
        <v>20</v>
      </c>
      <c r="K751" s="783" t="s">
        <v>99</v>
      </c>
      <c r="L751" s="783" t="s">
        <v>4096</v>
      </c>
      <c r="M751" s="784">
        <v>55764.59</v>
      </c>
      <c r="N751" s="784">
        <v>65.39</v>
      </c>
      <c r="O751" s="784">
        <v>5.33</v>
      </c>
      <c r="P751" s="783">
        <v>160</v>
      </c>
      <c r="Q751" s="783">
        <v>2922.06</v>
      </c>
      <c r="R751" s="783">
        <v>1723.13</v>
      </c>
      <c r="S751" s="783">
        <v>306.70999999999998</v>
      </c>
      <c r="T751" s="783">
        <v>892.23</v>
      </c>
      <c r="U751" s="785">
        <v>44714.578807870399</v>
      </c>
    </row>
    <row r="752" spans="1:21">
      <c r="A752" s="782">
        <v>44712</v>
      </c>
      <c r="B752" s="783" t="s">
        <v>47</v>
      </c>
      <c r="C752" s="783" t="s">
        <v>4101</v>
      </c>
      <c r="D752" s="783" t="s">
        <v>4102</v>
      </c>
      <c r="E752" s="783" t="s">
        <v>406</v>
      </c>
      <c r="F752" s="783" t="s">
        <v>4011</v>
      </c>
      <c r="G752" s="783" t="str">
        <f t="shared" si="43"/>
        <v>Renewal (20% in 2020)</v>
      </c>
      <c r="H752" s="783" t="s">
        <v>4262</v>
      </c>
      <c r="I752" s="783" t="s">
        <v>4263</v>
      </c>
      <c r="J752" s="783">
        <v>20</v>
      </c>
      <c r="K752" s="783" t="s">
        <v>99</v>
      </c>
      <c r="L752" s="783" t="s">
        <v>4096</v>
      </c>
      <c r="M752" s="784">
        <v>184473.43</v>
      </c>
      <c r="N752" s="784">
        <v>88.92</v>
      </c>
      <c r="O752" s="784">
        <v>9.43</v>
      </c>
      <c r="P752" s="783">
        <v>220</v>
      </c>
      <c r="Q752" s="783">
        <v>7102.23</v>
      </c>
      <c r="R752" s="783">
        <v>3321.95</v>
      </c>
      <c r="S752" s="783">
        <v>1548.15</v>
      </c>
      <c r="T752" s="783">
        <v>2232.13</v>
      </c>
      <c r="U752" s="785">
        <v>44714.4746296296</v>
      </c>
    </row>
    <row r="753" spans="1:21">
      <c r="A753" s="782">
        <v>44712</v>
      </c>
      <c r="B753" s="783" t="s">
        <v>228</v>
      </c>
      <c r="C753" s="783" t="s">
        <v>4020</v>
      </c>
      <c r="D753" s="783" t="s">
        <v>4021</v>
      </c>
      <c r="E753" s="783" t="s">
        <v>5670</v>
      </c>
      <c r="F753" s="783" t="s">
        <v>4011</v>
      </c>
      <c r="G753" s="783" t="str">
        <f t="shared" si="43"/>
        <v>Renewal (15% in 2020)</v>
      </c>
      <c r="H753" s="783" t="s">
        <v>5671</v>
      </c>
      <c r="I753" s="783" t="s">
        <v>5672</v>
      </c>
      <c r="J753" s="783">
        <v>20</v>
      </c>
      <c r="K753" s="783" t="s">
        <v>99</v>
      </c>
      <c r="L753" s="783" t="s">
        <v>4096</v>
      </c>
      <c r="M753" s="784">
        <v>23097.1</v>
      </c>
      <c r="N753" s="784">
        <v>21.19</v>
      </c>
      <c r="O753" s="784">
        <v>5.45</v>
      </c>
      <c r="P753" s="783">
        <v>200</v>
      </c>
      <c r="Q753" s="783">
        <v>1441.26</v>
      </c>
      <c r="R753" s="783">
        <v>729.23</v>
      </c>
      <c r="S753" s="783">
        <v>243.15</v>
      </c>
      <c r="T753" s="783">
        <v>468.87</v>
      </c>
      <c r="U753" s="785">
        <v>44714.466921296298</v>
      </c>
    </row>
    <row r="754" spans="1:21">
      <c r="A754" s="782">
        <v>44712</v>
      </c>
      <c r="B754" s="783" t="s">
        <v>41</v>
      </c>
      <c r="C754" s="783" t="s">
        <v>4082</v>
      </c>
      <c r="D754" s="783" t="s">
        <v>4009</v>
      </c>
      <c r="E754" s="783" t="s">
        <v>4650</v>
      </c>
      <c r="F754" s="783" t="s">
        <v>4011</v>
      </c>
      <c r="G754" s="783" t="str">
        <f t="shared" si="43"/>
        <v>Renewal (20% in 2020)</v>
      </c>
      <c r="H754" s="783" t="s">
        <v>4651</v>
      </c>
      <c r="I754" s="783" t="s">
        <v>4652</v>
      </c>
      <c r="J754" s="783">
        <v>20</v>
      </c>
      <c r="K754" s="783" t="s">
        <v>99</v>
      </c>
      <c r="L754" s="783" t="s">
        <v>4096</v>
      </c>
      <c r="M754" s="784">
        <v>17935.78</v>
      </c>
      <c r="N754" s="784">
        <v>16.25</v>
      </c>
      <c r="O754" s="784">
        <v>6.38</v>
      </c>
      <c r="P754" s="783">
        <v>173</v>
      </c>
      <c r="Q754" s="783">
        <v>887.82</v>
      </c>
      <c r="R754" s="783">
        <v>523.72</v>
      </c>
      <c r="S754" s="783">
        <v>93.27</v>
      </c>
      <c r="T754" s="783">
        <v>270.83</v>
      </c>
      <c r="U754" s="785">
        <v>44714.5765509259</v>
      </c>
    </row>
    <row r="755" spans="1:21">
      <c r="A755" s="782">
        <v>44712</v>
      </c>
      <c r="B755" s="783" t="s">
        <v>41</v>
      </c>
      <c r="C755" s="783" t="s">
        <v>4139</v>
      </c>
      <c r="D755" s="783" t="s">
        <v>4009</v>
      </c>
      <c r="E755" s="783" t="s">
        <v>4650</v>
      </c>
      <c r="F755" s="783" t="s">
        <v>4011</v>
      </c>
      <c r="G755" s="783" t="str">
        <f t="shared" si="43"/>
        <v>Renewal (20% in 2020)</v>
      </c>
      <c r="H755" s="783" t="s">
        <v>4651</v>
      </c>
      <c r="I755" s="783" t="s">
        <v>4652</v>
      </c>
      <c r="J755" s="783">
        <v>20</v>
      </c>
      <c r="K755" s="783" t="s">
        <v>99</v>
      </c>
      <c r="L755" s="783" t="s">
        <v>4096</v>
      </c>
      <c r="M755" s="784">
        <v>27990.85</v>
      </c>
      <c r="N755" s="784">
        <v>25.36</v>
      </c>
      <c r="O755" s="784">
        <v>6.38</v>
      </c>
      <c r="P755" s="783">
        <v>173</v>
      </c>
      <c r="Q755" s="783">
        <v>1088.8399999999999</v>
      </c>
      <c r="R755" s="783">
        <v>657.78</v>
      </c>
      <c r="S755" s="783">
        <v>100.77</v>
      </c>
      <c r="T755" s="783">
        <v>330.29</v>
      </c>
      <c r="U755" s="785">
        <v>44714.576562499999</v>
      </c>
    </row>
    <row r="756" spans="1:21">
      <c r="A756" s="782">
        <v>44712</v>
      </c>
      <c r="B756" s="783" t="s">
        <v>47</v>
      </c>
      <c r="C756" s="783" t="s">
        <v>4244</v>
      </c>
      <c r="D756" s="783" t="s">
        <v>4102</v>
      </c>
      <c r="E756" s="783" t="s">
        <v>5673</v>
      </c>
      <c r="F756" s="783" t="s">
        <v>4011</v>
      </c>
      <c r="G756" s="783" t="str">
        <f t="shared" si="43"/>
        <v>Renewal (15% in 2020)</v>
      </c>
      <c r="H756" s="783" t="s">
        <v>5674</v>
      </c>
      <c r="I756" s="783" t="s">
        <v>5675</v>
      </c>
      <c r="J756" s="783">
        <v>15</v>
      </c>
      <c r="K756" s="783" t="s">
        <v>99</v>
      </c>
      <c r="L756" s="783" t="s">
        <v>4096</v>
      </c>
      <c r="M756" s="784">
        <v>125889.9</v>
      </c>
      <c r="N756" s="784">
        <v>90.64</v>
      </c>
      <c r="O756" s="784">
        <v>8.17</v>
      </c>
      <c r="P756" s="783">
        <v>170</v>
      </c>
      <c r="Q756" s="783">
        <v>6370.03</v>
      </c>
      <c r="R756" s="783">
        <v>2845.11</v>
      </c>
      <c r="S756" s="783">
        <v>428.03</v>
      </c>
      <c r="T756" s="783">
        <v>3096.89</v>
      </c>
      <c r="U756" s="785">
        <v>44714.674097222203</v>
      </c>
    </row>
    <row r="757" spans="1:21">
      <c r="A757" s="782">
        <v>44712</v>
      </c>
      <c r="B757" s="783" t="s">
        <v>41</v>
      </c>
      <c r="C757" s="783" t="s">
        <v>4092</v>
      </c>
      <c r="D757" s="783" t="s">
        <v>4009</v>
      </c>
      <c r="E757" s="783" t="s">
        <v>605</v>
      </c>
      <c r="F757" s="783" t="s">
        <v>4011</v>
      </c>
      <c r="G757" s="783" t="str">
        <f t="shared" si="43"/>
        <v>Renewal (15% in 2020)</v>
      </c>
      <c r="H757" s="783" t="s">
        <v>4161</v>
      </c>
      <c r="I757" s="783" t="s">
        <v>4162</v>
      </c>
      <c r="J757" s="783">
        <v>15</v>
      </c>
      <c r="K757" s="783" t="s">
        <v>99</v>
      </c>
      <c r="L757" s="783" t="s">
        <v>4096</v>
      </c>
      <c r="M757" s="784">
        <v>19480.7</v>
      </c>
      <c r="N757" s="784">
        <v>23.28</v>
      </c>
      <c r="O757" s="784">
        <v>5.23</v>
      </c>
      <c r="P757" s="783">
        <v>160</v>
      </c>
      <c r="Q757" s="783">
        <v>1367.55</v>
      </c>
      <c r="R757" s="783">
        <v>601.95000000000005</v>
      </c>
      <c r="S757" s="783">
        <v>107.14</v>
      </c>
      <c r="T757" s="783">
        <v>658.45</v>
      </c>
      <c r="U757" s="785">
        <v>44714.667314814797</v>
      </c>
    </row>
    <row r="758" spans="1:21">
      <c r="A758" s="782">
        <v>44711</v>
      </c>
      <c r="B758" s="783" t="s">
        <v>51</v>
      </c>
      <c r="C758" s="783" t="s">
        <v>4042</v>
      </c>
      <c r="D758" s="783" t="s">
        <v>4016</v>
      </c>
      <c r="E758" s="783" t="s">
        <v>1315</v>
      </c>
      <c r="F758" s="783" t="s">
        <v>4011</v>
      </c>
      <c r="G758" s="783" t="str">
        <f t="shared" si="43"/>
        <v>Renewal (25% in 2020)</v>
      </c>
      <c r="H758" s="783" t="s">
        <v>5676</v>
      </c>
      <c r="I758" s="783" t="s">
        <v>5677</v>
      </c>
      <c r="J758" s="783">
        <v>25</v>
      </c>
      <c r="K758" s="783" t="s">
        <v>99</v>
      </c>
      <c r="L758" s="783" t="s">
        <v>4096</v>
      </c>
      <c r="M758" s="784">
        <v>93550.24</v>
      </c>
      <c r="N758" s="784">
        <v>70.7</v>
      </c>
      <c r="O758" s="784">
        <v>8.27</v>
      </c>
      <c r="P758" s="783">
        <v>160</v>
      </c>
      <c r="Q758" s="783">
        <v>3461.36</v>
      </c>
      <c r="R758" s="783">
        <v>2628.76</v>
      </c>
      <c r="S758" s="783">
        <v>402.27</v>
      </c>
      <c r="T758" s="783">
        <v>430.33</v>
      </c>
      <c r="U758" s="785">
        <v>44713.994988425897</v>
      </c>
    </row>
    <row r="759" spans="1:21">
      <c r="A759" s="782">
        <v>44710</v>
      </c>
      <c r="B759" s="783" t="s">
        <v>41</v>
      </c>
      <c r="C759" s="783" t="s">
        <v>4008</v>
      </c>
      <c r="D759" s="783" t="s">
        <v>4009</v>
      </c>
      <c r="E759" s="783" t="s">
        <v>5678</v>
      </c>
      <c r="F759" s="783" t="s">
        <v>4011</v>
      </c>
      <c r="G759" s="783" t="str">
        <f t="shared" si="43"/>
        <v>Renewal (20% in 2020)</v>
      </c>
      <c r="H759" s="783" t="s">
        <v>5679</v>
      </c>
      <c r="I759" s="783" t="s">
        <v>5680</v>
      </c>
      <c r="J759" s="783">
        <v>20</v>
      </c>
      <c r="K759" s="783" t="s">
        <v>99</v>
      </c>
      <c r="L759" s="783" t="s">
        <v>4096</v>
      </c>
      <c r="M759" s="784">
        <v>19496.509999999998</v>
      </c>
      <c r="N759" s="784">
        <v>17.86</v>
      </c>
      <c r="O759" s="784">
        <v>6.31</v>
      </c>
      <c r="P759" s="783">
        <v>173</v>
      </c>
      <c r="Q759" s="783">
        <v>1007.97</v>
      </c>
      <c r="R759" s="783">
        <v>573.20000000000005</v>
      </c>
      <c r="S759" s="783">
        <v>89.68</v>
      </c>
      <c r="T759" s="783">
        <v>345.09</v>
      </c>
      <c r="U759" s="785">
        <v>44712.637372685203</v>
      </c>
    </row>
    <row r="760" spans="1:21">
      <c r="A760" s="782">
        <v>44711</v>
      </c>
      <c r="B760" s="783" t="s">
        <v>41</v>
      </c>
      <c r="C760" s="783" t="s">
        <v>4092</v>
      </c>
      <c r="D760" s="783" t="s">
        <v>4009</v>
      </c>
      <c r="E760" s="783" t="s">
        <v>446</v>
      </c>
      <c r="F760" s="783" t="s">
        <v>4011</v>
      </c>
      <c r="G760" s="783" t="str">
        <f t="shared" si="43"/>
        <v>Renewal (15% in 2020)</v>
      </c>
      <c r="H760" s="783" t="s">
        <v>5681</v>
      </c>
      <c r="I760" s="783" t="s">
        <v>5682</v>
      </c>
      <c r="J760" s="783">
        <v>15</v>
      </c>
      <c r="K760" s="783" t="s">
        <v>99</v>
      </c>
      <c r="L760" s="783" t="s">
        <v>4096</v>
      </c>
      <c r="M760" s="784">
        <v>29019</v>
      </c>
      <c r="N760" s="784">
        <v>30</v>
      </c>
      <c r="O760" s="784">
        <v>5.69</v>
      </c>
      <c r="P760" s="783">
        <v>170</v>
      </c>
      <c r="Q760" s="783">
        <v>2037.13</v>
      </c>
      <c r="R760" s="783">
        <v>896.69</v>
      </c>
      <c r="S760" s="783">
        <v>159.6</v>
      </c>
      <c r="T760" s="783">
        <v>980.84</v>
      </c>
      <c r="U760" s="785">
        <v>44713.990949074097</v>
      </c>
    </row>
    <row r="761" spans="1:21">
      <c r="A761" s="782">
        <v>44712</v>
      </c>
      <c r="B761" s="783" t="s">
        <v>41</v>
      </c>
      <c r="C761" s="783" t="s">
        <v>4071</v>
      </c>
      <c r="D761" s="783" t="s">
        <v>4009</v>
      </c>
      <c r="E761" s="783" t="s">
        <v>5683</v>
      </c>
      <c r="F761" s="783" t="s">
        <v>4011</v>
      </c>
      <c r="G761" s="783" t="str">
        <f t="shared" si="43"/>
        <v>Renewal (15% in 2020)</v>
      </c>
      <c r="H761" s="783" t="s">
        <v>5684</v>
      </c>
      <c r="I761" s="783" t="s">
        <v>5685</v>
      </c>
      <c r="J761" s="783">
        <v>15</v>
      </c>
      <c r="K761" s="783" t="s">
        <v>99</v>
      </c>
      <c r="L761" s="783" t="s">
        <v>4096</v>
      </c>
      <c r="M761" s="784">
        <v>25355.57</v>
      </c>
      <c r="N761" s="784">
        <v>30.88</v>
      </c>
      <c r="O761" s="784">
        <v>4.83</v>
      </c>
      <c r="P761" s="783">
        <v>170</v>
      </c>
      <c r="Q761" s="783">
        <v>1272.8499999999999</v>
      </c>
      <c r="R761" s="783">
        <v>573.04</v>
      </c>
      <c r="S761" s="783">
        <v>88.74</v>
      </c>
      <c r="T761" s="783">
        <v>611.07000000000005</v>
      </c>
      <c r="U761" s="785">
        <v>44715.475497685198</v>
      </c>
    </row>
    <row r="762" spans="1:21">
      <c r="A762" s="782">
        <v>44712</v>
      </c>
      <c r="B762" s="783" t="s">
        <v>4025</v>
      </c>
      <c r="C762" s="783" t="s">
        <v>4026</v>
      </c>
      <c r="D762" s="783" t="s">
        <v>4021</v>
      </c>
      <c r="E762" s="783" t="s">
        <v>5686</v>
      </c>
      <c r="F762" s="783" t="s">
        <v>4011</v>
      </c>
      <c r="G762" s="783" t="s">
        <v>4028</v>
      </c>
      <c r="H762" s="783" t="s">
        <v>5687</v>
      </c>
      <c r="I762" s="783" t="s">
        <v>5688</v>
      </c>
      <c r="J762" s="783">
        <v>25</v>
      </c>
      <c r="K762" s="783" t="s">
        <v>99</v>
      </c>
      <c r="L762" s="783" t="s">
        <v>4096</v>
      </c>
      <c r="M762" s="784">
        <v>27485.51</v>
      </c>
      <c r="N762" s="784">
        <v>24.51</v>
      </c>
      <c r="O762" s="784">
        <v>6.23</v>
      </c>
      <c r="P762" s="783">
        <v>180</v>
      </c>
      <c r="Q762" s="783">
        <v>1258.8399999999999</v>
      </c>
      <c r="R762" s="783">
        <v>892.88</v>
      </c>
      <c r="S762" s="783">
        <v>179.05</v>
      </c>
      <c r="T762" s="783">
        <v>186.9</v>
      </c>
      <c r="U762" s="785">
        <v>44714.002731481502</v>
      </c>
    </row>
    <row r="763" spans="1:21">
      <c r="A763" s="782">
        <v>44711</v>
      </c>
      <c r="B763" s="783" t="s">
        <v>51</v>
      </c>
      <c r="C763" s="783" t="s">
        <v>4015</v>
      </c>
      <c r="D763" s="783" t="s">
        <v>4016</v>
      </c>
      <c r="E763" s="783" t="s">
        <v>5689</v>
      </c>
      <c r="F763" s="783" t="s">
        <v>4011</v>
      </c>
      <c r="G763" s="783" t="str">
        <f>VLOOKUP(I763,pacage,2,FALSE)</f>
        <v>Renewal (15% in 2020)</v>
      </c>
      <c r="H763" s="783" t="s">
        <v>5690</v>
      </c>
      <c r="I763" s="783" t="s">
        <v>5691</v>
      </c>
      <c r="J763" s="783">
        <v>15</v>
      </c>
      <c r="K763" s="783" t="s">
        <v>99</v>
      </c>
      <c r="L763" s="783" t="s">
        <v>4096</v>
      </c>
      <c r="M763" s="784">
        <v>9898.9500000000007</v>
      </c>
      <c r="N763" s="784">
        <v>8.73</v>
      </c>
      <c r="O763" s="784">
        <v>6.67</v>
      </c>
      <c r="P763" s="783">
        <v>170</v>
      </c>
      <c r="Q763" s="783">
        <v>930.5</v>
      </c>
      <c r="R763" s="783">
        <v>407.84</v>
      </c>
      <c r="S763" s="783">
        <v>62.36</v>
      </c>
      <c r="T763" s="783">
        <v>460.3</v>
      </c>
      <c r="U763" s="785">
        <v>44713.541979166701</v>
      </c>
    </row>
    <row r="764" spans="1:21">
      <c r="A764" s="782">
        <v>44712</v>
      </c>
      <c r="B764" s="783" t="s">
        <v>41</v>
      </c>
      <c r="C764" s="783" t="s">
        <v>4082</v>
      </c>
      <c r="D764" s="783" t="s">
        <v>4009</v>
      </c>
      <c r="E764" s="783" t="s">
        <v>5692</v>
      </c>
      <c r="F764" s="783" t="s">
        <v>4011</v>
      </c>
      <c r="G764" s="783" t="str">
        <f>VLOOKUP(I764,pacage,2,FALSE)</f>
        <v>Renewal (15% in 2020)</v>
      </c>
      <c r="H764" s="783" t="s">
        <v>5693</v>
      </c>
      <c r="I764" s="783" t="s">
        <v>5694</v>
      </c>
      <c r="J764" s="783">
        <v>15</v>
      </c>
      <c r="K764" s="783" t="s">
        <v>99</v>
      </c>
      <c r="L764" s="783" t="s">
        <v>4096</v>
      </c>
      <c r="M764" s="784">
        <v>15328.69</v>
      </c>
      <c r="N764" s="784">
        <v>18.28</v>
      </c>
      <c r="O764" s="784">
        <v>5.41</v>
      </c>
      <c r="P764" s="783">
        <v>155</v>
      </c>
      <c r="Q764" s="783">
        <v>1017.83</v>
      </c>
      <c r="R764" s="783">
        <v>447.6</v>
      </c>
      <c r="S764" s="783">
        <v>79.709999999999994</v>
      </c>
      <c r="T764" s="783">
        <v>490.52</v>
      </c>
      <c r="U764" s="785">
        <v>44714.017002314802</v>
      </c>
    </row>
    <row r="765" spans="1:21">
      <c r="A765" s="782">
        <v>44712</v>
      </c>
      <c r="B765" s="783" t="s">
        <v>4025</v>
      </c>
      <c r="C765" s="783" t="s">
        <v>4026</v>
      </c>
      <c r="D765" s="783" t="s">
        <v>4021</v>
      </c>
      <c r="E765" s="783" t="s">
        <v>4056</v>
      </c>
      <c r="F765" s="783" t="s">
        <v>4011</v>
      </c>
      <c r="G765" s="783" t="s">
        <v>4028</v>
      </c>
      <c r="H765" s="783" t="s">
        <v>4057</v>
      </c>
      <c r="I765" s="783" t="s">
        <v>4058</v>
      </c>
      <c r="J765" s="783">
        <v>25</v>
      </c>
      <c r="K765" s="783" t="s">
        <v>99</v>
      </c>
      <c r="L765" s="783" t="s">
        <v>4096</v>
      </c>
      <c r="M765" s="784">
        <v>17672.150000000001</v>
      </c>
      <c r="N765" s="784">
        <v>18.420000000000002</v>
      </c>
      <c r="O765" s="784">
        <v>5.33</v>
      </c>
      <c r="P765" s="783">
        <v>180</v>
      </c>
      <c r="Q765" s="783">
        <v>809.38</v>
      </c>
      <c r="R765" s="783">
        <v>574.09</v>
      </c>
      <c r="S765" s="783">
        <v>115.12</v>
      </c>
      <c r="T765" s="783">
        <v>120.17</v>
      </c>
      <c r="U765" s="785">
        <v>44714.465833333299</v>
      </c>
    </row>
    <row r="766" spans="1:21">
      <c r="A766" s="782">
        <v>44712</v>
      </c>
      <c r="B766" s="783" t="s">
        <v>228</v>
      </c>
      <c r="C766" s="783" t="s">
        <v>4020</v>
      </c>
      <c r="D766" s="783" t="s">
        <v>4021</v>
      </c>
      <c r="E766" s="783" t="s">
        <v>4163</v>
      </c>
      <c r="F766" s="783" t="s">
        <v>4011</v>
      </c>
      <c r="G766" s="783" t="str">
        <f t="shared" ref="G766:G774" si="44">VLOOKUP(I766,pacage,2,FALSE)</f>
        <v>Renewal (15% in 2020)</v>
      </c>
      <c r="H766" s="783" t="s">
        <v>4164</v>
      </c>
      <c r="I766" s="783" t="s">
        <v>4165</v>
      </c>
      <c r="J766" s="783">
        <v>25</v>
      </c>
      <c r="K766" s="783" t="s">
        <v>99</v>
      </c>
      <c r="L766" s="783" t="s">
        <v>4096</v>
      </c>
      <c r="M766" s="784">
        <v>63900.9</v>
      </c>
      <c r="N766" s="784">
        <v>56.35</v>
      </c>
      <c r="O766" s="784">
        <v>5.67</v>
      </c>
      <c r="P766" s="783">
        <v>200</v>
      </c>
      <c r="Q766" s="783">
        <v>3105.58</v>
      </c>
      <c r="R766" s="783">
        <v>2017.51</v>
      </c>
      <c r="S766" s="783">
        <v>672.72</v>
      </c>
      <c r="T766" s="783">
        <v>415.36</v>
      </c>
      <c r="U766" s="785">
        <v>44714.582372685203</v>
      </c>
    </row>
    <row r="767" spans="1:21">
      <c r="A767" s="782">
        <v>44698</v>
      </c>
      <c r="B767" s="783" t="s">
        <v>4025</v>
      </c>
      <c r="C767" s="783" t="s">
        <v>4026</v>
      </c>
      <c r="D767" s="783" t="s">
        <v>4021</v>
      </c>
      <c r="E767" s="783" t="s">
        <v>5695</v>
      </c>
      <c r="F767" s="783" t="s">
        <v>4011</v>
      </c>
      <c r="G767" s="783" t="str">
        <f t="shared" si="44"/>
        <v>New contract</v>
      </c>
      <c r="H767" s="783" t="s">
        <v>5696</v>
      </c>
      <c r="I767" s="783" t="s">
        <v>5697</v>
      </c>
      <c r="J767" s="783">
        <v>20</v>
      </c>
      <c r="K767" s="783" t="s">
        <v>99</v>
      </c>
      <c r="L767" s="783" t="s">
        <v>4096</v>
      </c>
      <c r="M767" s="784">
        <v>52482.16</v>
      </c>
      <c r="N767" s="784">
        <v>44.78</v>
      </c>
      <c r="O767" s="784">
        <v>5.86</v>
      </c>
      <c r="P767" s="783">
        <v>200</v>
      </c>
      <c r="Q767" s="783">
        <v>3075.45</v>
      </c>
      <c r="R767" s="783">
        <v>1534.42</v>
      </c>
      <c r="S767" s="783">
        <v>512.38</v>
      </c>
      <c r="T767" s="783">
        <v>1028.6500000000001</v>
      </c>
      <c r="U767" s="785">
        <v>44712.625069444402</v>
      </c>
    </row>
    <row r="768" spans="1:21">
      <c r="A768" s="782">
        <v>44711</v>
      </c>
      <c r="B768" s="783" t="s">
        <v>113</v>
      </c>
      <c r="C768" s="783" t="s">
        <v>4097</v>
      </c>
      <c r="D768" s="783" t="s">
        <v>4038</v>
      </c>
      <c r="E768" s="783" t="s">
        <v>4377</v>
      </c>
      <c r="F768" s="783" t="s">
        <v>4011</v>
      </c>
      <c r="G768" s="783" t="str">
        <f t="shared" si="44"/>
        <v>Renewal (15% in 2020)</v>
      </c>
      <c r="H768" s="783" t="s">
        <v>4378</v>
      </c>
      <c r="I768" s="783" t="s">
        <v>4379</v>
      </c>
      <c r="J768" s="783">
        <v>15</v>
      </c>
      <c r="K768" s="783" t="s">
        <v>99</v>
      </c>
      <c r="L768" s="783" t="s">
        <v>4096</v>
      </c>
      <c r="M768" s="784">
        <v>14414.11</v>
      </c>
      <c r="N768" s="784">
        <v>14.94</v>
      </c>
      <c r="O768" s="784">
        <v>6.03</v>
      </c>
      <c r="P768" s="783">
        <v>160</v>
      </c>
      <c r="Q768" s="783">
        <v>954.21</v>
      </c>
      <c r="R768" s="783">
        <v>407.92</v>
      </c>
      <c r="S768" s="783">
        <v>63.42</v>
      </c>
      <c r="T768" s="783">
        <v>482.87</v>
      </c>
      <c r="U768" s="785">
        <v>44713.522210648101</v>
      </c>
    </row>
    <row r="769" spans="1:21">
      <c r="A769" s="782">
        <v>44711</v>
      </c>
      <c r="B769" s="783" t="s">
        <v>113</v>
      </c>
      <c r="C769" s="783" t="s">
        <v>4376</v>
      </c>
      <c r="D769" s="783" t="s">
        <v>4038</v>
      </c>
      <c r="E769" s="783" t="s">
        <v>4377</v>
      </c>
      <c r="F769" s="783" t="s">
        <v>4011</v>
      </c>
      <c r="G769" s="783" t="str">
        <f t="shared" si="44"/>
        <v>Renewal (15% in 2020)</v>
      </c>
      <c r="H769" s="783" t="s">
        <v>4378</v>
      </c>
      <c r="I769" s="783" t="s">
        <v>4379</v>
      </c>
      <c r="J769" s="783">
        <v>15</v>
      </c>
      <c r="K769" s="783" t="s">
        <v>99</v>
      </c>
      <c r="L769" s="783" t="s">
        <v>4096</v>
      </c>
      <c r="M769" s="784">
        <v>12040.7</v>
      </c>
      <c r="N769" s="784">
        <v>12.48</v>
      </c>
      <c r="O769" s="784">
        <v>6.03</v>
      </c>
      <c r="P769" s="783">
        <v>160</v>
      </c>
      <c r="Q769" s="783">
        <v>1161.93</v>
      </c>
      <c r="R769" s="783">
        <v>494.87</v>
      </c>
      <c r="S769" s="783">
        <v>78.260000000000005</v>
      </c>
      <c r="T769" s="783">
        <v>588.79</v>
      </c>
      <c r="U769" s="785">
        <v>44713.5222222222</v>
      </c>
    </row>
    <row r="770" spans="1:21">
      <c r="A770" s="782">
        <v>44712</v>
      </c>
      <c r="B770" s="783" t="s">
        <v>34</v>
      </c>
      <c r="C770" s="783" t="s">
        <v>4139</v>
      </c>
      <c r="D770" s="783" t="s">
        <v>4009</v>
      </c>
      <c r="E770" s="783" t="s">
        <v>5698</v>
      </c>
      <c r="F770" s="783" t="s">
        <v>4011</v>
      </c>
      <c r="G770" s="783" t="str">
        <f t="shared" si="44"/>
        <v>Renewal (20% in 2020)</v>
      </c>
      <c r="H770" s="783" t="s">
        <v>5699</v>
      </c>
      <c r="I770" s="783" t="s">
        <v>5700</v>
      </c>
      <c r="J770" s="783">
        <v>20</v>
      </c>
      <c r="K770" s="783" t="s">
        <v>99</v>
      </c>
      <c r="L770" s="783" t="s">
        <v>4096</v>
      </c>
      <c r="M770" s="784">
        <v>39378.26</v>
      </c>
      <c r="N770" s="784">
        <v>29.95</v>
      </c>
      <c r="O770" s="784">
        <v>6.92</v>
      </c>
      <c r="P770" s="783">
        <v>190</v>
      </c>
      <c r="Q770" s="783">
        <v>1531.81</v>
      </c>
      <c r="R770" s="783">
        <v>842.59</v>
      </c>
      <c r="S770" s="783">
        <v>224.56</v>
      </c>
      <c r="T770" s="783">
        <v>464.66</v>
      </c>
      <c r="U770" s="785">
        <v>44714.0089814815</v>
      </c>
    </row>
    <row r="771" spans="1:21">
      <c r="A771" s="782">
        <v>44712</v>
      </c>
      <c r="B771" s="783" t="s">
        <v>3078</v>
      </c>
      <c r="C771" s="783" t="s">
        <v>4414</v>
      </c>
      <c r="D771" s="783" t="s">
        <v>4009</v>
      </c>
      <c r="E771" s="783" t="s">
        <v>5701</v>
      </c>
      <c r="F771" s="783" t="s">
        <v>4011</v>
      </c>
      <c r="G771" s="783" t="str">
        <f t="shared" si="44"/>
        <v>Renewal (25% in 2020)</v>
      </c>
      <c r="H771" s="783" t="s">
        <v>5702</v>
      </c>
      <c r="I771" s="783" t="s">
        <v>5703</v>
      </c>
      <c r="J771" s="783">
        <v>25</v>
      </c>
      <c r="K771" s="783" t="s">
        <v>99</v>
      </c>
      <c r="L771" s="783" t="s">
        <v>4096</v>
      </c>
      <c r="M771" s="784">
        <v>39957.75</v>
      </c>
      <c r="N771" s="784">
        <v>45.15</v>
      </c>
      <c r="O771" s="784">
        <v>5.9</v>
      </c>
      <c r="P771" s="783">
        <v>150</v>
      </c>
      <c r="Q771" s="783">
        <v>2081.8000000000002</v>
      </c>
      <c r="R771" s="783">
        <v>1418.5</v>
      </c>
      <c r="S771" s="783">
        <v>227.76</v>
      </c>
      <c r="T771" s="783">
        <v>435.54</v>
      </c>
      <c r="U771" s="785">
        <v>44715.402372685203</v>
      </c>
    </row>
    <row r="772" spans="1:21">
      <c r="A772" s="782">
        <v>44713</v>
      </c>
      <c r="B772" s="783" t="s">
        <v>65</v>
      </c>
      <c r="C772" s="783" t="s">
        <v>4264</v>
      </c>
      <c r="D772" s="783" t="s">
        <v>4016</v>
      </c>
      <c r="E772" s="783" t="s">
        <v>4265</v>
      </c>
      <c r="F772" s="783" t="s">
        <v>4011</v>
      </c>
      <c r="G772" s="783" t="str">
        <f t="shared" si="44"/>
        <v>New Contract</v>
      </c>
      <c r="H772" s="783" t="s">
        <v>4266</v>
      </c>
      <c r="I772" s="783" t="s">
        <v>4267</v>
      </c>
      <c r="J772" s="783">
        <v>20</v>
      </c>
      <c r="K772" s="783" t="s">
        <v>99</v>
      </c>
      <c r="L772" s="783" t="s">
        <v>4096</v>
      </c>
      <c r="M772" s="784">
        <v>106743.2</v>
      </c>
      <c r="N772" s="784">
        <v>62.06</v>
      </c>
      <c r="O772" s="784">
        <v>8.6</v>
      </c>
      <c r="P772" s="783">
        <v>200</v>
      </c>
      <c r="Q772" s="783">
        <v>4312.43</v>
      </c>
      <c r="R772" s="783">
        <v>2225.2199999999998</v>
      </c>
      <c r="S772" s="783">
        <v>731.56</v>
      </c>
      <c r="T772" s="783">
        <v>1355.64</v>
      </c>
      <c r="U772" s="785">
        <v>44715.435578703698</v>
      </c>
    </row>
    <row r="773" spans="1:21">
      <c r="A773" s="782">
        <v>44711</v>
      </c>
      <c r="B773" s="783" t="s">
        <v>41</v>
      </c>
      <c r="C773" s="783" t="s">
        <v>4008</v>
      </c>
      <c r="D773" s="783" t="s">
        <v>4009</v>
      </c>
      <c r="E773" s="783" t="s">
        <v>5704</v>
      </c>
      <c r="F773" s="783" t="s">
        <v>4011</v>
      </c>
      <c r="G773" s="783" t="str">
        <f t="shared" si="44"/>
        <v>New Contract</v>
      </c>
      <c r="H773" s="783" t="s">
        <v>5705</v>
      </c>
      <c r="I773" s="783" t="s">
        <v>5706</v>
      </c>
      <c r="J773" s="783">
        <v>25</v>
      </c>
      <c r="K773" s="783" t="s">
        <v>99</v>
      </c>
      <c r="L773" s="783" t="s">
        <v>4096</v>
      </c>
      <c r="M773" s="784">
        <v>13608.04</v>
      </c>
      <c r="N773" s="784">
        <v>15.04</v>
      </c>
      <c r="O773" s="784">
        <v>5.23</v>
      </c>
      <c r="P773" s="783">
        <v>173</v>
      </c>
      <c r="Q773" s="783">
        <v>551.13</v>
      </c>
      <c r="R773" s="783">
        <v>400.08</v>
      </c>
      <c r="S773" s="783">
        <v>62.6</v>
      </c>
      <c r="T773" s="783">
        <v>88.45</v>
      </c>
      <c r="U773" s="785">
        <v>44713.5255092593</v>
      </c>
    </row>
    <row r="774" spans="1:21">
      <c r="A774" s="782">
        <v>44714</v>
      </c>
      <c r="B774" s="783" t="s">
        <v>41</v>
      </c>
      <c r="C774" s="783" t="s">
        <v>4071</v>
      </c>
      <c r="D774" s="783" t="s">
        <v>4009</v>
      </c>
      <c r="E774" s="783" t="s">
        <v>3805</v>
      </c>
      <c r="F774" s="783" t="s">
        <v>4011</v>
      </c>
      <c r="G774" s="783" t="str">
        <f t="shared" si="44"/>
        <v>Renewal (15% in 2020)</v>
      </c>
      <c r="H774" s="783" t="s">
        <v>5707</v>
      </c>
      <c r="I774" s="783" t="s">
        <v>5708</v>
      </c>
      <c r="J774" s="783">
        <v>15</v>
      </c>
      <c r="K774" s="783" t="s">
        <v>99</v>
      </c>
      <c r="L774" s="783" t="s">
        <v>4096</v>
      </c>
      <c r="M774" s="784">
        <v>81474.460000000006</v>
      </c>
      <c r="N774" s="784">
        <v>96.26</v>
      </c>
      <c r="O774" s="784">
        <v>5.29</v>
      </c>
      <c r="P774" s="783">
        <v>160</v>
      </c>
      <c r="Q774" s="783">
        <v>4090.02</v>
      </c>
      <c r="R774" s="783">
        <v>1841.32</v>
      </c>
      <c r="S774" s="783">
        <v>285.16000000000003</v>
      </c>
      <c r="T774" s="783">
        <v>1963.53</v>
      </c>
      <c r="U774" s="785">
        <v>44715.447175925903</v>
      </c>
    </row>
    <row r="775" spans="1:21">
      <c r="A775" s="782">
        <v>44711</v>
      </c>
      <c r="B775" s="783" t="s">
        <v>228</v>
      </c>
      <c r="C775" s="783" t="s">
        <v>4582</v>
      </c>
      <c r="D775" s="783" t="s">
        <v>4193</v>
      </c>
      <c r="E775" s="783" t="s">
        <v>4653</v>
      </c>
      <c r="F775" s="783" t="s">
        <v>4011</v>
      </c>
      <c r="G775" s="783" t="s">
        <v>4028</v>
      </c>
      <c r="H775" s="783" t="s">
        <v>4654</v>
      </c>
      <c r="I775" s="783" t="s">
        <v>4655</v>
      </c>
      <c r="J775" s="783">
        <v>25</v>
      </c>
      <c r="K775" s="783" t="s">
        <v>99</v>
      </c>
      <c r="L775" s="783" t="s">
        <v>4096</v>
      </c>
      <c r="M775" s="784">
        <v>9012.85</v>
      </c>
      <c r="N775" s="784">
        <v>8.43</v>
      </c>
      <c r="O775" s="784">
        <v>6.18</v>
      </c>
      <c r="P775" s="783">
        <v>173</v>
      </c>
      <c r="Q775" s="783">
        <v>365.02</v>
      </c>
      <c r="R775" s="783">
        <v>284.81</v>
      </c>
      <c r="S775" s="783">
        <v>37.85</v>
      </c>
      <c r="T775" s="783">
        <v>42.36</v>
      </c>
      <c r="U775" s="785">
        <v>44713.545474537001</v>
      </c>
    </row>
    <row r="776" spans="1:21">
      <c r="A776" s="782">
        <v>44715</v>
      </c>
      <c r="B776" s="783" t="s">
        <v>41</v>
      </c>
      <c r="C776" s="783" t="s">
        <v>4071</v>
      </c>
      <c r="D776" s="783" t="s">
        <v>4009</v>
      </c>
      <c r="E776" s="783" t="s">
        <v>3851</v>
      </c>
      <c r="F776" s="783" t="s">
        <v>4011</v>
      </c>
      <c r="G776" s="783" t="str">
        <f>VLOOKUP(I776,pacage,2,FALSE)</f>
        <v>Renewal (25% in 2020)</v>
      </c>
      <c r="H776" s="783" t="s">
        <v>4166</v>
      </c>
      <c r="I776" s="783" t="s">
        <v>4167</v>
      </c>
      <c r="J776" s="783">
        <v>25</v>
      </c>
      <c r="K776" s="783" t="s">
        <v>99</v>
      </c>
      <c r="L776" s="783" t="s">
        <v>4096</v>
      </c>
      <c r="M776" s="784">
        <v>6876.42</v>
      </c>
      <c r="N776" s="784">
        <v>8.89</v>
      </c>
      <c r="O776" s="784">
        <v>4.55</v>
      </c>
      <c r="P776" s="783">
        <v>170</v>
      </c>
      <c r="Q776" s="783">
        <v>199.42</v>
      </c>
      <c r="R776" s="783">
        <v>155.41</v>
      </c>
      <c r="S776" s="783">
        <v>24.07</v>
      </c>
      <c r="T776" s="783">
        <v>19.940000000000001</v>
      </c>
      <c r="U776" s="785">
        <v>44715.467962962997</v>
      </c>
    </row>
    <row r="777" spans="1:21">
      <c r="A777" s="782">
        <v>44712</v>
      </c>
      <c r="B777" s="783" t="s">
        <v>51</v>
      </c>
      <c r="C777" s="783" t="s">
        <v>4042</v>
      </c>
      <c r="D777" s="783" t="s">
        <v>4016</v>
      </c>
      <c r="E777" s="783" t="s">
        <v>5709</v>
      </c>
      <c r="F777" s="783" t="s">
        <v>4011</v>
      </c>
      <c r="G777" s="783" t="str">
        <f>VLOOKUP(I777,pacage,2,FALSE)</f>
        <v>Renewal (15% in 2020)</v>
      </c>
      <c r="H777" s="783" t="s">
        <v>5710</v>
      </c>
      <c r="I777" s="783" t="s">
        <v>5711</v>
      </c>
      <c r="J777" s="783">
        <v>15</v>
      </c>
      <c r="K777" s="783" t="s">
        <v>99</v>
      </c>
      <c r="L777" s="783" t="s">
        <v>4096</v>
      </c>
      <c r="M777" s="784">
        <v>55505.49</v>
      </c>
      <c r="N777" s="784">
        <v>39.61</v>
      </c>
      <c r="O777" s="784">
        <v>8.1</v>
      </c>
      <c r="P777" s="783">
        <v>173</v>
      </c>
      <c r="Q777" s="783">
        <v>2947.34</v>
      </c>
      <c r="R777" s="783">
        <v>1559.7</v>
      </c>
      <c r="S777" s="783">
        <v>238.67</v>
      </c>
      <c r="T777" s="783">
        <v>1148.96</v>
      </c>
      <c r="U777" s="785">
        <v>44714.575671296298</v>
      </c>
    </row>
    <row r="778" spans="1:21">
      <c r="A778" s="782">
        <v>44713</v>
      </c>
      <c r="B778" s="783" t="s">
        <v>34</v>
      </c>
      <c r="C778" s="783" t="s">
        <v>4082</v>
      </c>
      <c r="D778" s="783" t="s">
        <v>4009</v>
      </c>
      <c r="E778" s="783" t="s">
        <v>4656</v>
      </c>
      <c r="F778" s="783" t="s">
        <v>4011</v>
      </c>
      <c r="G778" s="783" t="str">
        <f>VLOOKUP(I778,pacage,2,FALSE)</f>
        <v>Renewal (30% in 2020)</v>
      </c>
      <c r="H778" s="783" t="s">
        <v>4657</v>
      </c>
      <c r="I778" s="783" t="s">
        <v>4658</v>
      </c>
      <c r="J778" s="783">
        <v>30</v>
      </c>
      <c r="K778" s="783" t="s">
        <v>99</v>
      </c>
      <c r="L778" s="783" t="s">
        <v>4096</v>
      </c>
      <c r="M778" s="784">
        <v>60199.040000000001</v>
      </c>
      <c r="N778" s="784">
        <v>40.24</v>
      </c>
      <c r="O778" s="784">
        <v>6.8</v>
      </c>
      <c r="P778" s="783">
        <v>220</v>
      </c>
      <c r="Q778" s="783">
        <v>1992.59</v>
      </c>
      <c r="R778" s="783">
        <v>1382.28</v>
      </c>
      <c r="S778" s="783">
        <v>375.53</v>
      </c>
      <c r="T778" s="783">
        <v>234.78</v>
      </c>
      <c r="U778" s="785">
        <v>44715.432245370401</v>
      </c>
    </row>
    <row r="779" spans="1:21">
      <c r="A779" s="782">
        <v>44713</v>
      </c>
      <c r="B779" s="783" t="s">
        <v>2866</v>
      </c>
      <c r="C779" s="783" t="s">
        <v>4008</v>
      </c>
      <c r="D779" s="783" t="s">
        <v>4009</v>
      </c>
      <c r="E779" s="783" t="s">
        <v>5712</v>
      </c>
      <c r="F779" s="783" t="s">
        <v>4011</v>
      </c>
      <c r="G779" s="783" t="str">
        <f>VLOOKUP(I779,pacage,2,FALSE)</f>
        <v>Renewal (30% in 2020)</v>
      </c>
      <c r="H779" s="783" t="s">
        <v>5713</v>
      </c>
      <c r="I779" s="783" t="s">
        <v>5714</v>
      </c>
      <c r="J779" s="783">
        <v>25</v>
      </c>
      <c r="K779" s="783" t="s">
        <v>99</v>
      </c>
      <c r="L779" s="783" t="s">
        <v>4096</v>
      </c>
      <c r="M779" s="784">
        <v>29039.81</v>
      </c>
      <c r="N779" s="784">
        <v>24.6</v>
      </c>
      <c r="O779" s="784">
        <v>5.27</v>
      </c>
      <c r="P779" s="783">
        <v>224</v>
      </c>
      <c r="Q779" s="783">
        <v>1176.1099999999999</v>
      </c>
      <c r="R779" s="783">
        <v>659.39</v>
      </c>
      <c r="S779" s="783">
        <v>327.97</v>
      </c>
      <c r="T779" s="783">
        <v>188.76</v>
      </c>
      <c r="U779" s="785">
        <v>44715.438368055598</v>
      </c>
    </row>
    <row r="780" spans="1:21">
      <c r="A780" s="782">
        <v>44713</v>
      </c>
      <c r="B780" s="783" t="s">
        <v>228</v>
      </c>
      <c r="C780" s="783" t="s">
        <v>4582</v>
      </c>
      <c r="D780" s="783" t="s">
        <v>4193</v>
      </c>
      <c r="E780" s="783" t="s">
        <v>5715</v>
      </c>
      <c r="F780" s="783" t="s">
        <v>4011</v>
      </c>
      <c r="G780" s="783" t="str">
        <f>VLOOKUP(I780,pacage,2,FALSE)</f>
        <v>Renewal (25% in 2020)</v>
      </c>
      <c r="H780" s="783" t="s">
        <v>5716</v>
      </c>
      <c r="I780" s="783" t="s">
        <v>5717</v>
      </c>
      <c r="J780" s="783">
        <v>25</v>
      </c>
      <c r="K780" s="783" t="s">
        <v>99</v>
      </c>
      <c r="L780" s="783" t="s">
        <v>4096</v>
      </c>
      <c r="M780" s="784">
        <v>21501.599999999999</v>
      </c>
      <c r="N780" s="784">
        <v>15.81</v>
      </c>
      <c r="O780" s="784">
        <v>6.8</v>
      </c>
      <c r="P780" s="783">
        <v>200</v>
      </c>
      <c r="Q780" s="783">
        <v>870.81</v>
      </c>
      <c r="R780" s="783">
        <v>587.72</v>
      </c>
      <c r="S780" s="783">
        <v>182.03</v>
      </c>
      <c r="T780" s="783">
        <v>101.06</v>
      </c>
      <c r="U780" s="785">
        <v>44715.434895833299</v>
      </c>
    </row>
    <row r="781" spans="1:21">
      <c r="A781" s="782">
        <v>44715</v>
      </c>
      <c r="B781" s="783" t="s">
        <v>41</v>
      </c>
      <c r="C781" s="783" t="s">
        <v>4082</v>
      </c>
      <c r="D781" s="783" t="s">
        <v>4009</v>
      </c>
      <c r="E781" s="783" t="s">
        <v>5718</v>
      </c>
      <c r="F781" s="783" t="s">
        <v>4011</v>
      </c>
      <c r="G781" s="783" t="s">
        <v>4028</v>
      </c>
      <c r="H781" s="783" t="s">
        <v>5719</v>
      </c>
      <c r="I781" s="783" t="s">
        <v>5720</v>
      </c>
      <c r="J781" s="783">
        <v>20</v>
      </c>
      <c r="K781" s="783" t="s">
        <v>99</v>
      </c>
      <c r="L781" s="783" t="s">
        <v>4096</v>
      </c>
      <c r="M781" s="784">
        <v>50170.16</v>
      </c>
      <c r="N781" s="784">
        <v>42.71</v>
      </c>
      <c r="O781" s="784">
        <v>6.79</v>
      </c>
      <c r="P781" s="783">
        <v>173</v>
      </c>
      <c r="Q781" s="783">
        <v>2483.42</v>
      </c>
      <c r="R781" s="783">
        <v>1464.97</v>
      </c>
      <c r="S781" s="783">
        <v>260.88</v>
      </c>
      <c r="T781" s="783">
        <v>757.57</v>
      </c>
      <c r="U781" s="785">
        <v>44715.469942129603</v>
      </c>
    </row>
    <row r="782" spans="1:21">
      <c r="A782" s="782">
        <v>44714</v>
      </c>
      <c r="B782" s="783" t="s">
        <v>34</v>
      </c>
      <c r="C782" s="783" t="s">
        <v>4139</v>
      </c>
      <c r="D782" s="783" t="s">
        <v>4009</v>
      </c>
      <c r="E782" s="783" t="s">
        <v>305</v>
      </c>
      <c r="F782" s="783" t="s">
        <v>4011</v>
      </c>
      <c r="G782" s="783" t="str">
        <f>VLOOKUP(I782,pacage,2,FALSE)</f>
        <v>Renewal (30% in 2020)</v>
      </c>
      <c r="H782" s="783" t="s">
        <v>4383</v>
      </c>
      <c r="I782" s="783" t="s">
        <v>4384</v>
      </c>
      <c r="J782" s="783">
        <v>30</v>
      </c>
      <c r="K782" s="783" t="s">
        <v>99</v>
      </c>
      <c r="L782" s="783" t="s">
        <v>4096</v>
      </c>
      <c r="M782" s="784">
        <v>64480.68</v>
      </c>
      <c r="N782" s="784">
        <v>42.85</v>
      </c>
      <c r="O782" s="784">
        <v>7.92</v>
      </c>
      <c r="P782" s="783">
        <v>190</v>
      </c>
      <c r="Q782" s="783">
        <v>1708.74</v>
      </c>
      <c r="R782" s="783">
        <v>1379.72</v>
      </c>
      <c r="S782" s="783">
        <v>135.58000000000001</v>
      </c>
      <c r="T782" s="783">
        <v>193.44</v>
      </c>
      <c r="U782" s="785">
        <v>44715.448703703703</v>
      </c>
    </row>
    <row r="783" spans="1:21">
      <c r="A783" s="782">
        <v>44697</v>
      </c>
      <c r="B783" s="783" t="s">
        <v>41</v>
      </c>
      <c r="C783" s="783" t="s">
        <v>4139</v>
      </c>
      <c r="D783" s="783" t="s">
        <v>4009</v>
      </c>
      <c r="E783" s="783" t="s">
        <v>5721</v>
      </c>
      <c r="F783" s="783" t="s">
        <v>4011</v>
      </c>
      <c r="G783" s="783" t="str">
        <f>VLOOKUP(I783,pacage,2,FALSE)</f>
        <v>Renewal (30% in 2020)</v>
      </c>
      <c r="H783" s="783" t="s">
        <v>5722</v>
      </c>
      <c r="I783" s="783" t="s">
        <v>5723</v>
      </c>
      <c r="J783" s="783">
        <v>30</v>
      </c>
      <c r="K783" s="783" t="s">
        <v>99</v>
      </c>
      <c r="L783" s="783" t="s">
        <v>4096</v>
      </c>
      <c r="M783" s="784">
        <v>7349.04</v>
      </c>
      <c r="N783" s="784">
        <v>8.85</v>
      </c>
      <c r="O783" s="784">
        <v>4.8</v>
      </c>
      <c r="P783" s="783">
        <v>173</v>
      </c>
      <c r="Q783" s="783">
        <v>194.75</v>
      </c>
      <c r="R783" s="783">
        <v>172.7</v>
      </c>
      <c r="S783" s="783">
        <v>0</v>
      </c>
      <c r="T783" s="783">
        <v>22.05</v>
      </c>
      <c r="U783" s="785">
        <v>44698.719282407401</v>
      </c>
    </row>
    <row r="784" spans="1:21">
      <c r="A784" s="782">
        <v>44697</v>
      </c>
      <c r="B784" s="783" t="s">
        <v>4025</v>
      </c>
      <c r="C784" s="783" t="s">
        <v>4026</v>
      </c>
      <c r="D784" s="783" t="s">
        <v>4021</v>
      </c>
      <c r="E784" s="783" t="s">
        <v>5724</v>
      </c>
      <c r="F784" s="783" t="s">
        <v>4011</v>
      </c>
      <c r="G784" s="783" t="str">
        <f>VLOOKUP(I784,pacage,2,FALSE)</f>
        <v>New contract</v>
      </c>
      <c r="H784" s="783" t="s">
        <v>5725</v>
      </c>
      <c r="I784" s="783" t="s">
        <v>5726</v>
      </c>
      <c r="J784" s="783">
        <v>25</v>
      </c>
      <c r="K784" s="783" t="s">
        <v>99</v>
      </c>
      <c r="L784" s="783" t="s">
        <v>4096</v>
      </c>
      <c r="M784" s="784">
        <v>90968.960000000006</v>
      </c>
      <c r="N784" s="784">
        <v>74.81</v>
      </c>
      <c r="O784" s="784">
        <v>6.4</v>
      </c>
      <c r="P784" s="783">
        <v>190</v>
      </c>
      <c r="Q784" s="783">
        <v>4166.38</v>
      </c>
      <c r="R784" s="783">
        <v>2799.64</v>
      </c>
      <c r="S784" s="783">
        <v>748.15</v>
      </c>
      <c r="T784" s="783">
        <v>618.59</v>
      </c>
      <c r="U784" s="785">
        <v>44699.486458333296</v>
      </c>
    </row>
    <row r="785" spans="1:21">
      <c r="A785" s="782">
        <v>44712</v>
      </c>
      <c r="B785" s="783" t="s">
        <v>74</v>
      </c>
      <c r="C785" s="783" t="s">
        <v>4097</v>
      </c>
      <c r="D785" s="783" t="s">
        <v>4038</v>
      </c>
      <c r="E785" s="783" t="s">
        <v>2526</v>
      </c>
      <c r="F785" s="783" t="s">
        <v>4011</v>
      </c>
      <c r="G785" s="783" t="s">
        <v>4028</v>
      </c>
      <c r="H785" s="783" t="s">
        <v>5727</v>
      </c>
      <c r="I785" s="783" t="s">
        <v>5728</v>
      </c>
      <c r="J785" s="783">
        <v>25</v>
      </c>
      <c r="K785" s="783" t="s">
        <v>99</v>
      </c>
      <c r="L785" s="783" t="s">
        <v>4096</v>
      </c>
      <c r="M785" s="784">
        <v>8846.0499999999993</v>
      </c>
      <c r="N785" s="784">
        <v>10.39</v>
      </c>
      <c r="O785" s="784">
        <v>4.7300000000000004</v>
      </c>
      <c r="P785" s="783">
        <v>180</v>
      </c>
      <c r="Q785" s="783">
        <v>347.65</v>
      </c>
      <c r="R785" s="783">
        <v>240.61</v>
      </c>
      <c r="S785" s="783">
        <v>48.66</v>
      </c>
      <c r="T785" s="783">
        <v>58.38</v>
      </c>
      <c r="U785" s="785">
        <v>44714.590590277803</v>
      </c>
    </row>
    <row r="786" spans="1:21">
      <c r="A786" s="782">
        <v>44698</v>
      </c>
      <c r="B786" s="783" t="s">
        <v>41</v>
      </c>
      <c r="C786" s="783" t="s">
        <v>4139</v>
      </c>
      <c r="D786" s="783" t="s">
        <v>4009</v>
      </c>
      <c r="E786" s="783" t="s">
        <v>1156</v>
      </c>
      <c r="F786" s="783" t="s">
        <v>4011</v>
      </c>
      <c r="G786" s="783" t="str">
        <f t="shared" ref="G786:G792" si="45">VLOOKUP(I786,pacage,2,FALSE)</f>
        <v>New Contract</v>
      </c>
      <c r="H786" s="783" t="s">
        <v>4237</v>
      </c>
      <c r="I786" s="783" t="s">
        <v>4238</v>
      </c>
      <c r="J786" s="783">
        <v>20</v>
      </c>
      <c r="K786" s="783" t="s">
        <v>99</v>
      </c>
      <c r="L786" s="783" t="s">
        <v>4096</v>
      </c>
      <c r="M786" s="784">
        <v>59699.21</v>
      </c>
      <c r="N786" s="784">
        <v>48.99</v>
      </c>
      <c r="O786" s="784">
        <v>6.77</v>
      </c>
      <c r="P786" s="783">
        <v>180</v>
      </c>
      <c r="Q786" s="783">
        <v>2322.3000000000002</v>
      </c>
      <c r="R786" s="783">
        <v>1348.37</v>
      </c>
      <c r="S786" s="783">
        <v>269.48</v>
      </c>
      <c r="T786" s="783">
        <v>704.45</v>
      </c>
      <c r="U786" s="785">
        <v>44699.5009027778</v>
      </c>
    </row>
    <row r="787" spans="1:21">
      <c r="A787" s="782">
        <v>44701</v>
      </c>
      <c r="B787" s="783" t="s">
        <v>41</v>
      </c>
      <c r="C787" s="783" t="s">
        <v>4082</v>
      </c>
      <c r="D787" s="783" t="s">
        <v>4009</v>
      </c>
      <c r="E787" s="783" t="s">
        <v>5729</v>
      </c>
      <c r="F787" s="783" t="s">
        <v>4011</v>
      </c>
      <c r="G787" s="783" t="str">
        <f t="shared" si="45"/>
        <v>Renewal (15% in 2020)</v>
      </c>
      <c r="H787" s="783" t="s">
        <v>5730</v>
      </c>
      <c r="I787" s="783" t="s">
        <v>5731</v>
      </c>
      <c r="J787" s="783">
        <v>15</v>
      </c>
      <c r="K787" s="783" t="s">
        <v>99</v>
      </c>
      <c r="L787" s="783" t="s">
        <v>4096</v>
      </c>
      <c r="M787" s="784">
        <v>31798.75</v>
      </c>
      <c r="N787" s="784">
        <v>24.94</v>
      </c>
      <c r="O787" s="784">
        <v>7.37</v>
      </c>
      <c r="P787" s="783">
        <v>173</v>
      </c>
      <c r="Q787" s="783">
        <v>2111.44</v>
      </c>
      <c r="R787" s="783">
        <v>928.52</v>
      </c>
      <c r="S787" s="783">
        <v>165.35</v>
      </c>
      <c r="T787" s="783">
        <v>1017.56</v>
      </c>
      <c r="U787" s="785">
        <v>44708.667638888903</v>
      </c>
    </row>
    <row r="788" spans="1:21">
      <c r="A788" s="782">
        <v>44697</v>
      </c>
      <c r="B788" s="783" t="s">
        <v>30</v>
      </c>
      <c r="C788" s="783" t="s">
        <v>4239</v>
      </c>
      <c r="D788" s="783" t="s">
        <v>4021</v>
      </c>
      <c r="E788" s="783" t="s">
        <v>5732</v>
      </c>
      <c r="F788" s="783" t="s">
        <v>4011</v>
      </c>
      <c r="G788" s="783" t="str">
        <f t="shared" si="45"/>
        <v>Renewal (20% in 2020)</v>
      </c>
      <c r="H788" s="783" t="s">
        <v>5733</v>
      </c>
      <c r="I788" s="783" t="s">
        <v>5734</v>
      </c>
      <c r="J788" s="783">
        <v>20</v>
      </c>
      <c r="K788" s="783" t="s">
        <v>99</v>
      </c>
      <c r="L788" s="783" t="s">
        <v>4096</v>
      </c>
      <c r="M788" s="784">
        <v>20560.32</v>
      </c>
      <c r="N788" s="784">
        <v>19.8</v>
      </c>
      <c r="O788" s="784">
        <v>6.49</v>
      </c>
      <c r="P788" s="783">
        <v>160</v>
      </c>
      <c r="Q788" s="783">
        <v>902.6</v>
      </c>
      <c r="R788" s="783">
        <v>509.9</v>
      </c>
      <c r="S788" s="783">
        <v>104.86</v>
      </c>
      <c r="T788" s="783">
        <v>287.83999999999997</v>
      </c>
      <c r="U788" s="785">
        <v>44699.495277777802</v>
      </c>
    </row>
    <row r="789" spans="1:21">
      <c r="A789" s="782">
        <v>44698</v>
      </c>
      <c r="B789" s="783" t="s">
        <v>41</v>
      </c>
      <c r="C789" s="783" t="s">
        <v>4082</v>
      </c>
      <c r="D789" s="783" t="s">
        <v>4009</v>
      </c>
      <c r="E789" s="783" t="s">
        <v>5735</v>
      </c>
      <c r="F789" s="783" t="s">
        <v>4011</v>
      </c>
      <c r="G789" s="783" t="str">
        <f t="shared" si="45"/>
        <v>Renewal (25% in 2020)</v>
      </c>
      <c r="H789" s="783" t="s">
        <v>5736</v>
      </c>
      <c r="I789" s="783" t="s">
        <v>5737</v>
      </c>
      <c r="J789" s="783">
        <v>25</v>
      </c>
      <c r="K789" s="783" t="s">
        <v>99</v>
      </c>
      <c r="L789" s="783" t="s">
        <v>4096</v>
      </c>
      <c r="M789" s="784">
        <v>88551.05</v>
      </c>
      <c r="N789" s="784">
        <v>95.37</v>
      </c>
      <c r="O789" s="784">
        <v>6.19</v>
      </c>
      <c r="P789" s="783">
        <v>150</v>
      </c>
      <c r="Q789" s="783">
        <v>3382.65</v>
      </c>
      <c r="R789" s="783">
        <v>2585.69</v>
      </c>
      <c r="S789" s="783">
        <v>460.47</v>
      </c>
      <c r="T789" s="783">
        <v>336.49</v>
      </c>
      <c r="U789" s="785">
        <v>44699.747546296298</v>
      </c>
    </row>
    <row r="790" spans="1:21">
      <c r="A790" s="782">
        <v>44703</v>
      </c>
      <c r="B790" s="783" t="s">
        <v>4025</v>
      </c>
      <c r="C790" s="783" t="s">
        <v>4026</v>
      </c>
      <c r="D790" s="783" t="s">
        <v>4021</v>
      </c>
      <c r="E790" s="783" t="s">
        <v>5738</v>
      </c>
      <c r="F790" s="783" t="s">
        <v>4011</v>
      </c>
      <c r="G790" s="783" t="str">
        <f t="shared" si="45"/>
        <v>New Contract</v>
      </c>
      <c r="H790" s="783" t="s">
        <v>5739</v>
      </c>
      <c r="I790" s="783" t="s">
        <v>5740</v>
      </c>
      <c r="J790" s="783">
        <v>25</v>
      </c>
      <c r="K790" s="783" t="s">
        <v>99</v>
      </c>
      <c r="L790" s="783" t="s">
        <v>4096</v>
      </c>
      <c r="M790" s="784">
        <v>74229.83</v>
      </c>
      <c r="N790" s="784">
        <v>62.71</v>
      </c>
      <c r="O790" s="784">
        <v>6.23</v>
      </c>
      <c r="P790" s="783">
        <v>190</v>
      </c>
      <c r="Q790" s="783">
        <v>3399.73</v>
      </c>
      <c r="R790" s="783">
        <v>2284.48</v>
      </c>
      <c r="S790" s="783">
        <v>610.48</v>
      </c>
      <c r="T790" s="783">
        <v>504.76</v>
      </c>
      <c r="U790" s="785">
        <v>44704.4062962963</v>
      </c>
    </row>
    <row r="791" spans="1:21">
      <c r="A791" s="782">
        <v>44701</v>
      </c>
      <c r="B791" s="783" t="s">
        <v>4025</v>
      </c>
      <c r="C791" s="783" t="s">
        <v>4026</v>
      </c>
      <c r="D791" s="783" t="s">
        <v>4021</v>
      </c>
      <c r="E791" s="783" t="s">
        <v>5741</v>
      </c>
      <c r="F791" s="783" t="s">
        <v>4011</v>
      </c>
      <c r="G791" s="783" t="str">
        <f t="shared" si="45"/>
        <v>New Contract</v>
      </c>
      <c r="H791" s="783" t="s">
        <v>5742</v>
      </c>
      <c r="I791" s="783" t="s">
        <v>5743</v>
      </c>
      <c r="J791" s="783">
        <v>25</v>
      </c>
      <c r="K791" s="783" t="s">
        <v>99</v>
      </c>
      <c r="L791" s="783" t="s">
        <v>4096</v>
      </c>
      <c r="M791" s="784">
        <v>84183.3</v>
      </c>
      <c r="N791" s="784">
        <v>81</v>
      </c>
      <c r="O791" s="784">
        <v>5.47</v>
      </c>
      <c r="P791" s="783">
        <v>190</v>
      </c>
      <c r="Q791" s="783">
        <v>3855.6</v>
      </c>
      <c r="R791" s="783">
        <v>2590.81</v>
      </c>
      <c r="S791" s="783">
        <v>692.34</v>
      </c>
      <c r="T791" s="783">
        <v>572.45000000000005</v>
      </c>
      <c r="U791" s="785">
        <v>44701.496296296304</v>
      </c>
    </row>
    <row r="792" spans="1:21">
      <c r="A792" s="782">
        <v>44704</v>
      </c>
      <c r="B792" s="783" t="s">
        <v>4025</v>
      </c>
      <c r="C792" s="783" t="s">
        <v>4026</v>
      </c>
      <c r="D792" s="783" t="s">
        <v>4021</v>
      </c>
      <c r="E792" s="783" t="s">
        <v>5744</v>
      </c>
      <c r="F792" s="783" t="s">
        <v>4011</v>
      </c>
      <c r="G792" s="783" t="str">
        <f t="shared" si="45"/>
        <v>New Contract</v>
      </c>
      <c r="H792" s="783" t="s">
        <v>5745</v>
      </c>
      <c r="I792" s="783" t="s">
        <v>5746</v>
      </c>
      <c r="J792" s="783">
        <v>25</v>
      </c>
      <c r="K792" s="783" t="s">
        <v>99</v>
      </c>
      <c r="L792" s="783" t="s">
        <v>4096</v>
      </c>
      <c r="M792" s="784">
        <v>123813.75</v>
      </c>
      <c r="N792" s="784">
        <v>77.67</v>
      </c>
      <c r="O792" s="784">
        <v>8.39</v>
      </c>
      <c r="P792" s="783">
        <v>190</v>
      </c>
      <c r="Q792" s="783">
        <v>5670.67</v>
      </c>
      <c r="R792" s="783">
        <v>3810.47</v>
      </c>
      <c r="S792" s="783">
        <v>1018.27</v>
      </c>
      <c r="T792" s="783">
        <v>841.93</v>
      </c>
      <c r="U792" s="785">
        <v>44704.4219212963</v>
      </c>
    </row>
    <row r="793" spans="1:21">
      <c r="A793" s="782">
        <v>44701</v>
      </c>
      <c r="B793" s="783" t="s">
        <v>4025</v>
      </c>
      <c r="C793" s="783" t="s">
        <v>4026</v>
      </c>
      <c r="D793" s="783" t="s">
        <v>4021</v>
      </c>
      <c r="E793" s="783" t="s">
        <v>4168</v>
      </c>
      <c r="F793" s="783" t="s">
        <v>4066</v>
      </c>
      <c r="G793" s="783" t="s">
        <v>4028</v>
      </c>
      <c r="H793" s="783" t="s">
        <v>4169</v>
      </c>
      <c r="I793" s="783" t="s">
        <v>4170</v>
      </c>
      <c r="J793" s="783">
        <v>10</v>
      </c>
      <c r="K793" s="783" t="s">
        <v>99</v>
      </c>
      <c r="L793" s="783" t="s">
        <v>4096</v>
      </c>
      <c r="M793" s="784">
        <v>48792</v>
      </c>
      <c r="N793" s="784">
        <v>51.36</v>
      </c>
      <c r="O793" s="784">
        <v>5</v>
      </c>
      <c r="P793" s="783">
        <v>190</v>
      </c>
      <c r="Q793" s="783">
        <v>746.52</v>
      </c>
      <c r="R793" s="783">
        <v>0</v>
      </c>
      <c r="S793" s="783">
        <v>0</v>
      </c>
      <c r="T793" s="783">
        <v>746.52</v>
      </c>
      <c r="U793" s="785">
        <v>44701.608680555597</v>
      </c>
    </row>
    <row r="794" spans="1:21">
      <c r="A794" s="782">
        <v>44711</v>
      </c>
      <c r="B794" s="783" t="s">
        <v>624</v>
      </c>
      <c r="C794" s="783" t="s">
        <v>4037</v>
      </c>
      <c r="D794" s="783" t="s">
        <v>4038</v>
      </c>
      <c r="E794" s="783" t="s">
        <v>5747</v>
      </c>
      <c r="F794" s="783" t="s">
        <v>4011</v>
      </c>
      <c r="G794" s="783" t="s">
        <v>4028</v>
      </c>
      <c r="H794" s="783" t="s">
        <v>5748</v>
      </c>
      <c r="I794" s="783" t="s">
        <v>5749</v>
      </c>
      <c r="J794" s="783">
        <v>20</v>
      </c>
      <c r="K794" s="783" t="s">
        <v>99</v>
      </c>
      <c r="L794" s="783" t="s">
        <v>4096</v>
      </c>
      <c r="M794" s="784">
        <v>60641.4</v>
      </c>
      <c r="N794" s="784">
        <v>47.9</v>
      </c>
      <c r="O794" s="784">
        <v>6.33</v>
      </c>
      <c r="P794" s="783">
        <v>200</v>
      </c>
      <c r="Q794" s="783">
        <v>4062.97</v>
      </c>
      <c r="R794" s="783">
        <v>2077.21</v>
      </c>
      <c r="S794" s="783">
        <v>706.23</v>
      </c>
      <c r="T794" s="783">
        <v>1279.53</v>
      </c>
      <c r="U794" s="785">
        <v>44713.981689814798</v>
      </c>
    </row>
    <row r="795" spans="1:21">
      <c r="A795" s="782">
        <v>44699</v>
      </c>
      <c r="B795" s="783" t="s">
        <v>4025</v>
      </c>
      <c r="C795" s="783" t="s">
        <v>4026</v>
      </c>
      <c r="D795" s="783" t="s">
        <v>4021</v>
      </c>
      <c r="E795" s="783" t="s">
        <v>5750</v>
      </c>
      <c r="F795" s="783" t="s">
        <v>4011</v>
      </c>
      <c r="G795" s="783" t="str">
        <f t="shared" ref="G795:G801" si="46">VLOOKUP(I795,pacage,2,FALSE)</f>
        <v>New contract</v>
      </c>
      <c r="H795" s="783" t="s">
        <v>5751</v>
      </c>
      <c r="I795" s="783" t="s">
        <v>5752</v>
      </c>
      <c r="J795" s="783">
        <v>25</v>
      </c>
      <c r="K795" s="783" t="s">
        <v>99</v>
      </c>
      <c r="L795" s="783" t="s">
        <v>4096</v>
      </c>
      <c r="M795" s="784">
        <v>58816</v>
      </c>
      <c r="N795" s="784">
        <v>45.95</v>
      </c>
      <c r="O795" s="784">
        <v>6.4</v>
      </c>
      <c r="P795" s="783">
        <v>200</v>
      </c>
      <c r="Q795" s="783">
        <v>2693.77</v>
      </c>
      <c r="R795" s="783">
        <v>1719.6</v>
      </c>
      <c r="S795" s="783">
        <v>574.22</v>
      </c>
      <c r="T795" s="783">
        <v>399.95</v>
      </c>
      <c r="U795" s="785">
        <v>44700.539583333302</v>
      </c>
    </row>
    <row r="796" spans="1:21">
      <c r="A796" s="782">
        <v>44704</v>
      </c>
      <c r="B796" s="783" t="s">
        <v>41</v>
      </c>
      <c r="C796" s="783" t="s">
        <v>4092</v>
      </c>
      <c r="D796" s="783" t="s">
        <v>4009</v>
      </c>
      <c r="E796" s="783" t="s">
        <v>901</v>
      </c>
      <c r="F796" s="783" t="s">
        <v>4011</v>
      </c>
      <c r="G796" s="783" t="str">
        <f t="shared" si="46"/>
        <v>Renewal (15% in 2020)</v>
      </c>
      <c r="H796" s="783" t="s">
        <v>4659</v>
      </c>
      <c r="I796" s="783" t="s">
        <v>4660</v>
      </c>
      <c r="J796" s="783">
        <v>15</v>
      </c>
      <c r="K796" s="783" t="s">
        <v>99</v>
      </c>
      <c r="L796" s="783" t="s">
        <v>4096</v>
      </c>
      <c r="M796" s="784">
        <v>44448.61</v>
      </c>
      <c r="N796" s="784">
        <v>38.520000000000003</v>
      </c>
      <c r="O796" s="784">
        <v>6.67</v>
      </c>
      <c r="P796" s="783">
        <v>173</v>
      </c>
      <c r="Q796" s="783">
        <v>3120.29</v>
      </c>
      <c r="R796" s="783">
        <v>1373.46</v>
      </c>
      <c r="S796" s="783">
        <v>244.47</v>
      </c>
      <c r="T796" s="783">
        <v>1502.36</v>
      </c>
      <c r="U796" s="785">
        <v>44708.961261574099</v>
      </c>
    </row>
    <row r="797" spans="1:21">
      <c r="A797" s="782">
        <v>44693</v>
      </c>
      <c r="B797" s="783" t="s">
        <v>30</v>
      </c>
      <c r="C797" s="783" t="s">
        <v>4239</v>
      </c>
      <c r="D797" s="783" t="s">
        <v>4021</v>
      </c>
      <c r="E797" s="783" t="s">
        <v>5753</v>
      </c>
      <c r="F797" s="783" t="s">
        <v>4011</v>
      </c>
      <c r="G797" s="783" t="str">
        <f t="shared" si="46"/>
        <v>Renewal (30% in 2020)</v>
      </c>
      <c r="H797" s="783" t="s">
        <v>5754</v>
      </c>
      <c r="I797" s="783" t="s">
        <v>5755</v>
      </c>
      <c r="J797" s="783">
        <v>30</v>
      </c>
      <c r="K797" s="783" t="s">
        <v>99</v>
      </c>
      <c r="L797" s="783" t="s">
        <v>4096</v>
      </c>
      <c r="M797" s="784">
        <v>3396.51</v>
      </c>
      <c r="N797" s="784">
        <v>2.9</v>
      </c>
      <c r="O797" s="784">
        <v>6.77</v>
      </c>
      <c r="P797" s="783">
        <v>173</v>
      </c>
      <c r="Q797" s="783">
        <v>99.18</v>
      </c>
      <c r="R797" s="783">
        <v>84.23</v>
      </c>
      <c r="S797" s="783">
        <v>0</v>
      </c>
      <c r="T797" s="783">
        <v>14.94</v>
      </c>
      <c r="U797" s="785">
        <v>44693.597974536999</v>
      </c>
    </row>
    <row r="798" spans="1:21">
      <c r="A798" s="782">
        <v>44698</v>
      </c>
      <c r="B798" s="783" t="s">
        <v>4025</v>
      </c>
      <c r="C798" s="783" t="s">
        <v>4052</v>
      </c>
      <c r="D798" s="783" t="s">
        <v>4021</v>
      </c>
      <c r="E798" s="783" t="s">
        <v>5756</v>
      </c>
      <c r="F798" s="783" t="s">
        <v>4011</v>
      </c>
      <c r="G798" s="783" t="str">
        <f t="shared" si="46"/>
        <v>New Contract</v>
      </c>
      <c r="H798" s="783" t="s">
        <v>5757</v>
      </c>
      <c r="I798" s="783" t="s">
        <v>5758</v>
      </c>
      <c r="J798" s="783">
        <v>25</v>
      </c>
      <c r="K798" s="783" t="s">
        <v>99</v>
      </c>
      <c r="L798" s="783" t="s">
        <v>4096</v>
      </c>
      <c r="M798" s="784">
        <v>141488.99</v>
      </c>
      <c r="N798" s="784">
        <v>114.39</v>
      </c>
      <c r="O798" s="784">
        <v>6.51</v>
      </c>
      <c r="P798" s="783">
        <v>190</v>
      </c>
      <c r="Q798" s="783">
        <v>5305.84</v>
      </c>
      <c r="R798" s="783">
        <v>3723.17</v>
      </c>
      <c r="S798" s="783">
        <v>988.41</v>
      </c>
      <c r="T798" s="783">
        <v>594.25</v>
      </c>
      <c r="U798" s="785">
        <v>44699.597326388903</v>
      </c>
    </row>
    <row r="799" spans="1:21">
      <c r="A799" s="782">
        <v>44693</v>
      </c>
      <c r="B799" s="783" t="s">
        <v>41</v>
      </c>
      <c r="C799" s="783" t="s">
        <v>4092</v>
      </c>
      <c r="D799" s="783" t="s">
        <v>4009</v>
      </c>
      <c r="E799" s="783" t="s">
        <v>5759</v>
      </c>
      <c r="F799" s="783" t="s">
        <v>4011</v>
      </c>
      <c r="G799" s="783" t="str">
        <f t="shared" si="46"/>
        <v>Renewal (30% in 2020)</v>
      </c>
      <c r="H799" s="783" t="s">
        <v>5760</v>
      </c>
      <c r="I799" s="783" t="s">
        <v>5761</v>
      </c>
      <c r="J799" s="783">
        <v>30</v>
      </c>
      <c r="K799" s="783" t="s">
        <v>99</v>
      </c>
      <c r="L799" s="783" t="s">
        <v>4096</v>
      </c>
      <c r="M799" s="784">
        <v>87361.98</v>
      </c>
      <c r="N799" s="784">
        <v>83.56</v>
      </c>
      <c r="O799" s="784">
        <v>6.15</v>
      </c>
      <c r="P799" s="783">
        <v>170</v>
      </c>
      <c r="Q799" s="783">
        <v>3057.67</v>
      </c>
      <c r="R799" s="783">
        <v>2699.49</v>
      </c>
      <c r="S799" s="783">
        <v>0</v>
      </c>
      <c r="T799" s="783">
        <v>358.18</v>
      </c>
      <c r="U799" s="785">
        <v>44694.415046296301</v>
      </c>
    </row>
    <row r="800" spans="1:21">
      <c r="A800" s="782">
        <v>44694</v>
      </c>
      <c r="B800" s="783" t="s">
        <v>41</v>
      </c>
      <c r="C800" s="783" t="s">
        <v>4139</v>
      </c>
      <c r="D800" s="783" t="s">
        <v>4009</v>
      </c>
      <c r="E800" s="783" t="s">
        <v>5762</v>
      </c>
      <c r="F800" s="783" t="s">
        <v>4011</v>
      </c>
      <c r="G800" s="783" t="str">
        <f t="shared" si="46"/>
        <v>Renewal (25% in 2020)</v>
      </c>
      <c r="H800" s="783" t="s">
        <v>5763</v>
      </c>
      <c r="I800" s="783" t="s">
        <v>5764</v>
      </c>
      <c r="J800" s="783">
        <v>25</v>
      </c>
      <c r="K800" s="783" t="s">
        <v>99</v>
      </c>
      <c r="L800" s="783" t="s">
        <v>4096</v>
      </c>
      <c r="M800" s="784">
        <v>33166.18</v>
      </c>
      <c r="N800" s="784">
        <v>59.91</v>
      </c>
      <c r="O800" s="784">
        <v>6.4</v>
      </c>
      <c r="P800" s="783">
        <v>86.5</v>
      </c>
      <c r="Q800" s="783">
        <v>998.3</v>
      </c>
      <c r="R800" s="783">
        <v>779.41</v>
      </c>
      <c r="S800" s="783">
        <v>119.4</v>
      </c>
      <c r="T800" s="783">
        <v>99.5</v>
      </c>
      <c r="U800" s="785">
        <v>44697.504097222198</v>
      </c>
    </row>
    <row r="801" spans="1:21">
      <c r="A801" s="782">
        <v>44698</v>
      </c>
      <c r="B801" s="783" t="s">
        <v>74</v>
      </c>
      <c r="C801" s="783" t="s">
        <v>4037</v>
      </c>
      <c r="D801" s="783" t="s">
        <v>4038</v>
      </c>
      <c r="E801" s="783" t="s">
        <v>4059</v>
      </c>
      <c r="F801" s="783" t="s">
        <v>4011</v>
      </c>
      <c r="G801" s="783" t="str">
        <f t="shared" si="46"/>
        <v>Renewal (25% in 2020)</v>
      </c>
      <c r="H801" s="783" t="s">
        <v>4060</v>
      </c>
      <c r="I801" s="783" t="s">
        <v>4061</v>
      </c>
      <c r="J801" s="783">
        <v>25</v>
      </c>
      <c r="K801" s="783" t="s">
        <v>99</v>
      </c>
      <c r="L801" s="783" t="s">
        <v>4096</v>
      </c>
      <c r="M801" s="784">
        <v>70395.179999999993</v>
      </c>
      <c r="N801" s="784">
        <v>52.77</v>
      </c>
      <c r="O801" s="784">
        <v>6.67</v>
      </c>
      <c r="P801" s="783">
        <v>200</v>
      </c>
      <c r="Q801" s="783">
        <v>4068.84</v>
      </c>
      <c r="R801" s="783">
        <v>2411.3200000000002</v>
      </c>
      <c r="S801" s="783">
        <v>819.82</v>
      </c>
      <c r="T801" s="783">
        <v>837.7</v>
      </c>
      <c r="U801" s="785">
        <v>44700.469907407401</v>
      </c>
    </row>
    <row r="802" spans="1:21">
      <c r="A802" s="782">
        <v>44694</v>
      </c>
      <c r="B802" s="783" t="s">
        <v>4025</v>
      </c>
      <c r="C802" s="783" t="s">
        <v>4026</v>
      </c>
      <c r="D802" s="783" t="s">
        <v>4021</v>
      </c>
      <c r="E802" s="783" t="s">
        <v>5765</v>
      </c>
      <c r="F802" s="783" t="s">
        <v>4011</v>
      </c>
      <c r="G802" s="783" t="s">
        <v>4028</v>
      </c>
      <c r="H802" s="783" t="s">
        <v>5766</v>
      </c>
      <c r="I802" s="783" t="s">
        <v>5767</v>
      </c>
      <c r="J802" s="783">
        <v>20</v>
      </c>
      <c r="K802" s="783" t="s">
        <v>99</v>
      </c>
      <c r="L802" s="783" t="s">
        <v>4096</v>
      </c>
      <c r="M802" s="784">
        <v>145406.76999999999</v>
      </c>
      <c r="N802" s="784">
        <v>102.6</v>
      </c>
      <c r="O802" s="784">
        <v>7.42</v>
      </c>
      <c r="P802" s="783">
        <v>191</v>
      </c>
      <c r="Q802" s="783">
        <v>8520.84</v>
      </c>
      <c r="R802" s="783">
        <v>4451.58</v>
      </c>
      <c r="S802" s="783">
        <v>1219.29</v>
      </c>
      <c r="T802" s="783">
        <v>2849.97</v>
      </c>
      <c r="U802" s="785">
        <v>44694.733784722201</v>
      </c>
    </row>
    <row r="803" spans="1:21">
      <c r="A803" s="782">
        <v>44694</v>
      </c>
      <c r="B803" s="783" t="s">
        <v>41</v>
      </c>
      <c r="C803" s="783" t="s">
        <v>4139</v>
      </c>
      <c r="D803" s="783" t="s">
        <v>4009</v>
      </c>
      <c r="E803" s="783" t="s">
        <v>5768</v>
      </c>
      <c r="F803" s="783" t="s">
        <v>4011</v>
      </c>
      <c r="G803" s="783" t="str">
        <f t="shared" ref="G803:G815" si="47">VLOOKUP(I803,pacage,2,FALSE)</f>
        <v>Renewal (30% in 2020)</v>
      </c>
      <c r="H803" s="783" t="s">
        <v>5769</v>
      </c>
      <c r="I803" s="783" t="s">
        <v>5770</v>
      </c>
      <c r="J803" s="783">
        <v>30</v>
      </c>
      <c r="K803" s="783" t="s">
        <v>99</v>
      </c>
      <c r="L803" s="783" t="s">
        <v>4096</v>
      </c>
      <c r="M803" s="784">
        <v>32626.880000000001</v>
      </c>
      <c r="N803" s="784">
        <v>22.88</v>
      </c>
      <c r="O803" s="784">
        <v>7.13</v>
      </c>
      <c r="P803" s="783">
        <v>200</v>
      </c>
      <c r="Q803" s="783">
        <v>864.61</v>
      </c>
      <c r="R803" s="783">
        <v>663.22</v>
      </c>
      <c r="S803" s="783">
        <v>103.51</v>
      </c>
      <c r="T803" s="783">
        <v>97.88</v>
      </c>
      <c r="U803" s="785">
        <v>44694.527847222198</v>
      </c>
    </row>
    <row r="804" spans="1:21">
      <c r="A804" s="782">
        <v>44694</v>
      </c>
      <c r="B804" s="783" t="s">
        <v>41</v>
      </c>
      <c r="C804" s="783" t="s">
        <v>4071</v>
      </c>
      <c r="D804" s="783" t="s">
        <v>4009</v>
      </c>
      <c r="E804" s="783" t="s">
        <v>5768</v>
      </c>
      <c r="F804" s="783" t="s">
        <v>4011</v>
      </c>
      <c r="G804" s="783" t="str">
        <f t="shared" si="47"/>
        <v>Renewal (30% in 2020)</v>
      </c>
      <c r="H804" s="783" t="s">
        <v>5769</v>
      </c>
      <c r="I804" s="783" t="s">
        <v>5770</v>
      </c>
      <c r="J804" s="783">
        <v>30</v>
      </c>
      <c r="K804" s="783" t="s">
        <v>99</v>
      </c>
      <c r="L804" s="783" t="s">
        <v>4096</v>
      </c>
      <c r="M804" s="784">
        <v>2852</v>
      </c>
      <c r="N804" s="784">
        <v>2</v>
      </c>
      <c r="O804" s="784">
        <v>7.13</v>
      </c>
      <c r="P804" s="783">
        <v>200</v>
      </c>
      <c r="Q804" s="783">
        <v>72.73</v>
      </c>
      <c r="R804" s="783">
        <v>55.75</v>
      </c>
      <c r="S804" s="783">
        <v>8.6999999999999993</v>
      </c>
      <c r="T804" s="783">
        <v>8.27</v>
      </c>
      <c r="U804" s="785">
        <v>44694.527847222198</v>
      </c>
    </row>
    <row r="805" spans="1:21">
      <c r="A805" s="782">
        <v>44696</v>
      </c>
      <c r="B805" s="783" t="s">
        <v>41</v>
      </c>
      <c r="C805" s="783" t="s">
        <v>4092</v>
      </c>
      <c r="D805" s="783" t="s">
        <v>4009</v>
      </c>
      <c r="E805" s="783" t="s">
        <v>2249</v>
      </c>
      <c r="F805" s="783" t="s">
        <v>4011</v>
      </c>
      <c r="G805" s="783" t="str">
        <f t="shared" si="47"/>
        <v>Renewal (30% in 2020)</v>
      </c>
      <c r="H805" s="783" t="s">
        <v>5771</v>
      </c>
      <c r="I805" s="783" t="s">
        <v>5772</v>
      </c>
      <c r="J805" s="783">
        <v>30</v>
      </c>
      <c r="K805" s="783" t="s">
        <v>99</v>
      </c>
      <c r="L805" s="783" t="s">
        <v>4096</v>
      </c>
      <c r="M805" s="784">
        <v>77415.679999999993</v>
      </c>
      <c r="N805" s="784">
        <v>78.040000000000006</v>
      </c>
      <c r="O805" s="784">
        <v>6.2</v>
      </c>
      <c r="P805" s="783">
        <v>160</v>
      </c>
      <c r="Q805" s="783">
        <v>2709.55</v>
      </c>
      <c r="R805" s="783">
        <v>2392.14</v>
      </c>
      <c r="S805" s="783">
        <v>0</v>
      </c>
      <c r="T805" s="783">
        <v>317.39999999999998</v>
      </c>
      <c r="U805" s="785">
        <v>44697.411840277797</v>
      </c>
    </row>
    <row r="806" spans="1:21">
      <c r="A806" s="782">
        <v>44694</v>
      </c>
      <c r="B806" s="783" t="s">
        <v>41</v>
      </c>
      <c r="C806" s="783" t="s">
        <v>4082</v>
      </c>
      <c r="D806" s="783" t="s">
        <v>4009</v>
      </c>
      <c r="E806" s="783" t="s">
        <v>5773</v>
      </c>
      <c r="F806" s="783" t="s">
        <v>4011</v>
      </c>
      <c r="G806" s="783" t="str">
        <f t="shared" si="47"/>
        <v>Renewal (15% in 2020)</v>
      </c>
      <c r="H806" s="783" t="s">
        <v>5774</v>
      </c>
      <c r="I806" s="783" t="s">
        <v>5775</v>
      </c>
      <c r="J806" s="783">
        <v>15</v>
      </c>
      <c r="K806" s="783" t="s">
        <v>99</v>
      </c>
      <c r="L806" s="783" t="s">
        <v>4096</v>
      </c>
      <c r="M806" s="784">
        <v>9191.26</v>
      </c>
      <c r="N806" s="784">
        <v>12.19</v>
      </c>
      <c r="O806" s="784">
        <v>5.8</v>
      </c>
      <c r="P806" s="783">
        <v>130</v>
      </c>
      <c r="Q806" s="783">
        <v>610.29999999999995</v>
      </c>
      <c r="R806" s="783">
        <v>268.38</v>
      </c>
      <c r="S806" s="783">
        <v>47.79</v>
      </c>
      <c r="T806" s="783">
        <v>294.12</v>
      </c>
      <c r="U806" s="785">
        <v>44694.730231481502</v>
      </c>
    </row>
    <row r="807" spans="1:21">
      <c r="A807" s="782">
        <v>44698</v>
      </c>
      <c r="B807" s="783" t="s">
        <v>347</v>
      </c>
      <c r="C807" s="783" t="s">
        <v>4139</v>
      </c>
      <c r="D807" s="783" t="s">
        <v>4009</v>
      </c>
      <c r="E807" s="783" t="s">
        <v>5776</v>
      </c>
      <c r="F807" s="783" t="s">
        <v>4011</v>
      </c>
      <c r="G807" s="783" t="str">
        <f t="shared" si="47"/>
        <v>Renewal (15% in 2020)</v>
      </c>
      <c r="H807" s="783" t="s">
        <v>5777</v>
      </c>
      <c r="I807" s="783" t="s">
        <v>5778</v>
      </c>
      <c r="J807" s="783">
        <v>15</v>
      </c>
      <c r="K807" s="783" t="s">
        <v>99</v>
      </c>
      <c r="L807" s="783" t="s">
        <v>4096</v>
      </c>
      <c r="M807" s="784">
        <v>10832.4</v>
      </c>
      <c r="N807" s="784">
        <v>10.029999999999999</v>
      </c>
      <c r="O807" s="784">
        <v>6</v>
      </c>
      <c r="P807" s="783">
        <v>180</v>
      </c>
      <c r="Q807" s="783">
        <v>564.37</v>
      </c>
      <c r="R807" s="783">
        <v>244.66</v>
      </c>
      <c r="S807" s="783">
        <v>48.9</v>
      </c>
      <c r="T807" s="783">
        <v>270.81</v>
      </c>
      <c r="U807" s="785">
        <v>44699.736585648097</v>
      </c>
    </row>
    <row r="808" spans="1:21">
      <c r="A808" s="782">
        <v>44694</v>
      </c>
      <c r="B808" s="783" t="s">
        <v>74</v>
      </c>
      <c r="C808" s="783" t="s">
        <v>4097</v>
      </c>
      <c r="D808" s="783" t="s">
        <v>4038</v>
      </c>
      <c r="E808" s="783" t="s">
        <v>4385</v>
      </c>
      <c r="F808" s="783" t="s">
        <v>4011</v>
      </c>
      <c r="G808" s="783" t="str">
        <f t="shared" si="47"/>
        <v>Renewal (15% in 2020)</v>
      </c>
      <c r="H808" s="783" t="s">
        <v>4386</v>
      </c>
      <c r="I808" s="783" t="s">
        <v>4387</v>
      </c>
      <c r="J808" s="783">
        <v>15</v>
      </c>
      <c r="K808" s="783" t="s">
        <v>99</v>
      </c>
      <c r="L808" s="783" t="s">
        <v>4096</v>
      </c>
      <c r="M808" s="784">
        <v>60153.599999999999</v>
      </c>
      <c r="N808" s="784">
        <v>41.6</v>
      </c>
      <c r="O808" s="784">
        <v>7.23</v>
      </c>
      <c r="P808" s="783">
        <v>200</v>
      </c>
      <c r="Q808" s="783">
        <v>3982.17</v>
      </c>
      <c r="R808" s="783">
        <v>1472.53</v>
      </c>
      <c r="S808" s="783">
        <v>494.49</v>
      </c>
      <c r="T808" s="783">
        <v>2015.15</v>
      </c>
      <c r="U808" s="785">
        <v>44697.657083333303</v>
      </c>
    </row>
    <row r="809" spans="1:21">
      <c r="A809" s="782">
        <v>44694</v>
      </c>
      <c r="B809" s="783" t="s">
        <v>74</v>
      </c>
      <c r="C809" s="783" t="s">
        <v>4037</v>
      </c>
      <c r="D809" s="783" t="s">
        <v>4038</v>
      </c>
      <c r="E809" s="783" t="s">
        <v>4385</v>
      </c>
      <c r="F809" s="783" t="s">
        <v>4011</v>
      </c>
      <c r="G809" s="783" t="str">
        <f t="shared" si="47"/>
        <v>Renewal (15% in 2020)</v>
      </c>
      <c r="H809" s="783" t="s">
        <v>4386</v>
      </c>
      <c r="I809" s="783" t="s">
        <v>4387</v>
      </c>
      <c r="J809" s="783">
        <v>15</v>
      </c>
      <c r="K809" s="783" t="s">
        <v>99</v>
      </c>
      <c r="L809" s="783" t="s">
        <v>4096</v>
      </c>
      <c r="M809" s="784">
        <v>6073.2</v>
      </c>
      <c r="N809" s="784">
        <v>4.2</v>
      </c>
      <c r="O809" s="784">
        <v>7.23</v>
      </c>
      <c r="P809" s="783">
        <v>200</v>
      </c>
      <c r="Q809" s="783">
        <v>490.11</v>
      </c>
      <c r="R809" s="783">
        <v>208.03</v>
      </c>
      <c r="S809" s="783">
        <v>70.73</v>
      </c>
      <c r="T809" s="783">
        <v>211.35</v>
      </c>
      <c r="U809" s="785">
        <v>44697.657094907401</v>
      </c>
    </row>
    <row r="810" spans="1:21">
      <c r="A810" s="782">
        <v>44709</v>
      </c>
      <c r="B810" s="783" t="s">
        <v>347</v>
      </c>
      <c r="C810" s="783" t="s">
        <v>4139</v>
      </c>
      <c r="D810" s="783" t="s">
        <v>4009</v>
      </c>
      <c r="E810" s="783" t="s">
        <v>5779</v>
      </c>
      <c r="F810" s="783" t="s">
        <v>4011</v>
      </c>
      <c r="G810" s="783" t="str">
        <f t="shared" si="47"/>
        <v>Renewal (20% in 2020)</v>
      </c>
      <c r="H810" s="783" t="s">
        <v>5780</v>
      </c>
      <c r="I810" s="783" t="s">
        <v>5781</v>
      </c>
      <c r="J810" s="783">
        <v>20</v>
      </c>
      <c r="K810" s="783" t="s">
        <v>99</v>
      </c>
      <c r="L810" s="783" t="s">
        <v>4096</v>
      </c>
      <c r="M810" s="784">
        <v>13908.19</v>
      </c>
      <c r="N810" s="784">
        <v>13.39</v>
      </c>
      <c r="O810" s="784">
        <v>6.11</v>
      </c>
      <c r="P810" s="783">
        <v>170</v>
      </c>
      <c r="Q810" s="783">
        <v>541.03</v>
      </c>
      <c r="R810" s="783">
        <v>326.83999999999997</v>
      </c>
      <c r="S810" s="783">
        <v>50.07</v>
      </c>
      <c r="T810" s="783">
        <v>164.12</v>
      </c>
      <c r="U810" s="785">
        <v>44711.539895833303</v>
      </c>
    </row>
    <row r="811" spans="1:21">
      <c r="A811" s="782">
        <v>44698</v>
      </c>
      <c r="B811" s="783" t="s">
        <v>41</v>
      </c>
      <c r="C811" s="783" t="s">
        <v>4082</v>
      </c>
      <c r="D811" s="783" t="s">
        <v>4009</v>
      </c>
      <c r="E811" s="783" t="s">
        <v>4661</v>
      </c>
      <c r="F811" s="783" t="s">
        <v>4011</v>
      </c>
      <c r="G811" s="783" t="str">
        <f t="shared" si="47"/>
        <v>Renewal (15% in 2020)</v>
      </c>
      <c r="H811" s="783" t="s">
        <v>4662</v>
      </c>
      <c r="I811" s="783" t="s">
        <v>4663</v>
      </c>
      <c r="J811" s="783">
        <v>15</v>
      </c>
      <c r="K811" s="783" t="s">
        <v>99</v>
      </c>
      <c r="L811" s="783" t="s">
        <v>4096</v>
      </c>
      <c r="M811" s="784">
        <v>16877.45</v>
      </c>
      <c r="N811" s="784">
        <v>16.059999999999999</v>
      </c>
      <c r="O811" s="784">
        <v>6.78</v>
      </c>
      <c r="P811" s="783">
        <v>155</v>
      </c>
      <c r="Q811" s="783">
        <v>1120.6600000000001</v>
      </c>
      <c r="R811" s="783">
        <v>492.82</v>
      </c>
      <c r="S811" s="783">
        <v>87.76</v>
      </c>
      <c r="T811" s="783">
        <v>540.08000000000004</v>
      </c>
      <c r="U811" s="785">
        <v>44699.473240740699</v>
      </c>
    </row>
    <row r="812" spans="1:21">
      <c r="A812" s="782">
        <v>44697</v>
      </c>
      <c r="B812" s="783" t="s">
        <v>41</v>
      </c>
      <c r="C812" s="783" t="s">
        <v>4071</v>
      </c>
      <c r="D812" s="783" t="s">
        <v>4009</v>
      </c>
      <c r="E812" s="783" t="s">
        <v>2366</v>
      </c>
      <c r="F812" s="783" t="s">
        <v>4011</v>
      </c>
      <c r="G812" s="783" t="str">
        <f t="shared" si="47"/>
        <v>Renewal (25% in 2020)</v>
      </c>
      <c r="H812" s="783" t="s">
        <v>5782</v>
      </c>
      <c r="I812" s="783" t="s">
        <v>5783</v>
      </c>
      <c r="J812" s="783">
        <v>25</v>
      </c>
      <c r="K812" s="783" t="s">
        <v>99</v>
      </c>
      <c r="L812" s="783" t="s">
        <v>4096</v>
      </c>
      <c r="M812" s="784">
        <v>44107.77</v>
      </c>
      <c r="N812" s="784">
        <v>45.54</v>
      </c>
      <c r="O812" s="784">
        <v>5.87</v>
      </c>
      <c r="P812" s="783">
        <v>165</v>
      </c>
      <c r="Q812" s="783">
        <v>1279.1300000000001</v>
      </c>
      <c r="R812" s="783">
        <v>996.84</v>
      </c>
      <c r="S812" s="783">
        <v>154.38</v>
      </c>
      <c r="T812" s="783">
        <v>127.91</v>
      </c>
      <c r="U812" s="785">
        <v>44698.709548611099</v>
      </c>
    </row>
    <row r="813" spans="1:21">
      <c r="A813" s="782">
        <v>44697</v>
      </c>
      <c r="B813" s="783" t="s">
        <v>41</v>
      </c>
      <c r="C813" s="783" t="s">
        <v>4071</v>
      </c>
      <c r="D813" s="783" t="s">
        <v>4009</v>
      </c>
      <c r="E813" s="783" t="s">
        <v>5784</v>
      </c>
      <c r="F813" s="783" t="s">
        <v>4011</v>
      </c>
      <c r="G813" s="783" t="str">
        <f t="shared" si="47"/>
        <v>Renewal (20% in 2020)</v>
      </c>
      <c r="H813" s="783" t="s">
        <v>5785</v>
      </c>
      <c r="I813" s="783" t="s">
        <v>5786</v>
      </c>
      <c r="J813" s="783">
        <v>20</v>
      </c>
      <c r="K813" s="783" t="s">
        <v>99</v>
      </c>
      <c r="L813" s="783" t="s">
        <v>4096</v>
      </c>
      <c r="M813" s="784">
        <v>51083.74</v>
      </c>
      <c r="N813" s="784">
        <v>49.02</v>
      </c>
      <c r="O813" s="784">
        <v>6.13</v>
      </c>
      <c r="P813" s="783">
        <v>170</v>
      </c>
      <c r="Q813" s="783">
        <v>1910.53</v>
      </c>
      <c r="R813" s="783">
        <v>1154.49</v>
      </c>
      <c r="S813" s="783">
        <v>178.79</v>
      </c>
      <c r="T813" s="783">
        <v>577.25</v>
      </c>
      <c r="U813" s="785">
        <v>44699.484548611101</v>
      </c>
    </row>
    <row r="814" spans="1:21">
      <c r="A814" s="782">
        <v>44701</v>
      </c>
      <c r="B814" s="783" t="s">
        <v>74</v>
      </c>
      <c r="C814" s="783" t="s">
        <v>4037</v>
      </c>
      <c r="D814" s="783" t="s">
        <v>4038</v>
      </c>
      <c r="E814" s="783" t="s">
        <v>1912</v>
      </c>
      <c r="F814" s="783" t="s">
        <v>4011</v>
      </c>
      <c r="G814" s="783" t="str">
        <f t="shared" si="47"/>
        <v>Renewal (25% in 2020)</v>
      </c>
      <c r="H814" s="783" t="s">
        <v>4388</v>
      </c>
      <c r="I814" s="783" t="s">
        <v>4389</v>
      </c>
      <c r="J814" s="783">
        <v>30</v>
      </c>
      <c r="K814" s="783" t="s">
        <v>99</v>
      </c>
      <c r="L814" s="783" t="s">
        <v>4096</v>
      </c>
      <c r="M814" s="784">
        <v>80677.8</v>
      </c>
      <c r="N814" s="784">
        <v>64.03</v>
      </c>
      <c r="O814" s="784">
        <v>6.3</v>
      </c>
      <c r="P814" s="783">
        <v>200</v>
      </c>
      <c r="Q814" s="783">
        <v>4154.91</v>
      </c>
      <c r="R814" s="783">
        <v>2763.54</v>
      </c>
      <c r="S814" s="783">
        <v>431.3</v>
      </c>
      <c r="T814" s="783">
        <v>960.07</v>
      </c>
      <c r="U814" s="785">
        <v>44704.416030092601</v>
      </c>
    </row>
    <row r="815" spans="1:21">
      <c r="A815" s="782">
        <v>44698</v>
      </c>
      <c r="B815" s="783" t="s">
        <v>41</v>
      </c>
      <c r="C815" s="783" t="s">
        <v>4092</v>
      </c>
      <c r="D815" s="783" t="s">
        <v>4009</v>
      </c>
      <c r="E815" s="783" t="s">
        <v>5787</v>
      </c>
      <c r="F815" s="783" t="s">
        <v>4011</v>
      </c>
      <c r="G815" s="783" t="str">
        <f t="shared" si="47"/>
        <v>Renewal (30% in 2020)</v>
      </c>
      <c r="H815" s="783" t="s">
        <v>5788</v>
      </c>
      <c r="I815" s="783" t="s">
        <v>5789</v>
      </c>
      <c r="J815" s="783">
        <v>30</v>
      </c>
      <c r="K815" s="783" t="s">
        <v>99</v>
      </c>
      <c r="L815" s="783" t="s">
        <v>4096</v>
      </c>
      <c r="M815" s="784">
        <v>17522.650000000001</v>
      </c>
      <c r="N815" s="784">
        <v>17.68</v>
      </c>
      <c r="O815" s="784">
        <v>5.83</v>
      </c>
      <c r="P815" s="783">
        <v>170</v>
      </c>
      <c r="Q815" s="783">
        <v>613.29</v>
      </c>
      <c r="R815" s="783">
        <v>541.45000000000005</v>
      </c>
      <c r="S815" s="783">
        <v>0</v>
      </c>
      <c r="T815" s="783">
        <v>71.84</v>
      </c>
      <c r="U815" s="785">
        <v>44699.491087962997</v>
      </c>
    </row>
    <row r="816" spans="1:21">
      <c r="A816" s="782">
        <v>44697</v>
      </c>
      <c r="B816" s="783" t="s">
        <v>41</v>
      </c>
      <c r="C816" s="783" t="s">
        <v>4071</v>
      </c>
      <c r="D816" s="783" t="s">
        <v>4009</v>
      </c>
      <c r="E816" s="783" t="s">
        <v>5790</v>
      </c>
      <c r="F816" s="783" t="s">
        <v>4011</v>
      </c>
      <c r="G816" s="783" t="s">
        <v>4028</v>
      </c>
      <c r="H816" s="783" t="s">
        <v>5791</v>
      </c>
      <c r="I816" s="783" t="s">
        <v>5792</v>
      </c>
      <c r="J816" s="783">
        <v>25</v>
      </c>
      <c r="K816" s="783" t="s">
        <v>99</v>
      </c>
      <c r="L816" s="783" t="s">
        <v>4096</v>
      </c>
      <c r="M816" s="784">
        <v>33432.25</v>
      </c>
      <c r="N816" s="784">
        <v>25</v>
      </c>
      <c r="O816" s="784">
        <v>7.73</v>
      </c>
      <c r="P816" s="783">
        <v>173</v>
      </c>
      <c r="Q816" s="783">
        <v>969.54</v>
      </c>
      <c r="R816" s="783">
        <v>755.57</v>
      </c>
      <c r="S816" s="783">
        <v>117.01</v>
      </c>
      <c r="T816" s="783">
        <v>96.95</v>
      </c>
      <c r="U816" s="785">
        <v>44699.412476851903</v>
      </c>
    </row>
    <row r="817" spans="1:21">
      <c r="A817" s="782">
        <v>44698</v>
      </c>
      <c r="B817" s="783" t="s">
        <v>41</v>
      </c>
      <c r="C817" s="783" t="s">
        <v>4092</v>
      </c>
      <c r="D817" s="783" t="s">
        <v>4009</v>
      </c>
      <c r="E817" s="783" t="s">
        <v>597</v>
      </c>
      <c r="F817" s="783" t="s">
        <v>4011</v>
      </c>
      <c r="G817" s="783" t="str">
        <f t="shared" ref="G817:G828" si="48">VLOOKUP(I817,pacage,2,FALSE)</f>
        <v>Renewal (15% in 2020)</v>
      </c>
      <c r="H817" s="783" t="s">
        <v>5793</v>
      </c>
      <c r="I817" s="783" t="s">
        <v>5794</v>
      </c>
      <c r="J817" s="783">
        <v>15</v>
      </c>
      <c r="K817" s="783" t="s">
        <v>99</v>
      </c>
      <c r="L817" s="783" t="s">
        <v>4096</v>
      </c>
      <c r="M817" s="784">
        <v>83972.35</v>
      </c>
      <c r="N817" s="784">
        <v>82.52</v>
      </c>
      <c r="O817" s="784">
        <v>6.36</v>
      </c>
      <c r="P817" s="783">
        <v>160</v>
      </c>
      <c r="Q817" s="783">
        <v>5894.86</v>
      </c>
      <c r="R817" s="783">
        <v>2594.75</v>
      </c>
      <c r="S817" s="783">
        <v>461.85</v>
      </c>
      <c r="T817" s="783">
        <v>2838.27</v>
      </c>
      <c r="U817" s="785">
        <v>44699.496608796297</v>
      </c>
    </row>
    <row r="818" spans="1:21">
      <c r="A818" s="782">
        <v>44707</v>
      </c>
      <c r="B818" s="783" t="s">
        <v>41</v>
      </c>
      <c r="C818" s="783" t="s">
        <v>4082</v>
      </c>
      <c r="D818" s="783" t="s">
        <v>4009</v>
      </c>
      <c r="E818" s="783" t="s">
        <v>4664</v>
      </c>
      <c r="F818" s="783" t="s">
        <v>4011</v>
      </c>
      <c r="G818" s="783" t="str">
        <f t="shared" si="48"/>
        <v>Renewal (30% in 2020)</v>
      </c>
      <c r="H818" s="783" t="s">
        <v>4665</v>
      </c>
      <c r="I818" s="783" t="s">
        <v>4666</v>
      </c>
      <c r="J818" s="783">
        <v>30</v>
      </c>
      <c r="K818" s="783" t="s">
        <v>99</v>
      </c>
      <c r="L818" s="783" t="s">
        <v>4096</v>
      </c>
      <c r="M818" s="784">
        <v>27778.17</v>
      </c>
      <c r="N818" s="784">
        <v>21.7</v>
      </c>
      <c r="O818" s="784">
        <v>7.53</v>
      </c>
      <c r="P818" s="783">
        <v>170</v>
      </c>
      <c r="Q818" s="783">
        <v>919.46</v>
      </c>
      <c r="R818" s="783">
        <v>811.12</v>
      </c>
      <c r="S818" s="783">
        <v>0</v>
      </c>
      <c r="T818" s="783">
        <v>108.33</v>
      </c>
      <c r="U818" s="785">
        <v>44708.584884259297</v>
      </c>
    </row>
    <row r="819" spans="1:21">
      <c r="A819" s="782">
        <v>44698</v>
      </c>
      <c r="B819" s="783" t="s">
        <v>65</v>
      </c>
      <c r="C819" s="783" t="s">
        <v>4244</v>
      </c>
      <c r="D819" s="783" t="s">
        <v>4102</v>
      </c>
      <c r="E819" s="783" t="s">
        <v>3778</v>
      </c>
      <c r="F819" s="783" t="s">
        <v>4011</v>
      </c>
      <c r="G819" s="783" t="str">
        <f t="shared" si="48"/>
        <v>Renewal (20% in 2020)</v>
      </c>
      <c r="H819" s="783" t="s">
        <v>5795</v>
      </c>
      <c r="I819" s="783" t="s">
        <v>5796</v>
      </c>
      <c r="J819" s="783">
        <v>20</v>
      </c>
      <c r="K819" s="783" t="s">
        <v>99</v>
      </c>
      <c r="L819" s="783" t="s">
        <v>4096</v>
      </c>
      <c r="M819" s="784">
        <v>87136.56</v>
      </c>
      <c r="N819" s="784">
        <v>42.84</v>
      </c>
      <c r="O819" s="784">
        <v>10.17</v>
      </c>
      <c r="P819" s="783">
        <v>200</v>
      </c>
      <c r="Q819" s="783">
        <v>3293.76</v>
      </c>
      <c r="R819" s="783">
        <v>1703.43</v>
      </c>
      <c r="S819" s="783">
        <v>562.12</v>
      </c>
      <c r="T819" s="783">
        <v>1028.21</v>
      </c>
      <c r="U819" s="785">
        <v>44699.5960416667</v>
      </c>
    </row>
    <row r="820" spans="1:21">
      <c r="A820" s="782">
        <v>44699</v>
      </c>
      <c r="B820" s="783" t="s">
        <v>74</v>
      </c>
      <c r="C820" s="783" t="s">
        <v>4097</v>
      </c>
      <c r="D820" s="783" t="s">
        <v>4038</v>
      </c>
      <c r="E820" s="783" t="s">
        <v>5797</v>
      </c>
      <c r="F820" s="783" t="s">
        <v>4011</v>
      </c>
      <c r="G820" s="783" t="str">
        <f t="shared" si="48"/>
        <v>Renewal (15% in 2020)</v>
      </c>
      <c r="H820" s="783" t="s">
        <v>5798</v>
      </c>
      <c r="I820" s="783" t="s">
        <v>5799</v>
      </c>
      <c r="J820" s="783">
        <v>15</v>
      </c>
      <c r="K820" s="783" t="s">
        <v>99</v>
      </c>
      <c r="L820" s="783" t="s">
        <v>4096</v>
      </c>
      <c r="M820" s="784">
        <v>30046.63</v>
      </c>
      <c r="N820" s="784">
        <v>27.48</v>
      </c>
      <c r="O820" s="784">
        <v>4.97</v>
      </c>
      <c r="P820" s="783">
        <v>220</v>
      </c>
      <c r="Q820" s="783">
        <v>1989.09</v>
      </c>
      <c r="R820" s="783">
        <v>668.66</v>
      </c>
      <c r="S820" s="783">
        <v>313.86</v>
      </c>
      <c r="T820" s="783">
        <v>1006.56</v>
      </c>
      <c r="U820" s="785">
        <v>44700.537696759297</v>
      </c>
    </row>
    <row r="821" spans="1:21">
      <c r="A821" s="782">
        <v>44698</v>
      </c>
      <c r="B821" s="783" t="s">
        <v>30</v>
      </c>
      <c r="C821" s="783" t="s">
        <v>4239</v>
      </c>
      <c r="D821" s="783" t="s">
        <v>4021</v>
      </c>
      <c r="E821" s="783" t="s">
        <v>5800</v>
      </c>
      <c r="F821" s="783" t="s">
        <v>4011</v>
      </c>
      <c r="G821" s="783" t="str">
        <f t="shared" si="48"/>
        <v>Renewal (20% in 2020)</v>
      </c>
      <c r="H821" s="783" t="s">
        <v>5801</v>
      </c>
      <c r="I821" s="783" t="s">
        <v>5802</v>
      </c>
      <c r="J821" s="783">
        <v>20</v>
      </c>
      <c r="K821" s="783" t="s">
        <v>99</v>
      </c>
      <c r="L821" s="783" t="s">
        <v>4096</v>
      </c>
      <c r="M821" s="784">
        <v>26327.77</v>
      </c>
      <c r="N821" s="784">
        <v>22.85</v>
      </c>
      <c r="O821" s="784">
        <v>8.23</v>
      </c>
      <c r="P821" s="783">
        <v>140</v>
      </c>
      <c r="Q821" s="783">
        <v>1155.79</v>
      </c>
      <c r="R821" s="783">
        <v>652.92999999999995</v>
      </c>
      <c r="S821" s="783">
        <v>134.27000000000001</v>
      </c>
      <c r="T821" s="783">
        <v>368.59</v>
      </c>
      <c r="U821" s="785">
        <v>44699.487800925897</v>
      </c>
    </row>
    <row r="822" spans="1:21">
      <c r="A822" s="782">
        <v>44698</v>
      </c>
      <c r="B822" s="783" t="s">
        <v>41</v>
      </c>
      <c r="C822" s="783" t="s">
        <v>4071</v>
      </c>
      <c r="D822" s="783" t="s">
        <v>4009</v>
      </c>
      <c r="E822" s="783" t="s">
        <v>5803</v>
      </c>
      <c r="F822" s="783" t="s">
        <v>4011</v>
      </c>
      <c r="G822" s="783" t="str">
        <f t="shared" si="48"/>
        <v>Renewal (25% in 2020)</v>
      </c>
      <c r="H822" s="783" t="s">
        <v>5804</v>
      </c>
      <c r="I822" s="783" t="s">
        <v>5805</v>
      </c>
      <c r="J822" s="783">
        <v>20</v>
      </c>
      <c r="K822" s="783" t="s">
        <v>99</v>
      </c>
      <c r="L822" s="783" t="s">
        <v>4096</v>
      </c>
      <c r="M822" s="784">
        <v>24767.53</v>
      </c>
      <c r="N822" s="784">
        <v>18.420000000000002</v>
      </c>
      <c r="O822" s="784">
        <v>7.47</v>
      </c>
      <c r="P822" s="783">
        <v>180</v>
      </c>
      <c r="Q822" s="783">
        <v>926.31</v>
      </c>
      <c r="R822" s="783">
        <v>537.98</v>
      </c>
      <c r="S822" s="783">
        <v>108.45</v>
      </c>
      <c r="T822" s="783">
        <v>279.87</v>
      </c>
      <c r="U822" s="785">
        <v>44699.7496875</v>
      </c>
    </row>
    <row r="823" spans="1:21">
      <c r="A823" s="782">
        <v>44698</v>
      </c>
      <c r="B823" s="783" t="s">
        <v>4025</v>
      </c>
      <c r="C823" s="783" t="s">
        <v>4026</v>
      </c>
      <c r="D823" s="783" t="s">
        <v>4021</v>
      </c>
      <c r="E823" s="783" t="s">
        <v>5806</v>
      </c>
      <c r="F823" s="783" t="s">
        <v>4011</v>
      </c>
      <c r="G823" s="783" t="str">
        <f t="shared" si="48"/>
        <v>New Contract</v>
      </c>
      <c r="H823" s="783" t="s">
        <v>5807</v>
      </c>
      <c r="I823" s="783" t="s">
        <v>5808</v>
      </c>
      <c r="J823" s="783">
        <v>20</v>
      </c>
      <c r="K823" s="783" t="s">
        <v>99</v>
      </c>
      <c r="L823" s="783" t="s">
        <v>4096</v>
      </c>
      <c r="M823" s="784">
        <v>120628.23</v>
      </c>
      <c r="N823" s="784">
        <v>79.459999999999994</v>
      </c>
      <c r="O823" s="784">
        <v>8.93</v>
      </c>
      <c r="P823" s="783">
        <v>170</v>
      </c>
      <c r="Q823" s="783">
        <v>7068.81</v>
      </c>
      <c r="R823" s="783">
        <v>4077.23</v>
      </c>
      <c r="S823" s="783">
        <v>627.27</v>
      </c>
      <c r="T823" s="783">
        <v>2364.31</v>
      </c>
      <c r="U823" s="785">
        <v>44699.481666666703</v>
      </c>
    </row>
    <row r="824" spans="1:21">
      <c r="A824" s="782">
        <v>44708</v>
      </c>
      <c r="B824" s="783" t="s">
        <v>4025</v>
      </c>
      <c r="C824" s="783" t="s">
        <v>4026</v>
      </c>
      <c r="D824" s="783" t="s">
        <v>4021</v>
      </c>
      <c r="E824" s="783" t="s">
        <v>5809</v>
      </c>
      <c r="F824" s="783" t="s">
        <v>4011</v>
      </c>
      <c r="G824" s="783" t="str">
        <f t="shared" si="48"/>
        <v>New Contract</v>
      </c>
      <c r="H824" s="783" t="s">
        <v>5810</v>
      </c>
      <c r="I824" s="783" t="s">
        <v>5811</v>
      </c>
      <c r="J824" s="783">
        <v>20</v>
      </c>
      <c r="K824" s="783" t="s">
        <v>99</v>
      </c>
      <c r="L824" s="783" t="s">
        <v>4096</v>
      </c>
      <c r="M824" s="784">
        <v>102196.91</v>
      </c>
      <c r="N824" s="784">
        <v>75.78</v>
      </c>
      <c r="O824" s="784">
        <v>6.13</v>
      </c>
      <c r="P824" s="783">
        <v>220</v>
      </c>
      <c r="Q824" s="783">
        <v>5988.74</v>
      </c>
      <c r="R824" s="783">
        <v>2716.3</v>
      </c>
      <c r="S824" s="783">
        <v>1269.3800000000001</v>
      </c>
      <c r="T824" s="783">
        <v>2003.06</v>
      </c>
      <c r="U824" s="785">
        <v>44711.518043981501</v>
      </c>
    </row>
    <row r="825" spans="1:21">
      <c r="A825" s="782">
        <v>44705</v>
      </c>
      <c r="B825" s="783" t="s">
        <v>51</v>
      </c>
      <c r="C825" s="783" t="s">
        <v>4015</v>
      </c>
      <c r="D825" s="783" t="s">
        <v>4016</v>
      </c>
      <c r="E825" s="783" t="s">
        <v>5812</v>
      </c>
      <c r="F825" s="783" t="s">
        <v>4011</v>
      </c>
      <c r="G825" s="783" t="str">
        <f t="shared" si="48"/>
        <v>Renewal (20% in 2020)</v>
      </c>
      <c r="H825" s="783" t="s">
        <v>5813</v>
      </c>
      <c r="I825" s="783" t="s">
        <v>5814</v>
      </c>
      <c r="J825" s="783">
        <v>20</v>
      </c>
      <c r="K825" s="783" t="s">
        <v>99</v>
      </c>
      <c r="L825" s="783" t="s">
        <v>4096</v>
      </c>
      <c r="M825" s="784">
        <v>82838.45</v>
      </c>
      <c r="N825" s="784">
        <v>71.61</v>
      </c>
      <c r="O825" s="784">
        <v>7.23</v>
      </c>
      <c r="P825" s="783">
        <v>160</v>
      </c>
      <c r="Q825" s="783">
        <v>5864.96</v>
      </c>
      <c r="R825" s="783">
        <v>3412.94</v>
      </c>
      <c r="S825" s="783">
        <v>521.88</v>
      </c>
      <c r="T825" s="783">
        <v>1930.14</v>
      </c>
      <c r="U825" s="785">
        <v>44708.703946759299</v>
      </c>
    </row>
    <row r="826" spans="1:21">
      <c r="A826" s="782">
        <v>44699</v>
      </c>
      <c r="B826" s="783" t="s">
        <v>397</v>
      </c>
      <c r="C826" s="783" t="s">
        <v>4511</v>
      </c>
      <c r="D826" s="783" t="s">
        <v>4512</v>
      </c>
      <c r="E826" s="783"/>
      <c r="F826" s="783" t="s">
        <v>4011</v>
      </c>
      <c r="G826" s="783" t="str">
        <f t="shared" si="48"/>
        <v>Renewal (15% in 2020)</v>
      </c>
      <c r="H826" s="783" t="s">
        <v>4667</v>
      </c>
      <c r="I826" s="783" t="s">
        <v>4668</v>
      </c>
      <c r="J826" s="783">
        <v>25</v>
      </c>
      <c r="K826" s="783" t="s">
        <v>99</v>
      </c>
      <c r="L826" s="783" t="s">
        <v>4096</v>
      </c>
      <c r="M826" s="784">
        <v>26681.98</v>
      </c>
      <c r="N826" s="784">
        <v>24.56</v>
      </c>
      <c r="O826" s="784">
        <v>6.79</v>
      </c>
      <c r="P826" s="783">
        <v>160</v>
      </c>
      <c r="Q826" s="783">
        <v>1187.3499999999999</v>
      </c>
      <c r="R826" s="783">
        <v>824.47</v>
      </c>
      <c r="S826" s="783">
        <v>184.11</v>
      </c>
      <c r="T826" s="783">
        <v>178.77</v>
      </c>
      <c r="U826" s="785">
        <v>44699.471782407403</v>
      </c>
    </row>
    <row r="827" spans="1:21">
      <c r="A827" s="782">
        <v>44700</v>
      </c>
      <c r="B827" s="783" t="s">
        <v>228</v>
      </c>
      <c r="C827" s="783" t="s">
        <v>4511</v>
      </c>
      <c r="D827" s="783" t="s">
        <v>4512</v>
      </c>
      <c r="E827" s="783" t="s">
        <v>5815</v>
      </c>
      <c r="F827" s="783" t="s">
        <v>4011</v>
      </c>
      <c r="G827" s="783" t="str">
        <f t="shared" si="48"/>
        <v>Renewal (25% in 2020)</v>
      </c>
      <c r="H827" s="783" t="s">
        <v>5816</v>
      </c>
      <c r="I827" s="783" t="s">
        <v>5817</v>
      </c>
      <c r="J827" s="783">
        <v>25</v>
      </c>
      <c r="K827" s="783" t="s">
        <v>99</v>
      </c>
      <c r="L827" s="783" t="s">
        <v>4096</v>
      </c>
      <c r="M827" s="784">
        <v>30179</v>
      </c>
      <c r="N827" s="784">
        <v>29.58</v>
      </c>
      <c r="O827" s="784">
        <v>5.83</v>
      </c>
      <c r="P827" s="783">
        <v>175</v>
      </c>
      <c r="Q827" s="783">
        <v>1342.97</v>
      </c>
      <c r="R827" s="783">
        <v>921.87</v>
      </c>
      <c r="S827" s="783">
        <v>218.89</v>
      </c>
      <c r="T827" s="783">
        <v>202.2</v>
      </c>
      <c r="U827" s="785">
        <v>44700.717754629601</v>
      </c>
    </row>
    <row r="828" spans="1:21">
      <c r="A828" s="782">
        <v>44700</v>
      </c>
      <c r="B828" s="783" t="s">
        <v>228</v>
      </c>
      <c r="C828" s="783" t="s">
        <v>4020</v>
      </c>
      <c r="D828" s="783" t="s">
        <v>4021</v>
      </c>
      <c r="E828" s="783" t="s">
        <v>5815</v>
      </c>
      <c r="F828" s="783" t="s">
        <v>4011</v>
      </c>
      <c r="G828" s="783" t="str">
        <f t="shared" si="48"/>
        <v>Renewal (25% in 2020)</v>
      </c>
      <c r="H828" s="783" t="s">
        <v>5816</v>
      </c>
      <c r="I828" s="783" t="s">
        <v>5817</v>
      </c>
      <c r="J828" s="783">
        <v>25</v>
      </c>
      <c r="K828" s="783" t="s">
        <v>99</v>
      </c>
      <c r="L828" s="783" t="s">
        <v>4096</v>
      </c>
      <c r="M828" s="784">
        <v>35749.56</v>
      </c>
      <c r="N828" s="784">
        <v>35.04</v>
      </c>
      <c r="O828" s="784">
        <v>5.83</v>
      </c>
      <c r="P828" s="783">
        <v>175</v>
      </c>
      <c r="Q828" s="783">
        <v>1737.43</v>
      </c>
      <c r="R828" s="783">
        <v>1289.95</v>
      </c>
      <c r="S828" s="783">
        <v>215.11</v>
      </c>
      <c r="T828" s="783">
        <v>232.37</v>
      </c>
      <c r="U828" s="785">
        <v>44700.717754629601</v>
      </c>
    </row>
    <row r="829" spans="1:21">
      <c r="A829" s="782">
        <v>44699</v>
      </c>
      <c r="B829" s="783" t="s">
        <v>34</v>
      </c>
      <c r="C829" s="783" t="s">
        <v>4139</v>
      </c>
      <c r="D829" s="783" t="s">
        <v>4009</v>
      </c>
      <c r="E829" s="783" t="s">
        <v>4669</v>
      </c>
      <c r="F829" s="783" t="s">
        <v>4011</v>
      </c>
      <c r="G829" s="783" t="s">
        <v>4028</v>
      </c>
      <c r="H829" s="783" t="s">
        <v>4670</v>
      </c>
      <c r="I829" s="783" t="s">
        <v>4671</v>
      </c>
      <c r="J829" s="783">
        <v>25</v>
      </c>
      <c r="K829" s="783" t="s">
        <v>99</v>
      </c>
      <c r="L829" s="783" t="s">
        <v>4096</v>
      </c>
      <c r="M829" s="784">
        <v>44002.41</v>
      </c>
      <c r="N829" s="784">
        <v>37.24</v>
      </c>
      <c r="O829" s="784">
        <v>6.83</v>
      </c>
      <c r="P829" s="783">
        <v>173</v>
      </c>
      <c r="Q829" s="783">
        <v>1324.47</v>
      </c>
      <c r="R829" s="783">
        <v>1034.06</v>
      </c>
      <c r="S829" s="783">
        <v>158.41</v>
      </c>
      <c r="T829" s="783">
        <v>132.01</v>
      </c>
      <c r="U829" s="785">
        <v>44699.470520833303</v>
      </c>
    </row>
    <row r="830" spans="1:21">
      <c r="A830" s="782">
        <v>44704</v>
      </c>
      <c r="B830" s="783" t="s">
        <v>41</v>
      </c>
      <c r="C830" s="783" t="s">
        <v>4139</v>
      </c>
      <c r="D830" s="783" t="s">
        <v>4009</v>
      </c>
      <c r="E830" s="783" t="s">
        <v>5818</v>
      </c>
      <c r="F830" s="783" t="s">
        <v>4011</v>
      </c>
      <c r="G830" s="783" t="str">
        <f t="shared" ref="G830:G838" si="49">VLOOKUP(I830,pacage,2,FALSE)</f>
        <v>New Contract</v>
      </c>
      <c r="H830" s="783" t="s">
        <v>5819</v>
      </c>
      <c r="I830" s="783" t="s">
        <v>5820</v>
      </c>
      <c r="J830" s="783">
        <v>20</v>
      </c>
      <c r="K830" s="783" t="s">
        <v>99</v>
      </c>
      <c r="L830" s="783" t="s">
        <v>4096</v>
      </c>
      <c r="M830" s="784">
        <v>11240.5</v>
      </c>
      <c r="N830" s="784">
        <v>7.8</v>
      </c>
      <c r="O830" s="784">
        <v>8.33</v>
      </c>
      <c r="P830" s="783">
        <v>173</v>
      </c>
      <c r="Q830" s="783">
        <v>437.26</v>
      </c>
      <c r="R830" s="783">
        <v>264.14999999999998</v>
      </c>
      <c r="S830" s="783">
        <v>40.47</v>
      </c>
      <c r="T830" s="783">
        <v>132.63999999999999</v>
      </c>
      <c r="U830" s="785">
        <v>44708.677199074104</v>
      </c>
    </row>
    <row r="831" spans="1:21">
      <c r="A831" s="782">
        <v>44699</v>
      </c>
      <c r="B831" s="783" t="s">
        <v>41</v>
      </c>
      <c r="C831" s="783" t="s">
        <v>4139</v>
      </c>
      <c r="D831" s="783" t="s">
        <v>4009</v>
      </c>
      <c r="E831" s="783" t="s">
        <v>5821</v>
      </c>
      <c r="F831" s="783" t="s">
        <v>4011</v>
      </c>
      <c r="G831" s="783" t="str">
        <f t="shared" si="49"/>
        <v>Renewal (15% in 2020)</v>
      </c>
      <c r="H831" s="783" t="s">
        <v>5822</v>
      </c>
      <c r="I831" s="783" t="s">
        <v>5823</v>
      </c>
      <c r="J831" s="783">
        <v>15</v>
      </c>
      <c r="K831" s="783" t="s">
        <v>99</v>
      </c>
      <c r="L831" s="783" t="s">
        <v>4096</v>
      </c>
      <c r="M831" s="784">
        <v>57575.81</v>
      </c>
      <c r="N831" s="784">
        <v>43.46</v>
      </c>
      <c r="O831" s="784">
        <v>7.36</v>
      </c>
      <c r="P831" s="783">
        <v>180</v>
      </c>
      <c r="Q831" s="783">
        <v>2999.7</v>
      </c>
      <c r="R831" s="783">
        <v>1300.4100000000001</v>
      </c>
      <c r="S831" s="783">
        <v>259.89</v>
      </c>
      <c r="T831" s="783">
        <v>1439.4</v>
      </c>
      <c r="U831" s="785">
        <v>44700.527256944399</v>
      </c>
    </row>
    <row r="832" spans="1:21">
      <c r="A832" s="782">
        <v>44431</v>
      </c>
      <c r="B832" s="783" t="s">
        <v>41</v>
      </c>
      <c r="C832" s="783" t="s">
        <v>4121</v>
      </c>
      <c r="D832" s="783" t="s">
        <v>4009</v>
      </c>
      <c r="E832" s="783" t="s">
        <v>4171</v>
      </c>
      <c r="F832" s="783" t="s">
        <v>4011</v>
      </c>
      <c r="G832" s="783" t="str">
        <f t="shared" si="49"/>
        <v>Renewal (15% in 2020)</v>
      </c>
      <c r="H832" s="783" t="s">
        <v>4172</v>
      </c>
      <c r="I832" s="783" t="s">
        <v>4173</v>
      </c>
      <c r="J832" s="783">
        <v>15</v>
      </c>
      <c r="K832" s="783" t="s">
        <v>99</v>
      </c>
      <c r="L832" s="783" t="s">
        <v>4096</v>
      </c>
      <c r="M832" s="784">
        <v>9716.82</v>
      </c>
      <c r="N832" s="784">
        <v>10.46</v>
      </c>
      <c r="O832" s="784">
        <v>5.63</v>
      </c>
      <c r="P832" s="783">
        <v>165</v>
      </c>
      <c r="Q832" s="783">
        <v>575.24</v>
      </c>
      <c r="R832" s="783">
        <v>254.58</v>
      </c>
      <c r="S832" s="783">
        <v>38.869999999999997</v>
      </c>
      <c r="T832" s="783">
        <v>281.79000000000002</v>
      </c>
      <c r="U832" s="785">
        <v>44655.421481481499</v>
      </c>
    </row>
    <row r="833" spans="1:21">
      <c r="A833" s="782">
        <v>44655</v>
      </c>
      <c r="B833" s="783" t="s">
        <v>41</v>
      </c>
      <c r="C833" s="783" t="s">
        <v>4139</v>
      </c>
      <c r="D833" s="783" t="s">
        <v>4009</v>
      </c>
      <c r="E833" s="783" t="s">
        <v>5824</v>
      </c>
      <c r="F833" s="783" t="s">
        <v>4011</v>
      </c>
      <c r="G833" s="783" t="str">
        <f t="shared" si="49"/>
        <v>Renewal (25% in 2020)</v>
      </c>
      <c r="H833" s="783" t="s">
        <v>5825</v>
      </c>
      <c r="I833" s="783" t="s">
        <v>5826</v>
      </c>
      <c r="J833" s="783">
        <v>25</v>
      </c>
      <c r="K833" s="783" t="s">
        <v>99</v>
      </c>
      <c r="L833" s="783" t="s">
        <v>4096</v>
      </c>
      <c r="M833" s="784">
        <v>27058.560000000001</v>
      </c>
      <c r="N833" s="784">
        <v>24.87</v>
      </c>
      <c r="O833" s="784">
        <v>6.4</v>
      </c>
      <c r="P833" s="783">
        <v>170</v>
      </c>
      <c r="Q833" s="783">
        <v>814.46</v>
      </c>
      <c r="R833" s="783">
        <v>635.88</v>
      </c>
      <c r="S833" s="783">
        <v>97.41</v>
      </c>
      <c r="T833" s="783">
        <v>81.180000000000007</v>
      </c>
      <c r="U833" s="785">
        <v>44657.6264814815</v>
      </c>
    </row>
    <row r="834" spans="1:21">
      <c r="A834" s="782">
        <v>44655</v>
      </c>
      <c r="B834" s="783" t="s">
        <v>30</v>
      </c>
      <c r="C834" s="783" t="s">
        <v>5213</v>
      </c>
      <c r="D834" s="783" t="s">
        <v>4021</v>
      </c>
      <c r="E834" s="783" t="s">
        <v>2583</v>
      </c>
      <c r="F834" s="783" t="s">
        <v>4011</v>
      </c>
      <c r="G834" s="783" t="str">
        <f t="shared" si="49"/>
        <v>Renewal (25% in 2020)</v>
      </c>
      <c r="H834" s="783" t="s">
        <v>5827</v>
      </c>
      <c r="I834" s="783" t="s">
        <v>5828</v>
      </c>
      <c r="J834" s="783">
        <v>25</v>
      </c>
      <c r="K834" s="783" t="s">
        <v>99</v>
      </c>
      <c r="L834" s="783" t="s">
        <v>4096</v>
      </c>
      <c r="M834" s="784">
        <v>7905.15</v>
      </c>
      <c r="N834" s="784">
        <v>6.15</v>
      </c>
      <c r="O834" s="784">
        <v>7.43</v>
      </c>
      <c r="P834" s="783">
        <v>173</v>
      </c>
      <c r="Q834" s="783">
        <v>418.97</v>
      </c>
      <c r="R834" s="783">
        <v>313.04000000000002</v>
      </c>
      <c r="S834" s="783">
        <v>46.64</v>
      </c>
      <c r="T834" s="783">
        <v>59.29</v>
      </c>
      <c r="U834" s="785">
        <v>44655.680069444403</v>
      </c>
    </row>
    <row r="835" spans="1:21">
      <c r="A835" s="782">
        <v>44655</v>
      </c>
      <c r="B835" s="783" t="s">
        <v>30</v>
      </c>
      <c r="C835" s="783" t="s">
        <v>4089</v>
      </c>
      <c r="D835" s="783" t="s">
        <v>4021</v>
      </c>
      <c r="E835" s="783" t="s">
        <v>2583</v>
      </c>
      <c r="F835" s="783" t="s">
        <v>4011</v>
      </c>
      <c r="G835" s="783" t="str">
        <f t="shared" si="49"/>
        <v>Renewal (25% in 2020)</v>
      </c>
      <c r="H835" s="783" t="s">
        <v>5827</v>
      </c>
      <c r="I835" s="783" t="s">
        <v>5828</v>
      </c>
      <c r="J835" s="783">
        <v>25</v>
      </c>
      <c r="K835" s="783" t="s">
        <v>99</v>
      </c>
      <c r="L835" s="783" t="s">
        <v>4096</v>
      </c>
      <c r="M835" s="784">
        <v>4344.62</v>
      </c>
      <c r="N835" s="784">
        <v>3.38</v>
      </c>
      <c r="O835" s="784">
        <v>7.43</v>
      </c>
      <c r="P835" s="783">
        <v>173</v>
      </c>
      <c r="Q835" s="783">
        <v>171.18</v>
      </c>
      <c r="R835" s="783">
        <v>126.43</v>
      </c>
      <c r="S835" s="783">
        <v>19.55</v>
      </c>
      <c r="T835" s="783">
        <v>25.2</v>
      </c>
      <c r="U835" s="785">
        <v>44655.680069444403</v>
      </c>
    </row>
    <row r="836" spans="1:21">
      <c r="A836" s="782">
        <v>44658</v>
      </c>
      <c r="B836" s="783" t="s">
        <v>41</v>
      </c>
      <c r="C836" s="783" t="s">
        <v>5829</v>
      </c>
      <c r="D836" s="783" t="s">
        <v>4009</v>
      </c>
      <c r="E836" s="783" t="s">
        <v>5830</v>
      </c>
      <c r="F836" s="783" t="s">
        <v>4011</v>
      </c>
      <c r="G836" s="783" t="str">
        <f t="shared" si="49"/>
        <v>New Contract</v>
      </c>
      <c r="H836" s="783" t="s">
        <v>5831</v>
      </c>
      <c r="I836" s="783" t="s">
        <v>5832</v>
      </c>
      <c r="J836" s="783">
        <v>20</v>
      </c>
      <c r="K836" s="783" t="s">
        <v>99</v>
      </c>
      <c r="L836" s="783" t="s">
        <v>4096</v>
      </c>
      <c r="M836" s="784">
        <v>9763.7800000000007</v>
      </c>
      <c r="N836" s="784">
        <v>8.0399999999999991</v>
      </c>
      <c r="O836" s="784">
        <v>5.52</v>
      </c>
      <c r="P836" s="783">
        <v>220</v>
      </c>
      <c r="Q836" s="783">
        <v>646.36</v>
      </c>
      <c r="R836" s="783">
        <v>282.55</v>
      </c>
      <c r="S836" s="783">
        <v>132.41</v>
      </c>
      <c r="T836" s="783">
        <v>231.4</v>
      </c>
      <c r="U836" s="785">
        <v>44659.412025463003</v>
      </c>
    </row>
    <row r="837" spans="1:21">
      <c r="A837" s="782">
        <v>44657</v>
      </c>
      <c r="B837" s="783" t="s">
        <v>51</v>
      </c>
      <c r="C837" s="783" t="s">
        <v>4042</v>
      </c>
      <c r="D837" s="783" t="s">
        <v>4016</v>
      </c>
      <c r="E837" s="783" t="s">
        <v>5833</v>
      </c>
      <c r="F837" s="783" t="s">
        <v>4011</v>
      </c>
      <c r="G837" s="783" t="str">
        <f t="shared" si="49"/>
        <v>New Contract</v>
      </c>
      <c r="H837" s="783" t="s">
        <v>5834</v>
      </c>
      <c r="I837" s="783" t="s">
        <v>5835</v>
      </c>
      <c r="J837" s="783">
        <v>25</v>
      </c>
      <c r="K837" s="783" t="s">
        <v>99</v>
      </c>
      <c r="L837" s="783" t="s">
        <v>4096</v>
      </c>
      <c r="M837" s="784">
        <v>100990.1</v>
      </c>
      <c r="N837" s="784">
        <v>69.87</v>
      </c>
      <c r="O837" s="784">
        <v>8.0299999999999994</v>
      </c>
      <c r="P837" s="783">
        <v>180</v>
      </c>
      <c r="Q837" s="783">
        <v>3736.63</v>
      </c>
      <c r="R837" s="783">
        <v>2727.46</v>
      </c>
      <c r="S837" s="783">
        <v>544.62</v>
      </c>
      <c r="T837" s="783">
        <v>464.55</v>
      </c>
      <c r="U837" s="785">
        <v>44657.620393518497</v>
      </c>
    </row>
    <row r="838" spans="1:21">
      <c r="A838" s="782">
        <v>44658</v>
      </c>
      <c r="B838" s="783" t="s">
        <v>30</v>
      </c>
      <c r="C838" s="783" t="s">
        <v>4089</v>
      </c>
      <c r="D838" s="783" t="s">
        <v>4021</v>
      </c>
      <c r="E838" s="783" t="s">
        <v>5836</v>
      </c>
      <c r="F838" s="783" t="s">
        <v>4011</v>
      </c>
      <c r="G838" s="783" t="str">
        <f t="shared" si="49"/>
        <v>Renewal (15% in 2020)</v>
      </c>
      <c r="H838" s="783" t="s">
        <v>5837</v>
      </c>
      <c r="I838" s="783" t="s">
        <v>5838</v>
      </c>
      <c r="J838" s="783">
        <v>15</v>
      </c>
      <c r="K838" s="783" t="s">
        <v>99</v>
      </c>
      <c r="L838" s="783" t="s">
        <v>4096</v>
      </c>
      <c r="M838" s="784">
        <v>16334.49</v>
      </c>
      <c r="N838" s="784">
        <v>16.14</v>
      </c>
      <c r="O838" s="784">
        <v>5.85</v>
      </c>
      <c r="P838" s="783">
        <v>173</v>
      </c>
      <c r="Q838" s="783">
        <v>1092.78</v>
      </c>
      <c r="R838" s="783">
        <v>475.33</v>
      </c>
      <c r="S838" s="783">
        <v>73.510000000000005</v>
      </c>
      <c r="T838" s="783">
        <v>543.94000000000005</v>
      </c>
      <c r="U838" s="785">
        <v>44659.415300925903</v>
      </c>
    </row>
    <row r="839" spans="1:21">
      <c r="A839" s="782">
        <v>44698</v>
      </c>
      <c r="B839" s="783" t="s">
        <v>51</v>
      </c>
      <c r="C839" s="783" t="s">
        <v>4015</v>
      </c>
      <c r="D839" s="783" t="s">
        <v>4016</v>
      </c>
      <c r="E839" s="783" t="s">
        <v>4062</v>
      </c>
      <c r="F839" s="783" t="s">
        <v>4011</v>
      </c>
      <c r="G839" s="783" t="s">
        <v>4028</v>
      </c>
      <c r="H839" s="783" t="s">
        <v>4063</v>
      </c>
      <c r="I839" s="783" t="s">
        <v>4064</v>
      </c>
      <c r="J839" s="783">
        <v>25</v>
      </c>
      <c r="K839" s="783" t="s">
        <v>99</v>
      </c>
      <c r="L839" s="783" t="s">
        <v>4096</v>
      </c>
      <c r="M839" s="784">
        <v>47279.44</v>
      </c>
      <c r="N839" s="784">
        <v>34.97</v>
      </c>
      <c r="O839" s="784">
        <v>6.76</v>
      </c>
      <c r="P839" s="783">
        <v>200</v>
      </c>
      <c r="Q839" s="783">
        <v>2600.37</v>
      </c>
      <c r="R839" s="783">
        <v>1684.94</v>
      </c>
      <c r="S839" s="783">
        <v>560.83000000000004</v>
      </c>
      <c r="T839" s="783">
        <v>354.6</v>
      </c>
      <c r="U839" s="785">
        <v>44699.493541666699</v>
      </c>
    </row>
    <row r="840" spans="1:21">
      <c r="A840" s="782">
        <v>44660</v>
      </c>
      <c r="B840" s="783" t="s">
        <v>4025</v>
      </c>
      <c r="C840" s="783" t="s">
        <v>4026</v>
      </c>
      <c r="D840" s="783" t="s">
        <v>4021</v>
      </c>
      <c r="E840" s="783" t="s">
        <v>5839</v>
      </c>
      <c r="F840" s="783" t="s">
        <v>4066</v>
      </c>
      <c r="G840" s="783" t="s">
        <v>4028</v>
      </c>
      <c r="H840" s="783" t="s">
        <v>5840</v>
      </c>
      <c r="I840" s="783" t="s">
        <v>5841</v>
      </c>
      <c r="J840" s="783">
        <v>5</v>
      </c>
      <c r="K840" s="783" t="s">
        <v>99</v>
      </c>
      <c r="L840" s="783" t="s">
        <v>4096</v>
      </c>
      <c r="M840" s="784">
        <v>60480</v>
      </c>
      <c r="N840" s="784">
        <v>45</v>
      </c>
      <c r="O840" s="784">
        <v>6</v>
      </c>
      <c r="P840" s="783">
        <v>224</v>
      </c>
      <c r="Q840" s="783">
        <v>1155.17</v>
      </c>
      <c r="R840" s="783">
        <v>0</v>
      </c>
      <c r="S840" s="783">
        <v>0</v>
      </c>
      <c r="T840" s="783">
        <v>1155.17</v>
      </c>
      <c r="U840" s="785">
        <v>44663.427326388897</v>
      </c>
    </row>
    <row r="841" spans="1:21">
      <c r="A841" s="782">
        <v>44658</v>
      </c>
      <c r="B841" s="783" t="s">
        <v>41</v>
      </c>
      <c r="C841" s="783" t="s">
        <v>4139</v>
      </c>
      <c r="D841" s="783" t="s">
        <v>4009</v>
      </c>
      <c r="E841" s="783" t="s">
        <v>5842</v>
      </c>
      <c r="F841" s="783" t="s">
        <v>4011</v>
      </c>
      <c r="G841" s="783" t="str">
        <f t="shared" ref="G841:G860" si="50">VLOOKUP(I841,pacage,2,FALSE)</f>
        <v>Renewal (30% in 2020)</v>
      </c>
      <c r="H841" s="783" t="s">
        <v>5843</v>
      </c>
      <c r="I841" s="783" t="s">
        <v>5844</v>
      </c>
      <c r="J841" s="783">
        <v>30</v>
      </c>
      <c r="K841" s="783" t="s">
        <v>99</v>
      </c>
      <c r="L841" s="783" t="s">
        <v>4096</v>
      </c>
      <c r="M841" s="784">
        <v>32802.6</v>
      </c>
      <c r="N841" s="784">
        <v>27.64</v>
      </c>
      <c r="O841" s="784">
        <v>6.86</v>
      </c>
      <c r="P841" s="783">
        <v>173</v>
      </c>
      <c r="Q841" s="783">
        <v>869.27</v>
      </c>
      <c r="R841" s="783">
        <v>770.86</v>
      </c>
      <c r="S841" s="783">
        <v>0</v>
      </c>
      <c r="T841" s="783">
        <v>98.41</v>
      </c>
      <c r="U841" s="785">
        <v>44659.409884259301</v>
      </c>
    </row>
    <row r="842" spans="1:21">
      <c r="A842" s="782">
        <v>44660</v>
      </c>
      <c r="B842" s="783" t="s">
        <v>30</v>
      </c>
      <c r="C842" s="783" t="s">
        <v>4089</v>
      </c>
      <c r="D842" s="783" t="s">
        <v>4021</v>
      </c>
      <c r="E842" s="783" t="s">
        <v>5845</v>
      </c>
      <c r="F842" s="783" t="s">
        <v>4011</v>
      </c>
      <c r="G842" s="783" t="str">
        <f t="shared" si="50"/>
        <v>Renewal (30% in 2020)</v>
      </c>
      <c r="H842" s="783" t="s">
        <v>5846</v>
      </c>
      <c r="I842" s="783" t="s">
        <v>5847</v>
      </c>
      <c r="J842" s="783">
        <v>30</v>
      </c>
      <c r="K842" s="783" t="s">
        <v>99</v>
      </c>
      <c r="L842" s="783" t="s">
        <v>4096</v>
      </c>
      <c r="M842" s="784">
        <v>65787.22</v>
      </c>
      <c r="N842" s="784">
        <v>48.2</v>
      </c>
      <c r="O842" s="784">
        <v>7.26</v>
      </c>
      <c r="P842" s="783">
        <v>188</v>
      </c>
      <c r="Q842" s="783">
        <v>2295.9699999999998</v>
      </c>
      <c r="R842" s="783">
        <v>1761.66</v>
      </c>
      <c r="S842" s="783">
        <v>152.75</v>
      </c>
      <c r="T842" s="783">
        <v>381.57</v>
      </c>
      <c r="U842" s="785">
        <v>44663.426203703697</v>
      </c>
    </row>
    <row r="843" spans="1:21">
      <c r="A843" s="782">
        <v>44659</v>
      </c>
      <c r="B843" s="783" t="s">
        <v>3078</v>
      </c>
      <c r="C843" s="783" t="s">
        <v>4414</v>
      </c>
      <c r="D843" s="783" t="s">
        <v>4009</v>
      </c>
      <c r="E843" s="783" t="s">
        <v>5848</v>
      </c>
      <c r="F843" s="783" t="s">
        <v>4011</v>
      </c>
      <c r="G843" s="783" t="str">
        <f t="shared" si="50"/>
        <v>Renewal (15% in 2020)</v>
      </c>
      <c r="H843" s="783" t="s">
        <v>5849</v>
      </c>
      <c r="I843" s="783" t="s">
        <v>5850</v>
      </c>
      <c r="J843" s="783">
        <v>20</v>
      </c>
      <c r="K843" s="783" t="s">
        <v>99</v>
      </c>
      <c r="L843" s="783" t="s">
        <v>4096</v>
      </c>
      <c r="M843" s="784">
        <v>21600</v>
      </c>
      <c r="N843" s="784">
        <v>24</v>
      </c>
      <c r="O843" s="784">
        <v>6</v>
      </c>
      <c r="P843" s="783">
        <v>150</v>
      </c>
      <c r="Q843" s="783">
        <v>1414.8</v>
      </c>
      <c r="R843" s="783">
        <v>766.8</v>
      </c>
      <c r="S843" s="783">
        <v>123.12</v>
      </c>
      <c r="T843" s="783">
        <v>524.88</v>
      </c>
      <c r="U843" s="785">
        <v>44663.419965277797</v>
      </c>
    </row>
    <row r="844" spans="1:21">
      <c r="A844" s="782">
        <v>44700</v>
      </c>
      <c r="B844" s="783" t="s">
        <v>30</v>
      </c>
      <c r="C844" s="783" t="s">
        <v>4239</v>
      </c>
      <c r="D844" s="783" t="s">
        <v>4021</v>
      </c>
      <c r="E844" s="783" t="s">
        <v>2043</v>
      </c>
      <c r="F844" s="783" t="s">
        <v>4011</v>
      </c>
      <c r="G844" s="783" t="str">
        <f t="shared" si="50"/>
        <v>Renewal (30% in 2020)</v>
      </c>
      <c r="H844" s="783" t="s">
        <v>4240</v>
      </c>
      <c r="I844" s="783" t="s">
        <v>4241</v>
      </c>
      <c r="J844" s="783">
        <v>30</v>
      </c>
      <c r="K844" s="783" t="s">
        <v>99</v>
      </c>
      <c r="L844" s="783" t="s">
        <v>4096</v>
      </c>
      <c r="M844" s="784">
        <v>73906.080000000002</v>
      </c>
      <c r="N844" s="784">
        <v>58.47</v>
      </c>
      <c r="O844" s="784">
        <v>7.9</v>
      </c>
      <c r="P844" s="783">
        <v>160</v>
      </c>
      <c r="Q844" s="783">
        <v>2158.06</v>
      </c>
      <c r="R844" s="783">
        <v>1832.87</v>
      </c>
      <c r="S844" s="783">
        <v>0</v>
      </c>
      <c r="T844" s="783">
        <v>325.19</v>
      </c>
      <c r="U844" s="785">
        <v>44700.716516203698</v>
      </c>
    </row>
    <row r="845" spans="1:21">
      <c r="A845" s="782">
        <v>44705</v>
      </c>
      <c r="B845" s="783" t="s">
        <v>4025</v>
      </c>
      <c r="C845" s="783" t="s">
        <v>4026</v>
      </c>
      <c r="D845" s="783" t="s">
        <v>4021</v>
      </c>
      <c r="E845" s="783" t="s">
        <v>1298</v>
      </c>
      <c r="F845" s="783" t="s">
        <v>4011</v>
      </c>
      <c r="G845" s="783" t="str">
        <f t="shared" si="50"/>
        <v>New Contract</v>
      </c>
      <c r="H845" s="783" t="s">
        <v>5851</v>
      </c>
      <c r="I845" s="783" t="s">
        <v>5852</v>
      </c>
      <c r="J845" s="783">
        <v>20</v>
      </c>
      <c r="K845" s="783" t="s">
        <v>99</v>
      </c>
      <c r="L845" s="783" t="s">
        <v>4096</v>
      </c>
      <c r="M845" s="784">
        <v>46713.78</v>
      </c>
      <c r="N845" s="784">
        <v>42.39</v>
      </c>
      <c r="O845" s="784">
        <v>5.51</v>
      </c>
      <c r="P845" s="783">
        <v>200</v>
      </c>
      <c r="Q845" s="783">
        <v>2737.43</v>
      </c>
      <c r="R845" s="783">
        <v>1365.77</v>
      </c>
      <c r="S845" s="783">
        <v>456.07</v>
      </c>
      <c r="T845" s="783">
        <v>915.59</v>
      </c>
      <c r="U845" s="785">
        <v>44708.834178240701</v>
      </c>
    </row>
    <row r="846" spans="1:21">
      <c r="A846" s="782">
        <v>44704</v>
      </c>
      <c r="B846" s="783" t="s">
        <v>41</v>
      </c>
      <c r="C846" s="783" t="s">
        <v>4071</v>
      </c>
      <c r="D846" s="783" t="s">
        <v>4009</v>
      </c>
      <c r="E846" s="783" t="s">
        <v>5853</v>
      </c>
      <c r="F846" s="783" t="s">
        <v>4011</v>
      </c>
      <c r="G846" s="783" t="str">
        <f t="shared" si="50"/>
        <v>Renewal (20% in 2020)</v>
      </c>
      <c r="H846" s="783" t="s">
        <v>5854</v>
      </c>
      <c r="I846" s="783" t="s">
        <v>5855</v>
      </c>
      <c r="J846" s="783">
        <v>25</v>
      </c>
      <c r="K846" s="783" t="s">
        <v>99</v>
      </c>
      <c r="L846" s="783" t="s">
        <v>4096</v>
      </c>
      <c r="M846" s="784">
        <v>117940.85</v>
      </c>
      <c r="N846" s="784">
        <v>91.69</v>
      </c>
      <c r="O846" s="784">
        <v>6.77</v>
      </c>
      <c r="P846" s="783">
        <v>190</v>
      </c>
      <c r="Q846" s="783">
        <v>3420.28</v>
      </c>
      <c r="R846" s="783">
        <v>2426.9699999999998</v>
      </c>
      <c r="S846" s="783">
        <v>651.28</v>
      </c>
      <c r="T846" s="783">
        <v>342.03</v>
      </c>
      <c r="U846" s="785">
        <v>44704.577442129601</v>
      </c>
    </row>
    <row r="847" spans="1:21">
      <c r="A847" s="782">
        <v>44710</v>
      </c>
      <c r="B847" s="783" t="s">
        <v>30</v>
      </c>
      <c r="C847" s="783" t="s">
        <v>5213</v>
      </c>
      <c r="D847" s="783" t="s">
        <v>4021</v>
      </c>
      <c r="E847" s="783" t="s">
        <v>2600</v>
      </c>
      <c r="F847" s="783" t="s">
        <v>4011</v>
      </c>
      <c r="G847" s="783" t="str">
        <f t="shared" si="50"/>
        <v>Renewal (25% in 2020)</v>
      </c>
      <c r="H847" s="783" t="s">
        <v>5856</v>
      </c>
      <c r="I847" s="783" t="s">
        <v>5857</v>
      </c>
      <c r="J847" s="783">
        <v>25</v>
      </c>
      <c r="K847" s="783" t="s">
        <v>99</v>
      </c>
      <c r="L847" s="783" t="s">
        <v>4096</v>
      </c>
      <c r="M847" s="784">
        <v>41252.25</v>
      </c>
      <c r="N847" s="784">
        <v>42.31</v>
      </c>
      <c r="O847" s="784">
        <v>6.5</v>
      </c>
      <c r="P847" s="783">
        <v>150</v>
      </c>
      <c r="Q847" s="783">
        <v>2186.37</v>
      </c>
      <c r="R847" s="783">
        <v>1633.59</v>
      </c>
      <c r="S847" s="783">
        <v>243.39</v>
      </c>
      <c r="T847" s="783">
        <v>309.39</v>
      </c>
      <c r="U847" s="785">
        <v>44712.632511574098</v>
      </c>
    </row>
    <row r="848" spans="1:21">
      <c r="A848" s="782">
        <v>44710</v>
      </c>
      <c r="B848" s="783" t="s">
        <v>4025</v>
      </c>
      <c r="C848" s="783" t="s">
        <v>4026</v>
      </c>
      <c r="D848" s="783" t="s">
        <v>4021</v>
      </c>
      <c r="E848" s="783" t="s">
        <v>5858</v>
      </c>
      <c r="F848" s="783" t="s">
        <v>4011</v>
      </c>
      <c r="G848" s="783" t="str">
        <f t="shared" si="50"/>
        <v>New contract</v>
      </c>
      <c r="H848" s="783" t="s">
        <v>5859</v>
      </c>
      <c r="I848" s="783" t="s">
        <v>5860</v>
      </c>
      <c r="J848" s="783">
        <v>25</v>
      </c>
      <c r="K848" s="783" t="s">
        <v>99</v>
      </c>
      <c r="L848" s="783" t="s">
        <v>4096</v>
      </c>
      <c r="M848" s="784">
        <v>117100.76</v>
      </c>
      <c r="N848" s="784">
        <v>114.58</v>
      </c>
      <c r="O848" s="784">
        <v>5.1100000000000003</v>
      </c>
      <c r="P848" s="783">
        <v>200</v>
      </c>
      <c r="Q848" s="783">
        <v>5363.21</v>
      </c>
      <c r="R848" s="783">
        <v>3423.67</v>
      </c>
      <c r="S848" s="783">
        <v>1143.25</v>
      </c>
      <c r="T848" s="783">
        <v>796.29</v>
      </c>
      <c r="U848" s="785">
        <v>44712.613923611098</v>
      </c>
    </row>
    <row r="849" spans="1:21">
      <c r="A849" s="782">
        <v>44704</v>
      </c>
      <c r="B849" s="783" t="s">
        <v>65</v>
      </c>
      <c r="C849" s="783" t="s">
        <v>5861</v>
      </c>
      <c r="D849" s="783" t="s">
        <v>4258</v>
      </c>
      <c r="E849" s="783" t="s">
        <v>1072</v>
      </c>
      <c r="F849" s="783" t="s">
        <v>4011</v>
      </c>
      <c r="G849" s="783" t="str">
        <f t="shared" si="50"/>
        <v>Renewal (20% in 2020)</v>
      </c>
      <c r="H849" s="783" t="s">
        <v>5862</v>
      </c>
      <c r="I849" s="783" t="s">
        <v>5863</v>
      </c>
      <c r="J849" s="783">
        <v>20</v>
      </c>
      <c r="K849" s="783" t="s">
        <v>99</v>
      </c>
      <c r="L849" s="783" t="s">
        <v>4096</v>
      </c>
      <c r="M849" s="784">
        <v>15019.88</v>
      </c>
      <c r="N849" s="784">
        <v>8.4600000000000009</v>
      </c>
      <c r="O849" s="784">
        <v>8.07</v>
      </c>
      <c r="P849" s="783">
        <v>220</v>
      </c>
      <c r="Q849" s="783">
        <v>750.99</v>
      </c>
      <c r="R849" s="783">
        <v>351.97</v>
      </c>
      <c r="S849" s="783">
        <v>163.21</v>
      </c>
      <c r="T849" s="783">
        <v>235.81</v>
      </c>
      <c r="U849" s="785">
        <v>44704.579918981501</v>
      </c>
    </row>
    <row r="850" spans="1:21">
      <c r="A850" s="782">
        <v>44704</v>
      </c>
      <c r="B850" s="783" t="s">
        <v>30</v>
      </c>
      <c r="C850" s="783" t="s">
        <v>4239</v>
      </c>
      <c r="D850" s="783" t="s">
        <v>4021</v>
      </c>
      <c r="E850" s="783" t="s">
        <v>5864</v>
      </c>
      <c r="F850" s="783" t="s">
        <v>4011</v>
      </c>
      <c r="G850" s="783" t="str">
        <f t="shared" si="50"/>
        <v>New Contract</v>
      </c>
      <c r="H850" s="783" t="s">
        <v>5865</v>
      </c>
      <c r="I850" s="783" t="s">
        <v>5866</v>
      </c>
      <c r="J850" s="783">
        <v>30</v>
      </c>
      <c r="K850" s="783" t="s">
        <v>99</v>
      </c>
      <c r="L850" s="783" t="s">
        <v>4096</v>
      </c>
      <c r="M850" s="784">
        <v>20139.05</v>
      </c>
      <c r="N850" s="784">
        <v>14.5</v>
      </c>
      <c r="O850" s="784">
        <v>8.17</v>
      </c>
      <c r="P850" s="783">
        <v>170</v>
      </c>
      <c r="Q850" s="783">
        <v>588.05999999999995</v>
      </c>
      <c r="R850" s="783">
        <v>499.45</v>
      </c>
      <c r="S850" s="783">
        <v>0</v>
      </c>
      <c r="T850" s="783">
        <v>88.61</v>
      </c>
      <c r="U850" s="785">
        <v>44708.799456018503</v>
      </c>
    </row>
    <row r="851" spans="1:21">
      <c r="A851" s="782">
        <v>44709</v>
      </c>
      <c r="B851" s="783" t="s">
        <v>51</v>
      </c>
      <c r="C851" s="783" t="s">
        <v>4042</v>
      </c>
      <c r="D851" s="783" t="s">
        <v>4016</v>
      </c>
      <c r="E851" s="783" t="s">
        <v>5867</v>
      </c>
      <c r="F851" s="783" t="s">
        <v>4011</v>
      </c>
      <c r="G851" s="783" t="str">
        <f t="shared" si="50"/>
        <v>Renewal (25% in 2020)</v>
      </c>
      <c r="H851" s="783" t="s">
        <v>5868</v>
      </c>
      <c r="I851" s="783" t="s">
        <v>5869</v>
      </c>
      <c r="J851" s="783">
        <v>25</v>
      </c>
      <c r="K851" s="783" t="s">
        <v>99</v>
      </c>
      <c r="L851" s="783" t="s">
        <v>4096</v>
      </c>
      <c r="M851" s="784">
        <v>48172.800000000003</v>
      </c>
      <c r="N851" s="784">
        <v>39</v>
      </c>
      <c r="O851" s="784">
        <v>7.72</v>
      </c>
      <c r="P851" s="783">
        <v>160</v>
      </c>
      <c r="Q851" s="783">
        <v>1782.39</v>
      </c>
      <c r="R851" s="783">
        <v>1353.66</v>
      </c>
      <c r="S851" s="783">
        <v>207.14</v>
      </c>
      <c r="T851" s="783">
        <v>221.59</v>
      </c>
      <c r="U851" s="785">
        <v>44711.659502314797</v>
      </c>
    </row>
    <row r="852" spans="1:21">
      <c r="A852" s="782">
        <v>44704</v>
      </c>
      <c r="B852" s="783" t="s">
        <v>51</v>
      </c>
      <c r="C852" s="783" t="s">
        <v>4042</v>
      </c>
      <c r="D852" s="783" t="s">
        <v>4016</v>
      </c>
      <c r="E852" s="783" t="s">
        <v>5870</v>
      </c>
      <c r="F852" s="783" t="s">
        <v>4011</v>
      </c>
      <c r="G852" s="783" t="str">
        <f t="shared" si="50"/>
        <v>Renewal (30% in 2020)</v>
      </c>
      <c r="H852" s="783" t="s">
        <v>5871</v>
      </c>
      <c r="I852" s="783" t="s">
        <v>5872</v>
      </c>
      <c r="J852" s="783">
        <v>30</v>
      </c>
      <c r="K852" s="783" t="s">
        <v>99</v>
      </c>
      <c r="L852" s="783" t="s">
        <v>4096</v>
      </c>
      <c r="M852" s="784">
        <v>118023.49</v>
      </c>
      <c r="N852" s="784">
        <v>105.51</v>
      </c>
      <c r="O852" s="784">
        <v>7.99</v>
      </c>
      <c r="P852" s="783">
        <v>140</v>
      </c>
      <c r="Q852" s="783">
        <v>3871.17</v>
      </c>
      <c r="R852" s="783">
        <v>3316.46</v>
      </c>
      <c r="S852" s="783">
        <v>0</v>
      </c>
      <c r="T852" s="783">
        <v>554.71</v>
      </c>
      <c r="U852" s="785">
        <v>44708.802071759303</v>
      </c>
    </row>
    <row r="853" spans="1:21">
      <c r="A853" s="782">
        <v>44710</v>
      </c>
      <c r="B853" s="783" t="s">
        <v>30</v>
      </c>
      <c r="C853" s="783" t="s">
        <v>4239</v>
      </c>
      <c r="D853" s="783" t="s">
        <v>4021</v>
      </c>
      <c r="E853" s="783" t="s">
        <v>1495</v>
      </c>
      <c r="F853" s="783" t="s">
        <v>4011</v>
      </c>
      <c r="G853" s="783" t="str">
        <f t="shared" si="50"/>
        <v>Renewal (15% in 2020)</v>
      </c>
      <c r="H853" s="783" t="s">
        <v>5873</v>
      </c>
      <c r="I853" s="783" t="s">
        <v>5874</v>
      </c>
      <c r="J853" s="783">
        <v>15</v>
      </c>
      <c r="K853" s="783" t="s">
        <v>99</v>
      </c>
      <c r="L853" s="783" t="s">
        <v>4096</v>
      </c>
      <c r="M853" s="784">
        <v>49042</v>
      </c>
      <c r="N853" s="784">
        <v>31</v>
      </c>
      <c r="O853" s="784">
        <v>7.91</v>
      </c>
      <c r="P853" s="783">
        <v>200</v>
      </c>
      <c r="Q853" s="783">
        <v>2868.96</v>
      </c>
      <c r="R853" s="783">
        <v>1052.05</v>
      </c>
      <c r="S853" s="783">
        <v>414.31</v>
      </c>
      <c r="T853" s="783">
        <v>1402.6</v>
      </c>
      <c r="U853" s="785">
        <v>44712.6339351852</v>
      </c>
    </row>
    <row r="854" spans="1:21">
      <c r="A854" s="782">
        <v>44715</v>
      </c>
      <c r="B854" s="783" t="s">
        <v>4025</v>
      </c>
      <c r="C854" s="783" t="s">
        <v>4026</v>
      </c>
      <c r="D854" s="783" t="s">
        <v>4021</v>
      </c>
      <c r="E854" s="783" t="s">
        <v>5875</v>
      </c>
      <c r="F854" s="783" t="s">
        <v>4011</v>
      </c>
      <c r="G854" s="783" t="str">
        <f t="shared" si="50"/>
        <v>New Contract</v>
      </c>
      <c r="H854" s="783" t="s">
        <v>5876</v>
      </c>
      <c r="I854" s="783" t="s">
        <v>5877</v>
      </c>
      <c r="J854" s="783">
        <v>25</v>
      </c>
      <c r="K854" s="783" t="s">
        <v>99</v>
      </c>
      <c r="L854" s="783" t="s">
        <v>4096</v>
      </c>
      <c r="M854" s="784">
        <v>21857.599999999999</v>
      </c>
      <c r="N854" s="784">
        <v>14.38</v>
      </c>
      <c r="O854" s="784">
        <v>8</v>
      </c>
      <c r="P854" s="783">
        <v>190</v>
      </c>
      <c r="Q854" s="783">
        <v>1001.08</v>
      </c>
      <c r="R854" s="783">
        <v>672.68</v>
      </c>
      <c r="S854" s="783">
        <v>179.76</v>
      </c>
      <c r="T854" s="783">
        <v>148.63</v>
      </c>
      <c r="U854" s="785">
        <v>44715.4636805556</v>
      </c>
    </row>
    <row r="855" spans="1:21">
      <c r="A855" s="782">
        <v>44712</v>
      </c>
      <c r="B855" s="783" t="s">
        <v>41</v>
      </c>
      <c r="C855" s="783" t="s">
        <v>4092</v>
      </c>
      <c r="D855" s="783" t="s">
        <v>4009</v>
      </c>
      <c r="E855" s="783" t="s">
        <v>4672</v>
      </c>
      <c r="F855" s="783" t="s">
        <v>4011</v>
      </c>
      <c r="G855" s="783" t="str">
        <f t="shared" si="50"/>
        <v>Renewal (15% in 2020)</v>
      </c>
      <c r="H855" s="783" t="s">
        <v>4673</v>
      </c>
      <c r="I855" s="783" t="s">
        <v>4674</v>
      </c>
      <c r="J855" s="783">
        <v>15</v>
      </c>
      <c r="K855" s="783" t="s">
        <v>99</v>
      </c>
      <c r="L855" s="783" t="s">
        <v>4096</v>
      </c>
      <c r="M855" s="784">
        <v>42434.93</v>
      </c>
      <c r="N855" s="784">
        <v>37.49</v>
      </c>
      <c r="O855" s="784">
        <v>6.86</v>
      </c>
      <c r="P855" s="783">
        <v>165</v>
      </c>
      <c r="Q855" s="783">
        <v>2978.93</v>
      </c>
      <c r="R855" s="783">
        <v>1311.24</v>
      </c>
      <c r="S855" s="783">
        <v>233.39</v>
      </c>
      <c r="T855" s="783">
        <v>1434.3</v>
      </c>
      <c r="U855" s="785">
        <v>44714.588981481502</v>
      </c>
    </row>
    <row r="856" spans="1:21">
      <c r="A856" s="782">
        <v>44707</v>
      </c>
      <c r="B856" s="783" t="s">
        <v>41</v>
      </c>
      <c r="C856" s="783" t="s">
        <v>4071</v>
      </c>
      <c r="D856" s="783" t="s">
        <v>4009</v>
      </c>
      <c r="E856" s="783" t="s">
        <v>4174</v>
      </c>
      <c r="F856" s="783" t="s">
        <v>4011</v>
      </c>
      <c r="G856" s="783" t="str">
        <f t="shared" si="50"/>
        <v>Renewal (20% in 2020)</v>
      </c>
      <c r="H856" s="783" t="s">
        <v>4175</v>
      </c>
      <c r="I856" s="783" t="s">
        <v>4176</v>
      </c>
      <c r="J856" s="783">
        <v>20</v>
      </c>
      <c r="K856" s="783" t="s">
        <v>99</v>
      </c>
      <c r="L856" s="783" t="s">
        <v>4096</v>
      </c>
      <c r="M856" s="784">
        <v>94377.15</v>
      </c>
      <c r="N856" s="784">
        <v>99.87</v>
      </c>
      <c r="O856" s="784">
        <v>6.3</v>
      </c>
      <c r="P856" s="783">
        <v>150</v>
      </c>
      <c r="Q856" s="783">
        <v>3529.71</v>
      </c>
      <c r="R856" s="783">
        <v>2132.92</v>
      </c>
      <c r="S856" s="783">
        <v>330.32</v>
      </c>
      <c r="T856" s="783">
        <v>1066.46</v>
      </c>
      <c r="U856" s="785">
        <v>44708.586956018502</v>
      </c>
    </row>
    <row r="857" spans="1:21">
      <c r="A857" s="782">
        <v>44686</v>
      </c>
      <c r="B857" s="783" t="s">
        <v>51</v>
      </c>
      <c r="C857" s="783" t="s">
        <v>4015</v>
      </c>
      <c r="D857" s="783" t="s">
        <v>4016</v>
      </c>
      <c r="E857" s="783" t="s">
        <v>2212</v>
      </c>
      <c r="F857" s="783" t="s">
        <v>4011</v>
      </c>
      <c r="G857" s="783" t="str">
        <f t="shared" si="50"/>
        <v>Renewal (20% in 2020)</v>
      </c>
      <c r="H857" s="783" t="s">
        <v>5878</v>
      </c>
      <c r="I857" s="783" t="s">
        <v>5879</v>
      </c>
      <c r="J857" s="783">
        <v>20</v>
      </c>
      <c r="K857" s="783" t="s">
        <v>99</v>
      </c>
      <c r="L857" s="783" t="s">
        <v>4096</v>
      </c>
      <c r="M857" s="784">
        <v>291899</v>
      </c>
      <c r="N857" s="784">
        <v>218.61</v>
      </c>
      <c r="O857" s="784">
        <v>7.63</v>
      </c>
      <c r="P857" s="783">
        <v>175</v>
      </c>
      <c r="Q857" s="783">
        <v>20666.45</v>
      </c>
      <c r="R857" s="783">
        <v>11888.8</v>
      </c>
      <c r="S857" s="783">
        <v>1976.41</v>
      </c>
      <c r="T857" s="783">
        <v>6801.25</v>
      </c>
      <c r="U857" s="785">
        <v>44708.806597222203</v>
      </c>
    </row>
    <row r="858" spans="1:21">
      <c r="A858" s="782">
        <v>44706</v>
      </c>
      <c r="B858" s="783" t="s">
        <v>4025</v>
      </c>
      <c r="C858" s="783" t="s">
        <v>4026</v>
      </c>
      <c r="D858" s="783" t="s">
        <v>4021</v>
      </c>
      <c r="E858" s="783" t="s">
        <v>5880</v>
      </c>
      <c r="F858" s="783" t="s">
        <v>4011</v>
      </c>
      <c r="G858" s="783" t="str">
        <f t="shared" si="50"/>
        <v>New Contract</v>
      </c>
      <c r="H858" s="783" t="s">
        <v>5881</v>
      </c>
      <c r="I858" s="783" t="s">
        <v>5882</v>
      </c>
      <c r="J858" s="783">
        <v>25</v>
      </c>
      <c r="K858" s="783" t="s">
        <v>99</v>
      </c>
      <c r="L858" s="783" t="s">
        <v>4096</v>
      </c>
      <c r="M858" s="784">
        <v>49823.97</v>
      </c>
      <c r="N858" s="784">
        <v>41.89</v>
      </c>
      <c r="O858" s="784">
        <v>6.26</v>
      </c>
      <c r="P858" s="783">
        <v>190</v>
      </c>
      <c r="Q858" s="783">
        <v>2281.94</v>
      </c>
      <c r="R858" s="783">
        <v>1533.37</v>
      </c>
      <c r="S858" s="783">
        <v>409.76</v>
      </c>
      <c r="T858" s="783">
        <v>338.8</v>
      </c>
      <c r="U858" s="785">
        <v>44706.460601851897</v>
      </c>
    </row>
    <row r="859" spans="1:21">
      <c r="A859" s="782">
        <v>44707</v>
      </c>
      <c r="B859" s="783" t="s">
        <v>30</v>
      </c>
      <c r="C859" s="783" t="s">
        <v>4939</v>
      </c>
      <c r="D859" s="783" t="s">
        <v>4021</v>
      </c>
      <c r="E859" s="783" t="s">
        <v>5883</v>
      </c>
      <c r="F859" s="783" t="s">
        <v>4011</v>
      </c>
      <c r="G859" s="783" t="str">
        <f t="shared" si="50"/>
        <v>Renewal (25% in 2020)</v>
      </c>
      <c r="H859" s="783" t="s">
        <v>5884</v>
      </c>
      <c r="I859" s="783" t="s">
        <v>5885</v>
      </c>
      <c r="J859" s="783">
        <v>25</v>
      </c>
      <c r="K859" s="783" t="s">
        <v>99</v>
      </c>
      <c r="L859" s="783" t="s">
        <v>4096</v>
      </c>
      <c r="M859" s="784">
        <v>35396.11</v>
      </c>
      <c r="N859" s="784">
        <v>28.11</v>
      </c>
      <c r="O859" s="784">
        <v>7.87</v>
      </c>
      <c r="P859" s="783">
        <v>160</v>
      </c>
      <c r="Q859" s="783">
        <v>1801.66</v>
      </c>
      <c r="R859" s="783">
        <v>1316.74</v>
      </c>
      <c r="S859" s="783">
        <v>265.47000000000003</v>
      </c>
      <c r="T859" s="783">
        <v>219.46</v>
      </c>
      <c r="U859" s="785">
        <v>44708.582476851901</v>
      </c>
    </row>
    <row r="860" spans="1:21">
      <c r="A860" s="782">
        <v>44711</v>
      </c>
      <c r="B860" s="783" t="s">
        <v>4025</v>
      </c>
      <c r="C860" s="783" t="s">
        <v>4052</v>
      </c>
      <c r="D860" s="783" t="s">
        <v>4021</v>
      </c>
      <c r="E860" s="783" t="s">
        <v>4177</v>
      </c>
      <c r="F860" s="783" t="s">
        <v>4011</v>
      </c>
      <c r="G860" s="783" t="str">
        <f t="shared" si="50"/>
        <v>New Contract</v>
      </c>
      <c r="H860" s="783" t="s">
        <v>4178</v>
      </c>
      <c r="I860" s="783" t="s">
        <v>4179</v>
      </c>
      <c r="J860" s="783">
        <v>25</v>
      </c>
      <c r="K860" s="783" t="s">
        <v>99</v>
      </c>
      <c r="L860" s="783" t="s">
        <v>4096</v>
      </c>
      <c r="M860" s="784">
        <v>63489.2</v>
      </c>
      <c r="N860" s="784">
        <v>47.38</v>
      </c>
      <c r="O860" s="784">
        <v>6.7</v>
      </c>
      <c r="P860" s="783">
        <v>200</v>
      </c>
      <c r="Q860" s="783">
        <v>2380.85</v>
      </c>
      <c r="R860" s="783">
        <v>1587.13</v>
      </c>
      <c r="S860" s="783">
        <v>527.05999999999995</v>
      </c>
      <c r="T860" s="783">
        <v>266.64999999999998</v>
      </c>
      <c r="U860" s="785">
        <v>44713.528946759303</v>
      </c>
    </row>
    <row r="861" spans="1:21">
      <c r="A861" s="782">
        <v>44706</v>
      </c>
      <c r="B861" s="783" t="s">
        <v>47</v>
      </c>
      <c r="C861" s="783" t="s">
        <v>4244</v>
      </c>
      <c r="D861" s="783" t="s">
        <v>4102</v>
      </c>
      <c r="E861" s="783" t="s">
        <v>5886</v>
      </c>
      <c r="F861" s="783" t="s">
        <v>4066</v>
      </c>
      <c r="G861" s="783" t="s">
        <v>4028</v>
      </c>
      <c r="H861" s="783" t="s">
        <v>5887</v>
      </c>
      <c r="I861" s="783" t="s">
        <v>5888</v>
      </c>
      <c r="J861" s="783">
        <v>5</v>
      </c>
      <c r="K861" s="783" t="s">
        <v>99</v>
      </c>
      <c r="L861" s="783" t="s">
        <v>4096</v>
      </c>
      <c r="M861" s="784">
        <v>22440</v>
      </c>
      <c r="N861" s="784">
        <v>11</v>
      </c>
      <c r="O861" s="784">
        <v>8.5</v>
      </c>
      <c r="P861" s="783">
        <v>240</v>
      </c>
      <c r="Q861" s="783">
        <v>163.81</v>
      </c>
      <c r="R861" s="783">
        <v>0</v>
      </c>
      <c r="S861" s="783">
        <v>0</v>
      </c>
      <c r="T861" s="783">
        <v>163.81</v>
      </c>
      <c r="U861" s="785">
        <v>44706.720266203702</v>
      </c>
    </row>
    <row r="862" spans="1:21">
      <c r="A862" s="782">
        <v>44711</v>
      </c>
      <c r="B862" s="783" t="s">
        <v>4025</v>
      </c>
      <c r="C862" s="783" t="s">
        <v>4052</v>
      </c>
      <c r="D862" s="783" t="s">
        <v>4021</v>
      </c>
      <c r="E862" s="783" t="s">
        <v>5889</v>
      </c>
      <c r="F862" s="783" t="s">
        <v>4011</v>
      </c>
      <c r="G862" s="783" t="str">
        <f t="shared" ref="G862:G884" si="51">VLOOKUP(I862,pacage,2,FALSE)</f>
        <v>New contract</v>
      </c>
      <c r="H862" s="783" t="s">
        <v>5890</v>
      </c>
      <c r="I862" s="783" t="s">
        <v>5891</v>
      </c>
      <c r="J862" s="783">
        <v>25</v>
      </c>
      <c r="K862" s="783" t="s">
        <v>99</v>
      </c>
      <c r="L862" s="783" t="s">
        <v>4096</v>
      </c>
      <c r="M862" s="784">
        <v>73974.600000000006</v>
      </c>
      <c r="N862" s="784">
        <v>54</v>
      </c>
      <c r="O862" s="784">
        <v>7.21</v>
      </c>
      <c r="P862" s="783">
        <v>190</v>
      </c>
      <c r="Q862" s="783">
        <v>2774.05</v>
      </c>
      <c r="R862" s="783">
        <v>1946.58</v>
      </c>
      <c r="S862" s="783">
        <v>516.77</v>
      </c>
      <c r="T862" s="783">
        <v>310.69</v>
      </c>
      <c r="U862" s="785">
        <v>44713.996527777803</v>
      </c>
    </row>
    <row r="863" spans="1:21">
      <c r="A863" s="782">
        <v>44711</v>
      </c>
      <c r="B863" s="783" t="s">
        <v>74</v>
      </c>
      <c r="C863" s="783" t="s">
        <v>4037</v>
      </c>
      <c r="D863" s="783" t="s">
        <v>4038</v>
      </c>
      <c r="E863" s="783" t="s">
        <v>4393</v>
      </c>
      <c r="F863" s="783" t="s">
        <v>4011</v>
      </c>
      <c r="G863" s="783" t="str">
        <f t="shared" si="51"/>
        <v>Renewal (15% in 2020)</v>
      </c>
      <c r="H863" s="783" t="s">
        <v>4394</v>
      </c>
      <c r="I863" s="783" t="s">
        <v>4395</v>
      </c>
      <c r="J863" s="783">
        <v>30</v>
      </c>
      <c r="K863" s="783" t="s">
        <v>99</v>
      </c>
      <c r="L863" s="783" t="s">
        <v>4096</v>
      </c>
      <c r="M863" s="784">
        <v>12444.22</v>
      </c>
      <c r="N863" s="784">
        <v>12.37</v>
      </c>
      <c r="O863" s="784">
        <v>5.03</v>
      </c>
      <c r="P863" s="783">
        <v>200</v>
      </c>
      <c r="Q863" s="783">
        <v>640.88</v>
      </c>
      <c r="R863" s="783">
        <v>426.26</v>
      </c>
      <c r="S863" s="783">
        <v>66.53</v>
      </c>
      <c r="T863" s="783">
        <v>148.09</v>
      </c>
      <c r="U863" s="785">
        <v>44713.998842592599</v>
      </c>
    </row>
    <row r="864" spans="1:21">
      <c r="A864" s="782">
        <v>44706</v>
      </c>
      <c r="B864" s="783" t="s">
        <v>74</v>
      </c>
      <c r="C864" s="783" t="s">
        <v>4097</v>
      </c>
      <c r="D864" s="783" t="s">
        <v>4038</v>
      </c>
      <c r="E864" s="783" t="s">
        <v>4396</v>
      </c>
      <c r="F864" s="783" t="s">
        <v>4011</v>
      </c>
      <c r="G864" s="783" t="str">
        <f t="shared" si="51"/>
        <v>Renewal (15% in 2020)</v>
      </c>
      <c r="H864" s="783" t="s">
        <v>4397</v>
      </c>
      <c r="I864" s="783" t="s">
        <v>4398</v>
      </c>
      <c r="J864" s="783">
        <v>20</v>
      </c>
      <c r="K864" s="783" t="s">
        <v>99</v>
      </c>
      <c r="L864" s="783" t="s">
        <v>4096</v>
      </c>
      <c r="M864" s="784">
        <v>17057.66</v>
      </c>
      <c r="N864" s="784">
        <v>10.72</v>
      </c>
      <c r="O864" s="784">
        <v>6.63</v>
      </c>
      <c r="P864" s="783">
        <v>240</v>
      </c>
      <c r="Q864" s="783">
        <v>854.59</v>
      </c>
      <c r="R864" s="783">
        <v>347.97</v>
      </c>
      <c r="S864" s="783">
        <v>209.82</v>
      </c>
      <c r="T864" s="783">
        <v>296.8</v>
      </c>
      <c r="U864" s="785">
        <v>44708.579479166699</v>
      </c>
    </row>
    <row r="865" spans="1:21">
      <c r="A865" s="782">
        <v>44711</v>
      </c>
      <c r="B865" s="783" t="s">
        <v>113</v>
      </c>
      <c r="C865" s="783" t="s">
        <v>4097</v>
      </c>
      <c r="D865" s="783" t="s">
        <v>4038</v>
      </c>
      <c r="E865" s="783" t="s">
        <v>172</v>
      </c>
      <c r="F865" s="783" t="s">
        <v>4011</v>
      </c>
      <c r="G865" s="783" t="str">
        <f t="shared" si="51"/>
        <v>Renewal (25% in 2020)</v>
      </c>
      <c r="H865" s="783" t="s">
        <v>5892</v>
      </c>
      <c r="I865" s="783" t="s">
        <v>5893</v>
      </c>
      <c r="J865" s="783">
        <v>25</v>
      </c>
      <c r="K865" s="783" t="s">
        <v>99</v>
      </c>
      <c r="L865" s="783" t="s">
        <v>4096</v>
      </c>
      <c r="M865" s="784">
        <v>16449.689999999999</v>
      </c>
      <c r="N865" s="784">
        <v>14.62</v>
      </c>
      <c r="O865" s="784">
        <v>5.77</v>
      </c>
      <c r="P865" s="783">
        <v>195</v>
      </c>
      <c r="Q865" s="783">
        <v>646.47</v>
      </c>
      <c r="R865" s="783">
        <v>413.01</v>
      </c>
      <c r="S865" s="783">
        <v>124.9</v>
      </c>
      <c r="T865" s="783">
        <v>108.57</v>
      </c>
      <c r="U865" s="785">
        <v>44713.519930555602</v>
      </c>
    </row>
    <row r="866" spans="1:21">
      <c r="A866" s="782">
        <v>44658</v>
      </c>
      <c r="B866" s="783" t="s">
        <v>30</v>
      </c>
      <c r="C866" s="783" t="s">
        <v>4015</v>
      </c>
      <c r="D866" s="783" t="s">
        <v>4016</v>
      </c>
      <c r="E866" s="783" t="s">
        <v>5894</v>
      </c>
      <c r="F866" s="783" t="s">
        <v>4011</v>
      </c>
      <c r="G866" s="783" t="str">
        <f t="shared" si="51"/>
        <v>Renewal (15% in 2020)</v>
      </c>
      <c r="H866" s="783" t="s">
        <v>5895</v>
      </c>
      <c r="I866" s="783" t="s">
        <v>5896</v>
      </c>
      <c r="J866" s="783">
        <v>15</v>
      </c>
      <c r="K866" s="783" t="s">
        <v>99</v>
      </c>
      <c r="L866" s="783" t="s">
        <v>4096</v>
      </c>
      <c r="M866" s="784">
        <v>34905.26</v>
      </c>
      <c r="N866" s="784">
        <v>31.21</v>
      </c>
      <c r="O866" s="784">
        <v>6.99</v>
      </c>
      <c r="P866" s="783">
        <v>160</v>
      </c>
      <c r="Q866" s="783">
        <v>3281.09</v>
      </c>
      <c r="R866" s="783">
        <v>1438.1</v>
      </c>
      <c r="S866" s="783">
        <v>219.9</v>
      </c>
      <c r="T866" s="783">
        <v>1623.09</v>
      </c>
      <c r="U866" s="785">
        <v>44659.4054861111</v>
      </c>
    </row>
    <row r="867" spans="1:21">
      <c r="A867" s="782">
        <v>44657</v>
      </c>
      <c r="B867" s="783" t="s">
        <v>51</v>
      </c>
      <c r="C867" s="783" t="s">
        <v>4042</v>
      </c>
      <c r="D867" s="783" t="s">
        <v>4016</v>
      </c>
      <c r="E867" s="783" t="s">
        <v>5897</v>
      </c>
      <c r="F867" s="783" t="s">
        <v>4011</v>
      </c>
      <c r="G867" s="783" t="str">
        <f t="shared" si="51"/>
        <v>New Contract</v>
      </c>
      <c r="H867" s="783" t="s">
        <v>5898</v>
      </c>
      <c r="I867" s="783" t="s">
        <v>5899</v>
      </c>
      <c r="J867" s="783">
        <v>25</v>
      </c>
      <c r="K867" s="783" t="s">
        <v>99</v>
      </c>
      <c r="L867" s="783" t="s">
        <v>4096</v>
      </c>
      <c r="M867" s="784">
        <v>56724.69</v>
      </c>
      <c r="N867" s="784">
        <v>35.97</v>
      </c>
      <c r="O867" s="784">
        <v>8.3000000000000007</v>
      </c>
      <c r="P867" s="783">
        <v>190</v>
      </c>
      <c r="Q867" s="783">
        <v>2098.81</v>
      </c>
      <c r="R867" s="783">
        <v>1451.35</v>
      </c>
      <c r="S867" s="783">
        <v>386.53</v>
      </c>
      <c r="T867" s="783">
        <v>260.93</v>
      </c>
      <c r="U867" s="785">
        <v>44657.617708333302</v>
      </c>
    </row>
    <row r="868" spans="1:21">
      <c r="A868" s="782">
        <v>44687</v>
      </c>
      <c r="B868" s="783" t="s">
        <v>228</v>
      </c>
      <c r="C868" s="783" t="s">
        <v>4675</v>
      </c>
      <c r="D868" s="783" t="s">
        <v>4193</v>
      </c>
      <c r="E868" s="783" t="s">
        <v>4676</v>
      </c>
      <c r="F868" s="783" t="s">
        <v>4011</v>
      </c>
      <c r="G868" s="783" t="str">
        <f t="shared" si="51"/>
        <v>Renewal (25% in 2020)</v>
      </c>
      <c r="H868" s="783" t="s">
        <v>4677</v>
      </c>
      <c r="I868" s="783" t="s">
        <v>4678</v>
      </c>
      <c r="J868" s="783">
        <v>25</v>
      </c>
      <c r="K868" s="783" t="s">
        <v>99</v>
      </c>
      <c r="L868" s="783" t="s">
        <v>4096</v>
      </c>
      <c r="M868" s="784">
        <v>61055.5</v>
      </c>
      <c r="N868" s="784">
        <v>55</v>
      </c>
      <c r="O868" s="784">
        <v>6.53</v>
      </c>
      <c r="P868" s="783">
        <v>170</v>
      </c>
      <c r="Q868" s="783">
        <v>3107.72</v>
      </c>
      <c r="R868" s="783">
        <v>2289.58</v>
      </c>
      <c r="S868" s="783">
        <v>341.91</v>
      </c>
      <c r="T868" s="783">
        <v>476.23</v>
      </c>
      <c r="U868" s="785">
        <v>44704.413402777798</v>
      </c>
    </row>
    <row r="869" spans="1:21">
      <c r="A869" s="782">
        <v>44662</v>
      </c>
      <c r="B869" s="783" t="s">
        <v>41</v>
      </c>
      <c r="C869" s="783" t="s">
        <v>4139</v>
      </c>
      <c r="D869" s="783" t="s">
        <v>4009</v>
      </c>
      <c r="E869" s="783" t="s">
        <v>5900</v>
      </c>
      <c r="F869" s="783" t="s">
        <v>4011</v>
      </c>
      <c r="G869" s="783" t="str">
        <f t="shared" si="51"/>
        <v>Renewal (15% in 2020)</v>
      </c>
      <c r="H869" s="783" t="s">
        <v>5901</v>
      </c>
      <c r="I869" s="783" t="s">
        <v>5902</v>
      </c>
      <c r="J869" s="783">
        <v>15</v>
      </c>
      <c r="K869" s="783" t="s">
        <v>99</v>
      </c>
      <c r="L869" s="783" t="s">
        <v>4096</v>
      </c>
      <c r="M869" s="784">
        <v>50013.33</v>
      </c>
      <c r="N869" s="784">
        <v>43.02</v>
      </c>
      <c r="O869" s="784">
        <v>6.72</v>
      </c>
      <c r="P869" s="783">
        <v>173</v>
      </c>
      <c r="Q869" s="783">
        <v>2605.69</v>
      </c>
      <c r="R869" s="783">
        <v>1175.31</v>
      </c>
      <c r="S869" s="783">
        <v>180.05</v>
      </c>
      <c r="T869" s="783">
        <v>1250.33</v>
      </c>
      <c r="U869" s="785">
        <v>44663.4300462963</v>
      </c>
    </row>
    <row r="870" spans="1:21">
      <c r="A870" s="782">
        <v>44671</v>
      </c>
      <c r="B870" s="783" t="s">
        <v>41</v>
      </c>
      <c r="C870" s="783" t="s">
        <v>4071</v>
      </c>
      <c r="D870" s="783" t="s">
        <v>4009</v>
      </c>
      <c r="E870" s="783" t="s">
        <v>5903</v>
      </c>
      <c r="F870" s="783" t="s">
        <v>4011</v>
      </c>
      <c r="G870" s="783" t="str">
        <f t="shared" si="51"/>
        <v>Renewal (15% in 2020)</v>
      </c>
      <c r="H870" s="783" t="s">
        <v>5904</v>
      </c>
      <c r="I870" s="783" t="s">
        <v>5905</v>
      </c>
      <c r="J870" s="783">
        <v>20</v>
      </c>
      <c r="K870" s="783" t="s">
        <v>99</v>
      </c>
      <c r="L870" s="783" t="s">
        <v>4096</v>
      </c>
      <c r="M870" s="784">
        <v>18809.400000000001</v>
      </c>
      <c r="N870" s="784">
        <v>18.8</v>
      </c>
      <c r="O870" s="784">
        <v>6.67</v>
      </c>
      <c r="P870" s="783">
        <v>150</v>
      </c>
      <c r="Q870" s="783">
        <v>703.47</v>
      </c>
      <c r="R870" s="783">
        <v>425.09</v>
      </c>
      <c r="S870" s="783">
        <v>65.83</v>
      </c>
      <c r="T870" s="783">
        <v>212.55</v>
      </c>
      <c r="U870" s="785">
        <v>44673.372361111098</v>
      </c>
    </row>
    <row r="871" spans="1:21">
      <c r="A871" s="782">
        <v>44671</v>
      </c>
      <c r="B871" s="783" t="s">
        <v>41</v>
      </c>
      <c r="C871" s="783" t="s">
        <v>4071</v>
      </c>
      <c r="D871" s="783" t="s">
        <v>4009</v>
      </c>
      <c r="E871" s="783" t="s">
        <v>5906</v>
      </c>
      <c r="F871" s="783" t="s">
        <v>4011</v>
      </c>
      <c r="G871" s="783" t="str">
        <f t="shared" si="51"/>
        <v>Renewal (20% in 2020)</v>
      </c>
      <c r="H871" s="783" t="s">
        <v>5907</v>
      </c>
      <c r="I871" s="783" t="s">
        <v>5908</v>
      </c>
      <c r="J871" s="783">
        <v>20</v>
      </c>
      <c r="K871" s="783" t="s">
        <v>99</v>
      </c>
      <c r="L871" s="783" t="s">
        <v>4096</v>
      </c>
      <c r="M871" s="784">
        <v>24355.46</v>
      </c>
      <c r="N871" s="784">
        <v>21.26</v>
      </c>
      <c r="O871" s="784">
        <v>7.16</v>
      </c>
      <c r="P871" s="783">
        <v>160</v>
      </c>
      <c r="Q871" s="783">
        <v>910.89</v>
      </c>
      <c r="R871" s="783">
        <v>550.42999999999995</v>
      </c>
      <c r="S871" s="783">
        <v>85.24</v>
      </c>
      <c r="T871" s="783">
        <v>275.22000000000003</v>
      </c>
      <c r="U871" s="785">
        <v>44673.361180555599</v>
      </c>
    </row>
    <row r="872" spans="1:21">
      <c r="A872" s="782">
        <v>44671</v>
      </c>
      <c r="B872" s="783" t="s">
        <v>74</v>
      </c>
      <c r="C872" s="783" t="s">
        <v>4097</v>
      </c>
      <c r="D872" s="783" t="s">
        <v>4038</v>
      </c>
      <c r="E872" s="783" t="s">
        <v>4399</v>
      </c>
      <c r="F872" s="783" t="s">
        <v>4011</v>
      </c>
      <c r="G872" s="783" t="str">
        <f t="shared" si="51"/>
        <v>New Contract</v>
      </c>
      <c r="H872" s="783" t="s">
        <v>4400</v>
      </c>
      <c r="I872" s="783" t="s">
        <v>4401</v>
      </c>
      <c r="J872" s="783">
        <v>15</v>
      </c>
      <c r="K872" s="783" t="s">
        <v>99</v>
      </c>
      <c r="L872" s="783" t="s">
        <v>4096</v>
      </c>
      <c r="M872" s="784">
        <v>16651.8</v>
      </c>
      <c r="N872" s="784">
        <v>16.82</v>
      </c>
      <c r="O872" s="784">
        <v>5.5</v>
      </c>
      <c r="P872" s="783">
        <v>180</v>
      </c>
      <c r="Q872" s="783">
        <v>1102.3499999999999</v>
      </c>
      <c r="R872" s="783">
        <v>452.92</v>
      </c>
      <c r="S872" s="783">
        <v>91.59</v>
      </c>
      <c r="T872" s="783">
        <v>557.84</v>
      </c>
      <c r="U872" s="785">
        <v>44673.363425925898</v>
      </c>
    </row>
    <row r="873" spans="1:21">
      <c r="A873" s="782">
        <v>44673</v>
      </c>
      <c r="B873" s="783" t="s">
        <v>41</v>
      </c>
      <c r="C873" s="783" t="s">
        <v>4071</v>
      </c>
      <c r="D873" s="783" t="s">
        <v>4009</v>
      </c>
      <c r="E873" s="783" t="s">
        <v>5909</v>
      </c>
      <c r="F873" s="783" t="s">
        <v>4011</v>
      </c>
      <c r="G873" s="783" t="str">
        <f t="shared" si="51"/>
        <v>New Contract</v>
      </c>
      <c r="H873" s="783" t="s">
        <v>5910</v>
      </c>
      <c r="I873" s="783" t="s">
        <v>5911</v>
      </c>
      <c r="J873" s="783">
        <v>20</v>
      </c>
      <c r="K873" s="783" t="s">
        <v>99</v>
      </c>
      <c r="L873" s="783" t="s">
        <v>4096</v>
      </c>
      <c r="M873" s="784">
        <v>66761.36</v>
      </c>
      <c r="N873" s="784">
        <v>41.51</v>
      </c>
      <c r="O873" s="784">
        <v>7.18</v>
      </c>
      <c r="P873" s="783">
        <v>224</v>
      </c>
      <c r="Q873" s="783">
        <v>2496.87</v>
      </c>
      <c r="R873" s="783">
        <v>1165.28</v>
      </c>
      <c r="S873" s="783">
        <v>577.19000000000005</v>
      </c>
      <c r="T873" s="783">
        <v>754.4</v>
      </c>
      <c r="U873" s="785">
        <v>44673.709930555597</v>
      </c>
    </row>
    <row r="874" spans="1:21">
      <c r="A874" s="782">
        <v>44676</v>
      </c>
      <c r="B874" s="783" t="s">
        <v>41</v>
      </c>
      <c r="C874" s="783" t="s">
        <v>4082</v>
      </c>
      <c r="D874" s="783" t="s">
        <v>4009</v>
      </c>
      <c r="E874" s="783" t="s">
        <v>4679</v>
      </c>
      <c r="F874" s="783" t="s">
        <v>4011</v>
      </c>
      <c r="G874" s="783" t="str">
        <f t="shared" si="51"/>
        <v>Renewal (25% in 2020)</v>
      </c>
      <c r="H874" s="783" t="s">
        <v>4680</v>
      </c>
      <c r="I874" s="783" t="s">
        <v>4681</v>
      </c>
      <c r="J874" s="783">
        <v>25</v>
      </c>
      <c r="K874" s="783" t="s">
        <v>99</v>
      </c>
      <c r="L874" s="783" t="s">
        <v>4096</v>
      </c>
      <c r="M874" s="784">
        <v>28115.57</v>
      </c>
      <c r="N874" s="784">
        <v>23.92</v>
      </c>
      <c r="O874" s="784">
        <v>6.53</v>
      </c>
      <c r="P874" s="783">
        <v>180</v>
      </c>
      <c r="Q874" s="783">
        <v>1074.01</v>
      </c>
      <c r="R874" s="783">
        <v>789.05</v>
      </c>
      <c r="S874" s="783">
        <v>178.13</v>
      </c>
      <c r="T874" s="783">
        <v>106.84</v>
      </c>
      <c r="U874" s="785">
        <v>44676.729212963</v>
      </c>
    </row>
    <row r="875" spans="1:21">
      <c r="A875" s="782">
        <v>44676</v>
      </c>
      <c r="B875" s="783" t="s">
        <v>51</v>
      </c>
      <c r="C875" s="783" t="s">
        <v>4042</v>
      </c>
      <c r="D875" s="783" t="s">
        <v>4016</v>
      </c>
      <c r="E875" s="783" t="s">
        <v>5912</v>
      </c>
      <c r="F875" s="783" t="s">
        <v>4011</v>
      </c>
      <c r="G875" s="783" t="str">
        <f t="shared" si="51"/>
        <v>New Contract</v>
      </c>
      <c r="H875" s="783" t="s">
        <v>5913</v>
      </c>
      <c r="I875" s="783" t="s">
        <v>5914</v>
      </c>
      <c r="J875" s="783">
        <v>25</v>
      </c>
      <c r="K875" s="783" t="s">
        <v>99</v>
      </c>
      <c r="L875" s="783" t="s">
        <v>4096</v>
      </c>
      <c r="M875" s="784">
        <v>41117.620000000003</v>
      </c>
      <c r="N875" s="784">
        <v>27.74</v>
      </c>
      <c r="O875" s="784">
        <v>8.4700000000000006</v>
      </c>
      <c r="P875" s="783">
        <v>175</v>
      </c>
      <c r="Q875" s="783">
        <v>1521.35</v>
      </c>
      <c r="R875" s="783">
        <v>1142.2</v>
      </c>
      <c r="S875" s="783">
        <v>190.01</v>
      </c>
      <c r="T875" s="783">
        <v>189.14</v>
      </c>
      <c r="U875" s="785">
        <v>44676.725671296299</v>
      </c>
    </row>
    <row r="876" spans="1:21">
      <c r="A876" s="782">
        <v>44670</v>
      </c>
      <c r="B876" s="783" t="s">
        <v>74</v>
      </c>
      <c r="C876" s="783" t="s">
        <v>4097</v>
      </c>
      <c r="D876" s="783" t="s">
        <v>4038</v>
      </c>
      <c r="E876" s="783" t="s">
        <v>4402</v>
      </c>
      <c r="F876" s="783" t="s">
        <v>4011</v>
      </c>
      <c r="G876" s="783" t="str">
        <f t="shared" si="51"/>
        <v>Renewal (15% in 2020)</v>
      </c>
      <c r="H876" s="783" t="s">
        <v>4403</v>
      </c>
      <c r="I876" s="783" t="s">
        <v>4404</v>
      </c>
      <c r="J876" s="783">
        <v>15</v>
      </c>
      <c r="K876" s="783" t="s">
        <v>99</v>
      </c>
      <c r="L876" s="783" t="s">
        <v>4096</v>
      </c>
      <c r="M876" s="784">
        <v>7381.04</v>
      </c>
      <c r="N876" s="784">
        <v>7.18</v>
      </c>
      <c r="O876" s="784">
        <v>5.14</v>
      </c>
      <c r="P876" s="783">
        <v>200</v>
      </c>
      <c r="Q876" s="783">
        <v>488.62</v>
      </c>
      <c r="R876" s="783">
        <v>180.68</v>
      </c>
      <c r="S876" s="783">
        <v>60.68</v>
      </c>
      <c r="T876" s="783">
        <v>247.26</v>
      </c>
      <c r="U876" s="785">
        <v>44671.492812500001</v>
      </c>
    </row>
    <row r="877" spans="1:21">
      <c r="A877" s="782">
        <v>44671</v>
      </c>
      <c r="B877" s="783" t="s">
        <v>41</v>
      </c>
      <c r="C877" s="783" t="s">
        <v>4082</v>
      </c>
      <c r="D877" s="783" t="s">
        <v>4009</v>
      </c>
      <c r="E877" s="783" t="s">
        <v>4682</v>
      </c>
      <c r="F877" s="783" t="s">
        <v>4011</v>
      </c>
      <c r="G877" s="783" t="str">
        <f t="shared" si="51"/>
        <v>Renewal (25% in 2020)</v>
      </c>
      <c r="H877" s="783" t="s">
        <v>4683</v>
      </c>
      <c r="I877" s="783" t="s">
        <v>4684</v>
      </c>
      <c r="J877" s="783">
        <v>25</v>
      </c>
      <c r="K877" s="783" t="s">
        <v>99</v>
      </c>
      <c r="L877" s="783" t="s">
        <v>4096</v>
      </c>
      <c r="M877" s="784">
        <v>18241.46</v>
      </c>
      <c r="N877" s="784">
        <v>27.78</v>
      </c>
      <c r="O877" s="784">
        <v>4.32</v>
      </c>
      <c r="P877" s="783">
        <v>152</v>
      </c>
      <c r="Q877" s="783">
        <v>696.82</v>
      </c>
      <c r="R877" s="783">
        <v>532.65</v>
      </c>
      <c r="S877" s="783">
        <v>94.86</v>
      </c>
      <c r="T877" s="783">
        <v>69.319999999999993</v>
      </c>
      <c r="U877" s="785">
        <v>44673.370185185202</v>
      </c>
    </row>
    <row r="878" spans="1:21">
      <c r="A878" s="782">
        <v>44704</v>
      </c>
      <c r="B878" s="783" t="s">
        <v>41</v>
      </c>
      <c r="C878" s="783" t="s">
        <v>4082</v>
      </c>
      <c r="D878" s="783" t="s">
        <v>4009</v>
      </c>
      <c r="E878" s="783" t="s">
        <v>94</v>
      </c>
      <c r="F878" s="783" t="s">
        <v>4011</v>
      </c>
      <c r="G878" s="783" t="str">
        <f t="shared" si="51"/>
        <v>Renewal (25% in 2020)</v>
      </c>
      <c r="H878" s="783" t="s">
        <v>4685</v>
      </c>
      <c r="I878" s="783" t="s">
        <v>4686</v>
      </c>
      <c r="J878" s="783">
        <v>25</v>
      </c>
      <c r="K878" s="783" t="s">
        <v>99</v>
      </c>
      <c r="L878" s="783" t="s">
        <v>4096</v>
      </c>
      <c r="M878" s="784">
        <v>27396.77</v>
      </c>
      <c r="N878" s="784">
        <v>29.13</v>
      </c>
      <c r="O878" s="784">
        <v>6.27</v>
      </c>
      <c r="P878" s="783">
        <v>150</v>
      </c>
      <c r="Q878" s="783">
        <v>1046.56</v>
      </c>
      <c r="R878" s="783">
        <v>799.99</v>
      </c>
      <c r="S878" s="783">
        <v>142.46</v>
      </c>
      <c r="T878" s="783">
        <v>104.11</v>
      </c>
      <c r="U878" s="785">
        <v>44704.568576388898</v>
      </c>
    </row>
    <row r="879" spans="1:21">
      <c r="A879" s="782">
        <v>44670</v>
      </c>
      <c r="B879" s="783" t="s">
        <v>3078</v>
      </c>
      <c r="C879" s="783" t="s">
        <v>4414</v>
      </c>
      <c r="D879" s="783" t="s">
        <v>4009</v>
      </c>
      <c r="E879" s="783" t="s">
        <v>5915</v>
      </c>
      <c r="F879" s="783" t="s">
        <v>4011</v>
      </c>
      <c r="G879" s="783" t="str">
        <f t="shared" si="51"/>
        <v>Renewal (25% in 2020)</v>
      </c>
      <c r="H879" s="783" t="s">
        <v>5916</v>
      </c>
      <c r="I879" s="783" t="s">
        <v>5917</v>
      </c>
      <c r="J879" s="783">
        <v>25</v>
      </c>
      <c r="K879" s="783" t="s">
        <v>99</v>
      </c>
      <c r="L879" s="783" t="s">
        <v>4096</v>
      </c>
      <c r="M879" s="784">
        <v>15420.89</v>
      </c>
      <c r="N879" s="784">
        <v>13.16</v>
      </c>
      <c r="O879" s="784">
        <v>6.51</v>
      </c>
      <c r="P879" s="783">
        <v>180</v>
      </c>
      <c r="Q879" s="783">
        <v>803.43</v>
      </c>
      <c r="R879" s="783">
        <v>526.15</v>
      </c>
      <c r="S879" s="783">
        <v>109.19</v>
      </c>
      <c r="T879" s="783">
        <v>168.09</v>
      </c>
      <c r="U879" s="785">
        <v>44671.496898148202</v>
      </c>
    </row>
    <row r="880" spans="1:21">
      <c r="A880" s="782">
        <v>44671</v>
      </c>
      <c r="B880" s="783" t="s">
        <v>34</v>
      </c>
      <c r="C880" s="783" t="s">
        <v>4082</v>
      </c>
      <c r="D880" s="783" t="s">
        <v>4009</v>
      </c>
      <c r="E880" s="783" t="s">
        <v>5918</v>
      </c>
      <c r="F880" s="783" t="s">
        <v>4011</v>
      </c>
      <c r="G880" s="783" t="str">
        <f t="shared" si="51"/>
        <v>Renewal (20% in 2020)</v>
      </c>
      <c r="H880" s="783" t="s">
        <v>5919</v>
      </c>
      <c r="I880" s="783" t="s">
        <v>5920</v>
      </c>
      <c r="J880" s="783">
        <v>20</v>
      </c>
      <c r="K880" s="783" t="s">
        <v>99</v>
      </c>
      <c r="L880" s="783" t="s">
        <v>4096</v>
      </c>
      <c r="M880" s="784">
        <v>41443.08</v>
      </c>
      <c r="N880" s="784">
        <v>37.39</v>
      </c>
      <c r="O880" s="784">
        <v>6.52</v>
      </c>
      <c r="P880" s="783">
        <v>170</v>
      </c>
      <c r="Q880" s="783">
        <v>2051.4299999999998</v>
      </c>
      <c r="R880" s="783">
        <v>1210.1400000000001</v>
      </c>
      <c r="S880" s="783">
        <v>215.5</v>
      </c>
      <c r="T880" s="783">
        <v>625.79</v>
      </c>
      <c r="U880" s="785">
        <v>44673.357094907398</v>
      </c>
    </row>
    <row r="881" spans="1:21">
      <c r="A881" s="782">
        <v>44680</v>
      </c>
      <c r="B881" s="783" t="s">
        <v>41</v>
      </c>
      <c r="C881" s="783" t="s">
        <v>4008</v>
      </c>
      <c r="D881" s="783" t="s">
        <v>4009</v>
      </c>
      <c r="E881" s="783" t="s">
        <v>4183</v>
      </c>
      <c r="F881" s="783" t="s">
        <v>4011</v>
      </c>
      <c r="G881" s="783" t="str">
        <f t="shared" si="51"/>
        <v>Renewal (15% in 2020)</v>
      </c>
      <c r="H881" s="783" t="s">
        <v>4184</v>
      </c>
      <c r="I881" s="783" t="s">
        <v>4185</v>
      </c>
      <c r="J881" s="783">
        <v>15</v>
      </c>
      <c r="K881" s="783" t="s">
        <v>99</v>
      </c>
      <c r="L881" s="783" t="s">
        <v>4096</v>
      </c>
      <c r="M881" s="784">
        <v>3907.2</v>
      </c>
      <c r="N881" s="784">
        <v>4.07</v>
      </c>
      <c r="O881" s="784">
        <v>6</v>
      </c>
      <c r="P881" s="783">
        <v>160</v>
      </c>
      <c r="Q881" s="783">
        <v>267.25</v>
      </c>
      <c r="R881" s="783">
        <v>114.87</v>
      </c>
      <c r="S881" s="783">
        <v>17.97</v>
      </c>
      <c r="T881" s="783">
        <v>134.41</v>
      </c>
      <c r="U881" s="785">
        <v>44683.4709953704</v>
      </c>
    </row>
    <row r="882" spans="1:21">
      <c r="A882" s="782">
        <v>44672</v>
      </c>
      <c r="B882" s="783" t="s">
        <v>41</v>
      </c>
      <c r="C882" s="783" t="s">
        <v>4082</v>
      </c>
      <c r="D882" s="783" t="s">
        <v>4009</v>
      </c>
      <c r="E882" s="783" t="s">
        <v>4687</v>
      </c>
      <c r="F882" s="783" t="s">
        <v>4011</v>
      </c>
      <c r="G882" s="783" t="str">
        <f t="shared" si="51"/>
        <v>Renewal (20% in 2020)</v>
      </c>
      <c r="H882" s="783" t="s">
        <v>4688</v>
      </c>
      <c r="I882" s="783" t="s">
        <v>4689</v>
      </c>
      <c r="J882" s="783">
        <v>20</v>
      </c>
      <c r="K882" s="783" t="s">
        <v>99</v>
      </c>
      <c r="L882" s="783" t="s">
        <v>4096</v>
      </c>
      <c r="M882" s="784">
        <v>26125.200000000001</v>
      </c>
      <c r="N882" s="784">
        <v>26.55</v>
      </c>
      <c r="O882" s="784">
        <v>6.56</v>
      </c>
      <c r="P882" s="783">
        <v>150</v>
      </c>
      <c r="Q882" s="783">
        <v>1293.2</v>
      </c>
      <c r="R882" s="783">
        <v>762.86</v>
      </c>
      <c r="S882" s="783">
        <v>135.85</v>
      </c>
      <c r="T882" s="783">
        <v>394.49</v>
      </c>
      <c r="U882" s="785">
        <v>44673.380335648202</v>
      </c>
    </row>
    <row r="883" spans="1:21">
      <c r="A883" s="782">
        <v>44673</v>
      </c>
      <c r="B883" s="783" t="s">
        <v>41</v>
      </c>
      <c r="C883" s="783" t="s">
        <v>4092</v>
      </c>
      <c r="D883" s="783" t="s">
        <v>4009</v>
      </c>
      <c r="E883" s="783" t="s">
        <v>5921</v>
      </c>
      <c r="F883" s="783" t="s">
        <v>4011</v>
      </c>
      <c r="G883" s="783" t="str">
        <f t="shared" si="51"/>
        <v>Renewal (20% in 2020)</v>
      </c>
      <c r="H883" s="783" t="s">
        <v>5922</v>
      </c>
      <c r="I883" s="783" t="s">
        <v>5923</v>
      </c>
      <c r="J883" s="783">
        <v>20</v>
      </c>
      <c r="K883" s="783" t="s">
        <v>99</v>
      </c>
      <c r="L883" s="783" t="s">
        <v>4096</v>
      </c>
      <c r="M883" s="784">
        <v>22241.25</v>
      </c>
      <c r="N883" s="784">
        <v>22.5</v>
      </c>
      <c r="O883" s="784">
        <v>6.59</v>
      </c>
      <c r="P883" s="783">
        <v>150</v>
      </c>
      <c r="Q883" s="783">
        <v>1165.44</v>
      </c>
      <c r="R883" s="783">
        <v>687.25</v>
      </c>
      <c r="S883" s="783">
        <v>122.33</v>
      </c>
      <c r="T883" s="783">
        <v>355.86</v>
      </c>
      <c r="U883" s="785">
        <v>44676.708113425899</v>
      </c>
    </row>
    <row r="884" spans="1:21">
      <c r="A884" s="782">
        <v>44630</v>
      </c>
      <c r="B884" s="783" t="s">
        <v>41</v>
      </c>
      <c r="C884" s="783" t="s">
        <v>4139</v>
      </c>
      <c r="D884" s="783" t="s">
        <v>4009</v>
      </c>
      <c r="E884" s="783" t="s">
        <v>672</v>
      </c>
      <c r="F884" s="783" t="s">
        <v>4011</v>
      </c>
      <c r="G884" s="783" t="str">
        <f t="shared" si="51"/>
        <v>Renewal (15% in 2020)</v>
      </c>
      <c r="H884" s="783" t="s">
        <v>5924</v>
      </c>
      <c r="I884" s="783" t="s">
        <v>5925</v>
      </c>
      <c r="J884" s="783">
        <v>20</v>
      </c>
      <c r="K884" s="783" t="s">
        <v>99</v>
      </c>
      <c r="L884" s="783" t="s">
        <v>4096</v>
      </c>
      <c r="M884" s="784">
        <v>76762.45</v>
      </c>
      <c r="N884" s="784">
        <v>59.32</v>
      </c>
      <c r="O884" s="784">
        <v>7.48</v>
      </c>
      <c r="P884" s="783">
        <v>173</v>
      </c>
      <c r="Q884" s="783">
        <v>2986.06</v>
      </c>
      <c r="R884" s="783">
        <v>1803.92</v>
      </c>
      <c r="S884" s="783">
        <v>276.33999999999997</v>
      </c>
      <c r="T884" s="783">
        <v>905.8</v>
      </c>
      <c r="U884" s="785">
        <v>44631.634502314802</v>
      </c>
    </row>
    <row r="885" spans="1:21">
      <c r="A885" s="782">
        <v>44634</v>
      </c>
      <c r="B885" s="783" t="s">
        <v>4025</v>
      </c>
      <c r="C885" s="783" t="s">
        <v>4026</v>
      </c>
      <c r="D885" s="783" t="s">
        <v>4021</v>
      </c>
      <c r="E885" s="783" t="s">
        <v>4065</v>
      </c>
      <c r="F885" s="783" t="s">
        <v>4066</v>
      </c>
      <c r="G885" s="783" t="s">
        <v>4028</v>
      </c>
      <c r="H885" s="783" t="s">
        <v>4067</v>
      </c>
      <c r="I885" s="783" t="s">
        <v>4068</v>
      </c>
      <c r="J885" s="783">
        <v>5</v>
      </c>
      <c r="K885" s="783" t="s">
        <v>99</v>
      </c>
      <c r="L885" s="783" t="s">
        <v>4096</v>
      </c>
      <c r="M885" s="784">
        <v>9844.7999999999993</v>
      </c>
      <c r="N885" s="784">
        <v>8.7899999999999991</v>
      </c>
      <c r="O885" s="784">
        <v>5</v>
      </c>
      <c r="P885" s="783">
        <v>224</v>
      </c>
      <c r="Q885" s="783">
        <v>188.04</v>
      </c>
      <c r="R885" s="783">
        <v>0</v>
      </c>
      <c r="S885" s="783">
        <v>0</v>
      </c>
      <c r="T885" s="783">
        <v>188.04</v>
      </c>
      <c r="U885" s="785">
        <v>44634.627465277801</v>
      </c>
    </row>
    <row r="886" spans="1:21">
      <c r="A886" s="782">
        <v>44630</v>
      </c>
      <c r="B886" s="783" t="s">
        <v>4025</v>
      </c>
      <c r="C886" s="783" t="s">
        <v>4026</v>
      </c>
      <c r="D886" s="783" t="s">
        <v>4021</v>
      </c>
      <c r="E886" s="783" t="s">
        <v>5926</v>
      </c>
      <c r="F886" s="783" t="s">
        <v>4011</v>
      </c>
      <c r="G886" s="783" t="str">
        <f t="shared" ref="G886:G895" si="52">VLOOKUP(I886,pacage,2,FALSE)</f>
        <v>New Contract</v>
      </c>
      <c r="H886" s="783" t="s">
        <v>5927</v>
      </c>
      <c r="I886" s="783" t="s">
        <v>5928</v>
      </c>
      <c r="J886" s="783">
        <v>25</v>
      </c>
      <c r="K886" s="783" t="s">
        <v>99</v>
      </c>
      <c r="L886" s="783" t="s">
        <v>4096</v>
      </c>
      <c r="M886" s="784">
        <v>75783.5</v>
      </c>
      <c r="N886" s="784">
        <v>57.85</v>
      </c>
      <c r="O886" s="784">
        <v>6.55</v>
      </c>
      <c r="P886" s="783">
        <v>200</v>
      </c>
      <c r="Q886" s="783">
        <v>3470.88</v>
      </c>
      <c r="R886" s="783">
        <v>2215.6799999999998</v>
      </c>
      <c r="S886" s="783">
        <v>739.87</v>
      </c>
      <c r="T886" s="783">
        <v>515.33000000000004</v>
      </c>
      <c r="U886" s="785">
        <v>44631.6343865741</v>
      </c>
    </row>
    <row r="887" spans="1:21">
      <c r="A887" s="782">
        <v>44634</v>
      </c>
      <c r="B887" s="783" t="s">
        <v>41</v>
      </c>
      <c r="C887" s="783" t="s">
        <v>4082</v>
      </c>
      <c r="D887" s="783" t="s">
        <v>4009</v>
      </c>
      <c r="E887" s="783" t="s">
        <v>5929</v>
      </c>
      <c r="F887" s="783" t="s">
        <v>4011</v>
      </c>
      <c r="G887" s="783" t="str">
        <f t="shared" si="52"/>
        <v>Renewal (15% in 2020)</v>
      </c>
      <c r="H887" s="783" t="s">
        <v>5930</v>
      </c>
      <c r="I887" s="783" t="s">
        <v>5931</v>
      </c>
      <c r="J887" s="783">
        <v>15</v>
      </c>
      <c r="K887" s="783" t="s">
        <v>99</v>
      </c>
      <c r="L887" s="783" t="s">
        <v>4096</v>
      </c>
      <c r="M887" s="784">
        <v>8000</v>
      </c>
      <c r="N887" s="784">
        <v>5</v>
      </c>
      <c r="O887" s="784">
        <v>6.4</v>
      </c>
      <c r="P887" s="783">
        <v>250</v>
      </c>
      <c r="Q887" s="783">
        <v>277.29000000000002</v>
      </c>
      <c r="R887" s="783">
        <v>121.94</v>
      </c>
      <c r="S887" s="783">
        <v>21.72</v>
      </c>
      <c r="T887" s="783">
        <v>133.63</v>
      </c>
      <c r="U887" s="785">
        <v>44634.625659722202</v>
      </c>
    </row>
    <row r="888" spans="1:21">
      <c r="A888" s="782">
        <v>44693</v>
      </c>
      <c r="B888" s="783" t="s">
        <v>34</v>
      </c>
      <c r="C888" s="783" t="s">
        <v>4139</v>
      </c>
      <c r="D888" s="783" t="s">
        <v>4009</v>
      </c>
      <c r="E888" s="783" t="s">
        <v>4405</v>
      </c>
      <c r="F888" s="783" t="s">
        <v>4011</v>
      </c>
      <c r="G888" s="783" t="str">
        <f t="shared" si="52"/>
        <v>Renewal (30% in 2020)</v>
      </c>
      <c r="H888" s="783" t="s">
        <v>4406</v>
      </c>
      <c r="I888" s="783" t="s">
        <v>4407</v>
      </c>
      <c r="J888" s="783">
        <v>30</v>
      </c>
      <c r="K888" s="783" t="s">
        <v>99</v>
      </c>
      <c r="L888" s="783" t="s">
        <v>4096</v>
      </c>
      <c r="M888" s="784">
        <v>25500</v>
      </c>
      <c r="N888" s="784">
        <v>25</v>
      </c>
      <c r="O888" s="784">
        <v>6</v>
      </c>
      <c r="P888" s="783">
        <v>170</v>
      </c>
      <c r="Q888" s="783">
        <v>675.75</v>
      </c>
      <c r="R888" s="783">
        <v>599.25</v>
      </c>
      <c r="S888" s="783">
        <v>0</v>
      </c>
      <c r="T888" s="783">
        <v>76.5</v>
      </c>
      <c r="U888" s="785">
        <v>44694.433263888903</v>
      </c>
    </row>
    <row r="889" spans="1:21">
      <c r="A889" s="782">
        <v>44693</v>
      </c>
      <c r="B889" s="783" t="s">
        <v>41</v>
      </c>
      <c r="C889" s="783" t="s">
        <v>4139</v>
      </c>
      <c r="D889" s="783" t="s">
        <v>4009</v>
      </c>
      <c r="E889" s="783" t="s">
        <v>60</v>
      </c>
      <c r="F889" s="783" t="s">
        <v>4011</v>
      </c>
      <c r="G889" s="783" t="str">
        <f t="shared" si="52"/>
        <v>Renewal (15% in 2020)</v>
      </c>
      <c r="H889" s="783" t="s">
        <v>5932</v>
      </c>
      <c r="I889" s="783" t="s">
        <v>5933</v>
      </c>
      <c r="J889" s="783">
        <v>15</v>
      </c>
      <c r="K889" s="783" t="s">
        <v>99</v>
      </c>
      <c r="L889" s="783" t="s">
        <v>4096</v>
      </c>
      <c r="M889" s="784">
        <v>63602.57</v>
      </c>
      <c r="N889" s="784">
        <v>53.47</v>
      </c>
      <c r="O889" s="784">
        <v>7.93</v>
      </c>
      <c r="P889" s="783">
        <v>150</v>
      </c>
      <c r="Q889" s="783">
        <v>3313.69</v>
      </c>
      <c r="R889" s="783">
        <v>1494.66</v>
      </c>
      <c r="S889" s="783">
        <v>228.97</v>
      </c>
      <c r="T889" s="783">
        <v>1590.06</v>
      </c>
      <c r="U889" s="785">
        <v>44694.417210648098</v>
      </c>
    </row>
    <row r="890" spans="1:21">
      <c r="A890" s="782">
        <v>44695</v>
      </c>
      <c r="B890" s="783" t="s">
        <v>51</v>
      </c>
      <c r="C890" s="783" t="s">
        <v>4042</v>
      </c>
      <c r="D890" s="783" t="s">
        <v>4016</v>
      </c>
      <c r="E890" s="783" t="s">
        <v>5934</v>
      </c>
      <c r="F890" s="783" t="s">
        <v>4011</v>
      </c>
      <c r="G890" s="783" t="str">
        <f t="shared" si="52"/>
        <v>Renewal (20% in 2020)</v>
      </c>
      <c r="H890" s="783" t="s">
        <v>5935</v>
      </c>
      <c r="I890" s="783" t="s">
        <v>5936</v>
      </c>
      <c r="J890" s="783">
        <v>20</v>
      </c>
      <c r="K890" s="783" t="s">
        <v>99</v>
      </c>
      <c r="L890" s="783" t="s">
        <v>4096</v>
      </c>
      <c r="M890" s="784">
        <v>104182.27</v>
      </c>
      <c r="N890" s="784">
        <v>77.87</v>
      </c>
      <c r="O890" s="784">
        <v>7.87</v>
      </c>
      <c r="P890" s="783">
        <v>170</v>
      </c>
      <c r="Q890" s="783">
        <v>5331.68</v>
      </c>
      <c r="R890" s="783">
        <v>2979.18</v>
      </c>
      <c r="S890" s="783">
        <v>992</v>
      </c>
      <c r="T890" s="783">
        <v>1360.5</v>
      </c>
      <c r="U890" s="785">
        <v>44697.682592592602</v>
      </c>
    </row>
    <row r="891" spans="1:21">
      <c r="A891" s="782">
        <v>44694</v>
      </c>
      <c r="B891" s="783" t="s">
        <v>51</v>
      </c>
      <c r="C891" s="783" t="s">
        <v>4042</v>
      </c>
      <c r="D891" s="783" t="s">
        <v>4016</v>
      </c>
      <c r="E891" s="783" t="s">
        <v>1694</v>
      </c>
      <c r="F891" s="783" t="s">
        <v>4011</v>
      </c>
      <c r="G891" s="783" t="str">
        <f t="shared" si="52"/>
        <v>Renewal (20% in 2020)</v>
      </c>
      <c r="H891" s="783" t="s">
        <v>5937</v>
      </c>
      <c r="I891" s="783" t="s">
        <v>5938</v>
      </c>
      <c r="J891" s="783">
        <v>25</v>
      </c>
      <c r="K891" s="783" t="s">
        <v>99</v>
      </c>
      <c r="L891" s="783" t="s">
        <v>4096</v>
      </c>
      <c r="M891" s="784">
        <v>117403.72</v>
      </c>
      <c r="N891" s="784">
        <v>84.53</v>
      </c>
      <c r="O891" s="784">
        <v>8.17</v>
      </c>
      <c r="P891" s="783">
        <v>170</v>
      </c>
      <c r="Q891" s="783">
        <v>4343.9399999999996</v>
      </c>
      <c r="R891" s="783">
        <v>3299.04</v>
      </c>
      <c r="S891" s="783">
        <v>504.84</v>
      </c>
      <c r="T891" s="783">
        <v>540.05999999999995</v>
      </c>
      <c r="U891" s="785">
        <v>44697.605740740699</v>
      </c>
    </row>
    <row r="892" spans="1:21">
      <c r="A892" s="782">
        <v>44712</v>
      </c>
      <c r="B892" s="783" t="s">
        <v>41</v>
      </c>
      <c r="C892" s="783" t="s">
        <v>4082</v>
      </c>
      <c r="D892" s="783" t="s">
        <v>4009</v>
      </c>
      <c r="E892" s="783" t="s">
        <v>5939</v>
      </c>
      <c r="F892" s="783" t="s">
        <v>4011</v>
      </c>
      <c r="G892" s="783" t="str">
        <f t="shared" si="52"/>
        <v>New Contract</v>
      </c>
      <c r="H892" s="783" t="s">
        <v>5940</v>
      </c>
      <c r="I892" s="783" t="s">
        <v>5941</v>
      </c>
      <c r="J892" s="783">
        <v>20</v>
      </c>
      <c r="K892" s="783" t="s">
        <v>99</v>
      </c>
      <c r="L892" s="783" t="s">
        <v>4096</v>
      </c>
      <c r="M892" s="784">
        <v>36505.42</v>
      </c>
      <c r="N892" s="784">
        <v>32.869999999999997</v>
      </c>
      <c r="O892" s="784">
        <v>6.17</v>
      </c>
      <c r="P892" s="783">
        <v>180</v>
      </c>
      <c r="Q892" s="783">
        <v>1807.02</v>
      </c>
      <c r="R892" s="783">
        <v>1024.5</v>
      </c>
      <c r="S892" s="783">
        <v>231.28</v>
      </c>
      <c r="T892" s="783">
        <v>551.23</v>
      </c>
      <c r="U892" s="785">
        <v>44715.3992939815</v>
      </c>
    </row>
    <row r="893" spans="1:21">
      <c r="A893" s="782">
        <v>44698</v>
      </c>
      <c r="B893" s="783" t="s">
        <v>41</v>
      </c>
      <c r="C893" s="783" t="s">
        <v>4008</v>
      </c>
      <c r="D893" s="783" t="s">
        <v>4009</v>
      </c>
      <c r="E893" s="783" t="s">
        <v>5942</v>
      </c>
      <c r="F893" s="783" t="s">
        <v>4011</v>
      </c>
      <c r="G893" s="783" t="str">
        <f t="shared" si="52"/>
        <v>Renewal (15% in 2020)</v>
      </c>
      <c r="H893" s="783" t="s">
        <v>5943</v>
      </c>
      <c r="I893" s="783" t="s">
        <v>5944</v>
      </c>
      <c r="J893" s="783">
        <v>15</v>
      </c>
      <c r="K893" s="783" t="s">
        <v>99</v>
      </c>
      <c r="L893" s="783" t="s">
        <v>4096</v>
      </c>
      <c r="M893" s="784">
        <v>5541.25</v>
      </c>
      <c r="N893" s="784">
        <v>6.5</v>
      </c>
      <c r="O893" s="784">
        <v>5.5</v>
      </c>
      <c r="P893" s="783">
        <v>155</v>
      </c>
      <c r="Q893" s="783">
        <v>379.02</v>
      </c>
      <c r="R893" s="783">
        <v>162.91</v>
      </c>
      <c r="S893" s="783">
        <v>25.49</v>
      </c>
      <c r="T893" s="783">
        <v>190.62</v>
      </c>
      <c r="U893" s="785">
        <v>44699.4757986111</v>
      </c>
    </row>
    <row r="894" spans="1:21">
      <c r="A894" s="782">
        <v>44709</v>
      </c>
      <c r="B894" s="783" t="s">
        <v>41</v>
      </c>
      <c r="C894" s="783" t="s">
        <v>4092</v>
      </c>
      <c r="D894" s="783" t="s">
        <v>4009</v>
      </c>
      <c r="E894" s="783" t="s">
        <v>4186</v>
      </c>
      <c r="F894" s="783" t="s">
        <v>4011</v>
      </c>
      <c r="G894" s="783" t="str">
        <f t="shared" si="52"/>
        <v>Renewal (20% in 2020)</v>
      </c>
      <c r="H894" s="783" t="s">
        <v>4187</v>
      </c>
      <c r="I894" s="783" t="s">
        <v>4188</v>
      </c>
      <c r="J894" s="783">
        <v>20</v>
      </c>
      <c r="K894" s="783" t="s">
        <v>99</v>
      </c>
      <c r="L894" s="783" t="s">
        <v>4096</v>
      </c>
      <c r="M894" s="784">
        <v>11939.2</v>
      </c>
      <c r="N894" s="784">
        <v>9.1</v>
      </c>
      <c r="O894" s="784">
        <v>6.56</v>
      </c>
      <c r="P894" s="783">
        <v>200</v>
      </c>
      <c r="Q894" s="783">
        <v>625.61</v>
      </c>
      <c r="R894" s="783">
        <v>319.12</v>
      </c>
      <c r="S894" s="783">
        <v>115.47</v>
      </c>
      <c r="T894" s="783">
        <v>191.03</v>
      </c>
      <c r="U894" s="785">
        <v>44711.649282407401</v>
      </c>
    </row>
    <row r="895" spans="1:21">
      <c r="A895" s="782">
        <v>44709</v>
      </c>
      <c r="B895" s="783" t="s">
        <v>41</v>
      </c>
      <c r="C895" s="783" t="s">
        <v>4082</v>
      </c>
      <c r="D895" s="783" t="s">
        <v>4009</v>
      </c>
      <c r="E895" s="783" t="s">
        <v>4186</v>
      </c>
      <c r="F895" s="783" t="s">
        <v>4011</v>
      </c>
      <c r="G895" s="783" t="str">
        <f t="shared" si="52"/>
        <v>Renewal (20% in 2020)</v>
      </c>
      <c r="H895" s="783" t="s">
        <v>4187</v>
      </c>
      <c r="I895" s="783" t="s">
        <v>4188</v>
      </c>
      <c r="J895" s="783">
        <v>20</v>
      </c>
      <c r="K895" s="783" t="s">
        <v>99</v>
      </c>
      <c r="L895" s="783" t="s">
        <v>4096</v>
      </c>
      <c r="M895" s="784">
        <v>200749.12</v>
      </c>
      <c r="N895" s="784">
        <v>153.01</v>
      </c>
      <c r="O895" s="784">
        <v>6.56</v>
      </c>
      <c r="P895" s="783">
        <v>200</v>
      </c>
      <c r="Q895" s="783">
        <v>9937.08</v>
      </c>
      <c r="R895" s="783">
        <v>5070.5200000000004</v>
      </c>
      <c r="S895" s="783">
        <v>1835.25</v>
      </c>
      <c r="T895" s="783">
        <v>3031.31</v>
      </c>
      <c r="U895" s="785">
        <v>44711.649282407401</v>
      </c>
    </row>
    <row r="896" spans="1:21">
      <c r="A896" s="782">
        <v>44638</v>
      </c>
      <c r="B896" s="783" t="s">
        <v>41</v>
      </c>
      <c r="C896" s="783" t="s">
        <v>4071</v>
      </c>
      <c r="D896" s="783" t="s">
        <v>4009</v>
      </c>
      <c r="E896" s="783" t="s">
        <v>5945</v>
      </c>
      <c r="F896" s="783" t="s">
        <v>4066</v>
      </c>
      <c r="G896" s="783" t="s">
        <v>4028</v>
      </c>
      <c r="H896" s="783" t="s">
        <v>5946</v>
      </c>
      <c r="I896" s="783" t="s">
        <v>5947</v>
      </c>
      <c r="J896" s="783">
        <v>10</v>
      </c>
      <c r="K896" s="783" t="s">
        <v>99</v>
      </c>
      <c r="L896" s="783" t="s">
        <v>4096</v>
      </c>
      <c r="M896" s="784">
        <v>24572.06</v>
      </c>
      <c r="N896" s="784">
        <v>16.71</v>
      </c>
      <c r="O896" s="784">
        <v>8.5</v>
      </c>
      <c r="P896" s="783">
        <v>173</v>
      </c>
      <c r="Q896" s="783">
        <v>176.92</v>
      </c>
      <c r="R896" s="783">
        <v>0</v>
      </c>
      <c r="S896" s="783">
        <v>0</v>
      </c>
      <c r="T896" s="783">
        <v>176.92</v>
      </c>
      <c r="U896" s="785">
        <v>44638.562222222201</v>
      </c>
    </row>
    <row r="897" spans="1:21">
      <c r="A897" s="782">
        <v>44638</v>
      </c>
      <c r="B897" s="783" t="s">
        <v>41</v>
      </c>
      <c r="C897" s="783" t="s">
        <v>4139</v>
      </c>
      <c r="D897" s="783" t="s">
        <v>4009</v>
      </c>
      <c r="E897" s="783" t="s">
        <v>5945</v>
      </c>
      <c r="F897" s="783" t="s">
        <v>4066</v>
      </c>
      <c r="G897" s="783" t="s">
        <v>4028</v>
      </c>
      <c r="H897" s="783" t="s">
        <v>5946</v>
      </c>
      <c r="I897" s="783" t="s">
        <v>5947</v>
      </c>
      <c r="J897" s="783">
        <v>10</v>
      </c>
      <c r="K897" s="783" t="s">
        <v>99</v>
      </c>
      <c r="L897" s="783" t="s">
        <v>4096</v>
      </c>
      <c r="M897" s="784">
        <v>37365.410000000003</v>
      </c>
      <c r="N897" s="784">
        <v>25.41</v>
      </c>
      <c r="O897" s="784">
        <v>8.5</v>
      </c>
      <c r="P897" s="783">
        <v>173</v>
      </c>
      <c r="Q897" s="783">
        <v>280.24</v>
      </c>
      <c r="R897" s="783">
        <v>0</v>
      </c>
      <c r="S897" s="783">
        <v>0</v>
      </c>
      <c r="T897" s="783">
        <v>280.24</v>
      </c>
      <c r="U897" s="785">
        <v>44638.562222222201</v>
      </c>
    </row>
    <row r="898" spans="1:21">
      <c r="A898" s="782">
        <v>44634</v>
      </c>
      <c r="B898" s="783" t="s">
        <v>228</v>
      </c>
      <c r="C898" s="783" t="s">
        <v>4052</v>
      </c>
      <c r="D898" s="783" t="s">
        <v>4021</v>
      </c>
      <c r="E898" s="783" t="s">
        <v>5948</v>
      </c>
      <c r="F898" s="783" t="s">
        <v>4011</v>
      </c>
      <c r="G898" s="783" t="str">
        <f t="shared" ref="G898:G906" si="53">VLOOKUP(I898,pacage,2,FALSE)</f>
        <v>Renewal (25% in 2020)</v>
      </c>
      <c r="H898" s="783" t="s">
        <v>5949</v>
      </c>
      <c r="I898" s="783" t="s">
        <v>5950</v>
      </c>
      <c r="J898" s="783">
        <v>25</v>
      </c>
      <c r="K898" s="783" t="s">
        <v>99</v>
      </c>
      <c r="L898" s="783" t="s">
        <v>4096</v>
      </c>
      <c r="M898" s="784">
        <v>20393.97</v>
      </c>
      <c r="N898" s="784">
        <v>13.52</v>
      </c>
      <c r="O898" s="784">
        <v>6.53</v>
      </c>
      <c r="P898" s="783">
        <v>231</v>
      </c>
      <c r="Q898" s="783">
        <v>764.77</v>
      </c>
      <c r="R898" s="783">
        <v>441.4</v>
      </c>
      <c r="S898" s="783">
        <v>237.72</v>
      </c>
      <c r="T898" s="783">
        <v>85.65</v>
      </c>
      <c r="U898" s="785">
        <v>44636.3683101852</v>
      </c>
    </row>
    <row r="899" spans="1:21">
      <c r="A899" s="782">
        <v>44643</v>
      </c>
      <c r="B899" s="783" t="s">
        <v>30</v>
      </c>
      <c r="C899" s="783" t="s">
        <v>4089</v>
      </c>
      <c r="D899" s="783" t="s">
        <v>4021</v>
      </c>
      <c r="E899" s="783" t="s">
        <v>5951</v>
      </c>
      <c r="F899" s="783" t="s">
        <v>4011</v>
      </c>
      <c r="G899" s="783" t="str">
        <f t="shared" si="53"/>
        <v>Renewal (15% in 2020)</v>
      </c>
      <c r="H899" s="783" t="s">
        <v>5952</v>
      </c>
      <c r="I899" s="783" t="s">
        <v>5953</v>
      </c>
      <c r="J899" s="783">
        <v>15</v>
      </c>
      <c r="K899" s="783" t="s">
        <v>99</v>
      </c>
      <c r="L899" s="783" t="s">
        <v>4096</v>
      </c>
      <c r="M899" s="784">
        <v>21357.88</v>
      </c>
      <c r="N899" s="784">
        <v>15.47</v>
      </c>
      <c r="O899" s="784">
        <v>7.67</v>
      </c>
      <c r="P899" s="783">
        <v>180</v>
      </c>
      <c r="Q899" s="783">
        <v>1428.84</v>
      </c>
      <c r="R899" s="783">
        <v>597.34</v>
      </c>
      <c r="S899" s="783">
        <v>120.28</v>
      </c>
      <c r="T899" s="783">
        <v>711.22</v>
      </c>
      <c r="U899" s="785">
        <v>44644.369722222204</v>
      </c>
    </row>
    <row r="900" spans="1:21">
      <c r="A900" s="782">
        <v>44642</v>
      </c>
      <c r="B900" s="783" t="s">
        <v>41</v>
      </c>
      <c r="C900" s="783" t="s">
        <v>4071</v>
      </c>
      <c r="D900" s="783" t="s">
        <v>4009</v>
      </c>
      <c r="E900" s="783" t="s">
        <v>5954</v>
      </c>
      <c r="F900" s="783" t="s">
        <v>4011</v>
      </c>
      <c r="G900" s="783" t="str">
        <f t="shared" si="53"/>
        <v>Renewal (15% in 2020)</v>
      </c>
      <c r="H900" s="783" t="s">
        <v>5955</v>
      </c>
      <c r="I900" s="783" t="s">
        <v>5956</v>
      </c>
      <c r="J900" s="783">
        <v>15</v>
      </c>
      <c r="K900" s="783" t="s">
        <v>99</v>
      </c>
      <c r="L900" s="783" t="s">
        <v>4096</v>
      </c>
      <c r="M900" s="784">
        <v>45815</v>
      </c>
      <c r="N900" s="784">
        <v>50</v>
      </c>
      <c r="O900" s="784">
        <v>5.39</v>
      </c>
      <c r="P900" s="783">
        <v>170</v>
      </c>
      <c r="Q900" s="783">
        <v>2299.91</v>
      </c>
      <c r="R900" s="783">
        <v>1035.42</v>
      </c>
      <c r="S900" s="783">
        <v>160.35</v>
      </c>
      <c r="T900" s="783">
        <v>1104.1400000000001</v>
      </c>
      <c r="U900" s="785">
        <v>44643.367488425902</v>
      </c>
    </row>
    <row r="901" spans="1:21">
      <c r="A901" s="782">
        <v>44642</v>
      </c>
      <c r="B901" s="783" t="s">
        <v>30</v>
      </c>
      <c r="C901" s="783" t="s">
        <v>4239</v>
      </c>
      <c r="D901" s="783" t="s">
        <v>4021</v>
      </c>
      <c r="E901" s="783" t="s">
        <v>5957</v>
      </c>
      <c r="F901" s="783" t="s">
        <v>4011</v>
      </c>
      <c r="G901" s="783" t="str">
        <f t="shared" si="53"/>
        <v>Renewal (30% in 2020)</v>
      </c>
      <c r="H901" s="783" t="s">
        <v>5958</v>
      </c>
      <c r="I901" s="783" t="s">
        <v>5959</v>
      </c>
      <c r="J901" s="783">
        <v>30</v>
      </c>
      <c r="K901" s="783" t="s">
        <v>99</v>
      </c>
      <c r="L901" s="783" t="s">
        <v>4096</v>
      </c>
      <c r="M901" s="784">
        <v>89979.3</v>
      </c>
      <c r="N901" s="784">
        <v>58.81</v>
      </c>
      <c r="O901" s="784">
        <v>8.5</v>
      </c>
      <c r="P901" s="783">
        <v>180</v>
      </c>
      <c r="Q901" s="783">
        <v>2424.12</v>
      </c>
      <c r="R901" s="783">
        <v>1978.78</v>
      </c>
      <c r="S901" s="783">
        <v>80.069999999999993</v>
      </c>
      <c r="T901" s="783">
        <v>365.28</v>
      </c>
      <c r="U901" s="785">
        <v>44643.370752314797</v>
      </c>
    </row>
    <row r="902" spans="1:21">
      <c r="A902" s="782">
        <v>44704</v>
      </c>
      <c r="B902" s="783" t="s">
        <v>41</v>
      </c>
      <c r="C902" s="783" t="s">
        <v>4071</v>
      </c>
      <c r="D902" s="783" t="s">
        <v>4009</v>
      </c>
      <c r="E902" s="783" t="s">
        <v>4189</v>
      </c>
      <c r="F902" s="783" t="s">
        <v>4011</v>
      </c>
      <c r="G902" s="783" t="str">
        <f t="shared" si="53"/>
        <v>Renewal (15% in 2020)</v>
      </c>
      <c r="H902" s="783" t="s">
        <v>4190</v>
      </c>
      <c r="I902" s="783" t="s">
        <v>4191</v>
      </c>
      <c r="J902" s="783">
        <v>15</v>
      </c>
      <c r="K902" s="783" t="s">
        <v>99</v>
      </c>
      <c r="L902" s="783" t="s">
        <v>4096</v>
      </c>
      <c r="M902" s="784">
        <v>20326.64</v>
      </c>
      <c r="N902" s="784">
        <v>18.649999999999999</v>
      </c>
      <c r="O902" s="784">
        <v>6.3</v>
      </c>
      <c r="P902" s="783">
        <v>173</v>
      </c>
      <c r="Q902" s="783">
        <v>1020.4</v>
      </c>
      <c r="R902" s="783">
        <v>459.38</v>
      </c>
      <c r="S902" s="783">
        <v>71.14</v>
      </c>
      <c r="T902" s="783">
        <v>489.87</v>
      </c>
      <c r="U902" s="785">
        <v>44704.394826388903</v>
      </c>
    </row>
    <row r="903" spans="1:21">
      <c r="A903" s="782">
        <v>44642</v>
      </c>
      <c r="B903" s="783" t="s">
        <v>41</v>
      </c>
      <c r="C903" s="783" t="s">
        <v>4092</v>
      </c>
      <c r="D903" s="783" t="s">
        <v>4009</v>
      </c>
      <c r="E903" s="783" t="s">
        <v>2332</v>
      </c>
      <c r="F903" s="783" t="s">
        <v>4011</v>
      </c>
      <c r="G903" s="783" t="str">
        <f t="shared" si="53"/>
        <v>Renewal (25% in 2020)</v>
      </c>
      <c r="H903" s="783" t="s">
        <v>5960</v>
      </c>
      <c r="I903" s="783" t="s">
        <v>5961</v>
      </c>
      <c r="J903" s="783">
        <v>25</v>
      </c>
      <c r="K903" s="783" t="s">
        <v>99</v>
      </c>
      <c r="L903" s="783" t="s">
        <v>4096</v>
      </c>
      <c r="M903" s="784">
        <v>30417</v>
      </c>
      <c r="N903" s="784">
        <v>32.32</v>
      </c>
      <c r="O903" s="784">
        <v>5.44</v>
      </c>
      <c r="P903" s="783">
        <v>173</v>
      </c>
      <c r="Q903" s="783">
        <v>1231.8900000000001</v>
      </c>
      <c r="R903" s="783">
        <v>939.89</v>
      </c>
      <c r="S903" s="783">
        <v>167.29</v>
      </c>
      <c r="T903" s="783">
        <v>124.71</v>
      </c>
      <c r="U903" s="785">
        <v>44643.372835648202</v>
      </c>
    </row>
    <row r="904" spans="1:21">
      <c r="A904" s="782">
        <v>44652</v>
      </c>
      <c r="B904" s="783" t="s">
        <v>51</v>
      </c>
      <c r="C904" s="783" t="s">
        <v>4796</v>
      </c>
      <c r="D904" s="783" t="s">
        <v>4016</v>
      </c>
      <c r="E904" s="783" t="s">
        <v>1130</v>
      </c>
      <c r="F904" s="783" t="s">
        <v>4011</v>
      </c>
      <c r="G904" s="783" t="str">
        <f t="shared" si="53"/>
        <v>Renewal (25% in 2020)</v>
      </c>
      <c r="H904" s="783" t="s">
        <v>5962</v>
      </c>
      <c r="I904" s="783" t="s">
        <v>5963</v>
      </c>
      <c r="J904" s="783">
        <v>25</v>
      </c>
      <c r="K904" s="783" t="s">
        <v>99</v>
      </c>
      <c r="L904" s="783" t="s">
        <v>4096</v>
      </c>
      <c r="M904" s="784">
        <v>51603.31</v>
      </c>
      <c r="N904" s="784">
        <v>42.25</v>
      </c>
      <c r="O904" s="784">
        <v>7.06</v>
      </c>
      <c r="P904" s="783">
        <v>173</v>
      </c>
      <c r="Q904" s="783">
        <v>2863.98</v>
      </c>
      <c r="R904" s="783">
        <v>2177.66</v>
      </c>
      <c r="S904" s="783">
        <v>330.26</v>
      </c>
      <c r="T904" s="783">
        <v>356.06</v>
      </c>
      <c r="U904" s="785">
        <v>44655.506458333301</v>
      </c>
    </row>
    <row r="905" spans="1:21">
      <c r="A905" s="782">
        <v>44652</v>
      </c>
      <c r="B905" s="783" t="s">
        <v>2866</v>
      </c>
      <c r="C905" s="783" t="s">
        <v>4008</v>
      </c>
      <c r="D905" s="783" t="s">
        <v>4009</v>
      </c>
      <c r="E905" s="783" t="s">
        <v>5964</v>
      </c>
      <c r="F905" s="783" t="s">
        <v>4011</v>
      </c>
      <c r="G905" s="783" t="str">
        <f t="shared" si="53"/>
        <v>Renewal (25% in 2020)</v>
      </c>
      <c r="H905" s="783" t="s">
        <v>5965</v>
      </c>
      <c r="I905" s="783" t="s">
        <v>5966</v>
      </c>
      <c r="J905" s="783">
        <v>25</v>
      </c>
      <c r="K905" s="783" t="s">
        <v>99</v>
      </c>
      <c r="L905" s="783" t="s">
        <v>4096</v>
      </c>
      <c r="M905" s="784">
        <v>13970.52</v>
      </c>
      <c r="N905" s="784">
        <v>15.1</v>
      </c>
      <c r="O905" s="784">
        <v>5.14</v>
      </c>
      <c r="P905" s="783">
        <v>180</v>
      </c>
      <c r="Q905" s="783">
        <v>565.80999999999995</v>
      </c>
      <c r="R905" s="783">
        <v>394.76</v>
      </c>
      <c r="S905" s="783">
        <v>80.239999999999995</v>
      </c>
      <c r="T905" s="783">
        <v>90.81</v>
      </c>
      <c r="U905" s="785">
        <v>44655.503194444398</v>
      </c>
    </row>
    <row r="906" spans="1:21">
      <c r="A906" s="782">
        <v>44658</v>
      </c>
      <c r="B906" s="783" t="s">
        <v>34</v>
      </c>
      <c r="C906" s="783" t="s">
        <v>4082</v>
      </c>
      <c r="D906" s="783" t="s">
        <v>4009</v>
      </c>
      <c r="E906" s="783" t="s">
        <v>4690</v>
      </c>
      <c r="F906" s="783" t="s">
        <v>4011</v>
      </c>
      <c r="G906" s="783" t="str">
        <f t="shared" si="53"/>
        <v>Renewal (30% in 2020)</v>
      </c>
      <c r="H906" s="783" t="s">
        <v>4691</v>
      </c>
      <c r="I906" s="783" t="s">
        <v>4692</v>
      </c>
      <c r="J906" s="783">
        <v>30</v>
      </c>
      <c r="K906" s="783" t="s">
        <v>99</v>
      </c>
      <c r="L906" s="783" t="s">
        <v>4096</v>
      </c>
      <c r="M906" s="784">
        <v>148169.96</v>
      </c>
      <c r="N906" s="784">
        <v>112.9</v>
      </c>
      <c r="O906" s="784">
        <v>7.72</v>
      </c>
      <c r="P906" s="783">
        <v>170</v>
      </c>
      <c r="Q906" s="783">
        <v>6002.17</v>
      </c>
      <c r="R906" s="783">
        <v>5294.96</v>
      </c>
      <c r="S906" s="783">
        <v>0</v>
      </c>
      <c r="T906" s="783">
        <v>707.2</v>
      </c>
      <c r="U906" s="785">
        <v>44659.413680555597</v>
      </c>
    </row>
    <row r="907" spans="1:21">
      <c r="A907" s="782">
        <v>44656</v>
      </c>
      <c r="B907" s="783" t="s">
        <v>74</v>
      </c>
      <c r="C907" s="783" t="s">
        <v>4097</v>
      </c>
      <c r="D907" s="783" t="s">
        <v>4038</v>
      </c>
      <c r="E907" s="783" t="s">
        <v>4411</v>
      </c>
      <c r="F907" s="783" t="s">
        <v>4011</v>
      </c>
      <c r="G907" s="783" t="s">
        <v>4028</v>
      </c>
      <c r="H907" s="783" t="s">
        <v>4412</v>
      </c>
      <c r="I907" s="783" t="s">
        <v>4413</v>
      </c>
      <c r="J907" s="783">
        <v>15</v>
      </c>
      <c r="K907" s="783" t="s">
        <v>99</v>
      </c>
      <c r="L907" s="783" t="s">
        <v>4096</v>
      </c>
      <c r="M907" s="784">
        <v>24372</v>
      </c>
      <c r="N907" s="784">
        <v>18</v>
      </c>
      <c r="O907" s="784">
        <v>6.77</v>
      </c>
      <c r="P907" s="783">
        <v>200</v>
      </c>
      <c r="Q907" s="783">
        <v>1613.43</v>
      </c>
      <c r="R907" s="783">
        <v>596.61</v>
      </c>
      <c r="S907" s="783">
        <v>200.35</v>
      </c>
      <c r="T907" s="783">
        <v>816.46</v>
      </c>
      <c r="U907" s="785">
        <v>44657.628009259301</v>
      </c>
    </row>
    <row r="908" spans="1:21">
      <c r="A908" s="782">
        <v>44652</v>
      </c>
      <c r="B908" s="783" t="s">
        <v>34</v>
      </c>
      <c r="C908" s="783" t="s">
        <v>4139</v>
      </c>
      <c r="D908" s="783" t="s">
        <v>4009</v>
      </c>
      <c r="E908" s="783" t="s">
        <v>456</v>
      </c>
      <c r="F908" s="783" t="s">
        <v>4011</v>
      </c>
      <c r="G908" s="783" t="str">
        <f t="shared" ref="G908:G918" si="54">VLOOKUP(I908,pacage,2,FALSE)</f>
        <v>Renewal (20% in 2020)</v>
      </c>
      <c r="H908" s="783" t="s">
        <v>5967</v>
      </c>
      <c r="I908" s="783" t="s">
        <v>5968</v>
      </c>
      <c r="J908" s="783">
        <v>20</v>
      </c>
      <c r="K908" s="783" t="s">
        <v>99</v>
      </c>
      <c r="L908" s="783" t="s">
        <v>4096</v>
      </c>
      <c r="M908" s="784">
        <v>39156.1</v>
      </c>
      <c r="N908" s="784">
        <v>31</v>
      </c>
      <c r="O908" s="784">
        <v>7.43</v>
      </c>
      <c r="P908" s="783">
        <v>170</v>
      </c>
      <c r="Q908" s="783">
        <v>1523.17</v>
      </c>
      <c r="R908" s="783">
        <v>920.17</v>
      </c>
      <c r="S908" s="783">
        <v>140.96</v>
      </c>
      <c r="T908" s="783">
        <v>462.04</v>
      </c>
      <c r="U908" s="785">
        <v>44655.604004629597</v>
      </c>
    </row>
    <row r="909" spans="1:21">
      <c r="A909" s="782">
        <v>44665</v>
      </c>
      <c r="B909" s="783" t="s">
        <v>41</v>
      </c>
      <c r="C909" s="783" t="s">
        <v>4139</v>
      </c>
      <c r="D909" s="783" t="s">
        <v>4009</v>
      </c>
      <c r="E909" s="783" t="s">
        <v>5969</v>
      </c>
      <c r="F909" s="783" t="s">
        <v>4011</v>
      </c>
      <c r="G909" s="783" t="str">
        <f t="shared" si="54"/>
        <v>Renewal (20% in 2020)</v>
      </c>
      <c r="H909" s="783" t="s">
        <v>5970</v>
      </c>
      <c r="I909" s="783" t="s">
        <v>5971</v>
      </c>
      <c r="J909" s="783">
        <v>30</v>
      </c>
      <c r="K909" s="783" t="s">
        <v>99</v>
      </c>
      <c r="L909" s="783" t="s">
        <v>4096</v>
      </c>
      <c r="M909" s="784">
        <v>113547.2</v>
      </c>
      <c r="N909" s="784">
        <v>66.95</v>
      </c>
      <c r="O909" s="784">
        <v>8.48</v>
      </c>
      <c r="P909" s="783">
        <v>200</v>
      </c>
      <c r="Q909" s="783">
        <v>3009</v>
      </c>
      <c r="R909" s="783">
        <v>2308.13</v>
      </c>
      <c r="S909" s="783">
        <v>360.23</v>
      </c>
      <c r="T909" s="783">
        <v>340.64</v>
      </c>
      <c r="U909" s="785">
        <v>44665.6721412037</v>
      </c>
    </row>
    <row r="910" spans="1:21">
      <c r="A910" s="782">
        <v>44654</v>
      </c>
      <c r="B910" s="783" t="s">
        <v>113</v>
      </c>
      <c r="C910" s="783" t="s">
        <v>4598</v>
      </c>
      <c r="D910" s="783" t="s">
        <v>4009</v>
      </c>
      <c r="E910" s="783" t="s">
        <v>3026</v>
      </c>
      <c r="F910" s="783" t="s">
        <v>4011</v>
      </c>
      <c r="G910" s="783" t="str">
        <f t="shared" si="54"/>
        <v>Renewal (20% in 2020)</v>
      </c>
      <c r="H910" s="783" t="s">
        <v>5972</v>
      </c>
      <c r="I910" s="783" t="s">
        <v>5973</v>
      </c>
      <c r="J910" s="783">
        <v>25</v>
      </c>
      <c r="K910" s="783" t="s">
        <v>99</v>
      </c>
      <c r="L910" s="783" t="s">
        <v>4096</v>
      </c>
      <c r="M910" s="784">
        <v>3478.2</v>
      </c>
      <c r="N910" s="784">
        <v>3.3</v>
      </c>
      <c r="O910" s="784">
        <v>5.27</v>
      </c>
      <c r="P910" s="783">
        <v>200</v>
      </c>
      <c r="Q910" s="783">
        <v>138.78</v>
      </c>
      <c r="R910" s="783">
        <v>81.53</v>
      </c>
      <c r="S910" s="783">
        <v>34.99</v>
      </c>
      <c r="T910" s="783">
        <v>22.26</v>
      </c>
      <c r="U910" s="785">
        <v>44655.504120370402</v>
      </c>
    </row>
    <row r="911" spans="1:21">
      <c r="A911" s="782">
        <v>44699</v>
      </c>
      <c r="B911" s="783" t="s">
        <v>30</v>
      </c>
      <c r="C911" s="783" t="s">
        <v>5974</v>
      </c>
      <c r="D911" s="783" t="s">
        <v>4021</v>
      </c>
      <c r="E911" s="783" t="s">
        <v>5975</v>
      </c>
      <c r="F911" s="783" t="s">
        <v>4011</v>
      </c>
      <c r="G911" s="783" t="str">
        <f t="shared" si="54"/>
        <v>Renewal (20% in 2020)</v>
      </c>
      <c r="H911" s="783" t="s">
        <v>5976</v>
      </c>
      <c r="I911" s="783" t="s">
        <v>5977</v>
      </c>
      <c r="J911" s="783">
        <v>20</v>
      </c>
      <c r="K911" s="783" t="s">
        <v>99</v>
      </c>
      <c r="L911" s="783" t="s">
        <v>4096</v>
      </c>
      <c r="M911" s="784">
        <v>60680</v>
      </c>
      <c r="N911" s="784">
        <v>41</v>
      </c>
      <c r="O911" s="784">
        <v>7.4</v>
      </c>
      <c r="P911" s="783">
        <v>200</v>
      </c>
      <c r="Q911" s="783">
        <v>3118.95</v>
      </c>
      <c r="R911" s="783">
        <v>1474.92</v>
      </c>
      <c r="S911" s="783">
        <v>600.34</v>
      </c>
      <c r="T911" s="783">
        <v>1043.7</v>
      </c>
      <c r="U911" s="785">
        <v>44700.511574074102</v>
      </c>
    </row>
    <row r="912" spans="1:21">
      <c r="A912" s="782">
        <v>44714</v>
      </c>
      <c r="B912" s="783" t="s">
        <v>34</v>
      </c>
      <c r="C912" s="783" t="s">
        <v>4082</v>
      </c>
      <c r="D912" s="783" t="s">
        <v>4009</v>
      </c>
      <c r="E912" s="783" t="s">
        <v>309</v>
      </c>
      <c r="F912" s="783" t="s">
        <v>4011</v>
      </c>
      <c r="G912" s="783" t="str">
        <f t="shared" si="54"/>
        <v>Renewal (30% in 2020)</v>
      </c>
      <c r="H912" s="783" t="s">
        <v>5978</v>
      </c>
      <c r="I912" s="783" t="s">
        <v>5979</v>
      </c>
      <c r="J912" s="783">
        <v>30</v>
      </c>
      <c r="K912" s="783" t="s">
        <v>99</v>
      </c>
      <c r="L912" s="783" t="s">
        <v>4096</v>
      </c>
      <c r="M912" s="784">
        <v>83713</v>
      </c>
      <c r="N912" s="784">
        <v>67.180000000000007</v>
      </c>
      <c r="O912" s="784">
        <v>7.33</v>
      </c>
      <c r="P912" s="783">
        <v>170</v>
      </c>
      <c r="Q912" s="783">
        <v>2770.9</v>
      </c>
      <c r="R912" s="783">
        <v>2444.42</v>
      </c>
      <c r="S912" s="783">
        <v>0</v>
      </c>
      <c r="T912" s="783">
        <v>326.48</v>
      </c>
      <c r="U912" s="785">
        <v>44715.442395833299</v>
      </c>
    </row>
    <row r="913" spans="1:21">
      <c r="A913" s="782">
        <v>44652</v>
      </c>
      <c r="B913" s="783" t="s">
        <v>47</v>
      </c>
      <c r="C913" s="783" t="s">
        <v>4101</v>
      </c>
      <c r="D913" s="783" t="s">
        <v>4102</v>
      </c>
      <c r="E913" s="783" t="s">
        <v>5980</v>
      </c>
      <c r="F913" s="783" t="s">
        <v>4011</v>
      </c>
      <c r="G913" s="783" t="str">
        <f t="shared" si="54"/>
        <v>Renewal (25% in 2020)</v>
      </c>
      <c r="H913" s="783" t="s">
        <v>5981</v>
      </c>
      <c r="I913" s="783" t="s">
        <v>5982</v>
      </c>
      <c r="J913" s="783">
        <v>25</v>
      </c>
      <c r="K913" s="783" t="s">
        <v>99</v>
      </c>
      <c r="L913" s="783" t="s">
        <v>4096</v>
      </c>
      <c r="M913" s="784">
        <v>161734.65</v>
      </c>
      <c r="N913" s="784">
        <v>115.5</v>
      </c>
      <c r="O913" s="784">
        <v>7.37</v>
      </c>
      <c r="P913" s="783">
        <v>190</v>
      </c>
      <c r="Q913" s="783">
        <v>4835.87</v>
      </c>
      <c r="R913" s="783">
        <v>3372.34</v>
      </c>
      <c r="S913" s="783">
        <v>897.46</v>
      </c>
      <c r="T913" s="783">
        <v>566.07000000000005</v>
      </c>
      <c r="U913" s="785">
        <v>44655.504884259302</v>
      </c>
    </row>
    <row r="914" spans="1:21">
      <c r="A914" s="782">
        <v>44655</v>
      </c>
      <c r="B914" s="783" t="s">
        <v>113</v>
      </c>
      <c r="C914" s="783" t="s">
        <v>4097</v>
      </c>
      <c r="D914" s="783" t="s">
        <v>4038</v>
      </c>
      <c r="E914" s="783" t="s">
        <v>5983</v>
      </c>
      <c r="F914" s="783" t="s">
        <v>4066</v>
      </c>
      <c r="G914" s="783" t="str">
        <f t="shared" si="54"/>
        <v>Renewal (15% in 2020)</v>
      </c>
      <c r="H914" s="783" t="s">
        <v>5984</v>
      </c>
      <c r="I914" s="783" t="s">
        <v>5985</v>
      </c>
      <c r="J914" s="783">
        <v>10</v>
      </c>
      <c r="K914" s="783" t="s">
        <v>99</v>
      </c>
      <c r="L914" s="783" t="s">
        <v>4096</v>
      </c>
      <c r="M914" s="784">
        <v>60550</v>
      </c>
      <c r="N914" s="784">
        <v>50</v>
      </c>
      <c r="O914" s="784">
        <v>7</v>
      </c>
      <c r="P914" s="783">
        <v>173</v>
      </c>
      <c r="Q914" s="783">
        <v>950.64</v>
      </c>
      <c r="R914" s="783">
        <v>0</v>
      </c>
      <c r="S914" s="783">
        <v>0</v>
      </c>
      <c r="T914" s="783">
        <v>950.64</v>
      </c>
      <c r="U914" s="785">
        <v>44657.619456018503</v>
      </c>
    </row>
    <row r="915" spans="1:21">
      <c r="A915" s="782">
        <v>44652</v>
      </c>
      <c r="B915" s="783" t="s">
        <v>51</v>
      </c>
      <c r="C915" s="783" t="s">
        <v>4042</v>
      </c>
      <c r="D915" s="783" t="s">
        <v>4016</v>
      </c>
      <c r="E915" s="783" t="s">
        <v>5986</v>
      </c>
      <c r="F915" s="783" t="s">
        <v>4011</v>
      </c>
      <c r="G915" s="783" t="str">
        <f t="shared" si="54"/>
        <v>New Contract</v>
      </c>
      <c r="H915" s="783" t="s">
        <v>5987</v>
      </c>
      <c r="I915" s="783" t="s">
        <v>5988</v>
      </c>
      <c r="J915" s="783">
        <v>20</v>
      </c>
      <c r="K915" s="783" t="s">
        <v>99</v>
      </c>
      <c r="L915" s="783" t="s">
        <v>4096</v>
      </c>
      <c r="M915" s="784">
        <v>99214.62</v>
      </c>
      <c r="N915" s="784">
        <v>72.77</v>
      </c>
      <c r="O915" s="784">
        <v>8.02</v>
      </c>
      <c r="P915" s="783">
        <v>170</v>
      </c>
      <c r="Q915" s="783">
        <v>4315.84</v>
      </c>
      <c r="R915" s="783">
        <v>2787.93</v>
      </c>
      <c r="S915" s="783">
        <v>426.62</v>
      </c>
      <c r="T915" s="783">
        <v>1101.28</v>
      </c>
      <c r="U915" s="785">
        <v>44655.498935185198</v>
      </c>
    </row>
    <row r="916" spans="1:21">
      <c r="A916" s="782">
        <v>44686</v>
      </c>
      <c r="B916" s="783" t="s">
        <v>51</v>
      </c>
      <c r="C916" s="783" t="s">
        <v>4015</v>
      </c>
      <c r="D916" s="783" t="s">
        <v>4016</v>
      </c>
      <c r="E916" s="783" t="s">
        <v>2227</v>
      </c>
      <c r="F916" s="783" t="s">
        <v>4011</v>
      </c>
      <c r="G916" s="783" t="str">
        <f t="shared" si="54"/>
        <v>Renewal (20% in 2020)</v>
      </c>
      <c r="H916" s="783" t="s">
        <v>4069</v>
      </c>
      <c r="I916" s="783" t="s">
        <v>4070</v>
      </c>
      <c r="J916" s="783">
        <v>20</v>
      </c>
      <c r="K916" s="783" t="s">
        <v>99</v>
      </c>
      <c r="L916" s="783" t="s">
        <v>4096</v>
      </c>
      <c r="M916" s="784">
        <v>90956.800000000003</v>
      </c>
      <c r="N916" s="784">
        <v>76</v>
      </c>
      <c r="O916" s="784">
        <v>7.04</v>
      </c>
      <c r="P916" s="783">
        <v>170</v>
      </c>
      <c r="Q916" s="783">
        <v>6439.74</v>
      </c>
      <c r="R916" s="783">
        <v>3747.42</v>
      </c>
      <c r="S916" s="783">
        <v>573.03</v>
      </c>
      <c r="T916" s="783">
        <v>2119.29</v>
      </c>
      <c r="U916" s="785">
        <v>44687.664907407401</v>
      </c>
    </row>
    <row r="917" spans="1:21">
      <c r="A917" s="782">
        <v>44657</v>
      </c>
      <c r="B917" s="783" t="s">
        <v>74</v>
      </c>
      <c r="C917" s="783" t="s">
        <v>4097</v>
      </c>
      <c r="D917" s="783" t="s">
        <v>4038</v>
      </c>
      <c r="E917" s="783" t="s">
        <v>5989</v>
      </c>
      <c r="F917" s="783" t="s">
        <v>4011</v>
      </c>
      <c r="G917" s="783" t="str">
        <f t="shared" si="54"/>
        <v>Renewal (15% in 2020)</v>
      </c>
      <c r="H917" s="783" t="s">
        <v>5990</v>
      </c>
      <c r="I917" s="783" t="s">
        <v>5991</v>
      </c>
      <c r="J917" s="783">
        <v>15</v>
      </c>
      <c r="K917" s="783" t="s">
        <v>99</v>
      </c>
      <c r="L917" s="783" t="s">
        <v>4096</v>
      </c>
      <c r="M917" s="784">
        <v>17342.04</v>
      </c>
      <c r="N917" s="784">
        <v>15.93</v>
      </c>
      <c r="O917" s="784">
        <v>4.8600000000000003</v>
      </c>
      <c r="P917" s="783">
        <v>224</v>
      </c>
      <c r="Q917" s="783">
        <v>1148.04</v>
      </c>
      <c r="R917" s="783">
        <v>379.04</v>
      </c>
      <c r="S917" s="783">
        <v>188.04</v>
      </c>
      <c r="T917" s="783">
        <v>580.96</v>
      </c>
      <c r="U917" s="785">
        <v>44657.624374999999</v>
      </c>
    </row>
    <row r="918" spans="1:21">
      <c r="A918" s="782">
        <v>44654</v>
      </c>
      <c r="B918" s="783" t="s">
        <v>113</v>
      </c>
      <c r="C918" s="783" t="s">
        <v>4606</v>
      </c>
      <c r="D918" s="783" t="s">
        <v>4009</v>
      </c>
      <c r="E918" s="783" t="s">
        <v>5992</v>
      </c>
      <c r="F918" s="783" t="s">
        <v>4011</v>
      </c>
      <c r="G918" s="783" t="str">
        <f t="shared" si="54"/>
        <v>Renewal (25% in 2020)</v>
      </c>
      <c r="H918" s="783" t="s">
        <v>5993</v>
      </c>
      <c r="I918" s="783" t="s">
        <v>5994</v>
      </c>
      <c r="J918" s="783">
        <v>25</v>
      </c>
      <c r="K918" s="783" t="s">
        <v>99</v>
      </c>
      <c r="L918" s="783" t="s">
        <v>4096</v>
      </c>
      <c r="M918" s="784">
        <v>9800.34</v>
      </c>
      <c r="N918" s="784">
        <v>6.35</v>
      </c>
      <c r="O918" s="784">
        <v>6.89</v>
      </c>
      <c r="P918" s="783">
        <v>224</v>
      </c>
      <c r="Q918" s="783">
        <v>476.3</v>
      </c>
      <c r="R918" s="783">
        <v>256.58999999999997</v>
      </c>
      <c r="S918" s="783">
        <v>128.56</v>
      </c>
      <c r="T918" s="783">
        <v>91.14</v>
      </c>
      <c r="U918" s="785">
        <v>44655.502337963</v>
      </c>
    </row>
    <row r="919" spans="1:21">
      <c r="A919" s="782">
        <v>44655</v>
      </c>
      <c r="B919" s="783" t="s">
        <v>2866</v>
      </c>
      <c r="C919" s="783" t="s">
        <v>4008</v>
      </c>
      <c r="D919" s="783" t="s">
        <v>4009</v>
      </c>
      <c r="E919" s="783" t="s">
        <v>5995</v>
      </c>
      <c r="F919" s="783" t="s">
        <v>4011</v>
      </c>
      <c r="G919" s="783" t="s">
        <v>4028</v>
      </c>
      <c r="H919" s="783" t="s">
        <v>5996</v>
      </c>
      <c r="I919" s="783" t="s">
        <v>5997</v>
      </c>
      <c r="J919" s="783">
        <v>15</v>
      </c>
      <c r="K919" s="783" t="s">
        <v>99</v>
      </c>
      <c r="L919" s="783" t="s">
        <v>4096</v>
      </c>
      <c r="M919" s="784">
        <v>158785.1</v>
      </c>
      <c r="N919" s="784">
        <v>131</v>
      </c>
      <c r="O919" s="784">
        <v>7.13</v>
      </c>
      <c r="P919" s="783">
        <v>170</v>
      </c>
      <c r="Q919" s="783">
        <v>10860.9</v>
      </c>
      <c r="R919" s="783">
        <v>4668.28</v>
      </c>
      <c r="S919" s="783">
        <v>730.41</v>
      </c>
      <c r="T919" s="783">
        <v>5462.21</v>
      </c>
      <c r="U919" s="785">
        <v>44657.605914351901</v>
      </c>
    </row>
    <row r="920" spans="1:21">
      <c r="A920" s="782">
        <v>44698</v>
      </c>
      <c r="B920" s="783" t="s">
        <v>228</v>
      </c>
      <c r="C920" s="783" t="s">
        <v>4417</v>
      </c>
      <c r="D920" s="783" t="s">
        <v>4193</v>
      </c>
      <c r="E920" s="783" t="s">
        <v>4418</v>
      </c>
      <c r="F920" s="783" t="s">
        <v>4011</v>
      </c>
      <c r="G920" s="783" t="str">
        <f>VLOOKUP(I920,pacage,2,FALSE)</f>
        <v>Renewal (25% in 2020)</v>
      </c>
      <c r="H920" s="783" t="s">
        <v>4419</v>
      </c>
      <c r="I920" s="783" t="s">
        <v>4420</v>
      </c>
      <c r="J920" s="783">
        <v>25</v>
      </c>
      <c r="K920" s="783" t="s">
        <v>99</v>
      </c>
      <c r="L920" s="783" t="s">
        <v>4096</v>
      </c>
      <c r="M920" s="784">
        <v>22378.19</v>
      </c>
      <c r="N920" s="784">
        <v>19.87</v>
      </c>
      <c r="O920" s="784">
        <v>6.51</v>
      </c>
      <c r="P920" s="783">
        <v>173</v>
      </c>
      <c r="Q920" s="783">
        <v>906.32</v>
      </c>
      <c r="R920" s="783">
        <v>700.44</v>
      </c>
      <c r="S920" s="783">
        <v>107.42</v>
      </c>
      <c r="T920" s="783">
        <v>98.46</v>
      </c>
      <c r="U920" s="785">
        <v>44699.714861111097</v>
      </c>
    </row>
    <row r="921" spans="1:21">
      <c r="A921" s="782">
        <v>44615</v>
      </c>
      <c r="B921" s="783" t="s">
        <v>74</v>
      </c>
      <c r="C921" s="783" t="s">
        <v>4037</v>
      </c>
      <c r="D921" s="783" t="s">
        <v>4038</v>
      </c>
      <c r="E921" s="783" t="s">
        <v>1665</v>
      </c>
      <c r="F921" s="783" t="s">
        <v>4011</v>
      </c>
      <c r="G921" s="783" t="s">
        <v>4028</v>
      </c>
      <c r="H921" s="783" t="s">
        <v>4421</v>
      </c>
      <c r="I921" s="783" t="s">
        <v>4422</v>
      </c>
      <c r="J921" s="783">
        <v>30</v>
      </c>
      <c r="K921" s="783" t="s">
        <v>99</v>
      </c>
      <c r="L921" s="783" t="s">
        <v>4096</v>
      </c>
      <c r="M921" s="784">
        <v>71201.88</v>
      </c>
      <c r="N921" s="784">
        <v>61.17</v>
      </c>
      <c r="O921" s="784">
        <v>5.82</v>
      </c>
      <c r="P921" s="783">
        <v>200</v>
      </c>
      <c r="Q921" s="783">
        <v>3666.9</v>
      </c>
      <c r="R921" s="783">
        <v>2438.9499999999998</v>
      </c>
      <c r="S921" s="783">
        <v>380.65</v>
      </c>
      <c r="T921" s="783">
        <v>847.3</v>
      </c>
      <c r="U921" s="785">
        <v>44631.511851851901</v>
      </c>
    </row>
    <row r="922" spans="1:21">
      <c r="A922" s="782">
        <v>44615</v>
      </c>
      <c r="B922" s="783" t="s">
        <v>41</v>
      </c>
      <c r="C922" s="783" t="s">
        <v>4139</v>
      </c>
      <c r="D922" s="783" t="s">
        <v>4009</v>
      </c>
      <c r="E922" s="783" t="s">
        <v>1583</v>
      </c>
      <c r="F922" s="783" t="s">
        <v>4011</v>
      </c>
      <c r="G922" s="783" t="str">
        <f t="shared" ref="G922:G927" si="55">VLOOKUP(I922,pacage,2,FALSE)</f>
        <v>Renewal (20% in 2020)</v>
      </c>
      <c r="H922" s="783" t="s">
        <v>5998</v>
      </c>
      <c r="I922" s="783" t="s">
        <v>5999</v>
      </c>
      <c r="J922" s="783">
        <v>20</v>
      </c>
      <c r="K922" s="783" t="s">
        <v>99</v>
      </c>
      <c r="L922" s="783" t="s">
        <v>4096</v>
      </c>
      <c r="M922" s="784">
        <v>59739.24</v>
      </c>
      <c r="N922" s="784">
        <v>51.51</v>
      </c>
      <c r="O922" s="784">
        <v>7.63</v>
      </c>
      <c r="P922" s="783">
        <v>152</v>
      </c>
      <c r="Q922" s="783">
        <v>2323.86</v>
      </c>
      <c r="R922" s="783">
        <v>1403.87</v>
      </c>
      <c r="S922" s="783">
        <v>215.06</v>
      </c>
      <c r="T922" s="783">
        <v>704.92</v>
      </c>
      <c r="U922" s="785">
        <v>44631.511909722198</v>
      </c>
    </row>
    <row r="923" spans="1:21">
      <c r="A923" s="782">
        <v>44565</v>
      </c>
      <c r="B923" s="783" t="s">
        <v>41</v>
      </c>
      <c r="C923" s="783" t="s">
        <v>4192</v>
      </c>
      <c r="D923" s="783" t="s">
        <v>4193</v>
      </c>
      <c r="E923" s="783" t="s">
        <v>4194</v>
      </c>
      <c r="F923" s="783" t="s">
        <v>4011</v>
      </c>
      <c r="G923" s="783" t="str">
        <f t="shared" si="55"/>
        <v>Renewal (15% in 2020)</v>
      </c>
      <c r="H923" s="783" t="s">
        <v>4195</v>
      </c>
      <c r="I923" s="783" t="s">
        <v>4196</v>
      </c>
      <c r="J923" s="783">
        <v>30</v>
      </c>
      <c r="K923" s="783" t="s">
        <v>99</v>
      </c>
      <c r="L923" s="783" t="s">
        <v>4096</v>
      </c>
      <c r="M923" s="784">
        <v>21804.83</v>
      </c>
      <c r="N923" s="784">
        <v>21.91</v>
      </c>
      <c r="O923" s="784">
        <v>6.22</v>
      </c>
      <c r="P923" s="783">
        <v>160</v>
      </c>
      <c r="Q923" s="783">
        <v>713.02</v>
      </c>
      <c r="R923" s="783">
        <v>614.9</v>
      </c>
      <c r="S923" s="783">
        <v>0</v>
      </c>
      <c r="T923" s="783">
        <v>98.12</v>
      </c>
      <c r="U923" s="785">
        <v>44631.635254629597</v>
      </c>
    </row>
    <row r="924" spans="1:21">
      <c r="A924" s="782">
        <v>44565</v>
      </c>
      <c r="B924" s="783" t="s">
        <v>41</v>
      </c>
      <c r="C924" s="783" t="s">
        <v>4121</v>
      </c>
      <c r="D924" s="783" t="s">
        <v>4009</v>
      </c>
      <c r="E924" s="783" t="s">
        <v>4194</v>
      </c>
      <c r="F924" s="783" t="s">
        <v>4011</v>
      </c>
      <c r="G924" s="783" t="str">
        <f t="shared" si="55"/>
        <v>Renewal (15% in 2020)</v>
      </c>
      <c r="H924" s="783" t="s">
        <v>4195</v>
      </c>
      <c r="I924" s="783" t="s">
        <v>4196</v>
      </c>
      <c r="J924" s="783">
        <v>30</v>
      </c>
      <c r="K924" s="783" t="s">
        <v>99</v>
      </c>
      <c r="L924" s="783" t="s">
        <v>4096</v>
      </c>
      <c r="M924" s="784">
        <v>8160.64</v>
      </c>
      <c r="N924" s="784">
        <v>8.1999999999999993</v>
      </c>
      <c r="O924" s="784">
        <v>6.22</v>
      </c>
      <c r="P924" s="783">
        <v>160</v>
      </c>
      <c r="Q924" s="783">
        <v>250.53</v>
      </c>
      <c r="R924" s="783">
        <v>213.81</v>
      </c>
      <c r="S924" s="783">
        <v>0</v>
      </c>
      <c r="T924" s="783">
        <v>36.72</v>
      </c>
      <c r="U924" s="785">
        <v>44631.635266203702</v>
      </c>
    </row>
    <row r="925" spans="1:21">
      <c r="A925" s="782">
        <v>44652</v>
      </c>
      <c r="B925" s="783" t="s">
        <v>74</v>
      </c>
      <c r="C925" s="783" t="s">
        <v>4037</v>
      </c>
      <c r="D925" s="783" t="s">
        <v>4038</v>
      </c>
      <c r="E925" s="783" t="s">
        <v>4693</v>
      </c>
      <c r="F925" s="783" t="s">
        <v>4011</v>
      </c>
      <c r="G925" s="783" t="str">
        <f t="shared" si="55"/>
        <v>Renewal (25% in 2020)</v>
      </c>
      <c r="H925" s="783" t="s">
        <v>4694</v>
      </c>
      <c r="I925" s="783" t="s">
        <v>4695</v>
      </c>
      <c r="J925" s="783">
        <v>25</v>
      </c>
      <c r="K925" s="783" t="s">
        <v>99</v>
      </c>
      <c r="L925" s="783" t="s">
        <v>4096</v>
      </c>
      <c r="M925" s="784">
        <v>81796</v>
      </c>
      <c r="N925" s="784">
        <v>55</v>
      </c>
      <c r="O925" s="784">
        <v>6.76</v>
      </c>
      <c r="P925" s="783">
        <v>220</v>
      </c>
      <c r="Q925" s="783">
        <v>4727.8100000000004</v>
      </c>
      <c r="R925" s="783">
        <v>2547.13</v>
      </c>
      <c r="S925" s="783">
        <v>1207.31</v>
      </c>
      <c r="T925" s="783">
        <v>973.37</v>
      </c>
      <c r="U925" s="785">
        <v>44662.739421296297</v>
      </c>
    </row>
    <row r="926" spans="1:21">
      <c r="A926" s="782">
        <v>44559</v>
      </c>
      <c r="B926" s="783" t="s">
        <v>34</v>
      </c>
      <c r="C926" s="783" t="s">
        <v>4139</v>
      </c>
      <c r="D926" s="783" t="s">
        <v>4009</v>
      </c>
      <c r="E926" s="783" t="s">
        <v>6000</v>
      </c>
      <c r="F926" s="783" t="s">
        <v>4011</v>
      </c>
      <c r="G926" s="783" t="str">
        <f t="shared" si="55"/>
        <v>Renewal (25% in 2020)</v>
      </c>
      <c r="H926" s="783" t="s">
        <v>6001</v>
      </c>
      <c r="I926" s="783" t="s">
        <v>6002</v>
      </c>
      <c r="J926" s="783">
        <v>25</v>
      </c>
      <c r="K926" s="783" t="s">
        <v>99</v>
      </c>
      <c r="L926" s="783" t="s">
        <v>4096</v>
      </c>
      <c r="M926" s="784">
        <v>119600</v>
      </c>
      <c r="N926" s="784">
        <v>100</v>
      </c>
      <c r="O926" s="784">
        <v>5.98</v>
      </c>
      <c r="P926" s="783">
        <v>200</v>
      </c>
      <c r="Q926" s="783">
        <v>3599.96</v>
      </c>
      <c r="R926" s="783">
        <v>2431.17</v>
      </c>
      <c r="S926" s="783">
        <v>809.99</v>
      </c>
      <c r="T926" s="783">
        <v>358.8</v>
      </c>
      <c r="U926" s="785">
        <v>44631.635381944398</v>
      </c>
    </row>
    <row r="927" spans="1:21">
      <c r="A927" s="782">
        <v>44564</v>
      </c>
      <c r="B927" s="783" t="s">
        <v>41</v>
      </c>
      <c r="C927" s="783" t="s">
        <v>4139</v>
      </c>
      <c r="D927" s="783" t="s">
        <v>4009</v>
      </c>
      <c r="E927" s="783" t="s">
        <v>6003</v>
      </c>
      <c r="F927" s="783" t="s">
        <v>4011</v>
      </c>
      <c r="G927" s="783" t="str">
        <f t="shared" si="55"/>
        <v>Renewal (25% in 2020)</v>
      </c>
      <c r="H927" s="783" t="s">
        <v>6004</v>
      </c>
      <c r="I927" s="783" t="s">
        <v>6005</v>
      </c>
      <c r="J927" s="783">
        <v>30</v>
      </c>
      <c r="K927" s="783" t="s">
        <v>99</v>
      </c>
      <c r="L927" s="783" t="s">
        <v>4096</v>
      </c>
      <c r="M927" s="784">
        <v>65199.07</v>
      </c>
      <c r="N927" s="784">
        <v>55.69</v>
      </c>
      <c r="O927" s="784">
        <v>6.69</v>
      </c>
      <c r="P927" s="783">
        <v>175</v>
      </c>
      <c r="Q927" s="783">
        <v>1727.78</v>
      </c>
      <c r="R927" s="783">
        <v>1514.67</v>
      </c>
      <c r="S927" s="783">
        <v>17.510000000000002</v>
      </c>
      <c r="T927" s="783">
        <v>195.6</v>
      </c>
      <c r="U927" s="785">
        <v>44631.635127314803</v>
      </c>
    </row>
    <row r="928" spans="1:21">
      <c r="A928" s="782">
        <v>44564</v>
      </c>
      <c r="B928" s="783" t="s">
        <v>30</v>
      </c>
      <c r="C928" s="783" t="s">
        <v>4239</v>
      </c>
      <c r="D928" s="783" t="s">
        <v>4021</v>
      </c>
      <c r="E928" s="783" t="s">
        <v>6006</v>
      </c>
      <c r="F928" s="783" t="s">
        <v>4066</v>
      </c>
      <c r="G928" s="783" t="s">
        <v>4028</v>
      </c>
      <c r="H928" s="783" t="s">
        <v>6007</v>
      </c>
      <c r="I928" s="783" t="s">
        <v>6008</v>
      </c>
      <c r="J928" s="783">
        <v>5</v>
      </c>
      <c r="K928" s="783" t="s">
        <v>99</v>
      </c>
      <c r="L928" s="783" t="s">
        <v>4096</v>
      </c>
      <c r="M928" s="784">
        <v>67712</v>
      </c>
      <c r="N928" s="784">
        <v>52.9</v>
      </c>
      <c r="O928" s="784">
        <v>8</v>
      </c>
      <c r="P928" s="783">
        <v>160</v>
      </c>
      <c r="Q928" s="783">
        <v>968.28</v>
      </c>
      <c r="R928" s="783">
        <v>0</v>
      </c>
      <c r="S928" s="783">
        <v>0</v>
      </c>
      <c r="T928" s="783">
        <v>968.28</v>
      </c>
      <c r="U928" s="785">
        <v>44631.632187499999</v>
      </c>
    </row>
    <row r="929" spans="1:21">
      <c r="A929" s="782">
        <v>44566</v>
      </c>
      <c r="B929" s="783" t="s">
        <v>113</v>
      </c>
      <c r="C929" s="783" t="s">
        <v>4606</v>
      </c>
      <c r="D929" s="783" t="s">
        <v>4009</v>
      </c>
      <c r="E929" s="783" t="s">
        <v>6009</v>
      </c>
      <c r="F929" s="783" t="s">
        <v>4011</v>
      </c>
      <c r="G929" s="783" t="str">
        <f>VLOOKUP(I929,pacage,2,FALSE)</f>
        <v>Renewal (20% in 2020)</v>
      </c>
      <c r="H929" s="783" t="s">
        <v>6010</v>
      </c>
      <c r="I929" s="783" t="s">
        <v>6011</v>
      </c>
      <c r="J929" s="783">
        <v>25</v>
      </c>
      <c r="K929" s="783" t="s">
        <v>99</v>
      </c>
      <c r="L929" s="783" t="s">
        <v>4096</v>
      </c>
      <c r="M929" s="784">
        <v>2892.56</v>
      </c>
      <c r="N929" s="784">
        <v>4</v>
      </c>
      <c r="O929" s="784">
        <v>4.18</v>
      </c>
      <c r="P929" s="783">
        <v>173</v>
      </c>
      <c r="Q929" s="783">
        <v>140.58000000000001</v>
      </c>
      <c r="R929" s="783">
        <v>98.06</v>
      </c>
      <c r="S929" s="783">
        <v>15.62</v>
      </c>
      <c r="T929" s="783">
        <v>26.9</v>
      </c>
      <c r="U929" s="785">
        <v>44631.635416666701</v>
      </c>
    </row>
    <row r="930" spans="1:21">
      <c r="A930" s="782">
        <v>44572</v>
      </c>
      <c r="B930" s="783" t="s">
        <v>41</v>
      </c>
      <c r="C930" s="783" t="s">
        <v>4092</v>
      </c>
      <c r="D930" s="783" t="s">
        <v>4009</v>
      </c>
      <c r="E930" s="783" t="s">
        <v>6012</v>
      </c>
      <c r="F930" s="783" t="s">
        <v>4011</v>
      </c>
      <c r="G930" s="783" t="s">
        <v>4028</v>
      </c>
      <c r="H930" s="783" t="s">
        <v>6013</v>
      </c>
      <c r="I930" s="783" t="s">
        <v>6014</v>
      </c>
      <c r="J930" s="783">
        <v>25</v>
      </c>
      <c r="K930" s="783" t="s">
        <v>99</v>
      </c>
      <c r="L930" s="783" t="s">
        <v>4096</v>
      </c>
      <c r="M930" s="784">
        <v>64974</v>
      </c>
      <c r="N930" s="784">
        <v>49</v>
      </c>
      <c r="O930" s="784">
        <v>6.63</v>
      </c>
      <c r="P930" s="783">
        <v>200</v>
      </c>
      <c r="Q930" s="783">
        <v>2631.45</v>
      </c>
      <c r="R930" s="783">
        <v>1736.66</v>
      </c>
      <c r="S930" s="783">
        <v>628.4</v>
      </c>
      <c r="T930" s="783">
        <v>266.39</v>
      </c>
      <c r="U930" s="785">
        <v>44631.632615740702</v>
      </c>
    </row>
    <row r="931" spans="1:21">
      <c r="A931" s="782">
        <v>44560</v>
      </c>
      <c r="B931" s="783" t="s">
        <v>228</v>
      </c>
      <c r="C931" s="783" t="s">
        <v>4192</v>
      </c>
      <c r="D931" s="783" t="s">
        <v>4193</v>
      </c>
      <c r="E931" s="783" t="s">
        <v>6015</v>
      </c>
      <c r="F931" s="783" t="s">
        <v>4011</v>
      </c>
      <c r="G931" s="783" t="s">
        <v>4028</v>
      </c>
      <c r="H931" s="783" t="s">
        <v>6016</v>
      </c>
      <c r="I931" s="783" t="s">
        <v>6017</v>
      </c>
      <c r="J931" s="783">
        <v>25</v>
      </c>
      <c r="K931" s="783" t="s">
        <v>99</v>
      </c>
      <c r="L931" s="783" t="s">
        <v>4096</v>
      </c>
      <c r="M931" s="784">
        <v>33145.550000000003</v>
      </c>
      <c r="N931" s="784">
        <v>22.69</v>
      </c>
      <c r="O931" s="784">
        <v>6.64</v>
      </c>
      <c r="P931" s="783">
        <v>220</v>
      </c>
      <c r="Q931" s="783">
        <v>1226.3900000000001</v>
      </c>
      <c r="R931" s="783">
        <v>735.02</v>
      </c>
      <c r="S931" s="783">
        <v>342.21</v>
      </c>
      <c r="T931" s="783">
        <v>149.15</v>
      </c>
      <c r="U931" s="785">
        <v>44631.635324074101</v>
      </c>
    </row>
    <row r="932" spans="1:21">
      <c r="A932" s="782">
        <v>44561</v>
      </c>
      <c r="B932" s="783" t="s">
        <v>4025</v>
      </c>
      <c r="C932" s="783" t="s">
        <v>4239</v>
      </c>
      <c r="D932" s="783" t="s">
        <v>4021</v>
      </c>
      <c r="E932" s="783" t="s">
        <v>6018</v>
      </c>
      <c r="F932" s="783" t="s">
        <v>4011</v>
      </c>
      <c r="G932" s="783" t="s">
        <v>4028</v>
      </c>
      <c r="H932" s="783" t="s">
        <v>6019</v>
      </c>
      <c r="I932" s="783" t="s">
        <v>6020</v>
      </c>
      <c r="J932" s="783">
        <v>25</v>
      </c>
      <c r="K932" s="783" t="s">
        <v>99</v>
      </c>
      <c r="L932" s="783" t="s">
        <v>4096</v>
      </c>
      <c r="M932" s="784">
        <v>98181.35</v>
      </c>
      <c r="N932" s="784">
        <v>73</v>
      </c>
      <c r="O932" s="784">
        <v>7.27</v>
      </c>
      <c r="P932" s="783">
        <v>185</v>
      </c>
      <c r="Q932" s="783">
        <v>3367.62</v>
      </c>
      <c r="R932" s="783">
        <v>2276.96</v>
      </c>
      <c r="S932" s="783">
        <v>658.66</v>
      </c>
      <c r="T932" s="783">
        <v>432</v>
      </c>
      <c r="U932" s="785">
        <v>44631.632118055597</v>
      </c>
    </row>
    <row r="933" spans="1:21">
      <c r="A933" s="782">
        <v>44594</v>
      </c>
      <c r="B933" s="783" t="s">
        <v>113</v>
      </c>
      <c r="C933" s="783" t="s">
        <v>4097</v>
      </c>
      <c r="D933" s="783" t="s">
        <v>4038</v>
      </c>
      <c r="E933" s="783" t="s">
        <v>6021</v>
      </c>
      <c r="F933" s="783" t="s">
        <v>4066</v>
      </c>
      <c r="G933" s="783" t="str">
        <f>VLOOKUP(I933,pacage,2,FALSE)</f>
        <v>Renewal (15% in 2020)</v>
      </c>
      <c r="H933" s="783" t="s">
        <v>6022</v>
      </c>
      <c r="I933" s="783" t="s">
        <v>6023</v>
      </c>
      <c r="J933" s="783">
        <v>5</v>
      </c>
      <c r="K933" s="783" t="s">
        <v>99</v>
      </c>
      <c r="L933" s="783" t="s">
        <v>4096</v>
      </c>
      <c r="M933" s="784">
        <v>17072</v>
      </c>
      <c r="N933" s="784">
        <v>10.67</v>
      </c>
      <c r="O933" s="784">
        <v>8</v>
      </c>
      <c r="P933" s="783">
        <v>200</v>
      </c>
      <c r="Q933" s="783">
        <v>334.61</v>
      </c>
      <c r="R933" s="783">
        <v>0</v>
      </c>
      <c r="S933" s="783">
        <v>0</v>
      </c>
      <c r="T933" s="783">
        <v>334.61</v>
      </c>
      <c r="U933" s="785">
        <v>44631.635289351798</v>
      </c>
    </row>
    <row r="934" spans="1:21">
      <c r="A934" s="782">
        <v>44568</v>
      </c>
      <c r="B934" s="783" t="s">
        <v>41</v>
      </c>
      <c r="C934" s="783" t="s">
        <v>4092</v>
      </c>
      <c r="D934" s="783" t="s">
        <v>4009</v>
      </c>
      <c r="E934" s="783" t="s">
        <v>4696</v>
      </c>
      <c r="F934" s="783" t="s">
        <v>4011</v>
      </c>
      <c r="G934" s="783" t="str">
        <f>VLOOKUP(I934,pacage,2,FALSE)</f>
        <v>Renewal (25% in 2020)</v>
      </c>
      <c r="H934" s="783" t="s">
        <v>4697</v>
      </c>
      <c r="I934" s="783" t="s">
        <v>4698</v>
      </c>
      <c r="J934" s="783">
        <v>25</v>
      </c>
      <c r="K934" s="783" t="s">
        <v>99</v>
      </c>
      <c r="L934" s="783" t="s">
        <v>4096</v>
      </c>
      <c r="M934" s="784">
        <v>18328.05</v>
      </c>
      <c r="N934" s="784">
        <v>16.899999999999999</v>
      </c>
      <c r="O934" s="784">
        <v>7.23</v>
      </c>
      <c r="P934" s="783">
        <v>150</v>
      </c>
      <c r="Q934" s="783">
        <v>742.29</v>
      </c>
      <c r="R934" s="783">
        <v>566.34</v>
      </c>
      <c r="S934" s="783">
        <v>100.8</v>
      </c>
      <c r="T934" s="783">
        <v>75.150000000000006</v>
      </c>
      <c r="U934" s="785">
        <v>44631.632789351897</v>
      </c>
    </row>
    <row r="935" spans="1:21">
      <c r="A935" s="782">
        <v>44613</v>
      </c>
      <c r="B935" s="783" t="s">
        <v>41</v>
      </c>
      <c r="C935" s="783" t="s">
        <v>4082</v>
      </c>
      <c r="D935" s="783" t="s">
        <v>4009</v>
      </c>
      <c r="E935" s="783" t="s">
        <v>4699</v>
      </c>
      <c r="F935" s="783" t="s">
        <v>4011</v>
      </c>
      <c r="G935" s="783" t="str">
        <f>VLOOKUP(I935,pacage,2,FALSE)</f>
        <v>Renewal (30% in 2020)</v>
      </c>
      <c r="H935" s="783" t="s">
        <v>4700</v>
      </c>
      <c r="I935" s="783" t="s">
        <v>4701</v>
      </c>
      <c r="J935" s="783">
        <v>30</v>
      </c>
      <c r="K935" s="783" t="s">
        <v>99</v>
      </c>
      <c r="L935" s="783" t="s">
        <v>4096</v>
      </c>
      <c r="M935" s="784">
        <v>13689.48</v>
      </c>
      <c r="N935" s="784">
        <v>11.37</v>
      </c>
      <c r="O935" s="784">
        <v>6.02</v>
      </c>
      <c r="P935" s="783">
        <v>200</v>
      </c>
      <c r="Q935" s="783">
        <v>453.12</v>
      </c>
      <c r="R935" s="783">
        <v>345.77</v>
      </c>
      <c r="S935" s="783">
        <v>53.96</v>
      </c>
      <c r="T935" s="783">
        <v>53.39</v>
      </c>
      <c r="U935" s="785">
        <v>44631.632337962998</v>
      </c>
    </row>
    <row r="936" spans="1:21">
      <c r="A936" s="782">
        <v>44559</v>
      </c>
      <c r="B936" s="783" t="s">
        <v>74</v>
      </c>
      <c r="C936" s="783" t="s">
        <v>4414</v>
      </c>
      <c r="D936" s="783" t="s">
        <v>4009</v>
      </c>
      <c r="E936" s="783" t="s">
        <v>4426</v>
      </c>
      <c r="F936" s="783" t="s">
        <v>4011</v>
      </c>
      <c r="G936" s="783" t="s">
        <v>4028</v>
      </c>
      <c r="H936" s="783" t="s">
        <v>4427</v>
      </c>
      <c r="I936" s="783" t="s">
        <v>4428</v>
      </c>
      <c r="J936" s="783">
        <v>20</v>
      </c>
      <c r="K936" s="783" t="s">
        <v>99</v>
      </c>
      <c r="L936" s="783" t="s">
        <v>4096</v>
      </c>
      <c r="M936" s="784">
        <v>20239.8</v>
      </c>
      <c r="N936" s="784">
        <v>18.3</v>
      </c>
      <c r="O936" s="784">
        <v>5.53</v>
      </c>
      <c r="P936" s="783">
        <v>200</v>
      </c>
      <c r="Q936" s="783">
        <v>1325.71</v>
      </c>
      <c r="R936" s="783">
        <v>621.51</v>
      </c>
      <c r="S936" s="783">
        <v>212.37</v>
      </c>
      <c r="T936" s="783">
        <v>491.83</v>
      </c>
      <c r="U936" s="785">
        <v>44631.635625000003</v>
      </c>
    </row>
    <row r="937" spans="1:21">
      <c r="A937" s="782">
        <v>44572</v>
      </c>
      <c r="B937" s="783" t="s">
        <v>41</v>
      </c>
      <c r="C937" s="783" t="s">
        <v>4071</v>
      </c>
      <c r="D937" s="783" t="s">
        <v>4009</v>
      </c>
      <c r="E937" s="783" t="s">
        <v>6024</v>
      </c>
      <c r="F937" s="783" t="s">
        <v>4011</v>
      </c>
      <c r="G937" s="783" t="str">
        <f>VLOOKUP(I937,pacage,2,FALSE)</f>
        <v>Renewal (15% in 2020)</v>
      </c>
      <c r="H937" s="783" t="s">
        <v>6025</v>
      </c>
      <c r="I937" s="783" t="s">
        <v>6026</v>
      </c>
      <c r="J937" s="783">
        <v>15</v>
      </c>
      <c r="K937" s="783" t="s">
        <v>99</v>
      </c>
      <c r="L937" s="783" t="s">
        <v>4096</v>
      </c>
      <c r="M937" s="784">
        <v>13457.6</v>
      </c>
      <c r="N937" s="784">
        <v>13</v>
      </c>
      <c r="O937" s="784">
        <v>6.47</v>
      </c>
      <c r="P937" s="783">
        <v>160</v>
      </c>
      <c r="Q937" s="783">
        <v>675.57</v>
      </c>
      <c r="R937" s="783">
        <v>304.14</v>
      </c>
      <c r="S937" s="783">
        <v>47.1</v>
      </c>
      <c r="T937" s="783">
        <v>324.33</v>
      </c>
      <c r="U937" s="785">
        <v>44631.632210648102</v>
      </c>
    </row>
    <row r="938" spans="1:21">
      <c r="A938" s="782">
        <v>44560</v>
      </c>
      <c r="B938" s="783" t="s">
        <v>228</v>
      </c>
      <c r="C938" s="783" t="s">
        <v>4020</v>
      </c>
      <c r="D938" s="783" t="s">
        <v>4021</v>
      </c>
      <c r="E938" s="783" t="s">
        <v>6027</v>
      </c>
      <c r="F938" s="783" t="s">
        <v>4011</v>
      </c>
      <c r="G938" s="783" t="s">
        <v>4028</v>
      </c>
      <c r="H938" s="783" t="s">
        <v>6028</v>
      </c>
      <c r="I938" s="783" t="s">
        <v>6029</v>
      </c>
      <c r="J938" s="783">
        <v>30</v>
      </c>
      <c r="K938" s="783" t="s">
        <v>99</v>
      </c>
      <c r="L938" s="783" t="s">
        <v>4096</v>
      </c>
      <c r="M938" s="784">
        <v>22878.82</v>
      </c>
      <c r="N938" s="784">
        <v>19.25</v>
      </c>
      <c r="O938" s="784">
        <v>6.87</v>
      </c>
      <c r="P938" s="783">
        <v>173</v>
      </c>
      <c r="Q938" s="783">
        <v>983.79</v>
      </c>
      <c r="R938" s="783">
        <v>835.08</v>
      </c>
      <c r="S938" s="783">
        <v>0</v>
      </c>
      <c r="T938" s="783">
        <v>148.71</v>
      </c>
      <c r="U938" s="785">
        <v>44631.635833333297</v>
      </c>
    </row>
    <row r="939" spans="1:21">
      <c r="A939" s="782">
        <v>44678</v>
      </c>
      <c r="B939" s="783" t="s">
        <v>47</v>
      </c>
      <c r="C939" s="783" t="s">
        <v>4101</v>
      </c>
      <c r="D939" s="783" t="s">
        <v>4102</v>
      </c>
      <c r="E939" s="783" t="s">
        <v>4702</v>
      </c>
      <c r="F939" s="783" t="s">
        <v>4011</v>
      </c>
      <c r="G939" s="783" t="str">
        <f>VLOOKUP(I939,pacage,2,FALSE)</f>
        <v>Renewal (30% in 2020)</v>
      </c>
      <c r="H939" s="783" t="s">
        <v>4703</v>
      </c>
      <c r="I939" s="783" t="s">
        <v>4704</v>
      </c>
      <c r="J939" s="783">
        <v>30</v>
      </c>
      <c r="K939" s="783" t="s">
        <v>99</v>
      </c>
      <c r="L939" s="783" t="s">
        <v>4096</v>
      </c>
      <c r="M939" s="784">
        <v>113400</v>
      </c>
      <c r="N939" s="784">
        <v>90</v>
      </c>
      <c r="O939" s="784">
        <v>7</v>
      </c>
      <c r="P939" s="783">
        <v>180</v>
      </c>
      <c r="Q939" s="783">
        <v>2982.42</v>
      </c>
      <c r="R939" s="783">
        <v>2495.87</v>
      </c>
      <c r="S939" s="783">
        <v>100.99</v>
      </c>
      <c r="T939" s="783">
        <v>385.56</v>
      </c>
      <c r="U939" s="785">
        <v>44679.479780092603</v>
      </c>
    </row>
    <row r="940" spans="1:21">
      <c r="A940" s="782">
        <v>44565</v>
      </c>
      <c r="B940" s="783" t="s">
        <v>228</v>
      </c>
      <c r="C940" s="783" t="s">
        <v>4020</v>
      </c>
      <c r="D940" s="783" t="s">
        <v>4021</v>
      </c>
      <c r="E940" s="783" t="s">
        <v>6030</v>
      </c>
      <c r="F940" s="783" t="s">
        <v>4066</v>
      </c>
      <c r="G940" s="783" t="s">
        <v>4028</v>
      </c>
      <c r="H940" s="783" t="s">
        <v>6031</v>
      </c>
      <c r="I940" s="783" t="s">
        <v>6032</v>
      </c>
      <c r="J940" s="783">
        <v>10</v>
      </c>
      <c r="K940" s="783" t="s">
        <v>99</v>
      </c>
      <c r="L940" s="783" t="s">
        <v>4096</v>
      </c>
      <c r="M940" s="784">
        <v>105357</v>
      </c>
      <c r="N940" s="784">
        <v>87</v>
      </c>
      <c r="O940" s="784">
        <v>7</v>
      </c>
      <c r="P940" s="783">
        <v>173</v>
      </c>
      <c r="Q940" s="783">
        <v>1706.78</v>
      </c>
      <c r="R940" s="783">
        <v>0</v>
      </c>
      <c r="S940" s="783">
        <v>0</v>
      </c>
      <c r="T940" s="783">
        <v>1706.78</v>
      </c>
      <c r="U940" s="785">
        <v>44631.635370370401</v>
      </c>
    </row>
    <row r="941" spans="1:21">
      <c r="A941" s="782">
        <v>44564</v>
      </c>
      <c r="B941" s="783" t="s">
        <v>30</v>
      </c>
      <c r="C941" s="783" t="s">
        <v>4089</v>
      </c>
      <c r="D941" s="783" t="s">
        <v>4021</v>
      </c>
      <c r="E941" s="783" t="s">
        <v>6033</v>
      </c>
      <c r="F941" s="783" t="s">
        <v>4011</v>
      </c>
      <c r="G941" s="783" t="str">
        <f>VLOOKUP(I941,pacage,2,FALSE)</f>
        <v>Renewal (25% in 2020)</v>
      </c>
      <c r="H941" s="783" t="s">
        <v>6034</v>
      </c>
      <c r="I941" s="783" t="s">
        <v>6035</v>
      </c>
      <c r="J941" s="783">
        <v>25</v>
      </c>
      <c r="K941" s="783" t="s">
        <v>99</v>
      </c>
      <c r="L941" s="783" t="s">
        <v>4096</v>
      </c>
      <c r="M941" s="784">
        <v>77520</v>
      </c>
      <c r="N941" s="784">
        <v>47.5</v>
      </c>
      <c r="O941" s="784">
        <v>8.16</v>
      </c>
      <c r="P941" s="783">
        <v>200</v>
      </c>
      <c r="Q941" s="783">
        <v>3054.29</v>
      </c>
      <c r="R941" s="783">
        <v>1951.29</v>
      </c>
      <c r="S941" s="783">
        <v>653.38</v>
      </c>
      <c r="T941" s="783">
        <v>449.62</v>
      </c>
      <c r="U941" s="785">
        <v>44631.635231481501</v>
      </c>
    </row>
    <row r="942" spans="1:21">
      <c r="A942" s="782">
        <v>44561</v>
      </c>
      <c r="B942" s="783" t="s">
        <v>4025</v>
      </c>
      <c r="C942" s="783" t="s">
        <v>4239</v>
      </c>
      <c r="D942" s="783" t="s">
        <v>4021</v>
      </c>
      <c r="E942" s="783" t="s">
        <v>6036</v>
      </c>
      <c r="F942" s="783" t="s">
        <v>4011</v>
      </c>
      <c r="G942" s="783" t="s">
        <v>4028</v>
      </c>
      <c r="H942" s="783" t="s">
        <v>6037</v>
      </c>
      <c r="I942" s="783" t="s">
        <v>6038</v>
      </c>
      <c r="J942" s="783">
        <v>20</v>
      </c>
      <c r="K942" s="783" t="s">
        <v>99</v>
      </c>
      <c r="L942" s="783" t="s">
        <v>4096</v>
      </c>
      <c r="M942" s="784">
        <v>73948</v>
      </c>
      <c r="N942" s="784">
        <v>56</v>
      </c>
      <c r="O942" s="784">
        <v>6.95</v>
      </c>
      <c r="P942" s="783">
        <v>190</v>
      </c>
      <c r="Q942" s="783">
        <v>3246.32</v>
      </c>
      <c r="R942" s="783">
        <v>1669.82</v>
      </c>
      <c r="S942" s="783">
        <v>541.22</v>
      </c>
      <c r="T942" s="783">
        <v>1035.27</v>
      </c>
      <c r="U942" s="785">
        <v>44631.632557870398</v>
      </c>
    </row>
    <row r="943" spans="1:21">
      <c r="A943" s="782">
        <v>44561</v>
      </c>
      <c r="B943" s="783" t="s">
        <v>74</v>
      </c>
      <c r="C943" s="783" t="s">
        <v>4097</v>
      </c>
      <c r="D943" s="783" t="s">
        <v>4038</v>
      </c>
      <c r="E943" s="783" t="s">
        <v>4432</v>
      </c>
      <c r="F943" s="783" t="s">
        <v>4011</v>
      </c>
      <c r="G943" s="783" t="s">
        <v>4028</v>
      </c>
      <c r="H943" s="783" t="s">
        <v>4433</v>
      </c>
      <c r="I943" s="783" t="s">
        <v>4434</v>
      </c>
      <c r="J943" s="783">
        <v>20</v>
      </c>
      <c r="K943" s="783" t="s">
        <v>99</v>
      </c>
      <c r="L943" s="783" t="s">
        <v>4096</v>
      </c>
      <c r="M943" s="784">
        <v>12085.2</v>
      </c>
      <c r="N943" s="784">
        <v>11.19</v>
      </c>
      <c r="O943" s="784">
        <v>6</v>
      </c>
      <c r="P943" s="783">
        <v>180</v>
      </c>
      <c r="Q943" s="783">
        <v>605.47</v>
      </c>
      <c r="R943" s="783">
        <v>328.71</v>
      </c>
      <c r="S943" s="783">
        <v>66.48</v>
      </c>
      <c r="T943" s="783">
        <v>210.28</v>
      </c>
      <c r="U943" s="785">
        <v>44631.632303240702</v>
      </c>
    </row>
    <row r="944" spans="1:21">
      <c r="A944" s="782">
        <v>44581</v>
      </c>
      <c r="B944" s="783" t="s">
        <v>113</v>
      </c>
      <c r="C944" s="783" t="s">
        <v>4598</v>
      </c>
      <c r="D944" s="783" t="s">
        <v>4009</v>
      </c>
      <c r="E944" s="783" t="s">
        <v>3697</v>
      </c>
      <c r="F944" s="783" t="s">
        <v>4066</v>
      </c>
      <c r="G944" s="783" t="s">
        <v>4028</v>
      </c>
      <c r="H944" s="783" t="s">
        <v>6039</v>
      </c>
      <c r="I944" s="783" t="s">
        <v>6040</v>
      </c>
      <c r="J944" s="783">
        <v>5</v>
      </c>
      <c r="K944" s="783" t="s">
        <v>99</v>
      </c>
      <c r="L944" s="783" t="s">
        <v>4096</v>
      </c>
      <c r="M944" s="784">
        <v>8658.65</v>
      </c>
      <c r="N944" s="784">
        <v>5.5</v>
      </c>
      <c r="O944" s="784">
        <v>7</v>
      </c>
      <c r="P944" s="783">
        <v>224.9</v>
      </c>
      <c r="Q944" s="783">
        <v>173.17</v>
      </c>
      <c r="R944" s="783">
        <v>0</v>
      </c>
      <c r="S944" s="783">
        <v>0</v>
      </c>
      <c r="T944" s="783">
        <v>173.17</v>
      </c>
      <c r="U944" s="785">
        <v>44631.632881944402</v>
      </c>
    </row>
    <row r="945" spans="1:21">
      <c r="A945" s="782">
        <v>44566</v>
      </c>
      <c r="B945" s="783" t="s">
        <v>74</v>
      </c>
      <c r="C945" s="783" t="s">
        <v>4037</v>
      </c>
      <c r="D945" s="783" t="s">
        <v>4038</v>
      </c>
      <c r="E945" s="783" t="s">
        <v>4197</v>
      </c>
      <c r="F945" s="783" t="s">
        <v>4011</v>
      </c>
      <c r="G945" s="783" t="str">
        <f>VLOOKUP(I945,pacage,2,FALSE)</f>
        <v>Renewal (25% in 2020)</v>
      </c>
      <c r="H945" s="783" t="s">
        <v>4198</v>
      </c>
      <c r="I945" s="783" t="s">
        <v>4199</v>
      </c>
      <c r="J945" s="783">
        <v>25</v>
      </c>
      <c r="K945" s="783" t="s">
        <v>99</v>
      </c>
      <c r="L945" s="783" t="s">
        <v>4096</v>
      </c>
      <c r="M945" s="784">
        <v>47349.83</v>
      </c>
      <c r="N945" s="784">
        <v>55.87</v>
      </c>
      <c r="O945" s="784">
        <v>5.65</v>
      </c>
      <c r="P945" s="783">
        <v>150</v>
      </c>
      <c r="Q945" s="783">
        <v>2736.82</v>
      </c>
      <c r="R945" s="783">
        <v>1875.05</v>
      </c>
      <c r="S945" s="783">
        <v>298.3</v>
      </c>
      <c r="T945" s="783">
        <v>563.46</v>
      </c>
      <c r="U945" s="785">
        <v>44631.632430555597</v>
      </c>
    </row>
    <row r="946" spans="1:21">
      <c r="A946" s="782">
        <v>44564</v>
      </c>
      <c r="B946" s="783" t="s">
        <v>41</v>
      </c>
      <c r="C946" s="783" t="s">
        <v>4071</v>
      </c>
      <c r="D946" s="783" t="s">
        <v>4009</v>
      </c>
      <c r="E946" s="783" t="s">
        <v>6041</v>
      </c>
      <c r="F946" s="783" t="s">
        <v>4011</v>
      </c>
      <c r="G946" s="783" t="str">
        <f>VLOOKUP(I946,pacage,2,FALSE)</f>
        <v>Renewal (20% in 2020)</v>
      </c>
      <c r="H946" s="783" t="s">
        <v>6042</v>
      </c>
      <c r="I946" s="783" t="s">
        <v>6043</v>
      </c>
      <c r="J946" s="783">
        <v>20</v>
      </c>
      <c r="K946" s="783" t="s">
        <v>99</v>
      </c>
      <c r="L946" s="783" t="s">
        <v>4096</v>
      </c>
      <c r="M946" s="784">
        <v>106247.9</v>
      </c>
      <c r="N946" s="784">
        <v>66.900000000000006</v>
      </c>
      <c r="O946" s="784">
        <v>7.09</v>
      </c>
      <c r="P946" s="783">
        <v>224</v>
      </c>
      <c r="Q946" s="783">
        <v>3973.67</v>
      </c>
      <c r="R946" s="783">
        <v>1854.5</v>
      </c>
      <c r="S946" s="783">
        <v>918.57</v>
      </c>
      <c r="T946" s="783">
        <v>1200.5999999999999</v>
      </c>
      <c r="U946" s="785">
        <v>44631.632662037002</v>
      </c>
    </row>
    <row r="947" spans="1:21">
      <c r="A947" s="782">
        <v>44646</v>
      </c>
      <c r="B947" s="783" t="s">
        <v>65</v>
      </c>
      <c r="C947" s="783" t="s">
        <v>4916</v>
      </c>
      <c r="D947" s="783" t="s">
        <v>4102</v>
      </c>
      <c r="E947" s="783" t="s">
        <v>6044</v>
      </c>
      <c r="F947" s="783" t="s">
        <v>4011</v>
      </c>
      <c r="G947" s="783" t="str">
        <f>VLOOKUP(I947,pacage,2,FALSE)</f>
        <v>Renewal (20% in 2020)</v>
      </c>
      <c r="H947" s="783" t="s">
        <v>6045</v>
      </c>
      <c r="I947" s="783" t="s">
        <v>6046</v>
      </c>
      <c r="J947" s="783">
        <v>20</v>
      </c>
      <c r="K947" s="783" t="s">
        <v>99</v>
      </c>
      <c r="L947" s="783" t="s">
        <v>4096</v>
      </c>
      <c r="M947" s="784">
        <v>109350</v>
      </c>
      <c r="N947" s="784">
        <v>67.5</v>
      </c>
      <c r="O947" s="784">
        <v>8.1</v>
      </c>
      <c r="P947" s="783">
        <v>200</v>
      </c>
      <c r="Q947" s="783">
        <v>4275.59</v>
      </c>
      <c r="R947" s="783">
        <v>2184.98</v>
      </c>
      <c r="S947" s="783">
        <v>723.73</v>
      </c>
      <c r="T947" s="783">
        <v>1366.88</v>
      </c>
      <c r="U947" s="785">
        <v>44649.394490740699</v>
      </c>
    </row>
    <row r="948" spans="1:21">
      <c r="A948" s="782">
        <v>44561</v>
      </c>
      <c r="B948" s="783" t="s">
        <v>41</v>
      </c>
      <c r="C948" s="783" t="s">
        <v>4071</v>
      </c>
      <c r="D948" s="783" t="s">
        <v>4009</v>
      </c>
      <c r="E948" s="783" t="s">
        <v>6047</v>
      </c>
      <c r="F948" s="783" t="s">
        <v>4011</v>
      </c>
      <c r="G948" s="783" t="s">
        <v>4028</v>
      </c>
      <c r="H948" s="783" t="s">
        <v>6048</v>
      </c>
      <c r="I948" s="783" t="s">
        <v>6049</v>
      </c>
      <c r="J948" s="783">
        <v>20</v>
      </c>
      <c r="K948" s="783" t="s">
        <v>99</v>
      </c>
      <c r="L948" s="783" t="s">
        <v>4096</v>
      </c>
      <c r="M948" s="784">
        <v>29880.560000000001</v>
      </c>
      <c r="N948" s="784">
        <v>25.4</v>
      </c>
      <c r="O948" s="784">
        <v>6.8</v>
      </c>
      <c r="P948" s="783">
        <v>173</v>
      </c>
      <c r="Q948" s="783">
        <v>1117.53</v>
      </c>
      <c r="R948" s="783">
        <v>675.3</v>
      </c>
      <c r="S948" s="783">
        <v>104.58</v>
      </c>
      <c r="T948" s="783">
        <v>337.65</v>
      </c>
      <c r="U948" s="785">
        <v>44631.635428240697</v>
      </c>
    </row>
    <row r="949" spans="1:21">
      <c r="A949" s="782">
        <v>44561</v>
      </c>
      <c r="B949" s="783" t="s">
        <v>4025</v>
      </c>
      <c r="C949" s="783" t="s">
        <v>4239</v>
      </c>
      <c r="D949" s="783" t="s">
        <v>4021</v>
      </c>
      <c r="E949" s="783" t="s">
        <v>6050</v>
      </c>
      <c r="F949" s="783" t="s">
        <v>4011</v>
      </c>
      <c r="G949" s="783" t="s">
        <v>4028</v>
      </c>
      <c r="H949" s="783" t="s">
        <v>6051</v>
      </c>
      <c r="I949" s="783" t="s">
        <v>6052</v>
      </c>
      <c r="J949" s="783">
        <v>25</v>
      </c>
      <c r="K949" s="783" t="s">
        <v>99</v>
      </c>
      <c r="L949" s="783" t="s">
        <v>4096</v>
      </c>
      <c r="M949" s="784">
        <v>40033</v>
      </c>
      <c r="N949" s="784">
        <v>35</v>
      </c>
      <c r="O949" s="784">
        <v>6.02</v>
      </c>
      <c r="P949" s="783">
        <v>190</v>
      </c>
      <c r="Q949" s="783">
        <v>1373.13</v>
      </c>
      <c r="R949" s="783">
        <v>903.99</v>
      </c>
      <c r="S949" s="783">
        <v>293</v>
      </c>
      <c r="T949" s="783">
        <v>176.15</v>
      </c>
      <c r="U949" s="785">
        <v>44631.635682870401</v>
      </c>
    </row>
    <row r="950" spans="1:21">
      <c r="A950" s="782">
        <v>44594</v>
      </c>
      <c r="B950" s="783" t="s">
        <v>113</v>
      </c>
      <c r="C950" s="783" t="s">
        <v>4097</v>
      </c>
      <c r="D950" s="783" t="s">
        <v>4038</v>
      </c>
      <c r="E950" s="783" t="s">
        <v>6053</v>
      </c>
      <c r="F950" s="783" t="s">
        <v>4066</v>
      </c>
      <c r="G950" s="783" t="str">
        <f>VLOOKUP(I950,pacage,2,FALSE)</f>
        <v>Renewal (15% in 2020)</v>
      </c>
      <c r="H950" s="783" t="s">
        <v>6054</v>
      </c>
      <c r="I950" s="783" t="s">
        <v>6055</v>
      </c>
      <c r="J950" s="783">
        <v>5</v>
      </c>
      <c r="K950" s="783" t="s">
        <v>99</v>
      </c>
      <c r="L950" s="783" t="s">
        <v>4096</v>
      </c>
      <c r="M950" s="784">
        <v>12288</v>
      </c>
      <c r="N950" s="784">
        <v>7.68</v>
      </c>
      <c r="O950" s="784">
        <v>8</v>
      </c>
      <c r="P950" s="783">
        <v>200</v>
      </c>
      <c r="Q950" s="783">
        <v>240.84</v>
      </c>
      <c r="R950" s="783">
        <v>0</v>
      </c>
      <c r="S950" s="783">
        <v>0</v>
      </c>
      <c r="T950" s="783">
        <v>240.84</v>
      </c>
      <c r="U950" s="785">
        <v>44631.632395833301</v>
      </c>
    </row>
    <row r="951" spans="1:21">
      <c r="A951" s="782">
        <v>44572</v>
      </c>
      <c r="B951" s="783" t="s">
        <v>41</v>
      </c>
      <c r="C951" s="783" t="s">
        <v>4092</v>
      </c>
      <c r="D951" s="783" t="s">
        <v>4009</v>
      </c>
      <c r="E951" s="783" t="s">
        <v>4756</v>
      </c>
      <c r="F951" s="783" t="s">
        <v>4011</v>
      </c>
      <c r="G951" s="783" t="s">
        <v>4028</v>
      </c>
      <c r="H951" s="783" t="s">
        <v>4757</v>
      </c>
      <c r="I951" s="783" t="s">
        <v>4758</v>
      </c>
      <c r="J951" s="783">
        <v>25</v>
      </c>
      <c r="K951" s="783" t="s">
        <v>99</v>
      </c>
      <c r="L951" s="783" t="s">
        <v>4096</v>
      </c>
      <c r="M951" s="784">
        <v>12504.18</v>
      </c>
      <c r="N951" s="784">
        <v>9.43</v>
      </c>
      <c r="O951" s="784">
        <v>6.63</v>
      </c>
      <c r="P951" s="783">
        <v>200</v>
      </c>
      <c r="Q951" s="783">
        <v>506.42</v>
      </c>
      <c r="R951" s="783">
        <v>334.22</v>
      </c>
      <c r="S951" s="783">
        <v>120.93</v>
      </c>
      <c r="T951" s="783">
        <v>51.27</v>
      </c>
      <c r="U951" s="785">
        <v>44631.635659722197</v>
      </c>
    </row>
    <row r="952" spans="1:21">
      <c r="A952" s="782">
        <v>44426</v>
      </c>
      <c r="B952" s="783" t="s">
        <v>41</v>
      </c>
      <c r="C952" s="783" t="s">
        <v>4139</v>
      </c>
      <c r="D952" s="783" t="s">
        <v>4009</v>
      </c>
      <c r="E952" s="783" t="s">
        <v>40</v>
      </c>
      <c r="F952" s="783" t="s">
        <v>4011</v>
      </c>
      <c r="G952" s="783" t="str">
        <f t="shared" ref="G952:G967" si="56">VLOOKUP(I952,pacage,2,FALSE)</f>
        <v>Renewal (15% in 2020)</v>
      </c>
      <c r="H952" s="783" t="s">
        <v>6056</v>
      </c>
      <c r="I952" s="783" t="s">
        <v>6057</v>
      </c>
      <c r="J952" s="783">
        <v>15</v>
      </c>
      <c r="K952" s="783" t="s">
        <v>99</v>
      </c>
      <c r="L952" s="783" t="s">
        <v>4096</v>
      </c>
      <c r="M952" s="784">
        <v>64278.77</v>
      </c>
      <c r="N952" s="784">
        <v>42.58</v>
      </c>
      <c r="O952" s="784">
        <v>8.8800000000000008</v>
      </c>
      <c r="P952" s="783">
        <v>170</v>
      </c>
      <c r="Q952" s="783">
        <v>3348.92</v>
      </c>
      <c r="R952" s="783">
        <v>1510.55</v>
      </c>
      <c r="S952" s="783">
        <v>231.4</v>
      </c>
      <c r="T952" s="783">
        <v>1606.97</v>
      </c>
      <c r="U952" s="785">
        <v>44631.635393518503</v>
      </c>
    </row>
    <row r="953" spans="1:21">
      <c r="A953" s="782">
        <v>44427</v>
      </c>
      <c r="B953" s="783" t="s">
        <v>51</v>
      </c>
      <c r="C953" s="783" t="s">
        <v>5489</v>
      </c>
      <c r="D953" s="783" t="s">
        <v>4016</v>
      </c>
      <c r="E953" s="783" t="s">
        <v>6058</v>
      </c>
      <c r="F953" s="783" t="s">
        <v>4011</v>
      </c>
      <c r="G953" s="783" t="str">
        <f t="shared" si="56"/>
        <v>Renewal (15% in 2020)</v>
      </c>
      <c r="H953" s="783" t="s">
        <v>6059</v>
      </c>
      <c r="I953" s="783" t="s">
        <v>6060</v>
      </c>
      <c r="J953" s="783">
        <v>15</v>
      </c>
      <c r="K953" s="783" t="s">
        <v>99</v>
      </c>
      <c r="L953" s="783" t="s">
        <v>4096</v>
      </c>
      <c r="M953" s="784">
        <v>7684.62</v>
      </c>
      <c r="N953" s="784">
        <v>8.44</v>
      </c>
      <c r="O953" s="784">
        <v>6.07</v>
      </c>
      <c r="P953" s="783">
        <v>150</v>
      </c>
      <c r="Q953" s="783">
        <v>735.42</v>
      </c>
      <c r="R953" s="783">
        <v>325.06</v>
      </c>
      <c r="S953" s="783">
        <v>50.72</v>
      </c>
      <c r="T953" s="783">
        <v>359.64</v>
      </c>
      <c r="U953" s="785">
        <v>44631.632638888899</v>
      </c>
    </row>
    <row r="954" spans="1:21">
      <c r="A954" s="782">
        <v>44427</v>
      </c>
      <c r="B954" s="783" t="s">
        <v>41</v>
      </c>
      <c r="C954" s="783" t="s">
        <v>4082</v>
      </c>
      <c r="D954" s="783" t="s">
        <v>4009</v>
      </c>
      <c r="E954" s="783" t="s">
        <v>6061</v>
      </c>
      <c r="F954" s="783" t="s">
        <v>4011</v>
      </c>
      <c r="G954" s="783" t="str">
        <f t="shared" si="56"/>
        <v>Renewal (25% in 2020)</v>
      </c>
      <c r="H954" s="783" t="s">
        <v>6062</v>
      </c>
      <c r="I954" s="783" t="s">
        <v>6063</v>
      </c>
      <c r="J954" s="783">
        <v>25</v>
      </c>
      <c r="K954" s="783" t="s">
        <v>99</v>
      </c>
      <c r="L954" s="783" t="s">
        <v>4096</v>
      </c>
      <c r="M954" s="784">
        <v>9105</v>
      </c>
      <c r="N954" s="784">
        <v>7.5</v>
      </c>
      <c r="O954" s="784">
        <v>6.07</v>
      </c>
      <c r="P954" s="783">
        <v>200</v>
      </c>
      <c r="Q954" s="783">
        <v>347.81</v>
      </c>
      <c r="R954" s="783">
        <v>229.97</v>
      </c>
      <c r="S954" s="783">
        <v>83.24</v>
      </c>
      <c r="T954" s="783">
        <v>34.6</v>
      </c>
      <c r="U954" s="785">
        <v>44631.6355555556</v>
      </c>
    </row>
    <row r="955" spans="1:21">
      <c r="A955" s="782">
        <v>44428</v>
      </c>
      <c r="B955" s="783" t="s">
        <v>30</v>
      </c>
      <c r="C955" s="783" t="s">
        <v>4089</v>
      </c>
      <c r="D955" s="783" t="s">
        <v>4021</v>
      </c>
      <c r="E955" s="783" t="s">
        <v>6064</v>
      </c>
      <c r="F955" s="783" t="s">
        <v>4011</v>
      </c>
      <c r="G955" s="783" t="str">
        <f t="shared" si="56"/>
        <v>Renewal (20% in 2020)</v>
      </c>
      <c r="H955" s="783" t="s">
        <v>6065</v>
      </c>
      <c r="I955" s="783" t="s">
        <v>6066</v>
      </c>
      <c r="J955" s="783">
        <v>20</v>
      </c>
      <c r="K955" s="783" t="s">
        <v>99</v>
      </c>
      <c r="L955" s="783" t="s">
        <v>4096</v>
      </c>
      <c r="M955" s="784">
        <v>35672</v>
      </c>
      <c r="N955" s="784">
        <v>35</v>
      </c>
      <c r="O955" s="784">
        <v>6.37</v>
      </c>
      <c r="P955" s="783">
        <v>160</v>
      </c>
      <c r="Q955" s="783">
        <v>1805</v>
      </c>
      <c r="R955" s="783">
        <v>1038.06</v>
      </c>
      <c r="S955" s="783">
        <v>160.52000000000001</v>
      </c>
      <c r="T955" s="783">
        <v>606.41999999999996</v>
      </c>
      <c r="U955" s="785">
        <v>44631.635717592602</v>
      </c>
    </row>
    <row r="956" spans="1:21">
      <c r="A956" s="782">
        <v>44426</v>
      </c>
      <c r="B956" s="783" t="s">
        <v>51</v>
      </c>
      <c r="C956" s="783" t="s">
        <v>4042</v>
      </c>
      <c r="D956" s="783" t="s">
        <v>4016</v>
      </c>
      <c r="E956" s="783" t="s">
        <v>6067</v>
      </c>
      <c r="F956" s="783" t="s">
        <v>4011</v>
      </c>
      <c r="G956" s="783" t="str">
        <f t="shared" si="56"/>
        <v>Renewal (25% in 2020)</v>
      </c>
      <c r="H956" s="783" t="s">
        <v>6068</v>
      </c>
      <c r="I956" s="783" t="s">
        <v>6069</v>
      </c>
      <c r="J956" s="783">
        <v>25</v>
      </c>
      <c r="K956" s="783" t="s">
        <v>99</v>
      </c>
      <c r="L956" s="783" t="s">
        <v>4096</v>
      </c>
      <c r="M956" s="784">
        <v>65007.38</v>
      </c>
      <c r="N956" s="784">
        <v>57.25</v>
      </c>
      <c r="O956" s="784">
        <v>7.57</v>
      </c>
      <c r="P956" s="783">
        <v>150</v>
      </c>
      <c r="Q956" s="783">
        <v>2405.27</v>
      </c>
      <c r="R956" s="783">
        <v>1826.71</v>
      </c>
      <c r="S956" s="783">
        <v>279.52999999999997</v>
      </c>
      <c r="T956" s="783">
        <v>299.02999999999997</v>
      </c>
      <c r="U956" s="785">
        <v>44631.635752314804</v>
      </c>
    </row>
    <row r="957" spans="1:21">
      <c r="A957" s="782">
        <v>44424</v>
      </c>
      <c r="B957" s="783" t="s">
        <v>228</v>
      </c>
      <c r="C957" s="783" t="s">
        <v>4020</v>
      </c>
      <c r="D957" s="783" t="s">
        <v>4021</v>
      </c>
      <c r="E957" s="783" t="s">
        <v>1026</v>
      </c>
      <c r="F957" s="783" t="s">
        <v>4011</v>
      </c>
      <c r="G957" s="783" t="str">
        <f t="shared" si="56"/>
        <v>Renewal (20% in 2020)</v>
      </c>
      <c r="H957" s="783" t="s">
        <v>4242</v>
      </c>
      <c r="I957" s="783" t="s">
        <v>4243</v>
      </c>
      <c r="J957" s="783">
        <v>20</v>
      </c>
      <c r="K957" s="783" t="s">
        <v>99</v>
      </c>
      <c r="L957" s="783" t="s">
        <v>4096</v>
      </c>
      <c r="M957" s="784">
        <v>125680.76</v>
      </c>
      <c r="N957" s="784">
        <v>94.27</v>
      </c>
      <c r="O957" s="784">
        <v>6.06</v>
      </c>
      <c r="P957" s="783">
        <v>220</v>
      </c>
      <c r="Q957" s="783">
        <v>7842.48</v>
      </c>
      <c r="R957" s="783">
        <v>3607.32</v>
      </c>
      <c r="S957" s="783">
        <v>1683.84</v>
      </c>
      <c r="T957" s="783">
        <v>2551.3200000000002</v>
      </c>
      <c r="U957" s="785">
        <v>44631.632581018501</v>
      </c>
    </row>
    <row r="958" spans="1:21">
      <c r="A958" s="782">
        <v>44447</v>
      </c>
      <c r="B958" s="783" t="s">
        <v>118</v>
      </c>
      <c r="C958" s="783" t="s">
        <v>4139</v>
      </c>
      <c r="D958" s="783" t="s">
        <v>4009</v>
      </c>
      <c r="E958" s="783" t="s">
        <v>117</v>
      </c>
      <c r="F958" s="783" t="s">
        <v>4011</v>
      </c>
      <c r="G958" s="783" t="str">
        <f t="shared" si="56"/>
        <v>Renewal (15% in 2020)</v>
      </c>
      <c r="H958" s="783" t="s">
        <v>4200</v>
      </c>
      <c r="I958" s="783" t="s">
        <v>4201</v>
      </c>
      <c r="J958" s="783">
        <v>15</v>
      </c>
      <c r="K958" s="783" t="s">
        <v>99</v>
      </c>
      <c r="L958" s="783" t="s">
        <v>4096</v>
      </c>
      <c r="M958" s="784">
        <v>207483.6</v>
      </c>
      <c r="N958" s="784">
        <v>201.05</v>
      </c>
      <c r="O958" s="784">
        <v>6.88</v>
      </c>
      <c r="P958" s="783">
        <v>150</v>
      </c>
      <c r="Q958" s="783">
        <v>10809.9</v>
      </c>
      <c r="R958" s="783">
        <v>4875.8599999999997</v>
      </c>
      <c r="S958" s="783">
        <v>746.94</v>
      </c>
      <c r="T958" s="783">
        <v>5187.09</v>
      </c>
      <c r="U958" s="785">
        <v>44631.6325</v>
      </c>
    </row>
    <row r="959" spans="1:21">
      <c r="A959" s="782">
        <v>44424</v>
      </c>
      <c r="B959" s="783" t="s">
        <v>30</v>
      </c>
      <c r="C959" s="783" t="s">
        <v>4239</v>
      </c>
      <c r="D959" s="783" t="s">
        <v>4021</v>
      </c>
      <c r="E959" s="783" t="s">
        <v>2574</v>
      </c>
      <c r="F959" s="783" t="s">
        <v>4011</v>
      </c>
      <c r="G959" s="783" t="str">
        <f t="shared" si="56"/>
        <v>Renewal (20% in 2020)</v>
      </c>
      <c r="H959" s="783" t="s">
        <v>6070</v>
      </c>
      <c r="I959" s="783" t="s">
        <v>6071</v>
      </c>
      <c r="J959" s="783">
        <v>20</v>
      </c>
      <c r="K959" s="783" t="s">
        <v>99</v>
      </c>
      <c r="L959" s="783" t="s">
        <v>4096</v>
      </c>
      <c r="M959" s="784">
        <v>65268</v>
      </c>
      <c r="N959" s="784">
        <v>56</v>
      </c>
      <c r="O959" s="784">
        <v>7.77</v>
      </c>
      <c r="P959" s="783">
        <v>150</v>
      </c>
      <c r="Q959" s="783">
        <v>2865.27</v>
      </c>
      <c r="R959" s="783">
        <v>1618.65</v>
      </c>
      <c r="S959" s="783">
        <v>332.87</v>
      </c>
      <c r="T959" s="783">
        <v>913.75</v>
      </c>
      <c r="U959" s="785">
        <v>44631.633009259298</v>
      </c>
    </row>
    <row r="960" spans="1:21">
      <c r="A960" s="782">
        <v>44536</v>
      </c>
      <c r="B960" s="783" t="s">
        <v>2866</v>
      </c>
      <c r="C960" s="783" t="s">
        <v>4414</v>
      </c>
      <c r="D960" s="783" t="s">
        <v>4009</v>
      </c>
      <c r="E960" s="783" t="s">
        <v>6072</v>
      </c>
      <c r="F960" s="783" t="s">
        <v>4011</v>
      </c>
      <c r="G960" s="783" t="str">
        <f t="shared" si="56"/>
        <v>Renewal (25% in 2020)</v>
      </c>
      <c r="H960" s="783" t="s">
        <v>6073</v>
      </c>
      <c r="I960" s="783" t="s">
        <v>6074</v>
      </c>
      <c r="J960" s="783">
        <v>25</v>
      </c>
      <c r="K960" s="783" t="s">
        <v>99</v>
      </c>
      <c r="L960" s="783" t="s">
        <v>4096</v>
      </c>
      <c r="M960" s="784">
        <v>31321.82</v>
      </c>
      <c r="N960" s="784">
        <v>19</v>
      </c>
      <c r="O960" s="784">
        <v>7.33</v>
      </c>
      <c r="P960" s="783">
        <v>224.9</v>
      </c>
      <c r="Q960" s="783">
        <v>1631.87</v>
      </c>
      <c r="R960" s="783">
        <v>855.33</v>
      </c>
      <c r="S960" s="783">
        <v>435.13</v>
      </c>
      <c r="T960" s="783">
        <v>341.41</v>
      </c>
      <c r="U960" s="785">
        <v>44631.635648148098</v>
      </c>
    </row>
    <row r="961" spans="1:21">
      <c r="A961" s="782">
        <v>44525</v>
      </c>
      <c r="B961" s="783" t="s">
        <v>41</v>
      </c>
      <c r="C961" s="783" t="s">
        <v>4082</v>
      </c>
      <c r="D961" s="783" t="s">
        <v>4009</v>
      </c>
      <c r="E961" s="783" t="s">
        <v>774</v>
      </c>
      <c r="F961" s="783" t="s">
        <v>4011</v>
      </c>
      <c r="G961" s="783" t="str">
        <f t="shared" si="56"/>
        <v>Renewal (30% in 2020)</v>
      </c>
      <c r="H961" s="783" t="s">
        <v>6075</v>
      </c>
      <c r="I961" s="783" t="s">
        <v>6076</v>
      </c>
      <c r="J961" s="783">
        <v>30</v>
      </c>
      <c r="K961" s="783" t="s">
        <v>99</v>
      </c>
      <c r="L961" s="783" t="s">
        <v>4096</v>
      </c>
      <c r="M961" s="784">
        <v>81000</v>
      </c>
      <c r="N961" s="784">
        <v>54</v>
      </c>
      <c r="O961" s="784">
        <v>7.5</v>
      </c>
      <c r="P961" s="783">
        <v>200</v>
      </c>
      <c r="Q961" s="783">
        <v>2681.1</v>
      </c>
      <c r="R961" s="783">
        <v>2045.9</v>
      </c>
      <c r="S961" s="783">
        <v>319.3</v>
      </c>
      <c r="T961" s="783">
        <v>315.89999999999998</v>
      </c>
      <c r="U961" s="785">
        <v>44631.633125</v>
      </c>
    </row>
    <row r="962" spans="1:21">
      <c r="A962" s="782">
        <v>44531</v>
      </c>
      <c r="B962" s="783" t="s">
        <v>65</v>
      </c>
      <c r="C962" s="783" t="s">
        <v>6077</v>
      </c>
      <c r="D962" s="783" t="s">
        <v>6078</v>
      </c>
      <c r="E962" s="783" t="s">
        <v>2427</v>
      </c>
      <c r="F962" s="783" t="s">
        <v>4011</v>
      </c>
      <c r="G962" s="783" t="str">
        <f t="shared" si="56"/>
        <v>Renewal (20% in 2020)</v>
      </c>
      <c r="H962" s="783" t="s">
        <v>6079</v>
      </c>
      <c r="I962" s="783" t="s">
        <v>6080</v>
      </c>
      <c r="J962" s="783">
        <v>20</v>
      </c>
      <c r="K962" s="783" t="s">
        <v>99</v>
      </c>
      <c r="L962" s="783" t="s">
        <v>4096</v>
      </c>
      <c r="M962" s="784">
        <v>35863.9</v>
      </c>
      <c r="N962" s="784">
        <v>25.15</v>
      </c>
      <c r="O962" s="784">
        <v>7.13</v>
      </c>
      <c r="P962" s="783">
        <v>200</v>
      </c>
      <c r="Q962" s="783">
        <v>1603.12</v>
      </c>
      <c r="R962" s="783">
        <v>809.68</v>
      </c>
      <c r="S962" s="783">
        <v>302.10000000000002</v>
      </c>
      <c r="T962" s="783">
        <v>491.34</v>
      </c>
      <c r="U962" s="785">
        <v>44631.633020833302</v>
      </c>
    </row>
    <row r="963" spans="1:21">
      <c r="A963" s="782">
        <v>44531</v>
      </c>
      <c r="B963" s="783" t="s">
        <v>74</v>
      </c>
      <c r="C963" s="783" t="s">
        <v>4097</v>
      </c>
      <c r="D963" s="783" t="s">
        <v>4038</v>
      </c>
      <c r="E963" s="783" t="s">
        <v>4437</v>
      </c>
      <c r="F963" s="783" t="s">
        <v>4011</v>
      </c>
      <c r="G963" s="783" t="str">
        <f t="shared" si="56"/>
        <v>Renewal (20% in 2020)</v>
      </c>
      <c r="H963" s="783" t="s">
        <v>4438</v>
      </c>
      <c r="I963" s="783" t="s">
        <v>4439</v>
      </c>
      <c r="J963" s="783">
        <v>20</v>
      </c>
      <c r="K963" s="783" t="s">
        <v>99</v>
      </c>
      <c r="L963" s="783" t="s">
        <v>4096</v>
      </c>
      <c r="M963" s="784">
        <v>22291.200000000001</v>
      </c>
      <c r="N963" s="784">
        <v>24</v>
      </c>
      <c r="O963" s="784">
        <v>5.16</v>
      </c>
      <c r="P963" s="783">
        <v>180</v>
      </c>
      <c r="Q963" s="783">
        <v>1116.79</v>
      </c>
      <c r="R963" s="783">
        <v>606.30999999999995</v>
      </c>
      <c r="S963" s="783">
        <v>122.61</v>
      </c>
      <c r="T963" s="783">
        <v>387.87</v>
      </c>
      <c r="U963" s="785">
        <v>44631.636215277802</v>
      </c>
    </row>
    <row r="964" spans="1:21">
      <c r="A964" s="782">
        <v>44523</v>
      </c>
      <c r="B964" s="783" t="s">
        <v>41</v>
      </c>
      <c r="C964" s="783" t="s">
        <v>4071</v>
      </c>
      <c r="D964" s="783" t="s">
        <v>4009</v>
      </c>
      <c r="E964" s="783" t="s">
        <v>303</v>
      </c>
      <c r="F964" s="783" t="s">
        <v>4011</v>
      </c>
      <c r="G964" s="783" t="str">
        <f t="shared" si="56"/>
        <v>Renewal (15% in 2020)</v>
      </c>
      <c r="H964" s="783" t="s">
        <v>6081</v>
      </c>
      <c r="I964" s="783" t="s">
        <v>6082</v>
      </c>
      <c r="J964" s="783">
        <v>15</v>
      </c>
      <c r="K964" s="783" t="s">
        <v>99</v>
      </c>
      <c r="L964" s="783" t="s">
        <v>4096</v>
      </c>
      <c r="M964" s="784">
        <v>133071.29999999999</v>
      </c>
      <c r="N964" s="784">
        <v>99.5</v>
      </c>
      <c r="O964" s="784">
        <v>7.43</v>
      </c>
      <c r="P964" s="783">
        <v>180</v>
      </c>
      <c r="Q964" s="783">
        <v>6680.18</v>
      </c>
      <c r="R964" s="783">
        <v>2890.46</v>
      </c>
      <c r="S964" s="783">
        <v>582.70000000000005</v>
      </c>
      <c r="T964" s="783">
        <v>3207.02</v>
      </c>
      <c r="U964" s="785">
        <v>44631.635451388902</v>
      </c>
    </row>
    <row r="965" spans="1:21">
      <c r="A965" s="782">
        <v>44533</v>
      </c>
      <c r="B965" s="783" t="s">
        <v>4025</v>
      </c>
      <c r="C965" s="783" t="s">
        <v>4026</v>
      </c>
      <c r="D965" s="783" t="s">
        <v>4021</v>
      </c>
      <c r="E965" s="783" t="s">
        <v>6083</v>
      </c>
      <c r="F965" s="783" t="s">
        <v>4011</v>
      </c>
      <c r="G965" s="783" t="str">
        <f t="shared" si="56"/>
        <v>New Contract</v>
      </c>
      <c r="H965" s="783" t="s">
        <v>6084</v>
      </c>
      <c r="I965" s="783" t="s">
        <v>6085</v>
      </c>
      <c r="J965" s="783">
        <v>25</v>
      </c>
      <c r="K965" s="783" t="s">
        <v>99</v>
      </c>
      <c r="L965" s="783" t="s">
        <v>4096</v>
      </c>
      <c r="M965" s="784">
        <v>64720.08</v>
      </c>
      <c r="N965" s="784">
        <v>45.6</v>
      </c>
      <c r="O965" s="784">
        <v>7.47</v>
      </c>
      <c r="P965" s="783">
        <v>190</v>
      </c>
      <c r="Q965" s="783">
        <v>2964.18</v>
      </c>
      <c r="R965" s="783">
        <v>1991.81</v>
      </c>
      <c r="S965" s="783">
        <v>532.27</v>
      </c>
      <c r="T965" s="783">
        <v>440.1</v>
      </c>
      <c r="U965" s="785">
        <v>44631.6328587963</v>
      </c>
    </row>
    <row r="966" spans="1:21">
      <c r="A966" s="782">
        <v>44532</v>
      </c>
      <c r="B966" s="783" t="s">
        <v>74</v>
      </c>
      <c r="C966" s="783" t="s">
        <v>4037</v>
      </c>
      <c r="D966" s="783" t="s">
        <v>4038</v>
      </c>
      <c r="E966" s="783" t="s">
        <v>4440</v>
      </c>
      <c r="F966" s="783" t="s">
        <v>4011</v>
      </c>
      <c r="G966" s="783" t="str">
        <f t="shared" si="56"/>
        <v>Renewal (15% in 2020)</v>
      </c>
      <c r="H966" s="783" t="s">
        <v>4441</v>
      </c>
      <c r="I966" s="783" t="s">
        <v>4442</v>
      </c>
      <c r="J966" s="783">
        <v>20</v>
      </c>
      <c r="K966" s="783" t="s">
        <v>99</v>
      </c>
      <c r="L966" s="783" t="s">
        <v>4096</v>
      </c>
      <c r="M966" s="784">
        <v>5808</v>
      </c>
      <c r="N966" s="784">
        <v>5.5</v>
      </c>
      <c r="O966" s="784">
        <v>6.6</v>
      </c>
      <c r="P966" s="783">
        <v>160</v>
      </c>
      <c r="Q966" s="783">
        <v>389.14</v>
      </c>
      <c r="R966" s="783">
        <v>230</v>
      </c>
      <c r="S966" s="783">
        <v>36.590000000000003</v>
      </c>
      <c r="T966" s="783">
        <v>122.55</v>
      </c>
      <c r="U966" s="785">
        <v>44631.632893518501</v>
      </c>
    </row>
    <row r="967" spans="1:21">
      <c r="A967" s="782">
        <v>44533</v>
      </c>
      <c r="B967" s="783" t="s">
        <v>41</v>
      </c>
      <c r="C967" s="783" t="s">
        <v>4071</v>
      </c>
      <c r="D967" s="783" t="s">
        <v>4009</v>
      </c>
      <c r="E967" s="783" t="s">
        <v>353</v>
      </c>
      <c r="F967" s="783" t="s">
        <v>4011</v>
      </c>
      <c r="G967" s="783" t="str">
        <f t="shared" si="56"/>
        <v>Renewal (15% in 2020)</v>
      </c>
      <c r="H967" s="783" t="s">
        <v>6086</v>
      </c>
      <c r="I967" s="783" t="s">
        <v>6087</v>
      </c>
      <c r="J967" s="783">
        <v>15</v>
      </c>
      <c r="K967" s="783" t="s">
        <v>99</v>
      </c>
      <c r="L967" s="783" t="s">
        <v>4096</v>
      </c>
      <c r="M967" s="784">
        <v>88081.05</v>
      </c>
      <c r="N967" s="784">
        <v>74.33</v>
      </c>
      <c r="O967" s="784">
        <v>7.9</v>
      </c>
      <c r="P967" s="783">
        <v>150</v>
      </c>
      <c r="Q967" s="783">
        <v>4421.67</v>
      </c>
      <c r="R967" s="783">
        <v>1990.63</v>
      </c>
      <c r="S967" s="783">
        <v>308.27999999999997</v>
      </c>
      <c r="T967" s="783">
        <v>2122.75</v>
      </c>
      <c r="U967" s="785">
        <v>44631.635625000003</v>
      </c>
    </row>
    <row r="968" spans="1:21">
      <c r="A968" s="782">
        <v>44539</v>
      </c>
      <c r="B968" s="783" t="s">
        <v>74</v>
      </c>
      <c r="C968" s="783" t="s">
        <v>4097</v>
      </c>
      <c r="D968" s="783" t="s">
        <v>4038</v>
      </c>
      <c r="E968" s="783" t="s">
        <v>4705</v>
      </c>
      <c r="F968" s="783" t="s">
        <v>4066</v>
      </c>
      <c r="G968" s="783" t="s">
        <v>4028</v>
      </c>
      <c r="H968" s="783" t="s">
        <v>4706</v>
      </c>
      <c r="I968" s="783" t="s">
        <v>4707</v>
      </c>
      <c r="J968" s="783">
        <v>10</v>
      </c>
      <c r="K968" s="783" t="s">
        <v>99</v>
      </c>
      <c r="L968" s="783" t="s">
        <v>4096</v>
      </c>
      <c r="M968" s="784">
        <v>116472</v>
      </c>
      <c r="N968" s="784">
        <v>84.4</v>
      </c>
      <c r="O968" s="784">
        <v>6</v>
      </c>
      <c r="P968" s="783">
        <v>230</v>
      </c>
      <c r="Q968" s="783">
        <v>1828.61</v>
      </c>
      <c r="R968" s="783">
        <v>0</v>
      </c>
      <c r="S968" s="783">
        <v>0</v>
      </c>
      <c r="T968" s="783">
        <v>1828.61</v>
      </c>
      <c r="U968" s="785">
        <v>44631.632731481499</v>
      </c>
    </row>
    <row r="969" spans="1:21">
      <c r="A969" s="782">
        <v>44526</v>
      </c>
      <c r="B969" s="783" t="s">
        <v>971</v>
      </c>
      <c r="C969" s="783" t="s">
        <v>4092</v>
      </c>
      <c r="D969" s="783" t="s">
        <v>4009</v>
      </c>
      <c r="E969" s="783" t="s">
        <v>6088</v>
      </c>
      <c r="F969" s="783" t="s">
        <v>4011</v>
      </c>
      <c r="G969" s="783" t="str">
        <f t="shared" ref="G969:G996" si="57">VLOOKUP(I969,pacage,2,FALSE)</f>
        <v>Renewal (20% in 2020)</v>
      </c>
      <c r="H969" s="783" t="s">
        <v>6089</v>
      </c>
      <c r="I969" s="783" t="s">
        <v>6090</v>
      </c>
      <c r="J969" s="783">
        <v>20</v>
      </c>
      <c r="K969" s="783" t="s">
        <v>99</v>
      </c>
      <c r="L969" s="783" t="s">
        <v>4096</v>
      </c>
      <c r="M969" s="784">
        <v>17880.91</v>
      </c>
      <c r="N969" s="784">
        <v>10.9</v>
      </c>
      <c r="O969" s="784">
        <v>7.63</v>
      </c>
      <c r="P969" s="783">
        <v>215</v>
      </c>
      <c r="Q969" s="783">
        <v>936.96</v>
      </c>
      <c r="R969" s="783">
        <v>444.59</v>
      </c>
      <c r="S969" s="783">
        <v>206.28</v>
      </c>
      <c r="T969" s="783">
        <v>286.08999999999997</v>
      </c>
      <c r="U969" s="785">
        <v>44631.635567129597</v>
      </c>
    </row>
    <row r="970" spans="1:21">
      <c r="A970" s="782">
        <v>44526</v>
      </c>
      <c r="B970" s="783" t="s">
        <v>971</v>
      </c>
      <c r="C970" s="783" t="s">
        <v>4082</v>
      </c>
      <c r="D970" s="783" t="s">
        <v>4009</v>
      </c>
      <c r="E970" s="783" t="s">
        <v>6088</v>
      </c>
      <c r="F970" s="783" t="s">
        <v>4011</v>
      </c>
      <c r="G970" s="783" t="str">
        <f t="shared" si="57"/>
        <v>Renewal (20% in 2020)</v>
      </c>
      <c r="H970" s="783" t="s">
        <v>6089</v>
      </c>
      <c r="I970" s="783" t="s">
        <v>6090</v>
      </c>
      <c r="J970" s="783">
        <v>20</v>
      </c>
      <c r="K970" s="783" t="s">
        <v>99</v>
      </c>
      <c r="L970" s="783" t="s">
        <v>4096</v>
      </c>
      <c r="M970" s="784">
        <v>58039.12</v>
      </c>
      <c r="N970" s="784">
        <v>35.380000000000003</v>
      </c>
      <c r="O970" s="784">
        <v>7.63</v>
      </c>
      <c r="P970" s="783">
        <v>215</v>
      </c>
      <c r="Q970" s="783">
        <v>2872.94</v>
      </c>
      <c r="R970" s="783">
        <v>1363.68</v>
      </c>
      <c r="S970" s="783">
        <v>632.87</v>
      </c>
      <c r="T970" s="783">
        <v>876.39</v>
      </c>
      <c r="U970" s="785">
        <v>44631.635567129597</v>
      </c>
    </row>
    <row r="971" spans="1:21">
      <c r="A971" s="782">
        <v>44522</v>
      </c>
      <c r="B971" s="783" t="s">
        <v>51</v>
      </c>
      <c r="C971" s="783" t="s">
        <v>4042</v>
      </c>
      <c r="D971" s="783" t="s">
        <v>4016</v>
      </c>
      <c r="E971" s="783" t="s">
        <v>6091</v>
      </c>
      <c r="F971" s="783" t="s">
        <v>4011</v>
      </c>
      <c r="G971" s="783" t="str">
        <f t="shared" si="57"/>
        <v>Renewal (25% in 2020)</v>
      </c>
      <c r="H971" s="783" t="s">
        <v>6092</v>
      </c>
      <c r="I971" s="783" t="s">
        <v>6093</v>
      </c>
      <c r="J971" s="783">
        <v>25</v>
      </c>
      <c r="K971" s="783" t="s">
        <v>99</v>
      </c>
      <c r="L971" s="783" t="s">
        <v>4096</v>
      </c>
      <c r="M971" s="784">
        <v>82184.960000000006</v>
      </c>
      <c r="N971" s="784">
        <v>58.37</v>
      </c>
      <c r="O971" s="784">
        <v>8.8000000000000007</v>
      </c>
      <c r="P971" s="783">
        <v>160</v>
      </c>
      <c r="Q971" s="783">
        <v>3040.84</v>
      </c>
      <c r="R971" s="783">
        <v>2309.4</v>
      </c>
      <c r="S971" s="783">
        <v>353.4</v>
      </c>
      <c r="T971" s="783">
        <v>378.05</v>
      </c>
      <c r="U971" s="785">
        <v>44631.635787036997</v>
      </c>
    </row>
    <row r="972" spans="1:21">
      <c r="A972" s="782">
        <v>44527</v>
      </c>
      <c r="B972" s="783" t="s">
        <v>3078</v>
      </c>
      <c r="C972" s="783" t="s">
        <v>4414</v>
      </c>
      <c r="D972" s="783" t="s">
        <v>4009</v>
      </c>
      <c r="E972" s="783" t="s">
        <v>1029</v>
      </c>
      <c r="F972" s="783" t="s">
        <v>4011</v>
      </c>
      <c r="G972" s="783" t="str">
        <f t="shared" si="57"/>
        <v>Renewal (15% in 2020)</v>
      </c>
      <c r="H972" s="783" t="s">
        <v>6094</v>
      </c>
      <c r="I972" s="783" t="s">
        <v>6095</v>
      </c>
      <c r="J972" s="783">
        <v>15</v>
      </c>
      <c r="K972" s="783" t="s">
        <v>99</v>
      </c>
      <c r="L972" s="783" t="s">
        <v>4096</v>
      </c>
      <c r="M972" s="784">
        <v>27610.42</v>
      </c>
      <c r="N972" s="784">
        <v>21.47</v>
      </c>
      <c r="O972" s="784">
        <v>6.43</v>
      </c>
      <c r="P972" s="783">
        <v>200</v>
      </c>
      <c r="Q972" s="783">
        <v>2366.21</v>
      </c>
      <c r="R972" s="783">
        <v>847.85</v>
      </c>
      <c r="S972" s="783">
        <v>289.7</v>
      </c>
      <c r="T972" s="783">
        <v>1228.6600000000001</v>
      </c>
      <c r="U972" s="785">
        <v>44631.6330787037</v>
      </c>
    </row>
    <row r="973" spans="1:21">
      <c r="A973" s="782">
        <v>44529</v>
      </c>
      <c r="B973" s="783" t="s">
        <v>3078</v>
      </c>
      <c r="C973" s="783" t="s">
        <v>4414</v>
      </c>
      <c r="D973" s="783" t="s">
        <v>4009</v>
      </c>
      <c r="E973" s="783" t="s">
        <v>1032</v>
      </c>
      <c r="F973" s="783" t="s">
        <v>4011</v>
      </c>
      <c r="G973" s="783" t="str">
        <f t="shared" si="57"/>
        <v>Renewal (15% in 2020)</v>
      </c>
      <c r="H973" s="783" t="s">
        <v>6096</v>
      </c>
      <c r="I973" s="783" t="s">
        <v>6097</v>
      </c>
      <c r="J973" s="783">
        <v>15</v>
      </c>
      <c r="K973" s="783" t="s">
        <v>99</v>
      </c>
      <c r="L973" s="783" t="s">
        <v>4096</v>
      </c>
      <c r="M973" s="784">
        <v>25444.16</v>
      </c>
      <c r="N973" s="784">
        <v>20.72</v>
      </c>
      <c r="O973" s="784">
        <v>6.14</v>
      </c>
      <c r="P973" s="783">
        <v>200</v>
      </c>
      <c r="Q973" s="783">
        <v>2180.56</v>
      </c>
      <c r="R973" s="783">
        <v>781.33</v>
      </c>
      <c r="S973" s="783">
        <v>266.97000000000003</v>
      </c>
      <c r="T973" s="783">
        <v>1132.27</v>
      </c>
      <c r="U973" s="785">
        <v>44631.632685185199</v>
      </c>
    </row>
    <row r="974" spans="1:21">
      <c r="A974" s="782">
        <v>44537</v>
      </c>
      <c r="B974" s="783" t="s">
        <v>41</v>
      </c>
      <c r="C974" s="783" t="s">
        <v>4092</v>
      </c>
      <c r="D974" s="783" t="s">
        <v>4009</v>
      </c>
      <c r="E974" s="783" t="s">
        <v>6098</v>
      </c>
      <c r="F974" s="783" t="s">
        <v>4011</v>
      </c>
      <c r="G974" s="783" t="str">
        <f t="shared" si="57"/>
        <v>New contract</v>
      </c>
      <c r="H974" s="783" t="s">
        <v>6099</v>
      </c>
      <c r="I974" s="783" t="s">
        <v>6100</v>
      </c>
      <c r="J974" s="783">
        <v>20</v>
      </c>
      <c r="K974" s="783" t="s">
        <v>99</v>
      </c>
      <c r="L974" s="783" t="s">
        <v>4096</v>
      </c>
      <c r="M974" s="784">
        <v>78578.759999999995</v>
      </c>
      <c r="N974" s="784">
        <v>59.26</v>
      </c>
      <c r="O974" s="784">
        <v>6.63</v>
      </c>
      <c r="P974" s="783">
        <v>200</v>
      </c>
      <c r="Q974" s="783">
        <v>4117.53</v>
      </c>
      <c r="R974" s="783">
        <v>2100.29</v>
      </c>
      <c r="S974" s="783">
        <v>759.97</v>
      </c>
      <c r="T974" s="783">
        <v>1257.26</v>
      </c>
      <c r="U974" s="785">
        <v>44631.635914351798</v>
      </c>
    </row>
    <row r="975" spans="1:21">
      <c r="A975" s="782">
        <v>44537</v>
      </c>
      <c r="B975" s="783" t="s">
        <v>41</v>
      </c>
      <c r="C975" s="783" t="s">
        <v>4071</v>
      </c>
      <c r="D975" s="783" t="s">
        <v>4009</v>
      </c>
      <c r="E975" s="783" t="s">
        <v>6098</v>
      </c>
      <c r="F975" s="783" t="s">
        <v>4011</v>
      </c>
      <c r="G975" s="783" t="str">
        <f t="shared" si="57"/>
        <v>New contract</v>
      </c>
      <c r="H975" s="783" t="s">
        <v>6099</v>
      </c>
      <c r="I975" s="783" t="s">
        <v>6100</v>
      </c>
      <c r="J975" s="783">
        <v>20</v>
      </c>
      <c r="K975" s="783" t="s">
        <v>99</v>
      </c>
      <c r="L975" s="783" t="s">
        <v>4096</v>
      </c>
      <c r="M975" s="784">
        <v>38454</v>
      </c>
      <c r="N975" s="784">
        <v>29</v>
      </c>
      <c r="O975" s="784">
        <v>6.63</v>
      </c>
      <c r="P975" s="783">
        <v>200</v>
      </c>
      <c r="Q975" s="783">
        <v>1438.18</v>
      </c>
      <c r="R975" s="783">
        <v>751.74</v>
      </c>
      <c r="S975" s="783">
        <v>251.91</v>
      </c>
      <c r="T975" s="783">
        <v>434.53</v>
      </c>
      <c r="U975" s="785">
        <v>44631.635925925897</v>
      </c>
    </row>
    <row r="976" spans="1:21">
      <c r="A976" s="782">
        <v>44531</v>
      </c>
      <c r="B976" s="783" t="s">
        <v>41</v>
      </c>
      <c r="C976" s="783" t="s">
        <v>4354</v>
      </c>
      <c r="D976" s="783" t="s">
        <v>4009</v>
      </c>
      <c r="E976" s="783" t="s">
        <v>6101</v>
      </c>
      <c r="F976" s="783" t="s">
        <v>4011</v>
      </c>
      <c r="G976" s="783" t="str">
        <f t="shared" si="57"/>
        <v>New Contract</v>
      </c>
      <c r="H976" s="783" t="s">
        <v>6102</v>
      </c>
      <c r="I976" s="783" t="s">
        <v>6103</v>
      </c>
      <c r="J976" s="783">
        <v>25</v>
      </c>
      <c r="K976" s="783" t="s">
        <v>99</v>
      </c>
      <c r="L976" s="783" t="s">
        <v>4096</v>
      </c>
      <c r="M976" s="784">
        <v>7420</v>
      </c>
      <c r="N976" s="784">
        <v>7</v>
      </c>
      <c r="O976" s="784">
        <v>5.3</v>
      </c>
      <c r="P976" s="783">
        <v>200</v>
      </c>
      <c r="Q976" s="783">
        <v>420.71</v>
      </c>
      <c r="R976" s="783">
        <v>263.14999999999998</v>
      </c>
      <c r="S976" s="783">
        <v>89.3</v>
      </c>
      <c r="T976" s="783">
        <v>68.260000000000005</v>
      </c>
      <c r="U976" s="785">
        <v>44631.636296296303</v>
      </c>
    </row>
    <row r="977" spans="1:21">
      <c r="A977" s="782">
        <v>44533</v>
      </c>
      <c r="B977" s="783" t="s">
        <v>4025</v>
      </c>
      <c r="C977" s="783" t="s">
        <v>4026</v>
      </c>
      <c r="D977" s="783" t="s">
        <v>4021</v>
      </c>
      <c r="E977" s="783" t="s">
        <v>6104</v>
      </c>
      <c r="F977" s="783" t="s">
        <v>4011</v>
      </c>
      <c r="G977" s="783" t="str">
        <f t="shared" si="57"/>
        <v>New Contract</v>
      </c>
      <c r="H977" s="783" t="s">
        <v>6105</v>
      </c>
      <c r="I977" s="783" t="s">
        <v>6106</v>
      </c>
      <c r="J977" s="783">
        <v>25</v>
      </c>
      <c r="K977" s="783" t="s">
        <v>99</v>
      </c>
      <c r="L977" s="783" t="s">
        <v>4096</v>
      </c>
      <c r="M977" s="784">
        <v>117860.61</v>
      </c>
      <c r="N977" s="784">
        <v>76.3</v>
      </c>
      <c r="O977" s="784">
        <v>8.1300000000000008</v>
      </c>
      <c r="P977" s="783">
        <v>190</v>
      </c>
      <c r="Q977" s="783">
        <v>5398.02</v>
      </c>
      <c r="R977" s="783">
        <v>3627.25</v>
      </c>
      <c r="S977" s="783">
        <v>969.31</v>
      </c>
      <c r="T977" s="783">
        <v>801.45</v>
      </c>
      <c r="U977" s="785">
        <v>44631.635833333297</v>
      </c>
    </row>
    <row r="978" spans="1:21">
      <c r="A978" s="782">
        <v>44531</v>
      </c>
      <c r="B978" s="783" t="s">
        <v>41</v>
      </c>
      <c r="C978" s="783" t="s">
        <v>4139</v>
      </c>
      <c r="D978" s="783" t="s">
        <v>4009</v>
      </c>
      <c r="E978" s="783" t="s">
        <v>6107</v>
      </c>
      <c r="F978" s="783" t="s">
        <v>4011</v>
      </c>
      <c r="G978" s="783" t="str">
        <f t="shared" si="57"/>
        <v>Renewal (25% in 2020)</v>
      </c>
      <c r="H978" s="783" t="s">
        <v>6108</v>
      </c>
      <c r="I978" s="783" t="s">
        <v>6109</v>
      </c>
      <c r="J978" s="783">
        <v>25</v>
      </c>
      <c r="K978" s="783" t="s">
        <v>99</v>
      </c>
      <c r="L978" s="783" t="s">
        <v>4096</v>
      </c>
      <c r="M978" s="784">
        <v>123420.97</v>
      </c>
      <c r="N978" s="784">
        <v>76.12</v>
      </c>
      <c r="O978" s="784">
        <v>7.37</v>
      </c>
      <c r="P978" s="783">
        <v>220</v>
      </c>
      <c r="Q978" s="783">
        <v>3714.97</v>
      </c>
      <c r="R978" s="783">
        <v>2280.7600000000002</v>
      </c>
      <c r="S978" s="783">
        <v>1063.94</v>
      </c>
      <c r="T978" s="783">
        <v>370.26</v>
      </c>
      <c r="U978" s="785">
        <v>44631.632986111101</v>
      </c>
    </row>
    <row r="979" spans="1:21">
      <c r="A979" s="782">
        <v>44540</v>
      </c>
      <c r="B979" s="783" t="s">
        <v>74</v>
      </c>
      <c r="C979" s="783" t="s">
        <v>4097</v>
      </c>
      <c r="D979" s="783" t="s">
        <v>4038</v>
      </c>
      <c r="E979" s="783" t="s">
        <v>4446</v>
      </c>
      <c r="F979" s="783" t="s">
        <v>4011</v>
      </c>
      <c r="G979" s="783" t="str">
        <f t="shared" si="57"/>
        <v>New Contract</v>
      </c>
      <c r="H979" s="783" t="s">
        <v>4447</v>
      </c>
      <c r="I979" s="783" t="s">
        <v>4448</v>
      </c>
      <c r="J979" s="783">
        <v>25</v>
      </c>
      <c r="K979" s="783" t="s">
        <v>99</v>
      </c>
      <c r="L979" s="783" t="s">
        <v>4096</v>
      </c>
      <c r="M979" s="784">
        <v>24994.46</v>
      </c>
      <c r="N979" s="784">
        <v>21.29</v>
      </c>
      <c r="O979" s="784">
        <v>5.87</v>
      </c>
      <c r="P979" s="783">
        <v>200</v>
      </c>
      <c r="Q979" s="783">
        <v>982.28</v>
      </c>
      <c r="R979" s="783">
        <v>611.85</v>
      </c>
      <c r="S979" s="783">
        <v>205.47</v>
      </c>
      <c r="T979" s="783">
        <v>164.96</v>
      </c>
      <c r="U979" s="785">
        <v>44631.633113425902</v>
      </c>
    </row>
    <row r="980" spans="1:21">
      <c r="A980" s="782">
        <v>44592</v>
      </c>
      <c r="B980" s="783" t="s">
        <v>41</v>
      </c>
      <c r="C980" s="783" t="s">
        <v>4071</v>
      </c>
      <c r="D980" s="783" t="s">
        <v>4009</v>
      </c>
      <c r="E980" s="783" t="s">
        <v>6110</v>
      </c>
      <c r="F980" s="783" t="s">
        <v>4011</v>
      </c>
      <c r="G980" s="783" t="str">
        <f t="shared" si="57"/>
        <v>Renewal (15% in 2020)</v>
      </c>
      <c r="H980" s="783" t="s">
        <v>6111</v>
      </c>
      <c r="I980" s="783" t="s">
        <v>6112</v>
      </c>
      <c r="J980" s="783">
        <v>15</v>
      </c>
      <c r="K980" s="783" t="s">
        <v>99</v>
      </c>
      <c r="L980" s="783" t="s">
        <v>4096</v>
      </c>
      <c r="M980" s="784">
        <v>20666.05</v>
      </c>
      <c r="N980" s="784">
        <v>20.5</v>
      </c>
      <c r="O980" s="784">
        <v>5.93</v>
      </c>
      <c r="P980" s="783">
        <v>170</v>
      </c>
      <c r="Q980" s="783">
        <v>1037.44</v>
      </c>
      <c r="R980" s="783">
        <v>467.05</v>
      </c>
      <c r="S980" s="783">
        <v>72.33</v>
      </c>
      <c r="T980" s="783">
        <v>498.05</v>
      </c>
      <c r="U980" s="785">
        <v>44631.633333333302</v>
      </c>
    </row>
    <row r="981" spans="1:21">
      <c r="A981" s="782">
        <v>44525</v>
      </c>
      <c r="B981" s="783" t="s">
        <v>41</v>
      </c>
      <c r="C981" s="783" t="s">
        <v>4139</v>
      </c>
      <c r="D981" s="783" t="s">
        <v>4009</v>
      </c>
      <c r="E981" s="783" t="s">
        <v>1465</v>
      </c>
      <c r="F981" s="783" t="s">
        <v>4011</v>
      </c>
      <c r="G981" s="783" t="str">
        <f t="shared" si="57"/>
        <v>Renewal (25% in 2020)</v>
      </c>
      <c r="H981" s="783" t="s">
        <v>6113</v>
      </c>
      <c r="I981" s="783" t="s">
        <v>6114</v>
      </c>
      <c r="J981" s="783">
        <v>25</v>
      </c>
      <c r="K981" s="783" t="s">
        <v>99</v>
      </c>
      <c r="L981" s="783" t="s">
        <v>4096</v>
      </c>
      <c r="M981" s="784">
        <v>78926.539999999994</v>
      </c>
      <c r="N981" s="784">
        <v>56.36</v>
      </c>
      <c r="O981" s="784">
        <v>7.78</v>
      </c>
      <c r="P981" s="783">
        <v>180</v>
      </c>
      <c r="Q981" s="783">
        <v>2375.69</v>
      </c>
      <c r="R981" s="783">
        <v>1782.64</v>
      </c>
      <c r="S981" s="783">
        <v>356.27</v>
      </c>
      <c r="T981" s="783">
        <v>236.78</v>
      </c>
      <c r="U981" s="785">
        <v>44631.633159722202</v>
      </c>
    </row>
    <row r="982" spans="1:21">
      <c r="A982" s="782">
        <v>44525</v>
      </c>
      <c r="B982" s="783" t="s">
        <v>34</v>
      </c>
      <c r="C982" s="783" t="s">
        <v>4139</v>
      </c>
      <c r="D982" s="783" t="s">
        <v>4009</v>
      </c>
      <c r="E982" s="783" t="s">
        <v>4708</v>
      </c>
      <c r="F982" s="783" t="s">
        <v>4011</v>
      </c>
      <c r="G982" s="783" t="str">
        <f t="shared" si="57"/>
        <v>New Contract</v>
      </c>
      <c r="H982" s="783" t="s">
        <v>4709</v>
      </c>
      <c r="I982" s="783" t="s">
        <v>4710</v>
      </c>
      <c r="J982" s="783">
        <v>25</v>
      </c>
      <c r="K982" s="783" t="s">
        <v>99</v>
      </c>
      <c r="L982" s="783" t="s">
        <v>4096</v>
      </c>
      <c r="M982" s="784">
        <v>155712.98000000001</v>
      </c>
      <c r="N982" s="784">
        <v>120.01</v>
      </c>
      <c r="O982" s="784">
        <v>7.5</v>
      </c>
      <c r="P982" s="783">
        <v>173</v>
      </c>
      <c r="Q982" s="783">
        <v>4686.96</v>
      </c>
      <c r="R982" s="783">
        <v>3659.25</v>
      </c>
      <c r="S982" s="783">
        <v>560.57000000000005</v>
      </c>
      <c r="T982" s="783">
        <v>467.14</v>
      </c>
      <c r="U982" s="785">
        <v>44631.636064814797</v>
      </c>
    </row>
    <row r="983" spans="1:21">
      <c r="A983" s="782">
        <v>44524</v>
      </c>
      <c r="B983" s="783" t="s">
        <v>347</v>
      </c>
      <c r="C983" s="783" t="s">
        <v>4139</v>
      </c>
      <c r="D983" s="783" t="s">
        <v>4009</v>
      </c>
      <c r="E983" s="783" t="s">
        <v>6115</v>
      </c>
      <c r="F983" s="783" t="s">
        <v>4011</v>
      </c>
      <c r="G983" s="783" t="str">
        <f t="shared" si="57"/>
        <v>Renewal (25% in 2020)</v>
      </c>
      <c r="H983" s="783" t="s">
        <v>6116</v>
      </c>
      <c r="I983" s="783" t="s">
        <v>6117</v>
      </c>
      <c r="J983" s="783">
        <v>25</v>
      </c>
      <c r="K983" s="783" t="s">
        <v>99</v>
      </c>
      <c r="L983" s="783" t="s">
        <v>4096</v>
      </c>
      <c r="M983" s="784">
        <v>46867.14</v>
      </c>
      <c r="N983" s="784">
        <v>34.11</v>
      </c>
      <c r="O983" s="784">
        <v>6.87</v>
      </c>
      <c r="P983" s="783">
        <v>200</v>
      </c>
      <c r="Q983" s="783">
        <v>1410.7</v>
      </c>
      <c r="R983" s="783">
        <v>952.69</v>
      </c>
      <c r="S983" s="783">
        <v>317.41000000000003</v>
      </c>
      <c r="T983" s="783">
        <v>140.6</v>
      </c>
      <c r="U983" s="785">
        <v>44631.636018518497</v>
      </c>
    </row>
    <row r="984" spans="1:21">
      <c r="A984" s="782">
        <v>44529</v>
      </c>
      <c r="B984" s="783" t="s">
        <v>30</v>
      </c>
      <c r="C984" s="783" t="s">
        <v>4089</v>
      </c>
      <c r="D984" s="783" t="s">
        <v>4021</v>
      </c>
      <c r="E984" s="783" t="s">
        <v>6118</v>
      </c>
      <c r="F984" s="783" t="s">
        <v>4011</v>
      </c>
      <c r="G984" s="783" t="str">
        <f t="shared" si="57"/>
        <v>Renewal (15% in 2020)</v>
      </c>
      <c r="H984" s="783" t="s">
        <v>6119</v>
      </c>
      <c r="I984" s="783" t="s">
        <v>6120</v>
      </c>
      <c r="J984" s="783">
        <v>15</v>
      </c>
      <c r="K984" s="783" t="s">
        <v>99</v>
      </c>
      <c r="L984" s="783" t="s">
        <v>4096</v>
      </c>
      <c r="M984" s="784">
        <v>11065.92</v>
      </c>
      <c r="N984" s="784">
        <v>9.5399999999999991</v>
      </c>
      <c r="O984" s="784">
        <v>6.27</v>
      </c>
      <c r="P984" s="783">
        <v>185</v>
      </c>
      <c r="Q984" s="783">
        <v>740.31</v>
      </c>
      <c r="R984" s="783">
        <v>301.13</v>
      </c>
      <c r="S984" s="783">
        <v>70.680000000000007</v>
      </c>
      <c r="T984" s="783">
        <v>368.5</v>
      </c>
      <c r="U984" s="785">
        <v>44631.635497685202</v>
      </c>
    </row>
    <row r="985" spans="1:21">
      <c r="A985" s="782">
        <v>44524</v>
      </c>
      <c r="B985" s="783" t="s">
        <v>113</v>
      </c>
      <c r="C985" s="783" t="s">
        <v>4602</v>
      </c>
      <c r="D985" s="783" t="s">
        <v>4038</v>
      </c>
      <c r="E985" s="783" t="s">
        <v>364</v>
      </c>
      <c r="F985" s="783" t="s">
        <v>4011</v>
      </c>
      <c r="G985" s="783" t="str">
        <f t="shared" si="57"/>
        <v>Renewal (20% in 2020)</v>
      </c>
      <c r="H985" s="783" t="s">
        <v>6121</v>
      </c>
      <c r="I985" s="783" t="s">
        <v>6122</v>
      </c>
      <c r="J985" s="783">
        <v>20</v>
      </c>
      <c r="K985" s="783" t="s">
        <v>99</v>
      </c>
      <c r="L985" s="783" t="s">
        <v>4096</v>
      </c>
      <c r="M985" s="784">
        <v>131802.09</v>
      </c>
      <c r="N985" s="784">
        <v>92.74</v>
      </c>
      <c r="O985" s="784">
        <v>6.46</v>
      </c>
      <c r="P985" s="783">
        <v>220</v>
      </c>
      <c r="Q985" s="783">
        <v>5140.28</v>
      </c>
      <c r="R985" s="783">
        <v>2311.27</v>
      </c>
      <c r="S985" s="783">
        <v>1221.03</v>
      </c>
      <c r="T985" s="783">
        <v>1607.99</v>
      </c>
      <c r="U985" s="785">
        <v>44655.399363425902</v>
      </c>
    </row>
    <row r="986" spans="1:21">
      <c r="A986" s="782">
        <v>44527</v>
      </c>
      <c r="B986" s="783" t="s">
        <v>41</v>
      </c>
      <c r="C986" s="783" t="s">
        <v>4082</v>
      </c>
      <c r="D986" s="783" t="s">
        <v>4009</v>
      </c>
      <c r="E986" s="783" t="s">
        <v>6123</v>
      </c>
      <c r="F986" s="783" t="s">
        <v>4011</v>
      </c>
      <c r="G986" s="783" t="str">
        <f t="shared" si="57"/>
        <v>Renewal (30% in 2020)</v>
      </c>
      <c r="H986" s="783" t="s">
        <v>6124</v>
      </c>
      <c r="I986" s="783" t="s">
        <v>6125</v>
      </c>
      <c r="J986" s="783">
        <v>30</v>
      </c>
      <c r="K986" s="783" t="s">
        <v>99</v>
      </c>
      <c r="L986" s="783" t="s">
        <v>4096</v>
      </c>
      <c r="M986" s="784">
        <v>22869</v>
      </c>
      <c r="N986" s="784">
        <v>16.5</v>
      </c>
      <c r="O986" s="784">
        <v>6.93</v>
      </c>
      <c r="P986" s="783">
        <v>200</v>
      </c>
      <c r="Q986" s="783">
        <v>756.96</v>
      </c>
      <c r="R986" s="783">
        <v>577.63</v>
      </c>
      <c r="S986" s="783">
        <v>90.15</v>
      </c>
      <c r="T986" s="783">
        <v>89.19</v>
      </c>
      <c r="U986" s="785">
        <v>44631.636006944398</v>
      </c>
    </row>
    <row r="987" spans="1:21">
      <c r="A987" s="782">
        <v>44532</v>
      </c>
      <c r="B987" s="783" t="s">
        <v>47</v>
      </c>
      <c r="C987" s="783" t="s">
        <v>4244</v>
      </c>
      <c r="D987" s="783" t="s">
        <v>4102</v>
      </c>
      <c r="E987" s="783" t="s">
        <v>6126</v>
      </c>
      <c r="F987" s="783" t="s">
        <v>4011</v>
      </c>
      <c r="G987" s="783" t="str">
        <f t="shared" si="57"/>
        <v>Renewal (20% in 2020)</v>
      </c>
      <c r="H987" s="783" t="s">
        <v>6127</v>
      </c>
      <c r="I987" s="783" t="s">
        <v>6128</v>
      </c>
      <c r="J987" s="783">
        <v>20</v>
      </c>
      <c r="K987" s="783" t="s">
        <v>99</v>
      </c>
      <c r="L987" s="783" t="s">
        <v>4096</v>
      </c>
      <c r="M987" s="784">
        <v>107296.11</v>
      </c>
      <c r="N987" s="784">
        <v>63.92</v>
      </c>
      <c r="O987" s="784">
        <v>7.63</v>
      </c>
      <c r="P987" s="783">
        <v>220</v>
      </c>
      <c r="Q987" s="783">
        <v>4055.79</v>
      </c>
      <c r="R987" s="783">
        <v>1906.85</v>
      </c>
      <c r="S987" s="783">
        <v>882.85</v>
      </c>
      <c r="T987" s="783">
        <v>1266.0899999999999</v>
      </c>
      <c r="U987" s="785">
        <v>44631.633067129602</v>
      </c>
    </row>
    <row r="988" spans="1:21">
      <c r="A988" s="782">
        <v>44530</v>
      </c>
      <c r="B988" s="783" t="s">
        <v>74</v>
      </c>
      <c r="C988" s="783" t="s">
        <v>4037</v>
      </c>
      <c r="D988" s="783" t="s">
        <v>4038</v>
      </c>
      <c r="E988" s="783" t="s">
        <v>6129</v>
      </c>
      <c r="F988" s="783" t="s">
        <v>4011</v>
      </c>
      <c r="G988" s="783" t="str">
        <f t="shared" si="57"/>
        <v>New Contract</v>
      </c>
      <c r="H988" s="783" t="s">
        <v>6130</v>
      </c>
      <c r="I988" s="783" t="s">
        <v>6131</v>
      </c>
      <c r="J988" s="783">
        <v>25</v>
      </c>
      <c r="K988" s="783" t="s">
        <v>99</v>
      </c>
      <c r="L988" s="783" t="s">
        <v>4096</v>
      </c>
      <c r="M988" s="784">
        <v>9431.7000000000007</v>
      </c>
      <c r="N988" s="784">
        <v>7.45</v>
      </c>
      <c r="O988" s="784">
        <v>6.33</v>
      </c>
      <c r="P988" s="783">
        <v>200</v>
      </c>
      <c r="Q988" s="783">
        <v>545.15</v>
      </c>
      <c r="R988" s="783">
        <v>323.07</v>
      </c>
      <c r="S988" s="783">
        <v>109.84</v>
      </c>
      <c r="T988" s="783">
        <v>112.24</v>
      </c>
      <c r="U988" s="785">
        <v>44631.632604166698</v>
      </c>
    </row>
    <row r="989" spans="1:21">
      <c r="A989" s="782">
        <v>44537</v>
      </c>
      <c r="B989" s="783" t="s">
        <v>41</v>
      </c>
      <c r="C989" s="783" t="s">
        <v>4082</v>
      </c>
      <c r="D989" s="783" t="s">
        <v>4009</v>
      </c>
      <c r="E989" s="783" t="s">
        <v>6132</v>
      </c>
      <c r="F989" s="783" t="s">
        <v>4011</v>
      </c>
      <c r="G989" s="783" t="str">
        <f t="shared" si="57"/>
        <v>New contract</v>
      </c>
      <c r="H989" s="783" t="s">
        <v>6133</v>
      </c>
      <c r="I989" s="783" t="s">
        <v>6134</v>
      </c>
      <c r="J989" s="783">
        <v>20</v>
      </c>
      <c r="K989" s="783" t="s">
        <v>99</v>
      </c>
      <c r="L989" s="783" t="s">
        <v>4096</v>
      </c>
      <c r="M989" s="784">
        <v>95109.88</v>
      </c>
      <c r="N989" s="784">
        <v>64.06</v>
      </c>
      <c r="O989" s="784">
        <v>7.07</v>
      </c>
      <c r="P989" s="783">
        <v>210</v>
      </c>
      <c r="Q989" s="783">
        <v>4707.9399999999996</v>
      </c>
      <c r="R989" s="783">
        <v>2287.89</v>
      </c>
      <c r="S989" s="783">
        <v>983.89</v>
      </c>
      <c r="T989" s="783">
        <v>1436.16</v>
      </c>
      <c r="U989" s="785">
        <v>44631.632916666698</v>
      </c>
    </row>
    <row r="990" spans="1:21">
      <c r="A990" s="782">
        <v>44536</v>
      </c>
      <c r="B990" s="783" t="s">
        <v>4025</v>
      </c>
      <c r="C990" s="783" t="s">
        <v>4026</v>
      </c>
      <c r="D990" s="783" t="s">
        <v>4021</v>
      </c>
      <c r="E990" s="783" t="s">
        <v>4205</v>
      </c>
      <c r="F990" s="783" t="s">
        <v>4011</v>
      </c>
      <c r="G990" s="783" t="str">
        <f t="shared" si="57"/>
        <v>New contract</v>
      </c>
      <c r="H990" s="783" t="s">
        <v>4206</v>
      </c>
      <c r="I990" s="783" t="s">
        <v>4207</v>
      </c>
      <c r="J990" s="783">
        <v>25</v>
      </c>
      <c r="K990" s="783" t="s">
        <v>99</v>
      </c>
      <c r="L990" s="783" t="s">
        <v>4096</v>
      </c>
      <c r="M990" s="784">
        <v>9216.9</v>
      </c>
      <c r="N990" s="784">
        <v>8.82</v>
      </c>
      <c r="O990" s="784">
        <v>5.5</v>
      </c>
      <c r="P990" s="783">
        <v>190</v>
      </c>
      <c r="Q990" s="783">
        <v>422.13</v>
      </c>
      <c r="R990" s="783">
        <v>283.66000000000003</v>
      </c>
      <c r="S990" s="783">
        <v>75.8</v>
      </c>
      <c r="T990" s="783">
        <v>62.67</v>
      </c>
      <c r="U990" s="785">
        <v>44631.633067129602</v>
      </c>
    </row>
    <row r="991" spans="1:21">
      <c r="A991" s="782">
        <v>44606</v>
      </c>
      <c r="B991" s="783" t="s">
        <v>47</v>
      </c>
      <c r="C991" s="783" t="s">
        <v>4244</v>
      </c>
      <c r="D991" s="783" t="s">
        <v>4102</v>
      </c>
      <c r="E991" s="783" t="s">
        <v>3013</v>
      </c>
      <c r="F991" s="783" t="s">
        <v>4011</v>
      </c>
      <c r="G991" s="783" t="str">
        <f t="shared" si="57"/>
        <v>Renewal (25% in 2020)</v>
      </c>
      <c r="H991" s="783" t="s">
        <v>6135</v>
      </c>
      <c r="I991" s="783" t="s">
        <v>6136</v>
      </c>
      <c r="J991" s="783">
        <v>25</v>
      </c>
      <c r="K991" s="783" t="s">
        <v>99</v>
      </c>
      <c r="L991" s="783" t="s">
        <v>4096</v>
      </c>
      <c r="M991" s="784">
        <v>158226.85999999999</v>
      </c>
      <c r="N991" s="784">
        <v>83.05</v>
      </c>
      <c r="O991" s="784">
        <v>8.66</v>
      </c>
      <c r="P991" s="783">
        <v>220</v>
      </c>
      <c r="Q991" s="783">
        <v>4620.22</v>
      </c>
      <c r="R991" s="783">
        <v>2811.98</v>
      </c>
      <c r="S991" s="783">
        <v>1301.92</v>
      </c>
      <c r="T991" s="783">
        <v>506.33</v>
      </c>
      <c r="U991" s="785">
        <v>44631.635856481502</v>
      </c>
    </row>
    <row r="992" spans="1:21">
      <c r="A992" s="782">
        <v>44543</v>
      </c>
      <c r="B992" s="783" t="s">
        <v>41</v>
      </c>
      <c r="C992" s="783" t="s">
        <v>4092</v>
      </c>
      <c r="D992" s="783" t="s">
        <v>4009</v>
      </c>
      <c r="E992" s="783" t="s">
        <v>4208</v>
      </c>
      <c r="F992" s="783" t="s">
        <v>4011</v>
      </c>
      <c r="G992" s="783" t="str">
        <f t="shared" si="57"/>
        <v>New Contract</v>
      </c>
      <c r="H992" s="783" t="s">
        <v>4209</v>
      </c>
      <c r="I992" s="783" t="s">
        <v>4210</v>
      </c>
      <c r="J992" s="783">
        <v>30</v>
      </c>
      <c r="K992" s="783" t="s">
        <v>99</v>
      </c>
      <c r="L992" s="783" t="s">
        <v>4096</v>
      </c>
      <c r="M992" s="784">
        <v>7200</v>
      </c>
      <c r="N992" s="784">
        <v>6</v>
      </c>
      <c r="O992" s="784">
        <v>6</v>
      </c>
      <c r="P992" s="783">
        <v>200</v>
      </c>
      <c r="Q992" s="783">
        <v>252</v>
      </c>
      <c r="R992" s="783">
        <v>192.45</v>
      </c>
      <c r="S992" s="783">
        <v>30.03</v>
      </c>
      <c r="T992" s="783">
        <v>29.52</v>
      </c>
      <c r="U992" s="785">
        <v>44631.632928240702</v>
      </c>
    </row>
    <row r="993" spans="1:21">
      <c r="A993" s="782">
        <v>44531</v>
      </c>
      <c r="B993" s="783" t="s">
        <v>113</v>
      </c>
      <c r="C993" s="783" t="s">
        <v>4097</v>
      </c>
      <c r="D993" s="783" t="s">
        <v>4038</v>
      </c>
      <c r="E993" s="783" t="s">
        <v>221</v>
      </c>
      <c r="F993" s="783" t="s">
        <v>4011</v>
      </c>
      <c r="G993" s="783" t="str">
        <f t="shared" si="57"/>
        <v>Renewal (20% in 2020)</v>
      </c>
      <c r="H993" s="783" t="s">
        <v>6137</v>
      </c>
      <c r="I993" s="783" t="s">
        <v>6138</v>
      </c>
      <c r="J993" s="783">
        <v>20</v>
      </c>
      <c r="K993" s="783" t="s">
        <v>99</v>
      </c>
      <c r="L993" s="783" t="s">
        <v>4096</v>
      </c>
      <c r="M993" s="784">
        <v>35934.699999999997</v>
      </c>
      <c r="N993" s="784">
        <v>34.78</v>
      </c>
      <c r="O993" s="784">
        <v>5.74</v>
      </c>
      <c r="P993" s="783">
        <v>180</v>
      </c>
      <c r="Q993" s="783">
        <v>1800.33</v>
      </c>
      <c r="R993" s="783">
        <v>977.4</v>
      </c>
      <c r="S993" s="783">
        <v>197.66</v>
      </c>
      <c r="T993" s="783">
        <v>625.26</v>
      </c>
      <c r="U993" s="785">
        <v>44631.635578703703</v>
      </c>
    </row>
    <row r="994" spans="1:21">
      <c r="A994" s="782">
        <v>44531</v>
      </c>
      <c r="B994" s="783" t="s">
        <v>51</v>
      </c>
      <c r="C994" s="783" t="s">
        <v>4042</v>
      </c>
      <c r="D994" s="783" t="s">
        <v>4016</v>
      </c>
      <c r="E994" s="783" t="s">
        <v>1531</v>
      </c>
      <c r="F994" s="783" t="s">
        <v>4011</v>
      </c>
      <c r="G994" s="783" t="str">
        <f t="shared" si="57"/>
        <v>Renewal (20% in 2020)</v>
      </c>
      <c r="H994" s="783" t="s">
        <v>6139</v>
      </c>
      <c r="I994" s="783" t="s">
        <v>6140</v>
      </c>
      <c r="J994" s="783">
        <v>20</v>
      </c>
      <c r="K994" s="783" t="s">
        <v>99</v>
      </c>
      <c r="L994" s="783" t="s">
        <v>4096</v>
      </c>
      <c r="M994" s="784">
        <v>30076.799999999999</v>
      </c>
      <c r="N994" s="784">
        <v>26</v>
      </c>
      <c r="O994" s="784">
        <v>7.23</v>
      </c>
      <c r="P994" s="783">
        <v>160</v>
      </c>
      <c r="Q994" s="783">
        <v>1308.3399999999999</v>
      </c>
      <c r="R994" s="783">
        <v>845.16</v>
      </c>
      <c r="S994" s="783">
        <v>129.33000000000001</v>
      </c>
      <c r="T994" s="783">
        <v>333.85</v>
      </c>
      <c r="U994" s="785">
        <v>44631.633125</v>
      </c>
    </row>
    <row r="995" spans="1:21">
      <c r="A995" s="782">
        <v>44533</v>
      </c>
      <c r="B995" s="783" t="s">
        <v>47</v>
      </c>
      <c r="C995" s="783" t="s">
        <v>4244</v>
      </c>
      <c r="D995" s="783" t="s">
        <v>4102</v>
      </c>
      <c r="E995" s="783" t="s">
        <v>6141</v>
      </c>
      <c r="F995" s="783" t="s">
        <v>4011</v>
      </c>
      <c r="G995" s="783" t="str">
        <f t="shared" si="57"/>
        <v>Renewal (20% in 2020)</v>
      </c>
      <c r="H995" s="783" t="s">
        <v>6142</v>
      </c>
      <c r="I995" s="783" t="s">
        <v>6143</v>
      </c>
      <c r="J995" s="783">
        <v>20</v>
      </c>
      <c r="K995" s="783" t="s">
        <v>99</v>
      </c>
      <c r="L995" s="783" t="s">
        <v>4096</v>
      </c>
      <c r="M995" s="784">
        <v>59959.37</v>
      </c>
      <c r="N995" s="784">
        <v>28.81</v>
      </c>
      <c r="O995" s="784">
        <v>9.4600000000000009</v>
      </c>
      <c r="P995" s="783">
        <v>220</v>
      </c>
      <c r="Q995" s="783">
        <v>2266.46</v>
      </c>
      <c r="R995" s="783">
        <v>1065.5899999999999</v>
      </c>
      <c r="S995" s="783">
        <v>493.36</v>
      </c>
      <c r="T995" s="783">
        <v>707.52</v>
      </c>
      <c r="U995" s="785">
        <v>44631.635532407403</v>
      </c>
    </row>
    <row r="996" spans="1:21">
      <c r="A996" s="782">
        <v>44524</v>
      </c>
      <c r="B996" s="783" t="s">
        <v>30</v>
      </c>
      <c r="C996" s="783" t="s">
        <v>5213</v>
      </c>
      <c r="D996" s="783" t="s">
        <v>4021</v>
      </c>
      <c r="E996" s="783" t="s">
        <v>4769</v>
      </c>
      <c r="F996" s="783" t="s">
        <v>4011</v>
      </c>
      <c r="G996" s="783" t="str">
        <f t="shared" si="57"/>
        <v>Renewal (30% in 2020)</v>
      </c>
      <c r="H996" s="783" t="s">
        <v>4770</v>
      </c>
      <c r="I996" s="783" t="s">
        <v>4771</v>
      </c>
      <c r="J996" s="783">
        <v>30</v>
      </c>
      <c r="K996" s="783" t="s">
        <v>99</v>
      </c>
      <c r="L996" s="783" t="s">
        <v>4096</v>
      </c>
      <c r="M996" s="784">
        <v>48328</v>
      </c>
      <c r="N996" s="784">
        <v>34.520000000000003</v>
      </c>
      <c r="O996" s="784">
        <v>7</v>
      </c>
      <c r="P996" s="783">
        <v>200</v>
      </c>
      <c r="Q996" s="783">
        <v>2276.25</v>
      </c>
      <c r="R996" s="783">
        <v>1655.43</v>
      </c>
      <c r="S996" s="783">
        <v>258.36</v>
      </c>
      <c r="T996" s="783">
        <v>362.46</v>
      </c>
      <c r="U996" s="785">
        <v>44631.635775463001</v>
      </c>
    </row>
    <row r="997" spans="1:21">
      <c r="A997" s="782">
        <v>44536</v>
      </c>
      <c r="B997" s="783" t="s">
        <v>41</v>
      </c>
      <c r="C997" s="783" t="s">
        <v>4092</v>
      </c>
      <c r="D997" s="783" t="s">
        <v>4009</v>
      </c>
      <c r="E997" s="783" t="s">
        <v>4211</v>
      </c>
      <c r="F997" s="783" t="s">
        <v>4011</v>
      </c>
      <c r="G997" s="783" t="s">
        <v>4028</v>
      </c>
      <c r="H997" s="783" t="s">
        <v>4212</v>
      </c>
      <c r="I997" s="783" t="s">
        <v>4213</v>
      </c>
      <c r="J997" s="783">
        <v>20</v>
      </c>
      <c r="K997" s="783" t="s">
        <v>99</v>
      </c>
      <c r="L997" s="783" t="s">
        <v>4096</v>
      </c>
      <c r="M997" s="784">
        <v>11789.95</v>
      </c>
      <c r="N997" s="784">
        <v>11.75</v>
      </c>
      <c r="O997" s="784">
        <v>5.8</v>
      </c>
      <c r="P997" s="783">
        <v>173</v>
      </c>
      <c r="Q997" s="783">
        <v>617.79</v>
      </c>
      <c r="R997" s="783">
        <v>364.31</v>
      </c>
      <c r="S997" s="783">
        <v>64.84</v>
      </c>
      <c r="T997" s="783">
        <v>188.64</v>
      </c>
      <c r="U997" s="785">
        <v>44631.636064814797</v>
      </c>
    </row>
    <row r="998" spans="1:21">
      <c r="A998" s="782">
        <v>44533</v>
      </c>
      <c r="B998" s="783" t="s">
        <v>41</v>
      </c>
      <c r="C998" s="783" t="s">
        <v>4071</v>
      </c>
      <c r="D998" s="783" t="s">
        <v>4009</v>
      </c>
      <c r="E998" s="783" t="s">
        <v>2811</v>
      </c>
      <c r="F998" s="783" t="s">
        <v>4011</v>
      </c>
      <c r="G998" s="783" t="str">
        <f>VLOOKUP(I998,pacage,2,FALSE)</f>
        <v>Renewal (15% in 2020)</v>
      </c>
      <c r="H998" s="783" t="s">
        <v>6144</v>
      </c>
      <c r="I998" s="783" t="s">
        <v>6145</v>
      </c>
      <c r="J998" s="783">
        <v>15</v>
      </c>
      <c r="K998" s="783" t="s">
        <v>99</v>
      </c>
      <c r="L998" s="783" t="s">
        <v>4096</v>
      </c>
      <c r="M998" s="784">
        <v>62640</v>
      </c>
      <c r="N998" s="784">
        <v>60</v>
      </c>
      <c r="O998" s="784">
        <v>6.96</v>
      </c>
      <c r="P998" s="783">
        <v>150</v>
      </c>
      <c r="Q998" s="783">
        <v>3144.53</v>
      </c>
      <c r="R998" s="783">
        <v>1415.66</v>
      </c>
      <c r="S998" s="783">
        <v>219.24</v>
      </c>
      <c r="T998" s="783">
        <v>1509.62</v>
      </c>
      <c r="U998" s="785">
        <v>44631.636145833298</v>
      </c>
    </row>
    <row r="999" spans="1:21">
      <c r="A999" s="782">
        <v>44540</v>
      </c>
      <c r="B999" s="783" t="s">
        <v>47</v>
      </c>
      <c r="C999" s="783" t="s">
        <v>4244</v>
      </c>
      <c r="D999" s="783" t="s">
        <v>4102</v>
      </c>
      <c r="E999" s="783" t="s">
        <v>6146</v>
      </c>
      <c r="F999" s="783" t="s">
        <v>4011</v>
      </c>
      <c r="G999" s="783" t="str">
        <f>VLOOKUP(I999,pacage,2,FALSE)</f>
        <v>Renewal (20% in 2020)</v>
      </c>
      <c r="H999" s="783" t="s">
        <v>6147</v>
      </c>
      <c r="I999" s="783" t="s">
        <v>6148</v>
      </c>
      <c r="J999" s="783">
        <v>20</v>
      </c>
      <c r="K999" s="783" t="s">
        <v>99</v>
      </c>
      <c r="L999" s="783" t="s">
        <v>4096</v>
      </c>
      <c r="M999" s="784">
        <v>64404.99</v>
      </c>
      <c r="N999" s="784">
        <v>46.02</v>
      </c>
      <c r="O999" s="784">
        <v>9.33</v>
      </c>
      <c r="P999" s="783">
        <v>150</v>
      </c>
      <c r="Q999" s="783">
        <v>2434.5100000000002</v>
      </c>
      <c r="R999" s="783">
        <v>1455.55</v>
      </c>
      <c r="S999" s="783">
        <v>218.98</v>
      </c>
      <c r="T999" s="783">
        <v>759.98</v>
      </c>
      <c r="U999" s="785">
        <v>44631.633136574099</v>
      </c>
    </row>
    <row r="1000" spans="1:21">
      <c r="A1000" s="782">
        <v>44532</v>
      </c>
      <c r="B1000" s="783" t="s">
        <v>41</v>
      </c>
      <c r="C1000" s="783" t="s">
        <v>4092</v>
      </c>
      <c r="D1000" s="783" t="s">
        <v>4009</v>
      </c>
      <c r="E1000" s="783" t="s">
        <v>6149</v>
      </c>
      <c r="F1000" s="783" t="s">
        <v>4011</v>
      </c>
      <c r="G1000" s="783" t="str">
        <f>VLOOKUP(I1000,pacage,2,FALSE)</f>
        <v>Renewal (25% in 2020)</v>
      </c>
      <c r="H1000" s="783" t="s">
        <v>6150</v>
      </c>
      <c r="I1000" s="783" t="s">
        <v>6151</v>
      </c>
      <c r="J1000" s="783">
        <v>25</v>
      </c>
      <c r="K1000" s="783" t="s">
        <v>99</v>
      </c>
      <c r="L1000" s="783" t="s">
        <v>4096</v>
      </c>
      <c r="M1000" s="784">
        <v>53931.21</v>
      </c>
      <c r="N1000" s="784">
        <v>42.17</v>
      </c>
      <c r="O1000" s="784">
        <v>6.09</v>
      </c>
      <c r="P1000" s="783">
        <v>210</v>
      </c>
      <c r="Q1000" s="783">
        <v>2184.21</v>
      </c>
      <c r="R1000" s="783">
        <v>1372.86</v>
      </c>
      <c r="S1000" s="783">
        <v>590.24</v>
      </c>
      <c r="T1000" s="783">
        <v>221.12</v>
      </c>
      <c r="U1000" s="785">
        <v>44672.6337152778</v>
      </c>
    </row>
    <row r="1001" spans="1:21">
      <c r="A1001" s="782">
        <v>44592</v>
      </c>
      <c r="B1001" s="783" t="s">
        <v>41</v>
      </c>
      <c r="C1001" s="783" t="s">
        <v>4139</v>
      </c>
      <c r="D1001" s="783" t="s">
        <v>4009</v>
      </c>
      <c r="E1001" s="783" t="s">
        <v>6152</v>
      </c>
      <c r="F1001" s="783" t="s">
        <v>4011</v>
      </c>
      <c r="G1001" s="783" t="s">
        <v>4028</v>
      </c>
      <c r="H1001" s="783" t="s">
        <v>6153</v>
      </c>
      <c r="I1001" s="783" t="s">
        <v>6154</v>
      </c>
      <c r="J1001" s="783">
        <v>30</v>
      </c>
      <c r="K1001" s="783" t="s">
        <v>99</v>
      </c>
      <c r="L1001" s="783" t="s">
        <v>4096</v>
      </c>
      <c r="M1001" s="784">
        <v>33869.94</v>
      </c>
      <c r="N1001" s="784">
        <v>26</v>
      </c>
      <c r="O1001" s="784">
        <v>7.53</v>
      </c>
      <c r="P1001" s="783">
        <v>173</v>
      </c>
      <c r="Q1001" s="783">
        <v>897.55</v>
      </c>
      <c r="R1001" s="783">
        <v>795.94</v>
      </c>
      <c r="S1001" s="783">
        <v>0</v>
      </c>
      <c r="T1001" s="783">
        <v>101.61</v>
      </c>
      <c r="U1001" s="785">
        <v>44631.633159722202</v>
      </c>
    </row>
    <row r="1002" spans="1:21">
      <c r="A1002" s="782">
        <v>44434</v>
      </c>
      <c r="B1002" s="783" t="s">
        <v>41</v>
      </c>
      <c r="C1002" s="783" t="s">
        <v>4082</v>
      </c>
      <c r="D1002" s="783" t="s">
        <v>4009</v>
      </c>
      <c r="E1002" s="783" t="s">
        <v>4720</v>
      </c>
      <c r="F1002" s="783" t="s">
        <v>4011</v>
      </c>
      <c r="G1002" s="783" t="str">
        <f t="shared" ref="G1002:G1008" si="58">VLOOKUP(I1002,pacage,2,FALSE)</f>
        <v>Renewal (30% in 2020)</v>
      </c>
      <c r="H1002" s="783" t="s">
        <v>4721</v>
      </c>
      <c r="I1002" s="783" t="s">
        <v>4722</v>
      </c>
      <c r="J1002" s="783">
        <v>30</v>
      </c>
      <c r="K1002" s="783" t="s">
        <v>99</v>
      </c>
      <c r="L1002" s="783" t="s">
        <v>4096</v>
      </c>
      <c r="M1002" s="784">
        <v>27839.040000000001</v>
      </c>
      <c r="N1002" s="784">
        <v>24.68</v>
      </c>
      <c r="O1002" s="784">
        <v>7.05</v>
      </c>
      <c r="P1002" s="783">
        <v>160</v>
      </c>
      <c r="Q1002" s="783">
        <v>921.47</v>
      </c>
      <c r="R1002" s="783">
        <v>812.9</v>
      </c>
      <c r="S1002" s="783">
        <v>0</v>
      </c>
      <c r="T1002" s="783">
        <v>108.57</v>
      </c>
      <c r="U1002" s="785">
        <v>44631.633032407401</v>
      </c>
    </row>
    <row r="1003" spans="1:21">
      <c r="A1003" s="782">
        <v>44434</v>
      </c>
      <c r="B1003" s="783" t="s">
        <v>51</v>
      </c>
      <c r="C1003" s="783" t="s">
        <v>4042</v>
      </c>
      <c r="D1003" s="783" t="s">
        <v>4016</v>
      </c>
      <c r="E1003" s="783" t="s">
        <v>6155</v>
      </c>
      <c r="F1003" s="783" t="s">
        <v>4011</v>
      </c>
      <c r="G1003" s="783" t="str">
        <f t="shared" si="58"/>
        <v>Renewal (30% in 2020)</v>
      </c>
      <c r="H1003" s="783" t="s">
        <v>6156</v>
      </c>
      <c r="I1003" s="783" t="s">
        <v>6157</v>
      </c>
      <c r="J1003" s="783">
        <v>30</v>
      </c>
      <c r="K1003" s="783" t="s">
        <v>99</v>
      </c>
      <c r="L1003" s="783" t="s">
        <v>4096</v>
      </c>
      <c r="M1003" s="784">
        <v>74289.600000000006</v>
      </c>
      <c r="N1003" s="784">
        <v>63</v>
      </c>
      <c r="O1003" s="784">
        <v>7.37</v>
      </c>
      <c r="P1003" s="783">
        <v>160</v>
      </c>
      <c r="Q1003" s="783">
        <v>2436.6999999999998</v>
      </c>
      <c r="R1003" s="783">
        <v>2087.54</v>
      </c>
      <c r="S1003" s="783">
        <v>0</v>
      </c>
      <c r="T1003" s="783">
        <v>349.16</v>
      </c>
      <c r="U1003" s="785">
        <v>44631.636157407404</v>
      </c>
    </row>
    <row r="1004" spans="1:21">
      <c r="A1004" s="782">
        <v>44456</v>
      </c>
      <c r="B1004" s="783" t="s">
        <v>30</v>
      </c>
      <c r="C1004" s="783" t="s">
        <v>5974</v>
      </c>
      <c r="D1004" s="783" t="s">
        <v>4021</v>
      </c>
      <c r="E1004" s="783" t="s">
        <v>6158</v>
      </c>
      <c r="F1004" s="783" t="s">
        <v>4011</v>
      </c>
      <c r="G1004" s="783" t="str">
        <f t="shared" si="58"/>
        <v>Renewal (15% in 2020)</v>
      </c>
      <c r="H1004" s="783" t="s">
        <v>6159</v>
      </c>
      <c r="I1004" s="783" t="s">
        <v>6160</v>
      </c>
      <c r="J1004" s="783">
        <v>15</v>
      </c>
      <c r="K1004" s="783" t="s">
        <v>99</v>
      </c>
      <c r="L1004" s="783" t="s">
        <v>4096</v>
      </c>
      <c r="M1004" s="784">
        <v>15045.75</v>
      </c>
      <c r="N1004" s="784">
        <v>13.5</v>
      </c>
      <c r="O1004" s="784">
        <v>7.43</v>
      </c>
      <c r="P1004" s="783">
        <v>150</v>
      </c>
      <c r="Q1004" s="783">
        <v>1024.6199999999999</v>
      </c>
      <c r="R1004" s="783">
        <v>422.79</v>
      </c>
      <c r="S1004" s="783">
        <v>91.78</v>
      </c>
      <c r="T1004" s="783">
        <v>510.05</v>
      </c>
      <c r="U1004" s="785">
        <v>44631.636354166701</v>
      </c>
    </row>
    <row r="1005" spans="1:21">
      <c r="A1005" s="782">
        <v>44435</v>
      </c>
      <c r="B1005" s="783" t="s">
        <v>41</v>
      </c>
      <c r="C1005" s="783" t="s">
        <v>4092</v>
      </c>
      <c r="D1005" s="783" t="s">
        <v>4009</v>
      </c>
      <c r="E1005" s="783" t="s">
        <v>927</v>
      </c>
      <c r="F1005" s="783" t="s">
        <v>4011</v>
      </c>
      <c r="G1005" s="783" t="str">
        <f t="shared" si="58"/>
        <v>Renewal (15% in 2020)</v>
      </c>
      <c r="H1005" s="783" t="s">
        <v>6161</v>
      </c>
      <c r="I1005" s="783" t="s">
        <v>6162</v>
      </c>
      <c r="J1005" s="783">
        <v>15</v>
      </c>
      <c r="K1005" s="783" t="s">
        <v>99</v>
      </c>
      <c r="L1005" s="783" t="s">
        <v>4096</v>
      </c>
      <c r="M1005" s="784">
        <v>72960</v>
      </c>
      <c r="N1005" s="784">
        <v>80</v>
      </c>
      <c r="O1005" s="784">
        <v>5.7</v>
      </c>
      <c r="P1005" s="783">
        <v>160</v>
      </c>
      <c r="Q1005" s="783">
        <v>5121.79</v>
      </c>
      <c r="R1005" s="783">
        <v>2254.46</v>
      </c>
      <c r="S1005" s="783">
        <v>401.28</v>
      </c>
      <c r="T1005" s="783">
        <v>2466.0500000000002</v>
      </c>
      <c r="U1005" s="785">
        <v>44631.635891203703</v>
      </c>
    </row>
    <row r="1006" spans="1:21">
      <c r="A1006" s="782">
        <v>44437</v>
      </c>
      <c r="B1006" s="783" t="s">
        <v>51</v>
      </c>
      <c r="C1006" s="783" t="s">
        <v>4796</v>
      </c>
      <c r="D1006" s="783" t="s">
        <v>4016</v>
      </c>
      <c r="E1006" s="783" t="s">
        <v>1435</v>
      </c>
      <c r="F1006" s="783" t="s">
        <v>4011</v>
      </c>
      <c r="G1006" s="783" t="str">
        <f t="shared" si="58"/>
        <v>Renewal (15% in 2020)</v>
      </c>
      <c r="H1006" s="783" t="s">
        <v>6163</v>
      </c>
      <c r="I1006" s="783" t="s">
        <v>6164</v>
      </c>
      <c r="J1006" s="783">
        <v>15</v>
      </c>
      <c r="K1006" s="783" t="s">
        <v>99</v>
      </c>
      <c r="L1006" s="783" t="s">
        <v>4096</v>
      </c>
      <c r="M1006" s="784">
        <v>79217.279999999999</v>
      </c>
      <c r="N1006" s="784">
        <v>57.6</v>
      </c>
      <c r="O1006" s="784">
        <v>8.09</v>
      </c>
      <c r="P1006" s="783">
        <v>170</v>
      </c>
      <c r="Q1006" s="783">
        <v>7549.41</v>
      </c>
      <c r="R1006" s="783">
        <v>3342.97</v>
      </c>
      <c r="S1006" s="783">
        <v>506.99</v>
      </c>
      <c r="T1006" s="783">
        <v>3699.45</v>
      </c>
      <c r="U1006" s="785">
        <v>44631.633125</v>
      </c>
    </row>
    <row r="1007" spans="1:21">
      <c r="A1007" s="782">
        <v>44435</v>
      </c>
      <c r="B1007" s="783" t="s">
        <v>4025</v>
      </c>
      <c r="C1007" s="783" t="s">
        <v>4026</v>
      </c>
      <c r="D1007" s="783" t="s">
        <v>4021</v>
      </c>
      <c r="E1007" s="783" t="s">
        <v>6165</v>
      </c>
      <c r="F1007" s="783" t="s">
        <v>4011</v>
      </c>
      <c r="G1007" s="783" t="str">
        <f t="shared" si="58"/>
        <v>New Contract</v>
      </c>
      <c r="H1007" s="783" t="s">
        <v>6166</v>
      </c>
      <c r="I1007" s="783" t="s">
        <v>6167</v>
      </c>
      <c r="J1007" s="783">
        <v>20</v>
      </c>
      <c r="K1007" s="783" t="s">
        <v>99</v>
      </c>
      <c r="L1007" s="783" t="s">
        <v>4096</v>
      </c>
      <c r="M1007" s="784">
        <v>97383.67</v>
      </c>
      <c r="N1007" s="784">
        <v>83.43</v>
      </c>
      <c r="O1007" s="784">
        <v>6.67</v>
      </c>
      <c r="P1007" s="783">
        <v>175</v>
      </c>
      <c r="Q1007" s="783">
        <v>5706.68</v>
      </c>
      <c r="R1007" s="783">
        <v>3253.95</v>
      </c>
      <c r="S1007" s="783">
        <v>544.01</v>
      </c>
      <c r="T1007" s="783">
        <v>1908.72</v>
      </c>
      <c r="U1007" s="785">
        <v>44631.636284722197</v>
      </c>
    </row>
    <row r="1008" spans="1:21">
      <c r="A1008" s="782">
        <v>44434</v>
      </c>
      <c r="B1008" s="783" t="s">
        <v>41</v>
      </c>
      <c r="C1008" s="783" t="s">
        <v>4092</v>
      </c>
      <c r="D1008" s="783" t="s">
        <v>4009</v>
      </c>
      <c r="E1008" s="783" t="s">
        <v>79</v>
      </c>
      <c r="F1008" s="783" t="s">
        <v>4011</v>
      </c>
      <c r="G1008" s="783" t="str">
        <f t="shared" si="58"/>
        <v>Renewal (20% in 2020)</v>
      </c>
      <c r="H1008" s="783" t="s">
        <v>6168</v>
      </c>
      <c r="I1008" s="783" t="s">
        <v>6169</v>
      </c>
      <c r="J1008" s="783">
        <v>20</v>
      </c>
      <c r="K1008" s="783" t="s">
        <v>99</v>
      </c>
      <c r="L1008" s="783" t="s">
        <v>4096</v>
      </c>
      <c r="M1008" s="784">
        <v>96643.199999999997</v>
      </c>
      <c r="N1008" s="784">
        <v>100.67</v>
      </c>
      <c r="O1008" s="784">
        <v>6.4</v>
      </c>
      <c r="P1008" s="783">
        <v>150</v>
      </c>
      <c r="Q1008" s="783">
        <v>5064.1000000000004</v>
      </c>
      <c r="R1008" s="783">
        <v>2986.27</v>
      </c>
      <c r="S1008" s="783">
        <v>531.54</v>
      </c>
      <c r="T1008" s="783">
        <v>1546.29</v>
      </c>
      <c r="U1008" s="785">
        <v>44631.6334837963</v>
      </c>
    </row>
    <row r="1009" spans="1:21">
      <c r="A1009" s="782">
        <v>44589</v>
      </c>
      <c r="B1009" s="783" t="s">
        <v>4025</v>
      </c>
      <c r="C1009" s="783" t="s">
        <v>4026</v>
      </c>
      <c r="D1009" s="783" t="s">
        <v>4021</v>
      </c>
      <c r="E1009" s="783" t="s">
        <v>6170</v>
      </c>
      <c r="F1009" s="783" t="s">
        <v>4011</v>
      </c>
      <c r="G1009" s="783" t="s">
        <v>4028</v>
      </c>
      <c r="H1009" s="783" t="s">
        <v>6171</v>
      </c>
      <c r="I1009" s="783" t="s">
        <v>6172</v>
      </c>
      <c r="J1009" s="783">
        <v>25</v>
      </c>
      <c r="K1009" s="783" t="s">
        <v>99</v>
      </c>
      <c r="L1009" s="783" t="s">
        <v>4096</v>
      </c>
      <c r="M1009" s="784">
        <v>190475.19</v>
      </c>
      <c r="N1009" s="784">
        <v>150.30000000000001</v>
      </c>
      <c r="O1009" s="784">
        <v>6.67</v>
      </c>
      <c r="P1009" s="783">
        <v>190</v>
      </c>
      <c r="Q1009" s="783">
        <v>8723.76</v>
      </c>
      <c r="R1009" s="783">
        <v>5862.02</v>
      </c>
      <c r="S1009" s="783">
        <v>1566.51</v>
      </c>
      <c r="T1009" s="783">
        <v>1295.23</v>
      </c>
      <c r="U1009" s="785">
        <v>44631.636053240698</v>
      </c>
    </row>
    <row r="1010" spans="1:21">
      <c r="A1010" s="782">
        <v>44607</v>
      </c>
      <c r="B1010" s="783" t="s">
        <v>74</v>
      </c>
      <c r="C1010" s="783" t="s">
        <v>4037</v>
      </c>
      <c r="D1010" s="783" t="s">
        <v>4038</v>
      </c>
      <c r="E1010" s="783" t="s">
        <v>6173</v>
      </c>
      <c r="F1010" s="783" t="s">
        <v>4011</v>
      </c>
      <c r="G1010" s="783" t="str">
        <f>VLOOKUP(I1010,pacage,2,FALSE)</f>
        <v>Renewal (25% in 2020)</v>
      </c>
      <c r="H1010" s="783" t="s">
        <v>6174</v>
      </c>
      <c r="I1010" s="783" t="s">
        <v>6175</v>
      </c>
      <c r="J1010" s="783">
        <v>25</v>
      </c>
      <c r="K1010" s="783" t="s">
        <v>99</v>
      </c>
      <c r="L1010" s="783" t="s">
        <v>4096</v>
      </c>
      <c r="M1010" s="784">
        <v>29351.52</v>
      </c>
      <c r="N1010" s="784">
        <v>26.16</v>
      </c>
      <c r="O1010" s="784">
        <v>5.61</v>
      </c>
      <c r="P1010" s="783">
        <v>200</v>
      </c>
      <c r="Q1010" s="783">
        <v>1696.52</v>
      </c>
      <c r="R1010" s="783">
        <v>1005.41</v>
      </c>
      <c r="S1010" s="783">
        <v>341.83</v>
      </c>
      <c r="T1010" s="783">
        <v>349.28</v>
      </c>
      <c r="U1010" s="785">
        <v>44631.6332638889</v>
      </c>
    </row>
    <row r="1011" spans="1:21">
      <c r="A1011" s="782">
        <v>44587</v>
      </c>
      <c r="B1011" s="783" t="s">
        <v>41</v>
      </c>
      <c r="C1011" s="783" t="s">
        <v>4092</v>
      </c>
      <c r="D1011" s="783" t="s">
        <v>4009</v>
      </c>
      <c r="E1011" s="783" t="s">
        <v>6176</v>
      </c>
      <c r="F1011" s="783" t="s">
        <v>4011</v>
      </c>
      <c r="G1011" s="783" t="s">
        <v>4028</v>
      </c>
      <c r="H1011" s="783" t="s">
        <v>6177</v>
      </c>
      <c r="I1011" s="783" t="s">
        <v>6178</v>
      </c>
      <c r="J1011" s="783">
        <v>25</v>
      </c>
      <c r="K1011" s="783" t="s">
        <v>99</v>
      </c>
      <c r="L1011" s="783" t="s">
        <v>4096</v>
      </c>
      <c r="M1011" s="784">
        <v>9030</v>
      </c>
      <c r="N1011" s="784">
        <v>7</v>
      </c>
      <c r="O1011" s="784">
        <v>6.45</v>
      </c>
      <c r="P1011" s="783">
        <v>200</v>
      </c>
      <c r="Q1011" s="783">
        <v>365.72</v>
      </c>
      <c r="R1011" s="783">
        <v>241.36</v>
      </c>
      <c r="S1011" s="783">
        <v>87.33</v>
      </c>
      <c r="T1011" s="783">
        <v>37.020000000000003</v>
      </c>
      <c r="U1011" s="785">
        <v>44631.633472222202</v>
      </c>
    </row>
    <row r="1012" spans="1:21">
      <c r="A1012" s="782">
        <v>44453</v>
      </c>
      <c r="B1012" s="783" t="s">
        <v>971</v>
      </c>
      <c r="C1012" s="783" t="s">
        <v>4082</v>
      </c>
      <c r="D1012" s="783" t="s">
        <v>4009</v>
      </c>
      <c r="E1012" s="783" t="s">
        <v>3334</v>
      </c>
      <c r="F1012" s="783" t="s">
        <v>4011</v>
      </c>
      <c r="G1012" s="783" t="str">
        <f t="shared" ref="G1012:G1018" si="59">VLOOKUP(I1012,pacage,2,FALSE)</f>
        <v>Renewal (20% in 2020)</v>
      </c>
      <c r="H1012" s="783" t="s">
        <v>6179</v>
      </c>
      <c r="I1012" s="783" t="s">
        <v>6180</v>
      </c>
      <c r="J1012" s="783">
        <v>20</v>
      </c>
      <c r="K1012" s="783" t="s">
        <v>99</v>
      </c>
      <c r="L1012" s="783" t="s">
        <v>4096</v>
      </c>
      <c r="M1012" s="784">
        <v>9101.7000000000007</v>
      </c>
      <c r="N1012" s="784">
        <v>7.41</v>
      </c>
      <c r="O1012" s="784">
        <v>7.1</v>
      </c>
      <c r="P1012" s="783">
        <v>173</v>
      </c>
      <c r="Q1012" s="783">
        <v>450.53</v>
      </c>
      <c r="R1012" s="783">
        <v>265.77</v>
      </c>
      <c r="S1012" s="783">
        <v>47.33</v>
      </c>
      <c r="T1012" s="783">
        <v>137.44</v>
      </c>
      <c r="U1012" s="785">
        <v>44631.636041666701</v>
      </c>
    </row>
    <row r="1013" spans="1:21">
      <c r="A1013" s="782">
        <v>44453</v>
      </c>
      <c r="B1013" s="783" t="s">
        <v>971</v>
      </c>
      <c r="C1013" s="783" t="s">
        <v>4092</v>
      </c>
      <c r="D1013" s="783" t="s">
        <v>4009</v>
      </c>
      <c r="E1013" s="783" t="s">
        <v>3334</v>
      </c>
      <c r="F1013" s="783" t="s">
        <v>4011</v>
      </c>
      <c r="G1013" s="783" t="str">
        <f t="shared" si="59"/>
        <v>Renewal (20% in 2020)</v>
      </c>
      <c r="H1013" s="783" t="s">
        <v>6179</v>
      </c>
      <c r="I1013" s="783" t="s">
        <v>6180</v>
      </c>
      <c r="J1013" s="783">
        <v>20</v>
      </c>
      <c r="K1013" s="783" t="s">
        <v>99</v>
      </c>
      <c r="L1013" s="783" t="s">
        <v>4096</v>
      </c>
      <c r="M1013" s="784">
        <v>5306.9</v>
      </c>
      <c r="N1013" s="784">
        <v>4.53</v>
      </c>
      <c r="O1013" s="784">
        <v>7.1</v>
      </c>
      <c r="P1013" s="783">
        <v>165</v>
      </c>
      <c r="Q1013" s="783">
        <v>278.08</v>
      </c>
      <c r="R1013" s="783">
        <v>163.98</v>
      </c>
      <c r="S1013" s="783">
        <v>29.19</v>
      </c>
      <c r="T1013" s="783">
        <v>84.91</v>
      </c>
      <c r="U1013" s="785">
        <v>44631.636041666701</v>
      </c>
    </row>
    <row r="1014" spans="1:21">
      <c r="A1014" s="782">
        <v>44454</v>
      </c>
      <c r="B1014" s="783" t="s">
        <v>74</v>
      </c>
      <c r="C1014" s="783" t="s">
        <v>4097</v>
      </c>
      <c r="D1014" s="783" t="s">
        <v>4038</v>
      </c>
      <c r="E1014" s="783" t="s">
        <v>204</v>
      </c>
      <c r="F1014" s="783" t="s">
        <v>4011</v>
      </c>
      <c r="G1014" s="783" t="str">
        <f t="shared" si="59"/>
        <v>Renewal (15% in 2020)</v>
      </c>
      <c r="H1014" s="783" t="s">
        <v>6181</v>
      </c>
      <c r="I1014" s="783" t="s">
        <v>6182</v>
      </c>
      <c r="J1014" s="783">
        <v>15</v>
      </c>
      <c r="K1014" s="783" t="s">
        <v>99</v>
      </c>
      <c r="L1014" s="783" t="s">
        <v>4096</v>
      </c>
      <c r="M1014" s="784">
        <v>18358.98</v>
      </c>
      <c r="N1014" s="784">
        <v>21.95</v>
      </c>
      <c r="O1014" s="784">
        <v>4.92</v>
      </c>
      <c r="P1014" s="783">
        <v>170</v>
      </c>
      <c r="Q1014" s="783">
        <v>1215.3599999999999</v>
      </c>
      <c r="R1014" s="783">
        <v>519.55999999999995</v>
      </c>
      <c r="S1014" s="783">
        <v>80.78</v>
      </c>
      <c r="T1014" s="783">
        <v>615.03</v>
      </c>
      <c r="U1014" s="785">
        <v>44631.636203703703</v>
      </c>
    </row>
    <row r="1015" spans="1:21">
      <c r="A1015" s="782">
        <v>44462</v>
      </c>
      <c r="B1015" s="783" t="s">
        <v>51</v>
      </c>
      <c r="C1015" s="783" t="s">
        <v>4042</v>
      </c>
      <c r="D1015" s="783" t="s">
        <v>4016</v>
      </c>
      <c r="E1015" s="783" t="s">
        <v>6183</v>
      </c>
      <c r="F1015" s="783" t="s">
        <v>4011</v>
      </c>
      <c r="G1015" s="783" t="str">
        <f t="shared" si="59"/>
        <v>Renewal (30% in 2020)</v>
      </c>
      <c r="H1015" s="783" t="s">
        <v>6184</v>
      </c>
      <c r="I1015" s="783" t="s">
        <v>6185</v>
      </c>
      <c r="J1015" s="783">
        <v>30</v>
      </c>
      <c r="K1015" s="783" t="s">
        <v>99</v>
      </c>
      <c r="L1015" s="783" t="s">
        <v>4096</v>
      </c>
      <c r="M1015" s="784">
        <v>14952</v>
      </c>
      <c r="N1015" s="784">
        <v>15</v>
      </c>
      <c r="O1015" s="784">
        <v>7.12</v>
      </c>
      <c r="P1015" s="783">
        <v>140</v>
      </c>
      <c r="Q1015" s="783">
        <v>490.43</v>
      </c>
      <c r="R1015" s="783">
        <v>420.15</v>
      </c>
      <c r="S1015" s="783">
        <v>0</v>
      </c>
      <c r="T1015" s="783">
        <v>70.27</v>
      </c>
      <c r="U1015" s="785">
        <v>44631.636134259301</v>
      </c>
    </row>
    <row r="1016" spans="1:21">
      <c r="A1016" s="782">
        <v>44455</v>
      </c>
      <c r="B1016" s="783" t="s">
        <v>41</v>
      </c>
      <c r="C1016" s="783" t="s">
        <v>4071</v>
      </c>
      <c r="D1016" s="783" t="s">
        <v>4009</v>
      </c>
      <c r="E1016" s="783" t="s">
        <v>366</v>
      </c>
      <c r="F1016" s="783" t="s">
        <v>4011</v>
      </c>
      <c r="G1016" s="783" t="str">
        <f t="shared" si="59"/>
        <v>Renewal (15% in 2020)</v>
      </c>
      <c r="H1016" s="783" t="s">
        <v>6186</v>
      </c>
      <c r="I1016" s="783" t="s">
        <v>6187</v>
      </c>
      <c r="J1016" s="783">
        <v>15</v>
      </c>
      <c r="K1016" s="783" t="s">
        <v>99</v>
      </c>
      <c r="L1016" s="783" t="s">
        <v>4096</v>
      </c>
      <c r="M1016" s="784">
        <v>103578.75</v>
      </c>
      <c r="N1016" s="784">
        <v>83.7</v>
      </c>
      <c r="O1016" s="784">
        <v>8.25</v>
      </c>
      <c r="P1016" s="783">
        <v>150</v>
      </c>
      <c r="Q1016" s="783">
        <v>5199.6499999999996</v>
      </c>
      <c r="R1016" s="783">
        <v>2340.88</v>
      </c>
      <c r="S1016" s="783">
        <v>362.53</v>
      </c>
      <c r="T1016" s="783">
        <v>2496.25</v>
      </c>
      <c r="U1016" s="785">
        <v>44631.636377314797</v>
      </c>
    </row>
    <row r="1017" spans="1:21">
      <c r="A1017" s="782">
        <v>44624</v>
      </c>
      <c r="B1017" s="783" t="s">
        <v>41</v>
      </c>
      <c r="C1017" s="783" t="s">
        <v>4008</v>
      </c>
      <c r="D1017" s="783" t="s">
        <v>4009</v>
      </c>
      <c r="E1017" s="783" t="s">
        <v>6188</v>
      </c>
      <c r="F1017" s="783" t="s">
        <v>4011</v>
      </c>
      <c r="G1017" s="783" t="str">
        <f t="shared" si="59"/>
        <v>Renewal (20% in 2020)</v>
      </c>
      <c r="H1017" s="783" t="s">
        <v>6189</v>
      </c>
      <c r="I1017" s="783" t="s">
        <v>6190</v>
      </c>
      <c r="J1017" s="783">
        <v>20</v>
      </c>
      <c r="K1017" s="783" t="s">
        <v>99</v>
      </c>
      <c r="L1017" s="783" t="s">
        <v>4096</v>
      </c>
      <c r="M1017" s="784">
        <v>45966.69</v>
      </c>
      <c r="N1017" s="784">
        <v>44.22</v>
      </c>
      <c r="O1017" s="784">
        <v>6.3</v>
      </c>
      <c r="P1017" s="783">
        <v>165</v>
      </c>
      <c r="Q1017" s="783">
        <v>2376.48</v>
      </c>
      <c r="R1017" s="783">
        <v>1351.42</v>
      </c>
      <c r="S1017" s="783">
        <v>211.45</v>
      </c>
      <c r="T1017" s="783">
        <v>813.61</v>
      </c>
      <c r="U1017" s="785">
        <v>44631.638449074097</v>
      </c>
    </row>
    <row r="1018" spans="1:21">
      <c r="A1018" s="782">
        <v>44552</v>
      </c>
      <c r="B1018" s="783" t="s">
        <v>74</v>
      </c>
      <c r="C1018" s="783" t="s">
        <v>4097</v>
      </c>
      <c r="D1018" s="783" t="s">
        <v>4038</v>
      </c>
      <c r="E1018" s="783" t="s">
        <v>3820</v>
      </c>
      <c r="F1018" s="783" t="s">
        <v>4011</v>
      </c>
      <c r="G1018" s="783" t="str">
        <f t="shared" si="59"/>
        <v>New contract</v>
      </c>
      <c r="H1018" s="783" t="s">
        <v>6191</v>
      </c>
      <c r="I1018" s="783" t="s">
        <v>6192</v>
      </c>
      <c r="J1018" s="783">
        <v>25</v>
      </c>
      <c r="K1018" s="783" t="s">
        <v>99</v>
      </c>
      <c r="L1018" s="783" t="s">
        <v>4096</v>
      </c>
      <c r="M1018" s="784">
        <v>55083.6</v>
      </c>
      <c r="N1018" s="784">
        <v>38.520000000000003</v>
      </c>
      <c r="O1018" s="784">
        <v>6.5</v>
      </c>
      <c r="P1018" s="783">
        <v>220</v>
      </c>
      <c r="Q1018" s="783">
        <v>2164.79</v>
      </c>
      <c r="R1018" s="783">
        <v>1225.8399999999999</v>
      </c>
      <c r="S1018" s="783">
        <v>575.4</v>
      </c>
      <c r="T1018" s="783">
        <v>363.55</v>
      </c>
      <c r="U1018" s="785">
        <v>44631.637002314797</v>
      </c>
    </row>
    <row r="1019" spans="1:21">
      <c r="A1019" s="782">
        <v>44558</v>
      </c>
      <c r="B1019" s="783" t="s">
        <v>74</v>
      </c>
      <c r="C1019" s="783" t="s">
        <v>4037</v>
      </c>
      <c r="D1019" s="783" t="s">
        <v>4038</v>
      </c>
      <c r="E1019" s="783" t="s">
        <v>4723</v>
      </c>
      <c r="F1019" s="783" t="s">
        <v>4066</v>
      </c>
      <c r="G1019" s="783" t="s">
        <v>4028</v>
      </c>
      <c r="H1019" s="783" t="s">
        <v>4724</v>
      </c>
      <c r="I1019" s="783" t="s">
        <v>4725</v>
      </c>
      <c r="J1019" s="783">
        <v>10</v>
      </c>
      <c r="K1019" s="783" t="s">
        <v>99</v>
      </c>
      <c r="L1019" s="783" t="s">
        <v>4096</v>
      </c>
      <c r="M1019" s="784">
        <v>28778.1</v>
      </c>
      <c r="N1019" s="784">
        <v>30.55</v>
      </c>
      <c r="O1019" s="784">
        <v>4.71</v>
      </c>
      <c r="P1019" s="783">
        <v>200</v>
      </c>
      <c r="Q1019" s="783">
        <v>664.77</v>
      </c>
      <c r="R1019" s="783">
        <v>0</v>
      </c>
      <c r="S1019" s="783">
        <v>0</v>
      </c>
      <c r="T1019" s="783">
        <v>664.77</v>
      </c>
      <c r="U1019" s="785">
        <v>44631.636909722198</v>
      </c>
    </row>
    <row r="1020" spans="1:21">
      <c r="A1020" s="782">
        <v>44578</v>
      </c>
      <c r="B1020" s="783" t="s">
        <v>4025</v>
      </c>
      <c r="C1020" s="783" t="s">
        <v>4026</v>
      </c>
      <c r="D1020" s="783" t="s">
        <v>4021</v>
      </c>
      <c r="E1020" s="783" t="s">
        <v>6193</v>
      </c>
      <c r="F1020" s="783" t="s">
        <v>4011</v>
      </c>
      <c r="G1020" s="783" t="s">
        <v>4028</v>
      </c>
      <c r="H1020" s="783" t="s">
        <v>6194</v>
      </c>
      <c r="I1020" s="783" t="s">
        <v>6195</v>
      </c>
      <c r="J1020" s="783">
        <v>25</v>
      </c>
      <c r="K1020" s="783" t="s">
        <v>99</v>
      </c>
      <c r="L1020" s="783" t="s">
        <v>4096</v>
      </c>
      <c r="M1020" s="784">
        <v>189102.72</v>
      </c>
      <c r="N1020" s="784">
        <v>151.47</v>
      </c>
      <c r="O1020" s="784">
        <v>6.09</v>
      </c>
      <c r="P1020" s="783">
        <v>205</v>
      </c>
      <c r="Q1020" s="783">
        <v>8660.9</v>
      </c>
      <c r="R1020" s="783">
        <v>5393.95</v>
      </c>
      <c r="S1020" s="783">
        <v>1981.06</v>
      </c>
      <c r="T1020" s="783">
        <v>1285.9000000000001</v>
      </c>
      <c r="U1020" s="785">
        <v>44631.637013888903</v>
      </c>
    </row>
    <row r="1021" spans="1:21">
      <c r="A1021" s="782">
        <v>44582</v>
      </c>
      <c r="B1021" s="783" t="s">
        <v>113</v>
      </c>
      <c r="C1021" s="783" t="s">
        <v>4097</v>
      </c>
      <c r="D1021" s="783" t="s">
        <v>4038</v>
      </c>
      <c r="E1021" s="783" t="s">
        <v>1381</v>
      </c>
      <c r="F1021" s="783" t="s">
        <v>4011</v>
      </c>
      <c r="G1021" s="783" t="str">
        <f>VLOOKUP(I1021,pacage,2,FALSE)</f>
        <v>Renewal (20% in 2020)</v>
      </c>
      <c r="H1021" s="783" t="s">
        <v>6196</v>
      </c>
      <c r="I1021" s="783" t="s">
        <v>6197</v>
      </c>
      <c r="J1021" s="783">
        <v>20</v>
      </c>
      <c r="K1021" s="783" t="s">
        <v>99</v>
      </c>
      <c r="L1021" s="783" t="s">
        <v>4096</v>
      </c>
      <c r="M1021" s="784">
        <v>7585.89</v>
      </c>
      <c r="N1021" s="784">
        <v>7.87</v>
      </c>
      <c r="O1021" s="784">
        <v>5.67</v>
      </c>
      <c r="P1021" s="783">
        <v>170</v>
      </c>
      <c r="Q1021" s="783">
        <v>380.05</v>
      </c>
      <c r="R1021" s="783">
        <v>214.68</v>
      </c>
      <c r="S1021" s="783">
        <v>33.380000000000003</v>
      </c>
      <c r="T1021" s="783">
        <v>131.99</v>
      </c>
      <c r="U1021" s="785">
        <v>44631.637268518498</v>
      </c>
    </row>
    <row r="1022" spans="1:21">
      <c r="A1022" s="782">
        <v>44551</v>
      </c>
      <c r="B1022" s="783" t="s">
        <v>41</v>
      </c>
      <c r="C1022" s="783" t="s">
        <v>4082</v>
      </c>
      <c r="D1022" s="783" t="s">
        <v>4009</v>
      </c>
      <c r="E1022" s="783" t="s">
        <v>6198</v>
      </c>
      <c r="F1022" s="783" t="s">
        <v>4011</v>
      </c>
      <c r="G1022" s="783" t="str">
        <f>VLOOKUP(I1022,pacage,2,FALSE)</f>
        <v>Renewal (25% in 2020)</v>
      </c>
      <c r="H1022" s="783" t="s">
        <v>6199</v>
      </c>
      <c r="I1022" s="783" t="s">
        <v>6200</v>
      </c>
      <c r="J1022" s="783">
        <v>25</v>
      </c>
      <c r="K1022" s="783" t="s">
        <v>99</v>
      </c>
      <c r="L1022" s="783" t="s">
        <v>4096</v>
      </c>
      <c r="M1022" s="784">
        <v>3482.75</v>
      </c>
      <c r="N1022" s="784">
        <v>3.38</v>
      </c>
      <c r="O1022" s="784">
        <v>6.44</v>
      </c>
      <c r="P1022" s="783">
        <v>160</v>
      </c>
      <c r="Q1022" s="783">
        <v>133.04</v>
      </c>
      <c r="R1022" s="783">
        <v>101.7</v>
      </c>
      <c r="S1022" s="783">
        <v>18.11</v>
      </c>
      <c r="T1022" s="783">
        <v>13.23</v>
      </c>
      <c r="U1022" s="785">
        <v>44631.637118055602</v>
      </c>
    </row>
    <row r="1023" spans="1:21">
      <c r="A1023" s="782">
        <v>44552</v>
      </c>
      <c r="B1023" s="783" t="s">
        <v>74</v>
      </c>
      <c r="C1023" s="783" t="s">
        <v>4097</v>
      </c>
      <c r="D1023" s="783" t="s">
        <v>4038</v>
      </c>
      <c r="E1023" s="783" t="s">
        <v>4726</v>
      </c>
      <c r="F1023" s="783" t="s">
        <v>4011</v>
      </c>
      <c r="G1023" s="783" t="str">
        <f>VLOOKUP(I1023,pacage,2,FALSE)</f>
        <v>Renewal (15% in 2020)</v>
      </c>
      <c r="H1023" s="783" t="s">
        <v>4727</v>
      </c>
      <c r="I1023" s="783" t="s">
        <v>4728</v>
      </c>
      <c r="J1023" s="783">
        <v>15</v>
      </c>
      <c r="K1023" s="783" t="s">
        <v>99</v>
      </c>
      <c r="L1023" s="783" t="s">
        <v>4096</v>
      </c>
      <c r="M1023" s="784">
        <v>44225.5</v>
      </c>
      <c r="N1023" s="784">
        <v>55</v>
      </c>
      <c r="O1023" s="784">
        <v>4.7300000000000004</v>
      </c>
      <c r="P1023" s="783">
        <v>170</v>
      </c>
      <c r="Q1023" s="783">
        <v>2927.73</v>
      </c>
      <c r="R1023" s="783">
        <v>1251.58</v>
      </c>
      <c r="S1023" s="783">
        <v>194.59</v>
      </c>
      <c r="T1023" s="783">
        <v>1481.55</v>
      </c>
      <c r="U1023" s="785">
        <v>44631.637210648201</v>
      </c>
    </row>
    <row r="1024" spans="1:21">
      <c r="A1024" s="782">
        <v>44556</v>
      </c>
      <c r="B1024" s="783" t="s">
        <v>41</v>
      </c>
      <c r="C1024" s="783" t="s">
        <v>4071</v>
      </c>
      <c r="D1024" s="783" t="s">
        <v>4009</v>
      </c>
      <c r="E1024" s="783" t="s">
        <v>6201</v>
      </c>
      <c r="F1024" s="783" t="s">
        <v>4066</v>
      </c>
      <c r="G1024" s="783" t="s">
        <v>4028</v>
      </c>
      <c r="H1024" s="783" t="s">
        <v>6202</v>
      </c>
      <c r="I1024" s="783" t="s">
        <v>6203</v>
      </c>
      <c r="J1024" s="783">
        <v>5</v>
      </c>
      <c r="K1024" s="783" t="s">
        <v>99</v>
      </c>
      <c r="L1024" s="783" t="s">
        <v>4096</v>
      </c>
      <c r="M1024" s="784">
        <v>33650.230000000003</v>
      </c>
      <c r="N1024" s="784">
        <v>36.700000000000003</v>
      </c>
      <c r="O1024" s="784">
        <v>5.3</v>
      </c>
      <c r="P1024" s="783">
        <v>173</v>
      </c>
      <c r="Q1024" s="783">
        <v>306.22000000000003</v>
      </c>
      <c r="R1024" s="783">
        <v>0</v>
      </c>
      <c r="S1024" s="783">
        <v>0</v>
      </c>
      <c r="T1024" s="783">
        <v>306.22000000000003</v>
      </c>
      <c r="U1024" s="785">
        <v>44631.637256944399</v>
      </c>
    </row>
    <row r="1025" spans="1:21">
      <c r="A1025" s="782">
        <v>44551</v>
      </c>
      <c r="B1025" s="783" t="s">
        <v>41</v>
      </c>
      <c r="C1025" s="783" t="s">
        <v>4082</v>
      </c>
      <c r="D1025" s="783" t="s">
        <v>4009</v>
      </c>
      <c r="E1025" s="783" t="s">
        <v>4729</v>
      </c>
      <c r="F1025" s="783" t="s">
        <v>4011</v>
      </c>
      <c r="G1025" s="783" t="str">
        <f>VLOOKUP(I1025,pacage,2,FALSE)</f>
        <v>New contract</v>
      </c>
      <c r="H1025" s="783" t="s">
        <v>4730</v>
      </c>
      <c r="I1025" s="783" t="s">
        <v>4731</v>
      </c>
      <c r="J1025" s="783">
        <v>25</v>
      </c>
      <c r="K1025" s="783" t="s">
        <v>99</v>
      </c>
      <c r="L1025" s="783" t="s">
        <v>4096</v>
      </c>
      <c r="M1025" s="784">
        <v>70574.14</v>
      </c>
      <c r="N1025" s="784">
        <v>52.1</v>
      </c>
      <c r="O1025" s="784">
        <v>7.83</v>
      </c>
      <c r="P1025" s="783">
        <v>173</v>
      </c>
      <c r="Q1025" s="783">
        <v>2695.93</v>
      </c>
      <c r="R1025" s="783">
        <v>2060.7600000000002</v>
      </c>
      <c r="S1025" s="783">
        <v>366.99</v>
      </c>
      <c r="T1025" s="783">
        <v>268.18</v>
      </c>
      <c r="U1025" s="785">
        <v>44631.637164351901</v>
      </c>
    </row>
    <row r="1026" spans="1:21">
      <c r="A1026" s="782">
        <v>44553</v>
      </c>
      <c r="B1026" s="783" t="s">
        <v>177</v>
      </c>
      <c r="C1026" s="783" t="s">
        <v>4274</v>
      </c>
      <c r="D1026" s="783" t="s">
        <v>4038</v>
      </c>
      <c r="E1026" s="783" t="s">
        <v>6204</v>
      </c>
      <c r="F1026" s="783" t="s">
        <v>4011</v>
      </c>
      <c r="G1026" s="783" t="str">
        <f>VLOOKUP(I1026,pacage,2,FALSE)</f>
        <v>Renewal (25% in 2020)</v>
      </c>
      <c r="H1026" s="783" t="s">
        <v>6205</v>
      </c>
      <c r="I1026" s="783" t="s">
        <v>6206</v>
      </c>
      <c r="J1026" s="783">
        <v>25</v>
      </c>
      <c r="K1026" s="783" t="s">
        <v>99</v>
      </c>
      <c r="L1026" s="783" t="s">
        <v>4096</v>
      </c>
      <c r="M1026" s="784">
        <v>20561.669999999998</v>
      </c>
      <c r="N1026" s="784">
        <v>30.26</v>
      </c>
      <c r="O1026" s="784">
        <v>4.53</v>
      </c>
      <c r="P1026" s="783">
        <v>150</v>
      </c>
      <c r="Q1026" s="783">
        <v>1040.42</v>
      </c>
      <c r="R1026" s="783">
        <v>674.42</v>
      </c>
      <c r="S1026" s="783">
        <v>176.83</v>
      </c>
      <c r="T1026" s="783">
        <v>189.17</v>
      </c>
      <c r="U1026" s="785">
        <v>44701.675810185203</v>
      </c>
    </row>
    <row r="1027" spans="1:21">
      <c r="A1027" s="782">
        <v>44569</v>
      </c>
      <c r="B1027" s="783" t="s">
        <v>41</v>
      </c>
      <c r="C1027" s="783" t="s">
        <v>4139</v>
      </c>
      <c r="D1027" s="783" t="s">
        <v>4009</v>
      </c>
      <c r="E1027" s="783" t="s">
        <v>6207</v>
      </c>
      <c r="F1027" s="783" t="s">
        <v>4011</v>
      </c>
      <c r="G1027" s="783" t="str">
        <f>VLOOKUP(I1027,pacage,2,FALSE)</f>
        <v>Renewal (15% in 2020)</v>
      </c>
      <c r="H1027" s="783" t="s">
        <v>6208</v>
      </c>
      <c r="I1027" s="783" t="s">
        <v>6209</v>
      </c>
      <c r="J1027" s="783">
        <v>15</v>
      </c>
      <c r="K1027" s="783" t="s">
        <v>99</v>
      </c>
      <c r="L1027" s="783" t="s">
        <v>4096</v>
      </c>
      <c r="M1027" s="784">
        <v>9459.11</v>
      </c>
      <c r="N1027" s="784">
        <v>5.42</v>
      </c>
      <c r="O1027" s="784">
        <v>7.76</v>
      </c>
      <c r="P1027" s="783">
        <v>224.9</v>
      </c>
      <c r="Q1027" s="783">
        <v>492.82</v>
      </c>
      <c r="R1027" s="783">
        <v>170.99</v>
      </c>
      <c r="S1027" s="783">
        <v>85.35</v>
      </c>
      <c r="T1027" s="783">
        <v>236.48</v>
      </c>
      <c r="U1027" s="785">
        <v>44631.636840277803</v>
      </c>
    </row>
    <row r="1028" spans="1:21">
      <c r="A1028" s="782">
        <v>44569</v>
      </c>
      <c r="B1028" s="783" t="s">
        <v>41</v>
      </c>
      <c r="C1028" s="783" t="s">
        <v>4071</v>
      </c>
      <c r="D1028" s="783" t="s">
        <v>4009</v>
      </c>
      <c r="E1028" s="783" t="s">
        <v>6207</v>
      </c>
      <c r="F1028" s="783" t="s">
        <v>4011</v>
      </c>
      <c r="G1028" s="783" t="str">
        <f>VLOOKUP(I1028,pacage,2,FALSE)</f>
        <v>Renewal (15% in 2020)</v>
      </c>
      <c r="H1028" s="783" t="s">
        <v>6208</v>
      </c>
      <c r="I1028" s="783" t="s">
        <v>6209</v>
      </c>
      <c r="J1028" s="783">
        <v>15</v>
      </c>
      <c r="K1028" s="783" t="s">
        <v>99</v>
      </c>
      <c r="L1028" s="783" t="s">
        <v>4096</v>
      </c>
      <c r="M1028" s="784">
        <v>81676.479999999996</v>
      </c>
      <c r="N1028" s="784">
        <v>46.8</v>
      </c>
      <c r="O1028" s="784">
        <v>7.76</v>
      </c>
      <c r="P1028" s="783">
        <v>224.9</v>
      </c>
      <c r="Q1028" s="783">
        <v>4100.16</v>
      </c>
      <c r="R1028" s="783">
        <v>1419.91</v>
      </c>
      <c r="S1028" s="783">
        <v>711.84</v>
      </c>
      <c r="T1028" s="783">
        <v>1968.4</v>
      </c>
      <c r="U1028" s="785">
        <v>44631.636840277803</v>
      </c>
    </row>
    <row r="1029" spans="1:21">
      <c r="A1029" s="782">
        <v>44558</v>
      </c>
      <c r="B1029" s="783" t="s">
        <v>34</v>
      </c>
      <c r="C1029" s="783" t="s">
        <v>4139</v>
      </c>
      <c r="D1029" s="783" t="s">
        <v>4009</v>
      </c>
      <c r="E1029" s="783" t="s">
        <v>6210</v>
      </c>
      <c r="F1029" s="783" t="s">
        <v>4011</v>
      </c>
      <c r="G1029" s="783" t="s">
        <v>4028</v>
      </c>
      <c r="H1029" s="783" t="s">
        <v>6211</v>
      </c>
      <c r="I1029" s="783" t="s">
        <v>6212</v>
      </c>
      <c r="J1029" s="783">
        <v>20</v>
      </c>
      <c r="K1029" s="783" t="s">
        <v>99</v>
      </c>
      <c r="L1029" s="783" t="s">
        <v>4096</v>
      </c>
      <c r="M1029" s="784">
        <v>36882</v>
      </c>
      <c r="N1029" s="784">
        <v>27</v>
      </c>
      <c r="O1029" s="784">
        <v>6.83</v>
      </c>
      <c r="P1029" s="783">
        <v>200</v>
      </c>
      <c r="Q1029" s="783">
        <v>1434.71</v>
      </c>
      <c r="R1029" s="783">
        <v>749.72</v>
      </c>
      <c r="S1029" s="783">
        <v>249.78</v>
      </c>
      <c r="T1029" s="783">
        <v>435.21</v>
      </c>
      <c r="U1029" s="785">
        <v>44631.636956018498</v>
      </c>
    </row>
    <row r="1030" spans="1:21">
      <c r="A1030" s="782">
        <v>44558</v>
      </c>
      <c r="B1030" s="783" t="s">
        <v>74</v>
      </c>
      <c r="C1030" s="783" t="s">
        <v>4037</v>
      </c>
      <c r="D1030" s="783" t="s">
        <v>4038</v>
      </c>
      <c r="E1030" s="783" t="s">
        <v>4452</v>
      </c>
      <c r="F1030" s="783" t="s">
        <v>4011</v>
      </c>
      <c r="G1030" s="783" t="str">
        <f>VLOOKUP(I1030,pacage,2,FALSE)</f>
        <v>Renewal (20% in 2020)</v>
      </c>
      <c r="H1030" s="783" t="s">
        <v>4453</v>
      </c>
      <c r="I1030" s="783" t="s">
        <v>4454</v>
      </c>
      <c r="J1030" s="783">
        <v>25</v>
      </c>
      <c r="K1030" s="783" t="s">
        <v>99</v>
      </c>
      <c r="L1030" s="783" t="s">
        <v>4096</v>
      </c>
      <c r="M1030" s="784">
        <v>10118.16</v>
      </c>
      <c r="N1030" s="784">
        <v>8.9700000000000006</v>
      </c>
      <c r="O1030" s="784">
        <v>5.64</v>
      </c>
      <c r="P1030" s="783">
        <v>200</v>
      </c>
      <c r="Q1030" s="783">
        <v>584.83000000000004</v>
      </c>
      <c r="R1030" s="783">
        <v>346.59</v>
      </c>
      <c r="S1030" s="783">
        <v>117.84</v>
      </c>
      <c r="T1030" s="783">
        <v>120.41</v>
      </c>
      <c r="U1030" s="785">
        <v>44631.637071759302</v>
      </c>
    </row>
    <row r="1031" spans="1:21">
      <c r="A1031" s="782">
        <v>44560</v>
      </c>
      <c r="B1031" s="783" t="s">
        <v>4025</v>
      </c>
      <c r="C1031" s="783" t="s">
        <v>4026</v>
      </c>
      <c r="D1031" s="783" t="s">
        <v>4021</v>
      </c>
      <c r="E1031" s="783" t="s">
        <v>6213</v>
      </c>
      <c r="F1031" s="783" t="s">
        <v>4011</v>
      </c>
      <c r="G1031" s="783" t="s">
        <v>4028</v>
      </c>
      <c r="H1031" s="783" t="s">
        <v>6214</v>
      </c>
      <c r="I1031" s="783" t="s">
        <v>6215</v>
      </c>
      <c r="J1031" s="783">
        <v>25</v>
      </c>
      <c r="K1031" s="783" t="s">
        <v>99</v>
      </c>
      <c r="L1031" s="783" t="s">
        <v>4096</v>
      </c>
      <c r="M1031" s="784">
        <v>41712</v>
      </c>
      <c r="N1031" s="784">
        <v>30</v>
      </c>
      <c r="O1031" s="784">
        <v>6.32</v>
      </c>
      <c r="P1031" s="783">
        <v>220</v>
      </c>
      <c r="Q1031" s="783">
        <v>1910.41</v>
      </c>
      <c r="R1031" s="783">
        <v>1108.67</v>
      </c>
      <c r="S1031" s="783">
        <v>518.1</v>
      </c>
      <c r="T1031" s="783">
        <v>283.64</v>
      </c>
      <c r="U1031" s="785">
        <v>44631.637280092596</v>
      </c>
    </row>
    <row r="1032" spans="1:21">
      <c r="A1032" s="782">
        <v>44557</v>
      </c>
      <c r="B1032" s="783" t="s">
        <v>74</v>
      </c>
      <c r="C1032" s="783" t="s">
        <v>4037</v>
      </c>
      <c r="D1032" s="783" t="s">
        <v>4038</v>
      </c>
      <c r="E1032" s="783" t="s">
        <v>1922</v>
      </c>
      <c r="F1032" s="783" t="s">
        <v>4011</v>
      </c>
      <c r="G1032" s="783" t="str">
        <f>VLOOKUP(I1032,pacage,2,FALSE)</f>
        <v>Renewal (25% in 2020)</v>
      </c>
      <c r="H1032" s="783" t="s">
        <v>6216</v>
      </c>
      <c r="I1032" s="783" t="s">
        <v>6217</v>
      </c>
      <c r="J1032" s="783">
        <v>25</v>
      </c>
      <c r="K1032" s="783" t="s">
        <v>99</v>
      </c>
      <c r="L1032" s="783" t="s">
        <v>4096</v>
      </c>
      <c r="M1032" s="784">
        <v>53265.01</v>
      </c>
      <c r="N1032" s="784">
        <v>43.71</v>
      </c>
      <c r="O1032" s="784">
        <v>6.77</v>
      </c>
      <c r="P1032" s="783">
        <v>180</v>
      </c>
      <c r="Q1032" s="783">
        <v>3078.72</v>
      </c>
      <c r="R1032" s="783">
        <v>2027.27</v>
      </c>
      <c r="S1032" s="783">
        <v>417.6</v>
      </c>
      <c r="T1032" s="783">
        <v>633.85</v>
      </c>
      <c r="U1032" s="785">
        <v>44631.637337963002</v>
      </c>
    </row>
    <row r="1033" spans="1:21">
      <c r="A1033" s="782">
        <v>44552</v>
      </c>
      <c r="B1033" s="783" t="s">
        <v>41</v>
      </c>
      <c r="C1033" s="783" t="s">
        <v>4071</v>
      </c>
      <c r="D1033" s="783" t="s">
        <v>4009</v>
      </c>
      <c r="E1033" s="783" t="s">
        <v>6218</v>
      </c>
      <c r="F1033" s="783" t="s">
        <v>4011</v>
      </c>
      <c r="G1033" s="783" t="str">
        <f>VLOOKUP(I1033,pacage,2,FALSE)</f>
        <v>Renewal (30% in 2020)</v>
      </c>
      <c r="H1033" s="783" t="s">
        <v>6219</v>
      </c>
      <c r="I1033" s="783" t="s">
        <v>6220</v>
      </c>
      <c r="J1033" s="783">
        <v>25</v>
      </c>
      <c r="K1033" s="783" t="s">
        <v>99</v>
      </c>
      <c r="L1033" s="783" t="s">
        <v>4096</v>
      </c>
      <c r="M1033" s="784">
        <v>42192</v>
      </c>
      <c r="N1033" s="784">
        <v>40</v>
      </c>
      <c r="O1033" s="784">
        <v>5.86</v>
      </c>
      <c r="P1033" s="783">
        <v>180</v>
      </c>
      <c r="Q1033" s="783">
        <v>1223.57</v>
      </c>
      <c r="R1033" s="783">
        <v>916.46</v>
      </c>
      <c r="S1033" s="783">
        <v>184.75</v>
      </c>
      <c r="T1033" s="783">
        <v>122.36</v>
      </c>
      <c r="U1033" s="785">
        <v>44631.636874999997</v>
      </c>
    </row>
    <row r="1034" spans="1:21">
      <c r="A1034" s="782">
        <v>44561</v>
      </c>
      <c r="B1034" s="783" t="s">
        <v>74</v>
      </c>
      <c r="C1034" s="783" t="s">
        <v>4097</v>
      </c>
      <c r="D1034" s="783" t="s">
        <v>4038</v>
      </c>
      <c r="E1034" s="783" t="s">
        <v>4455</v>
      </c>
      <c r="F1034" s="783" t="s">
        <v>4011</v>
      </c>
      <c r="G1034" s="783" t="str">
        <f>VLOOKUP(I1034,pacage,2,FALSE)</f>
        <v>Renewal (20% in 2020)</v>
      </c>
      <c r="H1034" s="783" t="s">
        <v>4456</v>
      </c>
      <c r="I1034" s="783" t="s">
        <v>4457</v>
      </c>
      <c r="J1034" s="783">
        <v>25</v>
      </c>
      <c r="K1034" s="783" t="s">
        <v>99</v>
      </c>
      <c r="L1034" s="783" t="s">
        <v>4096</v>
      </c>
      <c r="M1034" s="784">
        <v>10248.799999999999</v>
      </c>
      <c r="N1034" s="784">
        <v>9.1999999999999993</v>
      </c>
      <c r="O1034" s="784">
        <v>5.57</v>
      </c>
      <c r="P1034" s="783">
        <v>200</v>
      </c>
      <c r="Q1034" s="783">
        <v>402.78</v>
      </c>
      <c r="R1034" s="783">
        <v>250.89</v>
      </c>
      <c r="S1034" s="783">
        <v>84.25</v>
      </c>
      <c r="T1034" s="783">
        <v>67.64</v>
      </c>
      <c r="U1034" s="785">
        <v>44631.636990740699</v>
      </c>
    </row>
    <row r="1035" spans="1:21">
      <c r="A1035" s="782">
        <v>44560</v>
      </c>
      <c r="B1035" s="783" t="s">
        <v>74</v>
      </c>
      <c r="C1035" s="783" t="s">
        <v>4097</v>
      </c>
      <c r="D1035" s="783" t="s">
        <v>4038</v>
      </c>
      <c r="E1035" s="783" t="s">
        <v>6221</v>
      </c>
      <c r="F1035" s="783" t="s">
        <v>4066</v>
      </c>
      <c r="G1035" s="783" t="s">
        <v>4028</v>
      </c>
      <c r="H1035" s="783" t="s">
        <v>6222</v>
      </c>
      <c r="I1035" s="783" t="s">
        <v>6223</v>
      </c>
      <c r="J1035" s="783">
        <v>10</v>
      </c>
      <c r="K1035" s="783" t="s">
        <v>99</v>
      </c>
      <c r="L1035" s="783" t="s">
        <v>4096</v>
      </c>
      <c r="M1035" s="784">
        <v>17030</v>
      </c>
      <c r="N1035" s="784">
        <v>13.1</v>
      </c>
      <c r="O1035" s="784">
        <v>6.5</v>
      </c>
      <c r="P1035" s="783">
        <v>200</v>
      </c>
      <c r="Q1035" s="783">
        <v>267.37</v>
      </c>
      <c r="R1035" s="783">
        <v>0</v>
      </c>
      <c r="S1035" s="783">
        <v>0</v>
      </c>
      <c r="T1035" s="783">
        <v>267.37</v>
      </c>
      <c r="U1035" s="785">
        <v>44631.637048611097</v>
      </c>
    </row>
    <row r="1036" spans="1:21">
      <c r="A1036" s="782">
        <v>44558</v>
      </c>
      <c r="B1036" s="783" t="s">
        <v>150</v>
      </c>
      <c r="C1036" s="783" t="s">
        <v>4606</v>
      </c>
      <c r="D1036" s="783" t="s">
        <v>4009</v>
      </c>
      <c r="E1036" s="783" t="s">
        <v>6224</v>
      </c>
      <c r="F1036" s="783" t="s">
        <v>4011</v>
      </c>
      <c r="G1036" s="783" t="str">
        <f t="shared" ref="G1036:G1067" si="60">VLOOKUP(I1036,pacage,2,FALSE)</f>
        <v>Renewal (20% in 2020)</v>
      </c>
      <c r="H1036" s="783" t="s">
        <v>6225</v>
      </c>
      <c r="I1036" s="783" t="s">
        <v>6226</v>
      </c>
      <c r="J1036" s="783">
        <v>20</v>
      </c>
      <c r="K1036" s="783" t="s">
        <v>99</v>
      </c>
      <c r="L1036" s="783" t="s">
        <v>4096</v>
      </c>
      <c r="M1036" s="784">
        <v>12346.32</v>
      </c>
      <c r="N1036" s="784">
        <v>9.9600000000000009</v>
      </c>
      <c r="O1036" s="784">
        <v>6.49</v>
      </c>
      <c r="P1036" s="783">
        <v>191</v>
      </c>
      <c r="Q1036" s="783">
        <v>759.3</v>
      </c>
      <c r="R1036" s="783">
        <v>379.1</v>
      </c>
      <c r="S1036" s="783">
        <v>106.11</v>
      </c>
      <c r="T1036" s="783">
        <v>274.08999999999997</v>
      </c>
      <c r="U1036" s="785">
        <v>44631.637106481503</v>
      </c>
    </row>
    <row r="1037" spans="1:21">
      <c r="A1037" s="782">
        <v>44551</v>
      </c>
      <c r="B1037" s="783" t="s">
        <v>74</v>
      </c>
      <c r="C1037" s="783" t="s">
        <v>4037</v>
      </c>
      <c r="D1037" s="783" t="s">
        <v>4038</v>
      </c>
      <c r="E1037" s="783" t="s">
        <v>4214</v>
      </c>
      <c r="F1037" s="783" t="s">
        <v>4011</v>
      </c>
      <c r="G1037" s="783" t="str">
        <f t="shared" si="60"/>
        <v>New contract</v>
      </c>
      <c r="H1037" s="783" t="s">
        <v>4215</v>
      </c>
      <c r="I1037" s="783" t="s">
        <v>4216</v>
      </c>
      <c r="J1037" s="783">
        <v>25</v>
      </c>
      <c r="K1037" s="783" t="s">
        <v>99</v>
      </c>
      <c r="L1037" s="783" t="s">
        <v>4096</v>
      </c>
      <c r="M1037" s="784">
        <v>14525.08</v>
      </c>
      <c r="N1037" s="784">
        <v>15.73</v>
      </c>
      <c r="O1037" s="784">
        <v>5.13</v>
      </c>
      <c r="P1037" s="783">
        <v>180</v>
      </c>
      <c r="Q1037" s="783">
        <v>839.55</v>
      </c>
      <c r="R1037" s="783">
        <v>552.82000000000005</v>
      </c>
      <c r="S1037" s="783">
        <v>113.88</v>
      </c>
      <c r="T1037" s="783">
        <v>172.85</v>
      </c>
      <c r="U1037" s="785">
        <v>44631.637083333299</v>
      </c>
    </row>
    <row r="1038" spans="1:21">
      <c r="A1038" s="782">
        <v>44564</v>
      </c>
      <c r="B1038" s="783" t="s">
        <v>41</v>
      </c>
      <c r="C1038" s="783" t="s">
        <v>4071</v>
      </c>
      <c r="D1038" s="783" t="s">
        <v>4009</v>
      </c>
      <c r="E1038" s="783" t="s">
        <v>6227</v>
      </c>
      <c r="F1038" s="783" t="s">
        <v>4011</v>
      </c>
      <c r="G1038" s="783" t="str">
        <f t="shared" si="60"/>
        <v>Renewal (25% in 2020)</v>
      </c>
      <c r="H1038" s="783" t="s">
        <v>6228</v>
      </c>
      <c r="I1038" s="783" t="s">
        <v>6229</v>
      </c>
      <c r="J1038" s="783">
        <v>20</v>
      </c>
      <c r="K1038" s="783" t="s">
        <v>99</v>
      </c>
      <c r="L1038" s="783" t="s">
        <v>4096</v>
      </c>
      <c r="M1038" s="784">
        <v>108954.58</v>
      </c>
      <c r="N1038" s="784">
        <v>65.77</v>
      </c>
      <c r="O1038" s="784">
        <v>7.53</v>
      </c>
      <c r="P1038" s="783">
        <v>220</v>
      </c>
      <c r="Q1038" s="783">
        <v>4074.9</v>
      </c>
      <c r="R1038" s="783">
        <v>1936.32</v>
      </c>
      <c r="S1038" s="783">
        <v>907.39</v>
      </c>
      <c r="T1038" s="783">
        <v>1231.19</v>
      </c>
      <c r="U1038" s="785">
        <v>44631.636944444399</v>
      </c>
    </row>
    <row r="1039" spans="1:21">
      <c r="A1039" s="782">
        <v>44553</v>
      </c>
      <c r="B1039" s="783" t="s">
        <v>74</v>
      </c>
      <c r="C1039" s="783" t="s">
        <v>4037</v>
      </c>
      <c r="D1039" s="783" t="s">
        <v>4038</v>
      </c>
      <c r="E1039" s="783" t="s">
        <v>4458</v>
      </c>
      <c r="F1039" s="783" t="s">
        <v>4011</v>
      </c>
      <c r="G1039" s="783" t="str">
        <f t="shared" si="60"/>
        <v>Renewal (20% in 2020)</v>
      </c>
      <c r="H1039" s="783" t="s">
        <v>4459</v>
      </c>
      <c r="I1039" s="783" t="s">
        <v>4460</v>
      </c>
      <c r="J1039" s="783">
        <v>25</v>
      </c>
      <c r="K1039" s="783" t="s">
        <v>99</v>
      </c>
      <c r="L1039" s="783" t="s">
        <v>4096</v>
      </c>
      <c r="M1039" s="784">
        <v>41125.56</v>
      </c>
      <c r="N1039" s="784">
        <v>35.31</v>
      </c>
      <c r="O1039" s="784">
        <v>6.13</v>
      </c>
      <c r="P1039" s="783">
        <v>190</v>
      </c>
      <c r="Q1039" s="783">
        <v>2377.06</v>
      </c>
      <c r="R1039" s="783">
        <v>1482.86</v>
      </c>
      <c r="S1039" s="783">
        <v>404.81</v>
      </c>
      <c r="T1039" s="783">
        <v>489.39</v>
      </c>
      <c r="U1039" s="785">
        <v>44631.637013888903</v>
      </c>
    </row>
    <row r="1040" spans="1:21">
      <c r="A1040" s="782">
        <v>44553</v>
      </c>
      <c r="B1040" s="783" t="s">
        <v>41</v>
      </c>
      <c r="C1040" s="783" t="s">
        <v>4092</v>
      </c>
      <c r="D1040" s="783" t="s">
        <v>4009</v>
      </c>
      <c r="E1040" s="783" t="s">
        <v>6230</v>
      </c>
      <c r="F1040" s="783" t="s">
        <v>4011</v>
      </c>
      <c r="G1040" s="783" t="str">
        <f t="shared" si="60"/>
        <v>Renewal (30% in 2020)</v>
      </c>
      <c r="H1040" s="783" t="s">
        <v>6231</v>
      </c>
      <c r="I1040" s="783" t="s">
        <v>6232</v>
      </c>
      <c r="J1040" s="783">
        <v>30</v>
      </c>
      <c r="K1040" s="783" t="s">
        <v>99</v>
      </c>
      <c r="L1040" s="783" t="s">
        <v>4096</v>
      </c>
      <c r="M1040" s="784">
        <v>36020.959999999999</v>
      </c>
      <c r="N1040" s="784">
        <v>25.84</v>
      </c>
      <c r="O1040" s="784">
        <v>6.97</v>
      </c>
      <c r="P1040" s="783">
        <v>200</v>
      </c>
      <c r="Q1040" s="783">
        <v>1260.73</v>
      </c>
      <c r="R1040" s="783">
        <v>962.79</v>
      </c>
      <c r="S1040" s="783">
        <v>150.26</v>
      </c>
      <c r="T1040" s="783">
        <v>147.69</v>
      </c>
      <c r="U1040" s="785">
        <v>44631.637083333299</v>
      </c>
    </row>
    <row r="1041" spans="1:21">
      <c r="A1041" s="782">
        <v>44557</v>
      </c>
      <c r="B1041" s="783" t="s">
        <v>30</v>
      </c>
      <c r="C1041" s="783" t="s">
        <v>4089</v>
      </c>
      <c r="D1041" s="783" t="s">
        <v>4021</v>
      </c>
      <c r="E1041" s="783" t="s">
        <v>6233</v>
      </c>
      <c r="F1041" s="783" t="s">
        <v>4011</v>
      </c>
      <c r="G1041" s="783" t="str">
        <f t="shared" si="60"/>
        <v>Renewal (20% in 2020)</v>
      </c>
      <c r="H1041" s="783" t="s">
        <v>6234</v>
      </c>
      <c r="I1041" s="783" t="s">
        <v>6235</v>
      </c>
      <c r="J1041" s="783">
        <v>20</v>
      </c>
      <c r="K1041" s="783" t="s">
        <v>99</v>
      </c>
      <c r="L1041" s="783" t="s">
        <v>4096</v>
      </c>
      <c r="M1041" s="784">
        <v>23622.44</v>
      </c>
      <c r="N1041" s="784">
        <v>23.97</v>
      </c>
      <c r="O1041" s="784">
        <v>6.57</v>
      </c>
      <c r="P1041" s="783">
        <v>150</v>
      </c>
      <c r="Q1041" s="783">
        <v>1195.3</v>
      </c>
      <c r="R1041" s="783">
        <v>687.41</v>
      </c>
      <c r="S1041" s="783">
        <v>106.3</v>
      </c>
      <c r="T1041" s="783">
        <v>401.58</v>
      </c>
      <c r="U1041" s="785">
        <v>44631.637071759302</v>
      </c>
    </row>
    <row r="1042" spans="1:21">
      <c r="A1042" s="782">
        <v>44588</v>
      </c>
      <c r="B1042" s="783" t="s">
        <v>113</v>
      </c>
      <c r="C1042" s="783" t="s">
        <v>4097</v>
      </c>
      <c r="D1042" s="783" t="s">
        <v>4038</v>
      </c>
      <c r="E1042" s="783" t="s">
        <v>1403</v>
      </c>
      <c r="F1042" s="783" t="s">
        <v>4011</v>
      </c>
      <c r="G1042" s="783" t="str">
        <f t="shared" si="60"/>
        <v>Renewal (20% in 2020)</v>
      </c>
      <c r="H1042" s="783" t="s">
        <v>6236</v>
      </c>
      <c r="I1042" s="783" t="s">
        <v>6237</v>
      </c>
      <c r="J1042" s="783">
        <v>20</v>
      </c>
      <c r="K1042" s="783" t="s">
        <v>99</v>
      </c>
      <c r="L1042" s="783" t="s">
        <v>4096</v>
      </c>
      <c r="M1042" s="784">
        <v>36847.25</v>
      </c>
      <c r="N1042" s="784">
        <v>31.55</v>
      </c>
      <c r="O1042" s="784">
        <v>6.87</v>
      </c>
      <c r="P1042" s="783">
        <v>170</v>
      </c>
      <c r="Q1042" s="783">
        <v>1846.05</v>
      </c>
      <c r="R1042" s="783">
        <v>1042.78</v>
      </c>
      <c r="S1042" s="783">
        <v>162.13</v>
      </c>
      <c r="T1042" s="783">
        <v>641.14</v>
      </c>
      <c r="U1042" s="785">
        <v>44631.637187499997</v>
      </c>
    </row>
    <row r="1043" spans="1:21">
      <c r="A1043" s="782">
        <v>44558</v>
      </c>
      <c r="B1043" s="783" t="s">
        <v>150</v>
      </c>
      <c r="C1043" s="783" t="s">
        <v>4598</v>
      </c>
      <c r="D1043" s="783" t="s">
        <v>4009</v>
      </c>
      <c r="E1043" s="783" t="s">
        <v>6238</v>
      </c>
      <c r="F1043" s="783" t="s">
        <v>4011</v>
      </c>
      <c r="G1043" s="783" t="str">
        <f t="shared" si="60"/>
        <v>Renewal (20% in 2020)</v>
      </c>
      <c r="H1043" s="783" t="s">
        <v>6239</v>
      </c>
      <c r="I1043" s="783" t="s">
        <v>6240</v>
      </c>
      <c r="J1043" s="783">
        <v>20</v>
      </c>
      <c r="K1043" s="783" t="s">
        <v>99</v>
      </c>
      <c r="L1043" s="783" t="s">
        <v>4096</v>
      </c>
      <c r="M1043" s="784">
        <v>5441.8</v>
      </c>
      <c r="N1043" s="784">
        <v>4.3899999999999997</v>
      </c>
      <c r="O1043" s="784">
        <v>6.49</v>
      </c>
      <c r="P1043" s="783">
        <v>191</v>
      </c>
      <c r="Q1043" s="783">
        <v>277.52999999999997</v>
      </c>
      <c r="R1043" s="783">
        <v>133.57</v>
      </c>
      <c r="S1043" s="783">
        <v>48.73</v>
      </c>
      <c r="T1043" s="783">
        <v>95.23</v>
      </c>
      <c r="U1043" s="785">
        <v>44631.637037036999</v>
      </c>
    </row>
    <row r="1044" spans="1:21">
      <c r="A1044" s="782">
        <v>44558</v>
      </c>
      <c r="B1044" s="783" t="s">
        <v>150</v>
      </c>
      <c r="C1044" s="783" t="s">
        <v>4606</v>
      </c>
      <c r="D1044" s="783" t="s">
        <v>4009</v>
      </c>
      <c r="E1044" s="783" t="s">
        <v>6238</v>
      </c>
      <c r="F1044" s="783" t="s">
        <v>4011</v>
      </c>
      <c r="G1044" s="783" t="str">
        <f t="shared" si="60"/>
        <v>Renewal (20% in 2020)</v>
      </c>
      <c r="H1044" s="783" t="s">
        <v>6239</v>
      </c>
      <c r="I1044" s="783" t="s">
        <v>6240</v>
      </c>
      <c r="J1044" s="783">
        <v>20</v>
      </c>
      <c r="K1044" s="783" t="s">
        <v>99</v>
      </c>
      <c r="L1044" s="783" t="s">
        <v>4096</v>
      </c>
      <c r="M1044" s="784">
        <v>1524.7</v>
      </c>
      <c r="N1044" s="784">
        <v>1.23</v>
      </c>
      <c r="O1044" s="784">
        <v>6.49</v>
      </c>
      <c r="P1044" s="783">
        <v>191</v>
      </c>
      <c r="Q1044" s="783">
        <v>93.77</v>
      </c>
      <c r="R1044" s="783">
        <v>46.82</v>
      </c>
      <c r="S1044" s="783">
        <v>13.1</v>
      </c>
      <c r="T1044" s="783">
        <v>33.85</v>
      </c>
      <c r="U1044" s="785">
        <v>44631.637037036999</v>
      </c>
    </row>
    <row r="1045" spans="1:21">
      <c r="A1045" s="782">
        <v>44452</v>
      </c>
      <c r="B1045" s="783" t="s">
        <v>228</v>
      </c>
      <c r="C1045" s="783" t="s">
        <v>4192</v>
      </c>
      <c r="D1045" s="783" t="s">
        <v>4193</v>
      </c>
      <c r="E1045" s="783" t="s">
        <v>6241</v>
      </c>
      <c r="F1045" s="783" t="s">
        <v>4011</v>
      </c>
      <c r="G1045" s="783" t="str">
        <f t="shared" si="60"/>
        <v>Renewal (20% in 2020)</v>
      </c>
      <c r="H1045" s="783" t="s">
        <v>6242</v>
      </c>
      <c r="I1045" s="783" t="s">
        <v>6243</v>
      </c>
      <c r="J1045" s="783">
        <v>20</v>
      </c>
      <c r="K1045" s="783" t="s">
        <v>99</v>
      </c>
      <c r="L1045" s="783" t="s">
        <v>4096</v>
      </c>
      <c r="M1045" s="784">
        <v>104566.15</v>
      </c>
      <c r="N1045" s="784">
        <v>94.63</v>
      </c>
      <c r="O1045" s="784">
        <v>6.5</v>
      </c>
      <c r="P1045" s="783">
        <v>170</v>
      </c>
      <c r="Q1045" s="783">
        <v>4987.8100000000004</v>
      </c>
      <c r="R1045" s="783">
        <v>2948.77</v>
      </c>
      <c r="S1045" s="783">
        <v>449.63</v>
      </c>
      <c r="T1045" s="783">
        <v>1589.41</v>
      </c>
      <c r="U1045" s="785">
        <v>44631.6335300926</v>
      </c>
    </row>
    <row r="1046" spans="1:21">
      <c r="A1046" s="782">
        <v>44518</v>
      </c>
      <c r="B1046" s="783" t="s">
        <v>4025</v>
      </c>
      <c r="C1046" s="783" t="s">
        <v>4026</v>
      </c>
      <c r="D1046" s="783" t="s">
        <v>4021</v>
      </c>
      <c r="E1046" s="783" t="s">
        <v>4217</v>
      </c>
      <c r="F1046" s="783" t="s">
        <v>4011</v>
      </c>
      <c r="G1046" s="783" t="str">
        <f t="shared" si="60"/>
        <v>New Contract</v>
      </c>
      <c r="H1046" s="783" t="s">
        <v>4218</v>
      </c>
      <c r="I1046" s="783" t="s">
        <v>4219</v>
      </c>
      <c r="J1046" s="783">
        <v>20</v>
      </c>
      <c r="K1046" s="783" t="s">
        <v>99</v>
      </c>
      <c r="L1046" s="783" t="s">
        <v>4096</v>
      </c>
      <c r="M1046" s="784">
        <v>16291.1</v>
      </c>
      <c r="N1046" s="784">
        <v>17</v>
      </c>
      <c r="O1046" s="784">
        <v>5.18</v>
      </c>
      <c r="P1046" s="783">
        <v>185</v>
      </c>
      <c r="Q1046" s="783">
        <v>954.66</v>
      </c>
      <c r="R1046" s="783">
        <v>514.91999999999996</v>
      </c>
      <c r="S1046" s="783">
        <v>120.43</v>
      </c>
      <c r="T1046" s="783">
        <v>319.31</v>
      </c>
      <c r="U1046" s="785">
        <v>44631.633611111101</v>
      </c>
    </row>
    <row r="1047" spans="1:21">
      <c r="A1047" s="782">
        <v>44455</v>
      </c>
      <c r="B1047" s="783" t="s">
        <v>51</v>
      </c>
      <c r="C1047" s="783" t="s">
        <v>4042</v>
      </c>
      <c r="D1047" s="783" t="s">
        <v>4016</v>
      </c>
      <c r="E1047" s="783" t="s">
        <v>6244</v>
      </c>
      <c r="F1047" s="783" t="s">
        <v>4011</v>
      </c>
      <c r="G1047" s="783" t="str">
        <f t="shared" si="60"/>
        <v>New Contract</v>
      </c>
      <c r="H1047" s="783" t="s">
        <v>6245</v>
      </c>
      <c r="I1047" s="783" t="s">
        <v>6246</v>
      </c>
      <c r="J1047" s="783">
        <v>30</v>
      </c>
      <c r="K1047" s="783" t="s">
        <v>99</v>
      </c>
      <c r="L1047" s="783" t="s">
        <v>4096</v>
      </c>
      <c r="M1047" s="784">
        <v>124660.8</v>
      </c>
      <c r="N1047" s="784">
        <v>88</v>
      </c>
      <c r="O1047" s="784">
        <v>7.87</v>
      </c>
      <c r="P1047" s="783">
        <v>180</v>
      </c>
      <c r="Q1047" s="783">
        <v>4088.87</v>
      </c>
      <c r="R1047" s="783">
        <v>3366.74</v>
      </c>
      <c r="S1047" s="783">
        <v>136.22999999999999</v>
      </c>
      <c r="T1047" s="783">
        <v>585.91</v>
      </c>
      <c r="U1047" s="785">
        <v>44631.636574074102</v>
      </c>
    </row>
    <row r="1048" spans="1:21">
      <c r="A1048" s="782">
        <v>44515</v>
      </c>
      <c r="B1048" s="783" t="s">
        <v>113</v>
      </c>
      <c r="C1048" s="783" t="s">
        <v>4097</v>
      </c>
      <c r="D1048" s="783" t="s">
        <v>4038</v>
      </c>
      <c r="E1048" s="783" t="s">
        <v>198</v>
      </c>
      <c r="F1048" s="783" t="s">
        <v>4011</v>
      </c>
      <c r="G1048" s="783" t="str">
        <f t="shared" si="60"/>
        <v>Renewal (15% in 2020)</v>
      </c>
      <c r="H1048" s="783" t="s">
        <v>6247</v>
      </c>
      <c r="I1048" s="783" t="s">
        <v>6248</v>
      </c>
      <c r="J1048" s="783">
        <v>15</v>
      </c>
      <c r="K1048" s="783" t="s">
        <v>99</v>
      </c>
      <c r="L1048" s="783" t="s">
        <v>4096</v>
      </c>
      <c r="M1048" s="784">
        <v>23599.03</v>
      </c>
      <c r="N1048" s="784">
        <v>21.68</v>
      </c>
      <c r="O1048" s="784">
        <v>4.84</v>
      </c>
      <c r="P1048" s="783">
        <v>224.9</v>
      </c>
      <c r="Q1048" s="783">
        <v>1562.26</v>
      </c>
      <c r="R1048" s="783">
        <v>513.73</v>
      </c>
      <c r="S1048" s="783">
        <v>257.95999999999998</v>
      </c>
      <c r="T1048" s="783">
        <v>790.57</v>
      </c>
      <c r="U1048" s="785">
        <v>44631.638020833299</v>
      </c>
    </row>
    <row r="1049" spans="1:21">
      <c r="A1049" s="782">
        <v>44518</v>
      </c>
      <c r="B1049" s="783" t="s">
        <v>74</v>
      </c>
      <c r="C1049" s="783" t="s">
        <v>4097</v>
      </c>
      <c r="D1049" s="783" t="s">
        <v>4038</v>
      </c>
      <c r="E1049" s="783" t="s">
        <v>6249</v>
      </c>
      <c r="F1049" s="783" t="s">
        <v>4011</v>
      </c>
      <c r="G1049" s="783" t="str">
        <f t="shared" si="60"/>
        <v>New Contract</v>
      </c>
      <c r="H1049" s="783" t="s">
        <v>6250</v>
      </c>
      <c r="I1049" s="783" t="s">
        <v>6251</v>
      </c>
      <c r="J1049" s="783">
        <v>20</v>
      </c>
      <c r="K1049" s="783" t="s">
        <v>99</v>
      </c>
      <c r="L1049" s="783" t="s">
        <v>4096</v>
      </c>
      <c r="M1049" s="784">
        <v>13049.69</v>
      </c>
      <c r="N1049" s="784">
        <v>15.01</v>
      </c>
      <c r="O1049" s="784">
        <v>4.83</v>
      </c>
      <c r="P1049" s="783">
        <v>180</v>
      </c>
      <c r="Q1049" s="783">
        <v>653.79</v>
      </c>
      <c r="R1049" s="783">
        <v>354.94</v>
      </c>
      <c r="S1049" s="783">
        <v>71.78</v>
      </c>
      <c r="T1049" s="783">
        <v>227.06</v>
      </c>
      <c r="U1049" s="785">
        <v>44631.6378819444</v>
      </c>
    </row>
    <row r="1050" spans="1:21">
      <c r="A1050" s="782">
        <v>44518</v>
      </c>
      <c r="B1050" s="783" t="s">
        <v>74</v>
      </c>
      <c r="C1050" s="783" t="s">
        <v>4097</v>
      </c>
      <c r="D1050" s="783" t="s">
        <v>4038</v>
      </c>
      <c r="E1050" s="783" t="s">
        <v>6252</v>
      </c>
      <c r="F1050" s="783" t="s">
        <v>4011</v>
      </c>
      <c r="G1050" s="783" t="str">
        <f t="shared" si="60"/>
        <v>New Contract</v>
      </c>
      <c r="H1050" s="783" t="s">
        <v>6253</v>
      </c>
      <c r="I1050" s="783" t="s">
        <v>6254</v>
      </c>
      <c r="J1050" s="783">
        <v>20</v>
      </c>
      <c r="K1050" s="783" t="s">
        <v>99</v>
      </c>
      <c r="L1050" s="783" t="s">
        <v>4096</v>
      </c>
      <c r="M1050" s="784">
        <v>1817.05</v>
      </c>
      <c r="N1050" s="784">
        <v>2.09</v>
      </c>
      <c r="O1050" s="784">
        <v>4.83</v>
      </c>
      <c r="P1050" s="783">
        <v>180</v>
      </c>
      <c r="Q1050" s="783">
        <v>91.03</v>
      </c>
      <c r="R1050" s="783">
        <v>49.42</v>
      </c>
      <c r="S1050" s="783">
        <v>9.99</v>
      </c>
      <c r="T1050" s="783">
        <v>31.62</v>
      </c>
      <c r="U1050" s="785">
        <v>44631.637719907398</v>
      </c>
    </row>
    <row r="1051" spans="1:21">
      <c r="A1051" s="782">
        <v>44553</v>
      </c>
      <c r="B1051" s="783" t="s">
        <v>41</v>
      </c>
      <c r="C1051" s="783" t="s">
        <v>4092</v>
      </c>
      <c r="D1051" s="783" t="s">
        <v>4009</v>
      </c>
      <c r="E1051" s="783" t="s">
        <v>6255</v>
      </c>
      <c r="F1051" s="783" t="s">
        <v>4011</v>
      </c>
      <c r="G1051" s="783" t="str">
        <f t="shared" si="60"/>
        <v>New contract</v>
      </c>
      <c r="H1051" s="783" t="s">
        <v>6256</v>
      </c>
      <c r="I1051" s="783" t="s">
        <v>6257</v>
      </c>
      <c r="J1051" s="783">
        <v>25</v>
      </c>
      <c r="K1051" s="783" t="s">
        <v>99</v>
      </c>
      <c r="L1051" s="783" t="s">
        <v>4096</v>
      </c>
      <c r="M1051" s="784">
        <v>4104</v>
      </c>
      <c r="N1051" s="784">
        <v>4</v>
      </c>
      <c r="O1051" s="784">
        <v>5.7</v>
      </c>
      <c r="P1051" s="783">
        <v>180</v>
      </c>
      <c r="Q1051" s="783">
        <v>166.21</v>
      </c>
      <c r="R1051" s="783">
        <v>121.88</v>
      </c>
      <c r="S1051" s="783">
        <v>27.5</v>
      </c>
      <c r="T1051" s="783">
        <v>16.829999999999998</v>
      </c>
      <c r="U1051" s="785">
        <v>44631.633553240703</v>
      </c>
    </row>
    <row r="1052" spans="1:21">
      <c r="A1052" s="782">
        <v>44503</v>
      </c>
      <c r="B1052" s="783" t="s">
        <v>74</v>
      </c>
      <c r="C1052" s="783" t="s">
        <v>4097</v>
      </c>
      <c r="D1052" s="783" t="s">
        <v>4038</v>
      </c>
      <c r="E1052" s="783" t="s">
        <v>4732</v>
      </c>
      <c r="F1052" s="783" t="s">
        <v>4066</v>
      </c>
      <c r="G1052" s="783" t="str">
        <f t="shared" si="60"/>
        <v>New Contract</v>
      </c>
      <c r="H1052" s="783" t="s">
        <v>4733</v>
      </c>
      <c r="I1052" s="783" t="s">
        <v>4734</v>
      </c>
      <c r="J1052" s="783">
        <v>10</v>
      </c>
      <c r="K1052" s="783" t="s">
        <v>99</v>
      </c>
      <c r="L1052" s="783" t="s">
        <v>4096</v>
      </c>
      <c r="M1052" s="784">
        <v>15820</v>
      </c>
      <c r="N1052" s="784">
        <v>11.3</v>
      </c>
      <c r="O1052" s="784">
        <v>7</v>
      </c>
      <c r="P1052" s="783">
        <v>200</v>
      </c>
      <c r="Q1052" s="783">
        <v>248.37</v>
      </c>
      <c r="R1052" s="783">
        <v>0</v>
      </c>
      <c r="S1052" s="783">
        <v>0</v>
      </c>
      <c r="T1052" s="783">
        <v>248.37</v>
      </c>
      <c r="U1052" s="785">
        <v>44631.636504629598</v>
      </c>
    </row>
    <row r="1053" spans="1:21">
      <c r="A1053" s="782">
        <v>44525</v>
      </c>
      <c r="B1053" s="783" t="s">
        <v>397</v>
      </c>
      <c r="C1053" s="783" t="s">
        <v>4511</v>
      </c>
      <c r="D1053" s="783" t="s">
        <v>4512</v>
      </c>
      <c r="E1053" s="783" t="s">
        <v>4735</v>
      </c>
      <c r="F1053" s="783" t="s">
        <v>4011</v>
      </c>
      <c r="G1053" s="783" t="str">
        <f t="shared" si="60"/>
        <v>Renewal (20% in 2020)</v>
      </c>
      <c r="H1053" s="783" t="s">
        <v>4736</v>
      </c>
      <c r="I1053" s="783" t="s">
        <v>4737</v>
      </c>
      <c r="J1053" s="783">
        <v>20</v>
      </c>
      <c r="K1053" s="783" t="s">
        <v>99</v>
      </c>
      <c r="L1053" s="783" t="s">
        <v>4096</v>
      </c>
      <c r="M1053" s="784">
        <v>56740.46</v>
      </c>
      <c r="N1053" s="784">
        <v>51.4</v>
      </c>
      <c r="O1053" s="784">
        <v>5.81</v>
      </c>
      <c r="P1053" s="783">
        <v>190</v>
      </c>
      <c r="Q1053" s="783">
        <v>3234.21</v>
      </c>
      <c r="R1053" s="783">
        <v>1596.41</v>
      </c>
      <c r="S1053" s="783">
        <v>548.38</v>
      </c>
      <c r="T1053" s="783">
        <v>1089.42</v>
      </c>
      <c r="U1053" s="785">
        <v>44631.637337963002</v>
      </c>
    </row>
    <row r="1054" spans="1:21">
      <c r="A1054" s="782">
        <v>44503</v>
      </c>
      <c r="B1054" s="783" t="s">
        <v>41</v>
      </c>
      <c r="C1054" s="783" t="s">
        <v>4071</v>
      </c>
      <c r="D1054" s="783" t="s">
        <v>4009</v>
      </c>
      <c r="E1054" s="783" t="s">
        <v>6258</v>
      </c>
      <c r="F1054" s="783" t="s">
        <v>4011</v>
      </c>
      <c r="G1054" s="783" t="str">
        <f t="shared" si="60"/>
        <v>Renewal (25% in 2020)</v>
      </c>
      <c r="H1054" s="783" t="s">
        <v>6259</v>
      </c>
      <c r="I1054" s="783" t="s">
        <v>6260</v>
      </c>
      <c r="J1054" s="783">
        <v>25</v>
      </c>
      <c r="K1054" s="783" t="s">
        <v>99</v>
      </c>
      <c r="L1054" s="783" t="s">
        <v>4096</v>
      </c>
      <c r="M1054" s="784">
        <v>27684</v>
      </c>
      <c r="N1054" s="784">
        <v>24</v>
      </c>
      <c r="O1054" s="784">
        <v>7.69</v>
      </c>
      <c r="P1054" s="783">
        <v>150</v>
      </c>
      <c r="Q1054" s="783">
        <v>802.84</v>
      </c>
      <c r="R1054" s="783">
        <v>625.66</v>
      </c>
      <c r="S1054" s="783">
        <v>96.89</v>
      </c>
      <c r="T1054" s="783">
        <v>80.28</v>
      </c>
      <c r="U1054" s="785">
        <v>44631.633391203701</v>
      </c>
    </row>
    <row r="1055" spans="1:21">
      <c r="A1055" s="782">
        <v>44477</v>
      </c>
      <c r="B1055" s="783" t="s">
        <v>41</v>
      </c>
      <c r="C1055" s="783" t="s">
        <v>4092</v>
      </c>
      <c r="D1055" s="783" t="s">
        <v>4009</v>
      </c>
      <c r="E1055" s="783" t="s">
        <v>1343</v>
      </c>
      <c r="F1055" s="783" t="s">
        <v>4011</v>
      </c>
      <c r="G1055" s="783" t="str">
        <f t="shared" si="60"/>
        <v>Renewal (25% in 2020)</v>
      </c>
      <c r="H1055" s="783" t="s">
        <v>4223</v>
      </c>
      <c r="I1055" s="783" t="s">
        <v>4224</v>
      </c>
      <c r="J1055" s="783">
        <v>25</v>
      </c>
      <c r="K1055" s="783" t="s">
        <v>99</v>
      </c>
      <c r="L1055" s="783" t="s">
        <v>4096</v>
      </c>
      <c r="M1055" s="784">
        <v>28620.15</v>
      </c>
      <c r="N1055" s="784">
        <v>34.04</v>
      </c>
      <c r="O1055" s="784">
        <v>4.8600000000000003</v>
      </c>
      <c r="P1055" s="783">
        <v>173</v>
      </c>
      <c r="Q1055" s="783">
        <v>1159.1199999999999</v>
      </c>
      <c r="R1055" s="783">
        <v>884.36</v>
      </c>
      <c r="S1055" s="783">
        <v>157.41</v>
      </c>
      <c r="T1055" s="783">
        <v>117.34</v>
      </c>
      <c r="U1055" s="785">
        <v>44631.637418981503</v>
      </c>
    </row>
    <row r="1056" spans="1:21">
      <c r="A1056" s="782">
        <v>44508</v>
      </c>
      <c r="B1056" s="783" t="s">
        <v>228</v>
      </c>
      <c r="C1056" s="783" t="s">
        <v>4417</v>
      </c>
      <c r="D1056" s="783" t="s">
        <v>4193</v>
      </c>
      <c r="E1056" s="783" t="s">
        <v>6261</v>
      </c>
      <c r="F1056" s="783" t="s">
        <v>4011</v>
      </c>
      <c r="G1056" s="783" t="str">
        <f t="shared" si="60"/>
        <v>Renewal (25% in 2020)</v>
      </c>
      <c r="H1056" s="783" t="s">
        <v>6262</v>
      </c>
      <c r="I1056" s="783" t="s">
        <v>6263</v>
      </c>
      <c r="J1056" s="783">
        <v>20</v>
      </c>
      <c r="K1056" s="783" t="s">
        <v>99</v>
      </c>
      <c r="L1056" s="783" t="s">
        <v>4096</v>
      </c>
      <c r="M1056" s="784">
        <v>32341.91</v>
      </c>
      <c r="N1056" s="784">
        <v>31.55</v>
      </c>
      <c r="O1056" s="784">
        <v>6.03</v>
      </c>
      <c r="P1056" s="783">
        <v>170</v>
      </c>
      <c r="Q1056" s="783">
        <v>1691.48</v>
      </c>
      <c r="R1056" s="783">
        <v>1012.3</v>
      </c>
      <c r="S1056" s="783">
        <v>155.24</v>
      </c>
      <c r="T1056" s="783">
        <v>523.94000000000005</v>
      </c>
      <c r="U1056" s="785">
        <v>44631.637280092596</v>
      </c>
    </row>
    <row r="1057" spans="1:21">
      <c r="A1057" s="782">
        <v>44474</v>
      </c>
      <c r="B1057" s="783" t="s">
        <v>65</v>
      </c>
      <c r="C1057" s="783" t="s">
        <v>5861</v>
      </c>
      <c r="D1057" s="783" t="s">
        <v>4258</v>
      </c>
      <c r="E1057" s="783" t="s">
        <v>82</v>
      </c>
      <c r="F1057" s="783" t="s">
        <v>4011</v>
      </c>
      <c r="G1057" s="783" t="str">
        <f t="shared" si="60"/>
        <v>Renewal (20% in 2020)</v>
      </c>
      <c r="H1057" s="783" t="s">
        <v>6264</v>
      </c>
      <c r="I1057" s="783" t="s">
        <v>6265</v>
      </c>
      <c r="J1057" s="783">
        <v>20</v>
      </c>
      <c r="K1057" s="783" t="s">
        <v>99</v>
      </c>
      <c r="L1057" s="783" t="s">
        <v>4096</v>
      </c>
      <c r="M1057" s="784">
        <v>211767.34</v>
      </c>
      <c r="N1057" s="784">
        <v>113.78</v>
      </c>
      <c r="O1057" s="784">
        <v>8.4600000000000009</v>
      </c>
      <c r="P1057" s="783">
        <v>220</v>
      </c>
      <c r="Q1057" s="783">
        <v>10588.37</v>
      </c>
      <c r="R1057" s="783">
        <v>4962.4799999999996</v>
      </c>
      <c r="S1057" s="783">
        <v>2301.14</v>
      </c>
      <c r="T1057" s="783">
        <v>3324.75</v>
      </c>
      <c r="U1057" s="785">
        <v>44631.637245370403</v>
      </c>
    </row>
    <row r="1058" spans="1:21">
      <c r="A1058" s="782">
        <v>44525</v>
      </c>
      <c r="B1058" s="783" t="s">
        <v>41</v>
      </c>
      <c r="C1058" s="783" t="s">
        <v>4008</v>
      </c>
      <c r="D1058" s="783" t="s">
        <v>4009</v>
      </c>
      <c r="E1058" s="783" t="s">
        <v>6266</v>
      </c>
      <c r="F1058" s="783" t="s">
        <v>4011</v>
      </c>
      <c r="G1058" s="783" t="str">
        <f t="shared" si="60"/>
        <v>Renewal (15% in 2020)</v>
      </c>
      <c r="H1058" s="783" t="s">
        <v>6267</v>
      </c>
      <c r="I1058" s="783" t="s">
        <v>6268</v>
      </c>
      <c r="J1058" s="783">
        <v>15</v>
      </c>
      <c r="K1058" s="783" t="s">
        <v>99</v>
      </c>
      <c r="L1058" s="783" t="s">
        <v>4096</v>
      </c>
      <c r="M1058" s="784">
        <v>22457.09</v>
      </c>
      <c r="N1058" s="784">
        <v>28.8</v>
      </c>
      <c r="O1058" s="784">
        <v>5.13</v>
      </c>
      <c r="P1058" s="783">
        <v>152</v>
      </c>
      <c r="Q1058" s="783">
        <v>1536.06</v>
      </c>
      <c r="R1058" s="783">
        <v>660.24</v>
      </c>
      <c r="S1058" s="783">
        <v>103.3</v>
      </c>
      <c r="T1058" s="783">
        <v>772.52</v>
      </c>
      <c r="U1058" s="785">
        <v>44631.637256944399</v>
      </c>
    </row>
    <row r="1059" spans="1:21">
      <c r="A1059" s="782">
        <v>44483</v>
      </c>
      <c r="B1059" s="783" t="s">
        <v>228</v>
      </c>
      <c r="C1059" s="783" t="s">
        <v>4020</v>
      </c>
      <c r="D1059" s="783" t="s">
        <v>4021</v>
      </c>
      <c r="E1059" s="783" t="s">
        <v>6269</v>
      </c>
      <c r="F1059" s="783" t="s">
        <v>4011</v>
      </c>
      <c r="G1059" s="783" t="str">
        <f t="shared" si="60"/>
        <v>Renewal (25% in 2020)</v>
      </c>
      <c r="H1059" s="783" t="s">
        <v>6270</v>
      </c>
      <c r="I1059" s="783" t="s">
        <v>6271</v>
      </c>
      <c r="J1059" s="783">
        <v>25</v>
      </c>
      <c r="K1059" s="783" t="s">
        <v>99</v>
      </c>
      <c r="L1059" s="783" t="s">
        <v>4096</v>
      </c>
      <c r="M1059" s="784">
        <v>18177.900000000001</v>
      </c>
      <c r="N1059" s="784">
        <v>15.8</v>
      </c>
      <c r="O1059" s="784">
        <v>7.67</v>
      </c>
      <c r="P1059" s="783">
        <v>150</v>
      </c>
      <c r="Q1059" s="783">
        <v>883.45</v>
      </c>
      <c r="R1059" s="783">
        <v>663.49</v>
      </c>
      <c r="S1059" s="783">
        <v>101.8</v>
      </c>
      <c r="T1059" s="783">
        <v>118.16</v>
      </c>
      <c r="U1059" s="785">
        <v>44631.637534722198</v>
      </c>
    </row>
    <row r="1060" spans="1:21">
      <c r="A1060" s="782">
        <v>44480</v>
      </c>
      <c r="B1060" s="783" t="s">
        <v>74</v>
      </c>
      <c r="C1060" s="783" t="s">
        <v>4097</v>
      </c>
      <c r="D1060" s="783" t="s">
        <v>4038</v>
      </c>
      <c r="E1060" s="783" t="s">
        <v>4464</v>
      </c>
      <c r="F1060" s="783" t="s">
        <v>4011</v>
      </c>
      <c r="G1060" s="783" t="str">
        <f t="shared" si="60"/>
        <v>Renewal (15% in 2020)</v>
      </c>
      <c r="H1060" s="783" t="s">
        <v>4465</v>
      </c>
      <c r="I1060" s="783" t="s">
        <v>4466</v>
      </c>
      <c r="J1060" s="783">
        <v>15</v>
      </c>
      <c r="K1060" s="783" t="s">
        <v>99</v>
      </c>
      <c r="L1060" s="783" t="s">
        <v>4096</v>
      </c>
      <c r="M1060" s="784">
        <v>19107.12</v>
      </c>
      <c r="N1060" s="784">
        <v>19.18</v>
      </c>
      <c r="O1060" s="784">
        <v>5.86</v>
      </c>
      <c r="P1060" s="783">
        <v>170</v>
      </c>
      <c r="Q1060" s="783">
        <v>1264.8900000000001</v>
      </c>
      <c r="R1060" s="783">
        <v>540.73</v>
      </c>
      <c r="S1060" s="783">
        <v>84.07</v>
      </c>
      <c r="T1060" s="783">
        <v>640.09</v>
      </c>
      <c r="U1060" s="785">
        <v>44631.637326388904</v>
      </c>
    </row>
    <row r="1061" spans="1:21">
      <c r="A1061" s="782">
        <v>44474</v>
      </c>
      <c r="B1061" s="783" t="s">
        <v>4025</v>
      </c>
      <c r="C1061" s="783" t="s">
        <v>4052</v>
      </c>
      <c r="D1061" s="783" t="s">
        <v>4021</v>
      </c>
      <c r="E1061" s="783" t="s">
        <v>6272</v>
      </c>
      <c r="F1061" s="783" t="s">
        <v>4011</v>
      </c>
      <c r="G1061" s="783" t="str">
        <f t="shared" si="60"/>
        <v>New Contract</v>
      </c>
      <c r="H1061" s="783" t="s">
        <v>6273</v>
      </c>
      <c r="I1061" s="783" t="s">
        <v>6274</v>
      </c>
      <c r="J1061" s="783">
        <v>25</v>
      </c>
      <c r="K1061" s="783" t="s">
        <v>99</v>
      </c>
      <c r="L1061" s="783" t="s">
        <v>4096</v>
      </c>
      <c r="M1061" s="784">
        <v>40363.07</v>
      </c>
      <c r="N1061" s="784">
        <v>39.56</v>
      </c>
      <c r="O1061" s="784">
        <v>5.37</v>
      </c>
      <c r="P1061" s="783">
        <v>190</v>
      </c>
      <c r="Q1061" s="783">
        <v>1513.62</v>
      </c>
      <c r="R1061" s="783">
        <v>1062.1199999999999</v>
      </c>
      <c r="S1061" s="783">
        <v>281.97000000000003</v>
      </c>
      <c r="T1061" s="783">
        <v>169.52</v>
      </c>
      <c r="U1061" s="785">
        <v>44631.637337963002</v>
      </c>
    </row>
    <row r="1062" spans="1:21">
      <c r="A1062" s="782">
        <v>44476</v>
      </c>
      <c r="B1062" s="783" t="s">
        <v>65</v>
      </c>
      <c r="C1062" s="783" t="s">
        <v>6275</v>
      </c>
      <c r="D1062" s="783" t="s">
        <v>4258</v>
      </c>
      <c r="E1062" s="783" t="s">
        <v>6276</v>
      </c>
      <c r="F1062" s="783" t="s">
        <v>4011</v>
      </c>
      <c r="G1062" s="783" t="str">
        <f t="shared" si="60"/>
        <v>Renewal (20% in 2020)</v>
      </c>
      <c r="H1062" s="783" t="s">
        <v>6277</v>
      </c>
      <c r="I1062" s="783" t="s">
        <v>6278</v>
      </c>
      <c r="J1062" s="783">
        <v>25</v>
      </c>
      <c r="K1062" s="783" t="s">
        <v>99</v>
      </c>
      <c r="L1062" s="783" t="s">
        <v>4096</v>
      </c>
      <c r="M1062" s="784">
        <v>151332.72</v>
      </c>
      <c r="N1062" s="784">
        <v>79.8</v>
      </c>
      <c r="O1062" s="784">
        <v>8.6199999999999992</v>
      </c>
      <c r="P1062" s="783">
        <v>220</v>
      </c>
      <c r="Q1062" s="783">
        <v>4857.78</v>
      </c>
      <c r="R1062" s="783">
        <v>2939.36</v>
      </c>
      <c r="S1062" s="783">
        <v>1388.75</v>
      </c>
      <c r="T1062" s="783">
        <v>529.66</v>
      </c>
      <c r="U1062" s="785">
        <v>44631.637256944399</v>
      </c>
    </row>
    <row r="1063" spans="1:21">
      <c r="A1063" s="782">
        <v>44485</v>
      </c>
      <c r="B1063" s="783" t="s">
        <v>51</v>
      </c>
      <c r="C1063" s="783" t="s">
        <v>4796</v>
      </c>
      <c r="D1063" s="783" t="s">
        <v>4016</v>
      </c>
      <c r="E1063" s="783" t="s">
        <v>3366</v>
      </c>
      <c r="F1063" s="783" t="s">
        <v>4011</v>
      </c>
      <c r="G1063" s="783" t="str">
        <f t="shared" si="60"/>
        <v>Renewal (25% in 2020)</v>
      </c>
      <c r="H1063" s="783" t="s">
        <v>6279</v>
      </c>
      <c r="I1063" s="783" t="s">
        <v>6280</v>
      </c>
      <c r="J1063" s="783">
        <v>30</v>
      </c>
      <c r="K1063" s="783" t="s">
        <v>99</v>
      </c>
      <c r="L1063" s="783" t="s">
        <v>4096</v>
      </c>
      <c r="M1063" s="784">
        <v>66529.279999999999</v>
      </c>
      <c r="N1063" s="784">
        <v>71.2</v>
      </c>
      <c r="O1063" s="784">
        <v>5.84</v>
      </c>
      <c r="P1063" s="783">
        <v>160</v>
      </c>
      <c r="Q1063" s="783">
        <v>3266.59</v>
      </c>
      <c r="R1063" s="783">
        <v>2807.54</v>
      </c>
      <c r="S1063" s="783">
        <v>0</v>
      </c>
      <c r="T1063" s="783">
        <v>459.05</v>
      </c>
      <c r="U1063" s="785">
        <v>44631.637372685203</v>
      </c>
    </row>
    <row r="1064" spans="1:21">
      <c r="A1064" s="782">
        <v>44473</v>
      </c>
      <c r="B1064" s="783" t="s">
        <v>51</v>
      </c>
      <c r="C1064" s="783" t="s">
        <v>4042</v>
      </c>
      <c r="D1064" s="783" t="s">
        <v>4016</v>
      </c>
      <c r="E1064" s="783" t="s">
        <v>6281</v>
      </c>
      <c r="F1064" s="783" t="s">
        <v>4011</v>
      </c>
      <c r="G1064" s="783" t="str">
        <f t="shared" si="60"/>
        <v>New Contract</v>
      </c>
      <c r="H1064" s="783" t="s">
        <v>6282</v>
      </c>
      <c r="I1064" s="783" t="s">
        <v>6283</v>
      </c>
      <c r="J1064" s="783">
        <v>25</v>
      </c>
      <c r="K1064" s="783" t="s">
        <v>99</v>
      </c>
      <c r="L1064" s="783" t="s">
        <v>4096</v>
      </c>
      <c r="M1064" s="784">
        <v>42264</v>
      </c>
      <c r="N1064" s="784">
        <v>40</v>
      </c>
      <c r="O1064" s="784">
        <v>5.87</v>
      </c>
      <c r="P1064" s="783">
        <v>180</v>
      </c>
      <c r="Q1064" s="783">
        <v>1563.77</v>
      </c>
      <c r="R1064" s="783">
        <v>1141.43</v>
      </c>
      <c r="S1064" s="783">
        <v>227.92</v>
      </c>
      <c r="T1064" s="783">
        <v>194.41</v>
      </c>
      <c r="U1064" s="785">
        <v>44631.637303240699</v>
      </c>
    </row>
    <row r="1065" spans="1:21">
      <c r="A1065" s="782">
        <v>44482</v>
      </c>
      <c r="B1065" s="783" t="s">
        <v>41</v>
      </c>
      <c r="C1065" s="783" t="s">
        <v>4139</v>
      </c>
      <c r="D1065" s="783" t="s">
        <v>4009</v>
      </c>
      <c r="E1065" s="783" t="s">
        <v>6284</v>
      </c>
      <c r="F1065" s="783" t="s">
        <v>4011</v>
      </c>
      <c r="G1065" s="783" t="str">
        <f t="shared" si="60"/>
        <v>Renewal (30% in 2020)</v>
      </c>
      <c r="H1065" s="783" t="s">
        <v>6285</v>
      </c>
      <c r="I1065" s="783" t="s">
        <v>6286</v>
      </c>
      <c r="J1065" s="783">
        <v>25</v>
      </c>
      <c r="K1065" s="783" t="s">
        <v>99</v>
      </c>
      <c r="L1065" s="783" t="s">
        <v>4096</v>
      </c>
      <c r="M1065" s="784">
        <v>60808.91</v>
      </c>
      <c r="N1065" s="784">
        <v>56.42</v>
      </c>
      <c r="O1065" s="784">
        <v>6.23</v>
      </c>
      <c r="P1065" s="783">
        <v>173</v>
      </c>
      <c r="Q1065" s="783">
        <v>1830.35</v>
      </c>
      <c r="R1065" s="783">
        <v>1429.01</v>
      </c>
      <c r="S1065" s="783">
        <v>218.91</v>
      </c>
      <c r="T1065" s="783">
        <v>182.43</v>
      </c>
      <c r="U1065" s="785">
        <v>44631.637476851902</v>
      </c>
    </row>
    <row r="1066" spans="1:21">
      <c r="A1066" s="782">
        <v>44486</v>
      </c>
      <c r="B1066" s="783" t="s">
        <v>30</v>
      </c>
      <c r="C1066" s="783" t="s">
        <v>4239</v>
      </c>
      <c r="D1066" s="783" t="s">
        <v>4021</v>
      </c>
      <c r="E1066" s="783" t="s">
        <v>1216</v>
      </c>
      <c r="F1066" s="783" t="s">
        <v>4011</v>
      </c>
      <c r="G1066" s="783" t="str">
        <f t="shared" si="60"/>
        <v>Renewal (15% in 2020)</v>
      </c>
      <c r="H1066" s="783" t="s">
        <v>4467</v>
      </c>
      <c r="I1066" s="783" t="s">
        <v>4468</v>
      </c>
      <c r="J1066" s="783">
        <v>15</v>
      </c>
      <c r="K1066" s="783" t="s">
        <v>99</v>
      </c>
      <c r="L1066" s="783" t="s">
        <v>4096</v>
      </c>
      <c r="M1066" s="784">
        <v>7846.66</v>
      </c>
      <c r="N1066" s="784">
        <v>8.16</v>
      </c>
      <c r="O1066" s="784">
        <v>6.01</v>
      </c>
      <c r="P1066" s="783">
        <v>160</v>
      </c>
      <c r="Q1066" s="783">
        <v>459.03</v>
      </c>
      <c r="R1066" s="783">
        <v>194.6</v>
      </c>
      <c r="S1066" s="783">
        <v>40.020000000000003</v>
      </c>
      <c r="T1066" s="783">
        <v>224.41</v>
      </c>
      <c r="U1066" s="785">
        <v>44631.637407407397</v>
      </c>
    </row>
    <row r="1067" spans="1:21">
      <c r="A1067" s="782">
        <v>44523</v>
      </c>
      <c r="B1067" s="783" t="s">
        <v>41</v>
      </c>
      <c r="C1067" s="783" t="s">
        <v>4071</v>
      </c>
      <c r="D1067" s="783" t="s">
        <v>4009</v>
      </c>
      <c r="E1067" s="783" t="s">
        <v>4072</v>
      </c>
      <c r="F1067" s="783" t="s">
        <v>4011</v>
      </c>
      <c r="G1067" s="783" t="str">
        <f t="shared" si="60"/>
        <v>Renewal (15% in 2020)</v>
      </c>
      <c r="H1067" s="783" t="s">
        <v>4073</v>
      </c>
      <c r="I1067" s="783" t="s">
        <v>4074</v>
      </c>
      <c r="J1067" s="783">
        <v>15</v>
      </c>
      <c r="K1067" s="783" t="s">
        <v>99</v>
      </c>
      <c r="L1067" s="783" t="s">
        <v>4096</v>
      </c>
      <c r="M1067" s="784">
        <v>14076</v>
      </c>
      <c r="N1067" s="784">
        <v>18</v>
      </c>
      <c r="O1067" s="784">
        <v>4.5999999999999996</v>
      </c>
      <c r="P1067" s="783">
        <v>170</v>
      </c>
      <c r="Q1067" s="783">
        <v>706.62</v>
      </c>
      <c r="R1067" s="783">
        <v>318.12</v>
      </c>
      <c r="S1067" s="783">
        <v>49.27</v>
      </c>
      <c r="T1067" s="783">
        <v>339.23</v>
      </c>
      <c r="U1067" s="785">
        <v>44631.637430555602</v>
      </c>
    </row>
    <row r="1068" spans="1:21">
      <c r="A1068" s="782">
        <v>44522</v>
      </c>
      <c r="B1068" s="783" t="s">
        <v>41</v>
      </c>
      <c r="C1068" s="783" t="s">
        <v>4008</v>
      </c>
      <c r="D1068" s="783" t="s">
        <v>4009</v>
      </c>
      <c r="E1068" s="783" t="s">
        <v>6287</v>
      </c>
      <c r="F1068" s="783" t="s">
        <v>4011</v>
      </c>
      <c r="G1068" s="783" t="str">
        <f t="shared" ref="G1068:G1099" si="61">VLOOKUP(I1068,pacage,2,FALSE)</f>
        <v>Renewal (15% in 2020)</v>
      </c>
      <c r="H1068" s="783" t="s">
        <v>6288</v>
      </c>
      <c r="I1068" s="783" t="s">
        <v>6289</v>
      </c>
      <c r="J1068" s="783">
        <v>15</v>
      </c>
      <c r="K1068" s="783" t="s">
        <v>99</v>
      </c>
      <c r="L1068" s="783" t="s">
        <v>4096</v>
      </c>
      <c r="M1068" s="784">
        <v>6682.11</v>
      </c>
      <c r="N1068" s="784">
        <v>5.7</v>
      </c>
      <c r="O1068" s="784">
        <v>6.17</v>
      </c>
      <c r="P1068" s="783">
        <v>190</v>
      </c>
      <c r="Q1068" s="783">
        <v>457.06</v>
      </c>
      <c r="R1068" s="783">
        <v>178.88</v>
      </c>
      <c r="S1068" s="783">
        <v>48.32</v>
      </c>
      <c r="T1068" s="783">
        <v>229.86</v>
      </c>
      <c r="U1068" s="785">
        <v>44631.637546296297</v>
      </c>
    </row>
    <row r="1069" spans="1:21">
      <c r="A1069" s="782">
        <v>44540</v>
      </c>
      <c r="B1069" s="783" t="s">
        <v>113</v>
      </c>
      <c r="C1069" s="783" t="s">
        <v>4376</v>
      </c>
      <c r="D1069" s="783" t="s">
        <v>4038</v>
      </c>
      <c r="E1069" s="783" t="s">
        <v>6290</v>
      </c>
      <c r="F1069" s="783" t="s">
        <v>4011</v>
      </c>
      <c r="G1069" s="783" t="str">
        <f t="shared" si="61"/>
        <v>New Contract</v>
      </c>
      <c r="H1069" s="783" t="s">
        <v>6291</v>
      </c>
      <c r="I1069" s="783" t="s">
        <v>6292</v>
      </c>
      <c r="J1069" s="783">
        <v>25</v>
      </c>
      <c r="K1069" s="783" t="s">
        <v>99</v>
      </c>
      <c r="L1069" s="783" t="s">
        <v>4096</v>
      </c>
      <c r="M1069" s="784">
        <v>59994.05</v>
      </c>
      <c r="N1069" s="784">
        <v>58.48</v>
      </c>
      <c r="O1069" s="784">
        <v>5.93</v>
      </c>
      <c r="P1069" s="783">
        <v>173</v>
      </c>
      <c r="Q1069" s="783">
        <v>3467.66</v>
      </c>
      <c r="R1069" s="783">
        <v>2465.7600000000002</v>
      </c>
      <c r="S1069" s="783">
        <v>389.96</v>
      </c>
      <c r="T1069" s="783">
        <v>611.94000000000005</v>
      </c>
      <c r="U1069" s="785">
        <v>44631.636793981503</v>
      </c>
    </row>
    <row r="1070" spans="1:21">
      <c r="A1070" s="782">
        <v>44487</v>
      </c>
      <c r="B1070" s="783" t="s">
        <v>74</v>
      </c>
      <c r="C1070" s="783" t="s">
        <v>4097</v>
      </c>
      <c r="D1070" s="783" t="s">
        <v>4038</v>
      </c>
      <c r="E1070" s="783" t="s">
        <v>6293</v>
      </c>
      <c r="F1070" s="783" t="s">
        <v>4011</v>
      </c>
      <c r="G1070" s="783" t="str">
        <f t="shared" si="61"/>
        <v>Renewal (25% in 2020)</v>
      </c>
      <c r="H1070" s="783" t="s">
        <v>6294</v>
      </c>
      <c r="I1070" s="783" t="s">
        <v>6295</v>
      </c>
      <c r="J1070" s="783">
        <v>25</v>
      </c>
      <c r="K1070" s="783" t="s">
        <v>99</v>
      </c>
      <c r="L1070" s="783" t="s">
        <v>4096</v>
      </c>
      <c r="M1070" s="784">
        <v>27304.79</v>
      </c>
      <c r="N1070" s="784">
        <v>26.29</v>
      </c>
      <c r="O1070" s="784">
        <v>5.77</v>
      </c>
      <c r="P1070" s="783">
        <v>180</v>
      </c>
      <c r="Q1070" s="783">
        <v>1073.08</v>
      </c>
      <c r="R1070" s="783">
        <v>742.68</v>
      </c>
      <c r="S1070" s="783">
        <v>150.19</v>
      </c>
      <c r="T1070" s="783">
        <v>180.21</v>
      </c>
      <c r="U1070" s="785">
        <v>44631.637638888897</v>
      </c>
    </row>
    <row r="1071" spans="1:21">
      <c r="A1071" s="782">
        <v>44510</v>
      </c>
      <c r="B1071" s="783" t="s">
        <v>4025</v>
      </c>
      <c r="C1071" s="783" t="s">
        <v>4026</v>
      </c>
      <c r="D1071" s="783" t="s">
        <v>4021</v>
      </c>
      <c r="E1071" s="783" t="s">
        <v>6296</v>
      </c>
      <c r="F1071" s="783" t="s">
        <v>4011</v>
      </c>
      <c r="G1071" s="783" t="str">
        <f t="shared" si="61"/>
        <v>New Contract</v>
      </c>
      <c r="H1071" s="783" t="s">
        <v>6297</v>
      </c>
      <c r="I1071" s="783" t="s">
        <v>6298</v>
      </c>
      <c r="J1071" s="783">
        <v>25</v>
      </c>
      <c r="K1071" s="783" t="s">
        <v>99</v>
      </c>
      <c r="L1071" s="783" t="s">
        <v>4096</v>
      </c>
      <c r="M1071" s="784">
        <v>62801.82</v>
      </c>
      <c r="N1071" s="784">
        <v>65.83</v>
      </c>
      <c r="O1071" s="784">
        <v>4.7699999999999996</v>
      </c>
      <c r="P1071" s="783">
        <v>200</v>
      </c>
      <c r="Q1071" s="783">
        <v>2876.32</v>
      </c>
      <c r="R1071" s="783">
        <v>1836.14</v>
      </c>
      <c r="S1071" s="783">
        <v>613.13</v>
      </c>
      <c r="T1071" s="783">
        <v>427.05</v>
      </c>
      <c r="U1071" s="785">
        <v>44631.637349536999</v>
      </c>
    </row>
    <row r="1072" spans="1:21">
      <c r="A1072" s="782">
        <v>44592</v>
      </c>
      <c r="B1072" s="783" t="s">
        <v>74</v>
      </c>
      <c r="C1072" s="783" t="s">
        <v>4097</v>
      </c>
      <c r="D1072" s="783" t="s">
        <v>4038</v>
      </c>
      <c r="E1072" s="783" t="s">
        <v>4738</v>
      </c>
      <c r="F1072" s="783" t="s">
        <v>4011</v>
      </c>
      <c r="G1072" s="783" t="str">
        <f t="shared" si="61"/>
        <v>Renewal (15% in 2020)</v>
      </c>
      <c r="H1072" s="783" t="s">
        <v>4739</v>
      </c>
      <c r="I1072" s="783" t="s">
        <v>4740</v>
      </c>
      <c r="J1072" s="783">
        <v>15</v>
      </c>
      <c r="K1072" s="783" t="s">
        <v>99</v>
      </c>
      <c r="L1072" s="783" t="s">
        <v>4096</v>
      </c>
      <c r="M1072" s="784">
        <v>79872</v>
      </c>
      <c r="N1072" s="784">
        <v>66.56</v>
      </c>
      <c r="O1072" s="784">
        <v>6</v>
      </c>
      <c r="P1072" s="783">
        <v>200</v>
      </c>
      <c r="Q1072" s="783">
        <v>5287.53</v>
      </c>
      <c r="R1072" s="783">
        <v>1955.23</v>
      </c>
      <c r="S1072" s="783">
        <v>656.59</v>
      </c>
      <c r="T1072" s="783">
        <v>2675.71</v>
      </c>
      <c r="U1072" s="785">
        <v>44631.6375694444</v>
      </c>
    </row>
    <row r="1073" spans="1:21">
      <c r="A1073" s="782">
        <v>44516</v>
      </c>
      <c r="B1073" s="783" t="s">
        <v>74</v>
      </c>
      <c r="C1073" s="783" t="s">
        <v>4097</v>
      </c>
      <c r="D1073" s="783" t="s">
        <v>4038</v>
      </c>
      <c r="E1073" s="783" t="s">
        <v>1659</v>
      </c>
      <c r="F1073" s="783" t="s">
        <v>4066</v>
      </c>
      <c r="G1073" s="783" t="str">
        <f t="shared" si="61"/>
        <v>New Contract</v>
      </c>
      <c r="H1073" s="783" t="s">
        <v>4472</v>
      </c>
      <c r="I1073" s="783" t="s">
        <v>4473</v>
      </c>
      <c r="J1073" s="783">
        <v>10</v>
      </c>
      <c r="K1073" s="783" t="s">
        <v>99</v>
      </c>
      <c r="L1073" s="783" t="s">
        <v>4096</v>
      </c>
      <c r="M1073" s="784">
        <v>40082</v>
      </c>
      <c r="N1073" s="784">
        <v>28.63</v>
      </c>
      <c r="O1073" s="784">
        <v>7</v>
      </c>
      <c r="P1073" s="783">
        <v>200</v>
      </c>
      <c r="Q1073" s="783">
        <v>629.29</v>
      </c>
      <c r="R1073" s="783">
        <v>0</v>
      </c>
      <c r="S1073" s="783">
        <v>0</v>
      </c>
      <c r="T1073" s="783">
        <v>629.29</v>
      </c>
      <c r="U1073" s="785">
        <v>44631.637511574103</v>
      </c>
    </row>
    <row r="1074" spans="1:21">
      <c r="A1074" s="782">
        <v>44505</v>
      </c>
      <c r="B1074" s="783" t="s">
        <v>4025</v>
      </c>
      <c r="C1074" s="783" t="s">
        <v>4026</v>
      </c>
      <c r="D1074" s="783" t="s">
        <v>4021</v>
      </c>
      <c r="E1074" s="783" t="s">
        <v>6299</v>
      </c>
      <c r="F1074" s="783" t="s">
        <v>4011</v>
      </c>
      <c r="G1074" s="783" t="str">
        <f t="shared" si="61"/>
        <v>New Contract</v>
      </c>
      <c r="H1074" s="783" t="s">
        <v>6300</v>
      </c>
      <c r="I1074" s="783" t="s">
        <v>6301</v>
      </c>
      <c r="J1074" s="783">
        <v>25</v>
      </c>
      <c r="K1074" s="783" t="s">
        <v>99</v>
      </c>
      <c r="L1074" s="783" t="s">
        <v>4096</v>
      </c>
      <c r="M1074" s="784">
        <v>44998.42</v>
      </c>
      <c r="N1074" s="784">
        <v>36.89</v>
      </c>
      <c r="O1074" s="784">
        <v>6.42</v>
      </c>
      <c r="P1074" s="783">
        <v>190</v>
      </c>
      <c r="Q1074" s="783">
        <v>2060.9299999999998</v>
      </c>
      <c r="R1074" s="783">
        <v>1384.86</v>
      </c>
      <c r="S1074" s="783">
        <v>370.08</v>
      </c>
      <c r="T1074" s="783">
        <v>305.99</v>
      </c>
      <c r="U1074" s="785">
        <v>44631.637650463003</v>
      </c>
    </row>
    <row r="1075" spans="1:21">
      <c r="A1075" s="782">
        <v>44511</v>
      </c>
      <c r="B1075" s="783" t="s">
        <v>30</v>
      </c>
      <c r="C1075" s="783" t="s">
        <v>4089</v>
      </c>
      <c r="D1075" s="783" t="s">
        <v>4021</v>
      </c>
      <c r="E1075" s="783" t="s">
        <v>6302</v>
      </c>
      <c r="F1075" s="783" t="s">
        <v>4011</v>
      </c>
      <c r="G1075" s="783" t="str">
        <f t="shared" si="61"/>
        <v>New Contract</v>
      </c>
      <c r="H1075" s="783" t="s">
        <v>6303</v>
      </c>
      <c r="I1075" s="783" t="s">
        <v>6304</v>
      </c>
      <c r="J1075" s="783">
        <v>30</v>
      </c>
      <c r="K1075" s="783" t="s">
        <v>99</v>
      </c>
      <c r="L1075" s="783" t="s">
        <v>4096</v>
      </c>
      <c r="M1075" s="784">
        <v>80717.39</v>
      </c>
      <c r="N1075" s="784">
        <v>61.15</v>
      </c>
      <c r="O1075" s="784">
        <v>7.63</v>
      </c>
      <c r="P1075" s="783">
        <v>173</v>
      </c>
      <c r="Q1075" s="783">
        <v>2817.04</v>
      </c>
      <c r="R1075" s="783">
        <v>2348.88</v>
      </c>
      <c r="S1075" s="783">
        <v>0</v>
      </c>
      <c r="T1075" s="783">
        <v>468.16</v>
      </c>
      <c r="U1075" s="785">
        <v>44631.637523148202</v>
      </c>
    </row>
    <row r="1076" spans="1:21">
      <c r="A1076" s="782">
        <v>44510</v>
      </c>
      <c r="B1076" s="783" t="s">
        <v>34</v>
      </c>
      <c r="C1076" s="783" t="s">
        <v>4082</v>
      </c>
      <c r="D1076" s="783" t="s">
        <v>4009</v>
      </c>
      <c r="E1076" s="783" t="s">
        <v>4741</v>
      </c>
      <c r="F1076" s="783" t="s">
        <v>4011</v>
      </c>
      <c r="G1076" s="783" t="str">
        <f t="shared" si="61"/>
        <v>Renewal (25% in 2020)</v>
      </c>
      <c r="H1076" s="783" t="s">
        <v>4742</v>
      </c>
      <c r="I1076" s="783" t="s">
        <v>4743</v>
      </c>
      <c r="J1076" s="783">
        <v>25</v>
      </c>
      <c r="K1076" s="783" t="s">
        <v>99</v>
      </c>
      <c r="L1076" s="783" t="s">
        <v>4096</v>
      </c>
      <c r="M1076" s="784">
        <v>19334.419999999998</v>
      </c>
      <c r="N1076" s="784">
        <v>12.67</v>
      </c>
      <c r="O1076" s="784">
        <v>7.63</v>
      </c>
      <c r="P1076" s="783">
        <v>200</v>
      </c>
      <c r="Q1076" s="783">
        <v>738.57</v>
      </c>
      <c r="R1076" s="783">
        <v>488.35</v>
      </c>
      <c r="S1076" s="783">
        <v>176.76</v>
      </c>
      <c r="T1076" s="783">
        <v>73.47</v>
      </c>
      <c r="U1076" s="785">
        <v>44631.637372685203</v>
      </c>
    </row>
    <row r="1077" spans="1:21">
      <c r="A1077" s="782">
        <v>44528</v>
      </c>
      <c r="B1077" s="783" t="s">
        <v>74</v>
      </c>
      <c r="C1077" s="783" t="s">
        <v>4097</v>
      </c>
      <c r="D1077" s="783" t="s">
        <v>4038</v>
      </c>
      <c r="E1077" s="783" t="s">
        <v>2048</v>
      </c>
      <c r="F1077" s="783" t="s">
        <v>4011</v>
      </c>
      <c r="G1077" s="783" t="str">
        <f t="shared" si="61"/>
        <v>Renewal (15% in 2020)</v>
      </c>
      <c r="H1077" s="783" t="s">
        <v>4474</v>
      </c>
      <c r="I1077" s="783" t="s">
        <v>4475</v>
      </c>
      <c r="J1077" s="783">
        <v>20</v>
      </c>
      <c r="K1077" s="783" t="s">
        <v>99</v>
      </c>
      <c r="L1077" s="783" t="s">
        <v>4096</v>
      </c>
      <c r="M1077" s="784">
        <v>99854.22</v>
      </c>
      <c r="N1077" s="784">
        <v>83.63</v>
      </c>
      <c r="O1077" s="784">
        <v>5.97</v>
      </c>
      <c r="P1077" s="783">
        <v>200</v>
      </c>
      <c r="Q1077" s="783">
        <v>5002.7</v>
      </c>
      <c r="R1077" s="783">
        <v>2444.38</v>
      </c>
      <c r="S1077" s="783">
        <v>820.85</v>
      </c>
      <c r="T1077" s="783">
        <v>1737.46</v>
      </c>
      <c r="U1077" s="785">
        <v>44631.637395833299</v>
      </c>
    </row>
    <row r="1078" spans="1:21">
      <c r="A1078" s="782">
        <v>44462</v>
      </c>
      <c r="B1078" s="783" t="s">
        <v>41</v>
      </c>
      <c r="C1078" s="783" t="s">
        <v>4071</v>
      </c>
      <c r="D1078" s="783" t="s">
        <v>4009</v>
      </c>
      <c r="E1078" s="783" t="s">
        <v>6305</v>
      </c>
      <c r="F1078" s="783" t="s">
        <v>4011</v>
      </c>
      <c r="G1078" s="783" t="str">
        <f t="shared" si="61"/>
        <v>Renewal (15% in 2020)</v>
      </c>
      <c r="H1078" s="783" t="s">
        <v>6306</v>
      </c>
      <c r="I1078" s="783" t="s">
        <v>6307</v>
      </c>
      <c r="J1078" s="783">
        <v>15</v>
      </c>
      <c r="K1078" s="783" t="s">
        <v>99</v>
      </c>
      <c r="L1078" s="783" t="s">
        <v>4096</v>
      </c>
      <c r="M1078" s="784">
        <v>5916</v>
      </c>
      <c r="N1078" s="784">
        <v>5.8</v>
      </c>
      <c r="O1078" s="784">
        <v>6</v>
      </c>
      <c r="P1078" s="783">
        <v>170</v>
      </c>
      <c r="Q1078" s="783">
        <v>296.98</v>
      </c>
      <c r="R1078" s="783">
        <v>133.69999999999999</v>
      </c>
      <c r="S1078" s="783">
        <v>20.71</v>
      </c>
      <c r="T1078" s="783">
        <v>142.58000000000001</v>
      </c>
      <c r="U1078" s="785">
        <v>44631.637523148202</v>
      </c>
    </row>
    <row r="1079" spans="1:21">
      <c r="A1079" s="782">
        <v>44459</v>
      </c>
      <c r="B1079" s="783" t="s">
        <v>74</v>
      </c>
      <c r="C1079" s="783" t="s">
        <v>6308</v>
      </c>
      <c r="D1079" s="783" t="s">
        <v>4038</v>
      </c>
      <c r="E1079" s="783" t="s">
        <v>6309</v>
      </c>
      <c r="F1079" s="783" t="s">
        <v>4011</v>
      </c>
      <c r="G1079" s="783" t="str">
        <f t="shared" si="61"/>
        <v>Renewal (20% in 2020)</v>
      </c>
      <c r="H1079" s="783" t="s">
        <v>6310</v>
      </c>
      <c r="I1079" s="783" t="s">
        <v>6311</v>
      </c>
      <c r="J1079" s="783">
        <v>20</v>
      </c>
      <c r="K1079" s="783" t="s">
        <v>99</v>
      </c>
      <c r="L1079" s="783" t="s">
        <v>4096</v>
      </c>
      <c r="M1079" s="784">
        <v>4433.66</v>
      </c>
      <c r="N1079" s="784">
        <v>3.68</v>
      </c>
      <c r="O1079" s="784">
        <v>7.53</v>
      </c>
      <c r="P1079" s="783">
        <v>160</v>
      </c>
      <c r="Q1079" s="783">
        <v>324.54000000000002</v>
      </c>
      <c r="R1079" s="783">
        <v>177.35</v>
      </c>
      <c r="S1079" s="783">
        <v>27.93</v>
      </c>
      <c r="T1079" s="783">
        <v>119.27</v>
      </c>
      <c r="U1079" s="785">
        <v>44631.637407407397</v>
      </c>
    </row>
    <row r="1080" spans="1:21">
      <c r="A1080" s="782">
        <v>44466</v>
      </c>
      <c r="B1080" s="783" t="s">
        <v>30</v>
      </c>
      <c r="C1080" s="783" t="s">
        <v>4939</v>
      </c>
      <c r="D1080" s="783" t="s">
        <v>4021</v>
      </c>
      <c r="E1080" s="783" t="s">
        <v>3300</v>
      </c>
      <c r="F1080" s="783" t="s">
        <v>4011</v>
      </c>
      <c r="G1080" s="783" t="str">
        <f t="shared" si="61"/>
        <v>Renewal (25% in 2020)</v>
      </c>
      <c r="H1080" s="783" t="s">
        <v>6312</v>
      </c>
      <c r="I1080" s="783" t="s">
        <v>6313</v>
      </c>
      <c r="J1080" s="783">
        <v>25</v>
      </c>
      <c r="K1080" s="783" t="s">
        <v>99</v>
      </c>
      <c r="L1080" s="783" t="s">
        <v>4096</v>
      </c>
      <c r="M1080" s="784">
        <v>44755.199999999997</v>
      </c>
      <c r="N1080" s="784">
        <v>48</v>
      </c>
      <c r="O1080" s="784">
        <v>7.77</v>
      </c>
      <c r="P1080" s="783">
        <v>120</v>
      </c>
      <c r="Q1080" s="783">
        <v>2278.04</v>
      </c>
      <c r="R1080" s="783">
        <v>1664.89</v>
      </c>
      <c r="S1080" s="783">
        <v>335.66</v>
      </c>
      <c r="T1080" s="783">
        <v>277.48</v>
      </c>
      <c r="U1080" s="785">
        <v>44631.637754629599</v>
      </c>
    </row>
    <row r="1081" spans="1:21">
      <c r="A1081" s="782">
        <v>44461</v>
      </c>
      <c r="B1081" s="783" t="s">
        <v>41</v>
      </c>
      <c r="C1081" s="783" t="s">
        <v>4139</v>
      </c>
      <c r="D1081" s="783" t="s">
        <v>4009</v>
      </c>
      <c r="E1081" s="783" t="s">
        <v>6314</v>
      </c>
      <c r="F1081" s="783" t="s">
        <v>4011</v>
      </c>
      <c r="G1081" s="783" t="str">
        <f t="shared" si="61"/>
        <v>Renewal (20% in 2020)</v>
      </c>
      <c r="H1081" s="783" t="s">
        <v>6315</v>
      </c>
      <c r="I1081" s="783" t="s">
        <v>6316</v>
      </c>
      <c r="J1081" s="783">
        <v>20</v>
      </c>
      <c r="K1081" s="783" t="s">
        <v>99</v>
      </c>
      <c r="L1081" s="783" t="s">
        <v>4096</v>
      </c>
      <c r="M1081" s="784">
        <v>6504.07</v>
      </c>
      <c r="N1081" s="784">
        <v>5.0599999999999996</v>
      </c>
      <c r="O1081" s="784">
        <v>7.43</v>
      </c>
      <c r="P1081" s="783">
        <v>173</v>
      </c>
      <c r="Q1081" s="783">
        <v>253.01</v>
      </c>
      <c r="R1081" s="783">
        <v>152.85</v>
      </c>
      <c r="S1081" s="783">
        <v>23.41</v>
      </c>
      <c r="T1081" s="783">
        <v>76.75</v>
      </c>
      <c r="U1081" s="785">
        <v>44631.637662036999</v>
      </c>
    </row>
    <row r="1082" spans="1:21">
      <c r="A1082" s="782">
        <v>44468</v>
      </c>
      <c r="B1082" s="783" t="s">
        <v>41</v>
      </c>
      <c r="C1082" s="783" t="s">
        <v>4139</v>
      </c>
      <c r="D1082" s="783" t="s">
        <v>4009</v>
      </c>
      <c r="E1082" s="783" t="s">
        <v>6317</v>
      </c>
      <c r="F1082" s="783" t="s">
        <v>4011</v>
      </c>
      <c r="G1082" s="783" t="str">
        <f t="shared" si="61"/>
        <v>Renewal (20% in 2020)</v>
      </c>
      <c r="H1082" s="783" t="s">
        <v>6318</v>
      </c>
      <c r="I1082" s="783" t="s">
        <v>6319</v>
      </c>
      <c r="J1082" s="783">
        <v>20</v>
      </c>
      <c r="K1082" s="783" t="s">
        <v>99</v>
      </c>
      <c r="L1082" s="783" t="s">
        <v>4096</v>
      </c>
      <c r="M1082" s="784">
        <v>23268.83</v>
      </c>
      <c r="N1082" s="784">
        <v>20.41</v>
      </c>
      <c r="O1082" s="784">
        <v>6.59</v>
      </c>
      <c r="P1082" s="783">
        <v>173</v>
      </c>
      <c r="Q1082" s="783">
        <v>905.16</v>
      </c>
      <c r="R1082" s="783">
        <v>546.82000000000005</v>
      </c>
      <c r="S1082" s="783">
        <v>83.77</v>
      </c>
      <c r="T1082" s="783">
        <v>274.57</v>
      </c>
      <c r="U1082" s="785">
        <v>44631.636678240699</v>
      </c>
    </row>
    <row r="1083" spans="1:21">
      <c r="A1083" s="782">
        <v>44476</v>
      </c>
      <c r="B1083" s="783" t="s">
        <v>41</v>
      </c>
      <c r="C1083" s="783" t="s">
        <v>4092</v>
      </c>
      <c r="D1083" s="783" t="s">
        <v>4009</v>
      </c>
      <c r="E1083" s="783" t="s">
        <v>6320</v>
      </c>
      <c r="F1083" s="783" t="s">
        <v>4011</v>
      </c>
      <c r="G1083" s="783" t="str">
        <f t="shared" si="61"/>
        <v>Renewal (30% in 2020)</v>
      </c>
      <c r="H1083" s="783" t="s">
        <v>6321</v>
      </c>
      <c r="I1083" s="783" t="s">
        <v>6322</v>
      </c>
      <c r="J1083" s="783">
        <v>30</v>
      </c>
      <c r="K1083" s="783" t="s">
        <v>99</v>
      </c>
      <c r="L1083" s="783" t="s">
        <v>4096</v>
      </c>
      <c r="M1083" s="784">
        <v>25778.46</v>
      </c>
      <c r="N1083" s="784">
        <v>19.899999999999999</v>
      </c>
      <c r="O1083" s="784">
        <v>7.62</v>
      </c>
      <c r="P1083" s="783">
        <v>170</v>
      </c>
      <c r="Q1083" s="783">
        <v>902.25</v>
      </c>
      <c r="R1083" s="783">
        <v>796.55</v>
      </c>
      <c r="S1083" s="783">
        <v>0</v>
      </c>
      <c r="T1083" s="783">
        <v>105.69</v>
      </c>
      <c r="U1083" s="785">
        <v>44631.636666666702</v>
      </c>
    </row>
    <row r="1084" spans="1:21">
      <c r="A1084" s="782">
        <v>44469</v>
      </c>
      <c r="B1084" s="783" t="s">
        <v>30</v>
      </c>
      <c r="C1084" s="783" t="s">
        <v>4089</v>
      </c>
      <c r="D1084" s="783" t="s">
        <v>4021</v>
      </c>
      <c r="E1084" s="783" t="s">
        <v>125</v>
      </c>
      <c r="F1084" s="783" t="s">
        <v>4011</v>
      </c>
      <c r="G1084" s="783" t="str">
        <f t="shared" si="61"/>
        <v>Renewal (15% in 2020)</v>
      </c>
      <c r="H1084" s="783" t="s">
        <v>6323</v>
      </c>
      <c r="I1084" s="783" t="s">
        <v>6324</v>
      </c>
      <c r="J1084" s="783">
        <v>15</v>
      </c>
      <c r="K1084" s="783" t="s">
        <v>99</v>
      </c>
      <c r="L1084" s="783" t="s">
        <v>4096</v>
      </c>
      <c r="M1084" s="784">
        <v>44235.839999999997</v>
      </c>
      <c r="N1084" s="784">
        <v>41.89</v>
      </c>
      <c r="O1084" s="784">
        <v>7.04</v>
      </c>
      <c r="P1084" s="783">
        <v>150</v>
      </c>
      <c r="Q1084" s="783">
        <v>2959.38</v>
      </c>
      <c r="R1084" s="783">
        <v>1287.26</v>
      </c>
      <c r="S1084" s="783">
        <v>199.06</v>
      </c>
      <c r="T1084" s="783">
        <v>1473.05</v>
      </c>
      <c r="U1084" s="785">
        <v>44631.636736111097</v>
      </c>
    </row>
    <row r="1085" spans="1:21">
      <c r="A1085" s="782">
        <v>44468</v>
      </c>
      <c r="B1085" s="783" t="s">
        <v>41</v>
      </c>
      <c r="C1085" s="783" t="s">
        <v>4071</v>
      </c>
      <c r="D1085" s="783" t="s">
        <v>4009</v>
      </c>
      <c r="E1085" s="783" t="s">
        <v>6325</v>
      </c>
      <c r="F1085" s="783" t="s">
        <v>4011</v>
      </c>
      <c r="G1085" s="783" t="str">
        <f t="shared" si="61"/>
        <v>Renewal (25% in 2020)</v>
      </c>
      <c r="H1085" s="783" t="s">
        <v>6326</v>
      </c>
      <c r="I1085" s="783" t="s">
        <v>6327</v>
      </c>
      <c r="J1085" s="783">
        <v>25</v>
      </c>
      <c r="K1085" s="783" t="s">
        <v>99</v>
      </c>
      <c r="L1085" s="783" t="s">
        <v>4096</v>
      </c>
      <c r="M1085" s="784">
        <v>69198.399999999994</v>
      </c>
      <c r="N1085" s="784">
        <v>61</v>
      </c>
      <c r="O1085" s="784">
        <v>7.09</v>
      </c>
      <c r="P1085" s="783">
        <v>160</v>
      </c>
      <c r="Q1085" s="783">
        <v>2006.75</v>
      </c>
      <c r="R1085" s="783">
        <v>1563.88</v>
      </c>
      <c r="S1085" s="783">
        <v>242.19</v>
      </c>
      <c r="T1085" s="783">
        <v>200.68</v>
      </c>
      <c r="U1085" s="785">
        <v>44631.636793981503</v>
      </c>
    </row>
    <row r="1086" spans="1:21">
      <c r="A1086" s="782">
        <v>44468</v>
      </c>
      <c r="B1086" s="783" t="s">
        <v>51</v>
      </c>
      <c r="C1086" s="783" t="s">
        <v>4015</v>
      </c>
      <c r="D1086" s="783" t="s">
        <v>4016</v>
      </c>
      <c r="E1086" s="783" t="s">
        <v>6328</v>
      </c>
      <c r="F1086" s="783" t="s">
        <v>4011</v>
      </c>
      <c r="G1086" s="783" t="str">
        <f t="shared" si="61"/>
        <v>New Contract</v>
      </c>
      <c r="H1086" s="783" t="s">
        <v>6329</v>
      </c>
      <c r="I1086" s="783" t="s">
        <v>6330</v>
      </c>
      <c r="J1086" s="783">
        <v>15</v>
      </c>
      <c r="K1086" s="783" t="s">
        <v>99</v>
      </c>
      <c r="L1086" s="783" t="s">
        <v>4096</v>
      </c>
      <c r="M1086" s="784">
        <v>30835.200000000001</v>
      </c>
      <c r="N1086" s="784">
        <v>29.2</v>
      </c>
      <c r="O1086" s="784">
        <v>6.6</v>
      </c>
      <c r="P1086" s="783">
        <v>160</v>
      </c>
      <c r="Q1086" s="783">
        <v>2898.51</v>
      </c>
      <c r="R1086" s="783">
        <v>1270.4100000000001</v>
      </c>
      <c r="S1086" s="783">
        <v>194.26</v>
      </c>
      <c r="T1086" s="783">
        <v>1433.84</v>
      </c>
      <c r="U1086" s="785">
        <v>44631.636655092603</v>
      </c>
    </row>
    <row r="1087" spans="1:21">
      <c r="A1087" s="782">
        <v>44466</v>
      </c>
      <c r="B1087" s="783" t="s">
        <v>51</v>
      </c>
      <c r="C1087" s="783" t="s">
        <v>4042</v>
      </c>
      <c r="D1087" s="783" t="s">
        <v>4016</v>
      </c>
      <c r="E1087" s="783" t="s">
        <v>6331</v>
      </c>
      <c r="F1087" s="783" t="s">
        <v>4011</v>
      </c>
      <c r="G1087" s="783" t="str">
        <f t="shared" si="61"/>
        <v>New Contract</v>
      </c>
      <c r="H1087" s="783" t="s">
        <v>6332</v>
      </c>
      <c r="I1087" s="783" t="s">
        <v>6333</v>
      </c>
      <c r="J1087" s="783">
        <v>30</v>
      </c>
      <c r="K1087" s="783" t="s">
        <v>99</v>
      </c>
      <c r="L1087" s="783" t="s">
        <v>4096</v>
      </c>
      <c r="M1087" s="784">
        <v>44028.95</v>
      </c>
      <c r="N1087" s="784">
        <v>28.06</v>
      </c>
      <c r="O1087" s="784">
        <v>9.23</v>
      </c>
      <c r="P1087" s="783">
        <v>170</v>
      </c>
      <c r="Q1087" s="783">
        <v>1444.15</v>
      </c>
      <c r="R1087" s="783">
        <v>1237.21</v>
      </c>
      <c r="S1087" s="783">
        <v>0</v>
      </c>
      <c r="T1087" s="783">
        <v>206.94</v>
      </c>
      <c r="U1087" s="785">
        <v>44631.636666666702</v>
      </c>
    </row>
    <row r="1088" spans="1:21">
      <c r="A1088" s="782">
        <v>44468</v>
      </c>
      <c r="B1088" s="783" t="s">
        <v>41</v>
      </c>
      <c r="C1088" s="783" t="s">
        <v>4139</v>
      </c>
      <c r="D1088" s="783" t="s">
        <v>4009</v>
      </c>
      <c r="E1088" s="783" t="s">
        <v>6334</v>
      </c>
      <c r="F1088" s="783" t="s">
        <v>4011</v>
      </c>
      <c r="G1088" s="783" t="str">
        <f t="shared" si="61"/>
        <v>Renewal (30% in 2020)</v>
      </c>
      <c r="H1088" s="783" t="s">
        <v>6335</v>
      </c>
      <c r="I1088" s="783" t="s">
        <v>6336</v>
      </c>
      <c r="J1088" s="783">
        <v>30</v>
      </c>
      <c r="K1088" s="783" t="s">
        <v>99</v>
      </c>
      <c r="L1088" s="783" t="s">
        <v>4096</v>
      </c>
      <c r="M1088" s="784">
        <v>41114.32</v>
      </c>
      <c r="N1088" s="784">
        <v>37.25</v>
      </c>
      <c r="O1088" s="784">
        <v>6.38</v>
      </c>
      <c r="P1088" s="783">
        <v>173</v>
      </c>
      <c r="Q1088" s="783">
        <v>1089.53</v>
      </c>
      <c r="R1088" s="783">
        <v>966.19</v>
      </c>
      <c r="S1088" s="783">
        <v>0</v>
      </c>
      <c r="T1088" s="783">
        <v>123.34</v>
      </c>
      <c r="U1088" s="785">
        <v>44631.636724536998</v>
      </c>
    </row>
    <row r="1089" spans="1:21">
      <c r="A1089" s="782">
        <v>44519</v>
      </c>
      <c r="B1089" s="783" t="s">
        <v>41</v>
      </c>
      <c r="C1089" s="783" t="s">
        <v>4139</v>
      </c>
      <c r="D1089" s="783" t="s">
        <v>4009</v>
      </c>
      <c r="E1089" s="783" t="s">
        <v>6337</v>
      </c>
      <c r="F1089" s="783" t="s">
        <v>4011</v>
      </c>
      <c r="G1089" s="783" t="str">
        <f t="shared" si="61"/>
        <v>Renewal (20% in 2020)</v>
      </c>
      <c r="H1089" s="783" t="s">
        <v>6338</v>
      </c>
      <c r="I1089" s="783" t="s">
        <v>6339</v>
      </c>
      <c r="J1089" s="783">
        <v>20</v>
      </c>
      <c r="K1089" s="783" t="s">
        <v>99</v>
      </c>
      <c r="L1089" s="783" t="s">
        <v>4096</v>
      </c>
      <c r="M1089" s="784">
        <v>73629</v>
      </c>
      <c r="N1089" s="784">
        <v>67.5</v>
      </c>
      <c r="O1089" s="784">
        <v>6.06</v>
      </c>
      <c r="P1089" s="783">
        <v>180</v>
      </c>
      <c r="Q1089" s="783">
        <v>2864.17</v>
      </c>
      <c r="R1089" s="783">
        <v>1662.99</v>
      </c>
      <c r="S1089" s="783">
        <v>332.35</v>
      </c>
      <c r="T1089" s="783">
        <v>868.82</v>
      </c>
      <c r="U1089" s="785">
        <v>44631.637870370403</v>
      </c>
    </row>
    <row r="1090" spans="1:21">
      <c r="A1090" s="782">
        <v>44545</v>
      </c>
      <c r="B1090" s="783" t="s">
        <v>882</v>
      </c>
      <c r="C1090" s="783" t="s">
        <v>4052</v>
      </c>
      <c r="D1090" s="783" t="s">
        <v>4021</v>
      </c>
      <c r="E1090" s="783" t="s">
        <v>6340</v>
      </c>
      <c r="F1090" s="783" t="s">
        <v>4011</v>
      </c>
      <c r="G1090" s="783" t="str">
        <f t="shared" si="61"/>
        <v>Renewal (25% in 2020)</v>
      </c>
      <c r="H1090" s="783" t="s">
        <v>6341</v>
      </c>
      <c r="I1090" s="783" t="s">
        <v>6342</v>
      </c>
      <c r="J1090" s="783">
        <v>15</v>
      </c>
      <c r="K1090" s="783" t="s">
        <v>99</v>
      </c>
      <c r="L1090" s="783" t="s">
        <v>4096</v>
      </c>
      <c r="M1090" s="784">
        <v>28875.439999999999</v>
      </c>
      <c r="N1090" s="784">
        <v>29.83</v>
      </c>
      <c r="O1090" s="784">
        <v>4.84</v>
      </c>
      <c r="P1090" s="783">
        <v>200</v>
      </c>
      <c r="Q1090" s="783">
        <v>1865.35</v>
      </c>
      <c r="R1090" s="783">
        <v>721.84</v>
      </c>
      <c r="S1090" s="783">
        <v>239.71</v>
      </c>
      <c r="T1090" s="783">
        <v>903.8</v>
      </c>
      <c r="U1090" s="785">
        <v>44631.637812499997</v>
      </c>
    </row>
    <row r="1091" spans="1:21">
      <c r="A1091" s="782">
        <v>44525</v>
      </c>
      <c r="B1091" s="783" t="s">
        <v>41</v>
      </c>
      <c r="C1091" s="783" t="s">
        <v>4092</v>
      </c>
      <c r="D1091" s="783" t="s">
        <v>4009</v>
      </c>
      <c r="E1091" s="783" t="s">
        <v>6343</v>
      </c>
      <c r="F1091" s="783" t="s">
        <v>4011</v>
      </c>
      <c r="G1091" s="783" t="str">
        <f t="shared" si="61"/>
        <v>Renewal (25% in 2020)</v>
      </c>
      <c r="H1091" s="783" t="s">
        <v>6344</v>
      </c>
      <c r="I1091" s="783" t="s">
        <v>6345</v>
      </c>
      <c r="J1091" s="783">
        <v>25</v>
      </c>
      <c r="K1091" s="783" t="s">
        <v>99</v>
      </c>
      <c r="L1091" s="783" t="s">
        <v>4096</v>
      </c>
      <c r="M1091" s="784">
        <v>14005.38</v>
      </c>
      <c r="N1091" s="784">
        <v>14.21</v>
      </c>
      <c r="O1091" s="784">
        <v>6.16</v>
      </c>
      <c r="P1091" s="783">
        <v>160</v>
      </c>
      <c r="Q1091" s="783">
        <v>567.22</v>
      </c>
      <c r="R1091" s="783">
        <v>432.77</v>
      </c>
      <c r="S1091" s="783">
        <v>77.03</v>
      </c>
      <c r="T1091" s="783">
        <v>57.42</v>
      </c>
      <c r="U1091" s="785">
        <v>44631.637858796297</v>
      </c>
    </row>
    <row r="1092" spans="1:21">
      <c r="A1092" s="782">
        <v>44483</v>
      </c>
      <c r="B1092" s="783" t="s">
        <v>4025</v>
      </c>
      <c r="C1092" s="783" t="s">
        <v>4026</v>
      </c>
      <c r="D1092" s="783" t="s">
        <v>4021</v>
      </c>
      <c r="E1092" s="783" t="s">
        <v>4075</v>
      </c>
      <c r="F1092" s="783" t="s">
        <v>4011</v>
      </c>
      <c r="G1092" s="783" t="str">
        <f t="shared" si="61"/>
        <v>New Contract</v>
      </c>
      <c r="H1092" s="783" t="s">
        <v>4076</v>
      </c>
      <c r="I1092" s="783" t="s">
        <v>4077</v>
      </c>
      <c r="J1092" s="783">
        <v>25</v>
      </c>
      <c r="K1092" s="783" t="s">
        <v>99</v>
      </c>
      <c r="L1092" s="783" t="s">
        <v>4096</v>
      </c>
      <c r="M1092" s="784">
        <v>18658.03</v>
      </c>
      <c r="N1092" s="784">
        <v>17.190000000000001</v>
      </c>
      <c r="O1092" s="784">
        <v>6.03</v>
      </c>
      <c r="P1092" s="783">
        <v>180</v>
      </c>
      <c r="Q1092" s="783">
        <v>854.54</v>
      </c>
      <c r="R1092" s="783">
        <v>606.12</v>
      </c>
      <c r="S1092" s="783">
        <v>121.55</v>
      </c>
      <c r="T1092" s="783">
        <v>126.87</v>
      </c>
      <c r="U1092" s="785">
        <v>44631.638078703698</v>
      </c>
    </row>
    <row r="1093" spans="1:21">
      <c r="A1093" s="782">
        <v>44488</v>
      </c>
      <c r="B1093" s="783" t="s">
        <v>41</v>
      </c>
      <c r="C1093" s="783" t="s">
        <v>4082</v>
      </c>
      <c r="D1093" s="783" t="s">
        <v>4009</v>
      </c>
      <c r="E1093" s="783" t="s">
        <v>6346</v>
      </c>
      <c r="F1093" s="783" t="s">
        <v>4011</v>
      </c>
      <c r="G1093" s="783" t="str">
        <f t="shared" si="61"/>
        <v>Renewal (25% in 2020)</v>
      </c>
      <c r="H1093" s="783" t="s">
        <v>6347</v>
      </c>
      <c r="I1093" s="783" t="s">
        <v>6348</v>
      </c>
      <c r="J1093" s="783">
        <v>25</v>
      </c>
      <c r="K1093" s="783" t="s">
        <v>99</v>
      </c>
      <c r="L1093" s="783" t="s">
        <v>4096</v>
      </c>
      <c r="M1093" s="784">
        <v>15126.36</v>
      </c>
      <c r="N1093" s="784">
        <v>18.64</v>
      </c>
      <c r="O1093" s="784">
        <v>5.41</v>
      </c>
      <c r="P1093" s="783">
        <v>150</v>
      </c>
      <c r="Q1093" s="783">
        <v>577.83000000000004</v>
      </c>
      <c r="R1093" s="783">
        <v>441.69</v>
      </c>
      <c r="S1093" s="783">
        <v>78.66</v>
      </c>
      <c r="T1093" s="783">
        <v>57.48</v>
      </c>
      <c r="U1093" s="785">
        <v>44631.637870370403</v>
      </c>
    </row>
    <row r="1094" spans="1:21">
      <c r="A1094" s="782">
        <v>44494</v>
      </c>
      <c r="B1094" s="783" t="s">
        <v>4025</v>
      </c>
      <c r="C1094" s="783" t="s">
        <v>4026</v>
      </c>
      <c r="D1094" s="783" t="s">
        <v>4021</v>
      </c>
      <c r="E1094" s="783" t="s">
        <v>4225</v>
      </c>
      <c r="F1094" s="783" t="s">
        <v>4011</v>
      </c>
      <c r="G1094" s="783" t="str">
        <f t="shared" si="61"/>
        <v>New Contract</v>
      </c>
      <c r="H1094" s="783" t="s">
        <v>4226</v>
      </c>
      <c r="I1094" s="783" t="s">
        <v>4227</v>
      </c>
      <c r="J1094" s="783">
        <v>25</v>
      </c>
      <c r="K1094" s="783" t="s">
        <v>99</v>
      </c>
      <c r="L1094" s="783" t="s">
        <v>4096</v>
      </c>
      <c r="M1094" s="784">
        <v>31985.25</v>
      </c>
      <c r="N1094" s="784">
        <v>25.78</v>
      </c>
      <c r="O1094" s="784">
        <v>6.53</v>
      </c>
      <c r="P1094" s="783">
        <v>190</v>
      </c>
      <c r="Q1094" s="783">
        <v>1464.92</v>
      </c>
      <c r="R1094" s="783">
        <v>984.37</v>
      </c>
      <c r="S1094" s="783">
        <v>263.05</v>
      </c>
      <c r="T1094" s="783">
        <v>217.5</v>
      </c>
      <c r="U1094" s="785">
        <v>44631.638310185197</v>
      </c>
    </row>
    <row r="1095" spans="1:21">
      <c r="A1095" s="782">
        <v>44501</v>
      </c>
      <c r="B1095" s="783" t="s">
        <v>74</v>
      </c>
      <c r="C1095" s="783" t="s">
        <v>4097</v>
      </c>
      <c r="D1095" s="783" t="s">
        <v>4038</v>
      </c>
      <c r="E1095" s="783" t="s">
        <v>4479</v>
      </c>
      <c r="F1095" s="783" t="s">
        <v>4066</v>
      </c>
      <c r="G1095" s="783" t="str">
        <f t="shared" si="61"/>
        <v>New Contract</v>
      </c>
      <c r="H1095" s="783" t="s">
        <v>4480</v>
      </c>
      <c r="I1095" s="783" t="s">
        <v>4481</v>
      </c>
      <c r="J1095" s="783">
        <v>5</v>
      </c>
      <c r="K1095" s="783" t="s">
        <v>99</v>
      </c>
      <c r="L1095" s="783" t="s">
        <v>4096</v>
      </c>
      <c r="M1095" s="784">
        <v>15120</v>
      </c>
      <c r="N1095" s="784">
        <v>12</v>
      </c>
      <c r="O1095" s="784">
        <v>7</v>
      </c>
      <c r="P1095" s="783">
        <v>180</v>
      </c>
      <c r="Q1095" s="783">
        <v>296.35000000000002</v>
      </c>
      <c r="R1095" s="783">
        <v>0</v>
      </c>
      <c r="S1095" s="783">
        <v>0</v>
      </c>
      <c r="T1095" s="783">
        <v>296.35000000000002</v>
      </c>
      <c r="U1095" s="785">
        <v>44631.638263888897</v>
      </c>
    </row>
    <row r="1096" spans="1:21">
      <c r="A1096" s="782">
        <v>44488</v>
      </c>
      <c r="B1096" s="783" t="s">
        <v>41</v>
      </c>
      <c r="C1096" s="783" t="s">
        <v>4139</v>
      </c>
      <c r="D1096" s="783" t="s">
        <v>4009</v>
      </c>
      <c r="E1096" s="783" t="s">
        <v>721</v>
      </c>
      <c r="F1096" s="783" t="s">
        <v>4011</v>
      </c>
      <c r="G1096" s="783" t="str">
        <f t="shared" si="61"/>
        <v>Renewal (20% in 2020)</v>
      </c>
      <c r="H1096" s="783" t="s">
        <v>6349</v>
      </c>
      <c r="I1096" s="783" t="s">
        <v>6350</v>
      </c>
      <c r="J1096" s="783">
        <v>20</v>
      </c>
      <c r="K1096" s="783" t="s">
        <v>99</v>
      </c>
      <c r="L1096" s="783" t="s">
        <v>4096</v>
      </c>
      <c r="M1096" s="784">
        <v>14316.23</v>
      </c>
      <c r="N1096" s="784">
        <v>12.95</v>
      </c>
      <c r="O1096" s="784">
        <v>7.37</v>
      </c>
      <c r="P1096" s="783">
        <v>150</v>
      </c>
      <c r="Q1096" s="783">
        <v>556.9</v>
      </c>
      <c r="R1096" s="783">
        <v>336.43</v>
      </c>
      <c r="S1096" s="783">
        <v>51.54</v>
      </c>
      <c r="T1096" s="783">
        <v>168.93</v>
      </c>
      <c r="U1096" s="785">
        <v>44631.637997685197</v>
      </c>
    </row>
    <row r="1097" spans="1:21">
      <c r="A1097" s="782">
        <v>44501</v>
      </c>
      <c r="B1097" s="783" t="s">
        <v>51</v>
      </c>
      <c r="C1097" s="783" t="s">
        <v>4042</v>
      </c>
      <c r="D1097" s="783" t="s">
        <v>4016</v>
      </c>
      <c r="E1097" s="783" t="s">
        <v>2871</v>
      </c>
      <c r="F1097" s="783" t="s">
        <v>4011</v>
      </c>
      <c r="G1097" s="783" t="str">
        <f t="shared" si="61"/>
        <v>Renewal (15% in 2020)</v>
      </c>
      <c r="H1097" s="783" t="s">
        <v>6351</v>
      </c>
      <c r="I1097" s="783" t="s">
        <v>6352</v>
      </c>
      <c r="J1097" s="783">
        <v>15</v>
      </c>
      <c r="K1097" s="783" t="s">
        <v>99</v>
      </c>
      <c r="L1097" s="783" t="s">
        <v>4096</v>
      </c>
      <c r="M1097" s="784">
        <v>109239.38</v>
      </c>
      <c r="N1097" s="784">
        <v>83.23</v>
      </c>
      <c r="O1097" s="784">
        <v>8.75</v>
      </c>
      <c r="P1097" s="783">
        <v>150</v>
      </c>
      <c r="Q1097" s="783">
        <v>5800.61</v>
      </c>
      <c r="R1097" s="783">
        <v>3069.63</v>
      </c>
      <c r="S1097" s="783">
        <v>469.73</v>
      </c>
      <c r="T1097" s="783">
        <v>2261.2600000000002</v>
      </c>
      <c r="U1097" s="785">
        <v>44631.638090277796</v>
      </c>
    </row>
    <row r="1098" spans="1:21">
      <c r="A1098" s="782">
        <v>44582</v>
      </c>
      <c r="B1098" s="783" t="s">
        <v>30</v>
      </c>
      <c r="C1098" s="783" t="s">
        <v>4239</v>
      </c>
      <c r="D1098" s="783" t="s">
        <v>4021</v>
      </c>
      <c r="E1098" s="783" t="s">
        <v>6353</v>
      </c>
      <c r="F1098" s="783" t="s">
        <v>4011</v>
      </c>
      <c r="G1098" s="783" t="str">
        <f t="shared" si="61"/>
        <v>Renewal (15% in 2020)</v>
      </c>
      <c r="H1098" s="783" t="s">
        <v>6354</v>
      </c>
      <c r="I1098" s="783" t="s">
        <v>6355</v>
      </c>
      <c r="J1098" s="783">
        <v>15</v>
      </c>
      <c r="K1098" s="783" t="s">
        <v>99</v>
      </c>
      <c r="L1098" s="783" t="s">
        <v>4096</v>
      </c>
      <c r="M1098" s="784">
        <v>35244.86</v>
      </c>
      <c r="N1098" s="784">
        <v>28.46</v>
      </c>
      <c r="O1098" s="784">
        <v>6.88</v>
      </c>
      <c r="P1098" s="783">
        <v>180</v>
      </c>
      <c r="Q1098" s="783">
        <v>2061.8200000000002</v>
      </c>
      <c r="R1098" s="783">
        <v>840.08</v>
      </c>
      <c r="S1098" s="783">
        <v>213.74</v>
      </c>
      <c r="T1098" s="783">
        <v>1008</v>
      </c>
      <c r="U1098" s="785">
        <v>44631.638124999998</v>
      </c>
    </row>
    <row r="1099" spans="1:21">
      <c r="A1099" s="782">
        <v>44494</v>
      </c>
      <c r="B1099" s="783" t="s">
        <v>41</v>
      </c>
      <c r="C1099" s="783" t="s">
        <v>4082</v>
      </c>
      <c r="D1099" s="783" t="s">
        <v>4009</v>
      </c>
      <c r="E1099" s="783" t="s">
        <v>6356</v>
      </c>
      <c r="F1099" s="783" t="s">
        <v>4011</v>
      </c>
      <c r="G1099" s="783" t="str">
        <f t="shared" si="61"/>
        <v>Renewal (30% in 2020)</v>
      </c>
      <c r="H1099" s="783" t="s">
        <v>6357</v>
      </c>
      <c r="I1099" s="783" t="s">
        <v>6358</v>
      </c>
      <c r="J1099" s="783">
        <v>30</v>
      </c>
      <c r="K1099" s="783" t="s">
        <v>99</v>
      </c>
      <c r="L1099" s="783" t="s">
        <v>4096</v>
      </c>
      <c r="M1099" s="784">
        <v>19503.330000000002</v>
      </c>
      <c r="N1099" s="784">
        <v>20.8</v>
      </c>
      <c r="O1099" s="784">
        <v>5.42</v>
      </c>
      <c r="P1099" s="783">
        <v>173</v>
      </c>
      <c r="Q1099" s="783">
        <v>645.55999999999995</v>
      </c>
      <c r="R1099" s="783">
        <v>569.5</v>
      </c>
      <c r="S1099" s="783">
        <v>0</v>
      </c>
      <c r="T1099" s="783">
        <v>76.06</v>
      </c>
      <c r="U1099" s="785">
        <v>44631.638275463003</v>
      </c>
    </row>
    <row r="1100" spans="1:21">
      <c r="A1100" s="782">
        <v>44490</v>
      </c>
      <c r="B1100" s="783" t="s">
        <v>41</v>
      </c>
      <c r="C1100" s="783" t="s">
        <v>4139</v>
      </c>
      <c r="D1100" s="783" t="s">
        <v>4009</v>
      </c>
      <c r="E1100" s="783" t="s">
        <v>6359</v>
      </c>
      <c r="F1100" s="783" t="s">
        <v>4011</v>
      </c>
      <c r="G1100" s="783" t="str">
        <f t="shared" ref="G1100:G1106" si="62">VLOOKUP(I1100,pacage,2,FALSE)</f>
        <v>Renewal (15% in 2020)</v>
      </c>
      <c r="H1100" s="783" t="s">
        <v>6360</v>
      </c>
      <c r="I1100" s="783" t="s">
        <v>6361</v>
      </c>
      <c r="J1100" s="783">
        <v>15</v>
      </c>
      <c r="K1100" s="783" t="s">
        <v>99</v>
      </c>
      <c r="L1100" s="783" t="s">
        <v>4096</v>
      </c>
      <c r="M1100" s="784">
        <v>97053.33</v>
      </c>
      <c r="N1100" s="784">
        <v>75.900000000000006</v>
      </c>
      <c r="O1100" s="784">
        <v>6.73</v>
      </c>
      <c r="P1100" s="783">
        <v>190</v>
      </c>
      <c r="Q1100" s="783">
        <v>5056.4799999999996</v>
      </c>
      <c r="R1100" s="783">
        <v>2076.69</v>
      </c>
      <c r="S1100" s="783">
        <v>553.46</v>
      </c>
      <c r="T1100" s="783">
        <v>2426.33</v>
      </c>
      <c r="U1100" s="785">
        <v>44631.6383333333</v>
      </c>
    </row>
    <row r="1101" spans="1:21">
      <c r="A1101" s="782">
        <v>44488</v>
      </c>
      <c r="B1101" s="783" t="s">
        <v>74</v>
      </c>
      <c r="C1101" s="783" t="s">
        <v>4097</v>
      </c>
      <c r="D1101" s="783" t="s">
        <v>4038</v>
      </c>
      <c r="E1101" s="783" t="s">
        <v>6362</v>
      </c>
      <c r="F1101" s="783" t="s">
        <v>4066</v>
      </c>
      <c r="G1101" s="783" t="str">
        <f t="shared" si="62"/>
        <v>New Contract</v>
      </c>
      <c r="H1101" s="783" t="s">
        <v>6363</v>
      </c>
      <c r="I1101" s="783" t="s">
        <v>6364</v>
      </c>
      <c r="J1101" s="783">
        <v>10</v>
      </c>
      <c r="K1101" s="783" t="s">
        <v>99</v>
      </c>
      <c r="L1101" s="783" t="s">
        <v>4096</v>
      </c>
      <c r="M1101" s="784">
        <v>14980</v>
      </c>
      <c r="N1101" s="784">
        <v>10</v>
      </c>
      <c r="O1101" s="784">
        <v>7</v>
      </c>
      <c r="P1101" s="783">
        <v>214</v>
      </c>
      <c r="Q1101" s="783">
        <v>235.19</v>
      </c>
      <c r="R1101" s="783">
        <v>0</v>
      </c>
      <c r="S1101" s="783">
        <v>0</v>
      </c>
      <c r="T1101" s="783">
        <v>235.19</v>
      </c>
      <c r="U1101" s="785">
        <v>44631.637777777803</v>
      </c>
    </row>
    <row r="1102" spans="1:21">
      <c r="A1102" s="782">
        <v>44508</v>
      </c>
      <c r="B1102" s="783" t="s">
        <v>74</v>
      </c>
      <c r="C1102" s="783" t="s">
        <v>4097</v>
      </c>
      <c r="D1102" s="783" t="s">
        <v>4038</v>
      </c>
      <c r="E1102" s="783" t="s">
        <v>4482</v>
      </c>
      <c r="F1102" s="783" t="s">
        <v>4011</v>
      </c>
      <c r="G1102" s="783" t="str">
        <f t="shared" si="62"/>
        <v>Renewal (15% in 2020)</v>
      </c>
      <c r="H1102" s="783" t="s">
        <v>4483</v>
      </c>
      <c r="I1102" s="783" t="s">
        <v>4484</v>
      </c>
      <c r="J1102" s="783">
        <v>20</v>
      </c>
      <c r="K1102" s="783" t="s">
        <v>99</v>
      </c>
      <c r="L1102" s="783" t="s">
        <v>4096</v>
      </c>
      <c r="M1102" s="784">
        <v>25920</v>
      </c>
      <c r="N1102" s="784">
        <v>24</v>
      </c>
      <c r="O1102" s="784">
        <v>6</v>
      </c>
      <c r="P1102" s="783">
        <v>180</v>
      </c>
      <c r="Q1102" s="783">
        <v>1298.5899999999999</v>
      </c>
      <c r="R1102" s="783">
        <v>705.01</v>
      </c>
      <c r="S1102" s="783">
        <v>142.57</v>
      </c>
      <c r="T1102" s="783">
        <v>451.01</v>
      </c>
      <c r="U1102" s="785">
        <v>44631.637986111098</v>
      </c>
    </row>
    <row r="1103" spans="1:21">
      <c r="A1103" s="782">
        <v>44494</v>
      </c>
      <c r="B1103" s="783" t="s">
        <v>4025</v>
      </c>
      <c r="C1103" s="783" t="s">
        <v>4026</v>
      </c>
      <c r="D1103" s="783" t="s">
        <v>4021</v>
      </c>
      <c r="E1103" s="783" t="s">
        <v>4228</v>
      </c>
      <c r="F1103" s="783" t="s">
        <v>4011</v>
      </c>
      <c r="G1103" s="783" t="str">
        <f t="shared" si="62"/>
        <v>New Contract</v>
      </c>
      <c r="H1103" s="783" t="s">
        <v>4229</v>
      </c>
      <c r="I1103" s="783" t="s">
        <v>4230</v>
      </c>
      <c r="J1103" s="783">
        <v>20</v>
      </c>
      <c r="K1103" s="783" t="s">
        <v>99</v>
      </c>
      <c r="L1103" s="783" t="s">
        <v>4096</v>
      </c>
      <c r="M1103" s="784">
        <v>37221</v>
      </c>
      <c r="N1103" s="784">
        <v>30</v>
      </c>
      <c r="O1103" s="784">
        <v>6.53</v>
      </c>
      <c r="P1103" s="783">
        <v>190</v>
      </c>
      <c r="Q1103" s="783">
        <v>2181.15</v>
      </c>
      <c r="R1103" s="783">
        <v>1145.51</v>
      </c>
      <c r="S1103" s="783">
        <v>306.11</v>
      </c>
      <c r="T1103" s="783">
        <v>729.53</v>
      </c>
      <c r="U1103" s="785">
        <v>44631.638229166703</v>
      </c>
    </row>
    <row r="1104" spans="1:21">
      <c r="A1104" s="782">
        <v>44488</v>
      </c>
      <c r="B1104" s="783" t="s">
        <v>74</v>
      </c>
      <c r="C1104" s="783" t="s">
        <v>4097</v>
      </c>
      <c r="D1104" s="783" t="s">
        <v>4038</v>
      </c>
      <c r="E1104" s="783" t="s">
        <v>4485</v>
      </c>
      <c r="F1104" s="783" t="s">
        <v>4011</v>
      </c>
      <c r="G1104" s="783" t="str">
        <f t="shared" si="62"/>
        <v>Renewal (15% in 2020)</v>
      </c>
      <c r="H1104" s="783" t="s">
        <v>4486</v>
      </c>
      <c r="I1104" s="783" t="s">
        <v>4487</v>
      </c>
      <c r="J1104" s="783">
        <v>15</v>
      </c>
      <c r="K1104" s="783" t="s">
        <v>99</v>
      </c>
      <c r="L1104" s="783" t="s">
        <v>4096</v>
      </c>
      <c r="M1104" s="784">
        <v>49534.06</v>
      </c>
      <c r="N1104" s="784">
        <v>48.11</v>
      </c>
      <c r="O1104" s="784">
        <v>5.72</v>
      </c>
      <c r="P1104" s="783">
        <v>180</v>
      </c>
      <c r="Q1104" s="783">
        <v>3279.15</v>
      </c>
      <c r="R1104" s="783">
        <v>1347.3</v>
      </c>
      <c r="S1104" s="783">
        <v>272.45999999999998</v>
      </c>
      <c r="T1104" s="783">
        <v>1659.39</v>
      </c>
      <c r="U1104" s="785">
        <v>44631.638113425899</v>
      </c>
    </row>
    <row r="1105" spans="1:21">
      <c r="A1105" s="782">
        <v>44525</v>
      </c>
      <c r="B1105" s="783" t="s">
        <v>74</v>
      </c>
      <c r="C1105" s="783" t="s">
        <v>4097</v>
      </c>
      <c r="D1105" s="783" t="s">
        <v>4038</v>
      </c>
      <c r="E1105" s="783" t="s">
        <v>6365</v>
      </c>
      <c r="F1105" s="783" t="s">
        <v>4011</v>
      </c>
      <c r="G1105" s="783" t="str">
        <f t="shared" si="62"/>
        <v>Renewal (15% in 2020)</v>
      </c>
      <c r="H1105" s="783" t="s">
        <v>6366</v>
      </c>
      <c r="I1105" s="783" t="s">
        <v>6367</v>
      </c>
      <c r="J1105" s="783">
        <v>20</v>
      </c>
      <c r="K1105" s="783" t="s">
        <v>99</v>
      </c>
      <c r="L1105" s="783" t="s">
        <v>4096</v>
      </c>
      <c r="M1105" s="784">
        <v>124221.52</v>
      </c>
      <c r="N1105" s="784">
        <v>111.71</v>
      </c>
      <c r="O1105" s="784">
        <v>5.56</v>
      </c>
      <c r="P1105" s="783">
        <v>200</v>
      </c>
      <c r="Q1105" s="783">
        <v>6223.5</v>
      </c>
      <c r="R1105" s="783">
        <v>3040.88</v>
      </c>
      <c r="S1105" s="783">
        <v>1021.16</v>
      </c>
      <c r="T1105" s="783">
        <v>2161.4499999999998</v>
      </c>
      <c r="U1105" s="785">
        <v>44631.638020833299</v>
      </c>
    </row>
    <row r="1106" spans="1:21">
      <c r="A1106" s="782">
        <v>44621</v>
      </c>
      <c r="B1106" s="783" t="s">
        <v>41</v>
      </c>
      <c r="C1106" s="783" t="s">
        <v>4139</v>
      </c>
      <c r="D1106" s="783" t="s">
        <v>4009</v>
      </c>
      <c r="E1106" s="783" t="s">
        <v>1587</v>
      </c>
      <c r="F1106" s="783" t="s">
        <v>4011</v>
      </c>
      <c r="G1106" s="783" t="str">
        <f t="shared" si="62"/>
        <v>Renewal (25% in 2020)</v>
      </c>
      <c r="H1106" s="783" t="s">
        <v>6368</v>
      </c>
      <c r="I1106" s="783" t="s">
        <v>6369</v>
      </c>
      <c r="J1106" s="783">
        <v>25</v>
      </c>
      <c r="K1106" s="783" t="s">
        <v>99</v>
      </c>
      <c r="L1106" s="783" t="s">
        <v>4096</v>
      </c>
      <c r="M1106" s="784">
        <v>51757.74</v>
      </c>
      <c r="N1106" s="784">
        <v>42.1</v>
      </c>
      <c r="O1106" s="784">
        <v>6.83</v>
      </c>
      <c r="P1106" s="783">
        <v>180</v>
      </c>
      <c r="Q1106" s="783">
        <v>1557.91</v>
      </c>
      <c r="R1106" s="783">
        <v>1169.01</v>
      </c>
      <c r="S1106" s="783">
        <v>233.63</v>
      </c>
      <c r="T1106" s="783">
        <v>155.27000000000001</v>
      </c>
      <c r="U1106" s="785">
        <v>44631.6383333333</v>
      </c>
    </row>
    <row r="1107" spans="1:21">
      <c r="A1107" s="782">
        <v>44581</v>
      </c>
      <c r="B1107" s="783" t="s">
        <v>41</v>
      </c>
      <c r="C1107" s="783" t="s">
        <v>4139</v>
      </c>
      <c r="D1107" s="783" t="s">
        <v>4009</v>
      </c>
      <c r="E1107" s="783" t="s">
        <v>734</v>
      </c>
      <c r="F1107" s="783" t="s">
        <v>4066</v>
      </c>
      <c r="G1107" s="783" t="s">
        <v>4028</v>
      </c>
      <c r="H1107" s="783" t="s">
        <v>6370</v>
      </c>
      <c r="I1107" s="783" t="s">
        <v>6371</v>
      </c>
      <c r="J1107" s="783">
        <v>10</v>
      </c>
      <c r="K1107" s="783" t="s">
        <v>99</v>
      </c>
      <c r="L1107" s="783" t="s">
        <v>4096</v>
      </c>
      <c r="M1107" s="784">
        <v>375243</v>
      </c>
      <c r="N1107" s="784">
        <v>227.42</v>
      </c>
      <c r="O1107" s="784">
        <v>7.5</v>
      </c>
      <c r="P1107" s="783">
        <v>220</v>
      </c>
      <c r="Q1107" s="783">
        <v>2814.32</v>
      </c>
      <c r="R1107" s="783">
        <v>0</v>
      </c>
      <c r="S1107" s="783">
        <v>0</v>
      </c>
      <c r="T1107" s="783">
        <v>2814.32</v>
      </c>
      <c r="U1107" s="785">
        <v>44631.638518518499</v>
      </c>
    </row>
    <row r="1108" spans="1:21">
      <c r="A1108" s="782">
        <v>44581</v>
      </c>
      <c r="B1108" s="783" t="s">
        <v>2866</v>
      </c>
      <c r="C1108" s="783" t="s">
        <v>4414</v>
      </c>
      <c r="D1108" s="783" t="s">
        <v>4009</v>
      </c>
      <c r="E1108" s="783" t="s">
        <v>6372</v>
      </c>
      <c r="F1108" s="783" t="s">
        <v>4011</v>
      </c>
      <c r="G1108" s="783" t="str">
        <f>VLOOKUP(I1108,pacage,2,FALSE)</f>
        <v>Renewal (25% in 2020)</v>
      </c>
      <c r="H1108" s="783" t="s">
        <v>6373</v>
      </c>
      <c r="I1108" s="783" t="s">
        <v>6374</v>
      </c>
      <c r="J1108" s="783">
        <v>20</v>
      </c>
      <c r="K1108" s="783" t="s">
        <v>99</v>
      </c>
      <c r="L1108" s="783" t="s">
        <v>4096</v>
      </c>
      <c r="M1108" s="784">
        <v>20860.310000000001</v>
      </c>
      <c r="N1108" s="784">
        <v>14.76</v>
      </c>
      <c r="O1108" s="784">
        <v>6.73</v>
      </c>
      <c r="P1108" s="783">
        <v>210</v>
      </c>
      <c r="Q1108" s="783">
        <v>1366.35</v>
      </c>
      <c r="R1108" s="783">
        <v>610.05999999999995</v>
      </c>
      <c r="S1108" s="783">
        <v>249.38</v>
      </c>
      <c r="T1108" s="783">
        <v>506.91</v>
      </c>
      <c r="U1108" s="785">
        <v>44631.638298611098</v>
      </c>
    </row>
    <row r="1109" spans="1:21">
      <c r="A1109" s="782">
        <v>44579</v>
      </c>
      <c r="B1109" s="783" t="s">
        <v>2041</v>
      </c>
      <c r="C1109" s="783" t="s">
        <v>4417</v>
      </c>
      <c r="D1109" s="783" t="s">
        <v>4193</v>
      </c>
      <c r="E1109" s="783" t="s">
        <v>6375</v>
      </c>
      <c r="F1109" s="783" t="s">
        <v>4011</v>
      </c>
      <c r="G1109" s="783" t="str">
        <f>VLOOKUP(I1109,pacage,2,FALSE)</f>
        <v>Renewal (15% in 2020)</v>
      </c>
      <c r="H1109" s="783" t="s">
        <v>6376</v>
      </c>
      <c r="I1109" s="783" t="s">
        <v>6377</v>
      </c>
      <c r="J1109" s="783">
        <v>25</v>
      </c>
      <c r="K1109" s="783" t="s">
        <v>99</v>
      </c>
      <c r="L1109" s="783" t="s">
        <v>4096</v>
      </c>
      <c r="M1109" s="784">
        <v>42660</v>
      </c>
      <c r="N1109" s="784">
        <v>27</v>
      </c>
      <c r="O1109" s="784">
        <v>7.9</v>
      </c>
      <c r="P1109" s="783">
        <v>200</v>
      </c>
      <c r="Q1109" s="783">
        <v>1727.73</v>
      </c>
      <c r="R1109" s="783">
        <v>1155</v>
      </c>
      <c r="S1109" s="783">
        <v>385.03</v>
      </c>
      <c r="T1109" s="783">
        <v>187.7</v>
      </c>
      <c r="U1109" s="785">
        <v>44708.991840277798</v>
      </c>
    </row>
    <row r="1110" spans="1:21">
      <c r="A1110" s="782">
        <v>44579</v>
      </c>
      <c r="B1110" s="783" t="s">
        <v>715</v>
      </c>
      <c r="C1110" s="783" t="s">
        <v>4042</v>
      </c>
      <c r="D1110" s="783" t="s">
        <v>4016</v>
      </c>
      <c r="E1110" s="783" t="s">
        <v>714</v>
      </c>
      <c r="F1110" s="783" t="s">
        <v>4011</v>
      </c>
      <c r="G1110" s="783" t="str">
        <f>VLOOKUP(I1110,pacage,2,FALSE)</f>
        <v>Renewal (15% in 2020)</v>
      </c>
      <c r="H1110" s="783" t="s">
        <v>6378</v>
      </c>
      <c r="I1110" s="783" t="s">
        <v>6379</v>
      </c>
      <c r="J1110" s="783">
        <v>15</v>
      </c>
      <c r="K1110" s="783" t="s">
        <v>99</v>
      </c>
      <c r="L1110" s="783" t="s">
        <v>4096</v>
      </c>
      <c r="M1110" s="784">
        <v>131031.6</v>
      </c>
      <c r="N1110" s="784">
        <v>114</v>
      </c>
      <c r="O1110" s="784">
        <v>8.2100000000000009</v>
      </c>
      <c r="P1110" s="783">
        <v>140</v>
      </c>
      <c r="Q1110" s="783">
        <v>6957.78</v>
      </c>
      <c r="R1110" s="783">
        <v>3681.99</v>
      </c>
      <c r="S1110" s="783">
        <v>563.44000000000005</v>
      </c>
      <c r="T1110" s="783">
        <v>2712.35</v>
      </c>
      <c r="U1110" s="785">
        <v>44631.638425925899</v>
      </c>
    </row>
    <row r="1111" spans="1:21">
      <c r="A1111" s="782">
        <v>44581</v>
      </c>
      <c r="B1111" s="783" t="s">
        <v>30</v>
      </c>
      <c r="C1111" s="783" t="s">
        <v>4239</v>
      </c>
      <c r="D1111" s="783" t="s">
        <v>4021</v>
      </c>
      <c r="E1111" s="783" t="s">
        <v>6380</v>
      </c>
      <c r="F1111" s="783" t="s">
        <v>4011</v>
      </c>
      <c r="G1111" s="783" t="str">
        <f>VLOOKUP(I1111,pacage,2,FALSE)</f>
        <v>Renewal (15% in 2020)</v>
      </c>
      <c r="H1111" s="783" t="s">
        <v>6381</v>
      </c>
      <c r="I1111" s="783" t="s">
        <v>6382</v>
      </c>
      <c r="J1111" s="783">
        <v>15</v>
      </c>
      <c r="K1111" s="783" t="s">
        <v>99</v>
      </c>
      <c r="L1111" s="783" t="s">
        <v>4096</v>
      </c>
      <c r="M1111" s="784">
        <v>4515.28</v>
      </c>
      <c r="N1111" s="784">
        <v>2.8</v>
      </c>
      <c r="O1111" s="784">
        <v>7.33</v>
      </c>
      <c r="P1111" s="783">
        <v>220</v>
      </c>
      <c r="Q1111" s="783">
        <v>264.14</v>
      </c>
      <c r="R1111" s="783">
        <v>88.06</v>
      </c>
      <c r="S1111" s="783">
        <v>46.95</v>
      </c>
      <c r="T1111" s="783">
        <v>129.13999999999999</v>
      </c>
      <c r="U1111" s="785">
        <v>44631.6385532407</v>
      </c>
    </row>
    <row r="1112" spans="1:21">
      <c r="A1112" s="782">
        <v>44578</v>
      </c>
      <c r="B1112" s="783" t="s">
        <v>41</v>
      </c>
      <c r="C1112" s="783" t="s">
        <v>4139</v>
      </c>
      <c r="D1112" s="783" t="s">
        <v>4009</v>
      </c>
      <c r="E1112" s="783" t="s">
        <v>6383</v>
      </c>
      <c r="F1112" s="783" t="s">
        <v>4011</v>
      </c>
      <c r="G1112" s="783" t="str">
        <f>VLOOKUP(I1112,pacage,2,FALSE)</f>
        <v>Renewal (30% in 2020)</v>
      </c>
      <c r="H1112" s="783" t="s">
        <v>6384</v>
      </c>
      <c r="I1112" s="783" t="s">
        <v>6385</v>
      </c>
      <c r="J1112" s="783">
        <v>30</v>
      </c>
      <c r="K1112" s="783" t="s">
        <v>99</v>
      </c>
      <c r="L1112" s="783" t="s">
        <v>4096</v>
      </c>
      <c r="M1112" s="784">
        <v>127767.33</v>
      </c>
      <c r="N1112" s="784">
        <v>140.62</v>
      </c>
      <c r="O1112" s="784">
        <v>6.49</v>
      </c>
      <c r="P1112" s="783">
        <v>140</v>
      </c>
      <c r="Q1112" s="783">
        <v>3385.83</v>
      </c>
      <c r="R1112" s="783">
        <v>3002.53</v>
      </c>
      <c r="S1112" s="783">
        <v>0</v>
      </c>
      <c r="T1112" s="783">
        <v>383.3</v>
      </c>
      <c r="U1112" s="785">
        <v>44631.638414351903</v>
      </c>
    </row>
    <row r="1113" spans="1:21">
      <c r="A1113" s="782">
        <v>44590</v>
      </c>
      <c r="B1113" s="783" t="s">
        <v>74</v>
      </c>
      <c r="C1113" s="783" t="s">
        <v>4037</v>
      </c>
      <c r="D1113" s="783" t="s">
        <v>4038</v>
      </c>
      <c r="E1113" s="783" t="s">
        <v>6386</v>
      </c>
      <c r="F1113" s="783" t="s">
        <v>4011</v>
      </c>
      <c r="G1113" s="783" t="s">
        <v>4028</v>
      </c>
      <c r="H1113" s="783" t="s">
        <v>6387</v>
      </c>
      <c r="I1113" s="783" t="s">
        <v>6388</v>
      </c>
      <c r="J1113" s="783">
        <v>25</v>
      </c>
      <c r="K1113" s="783" t="s">
        <v>99</v>
      </c>
      <c r="L1113" s="783" t="s">
        <v>4096</v>
      </c>
      <c r="M1113" s="784">
        <v>16420</v>
      </c>
      <c r="N1113" s="784">
        <v>16.420000000000002</v>
      </c>
      <c r="O1113" s="784">
        <v>5</v>
      </c>
      <c r="P1113" s="783">
        <v>200</v>
      </c>
      <c r="Q1113" s="783">
        <v>949.08</v>
      </c>
      <c r="R1113" s="783">
        <v>562.45000000000005</v>
      </c>
      <c r="S1113" s="783">
        <v>191.23</v>
      </c>
      <c r="T1113" s="783">
        <v>195.4</v>
      </c>
      <c r="U1113" s="785">
        <v>44631.637939814798</v>
      </c>
    </row>
    <row r="1114" spans="1:21">
      <c r="A1114" s="782">
        <v>44581</v>
      </c>
      <c r="B1114" s="783" t="s">
        <v>74</v>
      </c>
      <c r="C1114" s="783" t="s">
        <v>4097</v>
      </c>
      <c r="D1114" s="783" t="s">
        <v>4038</v>
      </c>
      <c r="E1114" s="783" t="s">
        <v>6389</v>
      </c>
      <c r="F1114" s="783" t="s">
        <v>4066</v>
      </c>
      <c r="G1114" s="783" t="s">
        <v>4028</v>
      </c>
      <c r="H1114" s="783" t="s">
        <v>6390</v>
      </c>
      <c r="I1114" s="783" t="s">
        <v>6391</v>
      </c>
      <c r="J1114" s="783">
        <v>5</v>
      </c>
      <c r="K1114" s="783" t="s">
        <v>99</v>
      </c>
      <c r="L1114" s="783" t="s">
        <v>4096</v>
      </c>
      <c r="M1114" s="784">
        <v>15840</v>
      </c>
      <c r="N1114" s="784">
        <v>13.2</v>
      </c>
      <c r="O1114" s="784">
        <v>6</v>
      </c>
      <c r="P1114" s="783">
        <v>200</v>
      </c>
      <c r="Q1114" s="783">
        <v>310.45999999999998</v>
      </c>
      <c r="R1114" s="783">
        <v>0</v>
      </c>
      <c r="S1114" s="783">
        <v>0</v>
      </c>
      <c r="T1114" s="783">
        <v>310.45999999999998</v>
      </c>
      <c r="U1114" s="785">
        <v>44631.638356481497</v>
      </c>
    </row>
    <row r="1115" spans="1:21">
      <c r="A1115" s="782">
        <v>44623</v>
      </c>
      <c r="B1115" s="783" t="s">
        <v>41</v>
      </c>
      <c r="C1115" s="783" t="s">
        <v>4192</v>
      </c>
      <c r="D1115" s="783" t="s">
        <v>4193</v>
      </c>
      <c r="E1115" s="783" t="s">
        <v>6392</v>
      </c>
      <c r="F1115" s="783" t="s">
        <v>4011</v>
      </c>
      <c r="G1115" s="783" t="str">
        <f t="shared" ref="G1115:G1126" si="63">VLOOKUP(I1115,pacage,2,FALSE)</f>
        <v>Renewal (25% in 2020)</v>
      </c>
      <c r="H1115" s="783" t="s">
        <v>6393</v>
      </c>
      <c r="I1115" s="783" t="s">
        <v>6394</v>
      </c>
      <c r="J1115" s="783">
        <v>25</v>
      </c>
      <c r="K1115" s="783" t="s">
        <v>99</v>
      </c>
      <c r="L1115" s="783" t="s">
        <v>4096</v>
      </c>
      <c r="M1115" s="784">
        <v>11682.89</v>
      </c>
      <c r="N1115" s="784">
        <v>13.79</v>
      </c>
      <c r="O1115" s="784">
        <v>3.53</v>
      </c>
      <c r="P1115" s="783">
        <v>240</v>
      </c>
      <c r="Q1115" s="783">
        <v>432.27</v>
      </c>
      <c r="R1115" s="783">
        <v>237.48</v>
      </c>
      <c r="S1115" s="783">
        <v>142.21</v>
      </c>
      <c r="T1115" s="783">
        <v>52.57</v>
      </c>
      <c r="U1115" s="785">
        <v>44631.6382407407</v>
      </c>
    </row>
    <row r="1116" spans="1:21">
      <c r="A1116" s="782">
        <v>44623</v>
      </c>
      <c r="B1116" s="783" t="s">
        <v>41</v>
      </c>
      <c r="C1116" s="783" t="s">
        <v>4071</v>
      </c>
      <c r="D1116" s="783" t="s">
        <v>4009</v>
      </c>
      <c r="E1116" s="783" t="s">
        <v>6392</v>
      </c>
      <c r="F1116" s="783" t="s">
        <v>4011</v>
      </c>
      <c r="G1116" s="783" t="str">
        <f t="shared" si="63"/>
        <v>Renewal (25% in 2020)</v>
      </c>
      <c r="H1116" s="783" t="s">
        <v>6393</v>
      </c>
      <c r="I1116" s="783" t="s">
        <v>6394</v>
      </c>
      <c r="J1116" s="783">
        <v>25</v>
      </c>
      <c r="K1116" s="783" t="s">
        <v>99</v>
      </c>
      <c r="L1116" s="783" t="s">
        <v>4096</v>
      </c>
      <c r="M1116" s="784">
        <v>1412</v>
      </c>
      <c r="N1116" s="784">
        <v>2.5</v>
      </c>
      <c r="O1116" s="784">
        <v>3.53</v>
      </c>
      <c r="P1116" s="783">
        <v>160</v>
      </c>
      <c r="Q1116" s="783">
        <v>40.950000000000003</v>
      </c>
      <c r="R1116" s="783">
        <v>31.91</v>
      </c>
      <c r="S1116" s="783">
        <v>4.9400000000000004</v>
      </c>
      <c r="T1116" s="783">
        <v>4.09</v>
      </c>
      <c r="U1116" s="785">
        <v>44631.6382407407</v>
      </c>
    </row>
    <row r="1117" spans="1:21">
      <c r="A1117" s="782">
        <v>44622</v>
      </c>
      <c r="B1117" s="783" t="s">
        <v>34</v>
      </c>
      <c r="C1117" s="783" t="s">
        <v>4082</v>
      </c>
      <c r="D1117" s="783" t="s">
        <v>4009</v>
      </c>
      <c r="E1117" s="783" t="s">
        <v>6395</v>
      </c>
      <c r="F1117" s="783" t="s">
        <v>4011</v>
      </c>
      <c r="G1117" s="783" t="str">
        <f t="shared" si="63"/>
        <v>Renewal (30% in 2020)</v>
      </c>
      <c r="H1117" s="783" t="s">
        <v>6396</v>
      </c>
      <c r="I1117" s="783" t="s">
        <v>6397</v>
      </c>
      <c r="J1117" s="783">
        <v>30</v>
      </c>
      <c r="K1117" s="783" t="s">
        <v>99</v>
      </c>
      <c r="L1117" s="783" t="s">
        <v>4096</v>
      </c>
      <c r="M1117" s="784">
        <v>35262.400000000001</v>
      </c>
      <c r="N1117" s="784">
        <v>29.59</v>
      </c>
      <c r="O1117" s="784">
        <v>7.01</v>
      </c>
      <c r="P1117" s="783">
        <v>170</v>
      </c>
      <c r="Q1117" s="783">
        <v>1167.19</v>
      </c>
      <c r="R1117" s="783">
        <v>1029.6600000000001</v>
      </c>
      <c r="S1117" s="783">
        <v>0</v>
      </c>
      <c r="T1117" s="783">
        <v>137.52000000000001</v>
      </c>
      <c r="U1117" s="785">
        <v>44631.638483796298</v>
      </c>
    </row>
    <row r="1118" spans="1:21">
      <c r="A1118" s="782">
        <v>44622</v>
      </c>
      <c r="B1118" s="783" t="s">
        <v>41</v>
      </c>
      <c r="C1118" s="783" t="s">
        <v>4071</v>
      </c>
      <c r="D1118" s="783" t="s">
        <v>4009</v>
      </c>
      <c r="E1118" s="783" t="s">
        <v>6398</v>
      </c>
      <c r="F1118" s="783" t="s">
        <v>4011</v>
      </c>
      <c r="G1118" s="783" t="str">
        <f t="shared" si="63"/>
        <v>New Contract</v>
      </c>
      <c r="H1118" s="783" t="s">
        <v>6399</v>
      </c>
      <c r="I1118" s="783" t="s">
        <v>6400</v>
      </c>
      <c r="J1118" s="783">
        <v>30</v>
      </c>
      <c r="K1118" s="783" t="s">
        <v>99</v>
      </c>
      <c r="L1118" s="783" t="s">
        <v>4096</v>
      </c>
      <c r="M1118" s="784">
        <v>36547.06</v>
      </c>
      <c r="N1118" s="784">
        <v>31.39</v>
      </c>
      <c r="O1118" s="784">
        <v>6.73</v>
      </c>
      <c r="P1118" s="783">
        <v>173</v>
      </c>
      <c r="Q1118" s="783">
        <v>931.95</v>
      </c>
      <c r="R1118" s="783">
        <v>825.96</v>
      </c>
      <c r="S1118" s="783">
        <v>0</v>
      </c>
      <c r="T1118" s="783">
        <v>105.99</v>
      </c>
      <c r="U1118" s="785">
        <v>44631.638067129599</v>
      </c>
    </row>
    <row r="1119" spans="1:21">
      <c r="A1119" s="782">
        <v>44621</v>
      </c>
      <c r="B1119" s="783" t="s">
        <v>41</v>
      </c>
      <c r="C1119" s="783" t="s">
        <v>4082</v>
      </c>
      <c r="D1119" s="783" t="s">
        <v>4009</v>
      </c>
      <c r="E1119" s="783" t="s">
        <v>763</v>
      </c>
      <c r="F1119" s="783" t="s">
        <v>4011</v>
      </c>
      <c r="G1119" s="783" t="str">
        <f t="shared" si="63"/>
        <v>Renewal (20% in 2020)</v>
      </c>
      <c r="H1119" s="783" t="s">
        <v>6401</v>
      </c>
      <c r="I1119" s="783" t="s">
        <v>6402</v>
      </c>
      <c r="J1119" s="783">
        <v>20</v>
      </c>
      <c r="K1119" s="783" t="s">
        <v>99</v>
      </c>
      <c r="L1119" s="783" t="s">
        <v>4096</v>
      </c>
      <c r="M1119" s="784">
        <v>38909.449999999997</v>
      </c>
      <c r="N1119" s="784">
        <v>38.89</v>
      </c>
      <c r="O1119" s="784">
        <v>6.67</v>
      </c>
      <c r="P1119" s="783">
        <v>150</v>
      </c>
      <c r="Q1119" s="783">
        <v>1926.02</v>
      </c>
      <c r="R1119" s="783">
        <v>1136.1600000000001</v>
      </c>
      <c r="S1119" s="783">
        <v>202.33</v>
      </c>
      <c r="T1119" s="783">
        <v>587.53</v>
      </c>
      <c r="U1119" s="785">
        <v>44631.638206018499</v>
      </c>
    </row>
    <row r="1120" spans="1:21">
      <c r="A1120" s="782">
        <v>44678</v>
      </c>
      <c r="B1120" s="783" t="s">
        <v>41</v>
      </c>
      <c r="C1120" s="783" t="s">
        <v>4082</v>
      </c>
      <c r="D1120" s="783" t="s">
        <v>4009</v>
      </c>
      <c r="E1120" s="783" t="s">
        <v>6403</v>
      </c>
      <c r="F1120" s="783" t="s">
        <v>4011</v>
      </c>
      <c r="G1120" s="783" t="str">
        <f t="shared" si="63"/>
        <v>Renewal (25% in 2020)</v>
      </c>
      <c r="H1120" s="783" t="s">
        <v>6404</v>
      </c>
      <c r="I1120" s="783" t="s">
        <v>6405</v>
      </c>
      <c r="J1120" s="783">
        <v>25</v>
      </c>
      <c r="K1120" s="783" t="s">
        <v>99</v>
      </c>
      <c r="L1120" s="783" t="s">
        <v>4096</v>
      </c>
      <c r="M1120" s="784">
        <v>19120.5</v>
      </c>
      <c r="N1120" s="784">
        <v>21</v>
      </c>
      <c r="O1120" s="784">
        <v>6.07</v>
      </c>
      <c r="P1120" s="783">
        <v>150</v>
      </c>
      <c r="Q1120" s="783">
        <v>730.4</v>
      </c>
      <c r="R1120" s="783">
        <v>558.32000000000005</v>
      </c>
      <c r="S1120" s="783">
        <v>99.43</v>
      </c>
      <c r="T1120" s="783">
        <v>72.66</v>
      </c>
      <c r="U1120" s="785">
        <v>44680.645138888904</v>
      </c>
    </row>
    <row r="1121" spans="1:21">
      <c r="A1121" s="782">
        <v>44519</v>
      </c>
      <c r="B1121" s="783" t="s">
        <v>74</v>
      </c>
      <c r="C1121" s="783" t="s">
        <v>4037</v>
      </c>
      <c r="D1121" s="783" t="s">
        <v>4038</v>
      </c>
      <c r="E1121" s="783" t="s">
        <v>4753</v>
      </c>
      <c r="F1121" s="783" t="s">
        <v>4011</v>
      </c>
      <c r="G1121" s="783" t="str">
        <f t="shared" si="63"/>
        <v>Renewal (25% in 2020)</v>
      </c>
      <c r="H1121" s="783" t="s">
        <v>4754</v>
      </c>
      <c r="I1121" s="783" t="s">
        <v>4755</v>
      </c>
      <c r="J1121" s="783">
        <v>30</v>
      </c>
      <c r="K1121" s="783" t="s">
        <v>99</v>
      </c>
      <c r="L1121" s="783" t="s">
        <v>4096</v>
      </c>
      <c r="M1121" s="784">
        <v>32620.71</v>
      </c>
      <c r="N1121" s="784">
        <v>28.7</v>
      </c>
      <c r="O1121" s="784">
        <v>6.57</v>
      </c>
      <c r="P1121" s="783">
        <v>173</v>
      </c>
      <c r="Q1121" s="783">
        <v>1679.97</v>
      </c>
      <c r="R1121" s="783">
        <v>1291.78</v>
      </c>
      <c r="S1121" s="783">
        <v>0</v>
      </c>
      <c r="T1121" s="783">
        <v>388.19</v>
      </c>
      <c r="U1121" s="785">
        <v>44631.637962963003</v>
      </c>
    </row>
    <row r="1122" spans="1:21">
      <c r="A1122" s="782">
        <v>44560</v>
      </c>
      <c r="B1122" s="783" t="s">
        <v>41</v>
      </c>
      <c r="C1122" s="783" t="s">
        <v>4121</v>
      </c>
      <c r="D1122" s="783" t="s">
        <v>4009</v>
      </c>
      <c r="E1122" s="783" t="s">
        <v>6406</v>
      </c>
      <c r="F1122" s="783" t="s">
        <v>4011</v>
      </c>
      <c r="G1122" s="783" t="str">
        <f t="shared" si="63"/>
        <v>Renewal (20% in 2020)</v>
      </c>
      <c r="H1122" s="783" t="s">
        <v>6407</v>
      </c>
      <c r="I1122" s="783" t="s">
        <v>6408</v>
      </c>
      <c r="J1122" s="783">
        <v>20</v>
      </c>
      <c r="K1122" s="783" t="s">
        <v>99</v>
      </c>
      <c r="L1122" s="783" t="s">
        <v>4096</v>
      </c>
      <c r="M1122" s="784">
        <v>23086.799999999999</v>
      </c>
      <c r="N1122" s="784">
        <v>22</v>
      </c>
      <c r="O1122" s="784">
        <v>5.83</v>
      </c>
      <c r="P1122" s="783">
        <v>180</v>
      </c>
      <c r="Q1122" s="783">
        <v>1027.3599999999999</v>
      </c>
      <c r="R1122" s="783">
        <v>581.35</v>
      </c>
      <c r="S1122" s="783">
        <v>115.87</v>
      </c>
      <c r="T1122" s="783">
        <v>330.14</v>
      </c>
      <c r="U1122" s="785">
        <v>44631.637673611098</v>
      </c>
    </row>
    <row r="1123" spans="1:21">
      <c r="A1123" s="782">
        <v>44519</v>
      </c>
      <c r="B1123" s="783" t="s">
        <v>41</v>
      </c>
      <c r="C1123" s="783" t="s">
        <v>4082</v>
      </c>
      <c r="D1123" s="783" t="s">
        <v>4009</v>
      </c>
      <c r="E1123" s="783" t="s">
        <v>6409</v>
      </c>
      <c r="F1123" s="783" t="s">
        <v>4011</v>
      </c>
      <c r="G1123" s="783" t="str">
        <f t="shared" si="63"/>
        <v>Renewal (15% in 2020)</v>
      </c>
      <c r="H1123" s="783" t="s">
        <v>6410</v>
      </c>
      <c r="I1123" s="783" t="s">
        <v>6411</v>
      </c>
      <c r="J1123" s="783">
        <v>15</v>
      </c>
      <c r="K1123" s="783" t="s">
        <v>99</v>
      </c>
      <c r="L1123" s="783" t="s">
        <v>4096</v>
      </c>
      <c r="M1123" s="784">
        <v>10200.75</v>
      </c>
      <c r="N1123" s="784">
        <v>10.15</v>
      </c>
      <c r="O1123" s="784">
        <v>6.7</v>
      </c>
      <c r="P1123" s="783">
        <v>150</v>
      </c>
      <c r="Q1123" s="783">
        <v>677.33</v>
      </c>
      <c r="R1123" s="783">
        <v>297.86</v>
      </c>
      <c r="S1123" s="783">
        <v>53.04</v>
      </c>
      <c r="T1123" s="783">
        <v>326.42</v>
      </c>
      <c r="U1123" s="785">
        <v>44631.6379282407</v>
      </c>
    </row>
    <row r="1124" spans="1:21">
      <c r="A1124" s="782">
        <v>44559</v>
      </c>
      <c r="B1124" s="783" t="s">
        <v>41</v>
      </c>
      <c r="C1124" s="783" t="s">
        <v>4139</v>
      </c>
      <c r="D1124" s="783" t="s">
        <v>4009</v>
      </c>
      <c r="E1124" s="783" t="s">
        <v>6412</v>
      </c>
      <c r="F1124" s="783" t="s">
        <v>4011</v>
      </c>
      <c r="G1124" s="783" t="str">
        <f t="shared" si="63"/>
        <v>Renewal (20% in 2020)</v>
      </c>
      <c r="H1124" s="783" t="s">
        <v>6413</v>
      </c>
      <c r="I1124" s="783" t="s">
        <v>6414</v>
      </c>
      <c r="J1124" s="783">
        <v>20</v>
      </c>
      <c r="K1124" s="783" t="s">
        <v>99</v>
      </c>
      <c r="L1124" s="783" t="s">
        <v>4096</v>
      </c>
      <c r="M1124" s="784">
        <v>106548</v>
      </c>
      <c r="N1124" s="784">
        <v>78</v>
      </c>
      <c r="O1124" s="784">
        <v>6.83</v>
      </c>
      <c r="P1124" s="783">
        <v>200</v>
      </c>
      <c r="Q1124" s="783">
        <v>4144.72</v>
      </c>
      <c r="R1124" s="783">
        <v>2165.85</v>
      </c>
      <c r="S1124" s="783">
        <v>721.6</v>
      </c>
      <c r="T1124" s="783">
        <v>1257.27</v>
      </c>
      <c r="U1124" s="785">
        <v>44631.638425925899</v>
      </c>
    </row>
    <row r="1125" spans="1:21">
      <c r="A1125" s="782">
        <v>44409</v>
      </c>
      <c r="B1125" s="783" t="s">
        <v>1423</v>
      </c>
      <c r="C1125" s="783" t="s">
        <v>4097</v>
      </c>
      <c r="D1125" s="783" t="s">
        <v>4038</v>
      </c>
      <c r="E1125" s="783" t="s">
        <v>4744</v>
      </c>
      <c r="F1125" s="783" t="s">
        <v>4011</v>
      </c>
      <c r="G1125" s="783" t="str">
        <f t="shared" si="63"/>
        <v>Renewal (25% in 2020)</v>
      </c>
      <c r="H1125" s="783" t="s">
        <v>4745</v>
      </c>
      <c r="I1125" s="783" t="s">
        <v>4746</v>
      </c>
      <c r="J1125" s="783">
        <v>25</v>
      </c>
      <c r="K1125" s="783" t="s">
        <v>192</v>
      </c>
      <c r="L1125" s="783" t="s">
        <v>4096</v>
      </c>
      <c r="M1125" s="784">
        <v>24012</v>
      </c>
      <c r="N1125" s="784">
        <v>18.399999999999999</v>
      </c>
      <c r="O1125" s="784">
        <v>2.9</v>
      </c>
      <c r="P1125" s="783">
        <v>450</v>
      </c>
      <c r="Q1125" s="783">
        <v>1037.32</v>
      </c>
      <c r="R1125" s="783">
        <v>418.19</v>
      </c>
      <c r="S1125" s="783">
        <v>443.84</v>
      </c>
      <c r="T1125" s="783">
        <v>175.29</v>
      </c>
      <c r="U1125" s="785">
        <v>44631.504143518498</v>
      </c>
    </row>
    <row r="1126" spans="1:21">
      <c r="A1126" s="782">
        <v>44494</v>
      </c>
      <c r="B1126" s="783" t="s">
        <v>4025</v>
      </c>
      <c r="C1126" s="783" t="s">
        <v>4026</v>
      </c>
      <c r="D1126" s="783" t="s">
        <v>4021</v>
      </c>
      <c r="E1126" s="783" t="s">
        <v>2831</v>
      </c>
      <c r="F1126" s="783" t="s">
        <v>4011</v>
      </c>
      <c r="G1126" s="783" t="str">
        <f t="shared" si="63"/>
        <v>New Contract</v>
      </c>
      <c r="H1126" s="783" t="s">
        <v>6415</v>
      </c>
      <c r="I1126" s="783" t="s">
        <v>6416</v>
      </c>
      <c r="J1126" s="783">
        <v>25</v>
      </c>
      <c r="K1126" s="783" t="s">
        <v>192</v>
      </c>
      <c r="L1126" s="783" t="s">
        <v>4096</v>
      </c>
      <c r="M1126" s="784">
        <v>28292.04</v>
      </c>
      <c r="N1126" s="784">
        <v>42</v>
      </c>
      <c r="O1126" s="784">
        <v>2.06</v>
      </c>
      <c r="P1126" s="783">
        <v>327</v>
      </c>
      <c r="Q1126" s="783">
        <v>1425.92</v>
      </c>
      <c r="R1126" s="783">
        <v>797.99</v>
      </c>
      <c r="S1126" s="783">
        <v>404.42</v>
      </c>
      <c r="T1126" s="783">
        <v>223.51</v>
      </c>
      <c r="U1126" s="785">
        <v>44631.503090277802</v>
      </c>
    </row>
    <row r="1127" spans="1:21">
      <c r="A1127" s="782">
        <v>44592</v>
      </c>
      <c r="B1127" s="783" t="s">
        <v>4025</v>
      </c>
      <c r="C1127" s="783" t="s">
        <v>4026</v>
      </c>
      <c r="D1127" s="783" t="s">
        <v>4021</v>
      </c>
      <c r="E1127" s="783" t="s">
        <v>6417</v>
      </c>
      <c r="F1127" s="783" t="s">
        <v>4011</v>
      </c>
      <c r="G1127" s="783" t="s">
        <v>4028</v>
      </c>
      <c r="H1127" s="783" t="s">
        <v>6418</v>
      </c>
      <c r="I1127" s="783" t="s">
        <v>6419</v>
      </c>
      <c r="J1127" s="783">
        <v>25</v>
      </c>
      <c r="K1127" s="783" t="s">
        <v>192</v>
      </c>
      <c r="L1127" s="783" t="s">
        <v>4096</v>
      </c>
      <c r="M1127" s="784">
        <v>20638.8</v>
      </c>
      <c r="N1127" s="784">
        <v>63</v>
      </c>
      <c r="O1127" s="784">
        <v>1.3</v>
      </c>
      <c r="P1127" s="783">
        <v>252</v>
      </c>
      <c r="Q1127" s="783">
        <v>1040.2</v>
      </c>
      <c r="R1127" s="783">
        <v>755.38</v>
      </c>
      <c r="S1127" s="783">
        <v>121.77</v>
      </c>
      <c r="T1127" s="783">
        <v>163.05000000000001</v>
      </c>
      <c r="U1127" s="785">
        <v>44631.635972222197</v>
      </c>
    </row>
    <row r="1128" spans="1:21">
      <c r="A1128" s="782">
        <v>44540</v>
      </c>
      <c r="B1128" s="783" t="s">
        <v>74</v>
      </c>
      <c r="C1128" s="783" t="s">
        <v>4037</v>
      </c>
      <c r="D1128" s="783" t="s">
        <v>4038</v>
      </c>
      <c r="E1128" s="783" t="s">
        <v>6420</v>
      </c>
      <c r="F1128" s="783" t="s">
        <v>4011</v>
      </c>
      <c r="G1128" s="783" t="str">
        <f>VLOOKUP(I1128,pacage,2,FALSE)</f>
        <v>New Contract</v>
      </c>
      <c r="H1128" s="783" t="s">
        <v>6421</v>
      </c>
      <c r="I1128" s="783" t="s">
        <v>6422</v>
      </c>
      <c r="J1128" s="783">
        <v>20</v>
      </c>
      <c r="K1128" s="783" t="s">
        <v>192</v>
      </c>
      <c r="L1128" s="783" t="s">
        <v>4096</v>
      </c>
      <c r="M1128" s="784">
        <v>52250</v>
      </c>
      <c r="N1128" s="784">
        <v>55</v>
      </c>
      <c r="O1128" s="784">
        <v>2.5</v>
      </c>
      <c r="P1128" s="783">
        <v>380</v>
      </c>
      <c r="Q1128" s="783">
        <v>3850.83</v>
      </c>
      <c r="R1128" s="783">
        <v>1510.74</v>
      </c>
      <c r="S1128" s="783">
        <v>1133.1099999999999</v>
      </c>
      <c r="T1128" s="783">
        <v>1206.98</v>
      </c>
      <c r="U1128" s="785">
        <v>44631.515659722201</v>
      </c>
    </row>
    <row r="1129" spans="1:21">
      <c r="A1129" s="782">
        <v>44692</v>
      </c>
      <c r="B1129" s="783" t="s">
        <v>47</v>
      </c>
      <c r="C1129" s="783" t="s">
        <v>4101</v>
      </c>
      <c r="D1129" s="783" t="s">
        <v>4102</v>
      </c>
      <c r="E1129" s="783" t="s">
        <v>4103</v>
      </c>
      <c r="F1129" s="783" t="s">
        <v>4011</v>
      </c>
      <c r="G1129" s="783" t="str">
        <f>VLOOKUP(I1129,pacage,2,FALSE)</f>
        <v>Renewal (15% in 2020)</v>
      </c>
      <c r="H1129" s="783" t="s">
        <v>4104</v>
      </c>
      <c r="I1129" s="783" t="s">
        <v>4105</v>
      </c>
      <c r="J1129" s="783">
        <v>20</v>
      </c>
      <c r="K1129" s="783" t="s">
        <v>192</v>
      </c>
      <c r="L1129" s="783" t="s">
        <v>4096</v>
      </c>
      <c r="M1129" s="784">
        <v>132820</v>
      </c>
      <c r="N1129" s="784">
        <v>66.41</v>
      </c>
      <c r="O1129" s="784">
        <v>4</v>
      </c>
      <c r="P1129" s="783">
        <v>500</v>
      </c>
      <c r="Q1129" s="783">
        <v>5631.57</v>
      </c>
      <c r="R1129" s="783">
        <v>1686.92</v>
      </c>
      <c r="S1129" s="783">
        <v>2151.58</v>
      </c>
      <c r="T1129" s="783">
        <v>1793.07</v>
      </c>
      <c r="U1129" s="785">
        <v>44692.516574074099</v>
      </c>
    </row>
    <row r="1130" spans="1:21">
      <c r="A1130" s="782">
        <v>44697</v>
      </c>
      <c r="B1130" s="783" t="s">
        <v>65</v>
      </c>
      <c r="C1130" s="783" t="s">
        <v>4625</v>
      </c>
      <c r="D1130" s="783" t="s">
        <v>4248</v>
      </c>
      <c r="E1130" s="783" t="s">
        <v>1077</v>
      </c>
      <c r="F1130" s="783" t="s">
        <v>4011</v>
      </c>
      <c r="G1130" s="783" t="str">
        <f>VLOOKUP(I1130,pacage,2,FALSE)</f>
        <v>Renewal (20% in 2020)</v>
      </c>
      <c r="H1130" s="783" t="s">
        <v>6423</v>
      </c>
      <c r="I1130" s="783" t="s">
        <v>6424</v>
      </c>
      <c r="J1130" s="783">
        <v>20</v>
      </c>
      <c r="K1130" s="783" t="s">
        <v>192</v>
      </c>
      <c r="L1130" s="783" t="s">
        <v>4096</v>
      </c>
      <c r="M1130" s="784">
        <v>14508.37</v>
      </c>
      <c r="N1130" s="784">
        <v>13.16</v>
      </c>
      <c r="O1130" s="784">
        <v>3.98</v>
      </c>
      <c r="P1130" s="783">
        <v>277</v>
      </c>
      <c r="Q1130" s="783">
        <v>651.42999999999995</v>
      </c>
      <c r="R1130" s="783">
        <v>356.37</v>
      </c>
      <c r="S1130" s="783">
        <v>93.39</v>
      </c>
      <c r="T1130" s="783">
        <v>201.67</v>
      </c>
      <c r="U1130" s="785">
        <v>44698.4692476852</v>
      </c>
    </row>
    <row r="1131" spans="1:21">
      <c r="A1131" s="782">
        <v>44697</v>
      </c>
      <c r="B1131" s="783" t="s">
        <v>65</v>
      </c>
      <c r="C1131" s="783" t="s">
        <v>4247</v>
      </c>
      <c r="D1131" s="783" t="s">
        <v>4248</v>
      </c>
      <c r="E1131" s="783" t="s">
        <v>1077</v>
      </c>
      <c r="F1131" s="783" t="s">
        <v>4011</v>
      </c>
      <c r="G1131" s="783" t="str">
        <f>VLOOKUP(I1131,pacage,2,FALSE)</f>
        <v>Renewal (20% in 2020)</v>
      </c>
      <c r="H1131" s="783" t="s">
        <v>6423</v>
      </c>
      <c r="I1131" s="783" t="s">
        <v>6424</v>
      </c>
      <c r="J1131" s="783">
        <v>20</v>
      </c>
      <c r="K1131" s="783" t="s">
        <v>192</v>
      </c>
      <c r="L1131" s="783" t="s">
        <v>4096</v>
      </c>
      <c r="M1131" s="784">
        <v>44519.44</v>
      </c>
      <c r="N1131" s="784">
        <v>40.18</v>
      </c>
      <c r="O1131" s="784">
        <v>4</v>
      </c>
      <c r="P1131" s="783">
        <v>277</v>
      </c>
      <c r="Q1131" s="783">
        <v>2818.08</v>
      </c>
      <c r="R1131" s="783">
        <v>1526.9</v>
      </c>
      <c r="S1131" s="783">
        <v>405.24</v>
      </c>
      <c r="T1131" s="783">
        <v>885.94</v>
      </c>
      <c r="U1131" s="785">
        <v>44698.4692476852</v>
      </c>
    </row>
    <row r="1132" spans="1:21">
      <c r="A1132" s="782">
        <v>44692</v>
      </c>
      <c r="B1132" s="783" t="s">
        <v>4025</v>
      </c>
      <c r="C1132" s="783" t="s">
        <v>4026</v>
      </c>
      <c r="D1132" s="783" t="s">
        <v>4021</v>
      </c>
      <c r="E1132" s="783" t="s">
        <v>4772</v>
      </c>
      <c r="F1132" s="783" t="s">
        <v>4066</v>
      </c>
      <c r="G1132" s="783" t="s">
        <v>4028</v>
      </c>
      <c r="H1132" s="783" t="s">
        <v>4773</v>
      </c>
      <c r="I1132" s="783" t="s">
        <v>4774</v>
      </c>
      <c r="J1132" s="783">
        <v>5</v>
      </c>
      <c r="K1132" s="783" t="s">
        <v>192</v>
      </c>
      <c r="L1132" s="783" t="s">
        <v>4096</v>
      </c>
      <c r="M1132" s="784">
        <v>11567.2</v>
      </c>
      <c r="N1132" s="784">
        <v>15.22</v>
      </c>
      <c r="O1132" s="784">
        <v>2</v>
      </c>
      <c r="P1132" s="783">
        <v>380</v>
      </c>
      <c r="Q1132" s="783">
        <v>242.91</v>
      </c>
      <c r="R1132" s="783">
        <v>0</v>
      </c>
      <c r="S1132" s="783">
        <v>0</v>
      </c>
      <c r="T1132" s="783">
        <v>242.91</v>
      </c>
      <c r="U1132" s="785">
        <v>44692.740416666697</v>
      </c>
    </row>
    <row r="1133" spans="1:21">
      <c r="A1133" s="782">
        <v>44606</v>
      </c>
      <c r="B1133" s="783" t="s">
        <v>3078</v>
      </c>
      <c r="C1133" s="783" t="s">
        <v>4414</v>
      </c>
      <c r="D1133" s="783" t="s">
        <v>4009</v>
      </c>
      <c r="E1133" s="783" t="s">
        <v>6425</v>
      </c>
      <c r="F1133" s="783" t="s">
        <v>4011</v>
      </c>
      <c r="G1133" s="783" t="str">
        <f>VLOOKUP(I1133,pacage,2,FALSE)</f>
        <v>New Contract</v>
      </c>
      <c r="H1133" s="783" t="s">
        <v>6426</v>
      </c>
      <c r="I1133" s="783" t="s">
        <v>6427</v>
      </c>
      <c r="J1133" s="783">
        <v>20</v>
      </c>
      <c r="K1133" s="783" t="s">
        <v>192</v>
      </c>
      <c r="L1133" s="783" t="s">
        <v>4096</v>
      </c>
      <c r="M1133" s="784">
        <v>4860</v>
      </c>
      <c r="N1133" s="784">
        <v>7.2</v>
      </c>
      <c r="O1133" s="784">
        <v>1.5</v>
      </c>
      <c r="P1133" s="783">
        <v>450</v>
      </c>
      <c r="Q1133" s="783">
        <v>350.41</v>
      </c>
      <c r="R1133" s="783">
        <v>106.41</v>
      </c>
      <c r="S1133" s="783">
        <v>114.23</v>
      </c>
      <c r="T1133" s="783">
        <v>129.76</v>
      </c>
      <c r="U1133" s="785">
        <v>44631.626273148097</v>
      </c>
    </row>
    <row r="1134" spans="1:21">
      <c r="A1134" s="782">
        <v>44589</v>
      </c>
      <c r="B1134" s="783" t="s">
        <v>624</v>
      </c>
      <c r="C1134" s="783" t="s">
        <v>4037</v>
      </c>
      <c r="D1134" s="783" t="s">
        <v>4038</v>
      </c>
      <c r="E1134" s="783" t="s">
        <v>4109</v>
      </c>
      <c r="F1134" s="783" t="s">
        <v>4011</v>
      </c>
      <c r="G1134" s="783" t="str">
        <f>VLOOKUP(I1134,pacage,2,FALSE)</f>
        <v>Renewal (15% in 2020)</v>
      </c>
      <c r="H1134" s="783" t="s">
        <v>4110</v>
      </c>
      <c r="I1134" s="783" t="s">
        <v>4111</v>
      </c>
      <c r="J1134" s="783">
        <v>30</v>
      </c>
      <c r="K1134" s="783" t="s">
        <v>192</v>
      </c>
      <c r="L1134" s="783" t="s">
        <v>4096</v>
      </c>
      <c r="M1134" s="784">
        <v>23292.720000000001</v>
      </c>
      <c r="N1134" s="784">
        <v>29.41</v>
      </c>
      <c r="O1134" s="784">
        <v>2.64</v>
      </c>
      <c r="P1134" s="783">
        <v>300</v>
      </c>
      <c r="Q1134" s="783">
        <v>1320.7</v>
      </c>
      <c r="R1134" s="783">
        <v>853.07</v>
      </c>
      <c r="S1134" s="783">
        <v>162.49</v>
      </c>
      <c r="T1134" s="783">
        <v>305.13</v>
      </c>
      <c r="U1134" s="785">
        <v>44631.636087963001</v>
      </c>
    </row>
    <row r="1135" spans="1:21">
      <c r="A1135" s="782">
        <v>44600</v>
      </c>
      <c r="B1135" s="783" t="s">
        <v>4025</v>
      </c>
      <c r="C1135" s="783" t="s">
        <v>4026</v>
      </c>
      <c r="D1135" s="783" t="s">
        <v>4021</v>
      </c>
      <c r="E1135" s="783" t="s">
        <v>4078</v>
      </c>
      <c r="F1135" s="783" t="s">
        <v>4011</v>
      </c>
      <c r="G1135" s="783" t="s">
        <v>4028</v>
      </c>
      <c r="H1135" s="783" t="s">
        <v>4079</v>
      </c>
      <c r="I1135" s="783" t="s">
        <v>4080</v>
      </c>
      <c r="J1135" s="783">
        <v>25</v>
      </c>
      <c r="K1135" s="783" t="s">
        <v>192</v>
      </c>
      <c r="L1135" s="783" t="s">
        <v>4096</v>
      </c>
      <c r="M1135" s="784">
        <v>22892.52</v>
      </c>
      <c r="N1135" s="784">
        <v>44.03</v>
      </c>
      <c r="O1135" s="784">
        <v>1.59</v>
      </c>
      <c r="P1135" s="783">
        <v>327</v>
      </c>
      <c r="Q1135" s="783">
        <v>1153.78</v>
      </c>
      <c r="R1135" s="783">
        <v>645.70000000000005</v>
      </c>
      <c r="S1135" s="783">
        <v>327.24</v>
      </c>
      <c r="T1135" s="783">
        <v>180.85</v>
      </c>
      <c r="U1135" s="785">
        <v>44631.629027777803</v>
      </c>
    </row>
    <row r="1136" spans="1:21">
      <c r="A1136" s="782">
        <v>44622</v>
      </c>
      <c r="B1136" s="783" t="s">
        <v>74</v>
      </c>
      <c r="C1136" s="783" t="s">
        <v>4037</v>
      </c>
      <c r="D1136" s="783" t="s">
        <v>4038</v>
      </c>
      <c r="E1136" s="783" t="s">
        <v>6428</v>
      </c>
      <c r="F1136" s="783" t="s">
        <v>4011</v>
      </c>
      <c r="G1136" s="783" t="str">
        <f>VLOOKUP(I1136,pacage,2,FALSE)</f>
        <v>Renewal (15% in 2020)</v>
      </c>
      <c r="H1136" s="783" t="s">
        <v>6429</v>
      </c>
      <c r="I1136" s="783" t="s">
        <v>6430</v>
      </c>
      <c r="J1136" s="783">
        <v>15</v>
      </c>
      <c r="K1136" s="783" t="s">
        <v>192</v>
      </c>
      <c r="L1136" s="783" t="s">
        <v>4096</v>
      </c>
      <c r="M1136" s="784">
        <v>12022.44</v>
      </c>
      <c r="N1136" s="784">
        <v>26.07</v>
      </c>
      <c r="O1136" s="784">
        <v>1.83</v>
      </c>
      <c r="P1136" s="783">
        <v>252</v>
      </c>
      <c r="Q1136" s="783">
        <v>1067.5899999999999</v>
      </c>
      <c r="R1136" s="783">
        <v>524.17999999999995</v>
      </c>
      <c r="S1136" s="783">
        <v>84.16</v>
      </c>
      <c r="T1136" s="783">
        <v>459.26</v>
      </c>
      <c r="U1136" s="785">
        <v>44631.630127314798</v>
      </c>
    </row>
    <row r="1137" spans="1:21">
      <c r="A1137" s="782">
        <v>44592</v>
      </c>
      <c r="B1137" s="783" t="s">
        <v>4025</v>
      </c>
      <c r="C1137" s="783" t="s">
        <v>4026</v>
      </c>
      <c r="D1137" s="783" t="s">
        <v>4021</v>
      </c>
      <c r="E1137" s="783" t="s">
        <v>6431</v>
      </c>
      <c r="F1137" s="783" t="s">
        <v>4011</v>
      </c>
      <c r="G1137" s="783" t="s">
        <v>4028</v>
      </c>
      <c r="H1137" s="783" t="s">
        <v>6432</v>
      </c>
      <c r="I1137" s="783" t="s">
        <v>6433</v>
      </c>
      <c r="J1137" s="783">
        <v>25</v>
      </c>
      <c r="K1137" s="783" t="s">
        <v>192</v>
      </c>
      <c r="L1137" s="783" t="s">
        <v>4096</v>
      </c>
      <c r="M1137" s="784">
        <v>66165.179999999993</v>
      </c>
      <c r="N1137" s="784">
        <v>67</v>
      </c>
      <c r="O1137" s="784">
        <v>3.02</v>
      </c>
      <c r="P1137" s="783">
        <v>327</v>
      </c>
      <c r="Q1137" s="783">
        <v>3334.73</v>
      </c>
      <c r="R1137" s="783">
        <v>1866.22</v>
      </c>
      <c r="S1137" s="783">
        <v>945.8</v>
      </c>
      <c r="T1137" s="783">
        <v>522.70000000000005</v>
      </c>
      <c r="U1137" s="785">
        <v>44631.629594907397</v>
      </c>
    </row>
    <row r="1138" spans="1:21">
      <c r="A1138" s="782">
        <v>44595</v>
      </c>
      <c r="B1138" s="783" t="s">
        <v>4025</v>
      </c>
      <c r="C1138" s="783" t="s">
        <v>4026</v>
      </c>
      <c r="D1138" s="783" t="s">
        <v>4021</v>
      </c>
      <c r="E1138" s="783" t="s">
        <v>6434</v>
      </c>
      <c r="F1138" s="783" t="s">
        <v>4011</v>
      </c>
      <c r="G1138" s="783" t="s">
        <v>4028</v>
      </c>
      <c r="H1138" s="783" t="s">
        <v>6435</v>
      </c>
      <c r="I1138" s="783" t="s">
        <v>6436</v>
      </c>
      <c r="J1138" s="783">
        <v>25</v>
      </c>
      <c r="K1138" s="783" t="s">
        <v>192</v>
      </c>
      <c r="L1138" s="783" t="s">
        <v>4096</v>
      </c>
      <c r="M1138" s="784">
        <v>43164</v>
      </c>
      <c r="N1138" s="784">
        <v>66</v>
      </c>
      <c r="O1138" s="784">
        <v>2</v>
      </c>
      <c r="P1138" s="783">
        <v>327</v>
      </c>
      <c r="Q1138" s="783">
        <v>2175.4699999999998</v>
      </c>
      <c r="R1138" s="783">
        <v>1217.46</v>
      </c>
      <c r="S1138" s="783">
        <v>617.01</v>
      </c>
      <c r="T1138" s="783">
        <v>341</v>
      </c>
      <c r="U1138" s="785">
        <v>44631.626111111102</v>
      </c>
    </row>
    <row r="1139" spans="1:21">
      <c r="A1139" s="782">
        <v>44698</v>
      </c>
      <c r="B1139" s="783" t="s">
        <v>347</v>
      </c>
      <c r="C1139" s="783" t="s">
        <v>4139</v>
      </c>
      <c r="D1139" s="783" t="s">
        <v>4009</v>
      </c>
      <c r="E1139" s="783" t="s">
        <v>6437</v>
      </c>
      <c r="F1139" s="783" t="s">
        <v>4011</v>
      </c>
      <c r="G1139" s="783" t="s">
        <v>4028</v>
      </c>
      <c r="H1139" s="783" t="s">
        <v>6438</v>
      </c>
      <c r="I1139" s="783" t="s">
        <v>6439</v>
      </c>
      <c r="J1139" s="783">
        <v>15</v>
      </c>
      <c r="K1139" s="783" t="s">
        <v>192</v>
      </c>
      <c r="L1139" s="783" t="s">
        <v>4096</v>
      </c>
      <c r="M1139" s="784">
        <v>18921.87</v>
      </c>
      <c r="N1139" s="784">
        <v>16.62</v>
      </c>
      <c r="O1139" s="784">
        <v>2.5299999999999998</v>
      </c>
      <c r="P1139" s="783">
        <v>450</v>
      </c>
      <c r="Q1139" s="783">
        <v>1084.22</v>
      </c>
      <c r="R1139" s="783">
        <v>274.44</v>
      </c>
      <c r="S1139" s="783">
        <v>287.54000000000002</v>
      </c>
      <c r="T1139" s="783">
        <v>522.24</v>
      </c>
      <c r="U1139" s="785">
        <v>44699.593020833301</v>
      </c>
    </row>
    <row r="1140" spans="1:21">
      <c r="A1140" s="782">
        <v>44685</v>
      </c>
      <c r="B1140" s="783" t="s">
        <v>228</v>
      </c>
      <c r="C1140" s="783" t="s">
        <v>4847</v>
      </c>
      <c r="D1140" s="783" t="s">
        <v>4016</v>
      </c>
      <c r="E1140" s="783" t="s">
        <v>6440</v>
      </c>
      <c r="F1140" s="783" t="s">
        <v>4066</v>
      </c>
      <c r="G1140" s="783" t="s">
        <v>4028</v>
      </c>
      <c r="H1140" s="783" t="s">
        <v>6441</v>
      </c>
      <c r="I1140" s="783" t="s">
        <v>6442</v>
      </c>
      <c r="J1140" s="783">
        <v>5</v>
      </c>
      <c r="K1140" s="783" t="s">
        <v>192</v>
      </c>
      <c r="L1140" s="783" t="s">
        <v>4096</v>
      </c>
      <c r="M1140" s="784">
        <v>37716</v>
      </c>
      <c r="N1140" s="784">
        <v>26.94</v>
      </c>
      <c r="O1140" s="784">
        <v>4</v>
      </c>
      <c r="P1140" s="783">
        <v>350</v>
      </c>
      <c r="Q1140" s="783">
        <v>599.67999999999995</v>
      </c>
      <c r="R1140" s="783">
        <v>0</v>
      </c>
      <c r="S1140" s="783">
        <v>0</v>
      </c>
      <c r="T1140" s="783">
        <v>599.67999999999995</v>
      </c>
      <c r="U1140" s="785">
        <v>44687.655925925901</v>
      </c>
    </row>
    <row r="1141" spans="1:21">
      <c r="A1141" s="782">
        <v>44684</v>
      </c>
      <c r="B1141" s="783" t="s">
        <v>74</v>
      </c>
      <c r="C1141" s="783" t="s">
        <v>4037</v>
      </c>
      <c r="D1141" s="783" t="s">
        <v>4038</v>
      </c>
      <c r="E1141" s="783" t="s">
        <v>6443</v>
      </c>
      <c r="F1141" s="783" t="s">
        <v>4011</v>
      </c>
      <c r="G1141" s="783" t="str">
        <f t="shared" ref="G1141:G1146" si="64">VLOOKUP(I1141,pacage,2,FALSE)</f>
        <v>New contract</v>
      </c>
      <c r="H1141" s="783" t="s">
        <v>6444</v>
      </c>
      <c r="I1141" s="783" t="s">
        <v>6445</v>
      </c>
      <c r="J1141" s="783">
        <v>20</v>
      </c>
      <c r="K1141" s="783" t="s">
        <v>192</v>
      </c>
      <c r="L1141" s="783" t="s">
        <v>4096</v>
      </c>
      <c r="M1141" s="784">
        <v>82865.440000000002</v>
      </c>
      <c r="N1141" s="784">
        <v>67.48</v>
      </c>
      <c r="O1141" s="784">
        <v>3.07</v>
      </c>
      <c r="P1141" s="783">
        <v>400</v>
      </c>
      <c r="Q1141" s="783">
        <v>6107.18</v>
      </c>
      <c r="R1141" s="783">
        <v>2276.15</v>
      </c>
      <c r="S1141" s="783">
        <v>1916.84</v>
      </c>
      <c r="T1141" s="783">
        <v>1914.19</v>
      </c>
      <c r="U1141" s="785">
        <v>44685.461122685199</v>
      </c>
    </row>
    <row r="1142" spans="1:21">
      <c r="A1142" s="782">
        <v>44684</v>
      </c>
      <c r="B1142" s="783" t="s">
        <v>41</v>
      </c>
      <c r="C1142" s="783" t="s">
        <v>4092</v>
      </c>
      <c r="D1142" s="783" t="s">
        <v>4009</v>
      </c>
      <c r="E1142" s="783" t="s">
        <v>6446</v>
      </c>
      <c r="F1142" s="783" t="s">
        <v>4011</v>
      </c>
      <c r="G1142" s="783" t="str">
        <f t="shared" si="64"/>
        <v>Renewal (20% in 2020)</v>
      </c>
      <c r="H1142" s="783" t="s">
        <v>6447</v>
      </c>
      <c r="I1142" s="783" t="s">
        <v>6448</v>
      </c>
      <c r="J1142" s="783">
        <v>20</v>
      </c>
      <c r="K1142" s="783" t="s">
        <v>192</v>
      </c>
      <c r="L1142" s="783" t="s">
        <v>4096</v>
      </c>
      <c r="M1142" s="784">
        <v>14996.02</v>
      </c>
      <c r="N1142" s="784">
        <v>9.1199999999999992</v>
      </c>
      <c r="O1142" s="784">
        <v>3.15</v>
      </c>
      <c r="P1142" s="783">
        <v>522</v>
      </c>
      <c r="Q1142" s="783">
        <v>863.77</v>
      </c>
      <c r="R1142" s="783">
        <v>246.87</v>
      </c>
      <c r="S1142" s="783">
        <v>355.97</v>
      </c>
      <c r="T1142" s="783">
        <v>260.93</v>
      </c>
      <c r="U1142" s="785">
        <v>44685.404108796298</v>
      </c>
    </row>
    <row r="1143" spans="1:21">
      <c r="A1143" s="782">
        <v>44700</v>
      </c>
      <c r="B1143" s="783" t="s">
        <v>34</v>
      </c>
      <c r="C1143" s="783" t="s">
        <v>4139</v>
      </c>
      <c r="D1143" s="783" t="s">
        <v>4009</v>
      </c>
      <c r="E1143" s="783" t="s">
        <v>6449</v>
      </c>
      <c r="F1143" s="783" t="s">
        <v>4011</v>
      </c>
      <c r="G1143" s="783" t="str">
        <f t="shared" si="64"/>
        <v>Renewal (20% in 2020)</v>
      </c>
      <c r="H1143" s="783" t="s">
        <v>6450</v>
      </c>
      <c r="I1143" s="783" t="s">
        <v>6451</v>
      </c>
      <c r="J1143" s="783">
        <v>20</v>
      </c>
      <c r="K1143" s="783" t="s">
        <v>192</v>
      </c>
      <c r="L1143" s="783" t="s">
        <v>4096</v>
      </c>
      <c r="M1143" s="784">
        <v>58248.45</v>
      </c>
      <c r="N1143" s="784">
        <v>33.19</v>
      </c>
      <c r="O1143" s="784">
        <v>3.51</v>
      </c>
      <c r="P1143" s="783">
        <v>500</v>
      </c>
      <c r="Q1143" s="783">
        <v>2493.0300000000002</v>
      </c>
      <c r="R1143" s="783">
        <v>760.35</v>
      </c>
      <c r="S1143" s="783">
        <v>969.63</v>
      </c>
      <c r="T1143" s="783">
        <v>763.05</v>
      </c>
      <c r="U1143" s="785">
        <v>44700.619351851798</v>
      </c>
    </row>
    <row r="1144" spans="1:21">
      <c r="A1144" s="782">
        <v>44700</v>
      </c>
      <c r="B1144" s="783" t="s">
        <v>34</v>
      </c>
      <c r="C1144" s="783" t="s">
        <v>4139</v>
      </c>
      <c r="D1144" s="783" t="s">
        <v>4009</v>
      </c>
      <c r="E1144" s="783" t="s">
        <v>6452</v>
      </c>
      <c r="F1144" s="783" t="s">
        <v>4011</v>
      </c>
      <c r="G1144" s="783" t="str">
        <f t="shared" si="64"/>
        <v>Renewal (20% in 2020)</v>
      </c>
      <c r="H1144" s="783" t="s">
        <v>6453</v>
      </c>
      <c r="I1144" s="783" t="s">
        <v>6454</v>
      </c>
      <c r="J1144" s="783">
        <v>20</v>
      </c>
      <c r="K1144" s="783" t="s">
        <v>192</v>
      </c>
      <c r="L1144" s="783" t="s">
        <v>4096</v>
      </c>
      <c r="M1144" s="784">
        <v>56074.2</v>
      </c>
      <c r="N1144" s="784">
        <v>30.81</v>
      </c>
      <c r="O1144" s="784">
        <v>3.64</v>
      </c>
      <c r="P1144" s="783">
        <v>500</v>
      </c>
      <c r="Q1144" s="783">
        <v>2399.98</v>
      </c>
      <c r="R1144" s="783">
        <v>731.97</v>
      </c>
      <c r="S1144" s="783">
        <v>933.43</v>
      </c>
      <c r="T1144" s="783">
        <v>734.57</v>
      </c>
      <c r="U1144" s="785">
        <v>44701.678587962997</v>
      </c>
    </row>
    <row r="1145" spans="1:21">
      <c r="A1145" s="782">
        <v>44711</v>
      </c>
      <c r="B1145" s="783" t="s">
        <v>347</v>
      </c>
      <c r="C1145" s="783" t="s">
        <v>4139</v>
      </c>
      <c r="D1145" s="783" t="s">
        <v>4009</v>
      </c>
      <c r="E1145" s="783" t="s">
        <v>355</v>
      </c>
      <c r="F1145" s="783" t="s">
        <v>4011</v>
      </c>
      <c r="G1145" s="783" t="str">
        <f t="shared" si="64"/>
        <v>Renewal (15% in 2020)</v>
      </c>
      <c r="H1145" s="783" t="s">
        <v>6455</v>
      </c>
      <c r="I1145" s="783" t="s">
        <v>6456</v>
      </c>
      <c r="J1145" s="783">
        <v>15</v>
      </c>
      <c r="K1145" s="783" t="s">
        <v>192</v>
      </c>
      <c r="L1145" s="783" t="s">
        <v>4096</v>
      </c>
      <c r="M1145" s="784">
        <v>11355.2</v>
      </c>
      <c r="N1145" s="784">
        <v>7.52</v>
      </c>
      <c r="O1145" s="784">
        <v>3.02</v>
      </c>
      <c r="P1145" s="783">
        <v>500</v>
      </c>
      <c r="Q1145" s="783">
        <v>650.65</v>
      </c>
      <c r="R1145" s="783">
        <v>148.22999999999999</v>
      </c>
      <c r="S1145" s="783">
        <v>189.02</v>
      </c>
      <c r="T1145" s="783">
        <v>313.39999999999998</v>
      </c>
      <c r="U1145" s="785">
        <v>44713.611053240696</v>
      </c>
    </row>
    <row r="1146" spans="1:21">
      <c r="A1146" s="782">
        <v>44685</v>
      </c>
      <c r="B1146" s="783" t="s">
        <v>4025</v>
      </c>
      <c r="C1146" s="783" t="s">
        <v>4026</v>
      </c>
      <c r="D1146" s="783" t="s">
        <v>4021</v>
      </c>
      <c r="E1146" s="783" t="s">
        <v>6457</v>
      </c>
      <c r="F1146" s="783" t="s">
        <v>4011</v>
      </c>
      <c r="G1146" s="783" t="str">
        <f t="shared" si="64"/>
        <v>New Contract</v>
      </c>
      <c r="H1146" s="783" t="s">
        <v>6458</v>
      </c>
      <c r="I1146" s="783" t="s">
        <v>6459</v>
      </c>
      <c r="J1146" s="783">
        <v>20</v>
      </c>
      <c r="K1146" s="783" t="s">
        <v>192</v>
      </c>
      <c r="L1146" s="783" t="s">
        <v>4096</v>
      </c>
      <c r="M1146" s="784">
        <v>65542.460000000006</v>
      </c>
      <c r="N1146" s="784">
        <v>69.459999999999994</v>
      </c>
      <c r="O1146" s="784">
        <v>3.37</v>
      </c>
      <c r="P1146" s="783">
        <v>280</v>
      </c>
      <c r="Q1146" s="783">
        <v>4227.49</v>
      </c>
      <c r="R1146" s="783">
        <v>2158.9699999999998</v>
      </c>
      <c r="S1146" s="783">
        <v>626.59</v>
      </c>
      <c r="T1146" s="783">
        <v>1441.93</v>
      </c>
      <c r="U1146" s="785">
        <v>44687.638854166697</v>
      </c>
    </row>
    <row r="1147" spans="1:21">
      <c r="A1147" s="782">
        <v>44671</v>
      </c>
      <c r="B1147" s="783" t="s">
        <v>4025</v>
      </c>
      <c r="C1147" s="783" t="s">
        <v>4026</v>
      </c>
      <c r="D1147" s="783" t="s">
        <v>4021</v>
      </c>
      <c r="E1147" s="783" t="s">
        <v>6460</v>
      </c>
      <c r="F1147" s="783" t="s">
        <v>4066</v>
      </c>
      <c r="G1147" s="783" t="s">
        <v>4028</v>
      </c>
      <c r="H1147" s="783" t="s">
        <v>6461</v>
      </c>
      <c r="I1147" s="783" t="s">
        <v>6462</v>
      </c>
      <c r="J1147" s="783">
        <v>5</v>
      </c>
      <c r="K1147" s="783" t="s">
        <v>192</v>
      </c>
      <c r="L1147" s="783" t="s">
        <v>4096</v>
      </c>
      <c r="M1147" s="784">
        <v>12380.22</v>
      </c>
      <c r="N1147" s="784">
        <v>18.93</v>
      </c>
      <c r="O1147" s="784">
        <v>2</v>
      </c>
      <c r="P1147" s="783">
        <v>327</v>
      </c>
      <c r="Q1147" s="783">
        <v>259.98</v>
      </c>
      <c r="R1147" s="783">
        <v>0</v>
      </c>
      <c r="S1147" s="783">
        <v>0</v>
      </c>
      <c r="T1147" s="783">
        <v>259.98</v>
      </c>
      <c r="U1147" s="785">
        <v>44673.3597337963</v>
      </c>
    </row>
    <row r="1148" spans="1:21">
      <c r="A1148" s="782">
        <v>44665</v>
      </c>
      <c r="B1148" s="783" t="s">
        <v>65</v>
      </c>
      <c r="C1148" s="783" t="s">
        <v>4376</v>
      </c>
      <c r="D1148" s="783" t="s">
        <v>4038</v>
      </c>
      <c r="E1148" s="783" t="s">
        <v>6463</v>
      </c>
      <c r="F1148" s="783" t="s">
        <v>4011</v>
      </c>
      <c r="G1148" s="783" t="str">
        <f>VLOOKUP(I1148,pacage,2,FALSE)</f>
        <v>New Contract</v>
      </c>
      <c r="H1148" s="783" t="s">
        <v>6464</v>
      </c>
      <c r="I1148" s="783" t="s">
        <v>6465</v>
      </c>
      <c r="J1148" s="783">
        <v>20</v>
      </c>
      <c r="K1148" s="783" t="s">
        <v>192</v>
      </c>
      <c r="L1148" s="783" t="s">
        <v>4096</v>
      </c>
      <c r="M1148" s="784">
        <v>12972</v>
      </c>
      <c r="N1148" s="784">
        <v>12</v>
      </c>
      <c r="O1148" s="784">
        <v>2.2999999999999998</v>
      </c>
      <c r="P1148" s="783">
        <v>470</v>
      </c>
      <c r="Q1148" s="783">
        <v>1045.54</v>
      </c>
      <c r="R1148" s="783">
        <v>313.68</v>
      </c>
      <c r="S1148" s="783">
        <v>362.16</v>
      </c>
      <c r="T1148" s="783">
        <v>369.7</v>
      </c>
      <c r="U1148" s="785">
        <v>44666.387280092596</v>
      </c>
    </row>
    <row r="1149" spans="1:21">
      <c r="A1149" s="782">
        <v>44664</v>
      </c>
      <c r="B1149" s="783" t="s">
        <v>74</v>
      </c>
      <c r="C1149" s="783" t="s">
        <v>4037</v>
      </c>
      <c r="D1149" s="783" t="s">
        <v>4038</v>
      </c>
      <c r="E1149" s="783" t="s">
        <v>6466</v>
      </c>
      <c r="F1149" s="783" t="s">
        <v>4011</v>
      </c>
      <c r="G1149" s="783" t="s">
        <v>4028</v>
      </c>
      <c r="H1149" s="783" t="s">
        <v>6467</v>
      </c>
      <c r="I1149" s="783" t="s">
        <v>6468</v>
      </c>
      <c r="J1149" s="783">
        <v>25</v>
      </c>
      <c r="K1149" s="783" t="s">
        <v>192</v>
      </c>
      <c r="L1149" s="783" t="s">
        <v>4096</v>
      </c>
      <c r="M1149" s="784">
        <v>29436</v>
      </c>
      <c r="N1149" s="784">
        <v>33</v>
      </c>
      <c r="O1149" s="784">
        <v>2.23</v>
      </c>
      <c r="P1149" s="783">
        <v>400</v>
      </c>
      <c r="Q1149" s="783">
        <v>1872.13</v>
      </c>
      <c r="R1149" s="783">
        <v>808.55</v>
      </c>
      <c r="S1149" s="783">
        <v>680.91</v>
      </c>
      <c r="T1149" s="783">
        <v>382.67</v>
      </c>
      <c r="U1149" s="785">
        <v>44665.658865740697</v>
      </c>
    </row>
    <row r="1150" spans="1:21">
      <c r="A1150" s="782">
        <v>44697</v>
      </c>
      <c r="B1150" s="783" t="s">
        <v>74</v>
      </c>
      <c r="C1150" s="783" t="s">
        <v>4097</v>
      </c>
      <c r="D1150" s="783" t="s">
        <v>4038</v>
      </c>
      <c r="E1150" s="783" t="s">
        <v>6469</v>
      </c>
      <c r="F1150" s="783" t="s">
        <v>4011</v>
      </c>
      <c r="G1150" s="783" t="str">
        <f t="shared" ref="G1150:G1158" si="65">VLOOKUP(I1150,pacage,2,FALSE)</f>
        <v>New Contract</v>
      </c>
      <c r="H1150" s="783" t="s">
        <v>6470</v>
      </c>
      <c r="I1150" s="783" t="s">
        <v>6471</v>
      </c>
      <c r="J1150" s="783">
        <v>20</v>
      </c>
      <c r="K1150" s="783" t="s">
        <v>192</v>
      </c>
      <c r="L1150" s="783" t="s">
        <v>4096</v>
      </c>
      <c r="M1150" s="784">
        <v>19936.34</v>
      </c>
      <c r="N1150" s="784">
        <v>23.27</v>
      </c>
      <c r="O1150" s="784">
        <v>2.62</v>
      </c>
      <c r="P1150" s="783">
        <v>327</v>
      </c>
      <c r="Q1150" s="783">
        <v>1098.49</v>
      </c>
      <c r="R1150" s="783">
        <v>477.81</v>
      </c>
      <c r="S1150" s="783">
        <v>237.9</v>
      </c>
      <c r="T1150" s="783">
        <v>382.78</v>
      </c>
      <c r="U1150" s="785">
        <v>44698.591261574104</v>
      </c>
    </row>
    <row r="1151" spans="1:21">
      <c r="A1151" s="782">
        <v>44698</v>
      </c>
      <c r="B1151" s="783" t="s">
        <v>41</v>
      </c>
      <c r="C1151" s="783" t="s">
        <v>4071</v>
      </c>
      <c r="D1151" s="783" t="s">
        <v>4009</v>
      </c>
      <c r="E1151" s="783" t="s">
        <v>6472</v>
      </c>
      <c r="F1151" s="783" t="s">
        <v>4011</v>
      </c>
      <c r="G1151" s="783" t="str">
        <f t="shared" si="65"/>
        <v>Renewal (20% in 2020)</v>
      </c>
      <c r="H1151" s="783" t="s">
        <v>6473</v>
      </c>
      <c r="I1151" s="783" t="s">
        <v>6474</v>
      </c>
      <c r="J1151" s="783">
        <v>20</v>
      </c>
      <c r="K1151" s="783" t="s">
        <v>192</v>
      </c>
      <c r="L1151" s="783" t="s">
        <v>4096</v>
      </c>
      <c r="M1151" s="784">
        <v>58815.9</v>
      </c>
      <c r="N1151" s="784">
        <v>41.13</v>
      </c>
      <c r="O1151" s="784">
        <v>2.86</v>
      </c>
      <c r="P1151" s="783">
        <v>500</v>
      </c>
      <c r="Q1151" s="783">
        <v>2417.33</v>
      </c>
      <c r="R1151" s="783">
        <v>738.12</v>
      </c>
      <c r="S1151" s="783">
        <v>944.02</v>
      </c>
      <c r="T1151" s="783">
        <v>735.2</v>
      </c>
      <c r="U1151" s="785">
        <v>44699.490034722199</v>
      </c>
    </row>
    <row r="1152" spans="1:21">
      <c r="A1152" s="782">
        <v>44536</v>
      </c>
      <c r="B1152" s="783" t="s">
        <v>4025</v>
      </c>
      <c r="C1152" s="783" t="s">
        <v>4026</v>
      </c>
      <c r="D1152" s="783" t="s">
        <v>4021</v>
      </c>
      <c r="E1152" s="783" t="s">
        <v>5364</v>
      </c>
      <c r="F1152" s="783" t="s">
        <v>4011</v>
      </c>
      <c r="G1152" s="783" t="str">
        <f t="shared" si="65"/>
        <v>New contract</v>
      </c>
      <c r="H1152" s="783" t="s">
        <v>5365</v>
      </c>
      <c r="I1152" s="783" t="s">
        <v>5366</v>
      </c>
      <c r="J1152" s="783">
        <v>20</v>
      </c>
      <c r="K1152" s="783" t="s">
        <v>192</v>
      </c>
      <c r="L1152" s="783" t="s">
        <v>4096</v>
      </c>
      <c r="M1152" s="784">
        <v>11978.01</v>
      </c>
      <c r="N1152" s="784">
        <v>11</v>
      </c>
      <c r="O1152" s="784">
        <v>3.33</v>
      </c>
      <c r="P1152" s="783">
        <v>327</v>
      </c>
      <c r="Q1152" s="783">
        <v>772.58</v>
      </c>
      <c r="R1152" s="783">
        <v>337.85</v>
      </c>
      <c r="S1152" s="783">
        <v>171.22</v>
      </c>
      <c r="T1152" s="783">
        <v>263.52</v>
      </c>
      <c r="U1152" s="785">
        <v>44631.630104166703</v>
      </c>
    </row>
    <row r="1153" spans="1:21">
      <c r="A1153" s="782">
        <v>44553</v>
      </c>
      <c r="B1153" s="783" t="s">
        <v>2866</v>
      </c>
      <c r="C1153" s="783" t="s">
        <v>4008</v>
      </c>
      <c r="D1153" s="783" t="s">
        <v>4009</v>
      </c>
      <c r="E1153" s="783" t="s">
        <v>2864</v>
      </c>
      <c r="F1153" s="783" t="s">
        <v>4011</v>
      </c>
      <c r="G1153" s="783" t="str">
        <f t="shared" si="65"/>
        <v>New contract</v>
      </c>
      <c r="H1153" s="783" t="s">
        <v>6475</v>
      </c>
      <c r="I1153" s="783" t="s">
        <v>6476</v>
      </c>
      <c r="J1153" s="783">
        <v>20</v>
      </c>
      <c r="K1153" s="783" t="s">
        <v>192</v>
      </c>
      <c r="L1153" s="783" t="s">
        <v>4096</v>
      </c>
      <c r="M1153" s="784">
        <v>652.67999999999995</v>
      </c>
      <c r="N1153" s="784">
        <v>7</v>
      </c>
      <c r="O1153" s="784">
        <v>0.37</v>
      </c>
      <c r="P1153" s="783">
        <v>252</v>
      </c>
      <c r="Q1153" s="783">
        <v>37.14</v>
      </c>
      <c r="R1153" s="783">
        <v>21.08</v>
      </c>
      <c r="S1153" s="783">
        <v>3.26</v>
      </c>
      <c r="T1153" s="783">
        <v>12.79</v>
      </c>
      <c r="U1153" s="785">
        <v>44631.6309259259</v>
      </c>
    </row>
    <row r="1154" spans="1:21">
      <c r="A1154" s="782">
        <v>44681</v>
      </c>
      <c r="B1154" s="783" t="s">
        <v>41</v>
      </c>
      <c r="C1154" s="783" t="s">
        <v>4071</v>
      </c>
      <c r="D1154" s="783" t="s">
        <v>4009</v>
      </c>
      <c r="E1154" s="783" t="s">
        <v>6477</v>
      </c>
      <c r="F1154" s="783" t="s">
        <v>4011</v>
      </c>
      <c r="G1154" s="783" t="str">
        <f t="shared" si="65"/>
        <v>Renewal (20% in 2020)</v>
      </c>
      <c r="H1154" s="783" t="s">
        <v>6478</v>
      </c>
      <c r="I1154" s="783" t="s">
        <v>6479</v>
      </c>
      <c r="J1154" s="783">
        <v>20</v>
      </c>
      <c r="K1154" s="783" t="s">
        <v>192</v>
      </c>
      <c r="L1154" s="783" t="s">
        <v>4096</v>
      </c>
      <c r="M1154" s="784">
        <v>20932.650000000001</v>
      </c>
      <c r="N1154" s="784">
        <v>18.100000000000001</v>
      </c>
      <c r="O1154" s="784">
        <v>2.57</v>
      </c>
      <c r="P1154" s="783">
        <v>450</v>
      </c>
      <c r="Q1154" s="783">
        <v>860.33</v>
      </c>
      <c r="R1154" s="783">
        <v>291.88</v>
      </c>
      <c r="S1154" s="783">
        <v>306.79000000000002</v>
      </c>
      <c r="T1154" s="783">
        <v>261.66000000000003</v>
      </c>
      <c r="U1154" s="785">
        <v>44683.420405092598</v>
      </c>
    </row>
    <row r="1155" spans="1:21">
      <c r="A1155" s="782">
        <v>44680</v>
      </c>
      <c r="B1155" s="783" t="s">
        <v>34</v>
      </c>
      <c r="C1155" s="783" t="s">
        <v>4082</v>
      </c>
      <c r="D1155" s="783" t="s">
        <v>4009</v>
      </c>
      <c r="E1155" s="783" t="s">
        <v>6480</v>
      </c>
      <c r="F1155" s="783" t="s">
        <v>4011</v>
      </c>
      <c r="G1155" s="783" t="str">
        <f t="shared" si="65"/>
        <v>New Contract</v>
      </c>
      <c r="H1155" s="783" t="s">
        <v>6481</v>
      </c>
      <c r="I1155" s="783" t="s">
        <v>6482</v>
      </c>
      <c r="J1155" s="783">
        <v>20</v>
      </c>
      <c r="K1155" s="783" t="s">
        <v>192</v>
      </c>
      <c r="L1155" s="783" t="s">
        <v>4096</v>
      </c>
      <c r="M1155" s="784">
        <v>32040.959999999999</v>
      </c>
      <c r="N1155" s="784">
        <v>30.43</v>
      </c>
      <c r="O1155" s="784">
        <v>3.22</v>
      </c>
      <c r="P1155" s="783">
        <v>327</v>
      </c>
      <c r="Q1155" s="783">
        <v>1746.23</v>
      </c>
      <c r="R1155" s="783">
        <v>795.09</v>
      </c>
      <c r="S1155" s="783">
        <v>419.27</v>
      </c>
      <c r="T1155" s="783">
        <v>531.88</v>
      </c>
      <c r="U1155" s="785">
        <v>44680.727581018502</v>
      </c>
    </row>
    <row r="1156" spans="1:21">
      <c r="A1156" s="782">
        <v>44679</v>
      </c>
      <c r="B1156" s="783" t="s">
        <v>74</v>
      </c>
      <c r="C1156" s="783" t="s">
        <v>4097</v>
      </c>
      <c r="D1156" s="783" t="s">
        <v>4038</v>
      </c>
      <c r="E1156" s="783" t="s">
        <v>6483</v>
      </c>
      <c r="F1156" s="783" t="s">
        <v>4011</v>
      </c>
      <c r="G1156" s="783" t="str">
        <f t="shared" si="65"/>
        <v>Renewal (25% in 2020)</v>
      </c>
      <c r="H1156" s="783" t="s">
        <v>6484</v>
      </c>
      <c r="I1156" s="783" t="s">
        <v>6485</v>
      </c>
      <c r="J1156" s="783">
        <v>25</v>
      </c>
      <c r="K1156" s="783" t="s">
        <v>192</v>
      </c>
      <c r="L1156" s="783" t="s">
        <v>4096</v>
      </c>
      <c r="M1156" s="784">
        <v>29000.16</v>
      </c>
      <c r="N1156" s="784">
        <v>28</v>
      </c>
      <c r="O1156" s="784">
        <v>4.1100000000000003</v>
      </c>
      <c r="P1156" s="783">
        <v>252</v>
      </c>
      <c r="Q1156" s="783">
        <v>1252.81</v>
      </c>
      <c r="R1156" s="783">
        <v>901.9</v>
      </c>
      <c r="S1156" s="783">
        <v>139.19999999999999</v>
      </c>
      <c r="T1156" s="783">
        <v>211.7</v>
      </c>
      <c r="U1156" s="785">
        <v>44680.720347222203</v>
      </c>
    </row>
    <row r="1157" spans="1:21">
      <c r="A1157" s="782">
        <v>44680</v>
      </c>
      <c r="B1157" s="783" t="s">
        <v>74</v>
      </c>
      <c r="C1157" s="783" t="s">
        <v>4097</v>
      </c>
      <c r="D1157" s="783" t="s">
        <v>4038</v>
      </c>
      <c r="E1157" s="783" t="s">
        <v>4747</v>
      </c>
      <c r="F1157" s="783" t="s">
        <v>4066</v>
      </c>
      <c r="G1157" s="783" t="str">
        <f t="shared" si="65"/>
        <v>Renewal (15% in 2020)</v>
      </c>
      <c r="H1157" s="783" t="s">
        <v>4748</v>
      </c>
      <c r="I1157" s="783" t="s">
        <v>4749</v>
      </c>
      <c r="J1157" s="783">
        <v>5</v>
      </c>
      <c r="K1157" s="783" t="s">
        <v>192</v>
      </c>
      <c r="L1157" s="783" t="s">
        <v>4096</v>
      </c>
      <c r="M1157" s="784">
        <v>27288.15</v>
      </c>
      <c r="N1157" s="784">
        <v>16.690000000000001</v>
      </c>
      <c r="O1157" s="784">
        <v>5</v>
      </c>
      <c r="P1157" s="783">
        <v>327</v>
      </c>
      <c r="Q1157" s="783">
        <v>589.41999999999996</v>
      </c>
      <c r="R1157" s="783">
        <v>0</v>
      </c>
      <c r="S1157" s="783">
        <v>0</v>
      </c>
      <c r="T1157" s="783">
        <v>589.41999999999996</v>
      </c>
      <c r="U1157" s="785">
        <v>44683.4930902778</v>
      </c>
    </row>
    <row r="1158" spans="1:21">
      <c r="A1158" s="782">
        <v>44699</v>
      </c>
      <c r="B1158" s="783" t="s">
        <v>34</v>
      </c>
      <c r="C1158" s="783" t="s">
        <v>4139</v>
      </c>
      <c r="D1158" s="783" t="s">
        <v>4009</v>
      </c>
      <c r="E1158" s="783" t="s">
        <v>6486</v>
      </c>
      <c r="F1158" s="783" t="s">
        <v>4011</v>
      </c>
      <c r="G1158" s="783" t="str">
        <f t="shared" si="65"/>
        <v>Renewal (20% in 2020)</v>
      </c>
      <c r="H1158" s="783" t="s">
        <v>6487</v>
      </c>
      <c r="I1158" s="783" t="s">
        <v>6488</v>
      </c>
      <c r="J1158" s="783">
        <v>20</v>
      </c>
      <c r="K1158" s="783" t="s">
        <v>192</v>
      </c>
      <c r="L1158" s="783" t="s">
        <v>4096</v>
      </c>
      <c r="M1158" s="784">
        <v>126728.55</v>
      </c>
      <c r="N1158" s="784">
        <v>72.209999999999994</v>
      </c>
      <c r="O1158" s="784">
        <v>3.51</v>
      </c>
      <c r="P1158" s="783">
        <v>500</v>
      </c>
      <c r="Q1158" s="783">
        <v>5423.98</v>
      </c>
      <c r="R1158" s="783">
        <v>1654.26</v>
      </c>
      <c r="S1158" s="783">
        <v>2109.5700000000002</v>
      </c>
      <c r="T1158" s="783">
        <v>1660.14</v>
      </c>
      <c r="U1158" s="785">
        <v>44700.617939814802</v>
      </c>
    </row>
    <row r="1159" spans="1:21">
      <c r="A1159" s="782">
        <v>44712</v>
      </c>
      <c r="B1159" s="783" t="s">
        <v>34</v>
      </c>
      <c r="C1159" s="783" t="s">
        <v>4082</v>
      </c>
      <c r="D1159" s="783" t="s">
        <v>4009</v>
      </c>
      <c r="E1159" s="783" t="s">
        <v>6489</v>
      </c>
      <c r="F1159" s="783" t="s">
        <v>4011</v>
      </c>
      <c r="G1159" s="783" t="s">
        <v>4028</v>
      </c>
      <c r="H1159" s="783" t="s">
        <v>6490</v>
      </c>
      <c r="I1159" s="783" t="s">
        <v>6491</v>
      </c>
      <c r="J1159" s="783">
        <v>25</v>
      </c>
      <c r="K1159" s="783" t="s">
        <v>192</v>
      </c>
      <c r="L1159" s="783" t="s">
        <v>4096</v>
      </c>
      <c r="M1159" s="784">
        <v>67296.759999999995</v>
      </c>
      <c r="N1159" s="784">
        <v>37.979999999999997</v>
      </c>
      <c r="O1159" s="784">
        <v>3.77</v>
      </c>
      <c r="P1159" s="783">
        <v>470</v>
      </c>
      <c r="Q1159" s="783">
        <v>2826.46</v>
      </c>
      <c r="R1159" s="783">
        <v>1161.8599999999999</v>
      </c>
      <c r="S1159" s="783">
        <v>1388.69</v>
      </c>
      <c r="T1159" s="783">
        <v>275.92</v>
      </c>
      <c r="U1159" s="785">
        <v>44714.671759259298</v>
      </c>
    </row>
    <row r="1160" spans="1:21">
      <c r="A1160" s="782">
        <v>44712</v>
      </c>
      <c r="B1160" s="783" t="s">
        <v>4025</v>
      </c>
      <c r="C1160" s="783" t="s">
        <v>4026</v>
      </c>
      <c r="D1160" s="783" t="s">
        <v>4021</v>
      </c>
      <c r="E1160" s="783" t="s">
        <v>4775</v>
      </c>
      <c r="F1160" s="783" t="s">
        <v>4011</v>
      </c>
      <c r="G1160" s="783" t="s">
        <v>4028</v>
      </c>
      <c r="H1160" s="783" t="s">
        <v>4776</v>
      </c>
      <c r="I1160" s="783" t="s">
        <v>4777</v>
      </c>
      <c r="J1160" s="783">
        <v>20</v>
      </c>
      <c r="K1160" s="783" t="s">
        <v>192</v>
      </c>
      <c r="L1160" s="783" t="s">
        <v>4096</v>
      </c>
      <c r="M1160" s="784">
        <v>65472.3</v>
      </c>
      <c r="N1160" s="784">
        <v>53.1</v>
      </c>
      <c r="O1160" s="784">
        <v>2.74</v>
      </c>
      <c r="P1160" s="783">
        <v>450</v>
      </c>
      <c r="Q1160" s="783">
        <v>4222.96</v>
      </c>
      <c r="R1160" s="783">
        <v>1341.92</v>
      </c>
      <c r="S1160" s="783">
        <v>1440.65</v>
      </c>
      <c r="T1160" s="783">
        <v>1440.39</v>
      </c>
      <c r="U1160" s="785">
        <v>44714.568171296298</v>
      </c>
    </row>
    <row r="1161" spans="1:21">
      <c r="A1161" s="782">
        <v>44681</v>
      </c>
      <c r="B1161" s="783" t="s">
        <v>4025</v>
      </c>
      <c r="C1161" s="783" t="s">
        <v>4026</v>
      </c>
      <c r="D1161" s="783" t="s">
        <v>4021</v>
      </c>
      <c r="E1161" s="783" t="s">
        <v>4231</v>
      </c>
      <c r="F1161" s="783" t="s">
        <v>4011</v>
      </c>
      <c r="G1161" s="783" t="str">
        <f>VLOOKUP(I1161,pacage,2,FALSE)</f>
        <v>New Contract</v>
      </c>
      <c r="H1161" s="783" t="s">
        <v>4232</v>
      </c>
      <c r="I1161" s="783" t="s">
        <v>4233</v>
      </c>
      <c r="J1161" s="783">
        <v>25</v>
      </c>
      <c r="K1161" s="783" t="s">
        <v>192</v>
      </c>
      <c r="L1161" s="783" t="s">
        <v>4096</v>
      </c>
      <c r="M1161" s="784">
        <v>27535.14</v>
      </c>
      <c r="N1161" s="784">
        <v>45.11</v>
      </c>
      <c r="O1161" s="784">
        <v>2.1800000000000002</v>
      </c>
      <c r="P1161" s="783">
        <v>280</v>
      </c>
      <c r="Q1161" s="783">
        <v>1387.77</v>
      </c>
      <c r="R1161" s="783">
        <v>907.01</v>
      </c>
      <c r="S1161" s="783">
        <v>263.24</v>
      </c>
      <c r="T1161" s="783">
        <v>217.53</v>
      </c>
      <c r="U1161" s="785">
        <v>44713.630902777797</v>
      </c>
    </row>
    <row r="1162" spans="1:21">
      <c r="A1162" s="782">
        <v>44713</v>
      </c>
      <c r="B1162" s="783" t="s">
        <v>41</v>
      </c>
      <c r="C1162" s="783" t="s">
        <v>4092</v>
      </c>
      <c r="D1162" s="783" t="s">
        <v>4009</v>
      </c>
      <c r="E1162" s="783" t="s">
        <v>6492</v>
      </c>
      <c r="F1162" s="783" t="s">
        <v>4011</v>
      </c>
      <c r="G1162" s="783" t="str">
        <f>VLOOKUP(I1162,pacage,2,FALSE)</f>
        <v>New contract</v>
      </c>
      <c r="H1162" s="783" t="s">
        <v>6493</v>
      </c>
      <c r="I1162" s="783" t="s">
        <v>6494</v>
      </c>
      <c r="J1162" s="783">
        <v>25</v>
      </c>
      <c r="K1162" s="783" t="s">
        <v>192</v>
      </c>
      <c r="L1162" s="783" t="s">
        <v>4096</v>
      </c>
      <c r="M1162" s="784">
        <v>12580.44</v>
      </c>
      <c r="N1162" s="784">
        <v>13.64</v>
      </c>
      <c r="O1162" s="784">
        <v>3.66</v>
      </c>
      <c r="P1162" s="783">
        <v>252</v>
      </c>
      <c r="Q1162" s="783">
        <v>561.09</v>
      </c>
      <c r="R1162" s="783">
        <v>428.99</v>
      </c>
      <c r="S1162" s="783">
        <v>76.739999999999995</v>
      </c>
      <c r="T1162" s="783">
        <v>55.35</v>
      </c>
      <c r="U1162" s="785">
        <v>44715.4397916667</v>
      </c>
    </row>
    <row r="1163" spans="1:21">
      <c r="A1163" s="782">
        <v>44713</v>
      </c>
      <c r="B1163" s="783" t="s">
        <v>74</v>
      </c>
      <c r="C1163" s="783" t="s">
        <v>4097</v>
      </c>
      <c r="D1163" s="783" t="s">
        <v>4038</v>
      </c>
      <c r="E1163" s="783" t="s">
        <v>4380</v>
      </c>
      <c r="F1163" s="783" t="s">
        <v>4011</v>
      </c>
      <c r="G1163" s="783" t="s">
        <v>4028</v>
      </c>
      <c r="H1163" s="783" t="s">
        <v>4381</v>
      </c>
      <c r="I1163" s="783" t="s">
        <v>4382</v>
      </c>
      <c r="J1163" s="783">
        <v>25</v>
      </c>
      <c r="K1163" s="783" t="s">
        <v>192</v>
      </c>
      <c r="L1163" s="783" t="s">
        <v>4096</v>
      </c>
      <c r="M1163" s="784">
        <v>9998.91</v>
      </c>
      <c r="N1163" s="784">
        <v>12.77</v>
      </c>
      <c r="O1163" s="784">
        <v>2.61</v>
      </c>
      <c r="P1163" s="783">
        <v>300</v>
      </c>
      <c r="Q1163" s="783">
        <v>431.95</v>
      </c>
      <c r="R1163" s="783">
        <v>261.20999999999998</v>
      </c>
      <c r="S1163" s="783">
        <v>97.75</v>
      </c>
      <c r="T1163" s="783">
        <v>72.989999999999995</v>
      </c>
      <c r="U1163" s="785">
        <v>44715.4062962963</v>
      </c>
    </row>
    <row r="1164" spans="1:21">
      <c r="A1164" s="782">
        <v>44712</v>
      </c>
      <c r="B1164" s="783" t="s">
        <v>34</v>
      </c>
      <c r="C1164" s="783" t="s">
        <v>4082</v>
      </c>
      <c r="D1164" s="783" t="s">
        <v>4009</v>
      </c>
      <c r="E1164" s="783" t="s">
        <v>4083</v>
      </c>
      <c r="F1164" s="783" t="s">
        <v>4011</v>
      </c>
      <c r="G1164" s="783" t="s">
        <v>4028</v>
      </c>
      <c r="H1164" s="783" t="s">
        <v>4084</v>
      </c>
      <c r="I1164" s="783" t="s">
        <v>4085</v>
      </c>
      <c r="J1164" s="783">
        <v>25</v>
      </c>
      <c r="K1164" s="783" t="s">
        <v>192</v>
      </c>
      <c r="L1164" s="783" t="s">
        <v>4096</v>
      </c>
      <c r="M1164" s="784">
        <v>35486.21</v>
      </c>
      <c r="N1164" s="784">
        <v>24.48</v>
      </c>
      <c r="O1164" s="784">
        <v>3.02</v>
      </c>
      <c r="P1164" s="783">
        <v>480</v>
      </c>
      <c r="Q1164" s="783">
        <v>1490.42</v>
      </c>
      <c r="R1164" s="783">
        <v>599.89</v>
      </c>
      <c r="S1164" s="783">
        <v>745.03</v>
      </c>
      <c r="T1164" s="783">
        <v>145.49</v>
      </c>
      <c r="U1164" s="785">
        <v>44714.003946759301</v>
      </c>
    </row>
    <row r="1165" spans="1:21">
      <c r="A1165" s="782">
        <v>44698</v>
      </c>
      <c r="B1165" s="783" t="s">
        <v>41</v>
      </c>
      <c r="C1165" s="783" t="s">
        <v>4071</v>
      </c>
      <c r="D1165" s="783" t="s">
        <v>4009</v>
      </c>
      <c r="E1165" s="783" t="s">
        <v>6495</v>
      </c>
      <c r="F1165" s="783" t="s">
        <v>4011</v>
      </c>
      <c r="G1165" s="783" t="str">
        <f t="shared" ref="G1165:G1170" si="66">VLOOKUP(I1165,pacage,2,FALSE)</f>
        <v>Renewal (20% in 2020)</v>
      </c>
      <c r="H1165" s="783" t="s">
        <v>6496</v>
      </c>
      <c r="I1165" s="783" t="s">
        <v>6497</v>
      </c>
      <c r="J1165" s="783">
        <v>20</v>
      </c>
      <c r="K1165" s="783" t="s">
        <v>192</v>
      </c>
      <c r="L1165" s="783" t="s">
        <v>4096</v>
      </c>
      <c r="M1165" s="784">
        <v>133447.07999999999</v>
      </c>
      <c r="N1165" s="784">
        <v>84.89</v>
      </c>
      <c r="O1165" s="784">
        <v>3.93</v>
      </c>
      <c r="P1165" s="783">
        <v>400</v>
      </c>
      <c r="Q1165" s="783">
        <v>5484.67</v>
      </c>
      <c r="R1165" s="783">
        <v>2093.38</v>
      </c>
      <c r="S1165" s="783">
        <v>1723.2</v>
      </c>
      <c r="T1165" s="783">
        <v>1668.09</v>
      </c>
      <c r="U1165" s="785">
        <v>44699.4859027778</v>
      </c>
    </row>
    <row r="1166" spans="1:21">
      <c r="A1166" s="782">
        <v>44698</v>
      </c>
      <c r="B1166" s="783" t="s">
        <v>41</v>
      </c>
      <c r="C1166" s="783" t="s">
        <v>4071</v>
      </c>
      <c r="D1166" s="783" t="s">
        <v>4009</v>
      </c>
      <c r="E1166" s="783" t="s">
        <v>6498</v>
      </c>
      <c r="F1166" s="783" t="s">
        <v>4011</v>
      </c>
      <c r="G1166" s="783" t="str">
        <f t="shared" si="66"/>
        <v>Renewal (20% in 2020)</v>
      </c>
      <c r="H1166" s="783" t="s">
        <v>6499</v>
      </c>
      <c r="I1166" s="783" t="s">
        <v>6500</v>
      </c>
      <c r="J1166" s="783">
        <v>20</v>
      </c>
      <c r="K1166" s="783" t="s">
        <v>192</v>
      </c>
      <c r="L1166" s="783" t="s">
        <v>4096</v>
      </c>
      <c r="M1166" s="784">
        <v>49293.599999999999</v>
      </c>
      <c r="N1166" s="784">
        <v>34.96</v>
      </c>
      <c r="O1166" s="784">
        <v>2.82</v>
      </c>
      <c r="P1166" s="783">
        <v>500</v>
      </c>
      <c r="Q1166" s="783">
        <v>2025.97</v>
      </c>
      <c r="R1166" s="783">
        <v>618.61</v>
      </c>
      <c r="S1166" s="783">
        <v>791.18</v>
      </c>
      <c r="T1166" s="783">
        <v>616.16999999999996</v>
      </c>
      <c r="U1166" s="785">
        <v>44699.751469907402</v>
      </c>
    </row>
    <row r="1167" spans="1:21">
      <c r="A1167" s="782">
        <v>44658</v>
      </c>
      <c r="B1167" s="783" t="s">
        <v>41</v>
      </c>
      <c r="C1167" s="783" t="s">
        <v>4092</v>
      </c>
      <c r="D1167" s="783" t="s">
        <v>4009</v>
      </c>
      <c r="E1167" s="783" t="s">
        <v>6501</v>
      </c>
      <c r="F1167" s="783" t="s">
        <v>4011</v>
      </c>
      <c r="G1167" s="783" t="str">
        <f t="shared" si="66"/>
        <v>Renewal (20% in 2020)</v>
      </c>
      <c r="H1167" s="783" t="s">
        <v>6502</v>
      </c>
      <c r="I1167" s="783" t="s">
        <v>6503</v>
      </c>
      <c r="J1167" s="783">
        <v>20</v>
      </c>
      <c r="K1167" s="783" t="s">
        <v>192</v>
      </c>
      <c r="L1167" s="783" t="s">
        <v>4096</v>
      </c>
      <c r="M1167" s="784">
        <v>32130</v>
      </c>
      <c r="N1167" s="784">
        <v>22.95</v>
      </c>
      <c r="O1167" s="784">
        <v>2.8</v>
      </c>
      <c r="P1167" s="783">
        <v>500</v>
      </c>
      <c r="Q1167" s="783">
        <v>1850.69</v>
      </c>
      <c r="R1167" s="783">
        <v>552.20000000000005</v>
      </c>
      <c r="S1167" s="783">
        <v>739.43</v>
      </c>
      <c r="T1167" s="783">
        <v>559.05999999999995</v>
      </c>
      <c r="U1167" s="785">
        <v>44659.401261574101</v>
      </c>
    </row>
    <row r="1168" spans="1:21">
      <c r="A1168" s="782">
        <v>44711</v>
      </c>
      <c r="B1168" s="783" t="s">
        <v>74</v>
      </c>
      <c r="C1168" s="783" t="s">
        <v>4097</v>
      </c>
      <c r="D1168" s="783" t="s">
        <v>4038</v>
      </c>
      <c r="E1168" s="783" t="s">
        <v>6504</v>
      </c>
      <c r="F1168" s="783" t="s">
        <v>4011</v>
      </c>
      <c r="G1168" s="783" t="str">
        <f t="shared" si="66"/>
        <v>Renewal (15% in 2020)</v>
      </c>
      <c r="H1168" s="783" t="s">
        <v>6505</v>
      </c>
      <c r="I1168" s="783" t="s">
        <v>6506</v>
      </c>
      <c r="J1168" s="783">
        <v>20</v>
      </c>
      <c r="K1168" s="783" t="s">
        <v>192</v>
      </c>
      <c r="L1168" s="783" t="s">
        <v>4096</v>
      </c>
      <c r="M1168" s="784">
        <v>43464.6</v>
      </c>
      <c r="N1168" s="784">
        <v>26.83</v>
      </c>
      <c r="O1168" s="784">
        <v>3.6</v>
      </c>
      <c r="P1168" s="783">
        <v>450</v>
      </c>
      <c r="Q1168" s="783">
        <v>2394.9</v>
      </c>
      <c r="R1168" s="783">
        <v>756.98</v>
      </c>
      <c r="S1168" s="783">
        <v>803.4</v>
      </c>
      <c r="T1168" s="783">
        <v>834.52</v>
      </c>
      <c r="U1168" s="785">
        <v>44714.000162037002</v>
      </c>
    </row>
    <row r="1169" spans="1:21">
      <c r="A1169" s="782">
        <v>44673</v>
      </c>
      <c r="B1169" s="783" t="s">
        <v>882</v>
      </c>
      <c r="C1169" s="783" t="s">
        <v>4052</v>
      </c>
      <c r="D1169" s="783" t="s">
        <v>4021</v>
      </c>
      <c r="E1169" s="783" t="s">
        <v>6507</v>
      </c>
      <c r="F1169" s="783" t="s">
        <v>4011</v>
      </c>
      <c r="G1169" s="783" t="str">
        <f t="shared" si="66"/>
        <v>Renewal (25% in 2020)</v>
      </c>
      <c r="H1169" s="783" t="s">
        <v>6508</v>
      </c>
      <c r="I1169" s="783" t="s">
        <v>6509</v>
      </c>
      <c r="J1169" s="783">
        <v>25</v>
      </c>
      <c r="K1169" s="783" t="s">
        <v>192</v>
      </c>
      <c r="L1169" s="783" t="s">
        <v>4096</v>
      </c>
      <c r="M1169" s="784">
        <v>68603.28</v>
      </c>
      <c r="N1169" s="784">
        <v>58.04</v>
      </c>
      <c r="O1169" s="784">
        <v>3.94</v>
      </c>
      <c r="P1169" s="783">
        <v>300</v>
      </c>
      <c r="Q1169" s="783">
        <v>2833.32</v>
      </c>
      <c r="R1169" s="783">
        <v>1832.53</v>
      </c>
      <c r="S1169" s="783">
        <v>685.21</v>
      </c>
      <c r="T1169" s="783">
        <v>315.58</v>
      </c>
      <c r="U1169" s="785">
        <v>44676.705787036997</v>
      </c>
    </row>
    <row r="1170" spans="1:21">
      <c r="A1170" s="782">
        <v>44630</v>
      </c>
      <c r="B1170" s="783" t="s">
        <v>41</v>
      </c>
      <c r="C1170" s="783" t="s">
        <v>4071</v>
      </c>
      <c r="D1170" s="783" t="s">
        <v>4009</v>
      </c>
      <c r="E1170" s="783" t="s">
        <v>6510</v>
      </c>
      <c r="F1170" s="783" t="s">
        <v>4011</v>
      </c>
      <c r="G1170" s="783" t="str">
        <f t="shared" si="66"/>
        <v>Renewal (30% in 2020)</v>
      </c>
      <c r="H1170" s="783" t="s">
        <v>6511</v>
      </c>
      <c r="I1170" s="783" t="s">
        <v>6512</v>
      </c>
      <c r="J1170" s="783">
        <v>25</v>
      </c>
      <c r="K1170" s="783" t="s">
        <v>192</v>
      </c>
      <c r="L1170" s="783" t="s">
        <v>4096</v>
      </c>
      <c r="M1170" s="784">
        <v>66904.2</v>
      </c>
      <c r="N1170" s="784">
        <v>61.38</v>
      </c>
      <c r="O1170" s="784">
        <v>2.1800000000000002</v>
      </c>
      <c r="P1170" s="783">
        <v>500</v>
      </c>
      <c r="Q1170" s="783">
        <v>2134.2399999999998</v>
      </c>
      <c r="R1170" s="783">
        <v>839.62</v>
      </c>
      <c r="S1170" s="783">
        <v>1073.8399999999999</v>
      </c>
      <c r="T1170" s="783">
        <v>220.78</v>
      </c>
      <c r="U1170" s="785">
        <v>44631.631307870397</v>
      </c>
    </row>
    <row r="1171" spans="1:21">
      <c r="A1171" s="782">
        <v>44700</v>
      </c>
      <c r="B1171" s="783" t="s">
        <v>74</v>
      </c>
      <c r="C1171" s="783" t="s">
        <v>4037</v>
      </c>
      <c r="D1171" s="783" t="s">
        <v>4038</v>
      </c>
      <c r="E1171" s="783" t="s">
        <v>4750</v>
      </c>
      <c r="F1171" s="783" t="s">
        <v>4011</v>
      </c>
      <c r="G1171" s="783" t="s">
        <v>4028</v>
      </c>
      <c r="H1171" s="783" t="s">
        <v>4751</v>
      </c>
      <c r="I1171" s="783" t="s">
        <v>4752</v>
      </c>
      <c r="J1171" s="783">
        <v>25</v>
      </c>
      <c r="K1171" s="783" t="s">
        <v>192</v>
      </c>
      <c r="L1171" s="783" t="s">
        <v>4096</v>
      </c>
      <c r="M1171" s="784">
        <v>37975</v>
      </c>
      <c r="N1171" s="784">
        <v>43.4</v>
      </c>
      <c r="O1171" s="784">
        <v>2.5</v>
      </c>
      <c r="P1171" s="783">
        <v>350</v>
      </c>
      <c r="Q1171" s="783">
        <v>2415.21</v>
      </c>
      <c r="R1171" s="783">
        <v>1192.1099999999999</v>
      </c>
      <c r="S1171" s="783">
        <v>729.42</v>
      </c>
      <c r="T1171" s="783">
        <v>493.68</v>
      </c>
      <c r="U1171" s="785">
        <v>44708.963460648098</v>
      </c>
    </row>
    <row r="1172" spans="1:21">
      <c r="A1172" s="782">
        <v>44698</v>
      </c>
      <c r="B1172" s="783" t="s">
        <v>74</v>
      </c>
      <c r="C1172" s="783" t="s">
        <v>4097</v>
      </c>
      <c r="D1172" s="783" t="s">
        <v>4038</v>
      </c>
      <c r="E1172" s="783" t="s">
        <v>6513</v>
      </c>
      <c r="F1172" s="783" t="s">
        <v>4011</v>
      </c>
      <c r="G1172" s="783" t="str">
        <f>VLOOKUP(I1172,pacage,2,FALSE)</f>
        <v>New contract</v>
      </c>
      <c r="H1172" s="783" t="s">
        <v>6514</v>
      </c>
      <c r="I1172" s="783" t="s">
        <v>6515</v>
      </c>
      <c r="J1172" s="783">
        <v>25</v>
      </c>
      <c r="K1172" s="783" t="s">
        <v>192</v>
      </c>
      <c r="L1172" s="783" t="s">
        <v>4096</v>
      </c>
      <c r="M1172" s="784">
        <v>53135.85</v>
      </c>
      <c r="N1172" s="784">
        <v>40.340000000000003</v>
      </c>
      <c r="O1172" s="784">
        <v>3.56</v>
      </c>
      <c r="P1172" s="783">
        <v>370</v>
      </c>
      <c r="Q1172" s="783">
        <v>2295.4699999999998</v>
      </c>
      <c r="R1172" s="783">
        <v>1125.5</v>
      </c>
      <c r="S1172" s="783">
        <v>782.07</v>
      </c>
      <c r="T1172" s="783">
        <v>387.89</v>
      </c>
      <c r="U1172" s="785">
        <v>44708.971851851798</v>
      </c>
    </row>
    <row r="1173" spans="1:21">
      <c r="A1173" s="782">
        <v>44565</v>
      </c>
      <c r="B1173" s="783" t="s">
        <v>41</v>
      </c>
      <c r="C1173" s="783" t="s">
        <v>4071</v>
      </c>
      <c r="D1173" s="783" t="s">
        <v>4009</v>
      </c>
      <c r="E1173" s="783" t="s">
        <v>6516</v>
      </c>
      <c r="F1173" s="783" t="s">
        <v>4011</v>
      </c>
      <c r="G1173" s="783" t="str">
        <f>VLOOKUP(I1173,pacage,2,FALSE)</f>
        <v>Renewal (20% in 2020)</v>
      </c>
      <c r="H1173" s="783" t="s">
        <v>6517</v>
      </c>
      <c r="I1173" s="783" t="s">
        <v>6518</v>
      </c>
      <c r="J1173" s="783">
        <v>20</v>
      </c>
      <c r="K1173" s="783" t="s">
        <v>192</v>
      </c>
      <c r="L1173" s="783" t="s">
        <v>4096</v>
      </c>
      <c r="M1173" s="784">
        <v>149070.25</v>
      </c>
      <c r="N1173" s="784">
        <v>105.35</v>
      </c>
      <c r="O1173" s="784">
        <v>2.83</v>
      </c>
      <c r="P1173" s="783">
        <v>500</v>
      </c>
      <c r="Q1173" s="783">
        <v>6126.79</v>
      </c>
      <c r="R1173" s="783">
        <v>1870.77</v>
      </c>
      <c r="S1173" s="783">
        <v>2392.64</v>
      </c>
      <c r="T1173" s="783">
        <v>1863.38</v>
      </c>
      <c r="U1173" s="785">
        <v>44631.632777777799</v>
      </c>
    </row>
    <row r="1174" spans="1:21">
      <c r="A1174" s="782">
        <v>44560</v>
      </c>
      <c r="B1174" s="783" t="s">
        <v>4025</v>
      </c>
      <c r="C1174" s="783" t="s">
        <v>4026</v>
      </c>
      <c r="D1174" s="783" t="s">
        <v>4021</v>
      </c>
      <c r="E1174" s="783" t="s">
        <v>4781</v>
      </c>
      <c r="F1174" s="783" t="s">
        <v>4011</v>
      </c>
      <c r="G1174" s="783" t="s">
        <v>4028</v>
      </c>
      <c r="H1174" s="783" t="s">
        <v>4782</v>
      </c>
      <c r="I1174" s="783" t="s">
        <v>4783</v>
      </c>
      <c r="J1174" s="783">
        <v>25</v>
      </c>
      <c r="K1174" s="783" t="s">
        <v>192</v>
      </c>
      <c r="L1174" s="783" t="s">
        <v>4096</v>
      </c>
      <c r="M1174" s="784">
        <v>24671.759999999998</v>
      </c>
      <c r="N1174" s="784">
        <v>19.96</v>
      </c>
      <c r="O1174" s="784">
        <v>3.78</v>
      </c>
      <c r="P1174" s="783">
        <v>327</v>
      </c>
      <c r="Q1174" s="783">
        <v>1243.46</v>
      </c>
      <c r="R1174" s="783">
        <v>695.88</v>
      </c>
      <c r="S1174" s="783">
        <v>352.67</v>
      </c>
      <c r="T1174" s="783">
        <v>194.91</v>
      </c>
      <c r="U1174" s="785">
        <v>44631.635659722197</v>
      </c>
    </row>
    <row r="1175" spans="1:21">
      <c r="A1175" s="782">
        <v>44525</v>
      </c>
      <c r="B1175" s="783" t="s">
        <v>74</v>
      </c>
      <c r="C1175" s="783" t="s">
        <v>4037</v>
      </c>
      <c r="D1175" s="783" t="s">
        <v>4038</v>
      </c>
      <c r="E1175" s="783" t="s">
        <v>6519</v>
      </c>
      <c r="F1175" s="783" t="s">
        <v>4011</v>
      </c>
      <c r="G1175" s="783" t="str">
        <f>VLOOKUP(I1175,pacage,2,FALSE)</f>
        <v>Renewal (25% in 2020)</v>
      </c>
      <c r="H1175" s="783" t="s">
        <v>6520</v>
      </c>
      <c r="I1175" s="783" t="s">
        <v>6521</v>
      </c>
      <c r="J1175" s="783">
        <v>20</v>
      </c>
      <c r="K1175" s="783" t="s">
        <v>192</v>
      </c>
      <c r="L1175" s="783" t="s">
        <v>4096</v>
      </c>
      <c r="M1175" s="784">
        <v>9492.48</v>
      </c>
      <c r="N1175" s="784">
        <v>9.27</v>
      </c>
      <c r="O1175" s="784">
        <v>3.2</v>
      </c>
      <c r="P1175" s="783">
        <v>320</v>
      </c>
      <c r="Q1175" s="783">
        <v>699.6</v>
      </c>
      <c r="R1175" s="783">
        <v>325.92</v>
      </c>
      <c r="S1175" s="783">
        <v>154.4</v>
      </c>
      <c r="T1175" s="783">
        <v>219.28</v>
      </c>
      <c r="U1175" s="785">
        <v>44631.636157407404</v>
      </c>
    </row>
    <row r="1176" spans="1:21">
      <c r="A1176" s="782">
        <v>44557</v>
      </c>
      <c r="B1176" s="783" t="s">
        <v>30</v>
      </c>
      <c r="C1176" s="783" t="s">
        <v>4089</v>
      </c>
      <c r="D1176" s="783" t="s">
        <v>4021</v>
      </c>
      <c r="E1176" s="783" t="s">
        <v>3187</v>
      </c>
      <c r="F1176" s="783" t="s">
        <v>4011</v>
      </c>
      <c r="G1176" s="783" t="s">
        <v>4028</v>
      </c>
      <c r="H1176" s="783" t="s">
        <v>4090</v>
      </c>
      <c r="I1176" s="783" t="s">
        <v>4091</v>
      </c>
      <c r="J1176" s="783">
        <v>20</v>
      </c>
      <c r="K1176" s="783" t="s">
        <v>192</v>
      </c>
      <c r="L1176" s="783" t="s">
        <v>4096</v>
      </c>
      <c r="M1176" s="784">
        <v>55865.7</v>
      </c>
      <c r="N1176" s="784">
        <v>32.67</v>
      </c>
      <c r="O1176" s="784">
        <v>3.8</v>
      </c>
      <c r="P1176" s="783">
        <v>450</v>
      </c>
      <c r="Q1176" s="783">
        <v>3111.72</v>
      </c>
      <c r="R1176" s="783">
        <v>1004.24</v>
      </c>
      <c r="S1176" s="783">
        <v>1073.96</v>
      </c>
      <c r="T1176" s="783">
        <v>1033.52</v>
      </c>
      <c r="U1176" s="785">
        <v>44631.637013888903</v>
      </c>
    </row>
    <row r="1177" spans="1:21">
      <c r="A1177" s="782">
        <v>44551</v>
      </c>
      <c r="B1177" s="783" t="s">
        <v>74</v>
      </c>
      <c r="C1177" s="783" t="s">
        <v>4097</v>
      </c>
      <c r="D1177" s="783" t="s">
        <v>4038</v>
      </c>
      <c r="E1177" s="783" t="s">
        <v>6522</v>
      </c>
      <c r="F1177" s="783" t="s">
        <v>4011</v>
      </c>
      <c r="G1177" s="783" t="str">
        <f>VLOOKUP(I1177,pacage,2,FALSE)</f>
        <v>New contract</v>
      </c>
      <c r="H1177" s="783" t="s">
        <v>6523</v>
      </c>
      <c r="I1177" s="783" t="s">
        <v>6524</v>
      </c>
      <c r="J1177" s="783">
        <v>20</v>
      </c>
      <c r="K1177" s="783" t="s">
        <v>192</v>
      </c>
      <c r="L1177" s="783" t="s">
        <v>4096</v>
      </c>
      <c r="M1177" s="784">
        <v>24500</v>
      </c>
      <c r="N1177" s="784">
        <v>20</v>
      </c>
      <c r="O1177" s="784">
        <v>3.5</v>
      </c>
      <c r="P1177" s="783">
        <v>350</v>
      </c>
      <c r="Q1177" s="783">
        <v>1349.95</v>
      </c>
      <c r="R1177" s="783">
        <v>548.6</v>
      </c>
      <c r="S1177" s="783">
        <v>330.95</v>
      </c>
      <c r="T1177" s="783">
        <v>470.4</v>
      </c>
      <c r="U1177" s="785">
        <v>44631.636874999997</v>
      </c>
    </row>
    <row r="1178" spans="1:21">
      <c r="A1178" s="782">
        <v>44559</v>
      </c>
      <c r="B1178" s="783" t="s">
        <v>74</v>
      </c>
      <c r="C1178" s="783" t="s">
        <v>6308</v>
      </c>
      <c r="D1178" s="783" t="s">
        <v>4038</v>
      </c>
      <c r="E1178" s="783" t="s">
        <v>6525</v>
      </c>
      <c r="F1178" s="783" t="s">
        <v>4011</v>
      </c>
      <c r="G1178" s="783" t="s">
        <v>4028</v>
      </c>
      <c r="H1178" s="783" t="s">
        <v>6526</v>
      </c>
      <c r="I1178" s="783" t="s">
        <v>6527</v>
      </c>
      <c r="J1178" s="783">
        <v>20</v>
      </c>
      <c r="K1178" s="783" t="s">
        <v>192</v>
      </c>
      <c r="L1178" s="783" t="s">
        <v>4096</v>
      </c>
      <c r="M1178" s="784">
        <v>24523.61</v>
      </c>
      <c r="N1178" s="784">
        <v>22.48</v>
      </c>
      <c r="O1178" s="784">
        <v>3.33</v>
      </c>
      <c r="P1178" s="783">
        <v>327.60000000000002</v>
      </c>
      <c r="Q1178" s="783">
        <v>1974.15</v>
      </c>
      <c r="R1178" s="783">
        <v>830.03</v>
      </c>
      <c r="S1178" s="783">
        <v>420.67</v>
      </c>
      <c r="T1178" s="783">
        <v>723.45</v>
      </c>
      <c r="U1178" s="785">
        <v>44631.636898148201</v>
      </c>
    </row>
    <row r="1179" spans="1:21">
      <c r="A1179" s="782">
        <v>44561</v>
      </c>
      <c r="B1179" s="783" t="s">
        <v>41</v>
      </c>
      <c r="C1179" s="783" t="s">
        <v>4082</v>
      </c>
      <c r="D1179" s="783" t="s">
        <v>4009</v>
      </c>
      <c r="E1179" s="783" t="s">
        <v>6528</v>
      </c>
      <c r="F1179" s="783" t="s">
        <v>4011</v>
      </c>
      <c r="G1179" s="783" t="str">
        <f t="shared" ref="G1179:G1198" si="67">VLOOKUP(I1179,pacage,2,FALSE)</f>
        <v>Renewal (25% in 2020)</v>
      </c>
      <c r="H1179" s="783" t="s">
        <v>6529</v>
      </c>
      <c r="I1179" s="783" t="s">
        <v>6530</v>
      </c>
      <c r="J1179" s="783">
        <v>25</v>
      </c>
      <c r="K1179" s="783" t="s">
        <v>192</v>
      </c>
      <c r="L1179" s="783" t="s">
        <v>4096</v>
      </c>
      <c r="M1179" s="784">
        <v>25316.93</v>
      </c>
      <c r="N1179" s="784">
        <v>25.48</v>
      </c>
      <c r="O1179" s="784">
        <v>3.68</v>
      </c>
      <c r="P1179" s="783">
        <v>270</v>
      </c>
      <c r="Q1179" s="783">
        <v>1063.31</v>
      </c>
      <c r="R1179" s="783">
        <v>760.86</v>
      </c>
      <c r="S1179" s="783">
        <v>198.65</v>
      </c>
      <c r="T1179" s="783">
        <v>103.8</v>
      </c>
      <c r="U1179" s="785">
        <v>44631.637152777803</v>
      </c>
    </row>
    <row r="1180" spans="1:21">
      <c r="A1180" s="782">
        <v>44483</v>
      </c>
      <c r="B1180" s="783" t="s">
        <v>4025</v>
      </c>
      <c r="C1180" s="783" t="s">
        <v>4026</v>
      </c>
      <c r="D1180" s="783" t="s">
        <v>4021</v>
      </c>
      <c r="E1180" s="783" t="s">
        <v>6531</v>
      </c>
      <c r="F1180" s="783" t="s">
        <v>4011</v>
      </c>
      <c r="G1180" s="783" t="str">
        <f t="shared" si="67"/>
        <v>New Contract</v>
      </c>
      <c r="H1180" s="783" t="s">
        <v>6532</v>
      </c>
      <c r="I1180" s="783" t="s">
        <v>6533</v>
      </c>
      <c r="J1180" s="783">
        <v>20</v>
      </c>
      <c r="K1180" s="783" t="s">
        <v>192</v>
      </c>
      <c r="L1180" s="783" t="s">
        <v>4096</v>
      </c>
      <c r="M1180" s="784">
        <v>51348.6</v>
      </c>
      <c r="N1180" s="784">
        <v>49.95</v>
      </c>
      <c r="O1180" s="784">
        <v>2.57</v>
      </c>
      <c r="P1180" s="783">
        <v>400</v>
      </c>
      <c r="Q1180" s="783">
        <v>3311.98</v>
      </c>
      <c r="R1180" s="783">
        <v>1184</v>
      </c>
      <c r="S1180" s="783">
        <v>998.32</v>
      </c>
      <c r="T1180" s="783">
        <v>1129.67</v>
      </c>
      <c r="U1180" s="785">
        <v>44631.636736111097</v>
      </c>
    </row>
    <row r="1181" spans="1:21">
      <c r="A1181" s="782">
        <v>44504</v>
      </c>
      <c r="B1181" s="783" t="s">
        <v>4025</v>
      </c>
      <c r="C1181" s="783" t="s">
        <v>4026</v>
      </c>
      <c r="D1181" s="783" t="s">
        <v>4021</v>
      </c>
      <c r="E1181" s="783" t="s">
        <v>6534</v>
      </c>
      <c r="F1181" s="783" t="s">
        <v>4011</v>
      </c>
      <c r="G1181" s="783" t="str">
        <f t="shared" si="67"/>
        <v>New Contract</v>
      </c>
      <c r="H1181" s="783" t="s">
        <v>6535</v>
      </c>
      <c r="I1181" s="783" t="s">
        <v>6536</v>
      </c>
      <c r="J1181" s="783">
        <v>20</v>
      </c>
      <c r="K1181" s="783" t="s">
        <v>192</v>
      </c>
      <c r="L1181" s="783" t="s">
        <v>4096</v>
      </c>
      <c r="M1181" s="784">
        <v>95067</v>
      </c>
      <c r="N1181" s="784">
        <v>60.36</v>
      </c>
      <c r="O1181" s="784">
        <v>3.15</v>
      </c>
      <c r="P1181" s="783">
        <v>500</v>
      </c>
      <c r="Q1181" s="783">
        <v>6131.82</v>
      </c>
      <c r="R1181" s="783">
        <v>1753.64</v>
      </c>
      <c r="S1181" s="783">
        <v>2286.6999999999998</v>
      </c>
      <c r="T1181" s="783">
        <v>2091.4699999999998</v>
      </c>
      <c r="U1181" s="785">
        <v>44631.638078703698</v>
      </c>
    </row>
    <row r="1182" spans="1:21">
      <c r="A1182" s="782">
        <v>44409</v>
      </c>
      <c r="B1182" s="783" t="s">
        <v>228</v>
      </c>
      <c r="C1182" s="783" t="s">
        <v>4675</v>
      </c>
      <c r="D1182" s="783" t="s">
        <v>4193</v>
      </c>
      <c r="E1182" s="783" t="s">
        <v>4841</v>
      </c>
      <c r="F1182" s="783" t="s">
        <v>4011</v>
      </c>
      <c r="G1182" s="783" t="str">
        <f t="shared" si="67"/>
        <v>Renewal (25% in 2020)</v>
      </c>
      <c r="H1182" s="783" t="s">
        <v>4842</v>
      </c>
      <c r="I1182" s="783" t="s">
        <v>4843</v>
      </c>
      <c r="J1182" s="783">
        <v>25</v>
      </c>
      <c r="K1182" s="783" t="s">
        <v>336</v>
      </c>
      <c r="L1182" s="783" t="s">
        <v>4096</v>
      </c>
      <c r="M1182" s="784">
        <v>33794.639999999999</v>
      </c>
      <c r="N1182" s="784">
        <v>26.4</v>
      </c>
      <c r="O1182" s="784">
        <v>7.53</v>
      </c>
      <c r="P1182" s="783">
        <v>170</v>
      </c>
      <c r="Q1182" s="783">
        <v>1720.15</v>
      </c>
      <c r="R1182" s="783">
        <v>1267.3</v>
      </c>
      <c r="S1182" s="783">
        <v>189.25</v>
      </c>
      <c r="T1182" s="783">
        <v>263.60000000000002</v>
      </c>
      <c r="U1182" s="785">
        <v>44631.504456018498</v>
      </c>
    </row>
    <row r="1183" spans="1:21">
      <c r="A1183" s="782">
        <v>44581</v>
      </c>
      <c r="B1183" s="783" t="s">
        <v>41</v>
      </c>
      <c r="C1183" s="783" t="s">
        <v>4092</v>
      </c>
      <c r="D1183" s="783" t="s">
        <v>4009</v>
      </c>
      <c r="E1183" s="783" t="s">
        <v>4865</v>
      </c>
      <c r="F1183" s="783" t="s">
        <v>4011</v>
      </c>
      <c r="G1183" s="783" t="str">
        <f t="shared" si="67"/>
        <v>New Contract</v>
      </c>
      <c r="H1183" s="783" t="s">
        <v>4866</v>
      </c>
      <c r="I1183" s="783" t="s">
        <v>4867</v>
      </c>
      <c r="J1183" s="783">
        <v>25</v>
      </c>
      <c r="K1183" s="783" t="s">
        <v>336</v>
      </c>
      <c r="L1183" s="783" t="s">
        <v>4096</v>
      </c>
      <c r="M1183" s="784">
        <v>14522.42</v>
      </c>
      <c r="N1183" s="784">
        <v>10.6</v>
      </c>
      <c r="O1183" s="784">
        <v>6.99</v>
      </c>
      <c r="P1183" s="783">
        <v>196</v>
      </c>
      <c r="Q1183" s="783">
        <v>588.16</v>
      </c>
      <c r="R1183" s="783">
        <v>448.74</v>
      </c>
      <c r="S1183" s="783">
        <v>79.87</v>
      </c>
      <c r="T1183" s="783">
        <v>59.54</v>
      </c>
      <c r="U1183" s="785">
        <v>44631.516516203701</v>
      </c>
    </row>
    <row r="1184" spans="1:21">
      <c r="A1184" s="782">
        <v>44592</v>
      </c>
      <c r="B1184" s="783" t="s">
        <v>41</v>
      </c>
      <c r="C1184" s="783" t="s">
        <v>4139</v>
      </c>
      <c r="D1184" s="783" t="s">
        <v>4009</v>
      </c>
      <c r="E1184" s="783" t="s">
        <v>5035</v>
      </c>
      <c r="F1184" s="783" t="s">
        <v>4011</v>
      </c>
      <c r="G1184" s="783" t="str">
        <f t="shared" si="67"/>
        <v>Renewal (15% in 2020)</v>
      </c>
      <c r="H1184" s="783" t="s">
        <v>5036</v>
      </c>
      <c r="I1184" s="783" t="s">
        <v>5037</v>
      </c>
      <c r="J1184" s="783">
        <v>15</v>
      </c>
      <c r="K1184" s="783" t="s">
        <v>336</v>
      </c>
      <c r="L1184" s="783" t="s">
        <v>4096</v>
      </c>
      <c r="M1184" s="784">
        <v>27386.1</v>
      </c>
      <c r="N1184" s="784">
        <v>22.05</v>
      </c>
      <c r="O1184" s="784">
        <v>6.9</v>
      </c>
      <c r="P1184" s="783">
        <v>180</v>
      </c>
      <c r="Q1184" s="783">
        <v>1426.82</v>
      </c>
      <c r="R1184" s="783">
        <v>643.57000000000005</v>
      </c>
      <c r="S1184" s="783">
        <v>98.59</v>
      </c>
      <c r="T1184" s="783">
        <v>684.65</v>
      </c>
      <c r="U1184" s="785">
        <v>44631.6260763889</v>
      </c>
    </row>
    <row r="1185" spans="1:21">
      <c r="A1185" s="782">
        <v>44698</v>
      </c>
      <c r="B1185" s="783" t="s">
        <v>41</v>
      </c>
      <c r="C1185" s="783" t="s">
        <v>4092</v>
      </c>
      <c r="D1185" s="783" t="s">
        <v>4009</v>
      </c>
      <c r="E1185" s="783" t="s">
        <v>5063</v>
      </c>
      <c r="F1185" s="783" t="s">
        <v>4011</v>
      </c>
      <c r="G1185" s="783" t="str">
        <f t="shared" si="67"/>
        <v>Renewal (15% in 2020)</v>
      </c>
      <c r="H1185" s="783" t="s">
        <v>5064</v>
      </c>
      <c r="I1185" s="783" t="s">
        <v>5065</v>
      </c>
      <c r="J1185" s="783">
        <v>15</v>
      </c>
      <c r="K1185" s="783" t="s">
        <v>336</v>
      </c>
      <c r="L1185" s="783" t="s">
        <v>4096</v>
      </c>
      <c r="M1185" s="784">
        <v>14417.64</v>
      </c>
      <c r="N1185" s="784">
        <v>13.81</v>
      </c>
      <c r="O1185" s="784">
        <v>5.8</v>
      </c>
      <c r="P1185" s="783">
        <v>180</v>
      </c>
      <c r="Q1185" s="783">
        <v>1012.12</v>
      </c>
      <c r="R1185" s="783">
        <v>445.51</v>
      </c>
      <c r="S1185" s="783">
        <v>79.3</v>
      </c>
      <c r="T1185" s="783">
        <v>487.32</v>
      </c>
      <c r="U1185" s="785">
        <v>44699.508784722202</v>
      </c>
    </row>
    <row r="1186" spans="1:21">
      <c r="A1186" s="782">
        <v>44698</v>
      </c>
      <c r="B1186" s="783" t="s">
        <v>41</v>
      </c>
      <c r="C1186" s="783" t="s">
        <v>4082</v>
      </c>
      <c r="D1186" s="783" t="s">
        <v>4009</v>
      </c>
      <c r="E1186" s="783" t="s">
        <v>6537</v>
      </c>
      <c r="F1186" s="783" t="s">
        <v>4011</v>
      </c>
      <c r="G1186" s="783" t="str">
        <f t="shared" si="67"/>
        <v>New contract</v>
      </c>
      <c r="H1186" s="783" t="s">
        <v>6538</v>
      </c>
      <c r="I1186" s="783" t="s">
        <v>6539</v>
      </c>
      <c r="J1186" s="783">
        <v>25</v>
      </c>
      <c r="K1186" s="783" t="s">
        <v>336</v>
      </c>
      <c r="L1186" s="783" t="s">
        <v>4096</v>
      </c>
      <c r="M1186" s="784">
        <v>15695.68</v>
      </c>
      <c r="N1186" s="784">
        <v>11.44</v>
      </c>
      <c r="O1186" s="784">
        <v>7</v>
      </c>
      <c r="P1186" s="783">
        <v>196</v>
      </c>
      <c r="Q1186" s="783">
        <v>599.57000000000005</v>
      </c>
      <c r="R1186" s="783">
        <v>459.88</v>
      </c>
      <c r="S1186" s="783">
        <v>78.48</v>
      </c>
      <c r="T1186" s="783">
        <v>61.21</v>
      </c>
      <c r="U1186" s="785">
        <v>44699.492442129602</v>
      </c>
    </row>
    <row r="1187" spans="1:21">
      <c r="A1187" s="782">
        <v>44655</v>
      </c>
      <c r="B1187" s="783" t="s">
        <v>41</v>
      </c>
      <c r="C1187" s="783" t="s">
        <v>4082</v>
      </c>
      <c r="D1187" s="783" t="s">
        <v>4009</v>
      </c>
      <c r="E1187" s="783" t="s">
        <v>245</v>
      </c>
      <c r="F1187" s="783" t="s">
        <v>4011</v>
      </c>
      <c r="G1187" s="783" t="str">
        <f t="shared" si="67"/>
        <v>Renewal (20% in 2020)</v>
      </c>
      <c r="H1187" s="783" t="s">
        <v>4591</v>
      </c>
      <c r="I1187" s="783" t="s">
        <v>4592</v>
      </c>
      <c r="J1187" s="783">
        <v>20</v>
      </c>
      <c r="K1187" s="783" t="s">
        <v>336</v>
      </c>
      <c r="L1187" s="783" t="s">
        <v>4096</v>
      </c>
      <c r="M1187" s="784">
        <v>39694.449999999997</v>
      </c>
      <c r="N1187" s="784">
        <v>26.97</v>
      </c>
      <c r="O1187" s="784">
        <v>6.69</v>
      </c>
      <c r="P1187" s="783">
        <v>220</v>
      </c>
      <c r="Q1187" s="783">
        <v>1964.88</v>
      </c>
      <c r="R1187" s="783">
        <v>1036.17</v>
      </c>
      <c r="S1187" s="783">
        <v>325.35000000000002</v>
      </c>
      <c r="T1187" s="783">
        <v>603.36</v>
      </c>
      <c r="U1187" s="785">
        <v>44657.613634259302</v>
      </c>
    </row>
    <row r="1188" spans="1:21">
      <c r="A1188" s="782">
        <v>44685</v>
      </c>
      <c r="B1188" s="783" t="s">
        <v>41</v>
      </c>
      <c r="C1188" s="783" t="s">
        <v>4082</v>
      </c>
      <c r="D1188" s="783" t="s">
        <v>4009</v>
      </c>
      <c r="E1188" s="783" t="s">
        <v>533</v>
      </c>
      <c r="F1188" s="783" t="s">
        <v>4011</v>
      </c>
      <c r="G1188" s="783" t="str">
        <f t="shared" si="67"/>
        <v>Renewal (15% in 2020)</v>
      </c>
      <c r="H1188" s="783" t="s">
        <v>4596</v>
      </c>
      <c r="I1188" s="783" t="s">
        <v>4597</v>
      </c>
      <c r="J1188" s="783">
        <v>15</v>
      </c>
      <c r="K1188" s="783" t="s">
        <v>336</v>
      </c>
      <c r="L1188" s="783" t="s">
        <v>4096</v>
      </c>
      <c r="M1188" s="784">
        <v>7702.57</v>
      </c>
      <c r="N1188" s="784">
        <v>7.26</v>
      </c>
      <c r="O1188" s="784">
        <v>6.98</v>
      </c>
      <c r="P1188" s="783">
        <v>152</v>
      </c>
      <c r="Q1188" s="783">
        <v>511.45</v>
      </c>
      <c r="R1188" s="783">
        <v>225.69</v>
      </c>
      <c r="S1188" s="783">
        <v>38.51</v>
      </c>
      <c r="T1188" s="783">
        <v>247.25</v>
      </c>
      <c r="U1188" s="785">
        <v>44687.643043981501</v>
      </c>
    </row>
    <row r="1189" spans="1:21">
      <c r="A1189" s="782">
        <v>44686</v>
      </c>
      <c r="B1189" s="783" t="s">
        <v>3078</v>
      </c>
      <c r="C1189" s="783" t="s">
        <v>4414</v>
      </c>
      <c r="D1189" s="783" t="s">
        <v>4009</v>
      </c>
      <c r="E1189" s="783" t="s">
        <v>3179</v>
      </c>
      <c r="F1189" s="783" t="s">
        <v>4011</v>
      </c>
      <c r="G1189" s="783" t="str">
        <f t="shared" si="67"/>
        <v>Renewal (25% in 2020)</v>
      </c>
      <c r="H1189" s="783" t="s">
        <v>6540</v>
      </c>
      <c r="I1189" s="783" t="s">
        <v>6541</v>
      </c>
      <c r="J1189" s="783">
        <v>25</v>
      </c>
      <c r="K1189" s="783" t="s">
        <v>336</v>
      </c>
      <c r="L1189" s="783" t="s">
        <v>4096</v>
      </c>
      <c r="M1189" s="784">
        <v>10522.8</v>
      </c>
      <c r="N1189" s="784">
        <v>7.9</v>
      </c>
      <c r="O1189" s="784">
        <v>5.55</v>
      </c>
      <c r="P1189" s="783">
        <v>240</v>
      </c>
      <c r="Q1189" s="783">
        <v>548.24</v>
      </c>
      <c r="R1189" s="783">
        <v>305.07</v>
      </c>
      <c r="S1189" s="783">
        <v>128.47</v>
      </c>
      <c r="T1189" s="783">
        <v>114.7</v>
      </c>
      <c r="U1189" s="785">
        <v>44687.668344907397</v>
      </c>
    </row>
    <row r="1190" spans="1:21">
      <c r="A1190" s="782">
        <v>44666</v>
      </c>
      <c r="B1190" s="783" t="s">
        <v>74</v>
      </c>
      <c r="C1190" s="783" t="s">
        <v>4037</v>
      </c>
      <c r="D1190" s="783" t="s">
        <v>4038</v>
      </c>
      <c r="E1190" s="783" t="s">
        <v>6542</v>
      </c>
      <c r="F1190" s="783" t="s">
        <v>4011</v>
      </c>
      <c r="G1190" s="783" t="str">
        <f t="shared" si="67"/>
        <v>Renewal (15% in 2020)</v>
      </c>
      <c r="H1190" s="783" t="s">
        <v>6543</v>
      </c>
      <c r="I1190" s="783" t="s">
        <v>6544</v>
      </c>
      <c r="J1190" s="783">
        <v>20</v>
      </c>
      <c r="K1190" s="783" t="s">
        <v>336</v>
      </c>
      <c r="L1190" s="783" t="s">
        <v>4096</v>
      </c>
      <c r="M1190" s="784">
        <v>20426.900000000001</v>
      </c>
      <c r="N1190" s="784">
        <v>16.54</v>
      </c>
      <c r="O1190" s="784">
        <v>4.9400000000000004</v>
      </c>
      <c r="P1190" s="783">
        <v>250</v>
      </c>
      <c r="Q1190" s="783">
        <v>1368.6</v>
      </c>
      <c r="R1190" s="783">
        <v>634.17999999999995</v>
      </c>
      <c r="S1190" s="783">
        <v>303.41000000000003</v>
      </c>
      <c r="T1190" s="783">
        <v>431.01</v>
      </c>
      <c r="U1190" s="785">
        <v>44671.485821759299</v>
      </c>
    </row>
    <row r="1191" spans="1:21">
      <c r="A1191" s="782">
        <v>44641</v>
      </c>
      <c r="B1191" s="783" t="s">
        <v>30</v>
      </c>
      <c r="C1191" s="783" t="s">
        <v>4239</v>
      </c>
      <c r="D1191" s="783" t="s">
        <v>4021</v>
      </c>
      <c r="E1191" s="783" t="s">
        <v>5353</v>
      </c>
      <c r="F1191" s="783" t="s">
        <v>4011</v>
      </c>
      <c r="G1191" s="783" t="str">
        <f t="shared" si="67"/>
        <v>Renewal (20% in 2020)</v>
      </c>
      <c r="H1191" s="783" t="s">
        <v>5354</v>
      </c>
      <c r="I1191" s="783" t="s">
        <v>5355</v>
      </c>
      <c r="J1191" s="783">
        <v>20</v>
      </c>
      <c r="K1191" s="783" t="s">
        <v>336</v>
      </c>
      <c r="L1191" s="783" t="s">
        <v>4096</v>
      </c>
      <c r="M1191" s="784">
        <v>24412.959999999999</v>
      </c>
      <c r="N1191" s="784">
        <v>15.73</v>
      </c>
      <c r="O1191" s="784">
        <v>7.76</v>
      </c>
      <c r="P1191" s="783">
        <v>200</v>
      </c>
      <c r="Q1191" s="783">
        <v>1071.73</v>
      </c>
      <c r="R1191" s="783">
        <v>593.33000000000004</v>
      </c>
      <c r="S1191" s="783">
        <v>136.61000000000001</v>
      </c>
      <c r="T1191" s="783">
        <v>341.78</v>
      </c>
      <c r="U1191" s="785">
        <v>44641.473437499997</v>
      </c>
    </row>
    <row r="1192" spans="1:21">
      <c r="A1192" s="782">
        <v>44539</v>
      </c>
      <c r="B1192" s="783" t="s">
        <v>30</v>
      </c>
      <c r="C1192" s="783" t="s">
        <v>4239</v>
      </c>
      <c r="D1192" s="783" t="s">
        <v>4021</v>
      </c>
      <c r="E1192" s="783" t="s">
        <v>5356</v>
      </c>
      <c r="F1192" s="783" t="s">
        <v>4011</v>
      </c>
      <c r="G1192" s="783" t="str">
        <f t="shared" si="67"/>
        <v>New contract</v>
      </c>
      <c r="H1192" s="783" t="s">
        <v>5357</v>
      </c>
      <c r="I1192" s="783" t="s">
        <v>5358</v>
      </c>
      <c r="J1192" s="783">
        <v>25</v>
      </c>
      <c r="K1192" s="783" t="s">
        <v>336</v>
      </c>
      <c r="L1192" s="783" t="s">
        <v>4096</v>
      </c>
      <c r="M1192" s="784">
        <v>23957.08</v>
      </c>
      <c r="N1192" s="784">
        <v>14.38</v>
      </c>
      <c r="O1192" s="784">
        <v>8.5</v>
      </c>
      <c r="P1192" s="783">
        <v>196</v>
      </c>
      <c r="Q1192" s="783">
        <v>821.73</v>
      </c>
      <c r="R1192" s="783">
        <v>594.14</v>
      </c>
      <c r="S1192" s="783">
        <v>122.18</v>
      </c>
      <c r="T1192" s="783">
        <v>105.41</v>
      </c>
      <c r="U1192" s="785">
        <v>44631.630405092597</v>
      </c>
    </row>
    <row r="1193" spans="1:21">
      <c r="A1193" s="782">
        <v>44659</v>
      </c>
      <c r="B1193" s="783" t="s">
        <v>30</v>
      </c>
      <c r="C1193" s="783" t="s">
        <v>4239</v>
      </c>
      <c r="D1193" s="783" t="s">
        <v>4021</v>
      </c>
      <c r="E1193" s="783" t="s">
        <v>3763</v>
      </c>
      <c r="F1193" s="783" t="s">
        <v>4011</v>
      </c>
      <c r="G1193" s="783" t="str">
        <f t="shared" si="67"/>
        <v>Renewal (25% in 2020)</v>
      </c>
      <c r="H1193" s="783" t="s">
        <v>5438</v>
      </c>
      <c r="I1193" s="783" t="s">
        <v>5439</v>
      </c>
      <c r="J1193" s="783">
        <v>20</v>
      </c>
      <c r="K1193" s="783" t="s">
        <v>336</v>
      </c>
      <c r="L1193" s="783" t="s">
        <v>4096</v>
      </c>
      <c r="M1193" s="784">
        <v>15732</v>
      </c>
      <c r="N1193" s="784">
        <v>9.5</v>
      </c>
      <c r="O1193" s="784">
        <v>8.2799999999999994</v>
      </c>
      <c r="P1193" s="783">
        <v>200</v>
      </c>
      <c r="Q1193" s="783">
        <v>690.63</v>
      </c>
      <c r="R1193" s="783">
        <v>382.35</v>
      </c>
      <c r="S1193" s="783">
        <v>88.04</v>
      </c>
      <c r="T1193" s="783">
        <v>220.25</v>
      </c>
      <c r="U1193" s="785">
        <v>44663.405995370398</v>
      </c>
    </row>
    <row r="1194" spans="1:21">
      <c r="A1194" s="782">
        <v>44678</v>
      </c>
      <c r="B1194" s="783" t="s">
        <v>118</v>
      </c>
      <c r="C1194" s="783" t="s">
        <v>4139</v>
      </c>
      <c r="D1194" s="783" t="s">
        <v>4009</v>
      </c>
      <c r="E1194" s="783" t="s">
        <v>1097</v>
      </c>
      <c r="F1194" s="783" t="s">
        <v>4011</v>
      </c>
      <c r="G1194" s="783" t="str">
        <f t="shared" si="67"/>
        <v>New contract</v>
      </c>
      <c r="H1194" s="783" t="s">
        <v>4235</v>
      </c>
      <c r="I1194" s="783" t="s">
        <v>4236</v>
      </c>
      <c r="J1194" s="783">
        <v>25</v>
      </c>
      <c r="K1194" s="783" t="s">
        <v>336</v>
      </c>
      <c r="L1194" s="783" t="s">
        <v>4096</v>
      </c>
      <c r="M1194" s="784">
        <v>49096.46</v>
      </c>
      <c r="N1194" s="784">
        <v>41.77</v>
      </c>
      <c r="O1194" s="784">
        <v>6.53</v>
      </c>
      <c r="P1194" s="783">
        <v>180</v>
      </c>
      <c r="Q1194" s="783">
        <v>1477.8</v>
      </c>
      <c r="R1194" s="783">
        <v>1153.77</v>
      </c>
      <c r="S1194" s="783">
        <v>176.75</v>
      </c>
      <c r="T1194" s="783">
        <v>147.29</v>
      </c>
      <c r="U1194" s="785">
        <v>44680.660208333298</v>
      </c>
    </row>
    <row r="1195" spans="1:21">
      <c r="A1195" s="782">
        <v>44684</v>
      </c>
      <c r="B1195" s="783" t="s">
        <v>30</v>
      </c>
      <c r="C1195" s="783" t="s">
        <v>4089</v>
      </c>
      <c r="D1195" s="783" t="s">
        <v>4021</v>
      </c>
      <c r="E1195" s="783" t="s">
        <v>5504</v>
      </c>
      <c r="F1195" s="783" t="s">
        <v>4011</v>
      </c>
      <c r="G1195" s="783" t="str">
        <f t="shared" si="67"/>
        <v>Renewal (20% in 2020)</v>
      </c>
      <c r="H1195" s="783" t="s">
        <v>5505</v>
      </c>
      <c r="I1195" s="783" t="s">
        <v>5506</v>
      </c>
      <c r="J1195" s="783">
        <v>30</v>
      </c>
      <c r="K1195" s="783" t="s">
        <v>336</v>
      </c>
      <c r="L1195" s="783" t="s">
        <v>4096</v>
      </c>
      <c r="M1195" s="784">
        <v>42994.63</v>
      </c>
      <c r="N1195" s="784">
        <v>25.97</v>
      </c>
      <c r="O1195" s="784">
        <v>8.49</v>
      </c>
      <c r="P1195" s="783">
        <v>195</v>
      </c>
      <c r="Q1195" s="783">
        <v>1500.51</v>
      </c>
      <c r="R1195" s="783">
        <v>1251.1400000000001</v>
      </c>
      <c r="S1195" s="783">
        <v>0</v>
      </c>
      <c r="T1195" s="783">
        <v>249.37</v>
      </c>
      <c r="U1195" s="785">
        <v>44685.409467592603</v>
      </c>
    </row>
    <row r="1196" spans="1:21">
      <c r="A1196" s="782">
        <v>44677</v>
      </c>
      <c r="B1196" s="783" t="s">
        <v>30</v>
      </c>
      <c r="C1196" s="783" t="s">
        <v>4239</v>
      </c>
      <c r="D1196" s="783" t="s">
        <v>4021</v>
      </c>
      <c r="E1196" s="783" t="s">
        <v>5526</v>
      </c>
      <c r="F1196" s="783" t="s">
        <v>4011</v>
      </c>
      <c r="G1196" s="783" t="str">
        <f t="shared" si="67"/>
        <v>Renewal (25% in 2020)</v>
      </c>
      <c r="H1196" s="783" t="s">
        <v>5527</v>
      </c>
      <c r="I1196" s="783" t="s">
        <v>5528</v>
      </c>
      <c r="J1196" s="783">
        <v>25</v>
      </c>
      <c r="K1196" s="783" t="s">
        <v>336</v>
      </c>
      <c r="L1196" s="783" t="s">
        <v>4096</v>
      </c>
      <c r="M1196" s="784">
        <v>14206.69</v>
      </c>
      <c r="N1196" s="784">
        <v>7.15</v>
      </c>
      <c r="O1196" s="784">
        <v>8.11</v>
      </c>
      <c r="P1196" s="783">
        <v>245</v>
      </c>
      <c r="Q1196" s="783">
        <v>487.29</v>
      </c>
      <c r="R1196" s="783">
        <v>281.86</v>
      </c>
      <c r="S1196" s="783">
        <v>142.91999999999999</v>
      </c>
      <c r="T1196" s="783">
        <v>62.51</v>
      </c>
      <c r="U1196" s="785">
        <v>44678.781539351898</v>
      </c>
    </row>
    <row r="1197" spans="1:21">
      <c r="A1197" s="782">
        <v>44711</v>
      </c>
      <c r="B1197" s="783" t="s">
        <v>41</v>
      </c>
      <c r="C1197" s="783" t="s">
        <v>4139</v>
      </c>
      <c r="D1197" s="783" t="s">
        <v>4009</v>
      </c>
      <c r="E1197" s="783" t="s">
        <v>549</v>
      </c>
      <c r="F1197" s="783" t="s">
        <v>4011</v>
      </c>
      <c r="G1197" s="783" t="str">
        <f t="shared" si="67"/>
        <v>Renewal (25% in 2020)</v>
      </c>
      <c r="H1197" s="783" t="s">
        <v>5626</v>
      </c>
      <c r="I1197" s="783" t="s">
        <v>5627</v>
      </c>
      <c r="J1197" s="783">
        <v>25</v>
      </c>
      <c r="K1197" s="783" t="s">
        <v>336</v>
      </c>
      <c r="L1197" s="783" t="s">
        <v>4096</v>
      </c>
      <c r="M1197" s="784">
        <v>38556.379999999997</v>
      </c>
      <c r="N1197" s="784">
        <v>35.950000000000003</v>
      </c>
      <c r="O1197" s="784">
        <v>6.5</v>
      </c>
      <c r="P1197" s="783">
        <v>165</v>
      </c>
      <c r="Q1197" s="783">
        <v>1160.55</v>
      </c>
      <c r="R1197" s="783">
        <v>906.07</v>
      </c>
      <c r="S1197" s="783">
        <v>138.80000000000001</v>
      </c>
      <c r="T1197" s="783">
        <v>115.67</v>
      </c>
      <c r="U1197" s="785">
        <v>44712.724351851903</v>
      </c>
    </row>
    <row r="1198" spans="1:21">
      <c r="A1198" s="782">
        <v>44700</v>
      </c>
      <c r="B1198" s="783" t="s">
        <v>30</v>
      </c>
      <c r="C1198" s="783" t="s">
        <v>4239</v>
      </c>
      <c r="D1198" s="783" t="s">
        <v>4021</v>
      </c>
      <c r="E1198" s="783" t="s">
        <v>2043</v>
      </c>
      <c r="F1198" s="783" t="s">
        <v>4011</v>
      </c>
      <c r="G1198" s="783" t="str">
        <f t="shared" si="67"/>
        <v>Renewal (30% in 2020)</v>
      </c>
      <c r="H1198" s="783" t="s">
        <v>4240</v>
      </c>
      <c r="I1198" s="783" t="s">
        <v>4241</v>
      </c>
      <c r="J1198" s="783">
        <v>30</v>
      </c>
      <c r="K1198" s="783" t="s">
        <v>336</v>
      </c>
      <c r="L1198" s="783" t="s">
        <v>4096</v>
      </c>
      <c r="M1198" s="784">
        <v>13328</v>
      </c>
      <c r="N1198" s="784">
        <v>10</v>
      </c>
      <c r="O1198" s="784">
        <v>8.33</v>
      </c>
      <c r="P1198" s="783">
        <v>160</v>
      </c>
      <c r="Q1198" s="783">
        <v>389.18</v>
      </c>
      <c r="R1198" s="783">
        <v>330.53</v>
      </c>
      <c r="S1198" s="783">
        <v>0</v>
      </c>
      <c r="T1198" s="783">
        <v>58.64</v>
      </c>
      <c r="U1198" s="785">
        <v>44700.716516203698</v>
      </c>
    </row>
    <row r="1199" spans="1:21">
      <c r="A1199" s="782">
        <v>44564</v>
      </c>
      <c r="B1199" s="783" t="s">
        <v>30</v>
      </c>
      <c r="C1199" s="783" t="s">
        <v>4239</v>
      </c>
      <c r="D1199" s="783" t="s">
        <v>4021</v>
      </c>
      <c r="E1199" s="783" t="s">
        <v>6006</v>
      </c>
      <c r="F1199" s="783" t="s">
        <v>4066</v>
      </c>
      <c r="G1199" s="783" t="s">
        <v>4028</v>
      </c>
      <c r="H1199" s="783" t="s">
        <v>6007</v>
      </c>
      <c r="I1199" s="783" t="s">
        <v>6008</v>
      </c>
      <c r="J1199" s="783">
        <v>5</v>
      </c>
      <c r="K1199" s="783" t="s">
        <v>336</v>
      </c>
      <c r="L1199" s="783" t="s">
        <v>4096</v>
      </c>
      <c r="M1199" s="784">
        <v>17820</v>
      </c>
      <c r="N1199" s="784">
        <v>11</v>
      </c>
      <c r="O1199" s="784">
        <v>9</v>
      </c>
      <c r="P1199" s="783">
        <v>180</v>
      </c>
      <c r="Q1199" s="783">
        <v>254.83</v>
      </c>
      <c r="R1199" s="783">
        <v>0</v>
      </c>
      <c r="S1199" s="783">
        <v>0</v>
      </c>
      <c r="T1199" s="783">
        <v>254.83</v>
      </c>
      <c r="U1199" s="785">
        <v>44631.632175925901</v>
      </c>
    </row>
    <row r="1200" spans="1:21">
      <c r="A1200" s="782">
        <v>44572</v>
      </c>
      <c r="B1200" s="783" t="s">
        <v>41</v>
      </c>
      <c r="C1200" s="783" t="s">
        <v>4092</v>
      </c>
      <c r="D1200" s="783" t="s">
        <v>4009</v>
      </c>
      <c r="E1200" s="783" t="s">
        <v>6012</v>
      </c>
      <c r="F1200" s="783" t="s">
        <v>4011</v>
      </c>
      <c r="G1200" s="783" t="s">
        <v>4028</v>
      </c>
      <c r="H1200" s="783" t="s">
        <v>6013</v>
      </c>
      <c r="I1200" s="783" t="s">
        <v>6014</v>
      </c>
      <c r="J1200" s="783">
        <v>25</v>
      </c>
      <c r="K1200" s="783" t="s">
        <v>336</v>
      </c>
      <c r="L1200" s="783" t="s">
        <v>4096</v>
      </c>
      <c r="M1200" s="784">
        <v>36634.32</v>
      </c>
      <c r="N1200" s="784">
        <v>27.88</v>
      </c>
      <c r="O1200" s="784">
        <v>6.57</v>
      </c>
      <c r="P1200" s="783">
        <v>200</v>
      </c>
      <c r="Q1200" s="783">
        <v>1483.69</v>
      </c>
      <c r="R1200" s="783">
        <v>1109.3599999999999</v>
      </c>
      <c r="S1200" s="783">
        <v>224.13</v>
      </c>
      <c r="T1200" s="783">
        <v>150.19999999999999</v>
      </c>
      <c r="U1200" s="785">
        <v>44631.632615740702</v>
      </c>
    </row>
    <row r="1201" spans="1:21">
      <c r="A1201" s="782">
        <v>44529</v>
      </c>
      <c r="B1201" s="783" t="s">
        <v>41</v>
      </c>
      <c r="C1201" s="783" t="s">
        <v>4139</v>
      </c>
      <c r="D1201" s="783" t="s">
        <v>4009</v>
      </c>
      <c r="E1201" s="783" t="s">
        <v>4202</v>
      </c>
      <c r="F1201" s="783" t="s">
        <v>4011</v>
      </c>
      <c r="G1201" s="783" t="str">
        <f t="shared" ref="G1201:G1217" si="68">VLOOKUP(I1201,pacage,2,FALSE)</f>
        <v>Renewal (15% in 2020)</v>
      </c>
      <c r="H1201" s="783" t="s">
        <v>4203</v>
      </c>
      <c r="I1201" s="783" t="s">
        <v>4204</v>
      </c>
      <c r="J1201" s="783">
        <v>15</v>
      </c>
      <c r="K1201" s="783" t="s">
        <v>336</v>
      </c>
      <c r="L1201" s="783" t="s">
        <v>4096</v>
      </c>
      <c r="M1201" s="784">
        <v>23435.79</v>
      </c>
      <c r="N1201" s="784">
        <v>14.98</v>
      </c>
      <c r="O1201" s="784">
        <v>6.14</v>
      </c>
      <c r="P1201" s="783">
        <v>254.8</v>
      </c>
      <c r="Q1201" s="783">
        <v>1221</v>
      </c>
      <c r="R1201" s="783">
        <v>423.65</v>
      </c>
      <c r="S1201" s="783">
        <v>211.46</v>
      </c>
      <c r="T1201" s="783">
        <v>585.89</v>
      </c>
      <c r="U1201" s="785">
        <v>44631.632881944402</v>
      </c>
    </row>
    <row r="1202" spans="1:21">
      <c r="A1202" s="782">
        <v>44551</v>
      </c>
      <c r="B1202" s="783" t="s">
        <v>41</v>
      </c>
      <c r="C1202" s="783" t="s">
        <v>4082</v>
      </c>
      <c r="D1202" s="783" t="s">
        <v>4009</v>
      </c>
      <c r="E1202" s="783" t="s">
        <v>6198</v>
      </c>
      <c r="F1202" s="783" t="s">
        <v>4011</v>
      </c>
      <c r="G1202" s="783" t="str">
        <f t="shared" si="68"/>
        <v>Renewal (25% in 2020)</v>
      </c>
      <c r="H1202" s="783" t="s">
        <v>6199</v>
      </c>
      <c r="I1202" s="783" t="s">
        <v>6200</v>
      </c>
      <c r="J1202" s="783">
        <v>25</v>
      </c>
      <c r="K1202" s="783" t="s">
        <v>336</v>
      </c>
      <c r="L1202" s="783" t="s">
        <v>4096</v>
      </c>
      <c r="M1202" s="784">
        <v>42217.18</v>
      </c>
      <c r="N1202" s="784">
        <v>31.33</v>
      </c>
      <c r="O1202" s="784">
        <v>7.7</v>
      </c>
      <c r="P1202" s="783">
        <v>175</v>
      </c>
      <c r="Q1202" s="783">
        <v>1612.7</v>
      </c>
      <c r="R1202" s="783">
        <v>1236.96</v>
      </c>
      <c r="S1202" s="783">
        <v>211.09</v>
      </c>
      <c r="T1202" s="783">
        <v>164.65</v>
      </c>
      <c r="U1202" s="785">
        <v>44631.637118055602</v>
      </c>
    </row>
    <row r="1203" spans="1:21">
      <c r="A1203" s="782">
        <v>44469</v>
      </c>
      <c r="B1203" s="783" t="s">
        <v>30</v>
      </c>
      <c r="C1203" s="783" t="s">
        <v>4089</v>
      </c>
      <c r="D1203" s="783" t="s">
        <v>4021</v>
      </c>
      <c r="E1203" s="783" t="s">
        <v>125</v>
      </c>
      <c r="F1203" s="783" t="s">
        <v>4011</v>
      </c>
      <c r="G1203" s="783" t="str">
        <f t="shared" si="68"/>
        <v>Renewal (15% in 2020)</v>
      </c>
      <c r="H1203" s="783" t="s">
        <v>6323</v>
      </c>
      <c r="I1203" s="783" t="s">
        <v>6324</v>
      </c>
      <c r="J1203" s="783">
        <v>15</v>
      </c>
      <c r="K1203" s="783" t="s">
        <v>336</v>
      </c>
      <c r="L1203" s="783" t="s">
        <v>4096</v>
      </c>
      <c r="M1203" s="784">
        <v>22946.6</v>
      </c>
      <c r="N1203" s="784">
        <v>19.850000000000001</v>
      </c>
      <c r="O1203" s="784">
        <v>6.8</v>
      </c>
      <c r="P1203" s="783">
        <v>170</v>
      </c>
      <c r="Q1203" s="783">
        <v>1535.13</v>
      </c>
      <c r="R1203" s="783">
        <v>667.75</v>
      </c>
      <c r="S1203" s="783">
        <v>103.26</v>
      </c>
      <c r="T1203" s="783">
        <v>764.12</v>
      </c>
      <c r="U1203" s="785">
        <v>44631.636736111097</v>
      </c>
    </row>
    <row r="1204" spans="1:21">
      <c r="A1204" s="782">
        <v>44488</v>
      </c>
      <c r="B1204" s="783" t="s">
        <v>41</v>
      </c>
      <c r="C1204" s="783" t="s">
        <v>4082</v>
      </c>
      <c r="D1204" s="783" t="s">
        <v>4009</v>
      </c>
      <c r="E1204" s="783" t="s">
        <v>6346</v>
      </c>
      <c r="F1204" s="783" t="s">
        <v>4011</v>
      </c>
      <c r="G1204" s="783" t="str">
        <f t="shared" si="68"/>
        <v>Renewal (25% in 2020)</v>
      </c>
      <c r="H1204" s="783" t="s">
        <v>6347</v>
      </c>
      <c r="I1204" s="783" t="s">
        <v>6348</v>
      </c>
      <c r="J1204" s="783">
        <v>25</v>
      </c>
      <c r="K1204" s="783" t="s">
        <v>336</v>
      </c>
      <c r="L1204" s="783" t="s">
        <v>4096</v>
      </c>
      <c r="M1204" s="784">
        <v>11036.4</v>
      </c>
      <c r="N1204" s="784">
        <v>12</v>
      </c>
      <c r="O1204" s="784">
        <v>5.41</v>
      </c>
      <c r="P1204" s="783">
        <v>170</v>
      </c>
      <c r="Q1204" s="783">
        <v>421.59</v>
      </c>
      <c r="R1204" s="783">
        <v>323.37</v>
      </c>
      <c r="S1204" s="783">
        <v>55.18</v>
      </c>
      <c r="T1204" s="783">
        <v>43.04</v>
      </c>
      <c r="U1204" s="785">
        <v>44631.637870370403</v>
      </c>
    </row>
    <row r="1205" spans="1:21">
      <c r="A1205" s="782">
        <v>44488</v>
      </c>
      <c r="B1205" s="783" t="s">
        <v>41</v>
      </c>
      <c r="C1205" s="783" t="s">
        <v>4139</v>
      </c>
      <c r="D1205" s="783" t="s">
        <v>4009</v>
      </c>
      <c r="E1205" s="783" t="s">
        <v>721</v>
      </c>
      <c r="F1205" s="783" t="s">
        <v>4011</v>
      </c>
      <c r="G1205" s="783" t="str">
        <f t="shared" si="68"/>
        <v>Renewal (20% in 2020)</v>
      </c>
      <c r="H1205" s="783" t="s">
        <v>6349</v>
      </c>
      <c r="I1205" s="783" t="s">
        <v>6350</v>
      </c>
      <c r="J1205" s="783">
        <v>20</v>
      </c>
      <c r="K1205" s="783" t="s">
        <v>336</v>
      </c>
      <c r="L1205" s="783" t="s">
        <v>4096</v>
      </c>
      <c r="M1205" s="784">
        <v>25570.22</v>
      </c>
      <c r="N1205" s="784">
        <v>23.13</v>
      </c>
      <c r="O1205" s="784">
        <v>7.37</v>
      </c>
      <c r="P1205" s="783">
        <v>150</v>
      </c>
      <c r="Q1205" s="783">
        <v>994.68</v>
      </c>
      <c r="R1205" s="783">
        <v>600.9</v>
      </c>
      <c r="S1205" s="783">
        <v>92.05</v>
      </c>
      <c r="T1205" s="783">
        <v>301.73</v>
      </c>
      <c r="U1205" s="785">
        <v>44631.637997685197</v>
      </c>
    </row>
    <row r="1206" spans="1:21">
      <c r="A1206" s="782">
        <v>44490</v>
      </c>
      <c r="B1206" s="783" t="s">
        <v>41</v>
      </c>
      <c r="C1206" s="783" t="s">
        <v>4139</v>
      </c>
      <c r="D1206" s="783" t="s">
        <v>4009</v>
      </c>
      <c r="E1206" s="783" t="s">
        <v>6359</v>
      </c>
      <c r="F1206" s="783" t="s">
        <v>4011</v>
      </c>
      <c r="G1206" s="783" t="str">
        <f t="shared" si="68"/>
        <v>Renewal (15% in 2020)</v>
      </c>
      <c r="H1206" s="783" t="s">
        <v>6360</v>
      </c>
      <c r="I1206" s="783" t="s">
        <v>6361</v>
      </c>
      <c r="J1206" s="783">
        <v>15</v>
      </c>
      <c r="K1206" s="783" t="s">
        <v>336</v>
      </c>
      <c r="L1206" s="783" t="s">
        <v>4096</v>
      </c>
      <c r="M1206" s="784">
        <v>14531.01</v>
      </c>
      <c r="N1206" s="784">
        <v>12.13</v>
      </c>
      <c r="O1206" s="784">
        <v>6.73</v>
      </c>
      <c r="P1206" s="783">
        <v>178</v>
      </c>
      <c r="Q1206" s="783">
        <v>757.07</v>
      </c>
      <c r="R1206" s="783">
        <v>341.48</v>
      </c>
      <c r="S1206" s="783">
        <v>52.31</v>
      </c>
      <c r="T1206" s="783">
        <v>363.28</v>
      </c>
      <c r="U1206" s="785">
        <v>44631.6383333333</v>
      </c>
    </row>
    <row r="1207" spans="1:21">
      <c r="A1207" s="782">
        <v>44581</v>
      </c>
      <c r="B1207" s="783" t="s">
        <v>30</v>
      </c>
      <c r="C1207" s="783" t="s">
        <v>4239</v>
      </c>
      <c r="D1207" s="783" t="s">
        <v>4021</v>
      </c>
      <c r="E1207" s="783" t="s">
        <v>6380</v>
      </c>
      <c r="F1207" s="783" t="s">
        <v>4011</v>
      </c>
      <c r="G1207" s="783" t="str">
        <f t="shared" si="68"/>
        <v>Renewal (15% in 2020)</v>
      </c>
      <c r="H1207" s="783" t="s">
        <v>6381</v>
      </c>
      <c r="I1207" s="783" t="s">
        <v>6382</v>
      </c>
      <c r="J1207" s="783">
        <v>15</v>
      </c>
      <c r="K1207" s="783" t="s">
        <v>336</v>
      </c>
      <c r="L1207" s="783" t="s">
        <v>4096</v>
      </c>
      <c r="M1207" s="784">
        <v>18868.2</v>
      </c>
      <c r="N1207" s="784">
        <v>12.3</v>
      </c>
      <c r="O1207" s="784">
        <v>5.9</v>
      </c>
      <c r="P1207" s="783">
        <v>260</v>
      </c>
      <c r="Q1207" s="783">
        <v>1103.79</v>
      </c>
      <c r="R1207" s="783">
        <v>352.75</v>
      </c>
      <c r="S1207" s="783">
        <v>211.41</v>
      </c>
      <c r="T1207" s="783">
        <v>539.63</v>
      </c>
      <c r="U1207" s="785">
        <v>44631.6385532407</v>
      </c>
    </row>
    <row r="1208" spans="1:21">
      <c r="A1208" s="782">
        <v>44525</v>
      </c>
      <c r="B1208" s="783" t="s">
        <v>30</v>
      </c>
      <c r="C1208" s="783" t="s">
        <v>4089</v>
      </c>
      <c r="D1208" s="783" t="s">
        <v>4021</v>
      </c>
      <c r="E1208" s="783" t="s">
        <v>6545</v>
      </c>
      <c r="F1208" s="783" t="s">
        <v>4011</v>
      </c>
      <c r="G1208" s="783" t="str">
        <f t="shared" si="68"/>
        <v>New Contract</v>
      </c>
      <c r="H1208" s="783" t="s">
        <v>6546</v>
      </c>
      <c r="I1208" s="783" t="s">
        <v>6547</v>
      </c>
      <c r="J1208" s="783">
        <v>20</v>
      </c>
      <c r="K1208" s="783" t="s">
        <v>336</v>
      </c>
      <c r="L1208" s="783" t="s">
        <v>4096</v>
      </c>
      <c r="M1208" s="784">
        <v>64386</v>
      </c>
      <c r="N1208" s="784">
        <v>36.5</v>
      </c>
      <c r="O1208" s="784">
        <v>8.82</v>
      </c>
      <c r="P1208" s="783">
        <v>200</v>
      </c>
      <c r="Q1208" s="783">
        <v>3257.93</v>
      </c>
      <c r="R1208" s="783">
        <v>1836.16</v>
      </c>
      <c r="S1208" s="783">
        <v>327.20999999999998</v>
      </c>
      <c r="T1208" s="783">
        <v>1094.56</v>
      </c>
      <c r="U1208" s="785">
        <v>44631.638032407398</v>
      </c>
    </row>
    <row r="1209" spans="1:21">
      <c r="A1209" s="782">
        <v>44559</v>
      </c>
      <c r="B1209" s="783" t="s">
        <v>41</v>
      </c>
      <c r="C1209" s="783" t="s">
        <v>4139</v>
      </c>
      <c r="D1209" s="783" t="s">
        <v>4009</v>
      </c>
      <c r="E1209" s="783" t="s">
        <v>6412</v>
      </c>
      <c r="F1209" s="783" t="s">
        <v>4011</v>
      </c>
      <c r="G1209" s="783" t="str">
        <f t="shared" si="68"/>
        <v>Renewal (20% in 2020)</v>
      </c>
      <c r="H1209" s="783" t="s">
        <v>6413</v>
      </c>
      <c r="I1209" s="783" t="s">
        <v>6414</v>
      </c>
      <c r="J1209" s="783">
        <v>20</v>
      </c>
      <c r="K1209" s="783" t="s">
        <v>336</v>
      </c>
      <c r="L1209" s="783" t="s">
        <v>4096</v>
      </c>
      <c r="M1209" s="784">
        <v>11378.78</v>
      </c>
      <c r="N1209" s="784">
        <v>8.5</v>
      </c>
      <c r="O1209" s="784">
        <v>6.83</v>
      </c>
      <c r="P1209" s="783">
        <v>196</v>
      </c>
      <c r="Q1209" s="783">
        <v>442.63</v>
      </c>
      <c r="R1209" s="783">
        <v>267.39999999999998</v>
      </c>
      <c r="S1209" s="783">
        <v>40.96</v>
      </c>
      <c r="T1209" s="783">
        <v>134.27000000000001</v>
      </c>
      <c r="U1209" s="785">
        <v>44631.638425925899</v>
      </c>
    </row>
    <row r="1210" spans="1:21">
      <c r="A1210" s="782">
        <v>44693</v>
      </c>
      <c r="B1210" s="783" t="s">
        <v>30</v>
      </c>
      <c r="C1210" s="783" t="s">
        <v>4089</v>
      </c>
      <c r="D1210" s="783" t="s">
        <v>4021</v>
      </c>
      <c r="E1210" s="783" t="s">
        <v>4934</v>
      </c>
      <c r="F1210" s="783" t="s">
        <v>4011</v>
      </c>
      <c r="G1210" s="783" t="str">
        <f t="shared" si="68"/>
        <v>Renewal (15% in 2020)</v>
      </c>
      <c r="H1210" s="783" t="s">
        <v>4935</v>
      </c>
      <c r="I1210" s="783" t="s">
        <v>4936</v>
      </c>
      <c r="J1210" s="783">
        <v>15</v>
      </c>
      <c r="K1210" s="783" t="s">
        <v>1939</v>
      </c>
      <c r="L1210" s="783" t="s">
        <v>4014</v>
      </c>
      <c r="M1210" s="784">
        <v>18635.5</v>
      </c>
      <c r="N1210" s="784">
        <v>23.5</v>
      </c>
      <c r="O1210" s="784">
        <v>6.1</v>
      </c>
      <c r="P1210" s="783">
        <v>130</v>
      </c>
      <c r="Q1210" s="783">
        <v>2348.0700000000002</v>
      </c>
      <c r="R1210" s="783">
        <v>917.73</v>
      </c>
      <c r="S1210" s="783">
        <v>336.44</v>
      </c>
      <c r="T1210" s="783">
        <v>1093.9000000000001</v>
      </c>
      <c r="U1210" s="785">
        <v>44694.419212963003</v>
      </c>
    </row>
    <row r="1211" spans="1:21">
      <c r="A1211" s="782">
        <v>44659</v>
      </c>
      <c r="B1211" s="783" t="s">
        <v>30</v>
      </c>
      <c r="C1211" s="783" t="s">
        <v>4239</v>
      </c>
      <c r="D1211" s="783" t="s">
        <v>4021</v>
      </c>
      <c r="E1211" s="783" t="s">
        <v>3763</v>
      </c>
      <c r="F1211" s="783" t="s">
        <v>4011</v>
      </c>
      <c r="G1211" s="783" t="str">
        <f t="shared" si="68"/>
        <v>Renewal (25% in 2020)</v>
      </c>
      <c r="H1211" s="783" t="s">
        <v>5438</v>
      </c>
      <c r="I1211" s="783" t="s">
        <v>5439</v>
      </c>
      <c r="J1211" s="783">
        <v>20</v>
      </c>
      <c r="K1211" s="783" t="s">
        <v>1939</v>
      </c>
      <c r="L1211" s="783" t="s">
        <v>4014</v>
      </c>
      <c r="M1211" s="784">
        <v>7635.18</v>
      </c>
      <c r="N1211" s="784">
        <v>11.13</v>
      </c>
      <c r="O1211" s="784">
        <v>4.9000000000000004</v>
      </c>
      <c r="P1211" s="783">
        <v>140</v>
      </c>
      <c r="Q1211" s="783">
        <v>671.9</v>
      </c>
      <c r="R1211" s="783">
        <v>296.95</v>
      </c>
      <c r="S1211" s="783">
        <v>157.34</v>
      </c>
      <c r="T1211" s="783">
        <v>217.6</v>
      </c>
      <c r="U1211" s="785">
        <v>44663.405995370398</v>
      </c>
    </row>
    <row r="1212" spans="1:21">
      <c r="A1212" s="782">
        <v>44658</v>
      </c>
      <c r="B1212" s="783" t="s">
        <v>30</v>
      </c>
      <c r="C1212" s="783" t="s">
        <v>4015</v>
      </c>
      <c r="D1212" s="783" t="s">
        <v>4016</v>
      </c>
      <c r="E1212" s="783" t="s">
        <v>5894</v>
      </c>
      <c r="F1212" s="783" t="s">
        <v>4011</v>
      </c>
      <c r="G1212" s="783" t="str">
        <f t="shared" si="68"/>
        <v>Renewal (15% in 2020)</v>
      </c>
      <c r="H1212" s="783" t="s">
        <v>5895</v>
      </c>
      <c r="I1212" s="783" t="s">
        <v>5896</v>
      </c>
      <c r="J1212" s="783">
        <v>15</v>
      </c>
      <c r="K1212" s="783" t="s">
        <v>1939</v>
      </c>
      <c r="L1212" s="783" t="s">
        <v>4014</v>
      </c>
      <c r="M1212" s="784">
        <v>6038.4</v>
      </c>
      <c r="N1212" s="784">
        <v>8</v>
      </c>
      <c r="O1212" s="784">
        <v>6.29</v>
      </c>
      <c r="P1212" s="783">
        <v>120</v>
      </c>
      <c r="Q1212" s="783">
        <v>797.07</v>
      </c>
      <c r="R1212" s="783">
        <v>453.33</v>
      </c>
      <c r="S1212" s="783">
        <v>116.69</v>
      </c>
      <c r="T1212" s="783">
        <v>227.04</v>
      </c>
      <c r="U1212" s="785">
        <v>44659.4054861111</v>
      </c>
    </row>
    <row r="1213" spans="1:21">
      <c r="A1213" s="782">
        <v>44681</v>
      </c>
      <c r="B1213" s="783" t="s">
        <v>34</v>
      </c>
      <c r="C1213" s="783" t="s">
        <v>4082</v>
      </c>
      <c r="D1213" s="783" t="s">
        <v>4009</v>
      </c>
      <c r="E1213" s="783" t="s">
        <v>4629</v>
      </c>
      <c r="F1213" s="783" t="s">
        <v>4011</v>
      </c>
      <c r="G1213" s="783" t="str">
        <f t="shared" si="68"/>
        <v>Renewal (20% in 2020)</v>
      </c>
      <c r="H1213" s="783" t="s">
        <v>4630</v>
      </c>
      <c r="I1213" s="783" t="s">
        <v>4631</v>
      </c>
      <c r="J1213" s="783">
        <v>20</v>
      </c>
      <c r="K1213" s="783" t="s">
        <v>1492</v>
      </c>
      <c r="L1213" s="783" t="s">
        <v>4014</v>
      </c>
      <c r="M1213" s="784">
        <v>3564</v>
      </c>
      <c r="N1213" s="784">
        <v>1.98</v>
      </c>
      <c r="O1213" s="784">
        <v>1</v>
      </c>
      <c r="P1213" s="783">
        <v>1800</v>
      </c>
      <c r="Q1213" s="783">
        <v>423.05</v>
      </c>
      <c r="R1213" s="783">
        <v>25.4</v>
      </c>
      <c r="S1213" s="783">
        <v>267.92</v>
      </c>
      <c r="T1213" s="783">
        <v>129.72999999999999</v>
      </c>
      <c r="U1213" s="785">
        <v>44683.4168055556</v>
      </c>
    </row>
    <row r="1214" spans="1:21">
      <c r="A1214" s="782">
        <v>44686</v>
      </c>
      <c r="B1214" s="783" t="s">
        <v>4025</v>
      </c>
      <c r="C1214" s="783" t="s">
        <v>4026</v>
      </c>
      <c r="D1214" s="783" t="s">
        <v>4021</v>
      </c>
      <c r="E1214" s="783" t="s">
        <v>5169</v>
      </c>
      <c r="F1214" s="783" t="s">
        <v>4011</v>
      </c>
      <c r="G1214" s="783" t="str">
        <f t="shared" si="68"/>
        <v>New contract</v>
      </c>
      <c r="H1214" s="783" t="s">
        <v>5170</v>
      </c>
      <c r="I1214" s="783" t="s">
        <v>5171</v>
      </c>
      <c r="J1214" s="783">
        <v>25</v>
      </c>
      <c r="K1214" s="783" t="s">
        <v>1300</v>
      </c>
      <c r="L1214" s="783" t="s">
        <v>4014</v>
      </c>
      <c r="M1214" s="784">
        <v>85521.15</v>
      </c>
      <c r="N1214" s="784">
        <v>48.73</v>
      </c>
      <c r="O1214" s="784">
        <v>1.3</v>
      </c>
      <c r="P1214" s="783">
        <v>1350</v>
      </c>
      <c r="Q1214" s="783">
        <v>5866.75</v>
      </c>
      <c r="R1214" s="783">
        <v>1249.93</v>
      </c>
      <c r="S1214" s="783">
        <v>3684.64</v>
      </c>
      <c r="T1214" s="783">
        <v>932.18</v>
      </c>
      <c r="U1214" s="785">
        <v>44687.651446759301</v>
      </c>
    </row>
    <row r="1215" spans="1:21">
      <c r="A1215" s="782">
        <v>44705</v>
      </c>
      <c r="B1215" s="783" t="s">
        <v>4025</v>
      </c>
      <c r="C1215" s="783" t="s">
        <v>4026</v>
      </c>
      <c r="D1215" s="783" t="s">
        <v>4021</v>
      </c>
      <c r="E1215" s="783" t="s">
        <v>5233</v>
      </c>
      <c r="F1215" s="783" t="s">
        <v>4011</v>
      </c>
      <c r="G1215" s="783" t="str">
        <f t="shared" si="68"/>
        <v>New Contract</v>
      </c>
      <c r="H1215" s="783" t="s">
        <v>5234</v>
      </c>
      <c r="I1215" s="783" t="s">
        <v>5235</v>
      </c>
      <c r="J1215" s="783">
        <v>20</v>
      </c>
      <c r="K1215" s="783" t="s">
        <v>1300</v>
      </c>
      <c r="L1215" s="783" t="s">
        <v>4014</v>
      </c>
      <c r="M1215" s="784">
        <v>4864</v>
      </c>
      <c r="N1215" s="784">
        <v>7.6</v>
      </c>
      <c r="O1215" s="784">
        <v>0.8</v>
      </c>
      <c r="P1215" s="783">
        <v>800</v>
      </c>
      <c r="Q1215" s="783">
        <v>426.09</v>
      </c>
      <c r="R1215" s="783">
        <v>119.96</v>
      </c>
      <c r="S1215" s="783">
        <v>160.69</v>
      </c>
      <c r="T1215" s="783">
        <v>145.43</v>
      </c>
      <c r="U1215" s="785">
        <v>44708.694351851896</v>
      </c>
    </row>
    <row r="1216" spans="1:21">
      <c r="A1216" s="782">
        <v>44708</v>
      </c>
      <c r="B1216" s="783" t="s">
        <v>4025</v>
      </c>
      <c r="C1216" s="783" t="s">
        <v>4026</v>
      </c>
      <c r="D1216" s="783" t="s">
        <v>4021</v>
      </c>
      <c r="E1216" s="783" t="s">
        <v>5809</v>
      </c>
      <c r="F1216" s="783" t="s">
        <v>4011</v>
      </c>
      <c r="G1216" s="783" t="str">
        <f t="shared" si="68"/>
        <v>New Contract</v>
      </c>
      <c r="H1216" s="783" t="s">
        <v>5810</v>
      </c>
      <c r="I1216" s="783" t="s">
        <v>5811</v>
      </c>
      <c r="J1216" s="783">
        <v>20</v>
      </c>
      <c r="K1216" s="783" t="s">
        <v>1300</v>
      </c>
      <c r="L1216" s="783" t="s">
        <v>4014</v>
      </c>
      <c r="M1216" s="784">
        <v>24600</v>
      </c>
      <c r="N1216" s="784">
        <v>12.3</v>
      </c>
      <c r="O1216" s="784">
        <v>2.5</v>
      </c>
      <c r="P1216" s="783">
        <v>800</v>
      </c>
      <c r="Q1216" s="783">
        <v>2154.96</v>
      </c>
      <c r="R1216" s="783">
        <v>606.73</v>
      </c>
      <c r="S1216" s="783">
        <v>812.69</v>
      </c>
      <c r="T1216" s="783">
        <v>735.54</v>
      </c>
      <c r="U1216" s="785">
        <v>44711.518043981501</v>
      </c>
    </row>
    <row r="1217" spans="1:21">
      <c r="A1217" s="782">
        <v>44705</v>
      </c>
      <c r="B1217" s="783" t="s">
        <v>4025</v>
      </c>
      <c r="C1217" s="783" t="s">
        <v>4026</v>
      </c>
      <c r="D1217" s="783" t="s">
        <v>4021</v>
      </c>
      <c r="E1217" s="783" t="s">
        <v>1298</v>
      </c>
      <c r="F1217" s="783" t="s">
        <v>4011</v>
      </c>
      <c r="G1217" s="783" t="str">
        <f t="shared" si="68"/>
        <v>New Contract</v>
      </c>
      <c r="H1217" s="783" t="s">
        <v>5851</v>
      </c>
      <c r="I1217" s="783" t="s">
        <v>5852</v>
      </c>
      <c r="J1217" s="783">
        <v>20</v>
      </c>
      <c r="K1217" s="783" t="s">
        <v>1300</v>
      </c>
      <c r="L1217" s="783" t="s">
        <v>4014</v>
      </c>
      <c r="M1217" s="784">
        <v>18989.099999999999</v>
      </c>
      <c r="N1217" s="784">
        <v>10.82</v>
      </c>
      <c r="O1217" s="784">
        <v>1.3</v>
      </c>
      <c r="P1217" s="783">
        <v>1350</v>
      </c>
      <c r="Q1217" s="783">
        <v>1663.45</v>
      </c>
      <c r="R1217" s="783">
        <v>277.52999999999997</v>
      </c>
      <c r="S1217" s="783">
        <v>818.14</v>
      </c>
      <c r="T1217" s="783">
        <v>567.77</v>
      </c>
      <c r="U1217" s="785">
        <v>44708.834178240701</v>
      </c>
    </row>
    <row r="1218" spans="1:21">
      <c r="A1218" s="782">
        <v>44592</v>
      </c>
      <c r="B1218" s="783" t="s">
        <v>4025</v>
      </c>
      <c r="C1218" s="783" t="s">
        <v>4026</v>
      </c>
      <c r="D1218" s="783" t="s">
        <v>4021</v>
      </c>
      <c r="E1218" s="783" t="s">
        <v>6431</v>
      </c>
      <c r="F1218" s="783" t="s">
        <v>4011</v>
      </c>
      <c r="G1218" s="783" t="s">
        <v>4028</v>
      </c>
      <c r="H1218" s="783" t="s">
        <v>6432</v>
      </c>
      <c r="I1218" s="783" t="s">
        <v>6433</v>
      </c>
      <c r="J1218" s="783">
        <v>25</v>
      </c>
      <c r="K1218" s="783" t="s">
        <v>6548</v>
      </c>
      <c r="L1218" s="783" t="s">
        <v>4014</v>
      </c>
      <c r="M1218" s="784">
        <v>10590</v>
      </c>
      <c r="N1218" s="784">
        <v>15</v>
      </c>
      <c r="O1218" s="784">
        <v>1</v>
      </c>
      <c r="P1218" s="783">
        <v>706</v>
      </c>
      <c r="Q1218" s="783">
        <v>799.55</v>
      </c>
      <c r="R1218" s="783">
        <v>580.33000000000004</v>
      </c>
      <c r="S1218" s="783">
        <v>93.19</v>
      </c>
      <c r="T1218" s="783">
        <v>126.02</v>
      </c>
      <c r="U1218" s="785">
        <v>44631.629606481503</v>
      </c>
    </row>
    <row r="1219" spans="1:21">
      <c r="A1219" s="782">
        <v>44681</v>
      </c>
      <c r="B1219" s="783" t="s">
        <v>4025</v>
      </c>
      <c r="C1219" s="783" t="s">
        <v>4026</v>
      </c>
      <c r="D1219" s="783" t="s">
        <v>4021</v>
      </c>
      <c r="E1219" s="783" t="s">
        <v>5123</v>
      </c>
      <c r="F1219" s="783" t="s">
        <v>4011</v>
      </c>
      <c r="G1219" s="783" t="str">
        <f t="shared" ref="G1219:G1230" si="69">VLOOKUP(I1219,pacage,2,FALSE)</f>
        <v>New Contract</v>
      </c>
      <c r="H1219" s="783" t="s">
        <v>5124</v>
      </c>
      <c r="I1219" s="783" t="s">
        <v>5125</v>
      </c>
      <c r="J1219" s="783">
        <v>20</v>
      </c>
      <c r="K1219" s="783" t="s">
        <v>6548</v>
      </c>
      <c r="L1219" s="783" t="s">
        <v>4014</v>
      </c>
      <c r="M1219" s="784">
        <v>6877.5</v>
      </c>
      <c r="N1219" s="784">
        <v>6.25</v>
      </c>
      <c r="O1219" s="784">
        <v>1.2</v>
      </c>
      <c r="P1219" s="783">
        <v>917</v>
      </c>
      <c r="Q1219" s="783">
        <v>662.99</v>
      </c>
      <c r="R1219" s="783">
        <v>290.17</v>
      </c>
      <c r="S1219" s="783">
        <v>147.24</v>
      </c>
      <c r="T1219" s="783">
        <v>225.58</v>
      </c>
      <c r="U1219" s="785">
        <v>44701.992164351897</v>
      </c>
    </row>
    <row r="1220" spans="1:21">
      <c r="A1220" s="782">
        <v>44551</v>
      </c>
      <c r="B1220" s="783" t="s">
        <v>74</v>
      </c>
      <c r="C1220" s="783" t="s">
        <v>4097</v>
      </c>
      <c r="D1220" s="783" t="s">
        <v>4038</v>
      </c>
      <c r="E1220" s="783" t="s">
        <v>6522</v>
      </c>
      <c r="F1220" s="783" t="s">
        <v>4011</v>
      </c>
      <c r="G1220" s="783" t="str">
        <f t="shared" si="69"/>
        <v>New contract</v>
      </c>
      <c r="H1220" s="783" t="s">
        <v>6523</v>
      </c>
      <c r="I1220" s="783" t="s">
        <v>6524</v>
      </c>
      <c r="J1220" s="783">
        <v>20</v>
      </c>
      <c r="K1220" s="783" t="s">
        <v>6548</v>
      </c>
      <c r="L1220" s="783" t="s">
        <v>4014</v>
      </c>
      <c r="M1220" s="784">
        <v>16716.7</v>
      </c>
      <c r="N1220" s="784">
        <v>22</v>
      </c>
      <c r="O1220" s="784">
        <v>1.67</v>
      </c>
      <c r="P1220" s="783">
        <v>455</v>
      </c>
      <c r="Q1220" s="783">
        <v>1382.47</v>
      </c>
      <c r="R1220" s="783">
        <v>780.67</v>
      </c>
      <c r="S1220" s="783">
        <v>120.36</v>
      </c>
      <c r="T1220" s="783">
        <v>481.44</v>
      </c>
      <c r="U1220" s="785">
        <v>44631.636874999997</v>
      </c>
    </row>
    <row r="1221" spans="1:21">
      <c r="A1221" s="782">
        <v>44449</v>
      </c>
      <c r="B1221" s="783" t="s">
        <v>41</v>
      </c>
      <c r="C1221" s="783" t="s">
        <v>4139</v>
      </c>
      <c r="D1221" s="783" t="s">
        <v>4009</v>
      </c>
      <c r="E1221" s="783" t="s">
        <v>4495</v>
      </c>
      <c r="F1221" s="783" t="s">
        <v>4011</v>
      </c>
      <c r="G1221" s="783" t="str">
        <f t="shared" si="69"/>
        <v>Renewal (15% in 2020)</v>
      </c>
      <c r="H1221" s="783" t="s">
        <v>4496</v>
      </c>
      <c r="I1221" s="783" t="s">
        <v>4497</v>
      </c>
      <c r="J1221" s="783">
        <v>15</v>
      </c>
      <c r="K1221" s="783" t="s">
        <v>27</v>
      </c>
      <c r="L1221" s="783" t="s">
        <v>4096</v>
      </c>
      <c r="M1221" s="784">
        <v>347772</v>
      </c>
      <c r="N1221" s="784">
        <v>11.68</v>
      </c>
      <c r="O1221" s="784">
        <v>75</v>
      </c>
      <c r="P1221" s="783">
        <v>397</v>
      </c>
      <c r="Q1221" s="783">
        <v>47436.1</v>
      </c>
      <c r="R1221" s="783">
        <v>20170.78</v>
      </c>
      <c r="S1221" s="783">
        <v>2434.4</v>
      </c>
      <c r="T1221" s="783">
        <v>24830.92</v>
      </c>
      <c r="U1221" s="785">
        <v>44631.502824074101</v>
      </c>
    </row>
    <row r="1222" spans="1:21">
      <c r="A1222" s="782">
        <v>44448</v>
      </c>
      <c r="B1222" s="783" t="s">
        <v>228</v>
      </c>
      <c r="C1222" s="783" t="s">
        <v>4020</v>
      </c>
      <c r="D1222" s="783" t="s">
        <v>4021</v>
      </c>
      <c r="E1222" s="783" t="s">
        <v>4784</v>
      </c>
      <c r="F1222" s="783" t="s">
        <v>4011</v>
      </c>
      <c r="G1222" s="783" t="str">
        <f t="shared" si="69"/>
        <v>Renewal (30% in 2020)</v>
      </c>
      <c r="H1222" s="783" t="s">
        <v>4785</v>
      </c>
      <c r="I1222" s="783" t="s">
        <v>4786</v>
      </c>
      <c r="J1222" s="783">
        <v>30</v>
      </c>
      <c r="K1222" s="783" t="s">
        <v>27</v>
      </c>
      <c r="L1222" s="783" t="s">
        <v>4096</v>
      </c>
      <c r="M1222" s="784">
        <v>24884.28</v>
      </c>
      <c r="N1222" s="784">
        <v>21.32</v>
      </c>
      <c r="O1222" s="784">
        <v>2.94</v>
      </c>
      <c r="P1222" s="783">
        <v>397</v>
      </c>
      <c r="Q1222" s="783">
        <v>1791.67</v>
      </c>
      <c r="R1222" s="783">
        <v>1251.68</v>
      </c>
      <c r="S1222" s="783">
        <v>0</v>
      </c>
      <c r="T1222" s="783">
        <v>539.99</v>
      </c>
      <c r="U1222" s="785">
        <v>44631.502951388902</v>
      </c>
    </row>
    <row r="1223" spans="1:21">
      <c r="A1223" s="782">
        <v>44495</v>
      </c>
      <c r="B1223" s="783" t="s">
        <v>41</v>
      </c>
      <c r="C1223" s="783" t="s">
        <v>4092</v>
      </c>
      <c r="D1223" s="783" t="s">
        <v>4009</v>
      </c>
      <c r="E1223" s="783" t="s">
        <v>4787</v>
      </c>
      <c r="F1223" s="783" t="s">
        <v>4011</v>
      </c>
      <c r="G1223" s="783" t="str">
        <f t="shared" si="69"/>
        <v>New Contract</v>
      </c>
      <c r="H1223" s="783" t="s">
        <v>4788</v>
      </c>
      <c r="I1223" s="783" t="s">
        <v>4789</v>
      </c>
      <c r="J1223" s="783">
        <v>25</v>
      </c>
      <c r="K1223" s="783" t="s">
        <v>27</v>
      </c>
      <c r="L1223" s="783" t="s">
        <v>4096</v>
      </c>
      <c r="M1223" s="784">
        <v>14388</v>
      </c>
      <c r="N1223" s="784">
        <v>11</v>
      </c>
      <c r="O1223" s="784">
        <v>3.27</v>
      </c>
      <c r="P1223" s="783">
        <v>400</v>
      </c>
      <c r="Q1223" s="783">
        <v>915.08</v>
      </c>
      <c r="R1223" s="783">
        <v>575.49</v>
      </c>
      <c r="S1223" s="783">
        <v>143.91</v>
      </c>
      <c r="T1223" s="783">
        <v>195.68</v>
      </c>
      <c r="U1223" s="785">
        <v>44631.506666666697</v>
      </c>
    </row>
    <row r="1224" spans="1:21">
      <c r="A1224" s="782">
        <v>44496</v>
      </c>
      <c r="B1224" s="783" t="s">
        <v>30</v>
      </c>
      <c r="C1224" s="783" t="s">
        <v>4089</v>
      </c>
      <c r="D1224" s="783" t="s">
        <v>4021</v>
      </c>
      <c r="E1224" s="783" t="s">
        <v>4793</v>
      </c>
      <c r="F1224" s="783" t="s">
        <v>4011</v>
      </c>
      <c r="G1224" s="783" t="str">
        <f t="shared" si="69"/>
        <v>Renewal (15% in 2020)</v>
      </c>
      <c r="H1224" s="783" t="s">
        <v>4794</v>
      </c>
      <c r="I1224" s="783" t="s">
        <v>4795</v>
      </c>
      <c r="J1224" s="783">
        <v>15</v>
      </c>
      <c r="K1224" s="783" t="s">
        <v>27</v>
      </c>
      <c r="L1224" s="783" t="s">
        <v>4096</v>
      </c>
      <c r="M1224" s="784">
        <v>63840</v>
      </c>
      <c r="N1224" s="784">
        <v>56</v>
      </c>
      <c r="O1224" s="784">
        <v>2.85</v>
      </c>
      <c r="P1224" s="783">
        <v>400</v>
      </c>
      <c r="Q1224" s="783">
        <v>6715.97</v>
      </c>
      <c r="R1224" s="783">
        <v>2597.81</v>
      </c>
      <c r="S1224" s="783">
        <v>421.82</v>
      </c>
      <c r="T1224" s="783">
        <v>3696.34</v>
      </c>
      <c r="U1224" s="785">
        <v>44631.503101851798</v>
      </c>
    </row>
    <row r="1225" spans="1:21">
      <c r="A1225" s="782">
        <v>44502</v>
      </c>
      <c r="B1225" s="783" t="s">
        <v>51</v>
      </c>
      <c r="C1225" s="783" t="s">
        <v>4796</v>
      </c>
      <c r="D1225" s="783" t="s">
        <v>4016</v>
      </c>
      <c r="E1225" s="783" t="s">
        <v>4797</v>
      </c>
      <c r="F1225" s="783" t="s">
        <v>4011</v>
      </c>
      <c r="G1225" s="783" t="str">
        <f t="shared" si="69"/>
        <v>Renewal (20% in 2020)</v>
      </c>
      <c r="H1225" s="783" t="s">
        <v>4798</v>
      </c>
      <c r="I1225" s="783" t="s">
        <v>4799</v>
      </c>
      <c r="J1225" s="783">
        <v>20</v>
      </c>
      <c r="K1225" s="783" t="s">
        <v>27</v>
      </c>
      <c r="L1225" s="783" t="s">
        <v>4096</v>
      </c>
      <c r="M1225" s="784">
        <v>12370.8</v>
      </c>
      <c r="N1225" s="784">
        <v>9.76</v>
      </c>
      <c r="O1225" s="784">
        <v>3.25</v>
      </c>
      <c r="P1225" s="783">
        <v>390</v>
      </c>
      <c r="Q1225" s="783">
        <v>1154.2</v>
      </c>
      <c r="R1225" s="783">
        <v>601.22</v>
      </c>
      <c r="S1225" s="783">
        <v>86.6</v>
      </c>
      <c r="T1225" s="783">
        <v>466.38</v>
      </c>
      <c r="U1225" s="785">
        <v>44631.503101851798</v>
      </c>
    </row>
    <row r="1226" spans="1:21">
      <c r="A1226" s="782">
        <v>44508</v>
      </c>
      <c r="B1226" s="783" t="s">
        <v>41</v>
      </c>
      <c r="C1226" s="783" t="s">
        <v>4092</v>
      </c>
      <c r="D1226" s="783" t="s">
        <v>4009</v>
      </c>
      <c r="E1226" s="783" t="s">
        <v>4800</v>
      </c>
      <c r="F1226" s="783" t="s">
        <v>4011</v>
      </c>
      <c r="G1226" s="783" t="str">
        <f t="shared" si="69"/>
        <v>Renewal (30% in 2020)</v>
      </c>
      <c r="H1226" s="783" t="s">
        <v>4801</v>
      </c>
      <c r="I1226" s="783" t="s">
        <v>4802</v>
      </c>
      <c r="J1226" s="783">
        <v>30</v>
      </c>
      <c r="K1226" s="783" t="s">
        <v>27</v>
      </c>
      <c r="L1226" s="783" t="s">
        <v>4096</v>
      </c>
      <c r="M1226" s="784">
        <v>49474.04</v>
      </c>
      <c r="N1226" s="784">
        <v>36.770000000000003</v>
      </c>
      <c r="O1226" s="784">
        <v>3.45</v>
      </c>
      <c r="P1226" s="783">
        <v>390</v>
      </c>
      <c r="Q1226" s="783">
        <v>2666.65</v>
      </c>
      <c r="R1226" s="783">
        <v>1993.8</v>
      </c>
      <c r="S1226" s="783">
        <v>0</v>
      </c>
      <c r="T1226" s="783">
        <v>672.85</v>
      </c>
      <c r="U1226" s="785">
        <v>44631.502812500003</v>
      </c>
    </row>
    <row r="1227" spans="1:21">
      <c r="A1227" s="782">
        <v>44409</v>
      </c>
      <c r="B1227" s="783" t="s">
        <v>2866</v>
      </c>
      <c r="C1227" s="783" t="s">
        <v>4008</v>
      </c>
      <c r="D1227" s="783" t="s">
        <v>4009</v>
      </c>
      <c r="E1227" s="783" t="s">
        <v>4806</v>
      </c>
      <c r="F1227" s="783" t="s">
        <v>4011</v>
      </c>
      <c r="G1227" s="783" t="str">
        <f t="shared" si="69"/>
        <v>Renewal (15% in 2020)</v>
      </c>
      <c r="H1227" s="783" t="s">
        <v>4807</v>
      </c>
      <c r="I1227" s="783" t="s">
        <v>4808</v>
      </c>
      <c r="J1227" s="783">
        <v>15</v>
      </c>
      <c r="K1227" s="783" t="s">
        <v>27</v>
      </c>
      <c r="L1227" s="783" t="s">
        <v>4096</v>
      </c>
      <c r="M1227" s="784">
        <v>7375.57</v>
      </c>
      <c r="N1227" s="784">
        <v>7.79</v>
      </c>
      <c r="O1227" s="784">
        <v>2.63</v>
      </c>
      <c r="P1227" s="783">
        <v>360</v>
      </c>
      <c r="Q1227" s="783">
        <v>952.92</v>
      </c>
      <c r="R1227" s="783">
        <v>318.62</v>
      </c>
      <c r="S1227" s="783">
        <v>115.8</v>
      </c>
      <c r="T1227" s="783">
        <v>518.5</v>
      </c>
      <c r="U1227" s="785">
        <v>44631.504999999997</v>
      </c>
    </row>
    <row r="1228" spans="1:21">
      <c r="A1228" s="782">
        <v>44409</v>
      </c>
      <c r="B1228" s="783" t="s">
        <v>30</v>
      </c>
      <c r="C1228" s="783" t="s">
        <v>4089</v>
      </c>
      <c r="D1228" s="783" t="s">
        <v>4021</v>
      </c>
      <c r="E1228" s="783" t="s">
        <v>2560</v>
      </c>
      <c r="F1228" s="783" t="s">
        <v>4011</v>
      </c>
      <c r="G1228" s="783" t="str">
        <f t="shared" si="69"/>
        <v>Renewal (20% in 2020)</v>
      </c>
      <c r="H1228" s="783" t="s">
        <v>4809</v>
      </c>
      <c r="I1228" s="783" t="s">
        <v>4810</v>
      </c>
      <c r="J1228" s="783">
        <v>20</v>
      </c>
      <c r="K1228" s="783" t="s">
        <v>27</v>
      </c>
      <c r="L1228" s="783" t="s">
        <v>4096</v>
      </c>
      <c r="M1228" s="784">
        <v>40470.5</v>
      </c>
      <c r="N1228" s="784">
        <v>37.299999999999997</v>
      </c>
      <c r="O1228" s="784">
        <v>3.5</v>
      </c>
      <c r="P1228" s="783">
        <v>310</v>
      </c>
      <c r="Q1228" s="783">
        <v>3314.53</v>
      </c>
      <c r="R1228" s="783">
        <v>1659.29</v>
      </c>
      <c r="S1228" s="783">
        <v>254.96</v>
      </c>
      <c r="T1228" s="783">
        <v>1400.28</v>
      </c>
      <c r="U1228" s="785">
        <v>44631.507581018501</v>
      </c>
    </row>
    <row r="1229" spans="1:21">
      <c r="A1229" s="782">
        <v>44409</v>
      </c>
      <c r="B1229" s="783" t="s">
        <v>41</v>
      </c>
      <c r="C1229" s="783" t="s">
        <v>4082</v>
      </c>
      <c r="D1229" s="783" t="s">
        <v>4009</v>
      </c>
      <c r="E1229" s="783" t="s">
        <v>4814</v>
      </c>
      <c r="F1229" s="783" t="s">
        <v>4011</v>
      </c>
      <c r="G1229" s="783" t="str">
        <f t="shared" si="69"/>
        <v>Renewal (15% in 2020)</v>
      </c>
      <c r="H1229" s="783" t="s">
        <v>4815</v>
      </c>
      <c r="I1229" s="783" t="s">
        <v>4816</v>
      </c>
      <c r="J1229" s="783">
        <v>15</v>
      </c>
      <c r="K1229" s="783" t="s">
        <v>27</v>
      </c>
      <c r="L1229" s="783" t="s">
        <v>4096</v>
      </c>
      <c r="M1229" s="784">
        <v>10416</v>
      </c>
      <c r="N1229" s="784">
        <v>9.3000000000000007</v>
      </c>
      <c r="O1229" s="784">
        <v>3.2</v>
      </c>
      <c r="P1229" s="783">
        <v>350</v>
      </c>
      <c r="Q1229" s="783">
        <v>1105.1400000000001</v>
      </c>
      <c r="R1229" s="783">
        <v>422.89</v>
      </c>
      <c r="S1229" s="783">
        <v>104.16</v>
      </c>
      <c r="T1229" s="783">
        <v>578.09</v>
      </c>
      <c r="U1229" s="785">
        <v>44631.504641203697</v>
      </c>
    </row>
    <row r="1230" spans="1:21">
      <c r="A1230" s="782">
        <v>44418</v>
      </c>
      <c r="B1230" s="783" t="s">
        <v>41</v>
      </c>
      <c r="C1230" s="783" t="s">
        <v>4082</v>
      </c>
      <c r="D1230" s="783" t="s">
        <v>4009</v>
      </c>
      <c r="E1230" s="783" t="s">
        <v>509</v>
      </c>
      <c r="F1230" s="783" t="s">
        <v>4011</v>
      </c>
      <c r="G1230" s="783" t="str">
        <f t="shared" si="69"/>
        <v>Renewal (15% in 2020)</v>
      </c>
      <c r="H1230" s="783" t="s">
        <v>4498</v>
      </c>
      <c r="I1230" s="783" t="s">
        <v>4499</v>
      </c>
      <c r="J1230" s="783">
        <v>15</v>
      </c>
      <c r="K1230" s="783" t="s">
        <v>27</v>
      </c>
      <c r="L1230" s="783" t="s">
        <v>4096</v>
      </c>
      <c r="M1230" s="784">
        <v>18564.349999999999</v>
      </c>
      <c r="N1230" s="784">
        <v>17.11</v>
      </c>
      <c r="O1230" s="784">
        <v>3.1</v>
      </c>
      <c r="P1230" s="783">
        <v>350</v>
      </c>
      <c r="Q1230" s="783">
        <v>1969.68</v>
      </c>
      <c r="R1230" s="783">
        <v>753.71</v>
      </c>
      <c r="S1230" s="783">
        <v>185.64</v>
      </c>
      <c r="T1230" s="783">
        <v>1030.32</v>
      </c>
      <c r="U1230" s="785">
        <v>44631.503194444398</v>
      </c>
    </row>
    <row r="1231" spans="1:21">
      <c r="A1231" s="782">
        <v>44409</v>
      </c>
      <c r="B1231" s="783" t="s">
        <v>41</v>
      </c>
      <c r="C1231" s="783" t="s">
        <v>4071</v>
      </c>
      <c r="D1231" s="783" t="s">
        <v>4009</v>
      </c>
      <c r="E1231" s="783" t="s">
        <v>4820</v>
      </c>
      <c r="F1231" s="783" t="s">
        <v>4011</v>
      </c>
      <c r="G1231" s="783" t="s">
        <v>4028</v>
      </c>
      <c r="H1231" s="783" t="s">
        <v>4821</v>
      </c>
      <c r="I1231" s="783" t="s">
        <v>4822</v>
      </c>
      <c r="J1231" s="783">
        <v>25</v>
      </c>
      <c r="K1231" s="783" t="s">
        <v>27</v>
      </c>
      <c r="L1231" s="783" t="s">
        <v>4096</v>
      </c>
      <c r="M1231" s="784">
        <v>11762.4</v>
      </c>
      <c r="N1231" s="784">
        <v>10.4</v>
      </c>
      <c r="O1231" s="784">
        <v>2.9</v>
      </c>
      <c r="P1231" s="783">
        <v>390</v>
      </c>
      <c r="Q1231" s="783">
        <v>815.13</v>
      </c>
      <c r="R1231" s="783">
        <v>564.6</v>
      </c>
      <c r="S1231" s="783">
        <v>69.400000000000006</v>
      </c>
      <c r="T1231" s="783">
        <v>181.14</v>
      </c>
      <c r="U1231" s="785">
        <v>44697.667129629597</v>
      </c>
    </row>
    <row r="1232" spans="1:21">
      <c r="A1232" s="782">
        <v>44409</v>
      </c>
      <c r="B1232" s="783" t="s">
        <v>74</v>
      </c>
      <c r="C1232" s="783" t="s">
        <v>4097</v>
      </c>
      <c r="D1232" s="783" t="s">
        <v>4038</v>
      </c>
      <c r="E1232" s="783" t="s">
        <v>4500</v>
      </c>
      <c r="F1232" s="783" t="s">
        <v>4011</v>
      </c>
      <c r="G1232" s="783" t="str">
        <f t="shared" ref="G1232:G1265" si="70">VLOOKUP(I1232,pacage,2,FALSE)</f>
        <v>Renewal (15% in 2020)</v>
      </c>
      <c r="H1232" s="783" t="s">
        <v>4501</v>
      </c>
      <c r="I1232" s="783" t="s">
        <v>4502</v>
      </c>
      <c r="J1232" s="783">
        <v>15</v>
      </c>
      <c r="K1232" s="783" t="s">
        <v>27</v>
      </c>
      <c r="L1232" s="783" t="s">
        <v>4096</v>
      </c>
      <c r="M1232" s="784">
        <v>22821.84</v>
      </c>
      <c r="N1232" s="784">
        <v>19.93</v>
      </c>
      <c r="O1232" s="784">
        <v>3.47</v>
      </c>
      <c r="P1232" s="783">
        <v>330</v>
      </c>
      <c r="Q1232" s="783">
        <v>2560.61</v>
      </c>
      <c r="R1232" s="783">
        <v>844.41</v>
      </c>
      <c r="S1232" s="783">
        <v>321.79000000000002</v>
      </c>
      <c r="T1232" s="783">
        <v>1394.41</v>
      </c>
      <c r="U1232" s="785">
        <v>44631.507569444402</v>
      </c>
    </row>
    <row r="1233" spans="1:21">
      <c r="A1233" s="782">
        <v>44415</v>
      </c>
      <c r="B1233" s="783" t="s">
        <v>228</v>
      </c>
      <c r="C1233" s="783" t="s">
        <v>4192</v>
      </c>
      <c r="D1233" s="783" t="s">
        <v>4193</v>
      </c>
      <c r="E1233" s="783" t="s">
        <v>4826</v>
      </c>
      <c r="F1233" s="783" t="s">
        <v>4011</v>
      </c>
      <c r="G1233" s="783" t="str">
        <f t="shared" si="70"/>
        <v>Renewal (15% in 2020)</v>
      </c>
      <c r="H1233" s="783" t="s">
        <v>4827</v>
      </c>
      <c r="I1233" s="783" t="s">
        <v>4828</v>
      </c>
      <c r="J1233" s="783">
        <v>15</v>
      </c>
      <c r="K1233" s="783" t="s">
        <v>27</v>
      </c>
      <c r="L1233" s="783" t="s">
        <v>4096</v>
      </c>
      <c r="M1233" s="784">
        <v>67501.149999999994</v>
      </c>
      <c r="N1233" s="784">
        <v>62.11</v>
      </c>
      <c r="O1233" s="784">
        <v>2.86</v>
      </c>
      <c r="P1233" s="783">
        <v>380</v>
      </c>
      <c r="Q1233" s="783">
        <v>8167.64</v>
      </c>
      <c r="R1233" s="783">
        <v>3314.31</v>
      </c>
      <c r="S1233" s="783">
        <v>459.01</v>
      </c>
      <c r="T1233" s="783">
        <v>4394.32</v>
      </c>
      <c r="U1233" s="785">
        <v>44631.502858796302</v>
      </c>
    </row>
    <row r="1234" spans="1:21">
      <c r="A1234" s="782">
        <v>44409</v>
      </c>
      <c r="B1234" s="783" t="s">
        <v>47</v>
      </c>
      <c r="C1234" s="783" t="s">
        <v>4834</v>
      </c>
      <c r="D1234" s="783" t="s">
        <v>4258</v>
      </c>
      <c r="E1234" s="783" t="s">
        <v>4835</v>
      </c>
      <c r="F1234" s="783" t="s">
        <v>4011</v>
      </c>
      <c r="G1234" s="783" t="str">
        <f t="shared" si="70"/>
        <v>Renewal (25% in 2020)</v>
      </c>
      <c r="H1234" s="783" t="s">
        <v>4836</v>
      </c>
      <c r="I1234" s="783" t="s">
        <v>4837</v>
      </c>
      <c r="J1234" s="783">
        <v>25</v>
      </c>
      <c r="K1234" s="783" t="s">
        <v>27</v>
      </c>
      <c r="L1234" s="783" t="s">
        <v>4096</v>
      </c>
      <c r="M1234" s="784">
        <v>20107.5</v>
      </c>
      <c r="N1234" s="784">
        <v>15</v>
      </c>
      <c r="O1234" s="784">
        <v>3.83</v>
      </c>
      <c r="P1234" s="783">
        <v>350</v>
      </c>
      <c r="Q1234" s="783">
        <v>1331.12</v>
      </c>
      <c r="R1234" s="783">
        <v>882.72</v>
      </c>
      <c r="S1234" s="783">
        <v>118.63</v>
      </c>
      <c r="T1234" s="783">
        <v>329.76</v>
      </c>
      <c r="U1234" s="785">
        <v>44631.503240740698</v>
      </c>
    </row>
    <row r="1235" spans="1:21">
      <c r="A1235" s="782">
        <v>44409</v>
      </c>
      <c r="B1235" s="783" t="s">
        <v>41</v>
      </c>
      <c r="C1235" s="783" t="s">
        <v>4071</v>
      </c>
      <c r="D1235" s="783" t="s">
        <v>4009</v>
      </c>
      <c r="E1235" s="783" t="s">
        <v>4838</v>
      </c>
      <c r="F1235" s="783" t="s">
        <v>4011</v>
      </c>
      <c r="G1235" s="783" t="str">
        <f t="shared" si="70"/>
        <v>Renewal (30% in 2020)</v>
      </c>
      <c r="H1235" s="783" t="s">
        <v>4839</v>
      </c>
      <c r="I1235" s="783" t="s">
        <v>4840</v>
      </c>
      <c r="J1235" s="783">
        <v>30</v>
      </c>
      <c r="K1235" s="783" t="s">
        <v>27</v>
      </c>
      <c r="L1235" s="783" t="s">
        <v>4096</v>
      </c>
      <c r="M1235" s="784">
        <v>39083</v>
      </c>
      <c r="N1235" s="784">
        <v>41.14</v>
      </c>
      <c r="O1235" s="784">
        <v>2.5</v>
      </c>
      <c r="P1235" s="783">
        <v>380</v>
      </c>
      <c r="Q1235" s="783">
        <v>2481.77</v>
      </c>
      <c r="R1235" s="783">
        <v>1875.98</v>
      </c>
      <c r="S1235" s="783">
        <v>0</v>
      </c>
      <c r="T1235" s="783">
        <v>605.79</v>
      </c>
      <c r="U1235" s="785">
        <v>44631.503854166702</v>
      </c>
    </row>
    <row r="1236" spans="1:21">
      <c r="A1236" s="782">
        <v>44409</v>
      </c>
      <c r="B1236" s="783" t="s">
        <v>41</v>
      </c>
      <c r="C1236" s="783" t="s">
        <v>4082</v>
      </c>
      <c r="D1236" s="783" t="s">
        <v>4009</v>
      </c>
      <c r="E1236" s="783" t="s">
        <v>2101</v>
      </c>
      <c r="F1236" s="783" t="s">
        <v>4011</v>
      </c>
      <c r="G1236" s="783" t="str">
        <f t="shared" si="70"/>
        <v>Renewal (15% in 2020)</v>
      </c>
      <c r="H1236" s="783" t="s">
        <v>4506</v>
      </c>
      <c r="I1236" s="783" t="s">
        <v>4507</v>
      </c>
      <c r="J1236" s="783">
        <v>15</v>
      </c>
      <c r="K1236" s="783" t="s">
        <v>27</v>
      </c>
      <c r="L1236" s="783" t="s">
        <v>4096</v>
      </c>
      <c r="M1236" s="784">
        <v>30362.36</v>
      </c>
      <c r="N1236" s="784">
        <v>22.13</v>
      </c>
      <c r="O1236" s="784">
        <v>3.92</v>
      </c>
      <c r="P1236" s="783">
        <v>350</v>
      </c>
      <c r="Q1236" s="783">
        <v>3221.45</v>
      </c>
      <c r="R1236" s="783">
        <v>1232.71</v>
      </c>
      <c r="S1236" s="783">
        <v>303.62</v>
      </c>
      <c r="T1236" s="783">
        <v>1685.11</v>
      </c>
      <c r="U1236" s="785">
        <v>44631.505023148202</v>
      </c>
    </row>
    <row r="1237" spans="1:21">
      <c r="A1237" s="782">
        <v>44409</v>
      </c>
      <c r="B1237" s="783" t="s">
        <v>228</v>
      </c>
      <c r="C1237" s="783" t="s">
        <v>4847</v>
      </c>
      <c r="D1237" s="783" t="s">
        <v>4016</v>
      </c>
      <c r="E1237" s="783" t="s">
        <v>4848</v>
      </c>
      <c r="F1237" s="783" t="s">
        <v>4011</v>
      </c>
      <c r="G1237" s="783" t="str">
        <f t="shared" si="70"/>
        <v>Renewal (20% in 2020)</v>
      </c>
      <c r="H1237" s="783" t="s">
        <v>4849</v>
      </c>
      <c r="I1237" s="783" t="s">
        <v>4850</v>
      </c>
      <c r="J1237" s="783">
        <v>20</v>
      </c>
      <c r="K1237" s="783" t="s">
        <v>27</v>
      </c>
      <c r="L1237" s="783" t="s">
        <v>4096</v>
      </c>
      <c r="M1237" s="784">
        <v>15068.99</v>
      </c>
      <c r="N1237" s="784">
        <v>13.9</v>
      </c>
      <c r="O1237" s="784">
        <v>2.93</v>
      </c>
      <c r="P1237" s="783">
        <v>370</v>
      </c>
      <c r="Q1237" s="783">
        <v>1303.47</v>
      </c>
      <c r="R1237" s="783">
        <v>690.16</v>
      </c>
      <c r="S1237" s="783">
        <v>93.43</v>
      </c>
      <c r="T1237" s="783">
        <v>519.88</v>
      </c>
      <c r="U1237" s="785">
        <v>44631.503865740699</v>
      </c>
    </row>
    <row r="1238" spans="1:21">
      <c r="A1238" s="782">
        <v>44415</v>
      </c>
      <c r="B1238" s="783" t="s">
        <v>228</v>
      </c>
      <c r="C1238" s="783" t="s">
        <v>4192</v>
      </c>
      <c r="D1238" s="783" t="s">
        <v>4193</v>
      </c>
      <c r="E1238" s="783" t="s">
        <v>4851</v>
      </c>
      <c r="F1238" s="783" t="s">
        <v>4011</v>
      </c>
      <c r="G1238" s="783" t="str">
        <f t="shared" si="70"/>
        <v>Renewal (15% in 2020)</v>
      </c>
      <c r="H1238" s="783" t="s">
        <v>4852</v>
      </c>
      <c r="I1238" s="783" t="s">
        <v>4853</v>
      </c>
      <c r="J1238" s="783">
        <v>15</v>
      </c>
      <c r="K1238" s="783" t="s">
        <v>27</v>
      </c>
      <c r="L1238" s="783" t="s">
        <v>4096</v>
      </c>
      <c r="M1238" s="784">
        <v>40095.08</v>
      </c>
      <c r="N1238" s="784">
        <v>27.27</v>
      </c>
      <c r="O1238" s="784">
        <v>3.77</v>
      </c>
      <c r="P1238" s="783">
        <v>390</v>
      </c>
      <c r="Q1238" s="783">
        <v>4851.5</v>
      </c>
      <c r="R1238" s="783">
        <v>1968.67</v>
      </c>
      <c r="S1238" s="783">
        <v>272.64999999999998</v>
      </c>
      <c r="T1238" s="783">
        <v>2610.19</v>
      </c>
      <c r="U1238" s="785">
        <v>44631.502951388902</v>
      </c>
    </row>
    <row r="1239" spans="1:21">
      <c r="A1239" s="782">
        <v>44565</v>
      </c>
      <c r="B1239" s="783" t="s">
        <v>41</v>
      </c>
      <c r="C1239" s="783" t="s">
        <v>4139</v>
      </c>
      <c r="D1239" s="783" t="s">
        <v>4009</v>
      </c>
      <c r="E1239" s="783" t="s">
        <v>1109</v>
      </c>
      <c r="F1239" s="783" t="s">
        <v>4011</v>
      </c>
      <c r="G1239" s="783" t="str">
        <f t="shared" si="70"/>
        <v>Renewal (15% in 2020)</v>
      </c>
      <c r="H1239" s="783" t="s">
        <v>4857</v>
      </c>
      <c r="I1239" s="783" t="s">
        <v>4858</v>
      </c>
      <c r="J1239" s="783">
        <v>15</v>
      </c>
      <c r="K1239" s="783" t="s">
        <v>27</v>
      </c>
      <c r="L1239" s="783" t="s">
        <v>4096</v>
      </c>
      <c r="M1239" s="784">
        <v>40470</v>
      </c>
      <c r="N1239" s="784">
        <v>38</v>
      </c>
      <c r="O1239" s="784">
        <v>3</v>
      </c>
      <c r="P1239" s="783">
        <v>355</v>
      </c>
      <c r="Q1239" s="783">
        <v>5520.11</v>
      </c>
      <c r="R1239" s="783">
        <v>2347.2600000000002</v>
      </c>
      <c r="S1239" s="783">
        <v>283.29000000000002</v>
      </c>
      <c r="T1239" s="783">
        <v>2889.56</v>
      </c>
      <c r="U1239" s="785">
        <v>44631.503125000003</v>
      </c>
    </row>
    <row r="1240" spans="1:21">
      <c r="A1240" s="782">
        <v>44581</v>
      </c>
      <c r="B1240" s="783" t="s">
        <v>41</v>
      </c>
      <c r="C1240" s="783" t="s">
        <v>4092</v>
      </c>
      <c r="D1240" s="783" t="s">
        <v>4009</v>
      </c>
      <c r="E1240" s="783" t="s">
        <v>4865</v>
      </c>
      <c r="F1240" s="783" t="s">
        <v>4011</v>
      </c>
      <c r="G1240" s="783" t="str">
        <f t="shared" si="70"/>
        <v>New Contract</v>
      </c>
      <c r="H1240" s="783" t="s">
        <v>4866</v>
      </c>
      <c r="I1240" s="783" t="s">
        <v>4867</v>
      </c>
      <c r="J1240" s="783">
        <v>25</v>
      </c>
      <c r="K1240" s="783" t="s">
        <v>27</v>
      </c>
      <c r="L1240" s="783" t="s">
        <v>4096</v>
      </c>
      <c r="M1240" s="784">
        <v>13597.25</v>
      </c>
      <c r="N1240" s="784">
        <v>12.5</v>
      </c>
      <c r="O1240" s="784">
        <v>2.74</v>
      </c>
      <c r="P1240" s="783">
        <v>397</v>
      </c>
      <c r="Q1240" s="783">
        <v>864.79</v>
      </c>
      <c r="R1240" s="783">
        <v>547.97</v>
      </c>
      <c r="S1240" s="783">
        <v>131.88999999999999</v>
      </c>
      <c r="T1240" s="783">
        <v>184.92</v>
      </c>
      <c r="U1240" s="785">
        <v>44631.516516203701</v>
      </c>
    </row>
    <row r="1241" spans="1:21">
      <c r="A1241" s="782">
        <v>44650</v>
      </c>
      <c r="B1241" s="783" t="s">
        <v>113</v>
      </c>
      <c r="C1241" s="783" t="s">
        <v>4606</v>
      </c>
      <c r="D1241" s="783" t="s">
        <v>4009</v>
      </c>
      <c r="E1241" s="783" t="s">
        <v>3271</v>
      </c>
      <c r="F1241" s="783" t="s">
        <v>4011</v>
      </c>
      <c r="G1241" s="783" t="str">
        <f t="shared" si="70"/>
        <v>Renewal (25% in 2020)</v>
      </c>
      <c r="H1241" s="783" t="s">
        <v>4871</v>
      </c>
      <c r="I1241" s="783" t="s">
        <v>4872</v>
      </c>
      <c r="J1241" s="783">
        <v>25</v>
      </c>
      <c r="K1241" s="783" t="s">
        <v>27</v>
      </c>
      <c r="L1241" s="783" t="s">
        <v>4096</v>
      </c>
      <c r="M1241" s="784">
        <v>10080</v>
      </c>
      <c r="N1241" s="784">
        <v>7</v>
      </c>
      <c r="O1241" s="784">
        <v>3.2</v>
      </c>
      <c r="P1241" s="783">
        <v>450</v>
      </c>
      <c r="Q1241" s="783">
        <v>545.33000000000004</v>
      </c>
      <c r="R1241" s="783">
        <v>241.88</v>
      </c>
      <c r="S1241" s="783">
        <v>145.19</v>
      </c>
      <c r="T1241" s="783">
        <v>158.26</v>
      </c>
      <c r="U1241" s="785">
        <v>44652.396921296298</v>
      </c>
    </row>
    <row r="1242" spans="1:21">
      <c r="A1242" s="782">
        <v>44586</v>
      </c>
      <c r="B1242" s="783" t="s">
        <v>74</v>
      </c>
      <c r="C1242" s="783" t="s">
        <v>4037</v>
      </c>
      <c r="D1242" s="783" t="s">
        <v>4038</v>
      </c>
      <c r="E1242" s="783" t="s">
        <v>4271</v>
      </c>
      <c r="F1242" s="783" t="s">
        <v>4011</v>
      </c>
      <c r="G1242" s="783" t="str">
        <f t="shared" si="70"/>
        <v>Renewal (25% in 2020)</v>
      </c>
      <c r="H1242" s="783" t="s">
        <v>4272</v>
      </c>
      <c r="I1242" s="783" t="s">
        <v>4273</v>
      </c>
      <c r="J1242" s="783">
        <v>25</v>
      </c>
      <c r="K1242" s="783" t="s">
        <v>27</v>
      </c>
      <c r="L1242" s="783" t="s">
        <v>4096</v>
      </c>
      <c r="M1242" s="784">
        <v>21166.799999999999</v>
      </c>
      <c r="N1242" s="784">
        <v>17.07</v>
      </c>
      <c r="O1242" s="784">
        <v>3.1</v>
      </c>
      <c r="P1242" s="783">
        <v>400</v>
      </c>
      <c r="Q1242" s="783">
        <v>1835.16</v>
      </c>
      <c r="R1242" s="783">
        <v>890.74</v>
      </c>
      <c r="S1242" s="783">
        <v>402.55</v>
      </c>
      <c r="T1242" s="783">
        <v>541.87</v>
      </c>
      <c r="U1242" s="785">
        <v>44631.633275462998</v>
      </c>
    </row>
    <row r="1243" spans="1:21">
      <c r="A1243" s="782">
        <v>44419</v>
      </c>
      <c r="B1243" s="783" t="s">
        <v>51</v>
      </c>
      <c r="C1243" s="783" t="s">
        <v>4015</v>
      </c>
      <c r="D1243" s="783" t="s">
        <v>4016</v>
      </c>
      <c r="E1243" s="783" t="s">
        <v>3263</v>
      </c>
      <c r="F1243" s="783" t="s">
        <v>4011</v>
      </c>
      <c r="G1243" s="783" t="str">
        <f t="shared" si="70"/>
        <v>Renewal (20% in 2020)</v>
      </c>
      <c r="H1243" s="783" t="s">
        <v>4873</v>
      </c>
      <c r="I1243" s="783" t="s">
        <v>4874</v>
      </c>
      <c r="J1243" s="783">
        <v>20</v>
      </c>
      <c r="K1243" s="783" t="s">
        <v>27</v>
      </c>
      <c r="L1243" s="783" t="s">
        <v>4096</v>
      </c>
      <c r="M1243" s="784">
        <v>20540.79</v>
      </c>
      <c r="N1243" s="784">
        <v>16.2</v>
      </c>
      <c r="O1243" s="784">
        <v>3.21</v>
      </c>
      <c r="P1243" s="783">
        <v>395</v>
      </c>
      <c r="Q1243" s="783">
        <v>1752.13</v>
      </c>
      <c r="R1243" s="783">
        <v>893.52</v>
      </c>
      <c r="S1243" s="783">
        <v>133.52000000000001</v>
      </c>
      <c r="T1243" s="783">
        <v>725.09</v>
      </c>
      <c r="U1243" s="785">
        <v>44631.511747685203</v>
      </c>
    </row>
    <row r="1244" spans="1:21">
      <c r="A1244" s="782">
        <v>44427</v>
      </c>
      <c r="B1244" s="783" t="s">
        <v>41</v>
      </c>
      <c r="C1244" s="783" t="s">
        <v>4082</v>
      </c>
      <c r="D1244" s="783" t="s">
        <v>4009</v>
      </c>
      <c r="E1244" s="783" t="s">
        <v>4518</v>
      </c>
      <c r="F1244" s="783" t="s">
        <v>4011</v>
      </c>
      <c r="G1244" s="783" t="str">
        <f t="shared" si="70"/>
        <v>Renewal (25% in 2020)</v>
      </c>
      <c r="H1244" s="783" t="s">
        <v>4519</v>
      </c>
      <c r="I1244" s="783" t="s">
        <v>4520</v>
      </c>
      <c r="J1244" s="783">
        <v>25</v>
      </c>
      <c r="K1244" s="783" t="s">
        <v>27</v>
      </c>
      <c r="L1244" s="783" t="s">
        <v>4096</v>
      </c>
      <c r="M1244" s="784">
        <v>25112.5</v>
      </c>
      <c r="N1244" s="784">
        <v>20.5</v>
      </c>
      <c r="O1244" s="784">
        <v>3.5</v>
      </c>
      <c r="P1244" s="783">
        <v>350</v>
      </c>
      <c r="Q1244" s="783">
        <v>1624.78</v>
      </c>
      <c r="R1244" s="783">
        <v>1019.57</v>
      </c>
      <c r="S1244" s="783">
        <v>251.13</v>
      </c>
      <c r="T1244" s="783">
        <v>354.09</v>
      </c>
      <c r="U1244" s="785">
        <v>44631.512187499997</v>
      </c>
    </row>
    <row r="1245" spans="1:21">
      <c r="A1245" s="782">
        <v>44422</v>
      </c>
      <c r="B1245" s="783" t="s">
        <v>51</v>
      </c>
      <c r="C1245" s="783" t="s">
        <v>4796</v>
      </c>
      <c r="D1245" s="783" t="s">
        <v>4016</v>
      </c>
      <c r="E1245" s="783" t="s">
        <v>67</v>
      </c>
      <c r="F1245" s="783" t="s">
        <v>4011</v>
      </c>
      <c r="G1245" s="783" t="str">
        <f t="shared" si="70"/>
        <v>Renewal (15% in 2020)</v>
      </c>
      <c r="H1245" s="783" t="s">
        <v>4875</v>
      </c>
      <c r="I1245" s="783" t="s">
        <v>4876</v>
      </c>
      <c r="J1245" s="783">
        <v>15</v>
      </c>
      <c r="K1245" s="783" t="s">
        <v>27</v>
      </c>
      <c r="L1245" s="783" t="s">
        <v>4096</v>
      </c>
      <c r="M1245" s="784">
        <v>51272.55</v>
      </c>
      <c r="N1245" s="784">
        <v>45</v>
      </c>
      <c r="O1245" s="784">
        <v>2.87</v>
      </c>
      <c r="P1245" s="783">
        <v>397</v>
      </c>
      <c r="Q1245" s="783">
        <v>6178.34</v>
      </c>
      <c r="R1245" s="783">
        <v>2491.85</v>
      </c>
      <c r="S1245" s="783">
        <v>358.91</v>
      </c>
      <c r="T1245" s="783">
        <v>3327.59</v>
      </c>
      <c r="U1245" s="785">
        <v>44631.511990740699</v>
      </c>
    </row>
    <row r="1246" spans="1:21">
      <c r="A1246" s="782">
        <v>44429</v>
      </c>
      <c r="B1246" s="783" t="s">
        <v>41</v>
      </c>
      <c r="C1246" s="783" t="s">
        <v>4092</v>
      </c>
      <c r="D1246" s="783" t="s">
        <v>4009</v>
      </c>
      <c r="E1246" s="783" t="s">
        <v>3066</v>
      </c>
      <c r="F1246" s="783" t="s">
        <v>4011</v>
      </c>
      <c r="G1246" s="783" t="str">
        <f t="shared" si="70"/>
        <v>Renewal (15% in 2020)</v>
      </c>
      <c r="H1246" s="783" t="s">
        <v>4877</v>
      </c>
      <c r="I1246" s="783" t="s">
        <v>4878</v>
      </c>
      <c r="J1246" s="783">
        <v>15</v>
      </c>
      <c r="K1246" s="783" t="s">
        <v>27</v>
      </c>
      <c r="L1246" s="783" t="s">
        <v>4096</v>
      </c>
      <c r="M1246" s="784">
        <v>15827.49</v>
      </c>
      <c r="N1246" s="784">
        <v>13.58</v>
      </c>
      <c r="O1246" s="784">
        <v>3.33</v>
      </c>
      <c r="P1246" s="783">
        <v>350</v>
      </c>
      <c r="Q1246" s="783">
        <v>1650.81</v>
      </c>
      <c r="R1246" s="783">
        <v>637.85</v>
      </c>
      <c r="S1246" s="783">
        <v>153.53</v>
      </c>
      <c r="T1246" s="783">
        <v>859.43</v>
      </c>
      <c r="U1246" s="785">
        <v>44631.512210648201</v>
      </c>
    </row>
    <row r="1247" spans="1:21">
      <c r="A1247" s="782">
        <v>44435</v>
      </c>
      <c r="B1247" s="783" t="s">
        <v>41</v>
      </c>
      <c r="C1247" s="783" t="s">
        <v>4082</v>
      </c>
      <c r="D1247" s="783" t="s">
        <v>4009</v>
      </c>
      <c r="E1247" s="783" t="s">
        <v>1290</v>
      </c>
      <c r="F1247" s="783" t="s">
        <v>4011</v>
      </c>
      <c r="G1247" s="783" t="str">
        <f t="shared" si="70"/>
        <v>Renewal (20% in 2020)</v>
      </c>
      <c r="H1247" s="783" t="s">
        <v>4521</v>
      </c>
      <c r="I1247" s="783" t="s">
        <v>4522</v>
      </c>
      <c r="J1247" s="783">
        <v>20</v>
      </c>
      <c r="K1247" s="783" t="s">
        <v>27</v>
      </c>
      <c r="L1247" s="783" t="s">
        <v>4096</v>
      </c>
      <c r="M1247" s="784">
        <v>24882</v>
      </c>
      <c r="N1247" s="784">
        <v>22</v>
      </c>
      <c r="O1247" s="784">
        <v>3.77</v>
      </c>
      <c r="P1247" s="783">
        <v>300</v>
      </c>
      <c r="Q1247" s="783">
        <v>2022.91</v>
      </c>
      <c r="R1247" s="783">
        <v>1010.21</v>
      </c>
      <c r="S1247" s="783">
        <v>248.82</v>
      </c>
      <c r="T1247" s="783">
        <v>763.88</v>
      </c>
      <c r="U1247" s="785">
        <v>44631.512025463002</v>
      </c>
    </row>
    <row r="1248" spans="1:21">
      <c r="A1248" s="782">
        <v>44421</v>
      </c>
      <c r="B1248" s="783" t="s">
        <v>41</v>
      </c>
      <c r="C1248" s="783" t="s">
        <v>4092</v>
      </c>
      <c r="D1248" s="783" t="s">
        <v>4009</v>
      </c>
      <c r="E1248" s="783" t="s">
        <v>4093</v>
      </c>
      <c r="F1248" s="783" t="s">
        <v>4011</v>
      </c>
      <c r="G1248" s="783" t="str">
        <f t="shared" si="70"/>
        <v>Renewal (30% in 2020)</v>
      </c>
      <c r="H1248" s="783" t="s">
        <v>4094</v>
      </c>
      <c r="I1248" s="783" t="s">
        <v>4095</v>
      </c>
      <c r="J1248" s="783">
        <v>30</v>
      </c>
      <c r="K1248" s="783" t="s">
        <v>27</v>
      </c>
      <c r="L1248" s="783" t="s">
        <v>4096</v>
      </c>
      <c r="M1248" s="784">
        <v>5988.92</v>
      </c>
      <c r="N1248" s="784">
        <v>5.84</v>
      </c>
      <c r="O1248" s="784">
        <v>2.93</v>
      </c>
      <c r="P1248" s="783">
        <v>350</v>
      </c>
      <c r="Q1248" s="783">
        <v>322.8</v>
      </c>
      <c r="R1248" s="783">
        <v>241.35</v>
      </c>
      <c r="S1248" s="783">
        <v>0</v>
      </c>
      <c r="T1248" s="783">
        <v>81.45</v>
      </c>
      <c r="U1248" s="785">
        <v>44631.516504629602</v>
      </c>
    </row>
    <row r="1249" spans="1:21">
      <c r="A1249" s="782">
        <v>44574</v>
      </c>
      <c r="B1249" s="783" t="s">
        <v>41</v>
      </c>
      <c r="C1249" s="783" t="s">
        <v>4082</v>
      </c>
      <c r="D1249" s="783" t="s">
        <v>4009</v>
      </c>
      <c r="E1249" s="783" t="s">
        <v>3825</v>
      </c>
      <c r="F1249" s="783" t="s">
        <v>4011</v>
      </c>
      <c r="G1249" s="783" t="str">
        <f t="shared" si="70"/>
        <v>Renewal (15% in 2020)</v>
      </c>
      <c r="H1249" s="783" t="s">
        <v>4879</v>
      </c>
      <c r="I1249" s="783" t="s">
        <v>4880</v>
      </c>
      <c r="J1249" s="783">
        <v>15</v>
      </c>
      <c r="K1249" s="783" t="s">
        <v>27</v>
      </c>
      <c r="L1249" s="783" t="s">
        <v>4096</v>
      </c>
      <c r="M1249" s="784">
        <v>18391.78</v>
      </c>
      <c r="N1249" s="784">
        <v>14.75</v>
      </c>
      <c r="O1249" s="784">
        <v>3.37</v>
      </c>
      <c r="P1249" s="783">
        <v>370</v>
      </c>
      <c r="Q1249" s="783">
        <v>1951.37</v>
      </c>
      <c r="R1249" s="783">
        <v>746.71</v>
      </c>
      <c r="S1249" s="783">
        <v>183.92</v>
      </c>
      <c r="T1249" s="783">
        <v>1020.74</v>
      </c>
      <c r="U1249" s="785">
        <v>44701.658900463</v>
      </c>
    </row>
    <row r="1250" spans="1:21">
      <c r="A1250" s="782">
        <v>44690</v>
      </c>
      <c r="B1250" s="783" t="s">
        <v>4025</v>
      </c>
      <c r="C1250" s="783" t="s">
        <v>4026</v>
      </c>
      <c r="D1250" s="783" t="s">
        <v>4021</v>
      </c>
      <c r="E1250" s="783" t="s">
        <v>4881</v>
      </c>
      <c r="F1250" s="783" t="s">
        <v>4011</v>
      </c>
      <c r="G1250" s="783" t="str">
        <f t="shared" si="70"/>
        <v>New Contract</v>
      </c>
      <c r="H1250" s="783" t="s">
        <v>4882</v>
      </c>
      <c r="I1250" s="783" t="s">
        <v>4883</v>
      </c>
      <c r="J1250" s="783">
        <v>20</v>
      </c>
      <c r="K1250" s="783" t="s">
        <v>27</v>
      </c>
      <c r="L1250" s="783" t="s">
        <v>4096</v>
      </c>
      <c r="M1250" s="784">
        <v>48180</v>
      </c>
      <c r="N1250" s="784">
        <v>29.2</v>
      </c>
      <c r="O1250" s="784">
        <v>3</v>
      </c>
      <c r="P1250" s="783">
        <v>550</v>
      </c>
      <c r="Q1250" s="783">
        <v>3203.97</v>
      </c>
      <c r="R1250" s="783">
        <v>1022.45</v>
      </c>
      <c r="S1250" s="783">
        <v>875.84</v>
      </c>
      <c r="T1250" s="783">
        <v>1305.68</v>
      </c>
      <c r="U1250" s="785">
        <v>44690.6879513889</v>
      </c>
    </row>
    <row r="1251" spans="1:21">
      <c r="A1251" s="782">
        <v>44691</v>
      </c>
      <c r="B1251" s="783" t="s">
        <v>51</v>
      </c>
      <c r="C1251" s="783" t="s">
        <v>4015</v>
      </c>
      <c r="D1251" s="783" t="s">
        <v>4016</v>
      </c>
      <c r="E1251" s="783" t="s">
        <v>4017</v>
      </c>
      <c r="F1251" s="783" t="s">
        <v>4011</v>
      </c>
      <c r="G1251" s="783" t="str">
        <f t="shared" si="70"/>
        <v>New Contract</v>
      </c>
      <c r="H1251" s="783" t="s">
        <v>4018</v>
      </c>
      <c r="I1251" s="783" t="s">
        <v>4019</v>
      </c>
      <c r="J1251" s="783">
        <v>25</v>
      </c>
      <c r="K1251" s="783" t="s">
        <v>27</v>
      </c>
      <c r="L1251" s="783" t="s">
        <v>4096</v>
      </c>
      <c r="M1251" s="784">
        <v>5060.76</v>
      </c>
      <c r="N1251" s="784">
        <v>5.43</v>
      </c>
      <c r="O1251" s="784">
        <v>2.33</v>
      </c>
      <c r="P1251" s="783">
        <v>400</v>
      </c>
      <c r="Q1251" s="783">
        <v>348.18</v>
      </c>
      <c r="R1251" s="783">
        <v>218.49</v>
      </c>
      <c r="S1251" s="783">
        <v>34.549999999999997</v>
      </c>
      <c r="T1251" s="783">
        <v>95.14</v>
      </c>
      <c r="U1251" s="785">
        <v>44691.527569444399</v>
      </c>
    </row>
    <row r="1252" spans="1:21">
      <c r="A1252" s="782">
        <v>44690</v>
      </c>
      <c r="B1252" s="783" t="s">
        <v>41</v>
      </c>
      <c r="C1252" s="783" t="s">
        <v>4071</v>
      </c>
      <c r="D1252" s="783" t="s">
        <v>4009</v>
      </c>
      <c r="E1252" s="783" t="s">
        <v>4887</v>
      </c>
      <c r="F1252" s="783" t="s">
        <v>4011</v>
      </c>
      <c r="G1252" s="783" t="str">
        <f t="shared" si="70"/>
        <v>Renewal (15% in 2020)</v>
      </c>
      <c r="H1252" s="783" t="s">
        <v>4888</v>
      </c>
      <c r="I1252" s="783" t="s">
        <v>4889</v>
      </c>
      <c r="J1252" s="783">
        <v>15</v>
      </c>
      <c r="K1252" s="783" t="s">
        <v>27</v>
      </c>
      <c r="L1252" s="783" t="s">
        <v>4096</v>
      </c>
      <c r="M1252" s="784">
        <v>61258.239999999998</v>
      </c>
      <c r="N1252" s="784">
        <v>51.96</v>
      </c>
      <c r="O1252" s="784">
        <v>3.23</v>
      </c>
      <c r="P1252" s="783">
        <v>365</v>
      </c>
      <c r="Q1252" s="783">
        <v>6952.81</v>
      </c>
      <c r="R1252" s="783">
        <v>2940.4</v>
      </c>
      <c r="S1252" s="783">
        <v>361.42</v>
      </c>
      <c r="T1252" s="783">
        <v>3650.99</v>
      </c>
      <c r="U1252" s="785">
        <v>44691.5058333333</v>
      </c>
    </row>
    <row r="1253" spans="1:21">
      <c r="A1253" s="782">
        <v>44692</v>
      </c>
      <c r="B1253" s="783" t="s">
        <v>113</v>
      </c>
      <c r="C1253" s="783" t="s">
        <v>4606</v>
      </c>
      <c r="D1253" s="783" t="s">
        <v>4009</v>
      </c>
      <c r="E1253" s="783" t="s">
        <v>6549</v>
      </c>
      <c r="F1253" s="783" t="s">
        <v>4011</v>
      </c>
      <c r="G1253" s="783" t="str">
        <f t="shared" si="70"/>
        <v>Renewal (20% in 2020)</v>
      </c>
      <c r="H1253" s="783" t="s">
        <v>6550</v>
      </c>
      <c r="I1253" s="783" t="s">
        <v>6551</v>
      </c>
      <c r="J1253" s="783">
        <v>20</v>
      </c>
      <c r="K1253" s="783" t="s">
        <v>27</v>
      </c>
      <c r="L1253" s="783" t="s">
        <v>4096</v>
      </c>
      <c r="M1253" s="784">
        <v>2331.1799999999998</v>
      </c>
      <c r="N1253" s="784">
        <v>1.6</v>
      </c>
      <c r="O1253" s="784">
        <v>3.67</v>
      </c>
      <c r="P1253" s="783">
        <v>397</v>
      </c>
      <c r="Q1253" s="783">
        <v>155.72</v>
      </c>
      <c r="R1253" s="783">
        <v>63.41</v>
      </c>
      <c r="S1253" s="783">
        <v>26.11</v>
      </c>
      <c r="T1253" s="783">
        <v>66.209999999999994</v>
      </c>
      <c r="U1253" s="785">
        <v>44693.455740740697</v>
      </c>
    </row>
    <row r="1254" spans="1:21">
      <c r="A1254" s="782">
        <v>44693</v>
      </c>
      <c r="B1254" s="783" t="s">
        <v>4025</v>
      </c>
      <c r="C1254" s="783" t="s">
        <v>4026</v>
      </c>
      <c r="D1254" s="783" t="s">
        <v>4021</v>
      </c>
      <c r="E1254" s="783" t="s">
        <v>4890</v>
      </c>
      <c r="F1254" s="783" t="s">
        <v>4011</v>
      </c>
      <c r="G1254" s="783" t="str">
        <f t="shared" si="70"/>
        <v>New Contract</v>
      </c>
      <c r="H1254" s="783" t="s">
        <v>4891</v>
      </c>
      <c r="I1254" s="783" t="s">
        <v>4892</v>
      </c>
      <c r="J1254" s="783">
        <v>25</v>
      </c>
      <c r="K1254" s="783" t="s">
        <v>27</v>
      </c>
      <c r="L1254" s="783" t="s">
        <v>4096</v>
      </c>
      <c r="M1254" s="784">
        <v>27230.400000000001</v>
      </c>
      <c r="N1254" s="784">
        <v>18.91</v>
      </c>
      <c r="O1254" s="784">
        <v>3.2</v>
      </c>
      <c r="P1254" s="783">
        <v>450</v>
      </c>
      <c r="Q1254" s="783">
        <v>1456.83</v>
      </c>
      <c r="R1254" s="783">
        <v>706.28</v>
      </c>
      <c r="S1254" s="783">
        <v>366.59</v>
      </c>
      <c r="T1254" s="783">
        <v>383.95</v>
      </c>
      <c r="U1254" s="785">
        <v>44693.699895833299</v>
      </c>
    </row>
    <row r="1255" spans="1:21">
      <c r="A1255" s="782">
        <v>44700</v>
      </c>
      <c r="B1255" s="783" t="s">
        <v>41</v>
      </c>
      <c r="C1255" s="783" t="s">
        <v>4071</v>
      </c>
      <c r="D1255" s="783" t="s">
        <v>4009</v>
      </c>
      <c r="E1255" s="783" t="s">
        <v>678</v>
      </c>
      <c r="F1255" s="783" t="s">
        <v>4011</v>
      </c>
      <c r="G1255" s="783" t="str">
        <f t="shared" si="70"/>
        <v>Renewal (15% in 2020)</v>
      </c>
      <c r="H1255" s="783" t="s">
        <v>4897</v>
      </c>
      <c r="I1255" s="783" t="s">
        <v>4898</v>
      </c>
      <c r="J1255" s="783">
        <v>15</v>
      </c>
      <c r="K1255" s="783" t="s">
        <v>27</v>
      </c>
      <c r="L1255" s="783" t="s">
        <v>4096</v>
      </c>
      <c r="M1255" s="784">
        <v>12602.3</v>
      </c>
      <c r="N1255" s="784">
        <v>9.18</v>
      </c>
      <c r="O1255" s="784">
        <v>2.86</v>
      </c>
      <c r="P1255" s="783">
        <v>480</v>
      </c>
      <c r="Q1255" s="783">
        <v>1430.36</v>
      </c>
      <c r="R1255" s="783">
        <v>500.31</v>
      </c>
      <c r="S1255" s="783">
        <v>178.95</v>
      </c>
      <c r="T1255" s="783">
        <v>751.1</v>
      </c>
      <c r="U1255" s="785">
        <v>44700.595925925903</v>
      </c>
    </row>
    <row r="1256" spans="1:21">
      <c r="A1256" s="782">
        <v>44697</v>
      </c>
      <c r="B1256" s="783" t="s">
        <v>4025</v>
      </c>
      <c r="C1256" s="783" t="s">
        <v>4026</v>
      </c>
      <c r="D1256" s="783" t="s">
        <v>4021</v>
      </c>
      <c r="E1256" s="783" t="s">
        <v>3552</v>
      </c>
      <c r="F1256" s="783" t="s">
        <v>4066</v>
      </c>
      <c r="G1256" s="783" t="str">
        <f t="shared" si="70"/>
        <v>New Contract</v>
      </c>
      <c r="H1256" s="783" t="s">
        <v>6552</v>
      </c>
      <c r="I1256" s="783" t="s">
        <v>4956</v>
      </c>
      <c r="J1256" s="783">
        <v>10</v>
      </c>
      <c r="K1256" s="783" t="s">
        <v>27</v>
      </c>
      <c r="L1256" s="783" t="s">
        <v>4096</v>
      </c>
      <c r="M1256" s="784">
        <v>47555.199999999997</v>
      </c>
      <c r="N1256" s="784">
        <v>21.23</v>
      </c>
      <c r="O1256" s="784">
        <v>2.8</v>
      </c>
      <c r="P1256" s="783">
        <v>800</v>
      </c>
      <c r="Q1256" s="783">
        <v>2491.89</v>
      </c>
      <c r="R1256" s="783">
        <v>0</v>
      </c>
      <c r="S1256" s="783">
        <v>0</v>
      </c>
      <c r="T1256" s="783">
        <v>2491.89</v>
      </c>
      <c r="U1256" s="785">
        <v>44698.489722222199</v>
      </c>
    </row>
    <row r="1257" spans="1:21">
      <c r="A1257" s="782">
        <v>44692</v>
      </c>
      <c r="B1257" s="783" t="s">
        <v>41</v>
      </c>
      <c r="C1257" s="783" t="s">
        <v>4139</v>
      </c>
      <c r="D1257" s="783" t="s">
        <v>4009</v>
      </c>
      <c r="E1257" s="783" t="s">
        <v>4899</v>
      </c>
      <c r="F1257" s="783" t="s">
        <v>4011</v>
      </c>
      <c r="G1257" s="783" t="str">
        <f t="shared" si="70"/>
        <v>Renewal (30% in 2020)</v>
      </c>
      <c r="H1257" s="783" t="s">
        <v>4900</v>
      </c>
      <c r="I1257" s="783" t="s">
        <v>4901</v>
      </c>
      <c r="J1257" s="783">
        <v>25</v>
      </c>
      <c r="K1257" s="783" t="s">
        <v>27</v>
      </c>
      <c r="L1257" s="783" t="s">
        <v>4096</v>
      </c>
      <c r="M1257" s="784">
        <v>15873.65</v>
      </c>
      <c r="N1257" s="784">
        <v>11.2</v>
      </c>
      <c r="O1257" s="784">
        <v>3.57</v>
      </c>
      <c r="P1257" s="783">
        <v>397</v>
      </c>
      <c r="Q1257" s="783">
        <v>1320.69</v>
      </c>
      <c r="R1257" s="783">
        <v>920.67</v>
      </c>
      <c r="S1257" s="783">
        <v>111.12</v>
      </c>
      <c r="T1257" s="783">
        <v>288.89999999999998</v>
      </c>
      <c r="U1257" s="785">
        <v>44693.4159953704</v>
      </c>
    </row>
    <row r="1258" spans="1:21">
      <c r="A1258" s="782">
        <v>44690</v>
      </c>
      <c r="B1258" s="783" t="s">
        <v>74</v>
      </c>
      <c r="C1258" s="783" t="s">
        <v>4097</v>
      </c>
      <c r="D1258" s="783" t="s">
        <v>4038</v>
      </c>
      <c r="E1258" s="783" t="s">
        <v>4098</v>
      </c>
      <c r="F1258" s="783" t="s">
        <v>4011</v>
      </c>
      <c r="G1258" s="783" t="str">
        <f t="shared" si="70"/>
        <v>Renewal (15% in 2020)</v>
      </c>
      <c r="H1258" s="783" t="s">
        <v>4099</v>
      </c>
      <c r="I1258" s="783" t="s">
        <v>4100</v>
      </c>
      <c r="J1258" s="783">
        <v>20</v>
      </c>
      <c r="K1258" s="783" t="s">
        <v>27</v>
      </c>
      <c r="L1258" s="783" t="s">
        <v>4096</v>
      </c>
      <c r="M1258" s="784">
        <v>8024.12</v>
      </c>
      <c r="N1258" s="784">
        <v>7.57</v>
      </c>
      <c r="O1258" s="784">
        <v>2.67</v>
      </c>
      <c r="P1258" s="783">
        <v>397</v>
      </c>
      <c r="Q1258" s="783">
        <v>700.51</v>
      </c>
      <c r="R1258" s="783">
        <v>296.89</v>
      </c>
      <c r="S1258" s="783">
        <v>113.14</v>
      </c>
      <c r="T1258" s="783">
        <v>290.47000000000003</v>
      </c>
      <c r="U1258" s="785">
        <v>44708.600960648102</v>
      </c>
    </row>
    <row r="1259" spans="1:21">
      <c r="A1259" s="782">
        <v>44690</v>
      </c>
      <c r="B1259" s="783" t="s">
        <v>51</v>
      </c>
      <c r="C1259" s="783" t="s">
        <v>4042</v>
      </c>
      <c r="D1259" s="783" t="s">
        <v>4016</v>
      </c>
      <c r="E1259" s="783" t="s">
        <v>1468</v>
      </c>
      <c r="F1259" s="783" t="s">
        <v>4011</v>
      </c>
      <c r="G1259" s="783" t="str">
        <f t="shared" si="70"/>
        <v>Renewal (15% in 2020)</v>
      </c>
      <c r="H1259" s="783" t="s">
        <v>4902</v>
      </c>
      <c r="I1259" s="783" t="s">
        <v>4903</v>
      </c>
      <c r="J1259" s="783">
        <v>30</v>
      </c>
      <c r="K1259" s="783" t="s">
        <v>27</v>
      </c>
      <c r="L1259" s="783" t="s">
        <v>4096</v>
      </c>
      <c r="M1259" s="784">
        <v>37606.58</v>
      </c>
      <c r="N1259" s="784">
        <v>32.33</v>
      </c>
      <c r="O1259" s="784">
        <v>2.93</v>
      </c>
      <c r="P1259" s="783">
        <v>397</v>
      </c>
      <c r="Q1259" s="783">
        <v>2624.94</v>
      </c>
      <c r="R1259" s="783">
        <v>1861.53</v>
      </c>
      <c r="S1259" s="783">
        <v>0</v>
      </c>
      <c r="T1259" s="783">
        <v>763.41</v>
      </c>
      <c r="U1259" s="785">
        <v>44690.678333333301</v>
      </c>
    </row>
    <row r="1260" spans="1:21">
      <c r="A1260" s="782">
        <v>44690</v>
      </c>
      <c r="B1260" s="783" t="s">
        <v>41</v>
      </c>
      <c r="C1260" s="783" t="s">
        <v>4071</v>
      </c>
      <c r="D1260" s="783" t="s">
        <v>4009</v>
      </c>
      <c r="E1260" s="783" t="s">
        <v>4526</v>
      </c>
      <c r="F1260" s="783" t="s">
        <v>4011</v>
      </c>
      <c r="G1260" s="783" t="str">
        <f t="shared" si="70"/>
        <v>Renewal (25% in 2020)</v>
      </c>
      <c r="H1260" s="783" t="s">
        <v>4527</v>
      </c>
      <c r="I1260" s="783" t="s">
        <v>4528</v>
      </c>
      <c r="J1260" s="783">
        <v>25</v>
      </c>
      <c r="K1260" s="783" t="s">
        <v>27</v>
      </c>
      <c r="L1260" s="783" t="s">
        <v>4096</v>
      </c>
      <c r="M1260" s="784">
        <v>73946.600000000006</v>
      </c>
      <c r="N1260" s="784">
        <v>40.630000000000003</v>
      </c>
      <c r="O1260" s="784">
        <v>3.64</v>
      </c>
      <c r="P1260" s="783">
        <v>500</v>
      </c>
      <c r="Q1260" s="783">
        <v>5124.5</v>
      </c>
      <c r="R1260" s="783">
        <v>2818.25</v>
      </c>
      <c r="S1260" s="783">
        <v>1167.47</v>
      </c>
      <c r="T1260" s="783">
        <v>1138.78</v>
      </c>
      <c r="U1260" s="785">
        <v>44690.691793981503</v>
      </c>
    </row>
    <row r="1261" spans="1:21">
      <c r="A1261" s="782">
        <v>44690</v>
      </c>
      <c r="B1261" s="783" t="s">
        <v>397</v>
      </c>
      <c r="C1261" s="783" t="s">
        <v>4192</v>
      </c>
      <c r="D1261" s="783" t="s">
        <v>4193</v>
      </c>
      <c r="E1261" s="783" t="s">
        <v>4907</v>
      </c>
      <c r="F1261" s="783" t="s">
        <v>4011</v>
      </c>
      <c r="G1261" s="783" t="str">
        <f t="shared" si="70"/>
        <v>Renewal (15% in 2020)</v>
      </c>
      <c r="H1261" s="783" t="s">
        <v>4908</v>
      </c>
      <c r="I1261" s="783" t="s">
        <v>4909</v>
      </c>
      <c r="J1261" s="783">
        <v>20</v>
      </c>
      <c r="K1261" s="783" t="s">
        <v>27</v>
      </c>
      <c r="L1261" s="783" t="s">
        <v>4096</v>
      </c>
      <c r="M1261" s="784">
        <v>22602.6</v>
      </c>
      <c r="N1261" s="784">
        <v>21.65</v>
      </c>
      <c r="O1261" s="784">
        <v>2.9</v>
      </c>
      <c r="P1261" s="783">
        <v>360</v>
      </c>
      <c r="Q1261" s="783">
        <v>2117.86</v>
      </c>
      <c r="R1261" s="783">
        <v>1109.79</v>
      </c>
      <c r="S1261" s="783">
        <v>153.69999999999999</v>
      </c>
      <c r="T1261" s="783">
        <v>854.38</v>
      </c>
      <c r="U1261" s="785">
        <v>44691.480659722198</v>
      </c>
    </row>
    <row r="1262" spans="1:21">
      <c r="A1262" s="782">
        <v>44697</v>
      </c>
      <c r="B1262" s="783" t="s">
        <v>41</v>
      </c>
      <c r="C1262" s="783" t="s">
        <v>4139</v>
      </c>
      <c r="D1262" s="783" t="s">
        <v>4009</v>
      </c>
      <c r="E1262" s="783" t="s">
        <v>4532</v>
      </c>
      <c r="F1262" s="783" t="s">
        <v>4011</v>
      </c>
      <c r="G1262" s="783" t="str">
        <f t="shared" si="70"/>
        <v>Renewal (15% in 2020)</v>
      </c>
      <c r="H1262" s="783" t="s">
        <v>4533</v>
      </c>
      <c r="I1262" s="783" t="s">
        <v>4534</v>
      </c>
      <c r="J1262" s="783">
        <v>15</v>
      </c>
      <c r="K1262" s="783" t="s">
        <v>27</v>
      </c>
      <c r="L1262" s="783" t="s">
        <v>4096</v>
      </c>
      <c r="M1262" s="784">
        <v>30333.38</v>
      </c>
      <c r="N1262" s="784">
        <v>22.85</v>
      </c>
      <c r="O1262" s="784">
        <v>2.95</v>
      </c>
      <c r="P1262" s="783">
        <v>450</v>
      </c>
      <c r="Q1262" s="783">
        <v>4137.47</v>
      </c>
      <c r="R1262" s="783">
        <v>1552.13</v>
      </c>
      <c r="S1262" s="783">
        <v>419.54</v>
      </c>
      <c r="T1262" s="783">
        <v>2165.8000000000002</v>
      </c>
      <c r="U1262" s="785">
        <v>44708.603842592602</v>
      </c>
    </row>
    <row r="1263" spans="1:21">
      <c r="A1263" s="782">
        <v>44692</v>
      </c>
      <c r="B1263" s="783" t="s">
        <v>41</v>
      </c>
      <c r="C1263" s="783" t="s">
        <v>4139</v>
      </c>
      <c r="D1263" s="783" t="s">
        <v>4009</v>
      </c>
      <c r="E1263" s="783" t="s">
        <v>4910</v>
      </c>
      <c r="F1263" s="783" t="s">
        <v>4011</v>
      </c>
      <c r="G1263" s="783" t="str">
        <f t="shared" si="70"/>
        <v>Renewal (30% in 2020)</v>
      </c>
      <c r="H1263" s="783" t="s">
        <v>4911</v>
      </c>
      <c r="I1263" s="783" t="s">
        <v>4912</v>
      </c>
      <c r="J1263" s="783">
        <v>25</v>
      </c>
      <c r="K1263" s="783" t="s">
        <v>27</v>
      </c>
      <c r="L1263" s="783" t="s">
        <v>4096</v>
      </c>
      <c r="M1263" s="784">
        <v>23819.73</v>
      </c>
      <c r="N1263" s="784">
        <v>15.95</v>
      </c>
      <c r="O1263" s="784">
        <v>3.93</v>
      </c>
      <c r="P1263" s="783">
        <v>380</v>
      </c>
      <c r="Q1263" s="783">
        <v>1981.8</v>
      </c>
      <c r="R1263" s="783">
        <v>1381.54</v>
      </c>
      <c r="S1263" s="783">
        <v>166.74</v>
      </c>
      <c r="T1263" s="783">
        <v>433.52</v>
      </c>
      <c r="U1263" s="785">
        <v>44708.605243055601</v>
      </c>
    </row>
    <row r="1264" spans="1:21">
      <c r="A1264" s="782">
        <v>44694</v>
      </c>
      <c r="B1264" s="783" t="s">
        <v>65</v>
      </c>
      <c r="C1264" s="783" t="s">
        <v>4251</v>
      </c>
      <c r="D1264" s="783" t="s">
        <v>4193</v>
      </c>
      <c r="E1264" s="783" t="s">
        <v>4913</v>
      </c>
      <c r="F1264" s="783" t="s">
        <v>4011</v>
      </c>
      <c r="G1264" s="783" t="str">
        <f t="shared" si="70"/>
        <v>Renewal (25% in 2020)</v>
      </c>
      <c r="H1264" s="783" t="s">
        <v>4914</v>
      </c>
      <c r="I1264" s="783" t="s">
        <v>4915</v>
      </c>
      <c r="J1264" s="783">
        <v>25</v>
      </c>
      <c r="K1264" s="783" t="s">
        <v>27</v>
      </c>
      <c r="L1264" s="783" t="s">
        <v>4096</v>
      </c>
      <c r="M1264" s="784">
        <v>73357.19</v>
      </c>
      <c r="N1264" s="784">
        <v>53.52</v>
      </c>
      <c r="O1264" s="784">
        <v>3.47</v>
      </c>
      <c r="P1264" s="783">
        <v>395</v>
      </c>
      <c r="Q1264" s="783">
        <v>4159.3500000000004</v>
      </c>
      <c r="R1264" s="783">
        <v>2736.22</v>
      </c>
      <c r="S1264" s="783">
        <v>381.46</v>
      </c>
      <c r="T1264" s="783">
        <v>1041.67</v>
      </c>
      <c r="U1264" s="785">
        <v>44694.526400463001</v>
      </c>
    </row>
    <row r="1265" spans="1:21">
      <c r="A1265" s="782">
        <v>44694</v>
      </c>
      <c r="B1265" s="783" t="s">
        <v>65</v>
      </c>
      <c r="C1265" s="783" t="s">
        <v>4916</v>
      </c>
      <c r="D1265" s="783" t="s">
        <v>4102</v>
      </c>
      <c r="E1265" s="783" t="s">
        <v>4913</v>
      </c>
      <c r="F1265" s="783" t="s">
        <v>4011</v>
      </c>
      <c r="G1265" s="783" t="str">
        <f t="shared" si="70"/>
        <v>Renewal (25% in 2020)</v>
      </c>
      <c r="H1265" s="783" t="s">
        <v>4914</v>
      </c>
      <c r="I1265" s="783" t="s">
        <v>4915</v>
      </c>
      <c r="J1265" s="783">
        <v>25</v>
      </c>
      <c r="K1265" s="783" t="s">
        <v>27</v>
      </c>
      <c r="L1265" s="783" t="s">
        <v>4096</v>
      </c>
      <c r="M1265" s="784">
        <v>5756.73</v>
      </c>
      <c r="N1265" s="784">
        <v>4.2</v>
      </c>
      <c r="O1265" s="784">
        <v>3.47</v>
      </c>
      <c r="P1265" s="783">
        <v>395</v>
      </c>
      <c r="Q1265" s="783">
        <v>305.11</v>
      </c>
      <c r="R1265" s="783">
        <v>195.15</v>
      </c>
      <c r="S1265" s="783">
        <v>28.78</v>
      </c>
      <c r="T1265" s="783">
        <v>81.17</v>
      </c>
      <c r="U1265" s="785">
        <v>44694.526400463001</v>
      </c>
    </row>
    <row r="1266" spans="1:21">
      <c r="A1266" s="782">
        <v>44693</v>
      </c>
      <c r="B1266" s="783" t="s">
        <v>397</v>
      </c>
      <c r="C1266" s="783" t="s">
        <v>4020</v>
      </c>
      <c r="D1266" s="783" t="s">
        <v>4021</v>
      </c>
      <c r="E1266" s="783" t="s">
        <v>3774</v>
      </c>
      <c r="F1266" s="783" t="s">
        <v>4011</v>
      </c>
      <c r="G1266" s="783" t="s">
        <v>4028</v>
      </c>
      <c r="H1266" s="783" t="s">
        <v>4920</v>
      </c>
      <c r="I1266" s="783" t="s">
        <v>4921</v>
      </c>
      <c r="J1266" s="783">
        <v>30</v>
      </c>
      <c r="K1266" s="783" t="s">
        <v>27</v>
      </c>
      <c r="L1266" s="783" t="s">
        <v>4096</v>
      </c>
      <c r="M1266" s="784">
        <v>51488.51</v>
      </c>
      <c r="N1266" s="784">
        <v>37.270000000000003</v>
      </c>
      <c r="O1266" s="784">
        <v>3.07</v>
      </c>
      <c r="P1266" s="783">
        <v>450</v>
      </c>
      <c r="Q1266" s="783">
        <v>3707.17</v>
      </c>
      <c r="R1266" s="783">
        <v>2284.84</v>
      </c>
      <c r="S1266" s="783">
        <v>305.02999999999997</v>
      </c>
      <c r="T1266" s="783">
        <v>1117.3</v>
      </c>
      <c r="U1266" s="785">
        <v>44694.506215277797</v>
      </c>
    </row>
    <row r="1267" spans="1:21">
      <c r="A1267" s="782">
        <v>44694</v>
      </c>
      <c r="B1267" s="783" t="s">
        <v>47</v>
      </c>
      <c r="C1267" s="783" t="s">
        <v>4244</v>
      </c>
      <c r="D1267" s="783" t="s">
        <v>4102</v>
      </c>
      <c r="E1267" s="783" t="s">
        <v>4922</v>
      </c>
      <c r="F1267" s="783" t="s">
        <v>4011</v>
      </c>
      <c r="G1267" s="783" t="s">
        <v>4028</v>
      </c>
      <c r="H1267" s="783" t="s">
        <v>4923</v>
      </c>
      <c r="I1267" s="783" t="s">
        <v>4924</v>
      </c>
      <c r="J1267" s="783">
        <v>25</v>
      </c>
      <c r="K1267" s="783" t="s">
        <v>27</v>
      </c>
      <c r="L1267" s="783" t="s">
        <v>4096</v>
      </c>
      <c r="M1267" s="784">
        <v>32587.200000000001</v>
      </c>
      <c r="N1267" s="784">
        <v>22.63</v>
      </c>
      <c r="O1267" s="784">
        <v>3.6</v>
      </c>
      <c r="P1267" s="783">
        <v>400</v>
      </c>
      <c r="Q1267" s="783">
        <v>2049.73</v>
      </c>
      <c r="R1267" s="783">
        <v>1332.52</v>
      </c>
      <c r="S1267" s="783">
        <v>195.82</v>
      </c>
      <c r="T1267" s="783">
        <v>521.4</v>
      </c>
      <c r="U1267" s="785">
        <v>44694.509803240697</v>
      </c>
    </row>
    <row r="1268" spans="1:21">
      <c r="A1268" s="782">
        <v>44698</v>
      </c>
      <c r="B1268" s="783" t="s">
        <v>228</v>
      </c>
      <c r="C1268" s="783" t="s">
        <v>4675</v>
      </c>
      <c r="D1268" s="783" t="s">
        <v>4193</v>
      </c>
      <c r="E1268" s="783" t="s">
        <v>4928</v>
      </c>
      <c r="F1268" s="783" t="s">
        <v>4011</v>
      </c>
      <c r="G1268" s="783" t="str">
        <f>VLOOKUP(I1268,pacage,2,FALSE)</f>
        <v>Renewal (25% in 2020)</v>
      </c>
      <c r="H1268" s="783" t="s">
        <v>4929</v>
      </c>
      <c r="I1268" s="783" t="s">
        <v>4930</v>
      </c>
      <c r="J1268" s="783">
        <v>25</v>
      </c>
      <c r="K1268" s="783" t="s">
        <v>27</v>
      </c>
      <c r="L1268" s="783" t="s">
        <v>4096</v>
      </c>
      <c r="M1268" s="784">
        <v>21150</v>
      </c>
      <c r="N1268" s="784">
        <v>14.1</v>
      </c>
      <c r="O1268" s="784">
        <v>3</v>
      </c>
      <c r="P1268" s="783">
        <v>500</v>
      </c>
      <c r="Q1268" s="783">
        <v>1590.48</v>
      </c>
      <c r="R1268" s="783">
        <v>712.03</v>
      </c>
      <c r="S1268" s="783">
        <v>446.99</v>
      </c>
      <c r="T1268" s="783">
        <v>431.46</v>
      </c>
      <c r="U1268" s="785">
        <v>44699.478576388901</v>
      </c>
    </row>
    <row r="1269" spans="1:21">
      <c r="A1269" s="782">
        <v>44694</v>
      </c>
      <c r="B1269" s="783" t="s">
        <v>30</v>
      </c>
      <c r="C1269" s="783" t="s">
        <v>4239</v>
      </c>
      <c r="D1269" s="783" t="s">
        <v>4021</v>
      </c>
      <c r="E1269" s="783" t="s">
        <v>1792</v>
      </c>
      <c r="F1269" s="783" t="s">
        <v>4011</v>
      </c>
      <c r="G1269" s="783" t="str">
        <f>VLOOKUP(I1269,pacage,2,FALSE)</f>
        <v>Renewal (25% in 2020)</v>
      </c>
      <c r="H1269" s="783" t="s">
        <v>4937</v>
      </c>
      <c r="I1269" s="783" t="s">
        <v>4938</v>
      </c>
      <c r="J1269" s="783">
        <v>25</v>
      </c>
      <c r="K1269" s="783" t="s">
        <v>27</v>
      </c>
      <c r="L1269" s="783" t="s">
        <v>4096</v>
      </c>
      <c r="M1269" s="784">
        <v>28896</v>
      </c>
      <c r="N1269" s="784">
        <v>14</v>
      </c>
      <c r="O1269" s="784">
        <v>4</v>
      </c>
      <c r="P1269" s="783">
        <v>516</v>
      </c>
      <c r="Q1269" s="783">
        <v>2040.06</v>
      </c>
      <c r="R1269" s="783">
        <v>882.61</v>
      </c>
      <c r="S1269" s="783">
        <v>637.32000000000005</v>
      </c>
      <c r="T1269" s="783">
        <v>520.13</v>
      </c>
      <c r="U1269" s="785">
        <v>44697.502337963</v>
      </c>
    </row>
    <row r="1270" spans="1:21">
      <c r="A1270" s="782">
        <v>44694</v>
      </c>
      <c r="B1270" s="783" t="s">
        <v>150</v>
      </c>
      <c r="C1270" s="783" t="s">
        <v>4037</v>
      </c>
      <c r="D1270" s="783" t="s">
        <v>4038</v>
      </c>
      <c r="E1270" s="783" t="s">
        <v>4946</v>
      </c>
      <c r="F1270" s="783" t="s">
        <v>4011</v>
      </c>
      <c r="G1270" s="783" t="str">
        <f>VLOOKUP(I1270,pacage,2,FALSE)</f>
        <v>Renewal (15% in 2020)</v>
      </c>
      <c r="H1270" s="783" t="s">
        <v>4947</v>
      </c>
      <c r="I1270" s="783" t="s">
        <v>4948</v>
      </c>
      <c r="J1270" s="783">
        <v>15</v>
      </c>
      <c r="K1270" s="783" t="s">
        <v>27</v>
      </c>
      <c r="L1270" s="783" t="s">
        <v>4096</v>
      </c>
      <c r="M1270" s="784">
        <v>30512.400000000001</v>
      </c>
      <c r="N1270" s="784">
        <v>64.92</v>
      </c>
      <c r="O1270" s="784">
        <v>2.35</v>
      </c>
      <c r="P1270" s="783">
        <v>200</v>
      </c>
      <c r="Q1270" s="783">
        <v>3579.1</v>
      </c>
      <c r="R1270" s="783">
        <v>1293.73</v>
      </c>
      <c r="S1270" s="783">
        <v>570.58000000000004</v>
      </c>
      <c r="T1270" s="783">
        <v>1714.8</v>
      </c>
      <c r="U1270" s="785">
        <v>44694.517685185201</v>
      </c>
    </row>
    <row r="1271" spans="1:21">
      <c r="A1271" s="782">
        <v>44693</v>
      </c>
      <c r="B1271" s="783" t="s">
        <v>41</v>
      </c>
      <c r="C1271" s="783" t="s">
        <v>4071</v>
      </c>
      <c r="D1271" s="783" t="s">
        <v>4009</v>
      </c>
      <c r="E1271" s="783" t="s">
        <v>4949</v>
      </c>
      <c r="F1271" s="783" t="s">
        <v>4011</v>
      </c>
      <c r="G1271" s="783" t="str">
        <f>VLOOKUP(I1271,pacage,2,FALSE)</f>
        <v>Renewal (30% in 2020)</v>
      </c>
      <c r="H1271" s="783" t="s">
        <v>4950</v>
      </c>
      <c r="I1271" s="783" t="s">
        <v>4951</v>
      </c>
      <c r="J1271" s="783">
        <v>30</v>
      </c>
      <c r="K1271" s="783" t="s">
        <v>27</v>
      </c>
      <c r="L1271" s="783" t="s">
        <v>4096</v>
      </c>
      <c r="M1271" s="784">
        <v>40147.800000000003</v>
      </c>
      <c r="N1271" s="784">
        <v>26.07</v>
      </c>
      <c r="O1271" s="784">
        <v>3.08</v>
      </c>
      <c r="P1271" s="783">
        <v>500</v>
      </c>
      <c r="Q1271" s="783">
        <v>2549.39</v>
      </c>
      <c r="R1271" s="783">
        <v>1530.11</v>
      </c>
      <c r="S1271" s="783">
        <v>396.98</v>
      </c>
      <c r="T1271" s="783">
        <v>622.29</v>
      </c>
      <c r="U1271" s="785">
        <v>44693.696516203701</v>
      </c>
    </row>
    <row r="1272" spans="1:21">
      <c r="A1272" s="782">
        <v>44699</v>
      </c>
      <c r="B1272" s="783" t="s">
        <v>118</v>
      </c>
      <c r="C1272" s="783" t="s">
        <v>4139</v>
      </c>
      <c r="D1272" s="783" t="s">
        <v>4009</v>
      </c>
      <c r="E1272" s="783" t="s">
        <v>4952</v>
      </c>
      <c r="F1272" s="783" t="s">
        <v>4011</v>
      </c>
      <c r="G1272" s="783" t="s">
        <v>4028</v>
      </c>
      <c r="H1272" s="783" t="s">
        <v>4953</v>
      </c>
      <c r="I1272" s="783" t="s">
        <v>4954</v>
      </c>
      <c r="J1272" s="783">
        <v>25</v>
      </c>
      <c r="K1272" s="783" t="s">
        <v>27</v>
      </c>
      <c r="L1272" s="783" t="s">
        <v>4096</v>
      </c>
      <c r="M1272" s="784">
        <v>34100.239999999998</v>
      </c>
      <c r="N1272" s="784">
        <v>23.09</v>
      </c>
      <c r="O1272" s="784">
        <v>3.72</v>
      </c>
      <c r="P1272" s="783">
        <v>397</v>
      </c>
      <c r="Q1272" s="783">
        <v>2837.14</v>
      </c>
      <c r="R1272" s="783">
        <v>1977.81</v>
      </c>
      <c r="S1272" s="783">
        <v>238.7</v>
      </c>
      <c r="T1272" s="783">
        <v>620.62</v>
      </c>
      <c r="U1272" s="785">
        <v>44700.520960648202</v>
      </c>
    </row>
    <row r="1273" spans="1:21">
      <c r="A1273" s="782">
        <v>44693</v>
      </c>
      <c r="B1273" s="783" t="s">
        <v>34</v>
      </c>
      <c r="C1273" s="783" t="s">
        <v>4139</v>
      </c>
      <c r="D1273" s="783" t="s">
        <v>4009</v>
      </c>
      <c r="E1273" s="783" t="s">
        <v>4544</v>
      </c>
      <c r="F1273" s="783" t="s">
        <v>4011</v>
      </c>
      <c r="G1273" s="783" t="str">
        <f t="shared" ref="G1273:G1288" si="71">VLOOKUP(I1273,pacage,2,FALSE)</f>
        <v>Renewal (30% in 2020)</v>
      </c>
      <c r="H1273" s="783" t="s">
        <v>4545</v>
      </c>
      <c r="I1273" s="783" t="s">
        <v>4546</v>
      </c>
      <c r="J1273" s="783">
        <v>30</v>
      </c>
      <c r="K1273" s="783" t="s">
        <v>27</v>
      </c>
      <c r="L1273" s="783" t="s">
        <v>4096</v>
      </c>
      <c r="M1273" s="784">
        <v>62882.239999999998</v>
      </c>
      <c r="N1273" s="784">
        <v>53.11</v>
      </c>
      <c r="O1273" s="784">
        <v>3.2</v>
      </c>
      <c r="P1273" s="783">
        <v>370</v>
      </c>
      <c r="Q1273" s="783">
        <v>4797.91</v>
      </c>
      <c r="R1273" s="783">
        <v>3647.17</v>
      </c>
      <c r="S1273" s="783">
        <v>0</v>
      </c>
      <c r="T1273" s="783">
        <v>1150.74</v>
      </c>
      <c r="U1273" s="785">
        <v>44693.603553240697</v>
      </c>
    </row>
    <row r="1274" spans="1:21">
      <c r="A1274" s="782">
        <v>44690</v>
      </c>
      <c r="B1274" s="783" t="s">
        <v>41</v>
      </c>
      <c r="C1274" s="783" t="s">
        <v>4139</v>
      </c>
      <c r="D1274" s="783" t="s">
        <v>4009</v>
      </c>
      <c r="E1274" s="783" t="s">
        <v>1386</v>
      </c>
      <c r="F1274" s="783" t="s">
        <v>4011</v>
      </c>
      <c r="G1274" s="783" t="str">
        <f t="shared" si="71"/>
        <v>Renewal (15% in 2020)</v>
      </c>
      <c r="H1274" s="783" t="s">
        <v>4957</v>
      </c>
      <c r="I1274" s="783" t="s">
        <v>4958</v>
      </c>
      <c r="J1274" s="783">
        <v>15</v>
      </c>
      <c r="K1274" s="783" t="s">
        <v>27</v>
      </c>
      <c r="L1274" s="783" t="s">
        <v>4096</v>
      </c>
      <c r="M1274" s="784">
        <v>42983.35</v>
      </c>
      <c r="N1274" s="784">
        <v>27.62</v>
      </c>
      <c r="O1274" s="784">
        <v>3.92</v>
      </c>
      <c r="P1274" s="783">
        <v>397</v>
      </c>
      <c r="Q1274" s="783">
        <v>5862.93</v>
      </c>
      <c r="R1274" s="783">
        <v>2493.0300000000002</v>
      </c>
      <c r="S1274" s="783">
        <v>300.88</v>
      </c>
      <c r="T1274" s="783">
        <v>3069.01</v>
      </c>
      <c r="U1274" s="785">
        <v>44691.522037037001</v>
      </c>
    </row>
    <row r="1275" spans="1:21">
      <c r="A1275" s="782">
        <v>44690</v>
      </c>
      <c r="B1275" s="783" t="s">
        <v>65</v>
      </c>
      <c r="C1275" s="783" t="s">
        <v>4244</v>
      </c>
      <c r="D1275" s="783" t="s">
        <v>4102</v>
      </c>
      <c r="E1275" s="783" t="s">
        <v>1389</v>
      </c>
      <c r="F1275" s="783" t="s">
        <v>4011</v>
      </c>
      <c r="G1275" s="783" t="str">
        <f t="shared" si="71"/>
        <v>Renewal (25% in 2020)</v>
      </c>
      <c r="H1275" s="783" t="s">
        <v>4959</v>
      </c>
      <c r="I1275" s="783" t="s">
        <v>4960</v>
      </c>
      <c r="J1275" s="783">
        <v>25</v>
      </c>
      <c r="K1275" s="783" t="s">
        <v>27</v>
      </c>
      <c r="L1275" s="783" t="s">
        <v>4096</v>
      </c>
      <c r="M1275" s="784">
        <v>85037.16</v>
      </c>
      <c r="N1275" s="784">
        <v>57.38</v>
      </c>
      <c r="O1275" s="784">
        <v>3.8</v>
      </c>
      <c r="P1275" s="783">
        <v>390</v>
      </c>
      <c r="Q1275" s="783">
        <v>5348.84</v>
      </c>
      <c r="R1275" s="783">
        <v>3503.53</v>
      </c>
      <c r="S1275" s="783">
        <v>484.71</v>
      </c>
      <c r="T1275" s="783">
        <v>1360.59</v>
      </c>
      <c r="U1275" s="785">
        <v>44690.690034722204</v>
      </c>
    </row>
    <row r="1276" spans="1:21">
      <c r="A1276" s="782">
        <v>44694</v>
      </c>
      <c r="B1276" s="783" t="s">
        <v>30</v>
      </c>
      <c r="C1276" s="783" t="s">
        <v>4089</v>
      </c>
      <c r="D1276" s="783" t="s">
        <v>4021</v>
      </c>
      <c r="E1276" s="783" t="s">
        <v>4967</v>
      </c>
      <c r="F1276" s="783" t="s">
        <v>4011</v>
      </c>
      <c r="G1276" s="783" t="str">
        <f t="shared" si="71"/>
        <v>Renewal (15% in 2020)</v>
      </c>
      <c r="H1276" s="783" t="s">
        <v>4968</v>
      </c>
      <c r="I1276" s="783" t="s">
        <v>4969</v>
      </c>
      <c r="J1276" s="783">
        <v>20</v>
      </c>
      <c r="K1276" s="783" t="s">
        <v>27</v>
      </c>
      <c r="L1276" s="783" t="s">
        <v>4096</v>
      </c>
      <c r="M1276" s="784">
        <v>14739.52</v>
      </c>
      <c r="N1276" s="784">
        <v>11.93</v>
      </c>
      <c r="O1276" s="784">
        <v>3.53</v>
      </c>
      <c r="P1276" s="783">
        <v>350</v>
      </c>
      <c r="Q1276" s="783">
        <v>1207.17</v>
      </c>
      <c r="R1276" s="783">
        <v>604.32000000000005</v>
      </c>
      <c r="S1276" s="783">
        <v>92.86</v>
      </c>
      <c r="T1276" s="783">
        <v>509.99</v>
      </c>
      <c r="U1276" s="785">
        <v>44694.513391203698</v>
      </c>
    </row>
    <row r="1277" spans="1:21">
      <c r="A1277" s="782">
        <v>44692</v>
      </c>
      <c r="B1277" s="783" t="s">
        <v>34</v>
      </c>
      <c r="C1277" s="783" t="s">
        <v>4139</v>
      </c>
      <c r="D1277" s="783" t="s">
        <v>4009</v>
      </c>
      <c r="E1277" s="783" t="s">
        <v>4970</v>
      </c>
      <c r="F1277" s="783" t="s">
        <v>4011</v>
      </c>
      <c r="G1277" s="783" t="str">
        <f t="shared" si="71"/>
        <v>Renewal (25% in 2020)</v>
      </c>
      <c r="H1277" s="783" t="s">
        <v>4971</v>
      </c>
      <c r="I1277" s="783" t="s">
        <v>4972</v>
      </c>
      <c r="J1277" s="783">
        <v>25</v>
      </c>
      <c r="K1277" s="783" t="s">
        <v>27</v>
      </c>
      <c r="L1277" s="783" t="s">
        <v>4096</v>
      </c>
      <c r="M1277" s="784">
        <v>45632.49</v>
      </c>
      <c r="N1277" s="784">
        <v>33.450000000000003</v>
      </c>
      <c r="O1277" s="784">
        <v>3.59</v>
      </c>
      <c r="P1277" s="783">
        <v>380</v>
      </c>
      <c r="Q1277" s="783">
        <v>3796.62</v>
      </c>
      <c r="R1277" s="783">
        <v>2646.68</v>
      </c>
      <c r="S1277" s="783">
        <v>319.43</v>
      </c>
      <c r="T1277" s="783">
        <v>830.51</v>
      </c>
      <c r="U1277" s="785">
        <v>44692.477835648097</v>
      </c>
    </row>
    <row r="1278" spans="1:21">
      <c r="A1278" s="782">
        <v>44692</v>
      </c>
      <c r="B1278" s="783" t="s">
        <v>51</v>
      </c>
      <c r="C1278" s="783" t="s">
        <v>4042</v>
      </c>
      <c r="D1278" s="783" t="s">
        <v>4016</v>
      </c>
      <c r="E1278" s="783" t="s">
        <v>4976</v>
      </c>
      <c r="F1278" s="783" t="s">
        <v>4011</v>
      </c>
      <c r="G1278" s="783" t="str">
        <f t="shared" si="71"/>
        <v>New Contract</v>
      </c>
      <c r="H1278" s="783" t="s">
        <v>4977</v>
      </c>
      <c r="I1278" s="783" t="s">
        <v>4978</v>
      </c>
      <c r="J1278" s="783">
        <v>30</v>
      </c>
      <c r="K1278" s="783" t="s">
        <v>27</v>
      </c>
      <c r="L1278" s="783" t="s">
        <v>4096</v>
      </c>
      <c r="M1278" s="784">
        <v>11222.4</v>
      </c>
      <c r="N1278" s="784">
        <v>9.5500000000000007</v>
      </c>
      <c r="O1278" s="784">
        <v>2.96</v>
      </c>
      <c r="P1278" s="783">
        <v>397</v>
      </c>
      <c r="Q1278" s="783">
        <v>783.32</v>
      </c>
      <c r="R1278" s="783">
        <v>555.51</v>
      </c>
      <c r="S1278" s="783">
        <v>0</v>
      </c>
      <c r="T1278" s="783">
        <v>227.81</v>
      </c>
      <c r="U1278" s="785">
        <v>44693.716122685197</v>
      </c>
    </row>
    <row r="1279" spans="1:21">
      <c r="A1279" s="782">
        <v>44695</v>
      </c>
      <c r="B1279" s="783" t="s">
        <v>47</v>
      </c>
      <c r="C1279" s="783" t="s">
        <v>4244</v>
      </c>
      <c r="D1279" s="783" t="s">
        <v>4102</v>
      </c>
      <c r="E1279" s="783" t="s">
        <v>4979</v>
      </c>
      <c r="F1279" s="783" t="s">
        <v>4011</v>
      </c>
      <c r="G1279" s="783" t="str">
        <f t="shared" si="71"/>
        <v>Renewal (25% in 2020)</v>
      </c>
      <c r="H1279" s="783" t="s">
        <v>4980</v>
      </c>
      <c r="I1279" s="783" t="s">
        <v>4981</v>
      </c>
      <c r="J1279" s="783">
        <v>25</v>
      </c>
      <c r="K1279" s="783" t="s">
        <v>27</v>
      </c>
      <c r="L1279" s="783" t="s">
        <v>4096</v>
      </c>
      <c r="M1279" s="784">
        <v>15989.4</v>
      </c>
      <c r="N1279" s="784">
        <v>18.8</v>
      </c>
      <c r="O1279" s="784">
        <v>2.4300000000000002</v>
      </c>
      <c r="P1279" s="783">
        <v>350</v>
      </c>
      <c r="Q1279" s="783">
        <v>1005.73</v>
      </c>
      <c r="R1279" s="783">
        <v>658.76</v>
      </c>
      <c r="S1279" s="783">
        <v>91.14</v>
      </c>
      <c r="T1279" s="783">
        <v>255.83</v>
      </c>
      <c r="U1279" s="785">
        <v>44697.669027777803</v>
      </c>
    </row>
    <row r="1280" spans="1:21">
      <c r="A1280" s="782">
        <v>44698</v>
      </c>
      <c r="B1280" s="783" t="s">
        <v>41</v>
      </c>
      <c r="C1280" s="783" t="s">
        <v>4092</v>
      </c>
      <c r="D1280" s="783" t="s">
        <v>4009</v>
      </c>
      <c r="E1280" s="783" t="s">
        <v>1411</v>
      </c>
      <c r="F1280" s="783" t="s">
        <v>4011</v>
      </c>
      <c r="G1280" s="783" t="str">
        <f t="shared" si="71"/>
        <v>Renewal (20% in 2020)</v>
      </c>
      <c r="H1280" s="783" t="s">
        <v>4982</v>
      </c>
      <c r="I1280" s="783" t="s">
        <v>4983</v>
      </c>
      <c r="J1280" s="783">
        <v>20</v>
      </c>
      <c r="K1280" s="783" t="s">
        <v>27</v>
      </c>
      <c r="L1280" s="783" t="s">
        <v>4096</v>
      </c>
      <c r="M1280" s="784">
        <v>50848.6</v>
      </c>
      <c r="N1280" s="784">
        <v>31.88</v>
      </c>
      <c r="O1280" s="784">
        <v>3.19</v>
      </c>
      <c r="P1280" s="783">
        <v>500</v>
      </c>
      <c r="Q1280" s="783">
        <v>4062.8</v>
      </c>
      <c r="R1280" s="783">
        <v>1627.06</v>
      </c>
      <c r="S1280" s="783">
        <v>915.37</v>
      </c>
      <c r="T1280" s="783">
        <v>1520.37</v>
      </c>
      <c r="U1280" s="785">
        <v>44699.484398148103</v>
      </c>
    </row>
    <row r="1281" spans="1:21">
      <c r="A1281" s="782">
        <v>44448</v>
      </c>
      <c r="B1281" s="783" t="s">
        <v>4025</v>
      </c>
      <c r="C1281" s="783" t="s">
        <v>4026</v>
      </c>
      <c r="D1281" s="783" t="s">
        <v>4021</v>
      </c>
      <c r="E1281" s="783" t="s">
        <v>4984</v>
      </c>
      <c r="F1281" s="783" t="s">
        <v>4011</v>
      </c>
      <c r="G1281" s="783" t="str">
        <f t="shared" si="71"/>
        <v>New Contract</v>
      </c>
      <c r="H1281" s="783" t="s">
        <v>4985</v>
      </c>
      <c r="I1281" s="783" t="s">
        <v>4986</v>
      </c>
      <c r="J1281" s="783">
        <v>25</v>
      </c>
      <c r="K1281" s="783" t="s">
        <v>27</v>
      </c>
      <c r="L1281" s="783" t="s">
        <v>4096</v>
      </c>
      <c r="M1281" s="784">
        <v>94240</v>
      </c>
      <c r="N1281" s="784">
        <v>76</v>
      </c>
      <c r="O1281" s="784">
        <v>3.1</v>
      </c>
      <c r="P1281" s="783">
        <v>400</v>
      </c>
      <c r="Q1281" s="783">
        <v>5041.84</v>
      </c>
      <c r="R1281" s="783">
        <v>2749.88</v>
      </c>
      <c r="S1281" s="783">
        <v>963.18</v>
      </c>
      <c r="T1281" s="783">
        <v>1328.78</v>
      </c>
      <c r="U1281" s="785">
        <v>44631.516504629602</v>
      </c>
    </row>
    <row r="1282" spans="1:21">
      <c r="A1282" s="782">
        <v>44445</v>
      </c>
      <c r="B1282" s="783" t="s">
        <v>30</v>
      </c>
      <c r="C1282" s="783" t="s">
        <v>4089</v>
      </c>
      <c r="D1282" s="783" t="s">
        <v>4021</v>
      </c>
      <c r="E1282" s="783" t="s">
        <v>4987</v>
      </c>
      <c r="F1282" s="783" t="s">
        <v>4011</v>
      </c>
      <c r="G1282" s="783" t="str">
        <f t="shared" si="71"/>
        <v>Renewal (15% in 2020)</v>
      </c>
      <c r="H1282" s="783" t="s">
        <v>4988</v>
      </c>
      <c r="I1282" s="783" t="s">
        <v>4989</v>
      </c>
      <c r="J1282" s="783">
        <v>15</v>
      </c>
      <c r="K1282" s="783" t="s">
        <v>27</v>
      </c>
      <c r="L1282" s="783" t="s">
        <v>4096</v>
      </c>
      <c r="M1282" s="784">
        <v>65988</v>
      </c>
      <c r="N1282" s="784">
        <v>47</v>
      </c>
      <c r="O1282" s="784">
        <v>3.9</v>
      </c>
      <c r="P1282" s="783">
        <v>360</v>
      </c>
      <c r="Q1282" s="783">
        <v>8788.2000000000007</v>
      </c>
      <c r="R1282" s="783">
        <v>3425.06</v>
      </c>
      <c r="S1282" s="783">
        <v>526.29</v>
      </c>
      <c r="T1282" s="783">
        <v>4836.8500000000004</v>
      </c>
      <c r="U1282" s="785">
        <v>44631.513402777797</v>
      </c>
    </row>
    <row r="1283" spans="1:21">
      <c r="A1283" s="782">
        <v>44447</v>
      </c>
      <c r="B1283" s="783" t="s">
        <v>30</v>
      </c>
      <c r="C1283" s="783" t="s">
        <v>4089</v>
      </c>
      <c r="D1283" s="783" t="s">
        <v>4021</v>
      </c>
      <c r="E1283" s="783" t="s">
        <v>4990</v>
      </c>
      <c r="F1283" s="783" t="s">
        <v>4011</v>
      </c>
      <c r="G1283" s="783" t="str">
        <f t="shared" si="71"/>
        <v>Renewal (25% in 2020)</v>
      </c>
      <c r="H1283" s="783" t="s">
        <v>4991</v>
      </c>
      <c r="I1283" s="783" t="s">
        <v>4992</v>
      </c>
      <c r="J1283" s="783">
        <v>25</v>
      </c>
      <c r="K1283" s="783" t="s">
        <v>27</v>
      </c>
      <c r="L1283" s="783" t="s">
        <v>4096</v>
      </c>
      <c r="M1283" s="784">
        <v>14273.28</v>
      </c>
      <c r="N1283" s="784">
        <v>9.44</v>
      </c>
      <c r="O1283" s="784">
        <v>3.6</v>
      </c>
      <c r="P1283" s="783">
        <v>420</v>
      </c>
      <c r="Q1283" s="783">
        <v>944.89</v>
      </c>
      <c r="R1283" s="783">
        <v>553.16</v>
      </c>
      <c r="S1283" s="783">
        <v>121.97</v>
      </c>
      <c r="T1283" s="783">
        <v>269.76</v>
      </c>
      <c r="U1283" s="785">
        <v>44631.521134259303</v>
      </c>
    </row>
    <row r="1284" spans="1:21">
      <c r="A1284" s="782">
        <v>44447</v>
      </c>
      <c r="B1284" s="783" t="s">
        <v>41</v>
      </c>
      <c r="C1284" s="783" t="s">
        <v>4139</v>
      </c>
      <c r="D1284" s="783" t="s">
        <v>4009</v>
      </c>
      <c r="E1284" s="783" t="s">
        <v>4993</v>
      </c>
      <c r="F1284" s="783" t="s">
        <v>4011</v>
      </c>
      <c r="G1284" s="783" t="str">
        <f t="shared" si="71"/>
        <v>Renewal (15% in 2020)</v>
      </c>
      <c r="H1284" s="783" t="s">
        <v>4994</v>
      </c>
      <c r="I1284" s="783" t="s">
        <v>4995</v>
      </c>
      <c r="J1284" s="783">
        <v>15</v>
      </c>
      <c r="K1284" s="783" t="s">
        <v>27</v>
      </c>
      <c r="L1284" s="783" t="s">
        <v>4096</v>
      </c>
      <c r="M1284" s="784">
        <v>19145.5</v>
      </c>
      <c r="N1284" s="784">
        <v>14.75</v>
      </c>
      <c r="O1284" s="784">
        <v>2.95</v>
      </c>
      <c r="P1284" s="783">
        <v>440</v>
      </c>
      <c r="Q1284" s="783">
        <v>2611.4499999999998</v>
      </c>
      <c r="R1284" s="783">
        <v>1001.92</v>
      </c>
      <c r="S1284" s="783">
        <v>242.54</v>
      </c>
      <c r="T1284" s="783">
        <v>1366.99</v>
      </c>
      <c r="U1284" s="785">
        <v>44708.987847222197</v>
      </c>
    </row>
    <row r="1285" spans="1:21">
      <c r="A1285" s="782">
        <v>44447</v>
      </c>
      <c r="B1285" s="783" t="s">
        <v>51</v>
      </c>
      <c r="C1285" s="783" t="s">
        <v>4796</v>
      </c>
      <c r="D1285" s="783" t="s">
        <v>4016</v>
      </c>
      <c r="E1285" s="783" t="s">
        <v>2934</v>
      </c>
      <c r="F1285" s="783" t="s">
        <v>4011</v>
      </c>
      <c r="G1285" s="783" t="str">
        <f t="shared" si="71"/>
        <v>Renewal (30% in 2020)</v>
      </c>
      <c r="H1285" s="783" t="s">
        <v>4996</v>
      </c>
      <c r="I1285" s="783" t="s">
        <v>4997</v>
      </c>
      <c r="J1285" s="783">
        <v>20</v>
      </c>
      <c r="K1285" s="783" t="s">
        <v>27</v>
      </c>
      <c r="L1285" s="783" t="s">
        <v>4096</v>
      </c>
      <c r="M1285" s="784">
        <v>43298.15</v>
      </c>
      <c r="N1285" s="784">
        <v>38.299999999999997</v>
      </c>
      <c r="O1285" s="784">
        <v>3.23</v>
      </c>
      <c r="P1285" s="783">
        <v>350</v>
      </c>
      <c r="Q1285" s="783">
        <v>4039.72</v>
      </c>
      <c r="R1285" s="783">
        <v>2104.29</v>
      </c>
      <c r="S1285" s="783">
        <v>303.08999999999997</v>
      </c>
      <c r="T1285" s="783">
        <v>1632.34</v>
      </c>
      <c r="U1285" s="785">
        <v>44631.513622685197</v>
      </c>
    </row>
    <row r="1286" spans="1:21">
      <c r="A1286" s="782">
        <v>44452</v>
      </c>
      <c r="B1286" s="783" t="s">
        <v>51</v>
      </c>
      <c r="C1286" s="783" t="s">
        <v>4015</v>
      </c>
      <c r="D1286" s="783" t="s">
        <v>4016</v>
      </c>
      <c r="E1286" s="783" t="s">
        <v>4998</v>
      </c>
      <c r="F1286" s="783" t="s">
        <v>4011</v>
      </c>
      <c r="G1286" s="783" t="str">
        <f t="shared" si="71"/>
        <v>New Contract</v>
      </c>
      <c r="H1286" s="783" t="s">
        <v>4999</v>
      </c>
      <c r="I1286" s="783" t="s">
        <v>5000</v>
      </c>
      <c r="J1286" s="783">
        <v>25</v>
      </c>
      <c r="K1286" s="783" t="s">
        <v>27</v>
      </c>
      <c r="L1286" s="783" t="s">
        <v>4096</v>
      </c>
      <c r="M1286" s="784">
        <v>21874.7</v>
      </c>
      <c r="N1286" s="784">
        <v>19.850000000000001</v>
      </c>
      <c r="O1286" s="784">
        <v>2.9</v>
      </c>
      <c r="P1286" s="783">
        <v>380</v>
      </c>
      <c r="Q1286" s="783">
        <v>1504.98</v>
      </c>
      <c r="R1286" s="783">
        <v>951.55</v>
      </c>
      <c r="S1286" s="783">
        <v>142.19</v>
      </c>
      <c r="T1286" s="783">
        <v>411.24</v>
      </c>
      <c r="U1286" s="785">
        <v>44631.519826388903</v>
      </c>
    </row>
    <row r="1287" spans="1:21">
      <c r="A1287" s="782">
        <v>44447</v>
      </c>
      <c r="B1287" s="783" t="s">
        <v>30</v>
      </c>
      <c r="C1287" s="783" t="s">
        <v>4939</v>
      </c>
      <c r="D1287" s="783" t="s">
        <v>4021</v>
      </c>
      <c r="E1287" s="783" t="s">
        <v>3477</v>
      </c>
      <c r="F1287" s="783" t="s">
        <v>4011</v>
      </c>
      <c r="G1287" s="783" t="str">
        <f t="shared" si="71"/>
        <v>Renewal (30% in 2020)</v>
      </c>
      <c r="H1287" s="783" t="s">
        <v>5001</v>
      </c>
      <c r="I1287" s="783" t="s">
        <v>5002</v>
      </c>
      <c r="J1287" s="783">
        <v>30</v>
      </c>
      <c r="K1287" s="783" t="s">
        <v>27</v>
      </c>
      <c r="L1287" s="783" t="s">
        <v>4096</v>
      </c>
      <c r="M1287" s="784">
        <v>28945.84</v>
      </c>
      <c r="N1287" s="784">
        <v>20.32</v>
      </c>
      <c r="O1287" s="784">
        <v>4.07</v>
      </c>
      <c r="P1287" s="783">
        <v>350</v>
      </c>
      <c r="Q1287" s="783">
        <v>1586.23</v>
      </c>
      <c r="R1287" s="783">
        <v>1114.4100000000001</v>
      </c>
      <c r="S1287" s="783">
        <v>0</v>
      </c>
      <c r="T1287" s="783">
        <v>471.82</v>
      </c>
      <c r="U1287" s="785">
        <v>44631.516759259299</v>
      </c>
    </row>
    <row r="1288" spans="1:21">
      <c r="A1288" s="782">
        <v>44638</v>
      </c>
      <c r="B1288" s="783" t="s">
        <v>30</v>
      </c>
      <c r="C1288" s="783" t="s">
        <v>4089</v>
      </c>
      <c r="D1288" s="783" t="s">
        <v>4021</v>
      </c>
      <c r="E1288" s="783" t="s">
        <v>2691</v>
      </c>
      <c r="F1288" s="783" t="s">
        <v>4011</v>
      </c>
      <c r="G1288" s="783" t="str">
        <f t="shared" si="71"/>
        <v>Renewal (15% in 2020)</v>
      </c>
      <c r="H1288" s="783" t="s">
        <v>5003</v>
      </c>
      <c r="I1288" s="783" t="s">
        <v>5004</v>
      </c>
      <c r="J1288" s="783">
        <v>15</v>
      </c>
      <c r="K1288" s="783" t="s">
        <v>27</v>
      </c>
      <c r="L1288" s="783" t="s">
        <v>4096</v>
      </c>
      <c r="M1288" s="784">
        <v>18192.12</v>
      </c>
      <c r="N1288" s="784">
        <v>15.8</v>
      </c>
      <c r="O1288" s="784">
        <v>3.03</v>
      </c>
      <c r="P1288" s="783">
        <v>380</v>
      </c>
      <c r="Q1288" s="783">
        <v>1913.81</v>
      </c>
      <c r="R1288" s="783">
        <v>745.88</v>
      </c>
      <c r="S1288" s="783">
        <v>114.61</v>
      </c>
      <c r="T1288" s="783">
        <v>1053.32</v>
      </c>
      <c r="U1288" s="785">
        <v>44638.561354166697</v>
      </c>
    </row>
    <row r="1289" spans="1:21">
      <c r="A1289" s="782">
        <v>44603</v>
      </c>
      <c r="B1289" s="783" t="s">
        <v>228</v>
      </c>
      <c r="C1289" s="783" t="s">
        <v>4251</v>
      </c>
      <c r="D1289" s="783" t="s">
        <v>4193</v>
      </c>
      <c r="E1289" s="783" t="s">
        <v>5011</v>
      </c>
      <c r="F1289" s="783" t="s">
        <v>4011</v>
      </c>
      <c r="G1289" s="783" t="s">
        <v>4028</v>
      </c>
      <c r="H1289" s="783" t="s">
        <v>5012</v>
      </c>
      <c r="I1289" s="783" t="s">
        <v>5013</v>
      </c>
      <c r="J1289" s="783">
        <v>25</v>
      </c>
      <c r="K1289" s="783" t="s">
        <v>27</v>
      </c>
      <c r="L1289" s="783" t="s">
        <v>4096</v>
      </c>
      <c r="M1289" s="784">
        <v>33573.339999999997</v>
      </c>
      <c r="N1289" s="784">
        <v>25.02</v>
      </c>
      <c r="O1289" s="784">
        <v>3.38</v>
      </c>
      <c r="P1289" s="783">
        <v>397</v>
      </c>
      <c r="Q1289" s="783">
        <v>1903.61</v>
      </c>
      <c r="R1289" s="783">
        <v>1252.29</v>
      </c>
      <c r="S1289" s="783">
        <v>174.58</v>
      </c>
      <c r="T1289" s="783">
        <v>476.74</v>
      </c>
      <c r="U1289" s="785">
        <v>44631.513923611099</v>
      </c>
    </row>
    <row r="1290" spans="1:21">
      <c r="A1290" s="782">
        <v>44439</v>
      </c>
      <c r="B1290" s="783" t="s">
        <v>51</v>
      </c>
      <c r="C1290" s="783" t="s">
        <v>4042</v>
      </c>
      <c r="D1290" s="783" t="s">
        <v>4016</v>
      </c>
      <c r="E1290" s="783" t="s">
        <v>5014</v>
      </c>
      <c r="F1290" s="783" t="s">
        <v>4011</v>
      </c>
      <c r="G1290" s="783" t="str">
        <f t="shared" ref="G1290:G1296" si="72">VLOOKUP(I1290,pacage,2,FALSE)</f>
        <v>New Contract</v>
      </c>
      <c r="H1290" s="783" t="s">
        <v>5015</v>
      </c>
      <c r="I1290" s="783" t="s">
        <v>5016</v>
      </c>
      <c r="J1290" s="783">
        <v>25</v>
      </c>
      <c r="K1290" s="783" t="s">
        <v>27</v>
      </c>
      <c r="L1290" s="783" t="s">
        <v>4096</v>
      </c>
      <c r="M1290" s="784">
        <v>23161</v>
      </c>
      <c r="N1290" s="784">
        <v>23</v>
      </c>
      <c r="O1290" s="784">
        <v>2.65</v>
      </c>
      <c r="P1290" s="783">
        <v>380</v>
      </c>
      <c r="Q1290" s="783">
        <v>1778.76</v>
      </c>
      <c r="R1290" s="783">
        <v>1146.47</v>
      </c>
      <c r="S1290" s="783">
        <v>162.13</v>
      </c>
      <c r="T1290" s="783">
        <v>470.17</v>
      </c>
      <c r="U1290" s="785">
        <v>44631.518113425896</v>
      </c>
    </row>
    <row r="1291" spans="1:21">
      <c r="A1291" s="782">
        <v>44446</v>
      </c>
      <c r="B1291" s="783" t="s">
        <v>41</v>
      </c>
      <c r="C1291" s="783" t="s">
        <v>4071</v>
      </c>
      <c r="D1291" s="783" t="s">
        <v>4009</v>
      </c>
      <c r="E1291" s="783" t="s">
        <v>5017</v>
      </c>
      <c r="F1291" s="783" t="s">
        <v>4011</v>
      </c>
      <c r="G1291" s="783" t="str">
        <f t="shared" si="72"/>
        <v>Renewal (30% in 2020)</v>
      </c>
      <c r="H1291" s="783" t="s">
        <v>5018</v>
      </c>
      <c r="I1291" s="783" t="s">
        <v>5019</v>
      </c>
      <c r="J1291" s="783">
        <v>30</v>
      </c>
      <c r="K1291" s="783" t="s">
        <v>27</v>
      </c>
      <c r="L1291" s="783" t="s">
        <v>4096</v>
      </c>
      <c r="M1291" s="784">
        <v>111833.71</v>
      </c>
      <c r="N1291" s="784">
        <v>93</v>
      </c>
      <c r="O1291" s="784">
        <v>2.33</v>
      </c>
      <c r="P1291" s="783">
        <v>516.1</v>
      </c>
      <c r="Q1291" s="783">
        <v>7101.44</v>
      </c>
      <c r="R1291" s="783">
        <v>4129.24</v>
      </c>
      <c r="S1291" s="783">
        <v>1238.77</v>
      </c>
      <c r="T1291" s="783">
        <v>1733.42</v>
      </c>
      <c r="U1291" s="785">
        <v>44631.625983796301</v>
      </c>
    </row>
    <row r="1292" spans="1:21">
      <c r="A1292" s="782">
        <v>44452</v>
      </c>
      <c r="B1292" s="783" t="s">
        <v>228</v>
      </c>
      <c r="C1292" s="783" t="s">
        <v>4020</v>
      </c>
      <c r="D1292" s="783" t="s">
        <v>4021</v>
      </c>
      <c r="E1292" s="783" t="s">
        <v>4022</v>
      </c>
      <c r="F1292" s="783" t="s">
        <v>4011</v>
      </c>
      <c r="G1292" s="783" t="str">
        <f t="shared" si="72"/>
        <v>Renewal (25% in 2020)</v>
      </c>
      <c r="H1292" s="783" t="s">
        <v>4023</v>
      </c>
      <c r="I1292" s="783" t="s">
        <v>4024</v>
      </c>
      <c r="J1292" s="783">
        <v>25</v>
      </c>
      <c r="K1292" s="783" t="s">
        <v>27</v>
      </c>
      <c r="L1292" s="783" t="s">
        <v>4096</v>
      </c>
      <c r="M1292" s="784">
        <v>20957.830000000002</v>
      </c>
      <c r="N1292" s="784">
        <v>23.38</v>
      </c>
      <c r="O1292" s="784">
        <v>2.4900000000000002</v>
      </c>
      <c r="P1292" s="783">
        <v>360</v>
      </c>
      <c r="Q1292" s="783">
        <v>1664.05</v>
      </c>
      <c r="R1292" s="783">
        <v>1054.18</v>
      </c>
      <c r="S1292" s="783">
        <v>157.18</v>
      </c>
      <c r="T1292" s="783">
        <v>452.69</v>
      </c>
      <c r="U1292" s="785">
        <v>44631.513865740701</v>
      </c>
    </row>
    <row r="1293" spans="1:21">
      <c r="A1293" s="782">
        <v>44669</v>
      </c>
      <c r="B1293" s="783" t="s">
        <v>41</v>
      </c>
      <c r="C1293" s="783" t="s">
        <v>4008</v>
      </c>
      <c r="D1293" s="783" t="s">
        <v>4009</v>
      </c>
      <c r="E1293" s="783" t="s">
        <v>6553</v>
      </c>
      <c r="F1293" s="783" t="s">
        <v>4011</v>
      </c>
      <c r="G1293" s="783" t="str">
        <f t="shared" si="72"/>
        <v>Renewal (15% in 2020)</v>
      </c>
      <c r="H1293" s="783" t="s">
        <v>6554</v>
      </c>
      <c r="I1293" s="783" t="s">
        <v>6555</v>
      </c>
      <c r="J1293" s="783">
        <v>15</v>
      </c>
      <c r="K1293" s="783" t="s">
        <v>27</v>
      </c>
      <c r="L1293" s="783" t="s">
        <v>4096</v>
      </c>
      <c r="M1293" s="784">
        <v>11835</v>
      </c>
      <c r="N1293" s="784">
        <v>12.5</v>
      </c>
      <c r="O1293" s="784">
        <v>2.63</v>
      </c>
      <c r="P1293" s="783">
        <v>360</v>
      </c>
      <c r="Q1293" s="783">
        <v>1529.08</v>
      </c>
      <c r="R1293" s="783">
        <v>511.27</v>
      </c>
      <c r="S1293" s="783">
        <v>185.81</v>
      </c>
      <c r="T1293" s="783">
        <v>832</v>
      </c>
      <c r="U1293" s="785">
        <v>44671.4912847222</v>
      </c>
    </row>
    <row r="1294" spans="1:21">
      <c r="A1294" s="782">
        <v>44446</v>
      </c>
      <c r="B1294" s="783" t="s">
        <v>41</v>
      </c>
      <c r="C1294" s="783" t="s">
        <v>4082</v>
      </c>
      <c r="D1294" s="783" t="s">
        <v>4009</v>
      </c>
      <c r="E1294" s="783" t="s">
        <v>4552</v>
      </c>
      <c r="F1294" s="783" t="s">
        <v>4011</v>
      </c>
      <c r="G1294" s="783" t="str">
        <f t="shared" si="72"/>
        <v>Renewal (20% in 2020)</v>
      </c>
      <c r="H1294" s="783" t="s">
        <v>4553</v>
      </c>
      <c r="I1294" s="783" t="s">
        <v>4554</v>
      </c>
      <c r="J1294" s="783">
        <v>20</v>
      </c>
      <c r="K1294" s="783" t="s">
        <v>27</v>
      </c>
      <c r="L1294" s="783" t="s">
        <v>4096</v>
      </c>
      <c r="M1294" s="784">
        <v>12891.2</v>
      </c>
      <c r="N1294" s="784">
        <v>11.51</v>
      </c>
      <c r="O1294" s="784">
        <v>3.2</v>
      </c>
      <c r="P1294" s="783">
        <v>350</v>
      </c>
      <c r="Q1294" s="783">
        <v>1048.05</v>
      </c>
      <c r="R1294" s="783">
        <v>523.38</v>
      </c>
      <c r="S1294" s="783">
        <v>128.91</v>
      </c>
      <c r="T1294" s="783">
        <v>395.76</v>
      </c>
      <c r="U1294" s="785">
        <v>44631.630150463003</v>
      </c>
    </row>
    <row r="1295" spans="1:21">
      <c r="A1295" s="782">
        <v>44456</v>
      </c>
      <c r="B1295" s="783" t="s">
        <v>51</v>
      </c>
      <c r="C1295" s="783" t="s">
        <v>4042</v>
      </c>
      <c r="D1295" s="783" t="s">
        <v>4016</v>
      </c>
      <c r="E1295" s="783" t="s">
        <v>525</v>
      </c>
      <c r="F1295" s="783" t="s">
        <v>4011</v>
      </c>
      <c r="G1295" s="783" t="str">
        <f t="shared" si="72"/>
        <v>Renewal (15% in 2020)</v>
      </c>
      <c r="H1295" s="783" t="s">
        <v>5020</v>
      </c>
      <c r="I1295" s="783" t="s">
        <v>5021</v>
      </c>
      <c r="J1295" s="783">
        <v>15</v>
      </c>
      <c r="K1295" s="783" t="s">
        <v>27</v>
      </c>
      <c r="L1295" s="783" t="s">
        <v>4096</v>
      </c>
      <c r="M1295" s="784">
        <v>25440</v>
      </c>
      <c r="N1295" s="784">
        <v>24</v>
      </c>
      <c r="O1295" s="784">
        <v>2.12</v>
      </c>
      <c r="P1295" s="783">
        <v>500</v>
      </c>
      <c r="Q1295" s="783">
        <v>3131.66</v>
      </c>
      <c r="R1295" s="783">
        <v>999.87</v>
      </c>
      <c r="S1295" s="783">
        <v>437.49</v>
      </c>
      <c r="T1295" s="783">
        <v>1694.3</v>
      </c>
      <c r="U1295" s="785">
        <v>44631.629247685203</v>
      </c>
    </row>
    <row r="1296" spans="1:21">
      <c r="A1296" s="782">
        <v>44439</v>
      </c>
      <c r="B1296" s="783" t="s">
        <v>41</v>
      </c>
      <c r="C1296" s="783" t="s">
        <v>4008</v>
      </c>
      <c r="D1296" s="783" t="s">
        <v>4009</v>
      </c>
      <c r="E1296" s="783" t="s">
        <v>5022</v>
      </c>
      <c r="F1296" s="783" t="s">
        <v>4011</v>
      </c>
      <c r="G1296" s="783" t="str">
        <f t="shared" si="72"/>
        <v>Renewal (15% in 2020)</v>
      </c>
      <c r="H1296" s="783" t="s">
        <v>5023</v>
      </c>
      <c r="I1296" s="783" t="s">
        <v>5024</v>
      </c>
      <c r="J1296" s="783">
        <v>15</v>
      </c>
      <c r="K1296" s="783" t="s">
        <v>27</v>
      </c>
      <c r="L1296" s="783" t="s">
        <v>4096</v>
      </c>
      <c r="M1296" s="784">
        <v>6214.68</v>
      </c>
      <c r="N1296" s="784">
        <v>6.1</v>
      </c>
      <c r="O1296" s="784">
        <v>2.83</v>
      </c>
      <c r="P1296" s="783">
        <v>360</v>
      </c>
      <c r="Q1296" s="783">
        <v>802.94</v>
      </c>
      <c r="R1296" s="783">
        <v>268.47000000000003</v>
      </c>
      <c r="S1296" s="783">
        <v>97.57</v>
      </c>
      <c r="T1296" s="783">
        <v>436.89</v>
      </c>
      <c r="U1296" s="785">
        <v>44631.625972222202</v>
      </c>
    </row>
    <row r="1297" spans="1:21">
      <c r="A1297" s="782">
        <v>44585</v>
      </c>
      <c r="B1297" s="783" t="s">
        <v>74</v>
      </c>
      <c r="C1297" s="783" t="s">
        <v>4097</v>
      </c>
      <c r="D1297" s="783" t="s">
        <v>4038</v>
      </c>
      <c r="E1297" s="783" t="s">
        <v>4281</v>
      </c>
      <c r="F1297" s="783" t="s">
        <v>4011</v>
      </c>
      <c r="G1297" s="783" t="s">
        <v>4028</v>
      </c>
      <c r="H1297" s="783" t="s">
        <v>4282</v>
      </c>
      <c r="I1297" s="783" t="s">
        <v>4283</v>
      </c>
      <c r="J1297" s="783">
        <v>25</v>
      </c>
      <c r="K1297" s="783" t="s">
        <v>27</v>
      </c>
      <c r="L1297" s="783" t="s">
        <v>4096</v>
      </c>
      <c r="M1297" s="784">
        <v>9584.64</v>
      </c>
      <c r="N1297" s="784">
        <v>9.6</v>
      </c>
      <c r="O1297" s="784">
        <v>2.6</v>
      </c>
      <c r="P1297" s="783">
        <v>384</v>
      </c>
      <c r="Q1297" s="783">
        <v>676.68</v>
      </c>
      <c r="R1297" s="783">
        <v>354.63</v>
      </c>
      <c r="S1297" s="783">
        <v>135.13999999999999</v>
      </c>
      <c r="T1297" s="783">
        <v>186.9</v>
      </c>
      <c r="U1297" s="785">
        <v>44631.633425925902</v>
      </c>
    </row>
    <row r="1298" spans="1:21">
      <c r="A1298" s="782">
        <v>44588</v>
      </c>
      <c r="B1298" s="783" t="s">
        <v>118</v>
      </c>
      <c r="C1298" s="783" t="s">
        <v>4139</v>
      </c>
      <c r="D1298" s="783" t="s">
        <v>4009</v>
      </c>
      <c r="E1298" s="783" t="s">
        <v>693</v>
      </c>
      <c r="F1298" s="783" t="s">
        <v>4066</v>
      </c>
      <c r="G1298" s="783" t="s">
        <v>4028</v>
      </c>
      <c r="H1298" s="783" t="s">
        <v>5025</v>
      </c>
      <c r="I1298" s="783" t="s">
        <v>5026</v>
      </c>
      <c r="J1298" s="783">
        <v>10</v>
      </c>
      <c r="K1298" s="783" t="s">
        <v>27</v>
      </c>
      <c r="L1298" s="783" t="s">
        <v>4096</v>
      </c>
      <c r="M1298" s="784">
        <v>42840</v>
      </c>
      <c r="N1298" s="784">
        <v>21</v>
      </c>
      <c r="O1298" s="784">
        <v>4</v>
      </c>
      <c r="P1298" s="783">
        <v>510</v>
      </c>
      <c r="Q1298" s="783">
        <v>2137.7199999999998</v>
      </c>
      <c r="R1298" s="783">
        <v>0</v>
      </c>
      <c r="S1298" s="783">
        <v>0</v>
      </c>
      <c r="T1298" s="783">
        <v>2137.7199999999998</v>
      </c>
      <c r="U1298" s="785">
        <v>44631.633391203701</v>
      </c>
    </row>
    <row r="1299" spans="1:21">
      <c r="A1299" s="782">
        <v>44588</v>
      </c>
      <c r="B1299" s="783" t="s">
        <v>74</v>
      </c>
      <c r="C1299" s="783" t="s">
        <v>4037</v>
      </c>
      <c r="D1299" s="783" t="s">
        <v>4038</v>
      </c>
      <c r="E1299" s="783" t="s">
        <v>2504</v>
      </c>
      <c r="F1299" s="783" t="s">
        <v>4011</v>
      </c>
      <c r="G1299" s="783" t="str">
        <f>VLOOKUP(I1299,pacage,2,FALSE)</f>
        <v>Renewal (15% in 2020)</v>
      </c>
      <c r="H1299" s="783" t="s">
        <v>5027</v>
      </c>
      <c r="I1299" s="783" t="s">
        <v>5028</v>
      </c>
      <c r="J1299" s="783">
        <v>15</v>
      </c>
      <c r="K1299" s="783" t="s">
        <v>27</v>
      </c>
      <c r="L1299" s="783" t="s">
        <v>4096</v>
      </c>
      <c r="M1299" s="784">
        <v>24772.5</v>
      </c>
      <c r="N1299" s="784">
        <v>13.5</v>
      </c>
      <c r="O1299" s="784">
        <v>3.67</v>
      </c>
      <c r="P1299" s="783">
        <v>500</v>
      </c>
      <c r="Q1299" s="783">
        <v>2905.81</v>
      </c>
      <c r="R1299" s="783">
        <v>833.98</v>
      </c>
      <c r="S1299" s="783">
        <v>679.62</v>
      </c>
      <c r="T1299" s="783">
        <v>1392.21</v>
      </c>
      <c r="U1299" s="785">
        <v>44631.636319444398</v>
      </c>
    </row>
    <row r="1300" spans="1:21">
      <c r="A1300" s="782">
        <v>44638</v>
      </c>
      <c r="B1300" s="783" t="s">
        <v>74</v>
      </c>
      <c r="C1300" s="783" t="s">
        <v>4097</v>
      </c>
      <c r="D1300" s="783" t="s">
        <v>4038</v>
      </c>
      <c r="E1300" s="783" t="s">
        <v>4555</v>
      </c>
      <c r="F1300" s="783" t="s">
        <v>4066</v>
      </c>
      <c r="G1300" s="783" t="s">
        <v>4028</v>
      </c>
      <c r="H1300" s="783" t="s">
        <v>4556</v>
      </c>
      <c r="I1300" s="783" t="s">
        <v>4557</v>
      </c>
      <c r="J1300" s="783">
        <v>10</v>
      </c>
      <c r="K1300" s="783" t="s">
        <v>27</v>
      </c>
      <c r="L1300" s="783" t="s">
        <v>4096</v>
      </c>
      <c r="M1300" s="784">
        <v>196118</v>
      </c>
      <c r="N1300" s="784">
        <v>130</v>
      </c>
      <c r="O1300" s="784">
        <v>3.8</v>
      </c>
      <c r="P1300" s="783">
        <v>397</v>
      </c>
      <c r="Q1300" s="783">
        <v>12453.49</v>
      </c>
      <c r="R1300" s="783">
        <v>0</v>
      </c>
      <c r="S1300" s="783">
        <v>0</v>
      </c>
      <c r="T1300" s="783">
        <v>12453.49</v>
      </c>
      <c r="U1300" s="785">
        <v>44641.407685185201</v>
      </c>
    </row>
    <row r="1301" spans="1:21">
      <c r="A1301" s="782">
        <v>44594</v>
      </c>
      <c r="B1301" s="783" t="s">
        <v>47</v>
      </c>
      <c r="C1301" s="783" t="s">
        <v>4916</v>
      </c>
      <c r="D1301" s="783" t="s">
        <v>4102</v>
      </c>
      <c r="E1301" s="783" t="s">
        <v>5038</v>
      </c>
      <c r="F1301" s="783" t="s">
        <v>4066</v>
      </c>
      <c r="G1301" s="783" t="s">
        <v>4028</v>
      </c>
      <c r="H1301" s="783" t="s">
        <v>5039</v>
      </c>
      <c r="I1301" s="783" t="s">
        <v>5040</v>
      </c>
      <c r="J1301" s="783">
        <v>10</v>
      </c>
      <c r="K1301" s="783" t="s">
        <v>27</v>
      </c>
      <c r="L1301" s="783" t="s">
        <v>4096</v>
      </c>
      <c r="M1301" s="784">
        <v>60263.64</v>
      </c>
      <c r="N1301" s="784">
        <v>34.35</v>
      </c>
      <c r="O1301" s="784">
        <v>3.4</v>
      </c>
      <c r="P1301" s="783">
        <v>516</v>
      </c>
      <c r="Q1301" s="783">
        <v>1596.99</v>
      </c>
      <c r="R1301" s="783">
        <v>0</v>
      </c>
      <c r="S1301" s="783">
        <v>0</v>
      </c>
      <c r="T1301" s="783">
        <v>1596.99</v>
      </c>
      <c r="U1301" s="785">
        <v>44631.625995370399</v>
      </c>
    </row>
    <row r="1302" spans="1:21">
      <c r="A1302" s="782">
        <v>44615</v>
      </c>
      <c r="B1302" s="783" t="s">
        <v>30</v>
      </c>
      <c r="C1302" s="783" t="s">
        <v>4239</v>
      </c>
      <c r="D1302" s="783" t="s">
        <v>4021</v>
      </c>
      <c r="E1302" s="783" t="s">
        <v>5041</v>
      </c>
      <c r="F1302" s="783" t="s">
        <v>4066</v>
      </c>
      <c r="G1302" s="783" t="s">
        <v>4028</v>
      </c>
      <c r="H1302" s="783" t="s">
        <v>5042</v>
      </c>
      <c r="I1302" s="783" t="s">
        <v>5043</v>
      </c>
      <c r="J1302" s="783">
        <v>10</v>
      </c>
      <c r="K1302" s="783" t="s">
        <v>27</v>
      </c>
      <c r="L1302" s="783" t="s">
        <v>4096</v>
      </c>
      <c r="M1302" s="784">
        <v>42890.400000000001</v>
      </c>
      <c r="N1302" s="784">
        <v>25.53</v>
      </c>
      <c r="O1302" s="784">
        <v>3.5</v>
      </c>
      <c r="P1302" s="783">
        <v>480</v>
      </c>
      <c r="Q1302" s="783">
        <v>2118.79</v>
      </c>
      <c r="R1302" s="783">
        <v>0</v>
      </c>
      <c r="S1302" s="783">
        <v>0</v>
      </c>
      <c r="T1302" s="783">
        <v>2118.79</v>
      </c>
      <c r="U1302" s="785">
        <v>44631.626284722202</v>
      </c>
    </row>
    <row r="1303" spans="1:21">
      <c r="A1303" s="782">
        <v>44601</v>
      </c>
      <c r="B1303" s="783" t="s">
        <v>113</v>
      </c>
      <c r="C1303" s="783" t="s">
        <v>4097</v>
      </c>
      <c r="D1303" s="783" t="s">
        <v>4038</v>
      </c>
      <c r="E1303" s="783" t="s">
        <v>5044</v>
      </c>
      <c r="F1303" s="783" t="s">
        <v>4066</v>
      </c>
      <c r="G1303" s="783" t="str">
        <f t="shared" ref="G1303:G1311" si="73">VLOOKUP(I1303,pacage,2,FALSE)</f>
        <v>Renewal (15% in 2020)</v>
      </c>
      <c r="H1303" s="783" t="s">
        <v>5045</v>
      </c>
      <c r="I1303" s="783" t="s">
        <v>5046</v>
      </c>
      <c r="J1303" s="783">
        <v>5</v>
      </c>
      <c r="K1303" s="783" t="s">
        <v>27</v>
      </c>
      <c r="L1303" s="783" t="s">
        <v>4096</v>
      </c>
      <c r="M1303" s="784">
        <v>19568</v>
      </c>
      <c r="N1303" s="784">
        <v>12.23</v>
      </c>
      <c r="O1303" s="784">
        <v>4</v>
      </c>
      <c r="P1303" s="783">
        <v>400</v>
      </c>
      <c r="Q1303" s="783">
        <v>1847.22</v>
      </c>
      <c r="R1303" s="783">
        <v>0</v>
      </c>
      <c r="S1303" s="783">
        <v>0</v>
      </c>
      <c r="T1303" s="783">
        <v>1847.22</v>
      </c>
      <c r="U1303" s="785">
        <v>44631.626388888901</v>
      </c>
    </row>
    <row r="1304" spans="1:21">
      <c r="A1304" s="782">
        <v>44633</v>
      </c>
      <c r="B1304" s="783" t="s">
        <v>30</v>
      </c>
      <c r="C1304" s="783" t="s">
        <v>4026</v>
      </c>
      <c r="D1304" s="783" t="s">
        <v>4021</v>
      </c>
      <c r="E1304" s="783" t="s">
        <v>5047</v>
      </c>
      <c r="F1304" s="783" t="s">
        <v>4011</v>
      </c>
      <c r="G1304" s="783" t="str">
        <f t="shared" si="73"/>
        <v>Renewal (15% in 2020)</v>
      </c>
      <c r="H1304" s="783" t="s">
        <v>5048</v>
      </c>
      <c r="I1304" s="783" t="s">
        <v>5049</v>
      </c>
      <c r="J1304" s="783">
        <v>15</v>
      </c>
      <c r="K1304" s="783" t="s">
        <v>27</v>
      </c>
      <c r="L1304" s="783" t="s">
        <v>4096</v>
      </c>
      <c r="M1304" s="784">
        <v>6516.36</v>
      </c>
      <c r="N1304" s="784">
        <v>5.8</v>
      </c>
      <c r="O1304" s="784">
        <v>2.83</v>
      </c>
      <c r="P1304" s="783">
        <v>397</v>
      </c>
      <c r="Q1304" s="783">
        <v>559.1</v>
      </c>
      <c r="R1304" s="783">
        <v>191.58</v>
      </c>
      <c r="S1304" s="783">
        <v>65.16</v>
      </c>
      <c r="T1304" s="783">
        <v>302.36</v>
      </c>
      <c r="U1304" s="785">
        <v>44634.389189814799</v>
      </c>
    </row>
    <row r="1305" spans="1:21">
      <c r="A1305" s="782">
        <v>44633</v>
      </c>
      <c r="B1305" s="783" t="s">
        <v>30</v>
      </c>
      <c r="C1305" s="783" t="s">
        <v>4089</v>
      </c>
      <c r="D1305" s="783" t="s">
        <v>4021</v>
      </c>
      <c r="E1305" s="783" t="s">
        <v>5047</v>
      </c>
      <c r="F1305" s="783" t="s">
        <v>4011</v>
      </c>
      <c r="G1305" s="783" t="str">
        <f t="shared" si="73"/>
        <v>Renewal (15% in 2020)</v>
      </c>
      <c r="H1305" s="783" t="s">
        <v>5048</v>
      </c>
      <c r="I1305" s="783" t="s">
        <v>5049</v>
      </c>
      <c r="J1305" s="783">
        <v>15</v>
      </c>
      <c r="K1305" s="783" t="s">
        <v>27</v>
      </c>
      <c r="L1305" s="783" t="s">
        <v>4096</v>
      </c>
      <c r="M1305" s="784">
        <v>43949.33</v>
      </c>
      <c r="N1305" s="784">
        <v>39.82</v>
      </c>
      <c r="O1305" s="784">
        <v>2.83</v>
      </c>
      <c r="P1305" s="783">
        <v>390</v>
      </c>
      <c r="Q1305" s="783">
        <v>4623.47</v>
      </c>
      <c r="R1305" s="783">
        <v>1801.92</v>
      </c>
      <c r="S1305" s="783">
        <v>276.88</v>
      </c>
      <c r="T1305" s="783">
        <v>2544.67</v>
      </c>
      <c r="U1305" s="785">
        <v>44634.389189814799</v>
      </c>
    </row>
    <row r="1306" spans="1:21">
      <c r="A1306" s="782">
        <v>44656</v>
      </c>
      <c r="B1306" s="783" t="s">
        <v>41</v>
      </c>
      <c r="C1306" s="783" t="s">
        <v>4092</v>
      </c>
      <c r="D1306" s="783" t="s">
        <v>4009</v>
      </c>
      <c r="E1306" s="783" t="s">
        <v>4287</v>
      </c>
      <c r="F1306" s="783" t="s">
        <v>4011</v>
      </c>
      <c r="G1306" s="783" t="str">
        <f t="shared" si="73"/>
        <v>Renewal (15% in 2020)</v>
      </c>
      <c r="H1306" s="783" t="s">
        <v>4288</v>
      </c>
      <c r="I1306" s="783" t="s">
        <v>4289</v>
      </c>
      <c r="J1306" s="783">
        <v>30</v>
      </c>
      <c r="K1306" s="783" t="s">
        <v>27</v>
      </c>
      <c r="L1306" s="783" t="s">
        <v>4096</v>
      </c>
      <c r="M1306" s="784">
        <v>50521.599999999999</v>
      </c>
      <c r="N1306" s="784">
        <v>39.47</v>
      </c>
      <c r="O1306" s="784">
        <v>3.2</v>
      </c>
      <c r="P1306" s="783">
        <v>400</v>
      </c>
      <c r="Q1306" s="783">
        <v>2723.11</v>
      </c>
      <c r="R1306" s="783">
        <v>2020.75</v>
      </c>
      <c r="S1306" s="783">
        <v>15.27</v>
      </c>
      <c r="T1306" s="783">
        <v>687.09</v>
      </c>
      <c r="U1306" s="785">
        <v>44657.6301157407</v>
      </c>
    </row>
    <row r="1307" spans="1:21">
      <c r="A1307" s="782">
        <v>44656</v>
      </c>
      <c r="B1307" s="783" t="s">
        <v>41</v>
      </c>
      <c r="C1307" s="783" t="s">
        <v>4071</v>
      </c>
      <c r="D1307" s="783" t="s">
        <v>4009</v>
      </c>
      <c r="E1307" s="783" t="s">
        <v>4287</v>
      </c>
      <c r="F1307" s="783" t="s">
        <v>4011</v>
      </c>
      <c r="G1307" s="783" t="str">
        <f t="shared" si="73"/>
        <v>Renewal (15% in 2020)</v>
      </c>
      <c r="H1307" s="783" t="s">
        <v>4288</v>
      </c>
      <c r="I1307" s="783" t="s">
        <v>4289</v>
      </c>
      <c r="J1307" s="783">
        <v>30</v>
      </c>
      <c r="K1307" s="783" t="s">
        <v>27</v>
      </c>
      <c r="L1307" s="783" t="s">
        <v>4096</v>
      </c>
      <c r="M1307" s="784">
        <v>23904</v>
      </c>
      <c r="N1307" s="784">
        <v>19.920000000000002</v>
      </c>
      <c r="O1307" s="784">
        <v>3</v>
      </c>
      <c r="P1307" s="783">
        <v>400</v>
      </c>
      <c r="Q1307" s="783">
        <v>1517.9</v>
      </c>
      <c r="R1307" s="783">
        <v>1138.79</v>
      </c>
      <c r="S1307" s="783">
        <v>8.61</v>
      </c>
      <c r="T1307" s="783">
        <v>370.51</v>
      </c>
      <c r="U1307" s="785">
        <v>44657.630127314798</v>
      </c>
    </row>
    <row r="1308" spans="1:21">
      <c r="A1308" s="782">
        <v>44615</v>
      </c>
      <c r="B1308" s="783" t="s">
        <v>41</v>
      </c>
      <c r="C1308" s="783" t="s">
        <v>4139</v>
      </c>
      <c r="D1308" s="783" t="s">
        <v>4009</v>
      </c>
      <c r="E1308" s="783" t="s">
        <v>5050</v>
      </c>
      <c r="F1308" s="783" t="s">
        <v>4011</v>
      </c>
      <c r="G1308" s="783" t="str">
        <f t="shared" si="73"/>
        <v>Renewal (30% in 2020)</v>
      </c>
      <c r="H1308" s="783" t="s">
        <v>5051</v>
      </c>
      <c r="I1308" s="783" t="s">
        <v>5052</v>
      </c>
      <c r="J1308" s="783">
        <v>30</v>
      </c>
      <c r="K1308" s="783" t="s">
        <v>27</v>
      </c>
      <c r="L1308" s="783" t="s">
        <v>4096</v>
      </c>
      <c r="M1308" s="784">
        <v>8001.9</v>
      </c>
      <c r="N1308" s="784">
        <v>5.23</v>
      </c>
      <c r="O1308" s="784">
        <v>3.4</v>
      </c>
      <c r="P1308" s="783">
        <v>450</v>
      </c>
      <c r="Q1308" s="783">
        <v>610.54</v>
      </c>
      <c r="R1308" s="783">
        <v>409.45</v>
      </c>
      <c r="S1308" s="783">
        <v>54.66</v>
      </c>
      <c r="T1308" s="783">
        <v>146.43</v>
      </c>
      <c r="U1308" s="785">
        <v>44631.626365740703</v>
      </c>
    </row>
    <row r="1309" spans="1:21">
      <c r="A1309" s="782">
        <v>44693</v>
      </c>
      <c r="B1309" s="783" t="s">
        <v>51</v>
      </c>
      <c r="C1309" s="783" t="s">
        <v>4042</v>
      </c>
      <c r="D1309" s="783" t="s">
        <v>4016</v>
      </c>
      <c r="E1309" s="783" t="s">
        <v>1359</v>
      </c>
      <c r="F1309" s="783" t="s">
        <v>4011</v>
      </c>
      <c r="G1309" s="783" t="str">
        <f t="shared" si="73"/>
        <v>Renewal (20% in 2020)</v>
      </c>
      <c r="H1309" s="783" t="s">
        <v>5053</v>
      </c>
      <c r="I1309" s="783" t="s">
        <v>5054</v>
      </c>
      <c r="J1309" s="783">
        <v>20</v>
      </c>
      <c r="K1309" s="783" t="s">
        <v>27</v>
      </c>
      <c r="L1309" s="783" t="s">
        <v>4096</v>
      </c>
      <c r="M1309" s="784">
        <v>112014.46</v>
      </c>
      <c r="N1309" s="784">
        <v>82.11</v>
      </c>
      <c r="O1309" s="784">
        <v>3.59</v>
      </c>
      <c r="P1309" s="783">
        <v>380</v>
      </c>
      <c r="Q1309" s="783">
        <v>10697.38</v>
      </c>
      <c r="R1309" s="783">
        <v>5544.72</v>
      </c>
      <c r="S1309" s="783">
        <v>784.1</v>
      </c>
      <c r="T1309" s="783">
        <v>4368.5600000000004</v>
      </c>
      <c r="U1309" s="785">
        <v>44694.5081712963</v>
      </c>
    </row>
    <row r="1310" spans="1:21">
      <c r="A1310" s="782">
        <v>44699</v>
      </c>
      <c r="B1310" s="783" t="s">
        <v>113</v>
      </c>
      <c r="C1310" s="783" t="s">
        <v>4606</v>
      </c>
      <c r="D1310" s="783" t="s">
        <v>4009</v>
      </c>
      <c r="E1310" s="783" t="s">
        <v>159</v>
      </c>
      <c r="F1310" s="783" t="s">
        <v>4011</v>
      </c>
      <c r="G1310" s="783" t="str">
        <f t="shared" si="73"/>
        <v>Renewal (15% in 2020)</v>
      </c>
      <c r="H1310" s="783" t="s">
        <v>5055</v>
      </c>
      <c r="I1310" s="783" t="s">
        <v>5056</v>
      </c>
      <c r="J1310" s="783">
        <v>15</v>
      </c>
      <c r="K1310" s="783" t="s">
        <v>27</v>
      </c>
      <c r="L1310" s="783" t="s">
        <v>4096</v>
      </c>
      <c r="M1310" s="784">
        <v>7649.28</v>
      </c>
      <c r="N1310" s="784">
        <v>6.64</v>
      </c>
      <c r="O1310" s="784">
        <v>2.56</v>
      </c>
      <c r="P1310" s="783">
        <v>450</v>
      </c>
      <c r="Q1310" s="783">
        <v>654.78</v>
      </c>
      <c r="R1310" s="783">
        <v>183.56</v>
      </c>
      <c r="S1310" s="783">
        <v>110.18</v>
      </c>
      <c r="T1310" s="783">
        <v>361.05</v>
      </c>
      <c r="U1310" s="785">
        <v>44700.505393518499</v>
      </c>
    </row>
    <row r="1311" spans="1:21">
      <c r="A1311" s="782">
        <v>44694</v>
      </c>
      <c r="B1311" s="783" t="s">
        <v>228</v>
      </c>
      <c r="C1311" s="783" t="s">
        <v>4020</v>
      </c>
      <c r="D1311" s="783" t="s">
        <v>4021</v>
      </c>
      <c r="E1311" s="783" t="s">
        <v>5057</v>
      </c>
      <c r="F1311" s="783" t="s">
        <v>4011</v>
      </c>
      <c r="G1311" s="783" t="str">
        <f t="shared" si="73"/>
        <v>Renewal (25% in 2020)</v>
      </c>
      <c r="H1311" s="783" t="s">
        <v>5058</v>
      </c>
      <c r="I1311" s="783" t="s">
        <v>5059</v>
      </c>
      <c r="J1311" s="783">
        <v>25</v>
      </c>
      <c r="K1311" s="783" t="s">
        <v>27</v>
      </c>
      <c r="L1311" s="783" t="s">
        <v>4096</v>
      </c>
      <c r="M1311" s="784">
        <v>13770.18</v>
      </c>
      <c r="N1311" s="784">
        <v>15.28</v>
      </c>
      <c r="O1311" s="784">
        <v>2.27</v>
      </c>
      <c r="P1311" s="783">
        <v>397</v>
      </c>
      <c r="Q1311" s="783">
        <v>1093.3499999999999</v>
      </c>
      <c r="R1311" s="783">
        <v>692.64</v>
      </c>
      <c r="S1311" s="783">
        <v>103.28</v>
      </c>
      <c r="T1311" s="783">
        <v>297.44</v>
      </c>
      <c r="U1311" s="785">
        <v>44694.624201388899</v>
      </c>
    </row>
    <row r="1312" spans="1:21">
      <c r="A1312" s="782">
        <v>44693</v>
      </c>
      <c r="B1312" s="783" t="s">
        <v>4025</v>
      </c>
      <c r="C1312" s="783" t="s">
        <v>4026</v>
      </c>
      <c r="D1312" s="783" t="s">
        <v>4021</v>
      </c>
      <c r="E1312" s="783" t="s">
        <v>5060</v>
      </c>
      <c r="F1312" s="783" t="s">
        <v>4011</v>
      </c>
      <c r="G1312" s="783" t="s">
        <v>4028</v>
      </c>
      <c r="H1312" s="783" t="s">
        <v>5061</v>
      </c>
      <c r="I1312" s="783" t="s">
        <v>5062</v>
      </c>
      <c r="J1312" s="783">
        <v>25</v>
      </c>
      <c r="K1312" s="783" t="s">
        <v>27</v>
      </c>
      <c r="L1312" s="783" t="s">
        <v>4096</v>
      </c>
      <c r="M1312" s="784">
        <v>59867.14</v>
      </c>
      <c r="N1312" s="784">
        <v>40.96</v>
      </c>
      <c r="O1312" s="784">
        <v>3.48</v>
      </c>
      <c r="P1312" s="783">
        <v>420</v>
      </c>
      <c r="Q1312" s="783">
        <v>3202.89</v>
      </c>
      <c r="R1312" s="783">
        <v>1663.71</v>
      </c>
      <c r="S1312" s="783">
        <v>695.06</v>
      </c>
      <c r="T1312" s="783">
        <v>844.13</v>
      </c>
      <c r="U1312" s="785">
        <v>44694.438854166699</v>
      </c>
    </row>
    <row r="1313" spans="1:21">
      <c r="A1313" s="782">
        <v>44698</v>
      </c>
      <c r="B1313" s="783" t="s">
        <v>41</v>
      </c>
      <c r="C1313" s="783" t="s">
        <v>4092</v>
      </c>
      <c r="D1313" s="783" t="s">
        <v>4009</v>
      </c>
      <c r="E1313" s="783" t="s">
        <v>5063</v>
      </c>
      <c r="F1313" s="783" t="s">
        <v>4011</v>
      </c>
      <c r="G1313" s="783" t="str">
        <f t="shared" ref="G1313:G1330" si="74">VLOOKUP(I1313,pacage,2,FALSE)</f>
        <v>Renewal (15% in 2020)</v>
      </c>
      <c r="H1313" s="783" t="s">
        <v>5064</v>
      </c>
      <c r="I1313" s="783" t="s">
        <v>5065</v>
      </c>
      <c r="J1313" s="783">
        <v>15</v>
      </c>
      <c r="K1313" s="783" t="s">
        <v>27</v>
      </c>
      <c r="L1313" s="783" t="s">
        <v>4096</v>
      </c>
      <c r="M1313" s="784">
        <v>14879.16</v>
      </c>
      <c r="N1313" s="784">
        <v>17.97</v>
      </c>
      <c r="O1313" s="784">
        <v>2.2999999999999998</v>
      </c>
      <c r="P1313" s="783">
        <v>360</v>
      </c>
      <c r="Q1313" s="783">
        <v>1551.9</v>
      </c>
      <c r="R1313" s="783">
        <v>599.63</v>
      </c>
      <c r="S1313" s="783">
        <v>144.33000000000001</v>
      </c>
      <c r="T1313" s="783">
        <v>807.94</v>
      </c>
      <c r="U1313" s="785">
        <v>44699.508784722202</v>
      </c>
    </row>
    <row r="1314" spans="1:21">
      <c r="A1314" s="782">
        <v>44698</v>
      </c>
      <c r="B1314" s="783" t="s">
        <v>41</v>
      </c>
      <c r="C1314" s="783" t="s">
        <v>4082</v>
      </c>
      <c r="D1314" s="783" t="s">
        <v>4009</v>
      </c>
      <c r="E1314" s="783" t="s">
        <v>5069</v>
      </c>
      <c r="F1314" s="783" t="s">
        <v>4011</v>
      </c>
      <c r="G1314" s="783" t="str">
        <f t="shared" si="74"/>
        <v>Renewal (15% in 2020)</v>
      </c>
      <c r="H1314" s="783" t="s">
        <v>5070</v>
      </c>
      <c r="I1314" s="783" t="s">
        <v>5071</v>
      </c>
      <c r="J1314" s="783">
        <v>15</v>
      </c>
      <c r="K1314" s="783" t="s">
        <v>27</v>
      </c>
      <c r="L1314" s="783" t="s">
        <v>4096</v>
      </c>
      <c r="M1314" s="784">
        <v>3231.62</v>
      </c>
      <c r="N1314" s="784">
        <v>3.23</v>
      </c>
      <c r="O1314" s="784">
        <v>2.9</v>
      </c>
      <c r="P1314" s="783">
        <v>345</v>
      </c>
      <c r="Q1314" s="783">
        <v>342.87</v>
      </c>
      <c r="R1314" s="783">
        <v>131.19999999999999</v>
      </c>
      <c r="S1314" s="783">
        <v>32.32</v>
      </c>
      <c r="T1314" s="783">
        <v>179.35</v>
      </c>
      <c r="U1314" s="785">
        <v>44699.477245370399</v>
      </c>
    </row>
    <row r="1315" spans="1:21">
      <c r="A1315" s="782">
        <v>44702</v>
      </c>
      <c r="B1315" s="783" t="s">
        <v>41</v>
      </c>
      <c r="C1315" s="783" t="s">
        <v>4092</v>
      </c>
      <c r="D1315" s="783" t="s">
        <v>4009</v>
      </c>
      <c r="E1315" s="783" t="s">
        <v>5078</v>
      </c>
      <c r="F1315" s="783" t="s">
        <v>4011</v>
      </c>
      <c r="G1315" s="783" t="str">
        <f t="shared" si="74"/>
        <v>New Contract</v>
      </c>
      <c r="H1315" s="783" t="s">
        <v>5079</v>
      </c>
      <c r="I1315" s="783" t="s">
        <v>5080</v>
      </c>
      <c r="J1315" s="783">
        <v>25</v>
      </c>
      <c r="K1315" s="783" t="s">
        <v>27</v>
      </c>
      <c r="L1315" s="783" t="s">
        <v>4096</v>
      </c>
      <c r="M1315" s="784">
        <v>9528.7099999999991</v>
      </c>
      <c r="N1315" s="784">
        <v>7.34</v>
      </c>
      <c r="O1315" s="784">
        <v>3.27</v>
      </c>
      <c r="P1315" s="783">
        <v>397</v>
      </c>
      <c r="Q1315" s="783">
        <v>606.03</v>
      </c>
      <c r="R1315" s="783">
        <v>384.01</v>
      </c>
      <c r="S1315" s="783">
        <v>92.43</v>
      </c>
      <c r="T1315" s="783">
        <v>129.59</v>
      </c>
      <c r="U1315" s="785">
        <v>44708.596215277801</v>
      </c>
    </row>
    <row r="1316" spans="1:21">
      <c r="A1316" s="782">
        <v>44701</v>
      </c>
      <c r="B1316" s="783" t="s">
        <v>41</v>
      </c>
      <c r="C1316" s="783" t="s">
        <v>4354</v>
      </c>
      <c r="D1316" s="783" t="s">
        <v>4009</v>
      </c>
      <c r="E1316" s="783" t="s">
        <v>6556</v>
      </c>
      <c r="F1316" s="783" t="s">
        <v>4011</v>
      </c>
      <c r="G1316" s="783" t="str">
        <f t="shared" si="74"/>
        <v>New Contract</v>
      </c>
      <c r="H1316" s="783" t="s">
        <v>6557</v>
      </c>
      <c r="I1316" s="783" t="s">
        <v>6558</v>
      </c>
      <c r="J1316" s="783">
        <v>30</v>
      </c>
      <c r="K1316" s="783" t="s">
        <v>27</v>
      </c>
      <c r="L1316" s="783" t="s">
        <v>4096</v>
      </c>
      <c r="M1316" s="784">
        <v>16281</v>
      </c>
      <c r="N1316" s="784">
        <v>12.06</v>
      </c>
      <c r="O1316" s="784">
        <v>3</v>
      </c>
      <c r="P1316" s="783">
        <v>450</v>
      </c>
      <c r="Q1316" s="783">
        <v>1269.92</v>
      </c>
      <c r="R1316" s="783">
        <v>913.52</v>
      </c>
      <c r="S1316" s="783">
        <v>121.96</v>
      </c>
      <c r="T1316" s="783">
        <v>234.45</v>
      </c>
      <c r="U1316" s="785">
        <v>44701.568206018499</v>
      </c>
    </row>
    <row r="1317" spans="1:21">
      <c r="A1317" s="782">
        <v>44704</v>
      </c>
      <c r="B1317" s="783" t="s">
        <v>41</v>
      </c>
      <c r="C1317" s="783" t="s">
        <v>4139</v>
      </c>
      <c r="D1317" s="783" t="s">
        <v>4009</v>
      </c>
      <c r="E1317" s="783" t="s">
        <v>5081</v>
      </c>
      <c r="F1317" s="783" t="s">
        <v>4011</v>
      </c>
      <c r="G1317" s="783" t="str">
        <f t="shared" si="74"/>
        <v>Renewal (30% in 2020)</v>
      </c>
      <c r="H1317" s="783" t="s">
        <v>5082</v>
      </c>
      <c r="I1317" s="783" t="s">
        <v>5083</v>
      </c>
      <c r="J1317" s="783">
        <v>30</v>
      </c>
      <c r="K1317" s="783" t="s">
        <v>27</v>
      </c>
      <c r="L1317" s="783" t="s">
        <v>4096</v>
      </c>
      <c r="M1317" s="784">
        <v>6180.93</v>
      </c>
      <c r="N1317" s="784">
        <v>5.98</v>
      </c>
      <c r="O1317" s="784">
        <v>3.04</v>
      </c>
      <c r="P1317" s="783">
        <v>340</v>
      </c>
      <c r="Q1317" s="783">
        <v>471.6</v>
      </c>
      <c r="R1317" s="783">
        <v>358.49</v>
      </c>
      <c r="S1317" s="783">
        <v>0</v>
      </c>
      <c r="T1317" s="783">
        <v>113.11</v>
      </c>
      <c r="U1317" s="785">
        <v>44704.632754629602</v>
      </c>
    </row>
    <row r="1318" spans="1:21">
      <c r="A1318" s="782">
        <v>44704</v>
      </c>
      <c r="B1318" s="783" t="s">
        <v>41</v>
      </c>
      <c r="C1318" s="783" t="s">
        <v>4071</v>
      </c>
      <c r="D1318" s="783" t="s">
        <v>4009</v>
      </c>
      <c r="E1318" s="783" t="s">
        <v>5084</v>
      </c>
      <c r="F1318" s="783" t="s">
        <v>4011</v>
      </c>
      <c r="G1318" s="783" t="str">
        <f t="shared" si="74"/>
        <v>Renewal (15% in 2020)</v>
      </c>
      <c r="H1318" s="783" t="s">
        <v>5085</v>
      </c>
      <c r="I1318" s="783" t="s">
        <v>5086</v>
      </c>
      <c r="J1318" s="783">
        <v>15</v>
      </c>
      <c r="K1318" s="783" t="s">
        <v>27</v>
      </c>
      <c r="L1318" s="783" t="s">
        <v>4096</v>
      </c>
      <c r="M1318" s="784">
        <v>29118.92</v>
      </c>
      <c r="N1318" s="784">
        <v>28.59</v>
      </c>
      <c r="O1318" s="784">
        <v>2.91</v>
      </c>
      <c r="P1318" s="783">
        <v>350</v>
      </c>
      <c r="Q1318" s="783">
        <v>3305</v>
      </c>
      <c r="R1318" s="783">
        <v>1397.71</v>
      </c>
      <c r="S1318" s="783">
        <v>171.8</v>
      </c>
      <c r="T1318" s="783">
        <v>1735.49</v>
      </c>
      <c r="U1318" s="785">
        <v>44708.798425925903</v>
      </c>
    </row>
    <row r="1319" spans="1:21">
      <c r="A1319" s="782">
        <v>44704</v>
      </c>
      <c r="B1319" s="783" t="s">
        <v>228</v>
      </c>
      <c r="C1319" s="783" t="s">
        <v>4582</v>
      </c>
      <c r="D1319" s="783" t="s">
        <v>4193</v>
      </c>
      <c r="E1319" s="783" t="s">
        <v>5087</v>
      </c>
      <c r="F1319" s="783" t="s">
        <v>4011</v>
      </c>
      <c r="G1319" s="783" t="str">
        <f t="shared" si="74"/>
        <v>Renewal (25% in 2020)</v>
      </c>
      <c r="H1319" s="783" t="s">
        <v>5088</v>
      </c>
      <c r="I1319" s="783" t="s">
        <v>5089</v>
      </c>
      <c r="J1319" s="783">
        <v>25</v>
      </c>
      <c r="K1319" s="783" t="s">
        <v>27</v>
      </c>
      <c r="L1319" s="783" t="s">
        <v>4096</v>
      </c>
      <c r="M1319" s="784">
        <v>30092.58</v>
      </c>
      <c r="N1319" s="784">
        <v>25.14</v>
      </c>
      <c r="O1319" s="784">
        <v>2.85</v>
      </c>
      <c r="P1319" s="783">
        <v>420</v>
      </c>
      <c r="Q1319" s="783">
        <v>2085.42</v>
      </c>
      <c r="R1319" s="783">
        <v>1334.05</v>
      </c>
      <c r="S1319" s="783">
        <v>254.83</v>
      </c>
      <c r="T1319" s="783">
        <v>496.53</v>
      </c>
      <c r="U1319" s="785">
        <v>44708.951261574097</v>
      </c>
    </row>
    <row r="1320" spans="1:21">
      <c r="A1320" s="782">
        <v>44705</v>
      </c>
      <c r="B1320" s="783" t="s">
        <v>41</v>
      </c>
      <c r="C1320" s="783" t="s">
        <v>4139</v>
      </c>
      <c r="D1320" s="783" t="s">
        <v>4009</v>
      </c>
      <c r="E1320" s="783" t="s">
        <v>5090</v>
      </c>
      <c r="F1320" s="783" t="s">
        <v>4011</v>
      </c>
      <c r="G1320" s="783" t="str">
        <f t="shared" si="74"/>
        <v>Renewal (30% in 2020)</v>
      </c>
      <c r="H1320" s="783" t="s">
        <v>5091</v>
      </c>
      <c r="I1320" s="783" t="s">
        <v>5092</v>
      </c>
      <c r="J1320" s="783">
        <v>30</v>
      </c>
      <c r="K1320" s="783" t="s">
        <v>27</v>
      </c>
      <c r="L1320" s="783" t="s">
        <v>4096</v>
      </c>
      <c r="M1320" s="784">
        <v>42022.65</v>
      </c>
      <c r="N1320" s="784">
        <v>29.65</v>
      </c>
      <c r="O1320" s="784">
        <v>3.57</v>
      </c>
      <c r="P1320" s="783">
        <v>397</v>
      </c>
      <c r="Q1320" s="783">
        <v>3206.33</v>
      </c>
      <c r="R1320" s="783">
        <v>2437.31</v>
      </c>
      <c r="S1320" s="783">
        <v>0</v>
      </c>
      <c r="T1320" s="783">
        <v>769.01</v>
      </c>
      <c r="U1320" s="785">
        <v>44708.953414351898</v>
      </c>
    </row>
    <row r="1321" spans="1:21">
      <c r="A1321" s="782">
        <v>44685</v>
      </c>
      <c r="B1321" s="783" t="s">
        <v>41</v>
      </c>
      <c r="C1321" s="783" t="s">
        <v>4139</v>
      </c>
      <c r="D1321" s="783" t="s">
        <v>4009</v>
      </c>
      <c r="E1321" s="783" t="s">
        <v>4563</v>
      </c>
      <c r="F1321" s="783" t="s">
        <v>4011</v>
      </c>
      <c r="G1321" s="783" t="str">
        <f t="shared" si="74"/>
        <v>Renewal (30% in 2020)</v>
      </c>
      <c r="H1321" s="783" t="s">
        <v>4564</v>
      </c>
      <c r="I1321" s="783" t="s">
        <v>4565</v>
      </c>
      <c r="J1321" s="783">
        <v>30</v>
      </c>
      <c r="K1321" s="783" t="s">
        <v>27</v>
      </c>
      <c r="L1321" s="783" t="s">
        <v>4096</v>
      </c>
      <c r="M1321" s="784">
        <v>59370.05</v>
      </c>
      <c r="N1321" s="784">
        <v>33.71</v>
      </c>
      <c r="O1321" s="784">
        <v>4.76</v>
      </c>
      <c r="P1321" s="783">
        <v>370</v>
      </c>
      <c r="Q1321" s="783">
        <v>4529.93</v>
      </c>
      <c r="R1321" s="783">
        <v>3443.46</v>
      </c>
      <c r="S1321" s="783">
        <v>0</v>
      </c>
      <c r="T1321" s="783">
        <v>1086.47</v>
      </c>
      <c r="U1321" s="785">
        <v>44685.417777777802</v>
      </c>
    </row>
    <row r="1322" spans="1:21">
      <c r="A1322" s="782">
        <v>44687</v>
      </c>
      <c r="B1322" s="783" t="s">
        <v>113</v>
      </c>
      <c r="C1322" s="783" t="s">
        <v>4606</v>
      </c>
      <c r="D1322" s="783" t="s">
        <v>4009</v>
      </c>
      <c r="E1322" s="783" t="s">
        <v>6559</v>
      </c>
      <c r="F1322" s="783" t="s">
        <v>4011</v>
      </c>
      <c r="G1322" s="783" t="str">
        <f t="shared" si="74"/>
        <v>Renewal (25% in 2020)</v>
      </c>
      <c r="H1322" s="783" t="s">
        <v>6560</v>
      </c>
      <c r="I1322" s="783" t="s">
        <v>6561</v>
      </c>
      <c r="J1322" s="783">
        <v>20</v>
      </c>
      <c r="K1322" s="783" t="s">
        <v>27</v>
      </c>
      <c r="L1322" s="783" t="s">
        <v>4096</v>
      </c>
      <c r="M1322" s="784">
        <v>11558.4</v>
      </c>
      <c r="N1322" s="784">
        <v>8.9600000000000009</v>
      </c>
      <c r="O1322" s="784">
        <v>2.5</v>
      </c>
      <c r="P1322" s="783">
        <v>516</v>
      </c>
      <c r="Q1322" s="783">
        <v>772.1</v>
      </c>
      <c r="R1322" s="783">
        <v>241.88</v>
      </c>
      <c r="S1322" s="783">
        <v>201.96</v>
      </c>
      <c r="T1322" s="783">
        <v>328.26</v>
      </c>
      <c r="U1322" s="785">
        <v>44687.607939814799</v>
      </c>
    </row>
    <row r="1323" spans="1:21">
      <c r="A1323" s="782">
        <v>44684</v>
      </c>
      <c r="B1323" s="783" t="s">
        <v>41</v>
      </c>
      <c r="C1323" s="783" t="s">
        <v>4071</v>
      </c>
      <c r="D1323" s="783" t="s">
        <v>4009</v>
      </c>
      <c r="E1323" s="783" t="s">
        <v>5096</v>
      </c>
      <c r="F1323" s="783" t="s">
        <v>4011</v>
      </c>
      <c r="G1323" s="783" t="str">
        <f t="shared" si="74"/>
        <v>Renewal (30% in 2020)</v>
      </c>
      <c r="H1323" s="783" t="s">
        <v>5097</v>
      </c>
      <c r="I1323" s="783" t="s">
        <v>5098</v>
      </c>
      <c r="J1323" s="783">
        <v>30</v>
      </c>
      <c r="K1323" s="783" t="s">
        <v>27</v>
      </c>
      <c r="L1323" s="783" t="s">
        <v>4096</v>
      </c>
      <c r="M1323" s="784">
        <v>12049.16</v>
      </c>
      <c r="N1323" s="784">
        <v>13.27</v>
      </c>
      <c r="O1323" s="784">
        <v>2.27</v>
      </c>
      <c r="P1323" s="783">
        <v>400</v>
      </c>
      <c r="Q1323" s="783">
        <v>765.12</v>
      </c>
      <c r="R1323" s="783">
        <v>574.02</v>
      </c>
      <c r="S1323" s="783">
        <v>4.34</v>
      </c>
      <c r="T1323" s="783">
        <v>186.76</v>
      </c>
      <c r="U1323" s="785">
        <v>44705.654282407399</v>
      </c>
    </row>
    <row r="1324" spans="1:21">
      <c r="A1324" s="782">
        <v>44686</v>
      </c>
      <c r="B1324" s="783" t="s">
        <v>41</v>
      </c>
      <c r="C1324" s="783" t="s">
        <v>4139</v>
      </c>
      <c r="D1324" s="783" t="s">
        <v>4009</v>
      </c>
      <c r="E1324" s="783" t="s">
        <v>5099</v>
      </c>
      <c r="F1324" s="783" t="s">
        <v>4011</v>
      </c>
      <c r="G1324" s="783" t="str">
        <f t="shared" si="74"/>
        <v>New Contract</v>
      </c>
      <c r="H1324" s="783" t="s">
        <v>5100</v>
      </c>
      <c r="I1324" s="783" t="s">
        <v>5101</v>
      </c>
      <c r="J1324" s="783">
        <v>20</v>
      </c>
      <c r="K1324" s="783" t="s">
        <v>27</v>
      </c>
      <c r="L1324" s="783" t="s">
        <v>4096</v>
      </c>
      <c r="M1324" s="784">
        <v>55401</v>
      </c>
      <c r="N1324" s="784">
        <v>37.56</v>
      </c>
      <c r="O1324" s="784">
        <v>2.95</v>
      </c>
      <c r="P1324" s="783">
        <v>500</v>
      </c>
      <c r="Q1324" s="783">
        <v>5800.48</v>
      </c>
      <c r="R1324" s="783">
        <v>2551.33</v>
      </c>
      <c r="S1324" s="783">
        <v>1049.74</v>
      </c>
      <c r="T1324" s="783">
        <v>2199.42</v>
      </c>
      <c r="U1324" s="785">
        <v>44687.631249999999</v>
      </c>
    </row>
    <row r="1325" spans="1:21">
      <c r="A1325" s="782">
        <v>44685</v>
      </c>
      <c r="B1325" s="783" t="s">
        <v>51</v>
      </c>
      <c r="C1325" s="783" t="s">
        <v>4796</v>
      </c>
      <c r="D1325" s="783" t="s">
        <v>4016</v>
      </c>
      <c r="E1325" s="783" t="s">
        <v>5105</v>
      </c>
      <c r="F1325" s="783" t="s">
        <v>4011</v>
      </c>
      <c r="G1325" s="783" t="str">
        <f t="shared" si="74"/>
        <v>Renewal (20% in 2020)</v>
      </c>
      <c r="H1325" s="783" t="s">
        <v>5106</v>
      </c>
      <c r="I1325" s="783" t="s">
        <v>5107</v>
      </c>
      <c r="J1325" s="783">
        <v>20</v>
      </c>
      <c r="K1325" s="783" t="s">
        <v>27</v>
      </c>
      <c r="L1325" s="783" t="s">
        <v>4096</v>
      </c>
      <c r="M1325" s="784">
        <v>12652.64</v>
      </c>
      <c r="N1325" s="784">
        <v>10.27</v>
      </c>
      <c r="O1325" s="784">
        <v>3.52</v>
      </c>
      <c r="P1325" s="783">
        <v>350</v>
      </c>
      <c r="Q1325" s="783">
        <v>1180.49</v>
      </c>
      <c r="R1325" s="783">
        <v>614.91999999999996</v>
      </c>
      <c r="S1325" s="783">
        <v>88.57</v>
      </c>
      <c r="T1325" s="783">
        <v>477</v>
      </c>
      <c r="U1325" s="785">
        <v>44685.660266203697</v>
      </c>
    </row>
    <row r="1326" spans="1:21">
      <c r="A1326" s="782">
        <v>44687</v>
      </c>
      <c r="B1326" s="783" t="s">
        <v>41</v>
      </c>
      <c r="C1326" s="783" t="s">
        <v>4082</v>
      </c>
      <c r="D1326" s="783" t="s">
        <v>4009</v>
      </c>
      <c r="E1326" s="783" t="s">
        <v>1515</v>
      </c>
      <c r="F1326" s="783" t="s">
        <v>4011</v>
      </c>
      <c r="G1326" s="783" t="str">
        <f t="shared" si="74"/>
        <v>Renewal (15% in 2020)</v>
      </c>
      <c r="H1326" s="783" t="s">
        <v>5108</v>
      </c>
      <c r="I1326" s="783" t="s">
        <v>5109</v>
      </c>
      <c r="J1326" s="783">
        <v>15</v>
      </c>
      <c r="K1326" s="783" t="s">
        <v>27</v>
      </c>
      <c r="L1326" s="783" t="s">
        <v>4096</v>
      </c>
      <c r="M1326" s="784">
        <v>7824.87</v>
      </c>
      <c r="N1326" s="784">
        <v>6.75</v>
      </c>
      <c r="O1326" s="784">
        <v>2.92</v>
      </c>
      <c r="P1326" s="783">
        <v>397</v>
      </c>
      <c r="Q1326" s="783">
        <v>830.22</v>
      </c>
      <c r="R1326" s="783">
        <v>317.69</v>
      </c>
      <c r="S1326" s="783">
        <v>78.25</v>
      </c>
      <c r="T1326" s="783">
        <v>434.28</v>
      </c>
      <c r="U1326" s="785">
        <v>44690.597314814797</v>
      </c>
    </row>
    <row r="1327" spans="1:21">
      <c r="A1327" s="782">
        <v>44686</v>
      </c>
      <c r="B1327" s="783" t="s">
        <v>41</v>
      </c>
      <c r="C1327" s="783" t="s">
        <v>4071</v>
      </c>
      <c r="D1327" s="783" t="s">
        <v>4009</v>
      </c>
      <c r="E1327" s="783" t="s">
        <v>505</v>
      </c>
      <c r="F1327" s="783" t="s">
        <v>4011</v>
      </c>
      <c r="G1327" s="783" t="str">
        <f t="shared" si="74"/>
        <v>Renewal (15% in 2020)</v>
      </c>
      <c r="H1327" s="783" t="s">
        <v>4112</v>
      </c>
      <c r="I1327" s="783" t="s">
        <v>4113</v>
      </c>
      <c r="J1327" s="783">
        <v>15</v>
      </c>
      <c r="K1327" s="783" t="s">
        <v>27</v>
      </c>
      <c r="L1327" s="783" t="s">
        <v>4096</v>
      </c>
      <c r="M1327" s="784">
        <v>13963.48</v>
      </c>
      <c r="N1327" s="784">
        <v>12.79</v>
      </c>
      <c r="O1327" s="784">
        <v>2.75</v>
      </c>
      <c r="P1327" s="783">
        <v>397</v>
      </c>
      <c r="Q1327" s="783">
        <v>1584.86</v>
      </c>
      <c r="R1327" s="783">
        <v>670.25</v>
      </c>
      <c r="S1327" s="783">
        <v>82.38</v>
      </c>
      <c r="T1327" s="783">
        <v>832.22</v>
      </c>
      <c r="U1327" s="785">
        <v>44687.621041666702</v>
      </c>
    </row>
    <row r="1328" spans="1:21">
      <c r="A1328" s="782">
        <v>44687</v>
      </c>
      <c r="B1328" s="783" t="s">
        <v>51</v>
      </c>
      <c r="C1328" s="783" t="s">
        <v>4042</v>
      </c>
      <c r="D1328" s="783" t="s">
        <v>4016</v>
      </c>
      <c r="E1328" s="783" t="s">
        <v>908</v>
      </c>
      <c r="F1328" s="783" t="s">
        <v>4011</v>
      </c>
      <c r="G1328" s="783" t="str">
        <f t="shared" si="74"/>
        <v>Renewal (20% in 2020)</v>
      </c>
      <c r="H1328" s="783" t="s">
        <v>5110</v>
      </c>
      <c r="I1328" s="783" t="s">
        <v>5111</v>
      </c>
      <c r="J1328" s="783">
        <v>20</v>
      </c>
      <c r="K1328" s="783" t="s">
        <v>27</v>
      </c>
      <c r="L1328" s="783" t="s">
        <v>4096</v>
      </c>
      <c r="M1328" s="784">
        <v>38734.089999999997</v>
      </c>
      <c r="N1328" s="784">
        <v>37.229999999999997</v>
      </c>
      <c r="O1328" s="784">
        <v>3.06</v>
      </c>
      <c r="P1328" s="783">
        <v>340</v>
      </c>
      <c r="Q1328" s="783">
        <v>3699.11</v>
      </c>
      <c r="R1328" s="783">
        <v>1917.34</v>
      </c>
      <c r="S1328" s="783">
        <v>271.14</v>
      </c>
      <c r="T1328" s="783">
        <v>1510.63</v>
      </c>
      <c r="U1328" s="785">
        <v>44687.673564814802</v>
      </c>
    </row>
    <row r="1329" spans="1:21">
      <c r="A1329" s="782">
        <v>44692</v>
      </c>
      <c r="B1329" s="783" t="s">
        <v>30</v>
      </c>
      <c r="C1329" s="783" t="s">
        <v>4239</v>
      </c>
      <c r="D1329" s="783" t="s">
        <v>4021</v>
      </c>
      <c r="E1329" s="783" t="s">
        <v>5112</v>
      </c>
      <c r="F1329" s="783" t="s">
        <v>4011</v>
      </c>
      <c r="G1329" s="783" t="str">
        <f t="shared" si="74"/>
        <v>Renewal (30% in 2020)</v>
      </c>
      <c r="H1329" s="783" t="s">
        <v>5113</v>
      </c>
      <c r="I1329" s="783" t="s">
        <v>5114</v>
      </c>
      <c r="J1329" s="783">
        <v>25</v>
      </c>
      <c r="K1329" s="783" t="s">
        <v>27</v>
      </c>
      <c r="L1329" s="783" t="s">
        <v>4096</v>
      </c>
      <c r="M1329" s="784">
        <v>16409.25</v>
      </c>
      <c r="N1329" s="784">
        <v>9.35</v>
      </c>
      <c r="O1329" s="784">
        <v>3.9</v>
      </c>
      <c r="P1329" s="783">
        <v>450</v>
      </c>
      <c r="Q1329" s="783">
        <v>1158.49</v>
      </c>
      <c r="R1329" s="783">
        <v>574.72</v>
      </c>
      <c r="S1329" s="783">
        <v>288.41000000000003</v>
      </c>
      <c r="T1329" s="783">
        <v>295.37</v>
      </c>
      <c r="U1329" s="785">
        <v>44692.484965277799</v>
      </c>
    </row>
    <row r="1330" spans="1:21">
      <c r="A1330" s="782">
        <v>44685</v>
      </c>
      <c r="B1330" s="783" t="s">
        <v>47</v>
      </c>
      <c r="C1330" s="783" t="s">
        <v>4244</v>
      </c>
      <c r="D1330" s="783" t="s">
        <v>4102</v>
      </c>
      <c r="E1330" s="783" t="s">
        <v>425</v>
      </c>
      <c r="F1330" s="783" t="s">
        <v>4011</v>
      </c>
      <c r="G1330" s="783" t="str">
        <f t="shared" si="74"/>
        <v>Renewal (30% in 2020)</v>
      </c>
      <c r="H1330" s="783" t="s">
        <v>4245</v>
      </c>
      <c r="I1330" s="783" t="s">
        <v>4246</v>
      </c>
      <c r="J1330" s="783">
        <v>30</v>
      </c>
      <c r="K1330" s="783" t="s">
        <v>27</v>
      </c>
      <c r="L1330" s="783" t="s">
        <v>4096</v>
      </c>
      <c r="M1330" s="784">
        <v>24948</v>
      </c>
      <c r="N1330" s="784">
        <v>19.8</v>
      </c>
      <c r="O1330" s="784">
        <v>3.5</v>
      </c>
      <c r="P1330" s="783">
        <v>360</v>
      </c>
      <c r="Q1330" s="783">
        <v>1427.03</v>
      </c>
      <c r="R1330" s="783">
        <v>1027.8599999999999</v>
      </c>
      <c r="S1330" s="783">
        <v>0</v>
      </c>
      <c r="T1330" s="783">
        <v>399.17</v>
      </c>
      <c r="U1330" s="785">
        <v>44685.419155092597</v>
      </c>
    </row>
    <row r="1331" spans="1:21">
      <c r="A1331" s="782">
        <v>44685</v>
      </c>
      <c r="B1331" s="783" t="s">
        <v>4025</v>
      </c>
      <c r="C1331" s="783" t="s">
        <v>4026</v>
      </c>
      <c r="D1331" s="783" t="s">
        <v>4021</v>
      </c>
      <c r="E1331" s="783" t="s">
        <v>4114</v>
      </c>
      <c r="F1331" s="783" t="s">
        <v>4011</v>
      </c>
      <c r="G1331" s="783" t="s">
        <v>4028</v>
      </c>
      <c r="H1331" s="783" t="s">
        <v>4115</v>
      </c>
      <c r="I1331" s="783" t="s">
        <v>4116</v>
      </c>
      <c r="J1331" s="783">
        <v>25</v>
      </c>
      <c r="K1331" s="783" t="s">
        <v>27</v>
      </c>
      <c r="L1331" s="783" t="s">
        <v>4096</v>
      </c>
      <c r="M1331" s="784">
        <v>25524.14</v>
      </c>
      <c r="N1331" s="784">
        <v>18.97</v>
      </c>
      <c r="O1331" s="784">
        <v>2.99</v>
      </c>
      <c r="P1331" s="783">
        <v>450</v>
      </c>
      <c r="Q1331" s="783">
        <v>1365.54</v>
      </c>
      <c r="R1331" s="783">
        <v>662.03</v>
      </c>
      <c r="S1331" s="783">
        <v>343.62</v>
      </c>
      <c r="T1331" s="783">
        <v>359.89</v>
      </c>
      <c r="U1331" s="785">
        <v>44685.413182870398</v>
      </c>
    </row>
    <row r="1332" spans="1:21">
      <c r="A1332" s="782">
        <v>44684</v>
      </c>
      <c r="B1332" s="783" t="s">
        <v>4025</v>
      </c>
      <c r="C1332" s="783" t="s">
        <v>4026</v>
      </c>
      <c r="D1332" s="783" t="s">
        <v>4021</v>
      </c>
      <c r="E1332" s="783" t="s">
        <v>5117</v>
      </c>
      <c r="F1332" s="783" t="s">
        <v>4011</v>
      </c>
      <c r="G1332" s="783" t="str">
        <f t="shared" ref="G1332:G1356" si="75">VLOOKUP(I1332,pacage,2,FALSE)</f>
        <v>New Contract</v>
      </c>
      <c r="H1332" s="783" t="s">
        <v>5118</v>
      </c>
      <c r="I1332" s="783" t="s">
        <v>5119</v>
      </c>
      <c r="J1332" s="783">
        <v>25</v>
      </c>
      <c r="K1332" s="783" t="s">
        <v>27</v>
      </c>
      <c r="L1332" s="783" t="s">
        <v>4096</v>
      </c>
      <c r="M1332" s="784">
        <v>18094.439999999999</v>
      </c>
      <c r="N1332" s="784">
        <v>16.57</v>
      </c>
      <c r="O1332" s="784">
        <v>2.6</v>
      </c>
      <c r="P1332" s="783">
        <v>420</v>
      </c>
      <c r="Q1332" s="783">
        <v>968.05</v>
      </c>
      <c r="R1332" s="783">
        <v>502.84</v>
      </c>
      <c r="S1332" s="783">
        <v>210.08</v>
      </c>
      <c r="T1332" s="783">
        <v>255.13</v>
      </c>
      <c r="U1332" s="785">
        <v>44685.446539351899</v>
      </c>
    </row>
    <row r="1333" spans="1:21">
      <c r="A1333" s="782">
        <v>44681</v>
      </c>
      <c r="B1333" s="783" t="s">
        <v>4025</v>
      </c>
      <c r="C1333" s="783" t="s">
        <v>4026</v>
      </c>
      <c r="D1333" s="783" t="s">
        <v>4021</v>
      </c>
      <c r="E1333" s="783" t="s">
        <v>5123</v>
      </c>
      <c r="F1333" s="783" t="s">
        <v>4011</v>
      </c>
      <c r="G1333" s="783" t="str">
        <f t="shared" si="75"/>
        <v>New Contract</v>
      </c>
      <c r="H1333" s="783" t="s">
        <v>5124</v>
      </c>
      <c r="I1333" s="783" t="s">
        <v>5125</v>
      </c>
      <c r="J1333" s="783">
        <v>20</v>
      </c>
      <c r="K1333" s="783" t="s">
        <v>27</v>
      </c>
      <c r="L1333" s="783" t="s">
        <v>4096</v>
      </c>
      <c r="M1333" s="784">
        <v>63744.03</v>
      </c>
      <c r="N1333" s="784">
        <v>42.59</v>
      </c>
      <c r="O1333" s="784">
        <v>2.9</v>
      </c>
      <c r="P1333" s="783">
        <v>516.1</v>
      </c>
      <c r="Q1333" s="783">
        <v>4238.9799999999996</v>
      </c>
      <c r="R1333" s="783">
        <v>1441.6</v>
      </c>
      <c r="S1333" s="783">
        <v>1069.92</v>
      </c>
      <c r="T1333" s="783">
        <v>1727.46</v>
      </c>
      <c r="U1333" s="785">
        <v>44701.992164351897</v>
      </c>
    </row>
    <row r="1334" spans="1:21">
      <c r="A1334" s="782">
        <v>44684</v>
      </c>
      <c r="B1334" s="783" t="s">
        <v>41</v>
      </c>
      <c r="C1334" s="783" t="s">
        <v>4092</v>
      </c>
      <c r="D1334" s="783" t="s">
        <v>4009</v>
      </c>
      <c r="E1334" s="783" t="s">
        <v>4569</v>
      </c>
      <c r="F1334" s="783" t="s">
        <v>4011</v>
      </c>
      <c r="G1334" s="783" t="str">
        <f t="shared" si="75"/>
        <v>Renewal (20% in 2020)</v>
      </c>
      <c r="H1334" s="783" t="s">
        <v>4570</v>
      </c>
      <c r="I1334" s="783" t="s">
        <v>4571</v>
      </c>
      <c r="J1334" s="783">
        <v>20</v>
      </c>
      <c r="K1334" s="783" t="s">
        <v>27</v>
      </c>
      <c r="L1334" s="783" t="s">
        <v>4096</v>
      </c>
      <c r="M1334" s="784">
        <v>29427.69</v>
      </c>
      <c r="N1334" s="784">
        <v>21.28</v>
      </c>
      <c r="O1334" s="784">
        <v>2.68</v>
      </c>
      <c r="P1334" s="783">
        <v>516</v>
      </c>
      <c r="Q1334" s="783">
        <v>2351.27</v>
      </c>
      <c r="R1334" s="783">
        <v>912.44</v>
      </c>
      <c r="S1334" s="783">
        <v>558.95000000000005</v>
      </c>
      <c r="T1334" s="783">
        <v>879.89</v>
      </c>
      <c r="U1334" s="785">
        <v>44685.412025463003</v>
      </c>
    </row>
    <row r="1335" spans="1:21">
      <c r="A1335" s="782">
        <v>44697</v>
      </c>
      <c r="B1335" s="783" t="s">
        <v>51</v>
      </c>
      <c r="C1335" s="783" t="s">
        <v>4042</v>
      </c>
      <c r="D1335" s="783" t="s">
        <v>4016</v>
      </c>
      <c r="E1335" s="783" t="s">
        <v>2427</v>
      </c>
      <c r="F1335" s="783" t="s">
        <v>4011</v>
      </c>
      <c r="G1335" s="783" t="str">
        <f t="shared" si="75"/>
        <v>Renewal (20% in 2020)</v>
      </c>
      <c r="H1335" s="783" t="s">
        <v>5126</v>
      </c>
      <c r="I1335" s="783" t="s">
        <v>5127</v>
      </c>
      <c r="J1335" s="783">
        <v>20</v>
      </c>
      <c r="K1335" s="783" t="s">
        <v>27</v>
      </c>
      <c r="L1335" s="783" t="s">
        <v>4096</v>
      </c>
      <c r="M1335" s="784">
        <v>14838.27</v>
      </c>
      <c r="N1335" s="784">
        <v>12.8</v>
      </c>
      <c r="O1335" s="784">
        <v>2.92</v>
      </c>
      <c r="P1335" s="783">
        <v>397</v>
      </c>
      <c r="Q1335" s="783">
        <v>1417.05</v>
      </c>
      <c r="R1335" s="783">
        <v>734.49</v>
      </c>
      <c r="S1335" s="783">
        <v>103.87</v>
      </c>
      <c r="T1335" s="783">
        <v>578.69000000000005</v>
      </c>
      <c r="U1335" s="785">
        <v>44698.485787037003</v>
      </c>
    </row>
    <row r="1336" spans="1:21">
      <c r="A1336" s="782">
        <v>44690</v>
      </c>
      <c r="B1336" s="783" t="s">
        <v>41</v>
      </c>
      <c r="C1336" s="783" t="s">
        <v>4071</v>
      </c>
      <c r="D1336" s="783" t="s">
        <v>4009</v>
      </c>
      <c r="E1336" s="783" t="s">
        <v>1477</v>
      </c>
      <c r="F1336" s="783" t="s">
        <v>4011</v>
      </c>
      <c r="G1336" s="783" t="str">
        <f t="shared" si="75"/>
        <v>Renewal (15% in 2020)</v>
      </c>
      <c r="H1336" s="783" t="s">
        <v>5128</v>
      </c>
      <c r="I1336" s="783" t="s">
        <v>5129</v>
      </c>
      <c r="J1336" s="783">
        <v>15</v>
      </c>
      <c r="K1336" s="783" t="s">
        <v>27</v>
      </c>
      <c r="L1336" s="783" t="s">
        <v>4096</v>
      </c>
      <c r="M1336" s="784">
        <v>44535.93</v>
      </c>
      <c r="N1336" s="784">
        <v>40.93</v>
      </c>
      <c r="O1336" s="784">
        <v>2.79</v>
      </c>
      <c r="P1336" s="783">
        <v>390</v>
      </c>
      <c r="Q1336" s="783">
        <v>5054.83</v>
      </c>
      <c r="R1336" s="783">
        <v>2137.7199999999998</v>
      </c>
      <c r="S1336" s="783">
        <v>262.76</v>
      </c>
      <c r="T1336" s="783">
        <v>2654.34</v>
      </c>
      <c r="U1336" s="785">
        <v>44690.681192129603</v>
      </c>
    </row>
    <row r="1337" spans="1:21">
      <c r="A1337" s="782">
        <v>44697</v>
      </c>
      <c r="B1337" s="783" t="s">
        <v>41</v>
      </c>
      <c r="C1337" s="783" t="s">
        <v>4082</v>
      </c>
      <c r="D1337" s="783" t="s">
        <v>4009</v>
      </c>
      <c r="E1337" s="783" t="s">
        <v>5132</v>
      </c>
      <c r="F1337" s="783" t="s">
        <v>4011</v>
      </c>
      <c r="G1337" s="783" t="str">
        <f t="shared" si="75"/>
        <v>Renewal (15% in 2020)</v>
      </c>
      <c r="H1337" s="783" t="s">
        <v>5133</v>
      </c>
      <c r="I1337" s="783" t="s">
        <v>5134</v>
      </c>
      <c r="J1337" s="783">
        <v>20</v>
      </c>
      <c r="K1337" s="783" t="s">
        <v>27</v>
      </c>
      <c r="L1337" s="783" t="s">
        <v>4096</v>
      </c>
      <c r="M1337" s="784">
        <v>11010.83</v>
      </c>
      <c r="N1337" s="784">
        <v>8.23</v>
      </c>
      <c r="O1337" s="784">
        <v>3.37</v>
      </c>
      <c r="P1337" s="783">
        <v>397</v>
      </c>
      <c r="Q1337" s="783">
        <v>895.18</v>
      </c>
      <c r="R1337" s="783">
        <v>447.04</v>
      </c>
      <c r="S1337" s="783">
        <v>110.11</v>
      </c>
      <c r="T1337" s="783">
        <v>338.03</v>
      </c>
      <c r="U1337" s="785">
        <v>44705.6020138889</v>
      </c>
    </row>
    <row r="1338" spans="1:21">
      <c r="A1338" s="782">
        <v>44687</v>
      </c>
      <c r="B1338" s="783" t="s">
        <v>41</v>
      </c>
      <c r="C1338" s="783" t="s">
        <v>4092</v>
      </c>
      <c r="D1338" s="783" t="s">
        <v>4009</v>
      </c>
      <c r="E1338" s="783" t="s">
        <v>404</v>
      </c>
      <c r="F1338" s="783" t="s">
        <v>4011</v>
      </c>
      <c r="G1338" s="783" t="str">
        <f t="shared" si="75"/>
        <v>Renewal (15% in 2020)</v>
      </c>
      <c r="H1338" s="783" t="s">
        <v>5135</v>
      </c>
      <c r="I1338" s="783" t="s">
        <v>5136</v>
      </c>
      <c r="J1338" s="783">
        <v>15</v>
      </c>
      <c r="K1338" s="783" t="s">
        <v>27</v>
      </c>
      <c r="L1338" s="783" t="s">
        <v>4096</v>
      </c>
      <c r="M1338" s="784">
        <v>22908.92</v>
      </c>
      <c r="N1338" s="784">
        <v>15.43</v>
      </c>
      <c r="O1338" s="784">
        <v>3.03</v>
      </c>
      <c r="P1338" s="783">
        <v>490</v>
      </c>
      <c r="Q1338" s="783">
        <v>2389.4</v>
      </c>
      <c r="R1338" s="783">
        <v>748</v>
      </c>
      <c r="S1338" s="783">
        <v>397.44</v>
      </c>
      <c r="T1338" s="783">
        <v>1243.95</v>
      </c>
      <c r="U1338" s="785">
        <v>44687.593981481499</v>
      </c>
    </row>
    <row r="1339" spans="1:21">
      <c r="A1339" s="782">
        <v>44687</v>
      </c>
      <c r="B1339" s="783" t="s">
        <v>228</v>
      </c>
      <c r="C1339" s="783" t="s">
        <v>4247</v>
      </c>
      <c r="D1339" s="783" t="s">
        <v>4248</v>
      </c>
      <c r="E1339" s="783" t="s">
        <v>3566</v>
      </c>
      <c r="F1339" s="783" t="s">
        <v>4011</v>
      </c>
      <c r="G1339" s="783" t="str">
        <f t="shared" si="75"/>
        <v>Renewal (25% in 2020)</v>
      </c>
      <c r="H1339" s="783" t="s">
        <v>4249</v>
      </c>
      <c r="I1339" s="783" t="s">
        <v>4250</v>
      </c>
      <c r="J1339" s="783">
        <v>25</v>
      </c>
      <c r="K1339" s="783" t="s">
        <v>27</v>
      </c>
      <c r="L1339" s="783" t="s">
        <v>4096</v>
      </c>
      <c r="M1339" s="784">
        <v>43383.68</v>
      </c>
      <c r="N1339" s="784">
        <v>26.03</v>
      </c>
      <c r="O1339" s="784">
        <v>3.23</v>
      </c>
      <c r="P1339" s="783">
        <v>516</v>
      </c>
      <c r="Q1339" s="783">
        <v>2893.69</v>
      </c>
      <c r="R1339" s="783">
        <v>1485.34</v>
      </c>
      <c r="S1339" s="783">
        <v>701.19</v>
      </c>
      <c r="T1339" s="783">
        <v>707.15</v>
      </c>
      <c r="U1339" s="785">
        <v>44687.670960648102</v>
      </c>
    </row>
    <row r="1340" spans="1:21">
      <c r="A1340" s="782">
        <v>44691</v>
      </c>
      <c r="B1340" s="783" t="s">
        <v>30</v>
      </c>
      <c r="C1340" s="783" t="s">
        <v>4239</v>
      </c>
      <c r="D1340" s="783" t="s">
        <v>4021</v>
      </c>
      <c r="E1340" s="783" t="s">
        <v>5137</v>
      </c>
      <c r="F1340" s="783" t="s">
        <v>4011</v>
      </c>
      <c r="G1340" s="783" t="str">
        <f t="shared" si="75"/>
        <v>Renewal (30% in 2020)</v>
      </c>
      <c r="H1340" s="783" t="s">
        <v>5138</v>
      </c>
      <c r="I1340" s="783" t="s">
        <v>5139</v>
      </c>
      <c r="J1340" s="783">
        <v>30</v>
      </c>
      <c r="K1340" s="783" t="s">
        <v>27</v>
      </c>
      <c r="L1340" s="783" t="s">
        <v>4096</v>
      </c>
      <c r="M1340" s="784">
        <v>60997.22</v>
      </c>
      <c r="N1340" s="784">
        <v>35.479999999999997</v>
      </c>
      <c r="O1340" s="784">
        <v>3.07</v>
      </c>
      <c r="P1340" s="783">
        <v>560</v>
      </c>
      <c r="Q1340" s="783">
        <v>3519.54</v>
      </c>
      <c r="R1340" s="783">
        <v>1716.73</v>
      </c>
      <c r="S1340" s="783">
        <v>704.86</v>
      </c>
      <c r="T1340" s="783">
        <v>1097.95</v>
      </c>
      <c r="U1340" s="785">
        <v>44692.462071759299</v>
      </c>
    </row>
    <row r="1341" spans="1:21">
      <c r="A1341" s="782">
        <v>44690</v>
      </c>
      <c r="B1341" s="783" t="s">
        <v>41</v>
      </c>
      <c r="C1341" s="783" t="s">
        <v>4071</v>
      </c>
      <c r="D1341" s="783" t="s">
        <v>4009</v>
      </c>
      <c r="E1341" s="783" t="s">
        <v>1570</v>
      </c>
      <c r="F1341" s="783" t="s">
        <v>4011</v>
      </c>
      <c r="G1341" s="783" t="str">
        <f t="shared" si="75"/>
        <v>Renewal (30% in 2020)</v>
      </c>
      <c r="H1341" s="783" t="s">
        <v>5140</v>
      </c>
      <c r="I1341" s="783" t="s">
        <v>5141</v>
      </c>
      <c r="J1341" s="783">
        <v>30</v>
      </c>
      <c r="K1341" s="783" t="s">
        <v>27</v>
      </c>
      <c r="L1341" s="783" t="s">
        <v>4096</v>
      </c>
      <c r="M1341" s="784">
        <v>3641.4</v>
      </c>
      <c r="N1341" s="784">
        <v>3</v>
      </c>
      <c r="O1341" s="784">
        <v>2.89</v>
      </c>
      <c r="P1341" s="783">
        <v>420</v>
      </c>
      <c r="Q1341" s="783">
        <v>231.23</v>
      </c>
      <c r="R1341" s="783">
        <v>165.22</v>
      </c>
      <c r="S1341" s="783">
        <v>9.57</v>
      </c>
      <c r="T1341" s="783">
        <v>56.44</v>
      </c>
      <c r="U1341" s="785">
        <v>44691.507754629602</v>
      </c>
    </row>
    <row r="1342" spans="1:21">
      <c r="A1342" s="782">
        <v>44684</v>
      </c>
      <c r="B1342" s="783" t="s">
        <v>30</v>
      </c>
      <c r="C1342" s="783" t="s">
        <v>4239</v>
      </c>
      <c r="D1342" s="783" t="s">
        <v>4021</v>
      </c>
      <c r="E1342" s="783" t="s">
        <v>3496</v>
      </c>
      <c r="F1342" s="783" t="s">
        <v>4011</v>
      </c>
      <c r="G1342" s="783" t="str">
        <f t="shared" si="75"/>
        <v>Renewal (25% in 2020)</v>
      </c>
      <c r="H1342" s="783" t="s">
        <v>5142</v>
      </c>
      <c r="I1342" s="783" t="s">
        <v>5143</v>
      </c>
      <c r="J1342" s="783">
        <v>25</v>
      </c>
      <c r="K1342" s="783" t="s">
        <v>27</v>
      </c>
      <c r="L1342" s="783" t="s">
        <v>4096</v>
      </c>
      <c r="M1342" s="784">
        <v>14922.4</v>
      </c>
      <c r="N1342" s="784">
        <v>8.11</v>
      </c>
      <c r="O1342" s="784">
        <v>3.68</v>
      </c>
      <c r="P1342" s="783">
        <v>500</v>
      </c>
      <c r="Q1342" s="783">
        <v>1053.52</v>
      </c>
      <c r="R1342" s="783">
        <v>470.38</v>
      </c>
      <c r="S1342" s="783">
        <v>314.54000000000002</v>
      </c>
      <c r="T1342" s="783">
        <v>268.60000000000002</v>
      </c>
      <c r="U1342" s="785">
        <v>44685.453148148103</v>
      </c>
    </row>
    <row r="1343" spans="1:21">
      <c r="A1343" s="782">
        <v>44683</v>
      </c>
      <c r="B1343" s="783" t="s">
        <v>41</v>
      </c>
      <c r="C1343" s="783" t="s">
        <v>4071</v>
      </c>
      <c r="D1343" s="783" t="s">
        <v>4009</v>
      </c>
      <c r="E1343" s="783" t="s">
        <v>5147</v>
      </c>
      <c r="F1343" s="783" t="s">
        <v>4011</v>
      </c>
      <c r="G1343" s="783" t="str">
        <f t="shared" si="75"/>
        <v>Renewal (15% in 2020)</v>
      </c>
      <c r="H1343" s="783" t="s">
        <v>5148</v>
      </c>
      <c r="I1343" s="783" t="s">
        <v>5149</v>
      </c>
      <c r="J1343" s="783">
        <v>15</v>
      </c>
      <c r="K1343" s="783" t="s">
        <v>27</v>
      </c>
      <c r="L1343" s="783" t="s">
        <v>4096</v>
      </c>
      <c r="M1343" s="784">
        <v>23570.400000000001</v>
      </c>
      <c r="N1343" s="784">
        <v>27.6</v>
      </c>
      <c r="O1343" s="784">
        <v>2.44</v>
      </c>
      <c r="P1343" s="783">
        <v>350</v>
      </c>
      <c r="Q1343" s="783">
        <v>2675.24</v>
      </c>
      <c r="R1343" s="783">
        <v>1131.3800000000001</v>
      </c>
      <c r="S1343" s="783">
        <v>139.07</v>
      </c>
      <c r="T1343" s="783">
        <v>1404.8</v>
      </c>
      <c r="U1343" s="785">
        <v>44684.411226851902</v>
      </c>
    </row>
    <row r="1344" spans="1:21">
      <c r="A1344" s="782">
        <v>44685</v>
      </c>
      <c r="B1344" s="783" t="s">
        <v>47</v>
      </c>
      <c r="C1344" s="783" t="s">
        <v>4251</v>
      </c>
      <c r="D1344" s="783" t="s">
        <v>4193</v>
      </c>
      <c r="E1344" s="783" t="s">
        <v>1933</v>
      </c>
      <c r="F1344" s="783" t="s">
        <v>4011</v>
      </c>
      <c r="G1344" s="783" t="str">
        <f t="shared" si="75"/>
        <v>Renewal (25% in 2020)</v>
      </c>
      <c r="H1344" s="783" t="s">
        <v>4252</v>
      </c>
      <c r="I1344" s="783" t="s">
        <v>4253</v>
      </c>
      <c r="J1344" s="783">
        <v>25</v>
      </c>
      <c r="K1344" s="783" t="s">
        <v>27</v>
      </c>
      <c r="L1344" s="783" t="s">
        <v>4096</v>
      </c>
      <c r="M1344" s="784">
        <v>54316.800000000003</v>
      </c>
      <c r="N1344" s="784">
        <v>39.36</v>
      </c>
      <c r="O1344" s="784">
        <v>3.45</v>
      </c>
      <c r="P1344" s="783">
        <v>400</v>
      </c>
      <c r="Q1344" s="783">
        <v>3079.76</v>
      </c>
      <c r="R1344" s="783">
        <v>2010.82</v>
      </c>
      <c r="S1344" s="783">
        <v>297.64</v>
      </c>
      <c r="T1344" s="783">
        <v>771.3</v>
      </c>
      <c r="U1344" s="785">
        <v>44685.4144212963</v>
      </c>
    </row>
    <row r="1345" spans="1:21">
      <c r="A1345" s="782">
        <v>44686</v>
      </c>
      <c r="B1345" s="783" t="s">
        <v>51</v>
      </c>
      <c r="C1345" s="783" t="s">
        <v>4042</v>
      </c>
      <c r="D1345" s="783" t="s">
        <v>4016</v>
      </c>
      <c r="E1345" s="783" t="s">
        <v>120</v>
      </c>
      <c r="F1345" s="783" t="s">
        <v>4011</v>
      </c>
      <c r="G1345" s="783" t="str">
        <f t="shared" si="75"/>
        <v>Renewal (20% in 2020)</v>
      </c>
      <c r="H1345" s="783" t="s">
        <v>5150</v>
      </c>
      <c r="I1345" s="783" t="s">
        <v>5151</v>
      </c>
      <c r="J1345" s="783">
        <v>20</v>
      </c>
      <c r="K1345" s="783" t="s">
        <v>27</v>
      </c>
      <c r="L1345" s="783" t="s">
        <v>4096</v>
      </c>
      <c r="M1345" s="784">
        <v>11092.62</v>
      </c>
      <c r="N1345" s="784">
        <v>10.78</v>
      </c>
      <c r="O1345" s="784">
        <v>2.94</v>
      </c>
      <c r="P1345" s="783">
        <v>350</v>
      </c>
      <c r="Q1345" s="783">
        <v>1059.3499999999999</v>
      </c>
      <c r="R1345" s="783">
        <v>549.08000000000004</v>
      </c>
      <c r="S1345" s="783">
        <v>77.650000000000006</v>
      </c>
      <c r="T1345" s="783">
        <v>432.61</v>
      </c>
      <c r="U1345" s="785">
        <v>44687.624166666697</v>
      </c>
    </row>
    <row r="1346" spans="1:21">
      <c r="A1346" s="782">
        <v>44685</v>
      </c>
      <c r="B1346" s="783" t="s">
        <v>47</v>
      </c>
      <c r="C1346" s="783" t="s">
        <v>4251</v>
      </c>
      <c r="D1346" s="783" t="s">
        <v>4193</v>
      </c>
      <c r="E1346" s="783" t="s">
        <v>4254</v>
      </c>
      <c r="F1346" s="783" t="s">
        <v>4011</v>
      </c>
      <c r="G1346" s="783" t="str">
        <f t="shared" si="75"/>
        <v>Renewal (25% in 2020)</v>
      </c>
      <c r="H1346" s="783" t="s">
        <v>4255</v>
      </c>
      <c r="I1346" s="783" t="s">
        <v>4256</v>
      </c>
      <c r="J1346" s="783">
        <v>25</v>
      </c>
      <c r="K1346" s="783" t="s">
        <v>27</v>
      </c>
      <c r="L1346" s="783" t="s">
        <v>4096</v>
      </c>
      <c r="M1346" s="784">
        <v>148815.6</v>
      </c>
      <c r="N1346" s="784">
        <v>115.9</v>
      </c>
      <c r="O1346" s="784">
        <v>3.21</v>
      </c>
      <c r="P1346" s="783">
        <v>400</v>
      </c>
      <c r="Q1346" s="783">
        <v>8437.84</v>
      </c>
      <c r="R1346" s="783">
        <v>5509.19</v>
      </c>
      <c r="S1346" s="783">
        <v>815.47</v>
      </c>
      <c r="T1346" s="783">
        <v>2113.1799999999998</v>
      </c>
      <c r="U1346" s="785">
        <v>44685.416157407402</v>
      </c>
    </row>
    <row r="1347" spans="1:21">
      <c r="A1347" s="782">
        <v>44684</v>
      </c>
      <c r="B1347" s="783" t="s">
        <v>41</v>
      </c>
      <c r="C1347" s="783" t="s">
        <v>4092</v>
      </c>
      <c r="D1347" s="783" t="s">
        <v>4009</v>
      </c>
      <c r="E1347" s="783" t="s">
        <v>601</v>
      </c>
      <c r="F1347" s="783" t="s">
        <v>4011</v>
      </c>
      <c r="G1347" s="783" t="str">
        <f t="shared" si="75"/>
        <v>Renewal (20% in 2020)</v>
      </c>
      <c r="H1347" s="783" t="s">
        <v>5152</v>
      </c>
      <c r="I1347" s="783" t="s">
        <v>5153</v>
      </c>
      <c r="J1347" s="783">
        <v>20</v>
      </c>
      <c r="K1347" s="783" t="s">
        <v>27</v>
      </c>
      <c r="L1347" s="783" t="s">
        <v>4096</v>
      </c>
      <c r="M1347" s="784">
        <v>27573.29</v>
      </c>
      <c r="N1347" s="784">
        <v>22.89</v>
      </c>
      <c r="O1347" s="784">
        <v>3.17</v>
      </c>
      <c r="P1347" s="783">
        <v>380</v>
      </c>
      <c r="Q1347" s="783">
        <v>2203.11</v>
      </c>
      <c r="R1347" s="783">
        <v>1111.2</v>
      </c>
      <c r="S1347" s="783">
        <v>267.45999999999998</v>
      </c>
      <c r="T1347" s="783">
        <v>824.44</v>
      </c>
      <c r="U1347" s="785">
        <v>44685.408287036997</v>
      </c>
    </row>
    <row r="1348" spans="1:21">
      <c r="A1348" s="782">
        <v>44683</v>
      </c>
      <c r="B1348" s="783" t="s">
        <v>51</v>
      </c>
      <c r="C1348" s="783" t="s">
        <v>4042</v>
      </c>
      <c r="D1348" s="783" t="s">
        <v>4016</v>
      </c>
      <c r="E1348" s="783" t="s">
        <v>5154</v>
      </c>
      <c r="F1348" s="783" t="s">
        <v>4011</v>
      </c>
      <c r="G1348" s="783" t="str">
        <f t="shared" si="75"/>
        <v>New Contract</v>
      </c>
      <c r="H1348" s="783" t="s">
        <v>5155</v>
      </c>
      <c r="I1348" s="783" t="s">
        <v>5156</v>
      </c>
      <c r="J1348" s="783">
        <v>25</v>
      </c>
      <c r="K1348" s="783" t="s">
        <v>27</v>
      </c>
      <c r="L1348" s="783" t="s">
        <v>4096</v>
      </c>
      <c r="M1348" s="784">
        <v>69186.649999999994</v>
      </c>
      <c r="N1348" s="784">
        <v>60.77</v>
      </c>
      <c r="O1348" s="784">
        <v>2.5299999999999998</v>
      </c>
      <c r="P1348" s="783">
        <v>450</v>
      </c>
      <c r="Q1348" s="783">
        <v>5313.53</v>
      </c>
      <c r="R1348" s="783">
        <v>3021.38</v>
      </c>
      <c r="S1348" s="783">
        <v>887.66</v>
      </c>
      <c r="T1348" s="783">
        <v>1404.49</v>
      </c>
      <c r="U1348" s="785">
        <v>44684.405162037001</v>
      </c>
    </row>
    <row r="1349" spans="1:21">
      <c r="A1349" s="782">
        <v>44694</v>
      </c>
      <c r="B1349" s="783" t="s">
        <v>2866</v>
      </c>
      <c r="C1349" s="783" t="s">
        <v>4008</v>
      </c>
      <c r="D1349" s="783" t="s">
        <v>4009</v>
      </c>
      <c r="E1349" s="783" t="s">
        <v>5157</v>
      </c>
      <c r="F1349" s="783" t="s">
        <v>4011</v>
      </c>
      <c r="G1349" s="783" t="str">
        <f t="shared" si="75"/>
        <v>Renewal (15% in 2020)</v>
      </c>
      <c r="H1349" s="783" t="s">
        <v>5158</v>
      </c>
      <c r="I1349" s="783" t="s">
        <v>5159</v>
      </c>
      <c r="J1349" s="783">
        <v>15</v>
      </c>
      <c r="K1349" s="783" t="s">
        <v>27</v>
      </c>
      <c r="L1349" s="783" t="s">
        <v>4096</v>
      </c>
      <c r="M1349" s="784">
        <v>35626.5</v>
      </c>
      <c r="N1349" s="784">
        <v>21</v>
      </c>
      <c r="O1349" s="784">
        <v>3.77</v>
      </c>
      <c r="P1349" s="783">
        <v>450</v>
      </c>
      <c r="Q1349" s="783">
        <v>4602.9399999999996</v>
      </c>
      <c r="R1349" s="783">
        <v>1357.8</v>
      </c>
      <c r="S1349" s="783">
        <v>740.6</v>
      </c>
      <c r="T1349" s="783">
        <v>2504.54</v>
      </c>
      <c r="U1349" s="785">
        <v>44694.529247685197</v>
      </c>
    </row>
    <row r="1350" spans="1:21">
      <c r="A1350" s="782">
        <v>44684</v>
      </c>
      <c r="B1350" s="783" t="s">
        <v>51</v>
      </c>
      <c r="C1350" s="783" t="s">
        <v>4796</v>
      </c>
      <c r="D1350" s="783" t="s">
        <v>4016</v>
      </c>
      <c r="E1350" s="783" t="s">
        <v>5163</v>
      </c>
      <c r="F1350" s="783" t="s">
        <v>4011</v>
      </c>
      <c r="G1350" s="783" t="str">
        <f t="shared" si="75"/>
        <v>New Contract</v>
      </c>
      <c r="H1350" s="783" t="s">
        <v>5164</v>
      </c>
      <c r="I1350" s="783" t="s">
        <v>5165</v>
      </c>
      <c r="J1350" s="783">
        <v>25</v>
      </c>
      <c r="K1350" s="783" t="s">
        <v>27</v>
      </c>
      <c r="L1350" s="783" t="s">
        <v>4096</v>
      </c>
      <c r="M1350" s="784">
        <v>18268.169999999998</v>
      </c>
      <c r="N1350" s="784">
        <v>12.18</v>
      </c>
      <c r="O1350" s="784">
        <v>2.97</v>
      </c>
      <c r="P1350" s="783">
        <v>505</v>
      </c>
      <c r="Q1350" s="783">
        <v>1373.77</v>
      </c>
      <c r="R1350" s="783">
        <v>697.96</v>
      </c>
      <c r="S1350" s="783">
        <v>317.75</v>
      </c>
      <c r="T1350" s="783">
        <v>358.06</v>
      </c>
      <c r="U1350" s="785">
        <v>44685.451851851903</v>
      </c>
    </row>
    <row r="1351" spans="1:21">
      <c r="A1351" s="782">
        <v>44709</v>
      </c>
      <c r="B1351" s="783" t="s">
        <v>228</v>
      </c>
      <c r="C1351" s="783" t="s">
        <v>4491</v>
      </c>
      <c r="D1351" s="783" t="s">
        <v>4193</v>
      </c>
      <c r="E1351" s="783" t="s">
        <v>5166</v>
      </c>
      <c r="F1351" s="783" t="s">
        <v>4011</v>
      </c>
      <c r="G1351" s="783" t="str">
        <f t="shared" si="75"/>
        <v>Renewal (25% in 2020)</v>
      </c>
      <c r="H1351" s="783" t="s">
        <v>5167</v>
      </c>
      <c r="I1351" s="783" t="s">
        <v>5168</v>
      </c>
      <c r="J1351" s="783">
        <v>25</v>
      </c>
      <c r="K1351" s="783" t="s">
        <v>27</v>
      </c>
      <c r="L1351" s="783" t="s">
        <v>4096</v>
      </c>
      <c r="M1351" s="784">
        <v>132046.35</v>
      </c>
      <c r="N1351" s="784">
        <v>83.31</v>
      </c>
      <c r="O1351" s="784">
        <v>3.17</v>
      </c>
      <c r="P1351" s="783">
        <v>500</v>
      </c>
      <c r="Q1351" s="783">
        <v>10233.59</v>
      </c>
      <c r="R1351" s="783">
        <v>5483.38</v>
      </c>
      <c r="S1351" s="783">
        <v>2320.56</v>
      </c>
      <c r="T1351" s="783">
        <v>2429.65</v>
      </c>
      <c r="U1351" s="785">
        <v>44711.6583680556</v>
      </c>
    </row>
    <row r="1352" spans="1:21">
      <c r="A1352" s="782">
        <v>44686</v>
      </c>
      <c r="B1352" s="783" t="s">
        <v>4025</v>
      </c>
      <c r="C1352" s="783" t="s">
        <v>4026</v>
      </c>
      <c r="D1352" s="783" t="s">
        <v>4021</v>
      </c>
      <c r="E1352" s="783" t="s">
        <v>5169</v>
      </c>
      <c r="F1352" s="783" t="s">
        <v>4011</v>
      </c>
      <c r="G1352" s="783" t="str">
        <f t="shared" si="75"/>
        <v>New contract</v>
      </c>
      <c r="H1352" s="783" t="s">
        <v>5170</v>
      </c>
      <c r="I1352" s="783" t="s">
        <v>5171</v>
      </c>
      <c r="J1352" s="783">
        <v>25</v>
      </c>
      <c r="K1352" s="783" t="s">
        <v>27</v>
      </c>
      <c r="L1352" s="783" t="s">
        <v>4096</v>
      </c>
      <c r="M1352" s="784">
        <v>56214.27</v>
      </c>
      <c r="N1352" s="784">
        <v>42.49</v>
      </c>
      <c r="O1352" s="784">
        <v>2.94</v>
      </c>
      <c r="P1352" s="783">
        <v>450</v>
      </c>
      <c r="Q1352" s="783">
        <v>3007.46</v>
      </c>
      <c r="R1352" s="783">
        <v>1458.05</v>
      </c>
      <c r="S1352" s="783">
        <v>756.79</v>
      </c>
      <c r="T1352" s="783">
        <v>792.62</v>
      </c>
      <c r="U1352" s="785">
        <v>44687.651446759301</v>
      </c>
    </row>
    <row r="1353" spans="1:21">
      <c r="A1353" s="782">
        <v>44688</v>
      </c>
      <c r="B1353" s="783" t="s">
        <v>150</v>
      </c>
      <c r="C1353" s="783" t="s">
        <v>4097</v>
      </c>
      <c r="D1353" s="783" t="s">
        <v>4038</v>
      </c>
      <c r="E1353" s="783" t="s">
        <v>5172</v>
      </c>
      <c r="F1353" s="783" t="s">
        <v>4011</v>
      </c>
      <c r="G1353" s="783" t="str">
        <f t="shared" si="75"/>
        <v>Renewal (20% in 2020)</v>
      </c>
      <c r="H1353" s="783" t="s">
        <v>5173</v>
      </c>
      <c r="I1353" s="783" t="s">
        <v>5174</v>
      </c>
      <c r="J1353" s="783">
        <v>20</v>
      </c>
      <c r="K1353" s="783" t="s">
        <v>27</v>
      </c>
      <c r="L1353" s="783" t="s">
        <v>4096</v>
      </c>
      <c r="M1353" s="784">
        <v>13060.58</v>
      </c>
      <c r="N1353" s="784">
        <v>9.5500000000000007</v>
      </c>
      <c r="O1353" s="784">
        <v>2.63</v>
      </c>
      <c r="P1353" s="783">
        <v>520</v>
      </c>
      <c r="Q1353" s="783">
        <v>1140.19</v>
      </c>
      <c r="R1353" s="783">
        <v>368.94</v>
      </c>
      <c r="S1353" s="783">
        <v>298.45999999999998</v>
      </c>
      <c r="T1353" s="783">
        <v>472.79</v>
      </c>
      <c r="U1353" s="785">
        <v>44690.632638888899</v>
      </c>
    </row>
    <row r="1354" spans="1:21">
      <c r="A1354" s="782">
        <v>44678</v>
      </c>
      <c r="B1354" s="783" t="s">
        <v>41</v>
      </c>
      <c r="C1354" s="783" t="s">
        <v>4092</v>
      </c>
      <c r="D1354" s="783" t="s">
        <v>4009</v>
      </c>
      <c r="E1354" s="783" t="s">
        <v>5178</v>
      </c>
      <c r="F1354" s="783" t="s">
        <v>4011</v>
      </c>
      <c r="G1354" s="783" t="str">
        <f t="shared" si="75"/>
        <v>Renewal (20% in 2020)</v>
      </c>
      <c r="H1354" s="783" t="s">
        <v>5179</v>
      </c>
      <c r="I1354" s="783" t="s">
        <v>5180</v>
      </c>
      <c r="J1354" s="783">
        <v>20</v>
      </c>
      <c r="K1354" s="783" t="s">
        <v>27</v>
      </c>
      <c r="L1354" s="783" t="s">
        <v>4096</v>
      </c>
      <c r="M1354" s="784">
        <v>7673.6</v>
      </c>
      <c r="N1354" s="784">
        <v>10.9</v>
      </c>
      <c r="O1354" s="784">
        <v>2.2000000000000002</v>
      </c>
      <c r="P1354" s="783">
        <v>320</v>
      </c>
      <c r="Q1354" s="783">
        <v>613.12</v>
      </c>
      <c r="R1354" s="783">
        <v>309.25</v>
      </c>
      <c r="S1354" s="783">
        <v>74.430000000000007</v>
      </c>
      <c r="T1354" s="783">
        <v>229.44</v>
      </c>
      <c r="U1354" s="785">
        <v>44680.490312499998</v>
      </c>
    </row>
    <row r="1355" spans="1:21">
      <c r="A1355" s="782">
        <v>44678</v>
      </c>
      <c r="B1355" s="783" t="s">
        <v>41</v>
      </c>
      <c r="C1355" s="783" t="s">
        <v>4139</v>
      </c>
      <c r="D1355" s="783" t="s">
        <v>4009</v>
      </c>
      <c r="E1355" s="783" t="s">
        <v>5181</v>
      </c>
      <c r="F1355" s="783" t="s">
        <v>4011</v>
      </c>
      <c r="G1355" s="783" t="str">
        <f t="shared" si="75"/>
        <v>Renewal (25% in 2020)</v>
      </c>
      <c r="H1355" s="783" t="s">
        <v>5182</v>
      </c>
      <c r="I1355" s="783" t="s">
        <v>5183</v>
      </c>
      <c r="J1355" s="783">
        <v>25</v>
      </c>
      <c r="K1355" s="783" t="s">
        <v>27</v>
      </c>
      <c r="L1355" s="783" t="s">
        <v>4096</v>
      </c>
      <c r="M1355" s="784">
        <v>19035.240000000002</v>
      </c>
      <c r="N1355" s="784">
        <v>14.62</v>
      </c>
      <c r="O1355" s="784">
        <v>3.1</v>
      </c>
      <c r="P1355" s="783">
        <v>420</v>
      </c>
      <c r="Q1355" s="783">
        <v>1583.73</v>
      </c>
      <c r="R1355" s="783">
        <v>1043.58</v>
      </c>
      <c r="S1355" s="783">
        <v>193.71</v>
      </c>
      <c r="T1355" s="783">
        <v>346.44</v>
      </c>
      <c r="U1355" s="785">
        <v>44680.658981481502</v>
      </c>
    </row>
    <row r="1356" spans="1:21">
      <c r="A1356" s="782">
        <v>44678</v>
      </c>
      <c r="B1356" s="783" t="s">
        <v>113</v>
      </c>
      <c r="C1356" s="783" t="s">
        <v>4598</v>
      </c>
      <c r="D1356" s="783" t="s">
        <v>4009</v>
      </c>
      <c r="E1356" s="783" t="s">
        <v>6562</v>
      </c>
      <c r="F1356" s="783" t="s">
        <v>4011</v>
      </c>
      <c r="G1356" s="783" t="str">
        <f t="shared" si="75"/>
        <v>Renewal (20% in 2020)</v>
      </c>
      <c r="H1356" s="783" t="s">
        <v>6563</v>
      </c>
      <c r="I1356" s="783" t="s">
        <v>6564</v>
      </c>
      <c r="J1356" s="783">
        <v>20</v>
      </c>
      <c r="K1356" s="783" t="s">
        <v>27</v>
      </c>
      <c r="L1356" s="783" t="s">
        <v>4096</v>
      </c>
      <c r="M1356" s="784">
        <v>4640</v>
      </c>
      <c r="N1356" s="784">
        <v>3.2</v>
      </c>
      <c r="O1356" s="784">
        <v>2.9</v>
      </c>
      <c r="P1356" s="783">
        <v>500</v>
      </c>
      <c r="Q1356" s="783">
        <v>329.44</v>
      </c>
      <c r="R1356" s="783">
        <v>110.16</v>
      </c>
      <c r="S1356" s="783">
        <v>81.94</v>
      </c>
      <c r="T1356" s="783">
        <v>137.34</v>
      </c>
      <c r="U1356" s="785">
        <v>44680.661435185197</v>
      </c>
    </row>
    <row r="1357" spans="1:21">
      <c r="A1357" s="782">
        <v>44679</v>
      </c>
      <c r="B1357" s="783" t="s">
        <v>228</v>
      </c>
      <c r="C1357" s="783" t="s">
        <v>4675</v>
      </c>
      <c r="D1357" s="783" t="s">
        <v>4193</v>
      </c>
      <c r="E1357" s="783" t="s">
        <v>5184</v>
      </c>
      <c r="F1357" s="783" t="s">
        <v>4011</v>
      </c>
      <c r="G1357" s="783" t="s">
        <v>4028</v>
      </c>
      <c r="H1357" s="783" t="s">
        <v>5185</v>
      </c>
      <c r="I1357" s="783" t="s">
        <v>5186</v>
      </c>
      <c r="J1357" s="783">
        <v>25</v>
      </c>
      <c r="K1357" s="783" t="s">
        <v>27</v>
      </c>
      <c r="L1357" s="783" t="s">
        <v>4096</v>
      </c>
      <c r="M1357" s="784">
        <v>32906.5</v>
      </c>
      <c r="N1357" s="784">
        <v>19.3</v>
      </c>
      <c r="O1357" s="784">
        <v>3.41</v>
      </c>
      <c r="P1357" s="783">
        <v>500</v>
      </c>
      <c r="Q1357" s="783">
        <v>2474.5700000000002</v>
      </c>
      <c r="R1357" s="783">
        <v>1107.82</v>
      </c>
      <c r="S1357" s="783">
        <v>695.46</v>
      </c>
      <c r="T1357" s="783">
        <v>671.29</v>
      </c>
      <c r="U1357" s="785">
        <v>44680.691585648201</v>
      </c>
    </row>
    <row r="1358" spans="1:21">
      <c r="A1358" s="782">
        <v>44679</v>
      </c>
      <c r="B1358" s="783" t="s">
        <v>41</v>
      </c>
      <c r="C1358" s="783" t="s">
        <v>4092</v>
      </c>
      <c r="D1358" s="783" t="s">
        <v>4009</v>
      </c>
      <c r="E1358" s="783" t="s">
        <v>608</v>
      </c>
      <c r="F1358" s="783" t="s">
        <v>4011</v>
      </c>
      <c r="G1358" s="783" t="str">
        <f>VLOOKUP(I1358,pacage,2,FALSE)</f>
        <v>Renewal (15% in 2020)</v>
      </c>
      <c r="H1358" s="783" t="s">
        <v>4575</v>
      </c>
      <c r="I1358" s="783" t="s">
        <v>4576</v>
      </c>
      <c r="J1358" s="783">
        <v>15</v>
      </c>
      <c r="K1358" s="783" t="s">
        <v>27</v>
      </c>
      <c r="L1358" s="783" t="s">
        <v>4096</v>
      </c>
      <c r="M1358" s="784">
        <v>28665.919999999998</v>
      </c>
      <c r="N1358" s="784">
        <v>30.89</v>
      </c>
      <c r="O1358" s="784">
        <v>2.3199999999999998</v>
      </c>
      <c r="P1358" s="783">
        <v>400</v>
      </c>
      <c r="Q1358" s="783">
        <v>2989.86</v>
      </c>
      <c r="R1358" s="783">
        <v>1146.57</v>
      </c>
      <c r="S1358" s="783">
        <v>286.72000000000003</v>
      </c>
      <c r="T1358" s="783">
        <v>1556.56</v>
      </c>
      <c r="U1358" s="785">
        <v>44680.705127314803</v>
      </c>
    </row>
    <row r="1359" spans="1:21">
      <c r="A1359" s="782">
        <v>44681</v>
      </c>
      <c r="B1359" s="783" t="s">
        <v>51</v>
      </c>
      <c r="C1359" s="783" t="s">
        <v>4042</v>
      </c>
      <c r="D1359" s="783" t="s">
        <v>4016</v>
      </c>
      <c r="E1359" s="783" t="s">
        <v>5192</v>
      </c>
      <c r="F1359" s="783" t="s">
        <v>4011</v>
      </c>
      <c r="G1359" s="783" t="str">
        <f>VLOOKUP(I1359,pacage,2,FALSE)</f>
        <v>Renewal (30% in 2020)</v>
      </c>
      <c r="H1359" s="783" t="s">
        <v>5193</v>
      </c>
      <c r="I1359" s="783" t="s">
        <v>5194</v>
      </c>
      <c r="J1359" s="783">
        <v>30</v>
      </c>
      <c r="K1359" s="783" t="s">
        <v>27</v>
      </c>
      <c r="L1359" s="783" t="s">
        <v>4096</v>
      </c>
      <c r="M1359" s="784">
        <v>11790.9</v>
      </c>
      <c r="N1359" s="784">
        <v>10</v>
      </c>
      <c r="O1359" s="784">
        <v>2.97</v>
      </c>
      <c r="P1359" s="783">
        <v>397</v>
      </c>
      <c r="Q1359" s="783">
        <v>823</v>
      </c>
      <c r="R1359" s="783">
        <v>583.65</v>
      </c>
      <c r="S1359" s="783">
        <v>0</v>
      </c>
      <c r="T1359" s="783">
        <v>239.36</v>
      </c>
      <c r="U1359" s="785">
        <v>44683.456782407397</v>
      </c>
    </row>
    <row r="1360" spans="1:21">
      <c r="A1360" s="782">
        <v>44681</v>
      </c>
      <c r="B1360" s="783" t="s">
        <v>41</v>
      </c>
      <c r="C1360" s="783" t="s">
        <v>4139</v>
      </c>
      <c r="D1360" s="783" t="s">
        <v>4009</v>
      </c>
      <c r="E1360" s="783" t="s">
        <v>4296</v>
      </c>
      <c r="F1360" s="783" t="s">
        <v>4011</v>
      </c>
      <c r="G1360" s="783" t="str">
        <f>VLOOKUP(I1360,pacage,2,FALSE)</f>
        <v>Renewal (30% in 2020)</v>
      </c>
      <c r="H1360" s="783" t="s">
        <v>4297</v>
      </c>
      <c r="I1360" s="783" t="s">
        <v>4298</v>
      </c>
      <c r="J1360" s="783">
        <v>30</v>
      </c>
      <c r="K1360" s="783" t="s">
        <v>27</v>
      </c>
      <c r="L1360" s="783" t="s">
        <v>4096</v>
      </c>
      <c r="M1360" s="784">
        <v>9950.52</v>
      </c>
      <c r="N1360" s="784">
        <v>8.2100000000000009</v>
      </c>
      <c r="O1360" s="784">
        <v>3.03</v>
      </c>
      <c r="P1360" s="783">
        <v>400</v>
      </c>
      <c r="Q1360" s="783">
        <v>759.22</v>
      </c>
      <c r="R1360" s="783">
        <v>572.79999999999995</v>
      </c>
      <c r="S1360" s="783">
        <v>4.33</v>
      </c>
      <c r="T1360" s="783">
        <v>182.09</v>
      </c>
      <c r="U1360" s="785">
        <v>44683.422060185199</v>
      </c>
    </row>
    <row r="1361" spans="1:21">
      <c r="A1361" s="782">
        <v>44680</v>
      </c>
      <c r="B1361" s="783" t="s">
        <v>41</v>
      </c>
      <c r="C1361" s="783" t="s">
        <v>4071</v>
      </c>
      <c r="D1361" s="783" t="s">
        <v>4009</v>
      </c>
      <c r="E1361" s="783" t="s">
        <v>5198</v>
      </c>
      <c r="F1361" s="783" t="s">
        <v>4011</v>
      </c>
      <c r="G1361" s="783" t="str">
        <f>VLOOKUP(I1361,pacage,2,FALSE)</f>
        <v>Renewal (15% in 2020)</v>
      </c>
      <c r="H1361" s="783" t="s">
        <v>5199</v>
      </c>
      <c r="I1361" s="783" t="s">
        <v>5200</v>
      </c>
      <c r="J1361" s="783">
        <v>15</v>
      </c>
      <c r="K1361" s="783" t="s">
        <v>27</v>
      </c>
      <c r="L1361" s="783" t="s">
        <v>4096</v>
      </c>
      <c r="M1361" s="784">
        <v>50356.38</v>
      </c>
      <c r="N1361" s="784">
        <v>47.84</v>
      </c>
      <c r="O1361" s="784">
        <v>2.77</v>
      </c>
      <c r="P1361" s="783">
        <v>380</v>
      </c>
      <c r="Q1361" s="783">
        <v>5715.45</v>
      </c>
      <c r="R1361" s="783">
        <v>2417.11</v>
      </c>
      <c r="S1361" s="783">
        <v>297.10000000000002</v>
      </c>
      <c r="T1361" s="783">
        <v>3001.24</v>
      </c>
      <c r="U1361" s="785">
        <v>44683.501400462999</v>
      </c>
    </row>
    <row r="1362" spans="1:21">
      <c r="A1362" s="782">
        <v>44697</v>
      </c>
      <c r="B1362" s="783" t="s">
        <v>41</v>
      </c>
      <c r="C1362" s="783" t="s">
        <v>4092</v>
      </c>
      <c r="D1362" s="783" t="s">
        <v>4009</v>
      </c>
      <c r="E1362" s="783" t="s">
        <v>5201</v>
      </c>
      <c r="F1362" s="783" t="s">
        <v>4011</v>
      </c>
      <c r="G1362" s="783" t="s">
        <v>4028</v>
      </c>
      <c r="H1362" s="783" t="s">
        <v>5202</v>
      </c>
      <c r="I1362" s="783" t="s">
        <v>5203</v>
      </c>
      <c r="J1362" s="783">
        <v>20</v>
      </c>
      <c r="K1362" s="783" t="s">
        <v>27</v>
      </c>
      <c r="L1362" s="783" t="s">
        <v>4096</v>
      </c>
      <c r="M1362" s="784">
        <v>4065.28</v>
      </c>
      <c r="N1362" s="784">
        <v>3.2</v>
      </c>
      <c r="O1362" s="784">
        <v>3.2</v>
      </c>
      <c r="P1362" s="783">
        <v>397</v>
      </c>
      <c r="Q1362" s="783">
        <v>324.82</v>
      </c>
      <c r="R1362" s="783">
        <v>163.83000000000001</v>
      </c>
      <c r="S1362" s="783">
        <v>39.43</v>
      </c>
      <c r="T1362" s="783">
        <v>121.55</v>
      </c>
      <c r="U1362" s="785">
        <v>44699.481064814798</v>
      </c>
    </row>
    <row r="1363" spans="1:21">
      <c r="A1363" s="782">
        <v>44709</v>
      </c>
      <c r="B1363" s="783" t="s">
        <v>65</v>
      </c>
      <c r="C1363" s="783" t="s">
        <v>4257</v>
      </c>
      <c r="D1363" s="783" t="s">
        <v>4258</v>
      </c>
      <c r="E1363" s="783" t="s">
        <v>4259</v>
      </c>
      <c r="F1363" s="783" t="s">
        <v>4011</v>
      </c>
      <c r="G1363" s="783" t="str">
        <f>VLOOKUP(I1363,pacage,2,FALSE)</f>
        <v>Renewal (30% in 2020)</v>
      </c>
      <c r="H1363" s="783" t="s">
        <v>4260</v>
      </c>
      <c r="I1363" s="783" t="s">
        <v>4261</v>
      </c>
      <c r="J1363" s="783">
        <v>30</v>
      </c>
      <c r="K1363" s="783" t="s">
        <v>27</v>
      </c>
      <c r="L1363" s="783" t="s">
        <v>4096</v>
      </c>
      <c r="M1363" s="784">
        <v>16501.66</v>
      </c>
      <c r="N1363" s="784">
        <v>10.47</v>
      </c>
      <c r="O1363" s="784">
        <v>3.97</v>
      </c>
      <c r="P1363" s="783">
        <v>397</v>
      </c>
      <c r="Q1363" s="783">
        <v>909.24</v>
      </c>
      <c r="R1363" s="783">
        <v>660.07</v>
      </c>
      <c r="S1363" s="783">
        <v>0</v>
      </c>
      <c r="T1363" s="783">
        <v>249.18</v>
      </c>
      <c r="U1363" s="785">
        <v>44712.508101851898</v>
      </c>
    </row>
    <row r="1364" spans="1:21">
      <c r="A1364" s="782">
        <v>44709</v>
      </c>
      <c r="B1364" s="783" t="s">
        <v>65</v>
      </c>
      <c r="C1364" s="783" t="s">
        <v>4101</v>
      </c>
      <c r="D1364" s="783" t="s">
        <v>4102</v>
      </c>
      <c r="E1364" s="783" t="s">
        <v>4259</v>
      </c>
      <c r="F1364" s="783" t="s">
        <v>4011</v>
      </c>
      <c r="G1364" s="783" t="str">
        <f>VLOOKUP(I1364,pacage,2,FALSE)</f>
        <v>Renewal (30% in 2020)</v>
      </c>
      <c r="H1364" s="783" t="s">
        <v>4260</v>
      </c>
      <c r="I1364" s="783" t="s">
        <v>4261</v>
      </c>
      <c r="J1364" s="783">
        <v>30</v>
      </c>
      <c r="K1364" s="783" t="s">
        <v>27</v>
      </c>
      <c r="L1364" s="783" t="s">
        <v>4096</v>
      </c>
      <c r="M1364" s="784">
        <v>49427.360000000001</v>
      </c>
      <c r="N1364" s="784">
        <v>36.64</v>
      </c>
      <c r="O1364" s="784">
        <v>3.55</v>
      </c>
      <c r="P1364" s="783">
        <v>380</v>
      </c>
      <c r="Q1364" s="783">
        <v>2510.91</v>
      </c>
      <c r="R1364" s="783">
        <v>1809.04</v>
      </c>
      <c r="S1364" s="783">
        <v>0</v>
      </c>
      <c r="T1364" s="783">
        <v>701.87</v>
      </c>
      <c r="U1364" s="785">
        <v>44712.508101851898</v>
      </c>
    </row>
    <row r="1365" spans="1:21">
      <c r="A1365" s="782">
        <v>44698</v>
      </c>
      <c r="B1365" s="783" t="s">
        <v>30</v>
      </c>
      <c r="C1365" s="783" t="s">
        <v>5213</v>
      </c>
      <c r="D1365" s="783" t="s">
        <v>4021</v>
      </c>
      <c r="E1365" s="783" t="s">
        <v>1513</v>
      </c>
      <c r="F1365" s="783" t="s">
        <v>4011</v>
      </c>
      <c r="G1365" s="783" t="str">
        <f>VLOOKUP(I1365,pacage,2,FALSE)</f>
        <v>Renewal (15% in 2020)</v>
      </c>
      <c r="H1365" s="783" t="s">
        <v>5214</v>
      </c>
      <c r="I1365" s="783" t="s">
        <v>5215</v>
      </c>
      <c r="J1365" s="783">
        <v>15</v>
      </c>
      <c r="K1365" s="783" t="s">
        <v>27</v>
      </c>
      <c r="L1365" s="783" t="s">
        <v>4096</v>
      </c>
      <c r="M1365" s="784">
        <v>118234.05</v>
      </c>
      <c r="N1365" s="784">
        <v>60.17</v>
      </c>
      <c r="O1365" s="784">
        <v>3.93</v>
      </c>
      <c r="P1365" s="783">
        <v>500</v>
      </c>
      <c r="Q1365" s="783">
        <v>12603.75</v>
      </c>
      <c r="R1365" s="783">
        <v>3511.03</v>
      </c>
      <c r="S1365" s="783">
        <v>2329.73</v>
      </c>
      <c r="T1365" s="783">
        <v>6762.99</v>
      </c>
      <c r="U1365" s="785">
        <v>44699.511724536998</v>
      </c>
    </row>
    <row r="1366" spans="1:21">
      <c r="A1366" s="782">
        <v>44698</v>
      </c>
      <c r="B1366" s="783" t="s">
        <v>41</v>
      </c>
      <c r="C1366" s="783" t="s">
        <v>4071</v>
      </c>
      <c r="D1366" s="783" t="s">
        <v>4009</v>
      </c>
      <c r="E1366" s="783" t="s">
        <v>3805</v>
      </c>
      <c r="F1366" s="783" t="s">
        <v>4011</v>
      </c>
      <c r="G1366" s="783" t="str">
        <f>VLOOKUP(I1366,pacage,2,FALSE)</f>
        <v>Renewal (15% in 2020)</v>
      </c>
      <c r="H1366" s="783" t="s">
        <v>4119</v>
      </c>
      <c r="I1366" s="783" t="s">
        <v>4120</v>
      </c>
      <c r="J1366" s="783">
        <v>15</v>
      </c>
      <c r="K1366" s="783" t="s">
        <v>27</v>
      </c>
      <c r="L1366" s="783" t="s">
        <v>4096</v>
      </c>
      <c r="M1366" s="784">
        <v>57234.6</v>
      </c>
      <c r="N1366" s="784">
        <v>35.33</v>
      </c>
      <c r="O1366" s="784">
        <v>3.24</v>
      </c>
      <c r="P1366" s="783">
        <v>500</v>
      </c>
      <c r="Q1366" s="783">
        <v>6496.13</v>
      </c>
      <c r="R1366" s="783">
        <v>2181.33</v>
      </c>
      <c r="S1366" s="783">
        <v>903.62</v>
      </c>
      <c r="T1366" s="783">
        <v>3411.18</v>
      </c>
      <c r="U1366" s="785">
        <v>44699.745266203703</v>
      </c>
    </row>
    <row r="1367" spans="1:21">
      <c r="A1367" s="782">
        <v>44704</v>
      </c>
      <c r="B1367" s="783" t="s">
        <v>41</v>
      </c>
      <c r="C1367" s="783" t="s">
        <v>4082</v>
      </c>
      <c r="D1367" s="783" t="s">
        <v>4009</v>
      </c>
      <c r="E1367" s="783" t="s">
        <v>2021</v>
      </c>
      <c r="F1367" s="783" t="s">
        <v>4011</v>
      </c>
      <c r="G1367" s="783" t="str">
        <f>VLOOKUP(I1367,pacage,2,FALSE)</f>
        <v>Renewal (25% in 2020)</v>
      </c>
      <c r="H1367" s="783" t="s">
        <v>4580</v>
      </c>
      <c r="I1367" s="783" t="s">
        <v>4581</v>
      </c>
      <c r="J1367" s="783">
        <v>25</v>
      </c>
      <c r="K1367" s="783" t="s">
        <v>27</v>
      </c>
      <c r="L1367" s="783" t="s">
        <v>4096</v>
      </c>
      <c r="M1367" s="784">
        <v>31720.5</v>
      </c>
      <c r="N1367" s="784">
        <v>23.85</v>
      </c>
      <c r="O1367" s="784">
        <v>3.8</v>
      </c>
      <c r="P1367" s="783">
        <v>350</v>
      </c>
      <c r="Q1367" s="783">
        <v>2052.3200000000002</v>
      </c>
      <c r="R1367" s="783">
        <v>1287.8499999999999</v>
      </c>
      <c r="S1367" s="783">
        <v>317.20999999999998</v>
      </c>
      <c r="T1367" s="783">
        <v>447.26</v>
      </c>
      <c r="U1367" s="785">
        <v>44704.3933680556</v>
      </c>
    </row>
    <row r="1368" spans="1:21">
      <c r="A1368" s="782">
        <v>44705</v>
      </c>
      <c r="B1368" s="783" t="s">
        <v>228</v>
      </c>
      <c r="C1368" s="783" t="s">
        <v>4582</v>
      </c>
      <c r="D1368" s="783" t="s">
        <v>4193</v>
      </c>
      <c r="E1368" s="783" t="s">
        <v>4583</v>
      </c>
      <c r="F1368" s="783" t="s">
        <v>4011</v>
      </c>
      <c r="G1368" s="783" t="s">
        <v>4028</v>
      </c>
      <c r="H1368" s="783" t="s">
        <v>4584</v>
      </c>
      <c r="I1368" s="783" t="s">
        <v>4585</v>
      </c>
      <c r="J1368" s="783">
        <v>25</v>
      </c>
      <c r="K1368" s="783" t="s">
        <v>27</v>
      </c>
      <c r="L1368" s="783" t="s">
        <v>4096</v>
      </c>
      <c r="M1368" s="784">
        <v>7917.37</v>
      </c>
      <c r="N1368" s="784">
        <v>5.18</v>
      </c>
      <c r="O1368" s="784">
        <v>3.85</v>
      </c>
      <c r="P1368" s="783">
        <v>397</v>
      </c>
      <c r="Q1368" s="783">
        <v>548.66999999999996</v>
      </c>
      <c r="R1368" s="783">
        <v>371.32</v>
      </c>
      <c r="S1368" s="783">
        <v>46.71</v>
      </c>
      <c r="T1368" s="783">
        <v>130.63999999999999</v>
      </c>
      <c r="U1368" s="785">
        <v>44708.690625000003</v>
      </c>
    </row>
    <row r="1369" spans="1:21">
      <c r="A1369" s="782">
        <v>44710</v>
      </c>
      <c r="B1369" s="783" t="s">
        <v>41</v>
      </c>
      <c r="C1369" s="783" t="s">
        <v>4071</v>
      </c>
      <c r="D1369" s="783" t="s">
        <v>4009</v>
      </c>
      <c r="E1369" s="783" t="s">
        <v>1125</v>
      </c>
      <c r="F1369" s="783" t="s">
        <v>4011</v>
      </c>
      <c r="G1369" s="783" t="str">
        <f t="shared" ref="G1369:G1390" si="76">VLOOKUP(I1369,pacage,2,FALSE)</f>
        <v>Renewal (15% in 2020)</v>
      </c>
      <c r="H1369" s="783" t="s">
        <v>5228</v>
      </c>
      <c r="I1369" s="783" t="s">
        <v>5229</v>
      </c>
      <c r="J1369" s="783">
        <v>20</v>
      </c>
      <c r="K1369" s="783" t="s">
        <v>27</v>
      </c>
      <c r="L1369" s="783" t="s">
        <v>4096</v>
      </c>
      <c r="M1369" s="784">
        <v>10432.35</v>
      </c>
      <c r="N1369" s="784">
        <v>7.17</v>
      </c>
      <c r="O1369" s="784">
        <v>2.91</v>
      </c>
      <c r="P1369" s="783">
        <v>500</v>
      </c>
      <c r="Q1369" s="783">
        <v>908.66</v>
      </c>
      <c r="R1369" s="783">
        <v>397.6</v>
      </c>
      <c r="S1369" s="783">
        <v>164.71</v>
      </c>
      <c r="T1369" s="783">
        <v>346.35</v>
      </c>
      <c r="U1369" s="785">
        <v>44712.651793981502</v>
      </c>
    </row>
    <row r="1370" spans="1:21">
      <c r="A1370" s="782">
        <v>44710</v>
      </c>
      <c r="B1370" s="783" t="s">
        <v>41</v>
      </c>
      <c r="C1370" s="783" t="s">
        <v>4092</v>
      </c>
      <c r="D1370" s="783" t="s">
        <v>4009</v>
      </c>
      <c r="E1370" s="783" t="s">
        <v>1125</v>
      </c>
      <c r="F1370" s="783" t="s">
        <v>4011</v>
      </c>
      <c r="G1370" s="783" t="str">
        <f t="shared" si="76"/>
        <v>Renewal (15% in 2020)</v>
      </c>
      <c r="H1370" s="783" t="s">
        <v>5228</v>
      </c>
      <c r="I1370" s="783" t="s">
        <v>5229</v>
      </c>
      <c r="J1370" s="783">
        <v>20</v>
      </c>
      <c r="K1370" s="783" t="s">
        <v>27</v>
      </c>
      <c r="L1370" s="783" t="s">
        <v>4096</v>
      </c>
      <c r="M1370" s="784">
        <v>21053.85</v>
      </c>
      <c r="N1370" s="784">
        <v>14.47</v>
      </c>
      <c r="O1370" s="784">
        <v>2.91</v>
      </c>
      <c r="P1370" s="783">
        <v>500</v>
      </c>
      <c r="Q1370" s="783">
        <v>1682.2</v>
      </c>
      <c r="R1370" s="783">
        <v>673.69</v>
      </c>
      <c r="S1370" s="783">
        <v>379.01</v>
      </c>
      <c r="T1370" s="783">
        <v>629.51</v>
      </c>
      <c r="U1370" s="785">
        <v>44712.651805555601</v>
      </c>
    </row>
    <row r="1371" spans="1:21">
      <c r="A1371" s="782">
        <v>44699</v>
      </c>
      <c r="B1371" s="783" t="s">
        <v>41</v>
      </c>
      <c r="C1371" s="783" t="s">
        <v>4092</v>
      </c>
      <c r="D1371" s="783" t="s">
        <v>4009</v>
      </c>
      <c r="E1371" s="783" t="s">
        <v>5230</v>
      </c>
      <c r="F1371" s="783" t="s">
        <v>4011</v>
      </c>
      <c r="G1371" s="783" t="str">
        <f t="shared" si="76"/>
        <v>Renewal (20% in 2020)</v>
      </c>
      <c r="H1371" s="783" t="s">
        <v>5231</v>
      </c>
      <c r="I1371" s="783" t="s">
        <v>5232</v>
      </c>
      <c r="J1371" s="783">
        <v>20</v>
      </c>
      <c r="K1371" s="783" t="s">
        <v>27</v>
      </c>
      <c r="L1371" s="783" t="s">
        <v>4096</v>
      </c>
      <c r="M1371" s="784">
        <v>8530.7000000000007</v>
      </c>
      <c r="N1371" s="784">
        <v>6.47</v>
      </c>
      <c r="O1371" s="784">
        <v>2.93</v>
      </c>
      <c r="P1371" s="783">
        <v>450</v>
      </c>
      <c r="Q1371" s="783">
        <v>681.6</v>
      </c>
      <c r="R1371" s="783">
        <v>303.3</v>
      </c>
      <c r="S1371" s="783">
        <v>123.24</v>
      </c>
      <c r="T1371" s="783">
        <v>255.07</v>
      </c>
      <c r="U1371" s="785">
        <v>44700.525358796302</v>
      </c>
    </row>
    <row r="1372" spans="1:21">
      <c r="A1372" s="782">
        <v>44705</v>
      </c>
      <c r="B1372" s="783" t="s">
        <v>4025</v>
      </c>
      <c r="C1372" s="783" t="s">
        <v>4026</v>
      </c>
      <c r="D1372" s="783" t="s">
        <v>4021</v>
      </c>
      <c r="E1372" s="783" t="s">
        <v>5233</v>
      </c>
      <c r="F1372" s="783" t="s">
        <v>4011</v>
      </c>
      <c r="G1372" s="783" t="str">
        <f t="shared" si="76"/>
        <v>New Contract</v>
      </c>
      <c r="H1372" s="783" t="s">
        <v>5234</v>
      </c>
      <c r="I1372" s="783" t="s">
        <v>5235</v>
      </c>
      <c r="J1372" s="783">
        <v>20</v>
      </c>
      <c r="K1372" s="783" t="s">
        <v>27</v>
      </c>
      <c r="L1372" s="783" t="s">
        <v>4096</v>
      </c>
      <c r="M1372" s="784">
        <v>8973.32</v>
      </c>
      <c r="N1372" s="784">
        <v>7.13</v>
      </c>
      <c r="O1372" s="784">
        <v>2.73</v>
      </c>
      <c r="P1372" s="783">
        <v>461</v>
      </c>
      <c r="Q1372" s="783">
        <v>596.73</v>
      </c>
      <c r="R1372" s="783">
        <v>227.19</v>
      </c>
      <c r="S1372" s="783">
        <v>126.36</v>
      </c>
      <c r="T1372" s="783">
        <v>243.18</v>
      </c>
      <c r="U1372" s="785">
        <v>44708.694351851896</v>
      </c>
    </row>
    <row r="1373" spans="1:21">
      <c r="A1373" s="782">
        <v>44701</v>
      </c>
      <c r="B1373" s="783" t="s">
        <v>228</v>
      </c>
      <c r="C1373" s="783" t="s">
        <v>4251</v>
      </c>
      <c r="D1373" s="783" t="s">
        <v>4193</v>
      </c>
      <c r="E1373" s="783" t="s">
        <v>5236</v>
      </c>
      <c r="F1373" s="783" t="s">
        <v>4011</v>
      </c>
      <c r="G1373" s="783" t="str">
        <f t="shared" si="76"/>
        <v>New contract</v>
      </c>
      <c r="H1373" s="783" t="s">
        <v>5237</v>
      </c>
      <c r="I1373" s="783" t="s">
        <v>5238</v>
      </c>
      <c r="J1373" s="783">
        <v>25</v>
      </c>
      <c r="K1373" s="783" t="s">
        <v>27</v>
      </c>
      <c r="L1373" s="783" t="s">
        <v>4096</v>
      </c>
      <c r="M1373" s="784">
        <v>18967.05</v>
      </c>
      <c r="N1373" s="784">
        <v>11.3</v>
      </c>
      <c r="O1373" s="784">
        <v>3.73</v>
      </c>
      <c r="P1373" s="783">
        <v>450</v>
      </c>
      <c r="Q1373" s="783">
        <v>1075.43</v>
      </c>
      <c r="R1373" s="783">
        <v>624.15</v>
      </c>
      <c r="S1373" s="783">
        <v>181.95</v>
      </c>
      <c r="T1373" s="783">
        <v>269.33</v>
      </c>
      <c r="U1373" s="785">
        <v>44701.497337963003</v>
      </c>
    </row>
    <row r="1374" spans="1:21">
      <c r="A1374" s="782">
        <v>44708</v>
      </c>
      <c r="B1374" s="783" t="s">
        <v>4025</v>
      </c>
      <c r="C1374" s="783" t="s">
        <v>4026</v>
      </c>
      <c r="D1374" s="783" t="s">
        <v>4021</v>
      </c>
      <c r="E1374" s="783" t="s">
        <v>5239</v>
      </c>
      <c r="F1374" s="783" t="s">
        <v>4011</v>
      </c>
      <c r="G1374" s="783" t="str">
        <f t="shared" si="76"/>
        <v>New Contract</v>
      </c>
      <c r="H1374" s="783" t="s">
        <v>5240</v>
      </c>
      <c r="I1374" s="783" t="s">
        <v>5241</v>
      </c>
      <c r="J1374" s="783">
        <v>25</v>
      </c>
      <c r="K1374" s="783" t="s">
        <v>27</v>
      </c>
      <c r="L1374" s="783" t="s">
        <v>4096</v>
      </c>
      <c r="M1374" s="784">
        <v>20031.98</v>
      </c>
      <c r="N1374" s="784">
        <v>15.09</v>
      </c>
      <c r="O1374" s="784">
        <v>2.95</v>
      </c>
      <c r="P1374" s="783">
        <v>450</v>
      </c>
      <c r="Q1374" s="783">
        <v>1071.71</v>
      </c>
      <c r="R1374" s="783">
        <v>519.58000000000004</v>
      </c>
      <c r="S1374" s="783">
        <v>269.68</v>
      </c>
      <c r="T1374" s="783">
        <v>282.45</v>
      </c>
      <c r="U1374" s="785">
        <v>44711.534571759301</v>
      </c>
    </row>
    <row r="1375" spans="1:21">
      <c r="A1375" s="782">
        <v>44700</v>
      </c>
      <c r="B1375" s="783" t="s">
        <v>41</v>
      </c>
      <c r="C1375" s="783" t="s">
        <v>4354</v>
      </c>
      <c r="D1375" s="783" t="s">
        <v>4009</v>
      </c>
      <c r="E1375" s="783" t="s">
        <v>4586</v>
      </c>
      <c r="F1375" s="783" t="s">
        <v>4011</v>
      </c>
      <c r="G1375" s="783" t="str">
        <f t="shared" si="76"/>
        <v>New contract</v>
      </c>
      <c r="H1375" s="783" t="s">
        <v>4587</v>
      </c>
      <c r="I1375" s="783" t="s">
        <v>4588</v>
      </c>
      <c r="J1375" s="783">
        <v>25</v>
      </c>
      <c r="K1375" s="783" t="s">
        <v>27</v>
      </c>
      <c r="L1375" s="783" t="s">
        <v>4096</v>
      </c>
      <c r="M1375" s="784">
        <v>28523.25</v>
      </c>
      <c r="N1375" s="784">
        <v>18.11</v>
      </c>
      <c r="O1375" s="784">
        <v>3.5</v>
      </c>
      <c r="P1375" s="783">
        <v>450</v>
      </c>
      <c r="Q1375" s="783">
        <v>2504.34</v>
      </c>
      <c r="R1375" s="783">
        <v>1600.42</v>
      </c>
      <c r="S1375" s="783">
        <v>496.04</v>
      </c>
      <c r="T1375" s="783">
        <v>407.88</v>
      </c>
      <c r="U1375" s="785">
        <v>44700.718599537002</v>
      </c>
    </row>
    <row r="1376" spans="1:21">
      <c r="A1376" s="782">
        <v>44657</v>
      </c>
      <c r="B1376" s="783" t="s">
        <v>41</v>
      </c>
      <c r="C1376" s="783" t="s">
        <v>4092</v>
      </c>
      <c r="D1376" s="783" t="s">
        <v>4009</v>
      </c>
      <c r="E1376" s="783" t="s">
        <v>338</v>
      </c>
      <c r="F1376" s="783" t="s">
        <v>4011</v>
      </c>
      <c r="G1376" s="783" t="str">
        <f t="shared" si="76"/>
        <v>New Contract</v>
      </c>
      <c r="H1376" s="783" t="s">
        <v>4589</v>
      </c>
      <c r="I1376" s="783" t="s">
        <v>4590</v>
      </c>
      <c r="J1376" s="783">
        <v>15</v>
      </c>
      <c r="K1376" s="783" t="s">
        <v>27</v>
      </c>
      <c r="L1376" s="783" t="s">
        <v>4096</v>
      </c>
      <c r="M1376" s="784">
        <v>92883.28</v>
      </c>
      <c r="N1376" s="784">
        <v>70.58</v>
      </c>
      <c r="O1376" s="784">
        <v>3.29</v>
      </c>
      <c r="P1376" s="783">
        <v>400</v>
      </c>
      <c r="Q1376" s="783">
        <v>9687.73</v>
      </c>
      <c r="R1376" s="783">
        <v>3715.12</v>
      </c>
      <c r="S1376" s="783">
        <v>929.04</v>
      </c>
      <c r="T1376" s="783">
        <v>5043.5600000000004</v>
      </c>
      <c r="U1376" s="785">
        <v>44657.603819444397</v>
      </c>
    </row>
    <row r="1377" spans="1:21">
      <c r="A1377" s="782">
        <v>44655</v>
      </c>
      <c r="B1377" s="783" t="s">
        <v>41</v>
      </c>
      <c r="C1377" s="783" t="s">
        <v>4082</v>
      </c>
      <c r="D1377" s="783" t="s">
        <v>4009</v>
      </c>
      <c r="E1377" s="783" t="s">
        <v>245</v>
      </c>
      <c r="F1377" s="783" t="s">
        <v>4011</v>
      </c>
      <c r="G1377" s="783" t="str">
        <f t="shared" si="76"/>
        <v>Renewal (20% in 2020)</v>
      </c>
      <c r="H1377" s="783" t="s">
        <v>4591</v>
      </c>
      <c r="I1377" s="783" t="s">
        <v>4592</v>
      </c>
      <c r="J1377" s="783">
        <v>20</v>
      </c>
      <c r="K1377" s="783" t="s">
        <v>27</v>
      </c>
      <c r="L1377" s="783" t="s">
        <v>4096</v>
      </c>
      <c r="M1377" s="784">
        <v>7462</v>
      </c>
      <c r="N1377" s="784">
        <v>4.55</v>
      </c>
      <c r="O1377" s="784">
        <v>3.28</v>
      </c>
      <c r="P1377" s="783">
        <v>500</v>
      </c>
      <c r="Q1377" s="783">
        <v>606.66</v>
      </c>
      <c r="R1377" s="783">
        <v>240.55</v>
      </c>
      <c r="S1377" s="783">
        <v>137.03</v>
      </c>
      <c r="T1377" s="783">
        <v>229.08</v>
      </c>
      <c r="U1377" s="785">
        <v>44657.613634259302</v>
      </c>
    </row>
    <row r="1378" spans="1:21">
      <c r="A1378" s="782">
        <v>44657</v>
      </c>
      <c r="B1378" s="783" t="s">
        <v>51</v>
      </c>
      <c r="C1378" s="783" t="s">
        <v>4042</v>
      </c>
      <c r="D1378" s="783" t="s">
        <v>4016</v>
      </c>
      <c r="E1378" s="783" t="s">
        <v>56</v>
      </c>
      <c r="F1378" s="783" t="s">
        <v>4011</v>
      </c>
      <c r="G1378" s="783" t="str">
        <f t="shared" si="76"/>
        <v>Renewal (25% in 2020)</v>
      </c>
      <c r="H1378" s="783" t="s">
        <v>5248</v>
      </c>
      <c r="I1378" s="783" t="s">
        <v>5249</v>
      </c>
      <c r="J1378" s="783">
        <v>25</v>
      </c>
      <c r="K1378" s="783" t="s">
        <v>27</v>
      </c>
      <c r="L1378" s="783" t="s">
        <v>4096</v>
      </c>
      <c r="M1378" s="784">
        <v>63037.440000000002</v>
      </c>
      <c r="N1378" s="784">
        <v>51.84</v>
      </c>
      <c r="O1378" s="784">
        <v>3.2</v>
      </c>
      <c r="P1378" s="783">
        <v>380</v>
      </c>
      <c r="Q1378" s="783">
        <v>4841.28</v>
      </c>
      <c r="R1378" s="783">
        <v>3120.35</v>
      </c>
      <c r="S1378" s="783">
        <v>441.26</v>
      </c>
      <c r="T1378" s="783">
        <v>1279.6600000000001</v>
      </c>
      <c r="U1378" s="785">
        <v>44657.616006944401</v>
      </c>
    </row>
    <row r="1379" spans="1:21">
      <c r="A1379" s="782">
        <v>44657</v>
      </c>
      <c r="B1379" s="783" t="s">
        <v>51</v>
      </c>
      <c r="C1379" s="783" t="s">
        <v>4042</v>
      </c>
      <c r="D1379" s="783" t="s">
        <v>4016</v>
      </c>
      <c r="E1379" s="783" t="s">
        <v>49</v>
      </c>
      <c r="F1379" s="783" t="s">
        <v>4011</v>
      </c>
      <c r="G1379" s="783" t="str">
        <f t="shared" si="76"/>
        <v>Renewal (20% in 2020)</v>
      </c>
      <c r="H1379" s="783" t="s">
        <v>5250</v>
      </c>
      <c r="I1379" s="783" t="s">
        <v>5251</v>
      </c>
      <c r="J1379" s="783">
        <v>20</v>
      </c>
      <c r="K1379" s="783" t="s">
        <v>27</v>
      </c>
      <c r="L1379" s="783" t="s">
        <v>4096</v>
      </c>
      <c r="M1379" s="784">
        <v>72541.11</v>
      </c>
      <c r="N1379" s="784">
        <v>57.28</v>
      </c>
      <c r="O1379" s="784">
        <v>3.19</v>
      </c>
      <c r="P1379" s="783">
        <v>397</v>
      </c>
      <c r="Q1379" s="783">
        <v>6927.68</v>
      </c>
      <c r="R1379" s="783">
        <v>3590.78</v>
      </c>
      <c r="S1379" s="783">
        <v>507.79</v>
      </c>
      <c r="T1379" s="783">
        <v>2829.1</v>
      </c>
      <c r="U1379" s="785">
        <v>44657.614305555602</v>
      </c>
    </row>
    <row r="1380" spans="1:21">
      <c r="A1380" s="782">
        <v>44662</v>
      </c>
      <c r="B1380" s="783" t="s">
        <v>41</v>
      </c>
      <c r="C1380" s="783" t="s">
        <v>4092</v>
      </c>
      <c r="D1380" s="783" t="s">
        <v>4009</v>
      </c>
      <c r="E1380" s="783" t="s">
        <v>473</v>
      </c>
      <c r="F1380" s="783" t="s">
        <v>4011</v>
      </c>
      <c r="G1380" s="783" t="str">
        <f t="shared" si="76"/>
        <v>New Contract</v>
      </c>
      <c r="H1380" s="783" t="s">
        <v>5252</v>
      </c>
      <c r="I1380" s="783" t="s">
        <v>5253</v>
      </c>
      <c r="J1380" s="783">
        <v>25</v>
      </c>
      <c r="K1380" s="783" t="s">
        <v>27</v>
      </c>
      <c r="L1380" s="783" t="s">
        <v>4096</v>
      </c>
      <c r="M1380" s="784">
        <v>58281.35</v>
      </c>
      <c r="N1380" s="784">
        <v>35.46</v>
      </c>
      <c r="O1380" s="784">
        <v>4.1399999999999997</v>
      </c>
      <c r="P1380" s="783">
        <v>397</v>
      </c>
      <c r="Q1380" s="783">
        <v>3706.69</v>
      </c>
      <c r="R1380" s="783">
        <v>2348.7399999999998</v>
      </c>
      <c r="S1380" s="783">
        <v>565.33000000000004</v>
      </c>
      <c r="T1380" s="783">
        <v>792.63</v>
      </c>
      <c r="U1380" s="785">
        <v>44663.428587962997</v>
      </c>
    </row>
    <row r="1381" spans="1:21">
      <c r="A1381" s="782">
        <v>44656</v>
      </c>
      <c r="B1381" s="783" t="s">
        <v>41</v>
      </c>
      <c r="C1381" s="783" t="s">
        <v>4092</v>
      </c>
      <c r="D1381" s="783" t="s">
        <v>4009</v>
      </c>
      <c r="E1381" s="783" t="s">
        <v>5254</v>
      </c>
      <c r="F1381" s="783" t="s">
        <v>4011</v>
      </c>
      <c r="G1381" s="783" t="str">
        <f t="shared" si="76"/>
        <v>Renewal (15% in 2020)</v>
      </c>
      <c r="H1381" s="783" t="s">
        <v>5255</v>
      </c>
      <c r="I1381" s="783" t="s">
        <v>5256</v>
      </c>
      <c r="J1381" s="783">
        <v>15</v>
      </c>
      <c r="K1381" s="783" t="s">
        <v>27</v>
      </c>
      <c r="L1381" s="783" t="s">
        <v>4096</v>
      </c>
      <c r="M1381" s="784">
        <v>27326.03</v>
      </c>
      <c r="N1381" s="784">
        <v>21.31</v>
      </c>
      <c r="O1381" s="784">
        <v>3.23</v>
      </c>
      <c r="P1381" s="783">
        <v>397</v>
      </c>
      <c r="Q1381" s="783">
        <v>2850.1</v>
      </c>
      <c r="R1381" s="783">
        <v>1101.24</v>
      </c>
      <c r="S1381" s="783">
        <v>265.06</v>
      </c>
      <c r="T1381" s="783">
        <v>1483.8</v>
      </c>
      <c r="U1381" s="785">
        <v>44657.6323148148</v>
      </c>
    </row>
    <row r="1382" spans="1:21">
      <c r="A1382" s="782">
        <v>44657</v>
      </c>
      <c r="B1382" s="783" t="s">
        <v>34</v>
      </c>
      <c r="C1382" s="783" t="s">
        <v>4082</v>
      </c>
      <c r="D1382" s="783" t="s">
        <v>4009</v>
      </c>
      <c r="E1382" s="783" t="s">
        <v>4593</v>
      </c>
      <c r="F1382" s="783" t="s">
        <v>4011</v>
      </c>
      <c r="G1382" s="783" t="str">
        <f t="shared" si="76"/>
        <v>Renewal (30% in 2020)</v>
      </c>
      <c r="H1382" s="783" t="s">
        <v>4594</v>
      </c>
      <c r="I1382" s="783" t="s">
        <v>4595</v>
      </c>
      <c r="J1382" s="783">
        <v>30</v>
      </c>
      <c r="K1382" s="783" t="s">
        <v>27</v>
      </c>
      <c r="L1382" s="783" t="s">
        <v>4096</v>
      </c>
      <c r="M1382" s="784">
        <v>15047.76</v>
      </c>
      <c r="N1382" s="784">
        <v>12.72</v>
      </c>
      <c r="O1382" s="784">
        <v>3.38</v>
      </c>
      <c r="P1382" s="783">
        <v>350</v>
      </c>
      <c r="Q1382" s="783">
        <v>824.62</v>
      </c>
      <c r="R1382" s="783">
        <v>610.94000000000005</v>
      </c>
      <c r="S1382" s="783">
        <v>0</v>
      </c>
      <c r="T1382" s="783">
        <v>213.68</v>
      </c>
      <c r="U1382" s="785">
        <v>44657.630636574097</v>
      </c>
    </row>
    <row r="1383" spans="1:21">
      <c r="A1383" s="782">
        <v>44690</v>
      </c>
      <c r="B1383" s="783" t="s">
        <v>41</v>
      </c>
      <c r="C1383" s="783" t="s">
        <v>4121</v>
      </c>
      <c r="D1383" s="783" t="s">
        <v>4009</v>
      </c>
      <c r="E1383" s="783" t="s">
        <v>4122</v>
      </c>
      <c r="F1383" s="783" t="s">
        <v>4011</v>
      </c>
      <c r="G1383" s="783" t="str">
        <f t="shared" si="76"/>
        <v>Renewal (20% in 2020)</v>
      </c>
      <c r="H1383" s="783" t="s">
        <v>4123</v>
      </c>
      <c r="I1383" s="783" t="s">
        <v>4124</v>
      </c>
      <c r="J1383" s="783">
        <v>20</v>
      </c>
      <c r="K1383" s="783" t="s">
        <v>27</v>
      </c>
      <c r="L1383" s="783" t="s">
        <v>4096</v>
      </c>
      <c r="M1383" s="784">
        <v>39730.5</v>
      </c>
      <c r="N1383" s="784">
        <v>27</v>
      </c>
      <c r="O1383" s="784">
        <v>3.27</v>
      </c>
      <c r="P1383" s="783">
        <v>450</v>
      </c>
      <c r="Q1383" s="783">
        <v>3897.56</v>
      </c>
      <c r="R1383" s="783">
        <v>1584.31</v>
      </c>
      <c r="S1383" s="783">
        <v>759.79</v>
      </c>
      <c r="T1383" s="783">
        <v>1553.46</v>
      </c>
      <c r="U1383" s="785">
        <v>44690.676423611098</v>
      </c>
    </row>
    <row r="1384" spans="1:21">
      <c r="A1384" s="782">
        <v>44685</v>
      </c>
      <c r="B1384" s="783" t="s">
        <v>41</v>
      </c>
      <c r="C1384" s="783" t="s">
        <v>4082</v>
      </c>
      <c r="D1384" s="783" t="s">
        <v>4009</v>
      </c>
      <c r="E1384" s="783" t="s">
        <v>533</v>
      </c>
      <c r="F1384" s="783" t="s">
        <v>4011</v>
      </c>
      <c r="G1384" s="783" t="str">
        <f t="shared" si="76"/>
        <v>Renewal (15% in 2020)</v>
      </c>
      <c r="H1384" s="783" t="s">
        <v>4596</v>
      </c>
      <c r="I1384" s="783" t="s">
        <v>4597</v>
      </c>
      <c r="J1384" s="783">
        <v>15</v>
      </c>
      <c r="K1384" s="783" t="s">
        <v>27</v>
      </c>
      <c r="L1384" s="783" t="s">
        <v>4096</v>
      </c>
      <c r="M1384" s="784">
        <v>8602.86</v>
      </c>
      <c r="N1384" s="784">
        <v>7.51</v>
      </c>
      <c r="O1384" s="784">
        <v>3.33</v>
      </c>
      <c r="P1384" s="783">
        <v>344</v>
      </c>
      <c r="Q1384" s="783">
        <v>912.76</v>
      </c>
      <c r="R1384" s="783">
        <v>349.28</v>
      </c>
      <c r="S1384" s="783">
        <v>86.03</v>
      </c>
      <c r="T1384" s="783">
        <v>477.46</v>
      </c>
      <c r="U1384" s="785">
        <v>44687.643043981501</v>
      </c>
    </row>
    <row r="1385" spans="1:21">
      <c r="A1385" s="782">
        <v>44683</v>
      </c>
      <c r="B1385" s="783" t="s">
        <v>41</v>
      </c>
      <c r="C1385" s="783" t="s">
        <v>4082</v>
      </c>
      <c r="D1385" s="783" t="s">
        <v>4009</v>
      </c>
      <c r="E1385" s="783" t="s">
        <v>870</v>
      </c>
      <c r="F1385" s="783" t="s">
        <v>4011</v>
      </c>
      <c r="G1385" s="783" t="str">
        <f t="shared" si="76"/>
        <v>Renewal (20% in 2020)</v>
      </c>
      <c r="H1385" s="783" t="s">
        <v>5262</v>
      </c>
      <c r="I1385" s="783" t="s">
        <v>5263</v>
      </c>
      <c r="J1385" s="783">
        <v>20</v>
      </c>
      <c r="K1385" s="783" t="s">
        <v>27</v>
      </c>
      <c r="L1385" s="783" t="s">
        <v>4096</v>
      </c>
      <c r="M1385" s="784">
        <v>25277.7</v>
      </c>
      <c r="N1385" s="784">
        <v>20.74</v>
      </c>
      <c r="O1385" s="784">
        <v>3.07</v>
      </c>
      <c r="P1385" s="783">
        <v>397</v>
      </c>
      <c r="Q1385" s="783">
        <v>2055.08</v>
      </c>
      <c r="R1385" s="783">
        <v>1026.27</v>
      </c>
      <c r="S1385" s="783">
        <v>252.78</v>
      </c>
      <c r="T1385" s="783">
        <v>776.03</v>
      </c>
      <c r="U1385" s="785">
        <v>44708.637372685203</v>
      </c>
    </row>
    <row r="1386" spans="1:21">
      <c r="A1386" s="782">
        <v>44684</v>
      </c>
      <c r="B1386" s="783" t="s">
        <v>30</v>
      </c>
      <c r="C1386" s="783" t="s">
        <v>4239</v>
      </c>
      <c r="D1386" s="783" t="s">
        <v>4021</v>
      </c>
      <c r="E1386" s="783" t="s">
        <v>5264</v>
      </c>
      <c r="F1386" s="783" t="s">
        <v>4011</v>
      </c>
      <c r="G1386" s="783" t="str">
        <f t="shared" si="76"/>
        <v>Renewal (15% in 2020)</v>
      </c>
      <c r="H1386" s="783" t="s">
        <v>5265</v>
      </c>
      <c r="I1386" s="783" t="s">
        <v>5266</v>
      </c>
      <c r="J1386" s="783">
        <v>15</v>
      </c>
      <c r="K1386" s="783" t="s">
        <v>27</v>
      </c>
      <c r="L1386" s="783" t="s">
        <v>4096</v>
      </c>
      <c r="M1386" s="784">
        <v>13244.7</v>
      </c>
      <c r="N1386" s="784">
        <v>11.13</v>
      </c>
      <c r="O1386" s="784">
        <v>3.4</v>
      </c>
      <c r="P1386" s="783">
        <v>350</v>
      </c>
      <c r="Q1386" s="783">
        <v>1504.6</v>
      </c>
      <c r="R1386" s="783">
        <v>525.80999999999995</v>
      </c>
      <c r="S1386" s="783">
        <v>170.86</v>
      </c>
      <c r="T1386" s="783">
        <v>807.93</v>
      </c>
      <c r="U1386" s="785">
        <v>44685.407048611101</v>
      </c>
    </row>
    <row r="1387" spans="1:21">
      <c r="A1387" s="782">
        <v>44686</v>
      </c>
      <c r="B1387" s="783" t="s">
        <v>3078</v>
      </c>
      <c r="C1387" s="783" t="s">
        <v>4414</v>
      </c>
      <c r="D1387" s="783" t="s">
        <v>4009</v>
      </c>
      <c r="E1387" s="783" t="s">
        <v>3179</v>
      </c>
      <c r="F1387" s="783" t="s">
        <v>4011</v>
      </c>
      <c r="G1387" s="783" t="str">
        <f t="shared" si="76"/>
        <v>Renewal (25% in 2020)</v>
      </c>
      <c r="H1387" s="783" t="s">
        <v>6540</v>
      </c>
      <c r="I1387" s="783" t="s">
        <v>6541</v>
      </c>
      <c r="J1387" s="783">
        <v>25</v>
      </c>
      <c r="K1387" s="783" t="s">
        <v>27</v>
      </c>
      <c r="L1387" s="783" t="s">
        <v>4096</v>
      </c>
      <c r="M1387" s="784">
        <v>12656.7</v>
      </c>
      <c r="N1387" s="784">
        <v>8.1999999999999993</v>
      </c>
      <c r="O1387" s="784">
        <v>3.43</v>
      </c>
      <c r="P1387" s="783">
        <v>450</v>
      </c>
      <c r="Q1387" s="783">
        <v>1010</v>
      </c>
      <c r="R1387" s="783">
        <v>434.36</v>
      </c>
      <c r="S1387" s="783">
        <v>275.68</v>
      </c>
      <c r="T1387" s="783">
        <v>299.95999999999998</v>
      </c>
      <c r="U1387" s="785">
        <v>44687.668344907397</v>
      </c>
    </row>
    <row r="1388" spans="1:21">
      <c r="A1388" s="782">
        <v>44685</v>
      </c>
      <c r="B1388" s="783" t="s">
        <v>41</v>
      </c>
      <c r="C1388" s="783" t="s">
        <v>4092</v>
      </c>
      <c r="D1388" s="783" t="s">
        <v>4009</v>
      </c>
      <c r="E1388" s="783" t="s">
        <v>5270</v>
      </c>
      <c r="F1388" s="783" t="s">
        <v>4011</v>
      </c>
      <c r="G1388" s="783" t="str">
        <f t="shared" si="76"/>
        <v>Renewal (15% in 2020)</v>
      </c>
      <c r="H1388" s="783" t="s">
        <v>5271</v>
      </c>
      <c r="I1388" s="783" t="s">
        <v>5272</v>
      </c>
      <c r="J1388" s="783">
        <v>15</v>
      </c>
      <c r="K1388" s="783" t="s">
        <v>27</v>
      </c>
      <c r="L1388" s="783" t="s">
        <v>4096</v>
      </c>
      <c r="M1388" s="784">
        <v>7263.83</v>
      </c>
      <c r="N1388" s="784">
        <v>7.47</v>
      </c>
      <c r="O1388" s="784">
        <v>2.86</v>
      </c>
      <c r="P1388" s="783">
        <v>340</v>
      </c>
      <c r="Q1388" s="783">
        <v>757.62</v>
      </c>
      <c r="R1388" s="783">
        <v>292.73</v>
      </c>
      <c r="S1388" s="783">
        <v>70.459999999999994</v>
      </c>
      <c r="T1388" s="783">
        <v>394.43</v>
      </c>
      <c r="U1388" s="785">
        <v>44685.625937500001</v>
      </c>
    </row>
    <row r="1389" spans="1:21">
      <c r="A1389" s="782">
        <v>44686</v>
      </c>
      <c r="B1389" s="783" t="s">
        <v>41</v>
      </c>
      <c r="C1389" s="783" t="s">
        <v>4092</v>
      </c>
      <c r="D1389" s="783" t="s">
        <v>4009</v>
      </c>
      <c r="E1389" s="783" t="s">
        <v>5273</v>
      </c>
      <c r="F1389" s="783" t="s">
        <v>4011</v>
      </c>
      <c r="G1389" s="783" t="str">
        <f t="shared" si="76"/>
        <v>New Contract</v>
      </c>
      <c r="H1389" s="783" t="s">
        <v>5274</v>
      </c>
      <c r="I1389" s="783" t="s">
        <v>5275</v>
      </c>
      <c r="J1389" s="783">
        <v>25</v>
      </c>
      <c r="K1389" s="783" t="s">
        <v>27</v>
      </c>
      <c r="L1389" s="783" t="s">
        <v>4096</v>
      </c>
      <c r="M1389" s="784">
        <v>16808.919999999998</v>
      </c>
      <c r="N1389" s="784">
        <v>13.01</v>
      </c>
      <c r="O1389" s="784">
        <v>3.23</v>
      </c>
      <c r="P1389" s="783">
        <v>400</v>
      </c>
      <c r="Q1389" s="783">
        <v>1069.05</v>
      </c>
      <c r="R1389" s="783">
        <v>672.32</v>
      </c>
      <c r="S1389" s="783">
        <v>168.13</v>
      </c>
      <c r="T1389" s="783">
        <v>228.6</v>
      </c>
      <c r="U1389" s="785">
        <v>44687.614872685197</v>
      </c>
    </row>
    <row r="1390" spans="1:21">
      <c r="A1390" s="782">
        <v>44691</v>
      </c>
      <c r="B1390" s="783" t="s">
        <v>41</v>
      </c>
      <c r="C1390" s="783" t="s">
        <v>4092</v>
      </c>
      <c r="D1390" s="783" t="s">
        <v>4009</v>
      </c>
      <c r="E1390" s="783" t="s">
        <v>5276</v>
      </c>
      <c r="F1390" s="783" t="s">
        <v>4011</v>
      </c>
      <c r="G1390" s="783" t="str">
        <f t="shared" si="76"/>
        <v>Renewal (20% in 2020)</v>
      </c>
      <c r="H1390" s="783" t="s">
        <v>5277</v>
      </c>
      <c r="I1390" s="783" t="s">
        <v>5278</v>
      </c>
      <c r="J1390" s="783">
        <v>20</v>
      </c>
      <c r="K1390" s="783" t="s">
        <v>27</v>
      </c>
      <c r="L1390" s="783" t="s">
        <v>4096</v>
      </c>
      <c r="M1390" s="784">
        <v>7566.03</v>
      </c>
      <c r="N1390" s="784">
        <v>7.33</v>
      </c>
      <c r="O1390" s="784">
        <v>2.6</v>
      </c>
      <c r="P1390" s="783">
        <v>397</v>
      </c>
      <c r="Q1390" s="783">
        <v>604.53</v>
      </c>
      <c r="R1390" s="783">
        <v>304.91000000000003</v>
      </c>
      <c r="S1390" s="783">
        <v>73.39</v>
      </c>
      <c r="T1390" s="783">
        <v>226.22</v>
      </c>
      <c r="U1390" s="785">
        <v>44708.6492939815</v>
      </c>
    </row>
    <row r="1391" spans="1:21">
      <c r="A1391" s="782">
        <v>44687</v>
      </c>
      <c r="B1391" s="783" t="s">
        <v>51</v>
      </c>
      <c r="C1391" s="783" t="s">
        <v>4042</v>
      </c>
      <c r="D1391" s="783" t="s">
        <v>4016</v>
      </c>
      <c r="E1391" s="783" t="s">
        <v>4043</v>
      </c>
      <c r="F1391" s="783" t="s">
        <v>4011</v>
      </c>
      <c r="G1391" s="783" t="s">
        <v>4028</v>
      </c>
      <c r="H1391" s="783" t="s">
        <v>4044</v>
      </c>
      <c r="I1391" s="783" t="s">
        <v>4045</v>
      </c>
      <c r="J1391" s="783">
        <v>25</v>
      </c>
      <c r="K1391" s="783" t="s">
        <v>27</v>
      </c>
      <c r="L1391" s="783" t="s">
        <v>4096</v>
      </c>
      <c r="M1391" s="784">
        <v>46237.89</v>
      </c>
      <c r="N1391" s="784">
        <v>40.08</v>
      </c>
      <c r="O1391" s="784">
        <v>3.02</v>
      </c>
      <c r="P1391" s="783">
        <v>382</v>
      </c>
      <c r="Q1391" s="783">
        <v>3551.07</v>
      </c>
      <c r="R1391" s="783">
        <v>2288.7800000000002</v>
      </c>
      <c r="S1391" s="783">
        <v>323.67</v>
      </c>
      <c r="T1391" s="783">
        <v>938.63</v>
      </c>
      <c r="U1391" s="785">
        <v>44687.596307870401</v>
      </c>
    </row>
    <row r="1392" spans="1:21">
      <c r="A1392" s="782">
        <v>44690</v>
      </c>
      <c r="B1392" s="783" t="s">
        <v>41</v>
      </c>
      <c r="C1392" s="783" t="s">
        <v>4092</v>
      </c>
      <c r="D1392" s="783" t="s">
        <v>4009</v>
      </c>
      <c r="E1392" s="783" t="s">
        <v>5279</v>
      </c>
      <c r="F1392" s="783" t="s">
        <v>4011</v>
      </c>
      <c r="G1392" s="783" t="str">
        <f t="shared" ref="G1392:G1397" si="77">VLOOKUP(I1392,pacage,2,FALSE)</f>
        <v>New contract</v>
      </c>
      <c r="H1392" s="783" t="s">
        <v>5280</v>
      </c>
      <c r="I1392" s="783" t="s">
        <v>5281</v>
      </c>
      <c r="J1392" s="783">
        <v>30</v>
      </c>
      <c r="K1392" s="783" t="s">
        <v>27</v>
      </c>
      <c r="L1392" s="783" t="s">
        <v>4096</v>
      </c>
      <c r="M1392" s="784">
        <v>67824</v>
      </c>
      <c r="N1392" s="784">
        <v>47.1</v>
      </c>
      <c r="O1392" s="784">
        <v>3.2</v>
      </c>
      <c r="P1392" s="783">
        <v>450</v>
      </c>
      <c r="Q1392" s="783">
        <v>3655.71</v>
      </c>
      <c r="R1392" s="783">
        <v>2411.38</v>
      </c>
      <c r="S1392" s="783">
        <v>321.92</v>
      </c>
      <c r="T1392" s="783">
        <v>922.41</v>
      </c>
      <c r="U1392" s="785">
        <v>44691.487615740698</v>
      </c>
    </row>
    <row r="1393" spans="1:21">
      <c r="A1393" s="782">
        <v>44687</v>
      </c>
      <c r="B1393" s="783" t="s">
        <v>118</v>
      </c>
      <c r="C1393" s="783" t="s">
        <v>4139</v>
      </c>
      <c r="D1393" s="783" t="s">
        <v>4009</v>
      </c>
      <c r="E1393" s="783" t="s">
        <v>5282</v>
      </c>
      <c r="F1393" s="783" t="s">
        <v>4011</v>
      </c>
      <c r="G1393" s="783" t="str">
        <f t="shared" si="77"/>
        <v>Renewal (15% in 2020)</v>
      </c>
      <c r="H1393" s="783" t="s">
        <v>5283</v>
      </c>
      <c r="I1393" s="783" t="s">
        <v>5284</v>
      </c>
      <c r="J1393" s="783">
        <v>15</v>
      </c>
      <c r="K1393" s="783" t="s">
        <v>27</v>
      </c>
      <c r="L1393" s="783" t="s">
        <v>4096</v>
      </c>
      <c r="M1393" s="784">
        <v>22575.040000000001</v>
      </c>
      <c r="N1393" s="784">
        <v>15.01</v>
      </c>
      <c r="O1393" s="784">
        <v>3.2</v>
      </c>
      <c r="P1393" s="783">
        <v>470</v>
      </c>
      <c r="Q1393" s="783">
        <v>3079.24</v>
      </c>
      <c r="R1393" s="783">
        <v>1105.98</v>
      </c>
      <c r="S1393" s="783">
        <v>361.39</v>
      </c>
      <c r="T1393" s="783">
        <v>1611.86</v>
      </c>
      <c r="U1393" s="785">
        <v>44690.591203703698</v>
      </c>
    </row>
    <row r="1394" spans="1:21">
      <c r="A1394" s="782">
        <v>44693</v>
      </c>
      <c r="B1394" s="783" t="s">
        <v>397</v>
      </c>
      <c r="C1394" s="783" t="s">
        <v>4582</v>
      </c>
      <c r="D1394" s="783" t="s">
        <v>4193</v>
      </c>
      <c r="E1394" s="783" t="s">
        <v>4492</v>
      </c>
      <c r="F1394" s="783" t="s">
        <v>4011</v>
      </c>
      <c r="G1394" s="783" t="str">
        <f t="shared" si="77"/>
        <v>Renewal (20% in 2020)</v>
      </c>
      <c r="H1394" s="783" t="s">
        <v>4493</v>
      </c>
      <c r="I1394" s="783" t="s">
        <v>4494</v>
      </c>
      <c r="J1394" s="783">
        <v>20</v>
      </c>
      <c r="K1394" s="783" t="s">
        <v>27</v>
      </c>
      <c r="L1394" s="783" t="s">
        <v>4096</v>
      </c>
      <c r="M1394" s="784">
        <v>8347.9599999999991</v>
      </c>
      <c r="N1394" s="784">
        <v>7.08</v>
      </c>
      <c r="O1394" s="784">
        <v>2.97</v>
      </c>
      <c r="P1394" s="783">
        <v>397</v>
      </c>
      <c r="Q1394" s="783">
        <v>725.44</v>
      </c>
      <c r="R1394" s="783">
        <v>391.52</v>
      </c>
      <c r="S1394" s="783">
        <v>49.25</v>
      </c>
      <c r="T1394" s="783">
        <v>284.67</v>
      </c>
      <c r="U1394" s="785">
        <v>44693.475787037001</v>
      </c>
    </row>
    <row r="1395" spans="1:21">
      <c r="A1395" s="782">
        <v>44693</v>
      </c>
      <c r="B1395" s="783" t="s">
        <v>397</v>
      </c>
      <c r="C1395" s="783" t="s">
        <v>4491</v>
      </c>
      <c r="D1395" s="783" t="s">
        <v>4193</v>
      </c>
      <c r="E1395" s="783" t="s">
        <v>4492</v>
      </c>
      <c r="F1395" s="783" t="s">
        <v>4011</v>
      </c>
      <c r="G1395" s="783" t="str">
        <f t="shared" si="77"/>
        <v>Renewal (20% in 2020)</v>
      </c>
      <c r="H1395" s="783" t="s">
        <v>4493</v>
      </c>
      <c r="I1395" s="783" t="s">
        <v>4494</v>
      </c>
      <c r="J1395" s="783">
        <v>20</v>
      </c>
      <c r="K1395" s="783" t="s">
        <v>27</v>
      </c>
      <c r="L1395" s="783" t="s">
        <v>4096</v>
      </c>
      <c r="M1395" s="784">
        <v>12597.68</v>
      </c>
      <c r="N1395" s="784">
        <v>10.37</v>
      </c>
      <c r="O1395" s="784">
        <v>3.06</v>
      </c>
      <c r="P1395" s="783">
        <v>397</v>
      </c>
      <c r="Q1395" s="783">
        <v>1221.98</v>
      </c>
      <c r="R1395" s="783">
        <v>658.86</v>
      </c>
      <c r="S1395" s="783">
        <v>85.66</v>
      </c>
      <c r="T1395" s="783">
        <v>477.45</v>
      </c>
      <c r="U1395" s="785">
        <v>44693.475787037001</v>
      </c>
    </row>
    <row r="1396" spans="1:21">
      <c r="A1396" s="782">
        <v>44663</v>
      </c>
      <c r="B1396" s="783" t="s">
        <v>41</v>
      </c>
      <c r="C1396" s="783" t="s">
        <v>4092</v>
      </c>
      <c r="D1396" s="783" t="s">
        <v>4009</v>
      </c>
      <c r="E1396" s="783" t="s">
        <v>4301</v>
      </c>
      <c r="F1396" s="783" t="s">
        <v>4011</v>
      </c>
      <c r="G1396" s="783" t="str">
        <f t="shared" si="77"/>
        <v>Renewal (15% in 2020)</v>
      </c>
      <c r="H1396" s="783" t="s">
        <v>4302</v>
      </c>
      <c r="I1396" s="783" t="s">
        <v>4303</v>
      </c>
      <c r="J1396" s="783">
        <v>15</v>
      </c>
      <c r="K1396" s="783" t="s">
        <v>27</v>
      </c>
      <c r="L1396" s="783" t="s">
        <v>4096</v>
      </c>
      <c r="M1396" s="784">
        <v>18631.96</v>
      </c>
      <c r="N1396" s="784">
        <v>14.53</v>
      </c>
      <c r="O1396" s="784">
        <v>3.23</v>
      </c>
      <c r="P1396" s="783">
        <v>397</v>
      </c>
      <c r="Q1396" s="783">
        <v>1943.31</v>
      </c>
      <c r="R1396" s="783">
        <v>750.87</v>
      </c>
      <c r="S1396" s="783">
        <v>180.73</v>
      </c>
      <c r="T1396" s="783">
        <v>1011.72</v>
      </c>
      <c r="U1396" s="785">
        <v>44663.637002314797</v>
      </c>
    </row>
    <row r="1397" spans="1:21">
      <c r="A1397" s="782">
        <v>44665</v>
      </c>
      <c r="B1397" s="783" t="s">
        <v>74</v>
      </c>
      <c r="C1397" s="783" t="s">
        <v>4037</v>
      </c>
      <c r="D1397" s="783" t="s">
        <v>4038</v>
      </c>
      <c r="E1397" s="783" t="s">
        <v>4304</v>
      </c>
      <c r="F1397" s="783" t="s">
        <v>4011</v>
      </c>
      <c r="G1397" s="783" t="str">
        <f t="shared" si="77"/>
        <v>Renewal (15% in 2020)</v>
      </c>
      <c r="H1397" s="783" t="s">
        <v>4305</v>
      </c>
      <c r="I1397" s="783" t="s">
        <v>4306</v>
      </c>
      <c r="J1397" s="783">
        <v>30</v>
      </c>
      <c r="K1397" s="783" t="s">
        <v>27</v>
      </c>
      <c r="L1397" s="783" t="s">
        <v>4096</v>
      </c>
      <c r="M1397" s="784">
        <v>8154.94</v>
      </c>
      <c r="N1397" s="784">
        <v>15.26</v>
      </c>
      <c r="O1397" s="784">
        <v>1.67</v>
      </c>
      <c r="P1397" s="783">
        <v>320</v>
      </c>
      <c r="Q1397" s="783">
        <v>555.35</v>
      </c>
      <c r="R1397" s="783">
        <v>345.77</v>
      </c>
      <c r="S1397" s="783">
        <v>0</v>
      </c>
      <c r="T1397" s="783">
        <v>209.58</v>
      </c>
      <c r="U1397" s="785">
        <v>44666.389201388898</v>
      </c>
    </row>
    <row r="1398" spans="1:21">
      <c r="A1398" s="782">
        <v>44668</v>
      </c>
      <c r="B1398" s="783" t="s">
        <v>4025</v>
      </c>
      <c r="C1398" s="783" t="s">
        <v>4026</v>
      </c>
      <c r="D1398" s="783" t="s">
        <v>4021</v>
      </c>
      <c r="E1398" s="783" t="s">
        <v>5291</v>
      </c>
      <c r="F1398" s="783" t="s">
        <v>4066</v>
      </c>
      <c r="G1398" s="783" t="s">
        <v>4028</v>
      </c>
      <c r="H1398" s="783" t="s">
        <v>5292</v>
      </c>
      <c r="I1398" s="783" t="s">
        <v>5293</v>
      </c>
      <c r="J1398" s="783">
        <v>5</v>
      </c>
      <c r="K1398" s="783" t="s">
        <v>27</v>
      </c>
      <c r="L1398" s="783" t="s">
        <v>4096</v>
      </c>
      <c r="M1398" s="784">
        <v>13230</v>
      </c>
      <c r="N1398" s="784">
        <v>9</v>
      </c>
      <c r="O1398" s="784">
        <v>3</v>
      </c>
      <c r="P1398" s="783">
        <v>490</v>
      </c>
      <c r="Q1398" s="783">
        <v>619.16</v>
      </c>
      <c r="R1398" s="783">
        <v>0</v>
      </c>
      <c r="S1398" s="783">
        <v>0</v>
      </c>
      <c r="T1398" s="783">
        <v>619.16</v>
      </c>
      <c r="U1398" s="785">
        <v>44671.489861111098</v>
      </c>
    </row>
    <row r="1399" spans="1:21">
      <c r="A1399" s="782">
        <v>44666</v>
      </c>
      <c r="B1399" s="783" t="s">
        <v>41</v>
      </c>
      <c r="C1399" s="783" t="s">
        <v>4092</v>
      </c>
      <c r="D1399" s="783" t="s">
        <v>4009</v>
      </c>
      <c r="E1399" s="783" t="s">
        <v>5299</v>
      </c>
      <c r="F1399" s="783" t="s">
        <v>4011</v>
      </c>
      <c r="G1399" s="783" t="str">
        <f t="shared" ref="G1399:G1406" si="78">VLOOKUP(I1399,pacage,2,FALSE)</f>
        <v>Renewal (20% in 2020)</v>
      </c>
      <c r="H1399" s="783" t="s">
        <v>5300</v>
      </c>
      <c r="I1399" s="783" t="s">
        <v>5301</v>
      </c>
      <c r="J1399" s="783">
        <v>20</v>
      </c>
      <c r="K1399" s="783" t="s">
        <v>27</v>
      </c>
      <c r="L1399" s="783" t="s">
        <v>4096</v>
      </c>
      <c r="M1399" s="784">
        <v>14628.02</v>
      </c>
      <c r="N1399" s="784">
        <v>13.32</v>
      </c>
      <c r="O1399" s="784">
        <v>2.89</v>
      </c>
      <c r="P1399" s="783">
        <v>380</v>
      </c>
      <c r="Q1399" s="783">
        <v>1168.78</v>
      </c>
      <c r="R1399" s="783">
        <v>589.51</v>
      </c>
      <c r="S1399" s="783">
        <v>141.88999999999999</v>
      </c>
      <c r="T1399" s="783">
        <v>437.38</v>
      </c>
      <c r="U1399" s="785">
        <v>44671.484583333302</v>
      </c>
    </row>
    <row r="1400" spans="1:21">
      <c r="A1400" s="782">
        <v>44711</v>
      </c>
      <c r="B1400" s="783" t="s">
        <v>113</v>
      </c>
      <c r="C1400" s="783" t="s">
        <v>4606</v>
      </c>
      <c r="D1400" s="783" t="s">
        <v>4009</v>
      </c>
      <c r="E1400" s="783" t="s">
        <v>659</v>
      </c>
      <c r="F1400" s="783" t="s">
        <v>4011</v>
      </c>
      <c r="G1400" s="783" t="str">
        <f t="shared" si="78"/>
        <v>Renewal (20% in 2020)</v>
      </c>
      <c r="H1400" s="783" t="s">
        <v>6565</v>
      </c>
      <c r="I1400" s="783" t="s">
        <v>6566</v>
      </c>
      <c r="J1400" s="783">
        <v>20</v>
      </c>
      <c r="K1400" s="783" t="s">
        <v>27</v>
      </c>
      <c r="L1400" s="783" t="s">
        <v>4096</v>
      </c>
      <c r="M1400" s="784">
        <v>9232.6299999999992</v>
      </c>
      <c r="N1400" s="784">
        <v>6.84</v>
      </c>
      <c r="O1400" s="784">
        <v>3.4</v>
      </c>
      <c r="P1400" s="783">
        <v>397</v>
      </c>
      <c r="Q1400" s="783">
        <v>616.74</v>
      </c>
      <c r="R1400" s="783">
        <v>251.13</v>
      </c>
      <c r="S1400" s="783">
        <v>103.41</v>
      </c>
      <c r="T1400" s="783">
        <v>262.20999999999998</v>
      </c>
      <c r="U1400" s="785">
        <v>44713.629039351901</v>
      </c>
    </row>
    <row r="1401" spans="1:21">
      <c r="A1401" s="782">
        <v>44712</v>
      </c>
      <c r="B1401" s="783" t="s">
        <v>715</v>
      </c>
      <c r="C1401" s="783" t="s">
        <v>4042</v>
      </c>
      <c r="D1401" s="783" t="s">
        <v>4016</v>
      </c>
      <c r="E1401" s="783" t="s">
        <v>1478</v>
      </c>
      <c r="F1401" s="783" t="s">
        <v>4011</v>
      </c>
      <c r="G1401" s="783" t="str">
        <f t="shared" si="78"/>
        <v>Renewal (20% in 2020)</v>
      </c>
      <c r="H1401" s="783" t="s">
        <v>5302</v>
      </c>
      <c r="I1401" s="783" t="s">
        <v>5303</v>
      </c>
      <c r="J1401" s="783">
        <v>20</v>
      </c>
      <c r="K1401" s="783" t="s">
        <v>27</v>
      </c>
      <c r="L1401" s="783" t="s">
        <v>4096</v>
      </c>
      <c r="M1401" s="784">
        <v>225078</v>
      </c>
      <c r="N1401" s="784">
        <v>116.5</v>
      </c>
      <c r="O1401" s="784">
        <v>2.76</v>
      </c>
      <c r="P1401" s="783">
        <v>700</v>
      </c>
      <c r="Q1401" s="783">
        <v>21494.95</v>
      </c>
      <c r="R1401" s="783">
        <v>6318.74</v>
      </c>
      <c r="S1401" s="783">
        <v>6398.16</v>
      </c>
      <c r="T1401" s="783">
        <v>8778.0400000000009</v>
      </c>
      <c r="U1401" s="785">
        <v>44714.010312500002</v>
      </c>
    </row>
    <row r="1402" spans="1:21">
      <c r="A1402" s="782">
        <v>44711</v>
      </c>
      <c r="B1402" s="783" t="s">
        <v>74</v>
      </c>
      <c r="C1402" s="783" t="s">
        <v>4602</v>
      </c>
      <c r="D1402" s="783" t="s">
        <v>4038</v>
      </c>
      <c r="E1402" s="783" t="s">
        <v>4603</v>
      </c>
      <c r="F1402" s="783" t="s">
        <v>4011</v>
      </c>
      <c r="G1402" s="783" t="str">
        <f t="shared" si="78"/>
        <v>Renewal (30% in 2020)</v>
      </c>
      <c r="H1402" s="783" t="s">
        <v>4604</v>
      </c>
      <c r="I1402" s="783" t="s">
        <v>4605</v>
      </c>
      <c r="J1402" s="783">
        <v>30</v>
      </c>
      <c r="K1402" s="783" t="s">
        <v>27</v>
      </c>
      <c r="L1402" s="783" t="s">
        <v>4096</v>
      </c>
      <c r="M1402" s="784">
        <v>49547.55</v>
      </c>
      <c r="N1402" s="784">
        <v>49.33</v>
      </c>
      <c r="O1402" s="784">
        <v>2.5299999999999998</v>
      </c>
      <c r="P1402" s="783">
        <v>397</v>
      </c>
      <c r="Q1402" s="783">
        <v>3418.78</v>
      </c>
      <c r="R1402" s="783">
        <v>2408.0100000000002</v>
      </c>
      <c r="S1402" s="783">
        <v>0</v>
      </c>
      <c r="T1402" s="783">
        <v>1010.77</v>
      </c>
      <c r="U1402" s="785">
        <v>44712.722673611097</v>
      </c>
    </row>
    <row r="1403" spans="1:21">
      <c r="A1403" s="782">
        <v>44712</v>
      </c>
      <c r="B1403" s="783" t="s">
        <v>41</v>
      </c>
      <c r="C1403" s="783" t="s">
        <v>4071</v>
      </c>
      <c r="D1403" s="783" t="s">
        <v>4009</v>
      </c>
      <c r="E1403" s="783" t="s">
        <v>4313</v>
      </c>
      <c r="F1403" s="783" t="s">
        <v>4011</v>
      </c>
      <c r="G1403" s="783" t="str">
        <f t="shared" si="78"/>
        <v>Renewal (15% in 2020)</v>
      </c>
      <c r="H1403" s="783" t="s">
        <v>4314</v>
      </c>
      <c r="I1403" s="783" t="s">
        <v>4315</v>
      </c>
      <c r="J1403" s="783">
        <v>15</v>
      </c>
      <c r="K1403" s="783" t="s">
        <v>27</v>
      </c>
      <c r="L1403" s="783" t="s">
        <v>4096</v>
      </c>
      <c r="M1403" s="784">
        <v>77522.19</v>
      </c>
      <c r="N1403" s="784">
        <v>69</v>
      </c>
      <c r="O1403" s="784">
        <v>2.83</v>
      </c>
      <c r="P1403" s="783">
        <v>397</v>
      </c>
      <c r="Q1403" s="783">
        <v>8798.77</v>
      </c>
      <c r="R1403" s="783">
        <v>3721.07</v>
      </c>
      <c r="S1403" s="783">
        <v>457.38</v>
      </c>
      <c r="T1403" s="783">
        <v>4620.32</v>
      </c>
      <c r="U1403" s="785">
        <v>44714.669097222199</v>
      </c>
    </row>
    <row r="1404" spans="1:21">
      <c r="A1404" s="782">
        <v>44697</v>
      </c>
      <c r="B1404" s="783" t="s">
        <v>41</v>
      </c>
      <c r="C1404" s="783" t="s">
        <v>4071</v>
      </c>
      <c r="D1404" s="783" t="s">
        <v>4009</v>
      </c>
      <c r="E1404" s="783" t="s">
        <v>5310</v>
      </c>
      <c r="F1404" s="783" t="s">
        <v>4011</v>
      </c>
      <c r="G1404" s="783" t="str">
        <f t="shared" si="78"/>
        <v>Renewal (15% in 2020)</v>
      </c>
      <c r="H1404" s="783" t="s">
        <v>5311</v>
      </c>
      <c r="I1404" s="783" t="s">
        <v>5312</v>
      </c>
      <c r="J1404" s="783">
        <v>15</v>
      </c>
      <c r="K1404" s="783" t="s">
        <v>27</v>
      </c>
      <c r="L1404" s="783" t="s">
        <v>4096</v>
      </c>
      <c r="M1404" s="784">
        <v>3207.6</v>
      </c>
      <c r="N1404" s="784">
        <v>2.16</v>
      </c>
      <c r="O1404" s="784">
        <v>3.3</v>
      </c>
      <c r="P1404" s="783">
        <v>450</v>
      </c>
      <c r="Q1404" s="783">
        <v>364.06</v>
      </c>
      <c r="R1404" s="783">
        <v>135.83000000000001</v>
      </c>
      <c r="S1404" s="783">
        <v>37.06</v>
      </c>
      <c r="T1404" s="783">
        <v>191.17</v>
      </c>
      <c r="U1404" s="785">
        <v>44698.593171296299</v>
      </c>
    </row>
    <row r="1405" spans="1:21">
      <c r="A1405" s="782">
        <v>44699</v>
      </c>
      <c r="B1405" s="783" t="s">
        <v>41</v>
      </c>
      <c r="C1405" s="783" t="s">
        <v>4008</v>
      </c>
      <c r="D1405" s="783" t="s">
        <v>4009</v>
      </c>
      <c r="E1405" s="783" t="s">
        <v>507</v>
      </c>
      <c r="F1405" s="783" t="s">
        <v>4011</v>
      </c>
      <c r="G1405" s="783" t="str">
        <f t="shared" si="78"/>
        <v>Renewal (15% in 2020)</v>
      </c>
      <c r="H1405" s="783" t="s">
        <v>4318</v>
      </c>
      <c r="I1405" s="783" t="s">
        <v>4319</v>
      </c>
      <c r="J1405" s="783">
        <v>15</v>
      </c>
      <c r="K1405" s="783" t="s">
        <v>27</v>
      </c>
      <c r="L1405" s="783" t="s">
        <v>4096</v>
      </c>
      <c r="M1405" s="784">
        <v>73746.720000000001</v>
      </c>
      <c r="N1405" s="784">
        <v>48</v>
      </c>
      <c r="O1405" s="784">
        <v>3.87</v>
      </c>
      <c r="P1405" s="783">
        <v>397</v>
      </c>
      <c r="Q1405" s="783">
        <v>9528.08</v>
      </c>
      <c r="R1405" s="783">
        <v>3185.86</v>
      </c>
      <c r="S1405" s="783">
        <v>1157.82</v>
      </c>
      <c r="T1405" s="783">
        <v>5184.3900000000003</v>
      </c>
      <c r="U1405" s="785">
        <v>44700.5155324074</v>
      </c>
    </row>
    <row r="1406" spans="1:21">
      <c r="A1406" s="782">
        <v>44699</v>
      </c>
      <c r="B1406" s="783" t="s">
        <v>41</v>
      </c>
      <c r="C1406" s="783" t="s">
        <v>4092</v>
      </c>
      <c r="D1406" s="783" t="s">
        <v>4009</v>
      </c>
      <c r="E1406" s="783" t="s">
        <v>507</v>
      </c>
      <c r="F1406" s="783" t="s">
        <v>4011</v>
      </c>
      <c r="G1406" s="783" t="str">
        <f t="shared" si="78"/>
        <v>Renewal (15% in 2020)</v>
      </c>
      <c r="H1406" s="783" t="s">
        <v>4318</v>
      </c>
      <c r="I1406" s="783" t="s">
        <v>4319</v>
      </c>
      <c r="J1406" s="783">
        <v>15</v>
      </c>
      <c r="K1406" s="783" t="s">
        <v>27</v>
      </c>
      <c r="L1406" s="783" t="s">
        <v>4096</v>
      </c>
      <c r="M1406" s="784">
        <v>10861.56</v>
      </c>
      <c r="N1406" s="784">
        <v>8.9</v>
      </c>
      <c r="O1406" s="784">
        <v>3.39</v>
      </c>
      <c r="P1406" s="783">
        <v>360</v>
      </c>
      <c r="Q1406" s="783">
        <v>1132.8599999999999</v>
      </c>
      <c r="R1406" s="783">
        <v>437.72</v>
      </c>
      <c r="S1406" s="783">
        <v>105.36</v>
      </c>
      <c r="T1406" s="783">
        <v>589.78</v>
      </c>
      <c r="U1406" s="785">
        <v>44700.5155324074</v>
      </c>
    </row>
    <row r="1407" spans="1:21">
      <c r="A1407" s="782">
        <v>44701</v>
      </c>
      <c r="B1407" s="783" t="s">
        <v>34</v>
      </c>
      <c r="C1407" s="783" t="s">
        <v>4082</v>
      </c>
      <c r="D1407" s="783" t="s">
        <v>4009</v>
      </c>
      <c r="E1407" s="783" t="s">
        <v>5319</v>
      </c>
      <c r="F1407" s="783" t="s">
        <v>4011</v>
      </c>
      <c r="G1407" s="783" t="s">
        <v>4028</v>
      </c>
      <c r="H1407" s="783" t="s">
        <v>5320</v>
      </c>
      <c r="I1407" s="783" t="s">
        <v>5321</v>
      </c>
      <c r="J1407" s="783">
        <v>30</v>
      </c>
      <c r="K1407" s="783" t="s">
        <v>27</v>
      </c>
      <c r="L1407" s="783" t="s">
        <v>4096</v>
      </c>
      <c r="M1407" s="784">
        <v>32897.68</v>
      </c>
      <c r="N1407" s="784">
        <v>23.77</v>
      </c>
      <c r="O1407" s="784">
        <v>3.46</v>
      </c>
      <c r="P1407" s="783">
        <v>400</v>
      </c>
      <c r="Q1407" s="783">
        <v>1802.79</v>
      </c>
      <c r="R1407" s="783">
        <v>1325.63</v>
      </c>
      <c r="S1407" s="783">
        <v>10.02</v>
      </c>
      <c r="T1407" s="783">
        <v>467.15</v>
      </c>
      <c r="U1407" s="785">
        <v>44701.662430555603</v>
      </c>
    </row>
    <row r="1408" spans="1:21">
      <c r="A1408" s="782">
        <v>44698</v>
      </c>
      <c r="B1408" s="783" t="s">
        <v>41</v>
      </c>
      <c r="C1408" s="783" t="s">
        <v>4354</v>
      </c>
      <c r="D1408" s="783" t="s">
        <v>4009</v>
      </c>
      <c r="E1408" s="783" t="s">
        <v>767</v>
      </c>
      <c r="F1408" s="783" t="s">
        <v>4011</v>
      </c>
      <c r="G1408" s="783" t="s">
        <v>4028</v>
      </c>
      <c r="H1408" s="783" t="s">
        <v>5322</v>
      </c>
      <c r="I1408" s="783" t="s">
        <v>5323</v>
      </c>
      <c r="J1408" s="783">
        <v>25</v>
      </c>
      <c r="K1408" s="783" t="s">
        <v>27</v>
      </c>
      <c r="L1408" s="783" t="s">
        <v>4096</v>
      </c>
      <c r="M1408" s="784">
        <v>8618</v>
      </c>
      <c r="N1408" s="784">
        <v>5.56</v>
      </c>
      <c r="O1408" s="784">
        <v>3.1</v>
      </c>
      <c r="P1408" s="783">
        <v>500</v>
      </c>
      <c r="Q1408" s="783">
        <v>756.66</v>
      </c>
      <c r="R1408" s="783">
        <v>435.2</v>
      </c>
      <c r="S1408" s="783">
        <v>198.23</v>
      </c>
      <c r="T1408" s="783">
        <v>123.24</v>
      </c>
      <c r="U1408" s="785">
        <v>44699.483101851903</v>
      </c>
    </row>
    <row r="1409" spans="1:21">
      <c r="A1409" s="782">
        <v>44702</v>
      </c>
      <c r="B1409" s="783" t="s">
        <v>41</v>
      </c>
      <c r="C1409" s="783" t="s">
        <v>4071</v>
      </c>
      <c r="D1409" s="783" t="s">
        <v>4009</v>
      </c>
      <c r="E1409" s="783" t="s">
        <v>5327</v>
      </c>
      <c r="F1409" s="783" t="s">
        <v>4011</v>
      </c>
      <c r="G1409" s="783" t="str">
        <f t="shared" ref="G1409:G1440" si="79">VLOOKUP(I1409,pacage,2,FALSE)</f>
        <v>Renewal (20% in 2020)</v>
      </c>
      <c r="H1409" s="783" t="s">
        <v>5328</v>
      </c>
      <c r="I1409" s="783" t="s">
        <v>5329</v>
      </c>
      <c r="J1409" s="783">
        <v>20</v>
      </c>
      <c r="K1409" s="783" t="s">
        <v>27</v>
      </c>
      <c r="L1409" s="783" t="s">
        <v>4096</v>
      </c>
      <c r="M1409" s="784">
        <v>16631.71</v>
      </c>
      <c r="N1409" s="784">
        <v>10.199999999999999</v>
      </c>
      <c r="O1409" s="784">
        <v>3.16</v>
      </c>
      <c r="P1409" s="783">
        <v>516</v>
      </c>
      <c r="Q1409" s="783">
        <v>1448.62</v>
      </c>
      <c r="R1409" s="783">
        <v>614.21</v>
      </c>
      <c r="S1409" s="783">
        <v>282.24</v>
      </c>
      <c r="T1409" s="783">
        <v>552.16999999999996</v>
      </c>
      <c r="U1409" s="785">
        <v>44704.410868055602</v>
      </c>
    </row>
    <row r="1410" spans="1:21">
      <c r="A1410" s="782">
        <v>44693</v>
      </c>
      <c r="B1410" s="783" t="s">
        <v>51</v>
      </c>
      <c r="C1410" s="783" t="s">
        <v>4015</v>
      </c>
      <c r="D1410" s="783" t="s">
        <v>4016</v>
      </c>
      <c r="E1410" s="783" t="s">
        <v>1719</v>
      </c>
      <c r="F1410" s="783" t="s">
        <v>4011</v>
      </c>
      <c r="G1410" s="783" t="str">
        <f t="shared" si="79"/>
        <v>Renewal (20% in 2020)</v>
      </c>
      <c r="H1410" s="783" t="s">
        <v>5330</v>
      </c>
      <c r="I1410" s="783" t="s">
        <v>5331</v>
      </c>
      <c r="J1410" s="783">
        <v>20</v>
      </c>
      <c r="K1410" s="783" t="s">
        <v>27</v>
      </c>
      <c r="L1410" s="783" t="s">
        <v>4096</v>
      </c>
      <c r="M1410" s="784">
        <v>30874.03</v>
      </c>
      <c r="N1410" s="784">
        <v>26.16</v>
      </c>
      <c r="O1410" s="784">
        <v>2.81</v>
      </c>
      <c r="P1410" s="783">
        <v>420</v>
      </c>
      <c r="Q1410" s="783">
        <v>2633.55</v>
      </c>
      <c r="R1410" s="783">
        <v>1269.47</v>
      </c>
      <c r="S1410" s="783">
        <v>274.23</v>
      </c>
      <c r="T1410" s="783">
        <v>1089.8499999999999</v>
      </c>
      <c r="U1410" s="785">
        <v>44693.600937499999</v>
      </c>
    </row>
    <row r="1411" spans="1:21">
      <c r="A1411" s="782">
        <v>44698</v>
      </c>
      <c r="B1411" s="783" t="s">
        <v>41</v>
      </c>
      <c r="C1411" s="783" t="s">
        <v>4092</v>
      </c>
      <c r="D1411" s="783" t="s">
        <v>4009</v>
      </c>
      <c r="E1411" s="783" t="s">
        <v>5338</v>
      </c>
      <c r="F1411" s="783" t="s">
        <v>4011</v>
      </c>
      <c r="G1411" s="783" t="str">
        <f t="shared" si="79"/>
        <v>Renewal (15% in 2020)</v>
      </c>
      <c r="H1411" s="783" t="s">
        <v>5339</v>
      </c>
      <c r="I1411" s="783" t="s">
        <v>5340</v>
      </c>
      <c r="J1411" s="783">
        <v>15</v>
      </c>
      <c r="K1411" s="783" t="s">
        <v>27</v>
      </c>
      <c r="L1411" s="783" t="s">
        <v>4096</v>
      </c>
      <c r="M1411" s="784">
        <v>20049.66</v>
      </c>
      <c r="N1411" s="784">
        <v>20.82</v>
      </c>
      <c r="O1411" s="784">
        <v>2.14</v>
      </c>
      <c r="P1411" s="783">
        <v>450</v>
      </c>
      <c r="Q1411" s="783">
        <v>2091.1799999999998</v>
      </c>
      <c r="R1411" s="783">
        <v>712.84</v>
      </c>
      <c r="S1411" s="783">
        <v>289.64999999999998</v>
      </c>
      <c r="T1411" s="783">
        <v>1088.7</v>
      </c>
      <c r="U1411" s="785">
        <v>44699.495023148098</v>
      </c>
    </row>
    <row r="1412" spans="1:21">
      <c r="A1412" s="782">
        <v>44551</v>
      </c>
      <c r="B1412" s="783" t="s">
        <v>41</v>
      </c>
      <c r="C1412" s="783" t="s">
        <v>4092</v>
      </c>
      <c r="D1412" s="783" t="s">
        <v>4009</v>
      </c>
      <c r="E1412" s="783" t="s">
        <v>6567</v>
      </c>
      <c r="F1412" s="783" t="s">
        <v>4066</v>
      </c>
      <c r="G1412" s="783" t="str">
        <f t="shared" si="79"/>
        <v>New contract</v>
      </c>
      <c r="H1412" s="783" t="s">
        <v>6568</v>
      </c>
      <c r="I1412" s="783" t="s">
        <v>6569</v>
      </c>
      <c r="J1412" s="783">
        <v>10</v>
      </c>
      <c r="K1412" s="783" t="s">
        <v>27</v>
      </c>
      <c r="L1412" s="783" t="s">
        <v>4096</v>
      </c>
      <c r="M1412" s="784">
        <v>28600</v>
      </c>
      <c r="N1412" s="784">
        <v>14.3</v>
      </c>
      <c r="O1412" s="784">
        <v>4</v>
      </c>
      <c r="P1412" s="783">
        <v>500</v>
      </c>
      <c r="Q1412" s="783">
        <v>1092.52</v>
      </c>
      <c r="R1412" s="783">
        <v>0</v>
      </c>
      <c r="S1412" s="783">
        <v>0</v>
      </c>
      <c r="T1412" s="783">
        <v>1092.52</v>
      </c>
      <c r="U1412" s="785">
        <v>44631.630243055602</v>
      </c>
    </row>
    <row r="1413" spans="1:21">
      <c r="A1413" s="782">
        <v>44548</v>
      </c>
      <c r="B1413" s="783" t="s">
        <v>47</v>
      </c>
      <c r="C1413" s="783" t="s">
        <v>4916</v>
      </c>
      <c r="D1413" s="783" t="s">
        <v>4102</v>
      </c>
      <c r="E1413" s="783" t="s">
        <v>5344</v>
      </c>
      <c r="F1413" s="783" t="s">
        <v>4011</v>
      </c>
      <c r="G1413" s="783" t="str">
        <f t="shared" si="79"/>
        <v>New contract</v>
      </c>
      <c r="H1413" s="783" t="s">
        <v>5345</v>
      </c>
      <c r="I1413" s="783" t="s">
        <v>5346</v>
      </c>
      <c r="J1413" s="783">
        <v>20</v>
      </c>
      <c r="K1413" s="783" t="s">
        <v>27</v>
      </c>
      <c r="L1413" s="783" t="s">
        <v>4096</v>
      </c>
      <c r="M1413" s="784">
        <v>33929.5</v>
      </c>
      <c r="N1413" s="784">
        <v>19.899999999999999</v>
      </c>
      <c r="O1413" s="784">
        <v>3.1</v>
      </c>
      <c r="P1413" s="783">
        <v>550</v>
      </c>
      <c r="Q1413" s="783">
        <v>2232.56</v>
      </c>
      <c r="R1413" s="783">
        <v>830.24</v>
      </c>
      <c r="S1413" s="783">
        <v>489.62</v>
      </c>
      <c r="T1413" s="783">
        <v>912.7</v>
      </c>
      <c r="U1413" s="785">
        <v>44631.626655092601</v>
      </c>
    </row>
    <row r="1414" spans="1:21">
      <c r="A1414" s="782">
        <v>44539</v>
      </c>
      <c r="B1414" s="783" t="s">
        <v>41</v>
      </c>
      <c r="C1414" s="783" t="s">
        <v>4071</v>
      </c>
      <c r="D1414" s="783" t="s">
        <v>4009</v>
      </c>
      <c r="E1414" s="783" t="s">
        <v>5347</v>
      </c>
      <c r="F1414" s="783" t="s">
        <v>4011</v>
      </c>
      <c r="G1414" s="783" t="str">
        <f t="shared" si="79"/>
        <v>Renewal (15% in 2020)</v>
      </c>
      <c r="H1414" s="783" t="s">
        <v>5348</v>
      </c>
      <c r="I1414" s="783" t="s">
        <v>5349</v>
      </c>
      <c r="J1414" s="783">
        <v>15</v>
      </c>
      <c r="K1414" s="783" t="s">
        <v>27</v>
      </c>
      <c r="L1414" s="783" t="s">
        <v>4096</v>
      </c>
      <c r="M1414" s="784">
        <v>15121.73</v>
      </c>
      <c r="N1414" s="784">
        <v>13</v>
      </c>
      <c r="O1414" s="784">
        <v>2.93</v>
      </c>
      <c r="P1414" s="783">
        <v>397</v>
      </c>
      <c r="Q1414" s="783">
        <v>1716.32</v>
      </c>
      <c r="R1414" s="783">
        <v>725.84</v>
      </c>
      <c r="S1414" s="783">
        <v>89.22</v>
      </c>
      <c r="T1414" s="783">
        <v>901.26</v>
      </c>
      <c r="U1414" s="785">
        <v>44631.626736111102</v>
      </c>
    </row>
    <row r="1415" spans="1:21">
      <c r="A1415" s="782">
        <v>44560</v>
      </c>
      <c r="B1415" s="783" t="s">
        <v>228</v>
      </c>
      <c r="C1415" s="783" t="s">
        <v>4582</v>
      </c>
      <c r="D1415" s="783" t="s">
        <v>4193</v>
      </c>
      <c r="E1415" s="783" t="s">
        <v>5350</v>
      </c>
      <c r="F1415" s="783" t="s">
        <v>4011</v>
      </c>
      <c r="G1415" s="783" t="str">
        <f t="shared" si="79"/>
        <v>Renewal (25% in 2020)</v>
      </c>
      <c r="H1415" s="783" t="s">
        <v>5351</v>
      </c>
      <c r="I1415" s="783" t="s">
        <v>5352</v>
      </c>
      <c r="J1415" s="783">
        <v>25</v>
      </c>
      <c r="K1415" s="783" t="s">
        <v>27</v>
      </c>
      <c r="L1415" s="783" t="s">
        <v>4096</v>
      </c>
      <c r="M1415" s="784">
        <v>8849.7199999999993</v>
      </c>
      <c r="N1415" s="784">
        <v>7.99</v>
      </c>
      <c r="O1415" s="784">
        <v>2.84</v>
      </c>
      <c r="P1415" s="783">
        <v>390</v>
      </c>
      <c r="Q1415" s="783">
        <v>613.29</v>
      </c>
      <c r="R1415" s="783">
        <v>415.05</v>
      </c>
      <c r="S1415" s="783">
        <v>52.21</v>
      </c>
      <c r="T1415" s="783">
        <v>146.02000000000001</v>
      </c>
      <c r="U1415" s="785">
        <v>44631.626678240696</v>
      </c>
    </row>
    <row r="1416" spans="1:21">
      <c r="A1416" s="782">
        <v>44543</v>
      </c>
      <c r="B1416" s="783" t="s">
        <v>41</v>
      </c>
      <c r="C1416" s="783" t="s">
        <v>4092</v>
      </c>
      <c r="D1416" s="783" t="s">
        <v>4009</v>
      </c>
      <c r="E1416" s="783" t="s">
        <v>4131</v>
      </c>
      <c r="F1416" s="783" t="s">
        <v>4011</v>
      </c>
      <c r="G1416" s="783" t="str">
        <f t="shared" si="79"/>
        <v>Renewal (20% in 2020)</v>
      </c>
      <c r="H1416" s="783" t="s">
        <v>4132</v>
      </c>
      <c r="I1416" s="783" t="s">
        <v>4133</v>
      </c>
      <c r="J1416" s="783">
        <v>20</v>
      </c>
      <c r="K1416" s="783" t="s">
        <v>27</v>
      </c>
      <c r="L1416" s="783" t="s">
        <v>4096</v>
      </c>
      <c r="M1416" s="784">
        <v>57807.23</v>
      </c>
      <c r="N1416" s="784">
        <v>44.45</v>
      </c>
      <c r="O1416" s="784">
        <v>2.89</v>
      </c>
      <c r="P1416" s="783">
        <v>450</v>
      </c>
      <c r="Q1416" s="783">
        <v>4618.8</v>
      </c>
      <c r="R1416" s="783">
        <v>2055.25</v>
      </c>
      <c r="S1416" s="783">
        <v>835.11</v>
      </c>
      <c r="T1416" s="783">
        <v>1728.44</v>
      </c>
      <c r="U1416" s="785">
        <v>44631.6266203704</v>
      </c>
    </row>
    <row r="1417" spans="1:21">
      <c r="A1417" s="782">
        <v>44541</v>
      </c>
      <c r="B1417" s="783" t="s">
        <v>74</v>
      </c>
      <c r="C1417" s="783" t="s">
        <v>4097</v>
      </c>
      <c r="D1417" s="783" t="s">
        <v>4038</v>
      </c>
      <c r="E1417" s="783" t="s">
        <v>4613</v>
      </c>
      <c r="F1417" s="783" t="s">
        <v>4011</v>
      </c>
      <c r="G1417" s="783" t="str">
        <f t="shared" si="79"/>
        <v>New Contract</v>
      </c>
      <c r="H1417" s="783" t="s">
        <v>4614</v>
      </c>
      <c r="I1417" s="783" t="s">
        <v>4615</v>
      </c>
      <c r="J1417" s="783">
        <v>25</v>
      </c>
      <c r="K1417" s="783" t="s">
        <v>27</v>
      </c>
      <c r="L1417" s="783" t="s">
        <v>4096</v>
      </c>
      <c r="M1417" s="784">
        <v>8559</v>
      </c>
      <c r="N1417" s="784">
        <v>6</v>
      </c>
      <c r="O1417" s="784">
        <v>3.17</v>
      </c>
      <c r="P1417" s="783">
        <v>450</v>
      </c>
      <c r="Q1417" s="783">
        <v>604.27</v>
      </c>
      <c r="R1417" s="783">
        <v>279.38</v>
      </c>
      <c r="S1417" s="783">
        <v>157.97999999999999</v>
      </c>
      <c r="T1417" s="783">
        <v>166.9</v>
      </c>
      <c r="U1417" s="785">
        <v>44631.629675925898</v>
      </c>
    </row>
    <row r="1418" spans="1:21">
      <c r="A1418" s="782">
        <v>44641</v>
      </c>
      <c r="B1418" s="783" t="s">
        <v>30</v>
      </c>
      <c r="C1418" s="783" t="s">
        <v>4239</v>
      </c>
      <c r="D1418" s="783" t="s">
        <v>4021</v>
      </c>
      <c r="E1418" s="783" t="s">
        <v>5353</v>
      </c>
      <c r="F1418" s="783" t="s">
        <v>4011</v>
      </c>
      <c r="G1418" s="783" t="str">
        <f t="shared" si="79"/>
        <v>Renewal (20% in 2020)</v>
      </c>
      <c r="H1418" s="783" t="s">
        <v>5354</v>
      </c>
      <c r="I1418" s="783" t="s">
        <v>5355</v>
      </c>
      <c r="J1418" s="783">
        <v>20</v>
      </c>
      <c r="K1418" s="783" t="s">
        <v>27</v>
      </c>
      <c r="L1418" s="783" t="s">
        <v>4096</v>
      </c>
      <c r="M1418" s="784">
        <v>69171.12</v>
      </c>
      <c r="N1418" s="784">
        <v>41.77</v>
      </c>
      <c r="O1418" s="784">
        <v>3.68</v>
      </c>
      <c r="P1418" s="783">
        <v>450</v>
      </c>
      <c r="Q1418" s="783">
        <v>6073.22</v>
      </c>
      <c r="R1418" s="783">
        <v>2422.66</v>
      </c>
      <c r="S1418" s="783">
        <v>1215.74</v>
      </c>
      <c r="T1418" s="783">
        <v>2434.8200000000002</v>
      </c>
      <c r="U1418" s="785">
        <v>44641.473437499997</v>
      </c>
    </row>
    <row r="1419" spans="1:21">
      <c r="A1419" s="782">
        <v>44539</v>
      </c>
      <c r="B1419" s="783" t="s">
        <v>30</v>
      </c>
      <c r="C1419" s="783" t="s">
        <v>4239</v>
      </c>
      <c r="D1419" s="783" t="s">
        <v>4021</v>
      </c>
      <c r="E1419" s="783" t="s">
        <v>5356</v>
      </c>
      <c r="F1419" s="783" t="s">
        <v>4011</v>
      </c>
      <c r="G1419" s="783" t="str">
        <f t="shared" si="79"/>
        <v>New contract</v>
      </c>
      <c r="H1419" s="783" t="s">
        <v>5357</v>
      </c>
      <c r="I1419" s="783" t="s">
        <v>5358</v>
      </c>
      <c r="J1419" s="783">
        <v>25</v>
      </c>
      <c r="K1419" s="783" t="s">
        <v>27</v>
      </c>
      <c r="L1419" s="783" t="s">
        <v>4096</v>
      </c>
      <c r="M1419" s="784">
        <v>29080.69</v>
      </c>
      <c r="N1419" s="784">
        <v>19.43</v>
      </c>
      <c r="O1419" s="784">
        <v>3.77</v>
      </c>
      <c r="P1419" s="783">
        <v>397</v>
      </c>
      <c r="Q1419" s="783">
        <v>2053.1</v>
      </c>
      <c r="R1419" s="783">
        <v>1154.5</v>
      </c>
      <c r="S1419" s="783">
        <v>375.14</v>
      </c>
      <c r="T1419" s="783">
        <v>523.45000000000005</v>
      </c>
      <c r="U1419" s="785">
        <v>44631.630405092597</v>
      </c>
    </row>
    <row r="1420" spans="1:21">
      <c r="A1420" s="782">
        <v>44540</v>
      </c>
      <c r="B1420" s="783" t="s">
        <v>41</v>
      </c>
      <c r="C1420" s="783" t="s">
        <v>4071</v>
      </c>
      <c r="D1420" s="783" t="s">
        <v>4009</v>
      </c>
      <c r="E1420" s="783" t="s">
        <v>321</v>
      </c>
      <c r="F1420" s="783" t="s">
        <v>4011</v>
      </c>
      <c r="G1420" s="783" t="str">
        <f t="shared" si="79"/>
        <v>Renewal (25% in 2020)</v>
      </c>
      <c r="H1420" s="783" t="s">
        <v>5359</v>
      </c>
      <c r="I1420" s="783" t="s">
        <v>5360</v>
      </c>
      <c r="J1420" s="783">
        <v>25</v>
      </c>
      <c r="K1420" s="783" t="s">
        <v>27</v>
      </c>
      <c r="L1420" s="783" t="s">
        <v>4096</v>
      </c>
      <c r="M1420" s="784">
        <v>31701.599999999999</v>
      </c>
      <c r="N1420" s="784">
        <v>20.72</v>
      </c>
      <c r="O1420" s="784">
        <v>3.4</v>
      </c>
      <c r="P1420" s="783">
        <v>450</v>
      </c>
      <c r="Q1420" s="783">
        <v>2196.92</v>
      </c>
      <c r="R1420" s="783">
        <v>1342.46</v>
      </c>
      <c r="S1420" s="783">
        <v>366.26</v>
      </c>
      <c r="T1420" s="783">
        <v>488.2</v>
      </c>
      <c r="U1420" s="785">
        <v>44631.626689814802</v>
      </c>
    </row>
    <row r="1421" spans="1:21">
      <c r="A1421" s="782">
        <v>44540</v>
      </c>
      <c r="B1421" s="783" t="s">
        <v>74</v>
      </c>
      <c r="C1421" s="783" t="s">
        <v>4037</v>
      </c>
      <c r="D1421" s="783" t="s">
        <v>4038</v>
      </c>
      <c r="E1421" s="783" t="s">
        <v>4325</v>
      </c>
      <c r="F1421" s="783" t="s">
        <v>4011</v>
      </c>
      <c r="G1421" s="783" t="str">
        <f t="shared" si="79"/>
        <v>Renewal (20% in 2020)</v>
      </c>
      <c r="H1421" s="783" t="s">
        <v>4326</v>
      </c>
      <c r="I1421" s="783" t="s">
        <v>4327</v>
      </c>
      <c r="J1421" s="783">
        <v>20</v>
      </c>
      <c r="K1421" s="783" t="s">
        <v>27</v>
      </c>
      <c r="L1421" s="783" t="s">
        <v>4096</v>
      </c>
      <c r="M1421" s="784">
        <v>7877.73</v>
      </c>
      <c r="N1421" s="784">
        <v>8.0500000000000007</v>
      </c>
      <c r="O1421" s="784">
        <v>2.33</v>
      </c>
      <c r="P1421" s="783">
        <v>420</v>
      </c>
      <c r="Q1421" s="783">
        <v>779.11</v>
      </c>
      <c r="R1421" s="783">
        <v>315.72000000000003</v>
      </c>
      <c r="S1421" s="783">
        <v>165.6</v>
      </c>
      <c r="T1421" s="783">
        <v>297.77999999999997</v>
      </c>
      <c r="U1421" s="785">
        <v>44631.626898148097</v>
      </c>
    </row>
    <row r="1422" spans="1:21">
      <c r="A1422" s="782">
        <v>44536</v>
      </c>
      <c r="B1422" s="783" t="s">
        <v>41</v>
      </c>
      <c r="C1422" s="783" t="s">
        <v>4082</v>
      </c>
      <c r="D1422" s="783" t="s">
        <v>4009</v>
      </c>
      <c r="E1422" s="783" t="s">
        <v>5361</v>
      </c>
      <c r="F1422" s="783" t="s">
        <v>4011</v>
      </c>
      <c r="G1422" s="783" t="str">
        <f t="shared" si="79"/>
        <v>Renewal (15% in 2020)</v>
      </c>
      <c r="H1422" s="783" t="s">
        <v>5362</v>
      </c>
      <c r="I1422" s="783" t="s">
        <v>5363</v>
      </c>
      <c r="J1422" s="783">
        <v>15</v>
      </c>
      <c r="K1422" s="783" t="s">
        <v>27</v>
      </c>
      <c r="L1422" s="783" t="s">
        <v>4096</v>
      </c>
      <c r="M1422" s="784">
        <v>8045.28</v>
      </c>
      <c r="N1422" s="784">
        <v>5.55</v>
      </c>
      <c r="O1422" s="784">
        <v>3.02</v>
      </c>
      <c r="P1422" s="783">
        <v>480</v>
      </c>
      <c r="Q1422" s="783">
        <v>853.6</v>
      </c>
      <c r="R1422" s="783">
        <v>270.16000000000003</v>
      </c>
      <c r="S1422" s="783">
        <v>136.93</v>
      </c>
      <c r="T1422" s="783">
        <v>446.51</v>
      </c>
      <c r="U1422" s="785">
        <v>44631.629652777803</v>
      </c>
    </row>
    <row r="1423" spans="1:21">
      <c r="A1423" s="782">
        <v>44687</v>
      </c>
      <c r="B1423" s="783" t="s">
        <v>41</v>
      </c>
      <c r="C1423" s="783" t="s">
        <v>4008</v>
      </c>
      <c r="D1423" s="783" t="s">
        <v>4009</v>
      </c>
      <c r="E1423" s="783" t="s">
        <v>6570</v>
      </c>
      <c r="F1423" s="783" t="s">
        <v>4011</v>
      </c>
      <c r="G1423" s="783" t="str">
        <f t="shared" si="79"/>
        <v>Renewal (20% in 2020)</v>
      </c>
      <c r="H1423" s="783" t="s">
        <v>6571</v>
      </c>
      <c r="I1423" s="783" t="s">
        <v>6572</v>
      </c>
      <c r="J1423" s="783">
        <v>20</v>
      </c>
      <c r="K1423" s="783" t="s">
        <v>27</v>
      </c>
      <c r="L1423" s="783" t="s">
        <v>4096</v>
      </c>
      <c r="M1423" s="784">
        <v>23040.35</v>
      </c>
      <c r="N1423" s="784">
        <v>19</v>
      </c>
      <c r="O1423" s="784">
        <v>3.07</v>
      </c>
      <c r="P1423" s="783">
        <v>395</v>
      </c>
      <c r="Q1423" s="783">
        <v>2313.25</v>
      </c>
      <c r="R1423" s="783">
        <v>995.34</v>
      </c>
      <c r="S1423" s="783">
        <v>361.73</v>
      </c>
      <c r="T1423" s="783">
        <v>956.17</v>
      </c>
      <c r="U1423" s="785">
        <v>44687.609837962998</v>
      </c>
    </row>
    <row r="1424" spans="1:21">
      <c r="A1424" s="782">
        <v>44598</v>
      </c>
      <c r="B1424" s="783" t="s">
        <v>74</v>
      </c>
      <c r="C1424" s="783" t="s">
        <v>4097</v>
      </c>
      <c r="D1424" s="783" t="s">
        <v>4038</v>
      </c>
      <c r="E1424" s="783" t="s">
        <v>4328</v>
      </c>
      <c r="F1424" s="783" t="s">
        <v>4011</v>
      </c>
      <c r="G1424" s="783" t="str">
        <f t="shared" si="79"/>
        <v>Renewal (20% in 2020)</v>
      </c>
      <c r="H1424" s="783" t="s">
        <v>4329</v>
      </c>
      <c r="I1424" s="783" t="s">
        <v>4330</v>
      </c>
      <c r="J1424" s="783">
        <v>25</v>
      </c>
      <c r="K1424" s="783" t="s">
        <v>27</v>
      </c>
      <c r="L1424" s="783" t="s">
        <v>4096</v>
      </c>
      <c r="M1424" s="784">
        <v>59850</v>
      </c>
      <c r="N1424" s="784">
        <v>35</v>
      </c>
      <c r="O1424" s="784">
        <v>3.8</v>
      </c>
      <c r="P1424" s="783">
        <v>450</v>
      </c>
      <c r="Q1424" s="783">
        <v>4225.41</v>
      </c>
      <c r="R1424" s="783">
        <v>1953.64</v>
      </c>
      <c r="S1424" s="783">
        <v>1104.7</v>
      </c>
      <c r="T1424" s="783">
        <v>1167.08</v>
      </c>
      <c r="U1424" s="785">
        <v>44631.626909722203</v>
      </c>
    </row>
    <row r="1425" spans="1:21">
      <c r="A1425" s="782">
        <v>44536</v>
      </c>
      <c r="B1425" s="783" t="s">
        <v>4025</v>
      </c>
      <c r="C1425" s="783" t="s">
        <v>4026</v>
      </c>
      <c r="D1425" s="783" t="s">
        <v>4021</v>
      </c>
      <c r="E1425" s="783" t="s">
        <v>5364</v>
      </c>
      <c r="F1425" s="783" t="s">
        <v>4011</v>
      </c>
      <c r="G1425" s="783" t="str">
        <f t="shared" si="79"/>
        <v>New contract</v>
      </c>
      <c r="H1425" s="783" t="s">
        <v>5365</v>
      </c>
      <c r="I1425" s="783" t="s">
        <v>5366</v>
      </c>
      <c r="J1425" s="783">
        <v>20</v>
      </c>
      <c r="K1425" s="783" t="s">
        <v>27</v>
      </c>
      <c r="L1425" s="783" t="s">
        <v>4096</v>
      </c>
      <c r="M1425" s="784">
        <v>47880</v>
      </c>
      <c r="N1425" s="784">
        <v>40</v>
      </c>
      <c r="O1425" s="784">
        <v>2.66</v>
      </c>
      <c r="P1425" s="783">
        <v>450</v>
      </c>
      <c r="Q1425" s="783">
        <v>3184.02</v>
      </c>
      <c r="R1425" s="783">
        <v>1241.8800000000001</v>
      </c>
      <c r="S1425" s="783">
        <v>644.59</v>
      </c>
      <c r="T1425" s="783">
        <v>1297.55</v>
      </c>
      <c r="U1425" s="785">
        <v>44631.630104166703</v>
      </c>
    </row>
    <row r="1426" spans="1:21">
      <c r="A1426" s="782">
        <v>44544</v>
      </c>
      <c r="B1426" s="783" t="s">
        <v>74</v>
      </c>
      <c r="C1426" s="783" t="s">
        <v>4097</v>
      </c>
      <c r="D1426" s="783" t="s">
        <v>4038</v>
      </c>
      <c r="E1426" s="783" t="s">
        <v>2961</v>
      </c>
      <c r="F1426" s="783" t="s">
        <v>4011</v>
      </c>
      <c r="G1426" s="783" t="str">
        <f t="shared" si="79"/>
        <v>New Contract</v>
      </c>
      <c r="H1426" s="783" t="s">
        <v>5373</v>
      </c>
      <c r="I1426" s="783" t="s">
        <v>5374</v>
      </c>
      <c r="J1426" s="783">
        <v>25</v>
      </c>
      <c r="K1426" s="783" t="s">
        <v>27</v>
      </c>
      <c r="L1426" s="783" t="s">
        <v>4096</v>
      </c>
      <c r="M1426" s="784">
        <v>13195</v>
      </c>
      <c r="N1426" s="784">
        <v>14.5</v>
      </c>
      <c r="O1426" s="784">
        <v>2.6</v>
      </c>
      <c r="P1426" s="783">
        <v>350</v>
      </c>
      <c r="Q1426" s="783">
        <v>931.57</v>
      </c>
      <c r="R1426" s="783">
        <v>488.22</v>
      </c>
      <c r="S1426" s="783">
        <v>186.05</v>
      </c>
      <c r="T1426" s="783">
        <v>257.3</v>
      </c>
      <c r="U1426" s="785">
        <v>44631.630868055603</v>
      </c>
    </row>
    <row r="1427" spans="1:21">
      <c r="A1427" s="782">
        <v>44606</v>
      </c>
      <c r="B1427" s="783" t="s">
        <v>30</v>
      </c>
      <c r="C1427" s="783" t="s">
        <v>4239</v>
      </c>
      <c r="D1427" s="783" t="s">
        <v>4021</v>
      </c>
      <c r="E1427" s="783" t="s">
        <v>5383</v>
      </c>
      <c r="F1427" s="783" t="s">
        <v>4011</v>
      </c>
      <c r="G1427" s="783" t="str">
        <f t="shared" si="79"/>
        <v>New Contract</v>
      </c>
      <c r="H1427" s="783" t="s">
        <v>5384</v>
      </c>
      <c r="I1427" s="783" t="s">
        <v>5385</v>
      </c>
      <c r="J1427" s="783">
        <v>20</v>
      </c>
      <c r="K1427" s="783" t="s">
        <v>27</v>
      </c>
      <c r="L1427" s="783" t="s">
        <v>4096</v>
      </c>
      <c r="M1427" s="784">
        <v>18337.400000000001</v>
      </c>
      <c r="N1427" s="784">
        <v>11.08</v>
      </c>
      <c r="O1427" s="784">
        <v>3.31</v>
      </c>
      <c r="P1427" s="783">
        <v>500</v>
      </c>
      <c r="Q1427" s="783">
        <v>1610.02</v>
      </c>
      <c r="R1427" s="783">
        <v>578.03</v>
      </c>
      <c r="S1427" s="783">
        <v>386.52</v>
      </c>
      <c r="T1427" s="783">
        <v>645.48</v>
      </c>
      <c r="U1427" s="785">
        <v>44631.511828703697</v>
      </c>
    </row>
    <row r="1428" spans="1:21">
      <c r="A1428" s="782">
        <v>44550</v>
      </c>
      <c r="B1428" s="783" t="s">
        <v>113</v>
      </c>
      <c r="C1428" s="783" t="s">
        <v>4097</v>
      </c>
      <c r="D1428" s="783" t="s">
        <v>4038</v>
      </c>
      <c r="E1428" s="783" t="s">
        <v>5389</v>
      </c>
      <c r="F1428" s="783" t="s">
        <v>4011</v>
      </c>
      <c r="G1428" s="783" t="str">
        <f t="shared" si="79"/>
        <v>Renewal (20% in 2020)</v>
      </c>
      <c r="H1428" s="783" t="s">
        <v>5390</v>
      </c>
      <c r="I1428" s="783" t="s">
        <v>5391</v>
      </c>
      <c r="J1428" s="783">
        <v>25</v>
      </c>
      <c r="K1428" s="783" t="s">
        <v>27</v>
      </c>
      <c r="L1428" s="783" t="s">
        <v>4096</v>
      </c>
      <c r="M1428" s="784">
        <v>10102.25</v>
      </c>
      <c r="N1428" s="784">
        <v>7.53</v>
      </c>
      <c r="O1428" s="784">
        <v>2.6</v>
      </c>
      <c r="P1428" s="783">
        <v>516</v>
      </c>
      <c r="Q1428" s="783">
        <v>713.22</v>
      </c>
      <c r="R1428" s="783">
        <v>287.58</v>
      </c>
      <c r="S1428" s="783">
        <v>228.64</v>
      </c>
      <c r="T1428" s="783">
        <v>196.99</v>
      </c>
      <c r="U1428" s="785">
        <v>44631.630868055603</v>
      </c>
    </row>
    <row r="1429" spans="1:21">
      <c r="A1429" s="782">
        <v>44546</v>
      </c>
      <c r="B1429" s="783" t="s">
        <v>74</v>
      </c>
      <c r="C1429" s="783" t="s">
        <v>4097</v>
      </c>
      <c r="D1429" s="783" t="s">
        <v>4038</v>
      </c>
      <c r="E1429" s="783" t="s">
        <v>4337</v>
      </c>
      <c r="F1429" s="783" t="s">
        <v>4011</v>
      </c>
      <c r="G1429" s="783" t="str">
        <f t="shared" si="79"/>
        <v>New Contract</v>
      </c>
      <c r="H1429" s="783" t="s">
        <v>4338</v>
      </c>
      <c r="I1429" s="783" t="s">
        <v>4339</v>
      </c>
      <c r="J1429" s="783">
        <v>20</v>
      </c>
      <c r="K1429" s="783" t="s">
        <v>27</v>
      </c>
      <c r="L1429" s="783" t="s">
        <v>4096</v>
      </c>
      <c r="M1429" s="784">
        <v>58423.95</v>
      </c>
      <c r="N1429" s="784">
        <v>33.29</v>
      </c>
      <c r="O1429" s="784">
        <v>3.9</v>
      </c>
      <c r="P1429" s="783">
        <v>450</v>
      </c>
      <c r="Q1429" s="783">
        <v>5100.41</v>
      </c>
      <c r="R1429" s="783">
        <v>1907.09</v>
      </c>
      <c r="S1429" s="783">
        <v>1078.3800000000001</v>
      </c>
      <c r="T1429" s="783">
        <v>2114.9499999999998</v>
      </c>
      <c r="U1429" s="785">
        <v>44631.631157407399</v>
      </c>
    </row>
    <row r="1430" spans="1:21">
      <c r="A1430" s="782">
        <v>44546</v>
      </c>
      <c r="B1430" s="783" t="s">
        <v>30</v>
      </c>
      <c r="C1430" s="783" t="s">
        <v>4089</v>
      </c>
      <c r="D1430" s="783" t="s">
        <v>4021</v>
      </c>
      <c r="E1430" s="783" t="s">
        <v>1942</v>
      </c>
      <c r="F1430" s="783" t="s">
        <v>4011</v>
      </c>
      <c r="G1430" s="783" t="str">
        <f t="shared" si="79"/>
        <v>Renewal (20% in 2020)</v>
      </c>
      <c r="H1430" s="783" t="s">
        <v>5401</v>
      </c>
      <c r="I1430" s="783" t="s">
        <v>5402</v>
      </c>
      <c r="J1430" s="783">
        <v>20</v>
      </c>
      <c r="K1430" s="783" t="s">
        <v>27</v>
      </c>
      <c r="L1430" s="783" t="s">
        <v>4096</v>
      </c>
      <c r="M1430" s="784">
        <v>38757.599999999999</v>
      </c>
      <c r="N1430" s="784">
        <v>30.76</v>
      </c>
      <c r="O1430" s="784">
        <v>3.6</v>
      </c>
      <c r="P1430" s="783">
        <v>350</v>
      </c>
      <c r="Q1430" s="783">
        <v>3174.25</v>
      </c>
      <c r="R1430" s="783">
        <v>1589.06</v>
      </c>
      <c r="S1430" s="783">
        <v>244.17</v>
      </c>
      <c r="T1430" s="783">
        <v>1341.01</v>
      </c>
      <c r="U1430" s="785">
        <v>44631.630960648101</v>
      </c>
    </row>
    <row r="1431" spans="1:21">
      <c r="A1431" s="782">
        <v>44546</v>
      </c>
      <c r="B1431" s="783" t="s">
        <v>34</v>
      </c>
      <c r="C1431" s="783" t="s">
        <v>4082</v>
      </c>
      <c r="D1431" s="783" t="s">
        <v>4009</v>
      </c>
      <c r="E1431" s="783" t="s">
        <v>6573</v>
      </c>
      <c r="F1431" s="783" t="s">
        <v>4066</v>
      </c>
      <c r="G1431" s="783" t="str">
        <f t="shared" si="79"/>
        <v>New Contract</v>
      </c>
      <c r="H1431" s="783" t="s">
        <v>6574</v>
      </c>
      <c r="I1431" s="783" t="s">
        <v>6575</v>
      </c>
      <c r="J1431" s="783">
        <v>10</v>
      </c>
      <c r="K1431" s="783" t="s">
        <v>27</v>
      </c>
      <c r="L1431" s="783" t="s">
        <v>4096</v>
      </c>
      <c r="M1431" s="784">
        <v>29326</v>
      </c>
      <c r="N1431" s="784">
        <v>18.920000000000002</v>
      </c>
      <c r="O1431" s="784">
        <v>3.1</v>
      </c>
      <c r="P1431" s="783">
        <v>500</v>
      </c>
      <c r="Q1431" s="783">
        <v>1137.8499999999999</v>
      </c>
      <c r="R1431" s="783">
        <v>0</v>
      </c>
      <c r="S1431" s="783">
        <v>0</v>
      </c>
      <c r="T1431" s="783">
        <v>1137.8499999999999</v>
      </c>
      <c r="U1431" s="785">
        <v>44631.630995370397</v>
      </c>
    </row>
    <row r="1432" spans="1:21">
      <c r="A1432" s="782">
        <v>44546</v>
      </c>
      <c r="B1432" s="783" t="s">
        <v>41</v>
      </c>
      <c r="C1432" s="783" t="s">
        <v>4071</v>
      </c>
      <c r="D1432" s="783" t="s">
        <v>4009</v>
      </c>
      <c r="E1432" s="783" t="s">
        <v>5406</v>
      </c>
      <c r="F1432" s="783" t="s">
        <v>4011</v>
      </c>
      <c r="G1432" s="783" t="str">
        <f t="shared" si="79"/>
        <v>New Contract</v>
      </c>
      <c r="H1432" s="783" t="s">
        <v>5407</v>
      </c>
      <c r="I1432" s="783" t="s">
        <v>5408</v>
      </c>
      <c r="J1432" s="783">
        <v>20</v>
      </c>
      <c r="K1432" s="783" t="s">
        <v>27</v>
      </c>
      <c r="L1432" s="783" t="s">
        <v>4096</v>
      </c>
      <c r="M1432" s="784">
        <v>21887.88</v>
      </c>
      <c r="N1432" s="784">
        <v>16.36</v>
      </c>
      <c r="O1432" s="784">
        <v>3.37</v>
      </c>
      <c r="P1432" s="783">
        <v>397</v>
      </c>
      <c r="Q1432" s="783">
        <v>1906.43</v>
      </c>
      <c r="R1432" s="783">
        <v>1050.6199999999999</v>
      </c>
      <c r="S1432" s="783">
        <v>129.13999999999999</v>
      </c>
      <c r="T1432" s="783">
        <v>726.68</v>
      </c>
      <c r="U1432" s="785">
        <v>44631.634375000001</v>
      </c>
    </row>
    <row r="1433" spans="1:21">
      <c r="A1433" s="782">
        <v>44547</v>
      </c>
      <c r="B1433" s="783" t="s">
        <v>41</v>
      </c>
      <c r="C1433" s="783" t="s">
        <v>4092</v>
      </c>
      <c r="D1433" s="783" t="s">
        <v>4009</v>
      </c>
      <c r="E1433" s="783" t="s">
        <v>4340</v>
      </c>
      <c r="F1433" s="783" t="s">
        <v>4011</v>
      </c>
      <c r="G1433" s="783" t="str">
        <f t="shared" si="79"/>
        <v>New Contract</v>
      </c>
      <c r="H1433" s="783" t="s">
        <v>4341</v>
      </c>
      <c r="I1433" s="783" t="s">
        <v>4342</v>
      </c>
      <c r="J1433" s="783">
        <v>25</v>
      </c>
      <c r="K1433" s="783" t="s">
        <v>27</v>
      </c>
      <c r="L1433" s="783" t="s">
        <v>4096</v>
      </c>
      <c r="M1433" s="784">
        <v>11200</v>
      </c>
      <c r="N1433" s="784">
        <v>10</v>
      </c>
      <c r="O1433" s="784">
        <v>3.2</v>
      </c>
      <c r="P1433" s="783">
        <v>350</v>
      </c>
      <c r="Q1433" s="783">
        <v>712.32</v>
      </c>
      <c r="R1433" s="783">
        <v>451.36</v>
      </c>
      <c r="S1433" s="783">
        <v>108.64</v>
      </c>
      <c r="T1433" s="783">
        <v>152.32</v>
      </c>
      <c r="U1433" s="785">
        <v>44631.634305555599</v>
      </c>
    </row>
    <row r="1434" spans="1:21">
      <c r="A1434" s="782">
        <v>44544</v>
      </c>
      <c r="B1434" s="783" t="s">
        <v>41</v>
      </c>
      <c r="C1434" s="783" t="s">
        <v>4008</v>
      </c>
      <c r="D1434" s="783" t="s">
        <v>4009</v>
      </c>
      <c r="E1434" s="783" t="s">
        <v>4619</v>
      </c>
      <c r="F1434" s="783" t="s">
        <v>4011</v>
      </c>
      <c r="G1434" s="783" t="str">
        <f t="shared" si="79"/>
        <v>Renewal (20% in 2020)</v>
      </c>
      <c r="H1434" s="783" t="s">
        <v>4620</v>
      </c>
      <c r="I1434" s="783" t="s">
        <v>4621</v>
      </c>
      <c r="J1434" s="783">
        <v>25</v>
      </c>
      <c r="K1434" s="783" t="s">
        <v>27</v>
      </c>
      <c r="L1434" s="783" t="s">
        <v>4096</v>
      </c>
      <c r="M1434" s="784">
        <v>7453.95</v>
      </c>
      <c r="N1434" s="784">
        <v>6.51</v>
      </c>
      <c r="O1434" s="784">
        <v>2.29</v>
      </c>
      <c r="P1434" s="783">
        <v>500</v>
      </c>
      <c r="Q1434" s="783">
        <v>603.02</v>
      </c>
      <c r="R1434" s="783">
        <v>255.68</v>
      </c>
      <c r="S1434" s="783">
        <v>183.36</v>
      </c>
      <c r="T1434" s="783">
        <v>163.99</v>
      </c>
      <c r="U1434" s="785">
        <v>44631.630798611099</v>
      </c>
    </row>
    <row r="1435" spans="1:21">
      <c r="A1435" s="782">
        <v>44551</v>
      </c>
      <c r="B1435" s="783" t="s">
        <v>397</v>
      </c>
      <c r="C1435" s="783" t="s">
        <v>4511</v>
      </c>
      <c r="D1435" s="783" t="s">
        <v>4512</v>
      </c>
      <c r="E1435" s="783" t="s">
        <v>4622</v>
      </c>
      <c r="F1435" s="783" t="s">
        <v>4011</v>
      </c>
      <c r="G1435" s="783" t="str">
        <f t="shared" si="79"/>
        <v>Renewal (20% in 2020)</v>
      </c>
      <c r="H1435" s="783" t="s">
        <v>4623</v>
      </c>
      <c r="I1435" s="783" t="s">
        <v>4624</v>
      </c>
      <c r="J1435" s="783">
        <v>30</v>
      </c>
      <c r="K1435" s="783" t="s">
        <v>27</v>
      </c>
      <c r="L1435" s="783" t="s">
        <v>4096</v>
      </c>
      <c r="M1435" s="784">
        <v>34056</v>
      </c>
      <c r="N1435" s="784">
        <v>30</v>
      </c>
      <c r="O1435" s="784">
        <v>2.2000000000000002</v>
      </c>
      <c r="P1435" s="783">
        <v>516</v>
      </c>
      <c r="Q1435" s="783">
        <v>2135.31</v>
      </c>
      <c r="R1435" s="783">
        <v>1087.3800000000001</v>
      </c>
      <c r="S1435" s="783">
        <v>325.94</v>
      </c>
      <c r="T1435" s="783">
        <v>721.99</v>
      </c>
      <c r="U1435" s="785">
        <v>44631.630891203698</v>
      </c>
    </row>
    <row r="1436" spans="1:21">
      <c r="A1436" s="782">
        <v>44622</v>
      </c>
      <c r="B1436" s="783" t="s">
        <v>41</v>
      </c>
      <c r="C1436" s="783" t="s">
        <v>4092</v>
      </c>
      <c r="D1436" s="783" t="s">
        <v>4009</v>
      </c>
      <c r="E1436" s="783" t="s">
        <v>5424</v>
      </c>
      <c r="F1436" s="783" t="s">
        <v>4011</v>
      </c>
      <c r="G1436" s="783" t="str">
        <f t="shared" si="79"/>
        <v>Renewal (15% in 2020)</v>
      </c>
      <c r="H1436" s="783" t="s">
        <v>5425</v>
      </c>
      <c r="I1436" s="783" t="s">
        <v>5426</v>
      </c>
      <c r="J1436" s="783">
        <v>25</v>
      </c>
      <c r="K1436" s="783" t="s">
        <v>27</v>
      </c>
      <c r="L1436" s="783" t="s">
        <v>4096</v>
      </c>
      <c r="M1436" s="784">
        <v>30420.400000000001</v>
      </c>
      <c r="N1436" s="784">
        <v>25.78</v>
      </c>
      <c r="O1436" s="784">
        <v>2.95</v>
      </c>
      <c r="P1436" s="783">
        <v>400</v>
      </c>
      <c r="Q1436" s="783">
        <v>1934.74</v>
      </c>
      <c r="R1436" s="783">
        <v>1216.75</v>
      </c>
      <c r="S1436" s="783">
        <v>304.27</v>
      </c>
      <c r="T1436" s="783">
        <v>413.72</v>
      </c>
      <c r="U1436" s="785">
        <v>44631.631215277797</v>
      </c>
    </row>
    <row r="1437" spans="1:21">
      <c r="A1437" s="782">
        <v>44572</v>
      </c>
      <c r="B1437" s="783" t="s">
        <v>397</v>
      </c>
      <c r="C1437" s="783" t="s">
        <v>4020</v>
      </c>
      <c r="D1437" s="783" t="s">
        <v>4021</v>
      </c>
      <c r="E1437" s="783" t="s">
        <v>5430</v>
      </c>
      <c r="F1437" s="783" t="s">
        <v>4011</v>
      </c>
      <c r="G1437" s="783" t="str">
        <f t="shared" si="79"/>
        <v>Renewal (15% in 2020)</v>
      </c>
      <c r="H1437" s="783" t="s">
        <v>5431</v>
      </c>
      <c r="I1437" s="783" t="s">
        <v>5432</v>
      </c>
      <c r="J1437" s="783">
        <v>15</v>
      </c>
      <c r="K1437" s="783" t="s">
        <v>27</v>
      </c>
      <c r="L1437" s="783" t="s">
        <v>4096</v>
      </c>
      <c r="M1437" s="784">
        <v>52920</v>
      </c>
      <c r="N1437" s="784">
        <v>49</v>
      </c>
      <c r="O1437" s="784">
        <v>2.4</v>
      </c>
      <c r="P1437" s="783">
        <v>450</v>
      </c>
      <c r="Q1437" s="783">
        <v>6667.92</v>
      </c>
      <c r="R1437" s="783">
        <v>2348.37</v>
      </c>
      <c r="S1437" s="783">
        <v>710.41</v>
      </c>
      <c r="T1437" s="783">
        <v>3609.14</v>
      </c>
      <c r="U1437" s="785">
        <v>44631.630995370397</v>
      </c>
    </row>
    <row r="1438" spans="1:21">
      <c r="A1438" s="782">
        <v>44657</v>
      </c>
      <c r="B1438" s="783" t="s">
        <v>74</v>
      </c>
      <c r="C1438" s="783" t="s">
        <v>4037</v>
      </c>
      <c r="D1438" s="783" t="s">
        <v>4038</v>
      </c>
      <c r="E1438" s="783" t="s">
        <v>3455</v>
      </c>
      <c r="F1438" s="783" t="s">
        <v>4011</v>
      </c>
      <c r="G1438" s="783" t="str">
        <f t="shared" si="79"/>
        <v>Renewal (15% in 2020)</v>
      </c>
      <c r="H1438" s="783" t="s">
        <v>5433</v>
      </c>
      <c r="I1438" s="783" t="s">
        <v>5434</v>
      </c>
      <c r="J1438" s="783">
        <v>15</v>
      </c>
      <c r="K1438" s="783" t="s">
        <v>27</v>
      </c>
      <c r="L1438" s="783" t="s">
        <v>4096</v>
      </c>
      <c r="M1438" s="784">
        <v>11579.52</v>
      </c>
      <c r="N1438" s="784">
        <v>13.04</v>
      </c>
      <c r="O1438" s="784">
        <v>2.2200000000000002</v>
      </c>
      <c r="P1438" s="783">
        <v>400</v>
      </c>
      <c r="Q1438" s="783">
        <v>1358.28</v>
      </c>
      <c r="R1438" s="783">
        <v>487.29</v>
      </c>
      <c r="S1438" s="783">
        <v>220.22</v>
      </c>
      <c r="T1438" s="783">
        <v>650.77</v>
      </c>
      <c r="U1438" s="785">
        <v>44657.633321759298</v>
      </c>
    </row>
    <row r="1439" spans="1:21">
      <c r="A1439" s="782">
        <v>44666</v>
      </c>
      <c r="B1439" s="783" t="s">
        <v>41</v>
      </c>
      <c r="C1439" s="783" t="s">
        <v>4082</v>
      </c>
      <c r="D1439" s="783" t="s">
        <v>4009</v>
      </c>
      <c r="E1439" s="783" t="s">
        <v>5435</v>
      </c>
      <c r="F1439" s="783" t="s">
        <v>4011</v>
      </c>
      <c r="G1439" s="783" t="str">
        <f t="shared" si="79"/>
        <v>Renewal (20% in 2020)</v>
      </c>
      <c r="H1439" s="783" t="s">
        <v>5436</v>
      </c>
      <c r="I1439" s="783" t="s">
        <v>5437</v>
      </c>
      <c r="J1439" s="783">
        <v>25</v>
      </c>
      <c r="K1439" s="783" t="s">
        <v>27</v>
      </c>
      <c r="L1439" s="783" t="s">
        <v>4096</v>
      </c>
      <c r="M1439" s="784">
        <v>19482</v>
      </c>
      <c r="N1439" s="784">
        <v>17</v>
      </c>
      <c r="O1439" s="784">
        <v>3.82</v>
      </c>
      <c r="P1439" s="783">
        <v>300</v>
      </c>
      <c r="Q1439" s="783">
        <v>1260.49</v>
      </c>
      <c r="R1439" s="783">
        <v>790.97</v>
      </c>
      <c r="S1439" s="783">
        <v>194.82</v>
      </c>
      <c r="T1439" s="783">
        <v>274.7</v>
      </c>
      <c r="U1439" s="785">
        <v>44671.479236111103</v>
      </c>
    </row>
    <row r="1440" spans="1:21">
      <c r="A1440" s="782">
        <v>44706</v>
      </c>
      <c r="B1440" s="783" t="s">
        <v>41</v>
      </c>
      <c r="C1440" s="783" t="s">
        <v>4139</v>
      </c>
      <c r="D1440" s="783" t="s">
        <v>4009</v>
      </c>
      <c r="E1440" s="783" t="s">
        <v>5440</v>
      </c>
      <c r="F1440" s="783" t="s">
        <v>4011</v>
      </c>
      <c r="G1440" s="783" t="str">
        <f t="shared" si="79"/>
        <v>Renewal (15% in 2020)</v>
      </c>
      <c r="H1440" s="783" t="s">
        <v>5441</v>
      </c>
      <c r="I1440" s="783" t="s">
        <v>5442</v>
      </c>
      <c r="J1440" s="783">
        <v>20</v>
      </c>
      <c r="K1440" s="783" t="s">
        <v>27</v>
      </c>
      <c r="L1440" s="783" t="s">
        <v>4096</v>
      </c>
      <c r="M1440" s="784">
        <v>10275</v>
      </c>
      <c r="N1440" s="784">
        <v>10.11</v>
      </c>
      <c r="O1440" s="784">
        <v>2.56</v>
      </c>
      <c r="P1440" s="783">
        <v>397</v>
      </c>
      <c r="Q1440" s="783">
        <v>1075.79</v>
      </c>
      <c r="R1440" s="783">
        <v>595.95000000000005</v>
      </c>
      <c r="S1440" s="783">
        <v>71.92</v>
      </c>
      <c r="T1440" s="783">
        <v>407.92</v>
      </c>
      <c r="U1440" s="785">
        <v>44706.527476851901</v>
      </c>
    </row>
    <row r="1441" spans="1:21">
      <c r="A1441" s="782">
        <v>44700</v>
      </c>
      <c r="B1441" s="783" t="s">
        <v>51</v>
      </c>
      <c r="C1441" s="783" t="s">
        <v>4042</v>
      </c>
      <c r="D1441" s="783" t="s">
        <v>4016</v>
      </c>
      <c r="E1441" s="783" t="s">
        <v>5443</v>
      </c>
      <c r="F1441" s="783" t="s">
        <v>4011</v>
      </c>
      <c r="G1441" s="783" t="str">
        <f t="shared" ref="G1441:G1471" si="80">VLOOKUP(I1441,pacage,2,FALSE)</f>
        <v>New Contract</v>
      </c>
      <c r="H1441" s="783" t="s">
        <v>5444</v>
      </c>
      <c r="I1441" s="783" t="s">
        <v>5445</v>
      </c>
      <c r="J1441" s="783">
        <v>25</v>
      </c>
      <c r="K1441" s="783" t="s">
        <v>27</v>
      </c>
      <c r="L1441" s="783" t="s">
        <v>4096</v>
      </c>
      <c r="M1441" s="784">
        <v>54606.720000000001</v>
      </c>
      <c r="N1441" s="784">
        <v>40.630000000000003</v>
      </c>
      <c r="O1441" s="784">
        <v>3.36</v>
      </c>
      <c r="P1441" s="783">
        <v>400</v>
      </c>
      <c r="Q1441" s="783">
        <v>4193.8</v>
      </c>
      <c r="R1441" s="783">
        <v>2682.76</v>
      </c>
      <c r="S1441" s="783">
        <v>402.52</v>
      </c>
      <c r="T1441" s="783">
        <v>1108.52</v>
      </c>
      <c r="U1441" s="785">
        <v>44708.983275462997</v>
      </c>
    </row>
    <row r="1442" spans="1:21">
      <c r="A1442" s="782">
        <v>44678</v>
      </c>
      <c r="B1442" s="783" t="s">
        <v>41</v>
      </c>
      <c r="C1442" s="783" t="s">
        <v>4139</v>
      </c>
      <c r="D1442" s="783" t="s">
        <v>4009</v>
      </c>
      <c r="E1442" s="783" t="s">
        <v>261</v>
      </c>
      <c r="F1442" s="783" t="s">
        <v>4011</v>
      </c>
      <c r="G1442" s="783" t="str">
        <f t="shared" si="80"/>
        <v>New Contract</v>
      </c>
      <c r="H1442" s="783" t="s">
        <v>4140</v>
      </c>
      <c r="I1442" s="783" t="s">
        <v>4141</v>
      </c>
      <c r="J1442" s="783">
        <v>15</v>
      </c>
      <c r="K1442" s="783" t="s">
        <v>27</v>
      </c>
      <c r="L1442" s="783" t="s">
        <v>4096</v>
      </c>
      <c r="M1442" s="784">
        <v>4730.25</v>
      </c>
      <c r="N1442" s="784">
        <v>7.95</v>
      </c>
      <c r="O1442" s="784">
        <v>1.7</v>
      </c>
      <c r="P1442" s="783">
        <v>350</v>
      </c>
      <c r="Q1442" s="783">
        <v>645.21</v>
      </c>
      <c r="R1442" s="783">
        <v>274.35000000000002</v>
      </c>
      <c r="S1442" s="783">
        <v>33.11</v>
      </c>
      <c r="T1442" s="783">
        <v>337.74</v>
      </c>
      <c r="U1442" s="785">
        <v>44680.488356481503</v>
      </c>
    </row>
    <row r="1443" spans="1:21">
      <c r="A1443" s="782">
        <v>44678</v>
      </c>
      <c r="B1443" s="783" t="s">
        <v>118</v>
      </c>
      <c r="C1443" s="783" t="s">
        <v>4139</v>
      </c>
      <c r="D1443" s="783" t="s">
        <v>4009</v>
      </c>
      <c r="E1443" s="783" t="s">
        <v>1097</v>
      </c>
      <c r="F1443" s="783" t="s">
        <v>4011</v>
      </c>
      <c r="G1443" s="783" t="str">
        <f t="shared" si="80"/>
        <v>New contract</v>
      </c>
      <c r="H1443" s="783" t="s">
        <v>4235</v>
      </c>
      <c r="I1443" s="783" t="s">
        <v>4236</v>
      </c>
      <c r="J1443" s="783">
        <v>25</v>
      </c>
      <c r="K1443" s="783" t="s">
        <v>27</v>
      </c>
      <c r="L1443" s="783" t="s">
        <v>4096</v>
      </c>
      <c r="M1443" s="784">
        <v>27913.86</v>
      </c>
      <c r="N1443" s="784">
        <v>23.7</v>
      </c>
      <c r="O1443" s="784">
        <v>3.02</v>
      </c>
      <c r="P1443" s="783">
        <v>390</v>
      </c>
      <c r="Q1443" s="783">
        <v>2322.4299999999998</v>
      </c>
      <c r="R1443" s="783">
        <v>1619</v>
      </c>
      <c r="S1443" s="783">
        <v>195.4</v>
      </c>
      <c r="T1443" s="783">
        <v>508.03</v>
      </c>
      <c r="U1443" s="785">
        <v>44680.660208333298</v>
      </c>
    </row>
    <row r="1444" spans="1:21">
      <c r="A1444" s="782">
        <v>44678</v>
      </c>
      <c r="B1444" s="783" t="s">
        <v>113</v>
      </c>
      <c r="C1444" s="783" t="s">
        <v>4097</v>
      </c>
      <c r="D1444" s="783" t="s">
        <v>4038</v>
      </c>
      <c r="E1444" s="783" t="s">
        <v>5449</v>
      </c>
      <c r="F1444" s="783" t="s">
        <v>4011</v>
      </c>
      <c r="G1444" s="783" t="str">
        <f t="shared" si="80"/>
        <v>Renewal (15% in 2020)</v>
      </c>
      <c r="H1444" s="783" t="s">
        <v>5450</v>
      </c>
      <c r="I1444" s="783" t="s">
        <v>5451</v>
      </c>
      <c r="J1444" s="783">
        <v>15</v>
      </c>
      <c r="K1444" s="783" t="s">
        <v>27</v>
      </c>
      <c r="L1444" s="783" t="s">
        <v>4096</v>
      </c>
      <c r="M1444" s="784">
        <v>11263.56</v>
      </c>
      <c r="N1444" s="784">
        <v>12.19</v>
      </c>
      <c r="O1444" s="784">
        <v>2.64</v>
      </c>
      <c r="P1444" s="783">
        <v>350</v>
      </c>
      <c r="Q1444" s="783">
        <v>1263.77</v>
      </c>
      <c r="R1444" s="783">
        <v>416.75</v>
      </c>
      <c r="S1444" s="783">
        <v>158.82</v>
      </c>
      <c r="T1444" s="783">
        <v>688.2</v>
      </c>
      <c r="U1444" s="785">
        <v>44680.656597222202</v>
      </c>
    </row>
    <row r="1445" spans="1:21">
      <c r="A1445" s="782">
        <v>44678</v>
      </c>
      <c r="B1445" s="783" t="s">
        <v>41</v>
      </c>
      <c r="C1445" s="783" t="s">
        <v>4092</v>
      </c>
      <c r="D1445" s="783" t="s">
        <v>4009</v>
      </c>
      <c r="E1445" s="783" t="s">
        <v>5452</v>
      </c>
      <c r="F1445" s="783" t="s">
        <v>4011</v>
      </c>
      <c r="G1445" s="783" t="str">
        <f t="shared" si="80"/>
        <v>Renewal (20% in 2020)</v>
      </c>
      <c r="H1445" s="783" t="s">
        <v>5453</v>
      </c>
      <c r="I1445" s="783" t="s">
        <v>5454</v>
      </c>
      <c r="J1445" s="783">
        <v>20</v>
      </c>
      <c r="K1445" s="783" t="s">
        <v>27</v>
      </c>
      <c r="L1445" s="783" t="s">
        <v>4096</v>
      </c>
      <c r="M1445" s="784">
        <v>125550</v>
      </c>
      <c r="N1445" s="784">
        <v>67.5</v>
      </c>
      <c r="O1445" s="784">
        <v>3.72</v>
      </c>
      <c r="P1445" s="783">
        <v>500</v>
      </c>
      <c r="Q1445" s="783">
        <v>10031.450000000001</v>
      </c>
      <c r="R1445" s="783">
        <v>4017.37</v>
      </c>
      <c r="S1445" s="783">
        <v>2260.13</v>
      </c>
      <c r="T1445" s="783">
        <v>3753.95</v>
      </c>
      <c r="U1445" s="785">
        <v>44680.662523148101</v>
      </c>
    </row>
    <row r="1446" spans="1:21">
      <c r="A1446" s="782">
        <v>44680</v>
      </c>
      <c r="B1446" s="783" t="s">
        <v>228</v>
      </c>
      <c r="C1446" s="783" t="s">
        <v>4625</v>
      </c>
      <c r="D1446" s="783" t="s">
        <v>4248</v>
      </c>
      <c r="E1446" s="783" t="s">
        <v>4626</v>
      </c>
      <c r="F1446" s="783" t="s">
        <v>4011</v>
      </c>
      <c r="G1446" s="783" t="str">
        <f t="shared" si="80"/>
        <v>New Contract</v>
      </c>
      <c r="H1446" s="783" t="s">
        <v>4627</v>
      </c>
      <c r="I1446" s="783" t="s">
        <v>4628</v>
      </c>
      <c r="J1446" s="783">
        <v>25</v>
      </c>
      <c r="K1446" s="783" t="s">
        <v>27</v>
      </c>
      <c r="L1446" s="783" t="s">
        <v>4096</v>
      </c>
      <c r="M1446" s="784">
        <v>11925</v>
      </c>
      <c r="N1446" s="784">
        <v>9</v>
      </c>
      <c r="O1446" s="784">
        <v>2.65</v>
      </c>
      <c r="P1446" s="783">
        <v>500</v>
      </c>
      <c r="Q1446" s="783">
        <v>868.14</v>
      </c>
      <c r="R1446" s="783">
        <v>460.17</v>
      </c>
      <c r="S1446" s="783">
        <v>195.71</v>
      </c>
      <c r="T1446" s="783">
        <v>212.27</v>
      </c>
      <c r="U1446" s="785">
        <v>44680.726504629602</v>
      </c>
    </row>
    <row r="1447" spans="1:21">
      <c r="A1447" s="782">
        <v>44680</v>
      </c>
      <c r="B1447" s="783" t="s">
        <v>41</v>
      </c>
      <c r="C1447" s="783" t="s">
        <v>4354</v>
      </c>
      <c r="D1447" s="783" t="s">
        <v>4009</v>
      </c>
      <c r="E1447" s="783" t="s">
        <v>4355</v>
      </c>
      <c r="F1447" s="783" t="s">
        <v>4011</v>
      </c>
      <c r="G1447" s="783" t="str">
        <f t="shared" si="80"/>
        <v>Renewal (30% in 2020)</v>
      </c>
      <c r="H1447" s="783" t="s">
        <v>4356</v>
      </c>
      <c r="I1447" s="783" t="s">
        <v>4357</v>
      </c>
      <c r="J1447" s="783">
        <v>30</v>
      </c>
      <c r="K1447" s="783" t="s">
        <v>27</v>
      </c>
      <c r="L1447" s="783" t="s">
        <v>4096</v>
      </c>
      <c r="M1447" s="784">
        <v>39858.68</v>
      </c>
      <c r="N1447" s="784">
        <v>31.54</v>
      </c>
      <c r="O1447" s="784">
        <v>3.37</v>
      </c>
      <c r="P1447" s="783">
        <v>375</v>
      </c>
      <c r="Q1447" s="783">
        <v>3108.98</v>
      </c>
      <c r="R1447" s="783">
        <v>2535.0100000000002</v>
      </c>
      <c r="S1447" s="783">
        <v>0</v>
      </c>
      <c r="T1447" s="783">
        <v>573.96</v>
      </c>
      <c r="U1447" s="785">
        <v>44683.4914236111</v>
      </c>
    </row>
    <row r="1448" spans="1:21">
      <c r="A1448" s="782">
        <v>44680</v>
      </c>
      <c r="B1448" s="783" t="s">
        <v>41</v>
      </c>
      <c r="C1448" s="783" t="s">
        <v>4082</v>
      </c>
      <c r="D1448" s="783" t="s">
        <v>4009</v>
      </c>
      <c r="E1448" s="783" t="s">
        <v>5455</v>
      </c>
      <c r="F1448" s="783" t="s">
        <v>4011</v>
      </c>
      <c r="G1448" s="783" t="str">
        <f t="shared" si="80"/>
        <v>Renewal (25% in 2020)</v>
      </c>
      <c r="H1448" s="783" t="s">
        <v>5456</v>
      </c>
      <c r="I1448" s="783" t="s">
        <v>5457</v>
      </c>
      <c r="J1448" s="783">
        <v>25</v>
      </c>
      <c r="K1448" s="783" t="s">
        <v>27</v>
      </c>
      <c r="L1448" s="783" t="s">
        <v>4096</v>
      </c>
      <c r="M1448" s="784">
        <v>11870.76</v>
      </c>
      <c r="N1448" s="784">
        <v>10.58</v>
      </c>
      <c r="O1448" s="784">
        <v>3.4</v>
      </c>
      <c r="P1448" s="783">
        <v>330</v>
      </c>
      <c r="Q1448" s="783">
        <v>768.04</v>
      </c>
      <c r="R1448" s="783">
        <v>481.95</v>
      </c>
      <c r="S1448" s="783">
        <v>118.71</v>
      </c>
      <c r="T1448" s="783">
        <v>167.38</v>
      </c>
      <c r="U1448" s="785">
        <v>44683.476840277799</v>
      </c>
    </row>
    <row r="1449" spans="1:21">
      <c r="A1449" s="782">
        <v>44680</v>
      </c>
      <c r="B1449" s="783" t="s">
        <v>41</v>
      </c>
      <c r="C1449" s="783" t="s">
        <v>4139</v>
      </c>
      <c r="D1449" s="783" t="s">
        <v>4009</v>
      </c>
      <c r="E1449" s="783" t="s">
        <v>5458</v>
      </c>
      <c r="F1449" s="783" t="s">
        <v>4011</v>
      </c>
      <c r="G1449" s="783" t="str">
        <f t="shared" si="80"/>
        <v>Renewal (15% in 2020)</v>
      </c>
      <c r="H1449" s="783" t="s">
        <v>5459</v>
      </c>
      <c r="I1449" s="783" t="s">
        <v>5460</v>
      </c>
      <c r="J1449" s="783">
        <v>20</v>
      </c>
      <c r="K1449" s="783" t="s">
        <v>27</v>
      </c>
      <c r="L1449" s="783" t="s">
        <v>4096</v>
      </c>
      <c r="M1449" s="784">
        <v>21147.16</v>
      </c>
      <c r="N1449" s="784">
        <v>18.18</v>
      </c>
      <c r="O1449" s="784">
        <v>2.93</v>
      </c>
      <c r="P1449" s="783">
        <v>397</v>
      </c>
      <c r="Q1449" s="783">
        <v>2214.11</v>
      </c>
      <c r="R1449" s="783">
        <v>1226.54</v>
      </c>
      <c r="S1449" s="783">
        <v>148.03</v>
      </c>
      <c r="T1449" s="783">
        <v>839.54</v>
      </c>
      <c r="U1449" s="785">
        <v>44715.443576388898</v>
      </c>
    </row>
    <row r="1450" spans="1:21">
      <c r="A1450" s="782">
        <v>44685</v>
      </c>
      <c r="B1450" s="783" t="s">
        <v>41</v>
      </c>
      <c r="C1450" s="783" t="s">
        <v>4092</v>
      </c>
      <c r="D1450" s="783" t="s">
        <v>4009</v>
      </c>
      <c r="E1450" s="783" t="s">
        <v>726</v>
      </c>
      <c r="F1450" s="783" t="s">
        <v>4011</v>
      </c>
      <c r="G1450" s="783" t="str">
        <f t="shared" si="80"/>
        <v>Renewal (15% in 2020)</v>
      </c>
      <c r="H1450" s="783" t="s">
        <v>5467</v>
      </c>
      <c r="I1450" s="783" t="s">
        <v>5468</v>
      </c>
      <c r="J1450" s="783">
        <v>15</v>
      </c>
      <c r="K1450" s="783" t="s">
        <v>27</v>
      </c>
      <c r="L1450" s="783" t="s">
        <v>4096</v>
      </c>
      <c r="M1450" s="784">
        <v>23413.47</v>
      </c>
      <c r="N1450" s="784">
        <v>18.43</v>
      </c>
      <c r="O1450" s="784">
        <v>3.2</v>
      </c>
      <c r="P1450" s="783">
        <v>397</v>
      </c>
      <c r="Q1450" s="783">
        <v>2442.0300000000002</v>
      </c>
      <c r="R1450" s="783">
        <v>943.56</v>
      </c>
      <c r="S1450" s="783">
        <v>227.11</v>
      </c>
      <c r="T1450" s="783">
        <v>1271.3499999999999</v>
      </c>
      <c r="U1450" s="785">
        <v>44687.647280092599</v>
      </c>
    </row>
    <row r="1451" spans="1:21">
      <c r="A1451" s="782">
        <v>44689</v>
      </c>
      <c r="B1451" s="783" t="s">
        <v>41</v>
      </c>
      <c r="C1451" s="783" t="s">
        <v>4092</v>
      </c>
      <c r="D1451" s="783" t="s">
        <v>4009</v>
      </c>
      <c r="E1451" s="783" t="s">
        <v>5474</v>
      </c>
      <c r="F1451" s="783" t="s">
        <v>4011</v>
      </c>
      <c r="G1451" s="783" t="str">
        <f t="shared" si="80"/>
        <v>Renewal (20% in 2020)</v>
      </c>
      <c r="H1451" s="783" t="s">
        <v>5475</v>
      </c>
      <c r="I1451" s="783" t="s">
        <v>5476</v>
      </c>
      <c r="J1451" s="783">
        <v>20</v>
      </c>
      <c r="K1451" s="783" t="s">
        <v>27</v>
      </c>
      <c r="L1451" s="783" t="s">
        <v>4096</v>
      </c>
      <c r="M1451" s="784">
        <v>25531.11</v>
      </c>
      <c r="N1451" s="784">
        <v>20.350000000000001</v>
      </c>
      <c r="O1451" s="784">
        <v>2.46</v>
      </c>
      <c r="P1451" s="783">
        <v>510</v>
      </c>
      <c r="Q1451" s="783">
        <v>2039.94</v>
      </c>
      <c r="R1451" s="783">
        <v>800.93</v>
      </c>
      <c r="S1451" s="783">
        <v>475.62</v>
      </c>
      <c r="T1451" s="783">
        <v>763.38</v>
      </c>
      <c r="U1451" s="785">
        <v>44690.659444444398</v>
      </c>
    </row>
    <row r="1452" spans="1:21">
      <c r="A1452" s="782">
        <v>44678</v>
      </c>
      <c r="B1452" s="783" t="s">
        <v>228</v>
      </c>
      <c r="C1452" s="783" t="s">
        <v>4020</v>
      </c>
      <c r="D1452" s="783" t="s">
        <v>4021</v>
      </c>
      <c r="E1452" s="783" t="s">
        <v>5483</v>
      </c>
      <c r="F1452" s="783" t="s">
        <v>4011</v>
      </c>
      <c r="G1452" s="783" t="str">
        <f t="shared" si="80"/>
        <v>Renewal (25% in 2020)</v>
      </c>
      <c r="H1452" s="783" t="s">
        <v>5484</v>
      </c>
      <c r="I1452" s="783" t="s">
        <v>5485</v>
      </c>
      <c r="J1452" s="783">
        <v>25</v>
      </c>
      <c r="K1452" s="783" t="s">
        <v>27</v>
      </c>
      <c r="L1452" s="783" t="s">
        <v>4096</v>
      </c>
      <c r="M1452" s="784">
        <v>22733.040000000001</v>
      </c>
      <c r="N1452" s="784">
        <v>23.98</v>
      </c>
      <c r="O1452" s="784">
        <v>2.37</v>
      </c>
      <c r="P1452" s="783">
        <v>400</v>
      </c>
      <c r="Q1452" s="783">
        <v>1805</v>
      </c>
      <c r="R1452" s="783">
        <v>1134.9000000000001</v>
      </c>
      <c r="S1452" s="783">
        <v>179.07</v>
      </c>
      <c r="T1452" s="783">
        <v>491.03</v>
      </c>
      <c r="U1452" s="785">
        <v>44680.643935185202</v>
      </c>
    </row>
    <row r="1453" spans="1:21">
      <c r="A1453" s="782">
        <v>44681</v>
      </c>
      <c r="B1453" s="783" t="s">
        <v>51</v>
      </c>
      <c r="C1453" s="783" t="s">
        <v>4042</v>
      </c>
      <c r="D1453" s="783" t="s">
        <v>4016</v>
      </c>
      <c r="E1453" s="783" t="s">
        <v>5486</v>
      </c>
      <c r="F1453" s="783" t="s">
        <v>4011</v>
      </c>
      <c r="G1453" s="783" t="str">
        <f t="shared" si="80"/>
        <v>Renewal (30% in 2020)</v>
      </c>
      <c r="H1453" s="783" t="s">
        <v>5487</v>
      </c>
      <c r="I1453" s="783" t="s">
        <v>5488</v>
      </c>
      <c r="J1453" s="783">
        <v>30</v>
      </c>
      <c r="K1453" s="783" t="s">
        <v>27</v>
      </c>
      <c r="L1453" s="783" t="s">
        <v>4096</v>
      </c>
      <c r="M1453" s="784">
        <v>22747.5</v>
      </c>
      <c r="N1453" s="784">
        <v>15</v>
      </c>
      <c r="O1453" s="784">
        <v>3.37</v>
      </c>
      <c r="P1453" s="783">
        <v>450</v>
      </c>
      <c r="Q1453" s="783">
        <v>1587.78</v>
      </c>
      <c r="R1453" s="783">
        <v>993.38</v>
      </c>
      <c r="S1453" s="783">
        <v>132.62</v>
      </c>
      <c r="T1453" s="783">
        <v>461.77</v>
      </c>
      <c r="U1453" s="785">
        <v>44683.458310185197</v>
      </c>
    </row>
    <row r="1454" spans="1:21">
      <c r="A1454" s="782">
        <v>44678</v>
      </c>
      <c r="B1454" s="783" t="s">
        <v>51</v>
      </c>
      <c r="C1454" s="783" t="s">
        <v>5489</v>
      </c>
      <c r="D1454" s="783" t="s">
        <v>4016</v>
      </c>
      <c r="E1454" s="783" t="s">
        <v>5490</v>
      </c>
      <c r="F1454" s="783" t="s">
        <v>4011</v>
      </c>
      <c r="G1454" s="783" t="str">
        <f t="shared" si="80"/>
        <v>Renewal (20% in 2020)</v>
      </c>
      <c r="H1454" s="783" t="s">
        <v>5491</v>
      </c>
      <c r="I1454" s="783" t="s">
        <v>5492</v>
      </c>
      <c r="J1454" s="783">
        <v>30</v>
      </c>
      <c r="K1454" s="783" t="s">
        <v>27</v>
      </c>
      <c r="L1454" s="783" t="s">
        <v>4096</v>
      </c>
      <c r="M1454" s="784">
        <v>12942.4</v>
      </c>
      <c r="N1454" s="784">
        <v>12.27</v>
      </c>
      <c r="O1454" s="784">
        <v>2.93</v>
      </c>
      <c r="P1454" s="783">
        <v>360</v>
      </c>
      <c r="Q1454" s="783">
        <v>761.01</v>
      </c>
      <c r="R1454" s="783">
        <v>539.70000000000005</v>
      </c>
      <c r="S1454" s="783">
        <v>0</v>
      </c>
      <c r="T1454" s="783">
        <v>221.31</v>
      </c>
      <c r="U1454" s="785">
        <v>44680.652604166702</v>
      </c>
    </row>
    <row r="1455" spans="1:21">
      <c r="A1455" s="782">
        <v>44680</v>
      </c>
      <c r="B1455" s="783" t="s">
        <v>113</v>
      </c>
      <c r="C1455" s="783" t="s">
        <v>4097</v>
      </c>
      <c r="D1455" s="783" t="s">
        <v>4038</v>
      </c>
      <c r="E1455" s="783" t="s">
        <v>5493</v>
      </c>
      <c r="F1455" s="783" t="s">
        <v>4011</v>
      </c>
      <c r="G1455" s="783" t="str">
        <f t="shared" si="80"/>
        <v>Renewal (15% in 2020)</v>
      </c>
      <c r="H1455" s="783" t="s">
        <v>5494</v>
      </c>
      <c r="I1455" s="783" t="s">
        <v>5495</v>
      </c>
      <c r="J1455" s="783">
        <v>15</v>
      </c>
      <c r="K1455" s="783" t="s">
        <v>27</v>
      </c>
      <c r="L1455" s="783" t="s">
        <v>4096</v>
      </c>
      <c r="M1455" s="784">
        <v>21777.56</v>
      </c>
      <c r="N1455" s="784">
        <v>21.68</v>
      </c>
      <c r="O1455" s="784">
        <v>2.87</v>
      </c>
      <c r="P1455" s="783">
        <v>350</v>
      </c>
      <c r="Q1455" s="783">
        <v>2443.44</v>
      </c>
      <c r="R1455" s="783">
        <v>805.77</v>
      </c>
      <c r="S1455" s="783">
        <v>307.06</v>
      </c>
      <c r="T1455" s="783">
        <v>1330.61</v>
      </c>
      <c r="U1455" s="785">
        <v>44683.465462963002</v>
      </c>
    </row>
    <row r="1456" spans="1:21">
      <c r="A1456" s="782">
        <v>44681</v>
      </c>
      <c r="B1456" s="783" t="s">
        <v>51</v>
      </c>
      <c r="C1456" s="783" t="s">
        <v>4796</v>
      </c>
      <c r="D1456" s="783" t="s">
        <v>4016</v>
      </c>
      <c r="E1456" s="783" t="s">
        <v>96</v>
      </c>
      <c r="F1456" s="783" t="s">
        <v>4011</v>
      </c>
      <c r="G1456" s="783" t="str">
        <f t="shared" si="80"/>
        <v>Renewal (20% in 2020)</v>
      </c>
      <c r="H1456" s="783" t="s">
        <v>5499</v>
      </c>
      <c r="I1456" s="783" t="s">
        <v>5500</v>
      </c>
      <c r="J1456" s="783">
        <v>20</v>
      </c>
      <c r="K1456" s="783" t="s">
        <v>27</v>
      </c>
      <c r="L1456" s="783" t="s">
        <v>4096</v>
      </c>
      <c r="M1456" s="784">
        <v>40243.89</v>
      </c>
      <c r="N1456" s="784">
        <v>31</v>
      </c>
      <c r="O1456" s="784">
        <v>3.27</v>
      </c>
      <c r="P1456" s="783">
        <v>397</v>
      </c>
      <c r="Q1456" s="783">
        <v>3754.75</v>
      </c>
      <c r="R1456" s="783">
        <v>1955.85</v>
      </c>
      <c r="S1456" s="783">
        <v>281.70999999999998</v>
      </c>
      <c r="T1456" s="783">
        <v>1517.19</v>
      </c>
      <c r="U1456" s="785">
        <v>44683.464166666701</v>
      </c>
    </row>
    <row r="1457" spans="1:21">
      <c r="A1457" s="782">
        <v>44681</v>
      </c>
      <c r="B1457" s="783" t="s">
        <v>51</v>
      </c>
      <c r="C1457" s="783" t="s">
        <v>4042</v>
      </c>
      <c r="D1457" s="783" t="s">
        <v>4016</v>
      </c>
      <c r="E1457" s="783" t="s">
        <v>96</v>
      </c>
      <c r="F1457" s="783" t="s">
        <v>4011</v>
      </c>
      <c r="G1457" s="783" t="str">
        <f t="shared" si="80"/>
        <v>Renewal (20% in 2020)</v>
      </c>
      <c r="H1457" s="783" t="s">
        <v>5499</v>
      </c>
      <c r="I1457" s="783" t="s">
        <v>5500</v>
      </c>
      <c r="J1457" s="783">
        <v>20</v>
      </c>
      <c r="K1457" s="783" t="s">
        <v>27</v>
      </c>
      <c r="L1457" s="783" t="s">
        <v>4096</v>
      </c>
      <c r="M1457" s="784">
        <v>18712.36</v>
      </c>
      <c r="N1457" s="784">
        <v>14.24</v>
      </c>
      <c r="O1457" s="784">
        <v>3.31</v>
      </c>
      <c r="P1457" s="783">
        <v>397</v>
      </c>
      <c r="Q1457" s="783">
        <v>1787.03</v>
      </c>
      <c r="R1457" s="783">
        <v>926.26</v>
      </c>
      <c r="S1457" s="783">
        <v>130.99</v>
      </c>
      <c r="T1457" s="783">
        <v>729.78</v>
      </c>
      <c r="U1457" s="785">
        <v>44683.464166666701</v>
      </c>
    </row>
    <row r="1458" spans="1:21">
      <c r="A1458" s="782">
        <v>44684</v>
      </c>
      <c r="B1458" s="783" t="s">
        <v>30</v>
      </c>
      <c r="C1458" s="783" t="s">
        <v>4089</v>
      </c>
      <c r="D1458" s="783" t="s">
        <v>4021</v>
      </c>
      <c r="E1458" s="783" t="s">
        <v>5504</v>
      </c>
      <c r="F1458" s="783" t="s">
        <v>4011</v>
      </c>
      <c r="G1458" s="783" t="str">
        <f t="shared" si="80"/>
        <v>Renewal (20% in 2020)</v>
      </c>
      <c r="H1458" s="783" t="s">
        <v>5505</v>
      </c>
      <c r="I1458" s="783" t="s">
        <v>5506</v>
      </c>
      <c r="J1458" s="783">
        <v>30</v>
      </c>
      <c r="K1458" s="783" t="s">
        <v>27</v>
      </c>
      <c r="L1458" s="783" t="s">
        <v>4096</v>
      </c>
      <c r="M1458" s="784">
        <v>125585.9</v>
      </c>
      <c r="N1458" s="784">
        <v>63.97</v>
      </c>
      <c r="O1458" s="784">
        <v>4.09</v>
      </c>
      <c r="P1458" s="783">
        <v>480</v>
      </c>
      <c r="Q1458" s="783">
        <v>7522.6</v>
      </c>
      <c r="R1458" s="783">
        <v>4258.67</v>
      </c>
      <c r="S1458" s="783">
        <v>890.35</v>
      </c>
      <c r="T1458" s="783">
        <v>2373.5700000000002</v>
      </c>
      <c r="U1458" s="785">
        <v>44685.409467592603</v>
      </c>
    </row>
    <row r="1459" spans="1:21">
      <c r="A1459" s="782">
        <v>44684</v>
      </c>
      <c r="B1459" s="783" t="s">
        <v>118</v>
      </c>
      <c r="C1459" s="783" t="s">
        <v>4139</v>
      </c>
      <c r="D1459" s="783" t="s">
        <v>4009</v>
      </c>
      <c r="E1459" s="783" t="s">
        <v>1581</v>
      </c>
      <c r="F1459" s="783" t="s">
        <v>4011</v>
      </c>
      <c r="G1459" s="783" t="str">
        <f t="shared" si="80"/>
        <v>Renewal (15% in 2020)</v>
      </c>
      <c r="H1459" s="783" t="s">
        <v>5507</v>
      </c>
      <c r="I1459" s="783" t="s">
        <v>5508</v>
      </c>
      <c r="J1459" s="783">
        <v>15</v>
      </c>
      <c r="K1459" s="783" t="s">
        <v>27</v>
      </c>
      <c r="L1459" s="783" t="s">
        <v>4096</v>
      </c>
      <c r="M1459" s="784">
        <v>29403</v>
      </c>
      <c r="N1459" s="784">
        <v>16.2</v>
      </c>
      <c r="O1459" s="784">
        <v>3.63</v>
      </c>
      <c r="P1459" s="783">
        <v>500</v>
      </c>
      <c r="Q1459" s="783">
        <v>4010.57</v>
      </c>
      <c r="R1459" s="783">
        <v>1354.07</v>
      </c>
      <c r="S1459" s="783">
        <v>557.13</v>
      </c>
      <c r="T1459" s="783">
        <v>2099.37</v>
      </c>
      <c r="U1459" s="785">
        <v>44684.386493055601</v>
      </c>
    </row>
    <row r="1460" spans="1:21">
      <c r="A1460" s="782">
        <v>44680</v>
      </c>
      <c r="B1460" s="783" t="s">
        <v>51</v>
      </c>
      <c r="C1460" s="783" t="s">
        <v>4042</v>
      </c>
      <c r="D1460" s="783" t="s">
        <v>4016</v>
      </c>
      <c r="E1460" s="783" t="s">
        <v>106</v>
      </c>
      <c r="F1460" s="783" t="s">
        <v>4011</v>
      </c>
      <c r="G1460" s="783" t="str">
        <f t="shared" si="80"/>
        <v>Renewal (20% in 2020)</v>
      </c>
      <c r="H1460" s="783" t="s">
        <v>5512</v>
      </c>
      <c r="I1460" s="783" t="s">
        <v>5513</v>
      </c>
      <c r="J1460" s="783">
        <v>20</v>
      </c>
      <c r="K1460" s="783" t="s">
        <v>27</v>
      </c>
      <c r="L1460" s="783" t="s">
        <v>4096</v>
      </c>
      <c r="M1460" s="784">
        <v>85680</v>
      </c>
      <c r="N1460" s="784">
        <v>61.2</v>
      </c>
      <c r="O1460" s="784">
        <v>3.5</v>
      </c>
      <c r="P1460" s="783">
        <v>400</v>
      </c>
      <c r="Q1460" s="783">
        <v>8182.44</v>
      </c>
      <c r="R1460" s="783">
        <v>4209.3500000000004</v>
      </c>
      <c r="S1460" s="783">
        <v>631.57000000000005</v>
      </c>
      <c r="T1460" s="783">
        <v>3341.52</v>
      </c>
      <c r="U1460" s="785">
        <v>44683.4868055556</v>
      </c>
    </row>
    <row r="1461" spans="1:21">
      <c r="A1461" s="782">
        <v>44686</v>
      </c>
      <c r="B1461" s="783" t="s">
        <v>41</v>
      </c>
      <c r="C1461" s="783" t="s">
        <v>4071</v>
      </c>
      <c r="D1461" s="783" t="s">
        <v>4009</v>
      </c>
      <c r="E1461" s="783" t="s">
        <v>5523</v>
      </c>
      <c r="F1461" s="783" t="s">
        <v>4011</v>
      </c>
      <c r="G1461" s="783" t="str">
        <f t="shared" si="80"/>
        <v>Renewal (20% in 2020)</v>
      </c>
      <c r="H1461" s="783" t="s">
        <v>5524</v>
      </c>
      <c r="I1461" s="783" t="s">
        <v>5525</v>
      </c>
      <c r="J1461" s="783">
        <v>20</v>
      </c>
      <c r="K1461" s="783" t="s">
        <v>27</v>
      </c>
      <c r="L1461" s="783" t="s">
        <v>4096</v>
      </c>
      <c r="M1461" s="784">
        <v>12704.1</v>
      </c>
      <c r="N1461" s="784">
        <v>7.99</v>
      </c>
      <c r="O1461" s="784">
        <v>3.18</v>
      </c>
      <c r="P1461" s="783">
        <v>500</v>
      </c>
      <c r="Q1461" s="783">
        <v>1106.53</v>
      </c>
      <c r="R1461" s="783">
        <v>484.18</v>
      </c>
      <c r="S1461" s="783">
        <v>200.57</v>
      </c>
      <c r="T1461" s="783">
        <v>421.78</v>
      </c>
      <c r="U1461" s="785">
        <v>44687.626284722202</v>
      </c>
    </row>
    <row r="1462" spans="1:21">
      <c r="A1462" s="782">
        <v>44677</v>
      </c>
      <c r="B1462" s="783" t="s">
        <v>30</v>
      </c>
      <c r="C1462" s="783" t="s">
        <v>4239</v>
      </c>
      <c r="D1462" s="783" t="s">
        <v>4021</v>
      </c>
      <c r="E1462" s="783" t="s">
        <v>5526</v>
      </c>
      <c r="F1462" s="783" t="s">
        <v>4011</v>
      </c>
      <c r="G1462" s="783" t="str">
        <f t="shared" si="80"/>
        <v>Renewal (25% in 2020)</v>
      </c>
      <c r="H1462" s="783" t="s">
        <v>5527</v>
      </c>
      <c r="I1462" s="783" t="s">
        <v>5528</v>
      </c>
      <c r="J1462" s="783">
        <v>25</v>
      </c>
      <c r="K1462" s="783" t="s">
        <v>27</v>
      </c>
      <c r="L1462" s="783" t="s">
        <v>4096</v>
      </c>
      <c r="M1462" s="784">
        <v>37118.97</v>
      </c>
      <c r="N1462" s="784">
        <v>17.72</v>
      </c>
      <c r="O1462" s="784">
        <v>3.99</v>
      </c>
      <c r="P1462" s="783">
        <v>525</v>
      </c>
      <c r="Q1462" s="783">
        <v>2620.6</v>
      </c>
      <c r="R1462" s="783">
        <v>1114.3399999999999</v>
      </c>
      <c r="S1462" s="783">
        <v>838.12</v>
      </c>
      <c r="T1462" s="783">
        <v>668.14</v>
      </c>
      <c r="U1462" s="785">
        <v>44678.781539351898</v>
      </c>
    </row>
    <row r="1463" spans="1:21">
      <c r="A1463" s="782">
        <v>44684</v>
      </c>
      <c r="B1463" s="783" t="s">
        <v>4025</v>
      </c>
      <c r="C1463" s="783" t="s">
        <v>4052</v>
      </c>
      <c r="D1463" s="783" t="s">
        <v>4021</v>
      </c>
      <c r="E1463" s="783" t="s">
        <v>4053</v>
      </c>
      <c r="F1463" s="783" t="s">
        <v>4011</v>
      </c>
      <c r="G1463" s="783" t="str">
        <f t="shared" si="80"/>
        <v>New contract</v>
      </c>
      <c r="H1463" s="783" t="s">
        <v>4054</v>
      </c>
      <c r="I1463" s="783" t="s">
        <v>4055</v>
      </c>
      <c r="J1463" s="783">
        <v>25</v>
      </c>
      <c r="K1463" s="783" t="s">
        <v>27</v>
      </c>
      <c r="L1463" s="783" t="s">
        <v>4096</v>
      </c>
      <c r="M1463" s="784">
        <v>23341.5</v>
      </c>
      <c r="N1463" s="784">
        <v>19</v>
      </c>
      <c r="O1463" s="784">
        <v>2.73</v>
      </c>
      <c r="P1463" s="783">
        <v>450</v>
      </c>
      <c r="Q1463" s="783">
        <v>1727.27</v>
      </c>
      <c r="R1463" s="783">
        <v>1015.2</v>
      </c>
      <c r="S1463" s="783">
        <v>289.58999999999997</v>
      </c>
      <c r="T1463" s="783">
        <v>422.48</v>
      </c>
      <c r="U1463" s="785">
        <v>44685.4058912037</v>
      </c>
    </row>
    <row r="1464" spans="1:21">
      <c r="A1464" s="782">
        <v>44708</v>
      </c>
      <c r="B1464" s="783" t="s">
        <v>41</v>
      </c>
      <c r="C1464" s="783" t="s">
        <v>4008</v>
      </c>
      <c r="D1464" s="783" t="s">
        <v>4009</v>
      </c>
      <c r="E1464" s="783" t="s">
        <v>5529</v>
      </c>
      <c r="F1464" s="783" t="s">
        <v>4011</v>
      </c>
      <c r="G1464" s="783" t="str">
        <f t="shared" si="80"/>
        <v>Renewal (20% in 2020)</v>
      </c>
      <c r="H1464" s="783" t="s">
        <v>5530</v>
      </c>
      <c r="I1464" s="783" t="s">
        <v>5531</v>
      </c>
      <c r="J1464" s="783">
        <v>20</v>
      </c>
      <c r="K1464" s="783" t="s">
        <v>27</v>
      </c>
      <c r="L1464" s="783" t="s">
        <v>4096</v>
      </c>
      <c r="M1464" s="784">
        <v>18730.46</v>
      </c>
      <c r="N1464" s="784">
        <v>14</v>
      </c>
      <c r="O1464" s="784">
        <v>3.37</v>
      </c>
      <c r="P1464" s="783">
        <v>397</v>
      </c>
      <c r="Q1464" s="783">
        <v>1880.54</v>
      </c>
      <c r="R1464" s="783">
        <v>809.16</v>
      </c>
      <c r="S1464" s="783">
        <v>294.07</v>
      </c>
      <c r="T1464" s="783">
        <v>777.31</v>
      </c>
      <c r="U1464" s="785">
        <v>44708.588553240697</v>
      </c>
    </row>
    <row r="1465" spans="1:21">
      <c r="A1465" s="782">
        <v>44678</v>
      </c>
      <c r="B1465" s="783" t="s">
        <v>41</v>
      </c>
      <c r="C1465" s="783" t="s">
        <v>4008</v>
      </c>
      <c r="D1465" s="783" t="s">
        <v>4009</v>
      </c>
      <c r="E1465" s="783" t="s">
        <v>5532</v>
      </c>
      <c r="F1465" s="783" t="s">
        <v>4011</v>
      </c>
      <c r="G1465" s="783" t="str">
        <f t="shared" si="80"/>
        <v>Renewal (15% in 2020)</v>
      </c>
      <c r="H1465" s="783" t="s">
        <v>5533</v>
      </c>
      <c r="I1465" s="783" t="s">
        <v>5534</v>
      </c>
      <c r="J1465" s="783">
        <v>15</v>
      </c>
      <c r="K1465" s="783" t="s">
        <v>27</v>
      </c>
      <c r="L1465" s="783" t="s">
        <v>4096</v>
      </c>
      <c r="M1465" s="784">
        <v>11366.43</v>
      </c>
      <c r="N1465" s="784">
        <v>9.64</v>
      </c>
      <c r="O1465" s="784">
        <v>2.97</v>
      </c>
      <c r="P1465" s="783">
        <v>397</v>
      </c>
      <c r="Q1465" s="783">
        <v>1468.54</v>
      </c>
      <c r="R1465" s="783">
        <v>491.03</v>
      </c>
      <c r="S1465" s="783">
        <v>178.45</v>
      </c>
      <c r="T1465" s="783">
        <v>799.06</v>
      </c>
      <c r="U1465" s="785">
        <v>44680.657766203702</v>
      </c>
    </row>
    <row r="1466" spans="1:21">
      <c r="A1466" s="782">
        <v>44680</v>
      </c>
      <c r="B1466" s="783" t="s">
        <v>41</v>
      </c>
      <c r="C1466" s="783" t="s">
        <v>4082</v>
      </c>
      <c r="D1466" s="783" t="s">
        <v>4009</v>
      </c>
      <c r="E1466" s="783" t="s">
        <v>5538</v>
      </c>
      <c r="F1466" s="783" t="s">
        <v>4011</v>
      </c>
      <c r="G1466" s="783" t="str">
        <f t="shared" si="80"/>
        <v>New Contract</v>
      </c>
      <c r="H1466" s="783" t="s">
        <v>5539</v>
      </c>
      <c r="I1466" s="783" t="s">
        <v>5540</v>
      </c>
      <c r="J1466" s="783">
        <v>30</v>
      </c>
      <c r="K1466" s="783" t="s">
        <v>27</v>
      </c>
      <c r="L1466" s="783" t="s">
        <v>4096</v>
      </c>
      <c r="M1466" s="784">
        <v>19521.439999999999</v>
      </c>
      <c r="N1466" s="784">
        <v>18.84</v>
      </c>
      <c r="O1466" s="784">
        <v>2.61</v>
      </c>
      <c r="P1466" s="783">
        <v>397</v>
      </c>
      <c r="Q1466" s="783">
        <v>1069.78</v>
      </c>
      <c r="R1466" s="783">
        <v>792.57</v>
      </c>
      <c r="S1466" s="783">
        <v>0</v>
      </c>
      <c r="T1466" s="783">
        <v>277.2</v>
      </c>
      <c r="U1466" s="785">
        <v>44680.743125000001</v>
      </c>
    </row>
    <row r="1467" spans="1:21">
      <c r="A1467" s="782">
        <v>44680</v>
      </c>
      <c r="B1467" s="783" t="s">
        <v>228</v>
      </c>
      <c r="C1467" s="783" t="s">
        <v>4675</v>
      </c>
      <c r="D1467" s="783" t="s">
        <v>4193</v>
      </c>
      <c r="E1467" s="783" t="s">
        <v>5541</v>
      </c>
      <c r="F1467" s="783" t="s">
        <v>4011</v>
      </c>
      <c r="G1467" s="783" t="str">
        <f t="shared" si="80"/>
        <v>Renewal (20% in 2020)</v>
      </c>
      <c r="H1467" s="783" t="s">
        <v>5542</v>
      </c>
      <c r="I1467" s="783" t="s">
        <v>5543</v>
      </c>
      <c r="J1467" s="783">
        <v>25</v>
      </c>
      <c r="K1467" s="783" t="s">
        <v>27</v>
      </c>
      <c r="L1467" s="783" t="s">
        <v>4096</v>
      </c>
      <c r="M1467" s="784">
        <v>66163.5</v>
      </c>
      <c r="N1467" s="784">
        <v>50.7</v>
      </c>
      <c r="O1467" s="784">
        <v>2.9</v>
      </c>
      <c r="P1467" s="783">
        <v>450</v>
      </c>
      <c r="Q1467" s="783">
        <v>4975.5</v>
      </c>
      <c r="R1467" s="783">
        <v>2474.9299999999998</v>
      </c>
      <c r="S1467" s="783">
        <v>1150.83</v>
      </c>
      <c r="T1467" s="783">
        <v>1349.74</v>
      </c>
      <c r="U1467" s="785">
        <v>44683.503043981502</v>
      </c>
    </row>
    <row r="1468" spans="1:21">
      <c r="A1468" s="782">
        <v>44680</v>
      </c>
      <c r="B1468" s="783" t="s">
        <v>47</v>
      </c>
      <c r="C1468" s="783" t="s">
        <v>4101</v>
      </c>
      <c r="D1468" s="783" t="s">
        <v>4102</v>
      </c>
      <c r="E1468" s="783" t="s">
        <v>4638</v>
      </c>
      <c r="F1468" s="783" t="s">
        <v>4011</v>
      </c>
      <c r="G1468" s="783" t="str">
        <f t="shared" si="80"/>
        <v>Renewal (15% in 2020)</v>
      </c>
      <c r="H1468" s="783" t="s">
        <v>4639</v>
      </c>
      <c r="I1468" s="783" t="s">
        <v>4640</v>
      </c>
      <c r="J1468" s="783">
        <v>15</v>
      </c>
      <c r="K1468" s="783" t="s">
        <v>27</v>
      </c>
      <c r="L1468" s="783" t="s">
        <v>4096</v>
      </c>
      <c r="M1468" s="784">
        <v>60687.79</v>
      </c>
      <c r="N1468" s="784">
        <v>48.4</v>
      </c>
      <c r="O1468" s="784">
        <v>2.4300000000000002</v>
      </c>
      <c r="P1468" s="783">
        <v>516</v>
      </c>
      <c r="Q1468" s="783">
        <v>5455.83</v>
      </c>
      <c r="R1468" s="783">
        <v>1708.93</v>
      </c>
      <c r="S1468" s="783">
        <v>809.62</v>
      </c>
      <c r="T1468" s="783">
        <v>2937.29</v>
      </c>
      <c r="U1468" s="785">
        <v>44683.488113425898</v>
      </c>
    </row>
    <row r="1469" spans="1:21">
      <c r="A1469" s="782">
        <v>44680</v>
      </c>
      <c r="B1469" s="783" t="s">
        <v>30</v>
      </c>
      <c r="C1469" s="783" t="s">
        <v>4089</v>
      </c>
      <c r="D1469" s="783" t="s">
        <v>4021</v>
      </c>
      <c r="E1469" s="783" t="s">
        <v>5544</v>
      </c>
      <c r="F1469" s="783" t="s">
        <v>4011</v>
      </c>
      <c r="G1469" s="783" t="str">
        <f t="shared" si="80"/>
        <v>Renewal (15% in 2020)</v>
      </c>
      <c r="H1469" s="783" t="s">
        <v>5545</v>
      </c>
      <c r="I1469" s="783" t="s">
        <v>5546</v>
      </c>
      <c r="J1469" s="783">
        <v>15</v>
      </c>
      <c r="K1469" s="783" t="s">
        <v>27</v>
      </c>
      <c r="L1469" s="783" t="s">
        <v>4096</v>
      </c>
      <c r="M1469" s="784">
        <v>14889.04</v>
      </c>
      <c r="N1469" s="784">
        <v>13.23</v>
      </c>
      <c r="O1469" s="784">
        <v>3.31</v>
      </c>
      <c r="P1469" s="783">
        <v>340</v>
      </c>
      <c r="Q1469" s="783">
        <v>1566.33</v>
      </c>
      <c r="R1469" s="783">
        <v>610.45000000000005</v>
      </c>
      <c r="S1469" s="783">
        <v>93.8</v>
      </c>
      <c r="T1469" s="783">
        <v>862.08</v>
      </c>
      <c r="U1469" s="785">
        <v>44683.468275462998</v>
      </c>
    </row>
    <row r="1470" spans="1:21">
      <c r="A1470" s="782">
        <v>44681</v>
      </c>
      <c r="B1470" s="783" t="s">
        <v>41</v>
      </c>
      <c r="C1470" s="783" t="s">
        <v>4092</v>
      </c>
      <c r="D1470" s="783" t="s">
        <v>4009</v>
      </c>
      <c r="E1470" s="783" t="s">
        <v>5558</v>
      </c>
      <c r="F1470" s="783" t="s">
        <v>4011</v>
      </c>
      <c r="G1470" s="783" t="str">
        <f t="shared" si="80"/>
        <v>Renewal (25% in 2020)</v>
      </c>
      <c r="H1470" s="783" t="s">
        <v>5559</v>
      </c>
      <c r="I1470" s="783" t="s">
        <v>5560</v>
      </c>
      <c r="J1470" s="783">
        <v>25</v>
      </c>
      <c r="K1470" s="783" t="s">
        <v>27</v>
      </c>
      <c r="L1470" s="783" t="s">
        <v>4096</v>
      </c>
      <c r="M1470" s="784">
        <v>26763.09</v>
      </c>
      <c r="N1470" s="784">
        <v>24.35</v>
      </c>
      <c r="O1470" s="784">
        <v>2.9</v>
      </c>
      <c r="P1470" s="783">
        <v>379</v>
      </c>
      <c r="Q1470" s="783">
        <v>1702.13</v>
      </c>
      <c r="R1470" s="783">
        <v>1078.55</v>
      </c>
      <c r="S1470" s="783">
        <v>259.60000000000002</v>
      </c>
      <c r="T1470" s="783">
        <v>363.98</v>
      </c>
      <c r="U1470" s="785">
        <v>44683.418275463002</v>
      </c>
    </row>
    <row r="1471" spans="1:21">
      <c r="A1471" s="782">
        <v>44715</v>
      </c>
      <c r="B1471" s="783" t="s">
        <v>51</v>
      </c>
      <c r="C1471" s="783" t="s">
        <v>4042</v>
      </c>
      <c r="D1471" s="783" t="s">
        <v>4016</v>
      </c>
      <c r="E1471" s="783" t="s">
        <v>3849</v>
      </c>
      <c r="F1471" s="783" t="s">
        <v>4011</v>
      </c>
      <c r="G1471" s="783" t="str">
        <f t="shared" si="80"/>
        <v>Renewal (15% in 2020)</v>
      </c>
      <c r="H1471" s="783" t="s">
        <v>5561</v>
      </c>
      <c r="I1471" s="783" t="s">
        <v>5562</v>
      </c>
      <c r="J1471" s="783">
        <v>15</v>
      </c>
      <c r="K1471" s="783" t="s">
        <v>27</v>
      </c>
      <c r="L1471" s="783" t="s">
        <v>4096</v>
      </c>
      <c r="M1471" s="784">
        <v>33834.33</v>
      </c>
      <c r="N1471" s="784">
        <v>24.35</v>
      </c>
      <c r="O1471" s="784">
        <v>3.5</v>
      </c>
      <c r="P1471" s="783">
        <v>397</v>
      </c>
      <c r="Q1471" s="783">
        <v>4165.01</v>
      </c>
      <c r="R1471" s="783">
        <v>1674.8</v>
      </c>
      <c r="S1471" s="783">
        <v>236.84</v>
      </c>
      <c r="T1471" s="783">
        <v>2253.37</v>
      </c>
      <c r="U1471" s="785">
        <v>44715.466388888897</v>
      </c>
    </row>
    <row r="1472" spans="1:21">
      <c r="A1472" s="782">
        <v>44700</v>
      </c>
      <c r="B1472" s="783" t="s">
        <v>41</v>
      </c>
      <c r="C1472" s="783" t="s">
        <v>4071</v>
      </c>
      <c r="D1472" s="783" t="s">
        <v>4009</v>
      </c>
      <c r="E1472" s="783" t="s">
        <v>5565</v>
      </c>
      <c r="F1472" s="783" t="s">
        <v>4011</v>
      </c>
      <c r="G1472" s="783" t="s">
        <v>4028</v>
      </c>
      <c r="H1472" s="783" t="s">
        <v>5566</v>
      </c>
      <c r="I1472" s="783" t="s">
        <v>5567</v>
      </c>
      <c r="J1472" s="783">
        <v>25</v>
      </c>
      <c r="K1472" s="783" t="s">
        <v>27</v>
      </c>
      <c r="L1472" s="783" t="s">
        <v>4096</v>
      </c>
      <c r="M1472" s="784">
        <v>20800.82</v>
      </c>
      <c r="N1472" s="784">
        <v>14.97</v>
      </c>
      <c r="O1472" s="784">
        <v>3.5</v>
      </c>
      <c r="P1472" s="783">
        <v>397</v>
      </c>
      <c r="Q1472" s="783">
        <v>1441.5</v>
      </c>
      <c r="R1472" s="783">
        <v>998.44</v>
      </c>
      <c r="S1472" s="783">
        <v>122.72</v>
      </c>
      <c r="T1472" s="783">
        <v>320.33</v>
      </c>
      <c r="U1472" s="785">
        <v>44705.666585648098</v>
      </c>
    </row>
    <row r="1473" spans="1:21">
      <c r="A1473" s="782">
        <v>44700</v>
      </c>
      <c r="B1473" s="783" t="s">
        <v>41</v>
      </c>
      <c r="C1473" s="783" t="s">
        <v>4071</v>
      </c>
      <c r="D1473" s="783" t="s">
        <v>4009</v>
      </c>
      <c r="E1473" s="783" t="s">
        <v>6576</v>
      </c>
      <c r="F1473" s="783" t="s">
        <v>4066</v>
      </c>
      <c r="G1473" s="783" t="s">
        <v>4028</v>
      </c>
      <c r="H1473" s="783" t="s">
        <v>6577</v>
      </c>
      <c r="I1473" s="783" t="s">
        <v>6578</v>
      </c>
      <c r="J1473" s="783">
        <v>10</v>
      </c>
      <c r="K1473" s="783" t="s">
        <v>27</v>
      </c>
      <c r="L1473" s="783" t="s">
        <v>4096</v>
      </c>
      <c r="M1473" s="784">
        <v>37305</v>
      </c>
      <c r="N1473" s="784">
        <v>24.87</v>
      </c>
      <c r="O1473" s="784">
        <v>3</v>
      </c>
      <c r="P1473" s="783">
        <v>500</v>
      </c>
      <c r="Q1473" s="783">
        <v>2111.46</v>
      </c>
      <c r="R1473" s="783">
        <v>0</v>
      </c>
      <c r="S1473" s="783">
        <v>0</v>
      </c>
      <c r="T1473" s="783">
        <v>2111.46</v>
      </c>
      <c r="U1473" s="785">
        <v>44701.4289699074</v>
      </c>
    </row>
    <row r="1474" spans="1:21">
      <c r="A1474" s="782">
        <v>44703</v>
      </c>
      <c r="B1474" s="783" t="s">
        <v>41</v>
      </c>
      <c r="C1474" s="783" t="s">
        <v>4071</v>
      </c>
      <c r="D1474" s="783" t="s">
        <v>4009</v>
      </c>
      <c r="E1474" s="783" t="s">
        <v>4147</v>
      </c>
      <c r="F1474" s="783" t="s">
        <v>4011</v>
      </c>
      <c r="G1474" s="783" t="str">
        <f>VLOOKUP(I1474,pacage,2,FALSE)</f>
        <v>Renewal (15% in 2020)</v>
      </c>
      <c r="H1474" s="783" t="s">
        <v>4148</v>
      </c>
      <c r="I1474" s="783" t="s">
        <v>4149</v>
      </c>
      <c r="J1474" s="783">
        <v>15</v>
      </c>
      <c r="K1474" s="783" t="s">
        <v>27</v>
      </c>
      <c r="L1474" s="783" t="s">
        <v>4096</v>
      </c>
      <c r="M1474" s="784">
        <v>10159.4</v>
      </c>
      <c r="N1474" s="784">
        <v>6.43</v>
      </c>
      <c r="O1474" s="784">
        <v>3.16</v>
      </c>
      <c r="P1474" s="783">
        <v>500</v>
      </c>
      <c r="Q1474" s="783">
        <v>1153.0899999999999</v>
      </c>
      <c r="R1474" s="783">
        <v>387.2</v>
      </c>
      <c r="S1474" s="783">
        <v>160.4</v>
      </c>
      <c r="T1474" s="783">
        <v>605.5</v>
      </c>
      <c r="U1474" s="785">
        <v>44704.407847222203</v>
      </c>
    </row>
    <row r="1475" spans="1:21">
      <c r="A1475" s="782">
        <v>44701</v>
      </c>
      <c r="B1475" s="783" t="s">
        <v>1274</v>
      </c>
      <c r="C1475" s="783" t="s">
        <v>4139</v>
      </c>
      <c r="D1475" s="783" t="s">
        <v>4009</v>
      </c>
      <c r="E1475" s="783" t="s">
        <v>5568</v>
      </c>
      <c r="F1475" s="783" t="s">
        <v>4011</v>
      </c>
      <c r="G1475" s="783" t="s">
        <v>4028</v>
      </c>
      <c r="H1475" s="783" t="s">
        <v>5569</v>
      </c>
      <c r="I1475" s="783" t="s">
        <v>5570</v>
      </c>
      <c r="J1475" s="783">
        <v>25</v>
      </c>
      <c r="K1475" s="783" t="s">
        <v>27</v>
      </c>
      <c r="L1475" s="783" t="s">
        <v>4096</v>
      </c>
      <c r="M1475" s="784">
        <v>12914.78</v>
      </c>
      <c r="N1475" s="784">
        <v>10.07</v>
      </c>
      <c r="O1475" s="784">
        <v>2.85</v>
      </c>
      <c r="P1475" s="783">
        <v>450</v>
      </c>
      <c r="Q1475" s="783">
        <v>1074.51</v>
      </c>
      <c r="R1475" s="783">
        <v>660.83</v>
      </c>
      <c r="S1475" s="783">
        <v>178.63</v>
      </c>
      <c r="T1475" s="783">
        <v>235.05</v>
      </c>
      <c r="U1475" s="785">
        <v>44704.417534722197</v>
      </c>
    </row>
    <row r="1476" spans="1:21">
      <c r="A1476" s="782">
        <v>44701</v>
      </c>
      <c r="B1476" s="783" t="s">
        <v>41</v>
      </c>
      <c r="C1476" s="783" t="s">
        <v>4071</v>
      </c>
      <c r="D1476" s="783" t="s">
        <v>4009</v>
      </c>
      <c r="E1476" s="783" t="s">
        <v>5571</v>
      </c>
      <c r="F1476" s="783" t="s">
        <v>4011</v>
      </c>
      <c r="G1476" s="783" t="str">
        <f t="shared" ref="G1476:G1495" si="81">VLOOKUP(I1476,pacage,2,FALSE)</f>
        <v>New Contract</v>
      </c>
      <c r="H1476" s="783" t="s">
        <v>5572</v>
      </c>
      <c r="I1476" s="783" t="s">
        <v>5573</v>
      </c>
      <c r="J1476" s="783">
        <v>25</v>
      </c>
      <c r="K1476" s="783" t="s">
        <v>27</v>
      </c>
      <c r="L1476" s="783" t="s">
        <v>4096</v>
      </c>
      <c r="M1476" s="784">
        <v>30170.76</v>
      </c>
      <c r="N1476" s="784">
        <v>24.41</v>
      </c>
      <c r="O1476" s="784">
        <v>3.09</v>
      </c>
      <c r="P1476" s="783">
        <v>400</v>
      </c>
      <c r="Q1476" s="783">
        <v>2090.83</v>
      </c>
      <c r="R1476" s="783">
        <v>1437.34</v>
      </c>
      <c r="S1476" s="783">
        <v>188.87</v>
      </c>
      <c r="T1476" s="783">
        <v>464.63</v>
      </c>
      <c r="U1476" s="785">
        <v>44704.414976851898</v>
      </c>
    </row>
    <row r="1477" spans="1:21">
      <c r="A1477" s="782">
        <v>44704</v>
      </c>
      <c r="B1477" s="783" t="s">
        <v>228</v>
      </c>
      <c r="C1477" s="783" t="s">
        <v>4251</v>
      </c>
      <c r="D1477" s="783" t="s">
        <v>4193</v>
      </c>
      <c r="E1477" s="783" t="s">
        <v>5574</v>
      </c>
      <c r="F1477" s="783" t="s">
        <v>4011</v>
      </c>
      <c r="G1477" s="783" t="str">
        <f t="shared" si="81"/>
        <v>New contract</v>
      </c>
      <c r="H1477" s="783" t="s">
        <v>5575</v>
      </c>
      <c r="I1477" s="783" t="s">
        <v>5576</v>
      </c>
      <c r="J1477" s="783">
        <v>25</v>
      </c>
      <c r="K1477" s="783" t="s">
        <v>27</v>
      </c>
      <c r="L1477" s="783" t="s">
        <v>4096</v>
      </c>
      <c r="M1477" s="784">
        <v>67027.58</v>
      </c>
      <c r="N1477" s="784">
        <v>37.04</v>
      </c>
      <c r="O1477" s="784">
        <v>3.77</v>
      </c>
      <c r="P1477" s="783">
        <v>480</v>
      </c>
      <c r="Q1477" s="783">
        <v>3800.46</v>
      </c>
      <c r="R1477" s="783">
        <v>2067.81</v>
      </c>
      <c r="S1477" s="783">
        <v>780.86</v>
      </c>
      <c r="T1477" s="783">
        <v>951.79</v>
      </c>
      <c r="U1477" s="785">
        <v>44704.5703587963</v>
      </c>
    </row>
    <row r="1478" spans="1:21">
      <c r="A1478" s="782">
        <v>44704</v>
      </c>
      <c r="B1478" s="783" t="s">
        <v>41</v>
      </c>
      <c r="C1478" s="783" t="s">
        <v>4071</v>
      </c>
      <c r="D1478" s="783" t="s">
        <v>4009</v>
      </c>
      <c r="E1478" s="783" t="s">
        <v>322</v>
      </c>
      <c r="F1478" s="783" t="s">
        <v>4011</v>
      </c>
      <c r="G1478" s="783" t="str">
        <f t="shared" si="81"/>
        <v>Renewal (20% in 2020)</v>
      </c>
      <c r="H1478" s="783" t="s">
        <v>5580</v>
      </c>
      <c r="I1478" s="783" t="s">
        <v>5581</v>
      </c>
      <c r="J1478" s="783">
        <v>20</v>
      </c>
      <c r="K1478" s="783" t="s">
        <v>27</v>
      </c>
      <c r="L1478" s="783" t="s">
        <v>4096</v>
      </c>
      <c r="M1478" s="784">
        <v>34665.300000000003</v>
      </c>
      <c r="N1478" s="784">
        <v>20.82</v>
      </c>
      <c r="O1478" s="784">
        <v>3.33</v>
      </c>
      <c r="P1478" s="783">
        <v>500</v>
      </c>
      <c r="Q1478" s="783">
        <v>3019.35</v>
      </c>
      <c r="R1478" s="783">
        <v>1321.16</v>
      </c>
      <c r="S1478" s="783">
        <v>547.29999999999995</v>
      </c>
      <c r="T1478" s="783">
        <v>1150.8900000000001</v>
      </c>
      <c r="U1478" s="785">
        <v>44708.801157407397</v>
      </c>
    </row>
    <row r="1479" spans="1:21">
      <c r="A1479" s="782">
        <v>44712</v>
      </c>
      <c r="B1479" s="783" t="s">
        <v>51</v>
      </c>
      <c r="C1479" s="783" t="s">
        <v>4042</v>
      </c>
      <c r="D1479" s="783" t="s">
        <v>4016</v>
      </c>
      <c r="E1479" s="783" t="s">
        <v>1353</v>
      </c>
      <c r="F1479" s="783" t="s">
        <v>4011</v>
      </c>
      <c r="G1479" s="783" t="str">
        <f t="shared" si="81"/>
        <v>Renewal (30% in 2020)</v>
      </c>
      <c r="H1479" s="783" t="s">
        <v>5582</v>
      </c>
      <c r="I1479" s="783" t="s">
        <v>5583</v>
      </c>
      <c r="J1479" s="783">
        <v>30</v>
      </c>
      <c r="K1479" s="783" t="s">
        <v>27</v>
      </c>
      <c r="L1479" s="783" t="s">
        <v>4096</v>
      </c>
      <c r="M1479" s="784">
        <v>46489.3</v>
      </c>
      <c r="N1479" s="784">
        <v>32.51</v>
      </c>
      <c r="O1479" s="784">
        <v>2.86</v>
      </c>
      <c r="P1479" s="783">
        <v>500</v>
      </c>
      <c r="Q1479" s="783">
        <v>3244.95</v>
      </c>
      <c r="R1479" s="783">
        <v>1827.17</v>
      </c>
      <c r="S1479" s="783">
        <v>474.05</v>
      </c>
      <c r="T1479" s="783">
        <v>943.73</v>
      </c>
      <c r="U1479" s="785">
        <v>44714.001111111102</v>
      </c>
    </row>
    <row r="1480" spans="1:21">
      <c r="A1480" s="782">
        <v>44705</v>
      </c>
      <c r="B1480" s="783" t="s">
        <v>30</v>
      </c>
      <c r="C1480" s="783" t="s">
        <v>4239</v>
      </c>
      <c r="D1480" s="783" t="s">
        <v>4021</v>
      </c>
      <c r="E1480" s="783" t="s">
        <v>2576</v>
      </c>
      <c r="F1480" s="783" t="s">
        <v>4011</v>
      </c>
      <c r="G1480" s="783" t="str">
        <f t="shared" si="81"/>
        <v>Renewal (15% in 2020)</v>
      </c>
      <c r="H1480" s="783" t="s">
        <v>5584</v>
      </c>
      <c r="I1480" s="783" t="s">
        <v>5585</v>
      </c>
      <c r="J1480" s="783">
        <v>15</v>
      </c>
      <c r="K1480" s="783" t="s">
        <v>27</v>
      </c>
      <c r="L1480" s="783" t="s">
        <v>4096</v>
      </c>
      <c r="M1480" s="784">
        <v>19404.28</v>
      </c>
      <c r="N1480" s="784">
        <v>18.73</v>
      </c>
      <c r="O1480" s="784">
        <v>2.96</v>
      </c>
      <c r="P1480" s="783">
        <v>350</v>
      </c>
      <c r="Q1480" s="783">
        <v>2204.33</v>
      </c>
      <c r="R1480" s="783">
        <v>770.35</v>
      </c>
      <c r="S1480" s="783">
        <v>250.32</v>
      </c>
      <c r="T1480" s="783">
        <v>1183.6600000000001</v>
      </c>
      <c r="U1480" s="785">
        <v>44705.529930555596</v>
      </c>
    </row>
    <row r="1481" spans="1:21">
      <c r="A1481" s="782">
        <v>44705</v>
      </c>
      <c r="B1481" s="783" t="s">
        <v>118</v>
      </c>
      <c r="C1481" s="783" t="s">
        <v>4139</v>
      </c>
      <c r="D1481" s="783" t="s">
        <v>4009</v>
      </c>
      <c r="E1481" s="783" t="s">
        <v>5586</v>
      </c>
      <c r="F1481" s="783" t="s">
        <v>4011</v>
      </c>
      <c r="G1481" s="783" t="str">
        <f t="shared" si="81"/>
        <v>Renewal (15% in 2020)</v>
      </c>
      <c r="H1481" s="783" t="s">
        <v>5587</v>
      </c>
      <c r="I1481" s="783" t="s">
        <v>5588</v>
      </c>
      <c r="J1481" s="783">
        <v>15</v>
      </c>
      <c r="K1481" s="783" t="s">
        <v>27</v>
      </c>
      <c r="L1481" s="783" t="s">
        <v>4096</v>
      </c>
      <c r="M1481" s="784">
        <v>12647.25</v>
      </c>
      <c r="N1481" s="784">
        <v>10.95</v>
      </c>
      <c r="O1481" s="784">
        <v>3.3</v>
      </c>
      <c r="P1481" s="783">
        <v>350</v>
      </c>
      <c r="Q1481" s="783">
        <v>1725.08</v>
      </c>
      <c r="R1481" s="783">
        <v>733.54</v>
      </c>
      <c r="S1481" s="783">
        <v>88.53</v>
      </c>
      <c r="T1481" s="783">
        <v>903.01</v>
      </c>
      <c r="U1481" s="785">
        <v>44706.462696759299</v>
      </c>
    </row>
    <row r="1482" spans="1:21">
      <c r="A1482" s="782">
        <v>44711</v>
      </c>
      <c r="B1482" s="783" t="s">
        <v>4025</v>
      </c>
      <c r="C1482" s="783" t="s">
        <v>4026</v>
      </c>
      <c r="D1482" s="783" t="s">
        <v>4021</v>
      </c>
      <c r="E1482" s="783" t="s">
        <v>5589</v>
      </c>
      <c r="F1482" s="783" t="s">
        <v>4011</v>
      </c>
      <c r="G1482" s="783" t="str">
        <f t="shared" si="81"/>
        <v>New Contract</v>
      </c>
      <c r="H1482" s="783" t="s">
        <v>5590</v>
      </c>
      <c r="I1482" s="783" t="s">
        <v>5591</v>
      </c>
      <c r="J1482" s="783">
        <v>25</v>
      </c>
      <c r="K1482" s="783" t="s">
        <v>27</v>
      </c>
      <c r="L1482" s="783" t="s">
        <v>4096</v>
      </c>
      <c r="M1482" s="784">
        <v>47950.58</v>
      </c>
      <c r="N1482" s="784">
        <v>33.450000000000003</v>
      </c>
      <c r="O1482" s="784">
        <v>3.05</v>
      </c>
      <c r="P1482" s="783">
        <v>470</v>
      </c>
      <c r="Q1482" s="783">
        <v>2565.36</v>
      </c>
      <c r="R1482" s="783">
        <v>1190.79</v>
      </c>
      <c r="S1482" s="783">
        <v>698.47</v>
      </c>
      <c r="T1482" s="783">
        <v>676.1</v>
      </c>
      <c r="U1482" s="785">
        <v>44713.639259259297</v>
      </c>
    </row>
    <row r="1483" spans="1:21">
      <c r="A1483" s="782">
        <v>44711</v>
      </c>
      <c r="B1483" s="783" t="s">
        <v>41</v>
      </c>
      <c r="C1483" s="783" t="s">
        <v>4092</v>
      </c>
      <c r="D1483" s="783" t="s">
        <v>4009</v>
      </c>
      <c r="E1483" s="783" t="s">
        <v>891</v>
      </c>
      <c r="F1483" s="783" t="s">
        <v>4011</v>
      </c>
      <c r="G1483" s="783" t="str">
        <f t="shared" si="81"/>
        <v>Renewal (15% in 2020)</v>
      </c>
      <c r="H1483" s="783" t="s">
        <v>5592</v>
      </c>
      <c r="I1483" s="783" t="s">
        <v>5593</v>
      </c>
      <c r="J1483" s="783">
        <v>15</v>
      </c>
      <c r="K1483" s="783" t="s">
        <v>27</v>
      </c>
      <c r="L1483" s="783" t="s">
        <v>4096</v>
      </c>
      <c r="M1483" s="784">
        <v>29976.240000000002</v>
      </c>
      <c r="N1483" s="784">
        <v>25.49</v>
      </c>
      <c r="O1483" s="784">
        <v>2.94</v>
      </c>
      <c r="P1483" s="783">
        <v>400</v>
      </c>
      <c r="Q1483" s="783">
        <v>3126.52</v>
      </c>
      <c r="R1483" s="783">
        <v>1198.98</v>
      </c>
      <c r="S1483" s="783">
        <v>299.83</v>
      </c>
      <c r="T1483" s="783">
        <v>1627.71</v>
      </c>
      <c r="U1483" s="785">
        <v>44712.7203240741</v>
      </c>
    </row>
    <row r="1484" spans="1:21">
      <c r="A1484" s="782">
        <v>44706</v>
      </c>
      <c r="B1484" s="783" t="s">
        <v>41</v>
      </c>
      <c r="C1484" s="783" t="s">
        <v>4092</v>
      </c>
      <c r="D1484" s="783" t="s">
        <v>4009</v>
      </c>
      <c r="E1484" s="783" t="s">
        <v>4641</v>
      </c>
      <c r="F1484" s="783" t="s">
        <v>4011</v>
      </c>
      <c r="G1484" s="783" t="str">
        <f t="shared" si="81"/>
        <v>Renewal (15% in 2020)</v>
      </c>
      <c r="H1484" s="783" t="s">
        <v>4642</v>
      </c>
      <c r="I1484" s="783" t="s">
        <v>4643</v>
      </c>
      <c r="J1484" s="783">
        <v>20</v>
      </c>
      <c r="K1484" s="783" t="s">
        <v>27</v>
      </c>
      <c r="L1484" s="783" t="s">
        <v>4096</v>
      </c>
      <c r="M1484" s="784">
        <v>22245.9</v>
      </c>
      <c r="N1484" s="784">
        <v>16.010000000000002</v>
      </c>
      <c r="O1484" s="784">
        <v>3.5</v>
      </c>
      <c r="P1484" s="783">
        <v>397</v>
      </c>
      <c r="Q1484" s="783">
        <v>1777.45</v>
      </c>
      <c r="R1484" s="783">
        <v>896.51</v>
      </c>
      <c r="S1484" s="783">
        <v>215.79</v>
      </c>
      <c r="T1484" s="783">
        <v>665.15</v>
      </c>
      <c r="U1484" s="785">
        <v>44706.619224536997</v>
      </c>
    </row>
    <row r="1485" spans="1:21">
      <c r="A1485" s="782">
        <v>44707</v>
      </c>
      <c r="B1485" s="783" t="s">
        <v>41</v>
      </c>
      <c r="C1485" s="783" t="s">
        <v>4071</v>
      </c>
      <c r="D1485" s="783" t="s">
        <v>4009</v>
      </c>
      <c r="E1485" s="783" t="s">
        <v>5594</v>
      </c>
      <c r="F1485" s="783" t="s">
        <v>4011</v>
      </c>
      <c r="G1485" s="783" t="str">
        <f t="shared" si="81"/>
        <v>New Contract</v>
      </c>
      <c r="H1485" s="783" t="s">
        <v>5595</v>
      </c>
      <c r="I1485" s="783" t="s">
        <v>5596</v>
      </c>
      <c r="J1485" s="783">
        <v>25</v>
      </c>
      <c r="K1485" s="783" t="s">
        <v>27</v>
      </c>
      <c r="L1485" s="783" t="s">
        <v>4096</v>
      </c>
      <c r="M1485" s="784">
        <v>13730.6</v>
      </c>
      <c r="N1485" s="784">
        <v>9.91</v>
      </c>
      <c r="O1485" s="784">
        <v>3.49</v>
      </c>
      <c r="P1485" s="783">
        <v>397</v>
      </c>
      <c r="Q1485" s="783">
        <v>951.53</v>
      </c>
      <c r="R1485" s="783">
        <v>659.07</v>
      </c>
      <c r="S1485" s="783">
        <v>81.010000000000005</v>
      </c>
      <c r="T1485" s="783">
        <v>211.45</v>
      </c>
      <c r="U1485" s="785">
        <v>44708.583854166704</v>
      </c>
    </row>
    <row r="1486" spans="1:21">
      <c r="A1486" s="782">
        <v>44705</v>
      </c>
      <c r="B1486" s="783" t="s">
        <v>41</v>
      </c>
      <c r="C1486" s="783" t="s">
        <v>4008</v>
      </c>
      <c r="D1486" s="783" t="s">
        <v>4009</v>
      </c>
      <c r="E1486" s="783" t="s">
        <v>1269</v>
      </c>
      <c r="F1486" s="783" t="s">
        <v>4011</v>
      </c>
      <c r="G1486" s="783" t="str">
        <f t="shared" si="81"/>
        <v>Renewal (15% in 2020)</v>
      </c>
      <c r="H1486" s="783" t="s">
        <v>6579</v>
      </c>
      <c r="I1486" s="783" t="s">
        <v>6580</v>
      </c>
      <c r="J1486" s="783">
        <v>15</v>
      </c>
      <c r="K1486" s="783" t="s">
        <v>27</v>
      </c>
      <c r="L1486" s="783" t="s">
        <v>4096</v>
      </c>
      <c r="M1486" s="784">
        <v>7258.95</v>
      </c>
      <c r="N1486" s="784">
        <v>6.75</v>
      </c>
      <c r="O1486" s="784">
        <v>2.83</v>
      </c>
      <c r="P1486" s="783">
        <v>380</v>
      </c>
      <c r="Q1486" s="783">
        <v>937.86</v>
      </c>
      <c r="R1486" s="783">
        <v>313.58999999999997</v>
      </c>
      <c r="S1486" s="783">
        <v>113.97</v>
      </c>
      <c r="T1486" s="783">
        <v>510.3</v>
      </c>
      <c r="U1486" s="785">
        <v>44708.833217592597</v>
      </c>
    </row>
    <row r="1487" spans="1:21">
      <c r="A1487" s="782">
        <v>44701</v>
      </c>
      <c r="B1487" s="783" t="s">
        <v>113</v>
      </c>
      <c r="C1487" s="783" t="s">
        <v>4606</v>
      </c>
      <c r="D1487" s="783" t="s">
        <v>4009</v>
      </c>
      <c r="E1487" s="783" t="s">
        <v>6581</v>
      </c>
      <c r="F1487" s="783" t="s">
        <v>4011</v>
      </c>
      <c r="G1487" s="783" t="str">
        <f t="shared" si="81"/>
        <v>Renewal (20% in 2020)</v>
      </c>
      <c r="H1487" s="783" t="s">
        <v>6582</v>
      </c>
      <c r="I1487" s="783" t="s">
        <v>6583</v>
      </c>
      <c r="J1487" s="783">
        <v>20</v>
      </c>
      <c r="K1487" s="783" t="s">
        <v>27</v>
      </c>
      <c r="L1487" s="783" t="s">
        <v>4096</v>
      </c>
      <c r="M1487" s="784">
        <v>8471.52</v>
      </c>
      <c r="N1487" s="784">
        <v>4.7699999999999996</v>
      </c>
      <c r="O1487" s="784">
        <v>3.7</v>
      </c>
      <c r="P1487" s="783">
        <v>480</v>
      </c>
      <c r="Q1487" s="783">
        <v>565.9</v>
      </c>
      <c r="R1487" s="783">
        <v>190.58</v>
      </c>
      <c r="S1487" s="783">
        <v>134.72999999999999</v>
      </c>
      <c r="T1487" s="783">
        <v>240.59</v>
      </c>
      <c r="U1487" s="785">
        <v>44701.644189814797</v>
      </c>
    </row>
    <row r="1488" spans="1:21">
      <c r="A1488" s="782">
        <v>44701</v>
      </c>
      <c r="B1488" s="783" t="s">
        <v>51</v>
      </c>
      <c r="C1488" s="783" t="s">
        <v>4042</v>
      </c>
      <c r="D1488" s="783" t="s">
        <v>4016</v>
      </c>
      <c r="E1488" s="783" t="s">
        <v>5603</v>
      </c>
      <c r="F1488" s="783" t="s">
        <v>4011</v>
      </c>
      <c r="G1488" s="783" t="str">
        <f t="shared" si="81"/>
        <v>Renewal (15% in 2020)</v>
      </c>
      <c r="H1488" s="783" t="s">
        <v>5604</v>
      </c>
      <c r="I1488" s="783" t="s">
        <v>5605</v>
      </c>
      <c r="J1488" s="783">
        <v>15</v>
      </c>
      <c r="K1488" s="783" t="s">
        <v>27</v>
      </c>
      <c r="L1488" s="783" t="s">
        <v>4096</v>
      </c>
      <c r="M1488" s="784">
        <v>22566.47</v>
      </c>
      <c r="N1488" s="784">
        <v>20.67</v>
      </c>
      <c r="O1488" s="784">
        <v>2.75</v>
      </c>
      <c r="P1488" s="783">
        <v>397</v>
      </c>
      <c r="Q1488" s="783">
        <v>2777.93</v>
      </c>
      <c r="R1488" s="783">
        <v>1117.04</v>
      </c>
      <c r="S1488" s="783">
        <v>157.97</v>
      </c>
      <c r="T1488" s="783">
        <v>1502.93</v>
      </c>
      <c r="U1488" s="785">
        <v>44704.418981481504</v>
      </c>
    </row>
    <row r="1489" spans="1:21">
      <c r="A1489" s="782">
        <v>44704</v>
      </c>
      <c r="B1489" s="783" t="s">
        <v>41</v>
      </c>
      <c r="C1489" s="783" t="s">
        <v>4092</v>
      </c>
      <c r="D1489" s="783" t="s">
        <v>4009</v>
      </c>
      <c r="E1489" s="783" t="s">
        <v>81</v>
      </c>
      <c r="F1489" s="783" t="s">
        <v>4011</v>
      </c>
      <c r="G1489" s="783" t="str">
        <f t="shared" si="81"/>
        <v>Renewal (20% in 2020)</v>
      </c>
      <c r="H1489" s="783" t="s">
        <v>5606</v>
      </c>
      <c r="I1489" s="783" t="s">
        <v>5607</v>
      </c>
      <c r="J1489" s="783">
        <v>20</v>
      </c>
      <c r="K1489" s="783" t="s">
        <v>27</v>
      </c>
      <c r="L1489" s="783" t="s">
        <v>4096</v>
      </c>
      <c r="M1489" s="784">
        <v>31112.1</v>
      </c>
      <c r="N1489" s="784">
        <v>25.05</v>
      </c>
      <c r="O1489" s="784">
        <v>2.76</v>
      </c>
      <c r="P1489" s="783">
        <v>450</v>
      </c>
      <c r="Q1489" s="783">
        <v>2485.86</v>
      </c>
      <c r="R1489" s="783">
        <v>1106.1500000000001</v>
      </c>
      <c r="S1489" s="783">
        <v>449.46</v>
      </c>
      <c r="T1489" s="783">
        <v>930.25</v>
      </c>
      <c r="U1489" s="785">
        <v>44704.571990740696</v>
      </c>
    </row>
    <row r="1490" spans="1:21">
      <c r="A1490" s="782">
        <v>44709</v>
      </c>
      <c r="B1490" s="783" t="s">
        <v>41</v>
      </c>
      <c r="C1490" s="783" t="s">
        <v>4092</v>
      </c>
      <c r="D1490" s="783" t="s">
        <v>4009</v>
      </c>
      <c r="E1490" s="783" t="s">
        <v>5608</v>
      </c>
      <c r="F1490" s="783" t="s">
        <v>4011</v>
      </c>
      <c r="G1490" s="783" t="str">
        <f t="shared" si="81"/>
        <v>Renewal (15% in 2020)</v>
      </c>
      <c r="H1490" s="783" t="s">
        <v>5609</v>
      </c>
      <c r="I1490" s="783" t="s">
        <v>5610</v>
      </c>
      <c r="J1490" s="783">
        <v>15</v>
      </c>
      <c r="K1490" s="783" t="s">
        <v>27</v>
      </c>
      <c r="L1490" s="783" t="s">
        <v>4096</v>
      </c>
      <c r="M1490" s="784">
        <v>17706.740000000002</v>
      </c>
      <c r="N1490" s="784">
        <v>17.38</v>
      </c>
      <c r="O1490" s="784">
        <v>2.83</v>
      </c>
      <c r="P1490" s="783">
        <v>360</v>
      </c>
      <c r="Q1490" s="783">
        <v>1846.81</v>
      </c>
      <c r="R1490" s="783">
        <v>713.58</v>
      </c>
      <c r="S1490" s="783">
        <v>171.76</v>
      </c>
      <c r="T1490" s="783">
        <v>961.48</v>
      </c>
      <c r="U1490" s="785">
        <v>44711.647812499999</v>
      </c>
    </row>
    <row r="1491" spans="1:21">
      <c r="A1491" s="782">
        <v>44715</v>
      </c>
      <c r="B1491" s="783" t="s">
        <v>4025</v>
      </c>
      <c r="C1491" s="783" t="s">
        <v>4026</v>
      </c>
      <c r="D1491" s="783" t="s">
        <v>4021</v>
      </c>
      <c r="E1491" s="783" t="s">
        <v>5614</v>
      </c>
      <c r="F1491" s="783" t="s">
        <v>4011</v>
      </c>
      <c r="G1491" s="783" t="str">
        <f t="shared" si="81"/>
        <v>New contract</v>
      </c>
      <c r="H1491" s="783" t="s">
        <v>5615</v>
      </c>
      <c r="I1491" s="783" t="s">
        <v>5616</v>
      </c>
      <c r="J1491" s="783">
        <v>25</v>
      </c>
      <c r="K1491" s="783" t="s">
        <v>27</v>
      </c>
      <c r="L1491" s="783" t="s">
        <v>4096</v>
      </c>
      <c r="M1491" s="784">
        <v>47907.6</v>
      </c>
      <c r="N1491" s="784">
        <v>32.369999999999997</v>
      </c>
      <c r="O1491" s="784">
        <v>3.7</v>
      </c>
      <c r="P1491" s="783">
        <v>400</v>
      </c>
      <c r="Q1491" s="783">
        <v>2563.06</v>
      </c>
      <c r="R1491" s="783">
        <v>1397.92</v>
      </c>
      <c r="S1491" s="783">
        <v>489.64</v>
      </c>
      <c r="T1491" s="783">
        <v>675.5</v>
      </c>
      <c r="U1491" s="785">
        <v>44715.462627314802</v>
      </c>
    </row>
    <row r="1492" spans="1:21">
      <c r="A1492" s="782">
        <v>44705</v>
      </c>
      <c r="B1492" s="783" t="s">
        <v>41</v>
      </c>
      <c r="C1492" s="783" t="s">
        <v>4082</v>
      </c>
      <c r="D1492" s="783" t="s">
        <v>4009</v>
      </c>
      <c r="E1492" s="783" t="s">
        <v>1024</v>
      </c>
      <c r="F1492" s="783" t="s">
        <v>4011</v>
      </c>
      <c r="G1492" s="783" t="str">
        <f t="shared" si="81"/>
        <v>Renewal (20% in 2020)</v>
      </c>
      <c r="H1492" s="783" t="s">
        <v>4150</v>
      </c>
      <c r="I1492" s="783" t="s">
        <v>4151</v>
      </c>
      <c r="J1492" s="783">
        <v>20</v>
      </c>
      <c r="K1492" s="783" t="s">
        <v>27</v>
      </c>
      <c r="L1492" s="783" t="s">
        <v>4096</v>
      </c>
      <c r="M1492" s="784">
        <v>17270.400000000001</v>
      </c>
      <c r="N1492" s="784">
        <v>19.2</v>
      </c>
      <c r="O1492" s="784">
        <v>2.57</v>
      </c>
      <c r="P1492" s="783">
        <v>350</v>
      </c>
      <c r="Q1492" s="783">
        <v>1404.08</v>
      </c>
      <c r="R1492" s="783">
        <v>701.18</v>
      </c>
      <c r="S1492" s="783">
        <v>172.7</v>
      </c>
      <c r="T1492" s="783">
        <v>530.20000000000005</v>
      </c>
      <c r="U1492" s="785">
        <v>44705.577129629601</v>
      </c>
    </row>
    <row r="1493" spans="1:21">
      <c r="A1493" s="782">
        <v>44685</v>
      </c>
      <c r="B1493" s="783" t="s">
        <v>41</v>
      </c>
      <c r="C1493" s="783" t="s">
        <v>4092</v>
      </c>
      <c r="D1493" s="783" t="s">
        <v>4009</v>
      </c>
      <c r="E1493" s="783" t="s">
        <v>5617</v>
      </c>
      <c r="F1493" s="783" t="s">
        <v>4011</v>
      </c>
      <c r="G1493" s="783" t="str">
        <f t="shared" si="81"/>
        <v>Renewal (15% in 2020)</v>
      </c>
      <c r="H1493" s="783" t="s">
        <v>5618</v>
      </c>
      <c r="I1493" s="783" t="s">
        <v>5619</v>
      </c>
      <c r="J1493" s="783">
        <v>15</v>
      </c>
      <c r="K1493" s="783" t="s">
        <v>27</v>
      </c>
      <c r="L1493" s="783" t="s">
        <v>4096</v>
      </c>
      <c r="M1493" s="784">
        <v>14162.9</v>
      </c>
      <c r="N1493" s="784">
        <v>9.69</v>
      </c>
      <c r="O1493" s="784">
        <v>3.48</v>
      </c>
      <c r="P1493" s="783">
        <v>420</v>
      </c>
      <c r="Q1493" s="783">
        <v>1477.19</v>
      </c>
      <c r="R1493" s="783">
        <v>539.51</v>
      </c>
      <c r="S1493" s="783">
        <v>168.64</v>
      </c>
      <c r="T1493" s="783">
        <v>769.05</v>
      </c>
      <c r="U1493" s="785">
        <v>44705.458449074104</v>
      </c>
    </row>
    <row r="1494" spans="1:21">
      <c r="A1494" s="782">
        <v>44707</v>
      </c>
      <c r="B1494" s="783" t="s">
        <v>51</v>
      </c>
      <c r="C1494" s="783" t="s">
        <v>4015</v>
      </c>
      <c r="D1494" s="783" t="s">
        <v>4016</v>
      </c>
      <c r="E1494" s="783" t="s">
        <v>5623</v>
      </c>
      <c r="F1494" s="783" t="s">
        <v>4011</v>
      </c>
      <c r="G1494" s="783" t="str">
        <f t="shared" si="81"/>
        <v>Renewal (25% in 2020)</v>
      </c>
      <c r="H1494" s="783" t="s">
        <v>5624</v>
      </c>
      <c r="I1494" s="783" t="s">
        <v>5625</v>
      </c>
      <c r="J1494" s="783">
        <v>25</v>
      </c>
      <c r="K1494" s="783" t="s">
        <v>27</v>
      </c>
      <c r="L1494" s="783" t="s">
        <v>4096</v>
      </c>
      <c r="M1494" s="784">
        <v>28477.68</v>
      </c>
      <c r="N1494" s="784">
        <v>16.079999999999998</v>
      </c>
      <c r="O1494" s="784">
        <v>3.85</v>
      </c>
      <c r="P1494" s="783">
        <v>460</v>
      </c>
      <c r="Q1494" s="783">
        <v>1959.26</v>
      </c>
      <c r="R1494" s="783">
        <v>1069.1199999999999</v>
      </c>
      <c r="S1494" s="783">
        <v>354.76</v>
      </c>
      <c r="T1494" s="783">
        <v>535.38</v>
      </c>
      <c r="U1494" s="785">
        <v>44708.5859837963</v>
      </c>
    </row>
    <row r="1495" spans="1:21">
      <c r="A1495" s="782">
        <v>44711</v>
      </c>
      <c r="B1495" s="783" t="s">
        <v>41</v>
      </c>
      <c r="C1495" s="783" t="s">
        <v>4139</v>
      </c>
      <c r="D1495" s="783" t="s">
        <v>4009</v>
      </c>
      <c r="E1495" s="783" t="s">
        <v>549</v>
      </c>
      <c r="F1495" s="783" t="s">
        <v>4011</v>
      </c>
      <c r="G1495" s="783" t="str">
        <f t="shared" si="81"/>
        <v>Renewal (25% in 2020)</v>
      </c>
      <c r="H1495" s="783" t="s">
        <v>5626</v>
      </c>
      <c r="I1495" s="783" t="s">
        <v>5627</v>
      </c>
      <c r="J1495" s="783">
        <v>25</v>
      </c>
      <c r="K1495" s="783" t="s">
        <v>27</v>
      </c>
      <c r="L1495" s="783" t="s">
        <v>4096</v>
      </c>
      <c r="M1495" s="784">
        <v>19400.47</v>
      </c>
      <c r="N1495" s="784">
        <v>16.38</v>
      </c>
      <c r="O1495" s="784">
        <v>3.29</v>
      </c>
      <c r="P1495" s="783">
        <v>360</v>
      </c>
      <c r="Q1495" s="783">
        <v>1614.12</v>
      </c>
      <c r="R1495" s="783">
        <v>1125.23</v>
      </c>
      <c r="S1495" s="783">
        <v>135.80000000000001</v>
      </c>
      <c r="T1495" s="783">
        <v>353.09</v>
      </c>
      <c r="U1495" s="785">
        <v>44712.724351851903</v>
      </c>
    </row>
    <row r="1496" spans="1:21">
      <c r="A1496" s="782">
        <v>44712</v>
      </c>
      <c r="B1496" s="783" t="s">
        <v>228</v>
      </c>
      <c r="C1496" s="783" t="s">
        <v>4354</v>
      </c>
      <c r="D1496" s="783" t="s">
        <v>4009</v>
      </c>
      <c r="E1496" s="783" t="s">
        <v>4647</v>
      </c>
      <c r="F1496" s="783" t="s">
        <v>4011</v>
      </c>
      <c r="G1496" s="783" t="s">
        <v>4028</v>
      </c>
      <c r="H1496" s="783" t="s">
        <v>4648</v>
      </c>
      <c r="I1496" s="783" t="s">
        <v>4649</v>
      </c>
      <c r="J1496" s="783">
        <v>25</v>
      </c>
      <c r="K1496" s="783" t="s">
        <v>27</v>
      </c>
      <c r="L1496" s="783" t="s">
        <v>4096</v>
      </c>
      <c r="M1496" s="784">
        <v>27265</v>
      </c>
      <c r="N1496" s="784">
        <v>15.58</v>
      </c>
      <c r="O1496" s="784">
        <v>3.5</v>
      </c>
      <c r="P1496" s="783">
        <v>500</v>
      </c>
      <c r="Q1496" s="783">
        <v>2393.87</v>
      </c>
      <c r="R1496" s="783">
        <v>1376.84</v>
      </c>
      <c r="S1496" s="783">
        <v>627.14</v>
      </c>
      <c r="T1496" s="783">
        <v>389.89</v>
      </c>
      <c r="U1496" s="785">
        <v>44714.015439814801</v>
      </c>
    </row>
    <row r="1497" spans="1:21">
      <c r="A1497" s="782">
        <v>44711</v>
      </c>
      <c r="B1497" s="783" t="s">
        <v>65</v>
      </c>
      <c r="C1497" s="783" t="s">
        <v>4152</v>
      </c>
      <c r="D1497" s="783" t="s">
        <v>4102</v>
      </c>
      <c r="E1497" s="783" t="s">
        <v>1769</v>
      </c>
      <c r="F1497" s="783" t="s">
        <v>4011</v>
      </c>
      <c r="G1497" s="783" t="str">
        <f t="shared" ref="G1497:G1506" si="82">VLOOKUP(I1497,pacage,2,FALSE)</f>
        <v>Renewal (20% in 2020)</v>
      </c>
      <c r="H1497" s="783" t="s">
        <v>4153</v>
      </c>
      <c r="I1497" s="783" t="s">
        <v>4154</v>
      </c>
      <c r="J1497" s="783">
        <v>20</v>
      </c>
      <c r="K1497" s="783" t="s">
        <v>27</v>
      </c>
      <c r="L1497" s="783" t="s">
        <v>4096</v>
      </c>
      <c r="M1497" s="784">
        <v>29763.59</v>
      </c>
      <c r="N1497" s="784">
        <v>27.86</v>
      </c>
      <c r="O1497" s="784">
        <v>2.0699999999999998</v>
      </c>
      <c r="P1497" s="783">
        <v>516.1</v>
      </c>
      <c r="Q1497" s="783">
        <v>3273.99</v>
      </c>
      <c r="R1497" s="783">
        <v>1323.34</v>
      </c>
      <c r="S1497" s="783">
        <v>635.11</v>
      </c>
      <c r="T1497" s="783">
        <v>1315.55</v>
      </c>
      <c r="U1497" s="785">
        <v>44713.613599536999</v>
      </c>
    </row>
    <row r="1498" spans="1:21">
      <c r="A1498" s="782">
        <v>44711</v>
      </c>
      <c r="B1498" s="783" t="s">
        <v>4025</v>
      </c>
      <c r="C1498" s="783" t="s">
        <v>4026</v>
      </c>
      <c r="D1498" s="783" t="s">
        <v>4021</v>
      </c>
      <c r="E1498" s="783" t="s">
        <v>4155</v>
      </c>
      <c r="F1498" s="783" t="s">
        <v>4011</v>
      </c>
      <c r="G1498" s="783" t="str">
        <f t="shared" si="82"/>
        <v>New contract</v>
      </c>
      <c r="H1498" s="783" t="s">
        <v>4156</v>
      </c>
      <c r="I1498" s="783" t="s">
        <v>4157</v>
      </c>
      <c r="J1498" s="783">
        <v>25</v>
      </c>
      <c r="K1498" s="783" t="s">
        <v>27</v>
      </c>
      <c r="L1498" s="783" t="s">
        <v>4096</v>
      </c>
      <c r="M1498" s="784">
        <v>8506.68</v>
      </c>
      <c r="N1498" s="784">
        <v>7.79</v>
      </c>
      <c r="O1498" s="784">
        <v>2.73</v>
      </c>
      <c r="P1498" s="783">
        <v>400</v>
      </c>
      <c r="Q1498" s="783">
        <v>455.11</v>
      </c>
      <c r="R1498" s="783">
        <v>248.22</v>
      </c>
      <c r="S1498" s="783">
        <v>86.94</v>
      </c>
      <c r="T1498" s="783">
        <v>119.94</v>
      </c>
      <c r="U1498" s="785">
        <v>44713.9839236111</v>
      </c>
    </row>
    <row r="1499" spans="1:21">
      <c r="A1499" s="782">
        <v>44715</v>
      </c>
      <c r="B1499" s="783" t="s">
        <v>228</v>
      </c>
      <c r="C1499" s="783" t="s">
        <v>4192</v>
      </c>
      <c r="D1499" s="783" t="s">
        <v>4193</v>
      </c>
      <c r="E1499" s="783" t="s">
        <v>3835</v>
      </c>
      <c r="F1499" s="783" t="s">
        <v>4011</v>
      </c>
      <c r="G1499" s="783" t="str">
        <f t="shared" si="82"/>
        <v>Renewal (25% in 2020)</v>
      </c>
      <c r="H1499" s="783" t="s">
        <v>5634</v>
      </c>
      <c r="I1499" s="783" t="s">
        <v>5635</v>
      </c>
      <c r="J1499" s="783">
        <v>25</v>
      </c>
      <c r="K1499" s="783" t="s">
        <v>27</v>
      </c>
      <c r="L1499" s="783" t="s">
        <v>4096</v>
      </c>
      <c r="M1499" s="784">
        <v>26081.279999999999</v>
      </c>
      <c r="N1499" s="784">
        <v>20.48</v>
      </c>
      <c r="O1499" s="784">
        <v>2.83</v>
      </c>
      <c r="P1499" s="783">
        <v>450</v>
      </c>
      <c r="Q1499" s="783">
        <v>1961.31</v>
      </c>
      <c r="R1499" s="783">
        <v>1129.77</v>
      </c>
      <c r="S1499" s="783">
        <v>328.18</v>
      </c>
      <c r="T1499" s="783">
        <v>503.37</v>
      </c>
      <c r="U1499" s="785">
        <v>44715.461851851898</v>
      </c>
    </row>
    <row r="1500" spans="1:21">
      <c r="A1500" s="782">
        <v>44712</v>
      </c>
      <c r="B1500" s="783" t="s">
        <v>30</v>
      </c>
      <c r="C1500" s="783" t="s">
        <v>4239</v>
      </c>
      <c r="D1500" s="783" t="s">
        <v>4021</v>
      </c>
      <c r="E1500" s="783" t="s">
        <v>5639</v>
      </c>
      <c r="F1500" s="783" t="s">
        <v>4011</v>
      </c>
      <c r="G1500" s="783" t="str">
        <f t="shared" si="82"/>
        <v>Renewal (15% in 2020)</v>
      </c>
      <c r="H1500" s="783" t="s">
        <v>5640</v>
      </c>
      <c r="I1500" s="783" t="s">
        <v>5641</v>
      </c>
      <c r="J1500" s="783">
        <v>15</v>
      </c>
      <c r="K1500" s="783" t="s">
        <v>27</v>
      </c>
      <c r="L1500" s="783" t="s">
        <v>4096</v>
      </c>
      <c r="M1500" s="784">
        <v>23341.200000000001</v>
      </c>
      <c r="N1500" s="784">
        <v>15.9</v>
      </c>
      <c r="O1500" s="784">
        <v>3.67</v>
      </c>
      <c r="P1500" s="783">
        <v>400</v>
      </c>
      <c r="Q1500" s="783">
        <v>2651.56</v>
      </c>
      <c r="R1500" s="783">
        <v>919.7</v>
      </c>
      <c r="S1500" s="783">
        <v>308.05</v>
      </c>
      <c r="T1500" s="783">
        <v>1423.81</v>
      </c>
      <c r="U1500" s="785">
        <v>44714.577662037002</v>
      </c>
    </row>
    <row r="1501" spans="1:21">
      <c r="A1501" s="782">
        <v>44712</v>
      </c>
      <c r="B1501" s="783" t="s">
        <v>41</v>
      </c>
      <c r="C1501" s="783" t="s">
        <v>4092</v>
      </c>
      <c r="D1501" s="783" t="s">
        <v>4009</v>
      </c>
      <c r="E1501" s="783" t="s">
        <v>5645</v>
      </c>
      <c r="F1501" s="783" t="s">
        <v>4011</v>
      </c>
      <c r="G1501" s="783" t="str">
        <f t="shared" si="82"/>
        <v>Renewal (15% in 2020)</v>
      </c>
      <c r="H1501" s="783" t="s">
        <v>5646</v>
      </c>
      <c r="I1501" s="783" t="s">
        <v>5647</v>
      </c>
      <c r="J1501" s="783">
        <v>15</v>
      </c>
      <c r="K1501" s="783" t="s">
        <v>27</v>
      </c>
      <c r="L1501" s="783" t="s">
        <v>4096</v>
      </c>
      <c r="M1501" s="784">
        <v>28663.02</v>
      </c>
      <c r="N1501" s="784">
        <v>19.72</v>
      </c>
      <c r="O1501" s="784">
        <v>3.23</v>
      </c>
      <c r="P1501" s="783">
        <v>450</v>
      </c>
      <c r="Q1501" s="783">
        <v>2989.55</v>
      </c>
      <c r="R1501" s="783">
        <v>1019.07</v>
      </c>
      <c r="S1501" s="783">
        <v>414.08</v>
      </c>
      <c r="T1501" s="783">
        <v>1556.4</v>
      </c>
      <c r="U1501" s="785">
        <v>44714.586956018502</v>
      </c>
    </row>
    <row r="1502" spans="1:21">
      <c r="A1502" s="782">
        <v>44713</v>
      </c>
      <c r="B1502" s="783" t="s">
        <v>51</v>
      </c>
      <c r="C1502" s="783" t="s">
        <v>4042</v>
      </c>
      <c r="D1502" s="783" t="s">
        <v>4016</v>
      </c>
      <c r="E1502" s="783" t="s">
        <v>1417</v>
      </c>
      <c r="F1502" s="783" t="s">
        <v>4011</v>
      </c>
      <c r="G1502" s="783" t="str">
        <f t="shared" si="82"/>
        <v>Renewal (20% in 2020)</v>
      </c>
      <c r="H1502" s="783" t="s">
        <v>5648</v>
      </c>
      <c r="I1502" s="783" t="s">
        <v>5649</v>
      </c>
      <c r="J1502" s="783">
        <v>20</v>
      </c>
      <c r="K1502" s="783" t="s">
        <v>27</v>
      </c>
      <c r="L1502" s="783" t="s">
        <v>4096</v>
      </c>
      <c r="M1502" s="784">
        <v>10546.03</v>
      </c>
      <c r="N1502" s="784">
        <v>9.59</v>
      </c>
      <c r="O1502" s="784">
        <v>2.77</v>
      </c>
      <c r="P1502" s="783">
        <v>397</v>
      </c>
      <c r="Q1502" s="783">
        <v>1007.15</v>
      </c>
      <c r="R1502" s="783">
        <v>522.03</v>
      </c>
      <c r="S1502" s="783">
        <v>73.819999999999993</v>
      </c>
      <c r="T1502" s="783">
        <v>411.3</v>
      </c>
      <c r="U1502" s="785">
        <v>44713.507650462998</v>
      </c>
    </row>
    <row r="1503" spans="1:21">
      <c r="A1503" s="782">
        <v>44715</v>
      </c>
      <c r="B1503" s="783" t="s">
        <v>74</v>
      </c>
      <c r="C1503" s="783" t="s">
        <v>4097</v>
      </c>
      <c r="D1503" s="783" t="s">
        <v>4038</v>
      </c>
      <c r="E1503" s="783" t="s">
        <v>4367</v>
      </c>
      <c r="F1503" s="783" t="s">
        <v>4011</v>
      </c>
      <c r="G1503" s="783" t="str">
        <f t="shared" si="82"/>
        <v>Renewal (15% in 2020)</v>
      </c>
      <c r="H1503" s="783" t="s">
        <v>4368</v>
      </c>
      <c r="I1503" s="783" t="s">
        <v>4369</v>
      </c>
      <c r="J1503" s="783">
        <v>20</v>
      </c>
      <c r="K1503" s="783" t="s">
        <v>27</v>
      </c>
      <c r="L1503" s="783" t="s">
        <v>4096</v>
      </c>
      <c r="M1503" s="784">
        <v>26318.04</v>
      </c>
      <c r="N1503" s="784">
        <v>18.43</v>
      </c>
      <c r="O1503" s="784">
        <v>3.57</v>
      </c>
      <c r="P1503" s="783">
        <v>400</v>
      </c>
      <c r="Q1503" s="783">
        <v>2297.56</v>
      </c>
      <c r="R1503" s="783">
        <v>966.46</v>
      </c>
      <c r="S1503" s="783">
        <v>378.39</v>
      </c>
      <c r="T1503" s="783">
        <v>952.71</v>
      </c>
      <c r="U1503" s="785">
        <v>44715.465127314797</v>
      </c>
    </row>
    <row r="1504" spans="1:21">
      <c r="A1504" s="782">
        <v>44713</v>
      </c>
      <c r="B1504" s="783" t="s">
        <v>41</v>
      </c>
      <c r="C1504" s="783" t="s">
        <v>4092</v>
      </c>
      <c r="D1504" s="783" t="s">
        <v>4009</v>
      </c>
      <c r="E1504" s="783" t="s">
        <v>5653</v>
      </c>
      <c r="F1504" s="783" t="s">
        <v>4011</v>
      </c>
      <c r="G1504" s="783" t="str">
        <f t="shared" si="82"/>
        <v>New contract</v>
      </c>
      <c r="H1504" s="783" t="s">
        <v>5654</v>
      </c>
      <c r="I1504" s="783" t="s">
        <v>5655</v>
      </c>
      <c r="J1504" s="783">
        <v>20</v>
      </c>
      <c r="K1504" s="783" t="s">
        <v>27</v>
      </c>
      <c r="L1504" s="783" t="s">
        <v>4096</v>
      </c>
      <c r="M1504" s="784">
        <v>17152</v>
      </c>
      <c r="N1504" s="784">
        <v>10.72</v>
      </c>
      <c r="O1504" s="784">
        <v>3.2</v>
      </c>
      <c r="P1504" s="783">
        <v>500</v>
      </c>
      <c r="Q1504" s="783">
        <v>1370.44</v>
      </c>
      <c r="R1504" s="783">
        <v>548.83000000000004</v>
      </c>
      <c r="S1504" s="783">
        <v>308.77</v>
      </c>
      <c r="T1504" s="783">
        <v>512.84</v>
      </c>
      <c r="U1504" s="785">
        <v>44715.425567129598</v>
      </c>
    </row>
    <row r="1505" spans="1:21">
      <c r="A1505" s="782">
        <v>44714</v>
      </c>
      <c r="B1505" s="783" t="s">
        <v>41</v>
      </c>
      <c r="C1505" s="783" t="s">
        <v>4092</v>
      </c>
      <c r="D1505" s="783" t="s">
        <v>4009</v>
      </c>
      <c r="E1505" s="783" t="s">
        <v>5660</v>
      </c>
      <c r="F1505" s="783" t="s">
        <v>4011</v>
      </c>
      <c r="G1505" s="783" t="str">
        <f t="shared" si="82"/>
        <v>Renewal (25% in 2020)</v>
      </c>
      <c r="H1505" s="783" t="s">
        <v>5661</v>
      </c>
      <c r="I1505" s="783" t="s">
        <v>5662</v>
      </c>
      <c r="J1505" s="783">
        <v>20</v>
      </c>
      <c r="K1505" s="783" t="s">
        <v>27</v>
      </c>
      <c r="L1505" s="783" t="s">
        <v>4096</v>
      </c>
      <c r="M1505" s="784">
        <v>30579.48</v>
      </c>
      <c r="N1505" s="784">
        <v>19.64</v>
      </c>
      <c r="O1505" s="784">
        <v>3.46</v>
      </c>
      <c r="P1505" s="783">
        <v>450</v>
      </c>
      <c r="Q1505" s="783">
        <v>2443.3000000000002</v>
      </c>
      <c r="R1505" s="783">
        <v>1087.21</v>
      </c>
      <c r="S1505" s="783">
        <v>441.76</v>
      </c>
      <c r="T1505" s="783">
        <v>914.33</v>
      </c>
      <c r="U1505" s="785">
        <v>44715.458148148202</v>
      </c>
    </row>
    <row r="1506" spans="1:21">
      <c r="A1506" s="782">
        <v>44714</v>
      </c>
      <c r="B1506" s="783" t="s">
        <v>41</v>
      </c>
      <c r="C1506" s="783" t="s">
        <v>4082</v>
      </c>
      <c r="D1506" s="783" t="s">
        <v>4009</v>
      </c>
      <c r="E1506" s="783" t="s">
        <v>960</v>
      </c>
      <c r="F1506" s="783" t="s">
        <v>4011</v>
      </c>
      <c r="G1506" s="783" t="str">
        <f t="shared" si="82"/>
        <v>Renewal (15% in 2020)</v>
      </c>
      <c r="H1506" s="783" t="s">
        <v>5663</v>
      </c>
      <c r="I1506" s="783" t="s">
        <v>5664</v>
      </c>
      <c r="J1506" s="783">
        <v>15</v>
      </c>
      <c r="K1506" s="783" t="s">
        <v>27</v>
      </c>
      <c r="L1506" s="783" t="s">
        <v>4096</v>
      </c>
      <c r="M1506" s="784">
        <v>17354.400000000001</v>
      </c>
      <c r="N1506" s="784">
        <v>20.66</v>
      </c>
      <c r="O1506" s="784">
        <v>2.8</v>
      </c>
      <c r="P1506" s="783">
        <v>300</v>
      </c>
      <c r="Q1506" s="783">
        <v>1841.3</v>
      </c>
      <c r="R1506" s="783">
        <v>704.59</v>
      </c>
      <c r="S1506" s="783">
        <v>173.54</v>
      </c>
      <c r="T1506" s="783">
        <v>963.17</v>
      </c>
      <c r="U1506" s="785">
        <v>44715.453449074099</v>
      </c>
    </row>
    <row r="1507" spans="1:21">
      <c r="A1507" s="782">
        <v>44711</v>
      </c>
      <c r="B1507" s="783" t="s">
        <v>228</v>
      </c>
      <c r="C1507" s="783" t="s">
        <v>4582</v>
      </c>
      <c r="D1507" s="783" t="s">
        <v>4193</v>
      </c>
      <c r="E1507" s="783" t="s">
        <v>4766</v>
      </c>
      <c r="F1507" s="783" t="s">
        <v>4011</v>
      </c>
      <c r="G1507" s="783" t="s">
        <v>4028</v>
      </c>
      <c r="H1507" s="783" t="s">
        <v>4767</v>
      </c>
      <c r="I1507" s="783" t="s">
        <v>4768</v>
      </c>
      <c r="J1507" s="783">
        <v>25</v>
      </c>
      <c r="K1507" s="783" t="s">
        <v>27</v>
      </c>
      <c r="L1507" s="783" t="s">
        <v>4096</v>
      </c>
      <c r="M1507" s="784">
        <v>55677.9</v>
      </c>
      <c r="N1507" s="784">
        <v>41.99</v>
      </c>
      <c r="O1507" s="784">
        <v>3.34</v>
      </c>
      <c r="P1507" s="783">
        <v>397</v>
      </c>
      <c r="Q1507" s="783">
        <v>3858.48</v>
      </c>
      <c r="R1507" s="783">
        <v>2611.29</v>
      </c>
      <c r="S1507" s="783">
        <v>328.5</v>
      </c>
      <c r="T1507" s="783">
        <v>918.69</v>
      </c>
      <c r="U1507" s="785">
        <v>44713.609803240703</v>
      </c>
    </row>
    <row r="1508" spans="1:21">
      <c r="A1508" s="782">
        <v>44712</v>
      </c>
      <c r="B1508" s="783" t="s">
        <v>41</v>
      </c>
      <c r="C1508" s="783" t="s">
        <v>4092</v>
      </c>
      <c r="D1508" s="783" t="s">
        <v>4009</v>
      </c>
      <c r="E1508" s="783" t="s">
        <v>1194</v>
      </c>
      <c r="F1508" s="783" t="s">
        <v>4011</v>
      </c>
      <c r="G1508" s="783" t="str">
        <f t="shared" ref="G1508:G1526" si="83">VLOOKUP(I1508,pacage,2,FALSE)</f>
        <v>Renewal (15% in 2020)</v>
      </c>
      <c r="H1508" s="783" t="s">
        <v>5668</v>
      </c>
      <c r="I1508" s="783" t="s">
        <v>5669</v>
      </c>
      <c r="J1508" s="783">
        <v>20</v>
      </c>
      <c r="K1508" s="783" t="s">
        <v>27</v>
      </c>
      <c r="L1508" s="783" t="s">
        <v>4096</v>
      </c>
      <c r="M1508" s="784">
        <v>22809.33</v>
      </c>
      <c r="N1508" s="784">
        <v>22.55</v>
      </c>
      <c r="O1508" s="784">
        <v>2.89</v>
      </c>
      <c r="P1508" s="783">
        <v>350</v>
      </c>
      <c r="Q1508" s="783">
        <v>1822.47</v>
      </c>
      <c r="R1508" s="783">
        <v>919.22</v>
      </c>
      <c r="S1508" s="783">
        <v>221.25</v>
      </c>
      <c r="T1508" s="783">
        <v>682</v>
      </c>
      <c r="U1508" s="785">
        <v>44714.578807870399</v>
      </c>
    </row>
    <row r="1509" spans="1:21">
      <c r="A1509" s="782">
        <v>44712</v>
      </c>
      <c r="B1509" s="783" t="s">
        <v>47</v>
      </c>
      <c r="C1509" s="783" t="s">
        <v>4101</v>
      </c>
      <c r="D1509" s="783" t="s">
        <v>4102</v>
      </c>
      <c r="E1509" s="783" t="s">
        <v>406</v>
      </c>
      <c r="F1509" s="783" t="s">
        <v>4011</v>
      </c>
      <c r="G1509" s="783" t="str">
        <f t="shared" si="83"/>
        <v>Renewal (20% in 2020)</v>
      </c>
      <c r="H1509" s="783" t="s">
        <v>4262</v>
      </c>
      <c r="I1509" s="783" t="s">
        <v>4263</v>
      </c>
      <c r="J1509" s="783">
        <v>20</v>
      </c>
      <c r="K1509" s="783" t="s">
        <v>27</v>
      </c>
      <c r="L1509" s="783" t="s">
        <v>4096</v>
      </c>
      <c r="M1509" s="784">
        <v>55584.9</v>
      </c>
      <c r="N1509" s="784">
        <v>29.41</v>
      </c>
      <c r="O1509" s="784">
        <v>3.5</v>
      </c>
      <c r="P1509" s="783">
        <v>540</v>
      </c>
      <c r="Q1509" s="783">
        <v>3868.71</v>
      </c>
      <c r="R1509" s="783">
        <v>1495.67</v>
      </c>
      <c r="S1509" s="783">
        <v>811.11</v>
      </c>
      <c r="T1509" s="783">
        <v>1561.94</v>
      </c>
      <c r="U1509" s="785">
        <v>44714.4746296296</v>
      </c>
    </row>
    <row r="1510" spans="1:21">
      <c r="A1510" s="782">
        <v>44712</v>
      </c>
      <c r="B1510" s="783" t="s">
        <v>228</v>
      </c>
      <c r="C1510" s="783" t="s">
        <v>4020</v>
      </c>
      <c r="D1510" s="783" t="s">
        <v>4021</v>
      </c>
      <c r="E1510" s="783" t="s">
        <v>5670</v>
      </c>
      <c r="F1510" s="783" t="s">
        <v>4011</v>
      </c>
      <c r="G1510" s="783" t="str">
        <f t="shared" si="83"/>
        <v>Renewal (15% in 2020)</v>
      </c>
      <c r="H1510" s="783" t="s">
        <v>5671</v>
      </c>
      <c r="I1510" s="783" t="s">
        <v>5672</v>
      </c>
      <c r="J1510" s="783">
        <v>20</v>
      </c>
      <c r="K1510" s="783" t="s">
        <v>27</v>
      </c>
      <c r="L1510" s="783" t="s">
        <v>4096</v>
      </c>
      <c r="M1510" s="784">
        <v>20514.240000000002</v>
      </c>
      <c r="N1510" s="784">
        <v>16.760000000000002</v>
      </c>
      <c r="O1510" s="784">
        <v>2.4</v>
      </c>
      <c r="P1510" s="783">
        <v>510</v>
      </c>
      <c r="Q1510" s="783">
        <v>2020.65</v>
      </c>
      <c r="R1510" s="783">
        <v>803.24</v>
      </c>
      <c r="S1510" s="783">
        <v>382.49</v>
      </c>
      <c r="T1510" s="783">
        <v>834.93</v>
      </c>
      <c r="U1510" s="785">
        <v>44714.466921296298</v>
      </c>
    </row>
    <row r="1511" spans="1:21">
      <c r="A1511" s="782">
        <v>44712</v>
      </c>
      <c r="B1511" s="783" t="s">
        <v>41</v>
      </c>
      <c r="C1511" s="783" t="s">
        <v>4139</v>
      </c>
      <c r="D1511" s="783" t="s">
        <v>4009</v>
      </c>
      <c r="E1511" s="783" t="s">
        <v>4650</v>
      </c>
      <c r="F1511" s="783" t="s">
        <v>4011</v>
      </c>
      <c r="G1511" s="783" t="str">
        <f t="shared" si="83"/>
        <v>Renewal (20% in 2020)</v>
      </c>
      <c r="H1511" s="783" t="s">
        <v>4651</v>
      </c>
      <c r="I1511" s="783" t="s">
        <v>4652</v>
      </c>
      <c r="J1511" s="783">
        <v>20</v>
      </c>
      <c r="K1511" s="783" t="s">
        <v>27</v>
      </c>
      <c r="L1511" s="783" t="s">
        <v>4096</v>
      </c>
      <c r="M1511" s="784">
        <v>25078.81</v>
      </c>
      <c r="N1511" s="784">
        <v>21.56</v>
      </c>
      <c r="O1511" s="784">
        <v>2.93</v>
      </c>
      <c r="P1511" s="783">
        <v>397</v>
      </c>
      <c r="Q1511" s="783">
        <v>2625.75</v>
      </c>
      <c r="R1511" s="783">
        <v>1454.57</v>
      </c>
      <c r="S1511" s="783">
        <v>175.55</v>
      </c>
      <c r="T1511" s="783">
        <v>995.63</v>
      </c>
      <c r="U1511" s="785">
        <v>44714.5765509259</v>
      </c>
    </row>
    <row r="1512" spans="1:21">
      <c r="A1512" s="782">
        <v>44712</v>
      </c>
      <c r="B1512" s="783" t="s">
        <v>41</v>
      </c>
      <c r="C1512" s="783" t="s">
        <v>4082</v>
      </c>
      <c r="D1512" s="783" t="s">
        <v>4009</v>
      </c>
      <c r="E1512" s="783" t="s">
        <v>4650</v>
      </c>
      <c r="F1512" s="783" t="s">
        <v>4011</v>
      </c>
      <c r="G1512" s="783" t="str">
        <f t="shared" si="83"/>
        <v>Renewal (20% in 2020)</v>
      </c>
      <c r="H1512" s="783" t="s">
        <v>4651</v>
      </c>
      <c r="I1512" s="783" t="s">
        <v>4652</v>
      </c>
      <c r="J1512" s="783">
        <v>20</v>
      </c>
      <c r="K1512" s="783" t="s">
        <v>27</v>
      </c>
      <c r="L1512" s="783" t="s">
        <v>4096</v>
      </c>
      <c r="M1512" s="784">
        <v>2973.95</v>
      </c>
      <c r="N1512" s="784">
        <v>2.9</v>
      </c>
      <c r="O1512" s="784">
        <v>2.93</v>
      </c>
      <c r="P1512" s="783">
        <v>350</v>
      </c>
      <c r="Q1512" s="783">
        <v>241.78</v>
      </c>
      <c r="R1512" s="783">
        <v>120.74</v>
      </c>
      <c r="S1512" s="783">
        <v>29.74</v>
      </c>
      <c r="T1512" s="783">
        <v>91.3</v>
      </c>
      <c r="U1512" s="785">
        <v>44714.5765509259</v>
      </c>
    </row>
    <row r="1513" spans="1:21">
      <c r="A1513" s="782">
        <v>44714</v>
      </c>
      <c r="B1513" s="783" t="s">
        <v>113</v>
      </c>
      <c r="C1513" s="783" t="s">
        <v>4606</v>
      </c>
      <c r="D1513" s="783" t="s">
        <v>4009</v>
      </c>
      <c r="E1513" s="783" t="s">
        <v>6584</v>
      </c>
      <c r="F1513" s="783" t="s">
        <v>4011</v>
      </c>
      <c r="G1513" s="783" t="str">
        <f t="shared" si="83"/>
        <v>Renewal (15% in 2020)</v>
      </c>
      <c r="H1513" s="783" t="s">
        <v>6585</v>
      </c>
      <c r="I1513" s="783" t="s">
        <v>6586</v>
      </c>
      <c r="J1513" s="783">
        <v>15</v>
      </c>
      <c r="K1513" s="783" t="s">
        <v>27</v>
      </c>
      <c r="L1513" s="783" t="s">
        <v>4096</v>
      </c>
      <c r="M1513" s="784">
        <v>5183.2299999999996</v>
      </c>
      <c r="N1513" s="784">
        <v>5.0999999999999996</v>
      </c>
      <c r="O1513" s="784">
        <v>2.56</v>
      </c>
      <c r="P1513" s="783">
        <v>397</v>
      </c>
      <c r="Q1513" s="783">
        <v>443.68</v>
      </c>
      <c r="R1513" s="783">
        <v>140.97999999999999</v>
      </c>
      <c r="S1513" s="783">
        <v>58.05</v>
      </c>
      <c r="T1513" s="783">
        <v>244.65</v>
      </c>
      <c r="U1513" s="785">
        <v>44715.4515972222</v>
      </c>
    </row>
    <row r="1514" spans="1:21">
      <c r="A1514" s="782">
        <v>44712</v>
      </c>
      <c r="B1514" s="783" t="s">
        <v>41</v>
      </c>
      <c r="C1514" s="783" t="s">
        <v>4092</v>
      </c>
      <c r="D1514" s="783" t="s">
        <v>4009</v>
      </c>
      <c r="E1514" s="783" t="s">
        <v>605</v>
      </c>
      <c r="F1514" s="783" t="s">
        <v>4011</v>
      </c>
      <c r="G1514" s="783" t="str">
        <f t="shared" si="83"/>
        <v>Renewal (15% in 2020)</v>
      </c>
      <c r="H1514" s="783" t="s">
        <v>4161</v>
      </c>
      <c r="I1514" s="783" t="s">
        <v>4162</v>
      </c>
      <c r="J1514" s="783">
        <v>15</v>
      </c>
      <c r="K1514" s="783" t="s">
        <v>27</v>
      </c>
      <c r="L1514" s="783" t="s">
        <v>4096</v>
      </c>
      <c r="M1514" s="784">
        <v>33392.07</v>
      </c>
      <c r="N1514" s="784">
        <v>30.91</v>
      </c>
      <c r="O1514" s="784">
        <v>2.77</v>
      </c>
      <c r="P1514" s="783">
        <v>390</v>
      </c>
      <c r="Q1514" s="783">
        <v>3482.79</v>
      </c>
      <c r="R1514" s="783">
        <v>1345.7</v>
      </c>
      <c r="S1514" s="783">
        <v>323.89999999999998</v>
      </c>
      <c r="T1514" s="783">
        <v>1813.19</v>
      </c>
      <c r="U1514" s="785">
        <v>44714.667314814797</v>
      </c>
    </row>
    <row r="1515" spans="1:21">
      <c r="A1515" s="782">
        <v>44711</v>
      </c>
      <c r="B1515" s="783" t="s">
        <v>51</v>
      </c>
      <c r="C1515" s="783" t="s">
        <v>4042</v>
      </c>
      <c r="D1515" s="783" t="s">
        <v>4016</v>
      </c>
      <c r="E1515" s="783" t="s">
        <v>1315</v>
      </c>
      <c r="F1515" s="783" t="s">
        <v>4011</v>
      </c>
      <c r="G1515" s="783" t="str">
        <f t="shared" si="83"/>
        <v>Renewal (25% in 2020)</v>
      </c>
      <c r="H1515" s="783" t="s">
        <v>5676</v>
      </c>
      <c r="I1515" s="783" t="s">
        <v>5677</v>
      </c>
      <c r="J1515" s="783">
        <v>25</v>
      </c>
      <c r="K1515" s="783" t="s">
        <v>27</v>
      </c>
      <c r="L1515" s="783" t="s">
        <v>4096</v>
      </c>
      <c r="M1515" s="784">
        <v>58226.6</v>
      </c>
      <c r="N1515" s="784">
        <v>41.95</v>
      </c>
      <c r="O1515" s="784">
        <v>3.47</v>
      </c>
      <c r="P1515" s="783">
        <v>400</v>
      </c>
      <c r="Q1515" s="783">
        <v>4471.8</v>
      </c>
      <c r="R1515" s="783">
        <v>2860.6</v>
      </c>
      <c r="S1515" s="783">
        <v>429.2</v>
      </c>
      <c r="T1515" s="783">
        <v>1182</v>
      </c>
      <c r="U1515" s="785">
        <v>44713.994988425897</v>
      </c>
    </row>
    <row r="1516" spans="1:21">
      <c r="A1516" s="782">
        <v>44710</v>
      </c>
      <c r="B1516" s="783" t="s">
        <v>41</v>
      </c>
      <c r="C1516" s="783" t="s">
        <v>4008</v>
      </c>
      <c r="D1516" s="783" t="s">
        <v>4009</v>
      </c>
      <c r="E1516" s="783" t="s">
        <v>5678</v>
      </c>
      <c r="F1516" s="783" t="s">
        <v>4011</v>
      </c>
      <c r="G1516" s="783" t="str">
        <f t="shared" si="83"/>
        <v>Renewal (20% in 2020)</v>
      </c>
      <c r="H1516" s="783" t="s">
        <v>5679</v>
      </c>
      <c r="I1516" s="783" t="s">
        <v>5680</v>
      </c>
      <c r="J1516" s="783">
        <v>20</v>
      </c>
      <c r="K1516" s="783" t="s">
        <v>27</v>
      </c>
      <c r="L1516" s="783" t="s">
        <v>4096</v>
      </c>
      <c r="M1516" s="784">
        <v>10688.99</v>
      </c>
      <c r="N1516" s="784">
        <v>9.7200000000000006</v>
      </c>
      <c r="O1516" s="784">
        <v>2.77</v>
      </c>
      <c r="P1516" s="783">
        <v>397</v>
      </c>
      <c r="Q1516" s="783">
        <v>1073.17</v>
      </c>
      <c r="R1516" s="783">
        <v>461.76</v>
      </c>
      <c r="S1516" s="783">
        <v>167.82</v>
      </c>
      <c r="T1516" s="783">
        <v>443.59</v>
      </c>
      <c r="U1516" s="785">
        <v>44712.637372685203</v>
      </c>
    </row>
    <row r="1517" spans="1:21">
      <c r="A1517" s="782">
        <v>44711</v>
      </c>
      <c r="B1517" s="783" t="s">
        <v>41</v>
      </c>
      <c r="C1517" s="783" t="s">
        <v>4092</v>
      </c>
      <c r="D1517" s="783" t="s">
        <v>4009</v>
      </c>
      <c r="E1517" s="783" t="s">
        <v>446</v>
      </c>
      <c r="F1517" s="783" t="s">
        <v>4011</v>
      </c>
      <c r="G1517" s="783" t="str">
        <f t="shared" si="83"/>
        <v>Renewal (15% in 2020)</v>
      </c>
      <c r="H1517" s="783" t="s">
        <v>5681</v>
      </c>
      <c r="I1517" s="783" t="s">
        <v>5682</v>
      </c>
      <c r="J1517" s="783">
        <v>15</v>
      </c>
      <c r="K1517" s="783" t="s">
        <v>27</v>
      </c>
      <c r="L1517" s="783" t="s">
        <v>4096</v>
      </c>
      <c r="M1517" s="784">
        <v>13991.25</v>
      </c>
      <c r="N1517" s="784">
        <v>12.3</v>
      </c>
      <c r="O1517" s="784">
        <v>3.25</v>
      </c>
      <c r="P1517" s="783">
        <v>350</v>
      </c>
      <c r="Q1517" s="783">
        <v>1459.29</v>
      </c>
      <c r="R1517" s="783">
        <v>563.85</v>
      </c>
      <c r="S1517" s="783">
        <v>135.72</v>
      </c>
      <c r="T1517" s="783">
        <v>759.72</v>
      </c>
      <c r="U1517" s="785">
        <v>44713.990949074097</v>
      </c>
    </row>
    <row r="1518" spans="1:21">
      <c r="A1518" s="782">
        <v>44712</v>
      </c>
      <c r="B1518" s="783" t="s">
        <v>228</v>
      </c>
      <c r="C1518" s="783" t="s">
        <v>4020</v>
      </c>
      <c r="D1518" s="783" t="s">
        <v>4021</v>
      </c>
      <c r="E1518" s="783" t="s">
        <v>4163</v>
      </c>
      <c r="F1518" s="783" t="s">
        <v>4011</v>
      </c>
      <c r="G1518" s="783" t="str">
        <f t="shared" si="83"/>
        <v>Renewal (15% in 2020)</v>
      </c>
      <c r="H1518" s="783" t="s">
        <v>4164</v>
      </c>
      <c r="I1518" s="783" t="s">
        <v>4165</v>
      </c>
      <c r="J1518" s="783">
        <v>25</v>
      </c>
      <c r="K1518" s="783" t="s">
        <v>27</v>
      </c>
      <c r="L1518" s="783" t="s">
        <v>4096</v>
      </c>
      <c r="M1518" s="784">
        <v>21921.84</v>
      </c>
      <c r="N1518" s="784">
        <v>17.91</v>
      </c>
      <c r="O1518" s="784">
        <v>2.4</v>
      </c>
      <c r="P1518" s="783">
        <v>510</v>
      </c>
      <c r="Q1518" s="783">
        <v>1740.59</v>
      </c>
      <c r="R1518" s="783">
        <v>858.35</v>
      </c>
      <c r="S1518" s="783">
        <v>408.73</v>
      </c>
      <c r="T1518" s="783">
        <v>473.51</v>
      </c>
      <c r="U1518" s="785">
        <v>44714.582372685203</v>
      </c>
    </row>
    <row r="1519" spans="1:21">
      <c r="A1519" s="782">
        <v>44698</v>
      </c>
      <c r="B1519" s="783" t="s">
        <v>4025</v>
      </c>
      <c r="C1519" s="783" t="s">
        <v>4026</v>
      </c>
      <c r="D1519" s="783" t="s">
        <v>4021</v>
      </c>
      <c r="E1519" s="783" t="s">
        <v>5695</v>
      </c>
      <c r="F1519" s="783" t="s">
        <v>4011</v>
      </c>
      <c r="G1519" s="783" t="str">
        <f t="shared" si="83"/>
        <v>New contract</v>
      </c>
      <c r="H1519" s="783" t="s">
        <v>5696</v>
      </c>
      <c r="I1519" s="783" t="s">
        <v>5697</v>
      </c>
      <c r="J1519" s="783">
        <v>20</v>
      </c>
      <c r="K1519" s="783" t="s">
        <v>27</v>
      </c>
      <c r="L1519" s="783" t="s">
        <v>4096</v>
      </c>
      <c r="M1519" s="784">
        <v>16927.439999999999</v>
      </c>
      <c r="N1519" s="784">
        <v>16.86</v>
      </c>
      <c r="O1519" s="784">
        <v>2.5099999999999998</v>
      </c>
      <c r="P1519" s="783">
        <v>400</v>
      </c>
      <c r="Q1519" s="783">
        <v>1125.67</v>
      </c>
      <c r="R1519" s="783">
        <v>493.93</v>
      </c>
      <c r="S1519" s="783">
        <v>173.01</v>
      </c>
      <c r="T1519" s="783">
        <v>458.73</v>
      </c>
      <c r="U1519" s="785">
        <v>44712.625069444402</v>
      </c>
    </row>
    <row r="1520" spans="1:21">
      <c r="A1520" s="782">
        <v>44711</v>
      </c>
      <c r="B1520" s="783" t="s">
        <v>113</v>
      </c>
      <c r="C1520" s="783" t="s">
        <v>4376</v>
      </c>
      <c r="D1520" s="783" t="s">
        <v>4038</v>
      </c>
      <c r="E1520" s="783" t="s">
        <v>4377</v>
      </c>
      <c r="F1520" s="783" t="s">
        <v>4011</v>
      </c>
      <c r="G1520" s="783" t="str">
        <f t="shared" si="83"/>
        <v>Renewal (15% in 2020)</v>
      </c>
      <c r="H1520" s="783" t="s">
        <v>4378</v>
      </c>
      <c r="I1520" s="783" t="s">
        <v>4379</v>
      </c>
      <c r="J1520" s="783">
        <v>15</v>
      </c>
      <c r="K1520" s="783" t="s">
        <v>27</v>
      </c>
      <c r="L1520" s="783" t="s">
        <v>4096</v>
      </c>
      <c r="M1520" s="784">
        <v>3593.05</v>
      </c>
      <c r="N1520" s="784">
        <v>3.09</v>
      </c>
      <c r="O1520" s="784">
        <v>3.42</v>
      </c>
      <c r="P1520" s="783">
        <v>340</v>
      </c>
      <c r="Q1520" s="783">
        <v>474.28</v>
      </c>
      <c r="R1520" s="783">
        <v>160.61000000000001</v>
      </c>
      <c r="S1520" s="783">
        <v>62.88</v>
      </c>
      <c r="T1520" s="783">
        <v>250.8</v>
      </c>
      <c r="U1520" s="785">
        <v>44713.522210648101</v>
      </c>
    </row>
    <row r="1521" spans="1:21">
      <c r="A1521" s="782">
        <v>44711</v>
      </c>
      <c r="B1521" s="783" t="s">
        <v>113</v>
      </c>
      <c r="C1521" s="783" t="s">
        <v>4097</v>
      </c>
      <c r="D1521" s="783" t="s">
        <v>4038</v>
      </c>
      <c r="E1521" s="783" t="s">
        <v>4377</v>
      </c>
      <c r="F1521" s="783" t="s">
        <v>4011</v>
      </c>
      <c r="G1521" s="783" t="str">
        <f t="shared" si="83"/>
        <v>Renewal (15% in 2020)</v>
      </c>
      <c r="H1521" s="783" t="s">
        <v>4378</v>
      </c>
      <c r="I1521" s="783" t="s">
        <v>4379</v>
      </c>
      <c r="J1521" s="783">
        <v>15</v>
      </c>
      <c r="K1521" s="783" t="s">
        <v>27</v>
      </c>
      <c r="L1521" s="783" t="s">
        <v>4096</v>
      </c>
      <c r="M1521" s="784">
        <v>15186.78</v>
      </c>
      <c r="N1521" s="784">
        <v>14.18</v>
      </c>
      <c r="O1521" s="784">
        <v>3.15</v>
      </c>
      <c r="P1521" s="783">
        <v>340</v>
      </c>
      <c r="Q1521" s="783">
        <v>1703.96</v>
      </c>
      <c r="R1521" s="783">
        <v>561.91</v>
      </c>
      <c r="S1521" s="783">
        <v>214.13</v>
      </c>
      <c r="T1521" s="783">
        <v>927.91</v>
      </c>
      <c r="U1521" s="785">
        <v>44713.522210648101</v>
      </c>
    </row>
    <row r="1522" spans="1:21">
      <c r="A1522" s="782">
        <v>44713</v>
      </c>
      <c r="B1522" s="783" t="s">
        <v>65</v>
      </c>
      <c r="C1522" s="783" t="s">
        <v>4264</v>
      </c>
      <c r="D1522" s="783" t="s">
        <v>4016</v>
      </c>
      <c r="E1522" s="783" t="s">
        <v>4265</v>
      </c>
      <c r="F1522" s="783" t="s">
        <v>4011</v>
      </c>
      <c r="G1522" s="783" t="str">
        <f t="shared" si="83"/>
        <v>New Contract</v>
      </c>
      <c r="H1522" s="783" t="s">
        <v>4266</v>
      </c>
      <c r="I1522" s="783" t="s">
        <v>4267</v>
      </c>
      <c r="J1522" s="783">
        <v>20</v>
      </c>
      <c r="K1522" s="783" t="s">
        <v>27</v>
      </c>
      <c r="L1522" s="783" t="s">
        <v>4096</v>
      </c>
      <c r="M1522" s="784">
        <v>33032.33</v>
      </c>
      <c r="N1522" s="784">
        <v>22.28</v>
      </c>
      <c r="O1522" s="784">
        <v>3.53</v>
      </c>
      <c r="P1522" s="783">
        <v>420</v>
      </c>
      <c r="Q1522" s="783">
        <v>2622.77</v>
      </c>
      <c r="R1522" s="783">
        <v>1320.75</v>
      </c>
      <c r="S1522" s="783">
        <v>264.8</v>
      </c>
      <c r="T1522" s="783">
        <v>1037.22</v>
      </c>
      <c r="U1522" s="785">
        <v>44715.435578703698</v>
      </c>
    </row>
    <row r="1523" spans="1:21">
      <c r="A1523" s="782">
        <v>44714</v>
      </c>
      <c r="B1523" s="783" t="s">
        <v>41</v>
      </c>
      <c r="C1523" s="783" t="s">
        <v>4071</v>
      </c>
      <c r="D1523" s="783" t="s">
        <v>4009</v>
      </c>
      <c r="E1523" s="783" t="s">
        <v>3805</v>
      </c>
      <c r="F1523" s="783" t="s">
        <v>4011</v>
      </c>
      <c r="G1523" s="783" t="str">
        <f t="shared" si="83"/>
        <v>Renewal (15% in 2020)</v>
      </c>
      <c r="H1523" s="783" t="s">
        <v>5707</v>
      </c>
      <c r="I1523" s="783" t="s">
        <v>5708</v>
      </c>
      <c r="J1523" s="783">
        <v>15</v>
      </c>
      <c r="K1523" s="783" t="s">
        <v>27</v>
      </c>
      <c r="L1523" s="783" t="s">
        <v>4096</v>
      </c>
      <c r="M1523" s="784">
        <v>3591</v>
      </c>
      <c r="N1523" s="784">
        <v>3.8</v>
      </c>
      <c r="O1523" s="784">
        <v>2.7</v>
      </c>
      <c r="P1523" s="783">
        <v>350</v>
      </c>
      <c r="Q1523" s="783">
        <v>407.58</v>
      </c>
      <c r="R1523" s="783">
        <v>172.37</v>
      </c>
      <c r="S1523" s="783">
        <v>21.19</v>
      </c>
      <c r="T1523" s="783">
        <v>214.02</v>
      </c>
      <c r="U1523" s="785">
        <v>44715.447175925903</v>
      </c>
    </row>
    <row r="1524" spans="1:21">
      <c r="A1524" s="782">
        <v>44714</v>
      </c>
      <c r="B1524" s="783" t="s">
        <v>41</v>
      </c>
      <c r="C1524" s="783" t="s">
        <v>4092</v>
      </c>
      <c r="D1524" s="783" t="s">
        <v>4009</v>
      </c>
      <c r="E1524" s="783" t="s">
        <v>3805</v>
      </c>
      <c r="F1524" s="783" t="s">
        <v>4011</v>
      </c>
      <c r="G1524" s="783" t="str">
        <f t="shared" si="83"/>
        <v>Renewal (15% in 2020)</v>
      </c>
      <c r="H1524" s="783" t="s">
        <v>5707</v>
      </c>
      <c r="I1524" s="783" t="s">
        <v>5708</v>
      </c>
      <c r="J1524" s="783">
        <v>15</v>
      </c>
      <c r="K1524" s="783" t="s">
        <v>27</v>
      </c>
      <c r="L1524" s="783" t="s">
        <v>4096</v>
      </c>
      <c r="M1524" s="784">
        <v>25174.799999999999</v>
      </c>
      <c r="N1524" s="784">
        <v>26.64</v>
      </c>
      <c r="O1524" s="784">
        <v>2.7</v>
      </c>
      <c r="P1524" s="783">
        <v>350</v>
      </c>
      <c r="Q1524" s="783">
        <v>2625.73</v>
      </c>
      <c r="R1524" s="783">
        <v>1014.54</v>
      </c>
      <c r="S1524" s="783">
        <v>244.2</v>
      </c>
      <c r="T1524" s="783">
        <v>1366.99</v>
      </c>
      <c r="U1524" s="785">
        <v>44715.447175925903</v>
      </c>
    </row>
    <row r="1525" spans="1:21">
      <c r="A1525" s="782">
        <v>44712</v>
      </c>
      <c r="B1525" s="783" t="s">
        <v>51</v>
      </c>
      <c r="C1525" s="783" t="s">
        <v>4042</v>
      </c>
      <c r="D1525" s="783" t="s">
        <v>4016</v>
      </c>
      <c r="E1525" s="783" t="s">
        <v>5709</v>
      </c>
      <c r="F1525" s="783" t="s">
        <v>4011</v>
      </c>
      <c r="G1525" s="783" t="str">
        <f t="shared" si="83"/>
        <v>Renewal (15% in 2020)</v>
      </c>
      <c r="H1525" s="783" t="s">
        <v>5710</v>
      </c>
      <c r="I1525" s="783" t="s">
        <v>5711</v>
      </c>
      <c r="J1525" s="783">
        <v>15</v>
      </c>
      <c r="K1525" s="783" t="s">
        <v>27</v>
      </c>
      <c r="L1525" s="783" t="s">
        <v>4096</v>
      </c>
      <c r="M1525" s="784">
        <v>32106.3</v>
      </c>
      <c r="N1525" s="784">
        <v>22.91</v>
      </c>
      <c r="O1525" s="784">
        <v>3.53</v>
      </c>
      <c r="P1525" s="783">
        <v>397</v>
      </c>
      <c r="Q1525" s="783">
        <v>3952.29</v>
      </c>
      <c r="R1525" s="783">
        <v>1589.26</v>
      </c>
      <c r="S1525" s="783">
        <v>224.74</v>
      </c>
      <c r="T1525" s="783">
        <v>2138.2800000000002</v>
      </c>
      <c r="U1525" s="785">
        <v>44714.575671296298</v>
      </c>
    </row>
    <row r="1526" spans="1:21">
      <c r="A1526" s="782">
        <v>44713</v>
      </c>
      <c r="B1526" s="783" t="s">
        <v>228</v>
      </c>
      <c r="C1526" s="783" t="s">
        <v>4582</v>
      </c>
      <c r="D1526" s="783" t="s">
        <v>4193</v>
      </c>
      <c r="E1526" s="783" t="s">
        <v>5715</v>
      </c>
      <c r="F1526" s="783" t="s">
        <v>4011</v>
      </c>
      <c r="G1526" s="783" t="str">
        <f t="shared" si="83"/>
        <v>Renewal (25% in 2020)</v>
      </c>
      <c r="H1526" s="783" t="s">
        <v>5716</v>
      </c>
      <c r="I1526" s="783" t="s">
        <v>5717</v>
      </c>
      <c r="J1526" s="783">
        <v>25</v>
      </c>
      <c r="K1526" s="783" t="s">
        <v>27</v>
      </c>
      <c r="L1526" s="783" t="s">
        <v>4096</v>
      </c>
      <c r="M1526" s="784">
        <v>44233.279999999999</v>
      </c>
      <c r="N1526" s="784">
        <v>32.24</v>
      </c>
      <c r="O1526" s="784">
        <v>3.43</v>
      </c>
      <c r="P1526" s="783">
        <v>400</v>
      </c>
      <c r="Q1526" s="783">
        <v>3065.37</v>
      </c>
      <c r="R1526" s="783">
        <v>2058.98</v>
      </c>
      <c r="S1526" s="783">
        <v>276.54000000000002</v>
      </c>
      <c r="T1526" s="783">
        <v>729.85</v>
      </c>
      <c r="U1526" s="785">
        <v>44715.434895833299</v>
      </c>
    </row>
    <row r="1527" spans="1:21">
      <c r="A1527" s="782">
        <v>44715</v>
      </c>
      <c r="B1527" s="783" t="s">
        <v>41</v>
      </c>
      <c r="C1527" s="783" t="s">
        <v>4082</v>
      </c>
      <c r="D1527" s="783" t="s">
        <v>4009</v>
      </c>
      <c r="E1527" s="783" t="s">
        <v>5718</v>
      </c>
      <c r="F1527" s="783" t="s">
        <v>4011</v>
      </c>
      <c r="G1527" s="783" t="s">
        <v>4028</v>
      </c>
      <c r="H1527" s="783" t="s">
        <v>5719</v>
      </c>
      <c r="I1527" s="783" t="s">
        <v>5720</v>
      </c>
      <c r="J1527" s="783">
        <v>20</v>
      </c>
      <c r="K1527" s="783" t="s">
        <v>27</v>
      </c>
      <c r="L1527" s="783" t="s">
        <v>4096</v>
      </c>
      <c r="M1527" s="784">
        <v>8201.27</v>
      </c>
      <c r="N1527" s="784">
        <v>6.13</v>
      </c>
      <c r="O1527" s="784">
        <v>3.37</v>
      </c>
      <c r="P1527" s="783">
        <v>397</v>
      </c>
      <c r="Q1527" s="783">
        <v>666.76</v>
      </c>
      <c r="R1527" s="783">
        <v>332.97</v>
      </c>
      <c r="S1527" s="783">
        <v>82.01</v>
      </c>
      <c r="T1527" s="783">
        <v>251.78</v>
      </c>
      <c r="U1527" s="785">
        <v>44715.469942129603</v>
      </c>
    </row>
    <row r="1528" spans="1:21">
      <c r="A1528" s="782">
        <v>44714</v>
      </c>
      <c r="B1528" s="783" t="s">
        <v>34</v>
      </c>
      <c r="C1528" s="783" t="s">
        <v>4139</v>
      </c>
      <c r="D1528" s="783" t="s">
        <v>4009</v>
      </c>
      <c r="E1528" s="783" t="s">
        <v>305</v>
      </c>
      <c r="F1528" s="783" t="s">
        <v>4011</v>
      </c>
      <c r="G1528" s="783" t="str">
        <f t="shared" ref="G1528:G1544" si="84">VLOOKUP(I1528,pacage,2,FALSE)</f>
        <v>Renewal (30% in 2020)</v>
      </c>
      <c r="H1528" s="783" t="s">
        <v>4383</v>
      </c>
      <c r="I1528" s="783" t="s">
        <v>4384</v>
      </c>
      <c r="J1528" s="783">
        <v>30</v>
      </c>
      <c r="K1528" s="783" t="s">
        <v>27</v>
      </c>
      <c r="L1528" s="783" t="s">
        <v>4096</v>
      </c>
      <c r="M1528" s="784">
        <v>39767.49</v>
      </c>
      <c r="N1528" s="784">
        <v>23.82</v>
      </c>
      <c r="O1528" s="784">
        <v>3.71</v>
      </c>
      <c r="P1528" s="783">
        <v>450</v>
      </c>
      <c r="Q1528" s="783">
        <v>3034.26</v>
      </c>
      <c r="R1528" s="783">
        <v>2034.86</v>
      </c>
      <c r="S1528" s="783">
        <v>271.66000000000003</v>
      </c>
      <c r="T1528" s="783">
        <v>727.75</v>
      </c>
      <c r="U1528" s="785">
        <v>44715.448703703703</v>
      </c>
    </row>
    <row r="1529" spans="1:21">
      <c r="A1529" s="782">
        <v>44697</v>
      </c>
      <c r="B1529" s="783" t="s">
        <v>41</v>
      </c>
      <c r="C1529" s="783" t="s">
        <v>4139</v>
      </c>
      <c r="D1529" s="783" t="s">
        <v>4009</v>
      </c>
      <c r="E1529" s="783" t="s">
        <v>5721</v>
      </c>
      <c r="F1529" s="783" t="s">
        <v>4011</v>
      </c>
      <c r="G1529" s="783" t="str">
        <f t="shared" si="84"/>
        <v>Renewal (30% in 2020)</v>
      </c>
      <c r="H1529" s="783" t="s">
        <v>5722</v>
      </c>
      <c r="I1529" s="783" t="s">
        <v>5723</v>
      </c>
      <c r="J1529" s="783">
        <v>30</v>
      </c>
      <c r="K1529" s="783" t="s">
        <v>27</v>
      </c>
      <c r="L1529" s="783" t="s">
        <v>4096</v>
      </c>
      <c r="M1529" s="784">
        <v>17428.3</v>
      </c>
      <c r="N1529" s="784">
        <v>17.559999999999999</v>
      </c>
      <c r="O1529" s="784">
        <v>2.5</v>
      </c>
      <c r="P1529" s="783">
        <v>397</v>
      </c>
      <c r="Q1529" s="783">
        <v>1329.78</v>
      </c>
      <c r="R1529" s="783">
        <v>1010.84</v>
      </c>
      <c r="S1529" s="783">
        <v>0</v>
      </c>
      <c r="T1529" s="783">
        <v>318.94</v>
      </c>
      <c r="U1529" s="785">
        <v>44698.719282407401</v>
      </c>
    </row>
    <row r="1530" spans="1:21">
      <c r="A1530" s="782">
        <v>44697</v>
      </c>
      <c r="B1530" s="783" t="s">
        <v>4025</v>
      </c>
      <c r="C1530" s="783" t="s">
        <v>4026</v>
      </c>
      <c r="D1530" s="783" t="s">
        <v>4021</v>
      </c>
      <c r="E1530" s="783" t="s">
        <v>5724</v>
      </c>
      <c r="F1530" s="783" t="s">
        <v>4011</v>
      </c>
      <c r="G1530" s="783" t="str">
        <f t="shared" si="84"/>
        <v>New contract</v>
      </c>
      <c r="H1530" s="783" t="s">
        <v>5725</v>
      </c>
      <c r="I1530" s="783" t="s">
        <v>5726</v>
      </c>
      <c r="J1530" s="783">
        <v>25</v>
      </c>
      <c r="K1530" s="783" t="s">
        <v>27</v>
      </c>
      <c r="L1530" s="783" t="s">
        <v>4096</v>
      </c>
      <c r="M1530" s="784">
        <v>14682.04</v>
      </c>
      <c r="N1530" s="784">
        <v>12.97</v>
      </c>
      <c r="O1530" s="784">
        <v>2.83</v>
      </c>
      <c r="P1530" s="783">
        <v>400</v>
      </c>
      <c r="Q1530" s="783">
        <v>785.49</v>
      </c>
      <c r="R1530" s="783">
        <v>428.41</v>
      </c>
      <c r="S1530" s="783">
        <v>150.06</v>
      </c>
      <c r="T1530" s="783">
        <v>207.02</v>
      </c>
      <c r="U1530" s="785">
        <v>44699.486458333296</v>
      </c>
    </row>
    <row r="1531" spans="1:21">
      <c r="A1531" s="782">
        <v>44698</v>
      </c>
      <c r="B1531" s="783" t="s">
        <v>41</v>
      </c>
      <c r="C1531" s="783" t="s">
        <v>4082</v>
      </c>
      <c r="D1531" s="783" t="s">
        <v>4009</v>
      </c>
      <c r="E1531" s="783" t="s">
        <v>5735</v>
      </c>
      <c r="F1531" s="783" t="s">
        <v>4011</v>
      </c>
      <c r="G1531" s="783" t="str">
        <f t="shared" si="84"/>
        <v>Renewal (25% in 2020)</v>
      </c>
      <c r="H1531" s="783" t="s">
        <v>5736</v>
      </c>
      <c r="I1531" s="783" t="s">
        <v>5737</v>
      </c>
      <c r="J1531" s="783">
        <v>25</v>
      </c>
      <c r="K1531" s="783" t="s">
        <v>27</v>
      </c>
      <c r="L1531" s="783" t="s">
        <v>4096</v>
      </c>
      <c r="M1531" s="784">
        <v>40328.65</v>
      </c>
      <c r="N1531" s="784">
        <v>31.45</v>
      </c>
      <c r="O1531" s="784">
        <v>3.23</v>
      </c>
      <c r="P1531" s="783">
        <v>397</v>
      </c>
      <c r="Q1531" s="783">
        <v>2609.2600000000002</v>
      </c>
      <c r="R1531" s="783">
        <v>1637.34</v>
      </c>
      <c r="S1531" s="783">
        <v>403.29</v>
      </c>
      <c r="T1531" s="783">
        <v>568.63</v>
      </c>
      <c r="U1531" s="785">
        <v>44699.747546296298</v>
      </c>
    </row>
    <row r="1532" spans="1:21">
      <c r="A1532" s="782">
        <v>44703</v>
      </c>
      <c r="B1532" s="783" t="s">
        <v>4025</v>
      </c>
      <c r="C1532" s="783" t="s">
        <v>4026</v>
      </c>
      <c r="D1532" s="783" t="s">
        <v>4021</v>
      </c>
      <c r="E1532" s="783" t="s">
        <v>5738</v>
      </c>
      <c r="F1532" s="783" t="s">
        <v>4011</v>
      </c>
      <c r="G1532" s="783" t="str">
        <f t="shared" si="84"/>
        <v>New Contract</v>
      </c>
      <c r="H1532" s="783" t="s">
        <v>5739</v>
      </c>
      <c r="I1532" s="783" t="s">
        <v>5740</v>
      </c>
      <c r="J1532" s="783">
        <v>25</v>
      </c>
      <c r="K1532" s="783" t="s">
        <v>27</v>
      </c>
      <c r="L1532" s="783" t="s">
        <v>4096</v>
      </c>
      <c r="M1532" s="784">
        <v>3433.59</v>
      </c>
      <c r="N1532" s="784">
        <v>4.71</v>
      </c>
      <c r="O1532" s="784">
        <v>1.62</v>
      </c>
      <c r="P1532" s="783">
        <v>450</v>
      </c>
      <c r="Q1532" s="783">
        <v>183.7</v>
      </c>
      <c r="R1532" s="783">
        <v>89.06</v>
      </c>
      <c r="S1532" s="783">
        <v>46.23</v>
      </c>
      <c r="T1532" s="783">
        <v>48.41</v>
      </c>
      <c r="U1532" s="785">
        <v>44704.4062962963</v>
      </c>
    </row>
    <row r="1533" spans="1:21">
      <c r="A1533" s="782">
        <v>44704</v>
      </c>
      <c r="B1533" s="783" t="s">
        <v>4025</v>
      </c>
      <c r="C1533" s="783" t="s">
        <v>4026</v>
      </c>
      <c r="D1533" s="783" t="s">
        <v>4021</v>
      </c>
      <c r="E1533" s="783" t="s">
        <v>5744</v>
      </c>
      <c r="F1533" s="783" t="s">
        <v>4011</v>
      </c>
      <c r="G1533" s="783" t="str">
        <f t="shared" si="84"/>
        <v>New Contract</v>
      </c>
      <c r="H1533" s="783" t="s">
        <v>5745</v>
      </c>
      <c r="I1533" s="783" t="s">
        <v>5746</v>
      </c>
      <c r="J1533" s="783">
        <v>25</v>
      </c>
      <c r="K1533" s="783" t="s">
        <v>27</v>
      </c>
      <c r="L1533" s="783" t="s">
        <v>4096</v>
      </c>
      <c r="M1533" s="784">
        <v>120762.83</v>
      </c>
      <c r="N1533" s="784">
        <v>64.86</v>
      </c>
      <c r="O1533" s="784">
        <v>4.33</v>
      </c>
      <c r="P1533" s="783">
        <v>430</v>
      </c>
      <c r="Q1533" s="783">
        <v>6460.81</v>
      </c>
      <c r="R1533" s="783">
        <v>3277.95</v>
      </c>
      <c r="S1533" s="783">
        <v>1480.1</v>
      </c>
      <c r="T1533" s="783">
        <v>1702.76</v>
      </c>
      <c r="U1533" s="785">
        <v>44704.4219212963</v>
      </c>
    </row>
    <row r="1534" spans="1:21">
      <c r="A1534" s="782">
        <v>44704</v>
      </c>
      <c r="B1534" s="783" t="s">
        <v>41</v>
      </c>
      <c r="C1534" s="783" t="s">
        <v>4092</v>
      </c>
      <c r="D1534" s="783" t="s">
        <v>4009</v>
      </c>
      <c r="E1534" s="783" t="s">
        <v>901</v>
      </c>
      <c r="F1534" s="783" t="s">
        <v>4011</v>
      </c>
      <c r="G1534" s="783" t="str">
        <f t="shared" si="84"/>
        <v>Renewal (15% in 2020)</v>
      </c>
      <c r="H1534" s="783" t="s">
        <v>4659</v>
      </c>
      <c r="I1534" s="783" t="s">
        <v>4660</v>
      </c>
      <c r="J1534" s="783">
        <v>15</v>
      </c>
      <c r="K1534" s="783" t="s">
        <v>27</v>
      </c>
      <c r="L1534" s="783" t="s">
        <v>4096</v>
      </c>
      <c r="M1534" s="784">
        <v>42280</v>
      </c>
      <c r="N1534" s="784">
        <v>30.2</v>
      </c>
      <c r="O1534" s="784">
        <v>3.5</v>
      </c>
      <c r="P1534" s="783">
        <v>400</v>
      </c>
      <c r="Q1534" s="783">
        <v>4409.8</v>
      </c>
      <c r="R1534" s="783">
        <v>1691.1</v>
      </c>
      <c r="S1534" s="783">
        <v>422.9</v>
      </c>
      <c r="T1534" s="783">
        <v>2295.8000000000002</v>
      </c>
      <c r="U1534" s="785">
        <v>44708.961261574099</v>
      </c>
    </row>
    <row r="1535" spans="1:21">
      <c r="A1535" s="782">
        <v>44698</v>
      </c>
      <c r="B1535" s="783" t="s">
        <v>4025</v>
      </c>
      <c r="C1535" s="783" t="s">
        <v>4052</v>
      </c>
      <c r="D1535" s="783" t="s">
        <v>4021</v>
      </c>
      <c r="E1535" s="783" t="s">
        <v>5756</v>
      </c>
      <c r="F1535" s="783" t="s">
        <v>4011</v>
      </c>
      <c r="G1535" s="783" t="str">
        <f t="shared" si="84"/>
        <v>New Contract</v>
      </c>
      <c r="H1535" s="783" t="s">
        <v>5757</v>
      </c>
      <c r="I1535" s="783" t="s">
        <v>5758</v>
      </c>
      <c r="J1535" s="783">
        <v>25</v>
      </c>
      <c r="K1535" s="783" t="s">
        <v>27</v>
      </c>
      <c r="L1535" s="783" t="s">
        <v>4096</v>
      </c>
      <c r="M1535" s="784">
        <v>46344.959999999999</v>
      </c>
      <c r="N1535" s="784">
        <v>34.56</v>
      </c>
      <c r="O1535" s="784">
        <v>2.98</v>
      </c>
      <c r="P1535" s="783">
        <v>450</v>
      </c>
      <c r="Q1535" s="783">
        <v>3429.53</v>
      </c>
      <c r="R1535" s="783">
        <v>2015.71</v>
      </c>
      <c r="S1535" s="783">
        <v>574.98</v>
      </c>
      <c r="T1535" s="783">
        <v>838.84</v>
      </c>
      <c r="U1535" s="785">
        <v>44699.597326388903</v>
      </c>
    </row>
    <row r="1536" spans="1:21">
      <c r="A1536" s="782">
        <v>44693</v>
      </c>
      <c r="B1536" s="783" t="s">
        <v>41</v>
      </c>
      <c r="C1536" s="783" t="s">
        <v>4092</v>
      </c>
      <c r="D1536" s="783" t="s">
        <v>4009</v>
      </c>
      <c r="E1536" s="783" t="s">
        <v>5759</v>
      </c>
      <c r="F1536" s="783" t="s">
        <v>4011</v>
      </c>
      <c r="G1536" s="783" t="str">
        <f t="shared" si="84"/>
        <v>Renewal (30% in 2020)</v>
      </c>
      <c r="H1536" s="783" t="s">
        <v>5760</v>
      </c>
      <c r="I1536" s="783" t="s">
        <v>5761</v>
      </c>
      <c r="J1536" s="783">
        <v>30</v>
      </c>
      <c r="K1536" s="783" t="s">
        <v>27</v>
      </c>
      <c r="L1536" s="783" t="s">
        <v>4096</v>
      </c>
      <c r="M1536" s="784">
        <v>55064.17</v>
      </c>
      <c r="N1536" s="784">
        <v>45.47</v>
      </c>
      <c r="O1536" s="784">
        <v>3.46</v>
      </c>
      <c r="P1536" s="783">
        <v>350</v>
      </c>
      <c r="Q1536" s="783">
        <v>2967.96</v>
      </c>
      <c r="R1536" s="783">
        <v>2219.09</v>
      </c>
      <c r="S1536" s="783">
        <v>0</v>
      </c>
      <c r="T1536" s="783">
        <v>748.87</v>
      </c>
      <c r="U1536" s="785">
        <v>44694.415046296301</v>
      </c>
    </row>
    <row r="1537" spans="1:21">
      <c r="A1537" s="782">
        <v>44694</v>
      </c>
      <c r="B1537" s="783" t="s">
        <v>41</v>
      </c>
      <c r="C1537" s="783" t="s">
        <v>4139</v>
      </c>
      <c r="D1537" s="783" t="s">
        <v>4009</v>
      </c>
      <c r="E1537" s="783" t="s">
        <v>6587</v>
      </c>
      <c r="F1537" s="783" t="s">
        <v>4011</v>
      </c>
      <c r="G1537" s="783" t="str">
        <f t="shared" si="84"/>
        <v>New Contract</v>
      </c>
      <c r="H1537" s="783" t="s">
        <v>6588</v>
      </c>
      <c r="I1537" s="783" t="s">
        <v>6589</v>
      </c>
      <c r="J1537" s="783">
        <v>15</v>
      </c>
      <c r="K1537" s="783" t="s">
        <v>27</v>
      </c>
      <c r="L1537" s="783" t="s">
        <v>4096</v>
      </c>
      <c r="M1537" s="784">
        <v>7585.12</v>
      </c>
      <c r="N1537" s="784">
        <v>8.9700000000000006</v>
      </c>
      <c r="O1537" s="784">
        <v>2.13</v>
      </c>
      <c r="P1537" s="783">
        <v>397</v>
      </c>
      <c r="Q1537" s="783">
        <v>1034.6099999999999</v>
      </c>
      <c r="R1537" s="783">
        <v>439.94</v>
      </c>
      <c r="S1537" s="783">
        <v>53.1</v>
      </c>
      <c r="T1537" s="783">
        <v>541.58000000000004</v>
      </c>
      <c r="U1537" s="785">
        <v>44694.5305324074</v>
      </c>
    </row>
    <row r="1538" spans="1:21">
      <c r="A1538" s="782">
        <v>44694</v>
      </c>
      <c r="B1538" s="783" t="s">
        <v>41</v>
      </c>
      <c r="C1538" s="783" t="s">
        <v>4139</v>
      </c>
      <c r="D1538" s="783" t="s">
        <v>4009</v>
      </c>
      <c r="E1538" s="783" t="s">
        <v>5762</v>
      </c>
      <c r="F1538" s="783" t="s">
        <v>4011</v>
      </c>
      <c r="G1538" s="783" t="str">
        <f t="shared" si="84"/>
        <v>Renewal (25% in 2020)</v>
      </c>
      <c r="H1538" s="783" t="s">
        <v>5763</v>
      </c>
      <c r="I1538" s="783" t="s">
        <v>5764</v>
      </c>
      <c r="J1538" s="783">
        <v>25</v>
      </c>
      <c r="K1538" s="783" t="s">
        <v>27</v>
      </c>
      <c r="L1538" s="783" t="s">
        <v>4096</v>
      </c>
      <c r="M1538" s="784">
        <v>62566.6</v>
      </c>
      <c r="N1538" s="784">
        <v>40.76</v>
      </c>
      <c r="O1538" s="784">
        <v>3.07</v>
      </c>
      <c r="P1538" s="783">
        <v>500</v>
      </c>
      <c r="Q1538" s="783">
        <v>5205.54</v>
      </c>
      <c r="R1538" s="783">
        <v>2881.32</v>
      </c>
      <c r="S1538" s="783">
        <v>1185.51</v>
      </c>
      <c r="T1538" s="783">
        <v>1138.71</v>
      </c>
      <c r="U1538" s="785">
        <v>44697.504097222198</v>
      </c>
    </row>
    <row r="1539" spans="1:21">
      <c r="A1539" s="782">
        <v>44698</v>
      </c>
      <c r="B1539" s="783" t="s">
        <v>74</v>
      </c>
      <c r="C1539" s="783" t="s">
        <v>4037</v>
      </c>
      <c r="D1539" s="783" t="s">
        <v>4038</v>
      </c>
      <c r="E1539" s="783" t="s">
        <v>4059</v>
      </c>
      <c r="F1539" s="783" t="s">
        <v>4011</v>
      </c>
      <c r="G1539" s="783" t="str">
        <f t="shared" si="84"/>
        <v>Renewal (25% in 2020)</v>
      </c>
      <c r="H1539" s="783" t="s">
        <v>4060</v>
      </c>
      <c r="I1539" s="783" t="s">
        <v>4061</v>
      </c>
      <c r="J1539" s="783">
        <v>25</v>
      </c>
      <c r="K1539" s="783" t="s">
        <v>27</v>
      </c>
      <c r="L1539" s="783" t="s">
        <v>4096</v>
      </c>
      <c r="M1539" s="784">
        <v>55339.35</v>
      </c>
      <c r="N1539" s="784">
        <v>30.49</v>
      </c>
      <c r="O1539" s="784">
        <v>3.63</v>
      </c>
      <c r="P1539" s="783">
        <v>500</v>
      </c>
      <c r="Q1539" s="783">
        <v>4797.92</v>
      </c>
      <c r="R1539" s="783">
        <v>1863.03</v>
      </c>
      <c r="S1539" s="783">
        <v>1518.2</v>
      </c>
      <c r="T1539" s="783">
        <v>1416.69</v>
      </c>
      <c r="U1539" s="785">
        <v>44700.469907407401</v>
      </c>
    </row>
    <row r="1540" spans="1:21">
      <c r="A1540" s="782">
        <v>44694</v>
      </c>
      <c r="B1540" s="783" t="s">
        <v>41</v>
      </c>
      <c r="C1540" s="783" t="s">
        <v>4139</v>
      </c>
      <c r="D1540" s="783" t="s">
        <v>4009</v>
      </c>
      <c r="E1540" s="783" t="s">
        <v>5768</v>
      </c>
      <c r="F1540" s="783" t="s">
        <v>4011</v>
      </c>
      <c r="G1540" s="783" t="str">
        <f t="shared" si="84"/>
        <v>Renewal (30% in 2020)</v>
      </c>
      <c r="H1540" s="783" t="s">
        <v>5769</v>
      </c>
      <c r="I1540" s="783" t="s">
        <v>5770</v>
      </c>
      <c r="J1540" s="783">
        <v>30</v>
      </c>
      <c r="K1540" s="783" t="s">
        <v>27</v>
      </c>
      <c r="L1540" s="783" t="s">
        <v>4096</v>
      </c>
      <c r="M1540" s="784">
        <v>42660</v>
      </c>
      <c r="N1540" s="784">
        <v>27</v>
      </c>
      <c r="O1540" s="784">
        <v>3.16</v>
      </c>
      <c r="P1540" s="783">
        <v>500</v>
      </c>
      <c r="Q1540" s="783">
        <v>3254.96</v>
      </c>
      <c r="R1540" s="783">
        <v>1964.58</v>
      </c>
      <c r="S1540" s="783">
        <v>509.7</v>
      </c>
      <c r="T1540" s="783">
        <v>780.68</v>
      </c>
      <c r="U1540" s="785">
        <v>44694.527847222198</v>
      </c>
    </row>
    <row r="1541" spans="1:21">
      <c r="A1541" s="782">
        <v>44696</v>
      </c>
      <c r="B1541" s="783" t="s">
        <v>41</v>
      </c>
      <c r="C1541" s="783" t="s">
        <v>4092</v>
      </c>
      <c r="D1541" s="783" t="s">
        <v>4009</v>
      </c>
      <c r="E1541" s="783" t="s">
        <v>2249</v>
      </c>
      <c r="F1541" s="783" t="s">
        <v>4011</v>
      </c>
      <c r="G1541" s="783" t="str">
        <f t="shared" si="84"/>
        <v>Renewal (30% in 2020)</v>
      </c>
      <c r="H1541" s="783" t="s">
        <v>5771</v>
      </c>
      <c r="I1541" s="783" t="s">
        <v>5772</v>
      </c>
      <c r="J1541" s="783">
        <v>30</v>
      </c>
      <c r="K1541" s="783" t="s">
        <v>27</v>
      </c>
      <c r="L1541" s="783" t="s">
        <v>4096</v>
      </c>
      <c r="M1541" s="784">
        <v>39272.730000000003</v>
      </c>
      <c r="N1541" s="784">
        <v>32.43</v>
      </c>
      <c r="O1541" s="784">
        <v>3.46</v>
      </c>
      <c r="P1541" s="783">
        <v>350</v>
      </c>
      <c r="Q1541" s="783">
        <v>2116.8000000000002</v>
      </c>
      <c r="R1541" s="783">
        <v>1582.69</v>
      </c>
      <c r="S1541" s="783">
        <v>0</v>
      </c>
      <c r="T1541" s="783">
        <v>534.11</v>
      </c>
      <c r="U1541" s="785">
        <v>44697.411840277797</v>
      </c>
    </row>
    <row r="1542" spans="1:21">
      <c r="A1542" s="782">
        <v>44694</v>
      </c>
      <c r="B1542" s="783" t="s">
        <v>41</v>
      </c>
      <c r="C1542" s="783" t="s">
        <v>4082</v>
      </c>
      <c r="D1542" s="783" t="s">
        <v>4009</v>
      </c>
      <c r="E1542" s="783" t="s">
        <v>5773</v>
      </c>
      <c r="F1542" s="783" t="s">
        <v>4011</v>
      </c>
      <c r="G1542" s="783" t="str">
        <f t="shared" si="84"/>
        <v>Renewal (15% in 2020)</v>
      </c>
      <c r="H1542" s="783" t="s">
        <v>5774</v>
      </c>
      <c r="I1542" s="783" t="s">
        <v>5775</v>
      </c>
      <c r="J1542" s="783">
        <v>15</v>
      </c>
      <c r="K1542" s="783" t="s">
        <v>27</v>
      </c>
      <c r="L1542" s="783" t="s">
        <v>4096</v>
      </c>
      <c r="M1542" s="784">
        <v>23121.279999999999</v>
      </c>
      <c r="N1542" s="784">
        <v>18.2</v>
      </c>
      <c r="O1542" s="784">
        <v>3.2</v>
      </c>
      <c r="P1542" s="783">
        <v>397</v>
      </c>
      <c r="Q1542" s="783">
        <v>2453.17</v>
      </c>
      <c r="R1542" s="783">
        <v>938.72</v>
      </c>
      <c r="S1542" s="783">
        <v>231.21</v>
      </c>
      <c r="T1542" s="783">
        <v>1283.23</v>
      </c>
      <c r="U1542" s="785">
        <v>44694.730231481502</v>
      </c>
    </row>
    <row r="1543" spans="1:21">
      <c r="A1543" s="782">
        <v>44698</v>
      </c>
      <c r="B1543" s="783" t="s">
        <v>41</v>
      </c>
      <c r="C1543" s="783" t="s">
        <v>4082</v>
      </c>
      <c r="D1543" s="783" t="s">
        <v>4009</v>
      </c>
      <c r="E1543" s="783" t="s">
        <v>4661</v>
      </c>
      <c r="F1543" s="783" t="s">
        <v>4011</v>
      </c>
      <c r="G1543" s="783" t="str">
        <f t="shared" si="84"/>
        <v>Renewal (15% in 2020)</v>
      </c>
      <c r="H1543" s="783" t="s">
        <v>4662</v>
      </c>
      <c r="I1543" s="783" t="s">
        <v>4663</v>
      </c>
      <c r="J1543" s="783">
        <v>15</v>
      </c>
      <c r="K1543" s="783" t="s">
        <v>27</v>
      </c>
      <c r="L1543" s="783" t="s">
        <v>4096</v>
      </c>
      <c r="M1543" s="784">
        <v>16215.55</v>
      </c>
      <c r="N1543" s="784">
        <v>12.96</v>
      </c>
      <c r="O1543" s="784">
        <v>3.68</v>
      </c>
      <c r="P1543" s="783">
        <v>340</v>
      </c>
      <c r="Q1543" s="783">
        <v>1720.47</v>
      </c>
      <c r="R1543" s="783">
        <v>658.35</v>
      </c>
      <c r="S1543" s="783">
        <v>162.16</v>
      </c>
      <c r="T1543" s="783">
        <v>899.96</v>
      </c>
      <c r="U1543" s="785">
        <v>44699.473240740699</v>
      </c>
    </row>
    <row r="1544" spans="1:21">
      <c r="A1544" s="782">
        <v>44697</v>
      </c>
      <c r="B1544" s="783" t="s">
        <v>41</v>
      </c>
      <c r="C1544" s="783" t="s">
        <v>4071</v>
      </c>
      <c r="D1544" s="783" t="s">
        <v>4009</v>
      </c>
      <c r="E1544" s="783" t="s">
        <v>5784</v>
      </c>
      <c r="F1544" s="783" t="s">
        <v>4011</v>
      </c>
      <c r="G1544" s="783" t="str">
        <f t="shared" si="84"/>
        <v>Renewal (20% in 2020)</v>
      </c>
      <c r="H1544" s="783" t="s">
        <v>5785</v>
      </c>
      <c r="I1544" s="783" t="s">
        <v>5786</v>
      </c>
      <c r="J1544" s="783">
        <v>20</v>
      </c>
      <c r="K1544" s="783" t="s">
        <v>27</v>
      </c>
      <c r="L1544" s="783" t="s">
        <v>4096</v>
      </c>
      <c r="M1544" s="784">
        <v>32839.919999999998</v>
      </c>
      <c r="N1544" s="784">
        <v>26.83</v>
      </c>
      <c r="O1544" s="784">
        <v>2.72</v>
      </c>
      <c r="P1544" s="783">
        <v>450</v>
      </c>
      <c r="Q1544" s="783">
        <v>2860.36</v>
      </c>
      <c r="R1544" s="783">
        <v>1390.66</v>
      </c>
      <c r="S1544" s="783">
        <v>379.41</v>
      </c>
      <c r="T1544" s="783">
        <v>1090.29</v>
      </c>
      <c r="U1544" s="785">
        <v>44699.484548611101</v>
      </c>
    </row>
    <row r="1545" spans="1:21">
      <c r="A1545" s="782">
        <v>44697</v>
      </c>
      <c r="B1545" s="783" t="s">
        <v>41</v>
      </c>
      <c r="C1545" s="783" t="s">
        <v>4071</v>
      </c>
      <c r="D1545" s="783" t="s">
        <v>4009</v>
      </c>
      <c r="E1545" s="783" t="s">
        <v>5790</v>
      </c>
      <c r="F1545" s="783" t="s">
        <v>4011</v>
      </c>
      <c r="G1545" s="783" t="s">
        <v>4028</v>
      </c>
      <c r="H1545" s="783" t="s">
        <v>5791</v>
      </c>
      <c r="I1545" s="783" t="s">
        <v>5792</v>
      </c>
      <c r="J1545" s="783">
        <v>25</v>
      </c>
      <c r="K1545" s="783" t="s">
        <v>27</v>
      </c>
      <c r="L1545" s="783" t="s">
        <v>4096</v>
      </c>
      <c r="M1545" s="784">
        <v>16605.91</v>
      </c>
      <c r="N1545" s="784">
        <v>12.95</v>
      </c>
      <c r="O1545" s="784">
        <v>3.23</v>
      </c>
      <c r="P1545" s="783">
        <v>397</v>
      </c>
      <c r="Q1545" s="783">
        <v>1150.79</v>
      </c>
      <c r="R1545" s="783">
        <v>797.08</v>
      </c>
      <c r="S1545" s="783">
        <v>97.97</v>
      </c>
      <c r="T1545" s="783">
        <v>255.73</v>
      </c>
      <c r="U1545" s="785">
        <v>44699.412476851903</v>
      </c>
    </row>
    <row r="1546" spans="1:21">
      <c r="A1546" s="782">
        <v>44698</v>
      </c>
      <c r="B1546" s="783" t="s">
        <v>41</v>
      </c>
      <c r="C1546" s="783" t="s">
        <v>4092</v>
      </c>
      <c r="D1546" s="783" t="s">
        <v>4009</v>
      </c>
      <c r="E1546" s="783" t="s">
        <v>597</v>
      </c>
      <c r="F1546" s="783" t="s">
        <v>4011</v>
      </c>
      <c r="G1546" s="783" t="str">
        <f t="shared" ref="G1546:G1553" si="85">VLOOKUP(I1546,pacage,2,FALSE)</f>
        <v>Renewal (15% in 2020)</v>
      </c>
      <c r="H1546" s="783" t="s">
        <v>5793</v>
      </c>
      <c r="I1546" s="783" t="s">
        <v>5794</v>
      </c>
      <c r="J1546" s="783">
        <v>15</v>
      </c>
      <c r="K1546" s="783" t="s">
        <v>27</v>
      </c>
      <c r="L1546" s="783" t="s">
        <v>4096</v>
      </c>
      <c r="M1546" s="784">
        <v>54378.239999999998</v>
      </c>
      <c r="N1546" s="784">
        <v>38.08</v>
      </c>
      <c r="O1546" s="784">
        <v>3.4</v>
      </c>
      <c r="P1546" s="783">
        <v>420</v>
      </c>
      <c r="Q1546" s="783">
        <v>5671.65</v>
      </c>
      <c r="R1546" s="783">
        <v>2071.44</v>
      </c>
      <c r="S1546" s="783">
        <v>647.48</v>
      </c>
      <c r="T1546" s="783">
        <v>2952.74</v>
      </c>
      <c r="U1546" s="785">
        <v>44699.496608796297</v>
      </c>
    </row>
    <row r="1547" spans="1:21">
      <c r="A1547" s="782">
        <v>44707</v>
      </c>
      <c r="B1547" s="783" t="s">
        <v>41</v>
      </c>
      <c r="C1547" s="783" t="s">
        <v>4082</v>
      </c>
      <c r="D1547" s="783" t="s">
        <v>4009</v>
      </c>
      <c r="E1547" s="783" t="s">
        <v>4664</v>
      </c>
      <c r="F1547" s="783" t="s">
        <v>4011</v>
      </c>
      <c r="G1547" s="783" t="str">
        <f t="shared" si="85"/>
        <v>Renewal (30% in 2020)</v>
      </c>
      <c r="H1547" s="783" t="s">
        <v>4665</v>
      </c>
      <c r="I1547" s="783" t="s">
        <v>4666</v>
      </c>
      <c r="J1547" s="783">
        <v>30</v>
      </c>
      <c r="K1547" s="783" t="s">
        <v>27</v>
      </c>
      <c r="L1547" s="783" t="s">
        <v>4096</v>
      </c>
      <c r="M1547" s="784">
        <v>28749.15</v>
      </c>
      <c r="N1547" s="784">
        <v>24.8</v>
      </c>
      <c r="O1547" s="784">
        <v>2.92</v>
      </c>
      <c r="P1547" s="783">
        <v>397</v>
      </c>
      <c r="Q1547" s="783">
        <v>1575.45</v>
      </c>
      <c r="R1547" s="783">
        <v>1167.22</v>
      </c>
      <c r="S1547" s="783">
        <v>0</v>
      </c>
      <c r="T1547" s="783">
        <v>408.24</v>
      </c>
      <c r="U1547" s="785">
        <v>44708.584884259297</v>
      </c>
    </row>
    <row r="1548" spans="1:21">
      <c r="A1548" s="782">
        <v>44698</v>
      </c>
      <c r="B1548" s="783" t="s">
        <v>65</v>
      </c>
      <c r="C1548" s="783" t="s">
        <v>4244</v>
      </c>
      <c r="D1548" s="783" t="s">
        <v>4102</v>
      </c>
      <c r="E1548" s="783" t="s">
        <v>3778</v>
      </c>
      <c r="F1548" s="783" t="s">
        <v>4011</v>
      </c>
      <c r="G1548" s="783" t="str">
        <f t="shared" si="85"/>
        <v>Renewal (20% in 2020)</v>
      </c>
      <c r="H1548" s="783" t="s">
        <v>5795</v>
      </c>
      <c r="I1548" s="783" t="s">
        <v>5796</v>
      </c>
      <c r="J1548" s="783">
        <v>20</v>
      </c>
      <c r="K1548" s="783" t="s">
        <v>27</v>
      </c>
      <c r="L1548" s="783" t="s">
        <v>4096</v>
      </c>
      <c r="M1548" s="784">
        <v>26818.85</v>
      </c>
      <c r="N1548" s="784">
        <v>15.06</v>
      </c>
      <c r="O1548" s="784">
        <v>4.24</v>
      </c>
      <c r="P1548" s="783">
        <v>420</v>
      </c>
      <c r="Q1548" s="783">
        <v>2105.2800000000002</v>
      </c>
      <c r="R1548" s="783">
        <v>1044.43</v>
      </c>
      <c r="S1548" s="783">
        <v>213.38</v>
      </c>
      <c r="T1548" s="783">
        <v>847.48</v>
      </c>
      <c r="U1548" s="785">
        <v>44699.596053240697</v>
      </c>
    </row>
    <row r="1549" spans="1:21">
      <c r="A1549" s="782">
        <v>44699</v>
      </c>
      <c r="B1549" s="783" t="s">
        <v>74</v>
      </c>
      <c r="C1549" s="783" t="s">
        <v>4097</v>
      </c>
      <c r="D1549" s="783" t="s">
        <v>4038</v>
      </c>
      <c r="E1549" s="783" t="s">
        <v>5797</v>
      </c>
      <c r="F1549" s="783" t="s">
        <v>4011</v>
      </c>
      <c r="G1549" s="783" t="str">
        <f t="shared" si="85"/>
        <v>Renewal (15% in 2020)</v>
      </c>
      <c r="H1549" s="783" t="s">
        <v>5798</v>
      </c>
      <c r="I1549" s="783" t="s">
        <v>5799</v>
      </c>
      <c r="J1549" s="783">
        <v>15</v>
      </c>
      <c r="K1549" s="783" t="s">
        <v>27</v>
      </c>
      <c r="L1549" s="783" t="s">
        <v>4096</v>
      </c>
      <c r="M1549" s="784">
        <v>15243.5</v>
      </c>
      <c r="N1549" s="784">
        <v>13.99</v>
      </c>
      <c r="O1549" s="784">
        <v>2.27</v>
      </c>
      <c r="P1549" s="783">
        <v>480</v>
      </c>
      <c r="Q1549" s="783">
        <v>1710.32</v>
      </c>
      <c r="R1549" s="783">
        <v>466.48</v>
      </c>
      <c r="S1549" s="783">
        <v>312.45999999999998</v>
      </c>
      <c r="T1549" s="783">
        <v>931.38</v>
      </c>
      <c r="U1549" s="785">
        <v>44700.537696759297</v>
      </c>
    </row>
    <row r="1550" spans="1:21">
      <c r="A1550" s="782">
        <v>44698</v>
      </c>
      <c r="B1550" s="783" t="s">
        <v>30</v>
      </c>
      <c r="C1550" s="783" t="s">
        <v>4239</v>
      </c>
      <c r="D1550" s="783" t="s">
        <v>4021</v>
      </c>
      <c r="E1550" s="783" t="s">
        <v>5800</v>
      </c>
      <c r="F1550" s="783" t="s">
        <v>4011</v>
      </c>
      <c r="G1550" s="783" t="str">
        <f t="shared" si="85"/>
        <v>Renewal (20% in 2020)</v>
      </c>
      <c r="H1550" s="783" t="s">
        <v>5801</v>
      </c>
      <c r="I1550" s="783" t="s">
        <v>5802</v>
      </c>
      <c r="J1550" s="783">
        <v>20</v>
      </c>
      <c r="K1550" s="783" t="s">
        <v>27</v>
      </c>
      <c r="L1550" s="783" t="s">
        <v>4096</v>
      </c>
      <c r="M1550" s="784">
        <v>8403.2199999999993</v>
      </c>
      <c r="N1550" s="784">
        <v>6.22</v>
      </c>
      <c r="O1550" s="784">
        <v>3.86</v>
      </c>
      <c r="P1550" s="783">
        <v>350</v>
      </c>
      <c r="Q1550" s="783">
        <v>737.8</v>
      </c>
      <c r="R1550" s="783">
        <v>333.61</v>
      </c>
      <c r="S1550" s="783">
        <v>108.4</v>
      </c>
      <c r="T1550" s="783">
        <v>295.79000000000002</v>
      </c>
      <c r="U1550" s="785">
        <v>44699.487800925897</v>
      </c>
    </row>
    <row r="1551" spans="1:21">
      <c r="A1551" s="782">
        <v>44708</v>
      </c>
      <c r="B1551" s="783" t="s">
        <v>4025</v>
      </c>
      <c r="C1551" s="783" t="s">
        <v>4026</v>
      </c>
      <c r="D1551" s="783" t="s">
        <v>4021</v>
      </c>
      <c r="E1551" s="783" t="s">
        <v>5809</v>
      </c>
      <c r="F1551" s="783" t="s">
        <v>4011</v>
      </c>
      <c r="G1551" s="783" t="str">
        <f t="shared" si="85"/>
        <v>New Contract</v>
      </c>
      <c r="H1551" s="783" t="s">
        <v>5810</v>
      </c>
      <c r="I1551" s="783" t="s">
        <v>5811</v>
      </c>
      <c r="J1551" s="783">
        <v>20</v>
      </c>
      <c r="K1551" s="783" t="s">
        <v>27</v>
      </c>
      <c r="L1551" s="783" t="s">
        <v>4096</v>
      </c>
      <c r="M1551" s="784">
        <v>34465.5</v>
      </c>
      <c r="N1551" s="784">
        <v>20.7</v>
      </c>
      <c r="O1551" s="784">
        <v>3.33</v>
      </c>
      <c r="P1551" s="783">
        <v>500</v>
      </c>
      <c r="Q1551" s="783">
        <v>2291.96</v>
      </c>
      <c r="R1551" s="783">
        <v>804.55</v>
      </c>
      <c r="S1551" s="783">
        <v>553.39</v>
      </c>
      <c r="T1551" s="783">
        <v>934.02</v>
      </c>
      <c r="U1551" s="785">
        <v>44711.518043981501</v>
      </c>
    </row>
    <row r="1552" spans="1:21">
      <c r="A1552" s="782">
        <v>44705</v>
      </c>
      <c r="B1552" s="783" t="s">
        <v>51</v>
      </c>
      <c r="C1552" s="783" t="s">
        <v>4015</v>
      </c>
      <c r="D1552" s="783" t="s">
        <v>4016</v>
      </c>
      <c r="E1552" s="783" t="s">
        <v>5812</v>
      </c>
      <c r="F1552" s="783" t="s">
        <v>4011</v>
      </c>
      <c r="G1552" s="783" t="str">
        <f t="shared" si="85"/>
        <v>Renewal (20% in 2020)</v>
      </c>
      <c r="H1552" s="783" t="s">
        <v>5813</v>
      </c>
      <c r="I1552" s="783" t="s">
        <v>5814</v>
      </c>
      <c r="J1552" s="783">
        <v>20</v>
      </c>
      <c r="K1552" s="783" t="s">
        <v>27</v>
      </c>
      <c r="L1552" s="783" t="s">
        <v>4096</v>
      </c>
      <c r="M1552" s="784">
        <v>30940.99</v>
      </c>
      <c r="N1552" s="784">
        <v>24.9</v>
      </c>
      <c r="O1552" s="784">
        <v>3.13</v>
      </c>
      <c r="P1552" s="783">
        <v>397</v>
      </c>
      <c r="Q1552" s="783">
        <v>2639.27</v>
      </c>
      <c r="R1552" s="783">
        <v>1345.93</v>
      </c>
      <c r="S1552" s="783">
        <v>201.12</v>
      </c>
      <c r="T1552" s="783">
        <v>1092.22</v>
      </c>
      <c r="U1552" s="785">
        <v>44708.703946759299</v>
      </c>
    </row>
    <row r="1553" spans="1:21">
      <c r="A1553" s="782">
        <v>44699</v>
      </c>
      <c r="B1553" s="783" t="s">
        <v>397</v>
      </c>
      <c r="C1553" s="783" t="s">
        <v>4511</v>
      </c>
      <c r="D1553" s="783" t="s">
        <v>4512</v>
      </c>
      <c r="E1553" s="783"/>
      <c r="F1553" s="783" t="s">
        <v>4011</v>
      </c>
      <c r="G1553" s="783" t="str">
        <f t="shared" si="85"/>
        <v>Renewal (15% in 2020)</v>
      </c>
      <c r="H1553" s="783" t="s">
        <v>4667</v>
      </c>
      <c r="I1553" s="783" t="s">
        <v>4668</v>
      </c>
      <c r="J1553" s="783">
        <v>25</v>
      </c>
      <c r="K1553" s="783" t="s">
        <v>27</v>
      </c>
      <c r="L1553" s="783" t="s">
        <v>4096</v>
      </c>
      <c r="M1553" s="784">
        <v>11510.4</v>
      </c>
      <c r="N1553" s="784">
        <v>8.7200000000000006</v>
      </c>
      <c r="O1553" s="784">
        <v>2.2000000000000002</v>
      </c>
      <c r="P1553" s="783">
        <v>600</v>
      </c>
      <c r="Q1553" s="783">
        <v>894.36</v>
      </c>
      <c r="R1553" s="783">
        <v>316.07</v>
      </c>
      <c r="S1553" s="783">
        <v>334.27</v>
      </c>
      <c r="T1553" s="783">
        <v>244.02</v>
      </c>
      <c r="U1553" s="785">
        <v>44699.471782407403</v>
      </c>
    </row>
    <row r="1554" spans="1:21">
      <c r="A1554" s="782">
        <v>44699</v>
      </c>
      <c r="B1554" s="783" t="s">
        <v>34</v>
      </c>
      <c r="C1554" s="783" t="s">
        <v>4139</v>
      </c>
      <c r="D1554" s="783" t="s">
        <v>4009</v>
      </c>
      <c r="E1554" s="783" t="s">
        <v>4669</v>
      </c>
      <c r="F1554" s="783" t="s">
        <v>4011</v>
      </c>
      <c r="G1554" s="783" t="s">
        <v>4028</v>
      </c>
      <c r="H1554" s="783" t="s">
        <v>4670</v>
      </c>
      <c r="I1554" s="783" t="s">
        <v>4671</v>
      </c>
      <c r="J1554" s="783">
        <v>25</v>
      </c>
      <c r="K1554" s="783" t="s">
        <v>27</v>
      </c>
      <c r="L1554" s="783" t="s">
        <v>4096</v>
      </c>
      <c r="M1554" s="784">
        <v>32866.519999999997</v>
      </c>
      <c r="N1554" s="784">
        <v>25.24</v>
      </c>
      <c r="O1554" s="784">
        <v>3.28</v>
      </c>
      <c r="P1554" s="783">
        <v>397</v>
      </c>
      <c r="Q1554" s="783">
        <v>2734.49</v>
      </c>
      <c r="R1554" s="783">
        <v>1906.26</v>
      </c>
      <c r="S1554" s="783">
        <v>230.07</v>
      </c>
      <c r="T1554" s="783">
        <v>598.16999999999996</v>
      </c>
      <c r="U1554" s="785">
        <v>44699.470520833303</v>
      </c>
    </row>
    <row r="1555" spans="1:21">
      <c r="A1555" s="782">
        <v>44699</v>
      </c>
      <c r="B1555" s="783" t="s">
        <v>41</v>
      </c>
      <c r="C1555" s="783" t="s">
        <v>4139</v>
      </c>
      <c r="D1555" s="783" t="s">
        <v>4009</v>
      </c>
      <c r="E1555" s="783" t="s">
        <v>5821</v>
      </c>
      <c r="F1555" s="783" t="s">
        <v>4011</v>
      </c>
      <c r="G1555" s="783" t="str">
        <f>VLOOKUP(I1555,pacage,2,FALSE)</f>
        <v>Renewal (15% in 2020)</v>
      </c>
      <c r="H1555" s="783" t="s">
        <v>5822</v>
      </c>
      <c r="I1555" s="783" t="s">
        <v>5823</v>
      </c>
      <c r="J1555" s="783">
        <v>15</v>
      </c>
      <c r="K1555" s="783" t="s">
        <v>27</v>
      </c>
      <c r="L1555" s="783" t="s">
        <v>4096</v>
      </c>
      <c r="M1555" s="784">
        <v>27029.1</v>
      </c>
      <c r="N1555" s="784">
        <v>14.77</v>
      </c>
      <c r="O1555" s="784">
        <v>3.66</v>
      </c>
      <c r="P1555" s="783">
        <v>500</v>
      </c>
      <c r="Q1555" s="783">
        <v>3686.77</v>
      </c>
      <c r="R1555" s="783">
        <v>1244.74</v>
      </c>
      <c r="S1555" s="783">
        <v>512.15</v>
      </c>
      <c r="T1555" s="783">
        <v>1929.88</v>
      </c>
      <c r="U1555" s="785">
        <v>44700.527256944399</v>
      </c>
    </row>
    <row r="1556" spans="1:21">
      <c r="A1556" s="782">
        <v>44431</v>
      </c>
      <c r="B1556" s="783" t="s">
        <v>41</v>
      </c>
      <c r="C1556" s="783" t="s">
        <v>4121</v>
      </c>
      <c r="D1556" s="783" t="s">
        <v>4009</v>
      </c>
      <c r="E1556" s="783" t="s">
        <v>4171</v>
      </c>
      <c r="F1556" s="783" t="s">
        <v>4011</v>
      </c>
      <c r="G1556" s="783" t="str">
        <f>VLOOKUP(I1556,pacage,2,FALSE)</f>
        <v>Renewal (15% in 2020)</v>
      </c>
      <c r="H1556" s="783" t="s">
        <v>4172</v>
      </c>
      <c r="I1556" s="783" t="s">
        <v>4173</v>
      </c>
      <c r="J1556" s="783">
        <v>15</v>
      </c>
      <c r="K1556" s="783" t="s">
        <v>27</v>
      </c>
      <c r="L1556" s="783" t="s">
        <v>4096</v>
      </c>
      <c r="M1556" s="784">
        <v>12973.88</v>
      </c>
      <c r="N1556" s="784">
        <v>11.93</v>
      </c>
      <c r="O1556" s="784">
        <v>2.9</v>
      </c>
      <c r="P1556" s="783">
        <v>375</v>
      </c>
      <c r="Q1556" s="783">
        <v>1647.68</v>
      </c>
      <c r="R1556" s="783">
        <v>586.41999999999996</v>
      </c>
      <c r="S1556" s="783">
        <v>179.04</v>
      </c>
      <c r="T1556" s="783">
        <v>882.22</v>
      </c>
      <c r="U1556" s="785">
        <v>44655.421481481499</v>
      </c>
    </row>
    <row r="1557" spans="1:21">
      <c r="A1557" s="782">
        <v>44655</v>
      </c>
      <c r="B1557" s="783" t="s">
        <v>41</v>
      </c>
      <c r="C1557" s="783" t="s">
        <v>4139</v>
      </c>
      <c r="D1557" s="783" t="s">
        <v>4009</v>
      </c>
      <c r="E1557" s="783" t="s">
        <v>5824</v>
      </c>
      <c r="F1557" s="783" t="s">
        <v>4011</v>
      </c>
      <c r="G1557" s="783" t="str">
        <f>VLOOKUP(I1557,pacage,2,FALSE)</f>
        <v>Renewal (25% in 2020)</v>
      </c>
      <c r="H1557" s="783" t="s">
        <v>5825</v>
      </c>
      <c r="I1557" s="783" t="s">
        <v>5826</v>
      </c>
      <c r="J1557" s="783">
        <v>25</v>
      </c>
      <c r="K1557" s="783" t="s">
        <v>27</v>
      </c>
      <c r="L1557" s="783" t="s">
        <v>4096</v>
      </c>
      <c r="M1557" s="784">
        <v>6942.94</v>
      </c>
      <c r="N1557" s="784">
        <v>6.03</v>
      </c>
      <c r="O1557" s="784">
        <v>3.03</v>
      </c>
      <c r="P1557" s="783">
        <v>380</v>
      </c>
      <c r="Q1557" s="783">
        <v>577.65</v>
      </c>
      <c r="R1557" s="783">
        <v>402.69</v>
      </c>
      <c r="S1557" s="783">
        <v>48.6</v>
      </c>
      <c r="T1557" s="783">
        <v>126.36</v>
      </c>
      <c r="U1557" s="785">
        <v>44657.6264814815</v>
      </c>
    </row>
    <row r="1558" spans="1:21">
      <c r="A1558" s="782">
        <v>44655</v>
      </c>
      <c r="B1558" s="783" t="s">
        <v>30</v>
      </c>
      <c r="C1558" s="783" t="s">
        <v>5213</v>
      </c>
      <c r="D1558" s="783" t="s">
        <v>4021</v>
      </c>
      <c r="E1558" s="783" t="s">
        <v>2583</v>
      </c>
      <c r="F1558" s="783" t="s">
        <v>4011</v>
      </c>
      <c r="G1558" s="783" t="str">
        <f>VLOOKUP(I1558,pacage,2,FALSE)</f>
        <v>Renewal (25% in 2020)</v>
      </c>
      <c r="H1558" s="783" t="s">
        <v>5827</v>
      </c>
      <c r="I1558" s="783" t="s">
        <v>5828</v>
      </c>
      <c r="J1558" s="783">
        <v>25</v>
      </c>
      <c r="K1558" s="783" t="s">
        <v>27</v>
      </c>
      <c r="L1558" s="783" t="s">
        <v>4096</v>
      </c>
      <c r="M1558" s="784">
        <v>14740.61</v>
      </c>
      <c r="N1558" s="784">
        <v>9.4</v>
      </c>
      <c r="O1558" s="784">
        <v>3.95</v>
      </c>
      <c r="P1558" s="783">
        <v>397</v>
      </c>
      <c r="Q1558" s="783">
        <v>975.83</v>
      </c>
      <c r="R1558" s="783">
        <v>551.29999999999995</v>
      </c>
      <c r="S1558" s="783">
        <v>176.89</v>
      </c>
      <c r="T1558" s="783">
        <v>247.64</v>
      </c>
      <c r="U1558" s="785">
        <v>44655.680069444403</v>
      </c>
    </row>
    <row r="1559" spans="1:21">
      <c r="A1559" s="782">
        <v>44658</v>
      </c>
      <c r="B1559" s="783" t="s">
        <v>30</v>
      </c>
      <c r="C1559" s="783" t="s">
        <v>4026</v>
      </c>
      <c r="D1559" s="783" t="s">
        <v>4021</v>
      </c>
      <c r="E1559" s="783" t="s">
        <v>5836</v>
      </c>
      <c r="F1559" s="783" t="s">
        <v>4011</v>
      </c>
      <c r="G1559" s="783" t="str">
        <f>VLOOKUP(I1559,pacage,2,FALSE)</f>
        <v>Renewal (15% in 2020)</v>
      </c>
      <c r="H1559" s="783" t="s">
        <v>5837</v>
      </c>
      <c r="I1559" s="783" t="s">
        <v>5838</v>
      </c>
      <c r="J1559" s="783">
        <v>15</v>
      </c>
      <c r="K1559" s="783" t="s">
        <v>27</v>
      </c>
      <c r="L1559" s="783" t="s">
        <v>4096</v>
      </c>
      <c r="M1559" s="784">
        <v>11681.73</v>
      </c>
      <c r="N1559" s="784">
        <v>13.75</v>
      </c>
      <c r="O1559" s="784">
        <v>2.14</v>
      </c>
      <c r="P1559" s="783">
        <v>397</v>
      </c>
      <c r="Q1559" s="783">
        <v>1002.29</v>
      </c>
      <c r="R1559" s="783">
        <v>343.44</v>
      </c>
      <c r="S1559" s="783">
        <v>116.82</v>
      </c>
      <c r="T1559" s="783">
        <v>542.03</v>
      </c>
      <c r="U1559" s="785">
        <v>44659.415300925903</v>
      </c>
    </row>
    <row r="1560" spans="1:21">
      <c r="A1560" s="782">
        <v>44698</v>
      </c>
      <c r="B1560" s="783" t="s">
        <v>51</v>
      </c>
      <c r="C1560" s="783" t="s">
        <v>4015</v>
      </c>
      <c r="D1560" s="783" t="s">
        <v>4016</v>
      </c>
      <c r="E1560" s="783" t="s">
        <v>4062</v>
      </c>
      <c r="F1560" s="783" t="s">
        <v>4011</v>
      </c>
      <c r="G1560" s="783" t="s">
        <v>4028</v>
      </c>
      <c r="H1560" s="783" t="s">
        <v>4063</v>
      </c>
      <c r="I1560" s="783" t="s">
        <v>4064</v>
      </c>
      <c r="J1560" s="783">
        <v>25</v>
      </c>
      <c r="K1560" s="783" t="s">
        <v>27</v>
      </c>
      <c r="L1560" s="783" t="s">
        <v>4096</v>
      </c>
      <c r="M1560" s="784">
        <v>54212.09</v>
      </c>
      <c r="N1560" s="784">
        <v>37.53</v>
      </c>
      <c r="O1560" s="784">
        <v>3.21</v>
      </c>
      <c r="P1560" s="783">
        <v>450</v>
      </c>
      <c r="Q1560" s="783">
        <v>3729.79</v>
      </c>
      <c r="R1560" s="783">
        <v>2080.48</v>
      </c>
      <c r="S1560" s="783">
        <v>630.13</v>
      </c>
      <c r="T1560" s="783">
        <v>1019.19</v>
      </c>
      <c r="U1560" s="785">
        <v>44699.493541666699</v>
      </c>
    </row>
    <row r="1561" spans="1:21">
      <c r="A1561" s="782">
        <v>44660</v>
      </c>
      <c r="B1561" s="783" t="s">
        <v>30</v>
      </c>
      <c r="C1561" s="783" t="s">
        <v>4089</v>
      </c>
      <c r="D1561" s="783" t="s">
        <v>4021</v>
      </c>
      <c r="E1561" s="783" t="s">
        <v>5845</v>
      </c>
      <c r="F1561" s="783" t="s">
        <v>4011</v>
      </c>
      <c r="G1561" s="783" t="str">
        <f t="shared" ref="G1561:G1585" si="86">VLOOKUP(I1561,pacage,2,FALSE)</f>
        <v>Renewal (30% in 2020)</v>
      </c>
      <c r="H1561" s="783" t="s">
        <v>5846</v>
      </c>
      <c r="I1561" s="783" t="s">
        <v>5847</v>
      </c>
      <c r="J1561" s="783">
        <v>30</v>
      </c>
      <c r="K1561" s="783" t="s">
        <v>27</v>
      </c>
      <c r="L1561" s="783" t="s">
        <v>4096</v>
      </c>
      <c r="M1561" s="784">
        <v>52637.27</v>
      </c>
      <c r="N1561" s="784">
        <v>31.15</v>
      </c>
      <c r="O1561" s="784">
        <v>3.4</v>
      </c>
      <c r="P1561" s="783">
        <v>497</v>
      </c>
      <c r="Q1561" s="783">
        <v>3152.97</v>
      </c>
      <c r="R1561" s="783">
        <v>1723.9</v>
      </c>
      <c r="S1561" s="783">
        <v>434.23</v>
      </c>
      <c r="T1561" s="783">
        <v>994.84</v>
      </c>
      <c r="U1561" s="785">
        <v>44663.426203703697</v>
      </c>
    </row>
    <row r="1562" spans="1:21">
      <c r="A1562" s="782">
        <v>44700</v>
      </c>
      <c r="B1562" s="783" t="s">
        <v>30</v>
      </c>
      <c r="C1562" s="783" t="s">
        <v>4239</v>
      </c>
      <c r="D1562" s="783" t="s">
        <v>4021</v>
      </c>
      <c r="E1562" s="783" t="s">
        <v>2043</v>
      </c>
      <c r="F1562" s="783" t="s">
        <v>4011</v>
      </c>
      <c r="G1562" s="783" t="str">
        <f t="shared" si="86"/>
        <v>Renewal (30% in 2020)</v>
      </c>
      <c r="H1562" s="783" t="s">
        <v>4240</v>
      </c>
      <c r="I1562" s="783" t="s">
        <v>4241</v>
      </c>
      <c r="J1562" s="783">
        <v>30</v>
      </c>
      <c r="K1562" s="783" t="s">
        <v>27</v>
      </c>
      <c r="L1562" s="783" t="s">
        <v>4096</v>
      </c>
      <c r="M1562" s="784">
        <v>35304.839999999997</v>
      </c>
      <c r="N1562" s="784">
        <v>25.29</v>
      </c>
      <c r="O1562" s="784">
        <v>3.49</v>
      </c>
      <c r="P1562" s="783">
        <v>400</v>
      </c>
      <c r="Q1562" s="783">
        <v>2037.09</v>
      </c>
      <c r="R1562" s="783">
        <v>1391.09</v>
      </c>
      <c r="S1562" s="783">
        <v>10.51</v>
      </c>
      <c r="T1562" s="783">
        <v>635.49</v>
      </c>
      <c r="U1562" s="785">
        <v>44700.716516203698</v>
      </c>
    </row>
    <row r="1563" spans="1:21">
      <c r="A1563" s="782">
        <v>44705</v>
      </c>
      <c r="B1563" s="783" t="s">
        <v>4025</v>
      </c>
      <c r="C1563" s="783" t="s">
        <v>4026</v>
      </c>
      <c r="D1563" s="783" t="s">
        <v>4021</v>
      </c>
      <c r="E1563" s="783" t="s">
        <v>1298</v>
      </c>
      <c r="F1563" s="783" t="s">
        <v>4011</v>
      </c>
      <c r="G1563" s="783" t="str">
        <f t="shared" si="86"/>
        <v>New Contract</v>
      </c>
      <c r="H1563" s="783" t="s">
        <v>5851</v>
      </c>
      <c r="I1563" s="783" t="s">
        <v>5852</v>
      </c>
      <c r="J1563" s="783">
        <v>20</v>
      </c>
      <c r="K1563" s="783" t="s">
        <v>27</v>
      </c>
      <c r="L1563" s="783" t="s">
        <v>4096</v>
      </c>
      <c r="M1563" s="784">
        <v>12858.3</v>
      </c>
      <c r="N1563" s="784">
        <v>9.42</v>
      </c>
      <c r="O1563" s="784">
        <v>2.73</v>
      </c>
      <c r="P1563" s="783">
        <v>500</v>
      </c>
      <c r="Q1563" s="783">
        <v>855.08</v>
      </c>
      <c r="R1563" s="783">
        <v>300.16000000000003</v>
      </c>
      <c r="S1563" s="783">
        <v>206.46</v>
      </c>
      <c r="T1563" s="783">
        <v>348.46</v>
      </c>
      <c r="U1563" s="785">
        <v>44708.834178240701</v>
      </c>
    </row>
    <row r="1564" spans="1:21">
      <c r="A1564" s="782">
        <v>44710</v>
      </c>
      <c r="B1564" s="783" t="s">
        <v>30</v>
      </c>
      <c r="C1564" s="783" t="s">
        <v>5213</v>
      </c>
      <c r="D1564" s="783" t="s">
        <v>4021</v>
      </c>
      <c r="E1564" s="783" t="s">
        <v>2600</v>
      </c>
      <c r="F1564" s="783" t="s">
        <v>4011</v>
      </c>
      <c r="G1564" s="783" t="str">
        <f t="shared" si="86"/>
        <v>Renewal (25% in 2020)</v>
      </c>
      <c r="H1564" s="783" t="s">
        <v>5856</v>
      </c>
      <c r="I1564" s="783" t="s">
        <v>5857</v>
      </c>
      <c r="J1564" s="783">
        <v>25</v>
      </c>
      <c r="K1564" s="783" t="s">
        <v>27</v>
      </c>
      <c r="L1564" s="783" t="s">
        <v>4096</v>
      </c>
      <c r="M1564" s="784">
        <v>26864.25</v>
      </c>
      <c r="N1564" s="784">
        <v>21.93</v>
      </c>
      <c r="O1564" s="784">
        <v>3.5</v>
      </c>
      <c r="P1564" s="783">
        <v>350</v>
      </c>
      <c r="Q1564" s="783">
        <v>1778.41</v>
      </c>
      <c r="R1564" s="783">
        <v>1004.72</v>
      </c>
      <c r="S1564" s="783">
        <v>322.37</v>
      </c>
      <c r="T1564" s="783">
        <v>451.32</v>
      </c>
      <c r="U1564" s="785">
        <v>44712.632511574098</v>
      </c>
    </row>
    <row r="1565" spans="1:21">
      <c r="A1565" s="782">
        <v>44710</v>
      </c>
      <c r="B1565" s="783" t="s">
        <v>4025</v>
      </c>
      <c r="C1565" s="783" t="s">
        <v>4026</v>
      </c>
      <c r="D1565" s="783" t="s">
        <v>4021</v>
      </c>
      <c r="E1565" s="783" t="s">
        <v>5858</v>
      </c>
      <c r="F1565" s="783" t="s">
        <v>4011</v>
      </c>
      <c r="G1565" s="783" t="str">
        <f t="shared" si="86"/>
        <v>New contract</v>
      </c>
      <c r="H1565" s="783" t="s">
        <v>5859</v>
      </c>
      <c r="I1565" s="783" t="s">
        <v>5860</v>
      </c>
      <c r="J1565" s="783">
        <v>25</v>
      </c>
      <c r="K1565" s="783" t="s">
        <v>27</v>
      </c>
      <c r="L1565" s="783" t="s">
        <v>4096</v>
      </c>
      <c r="M1565" s="784">
        <v>17251.560000000001</v>
      </c>
      <c r="N1565" s="784">
        <v>15.57</v>
      </c>
      <c r="O1565" s="784">
        <v>2.77</v>
      </c>
      <c r="P1565" s="783">
        <v>400</v>
      </c>
      <c r="Q1565" s="783">
        <v>922.96</v>
      </c>
      <c r="R1565" s="783">
        <v>503.39</v>
      </c>
      <c r="S1565" s="783">
        <v>176.32</v>
      </c>
      <c r="T1565" s="783">
        <v>243.25</v>
      </c>
      <c r="U1565" s="785">
        <v>44712.613923611098</v>
      </c>
    </row>
    <row r="1566" spans="1:21">
      <c r="A1566" s="782">
        <v>44709</v>
      </c>
      <c r="B1566" s="783" t="s">
        <v>51</v>
      </c>
      <c r="C1566" s="783" t="s">
        <v>4042</v>
      </c>
      <c r="D1566" s="783" t="s">
        <v>4016</v>
      </c>
      <c r="E1566" s="783" t="s">
        <v>5867</v>
      </c>
      <c r="F1566" s="783" t="s">
        <v>4011</v>
      </c>
      <c r="G1566" s="783" t="str">
        <f t="shared" si="86"/>
        <v>Renewal (25% in 2020)</v>
      </c>
      <c r="H1566" s="783" t="s">
        <v>5868</v>
      </c>
      <c r="I1566" s="783" t="s">
        <v>5869</v>
      </c>
      <c r="J1566" s="783">
        <v>25</v>
      </c>
      <c r="K1566" s="783" t="s">
        <v>27</v>
      </c>
      <c r="L1566" s="783" t="s">
        <v>4096</v>
      </c>
      <c r="M1566" s="784">
        <v>26752</v>
      </c>
      <c r="N1566" s="784">
        <v>22</v>
      </c>
      <c r="O1566" s="784">
        <v>3.2</v>
      </c>
      <c r="P1566" s="783">
        <v>380</v>
      </c>
      <c r="Q1566" s="783">
        <v>2054.5500000000002</v>
      </c>
      <c r="R1566" s="783">
        <v>1324.22</v>
      </c>
      <c r="S1566" s="783">
        <v>187.26</v>
      </c>
      <c r="T1566" s="783">
        <v>543.07000000000005</v>
      </c>
      <c r="U1566" s="785">
        <v>44711.659502314797</v>
      </c>
    </row>
    <row r="1567" spans="1:21">
      <c r="A1567" s="782">
        <v>44704</v>
      </c>
      <c r="B1567" s="783" t="s">
        <v>51</v>
      </c>
      <c r="C1567" s="783" t="s">
        <v>4042</v>
      </c>
      <c r="D1567" s="783" t="s">
        <v>4016</v>
      </c>
      <c r="E1567" s="783" t="s">
        <v>5870</v>
      </c>
      <c r="F1567" s="783" t="s">
        <v>4011</v>
      </c>
      <c r="G1567" s="783" t="str">
        <f t="shared" si="86"/>
        <v>Renewal (30% in 2020)</v>
      </c>
      <c r="H1567" s="783" t="s">
        <v>5871</v>
      </c>
      <c r="I1567" s="783" t="s">
        <v>5872</v>
      </c>
      <c r="J1567" s="783">
        <v>30</v>
      </c>
      <c r="K1567" s="783" t="s">
        <v>27</v>
      </c>
      <c r="L1567" s="783" t="s">
        <v>4096</v>
      </c>
      <c r="M1567" s="784">
        <v>41972</v>
      </c>
      <c r="N1567" s="784">
        <v>29.98</v>
      </c>
      <c r="O1567" s="784">
        <v>3.5</v>
      </c>
      <c r="P1567" s="783">
        <v>400</v>
      </c>
      <c r="Q1567" s="783">
        <v>2929.65</v>
      </c>
      <c r="R1567" s="783">
        <v>2062.0300000000002</v>
      </c>
      <c r="S1567" s="783">
        <v>15.58</v>
      </c>
      <c r="T1567" s="783">
        <v>852.03</v>
      </c>
      <c r="U1567" s="785">
        <v>44708.802071759303</v>
      </c>
    </row>
    <row r="1568" spans="1:21">
      <c r="A1568" s="782">
        <v>44710</v>
      </c>
      <c r="B1568" s="783" t="s">
        <v>30</v>
      </c>
      <c r="C1568" s="783" t="s">
        <v>4239</v>
      </c>
      <c r="D1568" s="783" t="s">
        <v>4021</v>
      </c>
      <c r="E1568" s="783" t="s">
        <v>1495</v>
      </c>
      <c r="F1568" s="783" t="s">
        <v>4011</v>
      </c>
      <c r="G1568" s="783" t="str">
        <f t="shared" si="86"/>
        <v>Renewal (15% in 2020)</v>
      </c>
      <c r="H1568" s="783" t="s">
        <v>5873</v>
      </c>
      <c r="I1568" s="783" t="s">
        <v>5874</v>
      </c>
      <c r="J1568" s="783">
        <v>15</v>
      </c>
      <c r="K1568" s="783" t="s">
        <v>27</v>
      </c>
      <c r="L1568" s="783" t="s">
        <v>4096</v>
      </c>
      <c r="M1568" s="784">
        <v>35817.599999999999</v>
      </c>
      <c r="N1568" s="784">
        <v>20.5</v>
      </c>
      <c r="O1568" s="784">
        <v>3.64</v>
      </c>
      <c r="P1568" s="783">
        <v>480</v>
      </c>
      <c r="Q1568" s="783">
        <v>4068.88</v>
      </c>
      <c r="R1568" s="783">
        <v>1176.08</v>
      </c>
      <c r="S1568" s="783">
        <v>707.93</v>
      </c>
      <c r="T1568" s="783">
        <v>2184.87</v>
      </c>
      <c r="U1568" s="785">
        <v>44712.6339351852</v>
      </c>
    </row>
    <row r="1569" spans="1:21">
      <c r="A1569" s="782">
        <v>44712</v>
      </c>
      <c r="B1569" s="783" t="s">
        <v>41</v>
      </c>
      <c r="C1569" s="783" t="s">
        <v>4092</v>
      </c>
      <c r="D1569" s="783" t="s">
        <v>4009</v>
      </c>
      <c r="E1569" s="783" t="s">
        <v>4672</v>
      </c>
      <c r="F1569" s="783" t="s">
        <v>4011</v>
      </c>
      <c r="G1569" s="783" t="str">
        <f t="shared" si="86"/>
        <v>Renewal (15% in 2020)</v>
      </c>
      <c r="H1569" s="783" t="s">
        <v>4673</v>
      </c>
      <c r="I1569" s="783" t="s">
        <v>4674</v>
      </c>
      <c r="J1569" s="783">
        <v>15</v>
      </c>
      <c r="K1569" s="783" t="s">
        <v>27</v>
      </c>
      <c r="L1569" s="783" t="s">
        <v>4096</v>
      </c>
      <c r="M1569" s="784">
        <v>28237.99</v>
      </c>
      <c r="N1569" s="784">
        <v>25.19</v>
      </c>
      <c r="O1569" s="784">
        <v>2.95</v>
      </c>
      <c r="P1569" s="783">
        <v>380</v>
      </c>
      <c r="Q1569" s="783">
        <v>2945.22</v>
      </c>
      <c r="R1569" s="783">
        <v>1137.99</v>
      </c>
      <c r="S1569" s="783">
        <v>273.91000000000003</v>
      </c>
      <c r="T1569" s="783">
        <v>1533.32</v>
      </c>
      <c r="U1569" s="785">
        <v>44714.588981481502</v>
      </c>
    </row>
    <row r="1570" spans="1:21">
      <c r="A1570" s="782">
        <v>44707</v>
      </c>
      <c r="B1570" s="783" t="s">
        <v>41</v>
      </c>
      <c r="C1570" s="783" t="s">
        <v>4071</v>
      </c>
      <c r="D1570" s="783" t="s">
        <v>4009</v>
      </c>
      <c r="E1570" s="783" t="s">
        <v>4174</v>
      </c>
      <c r="F1570" s="783" t="s">
        <v>4011</v>
      </c>
      <c r="G1570" s="783" t="str">
        <f t="shared" si="86"/>
        <v>Renewal (20% in 2020)</v>
      </c>
      <c r="H1570" s="783" t="s">
        <v>4175</v>
      </c>
      <c r="I1570" s="783" t="s">
        <v>4176</v>
      </c>
      <c r="J1570" s="783">
        <v>20</v>
      </c>
      <c r="K1570" s="783" t="s">
        <v>27</v>
      </c>
      <c r="L1570" s="783" t="s">
        <v>4096</v>
      </c>
      <c r="M1570" s="784">
        <v>21114</v>
      </c>
      <c r="N1570" s="784">
        <v>19.55</v>
      </c>
      <c r="O1570" s="784">
        <v>3</v>
      </c>
      <c r="P1570" s="783">
        <v>360</v>
      </c>
      <c r="Q1570" s="783">
        <v>1839.03</v>
      </c>
      <c r="R1570" s="783">
        <v>1013.47</v>
      </c>
      <c r="S1570" s="783">
        <v>124.57</v>
      </c>
      <c r="T1570" s="783">
        <v>700.98</v>
      </c>
      <c r="U1570" s="785">
        <v>44708.586967592601</v>
      </c>
    </row>
    <row r="1571" spans="1:21">
      <c r="A1571" s="782">
        <v>44686</v>
      </c>
      <c r="B1571" s="783" t="s">
        <v>51</v>
      </c>
      <c r="C1571" s="783" t="s">
        <v>4015</v>
      </c>
      <c r="D1571" s="783" t="s">
        <v>4016</v>
      </c>
      <c r="E1571" s="783" t="s">
        <v>2212</v>
      </c>
      <c r="F1571" s="783" t="s">
        <v>4011</v>
      </c>
      <c r="G1571" s="783" t="str">
        <f t="shared" si="86"/>
        <v>Renewal (20% in 2020)</v>
      </c>
      <c r="H1571" s="783" t="s">
        <v>5878</v>
      </c>
      <c r="I1571" s="783" t="s">
        <v>5879</v>
      </c>
      <c r="J1571" s="783">
        <v>20</v>
      </c>
      <c r="K1571" s="783" t="s">
        <v>27</v>
      </c>
      <c r="L1571" s="783" t="s">
        <v>4096</v>
      </c>
      <c r="M1571" s="784">
        <v>83544.3</v>
      </c>
      <c r="N1571" s="784">
        <v>62.3</v>
      </c>
      <c r="O1571" s="784">
        <v>2.98</v>
      </c>
      <c r="P1571" s="783">
        <v>450</v>
      </c>
      <c r="Q1571" s="783">
        <v>7126.33</v>
      </c>
      <c r="R1571" s="783">
        <v>3206.15</v>
      </c>
      <c r="S1571" s="783">
        <v>971.06</v>
      </c>
      <c r="T1571" s="783">
        <v>2949.11</v>
      </c>
      <c r="U1571" s="785">
        <v>44708.806597222203</v>
      </c>
    </row>
    <row r="1572" spans="1:21">
      <c r="A1572" s="782">
        <v>44706</v>
      </c>
      <c r="B1572" s="783" t="s">
        <v>4025</v>
      </c>
      <c r="C1572" s="783" t="s">
        <v>4026</v>
      </c>
      <c r="D1572" s="783" t="s">
        <v>4021</v>
      </c>
      <c r="E1572" s="783" t="s">
        <v>5880</v>
      </c>
      <c r="F1572" s="783" t="s">
        <v>4011</v>
      </c>
      <c r="G1572" s="783" t="str">
        <f t="shared" si="86"/>
        <v>New Contract</v>
      </c>
      <c r="H1572" s="783" t="s">
        <v>5881</v>
      </c>
      <c r="I1572" s="783" t="s">
        <v>5882</v>
      </c>
      <c r="J1572" s="783">
        <v>25</v>
      </c>
      <c r="K1572" s="783" t="s">
        <v>27</v>
      </c>
      <c r="L1572" s="783" t="s">
        <v>4096</v>
      </c>
      <c r="M1572" s="784">
        <v>24667.4</v>
      </c>
      <c r="N1572" s="784">
        <v>21.72</v>
      </c>
      <c r="O1572" s="784">
        <v>2.77</v>
      </c>
      <c r="P1572" s="783">
        <v>410</v>
      </c>
      <c r="Q1572" s="783">
        <v>1319.71</v>
      </c>
      <c r="R1572" s="783">
        <v>702.23</v>
      </c>
      <c r="S1572" s="783">
        <v>269.67</v>
      </c>
      <c r="T1572" s="783">
        <v>347.81</v>
      </c>
      <c r="U1572" s="785">
        <v>44706.460601851897</v>
      </c>
    </row>
    <row r="1573" spans="1:21">
      <c r="A1573" s="782">
        <v>44707</v>
      </c>
      <c r="B1573" s="783" t="s">
        <v>30</v>
      </c>
      <c r="C1573" s="783" t="s">
        <v>4939</v>
      </c>
      <c r="D1573" s="783" t="s">
        <v>4021</v>
      </c>
      <c r="E1573" s="783" t="s">
        <v>5883</v>
      </c>
      <c r="F1573" s="783" t="s">
        <v>4011</v>
      </c>
      <c r="G1573" s="783" t="str">
        <f t="shared" si="86"/>
        <v>Renewal (25% in 2020)</v>
      </c>
      <c r="H1573" s="783" t="s">
        <v>5884</v>
      </c>
      <c r="I1573" s="783" t="s">
        <v>5885</v>
      </c>
      <c r="J1573" s="783">
        <v>25</v>
      </c>
      <c r="K1573" s="783" t="s">
        <v>27</v>
      </c>
      <c r="L1573" s="783" t="s">
        <v>4096</v>
      </c>
      <c r="M1573" s="784">
        <v>46530.9</v>
      </c>
      <c r="N1573" s="784">
        <v>31.98</v>
      </c>
      <c r="O1573" s="784">
        <v>3.88</v>
      </c>
      <c r="P1573" s="783">
        <v>375</v>
      </c>
      <c r="Q1573" s="783">
        <v>3080.35</v>
      </c>
      <c r="R1573" s="783">
        <v>1791.44</v>
      </c>
      <c r="S1573" s="783">
        <v>535.11</v>
      </c>
      <c r="T1573" s="783">
        <v>753.8</v>
      </c>
      <c r="U1573" s="785">
        <v>44708.582476851901</v>
      </c>
    </row>
    <row r="1574" spans="1:21">
      <c r="A1574" s="782">
        <v>44711</v>
      </c>
      <c r="B1574" s="783" t="s">
        <v>4025</v>
      </c>
      <c r="C1574" s="783" t="s">
        <v>4052</v>
      </c>
      <c r="D1574" s="783" t="s">
        <v>4021</v>
      </c>
      <c r="E1574" s="783" t="s">
        <v>5889</v>
      </c>
      <c r="F1574" s="783" t="s">
        <v>4011</v>
      </c>
      <c r="G1574" s="783" t="str">
        <f t="shared" si="86"/>
        <v>New contract</v>
      </c>
      <c r="H1574" s="783" t="s">
        <v>5890</v>
      </c>
      <c r="I1574" s="783" t="s">
        <v>5891</v>
      </c>
      <c r="J1574" s="783">
        <v>25</v>
      </c>
      <c r="K1574" s="783" t="s">
        <v>27</v>
      </c>
      <c r="L1574" s="783" t="s">
        <v>4096</v>
      </c>
      <c r="M1574" s="784">
        <v>21490</v>
      </c>
      <c r="N1574" s="784">
        <v>17.5</v>
      </c>
      <c r="O1574" s="784">
        <v>3.07</v>
      </c>
      <c r="P1574" s="783">
        <v>400</v>
      </c>
      <c r="Q1574" s="783">
        <v>1590.26</v>
      </c>
      <c r="R1574" s="783">
        <v>1051.51</v>
      </c>
      <c r="S1574" s="783">
        <v>149.78</v>
      </c>
      <c r="T1574" s="783">
        <v>388.97</v>
      </c>
      <c r="U1574" s="785">
        <v>44713.996527777803</v>
      </c>
    </row>
    <row r="1575" spans="1:21">
      <c r="A1575" s="782">
        <v>44711</v>
      </c>
      <c r="B1575" s="783" t="s">
        <v>113</v>
      </c>
      <c r="C1575" s="783" t="s">
        <v>4097</v>
      </c>
      <c r="D1575" s="783" t="s">
        <v>4038</v>
      </c>
      <c r="E1575" s="783" t="s">
        <v>172</v>
      </c>
      <c r="F1575" s="783" t="s">
        <v>4011</v>
      </c>
      <c r="G1575" s="783" t="str">
        <f t="shared" si="86"/>
        <v>Renewal (25% in 2020)</v>
      </c>
      <c r="H1575" s="783" t="s">
        <v>5892</v>
      </c>
      <c r="I1575" s="783" t="s">
        <v>5893</v>
      </c>
      <c r="J1575" s="783">
        <v>25</v>
      </c>
      <c r="K1575" s="783" t="s">
        <v>27</v>
      </c>
      <c r="L1575" s="783" t="s">
        <v>4096</v>
      </c>
      <c r="M1575" s="784">
        <v>40257.379999999997</v>
      </c>
      <c r="N1575" s="784">
        <v>34.630000000000003</v>
      </c>
      <c r="O1575" s="784">
        <v>2.5</v>
      </c>
      <c r="P1575" s="783">
        <v>465</v>
      </c>
      <c r="Q1575" s="783">
        <v>2842.17</v>
      </c>
      <c r="R1575" s="783">
        <v>1271.7</v>
      </c>
      <c r="S1575" s="783">
        <v>785.45</v>
      </c>
      <c r="T1575" s="783">
        <v>785.02</v>
      </c>
      <c r="U1575" s="785">
        <v>44713.519942129598</v>
      </c>
    </row>
    <row r="1576" spans="1:21">
      <c r="A1576" s="782">
        <v>44657</v>
      </c>
      <c r="B1576" s="783" t="s">
        <v>51</v>
      </c>
      <c r="C1576" s="783" t="s">
        <v>4042</v>
      </c>
      <c r="D1576" s="783" t="s">
        <v>4016</v>
      </c>
      <c r="E1576" s="783" t="s">
        <v>5897</v>
      </c>
      <c r="F1576" s="783" t="s">
        <v>4011</v>
      </c>
      <c r="G1576" s="783" t="str">
        <f t="shared" si="86"/>
        <v>New Contract</v>
      </c>
      <c r="H1576" s="783" t="s">
        <v>5898</v>
      </c>
      <c r="I1576" s="783" t="s">
        <v>5899</v>
      </c>
      <c r="J1576" s="783">
        <v>25</v>
      </c>
      <c r="K1576" s="783" t="s">
        <v>27</v>
      </c>
      <c r="L1576" s="783" t="s">
        <v>4096</v>
      </c>
      <c r="M1576" s="784">
        <v>23891.7</v>
      </c>
      <c r="N1576" s="784">
        <v>15.5</v>
      </c>
      <c r="O1576" s="784">
        <v>3.67</v>
      </c>
      <c r="P1576" s="783">
        <v>420</v>
      </c>
      <c r="Q1576" s="783">
        <v>1834.88</v>
      </c>
      <c r="R1576" s="783">
        <v>1117.8800000000001</v>
      </c>
      <c r="S1576" s="783">
        <v>232.01</v>
      </c>
      <c r="T1576" s="783">
        <v>485</v>
      </c>
      <c r="U1576" s="785">
        <v>44657.617708333302</v>
      </c>
    </row>
    <row r="1577" spans="1:21">
      <c r="A1577" s="782">
        <v>44687</v>
      </c>
      <c r="B1577" s="783" t="s">
        <v>228</v>
      </c>
      <c r="C1577" s="783" t="s">
        <v>4675</v>
      </c>
      <c r="D1577" s="783" t="s">
        <v>4193</v>
      </c>
      <c r="E1577" s="783" t="s">
        <v>4676</v>
      </c>
      <c r="F1577" s="783" t="s">
        <v>4011</v>
      </c>
      <c r="G1577" s="783" t="str">
        <f t="shared" si="86"/>
        <v>Renewal (25% in 2020)</v>
      </c>
      <c r="H1577" s="783" t="s">
        <v>4677</v>
      </c>
      <c r="I1577" s="783" t="s">
        <v>4678</v>
      </c>
      <c r="J1577" s="783">
        <v>25</v>
      </c>
      <c r="K1577" s="783" t="s">
        <v>27</v>
      </c>
      <c r="L1577" s="783" t="s">
        <v>4096</v>
      </c>
      <c r="M1577" s="784">
        <v>11554.56</v>
      </c>
      <c r="N1577" s="784">
        <v>16</v>
      </c>
      <c r="O1577" s="784">
        <v>1.77</v>
      </c>
      <c r="P1577" s="783">
        <v>408</v>
      </c>
      <c r="Q1577" s="783">
        <v>868.9</v>
      </c>
      <c r="R1577" s="783">
        <v>476.7</v>
      </c>
      <c r="S1577" s="783">
        <v>156.47999999999999</v>
      </c>
      <c r="T1577" s="783">
        <v>235.71</v>
      </c>
      <c r="U1577" s="785">
        <v>44704.413402777798</v>
      </c>
    </row>
    <row r="1578" spans="1:21">
      <c r="A1578" s="782">
        <v>44662</v>
      </c>
      <c r="B1578" s="783" t="s">
        <v>41</v>
      </c>
      <c r="C1578" s="783" t="s">
        <v>4139</v>
      </c>
      <c r="D1578" s="783" t="s">
        <v>4009</v>
      </c>
      <c r="E1578" s="783" t="s">
        <v>5900</v>
      </c>
      <c r="F1578" s="783" t="s">
        <v>4011</v>
      </c>
      <c r="G1578" s="783" t="str">
        <f t="shared" si="86"/>
        <v>Renewal (15% in 2020)</v>
      </c>
      <c r="H1578" s="783" t="s">
        <v>5901</v>
      </c>
      <c r="I1578" s="783" t="s">
        <v>5902</v>
      </c>
      <c r="J1578" s="783">
        <v>15</v>
      </c>
      <c r="K1578" s="783" t="s">
        <v>27</v>
      </c>
      <c r="L1578" s="783" t="s">
        <v>4096</v>
      </c>
      <c r="M1578" s="784">
        <v>29447.87</v>
      </c>
      <c r="N1578" s="784">
        <v>24.4</v>
      </c>
      <c r="O1578" s="784">
        <v>3.04</v>
      </c>
      <c r="P1578" s="783">
        <v>397</v>
      </c>
      <c r="Q1578" s="783">
        <v>4016.69</v>
      </c>
      <c r="R1578" s="783">
        <v>1707.98</v>
      </c>
      <c r="S1578" s="783">
        <v>206.14</v>
      </c>
      <c r="T1578" s="783">
        <v>2102.58</v>
      </c>
      <c r="U1578" s="785">
        <v>44663.4300462963</v>
      </c>
    </row>
    <row r="1579" spans="1:21">
      <c r="A1579" s="782">
        <v>44671</v>
      </c>
      <c r="B1579" s="783" t="s">
        <v>41</v>
      </c>
      <c r="C1579" s="783" t="s">
        <v>4071</v>
      </c>
      <c r="D1579" s="783" t="s">
        <v>4009</v>
      </c>
      <c r="E1579" s="783" t="s">
        <v>5906</v>
      </c>
      <c r="F1579" s="783" t="s">
        <v>4011</v>
      </c>
      <c r="G1579" s="783" t="str">
        <f t="shared" si="86"/>
        <v>Renewal (20% in 2020)</v>
      </c>
      <c r="H1579" s="783" t="s">
        <v>5907</v>
      </c>
      <c r="I1579" s="783" t="s">
        <v>5908</v>
      </c>
      <c r="J1579" s="783">
        <v>20</v>
      </c>
      <c r="K1579" s="783" t="s">
        <v>27</v>
      </c>
      <c r="L1579" s="783" t="s">
        <v>4096</v>
      </c>
      <c r="M1579" s="784">
        <v>29512.35</v>
      </c>
      <c r="N1579" s="784">
        <v>18.899999999999999</v>
      </c>
      <c r="O1579" s="784">
        <v>3.47</v>
      </c>
      <c r="P1579" s="783">
        <v>450</v>
      </c>
      <c r="Q1579" s="783">
        <v>2570.5300000000002</v>
      </c>
      <c r="R1579" s="783">
        <v>1249.75</v>
      </c>
      <c r="S1579" s="783">
        <v>340.97</v>
      </c>
      <c r="T1579" s="783">
        <v>979.81</v>
      </c>
      <c r="U1579" s="785">
        <v>44673.361180555599</v>
      </c>
    </row>
    <row r="1580" spans="1:21">
      <c r="A1580" s="782">
        <v>44673</v>
      </c>
      <c r="B1580" s="783" t="s">
        <v>41</v>
      </c>
      <c r="C1580" s="783" t="s">
        <v>4071</v>
      </c>
      <c r="D1580" s="783" t="s">
        <v>4009</v>
      </c>
      <c r="E1580" s="783" t="s">
        <v>5909</v>
      </c>
      <c r="F1580" s="783" t="s">
        <v>4011</v>
      </c>
      <c r="G1580" s="783" t="str">
        <f t="shared" si="86"/>
        <v>New Contract</v>
      </c>
      <c r="H1580" s="783" t="s">
        <v>5910</v>
      </c>
      <c r="I1580" s="783" t="s">
        <v>5911</v>
      </c>
      <c r="J1580" s="783">
        <v>20</v>
      </c>
      <c r="K1580" s="783" t="s">
        <v>27</v>
      </c>
      <c r="L1580" s="783" t="s">
        <v>4096</v>
      </c>
      <c r="M1580" s="784">
        <v>76540.800000000003</v>
      </c>
      <c r="N1580" s="784">
        <v>42.88</v>
      </c>
      <c r="O1580" s="784">
        <v>3.57</v>
      </c>
      <c r="P1580" s="783">
        <v>500</v>
      </c>
      <c r="Q1580" s="783">
        <v>6666.7</v>
      </c>
      <c r="R1580" s="783">
        <v>2917.12</v>
      </c>
      <c r="S1580" s="783">
        <v>1208.43</v>
      </c>
      <c r="T1580" s="783">
        <v>2541.15</v>
      </c>
      <c r="U1580" s="785">
        <v>44673.709930555597</v>
      </c>
    </row>
    <row r="1581" spans="1:21">
      <c r="A1581" s="782">
        <v>44676</v>
      </c>
      <c r="B1581" s="783" t="s">
        <v>51</v>
      </c>
      <c r="C1581" s="783" t="s">
        <v>4042</v>
      </c>
      <c r="D1581" s="783" t="s">
        <v>4016</v>
      </c>
      <c r="E1581" s="783" t="s">
        <v>5912</v>
      </c>
      <c r="F1581" s="783" t="s">
        <v>4011</v>
      </c>
      <c r="G1581" s="783" t="str">
        <f t="shared" si="86"/>
        <v>New Contract</v>
      </c>
      <c r="H1581" s="783" t="s">
        <v>5913</v>
      </c>
      <c r="I1581" s="783" t="s">
        <v>5914</v>
      </c>
      <c r="J1581" s="783">
        <v>25</v>
      </c>
      <c r="K1581" s="783" t="s">
        <v>27</v>
      </c>
      <c r="L1581" s="783" t="s">
        <v>4096</v>
      </c>
      <c r="M1581" s="784">
        <v>10756.76</v>
      </c>
      <c r="N1581" s="784">
        <v>9.3699999999999992</v>
      </c>
      <c r="O1581" s="784">
        <v>2.87</v>
      </c>
      <c r="P1581" s="783">
        <v>400</v>
      </c>
      <c r="Q1581" s="783">
        <v>826.12</v>
      </c>
      <c r="R1581" s="783">
        <v>528.47</v>
      </c>
      <c r="S1581" s="783">
        <v>79.290000000000006</v>
      </c>
      <c r="T1581" s="783">
        <v>218.36</v>
      </c>
      <c r="U1581" s="785">
        <v>44676.725671296299</v>
      </c>
    </row>
    <row r="1582" spans="1:21">
      <c r="A1582" s="782">
        <v>44704</v>
      </c>
      <c r="B1582" s="783" t="s">
        <v>41</v>
      </c>
      <c r="C1582" s="783" t="s">
        <v>4082</v>
      </c>
      <c r="D1582" s="783" t="s">
        <v>4009</v>
      </c>
      <c r="E1582" s="783" t="s">
        <v>94</v>
      </c>
      <c r="F1582" s="783" t="s">
        <v>4011</v>
      </c>
      <c r="G1582" s="783" t="str">
        <f t="shared" si="86"/>
        <v>Renewal (25% in 2020)</v>
      </c>
      <c r="H1582" s="783" t="s">
        <v>4685</v>
      </c>
      <c r="I1582" s="783" t="s">
        <v>4686</v>
      </c>
      <c r="J1582" s="783">
        <v>25</v>
      </c>
      <c r="K1582" s="783" t="s">
        <v>27</v>
      </c>
      <c r="L1582" s="783" t="s">
        <v>4096</v>
      </c>
      <c r="M1582" s="784">
        <v>8611.2000000000007</v>
      </c>
      <c r="N1582" s="784">
        <v>11.04</v>
      </c>
      <c r="O1582" s="784">
        <v>2.6</v>
      </c>
      <c r="P1582" s="783">
        <v>300</v>
      </c>
      <c r="Q1582" s="783">
        <v>557.14</v>
      </c>
      <c r="R1582" s="783">
        <v>349.61</v>
      </c>
      <c r="S1582" s="783">
        <v>86.11</v>
      </c>
      <c r="T1582" s="783">
        <v>121.42</v>
      </c>
      <c r="U1582" s="785">
        <v>44704.568576388898</v>
      </c>
    </row>
    <row r="1583" spans="1:21">
      <c r="A1583" s="782">
        <v>44672</v>
      </c>
      <c r="B1583" s="783" t="s">
        <v>113</v>
      </c>
      <c r="C1583" s="783" t="s">
        <v>4606</v>
      </c>
      <c r="D1583" s="783" t="s">
        <v>4009</v>
      </c>
      <c r="E1583" s="783" t="s">
        <v>2994</v>
      </c>
      <c r="F1583" s="783" t="s">
        <v>4011</v>
      </c>
      <c r="G1583" s="783" t="str">
        <f t="shared" si="86"/>
        <v>Renewal (25% in 2020)</v>
      </c>
      <c r="H1583" s="783" t="s">
        <v>6590</v>
      </c>
      <c r="I1583" s="783" t="s">
        <v>6591</v>
      </c>
      <c r="J1583" s="783">
        <v>25</v>
      </c>
      <c r="K1583" s="783" t="s">
        <v>27</v>
      </c>
      <c r="L1583" s="783" t="s">
        <v>4096</v>
      </c>
      <c r="M1583" s="784">
        <v>9701.65</v>
      </c>
      <c r="N1583" s="784">
        <v>5.3</v>
      </c>
      <c r="O1583" s="784">
        <v>5.23</v>
      </c>
      <c r="P1583" s="783">
        <v>350</v>
      </c>
      <c r="Q1583" s="783">
        <v>524.86</v>
      </c>
      <c r="R1583" s="783">
        <v>263.88</v>
      </c>
      <c r="S1583" s="783">
        <v>108.66</v>
      </c>
      <c r="T1583" s="783">
        <v>152.32</v>
      </c>
      <c r="U1583" s="785">
        <v>44673.378842592603</v>
      </c>
    </row>
    <row r="1584" spans="1:21">
      <c r="A1584" s="782">
        <v>44671</v>
      </c>
      <c r="B1584" s="783" t="s">
        <v>34</v>
      </c>
      <c r="C1584" s="783" t="s">
        <v>4082</v>
      </c>
      <c r="D1584" s="783" t="s">
        <v>4009</v>
      </c>
      <c r="E1584" s="783" t="s">
        <v>5918</v>
      </c>
      <c r="F1584" s="783" t="s">
        <v>4011</v>
      </c>
      <c r="G1584" s="783" t="str">
        <f t="shared" si="86"/>
        <v>Renewal (20% in 2020)</v>
      </c>
      <c r="H1584" s="783" t="s">
        <v>5919</v>
      </c>
      <c r="I1584" s="783" t="s">
        <v>5920</v>
      </c>
      <c r="J1584" s="783">
        <v>20</v>
      </c>
      <c r="K1584" s="783" t="s">
        <v>27</v>
      </c>
      <c r="L1584" s="783" t="s">
        <v>4096</v>
      </c>
      <c r="M1584" s="784">
        <v>19454.54</v>
      </c>
      <c r="N1584" s="784">
        <v>17.59</v>
      </c>
      <c r="O1584" s="784">
        <v>3.16</v>
      </c>
      <c r="P1584" s="783">
        <v>350</v>
      </c>
      <c r="Q1584" s="783">
        <v>1581.65</v>
      </c>
      <c r="R1584" s="783">
        <v>789.85</v>
      </c>
      <c r="S1584" s="783">
        <v>194.55</v>
      </c>
      <c r="T1584" s="783">
        <v>597.25</v>
      </c>
      <c r="U1584" s="785">
        <v>44673.357094907398</v>
      </c>
    </row>
    <row r="1585" spans="1:21">
      <c r="A1585" s="782">
        <v>44630</v>
      </c>
      <c r="B1585" s="783" t="s">
        <v>41</v>
      </c>
      <c r="C1585" s="783" t="s">
        <v>4139</v>
      </c>
      <c r="D1585" s="783" t="s">
        <v>4009</v>
      </c>
      <c r="E1585" s="783" t="s">
        <v>672</v>
      </c>
      <c r="F1585" s="783" t="s">
        <v>4011</v>
      </c>
      <c r="G1585" s="783" t="str">
        <f t="shared" si="86"/>
        <v>Renewal (15% in 2020)</v>
      </c>
      <c r="H1585" s="783" t="s">
        <v>5924</v>
      </c>
      <c r="I1585" s="783" t="s">
        <v>5925</v>
      </c>
      <c r="J1585" s="783">
        <v>20</v>
      </c>
      <c r="K1585" s="783" t="s">
        <v>27</v>
      </c>
      <c r="L1585" s="783" t="s">
        <v>4096</v>
      </c>
      <c r="M1585" s="784">
        <v>14395.92</v>
      </c>
      <c r="N1585" s="784">
        <v>13.2</v>
      </c>
      <c r="O1585" s="784">
        <v>2.87</v>
      </c>
      <c r="P1585" s="783">
        <v>380</v>
      </c>
      <c r="Q1585" s="783">
        <v>1507.25</v>
      </c>
      <c r="R1585" s="783">
        <v>834.96</v>
      </c>
      <c r="S1585" s="783">
        <v>100.77</v>
      </c>
      <c r="T1585" s="783">
        <v>571.52</v>
      </c>
      <c r="U1585" s="785">
        <v>44631.634502314802</v>
      </c>
    </row>
    <row r="1586" spans="1:21">
      <c r="A1586" s="782">
        <v>44631</v>
      </c>
      <c r="B1586" s="783" t="s">
        <v>41</v>
      </c>
      <c r="C1586" s="783" t="s">
        <v>4121</v>
      </c>
      <c r="D1586" s="783" t="s">
        <v>4009</v>
      </c>
      <c r="E1586" s="783" t="s">
        <v>6592</v>
      </c>
      <c r="F1586" s="783" t="s">
        <v>4066</v>
      </c>
      <c r="G1586" s="783" t="s">
        <v>4028</v>
      </c>
      <c r="H1586" s="783" t="s">
        <v>6593</v>
      </c>
      <c r="I1586" s="783" t="s">
        <v>6594</v>
      </c>
      <c r="J1586" s="783">
        <v>10</v>
      </c>
      <c r="K1586" s="783" t="s">
        <v>27</v>
      </c>
      <c r="L1586" s="783" t="s">
        <v>4096</v>
      </c>
      <c r="M1586" s="784">
        <v>30000</v>
      </c>
      <c r="N1586" s="784">
        <v>20</v>
      </c>
      <c r="O1586" s="784">
        <v>3</v>
      </c>
      <c r="P1586" s="783">
        <v>500</v>
      </c>
      <c r="Q1586" s="783">
        <v>2121</v>
      </c>
      <c r="R1586" s="783">
        <v>0</v>
      </c>
      <c r="S1586" s="783">
        <v>0</v>
      </c>
      <c r="T1586" s="783">
        <v>2121</v>
      </c>
      <c r="U1586" s="785">
        <v>44631.6311921296</v>
      </c>
    </row>
    <row r="1587" spans="1:21">
      <c r="A1587" s="782">
        <v>44634</v>
      </c>
      <c r="B1587" s="783" t="s">
        <v>41</v>
      </c>
      <c r="C1587" s="783" t="s">
        <v>4082</v>
      </c>
      <c r="D1587" s="783" t="s">
        <v>4009</v>
      </c>
      <c r="E1587" s="783" t="s">
        <v>5929</v>
      </c>
      <c r="F1587" s="783" t="s">
        <v>4011</v>
      </c>
      <c r="G1587" s="783" t="str">
        <f>VLOOKUP(I1587,pacage,2,FALSE)</f>
        <v>Renewal (15% in 2020)</v>
      </c>
      <c r="H1587" s="783" t="s">
        <v>5930</v>
      </c>
      <c r="I1587" s="783" t="s">
        <v>5931</v>
      </c>
      <c r="J1587" s="783">
        <v>15</v>
      </c>
      <c r="K1587" s="783" t="s">
        <v>27</v>
      </c>
      <c r="L1587" s="783" t="s">
        <v>4096</v>
      </c>
      <c r="M1587" s="784">
        <v>13600</v>
      </c>
      <c r="N1587" s="784">
        <v>8</v>
      </c>
      <c r="O1587" s="784">
        <v>3.4</v>
      </c>
      <c r="P1587" s="783">
        <v>500</v>
      </c>
      <c r="Q1587" s="783">
        <v>1298.6600000000001</v>
      </c>
      <c r="R1587" s="783">
        <v>438.42</v>
      </c>
      <c r="S1587" s="783">
        <v>180.93</v>
      </c>
      <c r="T1587" s="783">
        <v>679.32</v>
      </c>
      <c r="U1587" s="785">
        <v>44634.6256712963</v>
      </c>
    </row>
    <row r="1588" spans="1:21">
      <c r="A1588" s="782">
        <v>44693</v>
      </c>
      <c r="B1588" s="783" t="s">
        <v>34</v>
      </c>
      <c r="C1588" s="783" t="s">
        <v>4139</v>
      </c>
      <c r="D1588" s="783" t="s">
        <v>4009</v>
      </c>
      <c r="E1588" s="783" t="s">
        <v>4405</v>
      </c>
      <c r="F1588" s="783" t="s">
        <v>4011</v>
      </c>
      <c r="G1588" s="783" t="str">
        <f>VLOOKUP(I1588,pacage,2,FALSE)</f>
        <v>Renewal (30% in 2020)</v>
      </c>
      <c r="H1588" s="783" t="s">
        <v>4406</v>
      </c>
      <c r="I1588" s="783" t="s">
        <v>4407</v>
      </c>
      <c r="J1588" s="783">
        <v>30</v>
      </c>
      <c r="K1588" s="783" t="s">
        <v>27</v>
      </c>
      <c r="L1588" s="783" t="s">
        <v>4096</v>
      </c>
      <c r="M1588" s="784">
        <v>13554</v>
      </c>
      <c r="N1588" s="784">
        <v>15.06</v>
      </c>
      <c r="O1588" s="784">
        <v>2.5</v>
      </c>
      <c r="P1588" s="783">
        <v>360</v>
      </c>
      <c r="Q1588" s="783">
        <v>1034.17</v>
      </c>
      <c r="R1588" s="783">
        <v>786.13</v>
      </c>
      <c r="S1588" s="783">
        <v>0</v>
      </c>
      <c r="T1588" s="783">
        <v>248.04</v>
      </c>
      <c r="U1588" s="785">
        <v>44694.433263888903</v>
      </c>
    </row>
    <row r="1589" spans="1:21">
      <c r="A1589" s="782">
        <v>44694</v>
      </c>
      <c r="B1589" s="783" t="s">
        <v>4025</v>
      </c>
      <c r="C1589" s="783" t="s">
        <v>4089</v>
      </c>
      <c r="D1589" s="783" t="s">
        <v>4021</v>
      </c>
      <c r="E1589" s="783" t="s">
        <v>6595</v>
      </c>
      <c r="F1589" s="783" t="s">
        <v>4066</v>
      </c>
      <c r="G1589" s="783" t="s">
        <v>4028</v>
      </c>
      <c r="H1589" s="783" t="s">
        <v>6596</v>
      </c>
      <c r="I1589" s="783" t="s">
        <v>6597</v>
      </c>
      <c r="J1589" s="783">
        <v>10</v>
      </c>
      <c r="K1589" s="783" t="s">
        <v>27</v>
      </c>
      <c r="L1589" s="783" t="s">
        <v>4096</v>
      </c>
      <c r="M1589" s="784">
        <v>4200</v>
      </c>
      <c r="N1589" s="784">
        <v>4.2</v>
      </c>
      <c r="O1589" s="784">
        <v>2.5</v>
      </c>
      <c r="P1589" s="783">
        <v>400</v>
      </c>
      <c r="Q1589" s="783">
        <v>194.46</v>
      </c>
      <c r="R1589" s="783">
        <v>0</v>
      </c>
      <c r="S1589" s="783">
        <v>0</v>
      </c>
      <c r="T1589" s="783">
        <v>194.46</v>
      </c>
      <c r="U1589" s="785">
        <v>44694.5245601852</v>
      </c>
    </row>
    <row r="1590" spans="1:21">
      <c r="A1590" s="782">
        <v>44693</v>
      </c>
      <c r="B1590" s="783" t="s">
        <v>41</v>
      </c>
      <c r="C1590" s="783" t="s">
        <v>4139</v>
      </c>
      <c r="D1590" s="783" t="s">
        <v>4009</v>
      </c>
      <c r="E1590" s="783" t="s">
        <v>60</v>
      </c>
      <c r="F1590" s="783" t="s">
        <v>4011</v>
      </c>
      <c r="G1590" s="783" t="str">
        <f>VLOOKUP(I1590,pacage,2,FALSE)</f>
        <v>Renewal (15% in 2020)</v>
      </c>
      <c r="H1590" s="783" t="s">
        <v>5932</v>
      </c>
      <c r="I1590" s="783" t="s">
        <v>5933</v>
      </c>
      <c r="J1590" s="783">
        <v>15</v>
      </c>
      <c r="K1590" s="783" t="s">
        <v>27</v>
      </c>
      <c r="L1590" s="783" t="s">
        <v>4096</v>
      </c>
      <c r="M1590" s="784">
        <v>18836.3</v>
      </c>
      <c r="N1590" s="784">
        <v>15.16</v>
      </c>
      <c r="O1590" s="784">
        <v>3.55</v>
      </c>
      <c r="P1590" s="783">
        <v>350</v>
      </c>
      <c r="Q1590" s="783">
        <v>2569.27</v>
      </c>
      <c r="R1590" s="783">
        <v>1092.51</v>
      </c>
      <c r="S1590" s="783">
        <v>131.85</v>
      </c>
      <c r="T1590" s="783">
        <v>1344.91</v>
      </c>
      <c r="U1590" s="785">
        <v>44694.417210648098</v>
      </c>
    </row>
    <row r="1591" spans="1:21">
      <c r="A1591" s="782">
        <v>44695</v>
      </c>
      <c r="B1591" s="783" t="s">
        <v>51</v>
      </c>
      <c r="C1591" s="783" t="s">
        <v>4042</v>
      </c>
      <c r="D1591" s="783" t="s">
        <v>4016</v>
      </c>
      <c r="E1591" s="783" t="s">
        <v>5934</v>
      </c>
      <c r="F1591" s="783" t="s">
        <v>4011</v>
      </c>
      <c r="G1591" s="783" t="str">
        <f>VLOOKUP(I1591,pacage,2,FALSE)</f>
        <v>Renewal (20% in 2020)</v>
      </c>
      <c r="H1591" s="783" t="s">
        <v>5935</v>
      </c>
      <c r="I1591" s="783" t="s">
        <v>5936</v>
      </c>
      <c r="J1591" s="783">
        <v>20</v>
      </c>
      <c r="K1591" s="783" t="s">
        <v>27</v>
      </c>
      <c r="L1591" s="783" t="s">
        <v>4096</v>
      </c>
      <c r="M1591" s="784">
        <v>45140.57</v>
      </c>
      <c r="N1591" s="784">
        <v>32.58</v>
      </c>
      <c r="O1591" s="784">
        <v>3.49</v>
      </c>
      <c r="P1591" s="783">
        <v>397</v>
      </c>
      <c r="Q1591" s="783">
        <v>4310.92</v>
      </c>
      <c r="R1591" s="783">
        <v>2234.46</v>
      </c>
      <c r="S1591" s="783">
        <v>315.98</v>
      </c>
      <c r="T1591" s="783">
        <v>1760.48</v>
      </c>
      <c r="U1591" s="785">
        <v>44697.682592592602</v>
      </c>
    </row>
    <row r="1592" spans="1:21">
      <c r="A1592" s="782">
        <v>44694</v>
      </c>
      <c r="B1592" s="783" t="s">
        <v>51</v>
      </c>
      <c r="C1592" s="783" t="s">
        <v>4042</v>
      </c>
      <c r="D1592" s="783" t="s">
        <v>4016</v>
      </c>
      <c r="E1592" s="783" t="s">
        <v>1694</v>
      </c>
      <c r="F1592" s="783" t="s">
        <v>4011</v>
      </c>
      <c r="G1592" s="783" t="str">
        <f>VLOOKUP(I1592,pacage,2,FALSE)</f>
        <v>Renewal (20% in 2020)</v>
      </c>
      <c r="H1592" s="783" t="s">
        <v>5937</v>
      </c>
      <c r="I1592" s="783" t="s">
        <v>5938</v>
      </c>
      <c r="J1592" s="783">
        <v>25</v>
      </c>
      <c r="K1592" s="783" t="s">
        <v>27</v>
      </c>
      <c r="L1592" s="783" t="s">
        <v>4096</v>
      </c>
      <c r="M1592" s="784">
        <v>96954.07</v>
      </c>
      <c r="N1592" s="784">
        <v>77.040000000000006</v>
      </c>
      <c r="O1592" s="784">
        <v>3.17</v>
      </c>
      <c r="P1592" s="783">
        <v>397</v>
      </c>
      <c r="Q1592" s="783">
        <v>7446.07</v>
      </c>
      <c r="R1592" s="783">
        <v>4799.2299999999996</v>
      </c>
      <c r="S1592" s="783">
        <v>678.68</v>
      </c>
      <c r="T1592" s="783">
        <v>1968.17</v>
      </c>
      <c r="U1592" s="785">
        <v>44697.605740740699</v>
      </c>
    </row>
    <row r="1593" spans="1:21">
      <c r="A1593" s="782">
        <v>44712</v>
      </c>
      <c r="B1593" s="783" t="s">
        <v>41</v>
      </c>
      <c r="C1593" s="783" t="s">
        <v>4082</v>
      </c>
      <c r="D1593" s="783" t="s">
        <v>4009</v>
      </c>
      <c r="E1593" s="783" t="s">
        <v>5939</v>
      </c>
      <c r="F1593" s="783" t="s">
        <v>4011</v>
      </c>
      <c r="G1593" s="783" t="str">
        <f>VLOOKUP(I1593,pacage,2,FALSE)</f>
        <v>New Contract</v>
      </c>
      <c r="H1593" s="783" t="s">
        <v>5940</v>
      </c>
      <c r="I1593" s="783" t="s">
        <v>5941</v>
      </c>
      <c r="J1593" s="783">
        <v>20</v>
      </c>
      <c r="K1593" s="783" t="s">
        <v>27</v>
      </c>
      <c r="L1593" s="783" t="s">
        <v>4096</v>
      </c>
      <c r="M1593" s="784">
        <v>30034.37</v>
      </c>
      <c r="N1593" s="784">
        <v>16.38</v>
      </c>
      <c r="O1593" s="784">
        <v>3.82</v>
      </c>
      <c r="P1593" s="783">
        <v>480</v>
      </c>
      <c r="Q1593" s="783">
        <v>2441.79</v>
      </c>
      <c r="R1593" s="783">
        <v>1008.54</v>
      </c>
      <c r="S1593" s="783">
        <v>511.2</v>
      </c>
      <c r="T1593" s="783">
        <v>922.06</v>
      </c>
      <c r="U1593" s="785">
        <v>44715.3992939815</v>
      </c>
    </row>
    <row r="1594" spans="1:21">
      <c r="A1594" s="782">
        <v>44638</v>
      </c>
      <c r="B1594" s="783" t="s">
        <v>41</v>
      </c>
      <c r="C1594" s="783" t="s">
        <v>4071</v>
      </c>
      <c r="D1594" s="783" t="s">
        <v>4009</v>
      </c>
      <c r="E1594" s="783" t="s">
        <v>5945</v>
      </c>
      <c r="F1594" s="783" t="s">
        <v>4066</v>
      </c>
      <c r="G1594" s="783" t="s">
        <v>4028</v>
      </c>
      <c r="H1594" s="783" t="s">
        <v>5946</v>
      </c>
      <c r="I1594" s="783" t="s">
        <v>5947</v>
      </c>
      <c r="J1594" s="783">
        <v>10</v>
      </c>
      <c r="K1594" s="783" t="s">
        <v>27</v>
      </c>
      <c r="L1594" s="783" t="s">
        <v>4096</v>
      </c>
      <c r="M1594" s="784">
        <v>16864.560000000001</v>
      </c>
      <c r="N1594" s="784">
        <v>10.62</v>
      </c>
      <c r="O1594" s="784">
        <v>4</v>
      </c>
      <c r="P1594" s="783">
        <v>397</v>
      </c>
      <c r="Q1594" s="783">
        <v>701.57</v>
      </c>
      <c r="R1594" s="783">
        <v>0</v>
      </c>
      <c r="S1594" s="783">
        <v>0</v>
      </c>
      <c r="T1594" s="783">
        <v>701.57</v>
      </c>
      <c r="U1594" s="785">
        <v>44638.562222222201</v>
      </c>
    </row>
    <row r="1595" spans="1:21">
      <c r="A1595" s="782">
        <v>44638</v>
      </c>
      <c r="B1595" s="783" t="s">
        <v>41</v>
      </c>
      <c r="C1595" s="783" t="s">
        <v>4139</v>
      </c>
      <c r="D1595" s="783" t="s">
        <v>4009</v>
      </c>
      <c r="E1595" s="783" t="s">
        <v>5945</v>
      </c>
      <c r="F1595" s="783" t="s">
        <v>4066</v>
      </c>
      <c r="G1595" s="783" t="s">
        <v>4028</v>
      </c>
      <c r="H1595" s="783" t="s">
        <v>5946</v>
      </c>
      <c r="I1595" s="783" t="s">
        <v>5947</v>
      </c>
      <c r="J1595" s="783">
        <v>10</v>
      </c>
      <c r="K1595" s="783" t="s">
        <v>27</v>
      </c>
      <c r="L1595" s="783" t="s">
        <v>4096</v>
      </c>
      <c r="M1595" s="784">
        <v>16705.759999999998</v>
      </c>
      <c r="N1595" s="784">
        <v>10.52</v>
      </c>
      <c r="O1595" s="784">
        <v>4</v>
      </c>
      <c r="P1595" s="783">
        <v>397</v>
      </c>
      <c r="Q1595" s="783">
        <v>833.62</v>
      </c>
      <c r="R1595" s="783">
        <v>0</v>
      </c>
      <c r="S1595" s="783">
        <v>0</v>
      </c>
      <c r="T1595" s="783">
        <v>833.62</v>
      </c>
      <c r="U1595" s="785">
        <v>44638.562222222201</v>
      </c>
    </row>
    <row r="1596" spans="1:21">
      <c r="A1596" s="782">
        <v>44643</v>
      </c>
      <c r="B1596" s="783" t="s">
        <v>30</v>
      </c>
      <c r="C1596" s="783" t="s">
        <v>4089</v>
      </c>
      <c r="D1596" s="783" t="s">
        <v>4021</v>
      </c>
      <c r="E1596" s="783" t="s">
        <v>5951</v>
      </c>
      <c r="F1596" s="783" t="s">
        <v>4011</v>
      </c>
      <c r="G1596" s="783" t="str">
        <f t="shared" ref="G1596:G1603" si="87">VLOOKUP(I1596,pacage,2,FALSE)</f>
        <v>Renewal (15% in 2020)</v>
      </c>
      <c r="H1596" s="783" t="s">
        <v>5952</v>
      </c>
      <c r="I1596" s="783" t="s">
        <v>5953</v>
      </c>
      <c r="J1596" s="783">
        <v>15</v>
      </c>
      <c r="K1596" s="783" t="s">
        <v>27</v>
      </c>
      <c r="L1596" s="783" t="s">
        <v>4096</v>
      </c>
      <c r="M1596" s="784">
        <v>35579.120000000003</v>
      </c>
      <c r="N1596" s="784">
        <v>27.17</v>
      </c>
      <c r="O1596" s="784">
        <v>2.91</v>
      </c>
      <c r="P1596" s="783">
        <v>450</v>
      </c>
      <c r="Q1596" s="783">
        <v>3742.92</v>
      </c>
      <c r="R1596" s="783">
        <v>1286.94</v>
      </c>
      <c r="S1596" s="783">
        <v>395.96</v>
      </c>
      <c r="T1596" s="783">
        <v>2060.0300000000002</v>
      </c>
      <c r="U1596" s="785">
        <v>44644.369722222204</v>
      </c>
    </row>
    <row r="1597" spans="1:21">
      <c r="A1597" s="782">
        <v>44642</v>
      </c>
      <c r="B1597" s="783" t="s">
        <v>41</v>
      </c>
      <c r="C1597" s="783" t="s">
        <v>4071</v>
      </c>
      <c r="D1597" s="783" t="s">
        <v>4009</v>
      </c>
      <c r="E1597" s="783" t="s">
        <v>5954</v>
      </c>
      <c r="F1597" s="783" t="s">
        <v>4011</v>
      </c>
      <c r="G1597" s="783" t="str">
        <f t="shared" si="87"/>
        <v>Renewal (15% in 2020)</v>
      </c>
      <c r="H1597" s="783" t="s">
        <v>5955</v>
      </c>
      <c r="I1597" s="783" t="s">
        <v>5956</v>
      </c>
      <c r="J1597" s="783">
        <v>15</v>
      </c>
      <c r="K1597" s="783" t="s">
        <v>27</v>
      </c>
      <c r="L1597" s="783" t="s">
        <v>4096</v>
      </c>
      <c r="M1597" s="784">
        <v>13748.8</v>
      </c>
      <c r="N1597" s="784">
        <v>13.22</v>
      </c>
      <c r="O1597" s="784">
        <v>2.6</v>
      </c>
      <c r="P1597" s="783">
        <v>400</v>
      </c>
      <c r="Q1597" s="783">
        <v>1560.49</v>
      </c>
      <c r="R1597" s="783">
        <v>654.99</v>
      </c>
      <c r="S1597" s="783">
        <v>86.07</v>
      </c>
      <c r="T1597" s="783">
        <v>819.43</v>
      </c>
      <c r="U1597" s="785">
        <v>44643.367488425902</v>
      </c>
    </row>
    <row r="1598" spans="1:21">
      <c r="A1598" s="782">
        <v>44642</v>
      </c>
      <c r="B1598" s="783" t="s">
        <v>30</v>
      </c>
      <c r="C1598" s="783" t="s">
        <v>4239</v>
      </c>
      <c r="D1598" s="783" t="s">
        <v>4021</v>
      </c>
      <c r="E1598" s="783" t="s">
        <v>5957</v>
      </c>
      <c r="F1598" s="783" t="s">
        <v>4011</v>
      </c>
      <c r="G1598" s="783" t="str">
        <f t="shared" si="87"/>
        <v>Renewal (30% in 2020)</v>
      </c>
      <c r="H1598" s="783" t="s">
        <v>5958</v>
      </c>
      <c r="I1598" s="783" t="s">
        <v>5959</v>
      </c>
      <c r="J1598" s="783">
        <v>30</v>
      </c>
      <c r="K1598" s="783" t="s">
        <v>27</v>
      </c>
      <c r="L1598" s="783" t="s">
        <v>4096</v>
      </c>
      <c r="M1598" s="784">
        <v>60044</v>
      </c>
      <c r="N1598" s="784">
        <v>44.15</v>
      </c>
      <c r="O1598" s="784">
        <v>3.4</v>
      </c>
      <c r="P1598" s="783">
        <v>400</v>
      </c>
      <c r="Q1598" s="783">
        <v>4075.93</v>
      </c>
      <c r="R1598" s="783">
        <v>2783.37</v>
      </c>
      <c r="S1598" s="783">
        <v>21.03</v>
      </c>
      <c r="T1598" s="783">
        <v>1271.52</v>
      </c>
      <c r="U1598" s="785">
        <v>44643.370752314797</v>
      </c>
    </row>
    <row r="1599" spans="1:21">
      <c r="A1599" s="782">
        <v>44652</v>
      </c>
      <c r="B1599" s="783" t="s">
        <v>51</v>
      </c>
      <c r="C1599" s="783" t="s">
        <v>4796</v>
      </c>
      <c r="D1599" s="783" t="s">
        <v>4016</v>
      </c>
      <c r="E1599" s="783" t="s">
        <v>1130</v>
      </c>
      <c r="F1599" s="783" t="s">
        <v>4011</v>
      </c>
      <c r="G1599" s="783" t="str">
        <f t="shared" si="87"/>
        <v>Renewal (25% in 2020)</v>
      </c>
      <c r="H1599" s="783" t="s">
        <v>5962</v>
      </c>
      <c r="I1599" s="783" t="s">
        <v>5963</v>
      </c>
      <c r="J1599" s="783">
        <v>25</v>
      </c>
      <c r="K1599" s="783" t="s">
        <v>27</v>
      </c>
      <c r="L1599" s="783" t="s">
        <v>4096</v>
      </c>
      <c r="M1599" s="784">
        <v>35822.660000000003</v>
      </c>
      <c r="N1599" s="784">
        <v>29.78</v>
      </c>
      <c r="O1599" s="784">
        <v>3.03</v>
      </c>
      <c r="P1599" s="783">
        <v>397</v>
      </c>
      <c r="Q1599" s="783">
        <v>2693.86</v>
      </c>
      <c r="R1599" s="783">
        <v>1740.98</v>
      </c>
      <c r="S1599" s="783">
        <v>250.76</v>
      </c>
      <c r="T1599" s="783">
        <v>702.12</v>
      </c>
      <c r="U1599" s="785">
        <v>44655.506458333301</v>
      </c>
    </row>
    <row r="1600" spans="1:21">
      <c r="A1600" s="782">
        <v>44652</v>
      </c>
      <c r="B1600" s="783" t="s">
        <v>2866</v>
      </c>
      <c r="C1600" s="783" t="s">
        <v>4008</v>
      </c>
      <c r="D1600" s="783" t="s">
        <v>4009</v>
      </c>
      <c r="E1600" s="783" t="s">
        <v>5964</v>
      </c>
      <c r="F1600" s="783" t="s">
        <v>4011</v>
      </c>
      <c r="G1600" s="783" t="str">
        <f t="shared" si="87"/>
        <v>Renewal (25% in 2020)</v>
      </c>
      <c r="H1600" s="783" t="s">
        <v>5965</v>
      </c>
      <c r="I1600" s="783" t="s">
        <v>5966</v>
      </c>
      <c r="J1600" s="783">
        <v>25</v>
      </c>
      <c r="K1600" s="783" t="s">
        <v>27</v>
      </c>
      <c r="L1600" s="783" t="s">
        <v>4096</v>
      </c>
      <c r="M1600" s="784">
        <v>7982</v>
      </c>
      <c r="N1600" s="784">
        <v>8.14</v>
      </c>
      <c r="O1600" s="784">
        <v>2.4700000000000002</v>
      </c>
      <c r="P1600" s="783">
        <v>397</v>
      </c>
      <c r="Q1600" s="783">
        <v>645.74</v>
      </c>
      <c r="R1600" s="783">
        <v>344.82</v>
      </c>
      <c r="S1600" s="783">
        <v>125.32</v>
      </c>
      <c r="T1600" s="783">
        <v>175.6</v>
      </c>
      <c r="U1600" s="785">
        <v>44655.503194444398</v>
      </c>
    </row>
    <row r="1601" spans="1:21">
      <c r="A1601" s="782">
        <v>44658</v>
      </c>
      <c r="B1601" s="783" t="s">
        <v>34</v>
      </c>
      <c r="C1601" s="783" t="s">
        <v>4082</v>
      </c>
      <c r="D1601" s="783" t="s">
        <v>4009</v>
      </c>
      <c r="E1601" s="783" t="s">
        <v>4690</v>
      </c>
      <c r="F1601" s="783" t="s">
        <v>4011</v>
      </c>
      <c r="G1601" s="783" t="str">
        <f t="shared" si="87"/>
        <v>Renewal (30% in 2020)</v>
      </c>
      <c r="H1601" s="783" t="s">
        <v>4691</v>
      </c>
      <c r="I1601" s="783" t="s">
        <v>4692</v>
      </c>
      <c r="J1601" s="783">
        <v>30</v>
      </c>
      <c r="K1601" s="783" t="s">
        <v>27</v>
      </c>
      <c r="L1601" s="783" t="s">
        <v>4096</v>
      </c>
      <c r="M1601" s="784">
        <v>35628.29</v>
      </c>
      <c r="N1601" s="784">
        <v>35.97</v>
      </c>
      <c r="O1601" s="784">
        <v>2.83</v>
      </c>
      <c r="P1601" s="783">
        <v>350</v>
      </c>
      <c r="Q1601" s="783">
        <v>1952.43</v>
      </c>
      <c r="R1601" s="783">
        <v>1446.51</v>
      </c>
      <c r="S1601" s="783">
        <v>0</v>
      </c>
      <c r="T1601" s="783">
        <v>505.92</v>
      </c>
      <c r="U1601" s="785">
        <v>44659.413680555597</v>
      </c>
    </row>
    <row r="1602" spans="1:21">
      <c r="A1602" s="782">
        <v>44652</v>
      </c>
      <c r="B1602" s="783" t="s">
        <v>34</v>
      </c>
      <c r="C1602" s="783" t="s">
        <v>4139</v>
      </c>
      <c r="D1602" s="783" t="s">
        <v>4009</v>
      </c>
      <c r="E1602" s="783" t="s">
        <v>456</v>
      </c>
      <c r="F1602" s="783" t="s">
        <v>4011</v>
      </c>
      <c r="G1602" s="783" t="str">
        <f t="shared" si="87"/>
        <v>Renewal (20% in 2020)</v>
      </c>
      <c r="H1602" s="783" t="s">
        <v>5967</v>
      </c>
      <c r="I1602" s="783" t="s">
        <v>5968</v>
      </c>
      <c r="J1602" s="783">
        <v>20</v>
      </c>
      <c r="K1602" s="783" t="s">
        <v>27</v>
      </c>
      <c r="L1602" s="783" t="s">
        <v>4096</v>
      </c>
      <c r="M1602" s="784">
        <v>10978.2</v>
      </c>
      <c r="N1602" s="784">
        <v>10.7</v>
      </c>
      <c r="O1602" s="784">
        <v>2.85</v>
      </c>
      <c r="P1602" s="783">
        <v>360</v>
      </c>
      <c r="Q1602" s="783">
        <v>1149.42</v>
      </c>
      <c r="R1602" s="783">
        <v>636.74</v>
      </c>
      <c r="S1602" s="783">
        <v>76.849999999999994</v>
      </c>
      <c r="T1602" s="783">
        <v>435.83</v>
      </c>
      <c r="U1602" s="785">
        <v>44655.604004629597</v>
      </c>
    </row>
    <row r="1603" spans="1:21">
      <c r="A1603" s="782">
        <v>44665</v>
      </c>
      <c r="B1603" s="783" t="s">
        <v>41</v>
      </c>
      <c r="C1603" s="783" t="s">
        <v>4071</v>
      </c>
      <c r="D1603" s="783" t="s">
        <v>4009</v>
      </c>
      <c r="E1603" s="783" t="s">
        <v>5969</v>
      </c>
      <c r="F1603" s="783" t="s">
        <v>4011</v>
      </c>
      <c r="G1603" s="783" t="str">
        <f t="shared" si="87"/>
        <v>Renewal (20% in 2020)</v>
      </c>
      <c r="H1603" s="783" t="s">
        <v>5970</v>
      </c>
      <c r="I1603" s="783" t="s">
        <v>5971</v>
      </c>
      <c r="J1603" s="783">
        <v>30</v>
      </c>
      <c r="K1603" s="783" t="s">
        <v>27</v>
      </c>
      <c r="L1603" s="783" t="s">
        <v>4096</v>
      </c>
      <c r="M1603" s="784">
        <v>66360</v>
      </c>
      <c r="N1603" s="784">
        <v>42</v>
      </c>
      <c r="O1603" s="784">
        <v>3.16</v>
      </c>
      <c r="P1603" s="783">
        <v>500</v>
      </c>
      <c r="Q1603" s="783">
        <v>4213.8599999999997</v>
      </c>
      <c r="R1603" s="783">
        <v>2529.11</v>
      </c>
      <c r="S1603" s="783">
        <v>656.17</v>
      </c>
      <c r="T1603" s="783">
        <v>1028.58</v>
      </c>
      <c r="U1603" s="785">
        <v>44665.6721412037</v>
      </c>
    </row>
    <row r="1604" spans="1:21">
      <c r="A1604" s="782">
        <v>44652</v>
      </c>
      <c r="B1604" s="783" t="s">
        <v>65</v>
      </c>
      <c r="C1604" s="783" t="s">
        <v>5861</v>
      </c>
      <c r="D1604" s="783" t="s">
        <v>4258</v>
      </c>
      <c r="E1604" s="783" t="s">
        <v>6598</v>
      </c>
      <c r="F1604" s="783" t="s">
        <v>4066</v>
      </c>
      <c r="G1604" s="783" t="s">
        <v>4028</v>
      </c>
      <c r="H1604" s="783" t="s">
        <v>6599</v>
      </c>
      <c r="I1604" s="783" t="s">
        <v>6600</v>
      </c>
      <c r="J1604" s="783">
        <v>5</v>
      </c>
      <c r="K1604" s="783" t="s">
        <v>27</v>
      </c>
      <c r="L1604" s="783" t="s">
        <v>4096</v>
      </c>
      <c r="M1604" s="784">
        <v>197009.6</v>
      </c>
      <c r="N1604" s="784">
        <v>72.430000000000007</v>
      </c>
      <c r="O1604" s="784">
        <v>4</v>
      </c>
      <c r="P1604" s="783">
        <v>680</v>
      </c>
      <c r="Q1604" s="783">
        <v>6796.83</v>
      </c>
      <c r="R1604" s="783">
        <v>0</v>
      </c>
      <c r="S1604" s="783">
        <v>0</v>
      </c>
      <c r="T1604" s="783">
        <v>6796.83</v>
      </c>
      <c r="U1604" s="785">
        <v>44655.6015625</v>
      </c>
    </row>
    <row r="1605" spans="1:21">
      <c r="A1605" s="782">
        <v>44714</v>
      </c>
      <c r="B1605" s="783" t="s">
        <v>34</v>
      </c>
      <c r="C1605" s="783" t="s">
        <v>4082</v>
      </c>
      <c r="D1605" s="783" t="s">
        <v>4009</v>
      </c>
      <c r="E1605" s="783" t="s">
        <v>309</v>
      </c>
      <c r="F1605" s="783" t="s">
        <v>4011</v>
      </c>
      <c r="G1605" s="783" t="str">
        <f>VLOOKUP(I1605,pacage,2,FALSE)</f>
        <v>Renewal (30% in 2020)</v>
      </c>
      <c r="H1605" s="783" t="s">
        <v>5978</v>
      </c>
      <c r="I1605" s="783" t="s">
        <v>5979</v>
      </c>
      <c r="J1605" s="783">
        <v>30</v>
      </c>
      <c r="K1605" s="783" t="s">
        <v>27</v>
      </c>
      <c r="L1605" s="783" t="s">
        <v>4096</v>
      </c>
      <c r="M1605" s="784">
        <v>23822.400000000001</v>
      </c>
      <c r="N1605" s="784">
        <v>21.27</v>
      </c>
      <c r="O1605" s="784">
        <v>3.2</v>
      </c>
      <c r="P1605" s="783">
        <v>350</v>
      </c>
      <c r="Q1605" s="783">
        <v>1305.47</v>
      </c>
      <c r="R1605" s="783">
        <v>967.19</v>
      </c>
      <c r="S1605" s="783">
        <v>0</v>
      </c>
      <c r="T1605" s="783">
        <v>338.28</v>
      </c>
      <c r="U1605" s="785">
        <v>44715.442395833299</v>
      </c>
    </row>
    <row r="1606" spans="1:21">
      <c r="A1606" s="782">
        <v>44652</v>
      </c>
      <c r="B1606" s="783" t="s">
        <v>47</v>
      </c>
      <c r="C1606" s="783" t="s">
        <v>4101</v>
      </c>
      <c r="D1606" s="783" t="s">
        <v>4102</v>
      </c>
      <c r="E1606" s="783" t="s">
        <v>5980</v>
      </c>
      <c r="F1606" s="783" t="s">
        <v>4011</v>
      </c>
      <c r="G1606" s="783" t="str">
        <f>VLOOKUP(I1606,pacage,2,FALSE)</f>
        <v>Renewal (25% in 2020)</v>
      </c>
      <c r="H1606" s="783" t="s">
        <v>5981</v>
      </c>
      <c r="I1606" s="783" t="s">
        <v>5982</v>
      </c>
      <c r="J1606" s="783">
        <v>25</v>
      </c>
      <c r="K1606" s="783" t="s">
        <v>27</v>
      </c>
      <c r="L1606" s="783" t="s">
        <v>4096</v>
      </c>
      <c r="M1606" s="784">
        <v>44520</v>
      </c>
      <c r="N1606" s="784">
        <v>35</v>
      </c>
      <c r="O1606" s="784">
        <v>3.18</v>
      </c>
      <c r="P1606" s="783">
        <v>400</v>
      </c>
      <c r="Q1606" s="783">
        <v>2479.7600000000002</v>
      </c>
      <c r="R1606" s="783">
        <v>1617.21</v>
      </c>
      <c r="S1606" s="783">
        <v>230.37</v>
      </c>
      <c r="T1606" s="783">
        <v>632.17999999999995</v>
      </c>
      <c r="U1606" s="785">
        <v>44655.504884259302</v>
      </c>
    </row>
    <row r="1607" spans="1:21">
      <c r="A1607" s="782">
        <v>44655</v>
      </c>
      <c r="B1607" s="783" t="s">
        <v>113</v>
      </c>
      <c r="C1607" s="783" t="s">
        <v>4097</v>
      </c>
      <c r="D1607" s="783" t="s">
        <v>4038</v>
      </c>
      <c r="E1607" s="783" t="s">
        <v>5983</v>
      </c>
      <c r="F1607" s="783" t="s">
        <v>4066</v>
      </c>
      <c r="G1607" s="783" t="str">
        <f>VLOOKUP(I1607,pacage,2,FALSE)</f>
        <v>Renewal (15% in 2020)</v>
      </c>
      <c r="H1607" s="783" t="s">
        <v>5984</v>
      </c>
      <c r="I1607" s="783" t="s">
        <v>5985</v>
      </c>
      <c r="J1607" s="783">
        <v>10</v>
      </c>
      <c r="K1607" s="783" t="s">
        <v>27</v>
      </c>
      <c r="L1607" s="783" t="s">
        <v>4096</v>
      </c>
      <c r="M1607" s="784">
        <v>16674</v>
      </c>
      <c r="N1607" s="784">
        <v>14</v>
      </c>
      <c r="O1607" s="784">
        <v>3</v>
      </c>
      <c r="P1607" s="783">
        <v>397</v>
      </c>
      <c r="Q1607" s="783">
        <v>1058.8</v>
      </c>
      <c r="R1607" s="783">
        <v>0</v>
      </c>
      <c r="S1607" s="783">
        <v>0</v>
      </c>
      <c r="T1607" s="783">
        <v>1058.8</v>
      </c>
      <c r="U1607" s="785">
        <v>44657.619456018503</v>
      </c>
    </row>
    <row r="1608" spans="1:21">
      <c r="A1608" s="782">
        <v>44652</v>
      </c>
      <c r="B1608" s="783" t="s">
        <v>51</v>
      </c>
      <c r="C1608" s="783" t="s">
        <v>4042</v>
      </c>
      <c r="D1608" s="783" t="s">
        <v>4016</v>
      </c>
      <c r="E1608" s="783" t="s">
        <v>5986</v>
      </c>
      <c r="F1608" s="783" t="s">
        <v>4011</v>
      </c>
      <c r="G1608" s="783" t="str">
        <f>VLOOKUP(I1608,pacage,2,FALSE)</f>
        <v>New Contract</v>
      </c>
      <c r="H1608" s="783" t="s">
        <v>5987</v>
      </c>
      <c r="I1608" s="783" t="s">
        <v>5988</v>
      </c>
      <c r="J1608" s="783">
        <v>20</v>
      </c>
      <c r="K1608" s="783" t="s">
        <v>27</v>
      </c>
      <c r="L1608" s="783" t="s">
        <v>4096</v>
      </c>
      <c r="M1608" s="784">
        <v>48306.2</v>
      </c>
      <c r="N1608" s="784">
        <v>34.25</v>
      </c>
      <c r="O1608" s="784">
        <v>3.28</v>
      </c>
      <c r="P1608" s="783">
        <v>430</v>
      </c>
      <c r="Q1608" s="783">
        <v>4613.24</v>
      </c>
      <c r="R1608" s="783">
        <v>2207.65</v>
      </c>
      <c r="S1608" s="783">
        <v>521.65</v>
      </c>
      <c r="T1608" s="783">
        <v>1883.94</v>
      </c>
      <c r="U1608" s="785">
        <v>44655.4989236111</v>
      </c>
    </row>
    <row r="1609" spans="1:21">
      <c r="A1609" s="782">
        <v>44686</v>
      </c>
      <c r="B1609" s="783" t="s">
        <v>51</v>
      </c>
      <c r="C1609" s="783" t="s">
        <v>4015</v>
      </c>
      <c r="D1609" s="783" t="s">
        <v>4016</v>
      </c>
      <c r="E1609" s="783" t="s">
        <v>2227</v>
      </c>
      <c r="F1609" s="783" t="s">
        <v>4011</v>
      </c>
      <c r="G1609" s="783" t="str">
        <f>VLOOKUP(I1609,pacage,2,FALSE)</f>
        <v>Renewal (20% in 2020)</v>
      </c>
      <c r="H1609" s="783" t="s">
        <v>4069</v>
      </c>
      <c r="I1609" s="783" t="s">
        <v>4070</v>
      </c>
      <c r="J1609" s="783">
        <v>20</v>
      </c>
      <c r="K1609" s="783" t="s">
        <v>27</v>
      </c>
      <c r="L1609" s="783" t="s">
        <v>4096</v>
      </c>
      <c r="M1609" s="784">
        <v>36265.949999999997</v>
      </c>
      <c r="N1609" s="784">
        <v>35</v>
      </c>
      <c r="O1609" s="784">
        <v>2.61</v>
      </c>
      <c r="P1609" s="783">
        <v>397</v>
      </c>
      <c r="Q1609" s="783">
        <v>3093.49</v>
      </c>
      <c r="R1609" s="783">
        <v>1577.57</v>
      </c>
      <c r="S1609" s="783">
        <v>235.73</v>
      </c>
      <c r="T1609" s="783">
        <v>1280.19</v>
      </c>
      <c r="U1609" s="785">
        <v>44687.664907407401</v>
      </c>
    </row>
    <row r="1610" spans="1:21">
      <c r="A1610" s="782">
        <v>44655</v>
      </c>
      <c r="B1610" s="783" t="s">
        <v>2866</v>
      </c>
      <c r="C1610" s="783" t="s">
        <v>4008</v>
      </c>
      <c r="D1610" s="783" t="s">
        <v>4009</v>
      </c>
      <c r="E1610" s="783" t="s">
        <v>5995</v>
      </c>
      <c r="F1610" s="783" t="s">
        <v>4011</v>
      </c>
      <c r="G1610" s="783" t="s">
        <v>4028</v>
      </c>
      <c r="H1610" s="783" t="s">
        <v>5996</v>
      </c>
      <c r="I1610" s="783" t="s">
        <v>5997</v>
      </c>
      <c r="J1610" s="783">
        <v>15</v>
      </c>
      <c r="K1610" s="783" t="s">
        <v>27</v>
      </c>
      <c r="L1610" s="783" t="s">
        <v>4096</v>
      </c>
      <c r="M1610" s="784">
        <v>38362.5</v>
      </c>
      <c r="N1610" s="784">
        <v>33</v>
      </c>
      <c r="O1610" s="784">
        <v>3.1</v>
      </c>
      <c r="P1610" s="783">
        <v>375</v>
      </c>
      <c r="Q1610" s="783">
        <v>4956.4399999999996</v>
      </c>
      <c r="R1610" s="783">
        <v>1657.26</v>
      </c>
      <c r="S1610" s="783">
        <v>602.29</v>
      </c>
      <c r="T1610" s="783">
        <v>2696.88</v>
      </c>
      <c r="U1610" s="785">
        <v>44657.605914351901</v>
      </c>
    </row>
    <row r="1611" spans="1:21">
      <c r="A1611" s="782">
        <v>44698</v>
      </c>
      <c r="B1611" s="783" t="s">
        <v>228</v>
      </c>
      <c r="C1611" s="783" t="s">
        <v>4417</v>
      </c>
      <c r="D1611" s="783" t="s">
        <v>4193</v>
      </c>
      <c r="E1611" s="783" t="s">
        <v>4418</v>
      </c>
      <c r="F1611" s="783" t="s">
        <v>4011</v>
      </c>
      <c r="G1611" s="783" t="str">
        <f>VLOOKUP(I1611,pacage,2,FALSE)</f>
        <v>Renewal (25% in 2020)</v>
      </c>
      <c r="H1611" s="783" t="s">
        <v>4419</v>
      </c>
      <c r="I1611" s="783" t="s">
        <v>4420</v>
      </c>
      <c r="J1611" s="783">
        <v>25</v>
      </c>
      <c r="K1611" s="783" t="s">
        <v>27</v>
      </c>
      <c r="L1611" s="783" t="s">
        <v>4096</v>
      </c>
      <c r="M1611" s="784">
        <v>14691.34</v>
      </c>
      <c r="N1611" s="784">
        <v>12.63</v>
      </c>
      <c r="O1611" s="784">
        <v>2.93</v>
      </c>
      <c r="P1611" s="783">
        <v>397</v>
      </c>
      <c r="Q1611" s="783">
        <v>1154.74</v>
      </c>
      <c r="R1611" s="783">
        <v>761.01</v>
      </c>
      <c r="S1611" s="783">
        <v>104.31</v>
      </c>
      <c r="T1611" s="783">
        <v>289.42</v>
      </c>
      <c r="U1611" s="785">
        <v>44699.714861111097</v>
      </c>
    </row>
    <row r="1612" spans="1:21">
      <c r="A1612" s="782">
        <v>44615</v>
      </c>
      <c r="B1612" s="783" t="s">
        <v>41</v>
      </c>
      <c r="C1612" s="783" t="s">
        <v>4139</v>
      </c>
      <c r="D1612" s="783" t="s">
        <v>4009</v>
      </c>
      <c r="E1612" s="783" t="s">
        <v>1583</v>
      </c>
      <c r="F1612" s="783" t="s">
        <v>4011</v>
      </c>
      <c r="G1612" s="783" t="str">
        <f>VLOOKUP(I1612,pacage,2,FALSE)</f>
        <v>Renewal (20% in 2020)</v>
      </c>
      <c r="H1612" s="783" t="s">
        <v>5998</v>
      </c>
      <c r="I1612" s="783" t="s">
        <v>5999</v>
      </c>
      <c r="J1612" s="783">
        <v>20</v>
      </c>
      <c r="K1612" s="783" t="s">
        <v>27</v>
      </c>
      <c r="L1612" s="783" t="s">
        <v>4096</v>
      </c>
      <c r="M1612" s="784">
        <v>4099.26</v>
      </c>
      <c r="N1612" s="784">
        <v>3.2</v>
      </c>
      <c r="O1612" s="784">
        <v>3.79</v>
      </c>
      <c r="P1612" s="783">
        <v>338</v>
      </c>
      <c r="Q1612" s="783">
        <v>429.19</v>
      </c>
      <c r="R1612" s="783">
        <v>237.76</v>
      </c>
      <c r="S1612" s="783">
        <v>28.69</v>
      </c>
      <c r="T1612" s="783">
        <v>162.74</v>
      </c>
      <c r="U1612" s="785">
        <v>44631.511909722198</v>
      </c>
    </row>
    <row r="1613" spans="1:21">
      <c r="A1613" s="782">
        <v>44565</v>
      </c>
      <c r="B1613" s="783" t="s">
        <v>41</v>
      </c>
      <c r="C1613" s="783" t="s">
        <v>4192</v>
      </c>
      <c r="D1613" s="783" t="s">
        <v>4193</v>
      </c>
      <c r="E1613" s="783" t="s">
        <v>4194</v>
      </c>
      <c r="F1613" s="783" t="s">
        <v>4011</v>
      </c>
      <c r="G1613" s="783" t="str">
        <f>VLOOKUP(I1613,pacage,2,FALSE)</f>
        <v>Renewal (15% in 2020)</v>
      </c>
      <c r="H1613" s="783" t="s">
        <v>4195</v>
      </c>
      <c r="I1613" s="783" t="s">
        <v>4196</v>
      </c>
      <c r="J1613" s="783">
        <v>30</v>
      </c>
      <c r="K1613" s="783" t="s">
        <v>27</v>
      </c>
      <c r="L1613" s="783" t="s">
        <v>4096</v>
      </c>
      <c r="M1613" s="784">
        <v>23627.52</v>
      </c>
      <c r="N1613" s="784">
        <v>23.04</v>
      </c>
      <c r="O1613" s="784">
        <v>2.93</v>
      </c>
      <c r="P1613" s="783">
        <v>350</v>
      </c>
      <c r="Q1613" s="783">
        <v>1616.12</v>
      </c>
      <c r="R1613" s="783">
        <v>1160.1099999999999</v>
      </c>
      <c r="S1613" s="783">
        <v>0</v>
      </c>
      <c r="T1613" s="783">
        <v>456.01</v>
      </c>
      <c r="U1613" s="785">
        <v>44631.635254629597</v>
      </c>
    </row>
    <row r="1614" spans="1:21">
      <c r="A1614" s="782">
        <v>44559</v>
      </c>
      <c r="B1614" s="783" t="s">
        <v>34</v>
      </c>
      <c r="C1614" s="783" t="s">
        <v>4139</v>
      </c>
      <c r="D1614" s="783" t="s">
        <v>4009</v>
      </c>
      <c r="E1614" s="783" t="s">
        <v>6000</v>
      </c>
      <c r="F1614" s="783" t="s">
        <v>4011</v>
      </c>
      <c r="G1614" s="783" t="str">
        <f>VLOOKUP(I1614,pacage,2,FALSE)</f>
        <v>Renewal (25% in 2020)</v>
      </c>
      <c r="H1614" s="783" t="s">
        <v>6001</v>
      </c>
      <c r="I1614" s="783" t="s">
        <v>6002</v>
      </c>
      <c r="J1614" s="783">
        <v>25</v>
      </c>
      <c r="K1614" s="783" t="s">
        <v>27</v>
      </c>
      <c r="L1614" s="783" t="s">
        <v>4096</v>
      </c>
      <c r="M1614" s="784">
        <v>40614.21</v>
      </c>
      <c r="N1614" s="784">
        <v>36.54</v>
      </c>
      <c r="O1614" s="784">
        <v>2.4700000000000002</v>
      </c>
      <c r="P1614" s="783">
        <v>450</v>
      </c>
      <c r="Q1614" s="783">
        <v>3379.1</v>
      </c>
      <c r="R1614" s="783">
        <v>2078.1799999999998</v>
      </c>
      <c r="S1614" s="783">
        <v>561.74</v>
      </c>
      <c r="T1614" s="783">
        <v>739.18</v>
      </c>
      <c r="U1614" s="785">
        <v>44631.635381944398</v>
      </c>
    </row>
    <row r="1615" spans="1:21">
      <c r="A1615" s="782">
        <v>44572</v>
      </c>
      <c r="B1615" s="783" t="s">
        <v>41</v>
      </c>
      <c r="C1615" s="783" t="s">
        <v>4092</v>
      </c>
      <c r="D1615" s="783" t="s">
        <v>4009</v>
      </c>
      <c r="E1615" s="783" t="s">
        <v>6012</v>
      </c>
      <c r="F1615" s="783" t="s">
        <v>4011</v>
      </c>
      <c r="G1615" s="783" t="s">
        <v>4028</v>
      </c>
      <c r="H1615" s="783" t="s">
        <v>6013</v>
      </c>
      <c r="I1615" s="783" t="s">
        <v>6014</v>
      </c>
      <c r="J1615" s="783">
        <v>25</v>
      </c>
      <c r="K1615" s="783" t="s">
        <v>27</v>
      </c>
      <c r="L1615" s="783" t="s">
        <v>4096</v>
      </c>
      <c r="M1615" s="784">
        <v>29390.9</v>
      </c>
      <c r="N1615" s="784">
        <v>16.940000000000001</v>
      </c>
      <c r="O1615" s="784">
        <v>3.47</v>
      </c>
      <c r="P1615" s="783">
        <v>500</v>
      </c>
      <c r="Q1615" s="783">
        <v>1869.26</v>
      </c>
      <c r="R1615" s="783">
        <v>940.46</v>
      </c>
      <c r="S1615" s="783">
        <v>529.09</v>
      </c>
      <c r="T1615" s="783">
        <v>399.72</v>
      </c>
      <c r="U1615" s="785">
        <v>44631.632615740702</v>
      </c>
    </row>
    <row r="1616" spans="1:21">
      <c r="A1616" s="782">
        <v>44560</v>
      </c>
      <c r="B1616" s="783" t="s">
        <v>228</v>
      </c>
      <c r="C1616" s="783" t="s">
        <v>4192</v>
      </c>
      <c r="D1616" s="783" t="s">
        <v>4193</v>
      </c>
      <c r="E1616" s="783" t="s">
        <v>6015</v>
      </c>
      <c r="F1616" s="783" t="s">
        <v>4011</v>
      </c>
      <c r="G1616" s="783" t="s">
        <v>4028</v>
      </c>
      <c r="H1616" s="783" t="s">
        <v>6016</v>
      </c>
      <c r="I1616" s="783" t="s">
        <v>6017</v>
      </c>
      <c r="J1616" s="783">
        <v>25</v>
      </c>
      <c r="K1616" s="783" t="s">
        <v>27</v>
      </c>
      <c r="L1616" s="783" t="s">
        <v>4096</v>
      </c>
      <c r="M1616" s="784">
        <v>30473.65</v>
      </c>
      <c r="N1616" s="784">
        <v>23.33</v>
      </c>
      <c r="O1616" s="784">
        <v>3.11</v>
      </c>
      <c r="P1616" s="783">
        <v>420</v>
      </c>
      <c r="Q1616" s="783">
        <v>2291.62</v>
      </c>
      <c r="R1616" s="783">
        <v>1414.32</v>
      </c>
      <c r="S1616" s="783">
        <v>289.16000000000003</v>
      </c>
      <c r="T1616" s="783">
        <v>588.14</v>
      </c>
      <c r="U1616" s="785">
        <v>44631.635324074101</v>
      </c>
    </row>
    <row r="1617" spans="1:21">
      <c r="A1617" s="782">
        <v>44565</v>
      </c>
      <c r="B1617" s="783" t="s">
        <v>74</v>
      </c>
      <c r="C1617" s="783" t="s">
        <v>4097</v>
      </c>
      <c r="D1617" s="783" t="s">
        <v>4038</v>
      </c>
      <c r="E1617" s="783" t="s">
        <v>4423</v>
      </c>
      <c r="F1617" s="783" t="s">
        <v>4011</v>
      </c>
      <c r="G1617" s="783" t="s">
        <v>4028</v>
      </c>
      <c r="H1617" s="783" t="s">
        <v>4424</v>
      </c>
      <c r="I1617" s="783" t="s">
        <v>4425</v>
      </c>
      <c r="J1617" s="783">
        <v>20</v>
      </c>
      <c r="K1617" s="783" t="s">
        <v>27</v>
      </c>
      <c r="L1617" s="783" t="s">
        <v>4096</v>
      </c>
      <c r="M1617" s="784">
        <v>1497.78</v>
      </c>
      <c r="N1617" s="784">
        <v>1.06</v>
      </c>
      <c r="O1617" s="784">
        <v>3.14</v>
      </c>
      <c r="P1617" s="783">
        <v>450</v>
      </c>
      <c r="Q1617" s="783">
        <v>130.76</v>
      </c>
      <c r="R1617" s="783">
        <v>48.89</v>
      </c>
      <c r="S1617" s="783">
        <v>27.65</v>
      </c>
      <c r="T1617" s="783">
        <v>54.22</v>
      </c>
      <c r="U1617" s="785">
        <v>44631.632557870398</v>
      </c>
    </row>
    <row r="1618" spans="1:21">
      <c r="A1618" s="782">
        <v>44594</v>
      </c>
      <c r="B1618" s="783" t="s">
        <v>113</v>
      </c>
      <c r="C1618" s="783" t="s">
        <v>4097</v>
      </c>
      <c r="D1618" s="783" t="s">
        <v>4038</v>
      </c>
      <c r="E1618" s="783" t="s">
        <v>6021</v>
      </c>
      <c r="F1618" s="783" t="s">
        <v>4066</v>
      </c>
      <c r="G1618" s="783" t="str">
        <f>VLOOKUP(I1618,pacage,2,FALSE)</f>
        <v>Renewal (15% in 2020)</v>
      </c>
      <c r="H1618" s="783" t="s">
        <v>6022</v>
      </c>
      <c r="I1618" s="783" t="s">
        <v>6023</v>
      </c>
      <c r="J1618" s="783">
        <v>5</v>
      </c>
      <c r="K1618" s="783" t="s">
        <v>27</v>
      </c>
      <c r="L1618" s="783" t="s">
        <v>4096</v>
      </c>
      <c r="M1618" s="784">
        <v>15408</v>
      </c>
      <c r="N1618" s="784">
        <v>9.6300000000000008</v>
      </c>
      <c r="O1618" s="784">
        <v>4</v>
      </c>
      <c r="P1618" s="783">
        <v>400</v>
      </c>
      <c r="Q1618" s="783">
        <v>1454.52</v>
      </c>
      <c r="R1618" s="783">
        <v>0</v>
      </c>
      <c r="S1618" s="783">
        <v>0</v>
      </c>
      <c r="T1618" s="783">
        <v>1454.52</v>
      </c>
      <c r="U1618" s="785">
        <v>44631.635289351798</v>
      </c>
    </row>
    <row r="1619" spans="1:21">
      <c r="A1619" s="782">
        <v>44613</v>
      </c>
      <c r="B1619" s="783" t="s">
        <v>41</v>
      </c>
      <c r="C1619" s="783" t="s">
        <v>4082</v>
      </c>
      <c r="D1619" s="783" t="s">
        <v>4009</v>
      </c>
      <c r="E1619" s="783" t="s">
        <v>4699</v>
      </c>
      <c r="F1619" s="783" t="s">
        <v>4011</v>
      </c>
      <c r="G1619" s="783" t="str">
        <f>VLOOKUP(I1619,pacage,2,FALSE)</f>
        <v>Renewal (30% in 2020)</v>
      </c>
      <c r="H1619" s="783" t="s">
        <v>4700</v>
      </c>
      <c r="I1619" s="783" t="s">
        <v>4701</v>
      </c>
      <c r="J1619" s="783">
        <v>30</v>
      </c>
      <c r="K1619" s="783" t="s">
        <v>27</v>
      </c>
      <c r="L1619" s="783" t="s">
        <v>4096</v>
      </c>
      <c r="M1619" s="784">
        <v>50635.199999999997</v>
      </c>
      <c r="N1619" s="784">
        <v>28.77</v>
      </c>
      <c r="O1619" s="784">
        <v>3.52</v>
      </c>
      <c r="P1619" s="783">
        <v>500</v>
      </c>
      <c r="Q1619" s="783">
        <v>2774.81</v>
      </c>
      <c r="R1619" s="783">
        <v>1632.3</v>
      </c>
      <c r="S1619" s="783">
        <v>423.49</v>
      </c>
      <c r="T1619" s="783">
        <v>719.02</v>
      </c>
      <c r="U1619" s="785">
        <v>44631.632337962998</v>
      </c>
    </row>
    <row r="1620" spans="1:21">
      <c r="A1620" s="782">
        <v>44559</v>
      </c>
      <c r="B1620" s="783" t="s">
        <v>74</v>
      </c>
      <c r="C1620" s="783" t="s">
        <v>4414</v>
      </c>
      <c r="D1620" s="783" t="s">
        <v>4009</v>
      </c>
      <c r="E1620" s="783" t="s">
        <v>4426</v>
      </c>
      <c r="F1620" s="783" t="s">
        <v>4011</v>
      </c>
      <c r="G1620" s="783" t="s">
        <v>4028</v>
      </c>
      <c r="H1620" s="783" t="s">
        <v>4427</v>
      </c>
      <c r="I1620" s="783" t="s">
        <v>4428</v>
      </c>
      <c r="J1620" s="783">
        <v>20</v>
      </c>
      <c r="K1620" s="783" t="s">
        <v>27</v>
      </c>
      <c r="L1620" s="783" t="s">
        <v>4096</v>
      </c>
      <c r="M1620" s="784">
        <v>15669.86</v>
      </c>
      <c r="N1620" s="784">
        <v>14.33</v>
      </c>
      <c r="O1620" s="784">
        <v>2.4300000000000002</v>
      </c>
      <c r="P1620" s="783">
        <v>450</v>
      </c>
      <c r="Q1620" s="783">
        <v>1538.78</v>
      </c>
      <c r="R1620" s="783">
        <v>537.77</v>
      </c>
      <c r="S1620" s="783">
        <v>341.31</v>
      </c>
      <c r="T1620" s="783">
        <v>659.7</v>
      </c>
      <c r="U1620" s="785">
        <v>44631.635625000003</v>
      </c>
    </row>
    <row r="1621" spans="1:21">
      <c r="A1621" s="782">
        <v>44560</v>
      </c>
      <c r="B1621" s="783" t="s">
        <v>228</v>
      </c>
      <c r="C1621" s="783" t="s">
        <v>4020</v>
      </c>
      <c r="D1621" s="783" t="s">
        <v>4021</v>
      </c>
      <c r="E1621" s="783" t="s">
        <v>6027</v>
      </c>
      <c r="F1621" s="783" t="s">
        <v>4011</v>
      </c>
      <c r="G1621" s="783" t="s">
        <v>4028</v>
      </c>
      <c r="H1621" s="783" t="s">
        <v>6028</v>
      </c>
      <c r="I1621" s="783" t="s">
        <v>6029</v>
      </c>
      <c r="J1621" s="783">
        <v>30</v>
      </c>
      <c r="K1621" s="783" t="s">
        <v>27</v>
      </c>
      <c r="L1621" s="783" t="s">
        <v>4096</v>
      </c>
      <c r="M1621" s="784">
        <v>8297.2800000000007</v>
      </c>
      <c r="N1621" s="784">
        <v>6.7</v>
      </c>
      <c r="O1621" s="784">
        <v>2.4</v>
      </c>
      <c r="P1621" s="783">
        <v>516</v>
      </c>
      <c r="Q1621" s="783">
        <v>597.4</v>
      </c>
      <c r="R1621" s="783">
        <v>321.10000000000002</v>
      </c>
      <c r="S1621" s="783">
        <v>96.25</v>
      </c>
      <c r="T1621" s="783">
        <v>180.05</v>
      </c>
      <c r="U1621" s="785">
        <v>44631.635833333297</v>
      </c>
    </row>
    <row r="1622" spans="1:21">
      <c r="A1622" s="782">
        <v>44565</v>
      </c>
      <c r="B1622" s="783" t="s">
        <v>74</v>
      </c>
      <c r="C1622" s="783" t="s">
        <v>4097</v>
      </c>
      <c r="D1622" s="783" t="s">
        <v>4038</v>
      </c>
      <c r="E1622" s="783" t="s">
        <v>4429</v>
      </c>
      <c r="F1622" s="783" t="s">
        <v>4011</v>
      </c>
      <c r="G1622" s="783" t="s">
        <v>4028</v>
      </c>
      <c r="H1622" s="783" t="s">
        <v>4430</v>
      </c>
      <c r="I1622" s="783" t="s">
        <v>4431</v>
      </c>
      <c r="J1622" s="783">
        <v>20</v>
      </c>
      <c r="K1622" s="783" t="s">
        <v>27</v>
      </c>
      <c r="L1622" s="783" t="s">
        <v>4096</v>
      </c>
      <c r="M1622" s="784">
        <v>44961.66</v>
      </c>
      <c r="N1622" s="784">
        <v>31.82</v>
      </c>
      <c r="O1622" s="784">
        <v>3.14</v>
      </c>
      <c r="P1622" s="783">
        <v>450</v>
      </c>
      <c r="Q1622" s="783">
        <v>3925.15</v>
      </c>
      <c r="R1622" s="783">
        <v>1467.65</v>
      </c>
      <c r="S1622" s="783">
        <v>829.89</v>
      </c>
      <c r="T1622" s="783">
        <v>1627.61</v>
      </c>
      <c r="U1622" s="785">
        <v>44631.635138888902</v>
      </c>
    </row>
    <row r="1623" spans="1:21">
      <c r="A1623" s="782">
        <v>44678</v>
      </c>
      <c r="B1623" s="783" t="s">
        <v>47</v>
      </c>
      <c r="C1623" s="783" t="s">
        <v>4101</v>
      </c>
      <c r="D1623" s="783" t="s">
        <v>4102</v>
      </c>
      <c r="E1623" s="783" t="s">
        <v>4702</v>
      </c>
      <c r="F1623" s="783" t="s">
        <v>4011</v>
      </c>
      <c r="G1623" s="783" t="str">
        <f>VLOOKUP(I1623,pacage,2,FALSE)</f>
        <v>Renewal (30% in 2020)</v>
      </c>
      <c r="H1623" s="783" t="s">
        <v>4703</v>
      </c>
      <c r="I1623" s="783" t="s">
        <v>4704</v>
      </c>
      <c r="J1623" s="783">
        <v>30</v>
      </c>
      <c r="K1623" s="783" t="s">
        <v>27</v>
      </c>
      <c r="L1623" s="783" t="s">
        <v>4096</v>
      </c>
      <c r="M1623" s="784">
        <v>41316</v>
      </c>
      <c r="N1623" s="784">
        <v>33</v>
      </c>
      <c r="O1623" s="784">
        <v>3.13</v>
      </c>
      <c r="P1623" s="783">
        <v>400</v>
      </c>
      <c r="Q1623" s="783">
        <v>2098.85</v>
      </c>
      <c r="R1623" s="783">
        <v>1500.82</v>
      </c>
      <c r="S1623" s="783">
        <v>11.34</v>
      </c>
      <c r="T1623" s="783">
        <v>586.69000000000005</v>
      </c>
      <c r="U1623" s="785">
        <v>44679.479780092603</v>
      </c>
    </row>
    <row r="1624" spans="1:21">
      <c r="A1624" s="782">
        <v>44564</v>
      </c>
      <c r="B1624" s="783" t="s">
        <v>30</v>
      </c>
      <c r="C1624" s="783" t="s">
        <v>4089</v>
      </c>
      <c r="D1624" s="783" t="s">
        <v>4021</v>
      </c>
      <c r="E1624" s="783" t="s">
        <v>6033</v>
      </c>
      <c r="F1624" s="783" t="s">
        <v>4011</v>
      </c>
      <c r="G1624" s="783" t="str">
        <f>VLOOKUP(I1624,pacage,2,FALSE)</f>
        <v>Renewal (25% in 2020)</v>
      </c>
      <c r="H1624" s="783" t="s">
        <v>6034</v>
      </c>
      <c r="I1624" s="783" t="s">
        <v>6035</v>
      </c>
      <c r="J1624" s="783">
        <v>25</v>
      </c>
      <c r="K1624" s="783" t="s">
        <v>27</v>
      </c>
      <c r="L1624" s="783" t="s">
        <v>4096</v>
      </c>
      <c r="M1624" s="784">
        <v>80656.5</v>
      </c>
      <c r="N1624" s="784">
        <v>31.63</v>
      </c>
      <c r="O1624" s="784">
        <v>4.25</v>
      </c>
      <c r="P1624" s="783">
        <v>600</v>
      </c>
      <c r="Q1624" s="783">
        <v>5339.46</v>
      </c>
      <c r="R1624" s="783">
        <v>2188.08</v>
      </c>
      <c r="S1624" s="783">
        <v>1626.98</v>
      </c>
      <c r="T1624" s="783">
        <v>1524.41</v>
      </c>
      <c r="U1624" s="785">
        <v>44631.635231481501</v>
      </c>
    </row>
    <row r="1625" spans="1:21">
      <c r="A1625" s="782">
        <v>44581</v>
      </c>
      <c r="B1625" s="783" t="s">
        <v>113</v>
      </c>
      <c r="C1625" s="783" t="s">
        <v>4598</v>
      </c>
      <c r="D1625" s="783" t="s">
        <v>4009</v>
      </c>
      <c r="E1625" s="783" t="s">
        <v>3697</v>
      </c>
      <c r="F1625" s="783" t="s">
        <v>4066</v>
      </c>
      <c r="G1625" s="783" t="s">
        <v>4028</v>
      </c>
      <c r="H1625" s="783" t="s">
        <v>6039</v>
      </c>
      <c r="I1625" s="783" t="s">
        <v>6040</v>
      </c>
      <c r="J1625" s="783">
        <v>5</v>
      </c>
      <c r="K1625" s="783" t="s">
        <v>27</v>
      </c>
      <c r="L1625" s="783" t="s">
        <v>4096</v>
      </c>
      <c r="M1625" s="784">
        <v>10838.1</v>
      </c>
      <c r="N1625" s="784">
        <v>6</v>
      </c>
      <c r="O1625" s="784">
        <v>3.5</v>
      </c>
      <c r="P1625" s="783">
        <v>516.1</v>
      </c>
      <c r="Q1625" s="783">
        <v>862.71</v>
      </c>
      <c r="R1625" s="783">
        <v>0</v>
      </c>
      <c r="S1625" s="783">
        <v>0</v>
      </c>
      <c r="T1625" s="783">
        <v>862.71</v>
      </c>
      <c r="U1625" s="785">
        <v>44631.632881944402</v>
      </c>
    </row>
    <row r="1626" spans="1:21">
      <c r="A1626" s="782">
        <v>44564</v>
      </c>
      <c r="B1626" s="783" t="s">
        <v>41</v>
      </c>
      <c r="C1626" s="783" t="s">
        <v>4071</v>
      </c>
      <c r="D1626" s="783" t="s">
        <v>4009</v>
      </c>
      <c r="E1626" s="783" t="s">
        <v>6041</v>
      </c>
      <c r="F1626" s="783" t="s">
        <v>4011</v>
      </c>
      <c r="G1626" s="783" t="str">
        <f>VLOOKUP(I1626,pacage,2,FALSE)</f>
        <v>Renewal (20% in 2020)</v>
      </c>
      <c r="H1626" s="783" t="s">
        <v>6042</v>
      </c>
      <c r="I1626" s="783" t="s">
        <v>6043</v>
      </c>
      <c r="J1626" s="783">
        <v>20</v>
      </c>
      <c r="K1626" s="783" t="s">
        <v>27</v>
      </c>
      <c r="L1626" s="783" t="s">
        <v>4096</v>
      </c>
      <c r="M1626" s="784">
        <v>113737.55</v>
      </c>
      <c r="N1626" s="784">
        <v>56.23</v>
      </c>
      <c r="O1626" s="784">
        <v>3.92</v>
      </c>
      <c r="P1626" s="783">
        <v>516</v>
      </c>
      <c r="Q1626" s="783">
        <v>9906.5400000000009</v>
      </c>
      <c r="R1626" s="783">
        <v>4200.3500000000004</v>
      </c>
      <c r="S1626" s="783">
        <v>1930.1</v>
      </c>
      <c r="T1626" s="783">
        <v>3776.09</v>
      </c>
      <c r="U1626" s="785">
        <v>44631.632662037002</v>
      </c>
    </row>
    <row r="1627" spans="1:21">
      <c r="A1627" s="782">
        <v>44561</v>
      </c>
      <c r="B1627" s="783" t="s">
        <v>41</v>
      </c>
      <c r="C1627" s="783" t="s">
        <v>4071</v>
      </c>
      <c r="D1627" s="783" t="s">
        <v>4009</v>
      </c>
      <c r="E1627" s="783" t="s">
        <v>6047</v>
      </c>
      <c r="F1627" s="783" t="s">
        <v>4011</v>
      </c>
      <c r="G1627" s="783" t="s">
        <v>4028</v>
      </c>
      <c r="H1627" s="783" t="s">
        <v>6048</v>
      </c>
      <c r="I1627" s="783" t="s">
        <v>6049</v>
      </c>
      <c r="J1627" s="783">
        <v>20</v>
      </c>
      <c r="K1627" s="783" t="s">
        <v>27</v>
      </c>
      <c r="L1627" s="783" t="s">
        <v>4096</v>
      </c>
      <c r="M1627" s="784">
        <v>25939.58</v>
      </c>
      <c r="N1627" s="784">
        <v>22.3</v>
      </c>
      <c r="O1627" s="784">
        <v>2.93</v>
      </c>
      <c r="P1627" s="783">
        <v>397</v>
      </c>
      <c r="Q1627" s="783">
        <v>2259.34</v>
      </c>
      <c r="R1627" s="783">
        <v>1245.0999999999999</v>
      </c>
      <c r="S1627" s="783">
        <v>153.04</v>
      </c>
      <c r="T1627" s="783">
        <v>861.19</v>
      </c>
      <c r="U1627" s="785">
        <v>44631.635428240697</v>
      </c>
    </row>
    <row r="1628" spans="1:21">
      <c r="A1628" s="782">
        <v>44594</v>
      </c>
      <c r="B1628" s="783" t="s">
        <v>113</v>
      </c>
      <c r="C1628" s="783" t="s">
        <v>4097</v>
      </c>
      <c r="D1628" s="783" t="s">
        <v>4038</v>
      </c>
      <c r="E1628" s="783" t="s">
        <v>6053</v>
      </c>
      <c r="F1628" s="783" t="s">
        <v>4066</v>
      </c>
      <c r="G1628" s="783" t="str">
        <f t="shared" ref="G1628:G1639" si="88">VLOOKUP(I1628,pacage,2,FALSE)</f>
        <v>Renewal (15% in 2020)</v>
      </c>
      <c r="H1628" s="783" t="s">
        <v>6054</v>
      </c>
      <c r="I1628" s="783" t="s">
        <v>6055</v>
      </c>
      <c r="J1628" s="783">
        <v>5</v>
      </c>
      <c r="K1628" s="783" t="s">
        <v>27</v>
      </c>
      <c r="L1628" s="783" t="s">
        <v>4096</v>
      </c>
      <c r="M1628" s="784">
        <v>11584</v>
      </c>
      <c r="N1628" s="784">
        <v>7.24</v>
      </c>
      <c r="O1628" s="784">
        <v>4</v>
      </c>
      <c r="P1628" s="783">
        <v>400</v>
      </c>
      <c r="Q1628" s="783">
        <v>1093.53</v>
      </c>
      <c r="R1628" s="783">
        <v>0</v>
      </c>
      <c r="S1628" s="783">
        <v>0</v>
      </c>
      <c r="T1628" s="783">
        <v>1093.53</v>
      </c>
      <c r="U1628" s="785">
        <v>44631.632395833301</v>
      </c>
    </row>
    <row r="1629" spans="1:21">
      <c r="A1629" s="782">
        <v>44426</v>
      </c>
      <c r="B1629" s="783" t="s">
        <v>41</v>
      </c>
      <c r="C1629" s="783" t="s">
        <v>4139</v>
      </c>
      <c r="D1629" s="783" t="s">
        <v>4009</v>
      </c>
      <c r="E1629" s="783" t="s">
        <v>40</v>
      </c>
      <c r="F1629" s="783" t="s">
        <v>4011</v>
      </c>
      <c r="G1629" s="783" t="str">
        <f t="shared" si="88"/>
        <v>Renewal (15% in 2020)</v>
      </c>
      <c r="H1629" s="783" t="s">
        <v>6056</v>
      </c>
      <c r="I1629" s="783" t="s">
        <v>6057</v>
      </c>
      <c r="J1629" s="783">
        <v>15</v>
      </c>
      <c r="K1629" s="783" t="s">
        <v>27</v>
      </c>
      <c r="L1629" s="783" t="s">
        <v>4096</v>
      </c>
      <c r="M1629" s="784">
        <v>18298.8</v>
      </c>
      <c r="N1629" s="784">
        <v>18</v>
      </c>
      <c r="O1629" s="784">
        <v>2.99</v>
      </c>
      <c r="P1629" s="783">
        <v>340</v>
      </c>
      <c r="Q1629" s="783">
        <v>2495.96</v>
      </c>
      <c r="R1629" s="783">
        <v>1061.33</v>
      </c>
      <c r="S1629" s="783">
        <v>128.09</v>
      </c>
      <c r="T1629" s="783">
        <v>1306.53</v>
      </c>
      <c r="U1629" s="785">
        <v>44631.635393518503</v>
      </c>
    </row>
    <row r="1630" spans="1:21">
      <c r="A1630" s="782">
        <v>44427</v>
      </c>
      <c r="B1630" s="783" t="s">
        <v>41</v>
      </c>
      <c r="C1630" s="783" t="s">
        <v>4082</v>
      </c>
      <c r="D1630" s="783" t="s">
        <v>4009</v>
      </c>
      <c r="E1630" s="783" t="s">
        <v>6061</v>
      </c>
      <c r="F1630" s="783" t="s">
        <v>4011</v>
      </c>
      <c r="G1630" s="783" t="str">
        <f t="shared" si="88"/>
        <v>Renewal (25% in 2020)</v>
      </c>
      <c r="H1630" s="783" t="s">
        <v>6062</v>
      </c>
      <c r="I1630" s="783" t="s">
        <v>6063</v>
      </c>
      <c r="J1630" s="783">
        <v>25</v>
      </c>
      <c r="K1630" s="783" t="s">
        <v>27</v>
      </c>
      <c r="L1630" s="783" t="s">
        <v>4096</v>
      </c>
      <c r="M1630" s="784">
        <v>13505</v>
      </c>
      <c r="N1630" s="784">
        <v>9.25</v>
      </c>
      <c r="O1630" s="784">
        <v>2.92</v>
      </c>
      <c r="P1630" s="783">
        <v>500</v>
      </c>
      <c r="Q1630" s="783">
        <v>873.77</v>
      </c>
      <c r="R1630" s="783">
        <v>435.35</v>
      </c>
      <c r="S1630" s="783">
        <v>248</v>
      </c>
      <c r="T1630" s="783">
        <v>190.42</v>
      </c>
      <c r="U1630" s="785">
        <v>44631.6355555556</v>
      </c>
    </row>
    <row r="1631" spans="1:21">
      <c r="A1631" s="782">
        <v>44428</v>
      </c>
      <c r="B1631" s="783" t="s">
        <v>30</v>
      </c>
      <c r="C1631" s="783" t="s">
        <v>4089</v>
      </c>
      <c r="D1631" s="783" t="s">
        <v>4021</v>
      </c>
      <c r="E1631" s="783" t="s">
        <v>6064</v>
      </c>
      <c r="F1631" s="783" t="s">
        <v>4011</v>
      </c>
      <c r="G1631" s="783" t="str">
        <f t="shared" si="88"/>
        <v>Renewal (20% in 2020)</v>
      </c>
      <c r="H1631" s="783" t="s">
        <v>6065</v>
      </c>
      <c r="I1631" s="783" t="s">
        <v>6066</v>
      </c>
      <c r="J1631" s="783">
        <v>20</v>
      </c>
      <c r="K1631" s="783" t="s">
        <v>27</v>
      </c>
      <c r="L1631" s="783" t="s">
        <v>4096</v>
      </c>
      <c r="M1631" s="784">
        <v>19306.080000000002</v>
      </c>
      <c r="N1631" s="784">
        <v>16.399999999999999</v>
      </c>
      <c r="O1631" s="784">
        <v>3.27</v>
      </c>
      <c r="P1631" s="783">
        <v>360</v>
      </c>
      <c r="Q1631" s="783">
        <v>1581.17</v>
      </c>
      <c r="R1631" s="783">
        <v>791.55</v>
      </c>
      <c r="S1631" s="783">
        <v>121.63</v>
      </c>
      <c r="T1631" s="783">
        <v>667.99</v>
      </c>
      <c r="U1631" s="785">
        <v>44631.635717592602</v>
      </c>
    </row>
    <row r="1632" spans="1:21">
      <c r="A1632" s="782">
        <v>44426</v>
      </c>
      <c r="B1632" s="783" t="s">
        <v>51</v>
      </c>
      <c r="C1632" s="783" t="s">
        <v>4042</v>
      </c>
      <c r="D1632" s="783" t="s">
        <v>4016</v>
      </c>
      <c r="E1632" s="783" t="s">
        <v>6067</v>
      </c>
      <c r="F1632" s="783" t="s">
        <v>4011</v>
      </c>
      <c r="G1632" s="783" t="str">
        <f t="shared" si="88"/>
        <v>Renewal (25% in 2020)</v>
      </c>
      <c r="H1632" s="783" t="s">
        <v>6068</v>
      </c>
      <c r="I1632" s="783" t="s">
        <v>6069</v>
      </c>
      <c r="J1632" s="783">
        <v>25</v>
      </c>
      <c r="K1632" s="783" t="s">
        <v>27</v>
      </c>
      <c r="L1632" s="783" t="s">
        <v>4096</v>
      </c>
      <c r="M1632" s="784">
        <v>36780.32</v>
      </c>
      <c r="N1632" s="784">
        <v>31.49</v>
      </c>
      <c r="O1632" s="784">
        <v>2.92</v>
      </c>
      <c r="P1632" s="783">
        <v>400</v>
      </c>
      <c r="Q1632" s="783">
        <v>2824.73</v>
      </c>
      <c r="R1632" s="783">
        <v>1806.97</v>
      </c>
      <c r="S1632" s="783">
        <v>271.12</v>
      </c>
      <c r="T1632" s="783">
        <v>746.64</v>
      </c>
      <c r="U1632" s="785">
        <v>44631.635752314804</v>
      </c>
    </row>
    <row r="1633" spans="1:21">
      <c r="A1633" s="782">
        <v>44424</v>
      </c>
      <c r="B1633" s="783" t="s">
        <v>228</v>
      </c>
      <c r="C1633" s="783" t="s">
        <v>4020</v>
      </c>
      <c r="D1633" s="783" t="s">
        <v>4021</v>
      </c>
      <c r="E1633" s="783" t="s">
        <v>1026</v>
      </c>
      <c r="F1633" s="783" t="s">
        <v>4011</v>
      </c>
      <c r="G1633" s="783" t="str">
        <f t="shared" si="88"/>
        <v>Renewal (20% in 2020)</v>
      </c>
      <c r="H1633" s="783" t="s">
        <v>4242</v>
      </c>
      <c r="I1633" s="783" t="s">
        <v>4243</v>
      </c>
      <c r="J1633" s="783">
        <v>20</v>
      </c>
      <c r="K1633" s="783" t="s">
        <v>27</v>
      </c>
      <c r="L1633" s="783" t="s">
        <v>4096</v>
      </c>
      <c r="M1633" s="784">
        <v>71505</v>
      </c>
      <c r="N1633" s="784">
        <v>70</v>
      </c>
      <c r="O1633" s="784">
        <v>2.27</v>
      </c>
      <c r="P1633" s="783">
        <v>450</v>
      </c>
      <c r="Q1633" s="783">
        <v>7043.24</v>
      </c>
      <c r="R1633" s="783">
        <v>3173.09</v>
      </c>
      <c r="S1633" s="783">
        <v>959.9</v>
      </c>
      <c r="T1633" s="783">
        <v>2910.25</v>
      </c>
      <c r="U1633" s="785">
        <v>44631.632581018501</v>
      </c>
    </row>
    <row r="1634" spans="1:21">
      <c r="A1634" s="782">
        <v>44447</v>
      </c>
      <c r="B1634" s="783" t="s">
        <v>118</v>
      </c>
      <c r="C1634" s="783" t="s">
        <v>4139</v>
      </c>
      <c r="D1634" s="783" t="s">
        <v>4009</v>
      </c>
      <c r="E1634" s="783" t="s">
        <v>117</v>
      </c>
      <c r="F1634" s="783" t="s">
        <v>4011</v>
      </c>
      <c r="G1634" s="783" t="str">
        <f t="shared" si="88"/>
        <v>Renewal (15% in 2020)</v>
      </c>
      <c r="H1634" s="783" t="s">
        <v>4200</v>
      </c>
      <c r="I1634" s="783" t="s">
        <v>4201</v>
      </c>
      <c r="J1634" s="783">
        <v>15</v>
      </c>
      <c r="K1634" s="783" t="s">
        <v>27</v>
      </c>
      <c r="L1634" s="783" t="s">
        <v>4096</v>
      </c>
      <c r="M1634" s="784">
        <v>75130.83</v>
      </c>
      <c r="N1634" s="784">
        <v>62.95</v>
      </c>
      <c r="O1634" s="784">
        <v>3.41</v>
      </c>
      <c r="P1634" s="783">
        <v>350</v>
      </c>
      <c r="Q1634" s="783">
        <v>10247.84</v>
      </c>
      <c r="R1634" s="783">
        <v>4357.59</v>
      </c>
      <c r="S1634" s="783">
        <v>525.91999999999996</v>
      </c>
      <c r="T1634" s="783">
        <v>5364.34</v>
      </c>
      <c r="U1634" s="785">
        <v>44631.6325</v>
      </c>
    </row>
    <row r="1635" spans="1:21">
      <c r="A1635" s="782">
        <v>44424</v>
      </c>
      <c r="B1635" s="783" t="s">
        <v>30</v>
      </c>
      <c r="C1635" s="783" t="s">
        <v>4239</v>
      </c>
      <c r="D1635" s="783" t="s">
        <v>4021</v>
      </c>
      <c r="E1635" s="783" t="s">
        <v>2574</v>
      </c>
      <c r="F1635" s="783" t="s">
        <v>4011</v>
      </c>
      <c r="G1635" s="783" t="str">
        <f t="shared" si="88"/>
        <v>Renewal (20% in 2020)</v>
      </c>
      <c r="H1635" s="783" t="s">
        <v>6070</v>
      </c>
      <c r="I1635" s="783" t="s">
        <v>6071</v>
      </c>
      <c r="J1635" s="783">
        <v>20</v>
      </c>
      <c r="K1635" s="783" t="s">
        <v>27</v>
      </c>
      <c r="L1635" s="783" t="s">
        <v>4096</v>
      </c>
      <c r="M1635" s="784">
        <v>34307</v>
      </c>
      <c r="N1635" s="784">
        <v>26</v>
      </c>
      <c r="O1635" s="784">
        <v>3.77</v>
      </c>
      <c r="P1635" s="783">
        <v>350</v>
      </c>
      <c r="Q1635" s="783">
        <v>3012.15</v>
      </c>
      <c r="R1635" s="783">
        <v>1361.99</v>
      </c>
      <c r="S1635" s="783">
        <v>442.56</v>
      </c>
      <c r="T1635" s="783">
        <v>1207.6099999999999</v>
      </c>
      <c r="U1635" s="785">
        <v>44631.633009259298</v>
      </c>
    </row>
    <row r="1636" spans="1:21">
      <c r="A1636" s="782">
        <v>44531</v>
      </c>
      <c r="B1636" s="783" t="s">
        <v>74</v>
      </c>
      <c r="C1636" s="783" t="s">
        <v>4097</v>
      </c>
      <c r="D1636" s="783" t="s">
        <v>4038</v>
      </c>
      <c r="E1636" s="783" t="s">
        <v>4437</v>
      </c>
      <c r="F1636" s="783" t="s">
        <v>4011</v>
      </c>
      <c r="G1636" s="783" t="str">
        <f t="shared" si="88"/>
        <v>Renewal (20% in 2020)</v>
      </c>
      <c r="H1636" s="783" t="s">
        <v>4438</v>
      </c>
      <c r="I1636" s="783" t="s">
        <v>4439</v>
      </c>
      <c r="J1636" s="783">
        <v>20</v>
      </c>
      <c r="K1636" s="783" t="s">
        <v>27</v>
      </c>
      <c r="L1636" s="783" t="s">
        <v>4096</v>
      </c>
      <c r="M1636" s="784">
        <v>18414</v>
      </c>
      <c r="N1636" s="784">
        <v>15.5</v>
      </c>
      <c r="O1636" s="784">
        <v>2.97</v>
      </c>
      <c r="P1636" s="783">
        <v>400</v>
      </c>
      <c r="Q1636" s="783">
        <v>1607.54</v>
      </c>
      <c r="R1636" s="783">
        <v>676.21</v>
      </c>
      <c r="S1636" s="783">
        <v>264.75</v>
      </c>
      <c r="T1636" s="783">
        <v>666.59</v>
      </c>
      <c r="U1636" s="785">
        <v>44631.636215277802</v>
      </c>
    </row>
    <row r="1637" spans="1:21">
      <c r="A1637" s="782">
        <v>44523</v>
      </c>
      <c r="B1637" s="783" t="s">
        <v>41</v>
      </c>
      <c r="C1637" s="783" t="s">
        <v>4071</v>
      </c>
      <c r="D1637" s="783" t="s">
        <v>4009</v>
      </c>
      <c r="E1637" s="783" t="s">
        <v>303</v>
      </c>
      <c r="F1637" s="783" t="s">
        <v>4011</v>
      </c>
      <c r="G1637" s="783" t="str">
        <f t="shared" si="88"/>
        <v>Renewal (15% in 2020)</v>
      </c>
      <c r="H1637" s="783" t="s">
        <v>6081</v>
      </c>
      <c r="I1637" s="783" t="s">
        <v>6082</v>
      </c>
      <c r="J1637" s="783">
        <v>15</v>
      </c>
      <c r="K1637" s="783" t="s">
        <v>27</v>
      </c>
      <c r="L1637" s="783" t="s">
        <v>4096</v>
      </c>
      <c r="M1637" s="784">
        <v>98623.2</v>
      </c>
      <c r="N1637" s="784">
        <v>65.400000000000006</v>
      </c>
      <c r="O1637" s="784">
        <v>3.77</v>
      </c>
      <c r="P1637" s="783">
        <v>400</v>
      </c>
      <c r="Q1637" s="783">
        <v>11193.73</v>
      </c>
      <c r="R1637" s="783">
        <v>4698.41</v>
      </c>
      <c r="S1637" s="783">
        <v>617.38</v>
      </c>
      <c r="T1637" s="783">
        <v>5877.94</v>
      </c>
      <c r="U1637" s="785">
        <v>44631.635451388902</v>
      </c>
    </row>
    <row r="1638" spans="1:21">
      <c r="A1638" s="782">
        <v>44532</v>
      </c>
      <c r="B1638" s="783" t="s">
        <v>74</v>
      </c>
      <c r="C1638" s="783" t="s">
        <v>4037</v>
      </c>
      <c r="D1638" s="783" t="s">
        <v>4038</v>
      </c>
      <c r="E1638" s="783" t="s">
        <v>4440</v>
      </c>
      <c r="F1638" s="783" t="s">
        <v>4011</v>
      </c>
      <c r="G1638" s="783" t="str">
        <f t="shared" si="88"/>
        <v>Renewal (15% in 2020)</v>
      </c>
      <c r="H1638" s="783" t="s">
        <v>4441</v>
      </c>
      <c r="I1638" s="783" t="s">
        <v>4442</v>
      </c>
      <c r="J1638" s="783">
        <v>20</v>
      </c>
      <c r="K1638" s="783" t="s">
        <v>27</v>
      </c>
      <c r="L1638" s="783" t="s">
        <v>4096</v>
      </c>
      <c r="M1638" s="784">
        <v>45880</v>
      </c>
      <c r="N1638" s="784">
        <v>31</v>
      </c>
      <c r="O1638" s="784">
        <v>3.7</v>
      </c>
      <c r="P1638" s="783">
        <v>400</v>
      </c>
      <c r="Q1638" s="783">
        <v>4537.53</v>
      </c>
      <c r="R1638" s="783">
        <v>1930.72</v>
      </c>
      <c r="S1638" s="783">
        <v>872.55</v>
      </c>
      <c r="T1638" s="783">
        <v>1734.26</v>
      </c>
      <c r="U1638" s="785">
        <v>44631.632893518501</v>
      </c>
    </row>
    <row r="1639" spans="1:21">
      <c r="A1639" s="782">
        <v>44533</v>
      </c>
      <c r="B1639" s="783" t="s">
        <v>41</v>
      </c>
      <c r="C1639" s="783" t="s">
        <v>4071</v>
      </c>
      <c r="D1639" s="783" t="s">
        <v>4009</v>
      </c>
      <c r="E1639" s="783" t="s">
        <v>353</v>
      </c>
      <c r="F1639" s="783" t="s">
        <v>4011</v>
      </c>
      <c r="G1639" s="783" t="str">
        <f t="shared" si="88"/>
        <v>Renewal (15% in 2020)</v>
      </c>
      <c r="H1639" s="783" t="s">
        <v>6086</v>
      </c>
      <c r="I1639" s="783" t="s">
        <v>6087</v>
      </c>
      <c r="J1639" s="783">
        <v>15</v>
      </c>
      <c r="K1639" s="783" t="s">
        <v>27</v>
      </c>
      <c r="L1639" s="783" t="s">
        <v>4096</v>
      </c>
      <c r="M1639" s="784">
        <v>79794.259999999995</v>
      </c>
      <c r="N1639" s="784">
        <v>51.58</v>
      </c>
      <c r="O1639" s="784">
        <v>4.55</v>
      </c>
      <c r="P1639" s="783">
        <v>340</v>
      </c>
      <c r="Q1639" s="783">
        <v>9056.65</v>
      </c>
      <c r="R1639" s="783">
        <v>3830.12</v>
      </c>
      <c r="S1639" s="783">
        <v>470.79</v>
      </c>
      <c r="T1639" s="783">
        <v>4755.74</v>
      </c>
      <c r="U1639" s="785">
        <v>44631.635625000003</v>
      </c>
    </row>
    <row r="1640" spans="1:21">
      <c r="A1640" s="782">
        <v>44539</v>
      </c>
      <c r="B1640" s="783" t="s">
        <v>74</v>
      </c>
      <c r="C1640" s="783" t="s">
        <v>4097</v>
      </c>
      <c r="D1640" s="783" t="s">
        <v>4038</v>
      </c>
      <c r="E1640" s="783" t="s">
        <v>4705</v>
      </c>
      <c r="F1640" s="783" t="s">
        <v>4066</v>
      </c>
      <c r="G1640" s="783" t="s">
        <v>4028</v>
      </c>
      <c r="H1640" s="783" t="s">
        <v>4706</v>
      </c>
      <c r="I1640" s="783" t="s">
        <v>4707</v>
      </c>
      <c r="J1640" s="783">
        <v>10</v>
      </c>
      <c r="K1640" s="783" t="s">
        <v>27</v>
      </c>
      <c r="L1640" s="783" t="s">
        <v>4096</v>
      </c>
      <c r="M1640" s="784">
        <v>77787.5</v>
      </c>
      <c r="N1640" s="784">
        <v>44.45</v>
      </c>
      <c r="O1640" s="784">
        <v>3.5</v>
      </c>
      <c r="P1640" s="783">
        <v>500</v>
      </c>
      <c r="Q1640" s="783">
        <v>4939.51</v>
      </c>
      <c r="R1640" s="783">
        <v>0</v>
      </c>
      <c r="S1640" s="783">
        <v>0</v>
      </c>
      <c r="T1640" s="783">
        <v>4939.51</v>
      </c>
      <c r="U1640" s="785">
        <v>44631.632731481499</v>
      </c>
    </row>
    <row r="1641" spans="1:21">
      <c r="A1641" s="782">
        <v>44522</v>
      </c>
      <c r="B1641" s="783" t="s">
        <v>51</v>
      </c>
      <c r="C1641" s="783" t="s">
        <v>4042</v>
      </c>
      <c r="D1641" s="783" t="s">
        <v>4016</v>
      </c>
      <c r="E1641" s="783" t="s">
        <v>6091</v>
      </c>
      <c r="F1641" s="783" t="s">
        <v>4011</v>
      </c>
      <c r="G1641" s="783" t="str">
        <f t="shared" ref="G1641:G1658" si="89">VLOOKUP(I1641,pacage,2,FALSE)</f>
        <v>Renewal (25% in 2020)</v>
      </c>
      <c r="H1641" s="783" t="s">
        <v>6092</v>
      </c>
      <c r="I1641" s="783" t="s">
        <v>6093</v>
      </c>
      <c r="J1641" s="783">
        <v>25</v>
      </c>
      <c r="K1641" s="783" t="s">
        <v>27</v>
      </c>
      <c r="L1641" s="783" t="s">
        <v>4096</v>
      </c>
      <c r="M1641" s="784">
        <v>108018</v>
      </c>
      <c r="N1641" s="784">
        <v>76.5</v>
      </c>
      <c r="O1641" s="784">
        <v>3.53</v>
      </c>
      <c r="P1641" s="783">
        <v>400</v>
      </c>
      <c r="Q1641" s="783">
        <v>8295.7800000000007</v>
      </c>
      <c r="R1641" s="783">
        <v>5306.79</v>
      </c>
      <c r="S1641" s="783">
        <v>796.23</v>
      </c>
      <c r="T1641" s="783">
        <v>2192.77</v>
      </c>
      <c r="U1641" s="785">
        <v>44631.635787036997</v>
      </c>
    </row>
    <row r="1642" spans="1:21">
      <c r="A1642" s="782">
        <v>44533</v>
      </c>
      <c r="B1642" s="783" t="s">
        <v>4025</v>
      </c>
      <c r="C1642" s="783" t="s">
        <v>4026</v>
      </c>
      <c r="D1642" s="783" t="s">
        <v>4021</v>
      </c>
      <c r="E1642" s="783" t="s">
        <v>6104</v>
      </c>
      <c r="F1642" s="783" t="s">
        <v>4011</v>
      </c>
      <c r="G1642" s="783" t="str">
        <f t="shared" si="89"/>
        <v>New Contract</v>
      </c>
      <c r="H1642" s="783" t="s">
        <v>6105</v>
      </c>
      <c r="I1642" s="783" t="s">
        <v>6106</v>
      </c>
      <c r="J1642" s="783">
        <v>25</v>
      </c>
      <c r="K1642" s="783" t="s">
        <v>27</v>
      </c>
      <c r="L1642" s="783" t="s">
        <v>4096</v>
      </c>
      <c r="M1642" s="784">
        <v>75259.8</v>
      </c>
      <c r="N1642" s="784">
        <v>54.3</v>
      </c>
      <c r="O1642" s="784">
        <v>3.08</v>
      </c>
      <c r="P1642" s="783">
        <v>450</v>
      </c>
      <c r="Q1642" s="783">
        <v>4026.4</v>
      </c>
      <c r="R1642" s="783">
        <v>1952.04</v>
      </c>
      <c r="S1642" s="783">
        <v>1013.2</v>
      </c>
      <c r="T1642" s="783">
        <v>1061.1600000000001</v>
      </c>
      <c r="U1642" s="785">
        <v>44631.635833333297</v>
      </c>
    </row>
    <row r="1643" spans="1:21">
      <c r="A1643" s="782">
        <v>44531</v>
      </c>
      <c r="B1643" s="783" t="s">
        <v>41</v>
      </c>
      <c r="C1643" s="783" t="s">
        <v>4139</v>
      </c>
      <c r="D1643" s="783" t="s">
        <v>4009</v>
      </c>
      <c r="E1643" s="783" t="s">
        <v>6107</v>
      </c>
      <c r="F1643" s="783" t="s">
        <v>4011</v>
      </c>
      <c r="G1643" s="783" t="str">
        <f t="shared" si="89"/>
        <v>Renewal (25% in 2020)</v>
      </c>
      <c r="H1643" s="783" t="s">
        <v>6108</v>
      </c>
      <c r="I1643" s="783" t="s">
        <v>6109</v>
      </c>
      <c r="J1643" s="783">
        <v>25</v>
      </c>
      <c r="K1643" s="783" t="s">
        <v>27</v>
      </c>
      <c r="L1643" s="783" t="s">
        <v>4096</v>
      </c>
      <c r="M1643" s="784">
        <v>100982.75</v>
      </c>
      <c r="N1643" s="784">
        <v>53.66</v>
      </c>
      <c r="O1643" s="784">
        <v>3.69</v>
      </c>
      <c r="P1643" s="783">
        <v>510</v>
      </c>
      <c r="Q1643" s="783">
        <v>8401.77</v>
      </c>
      <c r="R1643" s="783">
        <v>4559.2700000000004</v>
      </c>
      <c r="S1643" s="783">
        <v>2004.61</v>
      </c>
      <c r="T1643" s="783">
        <v>1837.89</v>
      </c>
      <c r="U1643" s="785">
        <v>44631.632986111101</v>
      </c>
    </row>
    <row r="1644" spans="1:21">
      <c r="A1644" s="782">
        <v>44540</v>
      </c>
      <c r="B1644" s="783" t="s">
        <v>74</v>
      </c>
      <c r="C1644" s="783" t="s">
        <v>4097</v>
      </c>
      <c r="D1644" s="783" t="s">
        <v>4038</v>
      </c>
      <c r="E1644" s="783" t="s">
        <v>4446</v>
      </c>
      <c r="F1644" s="783" t="s">
        <v>4011</v>
      </c>
      <c r="G1644" s="783" t="str">
        <f t="shared" si="89"/>
        <v>New Contract</v>
      </c>
      <c r="H1644" s="783" t="s">
        <v>4447</v>
      </c>
      <c r="I1644" s="783" t="s">
        <v>4448</v>
      </c>
      <c r="J1644" s="783">
        <v>25</v>
      </c>
      <c r="K1644" s="783" t="s">
        <v>27</v>
      </c>
      <c r="L1644" s="783" t="s">
        <v>4096</v>
      </c>
      <c r="M1644" s="784">
        <v>12809.16</v>
      </c>
      <c r="N1644" s="784">
        <v>13.26</v>
      </c>
      <c r="O1644" s="784">
        <v>2.2999999999999998</v>
      </c>
      <c r="P1644" s="783">
        <v>420</v>
      </c>
      <c r="Q1644" s="783">
        <v>904.33</v>
      </c>
      <c r="R1644" s="783">
        <v>447.99</v>
      </c>
      <c r="S1644" s="783">
        <v>206.56</v>
      </c>
      <c r="T1644" s="783">
        <v>249.78</v>
      </c>
      <c r="U1644" s="785">
        <v>44631.633113425902</v>
      </c>
    </row>
    <row r="1645" spans="1:21">
      <c r="A1645" s="782">
        <v>44592</v>
      </c>
      <c r="B1645" s="783" t="s">
        <v>41</v>
      </c>
      <c r="C1645" s="783" t="s">
        <v>4071</v>
      </c>
      <c r="D1645" s="783" t="s">
        <v>4009</v>
      </c>
      <c r="E1645" s="783" t="s">
        <v>6110</v>
      </c>
      <c r="F1645" s="783" t="s">
        <v>4011</v>
      </c>
      <c r="G1645" s="783" t="str">
        <f t="shared" si="89"/>
        <v>Renewal (15% in 2020)</v>
      </c>
      <c r="H1645" s="783" t="s">
        <v>6111</v>
      </c>
      <c r="I1645" s="783" t="s">
        <v>6112</v>
      </c>
      <c r="J1645" s="783">
        <v>15</v>
      </c>
      <c r="K1645" s="783" t="s">
        <v>27</v>
      </c>
      <c r="L1645" s="783" t="s">
        <v>4096</v>
      </c>
      <c r="M1645" s="784">
        <v>14233</v>
      </c>
      <c r="N1645" s="784">
        <v>8.6</v>
      </c>
      <c r="O1645" s="784">
        <v>3.31</v>
      </c>
      <c r="P1645" s="783">
        <v>500</v>
      </c>
      <c r="Q1645" s="783">
        <v>1615.45</v>
      </c>
      <c r="R1645" s="783">
        <v>542.45000000000005</v>
      </c>
      <c r="S1645" s="783">
        <v>224.71</v>
      </c>
      <c r="T1645" s="783">
        <v>848.29</v>
      </c>
      <c r="U1645" s="785">
        <v>44631.633333333302</v>
      </c>
    </row>
    <row r="1646" spans="1:21">
      <c r="A1646" s="782">
        <v>44524</v>
      </c>
      <c r="B1646" s="783" t="s">
        <v>3078</v>
      </c>
      <c r="C1646" s="783" t="s">
        <v>4414</v>
      </c>
      <c r="D1646" s="783" t="s">
        <v>4009</v>
      </c>
      <c r="E1646" s="783" t="s">
        <v>4449</v>
      </c>
      <c r="F1646" s="783" t="s">
        <v>4011</v>
      </c>
      <c r="G1646" s="783" t="str">
        <f t="shared" si="89"/>
        <v>Renewal (20% in 2020)</v>
      </c>
      <c r="H1646" s="783" t="s">
        <v>4450</v>
      </c>
      <c r="I1646" s="783" t="s">
        <v>4451</v>
      </c>
      <c r="J1646" s="783">
        <v>30</v>
      </c>
      <c r="K1646" s="783" t="s">
        <v>27</v>
      </c>
      <c r="L1646" s="783" t="s">
        <v>4096</v>
      </c>
      <c r="M1646" s="784">
        <v>29122.5</v>
      </c>
      <c r="N1646" s="784">
        <v>15</v>
      </c>
      <c r="O1646" s="784">
        <v>3.53</v>
      </c>
      <c r="P1646" s="783">
        <v>550</v>
      </c>
      <c r="Q1646" s="783">
        <v>1823.07</v>
      </c>
      <c r="R1646" s="783">
        <v>817.72</v>
      </c>
      <c r="S1646" s="783">
        <v>315.14</v>
      </c>
      <c r="T1646" s="783">
        <v>690.2</v>
      </c>
      <c r="U1646" s="785">
        <v>44631.632835648103</v>
      </c>
    </row>
    <row r="1647" spans="1:21">
      <c r="A1647" s="782">
        <v>44525</v>
      </c>
      <c r="B1647" s="783" t="s">
        <v>41</v>
      </c>
      <c r="C1647" s="783" t="s">
        <v>4139</v>
      </c>
      <c r="D1647" s="783" t="s">
        <v>4009</v>
      </c>
      <c r="E1647" s="783" t="s">
        <v>1465</v>
      </c>
      <c r="F1647" s="783" t="s">
        <v>4011</v>
      </c>
      <c r="G1647" s="783" t="str">
        <f t="shared" si="89"/>
        <v>Renewal (25% in 2020)</v>
      </c>
      <c r="H1647" s="783" t="s">
        <v>6113</v>
      </c>
      <c r="I1647" s="783" t="s">
        <v>6114</v>
      </c>
      <c r="J1647" s="783">
        <v>25</v>
      </c>
      <c r="K1647" s="783" t="s">
        <v>27</v>
      </c>
      <c r="L1647" s="783" t="s">
        <v>4096</v>
      </c>
      <c r="M1647" s="784">
        <v>41854.32</v>
      </c>
      <c r="N1647" s="784">
        <v>21.53</v>
      </c>
      <c r="O1647" s="784">
        <v>4.32</v>
      </c>
      <c r="P1647" s="783">
        <v>450</v>
      </c>
      <c r="Q1647" s="783">
        <v>3482.28</v>
      </c>
      <c r="R1647" s="783">
        <v>2141.64</v>
      </c>
      <c r="S1647" s="783">
        <v>578.89</v>
      </c>
      <c r="T1647" s="783">
        <v>761.75</v>
      </c>
      <c r="U1647" s="785">
        <v>44631.633159722202</v>
      </c>
    </row>
    <row r="1648" spans="1:21">
      <c r="A1648" s="782">
        <v>44525</v>
      </c>
      <c r="B1648" s="783" t="s">
        <v>34</v>
      </c>
      <c r="C1648" s="783" t="s">
        <v>4139</v>
      </c>
      <c r="D1648" s="783" t="s">
        <v>4009</v>
      </c>
      <c r="E1648" s="783" t="s">
        <v>4708</v>
      </c>
      <c r="F1648" s="783" t="s">
        <v>4011</v>
      </c>
      <c r="G1648" s="783" t="str">
        <f t="shared" si="89"/>
        <v>New Contract</v>
      </c>
      <c r="H1648" s="783" t="s">
        <v>4709</v>
      </c>
      <c r="I1648" s="783" t="s">
        <v>4710</v>
      </c>
      <c r="J1648" s="783">
        <v>25</v>
      </c>
      <c r="K1648" s="783" t="s">
        <v>27</v>
      </c>
      <c r="L1648" s="783" t="s">
        <v>4096</v>
      </c>
      <c r="M1648" s="784">
        <v>71282.94</v>
      </c>
      <c r="N1648" s="784">
        <v>52.81</v>
      </c>
      <c r="O1648" s="784">
        <v>3.4</v>
      </c>
      <c r="P1648" s="783">
        <v>397</v>
      </c>
      <c r="Q1648" s="783">
        <v>5930.74</v>
      </c>
      <c r="R1648" s="783">
        <v>4134.41</v>
      </c>
      <c r="S1648" s="783">
        <v>498.98</v>
      </c>
      <c r="T1648" s="783">
        <v>1297.3499999999999</v>
      </c>
      <c r="U1648" s="785">
        <v>44631.636064814797</v>
      </c>
    </row>
    <row r="1649" spans="1:21">
      <c r="A1649" s="782">
        <v>44524</v>
      </c>
      <c r="B1649" s="783" t="s">
        <v>347</v>
      </c>
      <c r="C1649" s="783" t="s">
        <v>4139</v>
      </c>
      <c r="D1649" s="783" t="s">
        <v>4009</v>
      </c>
      <c r="E1649" s="783" t="s">
        <v>6115</v>
      </c>
      <c r="F1649" s="783" t="s">
        <v>4011</v>
      </c>
      <c r="G1649" s="783" t="str">
        <f t="shared" si="89"/>
        <v>Renewal (25% in 2020)</v>
      </c>
      <c r="H1649" s="783" t="s">
        <v>6116</v>
      </c>
      <c r="I1649" s="783" t="s">
        <v>6117</v>
      </c>
      <c r="J1649" s="783">
        <v>25</v>
      </c>
      <c r="K1649" s="783" t="s">
        <v>27</v>
      </c>
      <c r="L1649" s="783" t="s">
        <v>4096</v>
      </c>
      <c r="M1649" s="784">
        <v>33003.629999999997</v>
      </c>
      <c r="N1649" s="784">
        <v>18.02</v>
      </c>
      <c r="O1649" s="784">
        <v>4.07</v>
      </c>
      <c r="P1649" s="783">
        <v>450</v>
      </c>
      <c r="Q1649" s="783">
        <v>2745.9</v>
      </c>
      <c r="R1649" s="783">
        <v>1688.76</v>
      </c>
      <c r="S1649" s="783">
        <v>456.48</v>
      </c>
      <c r="T1649" s="783">
        <v>600.66999999999996</v>
      </c>
      <c r="U1649" s="785">
        <v>44631.636018518497</v>
      </c>
    </row>
    <row r="1650" spans="1:21">
      <c r="A1650" s="782">
        <v>44524</v>
      </c>
      <c r="B1650" s="783" t="s">
        <v>113</v>
      </c>
      <c r="C1650" s="783" t="s">
        <v>4602</v>
      </c>
      <c r="D1650" s="783" t="s">
        <v>4038</v>
      </c>
      <c r="E1650" s="783" t="s">
        <v>364</v>
      </c>
      <c r="F1650" s="783" t="s">
        <v>4011</v>
      </c>
      <c r="G1650" s="783" t="str">
        <f t="shared" si="89"/>
        <v>Renewal (20% in 2020)</v>
      </c>
      <c r="H1650" s="783" t="s">
        <v>6121</v>
      </c>
      <c r="I1650" s="783" t="s">
        <v>6122</v>
      </c>
      <c r="J1650" s="783">
        <v>20</v>
      </c>
      <c r="K1650" s="783" t="s">
        <v>27</v>
      </c>
      <c r="L1650" s="783" t="s">
        <v>4096</v>
      </c>
      <c r="M1650" s="784">
        <v>98543.9</v>
      </c>
      <c r="N1650" s="784">
        <v>58.31</v>
      </c>
      <c r="O1650" s="784">
        <v>3.38</v>
      </c>
      <c r="P1650" s="783">
        <v>500</v>
      </c>
      <c r="Q1650" s="783">
        <v>10258.42</v>
      </c>
      <c r="R1650" s="783">
        <v>3802.65</v>
      </c>
      <c r="S1650" s="783">
        <v>2385.91</v>
      </c>
      <c r="T1650" s="783">
        <v>4069.86</v>
      </c>
      <c r="U1650" s="785">
        <v>44655.399363425902</v>
      </c>
    </row>
    <row r="1651" spans="1:21">
      <c r="A1651" s="782">
        <v>44532</v>
      </c>
      <c r="B1651" s="783" t="s">
        <v>47</v>
      </c>
      <c r="C1651" s="783" t="s">
        <v>4244</v>
      </c>
      <c r="D1651" s="783" t="s">
        <v>4102</v>
      </c>
      <c r="E1651" s="783" t="s">
        <v>6126</v>
      </c>
      <c r="F1651" s="783" t="s">
        <v>4011</v>
      </c>
      <c r="G1651" s="783" t="str">
        <f t="shared" si="89"/>
        <v>Renewal (20% in 2020)</v>
      </c>
      <c r="H1651" s="783" t="s">
        <v>6127</v>
      </c>
      <c r="I1651" s="783" t="s">
        <v>6128</v>
      </c>
      <c r="J1651" s="783">
        <v>20</v>
      </c>
      <c r="K1651" s="783" t="s">
        <v>27</v>
      </c>
      <c r="L1651" s="783" t="s">
        <v>4096</v>
      </c>
      <c r="M1651" s="784">
        <v>34684.65</v>
      </c>
      <c r="N1651" s="784">
        <v>23.1</v>
      </c>
      <c r="O1651" s="784">
        <v>2.73</v>
      </c>
      <c r="P1651" s="783">
        <v>550</v>
      </c>
      <c r="Q1651" s="783">
        <v>2722.75</v>
      </c>
      <c r="R1651" s="783">
        <v>1031.48</v>
      </c>
      <c r="S1651" s="783">
        <v>595.23</v>
      </c>
      <c r="T1651" s="783">
        <v>1096.03</v>
      </c>
      <c r="U1651" s="785">
        <v>44631.633067129602</v>
      </c>
    </row>
    <row r="1652" spans="1:21">
      <c r="A1652" s="782">
        <v>44537</v>
      </c>
      <c r="B1652" s="783" t="s">
        <v>41</v>
      </c>
      <c r="C1652" s="783" t="s">
        <v>4082</v>
      </c>
      <c r="D1652" s="783" t="s">
        <v>4009</v>
      </c>
      <c r="E1652" s="783" t="s">
        <v>6132</v>
      </c>
      <c r="F1652" s="783" t="s">
        <v>4011</v>
      </c>
      <c r="G1652" s="783" t="str">
        <f t="shared" si="89"/>
        <v>New contract</v>
      </c>
      <c r="H1652" s="783" t="s">
        <v>6133</v>
      </c>
      <c r="I1652" s="783" t="s">
        <v>6134</v>
      </c>
      <c r="J1652" s="783">
        <v>20</v>
      </c>
      <c r="K1652" s="783" t="s">
        <v>27</v>
      </c>
      <c r="L1652" s="783" t="s">
        <v>4096</v>
      </c>
      <c r="M1652" s="784">
        <v>54430.5</v>
      </c>
      <c r="N1652" s="784">
        <v>27.7</v>
      </c>
      <c r="O1652" s="784">
        <v>3.93</v>
      </c>
      <c r="P1652" s="783">
        <v>500</v>
      </c>
      <c r="Q1652" s="783">
        <v>4425.2</v>
      </c>
      <c r="R1652" s="783">
        <v>1754.64</v>
      </c>
      <c r="S1652" s="783">
        <v>999.54</v>
      </c>
      <c r="T1652" s="783">
        <v>1671.02</v>
      </c>
      <c r="U1652" s="785">
        <v>44631.632916666698</v>
      </c>
    </row>
    <row r="1653" spans="1:21">
      <c r="A1653" s="782">
        <v>44606</v>
      </c>
      <c r="B1653" s="783" t="s">
        <v>47</v>
      </c>
      <c r="C1653" s="783" t="s">
        <v>4244</v>
      </c>
      <c r="D1653" s="783" t="s">
        <v>4102</v>
      </c>
      <c r="E1653" s="783" t="s">
        <v>3013</v>
      </c>
      <c r="F1653" s="783" t="s">
        <v>4011</v>
      </c>
      <c r="G1653" s="783" t="str">
        <f t="shared" si="89"/>
        <v>Renewal (25% in 2020)</v>
      </c>
      <c r="H1653" s="783" t="s">
        <v>6135</v>
      </c>
      <c r="I1653" s="783" t="s">
        <v>6136</v>
      </c>
      <c r="J1653" s="783">
        <v>25</v>
      </c>
      <c r="K1653" s="783" t="s">
        <v>27</v>
      </c>
      <c r="L1653" s="783" t="s">
        <v>4096</v>
      </c>
      <c r="M1653" s="784">
        <v>42036.2</v>
      </c>
      <c r="N1653" s="784">
        <v>26.71</v>
      </c>
      <c r="O1653" s="784">
        <v>3.05</v>
      </c>
      <c r="P1653" s="783">
        <v>516</v>
      </c>
      <c r="Q1653" s="783">
        <v>2644.08</v>
      </c>
      <c r="R1653" s="783">
        <v>1332.48</v>
      </c>
      <c r="S1653" s="783">
        <v>639.02</v>
      </c>
      <c r="T1653" s="783">
        <v>672.58</v>
      </c>
      <c r="U1653" s="785">
        <v>44631.635856481502</v>
      </c>
    </row>
    <row r="1654" spans="1:21">
      <c r="A1654" s="782">
        <v>44531</v>
      </c>
      <c r="B1654" s="783" t="s">
        <v>113</v>
      </c>
      <c r="C1654" s="783" t="s">
        <v>4097</v>
      </c>
      <c r="D1654" s="783" t="s">
        <v>4038</v>
      </c>
      <c r="E1654" s="783" t="s">
        <v>221</v>
      </c>
      <c r="F1654" s="783" t="s">
        <v>4011</v>
      </c>
      <c r="G1654" s="783" t="str">
        <f t="shared" si="89"/>
        <v>Renewal (20% in 2020)</v>
      </c>
      <c r="H1654" s="783" t="s">
        <v>6137</v>
      </c>
      <c r="I1654" s="783" t="s">
        <v>6138</v>
      </c>
      <c r="J1654" s="783">
        <v>20</v>
      </c>
      <c r="K1654" s="783" t="s">
        <v>27</v>
      </c>
      <c r="L1654" s="783" t="s">
        <v>4096</v>
      </c>
      <c r="M1654" s="784">
        <v>21601.58</v>
      </c>
      <c r="N1654" s="784">
        <v>18.260000000000002</v>
      </c>
      <c r="O1654" s="784">
        <v>3.38</v>
      </c>
      <c r="P1654" s="783">
        <v>350</v>
      </c>
      <c r="Q1654" s="783">
        <v>1885.82</v>
      </c>
      <c r="R1654" s="783">
        <v>799.26</v>
      </c>
      <c r="S1654" s="783">
        <v>304.58</v>
      </c>
      <c r="T1654" s="783">
        <v>781.98</v>
      </c>
      <c r="U1654" s="785">
        <v>44631.635578703703</v>
      </c>
    </row>
    <row r="1655" spans="1:21">
      <c r="A1655" s="782">
        <v>44531</v>
      </c>
      <c r="B1655" s="783" t="s">
        <v>51</v>
      </c>
      <c r="C1655" s="783" t="s">
        <v>4042</v>
      </c>
      <c r="D1655" s="783" t="s">
        <v>4016</v>
      </c>
      <c r="E1655" s="783" t="s">
        <v>1531</v>
      </c>
      <c r="F1655" s="783" t="s">
        <v>4011</v>
      </c>
      <c r="G1655" s="783" t="str">
        <f t="shared" si="89"/>
        <v>Renewal (20% in 2020)</v>
      </c>
      <c r="H1655" s="783" t="s">
        <v>6139</v>
      </c>
      <c r="I1655" s="783" t="s">
        <v>6140</v>
      </c>
      <c r="J1655" s="783">
        <v>20</v>
      </c>
      <c r="K1655" s="783" t="s">
        <v>27</v>
      </c>
      <c r="L1655" s="783" t="s">
        <v>4096</v>
      </c>
      <c r="M1655" s="784">
        <v>34828.81</v>
      </c>
      <c r="N1655" s="784">
        <v>31</v>
      </c>
      <c r="O1655" s="784">
        <v>2.83</v>
      </c>
      <c r="P1655" s="783">
        <v>397</v>
      </c>
      <c r="Q1655" s="783">
        <v>3326.15</v>
      </c>
      <c r="R1655" s="783">
        <v>1724.03</v>
      </c>
      <c r="S1655" s="783">
        <v>243.8</v>
      </c>
      <c r="T1655" s="783">
        <v>1358.32</v>
      </c>
      <c r="U1655" s="785">
        <v>44631.633125</v>
      </c>
    </row>
    <row r="1656" spans="1:21">
      <c r="A1656" s="782">
        <v>44533</v>
      </c>
      <c r="B1656" s="783" t="s">
        <v>47</v>
      </c>
      <c r="C1656" s="783" t="s">
        <v>4244</v>
      </c>
      <c r="D1656" s="783" t="s">
        <v>4102</v>
      </c>
      <c r="E1656" s="783" t="s">
        <v>6141</v>
      </c>
      <c r="F1656" s="783" t="s">
        <v>4011</v>
      </c>
      <c r="G1656" s="783" t="str">
        <f t="shared" si="89"/>
        <v>Renewal (20% in 2020)</v>
      </c>
      <c r="H1656" s="783" t="s">
        <v>6142</v>
      </c>
      <c r="I1656" s="783" t="s">
        <v>6143</v>
      </c>
      <c r="J1656" s="783">
        <v>20</v>
      </c>
      <c r="K1656" s="783" t="s">
        <v>27</v>
      </c>
      <c r="L1656" s="783" t="s">
        <v>4096</v>
      </c>
      <c r="M1656" s="784">
        <v>25540.9</v>
      </c>
      <c r="N1656" s="784">
        <v>14.98</v>
      </c>
      <c r="O1656" s="784">
        <v>3.1</v>
      </c>
      <c r="P1656" s="783">
        <v>550</v>
      </c>
      <c r="Q1656" s="783">
        <v>2004.96</v>
      </c>
      <c r="R1656" s="783">
        <v>759.56</v>
      </c>
      <c r="S1656" s="783">
        <v>438.31</v>
      </c>
      <c r="T1656" s="783">
        <v>807.09</v>
      </c>
      <c r="U1656" s="785">
        <v>44631.635532407403</v>
      </c>
    </row>
    <row r="1657" spans="1:21">
      <c r="A1657" s="782">
        <v>44524</v>
      </c>
      <c r="B1657" s="783" t="s">
        <v>30</v>
      </c>
      <c r="C1657" s="783" t="s">
        <v>5213</v>
      </c>
      <c r="D1657" s="783" t="s">
        <v>4021</v>
      </c>
      <c r="E1657" s="783" t="s">
        <v>4769</v>
      </c>
      <c r="F1657" s="783" t="s">
        <v>4011</v>
      </c>
      <c r="G1657" s="783" t="str">
        <f t="shared" si="89"/>
        <v>Renewal (30% in 2020)</v>
      </c>
      <c r="H1657" s="783" t="s">
        <v>4770</v>
      </c>
      <c r="I1657" s="783" t="s">
        <v>4771</v>
      </c>
      <c r="J1657" s="783">
        <v>30</v>
      </c>
      <c r="K1657" s="783" t="s">
        <v>27</v>
      </c>
      <c r="L1657" s="783" t="s">
        <v>4096</v>
      </c>
      <c r="M1657" s="784">
        <v>43620</v>
      </c>
      <c r="N1657" s="784">
        <v>29.08</v>
      </c>
      <c r="O1657" s="784">
        <v>3</v>
      </c>
      <c r="P1657" s="783">
        <v>500</v>
      </c>
      <c r="Q1657" s="783">
        <v>2368.5700000000002</v>
      </c>
      <c r="R1657" s="783">
        <v>1295.32</v>
      </c>
      <c r="S1657" s="783">
        <v>336.07</v>
      </c>
      <c r="T1657" s="783">
        <v>737.18</v>
      </c>
      <c r="U1657" s="785">
        <v>44631.635775463001</v>
      </c>
    </row>
    <row r="1658" spans="1:21">
      <c r="A1658" s="782">
        <v>44540</v>
      </c>
      <c r="B1658" s="783" t="s">
        <v>113</v>
      </c>
      <c r="C1658" s="783" t="s">
        <v>4376</v>
      </c>
      <c r="D1658" s="783" t="s">
        <v>4038</v>
      </c>
      <c r="E1658" s="783" t="s">
        <v>4717</v>
      </c>
      <c r="F1658" s="783" t="s">
        <v>4011</v>
      </c>
      <c r="G1658" s="783" t="str">
        <f t="shared" si="89"/>
        <v>New Contract</v>
      </c>
      <c r="H1658" s="783" t="s">
        <v>4718</v>
      </c>
      <c r="I1658" s="783" t="s">
        <v>4719</v>
      </c>
      <c r="J1658" s="783">
        <v>20</v>
      </c>
      <c r="K1658" s="783" t="s">
        <v>27</v>
      </c>
      <c r="L1658" s="783" t="s">
        <v>4096</v>
      </c>
      <c r="M1658" s="784">
        <v>19264</v>
      </c>
      <c r="N1658" s="784">
        <v>28</v>
      </c>
      <c r="O1658" s="784">
        <v>3.44</v>
      </c>
      <c r="P1658" s="783">
        <v>200</v>
      </c>
      <c r="Q1658" s="783">
        <v>2065.1</v>
      </c>
      <c r="R1658" s="783">
        <v>861.1</v>
      </c>
      <c r="S1658" s="783">
        <v>337.12</v>
      </c>
      <c r="T1658" s="783">
        <v>866.88</v>
      </c>
      <c r="U1658" s="785">
        <v>44631.636122685202</v>
      </c>
    </row>
    <row r="1659" spans="1:21">
      <c r="A1659" s="782">
        <v>44536</v>
      </c>
      <c r="B1659" s="783" t="s">
        <v>41</v>
      </c>
      <c r="C1659" s="783" t="s">
        <v>4092</v>
      </c>
      <c r="D1659" s="783" t="s">
        <v>4009</v>
      </c>
      <c r="E1659" s="783" t="s">
        <v>4211</v>
      </c>
      <c r="F1659" s="783" t="s">
        <v>4011</v>
      </c>
      <c r="G1659" s="783" t="s">
        <v>4028</v>
      </c>
      <c r="H1659" s="783" t="s">
        <v>4212</v>
      </c>
      <c r="I1659" s="783" t="s">
        <v>4213</v>
      </c>
      <c r="J1659" s="783">
        <v>20</v>
      </c>
      <c r="K1659" s="783" t="s">
        <v>27</v>
      </c>
      <c r="L1659" s="783" t="s">
        <v>4096</v>
      </c>
      <c r="M1659" s="784">
        <v>11689.7</v>
      </c>
      <c r="N1659" s="784">
        <v>10.63</v>
      </c>
      <c r="O1659" s="784">
        <v>2.77</v>
      </c>
      <c r="P1659" s="783">
        <v>397</v>
      </c>
      <c r="Q1659" s="783">
        <v>934.01</v>
      </c>
      <c r="R1659" s="783">
        <v>471.1</v>
      </c>
      <c r="S1659" s="783">
        <v>113.39</v>
      </c>
      <c r="T1659" s="783">
        <v>349.52</v>
      </c>
      <c r="U1659" s="785">
        <v>44631.636064814797</v>
      </c>
    </row>
    <row r="1660" spans="1:21">
      <c r="A1660" s="782">
        <v>44533</v>
      </c>
      <c r="B1660" s="783" t="s">
        <v>41</v>
      </c>
      <c r="C1660" s="783" t="s">
        <v>4071</v>
      </c>
      <c r="D1660" s="783" t="s">
        <v>4009</v>
      </c>
      <c r="E1660" s="783" t="s">
        <v>2811</v>
      </c>
      <c r="F1660" s="783" t="s">
        <v>4011</v>
      </c>
      <c r="G1660" s="783" t="str">
        <f>VLOOKUP(I1660,pacage,2,FALSE)</f>
        <v>Renewal (15% in 2020)</v>
      </c>
      <c r="H1660" s="783" t="s">
        <v>6144</v>
      </c>
      <c r="I1660" s="783" t="s">
        <v>6145</v>
      </c>
      <c r="J1660" s="783">
        <v>15</v>
      </c>
      <c r="K1660" s="783" t="s">
        <v>27</v>
      </c>
      <c r="L1660" s="783" t="s">
        <v>4096</v>
      </c>
      <c r="M1660" s="784">
        <v>42028</v>
      </c>
      <c r="N1660" s="784">
        <v>38</v>
      </c>
      <c r="O1660" s="784">
        <v>3.16</v>
      </c>
      <c r="P1660" s="783">
        <v>350</v>
      </c>
      <c r="Q1660" s="783">
        <v>4770.18</v>
      </c>
      <c r="R1660" s="783">
        <v>2017.34</v>
      </c>
      <c r="S1660" s="783">
        <v>247.97</v>
      </c>
      <c r="T1660" s="783">
        <v>2504.87</v>
      </c>
      <c r="U1660" s="785">
        <v>44631.636145833298</v>
      </c>
    </row>
    <row r="1661" spans="1:21">
      <c r="A1661" s="782">
        <v>44540</v>
      </c>
      <c r="B1661" s="783" t="s">
        <v>47</v>
      </c>
      <c r="C1661" s="783" t="s">
        <v>4244</v>
      </c>
      <c r="D1661" s="783" t="s">
        <v>4102</v>
      </c>
      <c r="E1661" s="783" t="s">
        <v>6146</v>
      </c>
      <c r="F1661" s="783" t="s">
        <v>4011</v>
      </c>
      <c r="G1661" s="783" t="str">
        <f>VLOOKUP(I1661,pacage,2,FALSE)</f>
        <v>Renewal (20% in 2020)</v>
      </c>
      <c r="H1661" s="783" t="s">
        <v>6147</v>
      </c>
      <c r="I1661" s="783" t="s">
        <v>6148</v>
      </c>
      <c r="J1661" s="783">
        <v>20</v>
      </c>
      <c r="K1661" s="783" t="s">
        <v>27</v>
      </c>
      <c r="L1661" s="783" t="s">
        <v>4096</v>
      </c>
      <c r="M1661" s="784">
        <v>14384.9</v>
      </c>
      <c r="N1661" s="784">
        <v>11.3</v>
      </c>
      <c r="O1661" s="784">
        <v>3.35</v>
      </c>
      <c r="P1661" s="783">
        <v>380</v>
      </c>
      <c r="Q1661" s="783">
        <v>1129.21</v>
      </c>
      <c r="R1661" s="783">
        <v>592.66</v>
      </c>
      <c r="S1661" s="783">
        <v>81.99</v>
      </c>
      <c r="T1661" s="783">
        <v>454.56</v>
      </c>
      <c r="U1661" s="785">
        <v>44631.633136574099</v>
      </c>
    </row>
    <row r="1662" spans="1:21">
      <c r="A1662" s="782">
        <v>44592</v>
      </c>
      <c r="B1662" s="783" t="s">
        <v>41</v>
      </c>
      <c r="C1662" s="783" t="s">
        <v>4139</v>
      </c>
      <c r="D1662" s="783" t="s">
        <v>4009</v>
      </c>
      <c r="E1662" s="783" t="s">
        <v>6152</v>
      </c>
      <c r="F1662" s="783" t="s">
        <v>4011</v>
      </c>
      <c r="G1662" s="783" t="s">
        <v>4028</v>
      </c>
      <c r="H1662" s="783" t="s">
        <v>6153</v>
      </c>
      <c r="I1662" s="783" t="s">
        <v>6154</v>
      </c>
      <c r="J1662" s="783">
        <v>30</v>
      </c>
      <c r="K1662" s="783" t="s">
        <v>27</v>
      </c>
      <c r="L1662" s="783" t="s">
        <v>4096</v>
      </c>
      <c r="M1662" s="784">
        <v>15808.54</v>
      </c>
      <c r="N1662" s="784">
        <v>11</v>
      </c>
      <c r="O1662" s="784">
        <v>3.62</v>
      </c>
      <c r="P1662" s="783">
        <v>397</v>
      </c>
      <c r="Q1662" s="783">
        <v>1206.19</v>
      </c>
      <c r="R1662" s="783">
        <v>916.9</v>
      </c>
      <c r="S1662" s="783">
        <v>0</v>
      </c>
      <c r="T1662" s="783">
        <v>289.3</v>
      </c>
      <c r="U1662" s="785">
        <v>44631.633159722202</v>
      </c>
    </row>
    <row r="1663" spans="1:21">
      <c r="A1663" s="782">
        <v>44434</v>
      </c>
      <c r="B1663" s="783" t="s">
        <v>41</v>
      </c>
      <c r="C1663" s="783" t="s">
        <v>4082</v>
      </c>
      <c r="D1663" s="783" t="s">
        <v>4009</v>
      </c>
      <c r="E1663" s="783" t="s">
        <v>4720</v>
      </c>
      <c r="F1663" s="783" t="s">
        <v>4011</v>
      </c>
      <c r="G1663" s="783" t="str">
        <f t="shared" ref="G1663:G1668" si="90">VLOOKUP(I1663,pacage,2,FALSE)</f>
        <v>Renewal (30% in 2020)</v>
      </c>
      <c r="H1663" s="783" t="s">
        <v>4721</v>
      </c>
      <c r="I1663" s="783" t="s">
        <v>4722</v>
      </c>
      <c r="J1663" s="783">
        <v>30</v>
      </c>
      <c r="K1663" s="783" t="s">
        <v>27</v>
      </c>
      <c r="L1663" s="783" t="s">
        <v>4096</v>
      </c>
      <c r="M1663" s="784">
        <v>17614.8</v>
      </c>
      <c r="N1663" s="784">
        <v>13.98</v>
      </c>
      <c r="O1663" s="784">
        <v>3.5</v>
      </c>
      <c r="P1663" s="783">
        <v>360</v>
      </c>
      <c r="Q1663" s="783">
        <v>965.29</v>
      </c>
      <c r="R1663" s="783">
        <v>715.16</v>
      </c>
      <c r="S1663" s="783">
        <v>0</v>
      </c>
      <c r="T1663" s="783">
        <v>250.13</v>
      </c>
      <c r="U1663" s="785">
        <v>44631.633032407401</v>
      </c>
    </row>
    <row r="1664" spans="1:21">
      <c r="A1664" s="782">
        <v>44434</v>
      </c>
      <c r="B1664" s="783" t="s">
        <v>51</v>
      </c>
      <c r="C1664" s="783" t="s">
        <v>4042</v>
      </c>
      <c r="D1664" s="783" t="s">
        <v>4016</v>
      </c>
      <c r="E1664" s="783" t="s">
        <v>6155</v>
      </c>
      <c r="F1664" s="783" t="s">
        <v>4011</v>
      </c>
      <c r="G1664" s="783" t="str">
        <f t="shared" si="90"/>
        <v>Renewal (30% in 2020)</v>
      </c>
      <c r="H1664" s="783" t="s">
        <v>6156</v>
      </c>
      <c r="I1664" s="783" t="s">
        <v>6157</v>
      </c>
      <c r="J1664" s="783">
        <v>30</v>
      </c>
      <c r="K1664" s="783" t="s">
        <v>27</v>
      </c>
      <c r="L1664" s="783" t="s">
        <v>4096</v>
      </c>
      <c r="M1664" s="784">
        <v>46186.98</v>
      </c>
      <c r="N1664" s="784">
        <v>42</v>
      </c>
      <c r="O1664" s="784">
        <v>2.77</v>
      </c>
      <c r="P1664" s="783">
        <v>397</v>
      </c>
      <c r="Q1664" s="783">
        <v>3223.85</v>
      </c>
      <c r="R1664" s="783">
        <v>2286.2600000000002</v>
      </c>
      <c r="S1664" s="783">
        <v>0</v>
      </c>
      <c r="T1664" s="783">
        <v>937.6</v>
      </c>
      <c r="U1664" s="785">
        <v>44631.636157407404</v>
      </c>
    </row>
    <row r="1665" spans="1:21">
      <c r="A1665" s="782">
        <v>44435</v>
      </c>
      <c r="B1665" s="783" t="s">
        <v>41</v>
      </c>
      <c r="C1665" s="783" t="s">
        <v>4092</v>
      </c>
      <c r="D1665" s="783" t="s">
        <v>4009</v>
      </c>
      <c r="E1665" s="783" t="s">
        <v>927</v>
      </c>
      <c r="F1665" s="783" t="s">
        <v>4011</v>
      </c>
      <c r="G1665" s="783" t="str">
        <f t="shared" si="90"/>
        <v>Renewal (15% in 2020)</v>
      </c>
      <c r="H1665" s="783" t="s">
        <v>6161</v>
      </c>
      <c r="I1665" s="783" t="s">
        <v>6162</v>
      </c>
      <c r="J1665" s="783">
        <v>15</v>
      </c>
      <c r="K1665" s="783" t="s">
        <v>27</v>
      </c>
      <c r="L1665" s="783" t="s">
        <v>4096</v>
      </c>
      <c r="M1665" s="784">
        <v>47775</v>
      </c>
      <c r="N1665" s="784">
        <v>50</v>
      </c>
      <c r="O1665" s="784">
        <v>2.73</v>
      </c>
      <c r="P1665" s="783">
        <v>350</v>
      </c>
      <c r="Q1665" s="783">
        <v>4982.93</v>
      </c>
      <c r="R1665" s="783">
        <v>1925.33</v>
      </c>
      <c r="S1665" s="783">
        <v>463.42</v>
      </c>
      <c r="T1665" s="783">
        <v>2594.1799999999998</v>
      </c>
      <c r="U1665" s="785">
        <v>44631.635891203703</v>
      </c>
    </row>
    <row r="1666" spans="1:21">
      <c r="A1666" s="782">
        <v>44437</v>
      </c>
      <c r="B1666" s="783" t="s">
        <v>51</v>
      </c>
      <c r="C1666" s="783" t="s">
        <v>4796</v>
      </c>
      <c r="D1666" s="783" t="s">
        <v>4016</v>
      </c>
      <c r="E1666" s="783" t="s">
        <v>1435</v>
      </c>
      <c r="F1666" s="783" t="s">
        <v>4011</v>
      </c>
      <c r="G1666" s="783" t="str">
        <f t="shared" si="90"/>
        <v>Renewal (15% in 2020)</v>
      </c>
      <c r="H1666" s="783" t="s">
        <v>6163</v>
      </c>
      <c r="I1666" s="783" t="s">
        <v>6164</v>
      </c>
      <c r="J1666" s="783">
        <v>15</v>
      </c>
      <c r="K1666" s="783" t="s">
        <v>27</v>
      </c>
      <c r="L1666" s="783" t="s">
        <v>4096</v>
      </c>
      <c r="M1666" s="784">
        <v>54974.6</v>
      </c>
      <c r="N1666" s="784">
        <v>42.55</v>
      </c>
      <c r="O1666" s="784">
        <v>3.4</v>
      </c>
      <c r="P1666" s="783">
        <v>380</v>
      </c>
      <c r="Q1666" s="783">
        <v>6624.44</v>
      </c>
      <c r="R1666" s="783">
        <v>2671.77</v>
      </c>
      <c r="S1666" s="783">
        <v>384.82</v>
      </c>
      <c r="T1666" s="783">
        <v>3567.85</v>
      </c>
      <c r="U1666" s="785">
        <v>44631.633125</v>
      </c>
    </row>
    <row r="1667" spans="1:21">
      <c r="A1667" s="782">
        <v>44435</v>
      </c>
      <c r="B1667" s="783" t="s">
        <v>4025</v>
      </c>
      <c r="C1667" s="783" t="s">
        <v>4026</v>
      </c>
      <c r="D1667" s="783" t="s">
        <v>4021</v>
      </c>
      <c r="E1667" s="783" t="s">
        <v>6165</v>
      </c>
      <c r="F1667" s="783" t="s">
        <v>4011</v>
      </c>
      <c r="G1667" s="783" t="str">
        <f t="shared" si="90"/>
        <v>New Contract</v>
      </c>
      <c r="H1667" s="783" t="s">
        <v>6166</v>
      </c>
      <c r="I1667" s="783" t="s">
        <v>6167</v>
      </c>
      <c r="J1667" s="783">
        <v>20</v>
      </c>
      <c r="K1667" s="783" t="s">
        <v>27</v>
      </c>
      <c r="L1667" s="783" t="s">
        <v>4096</v>
      </c>
      <c r="M1667" s="784">
        <v>65758.100000000006</v>
      </c>
      <c r="N1667" s="784">
        <v>54.73</v>
      </c>
      <c r="O1667" s="784">
        <v>2.67</v>
      </c>
      <c r="P1667" s="783">
        <v>450</v>
      </c>
      <c r="Q1667" s="783">
        <v>4372.91</v>
      </c>
      <c r="R1667" s="783">
        <v>1705.59</v>
      </c>
      <c r="S1667" s="783">
        <v>885.28</v>
      </c>
      <c r="T1667" s="783">
        <v>1782.04</v>
      </c>
      <c r="U1667" s="785">
        <v>44631.636284722197</v>
      </c>
    </row>
    <row r="1668" spans="1:21">
      <c r="A1668" s="782">
        <v>44434</v>
      </c>
      <c r="B1668" s="783" t="s">
        <v>41</v>
      </c>
      <c r="C1668" s="783" t="s">
        <v>4092</v>
      </c>
      <c r="D1668" s="783" t="s">
        <v>4009</v>
      </c>
      <c r="E1668" s="783" t="s">
        <v>79</v>
      </c>
      <c r="F1668" s="783" t="s">
        <v>4011</v>
      </c>
      <c r="G1668" s="783" t="str">
        <f t="shared" si="90"/>
        <v>Renewal (20% in 2020)</v>
      </c>
      <c r="H1668" s="783" t="s">
        <v>6168</v>
      </c>
      <c r="I1668" s="783" t="s">
        <v>6169</v>
      </c>
      <c r="J1668" s="783">
        <v>20</v>
      </c>
      <c r="K1668" s="783" t="s">
        <v>27</v>
      </c>
      <c r="L1668" s="783" t="s">
        <v>4096</v>
      </c>
      <c r="M1668" s="784">
        <v>227800.17</v>
      </c>
      <c r="N1668" s="784">
        <v>149.77000000000001</v>
      </c>
      <c r="O1668" s="784">
        <v>3.38</v>
      </c>
      <c r="P1668" s="783">
        <v>450</v>
      </c>
      <c r="Q1668" s="783">
        <v>18201.23</v>
      </c>
      <c r="R1668" s="783">
        <v>8099.11</v>
      </c>
      <c r="S1668" s="783">
        <v>3290.9</v>
      </c>
      <c r="T1668" s="783">
        <v>6811.23</v>
      </c>
      <c r="U1668" s="785">
        <v>44631.6334837963</v>
      </c>
    </row>
    <row r="1669" spans="1:21">
      <c r="A1669" s="782">
        <v>44589</v>
      </c>
      <c r="B1669" s="783" t="s">
        <v>4025</v>
      </c>
      <c r="C1669" s="783" t="s">
        <v>4026</v>
      </c>
      <c r="D1669" s="783" t="s">
        <v>4021</v>
      </c>
      <c r="E1669" s="783" t="s">
        <v>6170</v>
      </c>
      <c r="F1669" s="783" t="s">
        <v>4011</v>
      </c>
      <c r="G1669" s="783" t="s">
        <v>4028</v>
      </c>
      <c r="H1669" s="783" t="s">
        <v>6171</v>
      </c>
      <c r="I1669" s="783" t="s">
        <v>6172</v>
      </c>
      <c r="J1669" s="783">
        <v>25</v>
      </c>
      <c r="K1669" s="783" t="s">
        <v>27</v>
      </c>
      <c r="L1669" s="783" t="s">
        <v>4096</v>
      </c>
      <c r="M1669" s="784">
        <v>66730.19</v>
      </c>
      <c r="N1669" s="784">
        <v>45.91</v>
      </c>
      <c r="O1669" s="784">
        <v>3.23</v>
      </c>
      <c r="P1669" s="783">
        <v>450</v>
      </c>
      <c r="Q1669" s="783">
        <v>3570.06</v>
      </c>
      <c r="R1669" s="783">
        <v>1730.8</v>
      </c>
      <c r="S1669" s="783">
        <v>898.37</v>
      </c>
      <c r="T1669" s="783">
        <v>940.9</v>
      </c>
      <c r="U1669" s="785">
        <v>44631.636053240698</v>
      </c>
    </row>
    <row r="1670" spans="1:21">
      <c r="A1670" s="782">
        <v>44454</v>
      </c>
      <c r="B1670" s="783" t="s">
        <v>74</v>
      </c>
      <c r="C1670" s="783" t="s">
        <v>4097</v>
      </c>
      <c r="D1670" s="783" t="s">
        <v>4038</v>
      </c>
      <c r="E1670" s="783" t="s">
        <v>204</v>
      </c>
      <c r="F1670" s="783" t="s">
        <v>4011</v>
      </c>
      <c r="G1670" s="783" t="str">
        <f>VLOOKUP(I1670,pacage,2,FALSE)</f>
        <v>Renewal (15% in 2020)</v>
      </c>
      <c r="H1670" s="783" t="s">
        <v>6181</v>
      </c>
      <c r="I1670" s="783" t="s">
        <v>6182</v>
      </c>
      <c r="J1670" s="783">
        <v>15</v>
      </c>
      <c r="K1670" s="783" t="s">
        <v>27</v>
      </c>
      <c r="L1670" s="783" t="s">
        <v>4096</v>
      </c>
      <c r="M1670" s="784">
        <v>15732.71</v>
      </c>
      <c r="N1670" s="784">
        <v>17.23</v>
      </c>
      <c r="O1670" s="784">
        <v>2.2999999999999998</v>
      </c>
      <c r="P1670" s="783">
        <v>397</v>
      </c>
      <c r="Q1670" s="783">
        <v>1765.21</v>
      </c>
      <c r="R1670" s="783">
        <v>582.11</v>
      </c>
      <c r="S1670" s="783">
        <v>221.83</v>
      </c>
      <c r="T1670" s="783">
        <v>961.27</v>
      </c>
      <c r="U1670" s="785">
        <v>44631.636192129597</v>
      </c>
    </row>
    <row r="1671" spans="1:21">
      <c r="A1671" s="782">
        <v>44462</v>
      </c>
      <c r="B1671" s="783" t="s">
        <v>51</v>
      </c>
      <c r="C1671" s="783" t="s">
        <v>4042</v>
      </c>
      <c r="D1671" s="783" t="s">
        <v>4016</v>
      </c>
      <c r="E1671" s="783" t="s">
        <v>6183</v>
      </c>
      <c r="F1671" s="783" t="s">
        <v>4011</v>
      </c>
      <c r="G1671" s="783" t="str">
        <f>VLOOKUP(I1671,pacage,2,FALSE)</f>
        <v>Renewal (30% in 2020)</v>
      </c>
      <c r="H1671" s="783" t="s">
        <v>6184</v>
      </c>
      <c r="I1671" s="783" t="s">
        <v>6185</v>
      </c>
      <c r="J1671" s="783">
        <v>30</v>
      </c>
      <c r="K1671" s="783" t="s">
        <v>27</v>
      </c>
      <c r="L1671" s="783" t="s">
        <v>4096</v>
      </c>
      <c r="M1671" s="784">
        <v>26054</v>
      </c>
      <c r="N1671" s="784">
        <v>18.61</v>
      </c>
      <c r="O1671" s="784">
        <v>3.5</v>
      </c>
      <c r="P1671" s="783">
        <v>400</v>
      </c>
      <c r="Q1671" s="783">
        <v>1818.57</v>
      </c>
      <c r="R1671" s="783">
        <v>1280</v>
      </c>
      <c r="S1671" s="783">
        <v>9.67</v>
      </c>
      <c r="T1671" s="783">
        <v>528.9</v>
      </c>
      <c r="U1671" s="785">
        <v>44631.636134259301</v>
      </c>
    </row>
    <row r="1672" spans="1:21">
      <c r="A1672" s="782">
        <v>44453</v>
      </c>
      <c r="B1672" s="783" t="s">
        <v>228</v>
      </c>
      <c r="C1672" s="783" t="s">
        <v>4192</v>
      </c>
      <c r="D1672" s="783" t="s">
        <v>4193</v>
      </c>
      <c r="E1672" s="783" t="s">
        <v>6601</v>
      </c>
      <c r="F1672" s="783" t="s">
        <v>4011</v>
      </c>
      <c r="G1672" s="783" t="str">
        <f>VLOOKUP(I1672,pacage,2,FALSE)</f>
        <v>Renewal (25% in 2020)</v>
      </c>
      <c r="H1672" s="783" t="s">
        <v>6602</v>
      </c>
      <c r="I1672" s="783" t="s">
        <v>6603</v>
      </c>
      <c r="J1672" s="783">
        <v>25</v>
      </c>
      <c r="K1672" s="783" t="s">
        <v>27</v>
      </c>
      <c r="L1672" s="783" t="s">
        <v>4096</v>
      </c>
      <c r="M1672" s="784">
        <v>45744.12</v>
      </c>
      <c r="N1672" s="784">
        <v>35.92</v>
      </c>
      <c r="O1672" s="784">
        <v>2.83</v>
      </c>
      <c r="P1672" s="783">
        <v>450</v>
      </c>
      <c r="Q1672" s="783">
        <v>3439.96</v>
      </c>
      <c r="R1672" s="783">
        <v>1981.5</v>
      </c>
      <c r="S1672" s="783">
        <v>575.59</v>
      </c>
      <c r="T1672" s="783">
        <v>882.86</v>
      </c>
      <c r="U1672" s="785">
        <v>44631.636226851799</v>
      </c>
    </row>
    <row r="1673" spans="1:21">
      <c r="A1673" s="782">
        <v>44455</v>
      </c>
      <c r="B1673" s="783" t="s">
        <v>41</v>
      </c>
      <c r="C1673" s="783" t="s">
        <v>4071</v>
      </c>
      <c r="D1673" s="783" t="s">
        <v>4009</v>
      </c>
      <c r="E1673" s="783" t="s">
        <v>366</v>
      </c>
      <c r="F1673" s="783" t="s">
        <v>4011</v>
      </c>
      <c r="G1673" s="783" t="str">
        <f>VLOOKUP(I1673,pacage,2,FALSE)</f>
        <v>Renewal (15% in 2020)</v>
      </c>
      <c r="H1673" s="783" t="s">
        <v>6186</v>
      </c>
      <c r="I1673" s="783" t="s">
        <v>6187</v>
      </c>
      <c r="J1673" s="783">
        <v>15</v>
      </c>
      <c r="K1673" s="783" t="s">
        <v>27</v>
      </c>
      <c r="L1673" s="783" t="s">
        <v>4096</v>
      </c>
      <c r="M1673" s="784">
        <v>17696.39</v>
      </c>
      <c r="N1673" s="784">
        <v>13.38</v>
      </c>
      <c r="O1673" s="784">
        <v>3.89</v>
      </c>
      <c r="P1673" s="783">
        <v>340</v>
      </c>
      <c r="Q1673" s="783">
        <v>2008.54</v>
      </c>
      <c r="R1673" s="783">
        <v>849.43</v>
      </c>
      <c r="S1673" s="783">
        <v>104.41</v>
      </c>
      <c r="T1673" s="783">
        <v>1054.7</v>
      </c>
      <c r="U1673" s="785">
        <v>44631.636377314797</v>
      </c>
    </row>
    <row r="1674" spans="1:21">
      <c r="A1674" s="782">
        <v>44552</v>
      </c>
      <c r="B1674" s="783" t="s">
        <v>74</v>
      </c>
      <c r="C1674" s="783" t="s">
        <v>4097</v>
      </c>
      <c r="D1674" s="783" t="s">
        <v>4038</v>
      </c>
      <c r="E1674" s="783" t="s">
        <v>3820</v>
      </c>
      <c r="F1674" s="783" t="s">
        <v>4011</v>
      </c>
      <c r="G1674" s="783" t="str">
        <f>VLOOKUP(I1674,pacage,2,FALSE)</f>
        <v>New contract</v>
      </c>
      <c r="H1674" s="783" t="s">
        <v>6191</v>
      </c>
      <c r="I1674" s="783" t="s">
        <v>6192</v>
      </c>
      <c r="J1674" s="783">
        <v>25</v>
      </c>
      <c r="K1674" s="783" t="s">
        <v>27</v>
      </c>
      <c r="L1674" s="783" t="s">
        <v>4096</v>
      </c>
      <c r="M1674" s="784">
        <v>39540.199999999997</v>
      </c>
      <c r="N1674" s="784">
        <v>18.52</v>
      </c>
      <c r="O1674" s="784">
        <v>4.2699999999999996</v>
      </c>
      <c r="P1674" s="783">
        <v>500</v>
      </c>
      <c r="Q1674" s="783">
        <v>2791.54</v>
      </c>
      <c r="R1674" s="783">
        <v>1161.6099999999999</v>
      </c>
      <c r="S1674" s="783">
        <v>858.89</v>
      </c>
      <c r="T1674" s="783">
        <v>771.03</v>
      </c>
      <c r="U1674" s="785">
        <v>44631.637002314797</v>
      </c>
    </row>
    <row r="1675" spans="1:21">
      <c r="A1675" s="782">
        <v>44558</v>
      </c>
      <c r="B1675" s="783" t="s">
        <v>74</v>
      </c>
      <c r="C1675" s="783" t="s">
        <v>4037</v>
      </c>
      <c r="D1675" s="783" t="s">
        <v>4038</v>
      </c>
      <c r="E1675" s="783" t="s">
        <v>4723</v>
      </c>
      <c r="F1675" s="783" t="s">
        <v>4066</v>
      </c>
      <c r="G1675" s="783" t="s">
        <v>4028</v>
      </c>
      <c r="H1675" s="783" t="s">
        <v>4724</v>
      </c>
      <c r="I1675" s="783" t="s">
        <v>4725</v>
      </c>
      <c r="J1675" s="783">
        <v>10</v>
      </c>
      <c r="K1675" s="783" t="s">
        <v>27</v>
      </c>
      <c r="L1675" s="783" t="s">
        <v>4096</v>
      </c>
      <c r="M1675" s="784">
        <v>18703.599999999999</v>
      </c>
      <c r="N1675" s="784">
        <v>20.329999999999998</v>
      </c>
      <c r="O1675" s="784">
        <v>2.2999999999999998</v>
      </c>
      <c r="P1675" s="783">
        <v>400</v>
      </c>
      <c r="Q1675" s="783">
        <v>1458.88</v>
      </c>
      <c r="R1675" s="783">
        <v>0</v>
      </c>
      <c r="S1675" s="783">
        <v>0</v>
      </c>
      <c r="T1675" s="783">
        <v>1458.88</v>
      </c>
      <c r="U1675" s="785">
        <v>44631.636909722198</v>
      </c>
    </row>
    <row r="1676" spans="1:21">
      <c r="A1676" s="782">
        <v>44557</v>
      </c>
      <c r="B1676" s="783" t="s">
        <v>1274</v>
      </c>
      <c r="C1676" s="783" t="s">
        <v>4139</v>
      </c>
      <c r="D1676" s="783" t="s">
        <v>4009</v>
      </c>
      <c r="E1676" s="783" t="s">
        <v>6604</v>
      </c>
      <c r="F1676" s="783" t="s">
        <v>4066</v>
      </c>
      <c r="G1676" s="783" t="s">
        <v>4028</v>
      </c>
      <c r="H1676" s="783" t="s">
        <v>6605</v>
      </c>
      <c r="I1676" s="783" t="s">
        <v>6606</v>
      </c>
      <c r="J1676" s="783">
        <v>5</v>
      </c>
      <c r="K1676" s="783" t="s">
        <v>27</v>
      </c>
      <c r="L1676" s="783" t="s">
        <v>4096</v>
      </c>
      <c r="M1676" s="784">
        <v>56766.5</v>
      </c>
      <c r="N1676" s="784">
        <v>33.1</v>
      </c>
      <c r="O1676" s="784">
        <v>3.5</v>
      </c>
      <c r="P1676" s="783">
        <v>490</v>
      </c>
      <c r="Q1676" s="783">
        <v>3542.23</v>
      </c>
      <c r="R1676" s="783">
        <v>0</v>
      </c>
      <c r="S1676" s="783">
        <v>0</v>
      </c>
      <c r="T1676" s="783">
        <v>3542.23</v>
      </c>
      <c r="U1676" s="785">
        <v>44631.636921296304</v>
      </c>
    </row>
    <row r="1677" spans="1:21">
      <c r="A1677" s="782">
        <v>44578</v>
      </c>
      <c r="B1677" s="783" t="s">
        <v>4025</v>
      </c>
      <c r="C1677" s="783" t="s">
        <v>4026</v>
      </c>
      <c r="D1677" s="783" t="s">
        <v>4021</v>
      </c>
      <c r="E1677" s="783" t="s">
        <v>6193</v>
      </c>
      <c r="F1677" s="783" t="s">
        <v>4011</v>
      </c>
      <c r="G1677" s="783" t="s">
        <v>4028</v>
      </c>
      <c r="H1677" s="783" t="s">
        <v>6194</v>
      </c>
      <c r="I1677" s="783" t="s">
        <v>6195</v>
      </c>
      <c r="J1677" s="783">
        <v>25</v>
      </c>
      <c r="K1677" s="783" t="s">
        <v>27</v>
      </c>
      <c r="L1677" s="783" t="s">
        <v>4096</v>
      </c>
      <c r="M1677" s="784">
        <v>31456.35</v>
      </c>
      <c r="N1677" s="784">
        <v>25.89</v>
      </c>
      <c r="O1677" s="784">
        <v>2.4300000000000002</v>
      </c>
      <c r="P1677" s="783">
        <v>500</v>
      </c>
      <c r="Q1677" s="783">
        <v>1682.91</v>
      </c>
      <c r="R1677" s="783">
        <v>734.3</v>
      </c>
      <c r="S1677" s="783">
        <v>505.08</v>
      </c>
      <c r="T1677" s="783">
        <v>443.53</v>
      </c>
      <c r="U1677" s="785">
        <v>44631.637013888903</v>
      </c>
    </row>
    <row r="1678" spans="1:21">
      <c r="A1678" s="782">
        <v>44551</v>
      </c>
      <c r="B1678" s="783" t="s">
        <v>113</v>
      </c>
      <c r="C1678" s="783" t="s">
        <v>4097</v>
      </c>
      <c r="D1678" s="783" t="s">
        <v>4038</v>
      </c>
      <c r="E1678" s="783" t="s">
        <v>6607</v>
      </c>
      <c r="F1678" s="783" t="s">
        <v>4011</v>
      </c>
      <c r="G1678" s="783" t="str">
        <f t="shared" ref="G1678:G1684" si="91">VLOOKUP(I1678,pacage,2,FALSE)</f>
        <v>New contract</v>
      </c>
      <c r="H1678" s="783" t="s">
        <v>6608</v>
      </c>
      <c r="I1678" s="783" t="s">
        <v>6609</v>
      </c>
      <c r="J1678" s="783">
        <v>25</v>
      </c>
      <c r="K1678" s="783" t="s">
        <v>27</v>
      </c>
      <c r="L1678" s="783" t="s">
        <v>4096</v>
      </c>
      <c r="M1678" s="784">
        <v>36947.660000000003</v>
      </c>
      <c r="N1678" s="784">
        <v>27.54</v>
      </c>
      <c r="O1678" s="784">
        <v>2.6</v>
      </c>
      <c r="P1678" s="783">
        <v>516</v>
      </c>
      <c r="Q1678" s="783">
        <v>2608.5100000000002</v>
      </c>
      <c r="R1678" s="783">
        <v>1051.79</v>
      </c>
      <c r="S1678" s="783">
        <v>836.23</v>
      </c>
      <c r="T1678" s="783">
        <v>720.48</v>
      </c>
      <c r="U1678" s="785">
        <v>44631.637187499997</v>
      </c>
    </row>
    <row r="1679" spans="1:21">
      <c r="A1679" s="782">
        <v>44551</v>
      </c>
      <c r="B1679" s="783" t="s">
        <v>41</v>
      </c>
      <c r="C1679" s="783" t="s">
        <v>4082</v>
      </c>
      <c r="D1679" s="783" t="s">
        <v>4009</v>
      </c>
      <c r="E1679" s="783" t="s">
        <v>6198</v>
      </c>
      <c r="F1679" s="783" t="s">
        <v>4011</v>
      </c>
      <c r="G1679" s="783" t="str">
        <f t="shared" si="91"/>
        <v>Renewal (25% in 2020)</v>
      </c>
      <c r="H1679" s="783" t="s">
        <v>6199</v>
      </c>
      <c r="I1679" s="783" t="s">
        <v>6200</v>
      </c>
      <c r="J1679" s="783">
        <v>25</v>
      </c>
      <c r="K1679" s="783" t="s">
        <v>27</v>
      </c>
      <c r="L1679" s="783" t="s">
        <v>4096</v>
      </c>
      <c r="M1679" s="784">
        <v>15936</v>
      </c>
      <c r="N1679" s="784">
        <v>16.600000000000001</v>
      </c>
      <c r="O1679" s="784">
        <v>3.2</v>
      </c>
      <c r="P1679" s="783">
        <v>300</v>
      </c>
      <c r="Q1679" s="783">
        <v>1031.06</v>
      </c>
      <c r="R1679" s="783">
        <v>647</v>
      </c>
      <c r="S1679" s="783">
        <v>159.36000000000001</v>
      </c>
      <c r="T1679" s="783">
        <v>224.7</v>
      </c>
      <c r="U1679" s="785">
        <v>44631.637118055602</v>
      </c>
    </row>
    <row r="1680" spans="1:21">
      <c r="A1680" s="782">
        <v>44558</v>
      </c>
      <c r="B1680" s="783" t="s">
        <v>74</v>
      </c>
      <c r="C1680" s="783" t="s">
        <v>4037</v>
      </c>
      <c r="D1680" s="783" t="s">
        <v>4038</v>
      </c>
      <c r="E1680" s="783" t="s">
        <v>4452</v>
      </c>
      <c r="F1680" s="783" t="s">
        <v>4011</v>
      </c>
      <c r="G1680" s="783" t="str">
        <f t="shared" si="91"/>
        <v>Renewal (20% in 2020)</v>
      </c>
      <c r="H1680" s="783" t="s">
        <v>4453</v>
      </c>
      <c r="I1680" s="783" t="s">
        <v>4454</v>
      </c>
      <c r="J1680" s="783">
        <v>25</v>
      </c>
      <c r="K1680" s="783" t="s">
        <v>27</v>
      </c>
      <c r="L1680" s="783" t="s">
        <v>4096</v>
      </c>
      <c r="M1680" s="784">
        <v>10981.48</v>
      </c>
      <c r="N1680" s="784">
        <v>9.77</v>
      </c>
      <c r="O1680" s="784">
        <v>2.81</v>
      </c>
      <c r="P1680" s="783">
        <v>400</v>
      </c>
      <c r="Q1680" s="783">
        <v>952.09</v>
      </c>
      <c r="R1680" s="783">
        <v>462.12</v>
      </c>
      <c r="S1680" s="783">
        <v>208.85</v>
      </c>
      <c r="T1680" s="783">
        <v>281.13</v>
      </c>
      <c r="U1680" s="785">
        <v>44631.637071759302</v>
      </c>
    </row>
    <row r="1681" spans="1:21">
      <c r="A1681" s="782">
        <v>44552</v>
      </c>
      <c r="B1681" s="783" t="s">
        <v>41</v>
      </c>
      <c r="C1681" s="783" t="s">
        <v>4071</v>
      </c>
      <c r="D1681" s="783" t="s">
        <v>4009</v>
      </c>
      <c r="E1681" s="783" t="s">
        <v>6218</v>
      </c>
      <c r="F1681" s="783" t="s">
        <v>4011</v>
      </c>
      <c r="G1681" s="783" t="str">
        <f t="shared" si="91"/>
        <v>Renewal (30% in 2020)</v>
      </c>
      <c r="H1681" s="783" t="s">
        <v>6219</v>
      </c>
      <c r="I1681" s="783" t="s">
        <v>6220</v>
      </c>
      <c r="J1681" s="783">
        <v>25</v>
      </c>
      <c r="K1681" s="783" t="s">
        <v>27</v>
      </c>
      <c r="L1681" s="783" t="s">
        <v>4096</v>
      </c>
      <c r="M1681" s="784">
        <v>29340</v>
      </c>
      <c r="N1681" s="784">
        <v>18</v>
      </c>
      <c r="O1681" s="784">
        <v>3.26</v>
      </c>
      <c r="P1681" s="783">
        <v>500</v>
      </c>
      <c r="Q1681" s="783">
        <v>2033.26</v>
      </c>
      <c r="R1681" s="783">
        <v>1118.21</v>
      </c>
      <c r="S1681" s="783">
        <v>463.22</v>
      </c>
      <c r="T1681" s="783">
        <v>451.84</v>
      </c>
      <c r="U1681" s="785">
        <v>44631.636886574102</v>
      </c>
    </row>
    <row r="1682" spans="1:21">
      <c r="A1682" s="782">
        <v>44561</v>
      </c>
      <c r="B1682" s="783" t="s">
        <v>74</v>
      </c>
      <c r="C1682" s="783" t="s">
        <v>4037</v>
      </c>
      <c r="D1682" s="783" t="s">
        <v>4038</v>
      </c>
      <c r="E1682" s="783" t="s">
        <v>4455</v>
      </c>
      <c r="F1682" s="783" t="s">
        <v>4011</v>
      </c>
      <c r="G1682" s="783" t="str">
        <f t="shared" si="91"/>
        <v>Renewal (20% in 2020)</v>
      </c>
      <c r="H1682" s="783" t="s">
        <v>4456</v>
      </c>
      <c r="I1682" s="783" t="s">
        <v>4457</v>
      </c>
      <c r="J1682" s="783">
        <v>25</v>
      </c>
      <c r="K1682" s="783" t="s">
        <v>27</v>
      </c>
      <c r="L1682" s="783" t="s">
        <v>4096</v>
      </c>
      <c r="M1682" s="784">
        <v>1953.6</v>
      </c>
      <c r="N1682" s="784">
        <v>2.2000000000000002</v>
      </c>
      <c r="O1682" s="784">
        <v>2.2200000000000002</v>
      </c>
      <c r="P1682" s="783">
        <v>400</v>
      </c>
      <c r="Q1682" s="783">
        <v>169.38</v>
      </c>
      <c r="R1682" s="783">
        <v>82.21</v>
      </c>
      <c r="S1682" s="783">
        <v>37.15</v>
      </c>
      <c r="T1682" s="783">
        <v>50.01</v>
      </c>
      <c r="U1682" s="785">
        <v>44631.636990740699</v>
      </c>
    </row>
    <row r="1683" spans="1:21">
      <c r="A1683" s="782">
        <v>44561</v>
      </c>
      <c r="B1683" s="783" t="s">
        <v>74</v>
      </c>
      <c r="C1683" s="783" t="s">
        <v>4097</v>
      </c>
      <c r="D1683" s="783" t="s">
        <v>4038</v>
      </c>
      <c r="E1683" s="783" t="s">
        <v>4455</v>
      </c>
      <c r="F1683" s="783" t="s">
        <v>4011</v>
      </c>
      <c r="G1683" s="783" t="str">
        <f t="shared" si="91"/>
        <v>Renewal (20% in 2020)</v>
      </c>
      <c r="H1683" s="783" t="s">
        <v>4456</v>
      </c>
      <c r="I1683" s="783" t="s">
        <v>4457</v>
      </c>
      <c r="J1683" s="783">
        <v>25</v>
      </c>
      <c r="K1683" s="783" t="s">
        <v>27</v>
      </c>
      <c r="L1683" s="783" t="s">
        <v>4096</v>
      </c>
      <c r="M1683" s="784">
        <v>11842.4</v>
      </c>
      <c r="N1683" s="784">
        <v>11.3</v>
      </c>
      <c r="O1683" s="784">
        <v>2.62</v>
      </c>
      <c r="P1683" s="783">
        <v>400</v>
      </c>
      <c r="Q1683" s="783">
        <v>836.07</v>
      </c>
      <c r="R1683" s="783">
        <v>434.88</v>
      </c>
      <c r="S1683" s="783">
        <v>170.26</v>
      </c>
      <c r="T1683" s="783">
        <v>230.93</v>
      </c>
      <c r="U1683" s="785">
        <v>44631.636990740699</v>
      </c>
    </row>
    <row r="1684" spans="1:21">
      <c r="A1684" s="782">
        <v>44564</v>
      </c>
      <c r="B1684" s="783" t="s">
        <v>41</v>
      </c>
      <c r="C1684" s="783" t="s">
        <v>4071</v>
      </c>
      <c r="D1684" s="783" t="s">
        <v>4009</v>
      </c>
      <c r="E1684" s="783" t="s">
        <v>6227</v>
      </c>
      <c r="F1684" s="783" t="s">
        <v>4011</v>
      </c>
      <c r="G1684" s="783" t="str">
        <f t="shared" si="91"/>
        <v>Renewal (25% in 2020)</v>
      </c>
      <c r="H1684" s="783" t="s">
        <v>6228</v>
      </c>
      <c r="I1684" s="783" t="s">
        <v>6229</v>
      </c>
      <c r="J1684" s="783">
        <v>20</v>
      </c>
      <c r="K1684" s="783" t="s">
        <v>27</v>
      </c>
      <c r="L1684" s="783" t="s">
        <v>4096</v>
      </c>
      <c r="M1684" s="784">
        <v>59623.65</v>
      </c>
      <c r="N1684" s="784">
        <v>35.81</v>
      </c>
      <c r="O1684" s="784">
        <v>3.33</v>
      </c>
      <c r="P1684" s="783">
        <v>500</v>
      </c>
      <c r="Q1684" s="783">
        <v>5193.22</v>
      </c>
      <c r="R1684" s="783">
        <v>2272.38</v>
      </c>
      <c r="S1684" s="783">
        <v>941.34</v>
      </c>
      <c r="T1684" s="783">
        <v>1979.51</v>
      </c>
      <c r="U1684" s="785">
        <v>44631.636944444399</v>
      </c>
    </row>
    <row r="1685" spans="1:21">
      <c r="A1685" s="782">
        <v>44559</v>
      </c>
      <c r="B1685" s="783" t="s">
        <v>74</v>
      </c>
      <c r="C1685" s="783" t="s">
        <v>4097</v>
      </c>
      <c r="D1685" s="783" t="s">
        <v>4038</v>
      </c>
      <c r="E1685" s="783" t="s">
        <v>4461</v>
      </c>
      <c r="F1685" s="783" t="s">
        <v>4011</v>
      </c>
      <c r="G1685" s="783" t="s">
        <v>4028</v>
      </c>
      <c r="H1685" s="783" t="s">
        <v>4462</v>
      </c>
      <c r="I1685" s="783" t="s">
        <v>4463</v>
      </c>
      <c r="J1685" s="783">
        <v>20</v>
      </c>
      <c r="K1685" s="783" t="s">
        <v>27</v>
      </c>
      <c r="L1685" s="783" t="s">
        <v>4096</v>
      </c>
      <c r="M1685" s="784">
        <v>23062.880000000001</v>
      </c>
      <c r="N1685" s="784">
        <v>20.74</v>
      </c>
      <c r="O1685" s="784">
        <v>2.78</v>
      </c>
      <c r="P1685" s="783">
        <v>400</v>
      </c>
      <c r="Q1685" s="783">
        <v>2013.39</v>
      </c>
      <c r="R1685" s="783">
        <v>846.93</v>
      </c>
      <c r="S1685" s="783">
        <v>331.59</v>
      </c>
      <c r="T1685" s="783">
        <v>834.88</v>
      </c>
      <c r="U1685" s="785">
        <v>44631.637037036999</v>
      </c>
    </row>
    <row r="1686" spans="1:21">
      <c r="A1686" s="782">
        <v>44557</v>
      </c>
      <c r="B1686" s="783" t="s">
        <v>30</v>
      </c>
      <c r="C1686" s="783" t="s">
        <v>4089</v>
      </c>
      <c r="D1686" s="783" t="s">
        <v>4021</v>
      </c>
      <c r="E1686" s="783" t="s">
        <v>6233</v>
      </c>
      <c r="F1686" s="783" t="s">
        <v>4011</v>
      </c>
      <c r="G1686" s="783" t="str">
        <f t="shared" ref="G1686:G1729" si="92">VLOOKUP(I1686,pacage,2,FALSE)</f>
        <v>Renewal (20% in 2020)</v>
      </c>
      <c r="H1686" s="783" t="s">
        <v>6234</v>
      </c>
      <c r="I1686" s="783" t="s">
        <v>6235</v>
      </c>
      <c r="J1686" s="783">
        <v>20</v>
      </c>
      <c r="K1686" s="783" t="s">
        <v>27</v>
      </c>
      <c r="L1686" s="783" t="s">
        <v>4096</v>
      </c>
      <c r="M1686" s="784">
        <v>18521.13</v>
      </c>
      <c r="N1686" s="784">
        <v>15.25</v>
      </c>
      <c r="O1686" s="784">
        <v>3.47</v>
      </c>
      <c r="P1686" s="783">
        <v>350</v>
      </c>
      <c r="Q1686" s="783">
        <v>1516.88</v>
      </c>
      <c r="R1686" s="783">
        <v>759.37</v>
      </c>
      <c r="S1686" s="783">
        <v>116.68</v>
      </c>
      <c r="T1686" s="783">
        <v>640.83000000000004</v>
      </c>
      <c r="U1686" s="785">
        <v>44631.637071759302</v>
      </c>
    </row>
    <row r="1687" spans="1:21">
      <c r="A1687" s="782">
        <v>44588</v>
      </c>
      <c r="B1687" s="783" t="s">
        <v>113</v>
      </c>
      <c r="C1687" s="783" t="s">
        <v>4097</v>
      </c>
      <c r="D1687" s="783" t="s">
        <v>4038</v>
      </c>
      <c r="E1687" s="783" t="s">
        <v>1403</v>
      </c>
      <c r="F1687" s="783" t="s">
        <v>4011</v>
      </c>
      <c r="G1687" s="783" t="str">
        <f t="shared" si="92"/>
        <v>Renewal (20% in 2020)</v>
      </c>
      <c r="H1687" s="783" t="s">
        <v>6236</v>
      </c>
      <c r="I1687" s="783" t="s">
        <v>6237</v>
      </c>
      <c r="J1687" s="783">
        <v>20</v>
      </c>
      <c r="K1687" s="783" t="s">
        <v>27</v>
      </c>
      <c r="L1687" s="783" t="s">
        <v>4096</v>
      </c>
      <c r="M1687" s="784">
        <v>28071.87</v>
      </c>
      <c r="N1687" s="784">
        <v>23.57</v>
      </c>
      <c r="O1687" s="784">
        <v>3</v>
      </c>
      <c r="P1687" s="783">
        <v>397</v>
      </c>
      <c r="Q1687" s="783">
        <v>2450.67</v>
      </c>
      <c r="R1687" s="783">
        <v>1038.6600000000001</v>
      </c>
      <c r="S1687" s="783">
        <v>395.81</v>
      </c>
      <c r="T1687" s="783">
        <v>1016.2</v>
      </c>
      <c r="U1687" s="785">
        <v>44631.637187499997</v>
      </c>
    </row>
    <row r="1688" spans="1:21">
      <c r="A1688" s="782">
        <v>44452</v>
      </c>
      <c r="B1688" s="783" t="s">
        <v>228</v>
      </c>
      <c r="C1688" s="783" t="s">
        <v>4192</v>
      </c>
      <c r="D1688" s="783" t="s">
        <v>4193</v>
      </c>
      <c r="E1688" s="783" t="s">
        <v>6241</v>
      </c>
      <c r="F1688" s="783" t="s">
        <v>4011</v>
      </c>
      <c r="G1688" s="783" t="str">
        <f t="shared" si="92"/>
        <v>Renewal (20% in 2020)</v>
      </c>
      <c r="H1688" s="783" t="s">
        <v>6242</v>
      </c>
      <c r="I1688" s="783" t="s">
        <v>6243</v>
      </c>
      <c r="J1688" s="783">
        <v>20</v>
      </c>
      <c r="K1688" s="783" t="s">
        <v>27</v>
      </c>
      <c r="L1688" s="783" t="s">
        <v>4096</v>
      </c>
      <c r="M1688" s="784">
        <v>100175.4</v>
      </c>
      <c r="N1688" s="784">
        <v>71.349999999999994</v>
      </c>
      <c r="O1688" s="784">
        <v>3.12</v>
      </c>
      <c r="P1688" s="783">
        <v>450</v>
      </c>
      <c r="Q1688" s="783">
        <v>9386.43</v>
      </c>
      <c r="R1688" s="783">
        <v>4339.3100000000004</v>
      </c>
      <c r="S1688" s="783">
        <v>1260.5</v>
      </c>
      <c r="T1688" s="783">
        <v>3786.63</v>
      </c>
      <c r="U1688" s="785">
        <v>44631.6335300926</v>
      </c>
    </row>
    <row r="1689" spans="1:21">
      <c r="A1689" s="782">
        <v>44455</v>
      </c>
      <c r="B1689" s="783" t="s">
        <v>51</v>
      </c>
      <c r="C1689" s="783" t="s">
        <v>4042</v>
      </c>
      <c r="D1689" s="783" t="s">
        <v>4016</v>
      </c>
      <c r="E1689" s="783" t="s">
        <v>6244</v>
      </c>
      <c r="F1689" s="783" t="s">
        <v>4011</v>
      </c>
      <c r="G1689" s="783" t="str">
        <f t="shared" si="92"/>
        <v>New Contract</v>
      </c>
      <c r="H1689" s="783" t="s">
        <v>6245</v>
      </c>
      <c r="I1689" s="783" t="s">
        <v>6246</v>
      </c>
      <c r="J1689" s="783">
        <v>30</v>
      </c>
      <c r="K1689" s="783" t="s">
        <v>27</v>
      </c>
      <c r="L1689" s="783" t="s">
        <v>4096</v>
      </c>
      <c r="M1689" s="784">
        <v>36574.800000000003</v>
      </c>
      <c r="N1689" s="784">
        <v>31.53</v>
      </c>
      <c r="O1689" s="784">
        <v>2.9</v>
      </c>
      <c r="P1689" s="783">
        <v>400</v>
      </c>
      <c r="Q1689" s="783">
        <v>2552.92</v>
      </c>
      <c r="R1689" s="783">
        <v>1796.87</v>
      </c>
      <c r="S1689" s="783">
        <v>13.58</v>
      </c>
      <c r="T1689" s="783">
        <v>742.47</v>
      </c>
      <c r="U1689" s="785">
        <v>44631.636574074102</v>
      </c>
    </row>
    <row r="1690" spans="1:21">
      <c r="A1690" s="782">
        <v>44518</v>
      </c>
      <c r="B1690" s="783" t="s">
        <v>74</v>
      </c>
      <c r="C1690" s="783" t="s">
        <v>4097</v>
      </c>
      <c r="D1690" s="783" t="s">
        <v>4038</v>
      </c>
      <c r="E1690" s="783" t="s">
        <v>6249</v>
      </c>
      <c r="F1690" s="783" t="s">
        <v>4011</v>
      </c>
      <c r="G1690" s="783" t="str">
        <f t="shared" si="92"/>
        <v>New Contract</v>
      </c>
      <c r="H1690" s="783" t="s">
        <v>6250</v>
      </c>
      <c r="I1690" s="783" t="s">
        <v>6251</v>
      </c>
      <c r="J1690" s="783">
        <v>20</v>
      </c>
      <c r="K1690" s="783" t="s">
        <v>27</v>
      </c>
      <c r="L1690" s="783" t="s">
        <v>4096</v>
      </c>
      <c r="M1690" s="784">
        <v>11502</v>
      </c>
      <c r="N1690" s="784">
        <v>10.65</v>
      </c>
      <c r="O1690" s="784">
        <v>2.7</v>
      </c>
      <c r="P1690" s="783">
        <v>400</v>
      </c>
      <c r="Q1690" s="783">
        <v>1004.12</v>
      </c>
      <c r="R1690" s="783">
        <v>422.38</v>
      </c>
      <c r="S1690" s="783">
        <v>165.37</v>
      </c>
      <c r="T1690" s="783">
        <v>416.37</v>
      </c>
      <c r="U1690" s="785">
        <v>44631.6378819444</v>
      </c>
    </row>
    <row r="1691" spans="1:21">
      <c r="A1691" s="782">
        <v>44518</v>
      </c>
      <c r="B1691" s="783" t="s">
        <v>74</v>
      </c>
      <c r="C1691" s="783" t="s">
        <v>4097</v>
      </c>
      <c r="D1691" s="783" t="s">
        <v>4038</v>
      </c>
      <c r="E1691" s="783" t="s">
        <v>6252</v>
      </c>
      <c r="F1691" s="783" t="s">
        <v>4011</v>
      </c>
      <c r="G1691" s="783" t="str">
        <f t="shared" si="92"/>
        <v>New Contract</v>
      </c>
      <c r="H1691" s="783" t="s">
        <v>6253</v>
      </c>
      <c r="I1691" s="783" t="s">
        <v>6254</v>
      </c>
      <c r="J1691" s="783">
        <v>20</v>
      </c>
      <c r="K1691" s="783" t="s">
        <v>27</v>
      </c>
      <c r="L1691" s="783" t="s">
        <v>4096</v>
      </c>
      <c r="M1691" s="784">
        <v>1641.6</v>
      </c>
      <c r="N1691" s="784">
        <v>1.52</v>
      </c>
      <c r="O1691" s="784">
        <v>2.7</v>
      </c>
      <c r="P1691" s="783">
        <v>400</v>
      </c>
      <c r="Q1691" s="783">
        <v>143.31</v>
      </c>
      <c r="R1691" s="783">
        <v>60.28</v>
      </c>
      <c r="S1691" s="783">
        <v>23.6</v>
      </c>
      <c r="T1691" s="783">
        <v>59.43</v>
      </c>
      <c r="U1691" s="785">
        <v>44631.637719907398</v>
      </c>
    </row>
    <row r="1692" spans="1:21">
      <c r="A1692" s="782">
        <v>44503</v>
      </c>
      <c r="B1692" s="783" t="s">
        <v>74</v>
      </c>
      <c r="C1692" s="783" t="s">
        <v>4097</v>
      </c>
      <c r="D1692" s="783" t="s">
        <v>4038</v>
      </c>
      <c r="E1692" s="783" t="s">
        <v>4732</v>
      </c>
      <c r="F1692" s="783" t="s">
        <v>4066</v>
      </c>
      <c r="G1692" s="783" t="str">
        <f t="shared" si="92"/>
        <v>New Contract</v>
      </c>
      <c r="H1692" s="783" t="s">
        <v>4733</v>
      </c>
      <c r="I1692" s="783" t="s">
        <v>4734</v>
      </c>
      <c r="J1692" s="783">
        <v>10</v>
      </c>
      <c r="K1692" s="783" t="s">
        <v>27</v>
      </c>
      <c r="L1692" s="783" t="s">
        <v>4096</v>
      </c>
      <c r="M1692" s="784">
        <v>29152</v>
      </c>
      <c r="N1692" s="784">
        <v>18.22</v>
      </c>
      <c r="O1692" s="784">
        <v>4</v>
      </c>
      <c r="P1692" s="783">
        <v>400</v>
      </c>
      <c r="Q1692" s="783">
        <v>1851.15</v>
      </c>
      <c r="R1692" s="783">
        <v>0</v>
      </c>
      <c r="S1692" s="783">
        <v>0</v>
      </c>
      <c r="T1692" s="783">
        <v>1851.15</v>
      </c>
      <c r="U1692" s="785">
        <v>44631.636504629598</v>
      </c>
    </row>
    <row r="1693" spans="1:21">
      <c r="A1693" s="782">
        <v>44504</v>
      </c>
      <c r="B1693" s="783" t="s">
        <v>41</v>
      </c>
      <c r="C1693" s="783" t="s">
        <v>4121</v>
      </c>
      <c r="D1693" s="783" t="s">
        <v>4009</v>
      </c>
      <c r="E1693" s="783" t="s">
        <v>4220</v>
      </c>
      <c r="F1693" s="783" t="s">
        <v>4011</v>
      </c>
      <c r="G1693" s="783" t="str">
        <f t="shared" si="92"/>
        <v>New Contract</v>
      </c>
      <c r="H1693" s="783" t="s">
        <v>4221</v>
      </c>
      <c r="I1693" s="783" t="s">
        <v>4222</v>
      </c>
      <c r="J1693" s="783">
        <v>30</v>
      </c>
      <c r="K1693" s="783" t="s">
        <v>27</v>
      </c>
      <c r="L1693" s="783" t="s">
        <v>4096</v>
      </c>
      <c r="M1693" s="784">
        <v>50274</v>
      </c>
      <c r="N1693" s="784">
        <v>31.92</v>
      </c>
      <c r="O1693" s="784">
        <v>3.5</v>
      </c>
      <c r="P1693" s="783">
        <v>450</v>
      </c>
      <c r="Q1693" s="783">
        <v>3257.76</v>
      </c>
      <c r="R1693" s="783">
        <v>2004.75</v>
      </c>
      <c r="S1693" s="783">
        <v>267.64</v>
      </c>
      <c r="T1693" s="783">
        <v>985.37</v>
      </c>
      <c r="U1693" s="785">
        <v>44631.637268518498</v>
      </c>
    </row>
    <row r="1694" spans="1:21">
      <c r="A1694" s="782">
        <v>44503</v>
      </c>
      <c r="B1694" s="783" t="s">
        <v>41</v>
      </c>
      <c r="C1694" s="783" t="s">
        <v>4071</v>
      </c>
      <c r="D1694" s="783" t="s">
        <v>4009</v>
      </c>
      <c r="E1694" s="783" t="s">
        <v>6258</v>
      </c>
      <c r="F1694" s="783" t="s">
        <v>4011</v>
      </c>
      <c r="G1694" s="783" t="str">
        <f t="shared" si="92"/>
        <v>Renewal (25% in 2020)</v>
      </c>
      <c r="H1694" s="783" t="s">
        <v>6259</v>
      </c>
      <c r="I1694" s="783" t="s">
        <v>6260</v>
      </c>
      <c r="J1694" s="783">
        <v>25</v>
      </c>
      <c r="K1694" s="783" t="s">
        <v>27</v>
      </c>
      <c r="L1694" s="783" t="s">
        <v>4096</v>
      </c>
      <c r="M1694" s="784">
        <v>12144</v>
      </c>
      <c r="N1694" s="784">
        <v>16.5</v>
      </c>
      <c r="O1694" s="784">
        <v>2.2999999999999998</v>
      </c>
      <c r="P1694" s="783">
        <v>320</v>
      </c>
      <c r="Q1694" s="783">
        <v>841.58</v>
      </c>
      <c r="R1694" s="783">
        <v>582.91</v>
      </c>
      <c r="S1694" s="783">
        <v>71.650000000000006</v>
      </c>
      <c r="T1694" s="783">
        <v>187.02</v>
      </c>
      <c r="U1694" s="785">
        <v>44631.633391203701</v>
      </c>
    </row>
    <row r="1695" spans="1:21">
      <c r="A1695" s="782">
        <v>44477</v>
      </c>
      <c r="B1695" s="783" t="s">
        <v>41</v>
      </c>
      <c r="C1695" s="783" t="s">
        <v>4092</v>
      </c>
      <c r="D1695" s="783" t="s">
        <v>4009</v>
      </c>
      <c r="E1695" s="783" t="s">
        <v>1343</v>
      </c>
      <c r="F1695" s="783" t="s">
        <v>4011</v>
      </c>
      <c r="G1695" s="783" t="str">
        <f t="shared" si="92"/>
        <v>Renewal (25% in 2020)</v>
      </c>
      <c r="H1695" s="783" t="s">
        <v>4223</v>
      </c>
      <c r="I1695" s="783" t="s">
        <v>4224</v>
      </c>
      <c r="J1695" s="783">
        <v>25</v>
      </c>
      <c r="K1695" s="783" t="s">
        <v>27</v>
      </c>
      <c r="L1695" s="783" t="s">
        <v>4096</v>
      </c>
      <c r="M1695" s="784">
        <v>15137.61</v>
      </c>
      <c r="N1695" s="784">
        <v>12.3</v>
      </c>
      <c r="O1695" s="784">
        <v>3.1</v>
      </c>
      <c r="P1695" s="783">
        <v>397</v>
      </c>
      <c r="Q1695" s="783">
        <v>962.75</v>
      </c>
      <c r="R1695" s="783">
        <v>610.04999999999995</v>
      </c>
      <c r="S1695" s="783">
        <v>146.83000000000001</v>
      </c>
      <c r="T1695" s="783">
        <v>205.87</v>
      </c>
      <c r="U1695" s="785">
        <v>44631.637418981503</v>
      </c>
    </row>
    <row r="1696" spans="1:21">
      <c r="A1696" s="782">
        <v>44508</v>
      </c>
      <c r="B1696" s="783" t="s">
        <v>228</v>
      </c>
      <c r="C1696" s="783" t="s">
        <v>4417</v>
      </c>
      <c r="D1696" s="783" t="s">
        <v>4193</v>
      </c>
      <c r="E1696" s="783" t="s">
        <v>6261</v>
      </c>
      <c r="F1696" s="783" t="s">
        <v>4011</v>
      </c>
      <c r="G1696" s="783" t="str">
        <f t="shared" si="92"/>
        <v>Renewal (25% in 2020)</v>
      </c>
      <c r="H1696" s="783" t="s">
        <v>6262</v>
      </c>
      <c r="I1696" s="783" t="s">
        <v>6263</v>
      </c>
      <c r="J1696" s="783">
        <v>20</v>
      </c>
      <c r="K1696" s="783" t="s">
        <v>27</v>
      </c>
      <c r="L1696" s="783" t="s">
        <v>4096</v>
      </c>
      <c r="M1696" s="784">
        <v>26577.200000000001</v>
      </c>
      <c r="N1696" s="784">
        <v>24.7</v>
      </c>
      <c r="O1696" s="784">
        <v>2.69</v>
      </c>
      <c r="P1696" s="783">
        <v>400</v>
      </c>
      <c r="Q1696" s="783">
        <v>2607.2199999999998</v>
      </c>
      <c r="R1696" s="783">
        <v>1366.37</v>
      </c>
      <c r="S1696" s="783">
        <v>199.02</v>
      </c>
      <c r="T1696" s="783">
        <v>1041.83</v>
      </c>
      <c r="U1696" s="785">
        <v>44631.637280092596</v>
      </c>
    </row>
    <row r="1697" spans="1:21">
      <c r="A1697" s="782">
        <v>44474</v>
      </c>
      <c r="B1697" s="783" t="s">
        <v>65</v>
      </c>
      <c r="C1697" s="783" t="s">
        <v>5861</v>
      </c>
      <c r="D1697" s="783" t="s">
        <v>4258</v>
      </c>
      <c r="E1697" s="783" t="s">
        <v>82</v>
      </c>
      <c r="F1697" s="783" t="s">
        <v>4011</v>
      </c>
      <c r="G1697" s="783" t="str">
        <f t="shared" si="92"/>
        <v>Renewal (20% in 2020)</v>
      </c>
      <c r="H1697" s="783" t="s">
        <v>6264</v>
      </c>
      <c r="I1697" s="783" t="s">
        <v>6265</v>
      </c>
      <c r="J1697" s="783">
        <v>20</v>
      </c>
      <c r="K1697" s="783" t="s">
        <v>27</v>
      </c>
      <c r="L1697" s="783" t="s">
        <v>4096</v>
      </c>
      <c r="M1697" s="784">
        <v>95723.42</v>
      </c>
      <c r="N1697" s="784">
        <v>48.17</v>
      </c>
      <c r="O1697" s="784">
        <v>3.68</v>
      </c>
      <c r="P1697" s="783">
        <v>540</v>
      </c>
      <c r="Q1697" s="783">
        <v>6595.34</v>
      </c>
      <c r="R1697" s="783">
        <v>2568.67</v>
      </c>
      <c r="S1697" s="783">
        <v>1384.71</v>
      </c>
      <c r="T1697" s="783">
        <v>2641.97</v>
      </c>
      <c r="U1697" s="785">
        <v>44631.637245370403</v>
      </c>
    </row>
    <row r="1698" spans="1:21">
      <c r="A1698" s="782">
        <v>44483</v>
      </c>
      <c r="B1698" s="783" t="s">
        <v>228</v>
      </c>
      <c r="C1698" s="783" t="s">
        <v>4020</v>
      </c>
      <c r="D1698" s="783" t="s">
        <v>4021</v>
      </c>
      <c r="E1698" s="783" t="s">
        <v>6269</v>
      </c>
      <c r="F1698" s="783" t="s">
        <v>4011</v>
      </c>
      <c r="G1698" s="783" t="str">
        <f t="shared" si="92"/>
        <v>Renewal (25% in 2020)</v>
      </c>
      <c r="H1698" s="783" t="s">
        <v>6270</v>
      </c>
      <c r="I1698" s="783" t="s">
        <v>6271</v>
      </c>
      <c r="J1698" s="783">
        <v>25</v>
      </c>
      <c r="K1698" s="783" t="s">
        <v>27</v>
      </c>
      <c r="L1698" s="783" t="s">
        <v>4096</v>
      </c>
      <c r="M1698" s="784">
        <v>5554.85</v>
      </c>
      <c r="N1698" s="784">
        <v>5.9</v>
      </c>
      <c r="O1698" s="784">
        <v>2.69</v>
      </c>
      <c r="P1698" s="783">
        <v>350</v>
      </c>
      <c r="Q1698" s="783">
        <v>441.06</v>
      </c>
      <c r="R1698" s="783">
        <v>279.41000000000003</v>
      </c>
      <c r="S1698" s="783">
        <v>41.66</v>
      </c>
      <c r="T1698" s="783">
        <v>119.98</v>
      </c>
      <c r="U1698" s="785">
        <v>44631.637534722198</v>
      </c>
    </row>
    <row r="1699" spans="1:21">
      <c r="A1699" s="782">
        <v>44480</v>
      </c>
      <c r="B1699" s="783" t="s">
        <v>74</v>
      </c>
      <c r="C1699" s="783" t="s">
        <v>4097</v>
      </c>
      <c r="D1699" s="783" t="s">
        <v>4038</v>
      </c>
      <c r="E1699" s="783" t="s">
        <v>4464</v>
      </c>
      <c r="F1699" s="783" t="s">
        <v>4011</v>
      </c>
      <c r="G1699" s="783" t="str">
        <f t="shared" si="92"/>
        <v>Renewal (15% in 2020)</v>
      </c>
      <c r="H1699" s="783" t="s">
        <v>4465</v>
      </c>
      <c r="I1699" s="783" t="s">
        <v>4466</v>
      </c>
      <c r="J1699" s="783">
        <v>15</v>
      </c>
      <c r="K1699" s="783" t="s">
        <v>27</v>
      </c>
      <c r="L1699" s="783" t="s">
        <v>4096</v>
      </c>
      <c r="M1699" s="784">
        <v>19298.400000000001</v>
      </c>
      <c r="N1699" s="784">
        <v>18.920000000000002</v>
      </c>
      <c r="O1699" s="784">
        <v>2.5499999999999998</v>
      </c>
      <c r="P1699" s="783">
        <v>400</v>
      </c>
      <c r="Q1699" s="783">
        <v>2165.2800000000002</v>
      </c>
      <c r="R1699" s="783">
        <v>708.69</v>
      </c>
      <c r="S1699" s="783">
        <v>277.45999999999998</v>
      </c>
      <c r="T1699" s="783">
        <v>1179.1300000000001</v>
      </c>
      <c r="U1699" s="785">
        <v>44631.637326388904</v>
      </c>
    </row>
    <row r="1700" spans="1:21">
      <c r="A1700" s="782">
        <v>44474</v>
      </c>
      <c r="B1700" s="783" t="s">
        <v>4025</v>
      </c>
      <c r="C1700" s="783" t="s">
        <v>4052</v>
      </c>
      <c r="D1700" s="783" t="s">
        <v>4021</v>
      </c>
      <c r="E1700" s="783" t="s">
        <v>6272</v>
      </c>
      <c r="F1700" s="783" t="s">
        <v>4011</v>
      </c>
      <c r="G1700" s="783" t="str">
        <f t="shared" si="92"/>
        <v>New Contract</v>
      </c>
      <c r="H1700" s="783" t="s">
        <v>6273</v>
      </c>
      <c r="I1700" s="783" t="s">
        <v>6274</v>
      </c>
      <c r="J1700" s="783">
        <v>25</v>
      </c>
      <c r="K1700" s="783" t="s">
        <v>27</v>
      </c>
      <c r="L1700" s="783" t="s">
        <v>4096</v>
      </c>
      <c r="M1700" s="784">
        <v>13010.18</v>
      </c>
      <c r="N1700" s="784">
        <v>10.91</v>
      </c>
      <c r="O1700" s="784">
        <v>2.65</v>
      </c>
      <c r="P1700" s="783">
        <v>450</v>
      </c>
      <c r="Q1700" s="783">
        <v>962.75</v>
      </c>
      <c r="R1700" s="783">
        <v>565.86</v>
      </c>
      <c r="S1700" s="783">
        <v>161.41</v>
      </c>
      <c r="T1700" s="783">
        <v>235.48</v>
      </c>
      <c r="U1700" s="785">
        <v>44631.637349536999</v>
      </c>
    </row>
    <row r="1701" spans="1:21">
      <c r="A1701" s="782">
        <v>44476</v>
      </c>
      <c r="B1701" s="783" t="s">
        <v>65</v>
      </c>
      <c r="C1701" s="783" t="s">
        <v>6275</v>
      </c>
      <c r="D1701" s="783" t="s">
        <v>4258</v>
      </c>
      <c r="E1701" s="783" t="s">
        <v>6276</v>
      </c>
      <c r="F1701" s="783" t="s">
        <v>4011</v>
      </c>
      <c r="G1701" s="783" t="str">
        <f t="shared" si="92"/>
        <v>Renewal (20% in 2020)</v>
      </c>
      <c r="H1701" s="783" t="s">
        <v>6277</v>
      </c>
      <c r="I1701" s="783" t="s">
        <v>6278</v>
      </c>
      <c r="J1701" s="783">
        <v>25</v>
      </c>
      <c r="K1701" s="783" t="s">
        <v>27</v>
      </c>
      <c r="L1701" s="783" t="s">
        <v>4096</v>
      </c>
      <c r="M1701" s="784">
        <v>22953.74</v>
      </c>
      <c r="N1701" s="784">
        <v>13.2</v>
      </c>
      <c r="O1701" s="784">
        <v>3.37</v>
      </c>
      <c r="P1701" s="783">
        <v>516</v>
      </c>
      <c r="Q1701" s="783">
        <v>1531.01</v>
      </c>
      <c r="R1701" s="783">
        <v>796.47</v>
      </c>
      <c r="S1701" s="783">
        <v>369.58</v>
      </c>
      <c r="T1701" s="783">
        <v>364.96</v>
      </c>
      <c r="U1701" s="785">
        <v>44631.637256944399</v>
      </c>
    </row>
    <row r="1702" spans="1:21">
      <c r="A1702" s="782">
        <v>44482</v>
      </c>
      <c r="B1702" s="783" t="s">
        <v>41</v>
      </c>
      <c r="C1702" s="783" t="s">
        <v>4139</v>
      </c>
      <c r="D1702" s="783" t="s">
        <v>4009</v>
      </c>
      <c r="E1702" s="783" t="s">
        <v>6284</v>
      </c>
      <c r="F1702" s="783" t="s">
        <v>4011</v>
      </c>
      <c r="G1702" s="783" t="str">
        <f t="shared" si="92"/>
        <v>Renewal (30% in 2020)</v>
      </c>
      <c r="H1702" s="783" t="s">
        <v>6285</v>
      </c>
      <c r="I1702" s="783" t="s">
        <v>6286</v>
      </c>
      <c r="J1702" s="783">
        <v>25</v>
      </c>
      <c r="K1702" s="783" t="s">
        <v>27</v>
      </c>
      <c r="L1702" s="783" t="s">
        <v>4096</v>
      </c>
      <c r="M1702" s="784">
        <v>27198.47</v>
      </c>
      <c r="N1702" s="784">
        <v>17</v>
      </c>
      <c r="O1702" s="784">
        <v>4.03</v>
      </c>
      <c r="P1702" s="783">
        <v>397</v>
      </c>
      <c r="Q1702" s="783">
        <v>2262.91</v>
      </c>
      <c r="R1702" s="783">
        <v>1577.51</v>
      </c>
      <c r="S1702" s="783">
        <v>190.39</v>
      </c>
      <c r="T1702" s="783">
        <v>495.01</v>
      </c>
      <c r="U1702" s="785">
        <v>44631.637476851902</v>
      </c>
    </row>
    <row r="1703" spans="1:21">
      <c r="A1703" s="782">
        <v>44486</v>
      </c>
      <c r="B1703" s="783" t="s">
        <v>74</v>
      </c>
      <c r="C1703" s="783" t="s">
        <v>4097</v>
      </c>
      <c r="D1703" s="783" t="s">
        <v>4038</v>
      </c>
      <c r="E1703" s="783" t="s">
        <v>4469</v>
      </c>
      <c r="F1703" s="783" t="s">
        <v>4011</v>
      </c>
      <c r="G1703" s="783" t="str">
        <f t="shared" si="92"/>
        <v>Renewal (15% in 2020)</v>
      </c>
      <c r="H1703" s="783" t="s">
        <v>4470</v>
      </c>
      <c r="I1703" s="783" t="s">
        <v>4471</v>
      </c>
      <c r="J1703" s="783">
        <v>15</v>
      </c>
      <c r="K1703" s="783" t="s">
        <v>27</v>
      </c>
      <c r="L1703" s="783" t="s">
        <v>4096</v>
      </c>
      <c r="M1703" s="784">
        <v>29324.5</v>
      </c>
      <c r="N1703" s="784">
        <v>22.3</v>
      </c>
      <c r="O1703" s="784">
        <v>2.63</v>
      </c>
      <c r="P1703" s="783">
        <v>500</v>
      </c>
      <c r="Q1703" s="783">
        <v>3290.21</v>
      </c>
      <c r="R1703" s="783">
        <v>861.5</v>
      </c>
      <c r="S1703" s="783">
        <v>636.99</v>
      </c>
      <c r="T1703" s="783">
        <v>1791.73</v>
      </c>
      <c r="U1703" s="785">
        <v>44631.637754629599</v>
      </c>
    </row>
    <row r="1704" spans="1:21">
      <c r="A1704" s="782">
        <v>44540</v>
      </c>
      <c r="B1704" s="783" t="s">
        <v>113</v>
      </c>
      <c r="C1704" s="783" t="s">
        <v>4376</v>
      </c>
      <c r="D1704" s="783" t="s">
        <v>4038</v>
      </c>
      <c r="E1704" s="783" t="s">
        <v>6290</v>
      </c>
      <c r="F1704" s="783" t="s">
        <v>4011</v>
      </c>
      <c r="G1704" s="783" t="str">
        <f t="shared" si="92"/>
        <v>New Contract</v>
      </c>
      <c r="H1704" s="783" t="s">
        <v>6291</v>
      </c>
      <c r="I1704" s="783" t="s">
        <v>6292</v>
      </c>
      <c r="J1704" s="783">
        <v>25</v>
      </c>
      <c r="K1704" s="783" t="s">
        <v>27</v>
      </c>
      <c r="L1704" s="783" t="s">
        <v>4096</v>
      </c>
      <c r="M1704" s="784">
        <v>98657.56</v>
      </c>
      <c r="N1704" s="784">
        <v>69.61</v>
      </c>
      <c r="O1704" s="784">
        <v>3.57</v>
      </c>
      <c r="P1704" s="783">
        <v>397</v>
      </c>
      <c r="Q1704" s="783">
        <v>8553.61</v>
      </c>
      <c r="R1704" s="783">
        <v>4409.99</v>
      </c>
      <c r="S1704" s="783">
        <v>1726.51</v>
      </c>
      <c r="T1704" s="783">
        <v>2417.11</v>
      </c>
      <c r="U1704" s="785">
        <v>44631.636793981503</v>
      </c>
    </row>
    <row r="1705" spans="1:21">
      <c r="A1705" s="782">
        <v>44592</v>
      </c>
      <c r="B1705" s="783" t="s">
        <v>74</v>
      </c>
      <c r="C1705" s="783" t="s">
        <v>4097</v>
      </c>
      <c r="D1705" s="783" t="s">
        <v>4038</v>
      </c>
      <c r="E1705" s="783" t="s">
        <v>4738</v>
      </c>
      <c r="F1705" s="783" t="s">
        <v>4011</v>
      </c>
      <c r="G1705" s="783" t="str">
        <f t="shared" si="92"/>
        <v>Renewal (15% in 2020)</v>
      </c>
      <c r="H1705" s="783" t="s">
        <v>4739</v>
      </c>
      <c r="I1705" s="783" t="s">
        <v>4740</v>
      </c>
      <c r="J1705" s="783">
        <v>15</v>
      </c>
      <c r="K1705" s="783" t="s">
        <v>27</v>
      </c>
      <c r="L1705" s="783" t="s">
        <v>4096</v>
      </c>
      <c r="M1705" s="784">
        <v>28884</v>
      </c>
      <c r="N1705" s="784">
        <v>24.07</v>
      </c>
      <c r="O1705" s="784">
        <v>3</v>
      </c>
      <c r="P1705" s="783">
        <v>400</v>
      </c>
      <c r="Q1705" s="783">
        <v>3240.78</v>
      </c>
      <c r="R1705" s="783">
        <v>1060.69</v>
      </c>
      <c r="S1705" s="783">
        <v>415.28</v>
      </c>
      <c r="T1705" s="783">
        <v>1764.81</v>
      </c>
      <c r="U1705" s="785">
        <v>44631.6375694444</v>
      </c>
    </row>
    <row r="1706" spans="1:21">
      <c r="A1706" s="782">
        <v>44516</v>
      </c>
      <c r="B1706" s="783" t="s">
        <v>74</v>
      </c>
      <c r="C1706" s="783" t="s">
        <v>4097</v>
      </c>
      <c r="D1706" s="783" t="s">
        <v>4038</v>
      </c>
      <c r="E1706" s="783" t="s">
        <v>1659</v>
      </c>
      <c r="F1706" s="783" t="s">
        <v>4066</v>
      </c>
      <c r="G1706" s="783" t="str">
        <f t="shared" si="92"/>
        <v>New Contract</v>
      </c>
      <c r="H1706" s="783" t="s">
        <v>4472</v>
      </c>
      <c r="I1706" s="783" t="s">
        <v>4473</v>
      </c>
      <c r="J1706" s="783">
        <v>10</v>
      </c>
      <c r="K1706" s="783" t="s">
        <v>27</v>
      </c>
      <c r="L1706" s="783" t="s">
        <v>4096</v>
      </c>
      <c r="M1706" s="784">
        <v>49320</v>
      </c>
      <c r="N1706" s="784">
        <v>41.1</v>
      </c>
      <c r="O1706" s="784">
        <v>3</v>
      </c>
      <c r="P1706" s="783">
        <v>400</v>
      </c>
      <c r="Q1706" s="783">
        <v>3131.82</v>
      </c>
      <c r="R1706" s="783">
        <v>0</v>
      </c>
      <c r="S1706" s="783">
        <v>0</v>
      </c>
      <c r="T1706" s="783">
        <v>3131.82</v>
      </c>
      <c r="U1706" s="785">
        <v>44631.637511574103</v>
      </c>
    </row>
    <row r="1707" spans="1:21">
      <c r="A1707" s="782">
        <v>44505</v>
      </c>
      <c r="B1707" s="783" t="s">
        <v>4025</v>
      </c>
      <c r="C1707" s="783" t="s">
        <v>4026</v>
      </c>
      <c r="D1707" s="783" t="s">
        <v>4021</v>
      </c>
      <c r="E1707" s="783" t="s">
        <v>6299</v>
      </c>
      <c r="F1707" s="783" t="s">
        <v>4011</v>
      </c>
      <c r="G1707" s="783" t="str">
        <f t="shared" si="92"/>
        <v>New Contract</v>
      </c>
      <c r="H1707" s="783" t="s">
        <v>6300</v>
      </c>
      <c r="I1707" s="783" t="s">
        <v>6301</v>
      </c>
      <c r="J1707" s="783">
        <v>25</v>
      </c>
      <c r="K1707" s="783" t="s">
        <v>27</v>
      </c>
      <c r="L1707" s="783" t="s">
        <v>4096</v>
      </c>
      <c r="M1707" s="784">
        <v>28957.5</v>
      </c>
      <c r="N1707" s="784">
        <v>24.75</v>
      </c>
      <c r="O1707" s="784">
        <v>2.6</v>
      </c>
      <c r="P1707" s="783">
        <v>450</v>
      </c>
      <c r="Q1707" s="783">
        <v>1549.23</v>
      </c>
      <c r="R1707" s="783">
        <v>751.08</v>
      </c>
      <c r="S1707" s="783">
        <v>389.85</v>
      </c>
      <c r="T1707" s="783">
        <v>408.3</v>
      </c>
      <c r="U1707" s="785">
        <v>44631.637650463003</v>
      </c>
    </row>
    <row r="1708" spans="1:21">
      <c r="A1708" s="782">
        <v>44459</v>
      </c>
      <c r="B1708" s="783" t="s">
        <v>74</v>
      </c>
      <c r="C1708" s="783" t="s">
        <v>6308</v>
      </c>
      <c r="D1708" s="783" t="s">
        <v>4038</v>
      </c>
      <c r="E1708" s="783" t="s">
        <v>6309</v>
      </c>
      <c r="F1708" s="783" t="s">
        <v>4011</v>
      </c>
      <c r="G1708" s="783" t="str">
        <f t="shared" si="92"/>
        <v>Renewal (20% in 2020)</v>
      </c>
      <c r="H1708" s="783" t="s">
        <v>6310</v>
      </c>
      <c r="I1708" s="783" t="s">
        <v>6311</v>
      </c>
      <c r="J1708" s="783">
        <v>20</v>
      </c>
      <c r="K1708" s="783" t="s">
        <v>27</v>
      </c>
      <c r="L1708" s="783" t="s">
        <v>4096</v>
      </c>
      <c r="M1708" s="784">
        <v>5455.89</v>
      </c>
      <c r="N1708" s="784">
        <v>5.01</v>
      </c>
      <c r="O1708" s="784">
        <v>3.3</v>
      </c>
      <c r="P1708" s="783">
        <v>330</v>
      </c>
      <c r="Q1708" s="783">
        <v>451.75</v>
      </c>
      <c r="R1708" s="783">
        <v>181.68</v>
      </c>
      <c r="S1708" s="783">
        <v>76.38</v>
      </c>
      <c r="T1708" s="783">
        <v>193.68</v>
      </c>
      <c r="U1708" s="785">
        <v>44631.637407407397</v>
      </c>
    </row>
    <row r="1709" spans="1:21">
      <c r="A1709" s="782">
        <v>44466</v>
      </c>
      <c r="B1709" s="783" t="s">
        <v>30</v>
      </c>
      <c r="C1709" s="783" t="s">
        <v>4939</v>
      </c>
      <c r="D1709" s="783" t="s">
        <v>4021</v>
      </c>
      <c r="E1709" s="783" t="s">
        <v>3300</v>
      </c>
      <c r="F1709" s="783" t="s">
        <v>4011</v>
      </c>
      <c r="G1709" s="783" t="str">
        <f t="shared" si="92"/>
        <v>Renewal (25% in 2020)</v>
      </c>
      <c r="H1709" s="783" t="s">
        <v>6312</v>
      </c>
      <c r="I1709" s="783" t="s">
        <v>6313</v>
      </c>
      <c r="J1709" s="783">
        <v>25</v>
      </c>
      <c r="K1709" s="783" t="s">
        <v>27</v>
      </c>
      <c r="L1709" s="783" t="s">
        <v>4096</v>
      </c>
      <c r="M1709" s="784">
        <v>22153.41</v>
      </c>
      <c r="N1709" s="784">
        <v>18.79</v>
      </c>
      <c r="O1709" s="784">
        <v>3.93</v>
      </c>
      <c r="P1709" s="783">
        <v>300</v>
      </c>
      <c r="Q1709" s="783">
        <v>1466.56</v>
      </c>
      <c r="R1709" s="783">
        <v>852.91</v>
      </c>
      <c r="S1709" s="783">
        <v>254.76</v>
      </c>
      <c r="T1709" s="783">
        <v>358.89</v>
      </c>
      <c r="U1709" s="785">
        <v>44631.637754629599</v>
      </c>
    </row>
    <row r="1710" spans="1:21">
      <c r="A1710" s="782">
        <v>44468</v>
      </c>
      <c r="B1710" s="783" t="s">
        <v>41</v>
      </c>
      <c r="C1710" s="783" t="s">
        <v>4139</v>
      </c>
      <c r="D1710" s="783" t="s">
        <v>4009</v>
      </c>
      <c r="E1710" s="783" t="s">
        <v>6317</v>
      </c>
      <c r="F1710" s="783" t="s">
        <v>4011</v>
      </c>
      <c r="G1710" s="783" t="str">
        <f t="shared" si="92"/>
        <v>Renewal (20% in 2020)</v>
      </c>
      <c r="H1710" s="783" t="s">
        <v>6318</v>
      </c>
      <c r="I1710" s="783" t="s">
        <v>6319</v>
      </c>
      <c r="J1710" s="783">
        <v>20</v>
      </c>
      <c r="K1710" s="783" t="s">
        <v>27</v>
      </c>
      <c r="L1710" s="783" t="s">
        <v>4096</v>
      </c>
      <c r="M1710" s="784">
        <v>18116.3</v>
      </c>
      <c r="N1710" s="784">
        <v>11.13</v>
      </c>
      <c r="O1710" s="784">
        <v>4.0999999999999996</v>
      </c>
      <c r="P1710" s="783">
        <v>397</v>
      </c>
      <c r="Q1710" s="783">
        <v>1896.78</v>
      </c>
      <c r="R1710" s="783">
        <v>1050.75</v>
      </c>
      <c r="S1710" s="783">
        <v>126.81</v>
      </c>
      <c r="T1710" s="783">
        <v>719.22</v>
      </c>
      <c r="U1710" s="785">
        <v>44631.636678240699</v>
      </c>
    </row>
    <row r="1711" spans="1:21">
      <c r="A1711" s="782">
        <v>44476</v>
      </c>
      <c r="B1711" s="783" t="s">
        <v>41</v>
      </c>
      <c r="C1711" s="783" t="s">
        <v>4092</v>
      </c>
      <c r="D1711" s="783" t="s">
        <v>4009</v>
      </c>
      <c r="E1711" s="783" t="s">
        <v>6320</v>
      </c>
      <c r="F1711" s="783" t="s">
        <v>4011</v>
      </c>
      <c r="G1711" s="783" t="str">
        <f t="shared" si="92"/>
        <v>Renewal (30% in 2020)</v>
      </c>
      <c r="H1711" s="783" t="s">
        <v>6321</v>
      </c>
      <c r="I1711" s="783" t="s">
        <v>6322</v>
      </c>
      <c r="J1711" s="783">
        <v>30</v>
      </c>
      <c r="K1711" s="783" t="s">
        <v>27</v>
      </c>
      <c r="L1711" s="783" t="s">
        <v>4096</v>
      </c>
      <c r="M1711" s="784">
        <v>31932.16</v>
      </c>
      <c r="N1711" s="784">
        <v>20.2</v>
      </c>
      <c r="O1711" s="784">
        <v>4.16</v>
      </c>
      <c r="P1711" s="783">
        <v>380</v>
      </c>
      <c r="Q1711" s="783">
        <v>1721.14</v>
      </c>
      <c r="R1711" s="783">
        <v>1286.8699999999999</v>
      </c>
      <c r="S1711" s="783">
        <v>0</v>
      </c>
      <c r="T1711" s="783">
        <v>434.28</v>
      </c>
      <c r="U1711" s="785">
        <v>44631.636666666702</v>
      </c>
    </row>
    <row r="1712" spans="1:21">
      <c r="A1712" s="782">
        <v>44469</v>
      </c>
      <c r="B1712" s="783" t="s">
        <v>30</v>
      </c>
      <c r="C1712" s="783" t="s">
        <v>4089</v>
      </c>
      <c r="D1712" s="783" t="s">
        <v>4021</v>
      </c>
      <c r="E1712" s="783" t="s">
        <v>125</v>
      </c>
      <c r="F1712" s="783" t="s">
        <v>4011</v>
      </c>
      <c r="G1712" s="783" t="str">
        <f t="shared" si="92"/>
        <v>Renewal (15% in 2020)</v>
      </c>
      <c r="H1712" s="783" t="s">
        <v>6323</v>
      </c>
      <c r="I1712" s="783" t="s">
        <v>6324</v>
      </c>
      <c r="J1712" s="783">
        <v>15</v>
      </c>
      <c r="K1712" s="783" t="s">
        <v>27</v>
      </c>
      <c r="L1712" s="783" t="s">
        <v>4096</v>
      </c>
      <c r="M1712" s="784">
        <v>35687.519999999997</v>
      </c>
      <c r="N1712" s="784">
        <v>34.19</v>
      </c>
      <c r="O1712" s="784">
        <v>3.07</v>
      </c>
      <c r="P1712" s="783">
        <v>340</v>
      </c>
      <c r="Q1712" s="783">
        <v>3754.33</v>
      </c>
      <c r="R1712" s="783">
        <v>1463.19</v>
      </c>
      <c r="S1712" s="783">
        <v>224.83</v>
      </c>
      <c r="T1712" s="783">
        <v>2066.31</v>
      </c>
      <c r="U1712" s="785">
        <v>44631.636736111097</v>
      </c>
    </row>
    <row r="1713" spans="1:21">
      <c r="A1713" s="782">
        <v>44468</v>
      </c>
      <c r="B1713" s="783" t="s">
        <v>41</v>
      </c>
      <c r="C1713" s="783" t="s">
        <v>4071</v>
      </c>
      <c r="D1713" s="783" t="s">
        <v>4009</v>
      </c>
      <c r="E1713" s="783" t="s">
        <v>6325</v>
      </c>
      <c r="F1713" s="783" t="s">
        <v>4011</v>
      </c>
      <c r="G1713" s="783" t="str">
        <f t="shared" si="92"/>
        <v>Renewal (25% in 2020)</v>
      </c>
      <c r="H1713" s="783" t="s">
        <v>6326</v>
      </c>
      <c r="I1713" s="783" t="s">
        <v>6327</v>
      </c>
      <c r="J1713" s="783">
        <v>25</v>
      </c>
      <c r="K1713" s="783" t="s">
        <v>27</v>
      </c>
      <c r="L1713" s="783" t="s">
        <v>4096</v>
      </c>
      <c r="M1713" s="784">
        <v>25835.040000000001</v>
      </c>
      <c r="N1713" s="784">
        <v>23.3</v>
      </c>
      <c r="O1713" s="784">
        <v>3.08</v>
      </c>
      <c r="P1713" s="783">
        <v>360</v>
      </c>
      <c r="Q1713" s="783">
        <v>1790.37</v>
      </c>
      <c r="R1713" s="783">
        <v>1240.08</v>
      </c>
      <c r="S1713" s="783">
        <v>152.43</v>
      </c>
      <c r="T1713" s="783">
        <v>397.86</v>
      </c>
      <c r="U1713" s="785">
        <v>44631.636793981503</v>
      </c>
    </row>
    <row r="1714" spans="1:21">
      <c r="A1714" s="782">
        <v>44468</v>
      </c>
      <c r="B1714" s="783" t="s">
        <v>41</v>
      </c>
      <c r="C1714" s="783" t="s">
        <v>4139</v>
      </c>
      <c r="D1714" s="783" t="s">
        <v>4009</v>
      </c>
      <c r="E1714" s="783" t="s">
        <v>6334</v>
      </c>
      <c r="F1714" s="783" t="s">
        <v>4011</v>
      </c>
      <c r="G1714" s="783" t="str">
        <f t="shared" si="92"/>
        <v>Renewal (30% in 2020)</v>
      </c>
      <c r="H1714" s="783" t="s">
        <v>6335</v>
      </c>
      <c r="I1714" s="783" t="s">
        <v>6336</v>
      </c>
      <c r="J1714" s="783">
        <v>30</v>
      </c>
      <c r="K1714" s="783" t="s">
        <v>27</v>
      </c>
      <c r="L1714" s="783" t="s">
        <v>4096</v>
      </c>
      <c r="M1714" s="784">
        <v>26469.66</v>
      </c>
      <c r="N1714" s="784">
        <v>19.27</v>
      </c>
      <c r="O1714" s="784">
        <v>3.46</v>
      </c>
      <c r="P1714" s="783">
        <v>397</v>
      </c>
      <c r="Q1714" s="783">
        <v>2019.63</v>
      </c>
      <c r="R1714" s="783">
        <v>1535.24</v>
      </c>
      <c r="S1714" s="783">
        <v>0</v>
      </c>
      <c r="T1714" s="783">
        <v>484.39</v>
      </c>
      <c r="U1714" s="785">
        <v>44631.636724536998</v>
      </c>
    </row>
    <row r="1715" spans="1:21">
      <c r="A1715" s="782">
        <v>44519</v>
      </c>
      <c r="B1715" s="783" t="s">
        <v>41</v>
      </c>
      <c r="C1715" s="783" t="s">
        <v>4139</v>
      </c>
      <c r="D1715" s="783" t="s">
        <v>4009</v>
      </c>
      <c r="E1715" s="783" t="s">
        <v>6337</v>
      </c>
      <c r="F1715" s="783" t="s">
        <v>4011</v>
      </c>
      <c r="G1715" s="783" t="str">
        <f t="shared" si="92"/>
        <v>Renewal (20% in 2020)</v>
      </c>
      <c r="H1715" s="783" t="s">
        <v>6338</v>
      </c>
      <c r="I1715" s="783" t="s">
        <v>6339</v>
      </c>
      <c r="J1715" s="783">
        <v>20</v>
      </c>
      <c r="K1715" s="783" t="s">
        <v>27</v>
      </c>
      <c r="L1715" s="783" t="s">
        <v>4096</v>
      </c>
      <c r="M1715" s="784">
        <v>12783.2</v>
      </c>
      <c r="N1715" s="784">
        <v>11.6</v>
      </c>
      <c r="O1715" s="784">
        <v>2.9</v>
      </c>
      <c r="P1715" s="783">
        <v>380</v>
      </c>
      <c r="Q1715" s="783">
        <v>1338.4</v>
      </c>
      <c r="R1715" s="783">
        <v>741.43</v>
      </c>
      <c r="S1715" s="783">
        <v>89.48</v>
      </c>
      <c r="T1715" s="783">
        <v>507.49</v>
      </c>
      <c r="U1715" s="785">
        <v>44631.637870370403</v>
      </c>
    </row>
    <row r="1716" spans="1:21">
      <c r="A1716" s="782">
        <v>44483</v>
      </c>
      <c r="B1716" s="783" t="s">
        <v>4025</v>
      </c>
      <c r="C1716" s="783" t="s">
        <v>4026</v>
      </c>
      <c r="D1716" s="783" t="s">
        <v>4021</v>
      </c>
      <c r="E1716" s="783" t="s">
        <v>4075</v>
      </c>
      <c r="F1716" s="783" t="s">
        <v>4011</v>
      </c>
      <c r="G1716" s="783" t="str">
        <f t="shared" si="92"/>
        <v>New Contract</v>
      </c>
      <c r="H1716" s="783" t="s">
        <v>4076</v>
      </c>
      <c r="I1716" s="783" t="s">
        <v>4077</v>
      </c>
      <c r="J1716" s="783">
        <v>25</v>
      </c>
      <c r="K1716" s="783" t="s">
        <v>27</v>
      </c>
      <c r="L1716" s="783" t="s">
        <v>4096</v>
      </c>
      <c r="M1716" s="784">
        <v>28578.42</v>
      </c>
      <c r="N1716" s="784">
        <v>23.01</v>
      </c>
      <c r="O1716" s="784">
        <v>2.76</v>
      </c>
      <c r="P1716" s="783">
        <v>450</v>
      </c>
      <c r="Q1716" s="783">
        <v>1528.95</v>
      </c>
      <c r="R1716" s="783">
        <v>741.25</v>
      </c>
      <c r="S1716" s="783">
        <v>384.74</v>
      </c>
      <c r="T1716" s="783">
        <v>402.96</v>
      </c>
      <c r="U1716" s="785">
        <v>44631.638078703698</v>
      </c>
    </row>
    <row r="1717" spans="1:21">
      <c r="A1717" s="782">
        <v>44523</v>
      </c>
      <c r="B1717" s="783" t="s">
        <v>113</v>
      </c>
      <c r="C1717" s="783" t="s">
        <v>4606</v>
      </c>
      <c r="D1717" s="783" t="s">
        <v>4009</v>
      </c>
      <c r="E1717" s="783" t="s">
        <v>3814</v>
      </c>
      <c r="F1717" s="783" t="s">
        <v>4011</v>
      </c>
      <c r="G1717" s="783" t="str">
        <f t="shared" si="92"/>
        <v>New Contract</v>
      </c>
      <c r="H1717" s="783" t="s">
        <v>6610</v>
      </c>
      <c r="I1717" s="783" t="s">
        <v>6611</v>
      </c>
      <c r="J1717" s="783">
        <v>20</v>
      </c>
      <c r="K1717" s="783" t="s">
        <v>27</v>
      </c>
      <c r="L1717" s="783" t="s">
        <v>4096</v>
      </c>
      <c r="M1717" s="784">
        <v>5713.5</v>
      </c>
      <c r="N1717" s="784">
        <v>3.9</v>
      </c>
      <c r="O1717" s="784">
        <v>2.93</v>
      </c>
      <c r="P1717" s="783">
        <v>500</v>
      </c>
      <c r="Q1717" s="783">
        <v>381.66</v>
      </c>
      <c r="R1717" s="783">
        <v>123.39</v>
      </c>
      <c r="S1717" s="783">
        <v>96.01</v>
      </c>
      <c r="T1717" s="783">
        <v>162.26</v>
      </c>
      <c r="U1717" s="785">
        <v>44631.6379282407</v>
      </c>
    </row>
    <row r="1718" spans="1:21">
      <c r="A1718" s="782">
        <v>44488</v>
      </c>
      <c r="B1718" s="783" t="s">
        <v>41</v>
      </c>
      <c r="C1718" s="783" t="s">
        <v>4082</v>
      </c>
      <c r="D1718" s="783" t="s">
        <v>4009</v>
      </c>
      <c r="E1718" s="783" t="s">
        <v>6346</v>
      </c>
      <c r="F1718" s="783" t="s">
        <v>4011</v>
      </c>
      <c r="G1718" s="783" t="str">
        <f t="shared" si="92"/>
        <v>Renewal (25% in 2020)</v>
      </c>
      <c r="H1718" s="783" t="s">
        <v>6347</v>
      </c>
      <c r="I1718" s="783" t="s">
        <v>6348</v>
      </c>
      <c r="J1718" s="783">
        <v>25</v>
      </c>
      <c r="K1718" s="783" t="s">
        <v>27</v>
      </c>
      <c r="L1718" s="783" t="s">
        <v>4096</v>
      </c>
      <c r="M1718" s="784">
        <v>16823.669999999998</v>
      </c>
      <c r="N1718" s="784">
        <v>13.67</v>
      </c>
      <c r="O1718" s="784">
        <v>3.1</v>
      </c>
      <c r="P1718" s="783">
        <v>397</v>
      </c>
      <c r="Q1718" s="783">
        <v>1088.49</v>
      </c>
      <c r="R1718" s="783">
        <v>683.04</v>
      </c>
      <c r="S1718" s="783">
        <v>168.24</v>
      </c>
      <c r="T1718" s="783">
        <v>237.21</v>
      </c>
      <c r="U1718" s="785">
        <v>44631.637870370403</v>
      </c>
    </row>
    <row r="1719" spans="1:21">
      <c r="A1719" s="782">
        <v>44494</v>
      </c>
      <c r="B1719" s="783" t="s">
        <v>4025</v>
      </c>
      <c r="C1719" s="783" t="s">
        <v>4026</v>
      </c>
      <c r="D1719" s="783" t="s">
        <v>4021</v>
      </c>
      <c r="E1719" s="783" t="s">
        <v>4225</v>
      </c>
      <c r="F1719" s="783" t="s">
        <v>4011</v>
      </c>
      <c r="G1719" s="783" t="str">
        <f t="shared" si="92"/>
        <v>New Contract</v>
      </c>
      <c r="H1719" s="783" t="s">
        <v>4226</v>
      </c>
      <c r="I1719" s="783" t="s">
        <v>4227</v>
      </c>
      <c r="J1719" s="783">
        <v>25</v>
      </c>
      <c r="K1719" s="783" t="s">
        <v>27</v>
      </c>
      <c r="L1719" s="783" t="s">
        <v>4096</v>
      </c>
      <c r="M1719" s="784">
        <v>12442.84</v>
      </c>
      <c r="N1719" s="784">
        <v>11.23</v>
      </c>
      <c r="O1719" s="784">
        <v>2.77</v>
      </c>
      <c r="P1719" s="783">
        <v>400</v>
      </c>
      <c r="Q1719" s="783">
        <v>665.69</v>
      </c>
      <c r="R1719" s="783">
        <v>363.08</v>
      </c>
      <c r="S1719" s="783">
        <v>127.17</v>
      </c>
      <c r="T1719" s="783">
        <v>175.44</v>
      </c>
      <c r="U1719" s="785">
        <v>44631.638310185197</v>
      </c>
    </row>
    <row r="1720" spans="1:21">
      <c r="A1720" s="782">
        <v>44501</v>
      </c>
      <c r="B1720" s="783" t="s">
        <v>74</v>
      </c>
      <c r="C1720" s="783" t="s">
        <v>4097</v>
      </c>
      <c r="D1720" s="783" t="s">
        <v>4038</v>
      </c>
      <c r="E1720" s="783" t="s">
        <v>4479</v>
      </c>
      <c r="F1720" s="783" t="s">
        <v>4066</v>
      </c>
      <c r="G1720" s="783" t="str">
        <f t="shared" si="92"/>
        <v>New Contract</v>
      </c>
      <c r="H1720" s="783" t="s">
        <v>4480</v>
      </c>
      <c r="I1720" s="783" t="s">
        <v>4481</v>
      </c>
      <c r="J1720" s="783">
        <v>5</v>
      </c>
      <c r="K1720" s="783" t="s">
        <v>27</v>
      </c>
      <c r="L1720" s="783" t="s">
        <v>4096</v>
      </c>
      <c r="M1720" s="784">
        <v>21000</v>
      </c>
      <c r="N1720" s="784">
        <v>15</v>
      </c>
      <c r="O1720" s="784">
        <v>3.5</v>
      </c>
      <c r="P1720" s="783">
        <v>400</v>
      </c>
      <c r="Q1720" s="783">
        <v>1667.4</v>
      </c>
      <c r="R1720" s="783">
        <v>0</v>
      </c>
      <c r="S1720" s="783">
        <v>0</v>
      </c>
      <c r="T1720" s="783">
        <v>1667.4</v>
      </c>
      <c r="U1720" s="785">
        <v>44631.638263888897</v>
      </c>
    </row>
    <row r="1721" spans="1:21">
      <c r="A1721" s="782">
        <v>44488</v>
      </c>
      <c r="B1721" s="783" t="s">
        <v>41</v>
      </c>
      <c r="C1721" s="783" t="s">
        <v>4139</v>
      </c>
      <c r="D1721" s="783" t="s">
        <v>4009</v>
      </c>
      <c r="E1721" s="783" t="s">
        <v>721</v>
      </c>
      <c r="F1721" s="783" t="s">
        <v>4011</v>
      </c>
      <c r="G1721" s="783" t="str">
        <f t="shared" si="92"/>
        <v>Renewal (20% in 2020)</v>
      </c>
      <c r="H1721" s="783" t="s">
        <v>6349</v>
      </c>
      <c r="I1721" s="783" t="s">
        <v>6350</v>
      </c>
      <c r="J1721" s="783">
        <v>20</v>
      </c>
      <c r="K1721" s="783" t="s">
        <v>27</v>
      </c>
      <c r="L1721" s="783" t="s">
        <v>4096</v>
      </c>
      <c r="M1721" s="784">
        <v>67091.199999999997</v>
      </c>
      <c r="N1721" s="784">
        <v>38.119999999999997</v>
      </c>
      <c r="O1721" s="784">
        <v>3.52</v>
      </c>
      <c r="P1721" s="783">
        <v>500</v>
      </c>
      <c r="Q1721" s="783">
        <v>7024.45</v>
      </c>
      <c r="R1721" s="783">
        <v>3089.68</v>
      </c>
      <c r="S1721" s="783">
        <v>1271.24</v>
      </c>
      <c r="T1721" s="783">
        <v>2663.52</v>
      </c>
      <c r="U1721" s="785">
        <v>44631.637997685197</v>
      </c>
    </row>
    <row r="1722" spans="1:21">
      <c r="A1722" s="782">
        <v>44501</v>
      </c>
      <c r="B1722" s="783" t="s">
        <v>51</v>
      </c>
      <c r="C1722" s="783" t="s">
        <v>4042</v>
      </c>
      <c r="D1722" s="783" t="s">
        <v>4016</v>
      </c>
      <c r="E1722" s="783" t="s">
        <v>2871</v>
      </c>
      <c r="F1722" s="783" t="s">
        <v>4011</v>
      </c>
      <c r="G1722" s="783" t="str">
        <f t="shared" si="92"/>
        <v>Renewal (15% in 2020)</v>
      </c>
      <c r="H1722" s="783" t="s">
        <v>6351</v>
      </c>
      <c r="I1722" s="783" t="s">
        <v>6352</v>
      </c>
      <c r="J1722" s="783">
        <v>15</v>
      </c>
      <c r="K1722" s="783" t="s">
        <v>27</v>
      </c>
      <c r="L1722" s="783" t="s">
        <v>4096</v>
      </c>
      <c r="M1722" s="784">
        <v>45225.96</v>
      </c>
      <c r="N1722" s="784">
        <v>36.630000000000003</v>
      </c>
      <c r="O1722" s="784">
        <v>3.11</v>
      </c>
      <c r="P1722" s="783">
        <v>397</v>
      </c>
      <c r="Q1722" s="783">
        <v>5567.32</v>
      </c>
      <c r="R1722" s="783">
        <v>2238.69</v>
      </c>
      <c r="S1722" s="783">
        <v>316.58</v>
      </c>
      <c r="T1722" s="783">
        <v>3012.05</v>
      </c>
      <c r="U1722" s="785">
        <v>44631.638090277796</v>
      </c>
    </row>
    <row r="1723" spans="1:21">
      <c r="A1723" s="782">
        <v>44582</v>
      </c>
      <c r="B1723" s="783" t="s">
        <v>30</v>
      </c>
      <c r="C1723" s="783" t="s">
        <v>4239</v>
      </c>
      <c r="D1723" s="783" t="s">
        <v>4021</v>
      </c>
      <c r="E1723" s="783" t="s">
        <v>6353</v>
      </c>
      <c r="F1723" s="783" t="s">
        <v>4011</v>
      </c>
      <c r="G1723" s="783" t="str">
        <f t="shared" si="92"/>
        <v>Renewal (15% in 2020)</v>
      </c>
      <c r="H1723" s="783" t="s">
        <v>6354</v>
      </c>
      <c r="I1723" s="783" t="s">
        <v>6355</v>
      </c>
      <c r="J1723" s="783">
        <v>15</v>
      </c>
      <c r="K1723" s="783" t="s">
        <v>27</v>
      </c>
      <c r="L1723" s="783" t="s">
        <v>4096</v>
      </c>
      <c r="M1723" s="784">
        <v>23335</v>
      </c>
      <c r="N1723" s="784">
        <v>14.36</v>
      </c>
      <c r="O1723" s="784">
        <v>3.25</v>
      </c>
      <c r="P1723" s="783">
        <v>500</v>
      </c>
      <c r="Q1723" s="783">
        <v>2650.86</v>
      </c>
      <c r="R1723" s="783">
        <v>735.56</v>
      </c>
      <c r="S1723" s="783">
        <v>491.86</v>
      </c>
      <c r="T1723" s="783">
        <v>1423.44</v>
      </c>
      <c r="U1723" s="785">
        <v>44631.638124999998</v>
      </c>
    </row>
    <row r="1724" spans="1:21">
      <c r="A1724" s="782">
        <v>44490</v>
      </c>
      <c r="B1724" s="783" t="s">
        <v>41</v>
      </c>
      <c r="C1724" s="783" t="s">
        <v>4139</v>
      </c>
      <c r="D1724" s="783" t="s">
        <v>4009</v>
      </c>
      <c r="E1724" s="783" t="s">
        <v>6359</v>
      </c>
      <c r="F1724" s="783" t="s">
        <v>4011</v>
      </c>
      <c r="G1724" s="783" t="str">
        <f t="shared" si="92"/>
        <v>Renewal (15% in 2020)</v>
      </c>
      <c r="H1724" s="783" t="s">
        <v>6360</v>
      </c>
      <c r="I1724" s="783" t="s">
        <v>6361</v>
      </c>
      <c r="J1724" s="783">
        <v>15</v>
      </c>
      <c r="K1724" s="783" t="s">
        <v>27</v>
      </c>
      <c r="L1724" s="783" t="s">
        <v>4096</v>
      </c>
      <c r="M1724" s="784">
        <v>24700</v>
      </c>
      <c r="N1724" s="784">
        <v>24.7</v>
      </c>
      <c r="O1724" s="784">
        <v>2.5</v>
      </c>
      <c r="P1724" s="783">
        <v>400</v>
      </c>
      <c r="Q1724" s="783">
        <v>3369.08</v>
      </c>
      <c r="R1724" s="783">
        <v>1421.86</v>
      </c>
      <c r="S1724" s="783">
        <v>183.64</v>
      </c>
      <c r="T1724" s="783">
        <v>1763.58</v>
      </c>
      <c r="U1724" s="785">
        <v>44631.6383333333</v>
      </c>
    </row>
    <row r="1725" spans="1:21">
      <c r="A1725" s="782">
        <v>44494</v>
      </c>
      <c r="B1725" s="783" t="s">
        <v>4025</v>
      </c>
      <c r="C1725" s="783" t="s">
        <v>4026</v>
      </c>
      <c r="D1725" s="783" t="s">
        <v>4021</v>
      </c>
      <c r="E1725" s="783" t="s">
        <v>4228</v>
      </c>
      <c r="F1725" s="783" t="s">
        <v>4011</v>
      </c>
      <c r="G1725" s="783" t="str">
        <f t="shared" si="92"/>
        <v>New Contract</v>
      </c>
      <c r="H1725" s="783" t="s">
        <v>4229</v>
      </c>
      <c r="I1725" s="783" t="s">
        <v>4230</v>
      </c>
      <c r="J1725" s="783">
        <v>20</v>
      </c>
      <c r="K1725" s="783" t="s">
        <v>27</v>
      </c>
      <c r="L1725" s="783" t="s">
        <v>4096</v>
      </c>
      <c r="M1725" s="784">
        <v>33882.639999999999</v>
      </c>
      <c r="N1725" s="784">
        <v>30.58</v>
      </c>
      <c r="O1725" s="784">
        <v>2.77</v>
      </c>
      <c r="P1725" s="783">
        <v>400</v>
      </c>
      <c r="Q1725" s="783">
        <v>2253.1999999999998</v>
      </c>
      <c r="R1725" s="783">
        <v>988.68</v>
      </c>
      <c r="S1725" s="783">
        <v>346.3</v>
      </c>
      <c r="T1725" s="783">
        <v>918.22</v>
      </c>
      <c r="U1725" s="785">
        <v>44631.638229166703</v>
      </c>
    </row>
    <row r="1726" spans="1:21">
      <c r="A1726" s="782">
        <v>44488</v>
      </c>
      <c r="B1726" s="783" t="s">
        <v>74</v>
      </c>
      <c r="C1726" s="783" t="s">
        <v>4097</v>
      </c>
      <c r="D1726" s="783" t="s">
        <v>4038</v>
      </c>
      <c r="E1726" s="783" t="s">
        <v>4485</v>
      </c>
      <c r="F1726" s="783" t="s">
        <v>4011</v>
      </c>
      <c r="G1726" s="783" t="str">
        <f t="shared" si="92"/>
        <v>Renewal (15% in 2020)</v>
      </c>
      <c r="H1726" s="783" t="s">
        <v>4486</v>
      </c>
      <c r="I1726" s="783" t="s">
        <v>4487</v>
      </c>
      <c r="J1726" s="783">
        <v>15</v>
      </c>
      <c r="K1726" s="783" t="s">
        <v>27</v>
      </c>
      <c r="L1726" s="783" t="s">
        <v>4096</v>
      </c>
      <c r="M1726" s="784">
        <v>8937.6</v>
      </c>
      <c r="N1726" s="784">
        <v>7.98</v>
      </c>
      <c r="O1726" s="784">
        <v>2.8</v>
      </c>
      <c r="P1726" s="783">
        <v>400</v>
      </c>
      <c r="Q1726" s="783">
        <v>1002.8</v>
      </c>
      <c r="R1726" s="783">
        <v>328.21</v>
      </c>
      <c r="S1726" s="783">
        <v>128.5</v>
      </c>
      <c r="T1726" s="783">
        <v>546.09</v>
      </c>
      <c r="U1726" s="785">
        <v>44631.638113425899</v>
      </c>
    </row>
    <row r="1727" spans="1:21">
      <c r="A1727" s="782">
        <v>44525</v>
      </c>
      <c r="B1727" s="783" t="s">
        <v>74</v>
      </c>
      <c r="C1727" s="783" t="s">
        <v>4097</v>
      </c>
      <c r="D1727" s="783" t="s">
        <v>4038</v>
      </c>
      <c r="E1727" s="783" t="s">
        <v>6365</v>
      </c>
      <c r="F1727" s="783" t="s">
        <v>4011</v>
      </c>
      <c r="G1727" s="783" t="str">
        <f t="shared" si="92"/>
        <v>Renewal (15% in 2020)</v>
      </c>
      <c r="H1727" s="783" t="s">
        <v>6366</v>
      </c>
      <c r="I1727" s="783" t="s">
        <v>6367</v>
      </c>
      <c r="J1727" s="783">
        <v>20</v>
      </c>
      <c r="K1727" s="783" t="s">
        <v>27</v>
      </c>
      <c r="L1727" s="783" t="s">
        <v>4096</v>
      </c>
      <c r="M1727" s="784">
        <v>54472.56</v>
      </c>
      <c r="N1727" s="784">
        <v>51.78</v>
      </c>
      <c r="O1727" s="784">
        <v>2.63</v>
      </c>
      <c r="P1727" s="783">
        <v>400</v>
      </c>
      <c r="Q1727" s="783">
        <v>4755.45</v>
      </c>
      <c r="R1727" s="783">
        <v>2000.37</v>
      </c>
      <c r="S1727" s="783">
        <v>783.18</v>
      </c>
      <c r="T1727" s="783">
        <v>1971.91</v>
      </c>
      <c r="U1727" s="785">
        <v>44631.638020833299</v>
      </c>
    </row>
    <row r="1728" spans="1:21">
      <c r="A1728" s="782">
        <v>44507</v>
      </c>
      <c r="B1728" s="783" t="s">
        <v>74</v>
      </c>
      <c r="C1728" s="783" t="s">
        <v>4097</v>
      </c>
      <c r="D1728" s="783" t="s">
        <v>4038</v>
      </c>
      <c r="E1728" s="783" t="s">
        <v>4488</v>
      </c>
      <c r="F1728" s="783" t="s">
        <v>4066</v>
      </c>
      <c r="G1728" s="783" t="str">
        <f t="shared" si="92"/>
        <v>New Contract</v>
      </c>
      <c r="H1728" s="783" t="s">
        <v>4489</v>
      </c>
      <c r="I1728" s="783" t="s">
        <v>4490</v>
      </c>
      <c r="J1728" s="783">
        <v>5</v>
      </c>
      <c r="K1728" s="783" t="s">
        <v>27</v>
      </c>
      <c r="L1728" s="783" t="s">
        <v>4096</v>
      </c>
      <c r="M1728" s="784">
        <v>19721.52</v>
      </c>
      <c r="N1728" s="784">
        <v>12.74</v>
      </c>
      <c r="O1728" s="784">
        <v>3</v>
      </c>
      <c r="P1728" s="783">
        <v>516</v>
      </c>
      <c r="Q1728" s="783">
        <v>1861.71</v>
      </c>
      <c r="R1728" s="783">
        <v>0</v>
      </c>
      <c r="S1728" s="783">
        <v>0</v>
      </c>
      <c r="T1728" s="783">
        <v>1861.71</v>
      </c>
      <c r="U1728" s="785">
        <v>44631.638124999998</v>
      </c>
    </row>
    <row r="1729" spans="1:21">
      <c r="A1729" s="782">
        <v>44621</v>
      </c>
      <c r="B1729" s="783" t="s">
        <v>41</v>
      </c>
      <c r="C1729" s="783" t="s">
        <v>4139</v>
      </c>
      <c r="D1729" s="783" t="s">
        <v>4009</v>
      </c>
      <c r="E1729" s="783" t="s">
        <v>1587</v>
      </c>
      <c r="F1729" s="783" t="s">
        <v>4011</v>
      </c>
      <c r="G1729" s="783" t="str">
        <f t="shared" si="92"/>
        <v>Renewal (25% in 2020)</v>
      </c>
      <c r="H1729" s="783" t="s">
        <v>6368</v>
      </c>
      <c r="I1729" s="783" t="s">
        <v>6369</v>
      </c>
      <c r="J1729" s="783">
        <v>25</v>
      </c>
      <c r="K1729" s="783" t="s">
        <v>27</v>
      </c>
      <c r="L1729" s="783" t="s">
        <v>4096</v>
      </c>
      <c r="M1729" s="784">
        <v>16759.009999999998</v>
      </c>
      <c r="N1729" s="784">
        <v>13.04</v>
      </c>
      <c r="O1729" s="784">
        <v>3.57</v>
      </c>
      <c r="P1729" s="783">
        <v>360</v>
      </c>
      <c r="Q1729" s="783">
        <v>1394.35</v>
      </c>
      <c r="R1729" s="783">
        <v>972.02</v>
      </c>
      <c r="S1729" s="783">
        <v>117.31</v>
      </c>
      <c r="T1729" s="783">
        <v>305.01</v>
      </c>
      <c r="U1729" s="785">
        <v>44631.6383333333</v>
      </c>
    </row>
    <row r="1730" spans="1:21">
      <c r="A1730" s="782">
        <v>44581</v>
      </c>
      <c r="B1730" s="783" t="s">
        <v>41</v>
      </c>
      <c r="C1730" s="783" t="s">
        <v>4139</v>
      </c>
      <c r="D1730" s="783" t="s">
        <v>4009</v>
      </c>
      <c r="E1730" s="783" t="s">
        <v>734</v>
      </c>
      <c r="F1730" s="783" t="s">
        <v>4066</v>
      </c>
      <c r="G1730" s="783" t="s">
        <v>4028</v>
      </c>
      <c r="H1730" s="783" t="s">
        <v>6370</v>
      </c>
      <c r="I1730" s="783" t="s">
        <v>6371</v>
      </c>
      <c r="J1730" s="783">
        <v>10</v>
      </c>
      <c r="K1730" s="783" t="s">
        <v>27</v>
      </c>
      <c r="L1730" s="783" t="s">
        <v>4096</v>
      </c>
      <c r="M1730" s="784">
        <v>142310</v>
      </c>
      <c r="N1730" s="784">
        <v>81.319999999999993</v>
      </c>
      <c r="O1730" s="784">
        <v>3.5</v>
      </c>
      <c r="P1730" s="783">
        <v>500</v>
      </c>
      <c r="Q1730" s="783">
        <v>7101.27</v>
      </c>
      <c r="R1730" s="783">
        <v>0</v>
      </c>
      <c r="S1730" s="783">
        <v>0</v>
      </c>
      <c r="T1730" s="783">
        <v>7101.27</v>
      </c>
      <c r="U1730" s="785">
        <v>44631.638518518499</v>
      </c>
    </row>
    <row r="1731" spans="1:21">
      <c r="A1731" s="782">
        <v>44579</v>
      </c>
      <c r="B1731" s="783" t="s">
        <v>41</v>
      </c>
      <c r="C1731" s="783" t="s">
        <v>4092</v>
      </c>
      <c r="D1731" s="783" t="s">
        <v>4009</v>
      </c>
      <c r="E1731" s="783" t="s">
        <v>6612</v>
      </c>
      <c r="F1731" s="783" t="s">
        <v>4066</v>
      </c>
      <c r="G1731" s="783" t="s">
        <v>4028</v>
      </c>
      <c r="H1731" s="783" t="s">
        <v>6613</v>
      </c>
      <c r="I1731" s="783" t="s">
        <v>6614</v>
      </c>
      <c r="J1731" s="783">
        <v>10</v>
      </c>
      <c r="K1731" s="783" t="s">
        <v>27</v>
      </c>
      <c r="L1731" s="783" t="s">
        <v>4096</v>
      </c>
      <c r="M1731" s="784">
        <v>28350</v>
      </c>
      <c r="N1731" s="784">
        <v>21</v>
      </c>
      <c r="O1731" s="784">
        <v>3</v>
      </c>
      <c r="P1731" s="783">
        <v>450</v>
      </c>
      <c r="Q1731" s="783">
        <v>1082.97</v>
      </c>
      <c r="R1731" s="783">
        <v>0</v>
      </c>
      <c r="S1731" s="783">
        <v>0</v>
      </c>
      <c r="T1731" s="783">
        <v>1082.97</v>
      </c>
      <c r="U1731" s="785">
        <v>44631.6383333333</v>
      </c>
    </row>
    <row r="1732" spans="1:21">
      <c r="A1732" s="782">
        <v>44579</v>
      </c>
      <c r="B1732" s="783" t="s">
        <v>715</v>
      </c>
      <c r="C1732" s="783" t="s">
        <v>4042</v>
      </c>
      <c r="D1732" s="783" t="s">
        <v>4016</v>
      </c>
      <c r="E1732" s="783" t="s">
        <v>714</v>
      </c>
      <c r="F1732" s="783" t="s">
        <v>4011</v>
      </c>
      <c r="G1732" s="783" t="str">
        <f t="shared" ref="G1732:G1739" si="93">VLOOKUP(I1732,pacage,2,FALSE)</f>
        <v>Renewal (15% in 2020)</v>
      </c>
      <c r="H1732" s="783" t="s">
        <v>6378</v>
      </c>
      <c r="I1732" s="783" t="s">
        <v>6379</v>
      </c>
      <c r="J1732" s="783">
        <v>15</v>
      </c>
      <c r="K1732" s="783" t="s">
        <v>27</v>
      </c>
      <c r="L1732" s="783" t="s">
        <v>4096</v>
      </c>
      <c r="M1732" s="784">
        <v>75582</v>
      </c>
      <c r="N1732" s="784">
        <v>65</v>
      </c>
      <c r="O1732" s="784">
        <v>3.06</v>
      </c>
      <c r="P1732" s="783">
        <v>380</v>
      </c>
      <c r="Q1732" s="783">
        <v>9304.14</v>
      </c>
      <c r="R1732" s="783">
        <v>3741.31</v>
      </c>
      <c r="S1732" s="783">
        <v>529.07000000000005</v>
      </c>
      <c r="T1732" s="783">
        <v>5033.76</v>
      </c>
      <c r="U1732" s="785">
        <v>44631.638425925899</v>
      </c>
    </row>
    <row r="1733" spans="1:21">
      <c r="A1733" s="782">
        <v>44581</v>
      </c>
      <c r="B1733" s="783" t="s">
        <v>30</v>
      </c>
      <c r="C1733" s="783" t="s">
        <v>4239</v>
      </c>
      <c r="D1733" s="783" t="s">
        <v>4021</v>
      </c>
      <c r="E1733" s="783" t="s">
        <v>6380</v>
      </c>
      <c r="F1733" s="783" t="s">
        <v>4011</v>
      </c>
      <c r="G1733" s="783" t="str">
        <f t="shared" si="93"/>
        <v>Renewal (15% in 2020)</v>
      </c>
      <c r="H1733" s="783" t="s">
        <v>6381</v>
      </c>
      <c r="I1733" s="783" t="s">
        <v>6382</v>
      </c>
      <c r="J1733" s="783">
        <v>15</v>
      </c>
      <c r="K1733" s="783" t="s">
        <v>27</v>
      </c>
      <c r="L1733" s="783" t="s">
        <v>4096</v>
      </c>
      <c r="M1733" s="784">
        <v>28710</v>
      </c>
      <c r="N1733" s="784">
        <v>14.5</v>
      </c>
      <c r="O1733" s="784">
        <v>3.6</v>
      </c>
      <c r="P1733" s="783">
        <v>550</v>
      </c>
      <c r="Q1733" s="783">
        <v>3261.46</v>
      </c>
      <c r="R1733" s="783">
        <v>822.72</v>
      </c>
      <c r="S1733" s="783">
        <v>687.43</v>
      </c>
      <c r="T1733" s="783">
        <v>1751.31</v>
      </c>
      <c r="U1733" s="785">
        <v>44631.6385532407</v>
      </c>
    </row>
    <row r="1734" spans="1:21">
      <c r="A1734" s="782">
        <v>44578</v>
      </c>
      <c r="B1734" s="783" t="s">
        <v>41</v>
      </c>
      <c r="C1734" s="783" t="s">
        <v>4139</v>
      </c>
      <c r="D1734" s="783" t="s">
        <v>4009</v>
      </c>
      <c r="E1734" s="783" t="s">
        <v>6383</v>
      </c>
      <c r="F1734" s="783" t="s">
        <v>4011</v>
      </c>
      <c r="G1734" s="783" t="str">
        <f t="shared" si="93"/>
        <v>Renewal (30% in 2020)</v>
      </c>
      <c r="H1734" s="783" t="s">
        <v>6384</v>
      </c>
      <c r="I1734" s="783" t="s">
        <v>6385</v>
      </c>
      <c r="J1734" s="783">
        <v>30</v>
      </c>
      <c r="K1734" s="783" t="s">
        <v>27</v>
      </c>
      <c r="L1734" s="783" t="s">
        <v>4096</v>
      </c>
      <c r="M1734" s="784">
        <v>50790.48</v>
      </c>
      <c r="N1734" s="784">
        <v>57.98</v>
      </c>
      <c r="O1734" s="784">
        <v>2.92</v>
      </c>
      <c r="P1734" s="783">
        <v>300</v>
      </c>
      <c r="Q1734" s="783">
        <v>3875.31</v>
      </c>
      <c r="R1734" s="783">
        <v>2945.85</v>
      </c>
      <c r="S1734" s="783">
        <v>0</v>
      </c>
      <c r="T1734" s="783">
        <v>929.47</v>
      </c>
      <c r="U1734" s="785">
        <v>44631.638414351903</v>
      </c>
    </row>
    <row r="1735" spans="1:21">
      <c r="A1735" s="782">
        <v>44622</v>
      </c>
      <c r="B1735" s="783" t="s">
        <v>41</v>
      </c>
      <c r="C1735" s="783" t="s">
        <v>4071</v>
      </c>
      <c r="D1735" s="783" t="s">
        <v>4009</v>
      </c>
      <c r="E1735" s="783" t="s">
        <v>6398</v>
      </c>
      <c r="F1735" s="783" t="s">
        <v>4011</v>
      </c>
      <c r="G1735" s="783" t="str">
        <f t="shared" si="93"/>
        <v>New Contract</v>
      </c>
      <c r="H1735" s="783" t="s">
        <v>6399</v>
      </c>
      <c r="I1735" s="783" t="s">
        <v>6400</v>
      </c>
      <c r="J1735" s="783">
        <v>30</v>
      </c>
      <c r="K1735" s="783" t="s">
        <v>27</v>
      </c>
      <c r="L1735" s="783" t="s">
        <v>4096</v>
      </c>
      <c r="M1735" s="784">
        <v>25197.79</v>
      </c>
      <c r="N1735" s="784">
        <v>20.81</v>
      </c>
      <c r="O1735" s="784">
        <v>3.05</v>
      </c>
      <c r="P1735" s="783">
        <v>397</v>
      </c>
      <c r="Q1735" s="783">
        <v>1600.06</v>
      </c>
      <c r="R1735" s="783">
        <v>1209.49</v>
      </c>
      <c r="S1735" s="783">
        <v>0</v>
      </c>
      <c r="T1735" s="783">
        <v>390.57</v>
      </c>
      <c r="U1735" s="785">
        <v>44631.638067129599</v>
      </c>
    </row>
    <row r="1736" spans="1:21">
      <c r="A1736" s="782">
        <v>44560</v>
      </c>
      <c r="B1736" s="783" t="s">
        <v>41</v>
      </c>
      <c r="C1736" s="783" t="s">
        <v>4121</v>
      </c>
      <c r="D1736" s="783" t="s">
        <v>4009</v>
      </c>
      <c r="E1736" s="783" t="s">
        <v>6406</v>
      </c>
      <c r="F1736" s="783" t="s">
        <v>4011</v>
      </c>
      <c r="G1736" s="783" t="str">
        <f t="shared" si="93"/>
        <v>Renewal (20% in 2020)</v>
      </c>
      <c r="H1736" s="783" t="s">
        <v>6407</v>
      </c>
      <c r="I1736" s="783" t="s">
        <v>6408</v>
      </c>
      <c r="J1736" s="783">
        <v>20</v>
      </c>
      <c r="K1736" s="783" t="s">
        <v>27</v>
      </c>
      <c r="L1736" s="783" t="s">
        <v>4096</v>
      </c>
      <c r="M1736" s="784">
        <v>26177.5</v>
      </c>
      <c r="N1736" s="784">
        <v>18.5</v>
      </c>
      <c r="O1736" s="784">
        <v>2.83</v>
      </c>
      <c r="P1736" s="783">
        <v>500</v>
      </c>
      <c r="Q1736" s="783">
        <v>2568.0100000000002</v>
      </c>
      <c r="R1736" s="783">
        <v>939.48</v>
      </c>
      <c r="S1736" s="783">
        <v>604.99</v>
      </c>
      <c r="T1736" s="783">
        <v>1023.54</v>
      </c>
      <c r="U1736" s="785">
        <v>44631.637673611098</v>
      </c>
    </row>
    <row r="1737" spans="1:21">
      <c r="A1737" s="782">
        <v>44525</v>
      </c>
      <c r="B1737" s="783" t="s">
        <v>30</v>
      </c>
      <c r="C1737" s="783" t="s">
        <v>4089</v>
      </c>
      <c r="D1737" s="783" t="s">
        <v>4021</v>
      </c>
      <c r="E1737" s="783" t="s">
        <v>6545</v>
      </c>
      <c r="F1737" s="783" t="s">
        <v>4011</v>
      </c>
      <c r="G1737" s="783" t="str">
        <f t="shared" si="93"/>
        <v>New Contract</v>
      </c>
      <c r="H1737" s="783" t="s">
        <v>6546</v>
      </c>
      <c r="I1737" s="783" t="s">
        <v>6547</v>
      </c>
      <c r="J1737" s="783">
        <v>20</v>
      </c>
      <c r="K1737" s="783" t="s">
        <v>27</v>
      </c>
      <c r="L1737" s="783" t="s">
        <v>4096</v>
      </c>
      <c r="M1737" s="784">
        <v>55108.800000000003</v>
      </c>
      <c r="N1737" s="784">
        <v>35.6</v>
      </c>
      <c r="O1737" s="784">
        <v>3.87</v>
      </c>
      <c r="P1737" s="783">
        <v>400</v>
      </c>
      <c r="Q1737" s="783">
        <v>4513.41</v>
      </c>
      <c r="R1737" s="783">
        <v>2242.5100000000002</v>
      </c>
      <c r="S1737" s="783">
        <v>364.13</v>
      </c>
      <c r="T1737" s="783">
        <v>1906.76</v>
      </c>
      <c r="U1737" s="785">
        <v>44631.638032407398</v>
      </c>
    </row>
    <row r="1738" spans="1:21">
      <c r="A1738" s="782">
        <v>44559</v>
      </c>
      <c r="B1738" s="783" t="s">
        <v>41</v>
      </c>
      <c r="C1738" s="783" t="s">
        <v>4139</v>
      </c>
      <c r="D1738" s="783" t="s">
        <v>4009</v>
      </c>
      <c r="E1738" s="783" t="s">
        <v>6412</v>
      </c>
      <c r="F1738" s="783" t="s">
        <v>4011</v>
      </c>
      <c r="G1738" s="783" t="str">
        <f t="shared" si="93"/>
        <v>Renewal (20% in 2020)</v>
      </c>
      <c r="H1738" s="783" t="s">
        <v>6413</v>
      </c>
      <c r="I1738" s="783" t="s">
        <v>6414</v>
      </c>
      <c r="J1738" s="783">
        <v>20</v>
      </c>
      <c r="K1738" s="783" t="s">
        <v>27</v>
      </c>
      <c r="L1738" s="783" t="s">
        <v>4096</v>
      </c>
      <c r="M1738" s="784">
        <v>58307</v>
      </c>
      <c r="N1738" s="784">
        <v>39.799999999999997</v>
      </c>
      <c r="O1738" s="784">
        <v>2.93</v>
      </c>
      <c r="P1738" s="783">
        <v>500</v>
      </c>
      <c r="Q1738" s="783">
        <v>6104.74</v>
      </c>
      <c r="R1738" s="783">
        <v>2685.15</v>
      </c>
      <c r="S1738" s="783">
        <v>1104.8</v>
      </c>
      <c r="T1738" s="783">
        <v>2314.79</v>
      </c>
      <c r="U1738" s="785">
        <v>44631.638425925899</v>
      </c>
    </row>
    <row r="1739" spans="1:21">
      <c r="A1739" s="782">
        <v>44700</v>
      </c>
      <c r="B1739" s="783" t="s">
        <v>34</v>
      </c>
      <c r="C1739" s="783" t="s">
        <v>4139</v>
      </c>
      <c r="D1739" s="783" t="s">
        <v>4009</v>
      </c>
      <c r="E1739" s="783" t="s">
        <v>6449</v>
      </c>
      <c r="F1739" s="783" t="s">
        <v>4011</v>
      </c>
      <c r="G1739" s="783" t="str">
        <f t="shared" si="93"/>
        <v>Renewal (20% in 2020)</v>
      </c>
      <c r="H1739" s="783" t="s">
        <v>6450</v>
      </c>
      <c r="I1739" s="783" t="s">
        <v>6451</v>
      </c>
      <c r="J1739" s="783">
        <v>20</v>
      </c>
      <c r="K1739" s="783" t="s">
        <v>134</v>
      </c>
      <c r="L1739" s="783" t="s">
        <v>4096</v>
      </c>
      <c r="M1739" s="784">
        <v>13911.21</v>
      </c>
      <c r="N1739" s="784">
        <v>7.69</v>
      </c>
      <c r="O1739" s="784">
        <v>2.0099999999999998</v>
      </c>
      <c r="P1739" s="783">
        <v>900</v>
      </c>
      <c r="Q1739" s="783">
        <v>1602.57</v>
      </c>
      <c r="R1739" s="783">
        <v>811.9</v>
      </c>
      <c r="S1739" s="783">
        <v>370.56</v>
      </c>
      <c r="T1739" s="783">
        <v>420.12</v>
      </c>
      <c r="U1739" s="785">
        <v>44700.619363425903</v>
      </c>
    </row>
    <row r="1740" spans="1:21">
      <c r="A1740" s="782">
        <v>44671</v>
      </c>
      <c r="B1740" s="783" t="s">
        <v>4025</v>
      </c>
      <c r="C1740" s="783" t="s">
        <v>4026</v>
      </c>
      <c r="D1740" s="783" t="s">
        <v>4021</v>
      </c>
      <c r="E1740" s="783" t="s">
        <v>6460</v>
      </c>
      <c r="F1740" s="783" t="s">
        <v>4066</v>
      </c>
      <c r="G1740" s="783" t="s">
        <v>4028</v>
      </c>
      <c r="H1740" s="783" t="s">
        <v>6461</v>
      </c>
      <c r="I1740" s="783" t="s">
        <v>6462</v>
      </c>
      <c r="J1740" s="783">
        <v>5</v>
      </c>
      <c r="K1740" s="783" t="s">
        <v>134</v>
      </c>
      <c r="L1740" s="783" t="s">
        <v>4096</v>
      </c>
      <c r="M1740" s="784">
        <v>15532</v>
      </c>
      <c r="N1740" s="784">
        <v>22</v>
      </c>
      <c r="O1740" s="784">
        <v>1</v>
      </c>
      <c r="P1740" s="783">
        <v>706</v>
      </c>
      <c r="Q1740" s="783">
        <v>799.9</v>
      </c>
      <c r="R1740" s="783">
        <v>0</v>
      </c>
      <c r="S1740" s="783">
        <v>0</v>
      </c>
      <c r="T1740" s="783">
        <v>799.9</v>
      </c>
      <c r="U1740" s="785">
        <v>44673.3597337963</v>
      </c>
    </row>
    <row r="1741" spans="1:21">
      <c r="A1741" s="782">
        <v>44665</v>
      </c>
      <c r="B1741" s="783" t="s">
        <v>65</v>
      </c>
      <c r="C1741" s="783" t="s">
        <v>4376</v>
      </c>
      <c r="D1741" s="783" t="s">
        <v>4038</v>
      </c>
      <c r="E1741" s="783" t="s">
        <v>6463</v>
      </c>
      <c r="F1741" s="783" t="s">
        <v>4011</v>
      </c>
      <c r="G1741" s="783" t="str">
        <f>VLOOKUP(I1741,pacage,2,FALSE)</f>
        <v>New Contract</v>
      </c>
      <c r="H1741" s="783" t="s">
        <v>6464</v>
      </c>
      <c r="I1741" s="783" t="s">
        <v>6465</v>
      </c>
      <c r="J1741" s="783">
        <v>20</v>
      </c>
      <c r="K1741" s="783" t="s">
        <v>134</v>
      </c>
      <c r="L1741" s="783" t="s">
        <v>4096</v>
      </c>
      <c r="M1741" s="784">
        <v>14040</v>
      </c>
      <c r="N1741" s="784">
        <v>13</v>
      </c>
      <c r="O1741" s="784">
        <v>1.5</v>
      </c>
      <c r="P1741" s="783">
        <v>720</v>
      </c>
      <c r="Q1741" s="783">
        <v>1655.32</v>
      </c>
      <c r="R1741" s="783">
        <v>838.41</v>
      </c>
      <c r="S1741" s="783">
        <v>165.45</v>
      </c>
      <c r="T1741" s="783">
        <v>651.46</v>
      </c>
      <c r="U1741" s="785">
        <v>44666.387280092596</v>
      </c>
    </row>
    <row r="1742" spans="1:21">
      <c r="A1742" s="782">
        <v>44698</v>
      </c>
      <c r="B1742" s="783" t="s">
        <v>41</v>
      </c>
      <c r="C1742" s="783" t="s">
        <v>4071</v>
      </c>
      <c r="D1742" s="783" t="s">
        <v>4009</v>
      </c>
      <c r="E1742" s="783" t="s">
        <v>6472</v>
      </c>
      <c r="F1742" s="783" t="s">
        <v>4011</v>
      </c>
      <c r="G1742" s="783" t="str">
        <f>VLOOKUP(I1742,pacage,2,FALSE)</f>
        <v>Renewal (20% in 2020)</v>
      </c>
      <c r="H1742" s="783" t="s">
        <v>6473</v>
      </c>
      <c r="I1742" s="783" t="s">
        <v>6474</v>
      </c>
      <c r="J1742" s="783">
        <v>20</v>
      </c>
      <c r="K1742" s="783" t="s">
        <v>134</v>
      </c>
      <c r="L1742" s="783" t="s">
        <v>4096</v>
      </c>
      <c r="M1742" s="784">
        <v>30207.87</v>
      </c>
      <c r="N1742" s="784">
        <v>14.53</v>
      </c>
      <c r="O1742" s="784">
        <v>1.89</v>
      </c>
      <c r="P1742" s="783">
        <v>1100</v>
      </c>
      <c r="Q1742" s="783">
        <v>2893.91</v>
      </c>
      <c r="R1742" s="783">
        <v>1198.18</v>
      </c>
      <c r="S1742" s="783">
        <v>937.52</v>
      </c>
      <c r="T1742" s="783">
        <v>758.22</v>
      </c>
      <c r="U1742" s="785">
        <v>44699.490034722199</v>
      </c>
    </row>
    <row r="1743" spans="1:21">
      <c r="A1743" s="782">
        <v>44699</v>
      </c>
      <c r="B1743" s="783" t="s">
        <v>34</v>
      </c>
      <c r="C1743" s="783" t="s">
        <v>4139</v>
      </c>
      <c r="D1743" s="783" t="s">
        <v>4009</v>
      </c>
      <c r="E1743" s="783" t="s">
        <v>6486</v>
      </c>
      <c r="F1743" s="783" t="s">
        <v>4011</v>
      </c>
      <c r="G1743" s="783" t="str">
        <f>VLOOKUP(I1743,pacage,2,FALSE)</f>
        <v>Renewal (20% in 2020)</v>
      </c>
      <c r="H1743" s="783" t="s">
        <v>6487</v>
      </c>
      <c r="I1743" s="783" t="s">
        <v>6488</v>
      </c>
      <c r="J1743" s="783">
        <v>20</v>
      </c>
      <c r="K1743" s="783" t="s">
        <v>134</v>
      </c>
      <c r="L1743" s="783" t="s">
        <v>4096</v>
      </c>
      <c r="M1743" s="784">
        <v>6331.5</v>
      </c>
      <c r="N1743" s="784">
        <v>3.5</v>
      </c>
      <c r="O1743" s="784">
        <v>2.0099999999999998</v>
      </c>
      <c r="P1743" s="783">
        <v>900</v>
      </c>
      <c r="Q1743" s="783">
        <v>729.39</v>
      </c>
      <c r="R1743" s="783">
        <v>369.52</v>
      </c>
      <c r="S1743" s="783">
        <v>168.65</v>
      </c>
      <c r="T1743" s="783">
        <v>191.21</v>
      </c>
      <c r="U1743" s="785">
        <v>44700.617939814802</v>
      </c>
    </row>
    <row r="1744" spans="1:21">
      <c r="A1744" s="782">
        <v>44712</v>
      </c>
      <c r="B1744" s="783" t="s">
        <v>4025</v>
      </c>
      <c r="C1744" s="783" t="s">
        <v>4026</v>
      </c>
      <c r="D1744" s="783" t="s">
        <v>4021</v>
      </c>
      <c r="E1744" s="783" t="s">
        <v>4775</v>
      </c>
      <c r="F1744" s="783" t="s">
        <v>4011</v>
      </c>
      <c r="G1744" s="783" t="s">
        <v>4028</v>
      </c>
      <c r="H1744" s="783" t="s">
        <v>4776</v>
      </c>
      <c r="I1744" s="783" t="s">
        <v>4777</v>
      </c>
      <c r="J1744" s="783">
        <v>20</v>
      </c>
      <c r="K1744" s="783" t="s">
        <v>134</v>
      </c>
      <c r="L1744" s="783" t="s">
        <v>4096</v>
      </c>
      <c r="M1744" s="784">
        <v>27936</v>
      </c>
      <c r="N1744" s="784">
        <v>23.28</v>
      </c>
      <c r="O1744" s="784">
        <v>1.2</v>
      </c>
      <c r="P1744" s="783">
        <v>1000</v>
      </c>
      <c r="Q1744" s="783">
        <v>2044.92</v>
      </c>
      <c r="R1744" s="783">
        <v>775.11</v>
      </c>
      <c r="S1744" s="783">
        <v>515.54</v>
      </c>
      <c r="T1744" s="783">
        <v>754.27</v>
      </c>
      <c r="U1744" s="785">
        <v>44714.568182870396</v>
      </c>
    </row>
    <row r="1745" spans="1:21">
      <c r="A1745" s="782">
        <v>44713</v>
      </c>
      <c r="B1745" s="783" t="s">
        <v>65</v>
      </c>
      <c r="C1745" s="783" t="s">
        <v>4139</v>
      </c>
      <c r="D1745" s="783" t="s">
        <v>4009</v>
      </c>
      <c r="E1745" s="783" t="s">
        <v>6615</v>
      </c>
      <c r="F1745" s="783" t="s">
        <v>4011</v>
      </c>
      <c r="G1745" s="783" t="str">
        <f>VLOOKUP(I1745,pacage,2,FALSE)</f>
        <v>New contract</v>
      </c>
      <c r="H1745" s="783" t="s">
        <v>6616</v>
      </c>
      <c r="I1745" s="783" t="s">
        <v>6617</v>
      </c>
      <c r="J1745" s="783">
        <v>25</v>
      </c>
      <c r="K1745" s="783" t="s">
        <v>134</v>
      </c>
      <c r="L1745" s="783" t="s">
        <v>4096</v>
      </c>
      <c r="M1745" s="784">
        <v>94395.839999999997</v>
      </c>
      <c r="N1745" s="784">
        <v>76.62</v>
      </c>
      <c r="O1745" s="784">
        <v>1.54</v>
      </c>
      <c r="P1745" s="783">
        <v>800</v>
      </c>
      <c r="Q1745" s="783">
        <v>8637.2199999999993</v>
      </c>
      <c r="R1745" s="783">
        <v>6197.84</v>
      </c>
      <c r="S1745" s="783">
        <v>1825.8</v>
      </c>
      <c r="T1745" s="783">
        <v>613.57000000000005</v>
      </c>
      <c r="U1745" s="785">
        <v>44715.430937500001</v>
      </c>
    </row>
    <row r="1746" spans="1:21">
      <c r="A1746" s="782">
        <v>44713</v>
      </c>
      <c r="B1746" s="783" t="s">
        <v>65</v>
      </c>
      <c r="C1746" s="783" t="s">
        <v>4071</v>
      </c>
      <c r="D1746" s="783" t="s">
        <v>4009</v>
      </c>
      <c r="E1746" s="783" t="s">
        <v>6618</v>
      </c>
      <c r="F1746" s="783" t="s">
        <v>4011</v>
      </c>
      <c r="G1746" s="783" t="str">
        <f>VLOOKUP(I1746,pacage,2,FALSE)</f>
        <v>New contract</v>
      </c>
      <c r="H1746" s="783" t="s">
        <v>6619</v>
      </c>
      <c r="I1746" s="783" t="s">
        <v>6620</v>
      </c>
      <c r="J1746" s="783">
        <v>25</v>
      </c>
      <c r="K1746" s="783" t="s">
        <v>134</v>
      </c>
      <c r="L1746" s="783" t="s">
        <v>4096</v>
      </c>
      <c r="M1746" s="784">
        <v>45954.96</v>
      </c>
      <c r="N1746" s="784">
        <v>44.53</v>
      </c>
      <c r="O1746" s="784">
        <v>1.29</v>
      </c>
      <c r="P1746" s="783">
        <v>800</v>
      </c>
      <c r="Q1746" s="783">
        <v>3501.77</v>
      </c>
      <c r="R1746" s="783">
        <v>2506.31</v>
      </c>
      <c r="S1746" s="783">
        <v>742.7</v>
      </c>
      <c r="T1746" s="783">
        <v>252.75</v>
      </c>
      <c r="U1746" s="785">
        <v>44715.429756944402</v>
      </c>
    </row>
    <row r="1747" spans="1:21">
      <c r="A1747" s="782">
        <v>44713</v>
      </c>
      <c r="B1747" s="783" t="s">
        <v>65</v>
      </c>
      <c r="C1747" s="783" t="s">
        <v>6621</v>
      </c>
      <c r="D1747" s="783" t="s">
        <v>6078</v>
      </c>
      <c r="E1747" s="783" t="s">
        <v>6618</v>
      </c>
      <c r="F1747" s="783" t="s">
        <v>4011</v>
      </c>
      <c r="G1747" s="783" t="str">
        <f>VLOOKUP(I1747,pacage,2,FALSE)</f>
        <v>New contract</v>
      </c>
      <c r="H1747" s="783" t="s">
        <v>6619</v>
      </c>
      <c r="I1747" s="783" t="s">
        <v>6620</v>
      </c>
      <c r="J1747" s="783">
        <v>25</v>
      </c>
      <c r="K1747" s="783" t="s">
        <v>134</v>
      </c>
      <c r="L1747" s="783" t="s">
        <v>4096</v>
      </c>
      <c r="M1747" s="784">
        <v>99732.479999999996</v>
      </c>
      <c r="N1747" s="784">
        <v>96.64</v>
      </c>
      <c r="O1747" s="784">
        <v>1.29</v>
      </c>
      <c r="P1747" s="783">
        <v>800</v>
      </c>
      <c r="Q1747" s="783">
        <v>7599.61</v>
      </c>
      <c r="R1747" s="783">
        <v>5430.46</v>
      </c>
      <c r="S1747" s="783">
        <v>1630.6</v>
      </c>
      <c r="T1747" s="783">
        <v>538.55999999999995</v>
      </c>
      <c r="U1747" s="785">
        <v>44715.429756944402</v>
      </c>
    </row>
    <row r="1748" spans="1:21">
      <c r="A1748" s="782">
        <v>44698</v>
      </c>
      <c r="B1748" s="783" t="s">
        <v>41</v>
      </c>
      <c r="C1748" s="783" t="s">
        <v>4071</v>
      </c>
      <c r="D1748" s="783" t="s">
        <v>4009</v>
      </c>
      <c r="E1748" s="783" t="s">
        <v>6495</v>
      </c>
      <c r="F1748" s="783" t="s">
        <v>4011</v>
      </c>
      <c r="G1748" s="783" t="str">
        <f>VLOOKUP(I1748,pacage,2,FALSE)</f>
        <v>Renewal (20% in 2020)</v>
      </c>
      <c r="H1748" s="783" t="s">
        <v>6496</v>
      </c>
      <c r="I1748" s="783" t="s">
        <v>6497</v>
      </c>
      <c r="J1748" s="783">
        <v>20</v>
      </c>
      <c r="K1748" s="783" t="s">
        <v>134</v>
      </c>
      <c r="L1748" s="783" t="s">
        <v>4096</v>
      </c>
      <c r="M1748" s="784">
        <v>54576.34</v>
      </c>
      <c r="N1748" s="784">
        <v>40.82</v>
      </c>
      <c r="O1748" s="784">
        <v>1.91</v>
      </c>
      <c r="P1748" s="783">
        <v>700</v>
      </c>
      <c r="Q1748" s="783">
        <v>5228.41</v>
      </c>
      <c r="R1748" s="783">
        <v>3372.82</v>
      </c>
      <c r="S1748" s="783">
        <v>485.73</v>
      </c>
      <c r="T1748" s="783">
        <v>1369.87</v>
      </c>
      <c r="U1748" s="785">
        <v>44699.4859027778</v>
      </c>
    </row>
    <row r="1749" spans="1:21">
      <c r="A1749" s="782">
        <v>44630</v>
      </c>
      <c r="B1749" s="783" t="s">
        <v>41</v>
      </c>
      <c r="C1749" s="783" t="s">
        <v>4071</v>
      </c>
      <c r="D1749" s="783" t="s">
        <v>4009</v>
      </c>
      <c r="E1749" s="783" t="s">
        <v>6510</v>
      </c>
      <c r="F1749" s="783" t="s">
        <v>4011</v>
      </c>
      <c r="G1749" s="783" t="str">
        <f>VLOOKUP(I1749,pacage,2,FALSE)</f>
        <v>Renewal (30% in 2020)</v>
      </c>
      <c r="H1749" s="783" t="s">
        <v>6511</v>
      </c>
      <c r="I1749" s="783" t="s">
        <v>6512</v>
      </c>
      <c r="J1749" s="783">
        <v>25</v>
      </c>
      <c r="K1749" s="783" t="s">
        <v>134</v>
      </c>
      <c r="L1749" s="783" t="s">
        <v>4096</v>
      </c>
      <c r="M1749" s="784">
        <v>72533.97</v>
      </c>
      <c r="N1749" s="784">
        <v>36.619999999999997</v>
      </c>
      <c r="O1749" s="784">
        <v>2.16</v>
      </c>
      <c r="P1749" s="783">
        <v>917</v>
      </c>
      <c r="Q1749" s="783">
        <v>5527.09</v>
      </c>
      <c r="R1749" s="783">
        <v>3451.16</v>
      </c>
      <c r="S1749" s="783">
        <v>1676.99</v>
      </c>
      <c r="T1749" s="783">
        <v>398.94</v>
      </c>
      <c r="U1749" s="785">
        <v>44631.631307870397</v>
      </c>
    </row>
    <row r="1750" spans="1:21">
      <c r="A1750" s="782">
        <v>44644</v>
      </c>
      <c r="B1750" s="783" t="s">
        <v>65</v>
      </c>
      <c r="C1750" s="783" t="s">
        <v>4139</v>
      </c>
      <c r="D1750" s="783" t="s">
        <v>4009</v>
      </c>
      <c r="E1750" s="783" t="s">
        <v>6622</v>
      </c>
      <c r="F1750" s="783" t="s">
        <v>4011</v>
      </c>
      <c r="G1750" s="783" t="s">
        <v>4028</v>
      </c>
      <c r="H1750" s="783" t="s">
        <v>6623</v>
      </c>
      <c r="I1750" s="783" t="s">
        <v>6624</v>
      </c>
      <c r="J1750" s="783">
        <v>25</v>
      </c>
      <c r="K1750" s="783" t="s">
        <v>134</v>
      </c>
      <c r="L1750" s="783" t="s">
        <v>4096</v>
      </c>
      <c r="M1750" s="784">
        <v>7200</v>
      </c>
      <c r="N1750" s="784">
        <v>9</v>
      </c>
      <c r="O1750" s="784">
        <v>1</v>
      </c>
      <c r="P1750" s="783">
        <v>800</v>
      </c>
      <c r="Q1750" s="783">
        <v>658.8</v>
      </c>
      <c r="R1750" s="783">
        <v>472.74</v>
      </c>
      <c r="S1750" s="783">
        <v>139.26</v>
      </c>
      <c r="T1750" s="783">
        <v>46.8</v>
      </c>
      <c r="U1750" s="785">
        <v>44644.640833333302</v>
      </c>
    </row>
    <row r="1751" spans="1:21">
      <c r="A1751" s="782">
        <v>44644</v>
      </c>
      <c r="B1751" s="783" t="s">
        <v>65</v>
      </c>
      <c r="C1751" s="783" t="s">
        <v>4071</v>
      </c>
      <c r="D1751" s="783" t="s">
        <v>4009</v>
      </c>
      <c r="E1751" s="783" t="s">
        <v>6622</v>
      </c>
      <c r="F1751" s="783" t="s">
        <v>4011</v>
      </c>
      <c r="G1751" s="783" t="s">
        <v>4028</v>
      </c>
      <c r="H1751" s="783" t="s">
        <v>6623</v>
      </c>
      <c r="I1751" s="783" t="s">
        <v>6624</v>
      </c>
      <c r="J1751" s="783">
        <v>25</v>
      </c>
      <c r="K1751" s="783" t="s">
        <v>134</v>
      </c>
      <c r="L1751" s="783" t="s">
        <v>4096</v>
      </c>
      <c r="M1751" s="784">
        <v>35200</v>
      </c>
      <c r="N1751" s="784">
        <v>44</v>
      </c>
      <c r="O1751" s="784">
        <v>1</v>
      </c>
      <c r="P1751" s="783">
        <v>800</v>
      </c>
      <c r="Q1751" s="783">
        <v>2682.24</v>
      </c>
      <c r="R1751" s="783">
        <v>1919.76</v>
      </c>
      <c r="S1751" s="783">
        <v>568.88</v>
      </c>
      <c r="T1751" s="783">
        <v>193.6</v>
      </c>
      <c r="U1751" s="785">
        <v>44644.640833333302</v>
      </c>
    </row>
    <row r="1752" spans="1:21">
      <c r="A1752" s="782">
        <v>44559</v>
      </c>
      <c r="B1752" s="783" t="s">
        <v>74</v>
      </c>
      <c r="C1752" s="783" t="s">
        <v>6308</v>
      </c>
      <c r="D1752" s="783" t="s">
        <v>4038</v>
      </c>
      <c r="E1752" s="783" t="s">
        <v>6525</v>
      </c>
      <c r="F1752" s="783" t="s">
        <v>4011</v>
      </c>
      <c r="G1752" s="783" t="s">
        <v>4028</v>
      </c>
      <c r="H1752" s="783" t="s">
        <v>6526</v>
      </c>
      <c r="I1752" s="783" t="s">
        <v>6527</v>
      </c>
      <c r="J1752" s="783">
        <v>20</v>
      </c>
      <c r="K1752" s="783" t="s">
        <v>134</v>
      </c>
      <c r="L1752" s="783" t="s">
        <v>4096</v>
      </c>
      <c r="M1752" s="784">
        <v>13896</v>
      </c>
      <c r="N1752" s="784">
        <v>9</v>
      </c>
      <c r="O1752" s="784">
        <v>1.93</v>
      </c>
      <c r="P1752" s="783">
        <v>800</v>
      </c>
      <c r="Q1752" s="783">
        <v>1265.93</v>
      </c>
      <c r="R1752" s="783">
        <v>555.52</v>
      </c>
      <c r="S1752" s="783">
        <v>187.91</v>
      </c>
      <c r="T1752" s="783">
        <v>522.49</v>
      </c>
      <c r="U1752" s="785">
        <v>44631.636898148201</v>
      </c>
    </row>
    <row r="1753" spans="1:21">
      <c r="A1753" s="782">
        <v>44463</v>
      </c>
      <c r="B1753" s="783" t="s">
        <v>113</v>
      </c>
      <c r="C1753" s="783" t="s">
        <v>4606</v>
      </c>
      <c r="D1753" s="783" t="s">
        <v>4009</v>
      </c>
      <c r="E1753" s="783" t="s">
        <v>6625</v>
      </c>
      <c r="F1753" s="783" t="s">
        <v>4066</v>
      </c>
      <c r="G1753" s="783" t="str">
        <f>VLOOKUP(I1753,pacage,2,FALSE)</f>
        <v>New Contract</v>
      </c>
      <c r="H1753" s="783" t="s">
        <v>6626</v>
      </c>
      <c r="I1753" s="783" t="s">
        <v>6627</v>
      </c>
      <c r="J1753" s="783">
        <v>5</v>
      </c>
      <c r="K1753" s="783" t="s">
        <v>134</v>
      </c>
      <c r="L1753" s="783" t="s">
        <v>4096</v>
      </c>
      <c r="M1753" s="784">
        <v>12285</v>
      </c>
      <c r="N1753" s="784">
        <v>4.55</v>
      </c>
      <c r="O1753" s="784">
        <v>3</v>
      </c>
      <c r="P1753" s="783">
        <v>900</v>
      </c>
      <c r="Q1753" s="783">
        <v>1006.14</v>
      </c>
      <c r="R1753" s="783">
        <v>0</v>
      </c>
      <c r="S1753" s="783">
        <v>0</v>
      </c>
      <c r="T1753" s="783">
        <v>1006.14</v>
      </c>
      <c r="U1753" s="785">
        <v>44631.637731481504</v>
      </c>
    </row>
    <row r="1754" spans="1:21">
      <c r="A1754" s="782">
        <v>44581</v>
      </c>
      <c r="B1754" s="783" t="s">
        <v>74</v>
      </c>
      <c r="C1754" s="783" t="s">
        <v>4037</v>
      </c>
      <c r="D1754" s="783" t="s">
        <v>4038</v>
      </c>
      <c r="E1754" s="783" t="s">
        <v>4278</v>
      </c>
      <c r="F1754" s="783" t="s">
        <v>4011</v>
      </c>
      <c r="G1754" s="783" t="s">
        <v>4028</v>
      </c>
      <c r="H1754" s="783" t="s">
        <v>4279</v>
      </c>
      <c r="I1754" s="783" t="s">
        <v>4280</v>
      </c>
      <c r="J1754" s="783">
        <v>25</v>
      </c>
      <c r="K1754" s="783" t="s">
        <v>6628</v>
      </c>
      <c r="L1754" s="783" t="s">
        <v>4096</v>
      </c>
      <c r="M1754" s="784">
        <v>37144.519999999997</v>
      </c>
      <c r="N1754" s="784">
        <v>14.87</v>
      </c>
      <c r="O1754" s="784">
        <v>2.73</v>
      </c>
      <c r="P1754" s="783">
        <v>915</v>
      </c>
      <c r="Q1754" s="783">
        <v>3220.43</v>
      </c>
      <c r="R1754" s="783">
        <v>923.2</v>
      </c>
      <c r="S1754" s="783">
        <v>1376.05</v>
      </c>
      <c r="T1754" s="783">
        <v>921.18</v>
      </c>
      <c r="U1754" s="785">
        <v>44631.516180555598</v>
      </c>
    </row>
    <row r="1755" spans="1:21">
      <c r="A1755" s="782">
        <v>44588</v>
      </c>
      <c r="B1755" s="783" t="s">
        <v>74</v>
      </c>
      <c r="C1755" s="783" t="s">
        <v>6308</v>
      </c>
      <c r="D1755" s="783" t="s">
        <v>4038</v>
      </c>
      <c r="E1755" s="783" t="s">
        <v>2504</v>
      </c>
      <c r="F1755" s="783" t="s">
        <v>4011</v>
      </c>
      <c r="G1755" s="783" t="str">
        <f>VLOOKUP(I1755,pacage,2,FALSE)</f>
        <v>Renewal (15% in 2020)</v>
      </c>
      <c r="H1755" s="783" t="s">
        <v>5027</v>
      </c>
      <c r="I1755" s="783" t="s">
        <v>5028</v>
      </c>
      <c r="J1755" s="783">
        <v>15</v>
      </c>
      <c r="K1755" s="783" t="s">
        <v>6628</v>
      </c>
      <c r="L1755" s="783" t="s">
        <v>4096</v>
      </c>
      <c r="M1755" s="784">
        <v>10238.06</v>
      </c>
      <c r="N1755" s="784">
        <v>7</v>
      </c>
      <c r="O1755" s="784">
        <v>3.37</v>
      </c>
      <c r="P1755" s="783">
        <v>434</v>
      </c>
      <c r="Q1755" s="783">
        <v>1085.23</v>
      </c>
      <c r="R1755" s="783">
        <v>421.81</v>
      </c>
      <c r="S1755" s="783">
        <v>75.760000000000005</v>
      </c>
      <c r="T1755" s="783">
        <v>587.66</v>
      </c>
      <c r="U1755" s="785">
        <v>44631.636319444398</v>
      </c>
    </row>
    <row r="1756" spans="1:21">
      <c r="A1756" s="782">
        <v>44701</v>
      </c>
      <c r="B1756" s="783" t="s">
        <v>74</v>
      </c>
      <c r="C1756" s="783" t="s">
        <v>4037</v>
      </c>
      <c r="D1756" s="783" t="s">
        <v>4038</v>
      </c>
      <c r="E1756" s="783" t="s">
        <v>1912</v>
      </c>
      <c r="F1756" s="783" t="s">
        <v>4011</v>
      </c>
      <c r="G1756" s="783" t="str">
        <f>VLOOKUP(I1756,pacage,2,FALSE)</f>
        <v>Renewal (25% in 2020)</v>
      </c>
      <c r="H1756" s="783" t="s">
        <v>4388</v>
      </c>
      <c r="I1756" s="783" t="s">
        <v>4389</v>
      </c>
      <c r="J1756" s="783">
        <v>30</v>
      </c>
      <c r="K1756" s="783" t="s">
        <v>6628</v>
      </c>
      <c r="L1756" s="783" t="s">
        <v>4096</v>
      </c>
      <c r="M1756" s="784">
        <v>46063.199999999997</v>
      </c>
      <c r="N1756" s="784">
        <v>22.58</v>
      </c>
      <c r="O1756" s="784">
        <v>3.4</v>
      </c>
      <c r="P1756" s="783">
        <v>600</v>
      </c>
      <c r="Q1756" s="783">
        <v>3136.9</v>
      </c>
      <c r="R1756" s="783">
        <v>1745.92</v>
      </c>
      <c r="S1756" s="783">
        <v>667.79</v>
      </c>
      <c r="T1756" s="783">
        <v>723.19</v>
      </c>
      <c r="U1756" s="785">
        <v>44704.416030092601</v>
      </c>
    </row>
    <row r="1757" spans="1:21">
      <c r="A1757" s="782">
        <v>44615</v>
      </c>
      <c r="B1757" s="783" t="s">
        <v>74</v>
      </c>
      <c r="C1757" s="783" t="s">
        <v>4037</v>
      </c>
      <c r="D1757" s="783" t="s">
        <v>4038</v>
      </c>
      <c r="E1757" s="783" t="s">
        <v>1665</v>
      </c>
      <c r="F1757" s="783" t="s">
        <v>4011</v>
      </c>
      <c r="G1757" s="783" t="s">
        <v>4028</v>
      </c>
      <c r="H1757" s="783" t="s">
        <v>4421</v>
      </c>
      <c r="I1757" s="783" t="s">
        <v>4422</v>
      </c>
      <c r="J1757" s="783">
        <v>30</v>
      </c>
      <c r="K1757" s="783" t="s">
        <v>6628</v>
      </c>
      <c r="L1757" s="783" t="s">
        <v>4096</v>
      </c>
      <c r="M1757" s="784">
        <v>17248</v>
      </c>
      <c r="N1757" s="784">
        <v>15.4</v>
      </c>
      <c r="O1757" s="784">
        <v>2</v>
      </c>
      <c r="P1757" s="783">
        <v>560</v>
      </c>
      <c r="Q1757" s="783">
        <v>1174.5899999999999</v>
      </c>
      <c r="R1757" s="783">
        <v>700.44</v>
      </c>
      <c r="S1757" s="783">
        <v>203.35</v>
      </c>
      <c r="T1757" s="783">
        <v>270.79000000000002</v>
      </c>
      <c r="U1757" s="785">
        <v>44631.511851851901</v>
      </c>
    </row>
    <row r="1758" spans="1:21">
      <c r="A1758" s="782">
        <v>44502</v>
      </c>
      <c r="B1758" s="783" t="s">
        <v>51</v>
      </c>
      <c r="C1758" s="783" t="s">
        <v>4796</v>
      </c>
      <c r="D1758" s="783" t="s">
        <v>4016</v>
      </c>
      <c r="E1758" s="783" t="s">
        <v>4797</v>
      </c>
      <c r="F1758" s="783" t="s">
        <v>4011</v>
      </c>
      <c r="G1758" s="783" t="str">
        <f t="shared" ref="G1758:G1773" si="94">VLOOKUP(I1758,pacage,2,FALSE)</f>
        <v>Renewal (20% in 2020)</v>
      </c>
      <c r="H1758" s="783" t="s">
        <v>4798</v>
      </c>
      <c r="I1758" s="783" t="s">
        <v>4799</v>
      </c>
      <c r="J1758" s="783">
        <v>20</v>
      </c>
      <c r="K1758" s="783" t="s">
        <v>162</v>
      </c>
      <c r="L1758" s="783" t="s">
        <v>4014</v>
      </c>
      <c r="M1758" s="784">
        <v>2973.32</v>
      </c>
      <c r="N1758" s="784">
        <v>5.18</v>
      </c>
      <c r="O1758" s="784">
        <v>2.87</v>
      </c>
      <c r="P1758" s="783">
        <v>200</v>
      </c>
      <c r="Q1758" s="783">
        <v>392.48</v>
      </c>
      <c r="R1758" s="783">
        <v>247.53</v>
      </c>
      <c r="S1758" s="783">
        <v>95.6</v>
      </c>
      <c r="T1758" s="783">
        <v>49.36</v>
      </c>
      <c r="U1758" s="785">
        <v>44631.503113425897</v>
      </c>
    </row>
    <row r="1759" spans="1:21">
      <c r="A1759" s="782">
        <v>44501</v>
      </c>
      <c r="B1759" s="783" t="s">
        <v>41</v>
      </c>
      <c r="C1759" s="783" t="s">
        <v>4071</v>
      </c>
      <c r="D1759" s="783" t="s">
        <v>4009</v>
      </c>
      <c r="E1759" s="783" t="s">
        <v>4862</v>
      </c>
      <c r="F1759" s="783" t="s">
        <v>4011</v>
      </c>
      <c r="G1759" s="783" t="str">
        <f t="shared" si="94"/>
        <v>Renewal (15% in 2020)</v>
      </c>
      <c r="H1759" s="783" t="s">
        <v>4863</v>
      </c>
      <c r="I1759" s="783" t="s">
        <v>4864</v>
      </c>
      <c r="J1759" s="783">
        <v>15</v>
      </c>
      <c r="K1759" s="783" t="s">
        <v>162</v>
      </c>
      <c r="L1759" s="783" t="s">
        <v>4014</v>
      </c>
      <c r="M1759" s="784">
        <v>908.48</v>
      </c>
      <c r="N1759" s="784">
        <v>3.34</v>
      </c>
      <c r="O1759" s="784">
        <v>1.7</v>
      </c>
      <c r="P1759" s="783">
        <v>160</v>
      </c>
      <c r="Q1759" s="783">
        <v>124.46</v>
      </c>
      <c r="R1759" s="783">
        <v>56.05</v>
      </c>
      <c r="S1759" s="783">
        <v>8.27</v>
      </c>
      <c r="T1759" s="783">
        <v>60.14</v>
      </c>
      <c r="U1759" s="785">
        <v>44631.503043981502</v>
      </c>
    </row>
    <row r="1760" spans="1:21">
      <c r="A1760" s="782">
        <v>44574</v>
      </c>
      <c r="B1760" s="783" t="s">
        <v>41</v>
      </c>
      <c r="C1760" s="783" t="s">
        <v>4082</v>
      </c>
      <c r="D1760" s="783" t="s">
        <v>4009</v>
      </c>
      <c r="E1760" s="783" t="s">
        <v>3825</v>
      </c>
      <c r="F1760" s="783" t="s">
        <v>4011</v>
      </c>
      <c r="G1760" s="783" t="str">
        <f t="shared" si="94"/>
        <v>Renewal (15% in 2020)</v>
      </c>
      <c r="H1760" s="783" t="s">
        <v>4879</v>
      </c>
      <c r="I1760" s="783" t="s">
        <v>4880</v>
      </c>
      <c r="J1760" s="783">
        <v>15</v>
      </c>
      <c r="K1760" s="783" t="s">
        <v>162</v>
      </c>
      <c r="L1760" s="783" t="s">
        <v>4014</v>
      </c>
      <c r="M1760" s="784">
        <v>3322.4</v>
      </c>
      <c r="N1760" s="784">
        <v>7.37</v>
      </c>
      <c r="O1760" s="784">
        <v>1.96</v>
      </c>
      <c r="P1760" s="783">
        <v>230</v>
      </c>
      <c r="Q1760" s="783">
        <v>600.69000000000005</v>
      </c>
      <c r="R1760" s="783">
        <v>191.11</v>
      </c>
      <c r="S1760" s="783">
        <v>120.2</v>
      </c>
      <c r="T1760" s="783">
        <v>289.38</v>
      </c>
      <c r="U1760" s="785">
        <v>44701.658900463</v>
      </c>
    </row>
    <row r="1761" spans="1:21">
      <c r="A1761" s="782">
        <v>44690</v>
      </c>
      <c r="B1761" s="783" t="s">
        <v>4025</v>
      </c>
      <c r="C1761" s="783" t="s">
        <v>4026</v>
      </c>
      <c r="D1761" s="783" t="s">
        <v>4021</v>
      </c>
      <c r="E1761" s="783" t="s">
        <v>4884</v>
      </c>
      <c r="F1761" s="783" t="s">
        <v>4011</v>
      </c>
      <c r="G1761" s="783" t="str">
        <f t="shared" si="94"/>
        <v>New Contract</v>
      </c>
      <c r="H1761" s="783" t="s">
        <v>4885</v>
      </c>
      <c r="I1761" s="783" t="s">
        <v>4886</v>
      </c>
      <c r="J1761" s="783">
        <v>25</v>
      </c>
      <c r="K1761" s="783" t="s">
        <v>162</v>
      </c>
      <c r="L1761" s="783" t="s">
        <v>4014</v>
      </c>
      <c r="M1761" s="784">
        <v>12457.95</v>
      </c>
      <c r="N1761" s="784">
        <v>23.55</v>
      </c>
      <c r="O1761" s="784">
        <v>2.2999999999999998</v>
      </c>
      <c r="P1761" s="783">
        <v>230</v>
      </c>
      <c r="Q1761" s="783">
        <v>1425.19</v>
      </c>
      <c r="R1761" s="783">
        <v>745.39</v>
      </c>
      <c r="S1761" s="783">
        <v>453.07</v>
      </c>
      <c r="T1761" s="783">
        <v>226.73</v>
      </c>
      <c r="U1761" s="785">
        <v>44694.444571759297</v>
      </c>
    </row>
    <row r="1762" spans="1:21">
      <c r="A1762" s="782">
        <v>44697</v>
      </c>
      <c r="B1762" s="783" t="s">
        <v>65</v>
      </c>
      <c r="C1762" s="783" t="s">
        <v>4543</v>
      </c>
      <c r="D1762" s="783" t="s">
        <v>4038</v>
      </c>
      <c r="E1762" s="783" t="s">
        <v>1284</v>
      </c>
      <c r="F1762" s="783" t="s">
        <v>4011</v>
      </c>
      <c r="G1762" s="783" t="str">
        <f t="shared" si="94"/>
        <v>Renewal (25% in 2020)</v>
      </c>
      <c r="H1762" s="783" t="s">
        <v>4547</v>
      </c>
      <c r="I1762" s="783" t="s">
        <v>4548</v>
      </c>
      <c r="J1762" s="783">
        <v>20</v>
      </c>
      <c r="K1762" s="783" t="s">
        <v>162</v>
      </c>
      <c r="L1762" s="783" t="s">
        <v>4014</v>
      </c>
      <c r="M1762" s="784">
        <v>764.4</v>
      </c>
      <c r="N1762" s="784">
        <v>2.6</v>
      </c>
      <c r="O1762" s="784">
        <v>1.47</v>
      </c>
      <c r="P1762" s="783">
        <v>200</v>
      </c>
      <c r="Q1762" s="783">
        <v>110.07</v>
      </c>
      <c r="R1762" s="783">
        <v>52.41</v>
      </c>
      <c r="S1762" s="783">
        <v>24.34</v>
      </c>
      <c r="T1762" s="783">
        <v>33.33</v>
      </c>
      <c r="U1762" s="785">
        <v>44698.514212962997</v>
      </c>
    </row>
    <row r="1763" spans="1:21">
      <c r="A1763" s="782">
        <v>44656</v>
      </c>
      <c r="B1763" s="783" t="s">
        <v>41</v>
      </c>
      <c r="C1763" s="783" t="s">
        <v>4071</v>
      </c>
      <c r="D1763" s="783" t="s">
        <v>4009</v>
      </c>
      <c r="E1763" s="783" t="s">
        <v>4287</v>
      </c>
      <c r="F1763" s="783" t="s">
        <v>4011</v>
      </c>
      <c r="G1763" s="783" t="str">
        <f t="shared" si="94"/>
        <v>Renewal (15% in 2020)</v>
      </c>
      <c r="H1763" s="783" t="s">
        <v>4288</v>
      </c>
      <c r="I1763" s="783" t="s">
        <v>4289</v>
      </c>
      <c r="J1763" s="783">
        <v>30</v>
      </c>
      <c r="K1763" s="783" t="s">
        <v>162</v>
      </c>
      <c r="L1763" s="783" t="s">
        <v>4014</v>
      </c>
      <c r="M1763" s="784">
        <v>5526.31</v>
      </c>
      <c r="N1763" s="784">
        <v>12.33</v>
      </c>
      <c r="O1763" s="784">
        <v>2.7</v>
      </c>
      <c r="P1763" s="783">
        <v>166</v>
      </c>
      <c r="Q1763" s="783">
        <v>385.18</v>
      </c>
      <c r="R1763" s="783">
        <v>340.97</v>
      </c>
      <c r="S1763" s="783">
        <v>0</v>
      </c>
      <c r="T1763" s="783">
        <v>44.21</v>
      </c>
      <c r="U1763" s="785">
        <v>44657.630127314798</v>
      </c>
    </row>
    <row r="1764" spans="1:21">
      <c r="A1764" s="782">
        <v>44704</v>
      </c>
      <c r="B1764" s="783" t="s">
        <v>41</v>
      </c>
      <c r="C1764" s="783" t="s">
        <v>4071</v>
      </c>
      <c r="D1764" s="783" t="s">
        <v>4009</v>
      </c>
      <c r="E1764" s="783" t="s">
        <v>5084</v>
      </c>
      <c r="F1764" s="783" t="s">
        <v>4011</v>
      </c>
      <c r="G1764" s="783" t="str">
        <f t="shared" si="94"/>
        <v>Renewal (15% in 2020)</v>
      </c>
      <c r="H1764" s="783" t="s">
        <v>5085</v>
      </c>
      <c r="I1764" s="783" t="s">
        <v>5086</v>
      </c>
      <c r="J1764" s="783">
        <v>15</v>
      </c>
      <c r="K1764" s="783" t="s">
        <v>162</v>
      </c>
      <c r="L1764" s="783" t="s">
        <v>4014</v>
      </c>
      <c r="M1764" s="784">
        <v>27679.919999999998</v>
      </c>
      <c r="N1764" s="784">
        <v>39.770000000000003</v>
      </c>
      <c r="O1764" s="784">
        <v>3.48</v>
      </c>
      <c r="P1764" s="783">
        <v>200</v>
      </c>
      <c r="Q1764" s="783">
        <v>3792.15</v>
      </c>
      <c r="R1764" s="783">
        <v>1417.52</v>
      </c>
      <c r="S1764" s="783">
        <v>542.22</v>
      </c>
      <c r="T1764" s="783">
        <v>1832.41</v>
      </c>
      <c r="U1764" s="785">
        <v>44708.798425925903</v>
      </c>
    </row>
    <row r="1765" spans="1:21">
      <c r="A1765" s="782">
        <v>44685</v>
      </c>
      <c r="B1765" s="783" t="s">
        <v>118</v>
      </c>
      <c r="C1765" s="783" t="s">
        <v>4139</v>
      </c>
      <c r="D1765" s="783" t="s">
        <v>4009</v>
      </c>
      <c r="E1765" s="783" t="s">
        <v>5102</v>
      </c>
      <c r="F1765" s="783" t="s">
        <v>4011</v>
      </c>
      <c r="G1765" s="783" t="str">
        <f t="shared" si="94"/>
        <v>Renewal (15% in 2020)</v>
      </c>
      <c r="H1765" s="783" t="s">
        <v>5103</v>
      </c>
      <c r="I1765" s="783" t="s">
        <v>5104</v>
      </c>
      <c r="J1765" s="783">
        <v>30</v>
      </c>
      <c r="K1765" s="783" t="s">
        <v>162</v>
      </c>
      <c r="L1765" s="783" t="s">
        <v>4014</v>
      </c>
      <c r="M1765" s="784">
        <v>3994.2</v>
      </c>
      <c r="N1765" s="784">
        <v>7</v>
      </c>
      <c r="O1765" s="784">
        <v>3.17</v>
      </c>
      <c r="P1765" s="783">
        <v>180</v>
      </c>
      <c r="Q1765" s="783">
        <v>289.18</v>
      </c>
      <c r="R1765" s="783">
        <v>236.48</v>
      </c>
      <c r="S1765" s="783">
        <v>19.940000000000001</v>
      </c>
      <c r="T1765" s="783">
        <v>32.75</v>
      </c>
      <c r="U1765" s="785">
        <v>44687.648854166699</v>
      </c>
    </row>
    <row r="1766" spans="1:21">
      <c r="A1766" s="782">
        <v>44690</v>
      </c>
      <c r="B1766" s="783" t="s">
        <v>41</v>
      </c>
      <c r="C1766" s="783" t="s">
        <v>4071</v>
      </c>
      <c r="D1766" s="783" t="s">
        <v>4009</v>
      </c>
      <c r="E1766" s="783" t="s">
        <v>1477</v>
      </c>
      <c r="F1766" s="783" t="s">
        <v>4011</v>
      </c>
      <c r="G1766" s="783" t="str">
        <f t="shared" si="94"/>
        <v>Renewal (15% in 2020)</v>
      </c>
      <c r="H1766" s="783" t="s">
        <v>5128</v>
      </c>
      <c r="I1766" s="783" t="s">
        <v>5129</v>
      </c>
      <c r="J1766" s="783">
        <v>15</v>
      </c>
      <c r="K1766" s="783" t="s">
        <v>162</v>
      </c>
      <c r="L1766" s="783" t="s">
        <v>4014</v>
      </c>
      <c r="M1766" s="784">
        <v>3984.73</v>
      </c>
      <c r="N1766" s="784">
        <v>7.41</v>
      </c>
      <c r="O1766" s="784">
        <v>2.39</v>
      </c>
      <c r="P1766" s="783">
        <v>225</v>
      </c>
      <c r="Q1766" s="783">
        <v>545.91</v>
      </c>
      <c r="R1766" s="783">
        <v>181.39</v>
      </c>
      <c r="S1766" s="783">
        <v>100.73</v>
      </c>
      <c r="T1766" s="783">
        <v>263.79000000000002</v>
      </c>
      <c r="U1766" s="785">
        <v>44690.681192129603</v>
      </c>
    </row>
    <row r="1767" spans="1:21">
      <c r="A1767" s="782">
        <v>44685</v>
      </c>
      <c r="B1767" s="783" t="s">
        <v>30</v>
      </c>
      <c r="C1767" s="783" t="s">
        <v>4939</v>
      </c>
      <c r="D1767" s="783" t="s">
        <v>4021</v>
      </c>
      <c r="E1767" s="783" t="s">
        <v>5144</v>
      </c>
      <c r="F1767" s="783" t="s">
        <v>4011</v>
      </c>
      <c r="G1767" s="783" t="str">
        <f t="shared" si="94"/>
        <v>Renewal (20% in 2020)</v>
      </c>
      <c r="H1767" s="783" t="s">
        <v>5145</v>
      </c>
      <c r="I1767" s="783" t="s">
        <v>5146</v>
      </c>
      <c r="J1767" s="783">
        <v>20</v>
      </c>
      <c r="K1767" s="783" t="s">
        <v>162</v>
      </c>
      <c r="L1767" s="783" t="s">
        <v>4014</v>
      </c>
      <c r="M1767" s="784">
        <v>812.59</v>
      </c>
      <c r="N1767" s="784">
        <v>1.52</v>
      </c>
      <c r="O1767" s="784">
        <v>2.97</v>
      </c>
      <c r="P1767" s="783">
        <v>180</v>
      </c>
      <c r="Q1767" s="783">
        <v>102.39</v>
      </c>
      <c r="R1767" s="783">
        <v>67.599999999999994</v>
      </c>
      <c r="S1767" s="783">
        <v>22.12</v>
      </c>
      <c r="T1767" s="783">
        <v>12.68</v>
      </c>
      <c r="U1767" s="785">
        <v>44685.669050925899</v>
      </c>
    </row>
    <row r="1768" spans="1:21">
      <c r="A1768" s="782">
        <v>44683</v>
      </c>
      <c r="B1768" s="783" t="s">
        <v>41</v>
      </c>
      <c r="C1768" s="783" t="s">
        <v>4071</v>
      </c>
      <c r="D1768" s="783" t="s">
        <v>4009</v>
      </c>
      <c r="E1768" s="783" t="s">
        <v>5147</v>
      </c>
      <c r="F1768" s="783" t="s">
        <v>4011</v>
      </c>
      <c r="G1768" s="783" t="str">
        <f t="shared" si="94"/>
        <v>Renewal (15% in 2020)</v>
      </c>
      <c r="H1768" s="783" t="s">
        <v>5148</v>
      </c>
      <c r="I1768" s="783" t="s">
        <v>5149</v>
      </c>
      <c r="J1768" s="783">
        <v>15</v>
      </c>
      <c r="K1768" s="783" t="s">
        <v>162</v>
      </c>
      <c r="L1768" s="783" t="s">
        <v>4014</v>
      </c>
      <c r="M1768" s="784">
        <v>1647.76</v>
      </c>
      <c r="N1768" s="784">
        <v>2.97</v>
      </c>
      <c r="O1768" s="784">
        <v>2.92</v>
      </c>
      <c r="P1768" s="783">
        <v>190</v>
      </c>
      <c r="Q1768" s="783">
        <v>225.74</v>
      </c>
      <c r="R1768" s="783">
        <v>88.82</v>
      </c>
      <c r="S1768" s="783">
        <v>27.84</v>
      </c>
      <c r="T1768" s="783">
        <v>109.08</v>
      </c>
      <c r="U1768" s="785">
        <v>44684.411226851902</v>
      </c>
    </row>
    <row r="1769" spans="1:21">
      <c r="A1769" s="782">
        <v>44688</v>
      </c>
      <c r="B1769" s="783" t="s">
        <v>150</v>
      </c>
      <c r="C1769" s="783" t="s">
        <v>4097</v>
      </c>
      <c r="D1769" s="783" t="s">
        <v>4038</v>
      </c>
      <c r="E1769" s="783" t="s">
        <v>5172</v>
      </c>
      <c r="F1769" s="783" t="s">
        <v>4011</v>
      </c>
      <c r="G1769" s="783" t="str">
        <f t="shared" si="94"/>
        <v>Renewal (20% in 2020)</v>
      </c>
      <c r="H1769" s="783" t="s">
        <v>5173</v>
      </c>
      <c r="I1769" s="783" t="s">
        <v>5174</v>
      </c>
      <c r="J1769" s="783">
        <v>20</v>
      </c>
      <c r="K1769" s="783" t="s">
        <v>162</v>
      </c>
      <c r="L1769" s="783" t="s">
        <v>4014</v>
      </c>
      <c r="M1769" s="784">
        <v>5685.46</v>
      </c>
      <c r="N1769" s="784">
        <v>12.02</v>
      </c>
      <c r="O1769" s="784">
        <v>2.2000000000000002</v>
      </c>
      <c r="P1769" s="783">
        <v>215</v>
      </c>
      <c r="Q1769" s="783">
        <v>776.63</v>
      </c>
      <c r="R1769" s="783">
        <v>338.89</v>
      </c>
      <c r="S1769" s="783">
        <v>168.26</v>
      </c>
      <c r="T1769" s="783">
        <v>269.49</v>
      </c>
      <c r="U1769" s="785">
        <v>44690.632638888899</v>
      </c>
    </row>
    <row r="1770" spans="1:21">
      <c r="A1770" s="782">
        <v>44678</v>
      </c>
      <c r="B1770" s="783" t="s">
        <v>41</v>
      </c>
      <c r="C1770" s="783" t="s">
        <v>4092</v>
      </c>
      <c r="D1770" s="783" t="s">
        <v>4009</v>
      </c>
      <c r="E1770" s="783" t="s">
        <v>5178</v>
      </c>
      <c r="F1770" s="783" t="s">
        <v>4011</v>
      </c>
      <c r="G1770" s="783" t="str">
        <f t="shared" si="94"/>
        <v>Renewal (20% in 2020)</v>
      </c>
      <c r="H1770" s="783" t="s">
        <v>5179</v>
      </c>
      <c r="I1770" s="783" t="s">
        <v>5180</v>
      </c>
      <c r="J1770" s="783">
        <v>20</v>
      </c>
      <c r="K1770" s="783" t="s">
        <v>162</v>
      </c>
      <c r="L1770" s="783" t="s">
        <v>4014</v>
      </c>
      <c r="M1770" s="784">
        <v>2294.25</v>
      </c>
      <c r="N1770" s="784">
        <v>4.75</v>
      </c>
      <c r="O1770" s="784">
        <v>2.2999999999999998</v>
      </c>
      <c r="P1770" s="783">
        <v>210</v>
      </c>
      <c r="Q1770" s="783">
        <v>328.31</v>
      </c>
      <c r="R1770" s="783">
        <v>153.06</v>
      </c>
      <c r="S1770" s="783">
        <v>74.3</v>
      </c>
      <c r="T1770" s="783">
        <v>100.95</v>
      </c>
      <c r="U1770" s="785">
        <v>44680.490312499998</v>
      </c>
    </row>
    <row r="1771" spans="1:21">
      <c r="A1771" s="782">
        <v>44694</v>
      </c>
      <c r="B1771" s="783" t="s">
        <v>41</v>
      </c>
      <c r="C1771" s="783" t="s">
        <v>4008</v>
      </c>
      <c r="D1771" s="783" t="s">
        <v>4009</v>
      </c>
      <c r="E1771" s="783" t="s">
        <v>4577</v>
      </c>
      <c r="F1771" s="783" t="s">
        <v>4011</v>
      </c>
      <c r="G1771" s="783" t="str">
        <f t="shared" si="94"/>
        <v>Renewal (30% in 2020)</v>
      </c>
      <c r="H1771" s="783" t="s">
        <v>4578</v>
      </c>
      <c r="I1771" s="783" t="s">
        <v>4579</v>
      </c>
      <c r="J1771" s="783">
        <v>30</v>
      </c>
      <c r="K1771" s="783" t="s">
        <v>162</v>
      </c>
      <c r="L1771" s="783" t="s">
        <v>4014</v>
      </c>
      <c r="M1771" s="784">
        <v>6599.16</v>
      </c>
      <c r="N1771" s="784">
        <v>15.29</v>
      </c>
      <c r="O1771" s="784">
        <v>2.6</v>
      </c>
      <c r="P1771" s="783">
        <v>166</v>
      </c>
      <c r="Q1771" s="783">
        <v>646.72</v>
      </c>
      <c r="R1771" s="783">
        <v>527.92999999999995</v>
      </c>
      <c r="S1771" s="783">
        <v>0</v>
      </c>
      <c r="T1771" s="783">
        <v>118.78</v>
      </c>
      <c r="U1771" s="785">
        <v>44694.519189814797</v>
      </c>
    </row>
    <row r="1772" spans="1:21">
      <c r="A1772" s="782">
        <v>44698</v>
      </c>
      <c r="B1772" s="783" t="s">
        <v>41</v>
      </c>
      <c r="C1772" s="783" t="s">
        <v>4071</v>
      </c>
      <c r="D1772" s="783" t="s">
        <v>4009</v>
      </c>
      <c r="E1772" s="783" t="s">
        <v>3805</v>
      </c>
      <c r="F1772" s="783" t="s">
        <v>4011</v>
      </c>
      <c r="G1772" s="783" t="str">
        <f t="shared" si="94"/>
        <v>Renewal (15% in 2020)</v>
      </c>
      <c r="H1772" s="783" t="s">
        <v>4119</v>
      </c>
      <c r="I1772" s="783" t="s">
        <v>4120</v>
      </c>
      <c r="J1772" s="783">
        <v>15</v>
      </c>
      <c r="K1772" s="783" t="s">
        <v>162</v>
      </c>
      <c r="L1772" s="783" t="s">
        <v>4014</v>
      </c>
      <c r="M1772" s="784">
        <v>3054.92</v>
      </c>
      <c r="N1772" s="784">
        <v>5.83</v>
      </c>
      <c r="O1772" s="784">
        <v>2.62</v>
      </c>
      <c r="P1772" s="783">
        <v>200</v>
      </c>
      <c r="Q1772" s="783">
        <v>418.52</v>
      </c>
      <c r="R1772" s="783">
        <v>156.44999999999999</v>
      </c>
      <c r="S1772" s="783">
        <v>59.84</v>
      </c>
      <c r="T1772" s="783">
        <v>202.24</v>
      </c>
      <c r="U1772" s="785">
        <v>44699.745254629597</v>
      </c>
    </row>
    <row r="1773" spans="1:21">
      <c r="A1773" s="782">
        <v>44683</v>
      </c>
      <c r="B1773" s="783" t="s">
        <v>41</v>
      </c>
      <c r="C1773" s="783" t="s">
        <v>4082</v>
      </c>
      <c r="D1773" s="783" t="s">
        <v>4009</v>
      </c>
      <c r="E1773" s="783" t="s">
        <v>870</v>
      </c>
      <c r="F1773" s="783" t="s">
        <v>4011</v>
      </c>
      <c r="G1773" s="783" t="str">
        <f t="shared" si="94"/>
        <v>Renewal (20% in 2020)</v>
      </c>
      <c r="H1773" s="783" t="s">
        <v>5262</v>
      </c>
      <c r="I1773" s="783" t="s">
        <v>5263</v>
      </c>
      <c r="J1773" s="783">
        <v>20</v>
      </c>
      <c r="K1773" s="783" t="s">
        <v>162</v>
      </c>
      <c r="L1773" s="783" t="s">
        <v>4014</v>
      </c>
      <c r="M1773" s="784">
        <v>8122.41</v>
      </c>
      <c r="N1773" s="784">
        <v>19.34</v>
      </c>
      <c r="O1773" s="784">
        <v>2.5299999999999998</v>
      </c>
      <c r="P1773" s="783">
        <v>166</v>
      </c>
      <c r="Q1773" s="783">
        <v>1094.9000000000001</v>
      </c>
      <c r="R1773" s="783">
        <v>647.36</v>
      </c>
      <c r="S1773" s="783">
        <v>113.71</v>
      </c>
      <c r="T1773" s="783">
        <v>333.83</v>
      </c>
      <c r="U1773" s="785">
        <v>44708.637372685203</v>
      </c>
    </row>
    <row r="1774" spans="1:21">
      <c r="A1774" s="782">
        <v>44687</v>
      </c>
      <c r="B1774" s="783" t="s">
        <v>51</v>
      </c>
      <c r="C1774" s="783" t="s">
        <v>4042</v>
      </c>
      <c r="D1774" s="783" t="s">
        <v>4016</v>
      </c>
      <c r="E1774" s="783" t="s">
        <v>4043</v>
      </c>
      <c r="F1774" s="783" t="s">
        <v>4011</v>
      </c>
      <c r="G1774" s="783" t="s">
        <v>4028</v>
      </c>
      <c r="H1774" s="783" t="s">
        <v>4044</v>
      </c>
      <c r="I1774" s="783" t="s">
        <v>4045</v>
      </c>
      <c r="J1774" s="783">
        <v>25</v>
      </c>
      <c r="K1774" s="783" t="s">
        <v>162</v>
      </c>
      <c r="L1774" s="783" t="s">
        <v>4014</v>
      </c>
      <c r="M1774" s="784">
        <v>1321.89</v>
      </c>
      <c r="N1774" s="784">
        <v>3.36</v>
      </c>
      <c r="O1774" s="784">
        <v>2.37</v>
      </c>
      <c r="P1774" s="783">
        <v>166</v>
      </c>
      <c r="Q1774" s="783">
        <v>122.14</v>
      </c>
      <c r="R1774" s="783">
        <v>92.53</v>
      </c>
      <c r="S1774" s="783">
        <v>14.14</v>
      </c>
      <c r="T1774" s="783">
        <v>15.47</v>
      </c>
      <c r="U1774" s="785">
        <v>44687.596319444398</v>
      </c>
    </row>
    <row r="1775" spans="1:21">
      <c r="A1775" s="782">
        <v>44705</v>
      </c>
      <c r="B1775" s="783" t="s">
        <v>150</v>
      </c>
      <c r="C1775" s="783" t="s">
        <v>5313</v>
      </c>
      <c r="D1775" s="783" t="s">
        <v>4009</v>
      </c>
      <c r="E1775" s="783" t="s">
        <v>5314</v>
      </c>
      <c r="F1775" s="783" t="s">
        <v>4011</v>
      </c>
      <c r="G1775" s="783" t="str">
        <f t="shared" ref="G1775:G1808" si="95">VLOOKUP(I1775,pacage,2,FALSE)</f>
        <v>New Contract</v>
      </c>
      <c r="H1775" s="783" t="s">
        <v>5315</v>
      </c>
      <c r="I1775" s="783" t="s">
        <v>5316</v>
      </c>
      <c r="J1775" s="783">
        <v>20</v>
      </c>
      <c r="K1775" s="783" t="s">
        <v>162</v>
      </c>
      <c r="L1775" s="783" t="s">
        <v>4014</v>
      </c>
      <c r="M1775" s="784">
        <v>7828.56</v>
      </c>
      <c r="N1775" s="784">
        <v>12</v>
      </c>
      <c r="O1775" s="784">
        <v>3.93</v>
      </c>
      <c r="P1775" s="783">
        <v>166</v>
      </c>
      <c r="Q1775" s="783">
        <v>884.63</v>
      </c>
      <c r="R1775" s="783">
        <v>508.86</v>
      </c>
      <c r="S1775" s="783">
        <v>77.5</v>
      </c>
      <c r="T1775" s="783">
        <v>298.27</v>
      </c>
      <c r="U1775" s="785">
        <v>44706.525081018503</v>
      </c>
    </row>
    <row r="1776" spans="1:21">
      <c r="A1776" s="782">
        <v>44697</v>
      </c>
      <c r="B1776" s="783" t="s">
        <v>41</v>
      </c>
      <c r="C1776" s="783" t="s">
        <v>4092</v>
      </c>
      <c r="D1776" s="783" t="s">
        <v>4009</v>
      </c>
      <c r="E1776" s="783" t="s">
        <v>4128</v>
      </c>
      <c r="F1776" s="783" t="s">
        <v>4011</v>
      </c>
      <c r="G1776" s="783" t="str">
        <f t="shared" si="95"/>
        <v>Renewal (20% in 2020)</v>
      </c>
      <c r="H1776" s="783" t="s">
        <v>4129</v>
      </c>
      <c r="I1776" s="783" t="s">
        <v>4130</v>
      </c>
      <c r="J1776" s="783">
        <v>20</v>
      </c>
      <c r="K1776" s="783" t="s">
        <v>162</v>
      </c>
      <c r="L1776" s="783" t="s">
        <v>4014</v>
      </c>
      <c r="M1776" s="784">
        <v>13256.69</v>
      </c>
      <c r="N1776" s="784">
        <v>24.18</v>
      </c>
      <c r="O1776" s="784">
        <v>2.5499999999999998</v>
      </c>
      <c r="P1776" s="783">
        <v>215</v>
      </c>
      <c r="Q1776" s="783">
        <v>1897.03</v>
      </c>
      <c r="R1776" s="783">
        <v>863.87</v>
      </c>
      <c r="S1776" s="783">
        <v>449.87</v>
      </c>
      <c r="T1776" s="783">
        <v>583.29</v>
      </c>
      <c r="U1776" s="785">
        <v>44699.507303240702</v>
      </c>
    </row>
    <row r="1777" spans="1:21">
      <c r="A1777" s="782">
        <v>44536</v>
      </c>
      <c r="B1777" s="783" t="s">
        <v>41</v>
      </c>
      <c r="C1777" s="783" t="s">
        <v>4082</v>
      </c>
      <c r="D1777" s="783" t="s">
        <v>4009</v>
      </c>
      <c r="E1777" s="783" t="s">
        <v>5361</v>
      </c>
      <c r="F1777" s="783" t="s">
        <v>4011</v>
      </c>
      <c r="G1777" s="783" t="str">
        <f t="shared" si="95"/>
        <v>Renewal (15% in 2020)</v>
      </c>
      <c r="H1777" s="783" t="s">
        <v>5362</v>
      </c>
      <c r="I1777" s="783" t="s">
        <v>5363</v>
      </c>
      <c r="J1777" s="783">
        <v>15</v>
      </c>
      <c r="K1777" s="783" t="s">
        <v>162</v>
      </c>
      <c r="L1777" s="783" t="s">
        <v>4014</v>
      </c>
      <c r="M1777" s="784">
        <v>6935.04</v>
      </c>
      <c r="N1777" s="784">
        <v>7.74</v>
      </c>
      <c r="O1777" s="784">
        <v>3.2</v>
      </c>
      <c r="P1777" s="783">
        <v>280</v>
      </c>
      <c r="Q1777" s="783">
        <v>1253.8599999999999</v>
      </c>
      <c r="R1777" s="783">
        <v>327.69</v>
      </c>
      <c r="S1777" s="783">
        <v>322.13</v>
      </c>
      <c r="T1777" s="783">
        <v>604.04</v>
      </c>
      <c r="U1777" s="785">
        <v>44631.629664351902</v>
      </c>
    </row>
    <row r="1778" spans="1:21">
      <c r="A1778" s="782">
        <v>44678</v>
      </c>
      <c r="B1778" s="783" t="s">
        <v>118</v>
      </c>
      <c r="C1778" s="783" t="s">
        <v>4139</v>
      </c>
      <c r="D1778" s="783" t="s">
        <v>4009</v>
      </c>
      <c r="E1778" s="783" t="s">
        <v>1097</v>
      </c>
      <c r="F1778" s="783" t="s">
        <v>4011</v>
      </c>
      <c r="G1778" s="783" t="str">
        <f t="shared" si="95"/>
        <v>New contract</v>
      </c>
      <c r="H1778" s="783" t="s">
        <v>4235</v>
      </c>
      <c r="I1778" s="783" t="s">
        <v>4236</v>
      </c>
      <c r="J1778" s="783">
        <v>25</v>
      </c>
      <c r="K1778" s="783" t="s">
        <v>162</v>
      </c>
      <c r="L1778" s="783" t="s">
        <v>4014</v>
      </c>
      <c r="M1778" s="784">
        <v>2382.66</v>
      </c>
      <c r="N1778" s="784">
        <v>5.49</v>
      </c>
      <c r="O1778" s="784">
        <v>2.17</v>
      </c>
      <c r="P1778" s="783">
        <v>200</v>
      </c>
      <c r="Q1778" s="783">
        <v>195.38</v>
      </c>
      <c r="R1778" s="783">
        <v>126.96</v>
      </c>
      <c r="S1778" s="783">
        <v>48.88</v>
      </c>
      <c r="T1778" s="783">
        <v>19.54</v>
      </c>
      <c r="U1778" s="785">
        <v>44680.660208333298</v>
      </c>
    </row>
    <row r="1779" spans="1:21">
      <c r="A1779" s="782">
        <v>44678</v>
      </c>
      <c r="B1779" s="783" t="s">
        <v>41</v>
      </c>
      <c r="C1779" s="783" t="s">
        <v>4071</v>
      </c>
      <c r="D1779" s="783" t="s">
        <v>4009</v>
      </c>
      <c r="E1779" s="783" t="s">
        <v>1148</v>
      </c>
      <c r="F1779" s="783" t="s">
        <v>4011</v>
      </c>
      <c r="G1779" s="783" t="str">
        <f t="shared" si="95"/>
        <v>Renewal (20% in 2020)</v>
      </c>
      <c r="H1779" s="783" t="s">
        <v>4142</v>
      </c>
      <c r="I1779" s="783" t="s">
        <v>4143</v>
      </c>
      <c r="J1779" s="783">
        <v>15</v>
      </c>
      <c r="K1779" s="783" t="s">
        <v>162</v>
      </c>
      <c r="L1779" s="783" t="s">
        <v>4014</v>
      </c>
      <c r="M1779" s="784">
        <v>3094.04</v>
      </c>
      <c r="N1779" s="784">
        <v>8.07</v>
      </c>
      <c r="O1779" s="784">
        <v>2.13</v>
      </c>
      <c r="P1779" s="783">
        <v>180</v>
      </c>
      <c r="Q1779" s="783">
        <v>423.88</v>
      </c>
      <c r="R1779" s="783">
        <v>176.05</v>
      </c>
      <c r="S1779" s="783">
        <v>43</v>
      </c>
      <c r="T1779" s="783">
        <v>204.83</v>
      </c>
      <c r="U1779" s="785">
        <v>44680.655138888898</v>
      </c>
    </row>
    <row r="1780" spans="1:21">
      <c r="A1780" s="782">
        <v>44708</v>
      </c>
      <c r="B1780" s="783" t="s">
        <v>41</v>
      </c>
      <c r="C1780" s="783" t="s">
        <v>4082</v>
      </c>
      <c r="D1780" s="783" t="s">
        <v>4009</v>
      </c>
      <c r="E1780" s="783" t="s">
        <v>5600</v>
      </c>
      <c r="F1780" s="783" t="s">
        <v>4011</v>
      </c>
      <c r="G1780" s="783" t="str">
        <f t="shared" si="95"/>
        <v>Renewal (15% in 2020)</v>
      </c>
      <c r="H1780" s="783" t="s">
        <v>5601</v>
      </c>
      <c r="I1780" s="783" t="s">
        <v>5602</v>
      </c>
      <c r="J1780" s="783">
        <v>15</v>
      </c>
      <c r="K1780" s="783" t="s">
        <v>162</v>
      </c>
      <c r="L1780" s="783" t="s">
        <v>4014</v>
      </c>
      <c r="M1780" s="784">
        <v>6030.6</v>
      </c>
      <c r="N1780" s="784">
        <v>8.74</v>
      </c>
      <c r="O1780" s="784">
        <v>2.76</v>
      </c>
      <c r="P1780" s="783">
        <v>250</v>
      </c>
      <c r="Q1780" s="783">
        <v>1090.33</v>
      </c>
      <c r="R1780" s="783">
        <v>319.14</v>
      </c>
      <c r="S1780" s="783">
        <v>245.92</v>
      </c>
      <c r="T1780" s="783">
        <v>525.27</v>
      </c>
      <c r="U1780" s="785">
        <v>44711.535879629599</v>
      </c>
    </row>
    <row r="1781" spans="1:21">
      <c r="A1781" s="782">
        <v>44705</v>
      </c>
      <c r="B1781" s="783" t="s">
        <v>41</v>
      </c>
      <c r="C1781" s="783" t="s">
        <v>4082</v>
      </c>
      <c r="D1781" s="783" t="s">
        <v>4009</v>
      </c>
      <c r="E1781" s="783" t="s">
        <v>1024</v>
      </c>
      <c r="F1781" s="783" t="s">
        <v>4011</v>
      </c>
      <c r="G1781" s="783" t="str">
        <f t="shared" si="95"/>
        <v>Renewal (20% in 2020)</v>
      </c>
      <c r="H1781" s="783" t="s">
        <v>4150</v>
      </c>
      <c r="I1781" s="783" t="s">
        <v>4151</v>
      </c>
      <c r="J1781" s="783">
        <v>20</v>
      </c>
      <c r="K1781" s="783" t="s">
        <v>162</v>
      </c>
      <c r="L1781" s="783" t="s">
        <v>4014</v>
      </c>
      <c r="M1781" s="784">
        <v>8003.75</v>
      </c>
      <c r="N1781" s="784">
        <v>14.83</v>
      </c>
      <c r="O1781" s="784">
        <v>2.57</v>
      </c>
      <c r="P1781" s="783">
        <v>210</v>
      </c>
      <c r="Q1781" s="783">
        <v>1078.9100000000001</v>
      </c>
      <c r="R1781" s="783">
        <v>504.24</v>
      </c>
      <c r="S1781" s="783">
        <v>245.71</v>
      </c>
      <c r="T1781" s="783">
        <v>328.95</v>
      </c>
      <c r="U1781" s="785">
        <v>44705.577141203699</v>
      </c>
    </row>
    <row r="1782" spans="1:21">
      <c r="A1782" s="782">
        <v>44711</v>
      </c>
      <c r="B1782" s="783" t="s">
        <v>41</v>
      </c>
      <c r="C1782" s="783" t="s">
        <v>4139</v>
      </c>
      <c r="D1782" s="783" t="s">
        <v>4009</v>
      </c>
      <c r="E1782" s="783" t="s">
        <v>549</v>
      </c>
      <c r="F1782" s="783" t="s">
        <v>4011</v>
      </c>
      <c r="G1782" s="783" t="str">
        <f t="shared" si="95"/>
        <v>Renewal (25% in 2020)</v>
      </c>
      <c r="H1782" s="783" t="s">
        <v>5626</v>
      </c>
      <c r="I1782" s="783" t="s">
        <v>5627</v>
      </c>
      <c r="J1782" s="783">
        <v>25</v>
      </c>
      <c r="K1782" s="783" t="s">
        <v>162</v>
      </c>
      <c r="L1782" s="783" t="s">
        <v>4014</v>
      </c>
      <c r="M1782" s="784">
        <v>12804.18</v>
      </c>
      <c r="N1782" s="784">
        <v>18.309999999999999</v>
      </c>
      <c r="O1782" s="784">
        <v>3.33</v>
      </c>
      <c r="P1782" s="783">
        <v>210</v>
      </c>
      <c r="Q1782" s="783">
        <v>1049.94</v>
      </c>
      <c r="R1782" s="783">
        <v>649.79</v>
      </c>
      <c r="S1782" s="783">
        <v>295.14999999999998</v>
      </c>
      <c r="T1782" s="783">
        <v>104.99</v>
      </c>
      <c r="U1782" s="785">
        <v>44712.724351851903</v>
      </c>
    </row>
    <row r="1783" spans="1:21">
      <c r="A1783" s="782">
        <v>44715</v>
      </c>
      <c r="B1783" s="783" t="s">
        <v>228</v>
      </c>
      <c r="C1783" s="783" t="s">
        <v>4192</v>
      </c>
      <c r="D1783" s="783" t="s">
        <v>4193</v>
      </c>
      <c r="E1783" s="783" t="s">
        <v>3835</v>
      </c>
      <c r="F1783" s="783" t="s">
        <v>4011</v>
      </c>
      <c r="G1783" s="783" t="str">
        <f t="shared" si="95"/>
        <v>Renewal (25% in 2020)</v>
      </c>
      <c r="H1783" s="783" t="s">
        <v>5634</v>
      </c>
      <c r="I1783" s="783" t="s">
        <v>5635</v>
      </c>
      <c r="J1783" s="783">
        <v>25</v>
      </c>
      <c r="K1783" s="783" t="s">
        <v>162</v>
      </c>
      <c r="L1783" s="783" t="s">
        <v>4014</v>
      </c>
      <c r="M1783" s="784">
        <v>7432.81</v>
      </c>
      <c r="N1783" s="784">
        <v>12.71</v>
      </c>
      <c r="O1783" s="784">
        <v>2.72</v>
      </c>
      <c r="P1783" s="783">
        <v>215</v>
      </c>
      <c r="Q1783" s="783">
        <v>686.79</v>
      </c>
      <c r="R1783" s="783">
        <v>404.01</v>
      </c>
      <c r="S1783" s="783">
        <v>199.53</v>
      </c>
      <c r="T1783" s="783">
        <v>83.25</v>
      </c>
      <c r="U1783" s="785">
        <v>44715.461851851898</v>
      </c>
    </row>
    <row r="1784" spans="1:21">
      <c r="A1784" s="782">
        <v>44712</v>
      </c>
      <c r="B1784" s="783" t="s">
        <v>4025</v>
      </c>
      <c r="C1784" s="783" t="s">
        <v>4026</v>
      </c>
      <c r="D1784" s="783" t="s">
        <v>4021</v>
      </c>
      <c r="E1784" s="783" t="s">
        <v>4158</v>
      </c>
      <c r="F1784" s="783" t="s">
        <v>4011</v>
      </c>
      <c r="G1784" s="783" t="str">
        <f t="shared" si="95"/>
        <v>New Contract</v>
      </c>
      <c r="H1784" s="783" t="s">
        <v>4159</v>
      </c>
      <c r="I1784" s="783" t="s">
        <v>4160</v>
      </c>
      <c r="J1784" s="783">
        <v>25</v>
      </c>
      <c r="K1784" s="783" t="s">
        <v>162</v>
      </c>
      <c r="L1784" s="783" t="s">
        <v>4014</v>
      </c>
      <c r="M1784" s="784">
        <v>2319.85</v>
      </c>
      <c r="N1784" s="784">
        <v>8.3000000000000007</v>
      </c>
      <c r="O1784" s="784">
        <v>1.3</v>
      </c>
      <c r="P1784" s="783">
        <v>215</v>
      </c>
      <c r="Q1784" s="783">
        <v>265.39</v>
      </c>
      <c r="R1784" s="783">
        <v>148.49</v>
      </c>
      <c r="S1784" s="783">
        <v>74.680000000000007</v>
      </c>
      <c r="T1784" s="783">
        <v>42.22</v>
      </c>
      <c r="U1784" s="785">
        <v>44714.012060185203</v>
      </c>
    </row>
    <row r="1785" spans="1:21">
      <c r="A1785" s="782">
        <v>44711</v>
      </c>
      <c r="B1785" s="783" t="s">
        <v>113</v>
      </c>
      <c r="C1785" s="783" t="s">
        <v>4097</v>
      </c>
      <c r="D1785" s="783" t="s">
        <v>4038</v>
      </c>
      <c r="E1785" s="783" t="s">
        <v>5665</v>
      </c>
      <c r="F1785" s="783" t="s">
        <v>4011</v>
      </c>
      <c r="G1785" s="783" t="str">
        <f t="shared" si="95"/>
        <v>Renewal (15% in 2020)</v>
      </c>
      <c r="H1785" s="783" t="s">
        <v>5666</v>
      </c>
      <c r="I1785" s="783" t="s">
        <v>5667</v>
      </c>
      <c r="J1785" s="783">
        <v>15</v>
      </c>
      <c r="K1785" s="783" t="s">
        <v>162</v>
      </c>
      <c r="L1785" s="783" t="s">
        <v>4014</v>
      </c>
      <c r="M1785" s="784">
        <v>5454.08</v>
      </c>
      <c r="N1785" s="784">
        <v>17.57</v>
      </c>
      <c r="O1785" s="784">
        <v>1.87</v>
      </c>
      <c r="P1785" s="783">
        <v>166</v>
      </c>
      <c r="Q1785" s="783">
        <v>785.39</v>
      </c>
      <c r="R1785" s="783">
        <v>421.05</v>
      </c>
      <c r="S1785" s="783">
        <v>65.45</v>
      </c>
      <c r="T1785" s="783">
        <v>298.88</v>
      </c>
      <c r="U1785" s="785">
        <v>44713.627754629597</v>
      </c>
    </row>
    <row r="1786" spans="1:21">
      <c r="A1786" s="782">
        <v>44712</v>
      </c>
      <c r="B1786" s="783" t="s">
        <v>47</v>
      </c>
      <c r="C1786" s="783" t="s">
        <v>4244</v>
      </c>
      <c r="D1786" s="783" t="s">
        <v>4102</v>
      </c>
      <c r="E1786" s="783" t="s">
        <v>5673</v>
      </c>
      <c r="F1786" s="783" t="s">
        <v>4011</v>
      </c>
      <c r="G1786" s="783" t="str">
        <f t="shared" si="95"/>
        <v>Renewal (15% in 2020)</v>
      </c>
      <c r="H1786" s="783" t="s">
        <v>5674</v>
      </c>
      <c r="I1786" s="783" t="s">
        <v>5675</v>
      </c>
      <c r="J1786" s="783">
        <v>15</v>
      </c>
      <c r="K1786" s="783" t="s">
        <v>162</v>
      </c>
      <c r="L1786" s="783" t="s">
        <v>4014</v>
      </c>
      <c r="M1786" s="784">
        <v>9582.86</v>
      </c>
      <c r="N1786" s="784">
        <v>18.170000000000002</v>
      </c>
      <c r="O1786" s="784">
        <v>2.93</v>
      </c>
      <c r="P1786" s="783">
        <v>180</v>
      </c>
      <c r="Q1786" s="783">
        <v>1207.44</v>
      </c>
      <c r="R1786" s="783">
        <v>498.44</v>
      </c>
      <c r="S1786" s="783">
        <v>123.49</v>
      </c>
      <c r="T1786" s="783">
        <v>585.51</v>
      </c>
      <c r="U1786" s="785">
        <v>44714.674097222203</v>
      </c>
    </row>
    <row r="1787" spans="1:21">
      <c r="A1787" s="782">
        <v>44694</v>
      </c>
      <c r="B1787" s="783" t="s">
        <v>41</v>
      </c>
      <c r="C1787" s="783" t="s">
        <v>4139</v>
      </c>
      <c r="D1787" s="783" t="s">
        <v>4009</v>
      </c>
      <c r="E1787" s="783" t="s">
        <v>6587</v>
      </c>
      <c r="F1787" s="783" t="s">
        <v>4011</v>
      </c>
      <c r="G1787" s="783" t="str">
        <f t="shared" si="95"/>
        <v>New Contract</v>
      </c>
      <c r="H1787" s="783" t="s">
        <v>6588</v>
      </c>
      <c r="I1787" s="783" t="s">
        <v>6589</v>
      </c>
      <c r="J1787" s="783">
        <v>15</v>
      </c>
      <c r="K1787" s="783" t="s">
        <v>162</v>
      </c>
      <c r="L1787" s="783" t="s">
        <v>4014</v>
      </c>
      <c r="M1787" s="784">
        <v>4543.62</v>
      </c>
      <c r="N1787" s="784">
        <v>9.07</v>
      </c>
      <c r="O1787" s="784">
        <v>2.33</v>
      </c>
      <c r="P1787" s="783">
        <v>215</v>
      </c>
      <c r="Q1787" s="783">
        <v>646.1</v>
      </c>
      <c r="R1787" s="783">
        <v>225.22</v>
      </c>
      <c r="S1787" s="783">
        <v>110.1</v>
      </c>
      <c r="T1787" s="783">
        <v>310.77999999999997</v>
      </c>
      <c r="U1787" s="785">
        <v>44694.5305324074</v>
      </c>
    </row>
    <row r="1788" spans="1:21">
      <c r="A1788" s="782">
        <v>44694</v>
      </c>
      <c r="B1788" s="783" t="s">
        <v>74</v>
      </c>
      <c r="C1788" s="783" t="s">
        <v>4097</v>
      </c>
      <c r="D1788" s="783" t="s">
        <v>4038</v>
      </c>
      <c r="E1788" s="783" t="s">
        <v>4385</v>
      </c>
      <c r="F1788" s="783" t="s">
        <v>4011</v>
      </c>
      <c r="G1788" s="783" t="str">
        <f t="shared" si="95"/>
        <v>Renewal (15% in 2020)</v>
      </c>
      <c r="H1788" s="783" t="s">
        <v>4386</v>
      </c>
      <c r="I1788" s="783" t="s">
        <v>4387</v>
      </c>
      <c r="J1788" s="783">
        <v>15</v>
      </c>
      <c r="K1788" s="783" t="s">
        <v>162</v>
      </c>
      <c r="L1788" s="783" t="s">
        <v>4014</v>
      </c>
      <c r="M1788" s="784">
        <v>1221.44</v>
      </c>
      <c r="N1788" s="784">
        <v>3.47</v>
      </c>
      <c r="O1788" s="784">
        <v>1.76</v>
      </c>
      <c r="P1788" s="783">
        <v>200</v>
      </c>
      <c r="Q1788" s="783">
        <v>175.89</v>
      </c>
      <c r="R1788" s="783">
        <v>78.260000000000005</v>
      </c>
      <c r="S1788" s="783">
        <v>30.69</v>
      </c>
      <c r="T1788" s="783">
        <v>66.930000000000007</v>
      </c>
      <c r="U1788" s="785">
        <v>44697.657094907401</v>
      </c>
    </row>
    <row r="1789" spans="1:21">
      <c r="A1789" s="782">
        <v>44671</v>
      </c>
      <c r="B1789" s="783" t="s">
        <v>41</v>
      </c>
      <c r="C1789" s="783" t="s">
        <v>4071</v>
      </c>
      <c r="D1789" s="783" t="s">
        <v>4009</v>
      </c>
      <c r="E1789" s="783" t="s">
        <v>5903</v>
      </c>
      <c r="F1789" s="783" t="s">
        <v>4011</v>
      </c>
      <c r="G1789" s="783" t="str">
        <f t="shared" si="95"/>
        <v>Renewal (15% in 2020)</v>
      </c>
      <c r="H1789" s="783" t="s">
        <v>5904</v>
      </c>
      <c r="I1789" s="783" t="s">
        <v>5905</v>
      </c>
      <c r="J1789" s="783">
        <v>20</v>
      </c>
      <c r="K1789" s="783" t="s">
        <v>162</v>
      </c>
      <c r="L1789" s="783" t="s">
        <v>4014</v>
      </c>
      <c r="M1789" s="784">
        <v>6805.04</v>
      </c>
      <c r="N1789" s="784">
        <v>16.28</v>
      </c>
      <c r="O1789" s="784">
        <v>1.9</v>
      </c>
      <c r="P1789" s="783">
        <v>220</v>
      </c>
      <c r="Q1789" s="783">
        <v>696.16</v>
      </c>
      <c r="R1789" s="783">
        <v>316.81</v>
      </c>
      <c r="S1789" s="783">
        <v>164.99</v>
      </c>
      <c r="T1789" s="783">
        <v>214.36</v>
      </c>
      <c r="U1789" s="785">
        <v>44673.372372685197</v>
      </c>
    </row>
    <row r="1790" spans="1:21">
      <c r="A1790" s="782">
        <v>44642</v>
      </c>
      <c r="B1790" s="783" t="s">
        <v>41</v>
      </c>
      <c r="C1790" s="783" t="s">
        <v>4071</v>
      </c>
      <c r="D1790" s="783" t="s">
        <v>4009</v>
      </c>
      <c r="E1790" s="783" t="s">
        <v>5954</v>
      </c>
      <c r="F1790" s="783" t="s">
        <v>4011</v>
      </c>
      <c r="G1790" s="783" t="str">
        <f t="shared" si="95"/>
        <v>Renewal (15% in 2020)</v>
      </c>
      <c r="H1790" s="783" t="s">
        <v>5955</v>
      </c>
      <c r="I1790" s="783" t="s">
        <v>5956</v>
      </c>
      <c r="J1790" s="783">
        <v>15</v>
      </c>
      <c r="K1790" s="783" t="s">
        <v>162</v>
      </c>
      <c r="L1790" s="783" t="s">
        <v>4014</v>
      </c>
      <c r="M1790" s="784">
        <v>5295.84</v>
      </c>
      <c r="N1790" s="784">
        <v>18.88</v>
      </c>
      <c r="O1790" s="784">
        <v>1.7</v>
      </c>
      <c r="P1790" s="783">
        <v>165</v>
      </c>
      <c r="Q1790" s="783">
        <v>725.53</v>
      </c>
      <c r="R1790" s="783">
        <v>326.75</v>
      </c>
      <c r="S1790" s="783">
        <v>48.19</v>
      </c>
      <c r="T1790" s="783">
        <v>350.58</v>
      </c>
      <c r="U1790" s="785">
        <v>44643.367488425902</v>
      </c>
    </row>
    <row r="1791" spans="1:21">
      <c r="A1791" s="782">
        <v>44665</v>
      </c>
      <c r="B1791" s="783" t="s">
        <v>41</v>
      </c>
      <c r="C1791" s="783" t="s">
        <v>4139</v>
      </c>
      <c r="D1791" s="783" t="s">
        <v>4009</v>
      </c>
      <c r="E1791" s="783" t="s">
        <v>5969</v>
      </c>
      <c r="F1791" s="783" t="s">
        <v>4011</v>
      </c>
      <c r="G1791" s="783" t="str">
        <f t="shared" si="95"/>
        <v>Renewal (20% in 2020)</v>
      </c>
      <c r="H1791" s="783" t="s">
        <v>5970</v>
      </c>
      <c r="I1791" s="783" t="s">
        <v>5971</v>
      </c>
      <c r="J1791" s="783">
        <v>30</v>
      </c>
      <c r="K1791" s="783" t="s">
        <v>162</v>
      </c>
      <c r="L1791" s="783" t="s">
        <v>4014</v>
      </c>
      <c r="M1791" s="784">
        <v>612.37</v>
      </c>
      <c r="N1791" s="784">
        <v>1.7</v>
      </c>
      <c r="O1791" s="784">
        <v>2.17</v>
      </c>
      <c r="P1791" s="783">
        <v>166</v>
      </c>
      <c r="Q1791" s="783">
        <v>44.34</v>
      </c>
      <c r="R1791" s="783">
        <v>39.31</v>
      </c>
      <c r="S1791" s="783">
        <v>0</v>
      </c>
      <c r="T1791" s="783">
        <v>5.0199999999999996</v>
      </c>
      <c r="U1791" s="785">
        <v>44665.6721412037</v>
      </c>
    </row>
    <row r="1792" spans="1:21">
      <c r="A1792" s="782">
        <v>44652</v>
      </c>
      <c r="B1792" s="783" t="s">
        <v>47</v>
      </c>
      <c r="C1792" s="783" t="s">
        <v>4101</v>
      </c>
      <c r="D1792" s="783" t="s">
        <v>4102</v>
      </c>
      <c r="E1792" s="783" t="s">
        <v>5980</v>
      </c>
      <c r="F1792" s="783" t="s">
        <v>4011</v>
      </c>
      <c r="G1792" s="783" t="str">
        <f t="shared" si="95"/>
        <v>Renewal (25% in 2020)</v>
      </c>
      <c r="H1792" s="783" t="s">
        <v>5981</v>
      </c>
      <c r="I1792" s="783" t="s">
        <v>5982</v>
      </c>
      <c r="J1792" s="783">
        <v>25</v>
      </c>
      <c r="K1792" s="783" t="s">
        <v>162</v>
      </c>
      <c r="L1792" s="783" t="s">
        <v>4014</v>
      </c>
      <c r="M1792" s="784">
        <v>3533.58</v>
      </c>
      <c r="N1792" s="784">
        <v>6.7</v>
      </c>
      <c r="O1792" s="784">
        <v>2.93</v>
      </c>
      <c r="P1792" s="783">
        <v>180</v>
      </c>
      <c r="Q1792" s="783">
        <v>263.25</v>
      </c>
      <c r="R1792" s="783">
        <v>187.38</v>
      </c>
      <c r="S1792" s="783">
        <v>46.19</v>
      </c>
      <c r="T1792" s="783">
        <v>29.68</v>
      </c>
      <c r="U1792" s="785">
        <v>44655.504895833299</v>
      </c>
    </row>
    <row r="1793" spans="1:21">
      <c r="A1793" s="782">
        <v>44424</v>
      </c>
      <c r="B1793" s="783" t="s">
        <v>228</v>
      </c>
      <c r="C1793" s="783" t="s">
        <v>4020</v>
      </c>
      <c r="D1793" s="783" t="s">
        <v>4021</v>
      </c>
      <c r="E1793" s="783" t="s">
        <v>1026</v>
      </c>
      <c r="F1793" s="783" t="s">
        <v>4011</v>
      </c>
      <c r="G1793" s="783" t="str">
        <f t="shared" si="95"/>
        <v>Renewal (20% in 2020)</v>
      </c>
      <c r="H1793" s="783" t="s">
        <v>4242</v>
      </c>
      <c r="I1793" s="783" t="s">
        <v>4243</v>
      </c>
      <c r="J1793" s="783">
        <v>20</v>
      </c>
      <c r="K1793" s="783" t="s">
        <v>162</v>
      </c>
      <c r="L1793" s="783" t="s">
        <v>4014</v>
      </c>
      <c r="M1793" s="784">
        <v>1115.44</v>
      </c>
      <c r="N1793" s="784">
        <v>1.91</v>
      </c>
      <c r="O1793" s="784">
        <v>1.46</v>
      </c>
      <c r="P1793" s="783">
        <v>400</v>
      </c>
      <c r="Q1793" s="783">
        <v>140.55000000000001</v>
      </c>
      <c r="R1793" s="783">
        <v>42.08</v>
      </c>
      <c r="S1793" s="783">
        <v>75.040000000000006</v>
      </c>
      <c r="T1793" s="783">
        <v>23.42</v>
      </c>
      <c r="U1793" s="785">
        <v>44631.632581018501</v>
      </c>
    </row>
    <row r="1794" spans="1:21">
      <c r="A1794" s="782">
        <v>44454</v>
      </c>
      <c r="B1794" s="783" t="s">
        <v>74</v>
      </c>
      <c r="C1794" s="783" t="s">
        <v>4097</v>
      </c>
      <c r="D1794" s="783" t="s">
        <v>4038</v>
      </c>
      <c r="E1794" s="783" t="s">
        <v>204</v>
      </c>
      <c r="F1794" s="783" t="s">
        <v>4011</v>
      </c>
      <c r="G1794" s="783" t="str">
        <f t="shared" si="95"/>
        <v>Renewal (15% in 2020)</v>
      </c>
      <c r="H1794" s="783" t="s">
        <v>6181</v>
      </c>
      <c r="I1794" s="783" t="s">
        <v>6182</v>
      </c>
      <c r="J1794" s="783">
        <v>15</v>
      </c>
      <c r="K1794" s="783" t="s">
        <v>162</v>
      </c>
      <c r="L1794" s="783" t="s">
        <v>4014</v>
      </c>
      <c r="M1794" s="784">
        <v>3434.67</v>
      </c>
      <c r="N1794" s="784">
        <v>11.96</v>
      </c>
      <c r="O1794" s="784">
        <v>1.73</v>
      </c>
      <c r="P1794" s="783">
        <v>166</v>
      </c>
      <c r="Q1794" s="783">
        <v>494.59</v>
      </c>
      <c r="R1794" s="783">
        <v>265.16000000000003</v>
      </c>
      <c r="S1794" s="783">
        <v>41.22</v>
      </c>
      <c r="T1794" s="783">
        <v>188.22</v>
      </c>
      <c r="U1794" s="785">
        <v>44631.636203703703</v>
      </c>
    </row>
    <row r="1795" spans="1:21">
      <c r="A1795" s="782">
        <v>44553</v>
      </c>
      <c r="B1795" s="783" t="s">
        <v>177</v>
      </c>
      <c r="C1795" s="783" t="s">
        <v>4274</v>
      </c>
      <c r="D1795" s="783" t="s">
        <v>4038</v>
      </c>
      <c r="E1795" s="783" t="s">
        <v>6204</v>
      </c>
      <c r="F1795" s="783" t="s">
        <v>4011</v>
      </c>
      <c r="G1795" s="783" t="str">
        <f t="shared" si="95"/>
        <v>Renewal (25% in 2020)</v>
      </c>
      <c r="H1795" s="783" t="s">
        <v>6205</v>
      </c>
      <c r="I1795" s="783" t="s">
        <v>6206</v>
      </c>
      <c r="J1795" s="783">
        <v>25</v>
      </c>
      <c r="K1795" s="783" t="s">
        <v>162</v>
      </c>
      <c r="L1795" s="783" t="s">
        <v>4014</v>
      </c>
      <c r="M1795" s="784">
        <v>724.84</v>
      </c>
      <c r="N1795" s="784">
        <v>3.55</v>
      </c>
      <c r="O1795" s="784">
        <v>1.23</v>
      </c>
      <c r="P1795" s="783">
        <v>166</v>
      </c>
      <c r="Q1795" s="783">
        <v>100.03</v>
      </c>
      <c r="R1795" s="783">
        <v>64.66</v>
      </c>
      <c r="S1795" s="783">
        <v>17.18</v>
      </c>
      <c r="T1795" s="783">
        <v>18.190000000000001</v>
      </c>
      <c r="U1795" s="785">
        <v>44701.675810185203</v>
      </c>
    </row>
    <row r="1796" spans="1:21">
      <c r="A1796" s="782">
        <v>44558</v>
      </c>
      <c r="B1796" s="783" t="s">
        <v>74</v>
      </c>
      <c r="C1796" s="783" t="s">
        <v>4037</v>
      </c>
      <c r="D1796" s="783" t="s">
        <v>4038</v>
      </c>
      <c r="E1796" s="783" t="s">
        <v>4452</v>
      </c>
      <c r="F1796" s="783" t="s">
        <v>4011</v>
      </c>
      <c r="G1796" s="783" t="str">
        <f t="shared" si="95"/>
        <v>Renewal (20% in 2020)</v>
      </c>
      <c r="H1796" s="783" t="s">
        <v>4453</v>
      </c>
      <c r="I1796" s="783" t="s">
        <v>4454</v>
      </c>
      <c r="J1796" s="783">
        <v>25</v>
      </c>
      <c r="K1796" s="783" t="s">
        <v>162</v>
      </c>
      <c r="L1796" s="783" t="s">
        <v>4014</v>
      </c>
      <c r="M1796" s="784">
        <v>1071</v>
      </c>
      <c r="N1796" s="784">
        <v>2</v>
      </c>
      <c r="O1796" s="784">
        <v>1.53</v>
      </c>
      <c r="P1796" s="783">
        <v>350</v>
      </c>
      <c r="Q1796" s="783">
        <v>154.22</v>
      </c>
      <c r="R1796" s="783">
        <v>50.19</v>
      </c>
      <c r="S1796" s="783">
        <v>72.44</v>
      </c>
      <c r="T1796" s="783">
        <v>31.59</v>
      </c>
      <c r="U1796" s="785">
        <v>44631.637083333299</v>
      </c>
    </row>
    <row r="1797" spans="1:21">
      <c r="A1797" s="782">
        <v>44553</v>
      </c>
      <c r="B1797" s="783" t="s">
        <v>41</v>
      </c>
      <c r="C1797" s="783" t="s">
        <v>4092</v>
      </c>
      <c r="D1797" s="783" t="s">
        <v>4009</v>
      </c>
      <c r="E1797" s="783" t="s">
        <v>6230</v>
      </c>
      <c r="F1797" s="783" t="s">
        <v>4011</v>
      </c>
      <c r="G1797" s="783" t="str">
        <f t="shared" si="95"/>
        <v>Renewal (30% in 2020)</v>
      </c>
      <c r="H1797" s="783" t="s">
        <v>6231</v>
      </c>
      <c r="I1797" s="783" t="s">
        <v>6232</v>
      </c>
      <c r="J1797" s="783">
        <v>30</v>
      </c>
      <c r="K1797" s="783" t="s">
        <v>162</v>
      </c>
      <c r="L1797" s="783" t="s">
        <v>4014</v>
      </c>
      <c r="M1797" s="784">
        <v>13885.44</v>
      </c>
      <c r="N1797" s="784">
        <v>16.8</v>
      </c>
      <c r="O1797" s="784">
        <v>3.83</v>
      </c>
      <c r="P1797" s="783">
        <v>215.8</v>
      </c>
      <c r="Q1797" s="783">
        <v>1327.45</v>
      </c>
      <c r="R1797" s="783">
        <v>901.49</v>
      </c>
      <c r="S1797" s="783">
        <v>270.45</v>
      </c>
      <c r="T1797" s="783">
        <v>155.52000000000001</v>
      </c>
      <c r="U1797" s="785">
        <v>44631.637083333299</v>
      </c>
    </row>
    <row r="1798" spans="1:21">
      <c r="A1798" s="782">
        <v>44452</v>
      </c>
      <c r="B1798" s="783" t="s">
        <v>228</v>
      </c>
      <c r="C1798" s="783" t="s">
        <v>4192</v>
      </c>
      <c r="D1798" s="783" t="s">
        <v>4193</v>
      </c>
      <c r="E1798" s="783" t="s">
        <v>6241</v>
      </c>
      <c r="F1798" s="783" t="s">
        <v>4011</v>
      </c>
      <c r="G1798" s="783" t="str">
        <f t="shared" si="95"/>
        <v>Renewal (20% in 2020)</v>
      </c>
      <c r="H1798" s="783" t="s">
        <v>6242</v>
      </c>
      <c r="I1798" s="783" t="s">
        <v>6243</v>
      </c>
      <c r="J1798" s="783">
        <v>20</v>
      </c>
      <c r="K1798" s="783" t="s">
        <v>162</v>
      </c>
      <c r="L1798" s="783" t="s">
        <v>4014</v>
      </c>
      <c r="M1798" s="784">
        <v>6953.8</v>
      </c>
      <c r="N1798" s="784">
        <v>20.77</v>
      </c>
      <c r="O1798" s="784">
        <v>1.86</v>
      </c>
      <c r="P1798" s="783">
        <v>180</v>
      </c>
      <c r="Q1798" s="783">
        <v>828.2</v>
      </c>
      <c r="R1798" s="783">
        <v>451.47</v>
      </c>
      <c r="S1798" s="783">
        <v>113.18</v>
      </c>
      <c r="T1798" s="783">
        <v>263.55</v>
      </c>
      <c r="U1798" s="785">
        <v>44631.6335300926</v>
      </c>
    </row>
    <row r="1799" spans="1:21">
      <c r="A1799" s="782">
        <v>44480</v>
      </c>
      <c r="B1799" s="783" t="s">
        <v>74</v>
      </c>
      <c r="C1799" s="783" t="s">
        <v>4097</v>
      </c>
      <c r="D1799" s="783" t="s">
        <v>4038</v>
      </c>
      <c r="E1799" s="783" t="s">
        <v>4464</v>
      </c>
      <c r="F1799" s="783" t="s">
        <v>4011</v>
      </c>
      <c r="G1799" s="783" t="str">
        <f t="shared" si="95"/>
        <v>Renewal (15% in 2020)</v>
      </c>
      <c r="H1799" s="783" t="s">
        <v>4465</v>
      </c>
      <c r="I1799" s="783" t="s">
        <v>4466</v>
      </c>
      <c r="J1799" s="783">
        <v>15</v>
      </c>
      <c r="K1799" s="783" t="s">
        <v>162</v>
      </c>
      <c r="L1799" s="783" t="s">
        <v>4014</v>
      </c>
      <c r="M1799" s="784">
        <v>3832.44</v>
      </c>
      <c r="N1799" s="784">
        <v>8.99</v>
      </c>
      <c r="O1799" s="784">
        <v>2.0299999999999998</v>
      </c>
      <c r="P1799" s="783">
        <v>210</v>
      </c>
      <c r="Q1799" s="783">
        <v>551.87</v>
      </c>
      <c r="R1799" s="783">
        <v>233.87</v>
      </c>
      <c r="S1799" s="783">
        <v>107.98</v>
      </c>
      <c r="T1799" s="783">
        <v>210.02</v>
      </c>
      <c r="U1799" s="785">
        <v>44631.637326388904</v>
      </c>
    </row>
    <row r="1800" spans="1:21">
      <c r="A1800" s="782">
        <v>44482</v>
      </c>
      <c r="B1800" s="783" t="s">
        <v>41</v>
      </c>
      <c r="C1800" s="783" t="s">
        <v>4139</v>
      </c>
      <c r="D1800" s="783" t="s">
        <v>4009</v>
      </c>
      <c r="E1800" s="783" t="s">
        <v>6284</v>
      </c>
      <c r="F1800" s="783" t="s">
        <v>4011</v>
      </c>
      <c r="G1800" s="783" t="str">
        <f t="shared" si="95"/>
        <v>Renewal (30% in 2020)</v>
      </c>
      <c r="H1800" s="783" t="s">
        <v>6285</v>
      </c>
      <c r="I1800" s="783" t="s">
        <v>6286</v>
      </c>
      <c r="J1800" s="783">
        <v>25</v>
      </c>
      <c r="K1800" s="783" t="s">
        <v>162</v>
      </c>
      <c r="L1800" s="783" t="s">
        <v>4014</v>
      </c>
      <c r="M1800" s="784">
        <v>1617.8</v>
      </c>
      <c r="N1800" s="784">
        <v>4.3899999999999997</v>
      </c>
      <c r="O1800" s="784">
        <v>2.2200000000000002</v>
      </c>
      <c r="P1800" s="783">
        <v>166</v>
      </c>
      <c r="Q1800" s="783">
        <v>132.66</v>
      </c>
      <c r="R1800" s="783">
        <v>103.86</v>
      </c>
      <c r="S1800" s="783">
        <v>15.53</v>
      </c>
      <c r="T1800" s="783">
        <v>13.27</v>
      </c>
      <c r="U1800" s="785">
        <v>44631.637476851902</v>
      </c>
    </row>
    <row r="1801" spans="1:21">
      <c r="A1801" s="782">
        <v>44522</v>
      </c>
      <c r="B1801" s="783" t="s">
        <v>41</v>
      </c>
      <c r="C1801" s="783" t="s">
        <v>4008</v>
      </c>
      <c r="D1801" s="783" t="s">
        <v>4009</v>
      </c>
      <c r="E1801" s="783" t="s">
        <v>6287</v>
      </c>
      <c r="F1801" s="783" t="s">
        <v>4011</v>
      </c>
      <c r="G1801" s="783" t="str">
        <f t="shared" si="95"/>
        <v>Renewal (15% in 2020)</v>
      </c>
      <c r="H1801" s="783" t="s">
        <v>6288</v>
      </c>
      <c r="I1801" s="783" t="s">
        <v>6289</v>
      </c>
      <c r="J1801" s="783">
        <v>15</v>
      </c>
      <c r="K1801" s="783" t="s">
        <v>162</v>
      </c>
      <c r="L1801" s="783" t="s">
        <v>4014</v>
      </c>
      <c r="M1801" s="784">
        <v>430.92</v>
      </c>
      <c r="N1801" s="784">
        <v>1.8</v>
      </c>
      <c r="O1801" s="784">
        <v>1.33</v>
      </c>
      <c r="P1801" s="783">
        <v>180</v>
      </c>
      <c r="Q1801" s="783">
        <v>80.150000000000006</v>
      </c>
      <c r="R1801" s="783">
        <v>31.79</v>
      </c>
      <c r="S1801" s="783">
        <v>8.02</v>
      </c>
      <c r="T1801" s="783">
        <v>40.33</v>
      </c>
      <c r="U1801" s="785">
        <v>44631.637546296297</v>
      </c>
    </row>
    <row r="1802" spans="1:21">
      <c r="A1802" s="782">
        <v>44487</v>
      </c>
      <c r="B1802" s="783" t="s">
        <v>74</v>
      </c>
      <c r="C1802" s="783" t="s">
        <v>4097</v>
      </c>
      <c r="D1802" s="783" t="s">
        <v>4038</v>
      </c>
      <c r="E1802" s="783" t="s">
        <v>6293</v>
      </c>
      <c r="F1802" s="783" t="s">
        <v>4011</v>
      </c>
      <c r="G1802" s="783" t="str">
        <f t="shared" si="95"/>
        <v>Renewal (25% in 2020)</v>
      </c>
      <c r="H1802" s="783" t="s">
        <v>6294</v>
      </c>
      <c r="I1802" s="783" t="s">
        <v>6295</v>
      </c>
      <c r="J1802" s="783">
        <v>25</v>
      </c>
      <c r="K1802" s="783" t="s">
        <v>162</v>
      </c>
      <c r="L1802" s="783" t="s">
        <v>4014</v>
      </c>
      <c r="M1802" s="784">
        <v>3129.12</v>
      </c>
      <c r="N1802" s="784">
        <v>10.6</v>
      </c>
      <c r="O1802" s="784">
        <v>1.64</v>
      </c>
      <c r="P1802" s="783">
        <v>180</v>
      </c>
      <c r="Q1802" s="783">
        <v>335.44</v>
      </c>
      <c r="R1802" s="783">
        <v>222.78</v>
      </c>
      <c r="S1802" s="783">
        <v>56.34</v>
      </c>
      <c r="T1802" s="783">
        <v>56.32</v>
      </c>
      <c r="U1802" s="785">
        <v>44631.637638888897</v>
      </c>
    </row>
    <row r="1803" spans="1:21">
      <c r="A1803" s="782">
        <v>44519</v>
      </c>
      <c r="B1803" s="783" t="s">
        <v>41</v>
      </c>
      <c r="C1803" s="783" t="s">
        <v>4139</v>
      </c>
      <c r="D1803" s="783" t="s">
        <v>4009</v>
      </c>
      <c r="E1803" s="783" t="s">
        <v>6337</v>
      </c>
      <c r="F1803" s="783" t="s">
        <v>4011</v>
      </c>
      <c r="G1803" s="783" t="str">
        <f t="shared" si="95"/>
        <v>Renewal (20% in 2020)</v>
      </c>
      <c r="H1803" s="783" t="s">
        <v>6338</v>
      </c>
      <c r="I1803" s="783" t="s">
        <v>6339</v>
      </c>
      <c r="J1803" s="783">
        <v>20</v>
      </c>
      <c r="K1803" s="783" t="s">
        <v>162</v>
      </c>
      <c r="L1803" s="783" t="s">
        <v>4014</v>
      </c>
      <c r="M1803" s="784">
        <v>6120</v>
      </c>
      <c r="N1803" s="784">
        <v>10.199999999999999</v>
      </c>
      <c r="O1803" s="784">
        <v>3</v>
      </c>
      <c r="P1803" s="783">
        <v>200</v>
      </c>
      <c r="Q1803" s="783">
        <v>649.94000000000005</v>
      </c>
      <c r="R1803" s="783">
        <v>326.11</v>
      </c>
      <c r="S1803" s="783">
        <v>125.55</v>
      </c>
      <c r="T1803" s="783">
        <v>198.29</v>
      </c>
      <c r="U1803" s="785">
        <v>44631.6378819444</v>
      </c>
    </row>
    <row r="1804" spans="1:21">
      <c r="A1804" s="782">
        <v>44692</v>
      </c>
      <c r="B1804" s="783" t="s">
        <v>47</v>
      </c>
      <c r="C1804" s="783" t="s">
        <v>4101</v>
      </c>
      <c r="D1804" s="783" t="s">
        <v>4102</v>
      </c>
      <c r="E1804" s="783" t="s">
        <v>4103</v>
      </c>
      <c r="F1804" s="783" t="s">
        <v>4011</v>
      </c>
      <c r="G1804" s="783" t="str">
        <f t="shared" si="95"/>
        <v>Renewal (15% in 2020)</v>
      </c>
      <c r="H1804" s="783" t="s">
        <v>4104</v>
      </c>
      <c r="I1804" s="783" t="s">
        <v>4105</v>
      </c>
      <c r="J1804" s="783">
        <v>20</v>
      </c>
      <c r="K1804" s="783" t="s">
        <v>250</v>
      </c>
      <c r="L1804" s="783" t="s">
        <v>4014</v>
      </c>
      <c r="M1804" s="784">
        <v>12103</v>
      </c>
      <c r="N1804" s="784">
        <v>18.2</v>
      </c>
      <c r="O1804" s="784">
        <v>1.9</v>
      </c>
      <c r="P1804" s="783">
        <v>350</v>
      </c>
      <c r="Q1804" s="783">
        <v>1281.71</v>
      </c>
      <c r="R1804" s="783">
        <v>688.42</v>
      </c>
      <c r="S1804" s="783">
        <v>191.47</v>
      </c>
      <c r="T1804" s="783">
        <v>401.82</v>
      </c>
      <c r="U1804" s="785">
        <v>44692.516574074099</v>
      </c>
    </row>
    <row r="1805" spans="1:21">
      <c r="A1805" s="782">
        <v>44697</v>
      </c>
      <c r="B1805" s="783" t="s">
        <v>65</v>
      </c>
      <c r="C1805" s="783" t="s">
        <v>4247</v>
      </c>
      <c r="D1805" s="783" t="s">
        <v>4248</v>
      </c>
      <c r="E1805" s="783" t="s">
        <v>1077</v>
      </c>
      <c r="F1805" s="783" t="s">
        <v>4011</v>
      </c>
      <c r="G1805" s="783" t="str">
        <f t="shared" si="95"/>
        <v>Renewal (20% in 2020)</v>
      </c>
      <c r="H1805" s="783" t="s">
        <v>6423</v>
      </c>
      <c r="I1805" s="783" t="s">
        <v>6424</v>
      </c>
      <c r="J1805" s="783">
        <v>20</v>
      </c>
      <c r="K1805" s="783" t="s">
        <v>250</v>
      </c>
      <c r="L1805" s="783" t="s">
        <v>4014</v>
      </c>
      <c r="M1805" s="784">
        <v>14309.22</v>
      </c>
      <c r="N1805" s="784">
        <v>28.23</v>
      </c>
      <c r="O1805" s="784">
        <v>1.28</v>
      </c>
      <c r="P1805" s="783">
        <v>396</v>
      </c>
      <c r="Q1805" s="783">
        <v>1983.26</v>
      </c>
      <c r="R1805" s="783">
        <v>1074.49</v>
      </c>
      <c r="S1805" s="783">
        <v>479.49</v>
      </c>
      <c r="T1805" s="783">
        <v>429.28</v>
      </c>
      <c r="U1805" s="785">
        <v>44698.4692476852</v>
      </c>
    </row>
    <row r="1806" spans="1:21">
      <c r="A1806" s="782">
        <v>44594</v>
      </c>
      <c r="B1806" s="783" t="s">
        <v>74</v>
      </c>
      <c r="C1806" s="783" t="s">
        <v>4037</v>
      </c>
      <c r="D1806" s="783" t="s">
        <v>4038</v>
      </c>
      <c r="E1806" s="783" t="s">
        <v>6629</v>
      </c>
      <c r="F1806" s="783" t="s">
        <v>4011</v>
      </c>
      <c r="G1806" s="783" t="str">
        <f t="shared" si="95"/>
        <v>New contract</v>
      </c>
      <c r="H1806" s="783" t="s">
        <v>6630</v>
      </c>
      <c r="I1806" s="783" t="s">
        <v>6631</v>
      </c>
      <c r="J1806" s="783">
        <v>15</v>
      </c>
      <c r="K1806" s="783" t="s">
        <v>250</v>
      </c>
      <c r="L1806" s="783" t="s">
        <v>4014</v>
      </c>
      <c r="M1806" s="784">
        <v>4340.7</v>
      </c>
      <c r="N1806" s="784">
        <v>13</v>
      </c>
      <c r="O1806" s="784">
        <v>1.06</v>
      </c>
      <c r="P1806" s="783">
        <v>315</v>
      </c>
      <c r="Q1806" s="783">
        <v>687.57</v>
      </c>
      <c r="R1806" s="783">
        <v>460.55</v>
      </c>
      <c r="S1806" s="783">
        <v>75.959999999999994</v>
      </c>
      <c r="T1806" s="783">
        <v>151.06</v>
      </c>
      <c r="U1806" s="785">
        <v>44631.629421296297</v>
      </c>
    </row>
    <row r="1807" spans="1:21">
      <c r="A1807" s="782">
        <v>44681</v>
      </c>
      <c r="B1807" s="783" t="s">
        <v>41</v>
      </c>
      <c r="C1807" s="783" t="s">
        <v>4071</v>
      </c>
      <c r="D1807" s="783" t="s">
        <v>4009</v>
      </c>
      <c r="E1807" s="783" t="s">
        <v>6477</v>
      </c>
      <c r="F1807" s="783" t="s">
        <v>4011</v>
      </c>
      <c r="G1807" s="783" t="str">
        <f t="shared" si="95"/>
        <v>Renewal (20% in 2020)</v>
      </c>
      <c r="H1807" s="783" t="s">
        <v>6478</v>
      </c>
      <c r="I1807" s="783" t="s">
        <v>6479</v>
      </c>
      <c r="J1807" s="783">
        <v>20</v>
      </c>
      <c r="K1807" s="783" t="s">
        <v>250</v>
      </c>
      <c r="L1807" s="783" t="s">
        <v>4014</v>
      </c>
      <c r="M1807" s="784">
        <v>6681.92</v>
      </c>
      <c r="N1807" s="784">
        <v>11.2</v>
      </c>
      <c r="O1807" s="784">
        <v>1.57</v>
      </c>
      <c r="P1807" s="783">
        <v>380</v>
      </c>
      <c r="Q1807" s="783">
        <v>751.72</v>
      </c>
      <c r="R1807" s="783">
        <v>376.1</v>
      </c>
      <c r="S1807" s="783">
        <v>145.09</v>
      </c>
      <c r="T1807" s="783">
        <v>230.53</v>
      </c>
      <c r="U1807" s="785">
        <v>44683.420405092598</v>
      </c>
    </row>
    <row r="1808" spans="1:21">
      <c r="A1808" s="782">
        <v>44679</v>
      </c>
      <c r="B1808" s="783" t="s">
        <v>74</v>
      </c>
      <c r="C1808" s="783" t="s">
        <v>4097</v>
      </c>
      <c r="D1808" s="783" t="s">
        <v>4038</v>
      </c>
      <c r="E1808" s="783" t="s">
        <v>6483</v>
      </c>
      <c r="F1808" s="783" t="s">
        <v>4011</v>
      </c>
      <c r="G1808" s="783" t="str">
        <f t="shared" si="95"/>
        <v>Renewal (25% in 2020)</v>
      </c>
      <c r="H1808" s="783" t="s">
        <v>6484</v>
      </c>
      <c r="I1808" s="783" t="s">
        <v>6485</v>
      </c>
      <c r="J1808" s="783">
        <v>25</v>
      </c>
      <c r="K1808" s="783" t="s">
        <v>250</v>
      </c>
      <c r="L1808" s="783" t="s">
        <v>4014</v>
      </c>
      <c r="M1808" s="784">
        <v>68724</v>
      </c>
      <c r="N1808" s="784">
        <v>83</v>
      </c>
      <c r="O1808" s="784">
        <v>2.0699999999999998</v>
      </c>
      <c r="P1808" s="783">
        <v>400</v>
      </c>
      <c r="Q1808" s="783">
        <v>8102.56</v>
      </c>
      <c r="R1808" s="783">
        <v>4594.8</v>
      </c>
      <c r="S1808" s="783">
        <v>2147.02</v>
      </c>
      <c r="T1808" s="783">
        <v>1360.74</v>
      </c>
      <c r="U1808" s="785">
        <v>44680.720347222203</v>
      </c>
    </row>
    <row r="1809" spans="1:21">
      <c r="A1809" s="782">
        <v>44713</v>
      </c>
      <c r="B1809" s="783" t="s">
        <v>65</v>
      </c>
      <c r="C1809" s="783" t="s">
        <v>4139</v>
      </c>
      <c r="D1809" s="783" t="s">
        <v>4009</v>
      </c>
      <c r="E1809" s="783" t="s">
        <v>6632</v>
      </c>
      <c r="F1809" s="783" t="s">
        <v>4011</v>
      </c>
      <c r="G1809" s="783" t="s">
        <v>4028</v>
      </c>
      <c r="H1809" s="783" t="s">
        <v>6633</v>
      </c>
      <c r="I1809" s="783" t="s">
        <v>6634</v>
      </c>
      <c r="J1809" s="783">
        <v>25</v>
      </c>
      <c r="K1809" s="783" t="s">
        <v>250</v>
      </c>
      <c r="L1809" s="783" t="s">
        <v>4014</v>
      </c>
      <c r="M1809" s="784">
        <v>7576.73</v>
      </c>
      <c r="N1809" s="784">
        <v>14.25</v>
      </c>
      <c r="O1809" s="784">
        <v>1.3</v>
      </c>
      <c r="P1809" s="783">
        <v>409</v>
      </c>
      <c r="Q1809" s="783">
        <v>683.42</v>
      </c>
      <c r="R1809" s="783">
        <v>411.39</v>
      </c>
      <c r="S1809" s="783">
        <v>200.81</v>
      </c>
      <c r="T1809" s="783">
        <v>71.22</v>
      </c>
      <c r="U1809" s="785">
        <v>44715.420486111099</v>
      </c>
    </row>
    <row r="1810" spans="1:21">
      <c r="A1810" s="782">
        <v>44713</v>
      </c>
      <c r="B1810" s="783" t="s">
        <v>65</v>
      </c>
      <c r="C1810" s="783" t="s">
        <v>4139</v>
      </c>
      <c r="D1810" s="783" t="s">
        <v>4009</v>
      </c>
      <c r="E1810" s="783" t="s">
        <v>6618</v>
      </c>
      <c r="F1810" s="783" t="s">
        <v>4011</v>
      </c>
      <c r="G1810" s="783" t="str">
        <f>VLOOKUP(I1810,pacage,2,FALSE)</f>
        <v>New contract</v>
      </c>
      <c r="H1810" s="783" t="s">
        <v>6619</v>
      </c>
      <c r="I1810" s="783" t="s">
        <v>6620</v>
      </c>
      <c r="J1810" s="783">
        <v>25</v>
      </c>
      <c r="K1810" s="783" t="s">
        <v>250</v>
      </c>
      <c r="L1810" s="783" t="s">
        <v>4014</v>
      </c>
      <c r="M1810" s="784">
        <v>80283.55</v>
      </c>
      <c r="N1810" s="784">
        <v>61.08</v>
      </c>
      <c r="O1810" s="784">
        <v>2.48</v>
      </c>
      <c r="P1810" s="783">
        <v>530</v>
      </c>
      <c r="Q1810" s="783">
        <v>7241.58</v>
      </c>
      <c r="R1810" s="783">
        <v>3363.96</v>
      </c>
      <c r="S1810" s="783">
        <v>3122.95</v>
      </c>
      <c r="T1810" s="783">
        <v>754.67</v>
      </c>
      <c r="U1810" s="785">
        <v>44715.429756944402</v>
      </c>
    </row>
    <row r="1811" spans="1:21">
      <c r="A1811" s="782">
        <v>44698</v>
      </c>
      <c r="B1811" s="783" t="s">
        <v>41</v>
      </c>
      <c r="C1811" s="783" t="s">
        <v>4071</v>
      </c>
      <c r="D1811" s="783" t="s">
        <v>4009</v>
      </c>
      <c r="E1811" s="783" t="s">
        <v>6495</v>
      </c>
      <c r="F1811" s="783" t="s">
        <v>4011</v>
      </c>
      <c r="G1811" s="783" t="str">
        <f>VLOOKUP(I1811,pacage,2,FALSE)</f>
        <v>Renewal (20% in 2020)</v>
      </c>
      <c r="H1811" s="783" t="s">
        <v>6496</v>
      </c>
      <c r="I1811" s="783" t="s">
        <v>6497</v>
      </c>
      <c r="J1811" s="783">
        <v>20</v>
      </c>
      <c r="K1811" s="783" t="s">
        <v>250</v>
      </c>
      <c r="L1811" s="783" t="s">
        <v>4014</v>
      </c>
      <c r="M1811" s="784">
        <v>250</v>
      </c>
      <c r="N1811" s="784">
        <v>0.25</v>
      </c>
      <c r="O1811" s="784">
        <v>2.5</v>
      </c>
      <c r="P1811" s="783">
        <v>400</v>
      </c>
      <c r="Q1811" s="783">
        <v>28.13</v>
      </c>
      <c r="R1811" s="783">
        <v>13.37</v>
      </c>
      <c r="S1811" s="783">
        <v>6.13</v>
      </c>
      <c r="T1811" s="783">
        <v>8.6300000000000008</v>
      </c>
      <c r="U1811" s="785">
        <v>44699.4859027778</v>
      </c>
    </row>
    <row r="1812" spans="1:21">
      <c r="A1812" s="782">
        <v>44644</v>
      </c>
      <c r="B1812" s="783" t="s">
        <v>65</v>
      </c>
      <c r="C1812" s="783" t="s">
        <v>4139</v>
      </c>
      <c r="D1812" s="783" t="s">
        <v>4009</v>
      </c>
      <c r="E1812" s="783" t="s">
        <v>6622</v>
      </c>
      <c r="F1812" s="783" t="s">
        <v>4011</v>
      </c>
      <c r="G1812" s="783" t="s">
        <v>4028</v>
      </c>
      <c r="H1812" s="783" t="s">
        <v>6623</v>
      </c>
      <c r="I1812" s="783" t="s">
        <v>6624</v>
      </c>
      <c r="J1812" s="783">
        <v>25</v>
      </c>
      <c r="K1812" s="783" t="s">
        <v>250</v>
      </c>
      <c r="L1812" s="783" t="s">
        <v>4014</v>
      </c>
      <c r="M1812" s="784">
        <v>1329.25</v>
      </c>
      <c r="N1812" s="784">
        <v>2.5</v>
      </c>
      <c r="O1812" s="784">
        <v>1.3</v>
      </c>
      <c r="P1812" s="783">
        <v>409</v>
      </c>
      <c r="Q1812" s="783">
        <v>119.9</v>
      </c>
      <c r="R1812" s="783">
        <v>72.17</v>
      </c>
      <c r="S1812" s="783">
        <v>35.229999999999997</v>
      </c>
      <c r="T1812" s="783">
        <v>12.49</v>
      </c>
      <c r="U1812" s="785">
        <v>44644.640833333302</v>
      </c>
    </row>
    <row r="1813" spans="1:21">
      <c r="A1813" s="782">
        <v>44522</v>
      </c>
      <c r="B1813" s="783" t="s">
        <v>1258</v>
      </c>
      <c r="C1813" s="783" t="s">
        <v>4192</v>
      </c>
      <c r="D1813" s="783" t="s">
        <v>4193</v>
      </c>
      <c r="E1813" s="783" t="s">
        <v>6635</v>
      </c>
      <c r="F1813" s="783" t="s">
        <v>4011</v>
      </c>
      <c r="G1813" s="783" t="str">
        <f>VLOOKUP(I1813,pacage,2,FALSE)</f>
        <v>New Contract</v>
      </c>
      <c r="H1813" s="783" t="s">
        <v>6636</v>
      </c>
      <c r="I1813" s="783" t="s">
        <v>6637</v>
      </c>
      <c r="J1813" s="783">
        <v>15</v>
      </c>
      <c r="K1813" s="783" t="s">
        <v>250</v>
      </c>
      <c r="L1813" s="783" t="s">
        <v>4014</v>
      </c>
      <c r="M1813" s="784">
        <v>9909.76</v>
      </c>
      <c r="N1813" s="784">
        <v>12.64</v>
      </c>
      <c r="O1813" s="784">
        <v>2.2400000000000002</v>
      </c>
      <c r="P1813" s="783">
        <v>350</v>
      </c>
      <c r="Q1813" s="783">
        <v>1438.9</v>
      </c>
      <c r="R1813" s="783">
        <v>690.31</v>
      </c>
      <c r="S1813" s="783">
        <v>193.64</v>
      </c>
      <c r="T1813" s="783">
        <v>554.95000000000005</v>
      </c>
      <c r="U1813" s="785">
        <v>44631.633043981499</v>
      </c>
    </row>
    <row r="1814" spans="1:21">
      <c r="A1814" s="782">
        <v>44557</v>
      </c>
      <c r="B1814" s="783" t="s">
        <v>30</v>
      </c>
      <c r="C1814" s="783" t="s">
        <v>4089</v>
      </c>
      <c r="D1814" s="783" t="s">
        <v>4021</v>
      </c>
      <c r="E1814" s="783" t="s">
        <v>3187</v>
      </c>
      <c r="F1814" s="783" t="s">
        <v>4011</v>
      </c>
      <c r="G1814" s="783" t="s">
        <v>4028</v>
      </c>
      <c r="H1814" s="783" t="s">
        <v>4090</v>
      </c>
      <c r="I1814" s="783" t="s">
        <v>4091</v>
      </c>
      <c r="J1814" s="783">
        <v>20</v>
      </c>
      <c r="K1814" s="783" t="s">
        <v>250</v>
      </c>
      <c r="L1814" s="783" t="s">
        <v>4014</v>
      </c>
      <c r="M1814" s="784">
        <v>20724.259999999998</v>
      </c>
      <c r="N1814" s="784">
        <v>13.83</v>
      </c>
      <c r="O1814" s="784">
        <v>3.33</v>
      </c>
      <c r="P1814" s="783">
        <v>450</v>
      </c>
      <c r="Q1814" s="783">
        <v>2872.38</v>
      </c>
      <c r="R1814" s="783">
        <v>1162.01</v>
      </c>
      <c r="S1814" s="783">
        <v>754.98</v>
      </c>
      <c r="T1814" s="783">
        <v>955.39</v>
      </c>
      <c r="U1814" s="785">
        <v>44631.637025463002</v>
      </c>
    </row>
    <row r="1815" spans="1:21">
      <c r="A1815" s="782">
        <v>44529</v>
      </c>
      <c r="B1815" s="783" t="s">
        <v>41</v>
      </c>
      <c r="C1815" s="783" t="s">
        <v>4139</v>
      </c>
      <c r="D1815" s="783" t="s">
        <v>4009</v>
      </c>
      <c r="E1815" s="783" t="s">
        <v>4202</v>
      </c>
      <c r="F1815" s="783" t="s">
        <v>4011</v>
      </c>
      <c r="G1815" s="783" t="str">
        <f t="shared" ref="G1815:G1824" si="96">VLOOKUP(I1815,pacage,2,FALSE)</f>
        <v>Renewal (15% in 2020)</v>
      </c>
      <c r="H1815" s="783" t="s">
        <v>4203</v>
      </c>
      <c r="I1815" s="783" t="s">
        <v>4204</v>
      </c>
      <c r="J1815" s="783">
        <v>15</v>
      </c>
      <c r="K1815" s="783" t="s">
        <v>6638</v>
      </c>
      <c r="L1815" s="783" t="s">
        <v>4014</v>
      </c>
      <c r="M1815" s="784">
        <v>7574.58</v>
      </c>
      <c r="N1815" s="784">
        <v>7.02</v>
      </c>
      <c r="O1815" s="784">
        <v>5</v>
      </c>
      <c r="P1815" s="783">
        <v>215.8</v>
      </c>
      <c r="Q1815" s="783">
        <v>1077.1099999999999</v>
      </c>
      <c r="R1815" s="783">
        <v>374.07</v>
      </c>
      <c r="S1815" s="783">
        <v>184.94</v>
      </c>
      <c r="T1815" s="783">
        <v>518.1</v>
      </c>
      <c r="U1815" s="785">
        <v>44631.632881944402</v>
      </c>
    </row>
    <row r="1816" spans="1:21">
      <c r="A1816" s="782">
        <v>44665</v>
      </c>
      <c r="B1816" s="783" t="s">
        <v>113</v>
      </c>
      <c r="C1816" s="783" t="s">
        <v>4606</v>
      </c>
      <c r="D1816" s="783" t="s">
        <v>4009</v>
      </c>
      <c r="E1816" s="783" t="s">
        <v>6639</v>
      </c>
      <c r="F1816" s="783" t="s">
        <v>4011</v>
      </c>
      <c r="G1816" s="783" t="str">
        <f t="shared" si="96"/>
        <v>Renewal (25% in 2020)</v>
      </c>
      <c r="H1816" s="783" t="s">
        <v>6640</v>
      </c>
      <c r="I1816" s="783" t="s">
        <v>6641</v>
      </c>
      <c r="J1816" s="783">
        <v>25</v>
      </c>
      <c r="K1816" s="783" t="s">
        <v>6642</v>
      </c>
      <c r="L1816" s="783" t="s">
        <v>4014</v>
      </c>
      <c r="M1816" s="784">
        <v>50553</v>
      </c>
      <c r="N1816" s="784">
        <v>12.33</v>
      </c>
      <c r="O1816" s="784">
        <v>10</v>
      </c>
      <c r="P1816" s="783">
        <v>410</v>
      </c>
      <c r="Q1816" s="783">
        <v>6132.08</v>
      </c>
      <c r="R1816" s="783">
        <v>4281.84</v>
      </c>
      <c r="S1816" s="783">
        <v>682.47</v>
      </c>
      <c r="T1816" s="783">
        <v>1167.77</v>
      </c>
      <c r="U1816" s="785">
        <v>44665.673333333303</v>
      </c>
    </row>
    <row r="1817" spans="1:21">
      <c r="A1817" s="782">
        <v>44574</v>
      </c>
      <c r="B1817" s="783" t="s">
        <v>41</v>
      </c>
      <c r="C1817" s="783" t="s">
        <v>4082</v>
      </c>
      <c r="D1817" s="783" t="s">
        <v>4009</v>
      </c>
      <c r="E1817" s="783" t="s">
        <v>3825</v>
      </c>
      <c r="F1817" s="783" t="s">
        <v>4011</v>
      </c>
      <c r="G1817" s="783" t="str">
        <f t="shared" si="96"/>
        <v>Renewal (15% in 2020)</v>
      </c>
      <c r="H1817" s="783" t="s">
        <v>4879</v>
      </c>
      <c r="I1817" s="783" t="s">
        <v>4880</v>
      </c>
      <c r="J1817" s="783">
        <v>15</v>
      </c>
      <c r="K1817" s="783" t="s">
        <v>550</v>
      </c>
      <c r="L1817" s="783" t="s">
        <v>4014</v>
      </c>
      <c r="M1817" s="784">
        <v>6839.71</v>
      </c>
      <c r="N1817" s="784">
        <v>7.62</v>
      </c>
      <c r="O1817" s="784">
        <v>1.7</v>
      </c>
      <c r="P1817" s="783">
        <v>528</v>
      </c>
      <c r="Q1817" s="783">
        <v>1236.6199999999999</v>
      </c>
      <c r="R1817" s="783">
        <v>545.13</v>
      </c>
      <c r="S1817" s="783">
        <v>95.76</v>
      </c>
      <c r="T1817" s="783">
        <v>595.74</v>
      </c>
      <c r="U1817" s="785">
        <v>44701.658900463</v>
      </c>
    </row>
    <row r="1818" spans="1:21">
      <c r="A1818" s="782">
        <v>44693</v>
      </c>
      <c r="B1818" s="783" t="s">
        <v>34</v>
      </c>
      <c r="C1818" s="783" t="s">
        <v>4139</v>
      </c>
      <c r="D1818" s="783" t="s">
        <v>4009</v>
      </c>
      <c r="E1818" s="783" t="s">
        <v>4544</v>
      </c>
      <c r="F1818" s="783" t="s">
        <v>4011</v>
      </c>
      <c r="G1818" s="783" t="str">
        <f t="shared" si="96"/>
        <v>Renewal (30% in 2020)</v>
      </c>
      <c r="H1818" s="783" t="s">
        <v>4545</v>
      </c>
      <c r="I1818" s="783" t="s">
        <v>4546</v>
      </c>
      <c r="J1818" s="783">
        <v>30</v>
      </c>
      <c r="K1818" s="783" t="s">
        <v>550</v>
      </c>
      <c r="L1818" s="783" t="s">
        <v>4014</v>
      </c>
      <c r="M1818" s="784">
        <v>4296.6000000000004</v>
      </c>
      <c r="N1818" s="784">
        <v>5.25</v>
      </c>
      <c r="O1818" s="784">
        <v>1.55</v>
      </c>
      <c r="P1818" s="783">
        <v>528</v>
      </c>
      <c r="Q1818" s="783">
        <v>311.07</v>
      </c>
      <c r="R1818" s="783">
        <v>275.83999999999997</v>
      </c>
      <c r="S1818" s="783">
        <v>0</v>
      </c>
      <c r="T1818" s="783">
        <v>35.229999999999997</v>
      </c>
      <c r="U1818" s="785">
        <v>44693.603553240697</v>
      </c>
    </row>
    <row r="1819" spans="1:21">
      <c r="A1819" s="782">
        <v>44704</v>
      </c>
      <c r="B1819" s="783" t="s">
        <v>41</v>
      </c>
      <c r="C1819" s="783" t="s">
        <v>4139</v>
      </c>
      <c r="D1819" s="783" t="s">
        <v>4009</v>
      </c>
      <c r="E1819" s="783" t="s">
        <v>5081</v>
      </c>
      <c r="F1819" s="783" t="s">
        <v>4011</v>
      </c>
      <c r="G1819" s="783" t="str">
        <f t="shared" si="96"/>
        <v>Renewal (30% in 2020)</v>
      </c>
      <c r="H1819" s="783" t="s">
        <v>5082</v>
      </c>
      <c r="I1819" s="783" t="s">
        <v>5083</v>
      </c>
      <c r="J1819" s="783">
        <v>30</v>
      </c>
      <c r="K1819" s="783" t="s">
        <v>550</v>
      </c>
      <c r="L1819" s="783" t="s">
        <v>4014</v>
      </c>
      <c r="M1819" s="784">
        <v>3241.2</v>
      </c>
      <c r="N1819" s="784">
        <v>7.3</v>
      </c>
      <c r="O1819" s="784">
        <v>1.1100000000000001</v>
      </c>
      <c r="P1819" s="783">
        <v>400</v>
      </c>
      <c r="Q1819" s="783">
        <v>234.66</v>
      </c>
      <c r="R1819" s="783">
        <v>208.09</v>
      </c>
      <c r="S1819" s="783">
        <v>0</v>
      </c>
      <c r="T1819" s="783">
        <v>26.58</v>
      </c>
      <c r="U1819" s="785">
        <v>44704.632754629602</v>
      </c>
    </row>
    <row r="1820" spans="1:21">
      <c r="A1820" s="782">
        <v>44687</v>
      </c>
      <c r="B1820" s="783" t="s">
        <v>228</v>
      </c>
      <c r="C1820" s="783" t="s">
        <v>4247</v>
      </c>
      <c r="D1820" s="783" t="s">
        <v>4248</v>
      </c>
      <c r="E1820" s="783" t="s">
        <v>3566</v>
      </c>
      <c r="F1820" s="783" t="s">
        <v>4011</v>
      </c>
      <c r="G1820" s="783" t="str">
        <f t="shared" si="96"/>
        <v>Renewal (25% in 2020)</v>
      </c>
      <c r="H1820" s="783" t="s">
        <v>4249</v>
      </c>
      <c r="I1820" s="783" t="s">
        <v>4250</v>
      </c>
      <c r="J1820" s="783">
        <v>25</v>
      </c>
      <c r="K1820" s="783" t="s">
        <v>550</v>
      </c>
      <c r="L1820" s="783" t="s">
        <v>4014</v>
      </c>
      <c r="M1820" s="784">
        <v>7803.38</v>
      </c>
      <c r="N1820" s="784">
        <v>11.06</v>
      </c>
      <c r="O1820" s="784">
        <v>1.03</v>
      </c>
      <c r="P1820" s="783">
        <v>685</v>
      </c>
      <c r="Q1820" s="783">
        <v>908.31</v>
      </c>
      <c r="R1820" s="783">
        <v>540.14</v>
      </c>
      <c r="S1820" s="783">
        <v>265.17</v>
      </c>
      <c r="T1820" s="783">
        <v>103</v>
      </c>
      <c r="U1820" s="785">
        <v>44687.6709722222</v>
      </c>
    </row>
    <row r="1821" spans="1:21">
      <c r="A1821" s="782">
        <v>44705</v>
      </c>
      <c r="B1821" s="783" t="s">
        <v>4025</v>
      </c>
      <c r="C1821" s="783" t="s">
        <v>4026</v>
      </c>
      <c r="D1821" s="783" t="s">
        <v>4021</v>
      </c>
      <c r="E1821" s="783" t="s">
        <v>5257</v>
      </c>
      <c r="F1821" s="783" t="s">
        <v>4011</v>
      </c>
      <c r="G1821" s="783" t="str">
        <f t="shared" si="96"/>
        <v>New Contract</v>
      </c>
      <c r="H1821" s="783" t="s">
        <v>5258</v>
      </c>
      <c r="I1821" s="783" t="s">
        <v>5259</v>
      </c>
      <c r="J1821" s="783">
        <v>15</v>
      </c>
      <c r="K1821" s="783" t="s">
        <v>550</v>
      </c>
      <c r="L1821" s="783" t="s">
        <v>4014</v>
      </c>
      <c r="M1821" s="784">
        <v>2889.25</v>
      </c>
      <c r="N1821" s="784">
        <v>3.5</v>
      </c>
      <c r="O1821" s="784">
        <v>1.27</v>
      </c>
      <c r="P1821" s="783">
        <v>650</v>
      </c>
      <c r="Q1821" s="783">
        <v>364.05</v>
      </c>
      <c r="R1821" s="783">
        <v>194.56</v>
      </c>
      <c r="S1821" s="783">
        <v>83.38</v>
      </c>
      <c r="T1821" s="783">
        <v>86.1</v>
      </c>
      <c r="U1821" s="785">
        <v>44708.986585648097</v>
      </c>
    </row>
    <row r="1822" spans="1:21">
      <c r="A1822" s="782">
        <v>44690</v>
      </c>
      <c r="B1822" s="783" t="s">
        <v>41</v>
      </c>
      <c r="C1822" s="783" t="s">
        <v>4121</v>
      </c>
      <c r="D1822" s="783" t="s">
        <v>4009</v>
      </c>
      <c r="E1822" s="783" t="s">
        <v>4122</v>
      </c>
      <c r="F1822" s="783" t="s">
        <v>4011</v>
      </c>
      <c r="G1822" s="783" t="str">
        <f t="shared" si="96"/>
        <v>Renewal (20% in 2020)</v>
      </c>
      <c r="H1822" s="783" t="s">
        <v>4123</v>
      </c>
      <c r="I1822" s="783" t="s">
        <v>4124</v>
      </c>
      <c r="J1822" s="783">
        <v>20</v>
      </c>
      <c r="K1822" s="783" t="s">
        <v>550</v>
      </c>
      <c r="L1822" s="783" t="s">
        <v>4014</v>
      </c>
      <c r="M1822" s="784">
        <v>2640</v>
      </c>
      <c r="N1822" s="784">
        <v>5</v>
      </c>
      <c r="O1822" s="784">
        <v>1</v>
      </c>
      <c r="P1822" s="783">
        <v>528</v>
      </c>
      <c r="Q1822" s="783">
        <v>321.29000000000002</v>
      </c>
      <c r="R1822" s="783">
        <v>188.23</v>
      </c>
      <c r="S1822" s="783">
        <v>28.51</v>
      </c>
      <c r="T1822" s="783">
        <v>104.54</v>
      </c>
      <c r="U1822" s="785">
        <v>44690.676423611098</v>
      </c>
    </row>
    <row r="1823" spans="1:21">
      <c r="A1823" s="782">
        <v>44676</v>
      </c>
      <c r="B1823" s="783" t="s">
        <v>34</v>
      </c>
      <c r="C1823" s="783" t="s">
        <v>4139</v>
      </c>
      <c r="D1823" s="783" t="s">
        <v>4009</v>
      </c>
      <c r="E1823" s="783" t="s">
        <v>5288</v>
      </c>
      <c r="F1823" s="783" t="s">
        <v>4011</v>
      </c>
      <c r="G1823" s="783" t="str">
        <f t="shared" si="96"/>
        <v>Renewal (15% in 2020)</v>
      </c>
      <c r="H1823" s="783" t="s">
        <v>5289</v>
      </c>
      <c r="I1823" s="783" t="s">
        <v>5290</v>
      </c>
      <c r="J1823" s="783">
        <v>15</v>
      </c>
      <c r="K1823" s="783" t="s">
        <v>550</v>
      </c>
      <c r="L1823" s="783" t="s">
        <v>4014</v>
      </c>
      <c r="M1823" s="784">
        <v>2119.92</v>
      </c>
      <c r="N1823" s="784">
        <v>3.65</v>
      </c>
      <c r="O1823" s="784">
        <v>1.1000000000000001</v>
      </c>
      <c r="P1823" s="783">
        <v>528</v>
      </c>
      <c r="Q1823" s="783">
        <v>301.45</v>
      </c>
      <c r="R1823" s="783">
        <v>136.1</v>
      </c>
      <c r="S1823" s="783">
        <v>20.350000000000001</v>
      </c>
      <c r="T1823" s="783">
        <v>145</v>
      </c>
      <c r="U1823" s="785">
        <v>44676.723761574103</v>
      </c>
    </row>
    <row r="1824" spans="1:21">
      <c r="A1824" s="782">
        <v>44711</v>
      </c>
      <c r="B1824" s="783" t="s">
        <v>41</v>
      </c>
      <c r="C1824" s="783" t="s">
        <v>4139</v>
      </c>
      <c r="D1824" s="783" t="s">
        <v>4009</v>
      </c>
      <c r="E1824" s="783" t="s">
        <v>549</v>
      </c>
      <c r="F1824" s="783" t="s">
        <v>4011</v>
      </c>
      <c r="G1824" s="783" t="str">
        <f t="shared" si="96"/>
        <v>Renewal (25% in 2020)</v>
      </c>
      <c r="H1824" s="783" t="s">
        <v>5626</v>
      </c>
      <c r="I1824" s="783" t="s">
        <v>5627</v>
      </c>
      <c r="J1824" s="783">
        <v>25</v>
      </c>
      <c r="K1824" s="783" t="s">
        <v>550</v>
      </c>
      <c r="L1824" s="783" t="s">
        <v>4014</v>
      </c>
      <c r="M1824" s="784">
        <v>3164.04</v>
      </c>
      <c r="N1824" s="784">
        <v>5.61</v>
      </c>
      <c r="O1824" s="784">
        <v>1.41</v>
      </c>
      <c r="P1824" s="783">
        <v>400</v>
      </c>
      <c r="Q1824" s="783">
        <v>259.45</v>
      </c>
      <c r="R1824" s="783">
        <v>203.13</v>
      </c>
      <c r="S1824" s="783">
        <v>30.37</v>
      </c>
      <c r="T1824" s="783">
        <v>25.95</v>
      </c>
      <c r="U1824" s="785">
        <v>44712.724351851903</v>
      </c>
    </row>
    <row r="1825" spans="1:21">
      <c r="A1825" s="782">
        <v>44712</v>
      </c>
      <c r="B1825" s="783" t="s">
        <v>228</v>
      </c>
      <c r="C1825" s="783" t="s">
        <v>4354</v>
      </c>
      <c r="D1825" s="783" t="s">
        <v>4009</v>
      </c>
      <c r="E1825" s="783" t="s">
        <v>4647</v>
      </c>
      <c r="F1825" s="783" t="s">
        <v>4011</v>
      </c>
      <c r="G1825" s="783" t="s">
        <v>4028</v>
      </c>
      <c r="H1825" s="783" t="s">
        <v>4648</v>
      </c>
      <c r="I1825" s="783" t="s">
        <v>4649</v>
      </c>
      <c r="J1825" s="783">
        <v>25</v>
      </c>
      <c r="K1825" s="783" t="s">
        <v>550</v>
      </c>
      <c r="L1825" s="783" t="s">
        <v>4014</v>
      </c>
      <c r="M1825" s="784">
        <v>1588.78</v>
      </c>
      <c r="N1825" s="784">
        <v>1.93</v>
      </c>
      <c r="O1825" s="784">
        <v>1.2</v>
      </c>
      <c r="P1825" s="783">
        <v>686</v>
      </c>
      <c r="Q1825" s="783">
        <v>209.72</v>
      </c>
      <c r="R1825" s="783">
        <v>116.78</v>
      </c>
      <c r="S1825" s="783">
        <v>58.46</v>
      </c>
      <c r="T1825" s="783">
        <v>34.479999999999997</v>
      </c>
      <c r="U1825" s="785">
        <v>44714.015439814801</v>
      </c>
    </row>
    <row r="1826" spans="1:21">
      <c r="A1826" s="782">
        <v>44662</v>
      </c>
      <c r="B1826" s="783" t="s">
        <v>41</v>
      </c>
      <c r="C1826" s="783" t="s">
        <v>4139</v>
      </c>
      <c r="D1826" s="783" t="s">
        <v>4009</v>
      </c>
      <c r="E1826" s="783" t="s">
        <v>5900</v>
      </c>
      <c r="F1826" s="783" t="s">
        <v>4011</v>
      </c>
      <c r="G1826" s="783" t="str">
        <f t="shared" ref="G1826:G1832" si="97">VLOOKUP(I1826,pacage,2,FALSE)</f>
        <v>Renewal (15% in 2020)</v>
      </c>
      <c r="H1826" s="783" t="s">
        <v>5901</v>
      </c>
      <c r="I1826" s="783" t="s">
        <v>5902</v>
      </c>
      <c r="J1826" s="783">
        <v>15</v>
      </c>
      <c r="K1826" s="783" t="s">
        <v>550</v>
      </c>
      <c r="L1826" s="783" t="s">
        <v>4014</v>
      </c>
      <c r="M1826" s="784">
        <v>5994.07</v>
      </c>
      <c r="N1826" s="784">
        <v>11.24</v>
      </c>
      <c r="O1826" s="784">
        <v>1.01</v>
      </c>
      <c r="P1826" s="783">
        <v>528</v>
      </c>
      <c r="Q1826" s="783">
        <v>852.36</v>
      </c>
      <c r="R1826" s="783">
        <v>384.82</v>
      </c>
      <c r="S1826" s="783">
        <v>57.54</v>
      </c>
      <c r="T1826" s="783">
        <v>409.99</v>
      </c>
      <c r="U1826" s="785">
        <v>44663.4300462963</v>
      </c>
    </row>
    <row r="1827" spans="1:21">
      <c r="A1827" s="782">
        <v>44642</v>
      </c>
      <c r="B1827" s="783" t="s">
        <v>41</v>
      </c>
      <c r="C1827" s="783" t="s">
        <v>4092</v>
      </c>
      <c r="D1827" s="783" t="s">
        <v>4009</v>
      </c>
      <c r="E1827" s="783" t="s">
        <v>2332</v>
      </c>
      <c r="F1827" s="783" t="s">
        <v>4011</v>
      </c>
      <c r="G1827" s="783" t="str">
        <f t="shared" si="97"/>
        <v>Renewal (25% in 2020)</v>
      </c>
      <c r="H1827" s="783" t="s">
        <v>5960</v>
      </c>
      <c r="I1827" s="783" t="s">
        <v>5961</v>
      </c>
      <c r="J1827" s="783">
        <v>25</v>
      </c>
      <c r="K1827" s="783" t="s">
        <v>550</v>
      </c>
      <c r="L1827" s="783" t="s">
        <v>4014</v>
      </c>
      <c r="M1827" s="784">
        <v>8211.4599999999991</v>
      </c>
      <c r="N1827" s="784">
        <v>9.6</v>
      </c>
      <c r="O1827" s="784">
        <v>1.62</v>
      </c>
      <c r="P1827" s="783">
        <v>528</v>
      </c>
      <c r="Q1827" s="783">
        <v>905.72</v>
      </c>
      <c r="R1827" s="783">
        <v>693.05</v>
      </c>
      <c r="S1827" s="783">
        <v>120.71</v>
      </c>
      <c r="T1827" s="783">
        <v>91.97</v>
      </c>
      <c r="U1827" s="785">
        <v>44643.372835648202</v>
      </c>
    </row>
    <row r="1828" spans="1:21">
      <c r="A1828" s="782">
        <v>44532</v>
      </c>
      <c r="B1828" s="783" t="s">
        <v>47</v>
      </c>
      <c r="C1828" s="783" t="s">
        <v>4244</v>
      </c>
      <c r="D1828" s="783" t="s">
        <v>4102</v>
      </c>
      <c r="E1828" s="783" t="s">
        <v>6126</v>
      </c>
      <c r="F1828" s="783" t="s">
        <v>4011</v>
      </c>
      <c r="G1828" s="783" t="str">
        <f t="shared" si="97"/>
        <v>Renewal (20% in 2020)</v>
      </c>
      <c r="H1828" s="783" t="s">
        <v>6127</v>
      </c>
      <c r="I1828" s="783" t="s">
        <v>6128</v>
      </c>
      <c r="J1828" s="783">
        <v>20</v>
      </c>
      <c r="K1828" s="783" t="s">
        <v>550</v>
      </c>
      <c r="L1828" s="783" t="s">
        <v>4014</v>
      </c>
      <c r="M1828" s="784">
        <v>5657.85</v>
      </c>
      <c r="N1828" s="784">
        <v>3.81</v>
      </c>
      <c r="O1828" s="784">
        <v>2.7</v>
      </c>
      <c r="P1828" s="783">
        <v>550</v>
      </c>
      <c r="Q1828" s="783">
        <v>560.13</v>
      </c>
      <c r="R1828" s="783">
        <v>320.45999999999998</v>
      </c>
      <c r="S1828" s="783">
        <v>63.71</v>
      </c>
      <c r="T1828" s="783">
        <v>175.96</v>
      </c>
      <c r="U1828" s="785">
        <v>44631.633067129602</v>
      </c>
    </row>
    <row r="1829" spans="1:21">
      <c r="A1829" s="782">
        <v>44519</v>
      </c>
      <c r="B1829" s="783" t="s">
        <v>41</v>
      </c>
      <c r="C1829" s="783" t="s">
        <v>4139</v>
      </c>
      <c r="D1829" s="783" t="s">
        <v>4009</v>
      </c>
      <c r="E1829" s="783" t="s">
        <v>6337</v>
      </c>
      <c r="F1829" s="783" t="s">
        <v>4011</v>
      </c>
      <c r="G1829" s="783" t="str">
        <f t="shared" si="97"/>
        <v>Renewal (20% in 2020)</v>
      </c>
      <c r="H1829" s="783" t="s">
        <v>6338</v>
      </c>
      <c r="I1829" s="783" t="s">
        <v>6339</v>
      </c>
      <c r="J1829" s="783">
        <v>20</v>
      </c>
      <c r="K1829" s="783" t="s">
        <v>550</v>
      </c>
      <c r="L1829" s="783" t="s">
        <v>4014</v>
      </c>
      <c r="M1829" s="784">
        <v>7046.16</v>
      </c>
      <c r="N1829" s="784">
        <v>8.5</v>
      </c>
      <c r="O1829" s="784">
        <v>1.57</v>
      </c>
      <c r="P1829" s="783">
        <v>528</v>
      </c>
      <c r="Q1829" s="783">
        <v>748.3</v>
      </c>
      <c r="R1829" s="783">
        <v>452.36</v>
      </c>
      <c r="S1829" s="783">
        <v>67.64</v>
      </c>
      <c r="T1829" s="783">
        <v>228.3</v>
      </c>
      <c r="U1829" s="785">
        <v>44631.637870370403</v>
      </c>
    </row>
    <row r="1830" spans="1:21">
      <c r="A1830" s="782">
        <v>44409</v>
      </c>
      <c r="B1830" s="783" t="s">
        <v>1423</v>
      </c>
      <c r="C1830" s="783" t="s">
        <v>4097</v>
      </c>
      <c r="D1830" s="783" t="s">
        <v>4038</v>
      </c>
      <c r="E1830" s="783" t="s">
        <v>4744</v>
      </c>
      <c r="F1830" s="783" t="s">
        <v>4011</v>
      </c>
      <c r="G1830" s="783" t="str">
        <f t="shared" si="97"/>
        <v>Renewal (25% in 2020)</v>
      </c>
      <c r="H1830" s="783" t="s">
        <v>4745</v>
      </c>
      <c r="I1830" s="783" t="s">
        <v>4746</v>
      </c>
      <c r="J1830" s="783">
        <v>25</v>
      </c>
      <c r="K1830" s="783" t="s">
        <v>684</v>
      </c>
      <c r="L1830" s="783" t="s">
        <v>4014</v>
      </c>
      <c r="M1830" s="784">
        <v>10029.799999999999</v>
      </c>
      <c r="N1830" s="784">
        <v>9.4</v>
      </c>
      <c r="O1830" s="784">
        <v>0.97</v>
      </c>
      <c r="P1830" s="783">
        <v>1100</v>
      </c>
      <c r="Q1830" s="783">
        <v>1182.51</v>
      </c>
      <c r="R1830" s="783">
        <v>678.13</v>
      </c>
      <c r="S1830" s="783">
        <v>305.8</v>
      </c>
      <c r="T1830" s="783">
        <v>198.59</v>
      </c>
      <c r="U1830" s="785">
        <v>44631.504155092603</v>
      </c>
    </row>
    <row r="1831" spans="1:21">
      <c r="A1831" s="782">
        <v>44409</v>
      </c>
      <c r="B1831" s="783" t="s">
        <v>74</v>
      </c>
      <c r="C1831" s="783" t="s">
        <v>4037</v>
      </c>
      <c r="D1831" s="783" t="s">
        <v>4038</v>
      </c>
      <c r="E1831" s="783" t="s">
        <v>6643</v>
      </c>
      <c r="F1831" s="783" t="s">
        <v>4011</v>
      </c>
      <c r="G1831" s="783" t="str">
        <f t="shared" si="97"/>
        <v>Renewal (15% in 2020)</v>
      </c>
      <c r="H1831" s="783" t="s">
        <v>6644</v>
      </c>
      <c r="I1831" s="783" t="s">
        <v>6645</v>
      </c>
      <c r="J1831" s="783">
        <v>15</v>
      </c>
      <c r="K1831" s="783" t="s">
        <v>684</v>
      </c>
      <c r="L1831" s="783" t="s">
        <v>4014</v>
      </c>
      <c r="M1831" s="784">
        <v>87604</v>
      </c>
      <c r="N1831" s="784">
        <v>79.64</v>
      </c>
      <c r="O1831" s="784">
        <v>1</v>
      </c>
      <c r="P1831" s="783">
        <v>1100</v>
      </c>
      <c r="Q1831" s="783">
        <v>13876.47</v>
      </c>
      <c r="R1831" s="783">
        <v>7402.03</v>
      </c>
      <c r="S1831" s="783">
        <v>3425.83</v>
      </c>
      <c r="T1831" s="783">
        <v>3048.62</v>
      </c>
      <c r="U1831" s="785">
        <v>44631.504837963003</v>
      </c>
    </row>
    <row r="1832" spans="1:21">
      <c r="A1832" s="782">
        <v>44409</v>
      </c>
      <c r="B1832" s="783" t="s">
        <v>74</v>
      </c>
      <c r="C1832" s="783" t="s">
        <v>4037</v>
      </c>
      <c r="D1832" s="783" t="s">
        <v>4038</v>
      </c>
      <c r="E1832" s="783" t="s">
        <v>6646</v>
      </c>
      <c r="F1832" s="783" t="s">
        <v>4011</v>
      </c>
      <c r="G1832" s="783" t="str">
        <f t="shared" si="97"/>
        <v>Renewal (15% in 2020)</v>
      </c>
      <c r="H1832" s="783" t="s">
        <v>6647</v>
      </c>
      <c r="I1832" s="783" t="s">
        <v>6648</v>
      </c>
      <c r="J1832" s="783">
        <v>15</v>
      </c>
      <c r="K1832" s="783" t="s">
        <v>684</v>
      </c>
      <c r="L1832" s="783" t="s">
        <v>4014</v>
      </c>
      <c r="M1832" s="784">
        <v>8712</v>
      </c>
      <c r="N1832" s="784">
        <v>7.92</v>
      </c>
      <c r="O1832" s="784">
        <v>1</v>
      </c>
      <c r="P1832" s="783">
        <v>1100</v>
      </c>
      <c r="Q1832" s="783">
        <v>1379.98</v>
      </c>
      <c r="R1832" s="783">
        <v>736.11</v>
      </c>
      <c r="S1832" s="783">
        <v>340.69</v>
      </c>
      <c r="T1832" s="783">
        <v>303.18</v>
      </c>
      <c r="U1832" s="785">
        <v>44631.504849536999</v>
      </c>
    </row>
    <row r="1833" spans="1:21">
      <c r="A1833" s="782">
        <v>44592</v>
      </c>
      <c r="B1833" s="783" t="s">
        <v>4025</v>
      </c>
      <c r="C1833" s="783" t="s">
        <v>4026</v>
      </c>
      <c r="D1833" s="783" t="s">
        <v>4021</v>
      </c>
      <c r="E1833" s="783" t="s">
        <v>6417</v>
      </c>
      <c r="F1833" s="783" t="s">
        <v>4011</v>
      </c>
      <c r="G1833" s="783" t="s">
        <v>4028</v>
      </c>
      <c r="H1833" s="783" t="s">
        <v>6418</v>
      </c>
      <c r="I1833" s="783" t="s">
        <v>6419</v>
      </c>
      <c r="J1833" s="783">
        <v>25</v>
      </c>
      <c r="K1833" s="783" t="s">
        <v>684</v>
      </c>
      <c r="L1833" s="783" t="s">
        <v>4014</v>
      </c>
      <c r="M1833" s="784">
        <v>5010.72</v>
      </c>
      <c r="N1833" s="784">
        <v>4</v>
      </c>
      <c r="O1833" s="784">
        <v>1.43</v>
      </c>
      <c r="P1833" s="783">
        <v>876</v>
      </c>
      <c r="Q1833" s="783">
        <v>630.35</v>
      </c>
      <c r="R1833" s="783">
        <v>457.48</v>
      </c>
      <c r="S1833" s="783">
        <v>73.66</v>
      </c>
      <c r="T1833" s="783">
        <v>99.21</v>
      </c>
      <c r="U1833" s="785">
        <v>44631.635972222197</v>
      </c>
    </row>
    <row r="1834" spans="1:21">
      <c r="A1834" s="782">
        <v>44540</v>
      </c>
      <c r="B1834" s="783" t="s">
        <v>74</v>
      </c>
      <c r="C1834" s="783" t="s">
        <v>4037</v>
      </c>
      <c r="D1834" s="783" t="s">
        <v>4038</v>
      </c>
      <c r="E1834" s="783" t="s">
        <v>6420</v>
      </c>
      <c r="F1834" s="783" t="s">
        <v>4011</v>
      </c>
      <c r="G1834" s="783" t="str">
        <f>VLOOKUP(I1834,pacage,2,FALSE)</f>
        <v>New Contract</v>
      </c>
      <c r="H1834" s="783" t="s">
        <v>6421</v>
      </c>
      <c r="I1834" s="783" t="s">
        <v>6422</v>
      </c>
      <c r="J1834" s="783">
        <v>20</v>
      </c>
      <c r="K1834" s="783" t="s">
        <v>684</v>
      </c>
      <c r="L1834" s="783" t="s">
        <v>4014</v>
      </c>
      <c r="M1834" s="784">
        <v>6370</v>
      </c>
      <c r="N1834" s="784">
        <v>7</v>
      </c>
      <c r="O1834" s="784">
        <v>0.7</v>
      </c>
      <c r="P1834" s="783">
        <v>1300</v>
      </c>
      <c r="Q1834" s="783">
        <v>1009.01</v>
      </c>
      <c r="R1834" s="783">
        <v>455.42</v>
      </c>
      <c r="S1834" s="783">
        <v>331.91</v>
      </c>
      <c r="T1834" s="783">
        <v>221.68</v>
      </c>
      <c r="U1834" s="785">
        <v>44631.515659722201</v>
      </c>
    </row>
    <row r="1835" spans="1:21">
      <c r="A1835" s="782">
        <v>44697</v>
      </c>
      <c r="B1835" s="783" t="s">
        <v>41</v>
      </c>
      <c r="C1835" s="783" t="s">
        <v>4092</v>
      </c>
      <c r="D1835" s="783" t="s">
        <v>4009</v>
      </c>
      <c r="E1835" s="783" t="s">
        <v>4535</v>
      </c>
      <c r="F1835" s="783" t="s">
        <v>4011</v>
      </c>
      <c r="G1835" s="783" t="str">
        <f>VLOOKUP(I1835,pacage,2,FALSE)</f>
        <v>Renewal (25% in 2020)</v>
      </c>
      <c r="H1835" s="783" t="s">
        <v>4536</v>
      </c>
      <c r="I1835" s="783" t="s">
        <v>4537</v>
      </c>
      <c r="J1835" s="783">
        <v>25</v>
      </c>
      <c r="K1835" s="783" t="s">
        <v>684</v>
      </c>
      <c r="L1835" s="783" t="s">
        <v>4014</v>
      </c>
      <c r="M1835" s="784">
        <v>26392.5</v>
      </c>
      <c r="N1835" s="784">
        <v>19.55</v>
      </c>
      <c r="O1835" s="784">
        <v>0.9</v>
      </c>
      <c r="P1835" s="783">
        <v>1500</v>
      </c>
      <c r="Q1835" s="783">
        <v>3201.41</v>
      </c>
      <c r="R1835" s="783">
        <v>1430.35</v>
      </c>
      <c r="S1835" s="783">
        <v>1446.44</v>
      </c>
      <c r="T1835" s="783">
        <v>324.63</v>
      </c>
      <c r="U1835" s="785">
        <v>44699.505486111098</v>
      </c>
    </row>
    <row r="1836" spans="1:21">
      <c r="A1836" s="782">
        <v>44692</v>
      </c>
      <c r="B1836" s="783" t="s">
        <v>47</v>
      </c>
      <c r="C1836" s="783" t="s">
        <v>4101</v>
      </c>
      <c r="D1836" s="783" t="s">
        <v>4102</v>
      </c>
      <c r="E1836" s="783" t="s">
        <v>4103</v>
      </c>
      <c r="F1836" s="783" t="s">
        <v>4011</v>
      </c>
      <c r="G1836" s="783" t="str">
        <f>VLOOKUP(I1836,pacage,2,FALSE)</f>
        <v>Renewal (15% in 2020)</v>
      </c>
      <c r="H1836" s="783" t="s">
        <v>4104</v>
      </c>
      <c r="I1836" s="783" t="s">
        <v>4105</v>
      </c>
      <c r="J1836" s="783">
        <v>20</v>
      </c>
      <c r="K1836" s="783" t="s">
        <v>684</v>
      </c>
      <c r="L1836" s="783" t="s">
        <v>4014</v>
      </c>
      <c r="M1836" s="784">
        <v>3489.2</v>
      </c>
      <c r="N1836" s="784">
        <v>4.88</v>
      </c>
      <c r="O1836" s="784">
        <v>0.55000000000000004</v>
      </c>
      <c r="P1836" s="783">
        <v>1300</v>
      </c>
      <c r="Q1836" s="783">
        <v>369.51</v>
      </c>
      <c r="R1836" s="783">
        <v>148.59</v>
      </c>
      <c r="S1836" s="783">
        <v>105.07</v>
      </c>
      <c r="T1836" s="783">
        <v>115.84</v>
      </c>
      <c r="U1836" s="785">
        <v>44692.516574074099</v>
      </c>
    </row>
    <row r="1837" spans="1:21">
      <c r="A1837" s="782">
        <v>44606</v>
      </c>
      <c r="B1837" s="783" t="s">
        <v>3078</v>
      </c>
      <c r="C1837" s="783" t="s">
        <v>4414</v>
      </c>
      <c r="D1837" s="783" t="s">
        <v>4009</v>
      </c>
      <c r="E1837" s="783" t="s">
        <v>6425</v>
      </c>
      <c r="F1837" s="783" t="s">
        <v>4011</v>
      </c>
      <c r="G1837" s="783" t="str">
        <f>VLOOKUP(I1837,pacage,2,FALSE)</f>
        <v>New Contract</v>
      </c>
      <c r="H1837" s="783" t="s">
        <v>6426</v>
      </c>
      <c r="I1837" s="783" t="s">
        <v>6427</v>
      </c>
      <c r="J1837" s="783">
        <v>20</v>
      </c>
      <c r="K1837" s="783" t="s">
        <v>684</v>
      </c>
      <c r="L1837" s="783" t="s">
        <v>4014</v>
      </c>
      <c r="M1837" s="784">
        <v>9517.5</v>
      </c>
      <c r="N1837" s="784">
        <v>9.4</v>
      </c>
      <c r="O1837" s="784">
        <v>0.75</v>
      </c>
      <c r="P1837" s="783">
        <v>1350</v>
      </c>
      <c r="Q1837" s="783">
        <v>1871.14</v>
      </c>
      <c r="R1837" s="783">
        <v>644.14</v>
      </c>
      <c r="S1837" s="783">
        <v>509.39</v>
      </c>
      <c r="T1837" s="783">
        <v>717.62</v>
      </c>
      <c r="U1837" s="785">
        <v>44631.626284722202</v>
      </c>
    </row>
    <row r="1838" spans="1:21">
      <c r="A1838" s="782">
        <v>44592</v>
      </c>
      <c r="B1838" s="783" t="s">
        <v>4025</v>
      </c>
      <c r="C1838" s="783" t="s">
        <v>4026</v>
      </c>
      <c r="D1838" s="783" t="s">
        <v>4021</v>
      </c>
      <c r="E1838" s="783" t="s">
        <v>6431</v>
      </c>
      <c r="F1838" s="783" t="s">
        <v>4011</v>
      </c>
      <c r="G1838" s="783" t="s">
        <v>4028</v>
      </c>
      <c r="H1838" s="783" t="s">
        <v>6432</v>
      </c>
      <c r="I1838" s="783" t="s">
        <v>6433</v>
      </c>
      <c r="J1838" s="783">
        <v>25</v>
      </c>
      <c r="K1838" s="783" t="s">
        <v>684</v>
      </c>
      <c r="L1838" s="783" t="s">
        <v>4014</v>
      </c>
      <c r="M1838" s="784">
        <v>8760</v>
      </c>
      <c r="N1838" s="784">
        <v>10</v>
      </c>
      <c r="O1838" s="784">
        <v>1</v>
      </c>
      <c r="P1838" s="783">
        <v>876</v>
      </c>
      <c r="Q1838" s="783">
        <v>1102.01</v>
      </c>
      <c r="R1838" s="783">
        <v>799.79</v>
      </c>
      <c r="S1838" s="783">
        <v>128.77000000000001</v>
      </c>
      <c r="T1838" s="783">
        <v>173.45</v>
      </c>
      <c r="U1838" s="785">
        <v>44631.629594907397</v>
      </c>
    </row>
    <row r="1839" spans="1:21">
      <c r="A1839" s="782">
        <v>44684</v>
      </c>
      <c r="B1839" s="783" t="s">
        <v>74</v>
      </c>
      <c r="C1839" s="783" t="s">
        <v>4037</v>
      </c>
      <c r="D1839" s="783" t="s">
        <v>4038</v>
      </c>
      <c r="E1839" s="783" t="s">
        <v>6443</v>
      </c>
      <c r="F1839" s="783" t="s">
        <v>4011</v>
      </c>
      <c r="G1839" s="783" t="str">
        <f>VLOOKUP(I1839,pacage,2,FALSE)</f>
        <v>New contract</v>
      </c>
      <c r="H1839" s="783" t="s">
        <v>6444</v>
      </c>
      <c r="I1839" s="783" t="s">
        <v>6445</v>
      </c>
      <c r="J1839" s="783">
        <v>20</v>
      </c>
      <c r="K1839" s="783" t="s">
        <v>684</v>
      </c>
      <c r="L1839" s="783" t="s">
        <v>4014</v>
      </c>
      <c r="M1839" s="784">
        <v>14222.34</v>
      </c>
      <c r="N1839" s="784">
        <v>13.06</v>
      </c>
      <c r="O1839" s="784">
        <v>0.99</v>
      </c>
      <c r="P1839" s="783">
        <v>1100</v>
      </c>
      <c r="Q1839" s="783">
        <v>2252.8200000000002</v>
      </c>
      <c r="R1839" s="783">
        <v>1201.7</v>
      </c>
      <c r="S1839" s="783">
        <v>556.17999999999995</v>
      </c>
      <c r="T1839" s="783">
        <v>494.94</v>
      </c>
      <c r="U1839" s="785">
        <v>44685.461122685199</v>
      </c>
    </row>
    <row r="1840" spans="1:21">
      <c r="A1840" s="782">
        <v>44685</v>
      </c>
      <c r="B1840" s="783" t="s">
        <v>4025</v>
      </c>
      <c r="C1840" s="783" t="s">
        <v>4026</v>
      </c>
      <c r="D1840" s="783" t="s">
        <v>4021</v>
      </c>
      <c r="E1840" s="783" t="s">
        <v>6457</v>
      </c>
      <c r="F1840" s="783" t="s">
        <v>4011</v>
      </c>
      <c r="G1840" s="783" t="str">
        <f>VLOOKUP(I1840,pacage,2,FALSE)</f>
        <v>New Contract</v>
      </c>
      <c r="H1840" s="783" t="s">
        <v>6458</v>
      </c>
      <c r="I1840" s="783" t="s">
        <v>6459</v>
      </c>
      <c r="J1840" s="783">
        <v>20</v>
      </c>
      <c r="K1840" s="783" t="s">
        <v>684</v>
      </c>
      <c r="L1840" s="783" t="s">
        <v>4014</v>
      </c>
      <c r="M1840" s="784">
        <v>1840</v>
      </c>
      <c r="N1840" s="784">
        <v>3.68</v>
      </c>
      <c r="O1840" s="784">
        <v>0.5</v>
      </c>
      <c r="P1840" s="783">
        <v>1000</v>
      </c>
      <c r="Q1840" s="783">
        <v>255.02</v>
      </c>
      <c r="R1840" s="783">
        <v>147.16</v>
      </c>
      <c r="S1840" s="783">
        <v>47.88</v>
      </c>
      <c r="T1840" s="783">
        <v>59.98</v>
      </c>
      <c r="U1840" s="785">
        <v>44687.638865740701</v>
      </c>
    </row>
    <row r="1841" spans="1:21">
      <c r="A1841" s="782">
        <v>44699</v>
      </c>
      <c r="B1841" s="783" t="s">
        <v>34</v>
      </c>
      <c r="C1841" s="783" t="s">
        <v>4139</v>
      </c>
      <c r="D1841" s="783" t="s">
        <v>4009</v>
      </c>
      <c r="E1841" s="783" t="s">
        <v>6486</v>
      </c>
      <c r="F1841" s="783" t="s">
        <v>4011</v>
      </c>
      <c r="G1841" s="783" t="str">
        <f>VLOOKUP(I1841,pacage,2,FALSE)</f>
        <v>Renewal (20% in 2020)</v>
      </c>
      <c r="H1841" s="783" t="s">
        <v>6487</v>
      </c>
      <c r="I1841" s="783" t="s">
        <v>6488</v>
      </c>
      <c r="J1841" s="783">
        <v>20</v>
      </c>
      <c r="K1841" s="783" t="s">
        <v>684</v>
      </c>
      <c r="L1841" s="783" t="s">
        <v>4014</v>
      </c>
      <c r="M1841" s="784">
        <v>15085.05</v>
      </c>
      <c r="N1841" s="784">
        <v>12.73</v>
      </c>
      <c r="O1841" s="784">
        <v>0.79</v>
      </c>
      <c r="P1841" s="783">
        <v>1500</v>
      </c>
      <c r="Q1841" s="783">
        <v>1761.93</v>
      </c>
      <c r="R1841" s="783">
        <v>621.08000000000004</v>
      </c>
      <c r="S1841" s="783">
        <v>597.79</v>
      </c>
      <c r="T1841" s="783">
        <v>543.05999999999995</v>
      </c>
      <c r="U1841" s="785">
        <v>44700.617939814802</v>
      </c>
    </row>
    <row r="1842" spans="1:21">
      <c r="A1842" s="782">
        <v>44713</v>
      </c>
      <c r="B1842" s="783" t="s">
        <v>65</v>
      </c>
      <c r="C1842" s="783" t="s">
        <v>4071</v>
      </c>
      <c r="D1842" s="783" t="s">
        <v>4009</v>
      </c>
      <c r="E1842" s="783" t="s">
        <v>6632</v>
      </c>
      <c r="F1842" s="783" t="s">
        <v>4011</v>
      </c>
      <c r="G1842" s="783" t="s">
        <v>4028</v>
      </c>
      <c r="H1842" s="783" t="s">
        <v>6633</v>
      </c>
      <c r="I1842" s="783" t="s">
        <v>6634</v>
      </c>
      <c r="J1842" s="783">
        <v>25</v>
      </c>
      <c r="K1842" s="783" t="s">
        <v>684</v>
      </c>
      <c r="L1842" s="783" t="s">
        <v>4014</v>
      </c>
      <c r="M1842" s="784">
        <v>1786.66</v>
      </c>
      <c r="N1842" s="784">
        <v>1.57</v>
      </c>
      <c r="O1842" s="784">
        <v>1</v>
      </c>
      <c r="P1842" s="783">
        <v>1138</v>
      </c>
      <c r="Q1842" s="783">
        <v>154.9</v>
      </c>
      <c r="R1842" s="783">
        <v>93.38</v>
      </c>
      <c r="S1842" s="783">
        <v>45.98</v>
      </c>
      <c r="T1842" s="783">
        <v>15.54</v>
      </c>
      <c r="U1842" s="785">
        <v>44715.420486111099</v>
      </c>
    </row>
    <row r="1843" spans="1:21">
      <c r="A1843" s="782">
        <v>44713</v>
      </c>
      <c r="B1843" s="783" t="s">
        <v>41</v>
      </c>
      <c r="C1843" s="783" t="s">
        <v>4071</v>
      </c>
      <c r="D1843" s="783" t="s">
        <v>4009</v>
      </c>
      <c r="E1843" s="783" t="s">
        <v>6492</v>
      </c>
      <c r="F1843" s="783" t="s">
        <v>4011</v>
      </c>
      <c r="G1843" s="783" t="str">
        <f>VLOOKUP(I1843,pacage,2,FALSE)</f>
        <v>New contract</v>
      </c>
      <c r="H1843" s="783" t="s">
        <v>6493</v>
      </c>
      <c r="I1843" s="783" t="s">
        <v>6494</v>
      </c>
      <c r="J1843" s="783">
        <v>25</v>
      </c>
      <c r="K1843" s="783" t="s">
        <v>684</v>
      </c>
      <c r="L1843" s="783" t="s">
        <v>4014</v>
      </c>
      <c r="M1843" s="784">
        <v>5616.3</v>
      </c>
      <c r="N1843" s="784">
        <v>4.97</v>
      </c>
      <c r="O1843" s="784">
        <v>1.29</v>
      </c>
      <c r="P1843" s="783">
        <v>876</v>
      </c>
      <c r="Q1843" s="783">
        <v>486.93</v>
      </c>
      <c r="R1843" s="783">
        <v>381.35</v>
      </c>
      <c r="S1843" s="783">
        <v>56.72</v>
      </c>
      <c r="T1843" s="783">
        <v>48.86</v>
      </c>
      <c r="U1843" s="785">
        <v>44715.4397916667</v>
      </c>
    </row>
    <row r="1844" spans="1:21">
      <c r="A1844" s="782">
        <v>44712</v>
      </c>
      <c r="B1844" s="783" t="s">
        <v>34</v>
      </c>
      <c r="C1844" s="783" t="s">
        <v>4082</v>
      </c>
      <c r="D1844" s="783" t="s">
        <v>4009</v>
      </c>
      <c r="E1844" s="783" t="s">
        <v>4083</v>
      </c>
      <c r="F1844" s="783" t="s">
        <v>4011</v>
      </c>
      <c r="G1844" s="783" t="s">
        <v>4028</v>
      </c>
      <c r="H1844" s="783" t="s">
        <v>4084</v>
      </c>
      <c r="I1844" s="783" t="s">
        <v>4085</v>
      </c>
      <c r="J1844" s="783">
        <v>25</v>
      </c>
      <c r="K1844" s="783" t="s">
        <v>684</v>
      </c>
      <c r="L1844" s="783" t="s">
        <v>4014</v>
      </c>
      <c r="M1844" s="784">
        <v>30989.4</v>
      </c>
      <c r="N1844" s="784">
        <v>17.809999999999999</v>
      </c>
      <c r="O1844" s="784">
        <v>1.1599999999999999</v>
      </c>
      <c r="P1844" s="783">
        <v>1500</v>
      </c>
      <c r="Q1844" s="783">
        <v>3545.19</v>
      </c>
      <c r="R1844" s="783">
        <v>1587.18</v>
      </c>
      <c r="S1844" s="783">
        <v>1607.83</v>
      </c>
      <c r="T1844" s="783">
        <v>350.18</v>
      </c>
      <c r="U1844" s="785">
        <v>44714.003958333298</v>
      </c>
    </row>
    <row r="1845" spans="1:21">
      <c r="A1845" s="782">
        <v>44713</v>
      </c>
      <c r="B1845" s="783" t="s">
        <v>65</v>
      </c>
      <c r="C1845" s="783" t="s">
        <v>4071</v>
      </c>
      <c r="D1845" s="783" t="s">
        <v>4009</v>
      </c>
      <c r="E1845" s="783" t="s">
        <v>6618</v>
      </c>
      <c r="F1845" s="783" t="s">
        <v>4011</v>
      </c>
      <c r="G1845" s="783" t="str">
        <f>VLOOKUP(I1845,pacage,2,FALSE)</f>
        <v>New contract</v>
      </c>
      <c r="H1845" s="783" t="s">
        <v>6619</v>
      </c>
      <c r="I1845" s="783" t="s">
        <v>6620</v>
      </c>
      <c r="J1845" s="783">
        <v>25</v>
      </c>
      <c r="K1845" s="783" t="s">
        <v>684</v>
      </c>
      <c r="L1845" s="783" t="s">
        <v>4014</v>
      </c>
      <c r="M1845" s="784">
        <v>18644.54</v>
      </c>
      <c r="N1845" s="784">
        <v>15.17</v>
      </c>
      <c r="O1845" s="784">
        <v>1.08</v>
      </c>
      <c r="P1845" s="783">
        <v>1138</v>
      </c>
      <c r="Q1845" s="783">
        <v>1616.48</v>
      </c>
      <c r="R1845" s="783">
        <v>974.5</v>
      </c>
      <c r="S1845" s="783">
        <v>479.77</v>
      </c>
      <c r="T1845" s="783">
        <v>162.21</v>
      </c>
      <c r="U1845" s="785">
        <v>44715.429756944402</v>
      </c>
    </row>
    <row r="1846" spans="1:21">
      <c r="A1846" s="782">
        <v>44698</v>
      </c>
      <c r="B1846" s="783" t="s">
        <v>41</v>
      </c>
      <c r="C1846" s="783" t="s">
        <v>4071</v>
      </c>
      <c r="D1846" s="783" t="s">
        <v>4009</v>
      </c>
      <c r="E1846" s="783" t="s">
        <v>6495</v>
      </c>
      <c r="F1846" s="783" t="s">
        <v>4011</v>
      </c>
      <c r="G1846" s="783" t="str">
        <f>VLOOKUP(I1846,pacage,2,FALSE)</f>
        <v>Renewal (20% in 2020)</v>
      </c>
      <c r="H1846" s="783" t="s">
        <v>6496</v>
      </c>
      <c r="I1846" s="783" t="s">
        <v>6497</v>
      </c>
      <c r="J1846" s="783">
        <v>20</v>
      </c>
      <c r="K1846" s="783" t="s">
        <v>684</v>
      </c>
      <c r="L1846" s="783" t="s">
        <v>4014</v>
      </c>
      <c r="M1846" s="784">
        <v>5820</v>
      </c>
      <c r="N1846" s="784">
        <v>4</v>
      </c>
      <c r="O1846" s="784">
        <v>0.97</v>
      </c>
      <c r="P1846" s="783">
        <v>1500</v>
      </c>
      <c r="Q1846" s="783">
        <v>654.75</v>
      </c>
      <c r="R1846" s="783">
        <v>230.78</v>
      </c>
      <c r="S1846" s="783">
        <v>223.18</v>
      </c>
      <c r="T1846" s="783">
        <v>200.79</v>
      </c>
      <c r="U1846" s="785">
        <v>44699.4859027778</v>
      </c>
    </row>
    <row r="1847" spans="1:21">
      <c r="A1847" s="782">
        <v>44700</v>
      </c>
      <c r="B1847" s="783" t="s">
        <v>74</v>
      </c>
      <c r="C1847" s="783" t="s">
        <v>4037</v>
      </c>
      <c r="D1847" s="783" t="s">
        <v>4038</v>
      </c>
      <c r="E1847" s="783" t="s">
        <v>4750</v>
      </c>
      <c r="F1847" s="783" t="s">
        <v>4011</v>
      </c>
      <c r="G1847" s="783" t="s">
        <v>4028</v>
      </c>
      <c r="H1847" s="783" t="s">
        <v>4751</v>
      </c>
      <c r="I1847" s="783" t="s">
        <v>4752</v>
      </c>
      <c r="J1847" s="783">
        <v>25</v>
      </c>
      <c r="K1847" s="783" t="s">
        <v>684</v>
      </c>
      <c r="L1847" s="783" t="s">
        <v>4014</v>
      </c>
      <c r="M1847" s="784">
        <v>5923.2</v>
      </c>
      <c r="N1847" s="784">
        <v>12.34</v>
      </c>
      <c r="O1847" s="784">
        <v>0.6</v>
      </c>
      <c r="P1847" s="783">
        <v>800</v>
      </c>
      <c r="Q1847" s="783">
        <v>938.23</v>
      </c>
      <c r="R1847" s="783">
        <v>628.45000000000005</v>
      </c>
      <c r="S1847" s="783">
        <v>103.66</v>
      </c>
      <c r="T1847" s="783">
        <v>206.13</v>
      </c>
      <c r="U1847" s="785">
        <v>44708.963460648098</v>
      </c>
    </row>
    <row r="1848" spans="1:21">
      <c r="A1848" s="782">
        <v>44644</v>
      </c>
      <c r="B1848" s="783" t="s">
        <v>65</v>
      </c>
      <c r="C1848" s="783" t="s">
        <v>4071</v>
      </c>
      <c r="D1848" s="783" t="s">
        <v>4009</v>
      </c>
      <c r="E1848" s="783" t="s">
        <v>6622</v>
      </c>
      <c r="F1848" s="783" t="s">
        <v>4011</v>
      </c>
      <c r="G1848" s="783" t="s">
        <v>4028</v>
      </c>
      <c r="H1848" s="783" t="s">
        <v>6623</v>
      </c>
      <c r="I1848" s="783" t="s">
        <v>6624</v>
      </c>
      <c r="J1848" s="783">
        <v>25</v>
      </c>
      <c r="K1848" s="783" t="s">
        <v>684</v>
      </c>
      <c r="L1848" s="783" t="s">
        <v>4014</v>
      </c>
      <c r="M1848" s="784">
        <v>2845</v>
      </c>
      <c r="N1848" s="784">
        <v>2.5</v>
      </c>
      <c r="O1848" s="784">
        <v>1</v>
      </c>
      <c r="P1848" s="783">
        <v>1138</v>
      </c>
      <c r="Q1848" s="783">
        <v>246.66</v>
      </c>
      <c r="R1848" s="783">
        <v>148.69999999999999</v>
      </c>
      <c r="S1848" s="783">
        <v>73.209999999999994</v>
      </c>
      <c r="T1848" s="783">
        <v>24.75</v>
      </c>
      <c r="U1848" s="785">
        <v>44644.640844907401</v>
      </c>
    </row>
    <row r="1849" spans="1:21">
      <c r="A1849" s="782">
        <v>44559</v>
      </c>
      <c r="B1849" s="783" t="s">
        <v>34</v>
      </c>
      <c r="C1849" s="783" t="s">
        <v>4139</v>
      </c>
      <c r="D1849" s="783" t="s">
        <v>4009</v>
      </c>
      <c r="E1849" s="783" t="s">
        <v>6000</v>
      </c>
      <c r="F1849" s="783" t="s">
        <v>4011</v>
      </c>
      <c r="G1849" s="783" t="str">
        <f t="shared" ref="G1849:G1854" si="98">VLOOKUP(I1849,pacage,2,FALSE)</f>
        <v>Renewal (25% in 2020)</v>
      </c>
      <c r="H1849" s="783" t="s">
        <v>6001</v>
      </c>
      <c r="I1849" s="783" t="s">
        <v>6002</v>
      </c>
      <c r="J1849" s="783">
        <v>25</v>
      </c>
      <c r="K1849" s="783" t="s">
        <v>684</v>
      </c>
      <c r="L1849" s="783" t="s">
        <v>4014</v>
      </c>
      <c r="M1849" s="784">
        <v>12460</v>
      </c>
      <c r="N1849" s="784">
        <v>12.46</v>
      </c>
      <c r="O1849" s="784">
        <v>1</v>
      </c>
      <c r="P1849" s="783">
        <v>1000</v>
      </c>
      <c r="Q1849" s="783">
        <v>1123.8900000000001</v>
      </c>
      <c r="R1849" s="783">
        <v>769.5</v>
      </c>
      <c r="S1849" s="783">
        <v>237.26</v>
      </c>
      <c r="T1849" s="783">
        <v>117.12</v>
      </c>
      <c r="U1849" s="785">
        <v>44631.635381944398</v>
      </c>
    </row>
    <row r="1850" spans="1:21">
      <c r="A1850" s="782">
        <v>44483</v>
      </c>
      <c r="B1850" s="783" t="s">
        <v>4025</v>
      </c>
      <c r="C1850" s="783" t="s">
        <v>4026</v>
      </c>
      <c r="D1850" s="783" t="s">
        <v>4021</v>
      </c>
      <c r="E1850" s="783" t="s">
        <v>6531</v>
      </c>
      <c r="F1850" s="783" t="s">
        <v>4011</v>
      </c>
      <c r="G1850" s="783" t="str">
        <f t="shared" si="98"/>
        <v>New Contract</v>
      </c>
      <c r="H1850" s="783" t="s">
        <v>6532</v>
      </c>
      <c r="I1850" s="783" t="s">
        <v>6533</v>
      </c>
      <c r="J1850" s="783">
        <v>20</v>
      </c>
      <c r="K1850" s="783" t="s">
        <v>684</v>
      </c>
      <c r="L1850" s="783" t="s">
        <v>4014</v>
      </c>
      <c r="M1850" s="784">
        <v>13429.08</v>
      </c>
      <c r="N1850" s="784">
        <v>15.33</v>
      </c>
      <c r="O1850" s="784">
        <v>1</v>
      </c>
      <c r="P1850" s="783">
        <v>876</v>
      </c>
      <c r="Q1850" s="783">
        <v>1861.27</v>
      </c>
      <c r="R1850" s="783">
        <v>1226.08</v>
      </c>
      <c r="S1850" s="783">
        <v>197.41</v>
      </c>
      <c r="T1850" s="783">
        <v>437.79</v>
      </c>
      <c r="U1850" s="785">
        <v>44631.636736111097</v>
      </c>
    </row>
    <row r="1851" spans="1:21">
      <c r="A1851" s="782">
        <v>44427</v>
      </c>
      <c r="B1851" s="783" t="s">
        <v>41</v>
      </c>
      <c r="C1851" s="783" t="s">
        <v>4082</v>
      </c>
      <c r="D1851" s="783" t="s">
        <v>4009</v>
      </c>
      <c r="E1851" s="783" t="s">
        <v>4518</v>
      </c>
      <c r="F1851" s="783" t="s">
        <v>4011</v>
      </c>
      <c r="G1851" s="783" t="str">
        <f t="shared" si="98"/>
        <v>Renewal (25% in 2020)</v>
      </c>
      <c r="H1851" s="783" t="s">
        <v>4519</v>
      </c>
      <c r="I1851" s="783" t="s">
        <v>4520</v>
      </c>
      <c r="J1851" s="783">
        <v>25</v>
      </c>
      <c r="K1851" s="783" t="s">
        <v>442</v>
      </c>
      <c r="L1851" s="783" t="s">
        <v>4014</v>
      </c>
      <c r="M1851" s="784">
        <v>11575.2</v>
      </c>
      <c r="N1851" s="784">
        <v>13</v>
      </c>
      <c r="O1851" s="784">
        <v>2.12</v>
      </c>
      <c r="P1851" s="783">
        <v>420</v>
      </c>
      <c r="Q1851" s="783">
        <v>963.06</v>
      </c>
      <c r="R1851" s="783">
        <v>738.5</v>
      </c>
      <c r="S1851" s="783">
        <v>129.63999999999999</v>
      </c>
      <c r="T1851" s="783">
        <v>94.92</v>
      </c>
      <c r="U1851" s="785">
        <v>44631.512187499997</v>
      </c>
    </row>
    <row r="1852" spans="1:21">
      <c r="A1852" s="782">
        <v>44690</v>
      </c>
      <c r="B1852" s="783" t="s">
        <v>51</v>
      </c>
      <c r="C1852" s="783" t="s">
        <v>4042</v>
      </c>
      <c r="D1852" s="783" t="s">
        <v>4016</v>
      </c>
      <c r="E1852" s="783" t="s">
        <v>4904</v>
      </c>
      <c r="F1852" s="783" t="s">
        <v>4011</v>
      </c>
      <c r="G1852" s="783" t="str">
        <f t="shared" si="98"/>
        <v>Renewal (30% in 2020)</v>
      </c>
      <c r="H1852" s="783" t="s">
        <v>4905</v>
      </c>
      <c r="I1852" s="783" t="s">
        <v>4906</v>
      </c>
      <c r="J1852" s="783">
        <v>30</v>
      </c>
      <c r="K1852" s="783" t="s">
        <v>442</v>
      </c>
      <c r="L1852" s="783" t="s">
        <v>4014</v>
      </c>
      <c r="M1852" s="784">
        <v>43082.879999999997</v>
      </c>
      <c r="N1852" s="784">
        <v>47.24</v>
      </c>
      <c r="O1852" s="784">
        <v>2.2799999999999998</v>
      </c>
      <c r="P1852" s="783">
        <v>400</v>
      </c>
      <c r="Q1852" s="783">
        <v>2817.62</v>
      </c>
      <c r="R1852" s="783">
        <v>2412.64</v>
      </c>
      <c r="S1852" s="783">
        <v>0</v>
      </c>
      <c r="T1852" s="783">
        <v>404.98</v>
      </c>
      <c r="U1852" s="785">
        <v>44690.683958333299</v>
      </c>
    </row>
    <row r="1853" spans="1:21">
      <c r="A1853" s="782">
        <v>44700</v>
      </c>
      <c r="B1853" s="783" t="s">
        <v>51</v>
      </c>
      <c r="C1853" s="783" t="s">
        <v>4015</v>
      </c>
      <c r="D1853" s="783" t="s">
        <v>4016</v>
      </c>
      <c r="E1853" s="783" t="s">
        <v>5075</v>
      </c>
      <c r="F1853" s="783" t="s">
        <v>4011</v>
      </c>
      <c r="G1853" s="783" t="str">
        <f t="shared" si="98"/>
        <v>Renewal (25% in 2020)</v>
      </c>
      <c r="H1853" s="783" t="s">
        <v>5076</v>
      </c>
      <c r="I1853" s="783" t="s">
        <v>5077</v>
      </c>
      <c r="J1853" s="783">
        <v>25</v>
      </c>
      <c r="K1853" s="783" t="s">
        <v>442</v>
      </c>
      <c r="L1853" s="783" t="s">
        <v>4014</v>
      </c>
      <c r="M1853" s="784">
        <v>20004.66</v>
      </c>
      <c r="N1853" s="784">
        <v>21.58</v>
      </c>
      <c r="O1853" s="784">
        <v>2.06</v>
      </c>
      <c r="P1853" s="783">
        <v>450</v>
      </c>
      <c r="Q1853" s="783">
        <v>2200.5100000000002</v>
      </c>
      <c r="R1853" s="783">
        <v>1536.44</v>
      </c>
      <c r="S1853" s="783">
        <v>352</v>
      </c>
      <c r="T1853" s="783">
        <v>312.07</v>
      </c>
      <c r="U1853" s="785">
        <v>44700.719907407401</v>
      </c>
    </row>
    <row r="1854" spans="1:21">
      <c r="A1854" s="782">
        <v>44686</v>
      </c>
      <c r="B1854" s="783" t="s">
        <v>41</v>
      </c>
      <c r="C1854" s="783" t="s">
        <v>4071</v>
      </c>
      <c r="D1854" s="783" t="s">
        <v>4009</v>
      </c>
      <c r="E1854" s="783" t="s">
        <v>505</v>
      </c>
      <c r="F1854" s="783" t="s">
        <v>4011</v>
      </c>
      <c r="G1854" s="783" t="str">
        <f t="shared" si="98"/>
        <v>Renewal (15% in 2020)</v>
      </c>
      <c r="H1854" s="783" t="s">
        <v>4112</v>
      </c>
      <c r="I1854" s="783" t="s">
        <v>4113</v>
      </c>
      <c r="J1854" s="783">
        <v>15</v>
      </c>
      <c r="K1854" s="783" t="s">
        <v>442</v>
      </c>
      <c r="L1854" s="783" t="s">
        <v>4014</v>
      </c>
      <c r="M1854" s="784">
        <v>9752.6299999999992</v>
      </c>
      <c r="N1854" s="784">
        <v>10.65</v>
      </c>
      <c r="O1854" s="784">
        <v>2.17</v>
      </c>
      <c r="P1854" s="783">
        <v>422</v>
      </c>
      <c r="Q1854" s="783">
        <v>1067.9100000000001</v>
      </c>
      <c r="R1854" s="783">
        <v>481.78</v>
      </c>
      <c r="S1854" s="783">
        <v>70.22</v>
      </c>
      <c r="T1854" s="783">
        <v>515.91</v>
      </c>
      <c r="U1854" s="785">
        <v>44687.621041666702</v>
      </c>
    </row>
    <row r="1855" spans="1:21">
      <c r="A1855" s="782">
        <v>44685</v>
      </c>
      <c r="B1855" s="783" t="s">
        <v>4025</v>
      </c>
      <c r="C1855" s="783" t="s">
        <v>4026</v>
      </c>
      <c r="D1855" s="783" t="s">
        <v>4021</v>
      </c>
      <c r="E1855" s="783" t="s">
        <v>4114</v>
      </c>
      <c r="F1855" s="783" t="s">
        <v>4011</v>
      </c>
      <c r="G1855" s="783" t="s">
        <v>4028</v>
      </c>
      <c r="H1855" s="783" t="s">
        <v>4115</v>
      </c>
      <c r="I1855" s="783" t="s">
        <v>4116</v>
      </c>
      <c r="J1855" s="783">
        <v>25</v>
      </c>
      <c r="K1855" s="783" t="s">
        <v>442</v>
      </c>
      <c r="L1855" s="783" t="s">
        <v>4014</v>
      </c>
      <c r="M1855" s="784">
        <v>6005.25</v>
      </c>
      <c r="N1855" s="784">
        <v>8.5</v>
      </c>
      <c r="O1855" s="784">
        <v>1.57</v>
      </c>
      <c r="P1855" s="783">
        <v>450</v>
      </c>
      <c r="Q1855" s="783">
        <v>548.88</v>
      </c>
      <c r="R1855" s="783">
        <v>373.37</v>
      </c>
      <c r="S1855" s="783">
        <v>89.03</v>
      </c>
      <c r="T1855" s="783">
        <v>86.48</v>
      </c>
      <c r="U1855" s="785">
        <v>44685.413182870398</v>
      </c>
    </row>
    <row r="1856" spans="1:21">
      <c r="A1856" s="782">
        <v>44683</v>
      </c>
      <c r="B1856" s="783" t="s">
        <v>41</v>
      </c>
      <c r="C1856" s="783" t="s">
        <v>4071</v>
      </c>
      <c r="D1856" s="783" t="s">
        <v>4009</v>
      </c>
      <c r="E1856" s="783" t="s">
        <v>5147</v>
      </c>
      <c r="F1856" s="783" t="s">
        <v>4011</v>
      </c>
      <c r="G1856" s="783" t="str">
        <f>VLOOKUP(I1856,pacage,2,FALSE)</f>
        <v>Renewal (15% in 2020)</v>
      </c>
      <c r="H1856" s="783" t="s">
        <v>5148</v>
      </c>
      <c r="I1856" s="783" t="s">
        <v>5149</v>
      </c>
      <c r="J1856" s="783">
        <v>15</v>
      </c>
      <c r="K1856" s="783" t="s">
        <v>442</v>
      </c>
      <c r="L1856" s="783" t="s">
        <v>4014</v>
      </c>
      <c r="M1856" s="784">
        <v>4970.5600000000004</v>
      </c>
      <c r="N1856" s="784">
        <v>6.34</v>
      </c>
      <c r="O1856" s="784">
        <v>1.96</v>
      </c>
      <c r="P1856" s="783">
        <v>400</v>
      </c>
      <c r="Q1856" s="783">
        <v>544.28</v>
      </c>
      <c r="R1856" s="783">
        <v>245.55</v>
      </c>
      <c r="S1856" s="783">
        <v>35.79</v>
      </c>
      <c r="T1856" s="783">
        <v>262.94</v>
      </c>
      <c r="U1856" s="785">
        <v>44684.411226851902</v>
      </c>
    </row>
    <row r="1857" spans="1:21">
      <c r="A1857" s="782">
        <v>44679</v>
      </c>
      <c r="B1857" s="783" t="s">
        <v>228</v>
      </c>
      <c r="C1857" s="783" t="s">
        <v>4675</v>
      </c>
      <c r="D1857" s="783" t="s">
        <v>4193</v>
      </c>
      <c r="E1857" s="783" t="s">
        <v>5184</v>
      </c>
      <c r="F1857" s="783" t="s">
        <v>4011</v>
      </c>
      <c r="G1857" s="783" t="s">
        <v>4028</v>
      </c>
      <c r="H1857" s="783" t="s">
        <v>5185</v>
      </c>
      <c r="I1857" s="783" t="s">
        <v>5186</v>
      </c>
      <c r="J1857" s="783">
        <v>25</v>
      </c>
      <c r="K1857" s="783" t="s">
        <v>442</v>
      </c>
      <c r="L1857" s="783" t="s">
        <v>4014</v>
      </c>
      <c r="M1857" s="784">
        <v>8370</v>
      </c>
      <c r="N1857" s="784">
        <v>12</v>
      </c>
      <c r="O1857" s="784">
        <v>1.55</v>
      </c>
      <c r="P1857" s="783">
        <v>450</v>
      </c>
      <c r="Q1857" s="783">
        <v>851.23</v>
      </c>
      <c r="R1857" s="783">
        <v>587.91</v>
      </c>
      <c r="S1857" s="783">
        <v>135.26</v>
      </c>
      <c r="T1857" s="783">
        <v>128.06</v>
      </c>
      <c r="U1857" s="785">
        <v>44680.691585648201</v>
      </c>
    </row>
    <row r="1858" spans="1:21">
      <c r="A1858" s="782">
        <v>44680</v>
      </c>
      <c r="B1858" s="783" t="s">
        <v>51</v>
      </c>
      <c r="C1858" s="783" t="s">
        <v>4015</v>
      </c>
      <c r="D1858" s="783" t="s">
        <v>4016</v>
      </c>
      <c r="E1858" s="783" t="s">
        <v>89</v>
      </c>
      <c r="F1858" s="783" t="s">
        <v>4011</v>
      </c>
      <c r="G1858" s="783" t="str">
        <f t="shared" ref="G1858:G1885" si="99">VLOOKUP(I1858,pacage,2,FALSE)</f>
        <v>Renewal (20% in 2020)</v>
      </c>
      <c r="H1858" s="783" t="s">
        <v>5190</v>
      </c>
      <c r="I1858" s="783" t="s">
        <v>5191</v>
      </c>
      <c r="J1858" s="783">
        <v>20</v>
      </c>
      <c r="K1858" s="783" t="s">
        <v>442</v>
      </c>
      <c r="L1858" s="783" t="s">
        <v>4014</v>
      </c>
      <c r="M1858" s="784">
        <v>10521.77</v>
      </c>
      <c r="N1858" s="784">
        <v>7.88</v>
      </c>
      <c r="O1858" s="784">
        <v>2.4500000000000002</v>
      </c>
      <c r="P1858" s="783">
        <v>545</v>
      </c>
      <c r="Q1858" s="783">
        <v>1388.87</v>
      </c>
      <c r="R1858" s="783">
        <v>667.25</v>
      </c>
      <c r="S1858" s="783">
        <v>326</v>
      </c>
      <c r="T1858" s="783">
        <v>395.62</v>
      </c>
      <c r="U1858" s="785">
        <v>44680.747037036999</v>
      </c>
    </row>
    <row r="1859" spans="1:21">
      <c r="A1859" s="782">
        <v>44698</v>
      </c>
      <c r="B1859" s="783" t="s">
        <v>30</v>
      </c>
      <c r="C1859" s="783" t="s">
        <v>5213</v>
      </c>
      <c r="D1859" s="783" t="s">
        <v>4021</v>
      </c>
      <c r="E1859" s="783" t="s">
        <v>1513</v>
      </c>
      <c r="F1859" s="783" t="s">
        <v>4011</v>
      </c>
      <c r="G1859" s="783" t="str">
        <f t="shared" si="99"/>
        <v>Renewal (15% in 2020)</v>
      </c>
      <c r="H1859" s="783" t="s">
        <v>5214</v>
      </c>
      <c r="I1859" s="783" t="s">
        <v>5215</v>
      </c>
      <c r="J1859" s="783">
        <v>15</v>
      </c>
      <c r="K1859" s="783" t="s">
        <v>442</v>
      </c>
      <c r="L1859" s="783" t="s">
        <v>4014</v>
      </c>
      <c r="M1859" s="784">
        <v>10255.209999999999</v>
      </c>
      <c r="N1859" s="784">
        <v>11.02</v>
      </c>
      <c r="O1859" s="784">
        <v>1.98</v>
      </c>
      <c r="P1859" s="783">
        <v>470</v>
      </c>
      <c r="Q1859" s="783">
        <v>1292.1600000000001</v>
      </c>
      <c r="R1859" s="783">
        <v>729.26</v>
      </c>
      <c r="S1859" s="783">
        <v>206.01</v>
      </c>
      <c r="T1859" s="783">
        <v>356.88</v>
      </c>
      <c r="U1859" s="785">
        <v>44699.511724536998</v>
      </c>
    </row>
    <row r="1860" spans="1:21">
      <c r="A1860" s="782">
        <v>44698</v>
      </c>
      <c r="B1860" s="783" t="s">
        <v>41</v>
      </c>
      <c r="C1860" s="783" t="s">
        <v>4092</v>
      </c>
      <c r="D1860" s="783" t="s">
        <v>4009</v>
      </c>
      <c r="E1860" s="783" t="s">
        <v>5338</v>
      </c>
      <c r="F1860" s="783" t="s">
        <v>4011</v>
      </c>
      <c r="G1860" s="783" t="str">
        <f t="shared" si="99"/>
        <v>Renewal (15% in 2020)</v>
      </c>
      <c r="H1860" s="783" t="s">
        <v>5339</v>
      </c>
      <c r="I1860" s="783" t="s">
        <v>5340</v>
      </c>
      <c r="J1860" s="783">
        <v>15</v>
      </c>
      <c r="K1860" s="783" t="s">
        <v>442</v>
      </c>
      <c r="L1860" s="783" t="s">
        <v>4014</v>
      </c>
      <c r="M1860" s="784">
        <v>5664.74</v>
      </c>
      <c r="N1860" s="784">
        <v>6.39</v>
      </c>
      <c r="O1860" s="784">
        <v>1.97</v>
      </c>
      <c r="P1860" s="783">
        <v>450</v>
      </c>
      <c r="Q1860" s="783">
        <v>866.7</v>
      </c>
      <c r="R1860" s="783">
        <v>358.05</v>
      </c>
      <c r="S1860" s="783">
        <v>91.17</v>
      </c>
      <c r="T1860" s="783">
        <v>417.49</v>
      </c>
      <c r="U1860" s="785">
        <v>44699.495023148098</v>
      </c>
    </row>
    <row r="1861" spans="1:21">
      <c r="A1861" s="782">
        <v>44686</v>
      </c>
      <c r="B1861" s="783" t="s">
        <v>4025</v>
      </c>
      <c r="C1861" s="783" t="s">
        <v>4026</v>
      </c>
      <c r="D1861" s="783" t="s">
        <v>4021</v>
      </c>
      <c r="E1861" s="783" t="s">
        <v>4049</v>
      </c>
      <c r="F1861" s="783" t="s">
        <v>4011</v>
      </c>
      <c r="G1861" s="783" t="str">
        <f t="shared" si="99"/>
        <v>New contract</v>
      </c>
      <c r="H1861" s="783" t="s">
        <v>4050</v>
      </c>
      <c r="I1861" s="783" t="s">
        <v>4051</v>
      </c>
      <c r="J1861" s="783">
        <v>30</v>
      </c>
      <c r="K1861" s="783" t="s">
        <v>442</v>
      </c>
      <c r="L1861" s="783" t="s">
        <v>4014</v>
      </c>
      <c r="M1861" s="784">
        <v>5493.1</v>
      </c>
      <c r="N1861" s="784">
        <v>7.56</v>
      </c>
      <c r="O1861" s="784">
        <v>1.73</v>
      </c>
      <c r="P1861" s="783">
        <v>420</v>
      </c>
      <c r="Q1861" s="783">
        <v>443.29</v>
      </c>
      <c r="R1861" s="783">
        <v>364.19</v>
      </c>
      <c r="S1861" s="783">
        <v>0</v>
      </c>
      <c r="T1861" s="783">
        <v>79.099999999999994</v>
      </c>
      <c r="U1861" s="785">
        <v>44687.618229166699</v>
      </c>
    </row>
    <row r="1862" spans="1:21">
      <c r="A1862" s="782">
        <v>44711</v>
      </c>
      <c r="B1862" s="783" t="s">
        <v>41</v>
      </c>
      <c r="C1862" s="783" t="s">
        <v>4139</v>
      </c>
      <c r="D1862" s="783" t="s">
        <v>4009</v>
      </c>
      <c r="E1862" s="783" t="s">
        <v>549</v>
      </c>
      <c r="F1862" s="783" t="s">
        <v>4011</v>
      </c>
      <c r="G1862" s="783" t="str">
        <f t="shared" si="99"/>
        <v>Renewal (25% in 2020)</v>
      </c>
      <c r="H1862" s="783" t="s">
        <v>5626</v>
      </c>
      <c r="I1862" s="783" t="s">
        <v>5627</v>
      </c>
      <c r="J1862" s="783">
        <v>25</v>
      </c>
      <c r="K1862" s="783" t="s">
        <v>442</v>
      </c>
      <c r="L1862" s="783" t="s">
        <v>4014</v>
      </c>
      <c r="M1862" s="784">
        <v>12082</v>
      </c>
      <c r="N1862" s="784">
        <v>17.260000000000002</v>
      </c>
      <c r="O1862" s="784">
        <v>1.75</v>
      </c>
      <c r="P1862" s="783">
        <v>400</v>
      </c>
      <c r="Q1862" s="783">
        <v>792.58</v>
      </c>
      <c r="R1862" s="783">
        <v>622.22</v>
      </c>
      <c r="S1862" s="783">
        <v>90.62</v>
      </c>
      <c r="T1862" s="783">
        <v>79.739999999999995</v>
      </c>
      <c r="U1862" s="785">
        <v>44712.724351851903</v>
      </c>
    </row>
    <row r="1863" spans="1:21">
      <c r="A1863" s="782">
        <v>44712</v>
      </c>
      <c r="B1863" s="783" t="s">
        <v>4025</v>
      </c>
      <c r="C1863" s="783" t="s">
        <v>4026</v>
      </c>
      <c r="D1863" s="783" t="s">
        <v>4021</v>
      </c>
      <c r="E1863" s="783" t="s">
        <v>4158</v>
      </c>
      <c r="F1863" s="783" t="s">
        <v>4011</v>
      </c>
      <c r="G1863" s="783" t="str">
        <f t="shared" si="99"/>
        <v>New Contract</v>
      </c>
      <c r="H1863" s="783" t="s">
        <v>4159</v>
      </c>
      <c r="I1863" s="783" t="s">
        <v>4160</v>
      </c>
      <c r="J1863" s="783">
        <v>25</v>
      </c>
      <c r="K1863" s="783" t="s">
        <v>442</v>
      </c>
      <c r="L1863" s="783" t="s">
        <v>4014</v>
      </c>
      <c r="M1863" s="784">
        <v>11497.15</v>
      </c>
      <c r="N1863" s="784">
        <v>21.49</v>
      </c>
      <c r="O1863" s="784">
        <v>1.07</v>
      </c>
      <c r="P1863" s="783">
        <v>500</v>
      </c>
      <c r="Q1863" s="783">
        <v>1050.8399999999999</v>
      </c>
      <c r="R1863" s="783">
        <v>643.35</v>
      </c>
      <c r="S1863" s="783">
        <v>241.93</v>
      </c>
      <c r="T1863" s="783">
        <v>165.56</v>
      </c>
      <c r="U1863" s="785">
        <v>44714.012060185203</v>
      </c>
    </row>
    <row r="1864" spans="1:21">
      <c r="A1864" s="782">
        <v>44698</v>
      </c>
      <c r="B1864" s="783" t="s">
        <v>4025</v>
      </c>
      <c r="C1864" s="783" t="s">
        <v>4026</v>
      </c>
      <c r="D1864" s="783" t="s">
        <v>4021</v>
      </c>
      <c r="E1864" s="783" t="s">
        <v>5695</v>
      </c>
      <c r="F1864" s="783" t="s">
        <v>4011</v>
      </c>
      <c r="G1864" s="783" t="str">
        <f t="shared" si="99"/>
        <v>New contract</v>
      </c>
      <c r="H1864" s="783" t="s">
        <v>5696</v>
      </c>
      <c r="I1864" s="783" t="s">
        <v>5697</v>
      </c>
      <c r="J1864" s="783">
        <v>20</v>
      </c>
      <c r="K1864" s="783" t="s">
        <v>442</v>
      </c>
      <c r="L1864" s="783" t="s">
        <v>4014</v>
      </c>
      <c r="M1864" s="784">
        <v>8676.32</v>
      </c>
      <c r="N1864" s="784">
        <v>9.99</v>
      </c>
      <c r="O1864" s="784">
        <v>1.93</v>
      </c>
      <c r="P1864" s="783">
        <v>450</v>
      </c>
      <c r="Q1864" s="783">
        <v>1013.39</v>
      </c>
      <c r="R1864" s="783">
        <v>539.45000000000005</v>
      </c>
      <c r="S1864" s="783">
        <v>128.63</v>
      </c>
      <c r="T1864" s="783">
        <v>345.32</v>
      </c>
      <c r="U1864" s="785">
        <v>44712.625069444402</v>
      </c>
    </row>
    <row r="1865" spans="1:21">
      <c r="A1865" s="782">
        <v>44698</v>
      </c>
      <c r="B1865" s="783" t="s">
        <v>41</v>
      </c>
      <c r="C1865" s="783" t="s">
        <v>4071</v>
      </c>
      <c r="D1865" s="783" t="s">
        <v>4009</v>
      </c>
      <c r="E1865" s="783" t="s">
        <v>5803</v>
      </c>
      <c r="F1865" s="783" t="s">
        <v>4011</v>
      </c>
      <c r="G1865" s="783" t="str">
        <f t="shared" si="99"/>
        <v>Renewal (25% in 2020)</v>
      </c>
      <c r="H1865" s="783" t="s">
        <v>5804</v>
      </c>
      <c r="I1865" s="783" t="s">
        <v>5805</v>
      </c>
      <c r="J1865" s="783">
        <v>20</v>
      </c>
      <c r="K1865" s="783" t="s">
        <v>442</v>
      </c>
      <c r="L1865" s="783" t="s">
        <v>4014</v>
      </c>
      <c r="M1865" s="784">
        <v>5826.6</v>
      </c>
      <c r="N1865" s="784">
        <v>9.9600000000000009</v>
      </c>
      <c r="O1865" s="784">
        <v>1.17</v>
      </c>
      <c r="P1865" s="783">
        <v>500</v>
      </c>
      <c r="Q1865" s="783">
        <v>476.62</v>
      </c>
      <c r="R1865" s="783">
        <v>242.93</v>
      </c>
      <c r="S1865" s="783">
        <v>86.85</v>
      </c>
      <c r="T1865" s="783">
        <v>146.83000000000001</v>
      </c>
      <c r="U1865" s="785">
        <v>44699.7496875</v>
      </c>
    </row>
    <row r="1866" spans="1:21">
      <c r="A1866" s="782">
        <v>44705</v>
      </c>
      <c r="B1866" s="783" t="s">
        <v>4025</v>
      </c>
      <c r="C1866" s="783" t="s">
        <v>4026</v>
      </c>
      <c r="D1866" s="783" t="s">
        <v>4021</v>
      </c>
      <c r="E1866" s="783" t="s">
        <v>1298</v>
      </c>
      <c r="F1866" s="783" t="s">
        <v>4011</v>
      </c>
      <c r="G1866" s="783" t="str">
        <f t="shared" si="99"/>
        <v>New Contract</v>
      </c>
      <c r="H1866" s="783" t="s">
        <v>5851</v>
      </c>
      <c r="I1866" s="783" t="s">
        <v>5852</v>
      </c>
      <c r="J1866" s="783">
        <v>20</v>
      </c>
      <c r="K1866" s="783" t="s">
        <v>442</v>
      </c>
      <c r="L1866" s="783" t="s">
        <v>4014</v>
      </c>
      <c r="M1866" s="784">
        <v>11116.04</v>
      </c>
      <c r="N1866" s="784">
        <v>13.07</v>
      </c>
      <c r="O1866" s="784">
        <v>1.89</v>
      </c>
      <c r="P1866" s="783">
        <v>450</v>
      </c>
      <c r="Q1866" s="783">
        <v>1298.3499999999999</v>
      </c>
      <c r="R1866" s="783">
        <v>691.14</v>
      </c>
      <c r="S1866" s="783">
        <v>164.8</v>
      </c>
      <c r="T1866" s="783">
        <v>442.42</v>
      </c>
      <c r="U1866" s="785">
        <v>44708.834178240701</v>
      </c>
    </row>
    <row r="1867" spans="1:21">
      <c r="A1867" s="782">
        <v>44706</v>
      </c>
      <c r="B1867" s="783" t="s">
        <v>4025</v>
      </c>
      <c r="C1867" s="783" t="s">
        <v>4026</v>
      </c>
      <c r="D1867" s="783" t="s">
        <v>4021</v>
      </c>
      <c r="E1867" s="783" t="s">
        <v>5880</v>
      </c>
      <c r="F1867" s="783" t="s">
        <v>4011</v>
      </c>
      <c r="G1867" s="783" t="str">
        <f t="shared" si="99"/>
        <v>New Contract</v>
      </c>
      <c r="H1867" s="783" t="s">
        <v>5881</v>
      </c>
      <c r="I1867" s="783" t="s">
        <v>5882</v>
      </c>
      <c r="J1867" s="783">
        <v>25</v>
      </c>
      <c r="K1867" s="783" t="s">
        <v>442</v>
      </c>
      <c r="L1867" s="783" t="s">
        <v>4014</v>
      </c>
      <c r="M1867" s="784">
        <v>13952.41</v>
      </c>
      <c r="N1867" s="784">
        <v>15.62</v>
      </c>
      <c r="O1867" s="784">
        <v>1.63</v>
      </c>
      <c r="P1867" s="783">
        <v>548</v>
      </c>
      <c r="Q1867" s="783">
        <v>1275.25</v>
      </c>
      <c r="R1867" s="783">
        <v>712.35</v>
      </c>
      <c r="S1867" s="783">
        <v>361.98</v>
      </c>
      <c r="T1867" s="783">
        <v>200.91</v>
      </c>
      <c r="U1867" s="785">
        <v>44706.460601851897</v>
      </c>
    </row>
    <row r="1868" spans="1:21">
      <c r="A1868" s="782">
        <v>44686</v>
      </c>
      <c r="B1868" s="783" t="s">
        <v>51</v>
      </c>
      <c r="C1868" s="783" t="s">
        <v>4015</v>
      </c>
      <c r="D1868" s="783" t="s">
        <v>4016</v>
      </c>
      <c r="E1868" s="783" t="s">
        <v>2227</v>
      </c>
      <c r="F1868" s="783" t="s">
        <v>4011</v>
      </c>
      <c r="G1868" s="783" t="str">
        <f t="shared" si="99"/>
        <v>Renewal (20% in 2020)</v>
      </c>
      <c r="H1868" s="783" t="s">
        <v>4069</v>
      </c>
      <c r="I1868" s="783" t="s">
        <v>4070</v>
      </c>
      <c r="J1868" s="783">
        <v>20</v>
      </c>
      <c r="K1868" s="783" t="s">
        <v>442</v>
      </c>
      <c r="L1868" s="783" t="s">
        <v>4014</v>
      </c>
      <c r="M1868" s="784">
        <v>13252.5</v>
      </c>
      <c r="N1868" s="784">
        <v>19</v>
      </c>
      <c r="O1868" s="784">
        <v>1.55</v>
      </c>
      <c r="P1868" s="783">
        <v>450</v>
      </c>
      <c r="Q1868" s="783">
        <v>1749.33</v>
      </c>
      <c r="R1868" s="783">
        <v>1017.85</v>
      </c>
      <c r="S1868" s="783">
        <v>233.19</v>
      </c>
      <c r="T1868" s="783">
        <v>498.29</v>
      </c>
      <c r="U1868" s="785">
        <v>44687.664907407401</v>
      </c>
    </row>
    <row r="1869" spans="1:21">
      <c r="A1869" s="782">
        <v>44559</v>
      </c>
      <c r="B1869" s="783" t="s">
        <v>34</v>
      </c>
      <c r="C1869" s="783" t="s">
        <v>4139</v>
      </c>
      <c r="D1869" s="783" t="s">
        <v>4009</v>
      </c>
      <c r="E1869" s="783" t="s">
        <v>6000</v>
      </c>
      <c r="F1869" s="783" t="s">
        <v>4011</v>
      </c>
      <c r="G1869" s="783" t="str">
        <f t="shared" si="99"/>
        <v>Renewal (25% in 2020)</v>
      </c>
      <c r="H1869" s="783" t="s">
        <v>6001</v>
      </c>
      <c r="I1869" s="783" t="s">
        <v>6002</v>
      </c>
      <c r="J1869" s="783">
        <v>25</v>
      </c>
      <c r="K1869" s="783" t="s">
        <v>442</v>
      </c>
      <c r="L1869" s="783" t="s">
        <v>4014</v>
      </c>
      <c r="M1869" s="784">
        <v>5941.67</v>
      </c>
      <c r="N1869" s="784">
        <v>8.41</v>
      </c>
      <c r="O1869" s="784">
        <v>1.57</v>
      </c>
      <c r="P1869" s="783">
        <v>450</v>
      </c>
      <c r="Q1869" s="783">
        <v>389.77</v>
      </c>
      <c r="R1869" s="783">
        <v>286.95999999999998</v>
      </c>
      <c r="S1869" s="783">
        <v>63.6</v>
      </c>
      <c r="T1869" s="783">
        <v>39.21</v>
      </c>
      <c r="U1869" s="785">
        <v>44631.635381944398</v>
      </c>
    </row>
    <row r="1870" spans="1:21">
      <c r="A1870" s="782">
        <v>44572</v>
      </c>
      <c r="B1870" s="783" t="s">
        <v>41</v>
      </c>
      <c r="C1870" s="783" t="s">
        <v>4071</v>
      </c>
      <c r="D1870" s="783" t="s">
        <v>4009</v>
      </c>
      <c r="E1870" s="783" t="s">
        <v>6024</v>
      </c>
      <c r="F1870" s="783" t="s">
        <v>4011</v>
      </c>
      <c r="G1870" s="783" t="str">
        <f t="shared" si="99"/>
        <v>Renewal (15% in 2020)</v>
      </c>
      <c r="H1870" s="783" t="s">
        <v>6025</v>
      </c>
      <c r="I1870" s="783" t="s">
        <v>6026</v>
      </c>
      <c r="J1870" s="783">
        <v>15</v>
      </c>
      <c r="K1870" s="783" t="s">
        <v>442</v>
      </c>
      <c r="L1870" s="783" t="s">
        <v>4014</v>
      </c>
      <c r="M1870" s="784">
        <v>5983.88</v>
      </c>
      <c r="N1870" s="784">
        <v>5.91</v>
      </c>
      <c r="O1870" s="784">
        <v>2.25</v>
      </c>
      <c r="P1870" s="783">
        <v>450</v>
      </c>
      <c r="Q1870" s="783">
        <v>655.23</v>
      </c>
      <c r="R1870" s="783">
        <v>277.20999999999998</v>
      </c>
      <c r="S1870" s="783">
        <v>61.48</v>
      </c>
      <c r="T1870" s="783">
        <v>316.55</v>
      </c>
      <c r="U1870" s="785">
        <v>44631.632210648102</v>
      </c>
    </row>
    <row r="1871" spans="1:21">
      <c r="A1871" s="782">
        <v>44435</v>
      </c>
      <c r="B1871" s="783" t="s">
        <v>41</v>
      </c>
      <c r="C1871" s="783" t="s">
        <v>4092</v>
      </c>
      <c r="D1871" s="783" t="s">
        <v>4009</v>
      </c>
      <c r="E1871" s="783" t="s">
        <v>927</v>
      </c>
      <c r="F1871" s="783" t="s">
        <v>4011</v>
      </c>
      <c r="G1871" s="783" t="str">
        <f t="shared" si="99"/>
        <v>Renewal (15% in 2020)</v>
      </c>
      <c r="H1871" s="783" t="s">
        <v>6161</v>
      </c>
      <c r="I1871" s="783" t="s">
        <v>6162</v>
      </c>
      <c r="J1871" s="783">
        <v>15</v>
      </c>
      <c r="K1871" s="783" t="s">
        <v>442</v>
      </c>
      <c r="L1871" s="783" t="s">
        <v>4014</v>
      </c>
      <c r="M1871" s="784">
        <v>15975</v>
      </c>
      <c r="N1871" s="784">
        <v>25</v>
      </c>
      <c r="O1871" s="784">
        <v>2.13</v>
      </c>
      <c r="P1871" s="783">
        <v>300</v>
      </c>
      <c r="Q1871" s="783">
        <v>2444.1799999999998</v>
      </c>
      <c r="R1871" s="783">
        <v>1076.72</v>
      </c>
      <c r="S1871" s="783">
        <v>190.1</v>
      </c>
      <c r="T1871" s="783">
        <v>1177.3599999999999</v>
      </c>
      <c r="U1871" s="785">
        <v>44631.635891203703</v>
      </c>
    </row>
    <row r="1872" spans="1:21">
      <c r="A1872" s="782">
        <v>44437</v>
      </c>
      <c r="B1872" s="783" t="s">
        <v>51</v>
      </c>
      <c r="C1872" s="783" t="s">
        <v>4796</v>
      </c>
      <c r="D1872" s="783" t="s">
        <v>4016</v>
      </c>
      <c r="E1872" s="783" t="s">
        <v>1435</v>
      </c>
      <c r="F1872" s="783" t="s">
        <v>4011</v>
      </c>
      <c r="G1872" s="783" t="str">
        <f t="shared" si="99"/>
        <v>Renewal (15% in 2020)</v>
      </c>
      <c r="H1872" s="783" t="s">
        <v>6163</v>
      </c>
      <c r="I1872" s="783" t="s">
        <v>6164</v>
      </c>
      <c r="J1872" s="783">
        <v>15</v>
      </c>
      <c r="K1872" s="783" t="s">
        <v>442</v>
      </c>
      <c r="L1872" s="783" t="s">
        <v>4014</v>
      </c>
      <c r="M1872" s="784">
        <v>24110.55</v>
      </c>
      <c r="N1872" s="784">
        <v>20.45</v>
      </c>
      <c r="O1872" s="784">
        <v>2.62</v>
      </c>
      <c r="P1872" s="783">
        <v>450</v>
      </c>
      <c r="Q1872" s="783">
        <v>3182.59</v>
      </c>
      <c r="R1872" s="783">
        <v>1908.31</v>
      </c>
      <c r="S1872" s="783">
        <v>432.82</v>
      </c>
      <c r="T1872" s="783">
        <v>841.46</v>
      </c>
      <c r="U1872" s="785">
        <v>44631.633136574099</v>
      </c>
    </row>
    <row r="1873" spans="1:21">
      <c r="A1873" s="782">
        <v>44434</v>
      </c>
      <c r="B1873" s="783" t="s">
        <v>41</v>
      </c>
      <c r="C1873" s="783" t="s">
        <v>4092</v>
      </c>
      <c r="D1873" s="783" t="s">
        <v>4009</v>
      </c>
      <c r="E1873" s="783" t="s">
        <v>79</v>
      </c>
      <c r="F1873" s="783" t="s">
        <v>4011</v>
      </c>
      <c r="G1873" s="783" t="str">
        <f t="shared" si="99"/>
        <v>Renewal (20% in 2020)</v>
      </c>
      <c r="H1873" s="783" t="s">
        <v>6168</v>
      </c>
      <c r="I1873" s="783" t="s">
        <v>6169</v>
      </c>
      <c r="J1873" s="783">
        <v>20</v>
      </c>
      <c r="K1873" s="783" t="s">
        <v>442</v>
      </c>
      <c r="L1873" s="783" t="s">
        <v>4014</v>
      </c>
      <c r="M1873" s="784">
        <v>31227.52</v>
      </c>
      <c r="N1873" s="784">
        <v>33.08</v>
      </c>
      <c r="O1873" s="784">
        <v>2.36</v>
      </c>
      <c r="P1873" s="783">
        <v>400</v>
      </c>
      <c r="Q1873" s="783">
        <v>3569.31</v>
      </c>
      <c r="R1873" s="783">
        <v>2104.73</v>
      </c>
      <c r="S1873" s="783">
        <v>371.61</v>
      </c>
      <c r="T1873" s="783">
        <v>1092.96</v>
      </c>
      <c r="U1873" s="785">
        <v>44631.6334837963</v>
      </c>
    </row>
    <row r="1874" spans="1:21">
      <c r="A1874" s="782">
        <v>44466</v>
      </c>
      <c r="B1874" s="783" t="s">
        <v>51</v>
      </c>
      <c r="C1874" s="783" t="s">
        <v>4042</v>
      </c>
      <c r="D1874" s="783" t="s">
        <v>4016</v>
      </c>
      <c r="E1874" s="783" t="s">
        <v>6331</v>
      </c>
      <c r="F1874" s="783" t="s">
        <v>4011</v>
      </c>
      <c r="G1874" s="783" t="str">
        <f t="shared" si="99"/>
        <v>New Contract</v>
      </c>
      <c r="H1874" s="783" t="s">
        <v>6332</v>
      </c>
      <c r="I1874" s="783" t="s">
        <v>6333</v>
      </c>
      <c r="J1874" s="783">
        <v>30</v>
      </c>
      <c r="K1874" s="783" t="s">
        <v>442</v>
      </c>
      <c r="L1874" s="783" t="s">
        <v>4014</v>
      </c>
      <c r="M1874" s="784">
        <v>20437.919999999998</v>
      </c>
      <c r="N1874" s="784">
        <v>19.920000000000002</v>
      </c>
      <c r="O1874" s="784">
        <v>2.2799999999999998</v>
      </c>
      <c r="P1874" s="783">
        <v>450</v>
      </c>
      <c r="Q1874" s="783">
        <v>1336.64</v>
      </c>
      <c r="R1874" s="783">
        <v>1073.31</v>
      </c>
      <c r="S1874" s="783">
        <v>71.209999999999994</v>
      </c>
      <c r="T1874" s="783">
        <v>192.12</v>
      </c>
      <c r="U1874" s="785">
        <v>44631.636666666702</v>
      </c>
    </row>
    <row r="1875" spans="1:21">
      <c r="A1875" s="782">
        <v>44488</v>
      </c>
      <c r="B1875" s="783" t="s">
        <v>41</v>
      </c>
      <c r="C1875" s="783" t="s">
        <v>4139</v>
      </c>
      <c r="D1875" s="783" t="s">
        <v>4009</v>
      </c>
      <c r="E1875" s="783" t="s">
        <v>721</v>
      </c>
      <c r="F1875" s="783" t="s">
        <v>4011</v>
      </c>
      <c r="G1875" s="783" t="str">
        <f t="shared" si="99"/>
        <v>Renewal (20% in 2020)</v>
      </c>
      <c r="H1875" s="783" t="s">
        <v>6349</v>
      </c>
      <c r="I1875" s="783" t="s">
        <v>6350</v>
      </c>
      <c r="J1875" s="783">
        <v>20</v>
      </c>
      <c r="K1875" s="783" t="s">
        <v>442</v>
      </c>
      <c r="L1875" s="783" t="s">
        <v>4014</v>
      </c>
      <c r="M1875" s="784">
        <v>19380</v>
      </c>
      <c r="N1875" s="784">
        <v>16.149999999999999</v>
      </c>
      <c r="O1875" s="784">
        <v>2.4</v>
      </c>
      <c r="P1875" s="783">
        <v>500</v>
      </c>
      <c r="Q1875" s="783">
        <v>1649.24</v>
      </c>
      <c r="R1875" s="783">
        <v>842.37</v>
      </c>
      <c r="S1875" s="783">
        <v>301.05</v>
      </c>
      <c r="T1875" s="783">
        <v>505.82</v>
      </c>
      <c r="U1875" s="785">
        <v>44631.637997685197</v>
      </c>
    </row>
    <row r="1876" spans="1:21">
      <c r="A1876" s="782">
        <v>44501</v>
      </c>
      <c r="B1876" s="783" t="s">
        <v>51</v>
      </c>
      <c r="C1876" s="783" t="s">
        <v>4042</v>
      </c>
      <c r="D1876" s="783" t="s">
        <v>4016</v>
      </c>
      <c r="E1876" s="783" t="s">
        <v>2871</v>
      </c>
      <c r="F1876" s="783" t="s">
        <v>4011</v>
      </c>
      <c r="G1876" s="783" t="str">
        <f t="shared" si="99"/>
        <v>Renewal (15% in 2020)</v>
      </c>
      <c r="H1876" s="783" t="s">
        <v>6351</v>
      </c>
      <c r="I1876" s="783" t="s">
        <v>6352</v>
      </c>
      <c r="J1876" s="783">
        <v>15</v>
      </c>
      <c r="K1876" s="783" t="s">
        <v>442</v>
      </c>
      <c r="L1876" s="783" t="s">
        <v>4014</v>
      </c>
      <c r="M1876" s="784">
        <v>17240.849999999999</v>
      </c>
      <c r="N1876" s="784">
        <v>17.82</v>
      </c>
      <c r="O1876" s="784">
        <v>2.15</v>
      </c>
      <c r="P1876" s="783">
        <v>450</v>
      </c>
      <c r="Q1876" s="783">
        <v>2186.14</v>
      </c>
      <c r="R1876" s="783">
        <v>905.41</v>
      </c>
      <c r="S1876" s="783">
        <v>208.35</v>
      </c>
      <c r="T1876" s="783">
        <v>1072.3800000000001</v>
      </c>
      <c r="U1876" s="785">
        <v>44631.638090277796</v>
      </c>
    </row>
    <row r="1877" spans="1:21">
      <c r="A1877" s="782">
        <v>44409</v>
      </c>
      <c r="B1877" s="783" t="s">
        <v>1423</v>
      </c>
      <c r="C1877" s="783" t="s">
        <v>4097</v>
      </c>
      <c r="D1877" s="783" t="s">
        <v>4038</v>
      </c>
      <c r="E1877" s="783" t="s">
        <v>4744</v>
      </c>
      <c r="F1877" s="783" t="s">
        <v>4011</v>
      </c>
      <c r="G1877" s="783" t="str">
        <f t="shared" si="99"/>
        <v>Renewal (25% in 2020)</v>
      </c>
      <c r="H1877" s="783" t="s">
        <v>4745</v>
      </c>
      <c r="I1877" s="783" t="s">
        <v>4746</v>
      </c>
      <c r="J1877" s="783">
        <v>25</v>
      </c>
      <c r="K1877" s="783" t="s">
        <v>407</v>
      </c>
      <c r="L1877" s="783" t="s">
        <v>4014</v>
      </c>
      <c r="M1877" s="784">
        <v>12590.6</v>
      </c>
      <c r="N1877" s="784">
        <v>11.8</v>
      </c>
      <c r="O1877" s="784">
        <v>0.97</v>
      </c>
      <c r="P1877" s="783">
        <v>1100</v>
      </c>
      <c r="Q1877" s="783">
        <v>1187.29</v>
      </c>
      <c r="R1877" s="783">
        <v>545.61</v>
      </c>
      <c r="S1877" s="783">
        <v>442.75</v>
      </c>
      <c r="T1877" s="783">
        <v>198.93</v>
      </c>
      <c r="U1877" s="785">
        <v>44631.504143518498</v>
      </c>
    </row>
    <row r="1878" spans="1:21">
      <c r="A1878" s="782">
        <v>44594</v>
      </c>
      <c r="B1878" s="783" t="s">
        <v>74</v>
      </c>
      <c r="C1878" s="783" t="s">
        <v>4037</v>
      </c>
      <c r="D1878" s="783" t="s">
        <v>4038</v>
      </c>
      <c r="E1878" s="783" t="s">
        <v>6629</v>
      </c>
      <c r="F1878" s="783" t="s">
        <v>4011</v>
      </c>
      <c r="G1878" s="783" t="str">
        <f t="shared" si="99"/>
        <v>New contract</v>
      </c>
      <c r="H1878" s="783" t="s">
        <v>6630</v>
      </c>
      <c r="I1878" s="783" t="s">
        <v>6631</v>
      </c>
      <c r="J1878" s="783">
        <v>15</v>
      </c>
      <c r="K1878" s="783" t="s">
        <v>407</v>
      </c>
      <c r="L1878" s="783" t="s">
        <v>4014</v>
      </c>
      <c r="M1878" s="784">
        <v>25808.76</v>
      </c>
      <c r="N1878" s="784">
        <v>20.78</v>
      </c>
      <c r="O1878" s="784">
        <v>1.08</v>
      </c>
      <c r="P1878" s="783">
        <v>1150</v>
      </c>
      <c r="Q1878" s="783">
        <v>4088.11</v>
      </c>
      <c r="R1878" s="783">
        <v>1494.55</v>
      </c>
      <c r="S1878" s="783">
        <v>1352.15</v>
      </c>
      <c r="T1878" s="783">
        <v>1241.4000000000001</v>
      </c>
      <c r="U1878" s="785">
        <v>44631.629421296297</v>
      </c>
    </row>
    <row r="1879" spans="1:21">
      <c r="A1879" s="782">
        <v>44685</v>
      </c>
      <c r="B1879" s="783" t="s">
        <v>4025</v>
      </c>
      <c r="C1879" s="783" t="s">
        <v>4026</v>
      </c>
      <c r="D1879" s="783" t="s">
        <v>4021</v>
      </c>
      <c r="E1879" s="783" t="s">
        <v>6457</v>
      </c>
      <c r="F1879" s="783" t="s">
        <v>4011</v>
      </c>
      <c r="G1879" s="783" t="str">
        <f t="shared" si="99"/>
        <v>New Contract</v>
      </c>
      <c r="H1879" s="783" t="s">
        <v>6458</v>
      </c>
      <c r="I1879" s="783" t="s">
        <v>6459</v>
      </c>
      <c r="J1879" s="783">
        <v>20</v>
      </c>
      <c r="K1879" s="783" t="s">
        <v>407</v>
      </c>
      <c r="L1879" s="783" t="s">
        <v>4014</v>
      </c>
      <c r="M1879" s="784">
        <v>3722.4</v>
      </c>
      <c r="N1879" s="784">
        <v>8.4600000000000009</v>
      </c>
      <c r="O1879" s="784">
        <v>0.88</v>
      </c>
      <c r="P1879" s="783">
        <v>500</v>
      </c>
      <c r="Q1879" s="783">
        <v>478.33</v>
      </c>
      <c r="R1879" s="783">
        <v>271.36</v>
      </c>
      <c r="S1879" s="783">
        <v>43.92</v>
      </c>
      <c r="T1879" s="783">
        <v>163.04</v>
      </c>
      <c r="U1879" s="785">
        <v>44687.638865740701</v>
      </c>
    </row>
    <row r="1880" spans="1:21">
      <c r="A1880" s="782">
        <v>44681</v>
      </c>
      <c r="B1880" s="783" t="s">
        <v>34</v>
      </c>
      <c r="C1880" s="783" t="s">
        <v>4082</v>
      </c>
      <c r="D1880" s="783" t="s">
        <v>4009</v>
      </c>
      <c r="E1880" s="783" t="s">
        <v>4629</v>
      </c>
      <c r="F1880" s="783" t="s">
        <v>4011</v>
      </c>
      <c r="G1880" s="783" t="str">
        <f t="shared" si="99"/>
        <v>Renewal (20% in 2020)</v>
      </c>
      <c r="H1880" s="783" t="s">
        <v>4630</v>
      </c>
      <c r="I1880" s="783" t="s">
        <v>4631</v>
      </c>
      <c r="J1880" s="783">
        <v>20</v>
      </c>
      <c r="K1880" s="783" t="s">
        <v>407</v>
      </c>
      <c r="L1880" s="783" t="s">
        <v>4014</v>
      </c>
      <c r="M1880" s="784">
        <v>5436</v>
      </c>
      <c r="N1880" s="784">
        <v>6.04</v>
      </c>
      <c r="O1880" s="784">
        <v>1</v>
      </c>
      <c r="P1880" s="783">
        <v>900</v>
      </c>
      <c r="Q1880" s="783">
        <v>645.25</v>
      </c>
      <c r="R1880" s="783">
        <v>296.81</v>
      </c>
      <c r="S1880" s="783">
        <v>150.58000000000001</v>
      </c>
      <c r="T1880" s="783">
        <v>197.87</v>
      </c>
      <c r="U1880" s="785">
        <v>44683.4168055556</v>
      </c>
    </row>
    <row r="1881" spans="1:21">
      <c r="A1881" s="782">
        <v>44681</v>
      </c>
      <c r="B1881" s="783" t="s">
        <v>4025</v>
      </c>
      <c r="C1881" s="783" t="s">
        <v>4026</v>
      </c>
      <c r="D1881" s="783" t="s">
        <v>4021</v>
      </c>
      <c r="E1881" s="783" t="s">
        <v>4231</v>
      </c>
      <c r="F1881" s="783" t="s">
        <v>4011</v>
      </c>
      <c r="G1881" s="783" t="str">
        <f t="shared" si="99"/>
        <v>New Contract</v>
      </c>
      <c r="H1881" s="783" t="s">
        <v>4232</v>
      </c>
      <c r="I1881" s="783" t="s">
        <v>4233</v>
      </c>
      <c r="J1881" s="783">
        <v>25</v>
      </c>
      <c r="K1881" s="783" t="s">
        <v>407</v>
      </c>
      <c r="L1881" s="783" t="s">
        <v>4014</v>
      </c>
      <c r="M1881" s="784">
        <v>2390.4</v>
      </c>
      <c r="N1881" s="784">
        <v>4.9800000000000004</v>
      </c>
      <c r="O1881" s="784">
        <v>0.8</v>
      </c>
      <c r="P1881" s="783">
        <v>600</v>
      </c>
      <c r="Q1881" s="783">
        <v>240.24</v>
      </c>
      <c r="R1881" s="783">
        <v>174.26</v>
      </c>
      <c r="S1881" s="783">
        <v>28.21</v>
      </c>
      <c r="T1881" s="783">
        <v>37.770000000000003</v>
      </c>
      <c r="U1881" s="785">
        <v>44713.630902777797</v>
      </c>
    </row>
    <row r="1882" spans="1:21">
      <c r="A1882" s="782">
        <v>44698</v>
      </c>
      <c r="B1882" s="783" t="s">
        <v>41</v>
      </c>
      <c r="C1882" s="783" t="s">
        <v>4071</v>
      </c>
      <c r="D1882" s="783" t="s">
        <v>4009</v>
      </c>
      <c r="E1882" s="783" t="s">
        <v>6495</v>
      </c>
      <c r="F1882" s="783" t="s">
        <v>4011</v>
      </c>
      <c r="G1882" s="783" t="str">
        <f t="shared" si="99"/>
        <v>Renewal (20% in 2020)</v>
      </c>
      <c r="H1882" s="783" t="s">
        <v>6496</v>
      </c>
      <c r="I1882" s="783" t="s">
        <v>6497</v>
      </c>
      <c r="J1882" s="783">
        <v>20</v>
      </c>
      <c r="K1882" s="783" t="s">
        <v>407</v>
      </c>
      <c r="L1882" s="783" t="s">
        <v>4014</v>
      </c>
      <c r="M1882" s="784">
        <v>85095.360000000001</v>
      </c>
      <c r="N1882" s="784">
        <v>48.24</v>
      </c>
      <c r="O1882" s="784">
        <v>1.47</v>
      </c>
      <c r="P1882" s="783">
        <v>1200</v>
      </c>
      <c r="Q1882" s="783">
        <v>7658.58</v>
      </c>
      <c r="R1882" s="783">
        <v>2704.22</v>
      </c>
      <c r="S1882" s="783">
        <v>2614.2399999999998</v>
      </c>
      <c r="T1882" s="783">
        <v>2340.12</v>
      </c>
      <c r="U1882" s="785">
        <v>44699.4859027778</v>
      </c>
    </row>
    <row r="1883" spans="1:21">
      <c r="A1883" s="782">
        <v>44698</v>
      </c>
      <c r="B1883" s="783" t="s">
        <v>41</v>
      </c>
      <c r="C1883" s="783" t="s">
        <v>4071</v>
      </c>
      <c r="D1883" s="783" t="s">
        <v>4009</v>
      </c>
      <c r="E1883" s="783" t="s">
        <v>6498</v>
      </c>
      <c r="F1883" s="783" t="s">
        <v>4011</v>
      </c>
      <c r="G1883" s="783" t="str">
        <f t="shared" si="99"/>
        <v>Renewal (20% in 2020)</v>
      </c>
      <c r="H1883" s="783" t="s">
        <v>6499</v>
      </c>
      <c r="I1883" s="783" t="s">
        <v>6500</v>
      </c>
      <c r="J1883" s="783">
        <v>20</v>
      </c>
      <c r="K1883" s="783" t="s">
        <v>407</v>
      </c>
      <c r="L1883" s="783" t="s">
        <v>4014</v>
      </c>
      <c r="M1883" s="784">
        <v>21542.42</v>
      </c>
      <c r="N1883" s="784">
        <v>18.190000000000001</v>
      </c>
      <c r="O1883" s="784">
        <v>1.3</v>
      </c>
      <c r="P1883" s="783">
        <v>911</v>
      </c>
      <c r="Q1883" s="783">
        <v>1938.82</v>
      </c>
      <c r="R1883" s="783">
        <v>901.76</v>
      </c>
      <c r="S1883" s="783">
        <v>444.64</v>
      </c>
      <c r="T1883" s="783">
        <v>592.41999999999996</v>
      </c>
      <c r="U1883" s="785">
        <v>44699.751469907402</v>
      </c>
    </row>
    <row r="1884" spans="1:21">
      <c r="A1884" s="782">
        <v>44704</v>
      </c>
      <c r="B1884" s="783" t="s">
        <v>41</v>
      </c>
      <c r="C1884" s="783" t="s">
        <v>4092</v>
      </c>
      <c r="D1884" s="783" t="s">
        <v>4009</v>
      </c>
      <c r="E1884" s="783" t="s">
        <v>4778</v>
      </c>
      <c r="F1884" s="783" t="s">
        <v>4011</v>
      </c>
      <c r="G1884" s="783" t="str">
        <f t="shared" si="99"/>
        <v>Renewal (25% in 2020)</v>
      </c>
      <c r="H1884" s="783" t="s">
        <v>4779</v>
      </c>
      <c r="I1884" s="783" t="s">
        <v>4780</v>
      </c>
      <c r="J1884" s="783">
        <v>25</v>
      </c>
      <c r="K1884" s="783" t="s">
        <v>407</v>
      </c>
      <c r="L1884" s="783" t="s">
        <v>4014</v>
      </c>
      <c r="M1884" s="784">
        <v>14706.12</v>
      </c>
      <c r="N1884" s="784">
        <v>8.57</v>
      </c>
      <c r="O1884" s="784">
        <v>1.32</v>
      </c>
      <c r="P1884" s="783">
        <v>1300</v>
      </c>
      <c r="Q1884" s="783">
        <v>1426.49</v>
      </c>
      <c r="R1884" s="783">
        <v>587.61</v>
      </c>
      <c r="S1884" s="783">
        <v>694.76</v>
      </c>
      <c r="T1884" s="783">
        <v>144.12</v>
      </c>
      <c r="U1884" s="785">
        <v>44704.574444444399</v>
      </c>
    </row>
    <row r="1885" spans="1:21">
      <c r="A1885" s="782">
        <v>44409</v>
      </c>
      <c r="B1885" s="783" t="s">
        <v>47</v>
      </c>
      <c r="C1885" s="783" t="s">
        <v>4834</v>
      </c>
      <c r="D1885" s="783" t="s">
        <v>4258</v>
      </c>
      <c r="E1885" s="783" t="s">
        <v>4835</v>
      </c>
      <c r="F1885" s="783" t="s">
        <v>4011</v>
      </c>
      <c r="G1885" s="783" t="str">
        <f t="shared" si="99"/>
        <v>Renewal (25% in 2020)</v>
      </c>
      <c r="H1885" s="783" t="s">
        <v>4836</v>
      </c>
      <c r="I1885" s="783" t="s">
        <v>4837</v>
      </c>
      <c r="J1885" s="783">
        <v>25</v>
      </c>
      <c r="K1885" s="783" t="s">
        <v>407</v>
      </c>
      <c r="L1885" s="783" t="s">
        <v>4014</v>
      </c>
      <c r="M1885" s="784">
        <v>36000</v>
      </c>
      <c r="N1885" s="784">
        <v>9</v>
      </c>
      <c r="O1885" s="784">
        <v>2</v>
      </c>
      <c r="P1885" s="783">
        <v>2000</v>
      </c>
      <c r="Q1885" s="783">
        <v>2880</v>
      </c>
      <c r="R1885" s="783">
        <v>1955.77</v>
      </c>
      <c r="S1885" s="783">
        <v>600.23</v>
      </c>
      <c r="T1885" s="783">
        <v>324</v>
      </c>
      <c r="U1885" s="785">
        <v>44631.503240740698</v>
      </c>
    </row>
    <row r="1886" spans="1:21">
      <c r="A1886" s="782">
        <v>44694</v>
      </c>
      <c r="B1886" s="783" t="s">
        <v>47</v>
      </c>
      <c r="C1886" s="783" t="s">
        <v>4244</v>
      </c>
      <c r="D1886" s="783" t="s">
        <v>4102</v>
      </c>
      <c r="E1886" s="783" t="s">
        <v>4922</v>
      </c>
      <c r="F1886" s="783" t="s">
        <v>4011</v>
      </c>
      <c r="G1886" s="783" t="s">
        <v>4028</v>
      </c>
      <c r="H1886" s="783" t="s">
        <v>4923</v>
      </c>
      <c r="I1886" s="783" t="s">
        <v>4924</v>
      </c>
      <c r="J1886" s="783">
        <v>25</v>
      </c>
      <c r="K1886" s="783" t="s">
        <v>407</v>
      </c>
      <c r="L1886" s="783" t="s">
        <v>4014</v>
      </c>
      <c r="M1886" s="784">
        <v>48481.599999999999</v>
      </c>
      <c r="N1886" s="784">
        <v>15.44</v>
      </c>
      <c r="O1886" s="784">
        <v>1.57</v>
      </c>
      <c r="P1886" s="783">
        <v>2000</v>
      </c>
      <c r="Q1886" s="783">
        <v>3544</v>
      </c>
      <c r="R1886" s="783">
        <v>2407.61</v>
      </c>
      <c r="S1886" s="783">
        <v>738.85</v>
      </c>
      <c r="T1886" s="783">
        <v>397.55</v>
      </c>
      <c r="U1886" s="785">
        <v>44694.509803240697</v>
      </c>
    </row>
    <row r="1887" spans="1:21">
      <c r="A1887" s="782">
        <v>44690</v>
      </c>
      <c r="B1887" s="783" t="s">
        <v>65</v>
      </c>
      <c r="C1887" s="783" t="s">
        <v>4244</v>
      </c>
      <c r="D1887" s="783" t="s">
        <v>4102</v>
      </c>
      <c r="E1887" s="783" t="s">
        <v>1389</v>
      </c>
      <c r="F1887" s="783" t="s">
        <v>4011</v>
      </c>
      <c r="G1887" s="783" t="str">
        <f t="shared" ref="G1887:G1912" si="100">VLOOKUP(I1887,pacage,2,FALSE)</f>
        <v>Renewal (25% in 2020)</v>
      </c>
      <c r="H1887" s="783" t="s">
        <v>4959</v>
      </c>
      <c r="I1887" s="783" t="s">
        <v>4960</v>
      </c>
      <c r="J1887" s="783">
        <v>25</v>
      </c>
      <c r="K1887" s="783" t="s">
        <v>407</v>
      </c>
      <c r="L1887" s="783" t="s">
        <v>4014</v>
      </c>
      <c r="M1887" s="784">
        <v>173160</v>
      </c>
      <c r="N1887" s="784">
        <v>58.5</v>
      </c>
      <c r="O1887" s="784">
        <v>1.48</v>
      </c>
      <c r="P1887" s="783">
        <v>2000</v>
      </c>
      <c r="Q1887" s="783">
        <v>12658</v>
      </c>
      <c r="R1887" s="783">
        <v>8599.16</v>
      </c>
      <c r="S1887" s="783">
        <v>2638.92</v>
      </c>
      <c r="T1887" s="783">
        <v>1419.91</v>
      </c>
      <c r="U1887" s="785">
        <v>44690.690034722204</v>
      </c>
    </row>
    <row r="1888" spans="1:21">
      <c r="A1888" s="782">
        <v>44695</v>
      </c>
      <c r="B1888" s="783" t="s">
        <v>47</v>
      </c>
      <c r="C1888" s="783" t="s">
        <v>4244</v>
      </c>
      <c r="D1888" s="783" t="s">
        <v>4102</v>
      </c>
      <c r="E1888" s="783" t="s">
        <v>4979</v>
      </c>
      <c r="F1888" s="783" t="s">
        <v>4011</v>
      </c>
      <c r="G1888" s="783" t="str">
        <f t="shared" si="100"/>
        <v>Renewal (25% in 2020)</v>
      </c>
      <c r="H1888" s="783" t="s">
        <v>4980</v>
      </c>
      <c r="I1888" s="783" t="s">
        <v>4981</v>
      </c>
      <c r="J1888" s="783">
        <v>25</v>
      </c>
      <c r="K1888" s="783" t="s">
        <v>407</v>
      </c>
      <c r="L1888" s="783" t="s">
        <v>4014</v>
      </c>
      <c r="M1888" s="784">
        <v>25668.3</v>
      </c>
      <c r="N1888" s="784">
        <v>21.57</v>
      </c>
      <c r="O1888" s="784">
        <v>0.85</v>
      </c>
      <c r="P1888" s="783">
        <v>1400</v>
      </c>
      <c r="Q1888" s="783">
        <v>1876.35</v>
      </c>
      <c r="R1888" s="783">
        <v>1447.69</v>
      </c>
      <c r="S1888" s="783">
        <v>218.18</v>
      </c>
      <c r="T1888" s="783">
        <v>210.48</v>
      </c>
      <c r="U1888" s="785">
        <v>44697.669027777803</v>
      </c>
    </row>
    <row r="1889" spans="1:21">
      <c r="A1889" s="782">
        <v>44696</v>
      </c>
      <c r="B1889" s="783" t="s">
        <v>47</v>
      </c>
      <c r="C1889" s="783" t="s">
        <v>4244</v>
      </c>
      <c r="D1889" s="783" t="s">
        <v>4102</v>
      </c>
      <c r="E1889" s="783" t="s">
        <v>1437</v>
      </c>
      <c r="F1889" s="783" t="s">
        <v>4011</v>
      </c>
      <c r="G1889" s="783" t="str">
        <f t="shared" si="100"/>
        <v>Renewal (30% in 2020)</v>
      </c>
      <c r="H1889" s="783" t="s">
        <v>5115</v>
      </c>
      <c r="I1889" s="783" t="s">
        <v>5116</v>
      </c>
      <c r="J1889" s="783">
        <v>30</v>
      </c>
      <c r="K1889" s="783" t="s">
        <v>407</v>
      </c>
      <c r="L1889" s="783" t="s">
        <v>4014</v>
      </c>
      <c r="M1889" s="784">
        <v>40404</v>
      </c>
      <c r="N1889" s="784">
        <v>22.75</v>
      </c>
      <c r="O1889" s="784">
        <v>1.48</v>
      </c>
      <c r="P1889" s="783">
        <v>1200</v>
      </c>
      <c r="Q1889" s="783">
        <v>2614.14</v>
      </c>
      <c r="R1889" s="783">
        <v>2278.79</v>
      </c>
      <c r="S1889" s="783">
        <v>0</v>
      </c>
      <c r="T1889" s="783">
        <v>335.35</v>
      </c>
      <c r="U1889" s="785">
        <v>44697.413182870398</v>
      </c>
    </row>
    <row r="1890" spans="1:21">
      <c r="A1890" s="782">
        <v>44685</v>
      </c>
      <c r="B1890" s="783" t="s">
        <v>47</v>
      </c>
      <c r="C1890" s="783" t="s">
        <v>4244</v>
      </c>
      <c r="D1890" s="783" t="s">
        <v>4102</v>
      </c>
      <c r="E1890" s="783" t="s">
        <v>425</v>
      </c>
      <c r="F1890" s="783" t="s">
        <v>4011</v>
      </c>
      <c r="G1890" s="783" t="str">
        <f t="shared" si="100"/>
        <v>Renewal (30% in 2020)</v>
      </c>
      <c r="H1890" s="783" t="s">
        <v>4245</v>
      </c>
      <c r="I1890" s="783" t="s">
        <v>4246</v>
      </c>
      <c r="J1890" s="783">
        <v>30</v>
      </c>
      <c r="K1890" s="783" t="s">
        <v>407</v>
      </c>
      <c r="L1890" s="783" t="s">
        <v>4014</v>
      </c>
      <c r="M1890" s="784">
        <v>46704.6</v>
      </c>
      <c r="N1890" s="784">
        <v>16.739999999999998</v>
      </c>
      <c r="O1890" s="784">
        <v>1.86</v>
      </c>
      <c r="P1890" s="783">
        <v>1500</v>
      </c>
      <c r="Q1890" s="783">
        <v>3021.79</v>
      </c>
      <c r="R1890" s="783">
        <v>2634.14</v>
      </c>
      <c r="S1890" s="783">
        <v>0</v>
      </c>
      <c r="T1890" s="783">
        <v>387.65</v>
      </c>
      <c r="U1890" s="785">
        <v>44685.419155092597</v>
      </c>
    </row>
    <row r="1891" spans="1:21">
      <c r="A1891" s="782">
        <v>44709</v>
      </c>
      <c r="B1891" s="783" t="s">
        <v>65</v>
      </c>
      <c r="C1891" s="783" t="s">
        <v>4101</v>
      </c>
      <c r="D1891" s="783" t="s">
        <v>4102</v>
      </c>
      <c r="E1891" s="783" t="s">
        <v>4259</v>
      </c>
      <c r="F1891" s="783" t="s">
        <v>4011</v>
      </c>
      <c r="G1891" s="783" t="str">
        <f t="shared" si="100"/>
        <v>Renewal (30% in 2020)</v>
      </c>
      <c r="H1891" s="783" t="s">
        <v>4260</v>
      </c>
      <c r="I1891" s="783" t="s">
        <v>4261</v>
      </c>
      <c r="J1891" s="783">
        <v>30</v>
      </c>
      <c r="K1891" s="783" t="s">
        <v>407</v>
      </c>
      <c r="L1891" s="783" t="s">
        <v>4014</v>
      </c>
      <c r="M1891" s="784">
        <v>33422.519999999997</v>
      </c>
      <c r="N1891" s="784">
        <v>16.440000000000001</v>
      </c>
      <c r="O1891" s="784">
        <v>1.07</v>
      </c>
      <c r="P1891" s="783">
        <v>1900</v>
      </c>
      <c r="Q1891" s="783">
        <v>2202.54</v>
      </c>
      <c r="R1891" s="783">
        <v>1781.2</v>
      </c>
      <c r="S1891" s="783">
        <v>140.59</v>
      </c>
      <c r="T1891" s="783">
        <v>280.75</v>
      </c>
      <c r="U1891" s="785">
        <v>44712.508101851898</v>
      </c>
    </row>
    <row r="1892" spans="1:21">
      <c r="A1892" s="782">
        <v>44711</v>
      </c>
      <c r="B1892" s="783" t="s">
        <v>65</v>
      </c>
      <c r="C1892" s="783" t="s">
        <v>4152</v>
      </c>
      <c r="D1892" s="783" t="s">
        <v>4102</v>
      </c>
      <c r="E1892" s="783" t="s">
        <v>1769</v>
      </c>
      <c r="F1892" s="783" t="s">
        <v>4011</v>
      </c>
      <c r="G1892" s="783" t="str">
        <f t="shared" si="100"/>
        <v>Renewal (20% in 2020)</v>
      </c>
      <c r="H1892" s="783" t="s">
        <v>4153</v>
      </c>
      <c r="I1892" s="783" t="s">
        <v>4154</v>
      </c>
      <c r="J1892" s="783">
        <v>20</v>
      </c>
      <c r="K1892" s="783" t="s">
        <v>407</v>
      </c>
      <c r="L1892" s="783" t="s">
        <v>4014</v>
      </c>
      <c r="M1892" s="784">
        <v>100529.57</v>
      </c>
      <c r="N1892" s="784">
        <v>40.659999999999997</v>
      </c>
      <c r="O1892" s="784">
        <v>1.08</v>
      </c>
      <c r="P1892" s="783">
        <v>2289.3000000000002</v>
      </c>
      <c r="Q1892" s="783">
        <v>9681</v>
      </c>
      <c r="R1892" s="783">
        <v>4446.5</v>
      </c>
      <c r="S1892" s="783">
        <v>2198.5</v>
      </c>
      <c r="T1892" s="783">
        <v>3035.99</v>
      </c>
      <c r="U1892" s="785">
        <v>44713.613599536999</v>
      </c>
    </row>
    <row r="1893" spans="1:21">
      <c r="A1893" s="782">
        <v>44712</v>
      </c>
      <c r="B1893" s="783" t="s">
        <v>47</v>
      </c>
      <c r="C1893" s="783" t="s">
        <v>4101</v>
      </c>
      <c r="D1893" s="783" t="s">
        <v>4102</v>
      </c>
      <c r="E1893" s="783" t="s">
        <v>406</v>
      </c>
      <c r="F1893" s="783" t="s">
        <v>4011</v>
      </c>
      <c r="G1893" s="783" t="str">
        <f t="shared" si="100"/>
        <v>Renewal (20% in 2020)</v>
      </c>
      <c r="H1893" s="783" t="s">
        <v>4262</v>
      </c>
      <c r="I1893" s="783" t="s">
        <v>4263</v>
      </c>
      <c r="J1893" s="783">
        <v>20</v>
      </c>
      <c r="K1893" s="783" t="s">
        <v>407</v>
      </c>
      <c r="L1893" s="783" t="s">
        <v>4014</v>
      </c>
      <c r="M1893" s="784">
        <v>62942.879999999997</v>
      </c>
      <c r="N1893" s="784">
        <v>34.06</v>
      </c>
      <c r="O1893" s="784">
        <v>1.32</v>
      </c>
      <c r="P1893" s="783">
        <v>1400</v>
      </c>
      <c r="Q1893" s="783">
        <v>6061.4</v>
      </c>
      <c r="R1893" s="783">
        <v>3619.22</v>
      </c>
      <c r="S1893" s="783">
        <v>541.30999999999995</v>
      </c>
      <c r="T1893" s="783">
        <v>1900.87</v>
      </c>
      <c r="U1893" s="785">
        <v>44714.4746296296</v>
      </c>
    </row>
    <row r="1894" spans="1:21">
      <c r="A1894" s="782">
        <v>44712</v>
      </c>
      <c r="B1894" s="783" t="s">
        <v>47</v>
      </c>
      <c r="C1894" s="783" t="s">
        <v>4244</v>
      </c>
      <c r="D1894" s="783" t="s">
        <v>4102</v>
      </c>
      <c r="E1894" s="783" t="s">
        <v>5673</v>
      </c>
      <c r="F1894" s="783" t="s">
        <v>4011</v>
      </c>
      <c r="G1894" s="783" t="str">
        <f t="shared" si="100"/>
        <v>Renewal (15% in 2020)</v>
      </c>
      <c r="H1894" s="783" t="s">
        <v>5674</v>
      </c>
      <c r="I1894" s="783" t="s">
        <v>5675</v>
      </c>
      <c r="J1894" s="783">
        <v>15</v>
      </c>
      <c r="K1894" s="783" t="s">
        <v>407</v>
      </c>
      <c r="L1894" s="783" t="s">
        <v>4014</v>
      </c>
      <c r="M1894" s="784">
        <v>62524</v>
      </c>
      <c r="N1894" s="784">
        <v>20.3</v>
      </c>
      <c r="O1894" s="784">
        <v>1.4</v>
      </c>
      <c r="P1894" s="783">
        <v>2200</v>
      </c>
      <c r="Q1894" s="783">
        <v>7896.78</v>
      </c>
      <c r="R1894" s="783">
        <v>2822.69</v>
      </c>
      <c r="S1894" s="783">
        <v>1235.1199999999999</v>
      </c>
      <c r="T1894" s="783">
        <v>3838.97</v>
      </c>
      <c r="U1894" s="785">
        <v>44714.674097222203</v>
      </c>
    </row>
    <row r="1895" spans="1:21">
      <c r="A1895" s="782">
        <v>44698</v>
      </c>
      <c r="B1895" s="783" t="s">
        <v>65</v>
      </c>
      <c r="C1895" s="783" t="s">
        <v>4244</v>
      </c>
      <c r="D1895" s="783" t="s">
        <v>4102</v>
      </c>
      <c r="E1895" s="783" t="s">
        <v>3778</v>
      </c>
      <c r="F1895" s="783" t="s">
        <v>4011</v>
      </c>
      <c r="G1895" s="783" t="str">
        <f t="shared" si="100"/>
        <v>Renewal (20% in 2020)</v>
      </c>
      <c r="H1895" s="783" t="s">
        <v>5795</v>
      </c>
      <c r="I1895" s="783" t="s">
        <v>5796</v>
      </c>
      <c r="J1895" s="783">
        <v>20</v>
      </c>
      <c r="K1895" s="783" t="s">
        <v>407</v>
      </c>
      <c r="L1895" s="783" t="s">
        <v>4014</v>
      </c>
      <c r="M1895" s="784">
        <v>34238.160000000003</v>
      </c>
      <c r="N1895" s="784">
        <v>11.88</v>
      </c>
      <c r="O1895" s="784">
        <v>1.31</v>
      </c>
      <c r="P1895" s="783">
        <v>2200</v>
      </c>
      <c r="Q1895" s="783">
        <v>3235.51</v>
      </c>
      <c r="R1895" s="783">
        <v>1545.7</v>
      </c>
      <c r="S1895" s="783">
        <v>676.35</v>
      </c>
      <c r="T1895" s="783">
        <v>1013.45</v>
      </c>
      <c r="U1895" s="785">
        <v>44699.596053240697</v>
      </c>
    </row>
    <row r="1896" spans="1:21">
      <c r="A1896" s="782">
        <v>44678</v>
      </c>
      <c r="B1896" s="783" t="s">
        <v>47</v>
      </c>
      <c r="C1896" s="783" t="s">
        <v>4101</v>
      </c>
      <c r="D1896" s="783" t="s">
        <v>4102</v>
      </c>
      <c r="E1896" s="783" t="s">
        <v>4702</v>
      </c>
      <c r="F1896" s="783" t="s">
        <v>4011</v>
      </c>
      <c r="G1896" s="783" t="str">
        <f t="shared" si="100"/>
        <v>Renewal (30% in 2020)</v>
      </c>
      <c r="H1896" s="783" t="s">
        <v>4703</v>
      </c>
      <c r="I1896" s="783" t="s">
        <v>4704</v>
      </c>
      <c r="J1896" s="783">
        <v>30</v>
      </c>
      <c r="K1896" s="783" t="s">
        <v>407</v>
      </c>
      <c r="L1896" s="783" t="s">
        <v>4014</v>
      </c>
      <c r="M1896" s="784">
        <v>103935</v>
      </c>
      <c r="N1896" s="784">
        <v>13</v>
      </c>
      <c r="O1896" s="784">
        <v>5.33</v>
      </c>
      <c r="P1896" s="783">
        <v>1500</v>
      </c>
      <c r="Q1896" s="783">
        <v>6849.32</v>
      </c>
      <c r="R1896" s="783">
        <v>5976.26</v>
      </c>
      <c r="S1896" s="783">
        <v>0</v>
      </c>
      <c r="T1896" s="783">
        <v>873.05</v>
      </c>
      <c r="U1896" s="785">
        <v>44679.479791666701</v>
      </c>
    </row>
    <row r="1897" spans="1:21">
      <c r="A1897" s="782">
        <v>44532</v>
      </c>
      <c r="B1897" s="783" t="s">
        <v>47</v>
      </c>
      <c r="C1897" s="783" t="s">
        <v>4244</v>
      </c>
      <c r="D1897" s="783" t="s">
        <v>4102</v>
      </c>
      <c r="E1897" s="783" t="s">
        <v>6126</v>
      </c>
      <c r="F1897" s="783" t="s">
        <v>4011</v>
      </c>
      <c r="G1897" s="783" t="str">
        <f t="shared" si="100"/>
        <v>Renewal (20% in 2020)</v>
      </c>
      <c r="H1897" s="783" t="s">
        <v>6127</v>
      </c>
      <c r="I1897" s="783" t="s">
        <v>6128</v>
      </c>
      <c r="J1897" s="783">
        <v>20</v>
      </c>
      <c r="K1897" s="783" t="s">
        <v>407</v>
      </c>
      <c r="L1897" s="783" t="s">
        <v>4014</v>
      </c>
      <c r="M1897" s="784">
        <v>56343.1</v>
      </c>
      <c r="N1897" s="784">
        <v>18.7</v>
      </c>
      <c r="O1897" s="784">
        <v>1.31</v>
      </c>
      <c r="P1897" s="783">
        <v>2300</v>
      </c>
      <c r="Q1897" s="783">
        <v>5324.42</v>
      </c>
      <c r="R1897" s="783">
        <v>2433.0500000000002</v>
      </c>
      <c r="S1897" s="783">
        <v>1223.6199999999999</v>
      </c>
      <c r="T1897" s="783">
        <v>1667.76</v>
      </c>
      <c r="U1897" s="785">
        <v>44631.633067129602</v>
      </c>
    </row>
    <row r="1898" spans="1:21">
      <c r="A1898" s="782">
        <v>44606</v>
      </c>
      <c r="B1898" s="783" t="s">
        <v>47</v>
      </c>
      <c r="C1898" s="783" t="s">
        <v>4244</v>
      </c>
      <c r="D1898" s="783" t="s">
        <v>4102</v>
      </c>
      <c r="E1898" s="783" t="s">
        <v>3013</v>
      </c>
      <c r="F1898" s="783" t="s">
        <v>4011</v>
      </c>
      <c r="G1898" s="783" t="str">
        <f t="shared" si="100"/>
        <v>Renewal (25% in 2020)</v>
      </c>
      <c r="H1898" s="783" t="s">
        <v>6135</v>
      </c>
      <c r="I1898" s="783" t="s">
        <v>6136</v>
      </c>
      <c r="J1898" s="783">
        <v>25</v>
      </c>
      <c r="K1898" s="783" t="s">
        <v>407</v>
      </c>
      <c r="L1898" s="783" t="s">
        <v>4014</v>
      </c>
      <c r="M1898" s="784">
        <v>42134.400000000001</v>
      </c>
      <c r="N1898" s="784">
        <v>10.64</v>
      </c>
      <c r="O1898" s="784">
        <v>1.8</v>
      </c>
      <c r="P1898" s="783">
        <v>2200</v>
      </c>
      <c r="Q1898" s="783">
        <v>3080.02</v>
      </c>
      <c r="R1898" s="783">
        <v>1902.18</v>
      </c>
      <c r="S1898" s="783">
        <v>832.34</v>
      </c>
      <c r="T1898" s="783">
        <v>345.5</v>
      </c>
      <c r="U1898" s="785">
        <v>44631.635856481502</v>
      </c>
    </row>
    <row r="1899" spans="1:21">
      <c r="A1899" s="782">
        <v>44533</v>
      </c>
      <c r="B1899" s="783" t="s">
        <v>47</v>
      </c>
      <c r="C1899" s="783" t="s">
        <v>4244</v>
      </c>
      <c r="D1899" s="783" t="s">
        <v>4102</v>
      </c>
      <c r="E1899" s="783" t="s">
        <v>6141</v>
      </c>
      <c r="F1899" s="783" t="s">
        <v>4011</v>
      </c>
      <c r="G1899" s="783" t="str">
        <f t="shared" si="100"/>
        <v>Renewal (20% in 2020)</v>
      </c>
      <c r="H1899" s="783" t="s">
        <v>6142</v>
      </c>
      <c r="I1899" s="783" t="s">
        <v>6143</v>
      </c>
      <c r="J1899" s="783">
        <v>20</v>
      </c>
      <c r="K1899" s="783" t="s">
        <v>407</v>
      </c>
      <c r="L1899" s="783" t="s">
        <v>4014</v>
      </c>
      <c r="M1899" s="784">
        <v>37915.5</v>
      </c>
      <c r="N1899" s="784">
        <v>10.5</v>
      </c>
      <c r="O1899" s="784">
        <v>1.57</v>
      </c>
      <c r="P1899" s="783">
        <v>2300</v>
      </c>
      <c r="Q1899" s="783">
        <v>3583.01</v>
      </c>
      <c r="R1899" s="783">
        <v>1637.3</v>
      </c>
      <c r="S1899" s="783">
        <v>823.42</v>
      </c>
      <c r="T1899" s="783">
        <v>1122.3</v>
      </c>
      <c r="U1899" s="785">
        <v>44631.635543981502</v>
      </c>
    </row>
    <row r="1900" spans="1:21">
      <c r="A1900" s="782">
        <v>44540</v>
      </c>
      <c r="B1900" s="783" t="s">
        <v>47</v>
      </c>
      <c r="C1900" s="783" t="s">
        <v>4244</v>
      </c>
      <c r="D1900" s="783" t="s">
        <v>4102</v>
      </c>
      <c r="E1900" s="783" t="s">
        <v>6146</v>
      </c>
      <c r="F1900" s="783" t="s">
        <v>4011</v>
      </c>
      <c r="G1900" s="783" t="str">
        <f t="shared" si="100"/>
        <v>Renewal (20% in 2020)</v>
      </c>
      <c r="H1900" s="783" t="s">
        <v>6147</v>
      </c>
      <c r="I1900" s="783" t="s">
        <v>6148</v>
      </c>
      <c r="J1900" s="783">
        <v>20</v>
      </c>
      <c r="K1900" s="783" t="s">
        <v>407</v>
      </c>
      <c r="L1900" s="783" t="s">
        <v>4014</v>
      </c>
      <c r="M1900" s="784">
        <v>42030.8</v>
      </c>
      <c r="N1900" s="784">
        <v>17.66</v>
      </c>
      <c r="O1900" s="784">
        <v>1.4</v>
      </c>
      <c r="P1900" s="783">
        <v>1700</v>
      </c>
      <c r="Q1900" s="783">
        <v>3971.91</v>
      </c>
      <c r="R1900" s="783">
        <v>2370.54</v>
      </c>
      <c r="S1900" s="783">
        <v>357.26</v>
      </c>
      <c r="T1900" s="783">
        <v>1244.1099999999999</v>
      </c>
      <c r="U1900" s="785">
        <v>44631.633136574099</v>
      </c>
    </row>
    <row r="1901" spans="1:21">
      <c r="A1901" s="782">
        <v>44692</v>
      </c>
      <c r="B1901" s="783" t="s">
        <v>47</v>
      </c>
      <c r="C1901" s="783" t="s">
        <v>4101</v>
      </c>
      <c r="D1901" s="783" t="s">
        <v>4102</v>
      </c>
      <c r="E1901" s="783" t="s">
        <v>4103</v>
      </c>
      <c r="F1901" s="783" t="s">
        <v>4011</v>
      </c>
      <c r="G1901" s="783" t="str">
        <f t="shared" si="100"/>
        <v>Renewal (15% in 2020)</v>
      </c>
      <c r="H1901" s="783" t="s">
        <v>4104</v>
      </c>
      <c r="I1901" s="783" t="s">
        <v>4105</v>
      </c>
      <c r="J1901" s="783">
        <v>20</v>
      </c>
      <c r="K1901" s="783" t="s">
        <v>6649</v>
      </c>
      <c r="L1901" s="783" t="s">
        <v>4014</v>
      </c>
      <c r="M1901" s="784">
        <v>26504.1</v>
      </c>
      <c r="N1901" s="784">
        <v>6.01</v>
      </c>
      <c r="O1901" s="784">
        <v>0.98</v>
      </c>
      <c r="P1901" s="783">
        <v>4500</v>
      </c>
      <c r="Q1901" s="783">
        <v>2806.78</v>
      </c>
      <c r="R1901" s="783">
        <v>1088.04</v>
      </c>
      <c r="S1901" s="783">
        <v>838.8</v>
      </c>
      <c r="T1901" s="783">
        <v>879.94</v>
      </c>
      <c r="U1901" s="785">
        <v>44692.516574074099</v>
      </c>
    </row>
    <row r="1902" spans="1:21">
      <c r="A1902" s="782">
        <v>44686</v>
      </c>
      <c r="B1902" s="783" t="s">
        <v>51</v>
      </c>
      <c r="C1902" s="783" t="s">
        <v>6275</v>
      </c>
      <c r="D1902" s="783" t="s">
        <v>4258</v>
      </c>
      <c r="E1902" s="783" t="s">
        <v>2212</v>
      </c>
      <c r="F1902" s="783" t="s">
        <v>4011</v>
      </c>
      <c r="G1902" s="783" t="str">
        <f t="shared" si="100"/>
        <v>Renewal (20% in 2020)</v>
      </c>
      <c r="H1902" s="783" t="s">
        <v>5878</v>
      </c>
      <c r="I1902" s="783" t="s">
        <v>5879</v>
      </c>
      <c r="J1902" s="783">
        <v>20</v>
      </c>
      <c r="K1902" s="783" t="s">
        <v>2213</v>
      </c>
      <c r="L1902" s="783" t="s">
        <v>4014</v>
      </c>
      <c r="M1902" s="784">
        <v>54849.15</v>
      </c>
      <c r="N1902" s="784">
        <v>42.03</v>
      </c>
      <c r="O1902" s="784">
        <v>0.9</v>
      </c>
      <c r="P1902" s="783">
        <v>1450</v>
      </c>
      <c r="Q1902" s="783">
        <v>5676.89</v>
      </c>
      <c r="R1902" s="783">
        <v>3395.16</v>
      </c>
      <c r="S1902" s="783">
        <v>510.1</v>
      </c>
      <c r="T1902" s="783">
        <v>1771.63</v>
      </c>
      <c r="U1902" s="785">
        <v>44708.806597222203</v>
      </c>
    </row>
    <row r="1903" spans="1:21">
      <c r="A1903" s="782">
        <v>44698</v>
      </c>
      <c r="B1903" s="783" t="s">
        <v>41</v>
      </c>
      <c r="C1903" s="783" t="s">
        <v>4192</v>
      </c>
      <c r="D1903" s="783" t="s">
        <v>4193</v>
      </c>
      <c r="E1903" s="783" t="s">
        <v>5222</v>
      </c>
      <c r="F1903" s="783" t="s">
        <v>4011</v>
      </c>
      <c r="G1903" s="783" t="str">
        <f t="shared" si="100"/>
        <v>Renewal (20% in 2020)</v>
      </c>
      <c r="H1903" s="783" t="s">
        <v>5223</v>
      </c>
      <c r="I1903" s="783" t="s">
        <v>5224</v>
      </c>
      <c r="J1903" s="783">
        <v>20</v>
      </c>
      <c r="K1903" s="783" t="s">
        <v>589</v>
      </c>
      <c r="L1903" s="783" t="s">
        <v>4014</v>
      </c>
      <c r="M1903" s="784">
        <v>3213.86</v>
      </c>
      <c r="N1903" s="784">
        <v>3.96</v>
      </c>
      <c r="O1903" s="784">
        <v>2.17</v>
      </c>
      <c r="P1903" s="783">
        <v>374</v>
      </c>
      <c r="Q1903" s="783">
        <v>382.77</v>
      </c>
      <c r="R1903" s="783">
        <v>226.26</v>
      </c>
      <c r="S1903" s="783">
        <v>34.71</v>
      </c>
      <c r="T1903" s="783">
        <v>121.81</v>
      </c>
      <c r="U1903" s="785">
        <v>44699.499062499999</v>
      </c>
    </row>
    <row r="1904" spans="1:21">
      <c r="A1904" s="782">
        <v>44712</v>
      </c>
      <c r="B1904" s="783" t="s">
        <v>41</v>
      </c>
      <c r="C1904" s="783" t="s">
        <v>4092</v>
      </c>
      <c r="D1904" s="783" t="s">
        <v>4009</v>
      </c>
      <c r="E1904" s="783" t="s">
        <v>1194</v>
      </c>
      <c r="F1904" s="783" t="s">
        <v>4011</v>
      </c>
      <c r="G1904" s="783" t="str">
        <f t="shared" si="100"/>
        <v>Renewal (15% in 2020)</v>
      </c>
      <c r="H1904" s="783" t="s">
        <v>5668</v>
      </c>
      <c r="I1904" s="783" t="s">
        <v>5669</v>
      </c>
      <c r="J1904" s="783">
        <v>20</v>
      </c>
      <c r="K1904" s="783" t="s">
        <v>589</v>
      </c>
      <c r="L1904" s="783" t="s">
        <v>4014</v>
      </c>
      <c r="M1904" s="784">
        <v>15615.6</v>
      </c>
      <c r="N1904" s="784">
        <v>15.6</v>
      </c>
      <c r="O1904" s="784">
        <v>2.86</v>
      </c>
      <c r="P1904" s="783">
        <v>350</v>
      </c>
      <c r="Q1904" s="783">
        <v>2234.59</v>
      </c>
      <c r="R1904" s="783">
        <v>1317.96</v>
      </c>
      <c r="S1904" s="783">
        <v>229.55</v>
      </c>
      <c r="T1904" s="783">
        <v>687.09</v>
      </c>
      <c r="U1904" s="785">
        <v>44714.578819444403</v>
      </c>
    </row>
    <row r="1905" spans="1:21">
      <c r="A1905" s="782">
        <v>44697</v>
      </c>
      <c r="B1905" s="783" t="s">
        <v>41</v>
      </c>
      <c r="C1905" s="783" t="s">
        <v>4071</v>
      </c>
      <c r="D1905" s="783" t="s">
        <v>4009</v>
      </c>
      <c r="E1905" s="783" t="s">
        <v>5784</v>
      </c>
      <c r="F1905" s="783" t="s">
        <v>4011</v>
      </c>
      <c r="G1905" s="783" t="str">
        <f t="shared" si="100"/>
        <v>Renewal (20% in 2020)</v>
      </c>
      <c r="H1905" s="783" t="s">
        <v>5785</v>
      </c>
      <c r="I1905" s="783" t="s">
        <v>5786</v>
      </c>
      <c r="J1905" s="783">
        <v>20</v>
      </c>
      <c r="K1905" s="783" t="s">
        <v>589</v>
      </c>
      <c r="L1905" s="783" t="s">
        <v>4014</v>
      </c>
      <c r="M1905" s="784">
        <v>10997.91</v>
      </c>
      <c r="N1905" s="784">
        <v>10.58</v>
      </c>
      <c r="O1905" s="784">
        <v>2.97</v>
      </c>
      <c r="P1905" s="783">
        <v>350</v>
      </c>
      <c r="Q1905" s="783">
        <v>1125.0899999999999</v>
      </c>
      <c r="R1905" s="783">
        <v>678.57</v>
      </c>
      <c r="S1905" s="783">
        <v>100.08</v>
      </c>
      <c r="T1905" s="783">
        <v>346.43</v>
      </c>
      <c r="U1905" s="785">
        <v>44699.484548611101</v>
      </c>
    </row>
    <row r="1906" spans="1:21">
      <c r="A1906" s="782">
        <v>44434</v>
      </c>
      <c r="B1906" s="783" t="s">
        <v>41</v>
      </c>
      <c r="C1906" s="783" t="s">
        <v>4092</v>
      </c>
      <c r="D1906" s="783" t="s">
        <v>4009</v>
      </c>
      <c r="E1906" s="783" t="s">
        <v>79</v>
      </c>
      <c r="F1906" s="783" t="s">
        <v>4011</v>
      </c>
      <c r="G1906" s="783" t="str">
        <f t="shared" si="100"/>
        <v>Renewal (20% in 2020)</v>
      </c>
      <c r="H1906" s="783" t="s">
        <v>6168</v>
      </c>
      <c r="I1906" s="783" t="s">
        <v>6169</v>
      </c>
      <c r="J1906" s="783">
        <v>20</v>
      </c>
      <c r="K1906" s="783" t="s">
        <v>589</v>
      </c>
      <c r="L1906" s="783" t="s">
        <v>4014</v>
      </c>
      <c r="M1906" s="784">
        <v>28794</v>
      </c>
      <c r="N1906" s="784">
        <v>47.99</v>
      </c>
      <c r="O1906" s="784">
        <v>2.4</v>
      </c>
      <c r="P1906" s="783">
        <v>250</v>
      </c>
      <c r="Q1906" s="783">
        <v>4120.42</v>
      </c>
      <c r="R1906" s="783">
        <v>2430.21</v>
      </c>
      <c r="S1906" s="783">
        <v>423.27</v>
      </c>
      <c r="T1906" s="783">
        <v>1266.94</v>
      </c>
      <c r="U1906" s="785">
        <v>44631.6334837963</v>
      </c>
    </row>
    <row r="1907" spans="1:21">
      <c r="A1907" s="782">
        <v>44665</v>
      </c>
      <c r="B1907" s="783" t="s">
        <v>41</v>
      </c>
      <c r="C1907" s="783" t="s">
        <v>4139</v>
      </c>
      <c r="D1907" s="783" t="s">
        <v>4009</v>
      </c>
      <c r="E1907" s="783" t="s">
        <v>5969</v>
      </c>
      <c r="F1907" s="783" t="s">
        <v>4011</v>
      </c>
      <c r="G1907" s="783" t="str">
        <f t="shared" si="100"/>
        <v>Renewal (20% in 2020)</v>
      </c>
      <c r="H1907" s="783" t="s">
        <v>5970</v>
      </c>
      <c r="I1907" s="783" t="s">
        <v>5971</v>
      </c>
      <c r="J1907" s="783">
        <v>30</v>
      </c>
      <c r="K1907" s="783" t="s">
        <v>6650</v>
      </c>
      <c r="L1907" s="783" t="s">
        <v>4014</v>
      </c>
      <c r="M1907" s="784">
        <v>28576.9</v>
      </c>
      <c r="N1907" s="784">
        <v>20.75</v>
      </c>
      <c r="O1907" s="784">
        <v>3.13</v>
      </c>
      <c r="P1907" s="783">
        <v>440</v>
      </c>
      <c r="Q1907" s="783">
        <v>2068.9699999999998</v>
      </c>
      <c r="R1907" s="783">
        <v>1559.44</v>
      </c>
      <c r="S1907" s="783">
        <v>275.2</v>
      </c>
      <c r="T1907" s="783">
        <v>234.33</v>
      </c>
      <c r="U1907" s="785">
        <v>44665.6721412037</v>
      </c>
    </row>
    <row r="1908" spans="1:21">
      <c r="A1908" s="782">
        <v>44435</v>
      </c>
      <c r="B1908" s="783" t="s">
        <v>41</v>
      </c>
      <c r="C1908" s="783" t="s">
        <v>4092</v>
      </c>
      <c r="D1908" s="783" t="s">
        <v>4009</v>
      </c>
      <c r="E1908" s="783" t="s">
        <v>927</v>
      </c>
      <c r="F1908" s="783" t="s">
        <v>4011</v>
      </c>
      <c r="G1908" s="783" t="str">
        <f t="shared" si="100"/>
        <v>Renewal (15% in 2020)</v>
      </c>
      <c r="H1908" s="783" t="s">
        <v>6161</v>
      </c>
      <c r="I1908" s="783" t="s">
        <v>6162</v>
      </c>
      <c r="J1908" s="783">
        <v>15</v>
      </c>
      <c r="K1908" s="783" t="s">
        <v>6650</v>
      </c>
      <c r="L1908" s="783" t="s">
        <v>4014</v>
      </c>
      <c r="M1908" s="784">
        <v>4147.5</v>
      </c>
      <c r="N1908" s="784">
        <v>5</v>
      </c>
      <c r="O1908" s="784">
        <v>2.37</v>
      </c>
      <c r="P1908" s="783">
        <v>350</v>
      </c>
      <c r="Q1908" s="783">
        <v>794.66</v>
      </c>
      <c r="R1908" s="783">
        <v>350.05</v>
      </c>
      <c r="S1908" s="783">
        <v>60.97</v>
      </c>
      <c r="T1908" s="783">
        <v>383.64</v>
      </c>
      <c r="U1908" s="785">
        <v>44631.635891203703</v>
      </c>
    </row>
    <row r="1909" spans="1:21">
      <c r="A1909" s="782">
        <v>44696</v>
      </c>
      <c r="B1909" s="783" t="s">
        <v>113</v>
      </c>
      <c r="C1909" s="783" t="s">
        <v>4606</v>
      </c>
      <c r="D1909" s="783" t="s">
        <v>4009</v>
      </c>
      <c r="E1909" s="783" t="s">
        <v>6651</v>
      </c>
      <c r="F1909" s="783" t="s">
        <v>4011</v>
      </c>
      <c r="G1909" s="783" t="str">
        <f t="shared" si="100"/>
        <v>Renewal (15% in 2020)</v>
      </c>
      <c r="H1909" s="783" t="s">
        <v>6652</v>
      </c>
      <c r="I1909" s="783" t="s">
        <v>6653</v>
      </c>
      <c r="J1909" s="783">
        <v>15</v>
      </c>
      <c r="K1909" s="783" t="s">
        <v>2266</v>
      </c>
      <c r="L1909" s="783" t="s">
        <v>4014</v>
      </c>
      <c r="M1909" s="784">
        <v>16099.68</v>
      </c>
      <c r="N1909" s="784">
        <v>6.8</v>
      </c>
      <c r="O1909" s="784">
        <v>19.73</v>
      </c>
      <c r="P1909" s="783">
        <v>120</v>
      </c>
      <c r="Q1909" s="783">
        <v>1867.56</v>
      </c>
      <c r="R1909" s="783">
        <v>613.05999999999995</v>
      </c>
      <c r="S1909" s="783">
        <v>285.3</v>
      </c>
      <c r="T1909" s="783">
        <v>969.2</v>
      </c>
      <c r="U1909" s="785">
        <v>44697.410104166702</v>
      </c>
    </row>
    <row r="1910" spans="1:21">
      <c r="A1910" s="782">
        <v>44708</v>
      </c>
      <c r="B1910" s="783" t="s">
        <v>113</v>
      </c>
      <c r="C1910" s="783" t="s">
        <v>4598</v>
      </c>
      <c r="D1910" s="783" t="s">
        <v>4009</v>
      </c>
      <c r="E1910" s="783" t="s">
        <v>4599</v>
      </c>
      <c r="F1910" s="783" t="s">
        <v>4011</v>
      </c>
      <c r="G1910" s="783" t="str">
        <f t="shared" si="100"/>
        <v>Renewal (25% in 2020)</v>
      </c>
      <c r="H1910" s="783" t="s">
        <v>4600</v>
      </c>
      <c r="I1910" s="783" t="s">
        <v>4601</v>
      </c>
      <c r="J1910" s="783">
        <v>25</v>
      </c>
      <c r="K1910" s="783" t="s">
        <v>2266</v>
      </c>
      <c r="L1910" s="783" t="s">
        <v>4014</v>
      </c>
      <c r="M1910" s="784">
        <v>18143.28</v>
      </c>
      <c r="N1910" s="784">
        <v>12</v>
      </c>
      <c r="O1910" s="784">
        <v>13.38</v>
      </c>
      <c r="P1910" s="783">
        <v>113</v>
      </c>
      <c r="Q1910" s="783">
        <v>1210.1600000000001</v>
      </c>
      <c r="R1910" s="783">
        <v>643.69000000000005</v>
      </c>
      <c r="S1910" s="783">
        <v>305.20999999999998</v>
      </c>
      <c r="T1910" s="783">
        <v>261.26</v>
      </c>
      <c r="U1910" s="785">
        <v>44711.538182870398</v>
      </c>
    </row>
    <row r="1911" spans="1:21">
      <c r="A1911" s="782">
        <v>44409</v>
      </c>
      <c r="B1911" s="783" t="s">
        <v>150</v>
      </c>
      <c r="C1911" s="783" t="s">
        <v>4606</v>
      </c>
      <c r="D1911" s="783" t="s">
        <v>4009</v>
      </c>
      <c r="E1911" s="783" t="s">
        <v>6654</v>
      </c>
      <c r="F1911" s="783" t="s">
        <v>4011</v>
      </c>
      <c r="G1911" s="783" t="str">
        <f t="shared" si="100"/>
        <v>Renewal (25% in 2020)</v>
      </c>
      <c r="H1911" s="783" t="s">
        <v>6655</v>
      </c>
      <c r="I1911" s="783" t="s">
        <v>6656</v>
      </c>
      <c r="J1911" s="783">
        <v>25</v>
      </c>
      <c r="K1911" s="783" t="s">
        <v>1009</v>
      </c>
      <c r="L1911" s="783" t="s">
        <v>4014</v>
      </c>
      <c r="M1911" s="784">
        <v>42015.12</v>
      </c>
      <c r="N1911" s="784">
        <v>17.8</v>
      </c>
      <c r="O1911" s="784">
        <v>19.670000000000002</v>
      </c>
      <c r="P1911" s="783">
        <v>120</v>
      </c>
      <c r="Q1911" s="783">
        <v>1991.52</v>
      </c>
      <c r="R1911" s="783">
        <v>1138.68</v>
      </c>
      <c r="S1911" s="783">
        <v>432.69</v>
      </c>
      <c r="T1911" s="783">
        <v>420.15</v>
      </c>
      <c r="U1911" s="785">
        <v>44631.505254629599</v>
      </c>
    </row>
    <row r="1912" spans="1:21">
      <c r="A1912" s="782">
        <v>44693</v>
      </c>
      <c r="B1912" s="783" t="s">
        <v>41</v>
      </c>
      <c r="C1912" s="783" t="s">
        <v>4071</v>
      </c>
      <c r="D1912" s="783" t="s">
        <v>4009</v>
      </c>
      <c r="E1912" s="783" t="s">
        <v>4949</v>
      </c>
      <c r="F1912" s="783" t="s">
        <v>4011</v>
      </c>
      <c r="G1912" s="783" t="str">
        <f t="shared" si="100"/>
        <v>Renewal (30% in 2020)</v>
      </c>
      <c r="H1912" s="783" t="s">
        <v>4950</v>
      </c>
      <c r="I1912" s="783" t="s">
        <v>4951</v>
      </c>
      <c r="J1912" s="783">
        <v>30</v>
      </c>
      <c r="K1912" s="783" t="s">
        <v>1009</v>
      </c>
      <c r="L1912" s="783" t="s">
        <v>4014</v>
      </c>
      <c r="M1912" s="784">
        <v>12085.91</v>
      </c>
      <c r="N1912" s="784">
        <v>6.13</v>
      </c>
      <c r="O1912" s="784">
        <v>16.43</v>
      </c>
      <c r="P1912" s="783">
        <v>120</v>
      </c>
      <c r="Q1912" s="783">
        <v>523.32000000000005</v>
      </c>
      <c r="R1912" s="783">
        <v>397.74</v>
      </c>
      <c r="S1912" s="783">
        <v>74.819999999999993</v>
      </c>
      <c r="T1912" s="783">
        <v>50.76</v>
      </c>
      <c r="U1912" s="785">
        <v>44693.6965277778</v>
      </c>
    </row>
    <row r="1913" spans="1:21">
      <c r="A1913" s="782">
        <v>44585</v>
      </c>
      <c r="B1913" s="783" t="s">
        <v>74</v>
      </c>
      <c r="C1913" s="783" t="s">
        <v>4097</v>
      </c>
      <c r="D1913" s="783" t="s">
        <v>4038</v>
      </c>
      <c r="E1913" s="783" t="s">
        <v>4281</v>
      </c>
      <c r="F1913" s="783" t="s">
        <v>4011</v>
      </c>
      <c r="G1913" s="783" t="s">
        <v>4028</v>
      </c>
      <c r="H1913" s="783" t="s">
        <v>4282</v>
      </c>
      <c r="I1913" s="783" t="s">
        <v>4283</v>
      </c>
      <c r="J1913" s="783">
        <v>25</v>
      </c>
      <c r="K1913" s="783" t="s">
        <v>1009</v>
      </c>
      <c r="L1913" s="783" t="s">
        <v>4014</v>
      </c>
      <c r="M1913" s="784">
        <v>14333</v>
      </c>
      <c r="N1913" s="784">
        <v>10</v>
      </c>
      <c r="O1913" s="784">
        <v>13.03</v>
      </c>
      <c r="P1913" s="783">
        <v>110</v>
      </c>
      <c r="Q1913" s="783">
        <v>591.95000000000005</v>
      </c>
      <c r="R1913" s="783">
        <v>396.13</v>
      </c>
      <c r="S1913" s="783">
        <v>105.53</v>
      </c>
      <c r="T1913" s="783">
        <v>90.3</v>
      </c>
      <c r="U1913" s="785">
        <v>44631.633425925902</v>
      </c>
    </row>
    <row r="1914" spans="1:21">
      <c r="A1914" s="782">
        <v>44685</v>
      </c>
      <c r="B1914" s="783" t="s">
        <v>118</v>
      </c>
      <c r="C1914" s="783" t="s">
        <v>4139</v>
      </c>
      <c r="D1914" s="783" t="s">
        <v>4009</v>
      </c>
      <c r="E1914" s="783" t="s">
        <v>5102</v>
      </c>
      <c r="F1914" s="783" t="s">
        <v>4011</v>
      </c>
      <c r="G1914" s="783" t="str">
        <f t="shared" ref="G1914:G1951" si="101">VLOOKUP(I1914,pacage,2,FALSE)</f>
        <v>Renewal (15% in 2020)</v>
      </c>
      <c r="H1914" s="783" t="s">
        <v>5103</v>
      </c>
      <c r="I1914" s="783" t="s">
        <v>5104</v>
      </c>
      <c r="J1914" s="783">
        <v>30</v>
      </c>
      <c r="K1914" s="783" t="s">
        <v>1009</v>
      </c>
      <c r="L1914" s="783" t="s">
        <v>4014</v>
      </c>
      <c r="M1914" s="784">
        <v>18115.2</v>
      </c>
      <c r="N1914" s="784">
        <v>12.58</v>
      </c>
      <c r="O1914" s="784">
        <v>18</v>
      </c>
      <c r="P1914" s="783">
        <v>80</v>
      </c>
      <c r="Q1914" s="783">
        <v>612.29</v>
      </c>
      <c r="R1914" s="783">
        <v>556.14</v>
      </c>
      <c r="S1914" s="783">
        <v>0</v>
      </c>
      <c r="T1914" s="783">
        <v>56.16</v>
      </c>
      <c r="U1914" s="785">
        <v>44687.648854166699</v>
      </c>
    </row>
    <row r="1915" spans="1:21">
      <c r="A1915" s="782">
        <v>44682</v>
      </c>
      <c r="B1915" s="783" t="s">
        <v>113</v>
      </c>
      <c r="C1915" s="783" t="s">
        <v>4606</v>
      </c>
      <c r="D1915" s="783" t="s">
        <v>4009</v>
      </c>
      <c r="E1915" s="783" t="s">
        <v>6657</v>
      </c>
      <c r="F1915" s="783" t="s">
        <v>4011</v>
      </c>
      <c r="G1915" s="783" t="str">
        <f t="shared" si="101"/>
        <v>Renewal (15% in 2020)</v>
      </c>
      <c r="H1915" s="783" t="s">
        <v>6658</v>
      </c>
      <c r="I1915" s="783" t="s">
        <v>6659</v>
      </c>
      <c r="J1915" s="783">
        <v>20</v>
      </c>
      <c r="K1915" s="783" t="s">
        <v>1009</v>
      </c>
      <c r="L1915" s="783" t="s">
        <v>4014</v>
      </c>
      <c r="M1915" s="784">
        <v>4721.75</v>
      </c>
      <c r="N1915" s="784">
        <v>2.75</v>
      </c>
      <c r="O1915" s="784">
        <v>17</v>
      </c>
      <c r="P1915" s="783">
        <v>101</v>
      </c>
      <c r="Q1915" s="783">
        <v>277.64</v>
      </c>
      <c r="R1915" s="783">
        <v>152.04</v>
      </c>
      <c r="S1915" s="783">
        <v>24.55</v>
      </c>
      <c r="T1915" s="783">
        <v>101.05</v>
      </c>
      <c r="U1915" s="785">
        <v>44683.415057870399</v>
      </c>
    </row>
    <row r="1916" spans="1:21">
      <c r="A1916" s="782">
        <v>44698</v>
      </c>
      <c r="B1916" s="783" t="s">
        <v>41</v>
      </c>
      <c r="C1916" s="783" t="s">
        <v>4092</v>
      </c>
      <c r="D1916" s="783" t="s">
        <v>4009</v>
      </c>
      <c r="E1916" s="783" t="s">
        <v>5204</v>
      </c>
      <c r="F1916" s="783" t="s">
        <v>4011</v>
      </c>
      <c r="G1916" s="783" t="str">
        <f t="shared" si="101"/>
        <v>Renewal (15% in 2020)</v>
      </c>
      <c r="H1916" s="783" t="s">
        <v>5205</v>
      </c>
      <c r="I1916" s="783" t="s">
        <v>5206</v>
      </c>
      <c r="J1916" s="783">
        <v>15</v>
      </c>
      <c r="K1916" s="783" t="s">
        <v>1009</v>
      </c>
      <c r="L1916" s="783" t="s">
        <v>4014</v>
      </c>
      <c r="M1916" s="784">
        <v>127861.5</v>
      </c>
      <c r="N1916" s="784">
        <v>50</v>
      </c>
      <c r="O1916" s="784">
        <v>10.27</v>
      </c>
      <c r="P1916" s="783">
        <v>249</v>
      </c>
      <c r="Q1916" s="783">
        <v>8771.2999999999993</v>
      </c>
      <c r="R1916" s="783">
        <v>1571.46</v>
      </c>
      <c r="S1916" s="783">
        <v>3018.76</v>
      </c>
      <c r="T1916" s="783">
        <v>4181.07</v>
      </c>
      <c r="U1916" s="785">
        <v>44699.741724537002</v>
      </c>
    </row>
    <row r="1917" spans="1:21">
      <c r="A1917" s="782">
        <v>44710</v>
      </c>
      <c r="B1917" s="783" t="s">
        <v>41</v>
      </c>
      <c r="C1917" s="783" t="s">
        <v>4071</v>
      </c>
      <c r="D1917" s="783" t="s">
        <v>4009</v>
      </c>
      <c r="E1917" s="783" t="s">
        <v>1125</v>
      </c>
      <c r="F1917" s="783" t="s">
        <v>4011</v>
      </c>
      <c r="G1917" s="783" t="str">
        <f t="shared" si="101"/>
        <v>Renewal (15% in 2020)</v>
      </c>
      <c r="H1917" s="783" t="s">
        <v>5228</v>
      </c>
      <c r="I1917" s="783" t="s">
        <v>5229</v>
      </c>
      <c r="J1917" s="783">
        <v>20</v>
      </c>
      <c r="K1917" s="783" t="s">
        <v>1009</v>
      </c>
      <c r="L1917" s="783" t="s">
        <v>4014</v>
      </c>
      <c r="M1917" s="784">
        <v>44892</v>
      </c>
      <c r="N1917" s="784">
        <v>24.94</v>
      </c>
      <c r="O1917" s="784">
        <v>18</v>
      </c>
      <c r="P1917" s="783">
        <v>100</v>
      </c>
      <c r="Q1917" s="783">
        <v>2891.04</v>
      </c>
      <c r="R1917" s="783">
        <v>1755.28</v>
      </c>
      <c r="S1917" s="783">
        <v>278.33</v>
      </c>
      <c r="T1917" s="783">
        <v>857.44</v>
      </c>
      <c r="U1917" s="785">
        <v>44712.651805555601</v>
      </c>
    </row>
    <row r="1918" spans="1:21">
      <c r="A1918" s="782">
        <v>44657</v>
      </c>
      <c r="B1918" s="783" t="s">
        <v>34</v>
      </c>
      <c r="C1918" s="783" t="s">
        <v>4082</v>
      </c>
      <c r="D1918" s="783" t="s">
        <v>4009</v>
      </c>
      <c r="E1918" s="783" t="s">
        <v>4593</v>
      </c>
      <c r="F1918" s="783" t="s">
        <v>4011</v>
      </c>
      <c r="G1918" s="783" t="str">
        <f t="shared" si="101"/>
        <v>Renewal (30% in 2020)</v>
      </c>
      <c r="H1918" s="783" t="s">
        <v>4594</v>
      </c>
      <c r="I1918" s="783" t="s">
        <v>4595</v>
      </c>
      <c r="J1918" s="783">
        <v>30</v>
      </c>
      <c r="K1918" s="783" t="s">
        <v>1009</v>
      </c>
      <c r="L1918" s="783" t="s">
        <v>4014</v>
      </c>
      <c r="M1918" s="784">
        <v>21522.62</v>
      </c>
      <c r="N1918" s="784">
        <v>17.940000000000001</v>
      </c>
      <c r="O1918" s="784">
        <v>13.33</v>
      </c>
      <c r="P1918" s="783">
        <v>90</v>
      </c>
      <c r="Q1918" s="783">
        <v>723.16</v>
      </c>
      <c r="R1918" s="783">
        <v>654.29</v>
      </c>
      <c r="S1918" s="783">
        <v>0</v>
      </c>
      <c r="T1918" s="783">
        <v>68.87</v>
      </c>
      <c r="U1918" s="785">
        <v>44657.630648148202</v>
      </c>
    </row>
    <row r="1919" spans="1:21">
      <c r="A1919" s="782">
        <v>44705</v>
      </c>
      <c r="B1919" s="783" t="s">
        <v>150</v>
      </c>
      <c r="C1919" s="783" t="s">
        <v>5313</v>
      </c>
      <c r="D1919" s="783" t="s">
        <v>4009</v>
      </c>
      <c r="E1919" s="783" t="s">
        <v>5314</v>
      </c>
      <c r="F1919" s="783" t="s">
        <v>4011</v>
      </c>
      <c r="G1919" s="783" t="str">
        <f t="shared" si="101"/>
        <v>New Contract</v>
      </c>
      <c r="H1919" s="783" t="s">
        <v>5315</v>
      </c>
      <c r="I1919" s="783" t="s">
        <v>5316</v>
      </c>
      <c r="J1919" s="783">
        <v>20</v>
      </c>
      <c r="K1919" s="783" t="s">
        <v>1009</v>
      </c>
      <c r="L1919" s="783" t="s">
        <v>4014</v>
      </c>
      <c r="M1919" s="784">
        <v>52883.6</v>
      </c>
      <c r="N1919" s="784">
        <v>26.18</v>
      </c>
      <c r="O1919" s="784">
        <v>20</v>
      </c>
      <c r="P1919" s="783">
        <v>101</v>
      </c>
      <c r="Q1919" s="783">
        <v>2940.33</v>
      </c>
      <c r="R1919" s="783">
        <v>1713.43</v>
      </c>
      <c r="S1919" s="783">
        <v>274.99</v>
      </c>
      <c r="T1919" s="783">
        <v>951.9</v>
      </c>
      <c r="U1919" s="785">
        <v>44706.525081018503</v>
      </c>
    </row>
    <row r="1920" spans="1:21">
      <c r="A1920" s="782">
        <v>44543</v>
      </c>
      <c r="B1920" s="783" t="s">
        <v>74</v>
      </c>
      <c r="C1920" s="783" t="s">
        <v>4097</v>
      </c>
      <c r="D1920" s="783" t="s">
        <v>4038</v>
      </c>
      <c r="E1920" s="783" t="s">
        <v>4322</v>
      </c>
      <c r="F1920" s="783" t="s">
        <v>4011</v>
      </c>
      <c r="G1920" s="783" t="str">
        <f t="shared" si="101"/>
        <v>Renewal (25% in 2020)</v>
      </c>
      <c r="H1920" s="783" t="s">
        <v>4323</v>
      </c>
      <c r="I1920" s="783" t="s">
        <v>4324</v>
      </c>
      <c r="J1920" s="783">
        <v>25</v>
      </c>
      <c r="K1920" s="783" t="s">
        <v>1009</v>
      </c>
      <c r="L1920" s="783" t="s">
        <v>4014</v>
      </c>
      <c r="M1920" s="784">
        <v>11232</v>
      </c>
      <c r="N1920" s="784">
        <v>5.4</v>
      </c>
      <c r="O1920" s="784">
        <v>13</v>
      </c>
      <c r="P1920" s="783">
        <v>160</v>
      </c>
      <c r="Q1920" s="783">
        <v>463.88</v>
      </c>
      <c r="R1920" s="783">
        <v>213.42</v>
      </c>
      <c r="S1920" s="783">
        <v>179.7</v>
      </c>
      <c r="T1920" s="783">
        <v>70.760000000000005</v>
      </c>
      <c r="U1920" s="785">
        <v>44631.626736111102</v>
      </c>
    </row>
    <row r="1921" spans="1:21">
      <c r="A1921" s="782">
        <v>44680</v>
      </c>
      <c r="B1921" s="783" t="s">
        <v>113</v>
      </c>
      <c r="C1921" s="783" t="s">
        <v>4606</v>
      </c>
      <c r="D1921" s="783" t="s">
        <v>4009</v>
      </c>
      <c r="E1921" s="783" t="s">
        <v>6660</v>
      </c>
      <c r="F1921" s="783" t="s">
        <v>4011</v>
      </c>
      <c r="G1921" s="783" t="str">
        <f t="shared" si="101"/>
        <v>Renewal (30% in 2020)</v>
      </c>
      <c r="H1921" s="783" t="s">
        <v>6661</v>
      </c>
      <c r="I1921" s="783" t="s">
        <v>6662</v>
      </c>
      <c r="J1921" s="783">
        <v>30</v>
      </c>
      <c r="K1921" s="783" t="s">
        <v>1009</v>
      </c>
      <c r="L1921" s="783" t="s">
        <v>4014</v>
      </c>
      <c r="M1921" s="784">
        <v>5584.33</v>
      </c>
      <c r="N1921" s="784">
        <v>4.88</v>
      </c>
      <c r="O1921" s="784">
        <v>11.33</v>
      </c>
      <c r="P1921" s="783">
        <v>101</v>
      </c>
      <c r="Q1921" s="783">
        <v>237.33</v>
      </c>
      <c r="R1921" s="783">
        <v>179.82</v>
      </c>
      <c r="S1921" s="783">
        <v>0</v>
      </c>
      <c r="T1921" s="783">
        <v>57.52</v>
      </c>
      <c r="U1921" s="785">
        <v>44683.466747685197</v>
      </c>
    </row>
    <row r="1922" spans="1:21">
      <c r="A1922" s="782">
        <v>44684</v>
      </c>
      <c r="B1922" s="783" t="s">
        <v>118</v>
      </c>
      <c r="C1922" s="783" t="s">
        <v>4139</v>
      </c>
      <c r="D1922" s="783" t="s">
        <v>4009</v>
      </c>
      <c r="E1922" s="783" t="s">
        <v>1581</v>
      </c>
      <c r="F1922" s="783" t="s">
        <v>4011</v>
      </c>
      <c r="G1922" s="783" t="str">
        <f t="shared" si="101"/>
        <v>Renewal (15% in 2020)</v>
      </c>
      <c r="H1922" s="783" t="s">
        <v>5507</v>
      </c>
      <c r="I1922" s="783" t="s">
        <v>5508</v>
      </c>
      <c r="J1922" s="783">
        <v>15</v>
      </c>
      <c r="K1922" s="783" t="s">
        <v>1009</v>
      </c>
      <c r="L1922" s="783" t="s">
        <v>4014</v>
      </c>
      <c r="M1922" s="784">
        <v>22176</v>
      </c>
      <c r="N1922" s="784">
        <v>15.4</v>
      </c>
      <c r="O1922" s="784">
        <v>18</v>
      </c>
      <c r="P1922" s="783">
        <v>80</v>
      </c>
      <c r="Q1922" s="783">
        <v>1505.75</v>
      </c>
      <c r="R1922" s="783">
        <v>680.8</v>
      </c>
      <c r="S1922" s="783">
        <v>110.88</v>
      </c>
      <c r="T1922" s="783">
        <v>714.07</v>
      </c>
      <c r="U1922" s="785">
        <v>44684.386504629598</v>
      </c>
    </row>
    <row r="1923" spans="1:21">
      <c r="A1923" s="782">
        <v>44680</v>
      </c>
      <c r="B1923" s="783" t="s">
        <v>74</v>
      </c>
      <c r="C1923" s="783" t="s">
        <v>4097</v>
      </c>
      <c r="D1923" s="783" t="s">
        <v>4038</v>
      </c>
      <c r="E1923" s="783" t="s">
        <v>4747</v>
      </c>
      <c r="F1923" s="783" t="s">
        <v>4066</v>
      </c>
      <c r="G1923" s="783" t="str">
        <f t="shared" si="101"/>
        <v>Renewal (15% in 2020)</v>
      </c>
      <c r="H1923" s="783" t="s">
        <v>4748</v>
      </c>
      <c r="I1923" s="783" t="s">
        <v>4749</v>
      </c>
      <c r="J1923" s="783">
        <v>5</v>
      </c>
      <c r="K1923" s="783" t="s">
        <v>1009</v>
      </c>
      <c r="L1923" s="783" t="s">
        <v>4014</v>
      </c>
      <c r="M1923" s="784">
        <v>45782.1</v>
      </c>
      <c r="N1923" s="784">
        <v>27.09</v>
      </c>
      <c r="O1923" s="784">
        <v>13</v>
      </c>
      <c r="P1923" s="783">
        <v>130</v>
      </c>
      <c r="Q1923" s="783">
        <v>1867.91</v>
      </c>
      <c r="R1923" s="783">
        <v>0</v>
      </c>
      <c r="S1923" s="783">
        <v>0</v>
      </c>
      <c r="T1923" s="783">
        <v>1867.91</v>
      </c>
      <c r="U1923" s="785">
        <v>44683.493101851898</v>
      </c>
    </row>
    <row r="1924" spans="1:21">
      <c r="A1924" s="782">
        <v>44681</v>
      </c>
      <c r="B1924" s="783" t="s">
        <v>41</v>
      </c>
      <c r="C1924" s="783" t="s">
        <v>4092</v>
      </c>
      <c r="D1924" s="783" t="s">
        <v>4009</v>
      </c>
      <c r="E1924" s="783" t="s">
        <v>5558</v>
      </c>
      <c r="F1924" s="783" t="s">
        <v>4011</v>
      </c>
      <c r="G1924" s="783" t="str">
        <f t="shared" si="101"/>
        <v>Renewal (25% in 2020)</v>
      </c>
      <c r="H1924" s="783" t="s">
        <v>5559</v>
      </c>
      <c r="I1924" s="783" t="s">
        <v>5560</v>
      </c>
      <c r="J1924" s="783">
        <v>25</v>
      </c>
      <c r="K1924" s="783" t="s">
        <v>1009</v>
      </c>
      <c r="L1924" s="783" t="s">
        <v>4014</v>
      </c>
      <c r="M1924" s="784">
        <v>62959.64</v>
      </c>
      <c r="N1924" s="784">
        <v>38.840000000000003</v>
      </c>
      <c r="O1924" s="784">
        <v>16.21</v>
      </c>
      <c r="P1924" s="783">
        <v>100</v>
      </c>
      <c r="Q1924" s="783">
        <v>2474.31</v>
      </c>
      <c r="R1924" s="783">
        <v>1907.68</v>
      </c>
      <c r="S1924" s="783">
        <v>352.57</v>
      </c>
      <c r="T1924" s="783">
        <v>214.06</v>
      </c>
      <c r="U1924" s="785">
        <v>44683.418275463002</v>
      </c>
    </row>
    <row r="1925" spans="1:21">
      <c r="A1925" s="782">
        <v>44686</v>
      </c>
      <c r="B1925" s="783" t="s">
        <v>113</v>
      </c>
      <c r="C1925" s="783" t="s">
        <v>4598</v>
      </c>
      <c r="D1925" s="783" t="s">
        <v>4009</v>
      </c>
      <c r="E1925" s="783" t="s">
        <v>6663</v>
      </c>
      <c r="F1925" s="783" t="s">
        <v>4011</v>
      </c>
      <c r="G1925" s="783" t="str">
        <f t="shared" si="101"/>
        <v>Renewal (25% in 2020)</v>
      </c>
      <c r="H1925" s="783" t="s">
        <v>6664</v>
      </c>
      <c r="I1925" s="783" t="s">
        <v>6665</v>
      </c>
      <c r="J1925" s="783">
        <v>30</v>
      </c>
      <c r="K1925" s="783" t="s">
        <v>1009</v>
      </c>
      <c r="L1925" s="783" t="s">
        <v>4014</v>
      </c>
      <c r="M1925" s="784">
        <v>30030</v>
      </c>
      <c r="N1925" s="784">
        <v>22</v>
      </c>
      <c r="O1925" s="784">
        <v>10.5</v>
      </c>
      <c r="P1925" s="783">
        <v>130</v>
      </c>
      <c r="Q1925" s="783">
        <v>1108.1099999999999</v>
      </c>
      <c r="R1925" s="783">
        <v>660.27</v>
      </c>
      <c r="S1925" s="783">
        <v>189.58</v>
      </c>
      <c r="T1925" s="783">
        <v>258.26</v>
      </c>
      <c r="U1925" s="785">
        <v>44687.666585648098</v>
      </c>
    </row>
    <row r="1926" spans="1:21">
      <c r="A1926" s="782">
        <v>44704</v>
      </c>
      <c r="B1926" s="783" t="s">
        <v>41</v>
      </c>
      <c r="C1926" s="783" t="s">
        <v>4071</v>
      </c>
      <c r="D1926" s="783" t="s">
        <v>4009</v>
      </c>
      <c r="E1926" s="783" t="s">
        <v>322</v>
      </c>
      <c r="F1926" s="783" t="s">
        <v>4011</v>
      </c>
      <c r="G1926" s="783" t="str">
        <f t="shared" si="101"/>
        <v>Renewal (20% in 2020)</v>
      </c>
      <c r="H1926" s="783" t="s">
        <v>5580</v>
      </c>
      <c r="I1926" s="783" t="s">
        <v>5581</v>
      </c>
      <c r="J1926" s="783">
        <v>20</v>
      </c>
      <c r="K1926" s="783" t="s">
        <v>1009</v>
      </c>
      <c r="L1926" s="783" t="s">
        <v>4014</v>
      </c>
      <c r="M1926" s="784">
        <v>132198.87</v>
      </c>
      <c r="N1926" s="784">
        <v>61.93</v>
      </c>
      <c r="O1926" s="784">
        <v>20.329999999999998</v>
      </c>
      <c r="P1926" s="783">
        <v>105</v>
      </c>
      <c r="Q1926" s="783">
        <v>8513.61</v>
      </c>
      <c r="R1926" s="783">
        <v>4972.0600000000004</v>
      </c>
      <c r="S1926" s="783">
        <v>1016.55</v>
      </c>
      <c r="T1926" s="783">
        <v>2525</v>
      </c>
      <c r="U1926" s="785">
        <v>44708.801157407397</v>
      </c>
    </row>
    <row r="1927" spans="1:21">
      <c r="A1927" s="782">
        <v>44715</v>
      </c>
      <c r="B1927" s="783" t="s">
        <v>74</v>
      </c>
      <c r="C1927" s="783" t="s">
        <v>4097</v>
      </c>
      <c r="D1927" s="783" t="s">
        <v>4038</v>
      </c>
      <c r="E1927" s="783" t="s">
        <v>4367</v>
      </c>
      <c r="F1927" s="783" t="s">
        <v>4011</v>
      </c>
      <c r="G1927" s="783" t="str">
        <f t="shared" si="101"/>
        <v>Renewal (15% in 2020)</v>
      </c>
      <c r="H1927" s="783" t="s">
        <v>4368</v>
      </c>
      <c r="I1927" s="783" t="s">
        <v>4369</v>
      </c>
      <c r="J1927" s="783">
        <v>20</v>
      </c>
      <c r="K1927" s="783" t="s">
        <v>1009</v>
      </c>
      <c r="L1927" s="783" t="s">
        <v>4014</v>
      </c>
      <c r="M1927" s="784">
        <v>40764.589999999997</v>
      </c>
      <c r="N1927" s="784">
        <v>21.27</v>
      </c>
      <c r="O1927" s="784">
        <v>14.63</v>
      </c>
      <c r="P1927" s="783">
        <v>131</v>
      </c>
      <c r="Q1927" s="783">
        <v>1964.85</v>
      </c>
      <c r="R1927" s="783">
        <v>946.02</v>
      </c>
      <c r="S1927" s="783">
        <v>480.74</v>
      </c>
      <c r="T1927" s="783">
        <v>538.09</v>
      </c>
      <c r="U1927" s="785">
        <v>44715.465127314797</v>
      </c>
    </row>
    <row r="1928" spans="1:21">
      <c r="A1928" s="782">
        <v>44714</v>
      </c>
      <c r="B1928" s="783" t="s">
        <v>41</v>
      </c>
      <c r="C1928" s="783" t="s">
        <v>4071</v>
      </c>
      <c r="D1928" s="783" t="s">
        <v>4009</v>
      </c>
      <c r="E1928" s="783" t="s">
        <v>3805</v>
      </c>
      <c r="F1928" s="783" t="s">
        <v>4011</v>
      </c>
      <c r="G1928" s="783" t="str">
        <f t="shared" si="101"/>
        <v>Renewal (15% in 2020)</v>
      </c>
      <c r="H1928" s="783" t="s">
        <v>5707</v>
      </c>
      <c r="I1928" s="783" t="s">
        <v>5708</v>
      </c>
      <c r="J1928" s="783">
        <v>15</v>
      </c>
      <c r="K1928" s="783" t="s">
        <v>1009</v>
      </c>
      <c r="L1928" s="783" t="s">
        <v>4014</v>
      </c>
      <c r="M1928" s="784">
        <v>18826.86</v>
      </c>
      <c r="N1928" s="784">
        <v>12.81</v>
      </c>
      <c r="O1928" s="784">
        <v>16.329999999999998</v>
      </c>
      <c r="P1928" s="783">
        <v>90</v>
      </c>
      <c r="Q1928" s="783">
        <v>1630.41</v>
      </c>
      <c r="R1928" s="783">
        <v>736.13</v>
      </c>
      <c r="S1928" s="783">
        <v>116.73</v>
      </c>
      <c r="T1928" s="783">
        <v>777.55</v>
      </c>
      <c r="U1928" s="785">
        <v>44715.447175925903</v>
      </c>
    </row>
    <row r="1929" spans="1:21">
      <c r="A1929" s="782">
        <v>44655</v>
      </c>
      <c r="B1929" s="783" t="s">
        <v>41</v>
      </c>
      <c r="C1929" s="783" t="s">
        <v>4139</v>
      </c>
      <c r="D1929" s="783" t="s">
        <v>4009</v>
      </c>
      <c r="E1929" s="783" t="s">
        <v>5824</v>
      </c>
      <c r="F1929" s="783" t="s">
        <v>4011</v>
      </c>
      <c r="G1929" s="783" t="str">
        <f t="shared" si="101"/>
        <v>Renewal (25% in 2020)</v>
      </c>
      <c r="H1929" s="783" t="s">
        <v>5825</v>
      </c>
      <c r="I1929" s="783" t="s">
        <v>5826</v>
      </c>
      <c r="J1929" s="783">
        <v>25</v>
      </c>
      <c r="K1929" s="783" t="s">
        <v>1009</v>
      </c>
      <c r="L1929" s="783" t="s">
        <v>4014</v>
      </c>
      <c r="M1929" s="784">
        <v>6048</v>
      </c>
      <c r="N1929" s="784">
        <v>4.2</v>
      </c>
      <c r="O1929" s="784">
        <v>16</v>
      </c>
      <c r="P1929" s="783">
        <v>90</v>
      </c>
      <c r="Q1929" s="783">
        <v>234.66</v>
      </c>
      <c r="R1929" s="783">
        <v>185.67</v>
      </c>
      <c r="S1929" s="783">
        <v>30.24</v>
      </c>
      <c r="T1929" s="783">
        <v>18.75</v>
      </c>
      <c r="U1929" s="785">
        <v>44657.6264814815</v>
      </c>
    </row>
    <row r="1930" spans="1:21">
      <c r="A1930" s="782">
        <v>44705</v>
      </c>
      <c r="B1930" s="783" t="s">
        <v>113</v>
      </c>
      <c r="C1930" s="783" t="s">
        <v>4606</v>
      </c>
      <c r="D1930" s="783" t="s">
        <v>4009</v>
      </c>
      <c r="E1930" s="783" t="s">
        <v>6666</v>
      </c>
      <c r="F1930" s="783" t="s">
        <v>4011</v>
      </c>
      <c r="G1930" s="783" t="str">
        <f t="shared" si="101"/>
        <v>Renewal (25% in 2020)</v>
      </c>
      <c r="H1930" s="783" t="s">
        <v>6667</v>
      </c>
      <c r="I1930" s="783" t="s">
        <v>6668</v>
      </c>
      <c r="J1930" s="783">
        <v>25</v>
      </c>
      <c r="K1930" s="783" t="s">
        <v>1009</v>
      </c>
      <c r="L1930" s="783" t="s">
        <v>4014</v>
      </c>
      <c r="M1930" s="784">
        <v>54767.48</v>
      </c>
      <c r="N1930" s="784">
        <v>22.87</v>
      </c>
      <c r="O1930" s="784">
        <v>14.17</v>
      </c>
      <c r="P1930" s="783">
        <v>169</v>
      </c>
      <c r="Q1930" s="783">
        <v>2595.98</v>
      </c>
      <c r="R1930" s="783">
        <v>1053.93</v>
      </c>
      <c r="S1930" s="783">
        <v>994.37</v>
      </c>
      <c r="T1930" s="783">
        <v>547.66999999999996</v>
      </c>
      <c r="U1930" s="785">
        <v>44708.958333333299</v>
      </c>
    </row>
    <row r="1931" spans="1:21">
      <c r="A1931" s="782">
        <v>44672</v>
      </c>
      <c r="B1931" s="783" t="s">
        <v>41</v>
      </c>
      <c r="C1931" s="783" t="s">
        <v>4082</v>
      </c>
      <c r="D1931" s="783" t="s">
        <v>4009</v>
      </c>
      <c r="E1931" s="783" t="s">
        <v>4687</v>
      </c>
      <c r="F1931" s="783" t="s">
        <v>4011</v>
      </c>
      <c r="G1931" s="783" t="str">
        <f t="shared" si="101"/>
        <v>Renewal (20% in 2020)</v>
      </c>
      <c r="H1931" s="783" t="s">
        <v>4688</v>
      </c>
      <c r="I1931" s="783" t="s">
        <v>4689</v>
      </c>
      <c r="J1931" s="783">
        <v>20</v>
      </c>
      <c r="K1931" s="783" t="s">
        <v>1009</v>
      </c>
      <c r="L1931" s="783" t="s">
        <v>4014</v>
      </c>
      <c r="M1931" s="784">
        <v>21430</v>
      </c>
      <c r="N1931" s="784">
        <v>21.43</v>
      </c>
      <c r="O1931" s="784">
        <v>10</v>
      </c>
      <c r="P1931" s="783">
        <v>100</v>
      </c>
      <c r="Q1931" s="783">
        <v>1097.22</v>
      </c>
      <c r="R1931" s="783">
        <v>651.47</v>
      </c>
      <c r="S1931" s="783">
        <v>120.01</v>
      </c>
      <c r="T1931" s="783">
        <v>325.74</v>
      </c>
      <c r="U1931" s="785">
        <v>44673.380335648202</v>
      </c>
    </row>
    <row r="1932" spans="1:21">
      <c r="A1932" s="782">
        <v>44561</v>
      </c>
      <c r="B1932" s="783" t="s">
        <v>41</v>
      </c>
      <c r="C1932" s="783" t="s">
        <v>4082</v>
      </c>
      <c r="D1932" s="783" t="s">
        <v>4009</v>
      </c>
      <c r="E1932" s="783" t="s">
        <v>6528</v>
      </c>
      <c r="F1932" s="783" t="s">
        <v>4011</v>
      </c>
      <c r="G1932" s="783" t="str">
        <f t="shared" si="101"/>
        <v>Renewal (25% in 2020)</v>
      </c>
      <c r="H1932" s="783" t="s">
        <v>6529</v>
      </c>
      <c r="I1932" s="783" t="s">
        <v>6530</v>
      </c>
      <c r="J1932" s="783">
        <v>25</v>
      </c>
      <c r="K1932" s="783" t="s">
        <v>1009</v>
      </c>
      <c r="L1932" s="783" t="s">
        <v>4014</v>
      </c>
      <c r="M1932" s="784">
        <v>18200.2</v>
      </c>
      <c r="N1932" s="784">
        <v>20</v>
      </c>
      <c r="O1932" s="784">
        <v>9.01</v>
      </c>
      <c r="P1932" s="783">
        <v>101</v>
      </c>
      <c r="Q1932" s="783">
        <v>715.27</v>
      </c>
      <c r="R1932" s="783">
        <v>553.29</v>
      </c>
      <c r="S1932" s="783">
        <v>101.92</v>
      </c>
      <c r="T1932" s="783">
        <v>60.06</v>
      </c>
      <c r="U1932" s="785">
        <v>44631.637164351901</v>
      </c>
    </row>
    <row r="1933" spans="1:21">
      <c r="A1933" s="782">
        <v>44503</v>
      </c>
      <c r="B1933" s="783" t="s">
        <v>41</v>
      </c>
      <c r="C1933" s="783" t="s">
        <v>4071</v>
      </c>
      <c r="D1933" s="783" t="s">
        <v>4009</v>
      </c>
      <c r="E1933" s="783" t="s">
        <v>6258</v>
      </c>
      <c r="F1933" s="783" t="s">
        <v>4011</v>
      </c>
      <c r="G1933" s="783" t="str">
        <f t="shared" si="101"/>
        <v>Renewal (25% in 2020)</v>
      </c>
      <c r="H1933" s="783" t="s">
        <v>6259</v>
      </c>
      <c r="I1933" s="783" t="s">
        <v>6260</v>
      </c>
      <c r="J1933" s="783">
        <v>25</v>
      </c>
      <c r="K1933" s="783" t="s">
        <v>1009</v>
      </c>
      <c r="L1933" s="783" t="s">
        <v>4014</v>
      </c>
      <c r="M1933" s="784">
        <v>12130</v>
      </c>
      <c r="N1933" s="784">
        <v>10</v>
      </c>
      <c r="O1933" s="784">
        <v>12.13</v>
      </c>
      <c r="P1933" s="783">
        <v>100</v>
      </c>
      <c r="Q1933" s="783">
        <v>601.65</v>
      </c>
      <c r="R1933" s="783">
        <v>474.28</v>
      </c>
      <c r="S1933" s="783">
        <v>75.209999999999994</v>
      </c>
      <c r="T1933" s="783">
        <v>52.16</v>
      </c>
      <c r="U1933" s="785">
        <v>44631.633391203701</v>
      </c>
    </row>
    <row r="1934" spans="1:21">
      <c r="A1934" s="782">
        <v>44448</v>
      </c>
      <c r="B1934" s="783" t="s">
        <v>228</v>
      </c>
      <c r="C1934" s="783" t="s">
        <v>4020</v>
      </c>
      <c r="D1934" s="783" t="s">
        <v>4021</v>
      </c>
      <c r="E1934" s="783" t="s">
        <v>4784</v>
      </c>
      <c r="F1934" s="783" t="s">
        <v>4011</v>
      </c>
      <c r="G1934" s="783" t="str">
        <f t="shared" si="101"/>
        <v>Renewal (30% in 2020)</v>
      </c>
      <c r="H1934" s="783" t="s">
        <v>4785</v>
      </c>
      <c r="I1934" s="783" t="s">
        <v>4786</v>
      </c>
      <c r="J1934" s="783">
        <v>30</v>
      </c>
      <c r="K1934" s="783" t="s">
        <v>898</v>
      </c>
      <c r="L1934" s="783" t="s">
        <v>4014</v>
      </c>
      <c r="M1934" s="784">
        <v>2560.35</v>
      </c>
      <c r="N1934" s="784">
        <v>5</v>
      </c>
      <c r="O1934" s="784">
        <v>5.07</v>
      </c>
      <c r="P1934" s="783">
        <v>101</v>
      </c>
      <c r="Q1934" s="783">
        <v>136.97999999999999</v>
      </c>
      <c r="R1934" s="783">
        <v>118.29</v>
      </c>
      <c r="S1934" s="783">
        <v>0</v>
      </c>
      <c r="T1934" s="783">
        <v>18.690000000000001</v>
      </c>
      <c r="U1934" s="785">
        <v>44631.502951388902</v>
      </c>
    </row>
    <row r="1935" spans="1:21">
      <c r="A1935" s="782">
        <v>44502</v>
      </c>
      <c r="B1935" s="783" t="s">
        <v>51</v>
      </c>
      <c r="C1935" s="783" t="s">
        <v>4796</v>
      </c>
      <c r="D1935" s="783" t="s">
        <v>4016</v>
      </c>
      <c r="E1935" s="783" t="s">
        <v>4797</v>
      </c>
      <c r="F1935" s="783" t="s">
        <v>4011</v>
      </c>
      <c r="G1935" s="783" t="str">
        <f t="shared" si="101"/>
        <v>Renewal (20% in 2020)</v>
      </c>
      <c r="H1935" s="783" t="s">
        <v>4798</v>
      </c>
      <c r="I1935" s="783" t="s">
        <v>4799</v>
      </c>
      <c r="J1935" s="783">
        <v>20</v>
      </c>
      <c r="K1935" s="783" t="s">
        <v>898</v>
      </c>
      <c r="L1935" s="783" t="s">
        <v>4014</v>
      </c>
      <c r="M1935" s="784">
        <v>23301.05</v>
      </c>
      <c r="N1935" s="784">
        <v>17.350000000000001</v>
      </c>
      <c r="O1935" s="784">
        <v>13.43</v>
      </c>
      <c r="P1935" s="783">
        <v>100</v>
      </c>
      <c r="Q1935" s="783">
        <v>1857.09</v>
      </c>
      <c r="R1935" s="783">
        <v>1104.47</v>
      </c>
      <c r="S1935" s="783">
        <v>177.09</v>
      </c>
      <c r="T1935" s="783">
        <v>575.54</v>
      </c>
      <c r="U1935" s="785">
        <v>44631.503113425897</v>
      </c>
    </row>
    <row r="1936" spans="1:21">
      <c r="A1936" s="782">
        <v>44508</v>
      </c>
      <c r="B1936" s="783" t="s">
        <v>4025</v>
      </c>
      <c r="C1936" s="783" t="s">
        <v>4026</v>
      </c>
      <c r="D1936" s="783" t="s">
        <v>4021</v>
      </c>
      <c r="E1936" s="783" t="s">
        <v>4803</v>
      </c>
      <c r="F1936" s="783" t="s">
        <v>4011</v>
      </c>
      <c r="G1936" s="783" t="str">
        <f t="shared" si="101"/>
        <v>New Contract</v>
      </c>
      <c r="H1936" s="783" t="s">
        <v>4804</v>
      </c>
      <c r="I1936" s="783" t="s">
        <v>4805</v>
      </c>
      <c r="J1936" s="783">
        <v>25</v>
      </c>
      <c r="K1936" s="783" t="s">
        <v>898</v>
      </c>
      <c r="L1936" s="783" t="s">
        <v>4014</v>
      </c>
      <c r="M1936" s="784">
        <v>7144</v>
      </c>
      <c r="N1936" s="784">
        <v>8</v>
      </c>
      <c r="O1936" s="784">
        <v>8.93</v>
      </c>
      <c r="P1936" s="783">
        <v>100</v>
      </c>
      <c r="Q1936" s="783">
        <v>389.35</v>
      </c>
      <c r="R1936" s="783">
        <v>290.76</v>
      </c>
      <c r="S1936" s="783">
        <v>46.44</v>
      </c>
      <c r="T1936" s="783">
        <v>52.15</v>
      </c>
      <c r="U1936" s="785">
        <v>44631.506620370397</v>
      </c>
    </row>
    <row r="1937" spans="1:21">
      <c r="A1937" s="782">
        <v>44409</v>
      </c>
      <c r="B1937" s="783" t="s">
        <v>30</v>
      </c>
      <c r="C1937" s="783" t="s">
        <v>4089</v>
      </c>
      <c r="D1937" s="783" t="s">
        <v>4021</v>
      </c>
      <c r="E1937" s="783" t="s">
        <v>2560</v>
      </c>
      <c r="F1937" s="783" t="s">
        <v>4011</v>
      </c>
      <c r="G1937" s="783" t="str">
        <f t="shared" si="101"/>
        <v>Renewal (20% in 2020)</v>
      </c>
      <c r="H1937" s="783" t="s">
        <v>4809</v>
      </c>
      <c r="I1937" s="783" t="s">
        <v>4810</v>
      </c>
      <c r="J1937" s="783">
        <v>20</v>
      </c>
      <c r="K1937" s="783" t="s">
        <v>898</v>
      </c>
      <c r="L1937" s="783" t="s">
        <v>4014</v>
      </c>
      <c r="M1937" s="784">
        <v>41830.199999999997</v>
      </c>
      <c r="N1937" s="784">
        <v>34</v>
      </c>
      <c r="O1937" s="784">
        <v>13.67</v>
      </c>
      <c r="P1937" s="783">
        <v>90</v>
      </c>
      <c r="Q1937" s="783">
        <v>3329.68</v>
      </c>
      <c r="R1937" s="783">
        <v>1936.74</v>
      </c>
      <c r="S1937" s="783">
        <v>317.91000000000003</v>
      </c>
      <c r="T1937" s="783">
        <v>1075.04</v>
      </c>
      <c r="U1937" s="785">
        <v>44631.507592592599</v>
      </c>
    </row>
    <row r="1938" spans="1:21">
      <c r="A1938" s="782">
        <v>44409</v>
      </c>
      <c r="B1938" s="783" t="s">
        <v>113</v>
      </c>
      <c r="C1938" s="783" t="s">
        <v>4037</v>
      </c>
      <c r="D1938" s="783" t="s">
        <v>4038</v>
      </c>
      <c r="E1938" s="783" t="s">
        <v>6669</v>
      </c>
      <c r="F1938" s="783" t="s">
        <v>4011</v>
      </c>
      <c r="G1938" s="783" t="str">
        <f t="shared" si="101"/>
        <v>Renewal (15% in 2020)</v>
      </c>
      <c r="H1938" s="783" t="s">
        <v>6670</v>
      </c>
      <c r="I1938" s="783" t="s">
        <v>6671</v>
      </c>
      <c r="J1938" s="783">
        <v>15</v>
      </c>
      <c r="K1938" s="783" t="s">
        <v>898</v>
      </c>
      <c r="L1938" s="783" t="s">
        <v>4014</v>
      </c>
      <c r="M1938" s="784">
        <v>6820.11</v>
      </c>
      <c r="N1938" s="784">
        <v>5.83</v>
      </c>
      <c r="O1938" s="784">
        <v>8.93</v>
      </c>
      <c r="P1938" s="783">
        <v>131</v>
      </c>
      <c r="Q1938" s="783">
        <v>765.22</v>
      </c>
      <c r="R1938" s="783">
        <v>246.61</v>
      </c>
      <c r="S1938" s="783">
        <v>126.45</v>
      </c>
      <c r="T1938" s="783">
        <v>392.16</v>
      </c>
      <c r="U1938" s="785">
        <v>44631.504884259302</v>
      </c>
    </row>
    <row r="1939" spans="1:21">
      <c r="A1939" s="782">
        <v>44409</v>
      </c>
      <c r="B1939" s="783" t="s">
        <v>113</v>
      </c>
      <c r="C1939" s="783" t="s">
        <v>4606</v>
      </c>
      <c r="D1939" s="783" t="s">
        <v>4009</v>
      </c>
      <c r="E1939" s="783" t="s">
        <v>6672</v>
      </c>
      <c r="F1939" s="783" t="s">
        <v>4011</v>
      </c>
      <c r="G1939" s="783" t="str">
        <f t="shared" si="101"/>
        <v>Renewal (20% in 2020)</v>
      </c>
      <c r="H1939" s="783" t="s">
        <v>6673</v>
      </c>
      <c r="I1939" s="783" t="s">
        <v>6674</v>
      </c>
      <c r="J1939" s="783">
        <v>20</v>
      </c>
      <c r="K1939" s="783" t="s">
        <v>898</v>
      </c>
      <c r="L1939" s="783" t="s">
        <v>4014</v>
      </c>
      <c r="M1939" s="784">
        <v>27783.4</v>
      </c>
      <c r="N1939" s="784">
        <v>23.83</v>
      </c>
      <c r="O1939" s="784">
        <v>8.9</v>
      </c>
      <c r="P1939" s="783">
        <v>131</v>
      </c>
      <c r="Q1939" s="783">
        <v>1750.35</v>
      </c>
      <c r="R1939" s="783">
        <v>739.02</v>
      </c>
      <c r="S1939" s="783">
        <v>377.88</v>
      </c>
      <c r="T1939" s="783">
        <v>633.46</v>
      </c>
      <c r="U1939" s="785">
        <v>44631.505162037</v>
      </c>
    </row>
    <row r="1940" spans="1:21">
      <c r="A1940" s="782">
        <v>44409</v>
      </c>
      <c r="B1940" s="783" t="s">
        <v>113</v>
      </c>
      <c r="C1940" s="783" t="s">
        <v>4606</v>
      </c>
      <c r="D1940" s="783" t="s">
        <v>4009</v>
      </c>
      <c r="E1940" s="783" t="s">
        <v>6675</v>
      </c>
      <c r="F1940" s="783" t="s">
        <v>4011</v>
      </c>
      <c r="G1940" s="783" t="str">
        <f t="shared" si="101"/>
        <v>Renewal (15% in 2020)</v>
      </c>
      <c r="H1940" s="783" t="s">
        <v>6676</v>
      </c>
      <c r="I1940" s="783" t="s">
        <v>6677</v>
      </c>
      <c r="J1940" s="783">
        <v>15</v>
      </c>
      <c r="K1940" s="783" t="s">
        <v>898</v>
      </c>
      <c r="L1940" s="783" t="s">
        <v>4014</v>
      </c>
      <c r="M1940" s="784">
        <v>4872.1499999999996</v>
      </c>
      <c r="N1940" s="784">
        <v>2.73</v>
      </c>
      <c r="O1940" s="784">
        <v>17.670000000000002</v>
      </c>
      <c r="P1940" s="783">
        <v>101</v>
      </c>
      <c r="Q1940" s="783">
        <v>395.62</v>
      </c>
      <c r="R1940" s="783">
        <v>168.09</v>
      </c>
      <c r="S1940" s="783">
        <v>27.77</v>
      </c>
      <c r="T1940" s="783">
        <v>199.76</v>
      </c>
      <c r="U1940" s="785">
        <v>44631.505092592597</v>
      </c>
    </row>
    <row r="1941" spans="1:21">
      <c r="A1941" s="782">
        <v>44501</v>
      </c>
      <c r="B1941" s="783" t="s">
        <v>41</v>
      </c>
      <c r="C1941" s="783" t="s">
        <v>4071</v>
      </c>
      <c r="D1941" s="783" t="s">
        <v>4009</v>
      </c>
      <c r="E1941" s="783" t="s">
        <v>4862</v>
      </c>
      <c r="F1941" s="783" t="s">
        <v>4011</v>
      </c>
      <c r="G1941" s="783" t="str">
        <f t="shared" si="101"/>
        <v>Renewal (15% in 2020)</v>
      </c>
      <c r="H1941" s="783" t="s">
        <v>4863</v>
      </c>
      <c r="I1941" s="783" t="s">
        <v>4864</v>
      </c>
      <c r="J1941" s="783">
        <v>15</v>
      </c>
      <c r="K1941" s="783" t="s">
        <v>898</v>
      </c>
      <c r="L1941" s="783" t="s">
        <v>4014</v>
      </c>
      <c r="M1941" s="784">
        <v>4630.38</v>
      </c>
      <c r="N1941" s="784">
        <v>3.37</v>
      </c>
      <c r="O1941" s="784">
        <v>9.16</v>
      </c>
      <c r="P1941" s="783">
        <v>150</v>
      </c>
      <c r="Q1941" s="783">
        <v>540.83000000000004</v>
      </c>
      <c r="R1941" s="783">
        <v>165.24</v>
      </c>
      <c r="S1941" s="783">
        <v>119.53</v>
      </c>
      <c r="T1941" s="783">
        <v>256.06</v>
      </c>
      <c r="U1941" s="785">
        <v>44631.503043981502</v>
      </c>
    </row>
    <row r="1942" spans="1:21">
      <c r="A1942" s="782">
        <v>44419</v>
      </c>
      <c r="B1942" s="783" t="s">
        <v>51</v>
      </c>
      <c r="C1942" s="783" t="s">
        <v>4015</v>
      </c>
      <c r="D1942" s="783" t="s">
        <v>4016</v>
      </c>
      <c r="E1942" s="783" t="s">
        <v>3263</v>
      </c>
      <c r="F1942" s="783" t="s">
        <v>4011</v>
      </c>
      <c r="G1942" s="783" t="str">
        <f t="shared" si="101"/>
        <v>Renewal (20% in 2020)</v>
      </c>
      <c r="H1942" s="783" t="s">
        <v>4873</v>
      </c>
      <c r="I1942" s="783" t="s">
        <v>4874</v>
      </c>
      <c r="J1942" s="783">
        <v>20</v>
      </c>
      <c r="K1942" s="783" t="s">
        <v>898</v>
      </c>
      <c r="L1942" s="783" t="s">
        <v>4014</v>
      </c>
      <c r="M1942" s="784">
        <v>20160</v>
      </c>
      <c r="N1942" s="784">
        <v>16.8</v>
      </c>
      <c r="O1942" s="784">
        <v>8</v>
      </c>
      <c r="P1942" s="783">
        <v>150</v>
      </c>
      <c r="Q1942" s="783">
        <v>1695.46</v>
      </c>
      <c r="R1942" s="783">
        <v>670.58</v>
      </c>
      <c r="S1942" s="783">
        <v>486.61</v>
      </c>
      <c r="T1942" s="783">
        <v>538.27</v>
      </c>
      <c r="U1942" s="785">
        <v>44631.511747685203</v>
      </c>
    </row>
    <row r="1943" spans="1:21">
      <c r="A1943" s="782">
        <v>44422</v>
      </c>
      <c r="B1943" s="783" t="s">
        <v>51</v>
      </c>
      <c r="C1943" s="783" t="s">
        <v>4796</v>
      </c>
      <c r="D1943" s="783" t="s">
        <v>4016</v>
      </c>
      <c r="E1943" s="783" t="s">
        <v>67</v>
      </c>
      <c r="F1943" s="783" t="s">
        <v>4011</v>
      </c>
      <c r="G1943" s="783" t="str">
        <f t="shared" si="101"/>
        <v>Renewal (15% in 2020)</v>
      </c>
      <c r="H1943" s="783" t="s">
        <v>4875</v>
      </c>
      <c r="I1943" s="783" t="s">
        <v>4876</v>
      </c>
      <c r="J1943" s="783">
        <v>15</v>
      </c>
      <c r="K1943" s="783" t="s">
        <v>898</v>
      </c>
      <c r="L1943" s="783" t="s">
        <v>4014</v>
      </c>
      <c r="M1943" s="784">
        <v>63436.800000000003</v>
      </c>
      <c r="N1943" s="784">
        <v>48</v>
      </c>
      <c r="O1943" s="784">
        <v>8.26</v>
      </c>
      <c r="P1943" s="783">
        <v>160</v>
      </c>
      <c r="Q1943" s="783">
        <v>6749.68</v>
      </c>
      <c r="R1943" s="783">
        <v>1898.11</v>
      </c>
      <c r="S1943" s="783">
        <v>1590.92</v>
      </c>
      <c r="T1943" s="783">
        <v>3260.65</v>
      </c>
      <c r="U1943" s="785">
        <v>44631.511990740699</v>
      </c>
    </row>
    <row r="1944" spans="1:21">
      <c r="A1944" s="782">
        <v>44429</v>
      </c>
      <c r="B1944" s="783" t="s">
        <v>41</v>
      </c>
      <c r="C1944" s="783" t="s">
        <v>4092</v>
      </c>
      <c r="D1944" s="783" t="s">
        <v>4009</v>
      </c>
      <c r="E1944" s="783" t="s">
        <v>3066</v>
      </c>
      <c r="F1944" s="783" t="s">
        <v>4011</v>
      </c>
      <c r="G1944" s="783" t="str">
        <f t="shared" si="101"/>
        <v>Renewal (15% in 2020)</v>
      </c>
      <c r="H1944" s="783" t="s">
        <v>4877</v>
      </c>
      <c r="I1944" s="783" t="s">
        <v>4878</v>
      </c>
      <c r="J1944" s="783">
        <v>15</v>
      </c>
      <c r="K1944" s="783" t="s">
        <v>898</v>
      </c>
      <c r="L1944" s="783" t="s">
        <v>4014</v>
      </c>
      <c r="M1944" s="784">
        <v>43011.27</v>
      </c>
      <c r="N1944" s="784">
        <v>43.38</v>
      </c>
      <c r="O1944" s="784">
        <v>6.61</v>
      </c>
      <c r="P1944" s="783">
        <v>150</v>
      </c>
      <c r="Q1944" s="783">
        <v>4434.46</v>
      </c>
      <c r="R1944" s="783">
        <v>1314.83</v>
      </c>
      <c r="S1944" s="783">
        <v>1003.48</v>
      </c>
      <c r="T1944" s="783">
        <v>2116.15</v>
      </c>
      <c r="U1944" s="785">
        <v>44631.512210648201</v>
      </c>
    </row>
    <row r="1945" spans="1:21">
      <c r="A1945" s="782">
        <v>44691</v>
      </c>
      <c r="B1945" s="783" t="s">
        <v>51</v>
      </c>
      <c r="C1945" s="783" t="s">
        <v>4015</v>
      </c>
      <c r="D1945" s="783" t="s">
        <v>4016</v>
      </c>
      <c r="E1945" s="783" t="s">
        <v>4017</v>
      </c>
      <c r="F1945" s="783" t="s">
        <v>4011</v>
      </c>
      <c r="G1945" s="783" t="str">
        <f t="shared" si="101"/>
        <v>New Contract</v>
      </c>
      <c r="H1945" s="783" t="s">
        <v>4018</v>
      </c>
      <c r="I1945" s="783" t="s">
        <v>4019</v>
      </c>
      <c r="J1945" s="783">
        <v>25</v>
      </c>
      <c r="K1945" s="783" t="s">
        <v>898</v>
      </c>
      <c r="L1945" s="783" t="s">
        <v>4014</v>
      </c>
      <c r="M1945" s="784">
        <v>27835.200000000001</v>
      </c>
      <c r="N1945" s="784">
        <v>19.329999999999998</v>
      </c>
      <c r="O1945" s="784">
        <v>12</v>
      </c>
      <c r="P1945" s="783">
        <v>120</v>
      </c>
      <c r="Q1945" s="783">
        <v>1820.42</v>
      </c>
      <c r="R1945" s="783">
        <v>1157.3399999999999</v>
      </c>
      <c r="S1945" s="783">
        <v>440.4</v>
      </c>
      <c r="T1945" s="783">
        <v>222.68</v>
      </c>
      <c r="U1945" s="785">
        <v>44691.527569444399</v>
      </c>
    </row>
    <row r="1946" spans="1:21">
      <c r="A1946" s="782">
        <v>44690</v>
      </c>
      <c r="B1946" s="783" t="s">
        <v>4025</v>
      </c>
      <c r="C1946" s="783" t="s">
        <v>4026</v>
      </c>
      <c r="D1946" s="783" t="s">
        <v>4021</v>
      </c>
      <c r="E1946" s="783" t="s">
        <v>4884</v>
      </c>
      <c r="F1946" s="783" t="s">
        <v>4011</v>
      </c>
      <c r="G1946" s="783" t="str">
        <f t="shared" si="101"/>
        <v>New Contract</v>
      </c>
      <c r="H1946" s="783" t="s">
        <v>4885</v>
      </c>
      <c r="I1946" s="783" t="s">
        <v>4886</v>
      </c>
      <c r="J1946" s="783">
        <v>25</v>
      </c>
      <c r="K1946" s="783" t="s">
        <v>898</v>
      </c>
      <c r="L1946" s="783" t="s">
        <v>4014</v>
      </c>
      <c r="M1946" s="784">
        <v>10668.88</v>
      </c>
      <c r="N1946" s="784">
        <v>11.75</v>
      </c>
      <c r="O1946" s="784">
        <v>8.99</v>
      </c>
      <c r="P1946" s="783">
        <v>101</v>
      </c>
      <c r="Q1946" s="783">
        <v>581.45000000000005</v>
      </c>
      <c r="R1946" s="783">
        <v>434.22</v>
      </c>
      <c r="S1946" s="783">
        <v>69.349999999999994</v>
      </c>
      <c r="T1946" s="783">
        <v>77.88</v>
      </c>
      <c r="U1946" s="785">
        <v>44694.444571759297</v>
      </c>
    </row>
    <row r="1947" spans="1:21">
      <c r="A1947" s="782">
        <v>44690</v>
      </c>
      <c r="B1947" s="783" t="s">
        <v>51</v>
      </c>
      <c r="C1947" s="783" t="s">
        <v>4042</v>
      </c>
      <c r="D1947" s="783" t="s">
        <v>4016</v>
      </c>
      <c r="E1947" s="783" t="s">
        <v>1468</v>
      </c>
      <c r="F1947" s="783" t="s">
        <v>4011</v>
      </c>
      <c r="G1947" s="783" t="str">
        <f t="shared" si="101"/>
        <v>Renewal (15% in 2020)</v>
      </c>
      <c r="H1947" s="783" t="s">
        <v>4902</v>
      </c>
      <c r="I1947" s="783" t="s">
        <v>4903</v>
      </c>
      <c r="J1947" s="783">
        <v>30</v>
      </c>
      <c r="K1947" s="783" t="s">
        <v>898</v>
      </c>
      <c r="L1947" s="783" t="s">
        <v>4014</v>
      </c>
      <c r="M1947" s="784">
        <v>36958.639999999999</v>
      </c>
      <c r="N1947" s="784">
        <v>23.87</v>
      </c>
      <c r="O1947" s="784">
        <v>15.33</v>
      </c>
      <c r="P1947" s="783">
        <v>101</v>
      </c>
      <c r="Q1947" s="783">
        <v>1825.76</v>
      </c>
      <c r="R1947" s="783">
        <v>1589.22</v>
      </c>
      <c r="S1947" s="783">
        <v>0</v>
      </c>
      <c r="T1947" s="783">
        <v>236.54</v>
      </c>
      <c r="U1947" s="785">
        <v>44690.678333333301</v>
      </c>
    </row>
    <row r="1948" spans="1:21">
      <c r="A1948" s="782">
        <v>44693</v>
      </c>
      <c r="B1948" s="783" t="s">
        <v>4025</v>
      </c>
      <c r="C1948" s="783" t="s">
        <v>4026</v>
      </c>
      <c r="D1948" s="783" t="s">
        <v>4021</v>
      </c>
      <c r="E1948" s="783" t="s">
        <v>4917</v>
      </c>
      <c r="F1948" s="783" t="s">
        <v>4011</v>
      </c>
      <c r="G1948" s="783" t="str">
        <f t="shared" si="101"/>
        <v>New Contract</v>
      </c>
      <c r="H1948" s="783" t="s">
        <v>4918</v>
      </c>
      <c r="I1948" s="783" t="s">
        <v>4919</v>
      </c>
      <c r="J1948" s="783">
        <v>25</v>
      </c>
      <c r="K1948" s="783" t="s">
        <v>898</v>
      </c>
      <c r="L1948" s="783" t="s">
        <v>4014</v>
      </c>
      <c r="M1948" s="784">
        <v>32598.06</v>
      </c>
      <c r="N1948" s="784">
        <v>24.77</v>
      </c>
      <c r="O1948" s="784">
        <v>13.03</v>
      </c>
      <c r="P1948" s="783">
        <v>101</v>
      </c>
      <c r="Q1948" s="783">
        <v>1776.59</v>
      </c>
      <c r="R1948" s="783">
        <v>1326.74</v>
      </c>
      <c r="S1948" s="783">
        <v>211.89</v>
      </c>
      <c r="T1948" s="783">
        <v>237.97</v>
      </c>
      <c r="U1948" s="785">
        <v>44694.4207523148</v>
      </c>
    </row>
    <row r="1949" spans="1:21">
      <c r="A1949" s="782">
        <v>44691</v>
      </c>
      <c r="B1949" s="783" t="s">
        <v>113</v>
      </c>
      <c r="C1949" s="783" t="s">
        <v>4606</v>
      </c>
      <c r="D1949" s="783" t="s">
        <v>4009</v>
      </c>
      <c r="E1949" s="783" t="s">
        <v>6678</v>
      </c>
      <c r="F1949" s="783" t="s">
        <v>4011</v>
      </c>
      <c r="G1949" s="783" t="str">
        <f t="shared" si="101"/>
        <v>Renewal (20% in 2020)</v>
      </c>
      <c r="H1949" s="783" t="s">
        <v>6679</v>
      </c>
      <c r="I1949" s="783" t="s">
        <v>6680</v>
      </c>
      <c r="J1949" s="783">
        <v>20</v>
      </c>
      <c r="K1949" s="783" t="s">
        <v>898</v>
      </c>
      <c r="L1949" s="783" t="s">
        <v>4014</v>
      </c>
      <c r="M1949" s="784">
        <v>24215.4</v>
      </c>
      <c r="N1949" s="784">
        <v>9</v>
      </c>
      <c r="O1949" s="784">
        <v>12.23</v>
      </c>
      <c r="P1949" s="783">
        <v>220</v>
      </c>
      <c r="Q1949" s="783">
        <v>1525.57</v>
      </c>
      <c r="R1949" s="783">
        <v>383.54</v>
      </c>
      <c r="S1949" s="783">
        <v>589.91999999999996</v>
      </c>
      <c r="T1949" s="783">
        <v>552.11</v>
      </c>
      <c r="U1949" s="785">
        <v>44692.419270833299</v>
      </c>
    </row>
    <row r="1950" spans="1:21">
      <c r="A1950" s="782">
        <v>44694</v>
      </c>
      <c r="B1950" s="783" t="s">
        <v>30</v>
      </c>
      <c r="C1950" s="783" t="s">
        <v>4089</v>
      </c>
      <c r="D1950" s="783" t="s">
        <v>4021</v>
      </c>
      <c r="E1950" s="783" t="s">
        <v>4967</v>
      </c>
      <c r="F1950" s="783" t="s">
        <v>4011</v>
      </c>
      <c r="G1950" s="783" t="str">
        <f t="shared" si="101"/>
        <v>Renewal (15% in 2020)</v>
      </c>
      <c r="H1950" s="783" t="s">
        <v>4968</v>
      </c>
      <c r="I1950" s="783" t="s">
        <v>4969</v>
      </c>
      <c r="J1950" s="783">
        <v>20</v>
      </c>
      <c r="K1950" s="783" t="s">
        <v>898</v>
      </c>
      <c r="L1950" s="783" t="s">
        <v>4014</v>
      </c>
      <c r="M1950" s="784">
        <v>87291.15</v>
      </c>
      <c r="N1950" s="784">
        <v>49.12</v>
      </c>
      <c r="O1950" s="784">
        <v>13.67</v>
      </c>
      <c r="P1950" s="783">
        <v>130</v>
      </c>
      <c r="Q1950" s="783">
        <v>6948.38</v>
      </c>
      <c r="R1950" s="783">
        <v>3140</v>
      </c>
      <c r="S1950" s="783">
        <v>1565</v>
      </c>
      <c r="T1950" s="783">
        <v>2243.38</v>
      </c>
      <c r="U1950" s="785">
        <v>44694.513391203698</v>
      </c>
    </row>
    <row r="1951" spans="1:21">
      <c r="A1951" s="782">
        <v>44445</v>
      </c>
      <c r="B1951" s="783" t="s">
        <v>30</v>
      </c>
      <c r="C1951" s="783" t="s">
        <v>4089</v>
      </c>
      <c r="D1951" s="783" t="s">
        <v>4021</v>
      </c>
      <c r="E1951" s="783" t="s">
        <v>4987</v>
      </c>
      <c r="F1951" s="783" t="s">
        <v>4011</v>
      </c>
      <c r="G1951" s="783" t="str">
        <f t="shared" si="101"/>
        <v>Renewal (15% in 2020)</v>
      </c>
      <c r="H1951" s="783" t="s">
        <v>4988</v>
      </c>
      <c r="I1951" s="783" t="s">
        <v>4989</v>
      </c>
      <c r="J1951" s="783">
        <v>15</v>
      </c>
      <c r="K1951" s="783" t="s">
        <v>898</v>
      </c>
      <c r="L1951" s="783" t="s">
        <v>4014</v>
      </c>
      <c r="M1951" s="784">
        <v>45630</v>
      </c>
      <c r="N1951" s="784">
        <v>39</v>
      </c>
      <c r="O1951" s="784">
        <v>9</v>
      </c>
      <c r="P1951" s="783">
        <v>130</v>
      </c>
      <c r="Q1951" s="783">
        <v>4312.04</v>
      </c>
      <c r="R1951" s="783">
        <v>1641.38</v>
      </c>
      <c r="S1951" s="783">
        <v>818.08</v>
      </c>
      <c r="T1951" s="783">
        <v>1852.58</v>
      </c>
      <c r="U1951" s="785">
        <v>44631.513402777797</v>
      </c>
    </row>
    <row r="1952" spans="1:21">
      <c r="A1952" s="782">
        <v>44592</v>
      </c>
      <c r="B1952" s="783" t="s">
        <v>4025</v>
      </c>
      <c r="C1952" s="783" t="s">
        <v>4026</v>
      </c>
      <c r="D1952" s="783" t="s">
        <v>4021</v>
      </c>
      <c r="E1952" s="783" t="s">
        <v>5008</v>
      </c>
      <c r="F1952" s="783" t="s">
        <v>4011</v>
      </c>
      <c r="G1952" s="783" t="s">
        <v>4028</v>
      </c>
      <c r="H1952" s="783" t="s">
        <v>5009</v>
      </c>
      <c r="I1952" s="783" t="s">
        <v>5010</v>
      </c>
      <c r="J1952" s="783">
        <v>25</v>
      </c>
      <c r="K1952" s="783" t="s">
        <v>898</v>
      </c>
      <c r="L1952" s="783" t="s">
        <v>4014</v>
      </c>
      <c r="M1952" s="784">
        <v>15625.41</v>
      </c>
      <c r="N1952" s="784">
        <v>15.9</v>
      </c>
      <c r="O1952" s="784">
        <v>9.73</v>
      </c>
      <c r="P1952" s="783">
        <v>101</v>
      </c>
      <c r="Q1952" s="783">
        <v>851.58</v>
      </c>
      <c r="R1952" s="783">
        <v>635.95000000000005</v>
      </c>
      <c r="S1952" s="783">
        <v>101.57</v>
      </c>
      <c r="T1952" s="783">
        <v>114.07</v>
      </c>
      <c r="U1952" s="785">
        <v>44631.5171527778</v>
      </c>
    </row>
    <row r="1953" spans="1:21">
      <c r="A1953" s="782">
        <v>44439</v>
      </c>
      <c r="B1953" s="783" t="s">
        <v>51</v>
      </c>
      <c r="C1953" s="783" t="s">
        <v>4042</v>
      </c>
      <c r="D1953" s="783" t="s">
        <v>4016</v>
      </c>
      <c r="E1953" s="783" t="s">
        <v>5014</v>
      </c>
      <c r="F1953" s="783" t="s">
        <v>4011</v>
      </c>
      <c r="G1953" s="783" t="str">
        <f t="shared" ref="G1953:G1958" si="102">VLOOKUP(I1953,pacage,2,FALSE)</f>
        <v>New Contract</v>
      </c>
      <c r="H1953" s="783" t="s">
        <v>5015</v>
      </c>
      <c r="I1953" s="783" t="s">
        <v>5016</v>
      </c>
      <c r="J1953" s="783">
        <v>25</v>
      </c>
      <c r="K1953" s="783" t="s">
        <v>898</v>
      </c>
      <c r="L1953" s="783" t="s">
        <v>4014</v>
      </c>
      <c r="M1953" s="784">
        <v>14353.5</v>
      </c>
      <c r="N1953" s="784">
        <v>10.5</v>
      </c>
      <c r="O1953" s="784">
        <v>13.67</v>
      </c>
      <c r="P1953" s="783">
        <v>100</v>
      </c>
      <c r="Q1953" s="783">
        <v>809.54</v>
      </c>
      <c r="R1953" s="783">
        <v>617.20000000000005</v>
      </c>
      <c r="S1953" s="783">
        <v>100.47</v>
      </c>
      <c r="T1953" s="783">
        <v>91.86</v>
      </c>
      <c r="U1953" s="785">
        <v>44631.518113425896</v>
      </c>
    </row>
    <row r="1954" spans="1:21">
      <c r="A1954" s="782">
        <v>44452</v>
      </c>
      <c r="B1954" s="783" t="s">
        <v>228</v>
      </c>
      <c r="C1954" s="783" t="s">
        <v>4020</v>
      </c>
      <c r="D1954" s="783" t="s">
        <v>4021</v>
      </c>
      <c r="E1954" s="783" t="s">
        <v>4022</v>
      </c>
      <c r="F1954" s="783" t="s">
        <v>4011</v>
      </c>
      <c r="G1954" s="783" t="str">
        <f t="shared" si="102"/>
        <v>Renewal (25% in 2020)</v>
      </c>
      <c r="H1954" s="783" t="s">
        <v>4023</v>
      </c>
      <c r="I1954" s="783" t="s">
        <v>4024</v>
      </c>
      <c r="J1954" s="783">
        <v>25</v>
      </c>
      <c r="K1954" s="783" t="s">
        <v>898</v>
      </c>
      <c r="L1954" s="783" t="s">
        <v>4014</v>
      </c>
      <c r="M1954" s="784">
        <v>16425</v>
      </c>
      <c r="N1954" s="784">
        <v>18.25</v>
      </c>
      <c r="O1954" s="784">
        <v>9</v>
      </c>
      <c r="P1954" s="783">
        <v>100</v>
      </c>
      <c r="Q1954" s="783">
        <v>1001.93</v>
      </c>
      <c r="R1954" s="783">
        <v>758.84</v>
      </c>
      <c r="S1954" s="783">
        <v>123.19</v>
      </c>
      <c r="T1954" s="783">
        <v>119.9</v>
      </c>
      <c r="U1954" s="785">
        <v>44631.513865740701</v>
      </c>
    </row>
    <row r="1955" spans="1:21">
      <c r="A1955" s="782">
        <v>44592</v>
      </c>
      <c r="B1955" s="783" t="s">
        <v>41</v>
      </c>
      <c r="C1955" s="783" t="s">
        <v>4139</v>
      </c>
      <c r="D1955" s="783" t="s">
        <v>4009</v>
      </c>
      <c r="E1955" s="783" t="s">
        <v>5035</v>
      </c>
      <c r="F1955" s="783" t="s">
        <v>4011</v>
      </c>
      <c r="G1955" s="783" t="str">
        <f t="shared" si="102"/>
        <v>Renewal (15% in 2020)</v>
      </c>
      <c r="H1955" s="783" t="s">
        <v>5036</v>
      </c>
      <c r="I1955" s="783" t="s">
        <v>5037</v>
      </c>
      <c r="J1955" s="783">
        <v>15</v>
      </c>
      <c r="K1955" s="783" t="s">
        <v>898</v>
      </c>
      <c r="L1955" s="783" t="s">
        <v>4014</v>
      </c>
      <c r="M1955" s="784">
        <v>22409.58</v>
      </c>
      <c r="N1955" s="784">
        <v>24.93</v>
      </c>
      <c r="O1955" s="784">
        <v>8.9</v>
      </c>
      <c r="P1955" s="783">
        <v>101</v>
      </c>
      <c r="Q1955" s="783">
        <v>1963.08</v>
      </c>
      <c r="R1955" s="783">
        <v>891.9</v>
      </c>
      <c r="S1955" s="783">
        <v>141.18</v>
      </c>
      <c r="T1955" s="783">
        <v>930</v>
      </c>
      <c r="U1955" s="785">
        <v>44631.6260763889</v>
      </c>
    </row>
    <row r="1956" spans="1:21">
      <c r="A1956" s="782">
        <v>44615</v>
      </c>
      <c r="B1956" s="783" t="s">
        <v>41</v>
      </c>
      <c r="C1956" s="783" t="s">
        <v>4139</v>
      </c>
      <c r="D1956" s="783" t="s">
        <v>4009</v>
      </c>
      <c r="E1956" s="783" t="s">
        <v>5050</v>
      </c>
      <c r="F1956" s="783" t="s">
        <v>4011</v>
      </c>
      <c r="G1956" s="783" t="str">
        <f t="shared" si="102"/>
        <v>Renewal (30% in 2020)</v>
      </c>
      <c r="H1956" s="783" t="s">
        <v>5051</v>
      </c>
      <c r="I1956" s="783" t="s">
        <v>5052</v>
      </c>
      <c r="J1956" s="783">
        <v>30</v>
      </c>
      <c r="K1956" s="783" t="s">
        <v>898</v>
      </c>
      <c r="L1956" s="783" t="s">
        <v>4014</v>
      </c>
      <c r="M1956" s="784">
        <v>22154.46</v>
      </c>
      <c r="N1956" s="784">
        <v>16.62</v>
      </c>
      <c r="O1956" s="784">
        <v>13.33</v>
      </c>
      <c r="P1956" s="783">
        <v>100</v>
      </c>
      <c r="Q1956" s="783">
        <v>970.37</v>
      </c>
      <c r="R1956" s="783">
        <v>881.75</v>
      </c>
      <c r="S1956" s="783">
        <v>0</v>
      </c>
      <c r="T1956" s="783">
        <v>88.62</v>
      </c>
      <c r="U1956" s="785">
        <v>44631.626365740703</v>
      </c>
    </row>
    <row r="1957" spans="1:21">
      <c r="A1957" s="782">
        <v>44693</v>
      </c>
      <c r="B1957" s="783" t="s">
        <v>51</v>
      </c>
      <c r="C1957" s="783" t="s">
        <v>4042</v>
      </c>
      <c r="D1957" s="783" t="s">
        <v>4016</v>
      </c>
      <c r="E1957" s="783" t="s">
        <v>1359</v>
      </c>
      <c r="F1957" s="783" t="s">
        <v>4011</v>
      </c>
      <c r="G1957" s="783" t="str">
        <f t="shared" si="102"/>
        <v>Renewal (20% in 2020)</v>
      </c>
      <c r="H1957" s="783" t="s">
        <v>5053</v>
      </c>
      <c r="I1957" s="783" t="s">
        <v>5054</v>
      </c>
      <c r="J1957" s="783">
        <v>20</v>
      </c>
      <c r="K1957" s="783" t="s">
        <v>898</v>
      </c>
      <c r="L1957" s="783" t="s">
        <v>4014</v>
      </c>
      <c r="M1957" s="784">
        <v>148058.82</v>
      </c>
      <c r="N1957" s="784">
        <v>98.28</v>
      </c>
      <c r="O1957" s="784">
        <v>11.5</v>
      </c>
      <c r="P1957" s="783">
        <v>131</v>
      </c>
      <c r="Q1957" s="783">
        <v>9816.2999999999993</v>
      </c>
      <c r="R1957" s="783">
        <v>4908.55</v>
      </c>
      <c r="S1957" s="783">
        <v>2494.4</v>
      </c>
      <c r="T1957" s="783">
        <v>2413.36</v>
      </c>
      <c r="U1957" s="785">
        <v>44694.5081712963</v>
      </c>
    </row>
    <row r="1958" spans="1:21">
      <c r="A1958" s="782">
        <v>44711</v>
      </c>
      <c r="B1958" s="783" t="s">
        <v>51</v>
      </c>
      <c r="C1958" s="783" t="s">
        <v>4042</v>
      </c>
      <c r="D1958" s="783" t="s">
        <v>4016</v>
      </c>
      <c r="E1958" s="783" t="s">
        <v>4760</v>
      </c>
      <c r="F1958" s="783" t="s">
        <v>4011</v>
      </c>
      <c r="G1958" s="783" t="str">
        <f t="shared" si="102"/>
        <v>New Contract</v>
      </c>
      <c r="H1958" s="783" t="s">
        <v>4761</v>
      </c>
      <c r="I1958" s="783" t="s">
        <v>4762</v>
      </c>
      <c r="J1958" s="783">
        <v>15</v>
      </c>
      <c r="K1958" s="783" t="s">
        <v>898</v>
      </c>
      <c r="L1958" s="783" t="s">
        <v>4014</v>
      </c>
      <c r="M1958" s="784">
        <v>46912.5</v>
      </c>
      <c r="N1958" s="784">
        <v>37.53</v>
      </c>
      <c r="O1958" s="784">
        <v>12.5</v>
      </c>
      <c r="P1958" s="783">
        <v>100</v>
      </c>
      <c r="Q1958" s="783">
        <v>3809.3</v>
      </c>
      <c r="R1958" s="783">
        <v>2017.24</v>
      </c>
      <c r="S1958" s="783">
        <v>328.39</v>
      </c>
      <c r="T1958" s="783">
        <v>1463.67</v>
      </c>
      <c r="U1958" s="785">
        <v>44713.6401736111</v>
      </c>
    </row>
    <row r="1959" spans="1:21">
      <c r="A1959" s="782">
        <v>44712</v>
      </c>
      <c r="B1959" s="783" t="s">
        <v>4025</v>
      </c>
      <c r="C1959" s="783" t="s">
        <v>4026</v>
      </c>
      <c r="D1959" s="783" t="s">
        <v>4021</v>
      </c>
      <c r="E1959" s="783" t="s">
        <v>4027</v>
      </c>
      <c r="F1959" s="783" t="s">
        <v>4011</v>
      </c>
      <c r="G1959" s="783" t="s">
        <v>4028</v>
      </c>
      <c r="H1959" s="783" t="s">
        <v>4029</v>
      </c>
      <c r="I1959" s="783" t="s">
        <v>4030</v>
      </c>
      <c r="J1959" s="783">
        <v>25</v>
      </c>
      <c r="K1959" s="783" t="s">
        <v>898</v>
      </c>
      <c r="L1959" s="783" t="s">
        <v>4014</v>
      </c>
      <c r="M1959" s="784">
        <v>12383.61</v>
      </c>
      <c r="N1959" s="784">
        <v>12.2</v>
      </c>
      <c r="O1959" s="784">
        <v>10.050000000000001</v>
      </c>
      <c r="P1959" s="783">
        <v>101</v>
      </c>
      <c r="Q1959" s="783">
        <v>674.91</v>
      </c>
      <c r="R1959" s="783">
        <v>504.01</v>
      </c>
      <c r="S1959" s="783">
        <v>80.489999999999995</v>
      </c>
      <c r="T1959" s="783">
        <v>90.4</v>
      </c>
      <c r="U1959" s="785">
        <v>44714.007592592599</v>
      </c>
    </row>
    <row r="1960" spans="1:21">
      <c r="A1960" s="782">
        <v>44687</v>
      </c>
      <c r="B1960" s="783" t="s">
        <v>51</v>
      </c>
      <c r="C1960" s="783" t="s">
        <v>4042</v>
      </c>
      <c r="D1960" s="783" t="s">
        <v>4016</v>
      </c>
      <c r="E1960" s="783" t="s">
        <v>908</v>
      </c>
      <c r="F1960" s="783" t="s">
        <v>4011</v>
      </c>
      <c r="G1960" s="783" t="str">
        <f t="shared" ref="G1960:G1975" si="103">VLOOKUP(I1960,pacage,2,FALSE)</f>
        <v>Renewal (20% in 2020)</v>
      </c>
      <c r="H1960" s="783" t="s">
        <v>5110</v>
      </c>
      <c r="I1960" s="783" t="s">
        <v>5111</v>
      </c>
      <c r="J1960" s="783">
        <v>20</v>
      </c>
      <c r="K1960" s="783" t="s">
        <v>898</v>
      </c>
      <c r="L1960" s="783" t="s">
        <v>4014</v>
      </c>
      <c r="M1960" s="784">
        <v>66148.289999999994</v>
      </c>
      <c r="N1960" s="784">
        <v>43.49</v>
      </c>
      <c r="O1960" s="784">
        <v>9</v>
      </c>
      <c r="P1960" s="783">
        <v>169</v>
      </c>
      <c r="Q1960" s="783">
        <v>4385.63</v>
      </c>
      <c r="R1960" s="783">
        <v>1699.89</v>
      </c>
      <c r="S1960" s="783">
        <v>1607.52</v>
      </c>
      <c r="T1960" s="783">
        <v>1078.22</v>
      </c>
      <c r="U1960" s="785">
        <v>44687.673576388901</v>
      </c>
    </row>
    <row r="1961" spans="1:21">
      <c r="A1961" s="782">
        <v>44697</v>
      </c>
      <c r="B1961" s="783" t="s">
        <v>51</v>
      </c>
      <c r="C1961" s="783" t="s">
        <v>4042</v>
      </c>
      <c r="D1961" s="783" t="s">
        <v>4016</v>
      </c>
      <c r="E1961" s="783" t="s">
        <v>2427</v>
      </c>
      <c r="F1961" s="783" t="s">
        <v>4011</v>
      </c>
      <c r="G1961" s="783" t="str">
        <f t="shared" si="103"/>
        <v>Renewal (20% in 2020)</v>
      </c>
      <c r="H1961" s="783" t="s">
        <v>5126</v>
      </c>
      <c r="I1961" s="783" t="s">
        <v>5127</v>
      </c>
      <c r="J1961" s="783">
        <v>20</v>
      </c>
      <c r="K1961" s="783" t="s">
        <v>898</v>
      </c>
      <c r="L1961" s="783" t="s">
        <v>4014</v>
      </c>
      <c r="M1961" s="784">
        <v>49459</v>
      </c>
      <c r="N1961" s="784">
        <v>39.340000000000003</v>
      </c>
      <c r="O1961" s="784">
        <v>14.67</v>
      </c>
      <c r="P1961" s="783">
        <v>85.7</v>
      </c>
      <c r="Q1961" s="783">
        <v>3279.13</v>
      </c>
      <c r="R1961" s="783">
        <v>2126.7399999999998</v>
      </c>
      <c r="S1961" s="783">
        <v>346.21</v>
      </c>
      <c r="T1961" s="783">
        <v>806.18</v>
      </c>
      <c r="U1961" s="785">
        <v>44698.485787037003</v>
      </c>
    </row>
    <row r="1962" spans="1:21">
      <c r="A1962" s="782">
        <v>44687</v>
      </c>
      <c r="B1962" s="783" t="s">
        <v>41</v>
      </c>
      <c r="C1962" s="783" t="s">
        <v>4071</v>
      </c>
      <c r="D1962" s="783" t="s">
        <v>4009</v>
      </c>
      <c r="E1962" s="783" t="s">
        <v>404</v>
      </c>
      <c r="F1962" s="783" t="s">
        <v>4011</v>
      </c>
      <c r="G1962" s="783" t="str">
        <f t="shared" si="103"/>
        <v>Renewal (15% in 2020)</v>
      </c>
      <c r="H1962" s="783" t="s">
        <v>5135</v>
      </c>
      <c r="I1962" s="783" t="s">
        <v>5136</v>
      </c>
      <c r="J1962" s="783">
        <v>15</v>
      </c>
      <c r="K1962" s="783" t="s">
        <v>898</v>
      </c>
      <c r="L1962" s="783" t="s">
        <v>4014</v>
      </c>
      <c r="M1962" s="784">
        <v>8253.07</v>
      </c>
      <c r="N1962" s="784">
        <v>9.0399999999999991</v>
      </c>
      <c r="O1962" s="784">
        <v>9.61</v>
      </c>
      <c r="P1962" s="783">
        <v>95</v>
      </c>
      <c r="Q1962" s="783">
        <v>963.96</v>
      </c>
      <c r="R1962" s="783">
        <v>437.41</v>
      </c>
      <c r="S1962" s="783">
        <v>70.150000000000006</v>
      </c>
      <c r="T1962" s="783">
        <v>456.39</v>
      </c>
      <c r="U1962" s="785">
        <v>44687.593981481499</v>
      </c>
    </row>
    <row r="1963" spans="1:21">
      <c r="A1963" s="782">
        <v>44687</v>
      </c>
      <c r="B1963" s="783" t="s">
        <v>41</v>
      </c>
      <c r="C1963" s="783" t="s">
        <v>4092</v>
      </c>
      <c r="D1963" s="783" t="s">
        <v>4009</v>
      </c>
      <c r="E1963" s="783" t="s">
        <v>404</v>
      </c>
      <c r="F1963" s="783" t="s">
        <v>4011</v>
      </c>
      <c r="G1963" s="783" t="str">
        <f t="shared" si="103"/>
        <v>Renewal (15% in 2020)</v>
      </c>
      <c r="H1963" s="783" t="s">
        <v>5135</v>
      </c>
      <c r="I1963" s="783" t="s">
        <v>5136</v>
      </c>
      <c r="J1963" s="783">
        <v>15</v>
      </c>
      <c r="K1963" s="783" t="s">
        <v>898</v>
      </c>
      <c r="L1963" s="783" t="s">
        <v>4014</v>
      </c>
      <c r="M1963" s="784">
        <v>9385.1299999999992</v>
      </c>
      <c r="N1963" s="784">
        <v>10.28</v>
      </c>
      <c r="O1963" s="784">
        <v>9.61</v>
      </c>
      <c r="P1963" s="783">
        <v>95</v>
      </c>
      <c r="Q1963" s="783">
        <v>967.61</v>
      </c>
      <c r="R1963" s="783">
        <v>426.08</v>
      </c>
      <c r="S1963" s="783">
        <v>79.77</v>
      </c>
      <c r="T1963" s="783">
        <v>461.75</v>
      </c>
      <c r="U1963" s="785">
        <v>44687.593981481499</v>
      </c>
    </row>
    <row r="1964" spans="1:21">
      <c r="A1964" s="782">
        <v>44690</v>
      </c>
      <c r="B1964" s="783" t="s">
        <v>41</v>
      </c>
      <c r="C1964" s="783" t="s">
        <v>4071</v>
      </c>
      <c r="D1964" s="783" t="s">
        <v>4009</v>
      </c>
      <c r="E1964" s="783" t="s">
        <v>1570</v>
      </c>
      <c r="F1964" s="783" t="s">
        <v>4011</v>
      </c>
      <c r="G1964" s="783" t="str">
        <f t="shared" si="103"/>
        <v>Renewal (30% in 2020)</v>
      </c>
      <c r="H1964" s="783" t="s">
        <v>5140</v>
      </c>
      <c r="I1964" s="783" t="s">
        <v>5141</v>
      </c>
      <c r="J1964" s="783">
        <v>30</v>
      </c>
      <c r="K1964" s="783" t="s">
        <v>898</v>
      </c>
      <c r="L1964" s="783" t="s">
        <v>4014</v>
      </c>
      <c r="M1964" s="784">
        <v>5958.92</v>
      </c>
      <c r="N1964" s="784">
        <v>4.67</v>
      </c>
      <c r="O1964" s="784">
        <v>11.6</v>
      </c>
      <c r="P1964" s="783">
        <v>110</v>
      </c>
      <c r="Q1964" s="783">
        <v>348</v>
      </c>
      <c r="R1964" s="783">
        <v>289.98</v>
      </c>
      <c r="S1964" s="783">
        <v>25.84</v>
      </c>
      <c r="T1964" s="783">
        <v>32.18</v>
      </c>
      <c r="U1964" s="785">
        <v>44691.507754629602</v>
      </c>
    </row>
    <row r="1965" spans="1:21">
      <c r="A1965" s="782">
        <v>44686</v>
      </c>
      <c r="B1965" s="783" t="s">
        <v>51</v>
      </c>
      <c r="C1965" s="783" t="s">
        <v>4042</v>
      </c>
      <c r="D1965" s="783" t="s">
        <v>4016</v>
      </c>
      <c r="E1965" s="783" t="s">
        <v>120</v>
      </c>
      <c r="F1965" s="783" t="s">
        <v>4011</v>
      </c>
      <c r="G1965" s="783" t="str">
        <f t="shared" si="103"/>
        <v>Renewal (20% in 2020)</v>
      </c>
      <c r="H1965" s="783" t="s">
        <v>5150</v>
      </c>
      <c r="I1965" s="783" t="s">
        <v>5151</v>
      </c>
      <c r="J1965" s="783">
        <v>20</v>
      </c>
      <c r="K1965" s="783" t="s">
        <v>898</v>
      </c>
      <c r="L1965" s="783" t="s">
        <v>4014</v>
      </c>
      <c r="M1965" s="784">
        <v>67504.58</v>
      </c>
      <c r="N1965" s="784">
        <v>42.92</v>
      </c>
      <c r="O1965" s="784">
        <v>9.83</v>
      </c>
      <c r="P1965" s="783">
        <v>160</v>
      </c>
      <c r="Q1965" s="783">
        <v>4475.55</v>
      </c>
      <c r="R1965" s="783">
        <v>1832.33</v>
      </c>
      <c r="S1965" s="783">
        <v>1542.9</v>
      </c>
      <c r="T1965" s="783">
        <v>1100.32</v>
      </c>
      <c r="U1965" s="785">
        <v>44687.624166666697</v>
      </c>
    </row>
    <row r="1966" spans="1:21">
      <c r="A1966" s="782">
        <v>44710</v>
      </c>
      <c r="B1966" s="783" t="s">
        <v>51</v>
      </c>
      <c r="C1966" s="783" t="s">
        <v>4042</v>
      </c>
      <c r="D1966" s="783" t="s">
        <v>4016</v>
      </c>
      <c r="E1966" s="783" t="s">
        <v>5187</v>
      </c>
      <c r="F1966" s="783" t="s">
        <v>4011</v>
      </c>
      <c r="G1966" s="783" t="str">
        <f t="shared" si="103"/>
        <v>Renewal (15% in 2020)</v>
      </c>
      <c r="H1966" s="783" t="s">
        <v>5188</v>
      </c>
      <c r="I1966" s="783" t="s">
        <v>5189</v>
      </c>
      <c r="J1966" s="783">
        <v>15</v>
      </c>
      <c r="K1966" s="783" t="s">
        <v>898</v>
      </c>
      <c r="L1966" s="783" t="s">
        <v>4014</v>
      </c>
      <c r="M1966" s="784">
        <v>46104</v>
      </c>
      <c r="N1966" s="784">
        <v>40</v>
      </c>
      <c r="O1966" s="784">
        <v>6.78</v>
      </c>
      <c r="P1966" s="783">
        <v>170</v>
      </c>
      <c r="Q1966" s="783">
        <v>3743.64</v>
      </c>
      <c r="R1966" s="783">
        <v>1177.82</v>
      </c>
      <c r="S1966" s="783">
        <v>1127.3800000000001</v>
      </c>
      <c r="T1966" s="783">
        <v>1438.44</v>
      </c>
      <c r="U1966" s="785">
        <v>44712.649722222202</v>
      </c>
    </row>
    <row r="1967" spans="1:21">
      <c r="A1967" s="782">
        <v>44680</v>
      </c>
      <c r="B1967" s="783" t="s">
        <v>51</v>
      </c>
      <c r="C1967" s="783" t="s">
        <v>4015</v>
      </c>
      <c r="D1967" s="783" t="s">
        <v>4016</v>
      </c>
      <c r="E1967" s="783" t="s">
        <v>89</v>
      </c>
      <c r="F1967" s="783" t="s">
        <v>4011</v>
      </c>
      <c r="G1967" s="783" t="str">
        <f t="shared" si="103"/>
        <v>Renewal (20% in 2020)</v>
      </c>
      <c r="H1967" s="783" t="s">
        <v>5190</v>
      </c>
      <c r="I1967" s="783" t="s">
        <v>5191</v>
      </c>
      <c r="J1967" s="783">
        <v>20</v>
      </c>
      <c r="K1967" s="783" t="s">
        <v>898</v>
      </c>
      <c r="L1967" s="783" t="s">
        <v>4014</v>
      </c>
      <c r="M1967" s="784">
        <v>7923.04</v>
      </c>
      <c r="N1967" s="784">
        <v>7.72</v>
      </c>
      <c r="O1967" s="784">
        <v>9.33</v>
      </c>
      <c r="P1967" s="783">
        <v>110</v>
      </c>
      <c r="Q1967" s="783">
        <v>666.33</v>
      </c>
      <c r="R1967" s="783">
        <v>359.37</v>
      </c>
      <c r="S1967" s="783">
        <v>95.41</v>
      </c>
      <c r="T1967" s="783">
        <v>211.55</v>
      </c>
      <c r="U1967" s="785">
        <v>44680.747037036999</v>
      </c>
    </row>
    <row r="1968" spans="1:21">
      <c r="A1968" s="782">
        <v>44698</v>
      </c>
      <c r="B1968" s="783" t="s">
        <v>41</v>
      </c>
      <c r="C1968" s="783" t="s">
        <v>4092</v>
      </c>
      <c r="D1968" s="783" t="s">
        <v>4009</v>
      </c>
      <c r="E1968" s="783" t="s">
        <v>5204</v>
      </c>
      <c r="F1968" s="783" t="s">
        <v>4011</v>
      </c>
      <c r="G1968" s="783" t="str">
        <f t="shared" si="103"/>
        <v>Renewal (15% in 2020)</v>
      </c>
      <c r="H1968" s="783" t="s">
        <v>5205</v>
      </c>
      <c r="I1968" s="783" t="s">
        <v>5206</v>
      </c>
      <c r="J1968" s="783">
        <v>15</v>
      </c>
      <c r="K1968" s="783" t="s">
        <v>898</v>
      </c>
      <c r="L1968" s="783" t="s">
        <v>4014</v>
      </c>
      <c r="M1968" s="784">
        <v>95407.44</v>
      </c>
      <c r="N1968" s="784">
        <v>58.32</v>
      </c>
      <c r="O1968" s="784">
        <v>6.57</v>
      </c>
      <c r="P1968" s="783">
        <v>249</v>
      </c>
      <c r="Q1968" s="783">
        <v>9836.51</v>
      </c>
      <c r="R1968" s="783">
        <v>1756.95</v>
      </c>
      <c r="S1968" s="783">
        <v>3385.51</v>
      </c>
      <c r="T1968" s="783">
        <v>4694.05</v>
      </c>
      <c r="U1968" s="785">
        <v>44699.741724537002</v>
      </c>
    </row>
    <row r="1969" spans="1:21">
      <c r="A1969" s="782">
        <v>44698</v>
      </c>
      <c r="B1969" s="783" t="s">
        <v>41</v>
      </c>
      <c r="C1969" s="783" t="s">
        <v>4082</v>
      </c>
      <c r="D1969" s="783" t="s">
        <v>4009</v>
      </c>
      <c r="E1969" s="783" t="s">
        <v>5216</v>
      </c>
      <c r="F1969" s="783" t="s">
        <v>4011</v>
      </c>
      <c r="G1969" s="783" t="str">
        <f t="shared" si="103"/>
        <v>Renewal (20% in 2020)</v>
      </c>
      <c r="H1969" s="783" t="s">
        <v>5217</v>
      </c>
      <c r="I1969" s="783" t="s">
        <v>5218</v>
      </c>
      <c r="J1969" s="783">
        <v>20</v>
      </c>
      <c r="K1969" s="783" t="s">
        <v>898</v>
      </c>
      <c r="L1969" s="783" t="s">
        <v>4014</v>
      </c>
      <c r="M1969" s="784">
        <v>9803.64</v>
      </c>
      <c r="N1969" s="784">
        <v>10.61</v>
      </c>
      <c r="O1969" s="784">
        <v>6.6</v>
      </c>
      <c r="P1969" s="783">
        <v>140</v>
      </c>
      <c r="Q1969" s="783">
        <v>652.91999999999996</v>
      </c>
      <c r="R1969" s="783">
        <v>280.08</v>
      </c>
      <c r="S1969" s="783">
        <v>180.7</v>
      </c>
      <c r="T1969" s="783">
        <v>192.15</v>
      </c>
      <c r="U1969" s="785">
        <v>44699.474409722199</v>
      </c>
    </row>
    <row r="1970" spans="1:21">
      <c r="A1970" s="782">
        <v>44698</v>
      </c>
      <c r="B1970" s="783" t="s">
        <v>41</v>
      </c>
      <c r="C1970" s="783" t="s">
        <v>4192</v>
      </c>
      <c r="D1970" s="783" t="s">
        <v>4193</v>
      </c>
      <c r="E1970" s="783" t="s">
        <v>5222</v>
      </c>
      <c r="F1970" s="783" t="s">
        <v>4011</v>
      </c>
      <c r="G1970" s="783" t="str">
        <f t="shared" si="103"/>
        <v>Renewal (20% in 2020)</v>
      </c>
      <c r="H1970" s="783" t="s">
        <v>5223</v>
      </c>
      <c r="I1970" s="783" t="s">
        <v>5224</v>
      </c>
      <c r="J1970" s="783">
        <v>20</v>
      </c>
      <c r="K1970" s="783" t="s">
        <v>898</v>
      </c>
      <c r="L1970" s="783" t="s">
        <v>4014</v>
      </c>
      <c r="M1970" s="784">
        <v>15425.57</v>
      </c>
      <c r="N1970" s="784">
        <v>13.48</v>
      </c>
      <c r="O1970" s="784">
        <v>11.33</v>
      </c>
      <c r="P1970" s="783">
        <v>101</v>
      </c>
      <c r="Q1970" s="783">
        <v>1018.09</v>
      </c>
      <c r="R1970" s="783">
        <v>607.77</v>
      </c>
      <c r="S1970" s="783">
        <v>100.27</v>
      </c>
      <c r="T1970" s="783">
        <v>310.05</v>
      </c>
      <c r="U1970" s="785">
        <v>44699.499062499999</v>
      </c>
    </row>
    <row r="1971" spans="1:21">
      <c r="A1971" s="782">
        <v>44710</v>
      </c>
      <c r="B1971" s="783" t="s">
        <v>41</v>
      </c>
      <c r="C1971" s="783" t="s">
        <v>4092</v>
      </c>
      <c r="D1971" s="783" t="s">
        <v>4009</v>
      </c>
      <c r="E1971" s="783" t="s">
        <v>1125</v>
      </c>
      <c r="F1971" s="783" t="s">
        <v>4011</v>
      </c>
      <c r="G1971" s="783" t="str">
        <f t="shared" si="103"/>
        <v>Renewal (15% in 2020)</v>
      </c>
      <c r="H1971" s="783" t="s">
        <v>5228</v>
      </c>
      <c r="I1971" s="783" t="s">
        <v>5229</v>
      </c>
      <c r="J1971" s="783">
        <v>20</v>
      </c>
      <c r="K1971" s="783" t="s">
        <v>898</v>
      </c>
      <c r="L1971" s="783" t="s">
        <v>4014</v>
      </c>
      <c r="M1971" s="784">
        <v>2671.26</v>
      </c>
      <c r="N1971" s="784">
        <v>2.11</v>
      </c>
      <c r="O1971" s="784">
        <v>12.66</v>
      </c>
      <c r="P1971" s="783">
        <v>100</v>
      </c>
      <c r="Q1971" s="783">
        <v>204.89</v>
      </c>
      <c r="R1971" s="783">
        <v>121.28</v>
      </c>
      <c r="S1971" s="783">
        <v>22.71</v>
      </c>
      <c r="T1971" s="783">
        <v>60.9</v>
      </c>
      <c r="U1971" s="785">
        <v>44712.651805555601</v>
      </c>
    </row>
    <row r="1972" spans="1:21">
      <c r="A1972" s="782">
        <v>44700</v>
      </c>
      <c r="B1972" s="783" t="s">
        <v>41</v>
      </c>
      <c r="C1972" s="783" t="s">
        <v>4354</v>
      </c>
      <c r="D1972" s="783" t="s">
        <v>4009</v>
      </c>
      <c r="E1972" s="783" t="s">
        <v>4586</v>
      </c>
      <c r="F1972" s="783" t="s">
        <v>4011</v>
      </c>
      <c r="G1972" s="783" t="str">
        <f t="shared" si="103"/>
        <v>New contract</v>
      </c>
      <c r="H1972" s="783" t="s">
        <v>4587</v>
      </c>
      <c r="I1972" s="783" t="s">
        <v>4588</v>
      </c>
      <c r="J1972" s="783">
        <v>25</v>
      </c>
      <c r="K1972" s="783" t="s">
        <v>898</v>
      </c>
      <c r="L1972" s="783" t="s">
        <v>4014</v>
      </c>
      <c r="M1972" s="784">
        <v>13103.39</v>
      </c>
      <c r="N1972" s="784">
        <v>9.83</v>
      </c>
      <c r="O1972" s="784">
        <v>13.33</v>
      </c>
      <c r="P1972" s="783">
        <v>100</v>
      </c>
      <c r="Q1972" s="783">
        <v>837.31</v>
      </c>
      <c r="R1972" s="783">
        <v>610.62</v>
      </c>
      <c r="S1972" s="783">
        <v>98.28</v>
      </c>
      <c r="T1972" s="783">
        <v>128.41</v>
      </c>
      <c r="U1972" s="785">
        <v>44700.718599537002</v>
      </c>
    </row>
    <row r="1973" spans="1:21">
      <c r="A1973" s="782">
        <v>44691</v>
      </c>
      <c r="B1973" s="783" t="s">
        <v>41</v>
      </c>
      <c r="C1973" s="783" t="s">
        <v>4092</v>
      </c>
      <c r="D1973" s="783" t="s">
        <v>4009</v>
      </c>
      <c r="E1973" s="783" t="s">
        <v>5276</v>
      </c>
      <c r="F1973" s="783" t="s">
        <v>4011</v>
      </c>
      <c r="G1973" s="783" t="str">
        <f t="shared" si="103"/>
        <v>Renewal (20% in 2020)</v>
      </c>
      <c r="H1973" s="783" t="s">
        <v>5277</v>
      </c>
      <c r="I1973" s="783" t="s">
        <v>5278</v>
      </c>
      <c r="J1973" s="783">
        <v>20</v>
      </c>
      <c r="K1973" s="783" t="s">
        <v>898</v>
      </c>
      <c r="L1973" s="783" t="s">
        <v>4014</v>
      </c>
      <c r="M1973" s="784">
        <v>4182.09</v>
      </c>
      <c r="N1973" s="784">
        <v>4.37</v>
      </c>
      <c r="O1973" s="784">
        <v>9.57</v>
      </c>
      <c r="P1973" s="783">
        <v>100</v>
      </c>
      <c r="Q1973" s="783">
        <v>320.77</v>
      </c>
      <c r="R1973" s="783">
        <v>189.87</v>
      </c>
      <c r="S1973" s="783">
        <v>35.549999999999997</v>
      </c>
      <c r="T1973" s="783">
        <v>95.35</v>
      </c>
      <c r="U1973" s="785">
        <v>44708.6492939815</v>
      </c>
    </row>
    <row r="1974" spans="1:21">
      <c r="A1974" s="782">
        <v>44665</v>
      </c>
      <c r="B1974" s="783" t="s">
        <v>113</v>
      </c>
      <c r="C1974" s="783" t="s">
        <v>4606</v>
      </c>
      <c r="D1974" s="783" t="s">
        <v>4009</v>
      </c>
      <c r="E1974" s="783" t="s">
        <v>6681</v>
      </c>
      <c r="F1974" s="783" t="s">
        <v>4011</v>
      </c>
      <c r="G1974" s="783" t="str">
        <f t="shared" si="103"/>
        <v>Renewal (25% in 2020)</v>
      </c>
      <c r="H1974" s="783" t="s">
        <v>6682</v>
      </c>
      <c r="I1974" s="783" t="s">
        <v>6683</v>
      </c>
      <c r="J1974" s="783">
        <v>30</v>
      </c>
      <c r="K1974" s="783" t="s">
        <v>898</v>
      </c>
      <c r="L1974" s="783" t="s">
        <v>4014</v>
      </c>
      <c r="M1974" s="784">
        <v>8178.23</v>
      </c>
      <c r="N1974" s="784">
        <v>5.0199999999999996</v>
      </c>
      <c r="O1974" s="784">
        <v>16.13</v>
      </c>
      <c r="P1974" s="783">
        <v>101</v>
      </c>
      <c r="Q1974" s="783">
        <v>372.93</v>
      </c>
      <c r="R1974" s="783">
        <v>282.14999999999998</v>
      </c>
      <c r="S1974" s="783">
        <v>0</v>
      </c>
      <c r="T1974" s="783">
        <v>90.78</v>
      </c>
      <c r="U1974" s="785">
        <v>44666.397430555597</v>
      </c>
    </row>
    <row r="1975" spans="1:21">
      <c r="A1975" s="782">
        <v>44673</v>
      </c>
      <c r="B1975" s="783" t="s">
        <v>51</v>
      </c>
      <c r="C1975" s="783" t="s">
        <v>4015</v>
      </c>
      <c r="D1975" s="783" t="s">
        <v>4016</v>
      </c>
      <c r="E1975" s="783" t="s">
        <v>2016</v>
      </c>
      <c r="F1975" s="783" t="s">
        <v>4011</v>
      </c>
      <c r="G1975" s="783" t="str">
        <f t="shared" si="103"/>
        <v>Renewal (20% in 2020)</v>
      </c>
      <c r="H1975" s="783" t="s">
        <v>5294</v>
      </c>
      <c r="I1975" s="783" t="s">
        <v>5295</v>
      </c>
      <c r="J1975" s="783">
        <v>20</v>
      </c>
      <c r="K1975" s="783" t="s">
        <v>898</v>
      </c>
      <c r="L1975" s="783" t="s">
        <v>4014</v>
      </c>
      <c r="M1975" s="784">
        <v>39609</v>
      </c>
      <c r="N1975" s="784">
        <v>27</v>
      </c>
      <c r="O1975" s="784">
        <v>14.67</v>
      </c>
      <c r="P1975" s="783">
        <v>100</v>
      </c>
      <c r="Q1975" s="783">
        <v>3331.12</v>
      </c>
      <c r="R1975" s="783">
        <v>1956.68</v>
      </c>
      <c r="S1975" s="783">
        <v>316.87</v>
      </c>
      <c r="T1975" s="783">
        <v>1057.56</v>
      </c>
      <c r="U1975" s="785">
        <v>44673.708287037</v>
      </c>
    </row>
    <row r="1976" spans="1:21">
      <c r="A1976" s="782">
        <v>44698</v>
      </c>
      <c r="B1976" s="783" t="s">
        <v>41</v>
      </c>
      <c r="C1976" s="783" t="s">
        <v>4354</v>
      </c>
      <c r="D1976" s="783" t="s">
        <v>4009</v>
      </c>
      <c r="E1976" s="783" t="s">
        <v>767</v>
      </c>
      <c r="F1976" s="783" t="s">
        <v>4011</v>
      </c>
      <c r="G1976" s="783" t="s">
        <v>4028</v>
      </c>
      <c r="H1976" s="783" t="s">
        <v>5322</v>
      </c>
      <c r="I1976" s="783" t="s">
        <v>5323</v>
      </c>
      <c r="J1976" s="783">
        <v>25</v>
      </c>
      <c r="K1976" s="783" t="s">
        <v>898</v>
      </c>
      <c r="L1976" s="783" t="s">
        <v>4014</v>
      </c>
      <c r="M1976" s="784">
        <v>2084.64</v>
      </c>
      <c r="N1976" s="784">
        <v>1.72</v>
      </c>
      <c r="O1976" s="784">
        <v>12</v>
      </c>
      <c r="P1976" s="783">
        <v>101</v>
      </c>
      <c r="Q1976" s="783">
        <v>133.21</v>
      </c>
      <c r="R1976" s="783">
        <v>97.14</v>
      </c>
      <c r="S1976" s="783">
        <v>15.63</v>
      </c>
      <c r="T1976" s="783">
        <v>20.43</v>
      </c>
      <c r="U1976" s="785">
        <v>44699.483101851903</v>
      </c>
    </row>
    <row r="1977" spans="1:21">
      <c r="A1977" s="782">
        <v>44540</v>
      </c>
      <c r="B1977" s="783" t="s">
        <v>41</v>
      </c>
      <c r="C1977" s="783" t="s">
        <v>4071</v>
      </c>
      <c r="D1977" s="783" t="s">
        <v>4009</v>
      </c>
      <c r="E1977" s="783" t="s">
        <v>321</v>
      </c>
      <c r="F1977" s="783" t="s">
        <v>4011</v>
      </c>
      <c r="G1977" s="783" t="str">
        <f>VLOOKUP(I1977,pacage,2,FALSE)</f>
        <v>Renewal (25% in 2020)</v>
      </c>
      <c r="H1977" s="783" t="s">
        <v>5359</v>
      </c>
      <c r="I1977" s="783" t="s">
        <v>5360</v>
      </c>
      <c r="J1977" s="783">
        <v>25</v>
      </c>
      <c r="K1977" s="783" t="s">
        <v>898</v>
      </c>
      <c r="L1977" s="783" t="s">
        <v>4014</v>
      </c>
      <c r="M1977" s="784">
        <v>30464.93</v>
      </c>
      <c r="N1977" s="784">
        <v>24.91</v>
      </c>
      <c r="O1977" s="784">
        <v>12.23</v>
      </c>
      <c r="P1977" s="783">
        <v>100</v>
      </c>
      <c r="Q1977" s="783">
        <v>2035.06</v>
      </c>
      <c r="R1977" s="783">
        <v>1614.64</v>
      </c>
      <c r="S1977" s="783">
        <v>258.95</v>
      </c>
      <c r="T1977" s="783">
        <v>161.46</v>
      </c>
      <c r="U1977" s="785">
        <v>44631.626689814802</v>
      </c>
    </row>
    <row r="1978" spans="1:21">
      <c r="A1978" s="782">
        <v>44547</v>
      </c>
      <c r="B1978" s="783" t="s">
        <v>51</v>
      </c>
      <c r="C1978" s="783" t="s">
        <v>4042</v>
      </c>
      <c r="D1978" s="783" t="s">
        <v>4016</v>
      </c>
      <c r="E1978" s="783" t="s">
        <v>5375</v>
      </c>
      <c r="F1978" s="783" t="s">
        <v>4011</v>
      </c>
      <c r="G1978" s="783" t="str">
        <f>VLOOKUP(I1978,pacage,2,FALSE)</f>
        <v>Renewal (15% in 2020)</v>
      </c>
      <c r="H1978" s="783" t="s">
        <v>5376</v>
      </c>
      <c r="I1978" s="783" t="s">
        <v>5377</v>
      </c>
      <c r="J1978" s="783">
        <v>15</v>
      </c>
      <c r="K1978" s="783" t="s">
        <v>898</v>
      </c>
      <c r="L1978" s="783" t="s">
        <v>4014</v>
      </c>
      <c r="M1978" s="784">
        <v>17539.8</v>
      </c>
      <c r="N1978" s="784">
        <v>18.86</v>
      </c>
      <c r="O1978" s="784">
        <v>9.3000000000000007</v>
      </c>
      <c r="P1978" s="783">
        <v>100</v>
      </c>
      <c r="Q1978" s="783">
        <v>1424.23</v>
      </c>
      <c r="R1978" s="783">
        <v>754.21</v>
      </c>
      <c r="S1978" s="783">
        <v>122.78</v>
      </c>
      <c r="T1978" s="783">
        <v>547.24</v>
      </c>
      <c r="U1978" s="785">
        <v>44631.630972222199</v>
      </c>
    </row>
    <row r="1979" spans="1:21">
      <c r="A1979" s="782">
        <v>44663</v>
      </c>
      <c r="B1979" s="783" t="s">
        <v>41</v>
      </c>
      <c r="C1979" s="783" t="s">
        <v>4071</v>
      </c>
      <c r="D1979" s="783" t="s">
        <v>4009</v>
      </c>
      <c r="E1979" s="783" t="s">
        <v>169</v>
      </c>
      <c r="F1979" s="783" t="s">
        <v>4011</v>
      </c>
      <c r="G1979" s="783" t="str">
        <f>VLOOKUP(I1979,pacage,2,FALSE)</f>
        <v>Renewal (15% in 2020)</v>
      </c>
      <c r="H1979" s="783" t="s">
        <v>4137</v>
      </c>
      <c r="I1979" s="783" t="s">
        <v>4138</v>
      </c>
      <c r="J1979" s="783">
        <v>15</v>
      </c>
      <c r="K1979" s="783" t="s">
        <v>898</v>
      </c>
      <c r="L1979" s="783" t="s">
        <v>4014</v>
      </c>
      <c r="M1979" s="784">
        <v>10582</v>
      </c>
      <c r="N1979" s="784">
        <v>11</v>
      </c>
      <c r="O1979" s="784">
        <v>9.6199999999999992</v>
      </c>
      <c r="P1979" s="783">
        <v>100</v>
      </c>
      <c r="Q1979" s="783">
        <v>1235.98</v>
      </c>
      <c r="R1979" s="783">
        <v>560.85</v>
      </c>
      <c r="S1979" s="783">
        <v>89.95</v>
      </c>
      <c r="T1979" s="783">
        <v>585.17999999999995</v>
      </c>
      <c r="U1979" s="785">
        <v>44663.427581018499</v>
      </c>
    </row>
    <row r="1980" spans="1:21">
      <c r="A1980" s="782">
        <v>44686</v>
      </c>
      <c r="B1980" s="783" t="s">
        <v>4025</v>
      </c>
      <c r="C1980" s="783" t="s">
        <v>4026</v>
      </c>
      <c r="D1980" s="783" t="s">
        <v>4021</v>
      </c>
      <c r="E1980" s="783" t="s">
        <v>4049</v>
      </c>
      <c r="F1980" s="783" t="s">
        <v>4011</v>
      </c>
      <c r="G1980" s="783" t="str">
        <f>VLOOKUP(I1980,pacage,2,FALSE)</f>
        <v>New contract</v>
      </c>
      <c r="H1980" s="783" t="s">
        <v>4050</v>
      </c>
      <c r="I1980" s="783" t="s">
        <v>4051</v>
      </c>
      <c r="J1980" s="783">
        <v>30</v>
      </c>
      <c r="K1980" s="783" t="s">
        <v>898</v>
      </c>
      <c r="L1980" s="783" t="s">
        <v>4014</v>
      </c>
      <c r="M1980" s="784">
        <v>15024.33</v>
      </c>
      <c r="N1980" s="784">
        <v>14.11</v>
      </c>
      <c r="O1980" s="784">
        <v>9.68</v>
      </c>
      <c r="P1980" s="783">
        <v>110</v>
      </c>
      <c r="Q1980" s="783">
        <v>721.17</v>
      </c>
      <c r="R1980" s="783">
        <v>561.46</v>
      </c>
      <c r="S1980" s="783">
        <v>50.03</v>
      </c>
      <c r="T1980" s="783">
        <v>109.68</v>
      </c>
      <c r="U1980" s="785">
        <v>44687.618229166699</v>
      </c>
    </row>
    <row r="1981" spans="1:21">
      <c r="A1981" s="782">
        <v>44685</v>
      </c>
      <c r="B1981" s="783" t="s">
        <v>41</v>
      </c>
      <c r="C1981" s="783" t="s">
        <v>4092</v>
      </c>
      <c r="D1981" s="783" t="s">
        <v>4009</v>
      </c>
      <c r="E1981" s="783" t="s">
        <v>726</v>
      </c>
      <c r="F1981" s="783" t="s">
        <v>4011</v>
      </c>
      <c r="G1981" s="783" t="str">
        <f>VLOOKUP(I1981,pacage,2,FALSE)</f>
        <v>Renewal (15% in 2020)</v>
      </c>
      <c r="H1981" s="783" t="s">
        <v>5467</v>
      </c>
      <c r="I1981" s="783" t="s">
        <v>5468</v>
      </c>
      <c r="J1981" s="783">
        <v>15</v>
      </c>
      <c r="K1981" s="783" t="s">
        <v>898</v>
      </c>
      <c r="L1981" s="783" t="s">
        <v>4014</v>
      </c>
      <c r="M1981" s="784">
        <v>18267.689999999999</v>
      </c>
      <c r="N1981" s="784">
        <v>17.850000000000001</v>
      </c>
      <c r="O1981" s="784">
        <v>7.31</v>
      </c>
      <c r="P1981" s="783">
        <v>140</v>
      </c>
      <c r="Q1981" s="783">
        <v>1883.4</v>
      </c>
      <c r="R1981" s="783">
        <v>598.32000000000005</v>
      </c>
      <c r="S1981" s="783">
        <v>386.31</v>
      </c>
      <c r="T1981" s="783">
        <v>898.77</v>
      </c>
      <c r="U1981" s="785">
        <v>44687.647280092599</v>
      </c>
    </row>
    <row r="1982" spans="1:21">
      <c r="A1982" s="782">
        <v>44676</v>
      </c>
      <c r="B1982" s="783" t="s">
        <v>51</v>
      </c>
      <c r="C1982" s="783" t="s">
        <v>4042</v>
      </c>
      <c r="D1982" s="783" t="s">
        <v>4016</v>
      </c>
      <c r="E1982" s="783" t="s">
        <v>5471</v>
      </c>
      <c r="F1982" s="783" t="s">
        <v>4066</v>
      </c>
      <c r="G1982" s="783" t="s">
        <v>4028</v>
      </c>
      <c r="H1982" s="783" t="s">
        <v>5472</v>
      </c>
      <c r="I1982" s="783" t="s">
        <v>5473</v>
      </c>
      <c r="J1982" s="783">
        <v>10</v>
      </c>
      <c r="K1982" s="783" t="s">
        <v>898</v>
      </c>
      <c r="L1982" s="783" t="s">
        <v>4014</v>
      </c>
      <c r="M1982" s="784">
        <v>21000</v>
      </c>
      <c r="N1982" s="784">
        <v>15</v>
      </c>
      <c r="O1982" s="784">
        <v>14</v>
      </c>
      <c r="P1982" s="783">
        <v>100</v>
      </c>
      <c r="Q1982" s="783">
        <v>275.10000000000002</v>
      </c>
      <c r="R1982" s="783">
        <v>0</v>
      </c>
      <c r="S1982" s="783">
        <v>0</v>
      </c>
      <c r="T1982" s="783">
        <v>275.10000000000002</v>
      </c>
      <c r="U1982" s="785">
        <v>44676.727997685201</v>
      </c>
    </row>
    <row r="1983" spans="1:21">
      <c r="A1983" s="782">
        <v>44679</v>
      </c>
      <c r="B1983" s="783" t="s">
        <v>41</v>
      </c>
      <c r="C1983" s="783" t="s">
        <v>4008</v>
      </c>
      <c r="D1983" s="783" t="s">
        <v>4009</v>
      </c>
      <c r="E1983" s="783" t="s">
        <v>5496</v>
      </c>
      <c r="F1983" s="783" t="s">
        <v>4011</v>
      </c>
      <c r="G1983" s="783" t="str">
        <f t="shared" ref="G1983:G1989" si="104">VLOOKUP(I1983,pacage,2,FALSE)</f>
        <v>Renewal (15% in 2020)</v>
      </c>
      <c r="H1983" s="783" t="s">
        <v>5497</v>
      </c>
      <c r="I1983" s="783" t="s">
        <v>5498</v>
      </c>
      <c r="J1983" s="783">
        <v>15</v>
      </c>
      <c r="K1983" s="783" t="s">
        <v>898</v>
      </c>
      <c r="L1983" s="783" t="s">
        <v>4014</v>
      </c>
      <c r="M1983" s="784">
        <v>6740.94</v>
      </c>
      <c r="N1983" s="784">
        <v>6.04</v>
      </c>
      <c r="O1983" s="784">
        <v>11.05</v>
      </c>
      <c r="P1983" s="783">
        <v>101</v>
      </c>
      <c r="Q1983" s="783">
        <v>651.16999999999996</v>
      </c>
      <c r="R1983" s="783">
        <v>283.12</v>
      </c>
      <c r="S1983" s="783">
        <v>45.16</v>
      </c>
      <c r="T1983" s="783">
        <v>322.89</v>
      </c>
      <c r="U1983" s="785">
        <v>44704.4525810185</v>
      </c>
    </row>
    <row r="1984" spans="1:21">
      <c r="A1984" s="782">
        <v>44681</v>
      </c>
      <c r="B1984" s="783" t="s">
        <v>51</v>
      </c>
      <c r="C1984" s="783" t="s">
        <v>4042</v>
      </c>
      <c r="D1984" s="783" t="s">
        <v>4016</v>
      </c>
      <c r="E1984" s="783" t="s">
        <v>96</v>
      </c>
      <c r="F1984" s="783" t="s">
        <v>4011</v>
      </c>
      <c r="G1984" s="783" t="str">
        <f t="shared" si="104"/>
        <v>Renewal (20% in 2020)</v>
      </c>
      <c r="H1984" s="783" t="s">
        <v>5499</v>
      </c>
      <c r="I1984" s="783" t="s">
        <v>5500</v>
      </c>
      <c r="J1984" s="783">
        <v>20</v>
      </c>
      <c r="K1984" s="783" t="s">
        <v>898</v>
      </c>
      <c r="L1984" s="783" t="s">
        <v>4014</v>
      </c>
      <c r="M1984" s="784">
        <v>33088.5</v>
      </c>
      <c r="N1984" s="784">
        <v>27</v>
      </c>
      <c r="O1984" s="784">
        <v>8.17</v>
      </c>
      <c r="P1984" s="783">
        <v>150</v>
      </c>
      <c r="Q1984" s="783">
        <v>2193.77</v>
      </c>
      <c r="R1984" s="783">
        <v>958.02</v>
      </c>
      <c r="S1984" s="783">
        <v>696.4</v>
      </c>
      <c r="T1984" s="783">
        <v>539.34</v>
      </c>
      <c r="U1984" s="785">
        <v>44683.464166666701</v>
      </c>
    </row>
    <row r="1985" spans="1:21">
      <c r="A1985" s="782">
        <v>44681</v>
      </c>
      <c r="B1985" s="783" t="s">
        <v>51</v>
      </c>
      <c r="C1985" s="783" t="s">
        <v>4796</v>
      </c>
      <c r="D1985" s="783" t="s">
        <v>4016</v>
      </c>
      <c r="E1985" s="783" t="s">
        <v>96</v>
      </c>
      <c r="F1985" s="783" t="s">
        <v>4011</v>
      </c>
      <c r="G1985" s="783" t="str">
        <f t="shared" si="104"/>
        <v>Renewal (20% in 2020)</v>
      </c>
      <c r="H1985" s="783" t="s">
        <v>5499</v>
      </c>
      <c r="I1985" s="783" t="s">
        <v>5500</v>
      </c>
      <c r="J1985" s="783">
        <v>20</v>
      </c>
      <c r="K1985" s="783" t="s">
        <v>898</v>
      </c>
      <c r="L1985" s="783" t="s">
        <v>4014</v>
      </c>
      <c r="M1985" s="784">
        <v>6420</v>
      </c>
      <c r="N1985" s="784">
        <v>4</v>
      </c>
      <c r="O1985" s="784">
        <v>10.7</v>
      </c>
      <c r="P1985" s="783">
        <v>150</v>
      </c>
      <c r="Q1985" s="783">
        <v>511.67</v>
      </c>
      <c r="R1985" s="783">
        <v>204.9</v>
      </c>
      <c r="S1985" s="783">
        <v>148.19999999999999</v>
      </c>
      <c r="T1985" s="783">
        <v>158.57</v>
      </c>
      <c r="U1985" s="785">
        <v>44683.464166666701</v>
      </c>
    </row>
    <row r="1986" spans="1:21">
      <c r="A1986" s="782">
        <v>44680</v>
      </c>
      <c r="B1986" s="783" t="s">
        <v>51</v>
      </c>
      <c r="C1986" s="783" t="s">
        <v>4042</v>
      </c>
      <c r="D1986" s="783" t="s">
        <v>4016</v>
      </c>
      <c r="E1986" s="783" t="s">
        <v>5501</v>
      </c>
      <c r="F1986" s="783" t="s">
        <v>4011</v>
      </c>
      <c r="G1986" s="783" t="str">
        <f t="shared" si="104"/>
        <v>Renewal (15% in 2020)</v>
      </c>
      <c r="H1986" s="783" t="s">
        <v>5502</v>
      </c>
      <c r="I1986" s="783" t="s">
        <v>5503</v>
      </c>
      <c r="J1986" s="783">
        <v>15</v>
      </c>
      <c r="K1986" s="783" t="s">
        <v>898</v>
      </c>
      <c r="L1986" s="783" t="s">
        <v>4014</v>
      </c>
      <c r="M1986" s="784">
        <v>10004.58</v>
      </c>
      <c r="N1986" s="784">
        <v>7.39</v>
      </c>
      <c r="O1986" s="784">
        <v>9.67</v>
      </c>
      <c r="P1986" s="783">
        <v>140</v>
      </c>
      <c r="Q1986" s="783">
        <v>812.37</v>
      </c>
      <c r="R1986" s="783">
        <v>310.36</v>
      </c>
      <c r="S1986" s="783">
        <v>189.87</v>
      </c>
      <c r="T1986" s="783">
        <v>312.14</v>
      </c>
      <c r="U1986" s="785">
        <v>44680.741655092599</v>
      </c>
    </row>
    <row r="1987" spans="1:21">
      <c r="A1987" s="782">
        <v>44684</v>
      </c>
      <c r="B1987" s="783" t="s">
        <v>118</v>
      </c>
      <c r="C1987" s="783" t="s">
        <v>4139</v>
      </c>
      <c r="D1987" s="783" t="s">
        <v>4009</v>
      </c>
      <c r="E1987" s="783" t="s">
        <v>1581</v>
      </c>
      <c r="F1987" s="783" t="s">
        <v>4011</v>
      </c>
      <c r="G1987" s="783" t="str">
        <f t="shared" si="104"/>
        <v>Renewal (15% in 2020)</v>
      </c>
      <c r="H1987" s="783" t="s">
        <v>5507</v>
      </c>
      <c r="I1987" s="783" t="s">
        <v>5508</v>
      </c>
      <c r="J1987" s="783">
        <v>15</v>
      </c>
      <c r="K1987" s="783" t="s">
        <v>898</v>
      </c>
      <c r="L1987" s="783" t="s">
        <v>4014</v>
      </c>
      <c r="M1987" s="784">
        <v>22593.119999999999</v>
      </c>
      <c r="N1987" s="784">
        <v>17.600000000000001</v>
      </c>
      <c r="O1987" s="784">
        <v>11.67</v>
      </c>
      <c r="P1987" s="783">
        <v>110</v>
      </c>
      <c r="Q1987" s="783">
        <v>1979.16</v>
      </c>
      <c r="R1987" s="783">
        <v>825.63</v>
      </c>
      <c r="S1987" s="783">
        <v>215.91</v>
      </c>
      <c r="T1987" s="783">
        <v>937.61</v>
      </c>
      <c r="U1987" s="785">
        <v>44684.386493055601</v>
      </c>
    </row>
    <row r="1988" spans="1:21">
      <c r="A1988" s="782">
        <v>44680</v>
      </c>
      <c r="B1988" s="783" t="s">
        <v>51</v>
      </c>
      <c r="C1988" s="783" t="s">
        <v>4042</v>
      </c>
      <c r="D1988" s="783" t="s">
        <v>4016</v>
      </c>
      <c r="E1988" s="783" t="s">
        <v>106</v>
      </c>
      <c r="F1988" s="783" t="s">
        <v>4011</v>
      </c>
      <c r="G1988" s="783" t="str">
        <f t="shared" si="104"/>
        <v>Renewal (20% in 2020)</v>
      </c>
      <c r="H1988" s="783" t="s">
        <v>5512</v>
      </c>
      <c r="I1988" s="783" t="s">
        <v>5513</v>
      </c>
      <c r="J1988" s="783">
        <v>20</v>
      </c>
      <c r="K1988" s="783" t="s">
        <v>898</v>
      </c>
      <c r="L1988" s="783" t="s">
        <v>4014</v>
      </c>
      <c r="M1988" s="784">
        <v>191416.13</v>
      </c>
      <c r="N1988" s="784">
        <v>102.57</v>
      </c>
      <c r="O1988" s="784">
        <v>13.33</v>
      </c>
      <c r="P1988" s="783">
        <v>140</v>
      </c>
      <c r="Q1988" s="783">
        <v>12690.89</v>
      </c>
      <c r="R1988" s="783">
        <v>5938</v>
      </c>
      <c r="S1988" s="783">
        <v>3632.8</v>
      </c>
      <c r="T1988" s="783">
        <v>3120.08</v>
      </c>
      <c r="U1988" s="785">
        <v>44683.4868055556</v>
      </c>
    </row>
    <row r="1989" spans="1:21">
      <c r="A1989" s="782">
        <v>44680</v>
      </c>
      <c r="B1989" s="783" t="s">
        <v>30</v>
      </c>
      <c r="C1989" s="783" t="s">
        <v>4089</v>
      </c>
      <c r="D1989" s="783" t="s">
        <v>4021</v>
      </c>
      <c r="E1989" s="783" t="s">
        <v>5544</v>
      </c>
      <c r="F1989" s="783" t="s">
        <v>4011</v>
      </c>
      <c r="G1989" s="783" t="str">
        <f t="shared" si="104"/>
        <v>Renewal (15% in 2020)</v>
      </c>
      <c r="H1989" s="783" t="s">
        <v>5545</v>
      </c>
      <c r="I1989" s="783" t="s">
        <v>5546</v>
      </c>
      <c r="J1989" s="783">
        <v>15</v>
      </c>
      <c r="K1989" s="783" t="s">
        <v>898</v>
      </c>
      <c r="L1989" s="783" t="s">
        <v>4014</v>
      </c>
      <c r="M1989" s="784">
        <v>3420</v>
      </c>
      <c r="N1989" s="784">
        <v>3.8</v>
      </c>
      <c r="O1989" s="784">
        <v>9</v>
      </c>
      <c r="P1989" s="783">
        <v>100</v>
      </c>
      <c r="Q1989" s="783">
        <v>323.19</v>
      </c>
      <c r="R1989" s="783">
        <v>158.35</v>
      </c>
      <c r="S1989" s="783">
        <v>25.99</v>
      </c>
      <c r="T1989" s="783">
        <v>138.85</v>
      </c>
      <c r="U1989" s="785">
        <v>44683.468275462998</v>
      </c>
    </row>
    <row r="1990" spans="1:21">
      <c r="A1990" s="782">
        <v>44680</v>
      </c>
      <c r="B1990" s="783" t="s">
        <v>4025</v>
      </c>
      <c r="C1990" s="783" t="s">
        <v>4026</v>
      </c>
      <c r="D1990" s="783" t="s">
        <v>4021</v>
      </c>
      <c r="E1990" s="783" t="s">
        <v>5547</v>
      </c>
      <c r="F1990" s="783" t="s">
        <v>4011</v>
      </c>
      <c r="G1990" s="783" t="s">
        <v>4028</v>
      </c>
      <c r="H1990" s="783" t="s">
        <v>5548</v>
      </c>
      <c r="I1990" s="783" t="s">
        <v>5549</v>
      </c>
      <c r="J1990" s="783">
        <v>20</v>
      </c>
      <c r="K1990" s="783" t="s">
        <v>898</v>
      </c>
      <c r="L1990" s="783" t="s">
        <v>4014</v>
      </c>
      <c r="M1990" s="784">
        <v>49572.6</v>
      </c>
      <c r="N1990" s="784">
        <v>58</v>
      </c>
      <c r="O1990" s="784">
        <v>7.77</v>
      </c>
      <c r="P1990" s="783">
        <v>110</v>
      </c>
      <c r="Q1990" s="783">
        <v>3465.12</v>
      </c>
      <c r="R1990" s="783">
        <v>1852.53</v>
      </c>
      <c r="S1990" s="783">
        <v>487.3</v>
      </c>
      <c r="T1990" s="783">
        <v>1125.3</v>
      </c>
      <c r="U1990" s="785">
        <v>44680.740601851903</v>
      </c>
    </row>
    <row r="1991" spans="1:21">
      <c r="A1991" s="782">
        <v>44686</v>
      </c>
      <c r="B1991" s="783" t="s">
        <v>113</v>
      </c>
      <c r="C1991" s="783" t="s">
        <v>4598</v>
      </c>
      <c r="D1991" s="783" t="s">
        <v>4009</v>
      </c>
      <c r="E1991" s="783" t="s">
        <v>6663</v>
      </c>
      <c r="F1991" s="783" t="s">
        <v>4011</v>
      </c>
      <c r="G1991" s="783" t="str">
        <f>VLOOKUP(I1991,pacage,2,FALSE)</f>
        <v>Renewal (25% in 2020)</v>
      </c>
      <c r="H1991" s="783" t="s">
        <v>6664</v>
      </c>
      <c r="I1991" s="783" t="s">
        <v>6665</v>
      </c>
      <c r="J1991" s="783">
        <v>30</v>
      </c>
      <c r="K1991" s="783" t="s">
        <v>898</v>
      </c>
      <c r="L1991" s="783" t="s">
        <v>4014</v>
      </c>
      <c r="M1991" s="784">
        <v>18127.75</v>
      </c>
      <c r="N1991" s="784">
        <v>16.739999999999998</v>
      </c>
      <c r="O1991" s="784">
        <v>8.33</v>
      </c>
      <c r="P1991" s="783">
        <v>130</v>
      </c>
      <c r="Q1991" s="783">
        <v>766.8</v>
      </c>
      <c r="R1991" s="783">
        <v>457.73</v>
      </c>
      <c r="S1991" s="783">
        <v>131.43</v>
      </c>
      <c r="T1991" s="783">
        <v>177.65</v>
      </c>
      <c r="U1991" s="785">
        <v>44687.666585648098</v>
      </c>
    </row>
    <row r="1992" spans="1:21">
      <c r="A1992" s="782">
        <v>44715</v>
      </c>
      <c r="B1992" s="783" t="s">
        <v>51</v>
      </c>
      <c r="C1992" s="783" t="s">
        <v>4042</v>
      </c>
      <c r="D1992" s="783" t="s">
        <v>4016</v>
      </c>
      <c r="E1992" s="783" t="s">
        <v>3849</v>
      </c>
      <c r="F1992" s="783" t="s">
        <v>4011</v>
      </c>
      <c r="G1992" s="783" t="str">
        <f>VLOOKUP(I1992,pacage,2,FALSE)</f>
        <v>Renewal (15% in 2020)</v>
      </c>
      <c r="H1992" s="783" t="s">
        <v>5561</v>
      </c>
      <c r="I1992" s="783" t="s">
        <v>5562</v>
      </c>
      <c r="J1992" s="783">
        <v>15</v>
      </c>
      <c r="K1992" s="783" t="s">
        <v>898</v>
      </c>
      <c r="L1992" s="783" t="s">
        <v>4014</v>
      </c>
      <c r="M1992" s="784">
        <v>11001.94</v>
      </c>
      <c r="N1992" s="784">
        <v>7.37</v>
      </c>
      <c r="O1992" s="784">
        <v>9.33</v>
      </c>
      <c r="P1992" s="783">
        <v>160</v>
      </c>
      <c r="Q1992" s="783">
        <v>893.36</v>
      </c>
      <c r="R1992" s="783">
        <v>298.63</v>
      </c>
      <c r="S1992" s="783">
        <v>251.46</v>
      </c>
      <c r="T1992" s="783">
        <v>343.26</v>
      </c>
      <c r="U1992" s="785">
        <v>44715.466388888897</v>
      </c>
    </row>
    <row r="1993" spans="1:21">
      <c r="A1993" s="782">
        <v>44711</v>
      </c>
      <c r="B1993" s="783" t="s">
        <v>4025</v>
      </c>
      <c r="C1993" s="783" t="s">
        <v>4026</v>
      </c>
      <c r="D1993" s="783" t="s">
        <v>4021</v>
      </c>
      <c r="E1993" s="783" t="s">
        <v>5589</v>
      </c>
      <c r="F1993" s="783" t="s">
        <v>4011</v>
      </c>
      <c r="G1993" s="783" t="str">
        <f>VLOOKUP(I1993,pacage,2,FALSE)</f>
        <v>New Contract</v>
      </c>
      <c r="H1993" s="783" t="s">
        <v>5590</v>
      </c>
      <c r="I1993" s="783" t="s">
        <v>5591</v>
      </c>
      <c r="J1993" s="783">
        <v>25</v>
      </c>
      <c r="K1993" s="783" t="s">
        <v>898</v>
      </c>
      <c r="L1993" s="783" t="s">
        <v>4014</v>
      </c>
      <c r="M1993" s="784">
        <v>19361.7</v>
      </c>
      <c r="N1993" s="784">
        <v>12.78</v>
      </c>
      <c r="O1993" s="784">
        <v>15</v>
      </c>
      <c r="P1993" s="783">
        <v>101</v>
      </c>
      <c r="Q1993" s="783">
        <v>1055.21</v>
      </c>
      <c r="R1993" s="783">
        <v>788.02</v>
      </c>
      <c r="S1993" s="783">
        <v>125.85</v>
      </c>
      <c r="T1993" s="783">
        <v>141.34</v>
      </c>
      <c r="U1993" s="785">
        <v>44713.639259259297</v>
      </c>
    </row>
    <row r="1994" spans="1:21">
      <c r="A1994" s="782">
        <v>44707</v>
      </c>
      <c r="B1994" s="783" t="s">
        <v>41</v>
      </c>
      <c r="C1994" s="783" t="s">
        <v>4071</v>
      </c>
      <c r="D1994" s="783" t="s">
        <v>4009</v>
      </c>
      <c r="E1994" s="783" t="s">
        <v>5594</v>
      </c>
      <c r="F1994" s="783" t="s">
        <v>4011</v>
      </c>
      <c r="G1994" s="783" t="str">
        <f>VLOOKUP(I1994,pacage,2,FALSE)</f>
        <v>New Contract</v>
      </c>
      <c r="H1994" s="783" t="s">
        <v>5595</v>
      </c>
      <c r="I1994" s="783" t="s">
        <v>5596</v>
      </c>
      <c r="J1994" s="783">
        <v>25</v>
      </c>
      <c r="K1994" s="783" t="s">
        <v>898</v>
      </c>
      <c r="L1994" s="783" t="s">
        <v>4014</v>
      </c>
      <c r="M1994" s="784">
        <v>3495.16</v>
      </c>
      <c r="N1994" s="784">
        <v>3.35</v>
      </c>
      <c r="O1994" s="784">
        <v>10.33</v>
      </c>
      <c r="P1994" s="783">
        <v>101</v>
      </c>
      <c r="Q1994" s="783">
        <v>233.48</v>
      </c>
      <c r="R1994" s="783">
        <v>185.24</v>
      </c>
      <c r="S1994" s="783">
        <v>29.71</v>
      </c>
      <c r="T1994" s="783">
        <v>18.52</v>
      </c>
      <c r="U1994" s="785">
        <v>44708.583854166704</v>
      </c>
    </row>
    <row r="1995" spans="1:21">
      <c r="A1995" s="782">
        <v>44712</v>
      </c>
      <c r="B1995" s="783" t="s">
        <v>41</v>
      </c>
      <c r="C1995" s="783" t="s">
        <v>4092</v>
      </c>
      <c r="D1995" s="783" t="s">
        <v>4009</v>
      </c>
      <c r="E1995" s="783" t="s">
        <v>5597</v>
      </c>
      <c r="F1995" s="783" t="s">
        <v>4011</v>
      </c>
      <c r="G1995" s="783" t="s">
        <v>4028</v>
      </c>
      <c r="H1995" s="783" t="s">
        <v>5598</v>
      </c>
      <c r="I1995" s="783" t="s">
        <v>5599</v>
      </c>
      <c r="J1995" s="783">
        <v>25</v>
      </c>
      <c r="K1995" s="783" t="s">
        <v>898</v>
      </c>
      <c r="L1995" s="783" t="s">
        <v>4014</v>
      </c>
      <c r="M1995" s="784">
        <v>17756.89</v>
      </c>
      <c r="N1995" s="784">
        <v>12.11</v>
      </c>
      <c r="O1995" s="784">
        <v>13.33</v>
      </c>
      <c r="P1995" s="783">
        <v>110</v>
      </c>
      <c r="Q1995" s="783">
        <v>1045.8800000000001</v>
      </c>
      <c r="R1995" s="783">
        <v>740.2</v>
      </c>
      <c r="S1995" s="783">
        <v>216.89</v>
      </c>
      <c r="T1995" s="783">
        <v>88.78</v>
      </c>
      <c r="U1995" s="785">
        <v>44715.397291666697</v>
      </c>
    </row>
    <row r="1996" spans="1:21">
      <c r="A1996" s="782">
        <v>44707</v>
      </c>
      <c r="B1996" s="783" t="s">
        <v>51</v>
      </c>
      <c r="C1996" s="783" t="s">
        <v>4015</v>
      </c>
      <c r="D1996" s="783" t="s">
        <v>4016</v>
      </c>
      <c r="E1996" s="783" t="s">
        <v>5623</v>
      </c>
      <c r="F1996" s="783" t="s">
        <v>4011</v>
      </c>
      <c r="G1996" s="783" t="str">
        <f>VLOOKUP(I1996,pacage,2,FALSE)</f>
        <v>Renewal (25% in 2020)</v>
      </c>
      <c r="H1996" s="783" t="s">
        <v>5624</v>
      </c>
      <c r="I1996" s="783" t="s">
        <v>5625</v>
      </c>
      <c r="J1996" s="783">
        <v>25</v>
      </c>
      <c r="K1996" s="783" t="s">
        <v>898</v>
      </c>
      <c r="L1996" s="783" t="s">
        <v>4014</v>
      </c>
      <c r="M1996" s="784">
        <v>61097.33</v>
      </c>
      <c r="N1996" s="784">
        <v>38.99</v>
      </c>
      <c r="O1996" s="784">
        <v>15.67</v>
      </c>
      <c r="P1996" s="783">
        <v>100</v>
      </c>
      <c r="Q1996" s="783">
        <v>3995.77</v>
      </c>
      <c r="R1996" s="783">
        <v>3018.21</v>
      </c>
      <c r="S1996" s="783">
        <v>488.78</v>
      </c>
      <c r="T1996" s="783">
        <v>488.78</v>
      </c>
      <c r="U1996" s="785">
        <v>44708.5859837963</v>
      </c>
    </row>
    <row r="1997" spans="1:21">
      <c r="A1997" s="782">
        <v>44712</v>
      </c>
      <c r="B1997" s="783" t="s">
        <v>228</v>
      </c>
      <c r="C1997" s="783" t="s">
        <v>4354</v>
      </c>
      <c r="D1997" s="783" t="s">
        <v>4009</v>
      </c>
      <c r="E1997" s="783" t="s">
        <v>4647</v>
      </c>
      <c r="F1997" s="783" t="s">
        <v>4011</v>
      </c>
      <c r="G1997" s="783" t="s">
        <v>4028</v>
      </c>
      <c r="H1997" s="783" t="s">
        <v>4648</v>
      </c>
      <c r="I1997" s="783" t="s">
        <v>4649</v>
      </c>
      <c r="J1997" s="783">
        <v>25</v>
      </c>
      <c r="K1997" s="783" t="s">
        <v>898</v>
      </c>
      <c r="L1997" s="783" t="s">
        <v>4014</v>
      </c>
      <c r="M1997" s="784">
        <v>34973.4</v>
      </c>
      <c r="N1997" s="784">
        <v>22.71</v>
      </c>
      <c r="O1997" s="784">
        <v>14</v>
      </c>
      <c r="P1997" s="783">
        <v>110</v>
      </c>
      <c r="Q1997" s="783">
        <v>2234.8000000000002</v>
      </c>
      <c r="R1997" s="783">
        <v>1496.42</v>
      </c>
      <c r="S1997" s="783">
        <v>395.64</v>
      </c>
      <c r="T1997" s="783">
        <v>342.74</v>
      </c>
      <c r="U1997" s="785">
        <v>44714.015439814801</v>
      </c>
    </row>
    <row r="1998" spans="1:21">
      <c r="A1998" s="782">
        <v>44711</v>
      </c>
      <c r="B1998" s="783" t="s">
        <v>4025</v>
      </c>
      <c r="C1998" s="783" t="s">
        <v>4026</v>
      </c>
      <c r="D1998" s="783" t="s">
        <v>4021</v>
      </c>
      <c r="E1998" s="783" t="s">
        <v>4155</v>
      </c>
      <c r="F1998" s="783" t="s">
        <v>4011</v>
      </c>
      <c r="G1998" s="783" t="str">
        <f t="shared" ref="G1998:G2004" si="105">VLOOKUP(I1998,pacage,2,FALSE)</f>
        <v>New contract</v>
      </c>
      <c r="H1998" s="783" t="s">
        <v>4156</v>
      </c>
      <c r="I1998" s="783" t="s">
        <v>4157</v>
      </c>
      <c r="J1998" s="783">
        <v>25</v>
      </c>
      <c r="K1998" s="783" t="s">
        <v>898</v>
      </c>
      <c r="L1998" s="783" t="s">
        <v>4014</v>
      </c>
      <c r="M1998" s="784">
        <v>39877.83</v>
      </c>
      <c r="N1998" s="784">
        <v>43.87</v>
      </c>
      <c r="O1998" s="784">
        <v>9</v>
      </c>
      <c r="P1998" s="783">
        <v>101</v>
      </c>
      <c r="Q1998" s="783">
        <v>2173.34</v>
      </c>
      <c r="R1998" s="783">
        <v>1623.03</v>
      </c>
      <c r="S1998" s="783">
        <v>259.20999999999998</v>
      </c>
      <c r="T1998" s="783">
        <v>291.11</v>
      </c>
      <c r="U1998" s="785">
        <v>44713.9839236111</v>
      </c>
    </row>
    <row r="1999" spans="1:21">
      <c r="A1999" s="782">
        <v>44715</v>
      </c>
      <c r="B1999" s="783" t="s">
        <v>228</v>
      </c>
      <c r="C1999" s="783" t="s">
        <v>4192</v>
      </c>
      <c r="D1999" s="783" t="s">
        <v>4193</v>
      </c>
      <c r="E1999" s="783" t="s">
        <v>3835</v>
      </c>
      <c r="F1999" s="783" t="s">
        <v>4011</v>
      </c>
      <c r="G1999" s="783" t="str">
        <f t="shared" si="105"/>
        <v>Renewal (25% in 2020)</v>
      </c>
      <c r="H1999" s="783" t="s">
        <v>5634</v>
      </c>
      <c r="I1999" s="783" t="s">
        <v>5635</v>
      </c>
      <c r="J1999" s="783">
        <v>25</v>
      </c>
      <c r="K1999" s="783" t="s">
        <v>898</v>
      </c>
      <c r="L1999" s="783" t="s">
        <v>4014</v>
      </c>
      <c r="M1999" s="784">
        <v>174746</v>
      </c>
      <c r="N1999" s="784">
        <v>79.430000000000007</v>
      </c>
      <c r="O1999" s="784">
        <v>11</v>
      </c>
      <c r="P1999" s="783">
        <v>200</v>
      </c>
      <c r="Q1999" s="783">
        <v>8929.52</v>
      </c>
      <c r="R1999" s="783">
        <v>3476.92</v>
      </c>
      <c r="S1999" s="783">
        <v>4543.92</v>
      </c>
      <c r="T1999" s="783">
        <v>908.68</v>
      </c>
      <c r="U1999" s="785">
        <v>44715.461851851898</v>
      </c>
    </row>
    <row r="2000" spans="1:21">
      <c r="A2000" s="782">
        <v>44712</v>
      </c>
      <c r="B2000" s="783" t="s">
        <v>51</v>
      </c>
      <c r="C2000" s="783" t="s">
        <v>4042</v>
      </c>
      <c r="D2000" s="783" t="s">
        <v>4016</v>
      </c>
      <c r="E2000" s="783" t="s">
        <v>5642</v>
      </c>
      <c r="F2000" s="783" t="s">
        <v>4011</v>
      </c>
      <c r="G2000" s="783" t="str">
        <f t="shared" si="105"/>
        <v>Renewal (20% in 2020)</v>
      </c>
      <c r="H2000" s="783" t="s">
        <v>5643</v>
      </c>
      <c r="I2000" s="783" t="s">
        <v>5644</v>
      </c>
      <c r="J2000" s="783">
        <v>20</v>
      </c>
      <c r="K2000" s="783" t="s">
        <v>898</v>
      </c>
      <c r="L2000" s="783" t="s">
        <v>4014</v>
      </c>
      <c r="M2000" s="784">
        <v>47961.2</v>
      </c>
      <c r="N2000" s="784">
        <v>48.94</v>
      </c>
      <c r="O2000" s="784">
        <v>7</v>
      </c>
      <c r="P2000" s="783">
        <v>140</v>
      </c>
      <c r="Q2000" s="783">
        <v>3179.83</v>
      </c>
      <c r="R2000" s="783">
        <v>1487.82</v>
      </c>
      <c r="S2000" s="783">
        <v>910.24</v>
      </c>
      <c r="T2000" s="783">
        <v>781.77</v>
      </c>
      <c r="U2000" s="785">
        <v>44714.585717592599</v>
      </c>
    </row>
    <row r="2001" spans="1:21">
      <c r="A2001" s="782">
        <v>44711</v>
      </c>
      <c r="B2001" s="783" t="s">
        <v>74</v>
      </c>
      <c r="C2001" s="783" t="s">
        <v>4097</v>
      </c>
      <c r="D2001" s="783" t="s">
        <v>4038</v>
      </c>
      <c r="E2001" s="783" t="s">
        <v>4370</v>
      </c>
      <c r="F2001" s="783" t="s">
        <v>4011</v>
      </c>
      <c r="G2001" s="783" t="str">
        <f t="shared" si="105"/>
        <v>Renewal (20% in 2020)</v>
      </c>
      <c r="H2001" s="783" t="s">
        <v>4371</v>
      </c>
      <c r="I2001" s="783" t="s">
        <v>4372</v>
      </c>
      <c r="J2001" s="783">
        <v>20</v>
      </c>
      <c r="K2001" s="783" t="s">
        <v>898</v>
      </c>
      <c r="L2001" s="783" t="s">
        <v>4014</v>
      </c>
      <c r="M2001" s="784">
        <v>5363.75</v>
      </c>
      <c r="N2001" s="784">
        <v>6.28</v>
      </c>
      <c r="O2001" s="784">
        <v>6.57</v>
      </c>
      <c r="P2001" s="783">
        <v>130</v>
      </c>
      <c r="Q2001" s="783">
        <v>369.56</v>
      </c>
      <c r="R2001" s="783">
        <v>164.19</v>
      </c>
      <c r="S2001" s="783">
        <v>80.930000000000007</v>
      </c>
      <c r="T2001" s="783">
        <v>124.44</v>
      </c>
      <c r="U2001" s="785">
        <v>44713.987743055601</v>
      </c>
    </row>
    <row r="2002" spans="1:21">
      <c r="A2002" s="782">
        <v>44712</v>
      </c>
      <c r="B2002" s="783" t="s">
        <v>41</v>
      </c>
      <c r="C2002" s="783" t="s">
        <v>4092</v>
      </c>
      <c r="D2002" s="783" t="s">
        <v>4009</v>
      </c>
      <c r="E2002" s="783" t="s">
        <v>1194</v>
      </c>
      <c r="F2002" s="783" t="s">
        <v>4011</v>
      </c>
      <c r="G2002" s="783" t="str">
        <f t="shared" si="105"/>
        <v>Renewal (15% in 2020)</v>
      </c>
      <c r="H2002" s="783" t="s">
        <v>5668</v>
      </c>
      <c r="I2002" s="783" t="s">
        <v>5669</v>
      </c>
      <c r="J2002" s="783">
        <v>20</v>
      </c>
      <c r="K2002" s="783" t="s">
        <v>898</v>
      </c>
      <c r="L2002" s="783" t="s">
        <v>4014</v>
      </c>
      <c r="M2002" s="784">
        <v>16088.04</v>
      </c>
      <c r="N2002" s="784">
        <v>19.61</v>
      </c>
      <c r="O2002" s="784">
        <v>5.86</v>
      </c>
      <c r="P2002" s="783">
        <v>140</v>
      </c>
      <c r="Q2002" s="783">
        <v>1233.95</v>
      </c>
      <c r="R2002" s="783">
        <v>526.92999999999995</v>
      </c>
      <c r="S2002" s="783">
        <v>340.22</v>
      </c>
      <c r="T2002" s="783">
        <v>366.81</v>
      </c>
      <c r="U2002" s="785">
        <v>44714.578807870399</v>
      </c>
    </row>
    <row r="2003" spans="1:21">
      <c r="A2003" s="782">
        <v>44711</v>
      </c>
      <c r="B2003" s="783" t="s">
        <v>51</v>
      </c>
      <c r="C2003" s="783" t="s">
        <v>4042</v>
      </c>
      <c r="D2003" s="783" t="s">
        <v>4016</v>
      </c>
      <c r="E2003" s="783" t="s">
        <v>1315</v>
      </c>
      <c r="F2003" s="783" t="s">
        <v>4011</v>
      </c>
      <c r="G2003" s="783" t="str">
        <f t="shared" si="105"/>
        <v>Renewal (25% in 2020)</v>
      </c>
      <c r="H2003" s="783" t="s">
        <v>5676</v>
      </c>
      <c r="I2003" s="783" t="s">
        <v>5677</v>
      </c>
      <c r="J2003" s="783">
        <v>25</v>
      </c>
      <c r="K2003" s="783" t="s">
        <v>898</v>
      </c>
      <c r="L2003" s="783" t="s">
        <v>4014</v>
      </c>
      <c r="M2003" s="784">
        <v>42831.51</v>
      </c>
      <c r="N2003" s="784">
        <v>30.97</v>
      </c>
      <c r="O2003" s="784">
        <v>13.83</v>
      </c>
      <c r="P2003" s="783">
        <v>100</v>
      </c>
      <c r="Q2003" s="783">
        <v>2415.6999999999998</v>
      </c>
      <c r="R2003" s="783">
        <v>1841.75</v>
      </c>
      <c r="S2003" s="783">
        <v>299.82</v>
      </c>
      <c r="T2003" s="783">
        <v>274.12</v>
      </c>
      <c r="U2003" s="785">
        <v>44713.995000000003</v>
      </c>
    </row>
    <row r="2004" spans="1:21">
      <c r="A2004" s="782">
        <v>44711</v>
      </c>
      <c r="B2004" s="783" t="s">
        <v>51</v>
      </c>
      <c r="C2004" s="783" t="s">
        <v>4015</v>
      </c>
      <c r="D2004" s="783" t="s">
        <v>4016</v>
      </c>
      <c r="E2004" s="783" t="s">
        <v>5689</v>
      </c>
      <c r="F2004" s="783" t="s">
        <v>4011</v>
      </c>
      <c r="G2004" s="783" t="str">
        <f t="shared" si="105"/>
        <v>Renewal (15% in 2020)</v>
      </c>
      <c r="H2004" s="783" t="s">
        <v>5690</v>
      </c>
      <c r="I2004" s="783" t="s">
        <v>5691</v>
      </c>
      <c r="J2004" s="783">
        <v>15</v>
      </c>
      <c r="K2004" s="783" t="s">
        <v>898</v>
      </c>
      <c r="L2004" s="783" t="s">
        <v>4014</v>
      </c>
      <c r="M2004" s="784">
        <v>36665.33</v>
      </c>
      <c r="N2004" s="784">
        <v>27.51</v>
      </c>
      <c r="O2004" s="784">
        <v>8.33</v>
      </c>
      <c r="P2004" s="783">
        <v>160</v>
      </c>
      <c r="Q2004" s="783">
        <v>4102.8500000000004</v>
      </c>
      <c r="R2004" s="783">
        <v>1143.3599999999999</v>
      </c>
      <c r="S2004" s="783">
        <v>961.23</v>
      </c>
      <c r="T2004" s="783">
        <v>1998.26</v>
      </c>
      <c r="U2004" s="785">
        <v>44713.541979166701</v>
      </c>
    </row>
    <row r="2005" spans="1:21">
      <c r="A2005" s="782">
        <v>44712</v>
      </c>
      <c r="B2005" s="783" t="s">
        <v>4025</v>
      </c>
      <c r="C2005" s="783" t="s">
        <v>4026</v>
      </c>
      <c r="D2005" s="783" t="s">
        <v>4021</v>
      </c>
      <c r="E2005" s="783" t="s">
        <v>4056</v>
      </c>
      <c r="F2005" s="783" t="s">
        <v>4011</v>
      </c>
      <c r="G2005" s="783" t="s">
        <v>4028</v>
      </c>
      <c r="H2005" s="783" t="s">
        <v>4057</v>
      </c>
      <c r="I2005" s="783" t="s">
        <v>4058</v>
      </c>
      <c r="J2005" s="783">
        <v>25</v>
      </c>
      <c r="K2005" s="783" t="s">
        <v>898</v>
      </c>
      <c r="L2005" s="783" t="s">
        <v>4014</v>
      </c>
      <c r="M2005" s="784">
        <v>5567.63</v>
      </c>
      <c r="N2005" s="784">
        <v>5.25</v>
      </c>
      <c r="O2005" s="784">
        <v>10.5</v>
      </c>
      <c r="P2005" s="783">
        <v>101</v>
      </c>
      <c r="Q2005" s="783">
        <v>303.44</v>
      </c>
      <c r="R2005" s="783">
        <v>226.6</v>
      </c>
      <c r="S2005" s="783">
        <v>36.19</v>
      </c>
      <c r="T2005" s="783">
        <v>40.64</v>
      </c>
      <c r="U2005" s="785">
        <v>44714.465833333299</v>
      </c>
    </row>
    <row r="2006" spans="1:21">
      <c r="A2006" s="782">
        <v>44712</v>
      </c>
      <c r="B2006" s="783" t="s">
        <v>34</v>
      </c>
      <c r="C2006" s="783" t="s">
        <v>4139</v>
      </c>
      <c r="D2006" s="783" t="s">
        <v>4009</v>
      </c>
      <c r="E2006" s="783" t="s">
        <v>5698</v>
      </c>
      <c r="F2006" s="783" t="s">
        <v>4011</v>
      </c>
      <c r="G2006" s="783" t="str">
        <f>VLOOKUP(I2006,pacage,2,FALSE)</f>
        <v>Renewal (20% in 2020)</v>
      </c>
      <c r="H2006" s="783" t="s">
        <v>5699</v>
      </c>
      <c r="I2006" s="783" t="s">
        <v>5700</v>
      </c>
      <c r="J2006" s="783">
        <v>20</v>
      </c>
      <c r="K2006" s="783" t="s">
        <v>898</v>
      </c>
      <c r="L2006" s="783" t="s">
        <v>4014</v>
      </c>
      <c r="M2006" s="784">
        <v>14338.92</v>
      </c>
      <c r="N2006" s="784">
        <v>13.24</v>
      </c>
      <c r="O2006" s="784">
        <v>10.83</v>
      </c>
      <c r="P2006" s="783">
        <v>100</v>
      </c>
      <c r="Q2006" s="783">
        <v>934.9</v>
      </c>
      <c r="R2006" s="783">
        <v>570.69000000000005</v>
      </c>
      <c r="S2006" s="783">
        <v>90.34</v>
      </c>
      <c r="T2006" s="783">
        <v>273.87</v>
      </c>
      <c r="U2006" s="785">
        <v>44714.0089814815</v>
      </c>
    </row>
    <row r="2007" spans="1:21">
      <c r="A2007" s="782">
        <v>44711</v>
      </c>
      <c r="B2007" s="783" t="s">
        <v>41</v>
      </c>
      <c r="C2007" s="783" t="s">
        <v>4008</v>
      </c>
      <c r="D2007" s="783" t="s">
        <v>4009</v>
      </c>
      <c r="E2007" s="783" t="s">
        <v>5704</v>
      </c>
      <c r="F2007" s="783" t="s">
        <v>4011</v>
      </c>
      <c r="G2007" s="783" t="str">
        <f>VLOOKUP(I2007,pacage,2,FALSE)</f>
        <v>New Contract</v>
      </c>
      <c r="H2007" s="783" t="s">
        <v>5705</v>
      </c>
      <c r="I2007" s="783" t="s">
        <v>5706</v>
      </c>
      <c r="J2007" s="783">
        <v>25</v>
      </c>
      <c r="K2007" s="783" t="s">
        <v>898</v>
      </c>
      <c r="L2007" s="783" t="s">
        <v>4014</v>
      </c>
      <c r="M2007" s="784">
        <v>20980.33</v>
      </c>
      <c r="N2007" s="784">
        <v>17.8</v>
      </c>
      <c r="O2007" s="784">
        <v>11.67</v>
      </c>
      <c r="P2007" s="783">
        <v>101</v>
      </c>
      <c r="Q2007" s="783">
        <v>1195.8800000000001</v>
      </c>
      <c r="R2007" s="783">
        <v>881.17</v>
      </c>
      <c r="S2007" s="783">
        <v>140.57</v>
      </c>
      <c r="T2007" s="783">
        <v>174.14</v>
      </c>
      <c r="U2007" s="785">
        <v>44713.5255092593</v>
      </c>
    </row>
    <row r="2008" spans="1:21">
      <c r="A2008" s="782">
        <v>44714</v>
      </c>
      <c r="B2008" s="783" t="s">
        <v>34</v>
      </c>
      <c r="C2008" s="783" t="s">
        <v>4139</v>
      </c>
      <c r="D2008" s="783" t="s">
        <v>4009</v>
      </c>
      <c r="E2008" s="783" t="s">
        <v>305</v>
      </c>
      <c r="F2008" s="783" t="s">
        <v>4011</v>
      </c>
      <c r="G2008" s="783" t="str">
        <f>VLOOKUP(I2008,pacage,2,FALSE)</f>
        <v>Renewal (30% in 2020)</v>
      </c>
      <c r="H2008" s="783" t="s">
        <v>4383</v>
      </c>
      <c r="I2008" s="783" t="s">
        <v>4384</v>
      </c>
      <c r="J2008" s="783">
        <v>30</v>
      </c>
      <c r="K2008" s="783" t="s">
        <v>898</v>
      </c>
      <c r="L2008" s="783" t="s">
        <v>4014</v>
      </c>
      <c r="M2008" s="784">
        <v>28541.18</v>
      </c>
      <c r="N2008" s="784">
        <v>24.81</v>
      </c>
      <c r="O2008" s="784">
        <v>11.39</v>
      </c>
      <c r="P2008" s="783">
        <v>101</v>
      </c>
      <c r="Q2008" s="783">
        <v>1250.0999999999999</v>
      </c>
      <c r="R2008" s="783">
        <v>1135.94</v>
      </c>
      <c r="S2008" s="783">
        <v>0</v>
      </c>
      <c r="T2008" s="783">
        <v>114.16</v>
      </c>
      <c r="U2008" s="785">
        <v>44715.448703703703</v>
      </c>
    </row>
    <row r="2009" spans="1:21">
      <c r="A2009" s="782">
        <v>44698</v>
      </c>
      <c r="B2009" s="783" t="s">
        <v>41</v>
      </c>
      <c r="C2009" s="783" t="s">
        <v>4139</v>
      </c>
      <c r="D2009" s="783" t="s">
        <v>4009</v>
      </c>
      <c r="E2009" s="783" t="s">
        <v>1156</v>
      </c>
      <c r="F2009" s="783" t="s">
        <v>4011</v>
      </c>
      <c r="G2009" s="783" t="str">
        <f>VLOOKUP(I2009,pacage,2,FALSE)</f>
        <v>New Contract</v>
      </c>
      <c r="H2009" s="783" t="s">
        <v>4237</v>
      </c>
      <c r="I2009" s="783" t="s">
        <v>4238</v>
      </c>
      <c r="J2009" s="783">
        <v>20</v>
      </c>
      <c r="K2009" s="783" t="s">
        <v>898</v>
      </c>
      <c r="L2009" s="783" t="s">
        <v>4014</v>
      </c>
      <c r="M2009" s="784">
        <v>43462.99</v>
      </c>
      <c r="N2009" s="784">
        <v>34.619999999999997</v>
      </c>
      <c r="O2009" s="784">
        <v>12.43</v>
      </c>
      <c r="P2009" s="783">
        <v>101</v>
      </c>
      <c r="Q2009" s="783">
        <v>2833.79</v>
      </c>
      <c r="R2009" s="783">
        <v>1729.83</v>
      </c>
      <c r="S2009" s="783">
        <v>273.82</v>
      </c>
      <c r="T2009" s="783">
        <v>830.14</v>
      </c>
      <c r="U2009" s="785">
        <v>44699.5009027778</v>
      </c>
    </row>
    <row r="2010" spans="1:21">
      <c r="A2010" s="782">
        <v>44694</v>
      </c>
      <c r="B2010" s="783" t="s">
        <v>4025</v>
      </c>
      <c r="C2010" s="783" t="s">
        <v>4026</v>
      </c>
      <c r="D2010" s="783" t="s">
        <v>4021</v>
      </c>
      <c r="E2010" s="783" t="s">
        <v>5765</v>
      </c>
      <c r="F2010" s="783" t="s">
        <v>4011</v>
      </c>
      <c r="G2010" s="783" t="s">
        <v>4028</v>
      </c>
      <c r="H2010" s="783" t="s">
        <v>5766</v>
      </c>
      <c r="I2010" s="783" t="s">
        <v>5767</v>
      </c>
      <c r="J2010" s="783">
        <v>20</v>
      </c>
      <c r="K2010" s="783" t="s">
        <v>898</v>
      </c>
      <c r="L2010" s="783" t="s">
        <v>4014</v>
      </c>
      <c r="M2010" s="784">
        <v>43438.080000000002</v>
      </c>
      <c r="N2010" s="784">
        <v>35.840000000000003</v>
      </c>
      <c r="O2010" s="784">
        <v>12</v>
      </c>
      <c r="P2010" s="783">
        <v>101</v>
      </c>
      <c r="Q2010" s="783">
        <v>3036.32</v>
      </c>
      <c r="R2010" s="783">
        <v>1767.93</v>
      </c>
      <c r="S2010" s="783">
        <v>282.35000000000002</v>
      </c>
      <c r="T2010" s="783">
        <v>986.04</v>
      </c>
      <c r="U2010" s="785">
        <v>44694.733784722201</v>
      </c>
    </row>
    <row r="2011" spans="1:21">
      <c r="A2011" s="782">
        <v>44696</v>
      </c>
      <c r="B2011" s="783" t="s">
        <v>41</v>
      </c>
      <c r="C2011" s="783" t="s">
        <v>4092</v>
      </c>
      <c r="D2011" s="783" t="s">
        <v>4009</v>
      </c>
      <c r="E2011" s="783" t="s">
        <v>2249</v>
      </c>
      <c r="F2011" s="783" t="s">
        <v>4011</v>
      </c>
      <c r="G2011" s="783" t="str">
        <f t="shared" ref="G2011:G2023" si="106">VLOOKUP(I2011,pacage,2,FALSE)</f>
        <v>Renewal (30% in 2020)</v>
      </c>
      <c r="H2011" s="783" t="s">
        <v>5771</v>
      </c>
      <c r="I2011" s="783" t="s">
        <v>5772</v>
      </c>
      <c r="J2011" s="783">
        <v>30</v>
      </c>
      <c r="K2011" s="783" t="s">
        <v>898</v>
      </c>
      <c r="L2011" s="783" t="s">
        <v>4014</v>
      </c>
      <c r="M2011" s="784">
        <v>65158.94</v>
      </c>
      <c r="N2011" s="784">
        <v>55.14</v>
      </c>
      <c r="O2011" s="784">
        <v>11.7</v>
      </c>
      <c r="P2011" s="783">
        <v>101</v>
      </c>
      <c r="Q2011" s="783">
        <v>3277.49</v>
      </c>
      <c r="R2011" s="783">
        <v>2958.22</v>
      </c>
      <c r="S2011" s="783">
        <v>0</v>
      </c>
      <c r="T2011" s="783">
        <v>319.27999999999997</v>
      </c>
      <c r="U2011" s="785">
        <v>44697.411840277797</v>
      </c>
    </row>
    <row r="2012" spans="1:21">
      <c r="A2012" s="782">
        <v>44705</v>
      </c>
      <c r="B2012" s="783" t="s">
        <v>51</v>
      </c>
      <c r="C2012" s="783" t="s">
        <v>4015</v>
      </c>
      <c r="D2012" s="783" t="s">
        <v>4016</v>
      </c>
      <c r="E2012" s="783" t="s">
        <v>5812</v>
      </c>
      <c r="F2012" s="783" t="s">
        <v>4011</v>
      </c>
      <c r="G2012" s="783" t="str">
        <f t="shared" si="106"/>
        <v>Renewal (20% in 2020)</v>
      </c>
      <c r="H2012" s="783" t="s">
        <v>5813</v>
      </c>
      <c r="I2012" s="783" t="s">
        <v>5814</v>
      </c>
      <c r="J2012" s="783">
        <v>20</v>
      </c>
      <c r="K2012" s="783" t="s">
        <v>898</v>
      </c>
      <c r="L2012" s="783" t="s">
        <v>4014</v>
      </c>
      <c r="M2012" s="784">
        <v>37156</v>
      </c>
      <c r="N2012" s="784">
        <v>26.54</v>
      </c>
      <c r="O2012" s="784">
        <v>14</v>
      </c>
      <c r="P2012" s="783">
        <v>100</v>
      </c>
      <c r="Q2012" s="783">
        <v>3124.82</v>
      </c>
      <c r="R2012" s="783">
        <v>1835.51</v>
      </c>
      <c r="S2012" s="783">
        <v>297.25</v>
      </c>
      <c r="T2012" s="783">
        <v>992.07</v>
      </c>
      <c r="U2012" s="785">
        <v>44708.703946759299</v>
      </c>
    </row>
    <row r="2013" spans="1:21">
      <c r="A2013" s="782">
        <v>44704</v>
      </c>
      <c r="B2013" s="783" t="s">
        <v>41</v>
      </c>
      <c r="C2013" s="783" t="s">
        <v>4139</v>
      </c>
      <c r="D2013" s="783" t="s">
        <v>4009</v>
      </c>
      <c r="E2013" s="783" t="s">
        <v>5818</v>
      </c>
      <c r="F2013" s="783" t="s">
        <v>4011</v>
      </c>
      <c r="G2013" s="783" t="str">
        <f t="shared" si="106"/>
        <v>New Contract</v>
      </c>
      <c r="H2013" s="783" t="s">
        <v>5819</v>
      </c>
      <c r="I2013" s="783" t="s">
        <v>5820</v>
      </c>
      <c r="J2013" s="783">
        <v>20</v>
      </c>
      <c r="K2013" s="783" t="s">
        <v>898</v>
      </c>
      <c r="L2013" s="783" t="s">
        <v>4014</v>
      </c>
      <c r="M2013" s="784">
        <v>14418.12</v>
      </c>
      <c r="N2013" s="784">
        <v>9.11</v>
      </c>
      <c r="O2013" s="784">
        <v>15.67</v>
      </c>
      <c r="P2013" s="783">
        <v>101</v>
      </c>
      <c r="Q2013" s="783">
        <v>940.06</v>
      </c>
      <c r="R2013" s="783">
        <v>573.84</v>
      </c>
      <c r="S2013" s="783">
        <v>90.83</v>
      </c>
      <c r="T2013" s="783">
        <v>275.39</v>
      </c>
      <c r="U2013" s="785">
        <v>44708.677199074104</v>
      </c>
    </row>
    <row r="2014" spans="1:21">
      <c r="A2014" s="782">
        <v>44699</v>
      </c>
      <c r="B2014" s="783" t="s">
        <v>41</v>
      </c>
      <c r="C2014" s="783" t="s">
        <v>4139</v>
      </c>
      <c r="D2014" s="783" t="s">
        <v>4009</v>
      </c>
      <c r="E2014" s="783" t="s">
        <v>5821</v>
      </c>
      <c r="F2014" s="783" t="s">
        <v>4011</v>
      </c>
      <c r="G2014" s="783" t="str">
        <f t="shared" si="106"/>
        <v>Renewal (15% in 2020)</v>
      </c>
      <c r="H2014" s="783" t="s">
        <v>5822</v>
      </c>
      <c r="I2014" s="783" t="s">
        <v>5823</v>
      </c>
      <c r="J2014" s="783">
        <v>15</v>
      </c>
      <c r="K2014" s="783" t="s">
        <v>898</v>
      </c>
      <c r="L2014" s="783" t="s">
        <v>4014</v>
      </c>
      <c r="M2014" s="784">
        <v>14201.1</v>
      </c>
      <c r="N2014" s="784">
        <v>10.18</v>
      </c>
      <c r="O2014" s="784">
        <v>15.5</v>
      </c>
      <c r="P2014" s="783">
        <v>90</v>
      </c>
      <c r="Q2014" s="783">
        <v>1244.02</v>
      </c>
      <c r="R2014" s="783">
        <v>565.20000000000005</v>
      </c>
      <c r="S2014" s="783">
        <v>89.47</v>
      </c>
      <c r="T2014" s="783">
        <v>589.35</v>
      </c>
      <c r="U2014" s="785">
        <v>44700.527256944399</v>
      </c>
    </row>
    <row r="2015" spans="1:21">
      <c r="A2015" s="782">
        <v>44657</v>
      </c>
      <c r="B2015" s="783" t="s">
        <v>51</v>
      </c>
      <c r="C2015" s="783" t="s">
        <v>4042</v>
      </c>
      <c r="D2015" s="783" t="s">
        <v>4016</v>
      </c>
      <c r="E2015" s="783" t="s">
        <v>5833</v>
      </c>
      <c r="F2015" s="783" t="s">
        <v>4011</v>
      </c>
      <c r="G2015" s="783" t="str">
        <f t="shared" si="106"/>
        <v>New Contract</v>
      </c>
      <c r="H2015" s="783" t="s">
        <v>5834</v>
      </c>
      <c r="I2015" s="783" t="s">
        <v>5835</v>
      </c>
      <c r="J2015" s="783">
        <v>25</v>
      </c>
      <c r="K2015" s="783" t="s">
        <v>898</v>
      </c>
      <c r="L2015" s="783" t="s">
        <v>4014</v>
      </c>
      <c r="M2015" s="784">
        <v>46870.65</v>
      </c>
      <c r="N2015" s="784">
        <v>35.5</v>
      </c>
      <c r="O2015" s="784">
        <v>14.67</v>
      </c>
      <c r="P2015" s="783">
        <v>90</v>
      </c>
      <c r="Q2015" s="783">
        <v>2643.5</v>
      </c>
      <c r="R2015" s="783">
        <v>2015.44</v>
      </c>
      <c r="S2015" s="783">
        <v>328.09</v>
      </c>
      <c r="T2015" s="783">
        <v>299.97000000000003</v>
      </c>
      <c r="U2015" s="785">
        <v>44657.620393518497</v>
      </c>
    </row>
    <row r="2016" spans="1:21">
      <c r="A2016" s="782">
        <v>44660</v>
      </c>
      <c r="B2016" s="783" t="s">
        <v>30</v>
      </c>
      <c r="C2016" s="783" t="s">
        <v>4089</v>
      </c>
      <c r="D2016" s="783" t="s">
        <v>4021</v>
      </c>
      <c r="E2016" s="783" t="s">
        <v>5845</v>
      </c>
      <c r="F2016" s="783" t="s">
        <v>4011</v>
      </c>
      <c r="G2016" s="783" t="str">
        <f t="shared" si="106"/>
        <v>Renewal (30% in 2020)</v>
      </c>
      <c r="H2016" s="783" t="s">
        <v>5846</v>
      </c>
      <c r="I2016" s="783" t="s">
        <v>5847</v>
      </c>
      <c r="J2016" s="783">
        <v>30</v>
      </c>
      <c r="K2016" s="783" t="s">
        <v>898</v>
      </c>
      <c r="L2016" s="783" t="s">
        <v>4014</v>
      </c>
      <c r="M2016" s="784">
        <v>6060</v>
      </c>
      <c r="N2016" s="784">
        <v>5</v>
      </c>
      <c r="O2016" s="784">
        <v>12</v>
      </c>
      <c r="P2016" s="783">
        <v>101</v>
      </c>
      <c r="Q2016" s="783">
        <v>330.27</v>
      </c>
      <c r="R2016" s="783">
        <v>280.58</v>
      </c>
      <c r="S2016" s="783">
        <v>0</v>
      </c>
      <c r="T2016" s="783">
        <v>49.69</v>
      </c>
      <c r="U2016" s="785">
        <v>44663.426203703697</v>
      </c>
    </row>
    <row r="2017" spans="1:21">
      <c r="A2017" s="782">
        <v>44710</v>
      </c>
      <c r="B2017" s="783" t="s">
        <v>30</v>
      </c>
      <c r="C2017" s="783" t="s">
        <v>5213</v>
      </c>
      <c r="D2017" s="783" t="s">
        <v>4021</v>
      </c>
      <c r="E2017" s="783" t="s">
        <v>2600</v>
      </c>
      <c r="F2017" s="783" t="s">
        <v>4011</v>
      </c>
      <c r="G2017" s="783" t="str">
        <f t="shared" si="106"/>
        <v>Renewal (25% in 2020)</v>
      </c>
      <c r="H2017" s="783" t="s">
        <v>5856</v>
      </c>
      <c r="I2017" s="783" t="s">
        <v>5857</v>
      </c>
      <c r="J2017" s="783">
        <v>25</v>
      </c>
      <c r="K2017" s="783" t="s">
        <v>898</v>
      </c>
      <c r="L2017" s="783" t="s">
        <v>4014</v>
      </c>
      <c r="M2017" s="784">
        <v>28125</v>
      </c>
      <c r="N2017" s="784">
        <v>25</v>
      </c>
      <c r="O2017" s="784">
        <v>9</v>
      </c>
      <c r="P2017" s="783">
        <v>125</v>
      </c>
      <c r="Q2017" s="783">
        <v>2084.06</v>
      </c>
      <c r="R2017" s="783">
        <v>1272.5999999999999</v>
      </c>
      <c r="S2017" s="783">
        <v>555.53</v>
      </c>
      <c r="T2017" s="783">
        <v>255.94</v>
      </c>
      <c r="U2017" s="785">
        <v>44712.632511574098</v>
      </c>
    </row>
    <row r="2018" spans="1:21">
      <c r="A2018" s="782">
        <v>44704</v>
      </c>
      <c r="B2018" s="783" t="s">
        <v>51</v>
      </c>
      <c r="C2018" s="783" t="s">
        <v>4042</v>
      </c>
      <c r="D2018" s="783" t="s">
        <v>4016</v>
      </c>
      <c r="E2018" s="783" t="s">
        <v>5870</v>
      </c>
      <c r="F2018" s="783" t="s">
        <v>4011</v>
      </c>
      <c r="G2018" s="783" t="str">
        <f t="shared" si="106"/>
        <v>Renewal (30% in 2020)</v>
      </c>
      <c r="H2018" s="783" t="s">
        <v>5871</v>
      </c>
      <c r="I2018" s="783" t="s">
        <v>5872</v>
      </c>
      <c r="J2018" s="783">
        <v>30</v>
      </c>
      <c r="K2018" s="783" t="s">
        <v>898</v>
      </c>
      <c r="L2018" s="783" t="s">
        <v>4014</v>
      </c>
      <c r="M2018" s="784">
        <v>59400.72</v>
      </c>
      <c r="N2018" s="784">
        <v>58.65</v>
      </c>
      <c r="O2018" s="784">
        <v>12.66</v>
      </c>
      <c r="P2018" s="783">
        <v>80</v>
      </c>
      <c r="Q2018" s="783">
        <v>2934.4</v>
      </c>
      <c r="R2018" s="783">
        <v>2554.23</v>
      </c>
      <c r="S2018" s="783">
        <v>0</v>
      </c>
      <c r="T2018" s="783">
        <v>380.16</v>
      </c>
      <c r="U2018" s="785">
        <v>44708.802071759303</v>
      </c>
    </row>
    <row r="2019" spans="1:21">
      <c r="A2019" s="782">
        <v>44686</v>
      </c>
      <c r="B2019" s="783" t="s">
        <v>51</v>
      </c>
      <c r="C2019" s="783" t="s">
        <v>4015</v>
      </c>
      <c r="D2019" s="783" t="s">
        <v>4016</v>
      </c>
      <c r="E2019" s="783" t="s">
        <v>2212</v>
      </c>
      <c r="F2019" s="783" t="s">
        <v>4011</v>
      </c>
      <c r="G2019" s="783" t="str">
        <f t="shared" si="106"/>
        <v>Renewal (20% in 2020)</v>
      </c>
      <c r="H2019" s="783" t="s">
        <v>5878</v>
      </c>
      <c r="I2019" s="783" t="s">
        <v>5879</v>
      </c>
      <c r="J2019" s="783">
        <v>20</v>
      </c>
      <c r="K2019" s="783" t="s">
        <v>898</v>
      </c>
      <c r="L2019" s="783" t="s">
        <v>4014</v>
      </c>
      <c r="M2019" s="784">
        <v>64469.84</v>
      </c>
      <c r="N2019" s="784">
        <v>67.14</v>
      </c>
      <c r="O2019" s="784">
        <v>7.33</v>
      </c>
      <c r="P2019" s="783">
        <v>131</v>
      </c>
      <c r="Q2019" s="783">
        <v>5421.91</v>
      </c>
      <c r="R2019" s="783">
        <v>2455.46</v>
      </c>
      <c r="S2019" s="783">
        <v>1245.0999999999999</v>
      </c>
      <c r="T2019" s="783">
        <v>1721.34</v>
      </c>
      <c r="U2019" s="785">
        <v>44708.806597222203</v>
      </c>
    </row>
    <row r="2020" spans="1:21">
      <c r="A2020" s="782">
        <v>44707</v>
      </c>
      <c r="B2020" s="783" t="s">
        <v>30</v>
      </c>
      <c r="C2020" s="783" t="s">
        <v>4939</v>
      </c>
      <c r="D2020" s="783" t="s">
        <v>4021</v>
      </c>
      <c r="E2020" s="783" t="s">
        <v>5883</v>
      </c>
      <c r="F2020" s="783" t="s">
        <v>4011</v>
      </c>
      <c r="G2020" s="783" t="str">
        <f t="shared" si="106"/>
        <v>Renewal (25% in 2020)</v>
      </c>
      <c r="H2020" s="783" t="s">
        <v>5884</v>
      </c>
      <c r="I2020" s="783" t="s">
        <v>5885</v>
      </c>
      <c r="J2020" s="783">
        <v>25</v>
      </c>
      <c r="K2020" s="783" t="s">
        <v>898</v>
      </c>
      <c r="L2020" s="783" t="s">
        <v>4014</v>
      </c>
      <c r="M2020" s="784">
        <v>16875</v>
      </c>
      <c r="N2020" s="784">
        <v>15</v>
      </c>
      <c r="O2020" s="784">
        <v>12.5</v>
      </c>
      <c r="P2020" s="783">
        <v>90</v>
      </c>
      <c r="Q2020" s="783">
        <v>1029.3800000000001</v>
      </c>
      <c r="R2020" s="783">
        <v>761.06</v>
      </c>
      <c r="S2020" s="783">
        <v>156.94</v>
      </c>
      <c r="T2020" s="783">
        <v>111.38</v>
      </c>
      <c r="U2020" s="785">
        <v>44708.582476851901</v>
      </c>
    </row>
    <row r="2021" spans="1:21">
      <c r="A2021" s="782">
        <v>44711</v>
      </c>
      <c r="B2021" s="783" t="s">
        <v>4025</v>
      </c>
      <c r="C2021" s="783" t="s">
        <v>4052</v>
      </c>
      <c r="D2021" s="783" t="s">
        <v>4021</v>
      </c>
      <c r="E2021" s="783" t="s">
        <v>4177</v>
      </c>
      <c r="F2021" s="783" t="s">
        <v>4011</v>
      </c>
      <c r="G2021" s="783" t="str">
        <f t="shared" si="106"/>
        <v>New Contract</v>
      </c>
      <c r="H2021" s="783" t="s">
        <v>4178</v>
      </c>
      <c r="I2021" s="783" t="s">
        <v>4179</v>
      </c>
      <c r="J2021" s="783">
        <v>25</v>
      </c>
      <c r="K2021" s="783" t="s">
        <v>898</v>
      </c>
      <c r="L2021" s="783" t="s">
        <v>4014</v>
      </c>
      <c r="M2021" s="784">
        <v>11952.71</v>
      </c>
      <c r="N2021" s="784">
        <v>13.3</v>
      </c>
      <c r="O2021" s="784">
        <v>8.17</v>
      </c>
      <c r="P2021" s="783">
        <v>110</v>
      </c>
      <c r="Q2021" s="783">
        <v>627.52</v>
      </c>
      <c r="R2021" s="783">
        <v>448.87</v>
      </c>
      <c r="S2021" s="783">
        <v>120.08</v>
      </c>
      <c r="T2021" s="783">
        <v>58.57</v>
      </c>
      <c r="U2021" s="785">
        <v>44713.528946759303</v>
      </c>
    </row>
    <row r="2022" spans="1:21">
      <c r="A2022" s="782">
        <v>44658</v>
      </c>
      <c r="B2022" s="783" t="s">
        <v>30</v>
      </c>
      <c r="C2022" s="783" t="s">
        <v>4015</v>
      </c>
      <c r="D2022" s="783" t="s">
        <v>4016</v>
      </c>
      <c r="E2022" s="783" t="s">
        <v>5894</v>
      </c>
      <c r="F2022" s="783" t="s">
        <v>4011</v>
      </c>
      <c r="G2022" s="783" t="str">
        <f t="shared" si="106"/>
        <v>Renewal (15% in 2020)</v>
      </c>
      <c r="H2022" s="783" t="s">
        <v>5895</v>
      </c>
      <c r="I2022" s="783" t="s">
        <v>5896</v>
      </c>
      <c r="J2022" s="783">
        <v>15</v>
      </c>
      <c r="K2022" s="783" t="s">
        <v>898</v>
      </c>
      <c r="L2022" s="783" t="s">
        <v>4014</v>
      </c>
      <c r="M2022" s="784">
        <v>15433.32</v>
      </c>
      <c r="N2022" s="784">
        <v>9.67</v>
      </c>
      <c r="O2022" s="784">
        <v>13.3</v>
      </c>
      <c r="P2022" s="783">
        <v>120</v>
      </c>
      <c r="Q2022" s="783">
        <v>1726.99</v>
      </c>
      <c r="R2022" s="783">
        <v>641.69000000000005</v>
      </c>
      <c r="S2022" s="783">
        <v>244.18</v>
      </c>
      <c r="T2022" s="783">
        <v>841.12</v>
      </c>
      <c r="U2022" s="785">
        <v>44659.405497685198</v>
      </c>
    </row>
    <row r="2023" spans="1:21">
      <c r="A2023" s="782">
        <v>44657</v>
      </c>
      <c r="B2023" s="783" t="s">
        <v>51</v>
      </c>
      <c r="C2023" s="783" t="s">
        <v>4042</v>
      </c>
      <c r="D2023" s="783" t="s">
        <v>4016</v>
      </c>
      <c r="E2023" s="783" t="s">
        <v>5897</v>
      </c>
      <c r="F2023" s="783" t="s">
        <v>4011</v>
      </c>
      <c r="G2023" s="783" t="str">
        <f t="shared" si="106"/>
        <v>New Contract</v>
      </c>
      <c r="H2023" s="783" t="s">
        <v>5898</v>
      </c>
      <c r="I2023" s="783" t="s">
        <v>5899</v>
      </c>
      <c r="J2023" s="783">
        <v>25</v>
      </c>
      <c r="K2023" s="783" t="s">
        <v>898</v>
      </c>
      <c r="L2023" s="783" t="s">
        <v>4014</v>
      </c>
      <c r="M2023" s="784">
        <v>5998.5</v>
      </c>
      <c r="N2023" s="784">
        <v>5</v>
      </c>
      <c r="O2023" s="784">
        <v>13.33</v>
      </c>
      <c r="P2023" s="783">
        <v>90</v>
      </c>
      <c r="Q2023" s="783">
        <v>338.32</v>
      </c>
      <c r="R2023" s="783">
        <v>257.94</v>
      </c>
      <c r="S2023" s="783">
        <v>41.99</v>
      </c>
      <c r="T2023" s="783">
        <v>38.39</v>
      </c>
      <c r="U2023" s="785">
        <v>44657.617708333302</v>
      </c>
    </row>
    <row r="2024" spans="1:21">
      <c r="A2024" s="782">
        <v>44678</v>
      </c>
      <c r="B2024" s="783" t="s">
        <v>113</v>
      </c>
      <c r="C2024" s="783" t="s">
        <v>4606</v>
      </c>
      <c r="D2024" s="783" t="s">
        <v>4009</v>
      </c>
      <c r="E2024" s="783" t="s">
        <v>6684</v>
      </c>
      <c r="F2024" s="783" t="s">
        <v>4011</v>
      </c>
      <c r="G2024" s="783" t="s">
        <v>4028</v>
      </c>
      <c r="H2024" s="783" t="s">
        <v>6685</v>
      </c>
      <c r="I2024" s="783" t="s">
        <v>6686</v>
      </c>
      <c r="J2024" s="783">
        <v>25</v>
      </c>
      <c r="K2024" s="783" t="s">
        <v>898</v>
      </c>
      <c r="L2024" s="783" t="s">
        <v>4014</v>
      </c>
      <c r="M2024" s="784">
        <v>5998.5</v>
      </c>
      <c r="N2024" s="784">
        <v>4.6500000000000004</v>
      </c>
      <c r="O2024" s="784">
        <v>15</v>
      </c>
      <c r="P2024" s="783">
        <v>86</v>
      </c>
      <c r="Q2024" s="783">
        <v>304.72000000000003</v>
      </c>
      <c r="R2024" s="783">
        <v>206.95</v>
      </c>
      <c r="S2024" s="783">
        <v>34.19</v>
      </c>
      <c r="T2024" s="783">
        <v>63.58</v>
      </c>
      <c r="U2024" s="785">
        <v>44680.665173611102</v>
      </c>
    </row>
    <row r="2025" spans="1:21">
      <c r="A2025" s="782">
        <v>44680</v>
      </c>
      <c r="B2025" s="783" t="s">
        <v>41</v>
      </c>
      <c r="C2025" s="783" t="s">
        <v>4008</v>
      </c>
      <c r="D2025" s="783" t="s">
        <v>4009</v>
      </c>
      <c r="E2025" s="783" t="s">
        <v>4183</v>
      </c>
      <c r="F2025" s="783" t="s">
        <v>4011</v>
      </c>
      <c r="G2025" s="783" t="str">
        <f t="shared" ref="G2025:G2046" si="107">VLOOKUP(I2025,pacage,2,FALSE)</f>
        <v>Renewal (15% in 2020)</v>
      </c>
      <c r="H2025" s="783" t="s">
        <v>4184</v>
      </c>
      <c r="I2025" s="783" t="s">
        <v>4185</v>
      </c>
      <c r="J2025" s="783">
        <v>15</v>
      </c>
      <c r="K2025" s="783" t="s">
        <v>898</v>
      </c>
      <c r="L2025" s="783" t="s">
        <v>4014</v>
      </c>
      <c r="M2025" s="784">
        <v>50085</v>
      </c>
      <c r="N2025" s="784">
        <v>47.7</v>
      </c>
      <c r="O2025" s="784">
        <v>14</v>
      </c>
      <c r="P2025" s="783">
        <v>75</v>
      </c>
      <c r="Q2025" s="783">
        <v>4838.21</v>
      </c>
      <c r="R2025" s="783">
        <v>2103.5700000000002</v>
      </c>
      <c r="S2025" s="783">
        <v>335.57</v>
      </c>
      <c r="T2025" s="783">
        <v>2399.0700000000002</v>
      </c>
      <c r="U2025" s="785">
        <v>44683.4709953704</v>
      </c>
    </row>
    <row r="2026" spans="1:21">
      <c r="A2026" s="782">
        <v>44693</v>
      </c>
      <c r="B2026" s="783" t="s">
        <v>41</v>
      </c>
      <c r="C2026" s="783" t="s">
        <v>4139</v>
      </c>
      <c r="D2026" s="783" t="s">
        <v>4009</v>
      </c>
      <c r="E2026" s="783" t="s">
        <v>60</v>
      </c>
      <c r="F2026" s="783" t="s">
        <v>4011</v>
      </c>
      <c r="G2026" s="783" t="str">
        <f t="shared" si="107"/>
        <v>Renewal (15% in 2020)</v>
      </c>
      <c r="H2026" s="783" t="s">
        <v>5932</v>
      </c>
      <c r="I2026" s="783" t="s">
        <v>5933</v>
      </c>
      <c r="J2026" s="783">
        <v>15</v>
      </c>
      <c r="K2026" s="783" t="s">
        <v>898</v>
      </c>
      <c r="L2026" s="783" t="s">
        <v>4014</v>
      </c>
      <c r="M2026" s="784">
        <v>26818</v>
      </c>
      <c r="N2026" s="784">
        <v>12.19</v>
      </c>
      <c r="O2026" s="784">
        <v>11</v>
      </c>
      <c r="P2026" s="783">
        <v>200</v>
      </c>
      <c r="Q2026" s="783">
        <v>2349.2600000000002</v>
      </c>
      <c r="R2026" s="783">
        <v>539.01</v>
      </c>
      <c r="S2026" s="783">
        <v>697.29</v>
      </c>
      <c r="T2026" s="783">
        <v>1112.95</v>
      </c>
      <c r="U2026" s="785">
        <v>44694.417210648098</v>
      </c>
    </row>
    <row r="2027" spans="1:21">
      <c r="A2027" s="782">
        <v>44695</v>
      </c>
      <c r="B2027" s="783" t="s">
        <v>51</v>
      </c>
      <c r="C2027" s="783" t="s">
        <v>4042</v>
      </c>
      <c r="D2027" s="783" t="s">
        <v>4016</v>
      </c>
      <c r="E2027" s="783" t="s">
        <v>5934</v>
      </c>
      <c r="F2027" s="783" t="s">
        <v>4011</v>
      </c>
      <c r="G2027" s="783" t="str">
        <f t="shared" si="107"/>
        <v>Renewal (20% in 2020)</v>
      </c>
      <c r="H2027" s="783" t="s">
        <v>5935</v>
      </c>
      <c r="I2027" s="783" t="s">
        <v>5936</v>
      </c>
      <c r="J2027" s="783">
        <v>20</v>
      </c>
      <c r="K2027" s="783" t="s">
        <v>898</v>
      </c>
      <c r="L2027" s="783" t="s">
        <v>4014</v>
      </c>
      <c r="M2027" s="784">
        <v>42438.98</v>
      </c>
      <c r="N2027" s="784">
        <v>39.35</v>
      </c>
      <c r="O2027" s="784">
        <v>7.19</v>
      </c>
      <c r="P2027" s="783">
        <v>150</v>
      </c>
      <c r="Q2027" s="783">
        <v>2813.7</v>
      </c>
      <c r="R2027" s="783">
        <v>1228.75</v>
      </c>
      <c r="S2027" s="783">
        <v>893.2</v>
      </c>
      <c r="T2027" s="783">
        <v>691.76</v>
      </c>
      <c r="U2027" s="785">
        <v>44697.682592592602</v>
      </c>
    </row>
    <row r="2028" spans="1:21">
      <c r="A2028" s="782">
        <v>44698</v>
      </c>
      <c r="B2028" s="783" t="s">
        <v>41</v>
      </c>
      <c r="C2028" s="783" t="s">
        <v>4008</v>
      </c>
      <c r="D2028" s="783" t="s">
        <v>4009</v>
      </c>
      <c r="E2028" s="783" t="s">
        <v>5942</v>
      </c>
      <c r="F2028" s="783" t="s">
        <v>4011</v>
      </c>
      <c r="G2028" s="783" t="str">
        <f t="shared" si="107"/>
        <v>Renewal (15% in 2020)</v>
      </c>
      <c r="H2028" s="783" t="s">
        <v>5943</v>
      </c>
      <c r="I2028" s="783" t="s">
        <v>5944</v>
      </c>
      <c r="J2028" s="783">
        <v>15</v>
      </c>
      <c r="K2028" s="783" t="s">
        <v>898</v>
      </c>
      <c r="L2028" s="783" t="s">
        <v>4014</v>
      </c>
      <c r="M2028" s="784">
        <v>11220.3</v>
      </c>
      <c r="N2028" s="784">
        <v>13</v>
      </c>
      <c r="O2028" s="784">
        <v>12.33</v>
      </c>
      <c r="P2028" s="783">
        <v>70</v>
      </c>
      <c r="Q2028" s="783">
        <v>1083.8800000000001</v>
      </c>
      <c r="R2028" s="783">
        <v>471.25</v>
      </c>
      <c r="S2028" s="783">
        <v>75.180000000000007</v>
      </c>
      <c r="T2028" s="783">
        <v>537.45000000000005</v>
      </c>
      <c r="U2028" s="785">
        <v>44699.4757986111</v>
      </c>
    </row>
    <row r="2029" spans="1:21">
      <c r="A2029" s="782">
        <v>44699</v>
      </c>
      <c r="B2029" s="783" t="s">
        <v>30</v>
      </c>
      <c r="C2029" s="783" t="s">
        <v>5974</v>
      </c>
      <c r="D2029" s="783" t="s">
        <v>4021</v>
      </c>
      <c r="E2029" s="783" t="s">
        <v>5975</v>
      </c>
      <c r="F2029" s="783" t="s">
        <v>4011</v>
      </c>
      <c r="G2029" s="783" t="str">
        <f t="shared" si="107"/>
        <v>Renewal (20% in 2020)</v>
      </c>
      <c r="H2029" s="783" t="s">
        <v>5976</v>
      </c>
      <c r="I2029" s="783" t="s">
        <v>5977</v>
      </c>
      <c r="J2029" s="783">
        <v>20</v>
      </c>
      <c r="K2029" s="783" t="s">
        <v>898</v>
      </c>
      <c r="L2029" s="783" t="s">
        <v>4014</v>
      </c>
      <c r="M2029" s="784">
        <v>39307.199999999997</v>
      </c>
      <c r="N2029" s="784">
        <v>32</v>
      </c>
      <c r="O2029" s="784">
        <v>12.93</v>
      </c>
      <c r="P2029" s="783">
        <v>95</v>
      </c>
      <c r="Q2029" s="783">
        <v>2405.6</v>
      </c>
      <c r="R2029" s="783">
        <v>1320.72</v>
      </c>
      <c r="S2029" s="783">
        <v>302.67</v>
      </c>
      <c r="T2029" s="783">
        <v>782.21</v>
      </c>
      <c r="U2029" s="785">
        <v>44700.511574074102</v>
      </c>
    </row>
    <row r="2030" spans="1:21">
      <c r="A2030" s="782">
        <v>44652</v>
      </c>
      <c r="B2030" s="783" t="s">
        <v>51</v>
      </c>
      <c r="C2030" s="783" t="s">
        <v>4042</v>
      </c>
      <c r="D2030" s="783" t="s">
        <v>4016</v>
      </c>
      <c r="E2030" s="783" t="s">
        <v>5986</v>
      </c>
      <c r="F2030" s="783" t="s">
        <v>4011</v>
      </c>
      <c r="G2030" s="783" t="str">
        <f t="shared" si="107"/>
        <v>New Contract</v>
      </c>
      <c r="H2030" s="783" t="s">
        <v>5987</v>
      </c>
      <c r="I2030" s="783" t="s">
        <v>5988</v>
      </c>
      <c r="J2030" s="783">
        <v>20</v>
      </c>
      <c r="K2030" s="783" t="s">
        <v>898</v>
      </c>
      <c r="L2030" s="783" t="s">
        <v>4014</v>
      </c>
      <c r="M2030" s="784">
        <v>29250</v>
      </c>
      <c r="N2030" s="784">
        <v>25</v>
      </c>
      <c r="O2030" s="784">
        <v>13</v>
      </c>
      <c r="P2030" s="783">
        <v>90</v>
      </c>
      <c r="Q2030" s="783">
        <v>1939.28</v>
      </c>
      <c r="R2030" s="783">
        <v>1257.75</v>
      </c>
      <c r="S2030" s="783">
        <v>204.75</v>
      </c>
      <c r="T2030" s="783">
        <v>476.78</v>
      </c>
      <c r="U2030" s="785">
        <v>44655.498935185198</v>
      </c>
    </row>
    <row r="2031" spans="1:21">
      <c r="A2031" s="782">
        <v>44565</v>
      </c>
      <c r="B2031" s="783" t="s">
        <v>41</v>
      </c>
      <c r="C2031" s="783" t="s">
        <v>4192</v>
      </c>
      <c r="D2031" s="783" t="s">
        <v>4193</v>
      </c>
      <c r="E2031" s="783" t="s">
        <v>4194</v>
      </c>
      <c r="F2031" s="783" t="s">
        <v>4011</v>
      </c>
      <c r="G2031" s="783" t="str">
        <f t="shared" si="107"/>
        <v>Renewal (15% in 2020)</v>
      </c>
      <c r="H2031" s="783" t="s">
        <v>4195</v>
      </c>
      <c r="I2031" s="783" t="s">
        <v>4196</v>
      </c>
      <c r="J2031" s="783">
        <v>30</v>
      </c>
      <c r="K2031" s="783" t="s">
        <v>898</v>
      </c>
      <c r="L2031" s="783" t="s">
        <v>4014</v>
      </c>
      <c r="M2031" s="784">
        <v>3094.5</v>
      </c>
      <c r="N2031" s="784">
        <v>5.76</v>
      </c>
      <c r="O2031" s="784">
        <v>3.63</v>
      </c>
      <c r="P2031" s="783">
        <v>148</v>
      </c>
      <c r="Q2031" s="783">
        <v>138.32</v>
      </c>
      <c r="R2031" s="783">
        <v>83.2</v>
      </c>
      <c r="S2031" s="783">
        <v>38.72</v>
      </c>
      <c r="T2031" s="783">
        <v>16.399999999999999</v>
      </c>
      <c r="U2031" s="785">
        <v>44631.635254629597</v>
      </c>
    </row>
    <row r="2032" spans="1:21">
      <c r="A2032" s="782">
        <v>44565</v>
      </c>
      <c r="B2032" s="783" t="s">
        <v>41</v>
      </c>
      <c r="C2032" s="783" t="s">
        <v>4121</v>
      </c>
      <c r="D2032" s="783" t="s">
        <v>4009</v>
      </c>
      <c r="E2032" s="783" t="s">
        <v>4194</v>
      </c>
      <c r="F2032" s="783" t="s">
        <v>4011</v>
      </c>
      <c r="G2032" s="783" t="str">
        <f t="shared" si="107"/>
        <v>Renewal (15% in 2020)</v>
      </c>
      <c r="H2032" s="783" t="s">
        <v>4195</v>
      </c>
      <c r="I2032" s="783" t="s">
        <v>4196</v>
      </c>
      <c r="J2032" s="783">
        <v>30</v>
      </c>
      <c r="K2032" s="783" t="s">
        <v>898</v>
      </c>
      <c r="L2032" s="783" t="s">
        <v>4014</v>
      </c>
      <c r="M2032" s="784">
        <v>9224.41</v>
      </c>
      <c r="N2032" s="784">
        <v>17.170000000000002</v>
      </c>
      <c r="O2032" s="784">
        <v>3.63</v>
      </c>
      <c r="P2032" s="783">
        <v>148</v>
      </c>
      <c r="Q2032" s="783">
        <v>546.09</v>
      </c>
      <c r="R2032" s="783">
        <v>322.31</v>
      </c>
      <c r="S2032" s="783">
        <v>149.97999999999999</v>
      </c>
      <c r="T2032" s="783">
        <v>73.8</v>
      </c>
      <c r="U2032" s="785">
        <v>44631.635266203702</v>
      </c>
    </row>
    <row r="2033" spans="1:21">
      <c r="A2033" s="782">
        <v>44564</v>
      </c>
      <c r="B2033" s="783" t="s">
        <v>41</v>
      </c>
      <c r="C2033" s="783" t="s">
        <v>4139</v>
      </c>
      <c r="D2033" s="783" t="s">
        <v>4009</v>
      </c>
      <c r="E2033" s="783" t="s">
        <v>6003</v>
      </c>
      <c r="F2033" s="783" t="s">
        <v>4011</v>
      </c>
      <c r="G2033" s="783" t="str">
        <f t="shared" si="107"/>
        <v>Renewal (25% in 2020)</v>
      </c>
      <c r="H2033" s="783" t="s">
        <v>6004</v>
      </c>
      <c r="I2033" s="783" t="s">
        <v>6005</v>
      </c>
      <c r="J2033" s="783">
        <v>30</v>
      </c>
      <c r="K2033" s="783" t="s">
        <v>898</v>
      </c>
      <c r="L2033" s="783" t="s">
        <v>4014</v>
      </c>
      <c r="M2033" s="784">
        <v>18341.09</v>
      </c>
      <c r="N2033" s="784">
        <v>20.68</v>
      </c>
      <c r="O2033" s="784">
        <v>12.67</v>
      </c>
      <c r="P2033" s="783">
        <v>70</v>
      </c>
      <c r="Q2033" s="783">
        <v>803.34</v>
      </c>
      <c r="R2033" s="783">
        <v>729.98</v>
      </c>
      <c r="S2033" s="783">
        <v>0</v>
      </c>
      <c r="T2033" s="783">
        <v>73.36</v>
      </c>
      <c r="U2033" s="785">
        <v>44631.635127314803</v>
      </c>
    </row>
    <row r="2034" spans="1:21">
      <c r="A2034" s="782">
        <v>44428</v>
      </c>
      <c r="B2034" s="783" t="s">
        <v>30</v>
      </c>
      <c r="C2034" s="783" t="s">
        <v>4089</v>
      </c>
      <c r="D2034" s="783" t="s">
        <v>4021</v>
      </c>
      <c r="E2034" s="783" t="s">
        <v>6064</v>
      </c>
      <c r="F2034" s="783" t="s">
        <v>4011</v>
      </c>
      <c r="G2034" s="783" t="str">
        <f t="shared" si="107"/>
        <v>Renewal (20% in 2020)</v>
      </c>
      <c r="H2034" s="783" t="s">
        <v>6065</v>
      </c>
      <c r="I2034" s="783" t="s">
        <v>6066</v>
      </c>
      <c r="J2034" s="783">
        <v>20</v>
      </c>
      <c r="K2034" s="783" t="s">
        <v>898</v>
      </c>
      <c r="L2034" s="783" t="s">
        <v>4014</v>
      </c>
      <c r="M2034" s="784">
        <v>19200</v>
      </c>
      <c r="N2034" s="784">
        <v>16</v>
      </c>
      <c r="O2034" s="784">
        <v>15</v>
      </c>
      <c r="P2034" s="783">
        <v>80</v>
      </c>
      <c r="Q2034" s="783">
        <v>1528.32</v>
      </c>
      <c r="R2034" s="783">
        <v>888.96</v>
      </c>
      <c r="S2034" s="783">
        <v>145.91999999999999</v>
      </c>
      <c r="T2034" s="783">
        <v>493.44</v>
      </c>
      <c r="U2034" s="785">
        <v>44631.635717592602</v>
      </c>
    </row>
    <row r="2035" spans="1:21">
      <c r="A2035" s="782">
        <v>44426</v>
      </c>
      <c r="B2035" s="783" t="s">
        <v>51</v>
      </c>
      <c r="C2035" s="783" t="s">
        <v>4042</v>
      </c>
      <c r="D2035" s="783" t="s">
        <v>4016</v>
      </c>
      <c r="E2035" s="783" t="s">
        <v>6067</v>
      </c>
      <c r="F2035" s="783" t="s">
        <v>4011</v>
      </c>
      <c r="G2035" s="783" t="str">
        <f t="shared" si="107"/>
        <v>Renewal (25% in 2020)</v>
      </c>
      <c r="H2035" s="783" t="s">
        <v>6068</v>
      </c>
      <c r="I2035" s="783" t="s">
        <v>6069</v>
      </c>
      <c r="J2035" s="783">
        <v>25</v>
      </c>
      <c r="K2035" s="783" t="s">
        <v>898</v>
      </c>
      <c r="L2035" s="783" t="s">
        <v>4014</v>
      </c>
      <c r="M2035" s="784">
        <v>39909.81</v>
      </c>
      <c r="N2035" s="784">
        <v>39.04</v>
      </c>
      <c r="O2035" s="784">
        <v>12.17</v>
      </c>
      <c r="P2035" s="783">
        <v>84</v>
      </c>
      <c r="Q2035" s="783">
        <v>2250.91</v>
      </c>
      <c r="R2035" s="783">
        <v>1716.12</v>
      </c>
      <c r="S2035" s="783">
        <v>279.37</v>
      </c>
      <c r="T2035" s="783">
        <v>255.42</v>
      </c>
      <c r="U2035" s="785">
        <v>44631.635752314804</v>
      </c>
    </row>
    <row r="2036" spans="1:21">
      <c r="A2036" s="782">
        <v>44424</v>
      </c>
      <c r="B2036" s="783" t="s">
        <v>30</v>
      </c>
      <c r="C2036" s="783" t="s">
        <v>4239</v>
      </c>
      <c r="D2036" s="783" t="s">
        <v>4021</v>
      </c>
      <c r="E2036" s="783" t="s">
        <v>2574</v>
      </c>
      <c r="F2036" s="783" t="s">
        <v>4011</v>
      </c>
      <c r="G2036" s="783" t="str">
        <f t="shared" si="107"/>
        <v>Renewal (20% in 2020)</v>
      </c>
      <c r="H2036" s="783" t="s">
        <v>6070</v>
      </c>
      <c r="I2036" s="783" t="s">
        <v>6071</v>
      </c>
      <c r="J2036" s="783">
        <v>20</v>
      </c>
      <c r="K2036" s="783" t="s">
        <v>898</v>
      </c>
      <c r="L2036" s="783" t="s">
        <v>4014</v>
      </c>
      <c r="M2036" s="784">
        <v>13130</v>
      </c>
      <c r="N2036" s="784">
        <v>10</v>
      </c>
      <c r="O2036" s="784">
        <v>13</v>
      </c>
      <c r="P2036" s="783">
        <v>101</v>
      </c>
      <c r="Q2036" s="783">
        <v>762.85</v>
      </c>
      <c r="R2036" s="783">
        <v>430.66</v>
      </c>
      <c r="S2036" s="783">
        <v>93.22</v>
      </c>
      <c r="T2036" s="783">
        <v>238.97</v>
      </c>
      <c r="U2036" s="785">
        <v>44631.633009259298</v>
      </c>
    </row>
    <row r="2037" spans="1:21">
      <c r="A2037" s="782">
        <v>44531</v>
      </c>
      <c r="B2037" s="783" t="s">
        <v>65</v>
      </c>
      <c r="C2037" s="783" t="s">
        <v>6077</v>
      </c>
      <c r="D2037" s="783" t="s">
        <v>6078</v>
      </c>
      <c r="E2037" s="783" t="s">
        <v>2427</v>
      </c>
      <c r="F2037" s="783" t="s">
        <v>4011</v>
      </c>
      <c r="G2037" s="783" t="str">
        <f t="shared" si="107"/>
        <v>Renewal (20% in 2020)</v>
      </c>
      <c r="H2037" s="783" t="s">
        <v>6079</v>
      </c>
      <c r="I2037" s="783" t="s">
        <v>6080</v>
      </c>
      <c r="J2037" s="783">
        <v>20</v>
      </c>
      <c r="K2037" s="783" t="s">
        <v>898</v>
      </c>
      <c r="L2037" s="783" t="s">
        <v>4014</v>
      </c>
      <c r="M2037" s="784">
        <v>15075.36</v>
      </c>
      <c r="N2037" s="784">
        <v>11.6</v>
      </c>
      <c r="O2037" s="784">
        <v>10.83</v>
      </c>
      <c r="P2037" s="783">
        <v>120</v>
      </c>
      <c r="Q2037" s="783">
        <v>916.58</v>
      </c>
      <c r="R2037" s="783">
        <v>450.44</v>
      </c>
      <c r="S2037" s="783">
        <v>190.26</v>
      </c>
      <c r="T2037" s="783">
        <v>275.88</v>
      </c>
      <c r="U2037" s="785">
        <v>44631.633020833302</v>
      </c>
    </row>
    <row r="2038" spans="1:21">
      <c r="A2038" s="782">
        <v>44533</v>
      </c>
      <c r="B2038" s="783" t="s">
        <v>4025</v>
      </c>
      <c r="C2038" s="783" t="s">
        <v>4026</v>
      </c>
      <c r="D2038" s="783" t="s">
        <v>4021</v>
      </c>
      <c r="E2038" s="783" t="s">
        <v>6083</v>
      </c>
      <c r="F2038" s="783" t="s">
        <v>4011</v>
      </c>
      <c r="G2038" s="783" t="str">
        <f t="shared" si="107"/>
        <v>New Contract</v>
      </c>
      <c r="H2038" s="783" t="s">
        <v>6084</v>
      </c>
      <c r="I2038" s="783" t="s">
        <v>6085</v>
      </c>
      <c r="J2038" s="783">
        <v>25</v>
      </c>
      <c r="K2038" s="783" t="s">
        <v>898</v>
      </c>
      <c r="L2038" s="783" t="s">
        <v>4014</v>
      </c>
      <c r="M2038" s="784">
        <v>32857.83</v>
      </c>
      <c r="N2038" s="784">
        <v>27.5</v>
      </c>
      <c r="O2038" s="784">
        <v>11.83</v>
      </c>
      <c r="P2038" s="783">
        <v>101</v>
      </c>
      <c r="Q2038" s="783">
        <v>1790.75</v>
      </c>
      <c r="R2038" s="783">
        <v>1337.31</v>
      </c>
      <c r="S2038" s="783">
        <v>213.58</v>
      </c>
      <c r="T2038" s="783">
        <v>239.86</v>
      </c>
      <c r="U2038" s="785">
        <v>44631.6328587963</v>
      </c>
    </row>
    <row r="2039" spans="1:21">
      <c r="A2039" s="782">
        <v>44524</v>
      </c>
      <c r="B2039" s="783" t="s">
        <v>347</v>
      </c>
      <c r="C2039" s="783" t="s">
        <v>4139</v>
      </c>
      <c r="D2039" s="783" t="s">
        <v>4009</v>
      </c>
      <c r="E2039" s="783" t="s">
        <v>6115</v>
      </c>
      <c r="F2039" s="783" t="s">
        <v>4011</v>
      </c>
      <c r="G2039" s="783" t="str">
        <f t="shared" si="107"/>
        <v>Renewal (25% in 2020)</v>
      </c>
      <c r="H2039" s="783" t="s">
        <v>6116</v>
      </c>
      <c r="I2039" s="783" t="s">
        <v>6117</v>
      </c>
      <c r="J2039" s="783">
        <v>25</v>
      </c>
      <c r="K2039" s="783" t="s">
        <v>898</v>
      </c>
      <c r="L2039" s="783" t="s">
        <v>4014</v>
      </c>
      <c r="M2039" s="784">
        <v>23352</v>
      </c>
      <c r="N2039" s="784">
        <v>20.85</v>
      </c>
      <c r="O2039" s="784">
        <v>14</v>
      </c>
      <c r="P2039" s="783">
        <v>80</v>
      </c>
      <c r="Q2039" s="783">
        <v>1172.27</v>
      </c>
      <c r="R2039" s="783">
        <v>929.41</v>
      </c>
      <c r="S2039" s="783">
        <v>147.12</v>
      </c>
      <c r="T2039" s="783">
        <v>95.74</v>
      </c>
      <c r="U2039" s="785">
        <v>44631.636018518497</v>
      </c>
    </row>
    <row r="2040" spans="1:21">
      <c r="A2040" s="782">
        <v>44529</v>
      </c>
      <c r="B2040" s="783" t="s">
        <v>30</v>
      </c>
      <c r="C2040" s="783" t="s">
        <v>4089</v>
      </c>
      <c r="D2040" s="783" t="s">
        <v>4021</v>
      </c>
      <c r="E2040" s="783" t="s">
        <v>6118</v>
      </c>
      <c r="F2040" s="783" t="s">
        <v>4011</v>
      </c>
      <c r="G2040" s="783" t="str">
        <f t="shared" si="107"/>
        <v>Renewal (15% in 2020)</v>
      </c>
      <c r="H2040" s="783" t="s">
        <v>6119</v>
      </c>
      <c r="I2040" s="783" t="s">
        <v>6120</v>
      </c>
      <c r="J2040" s="783">
        <v>15</v>
      </c>
      <c r="K2040" s="783" t="s">
        <v>898</v>
      </c>
      <c r="L2040" s="783" t="s">
        <v>4014</v>
      </c>
      <c r="M2040" s="784">
        <v>9000</v>
      </c>
      <c r="N2040" s="784">
        <v>6</v>
      </c>
      <c r="O2040" s="784">
        <v>15</v>
      </c>
      <c r="P2040" s="783">
        <v>100</v>
      </c>
      <c r="Q2040" s="783">
        <v>850.5</v>
      </c>
      <c r="R2040" s="783">
        <v>416.7</v>
      </c>
      <c r="S2040" s="783">
        <v>68.400000000000006</v>
      </c>
      <c r="T2040" s="783">
        <v>365.4</v>
      </c>
      <c r="U2040" s="785">
        <v>44631.635497685202</v>
      </c>
    </row>
    <row r="2041" spans="1:21">
      <c r="A2041" s="782">
        <v>44536</v>
      </c>
      <c r="B2041" s="783" t="s">
        <v>4025</v>
      </c>
      <c r="C2041" s="783" t="s">
        <v>4026</v>
      </c>
      <c r="D2041" s="783" t="s">
        <v>4021</v>
      </c>
      <c r="E2041" s="783" t="s">
        <v>4205</v>
      </c>
      <c r="F2041" s="783" t="s">
        <v>4011</v>
      </c>
      <c r="G2041" s="783" t="str">
        <f t="shared" si="107"/>
        <v>New contract</v>
      </c>
      <c r="H2041" s="783" t="s">
        <v>4206</v>
      </c>
      <c r="I2041" s="783" t="s">
        <v>4207</v>
      </c>
      <c r="J2041" s="783">
        <v>25</v>
      </c>
      <c r="K2041" s="783" t="s">
        <v>898</v>
      </c>
      <c r="L2041" s="783" t="s">
        <v>4014</v>
      </c>
      <c r="M2041" s="784">
        <v>3575</v>
      </c>
      <c r="N2041" s="784">
        <v>2.5</v>
      </c>
      <c r="O2041" s="784">
        <v>13</v>
      </c>
      <c r="P2041" s="783">
        <v>110</v>
      </c>
      <c r="Q2041" s="783">
        <v>194.84</v>
      </c>
      <c r="R2041" s="783">
        <v>133.6</v>
      </c>
      <c r="S2041" s="783">
        <v>35.14</v>
      </c>
      <c r="T2041" s="783">
        <v>26.1</v>
      </c>
      <c r="U2041" s="785">
        <v>44631.633067129602</v>
      </c>
    </row>
    <row r="2042" spans="1:21">
      <c r="A2042" s="782">
        <v>44606</v>
      </c>
      <c r="B2042" s="783" t="s">
        <v>47</v>
      </c>
      <c r="C2042" s="783" t="s">
        <v>4244</v>
      </c>
      <c r="D2042" s="783" t="s">
        <v>4102</v>
      </c>
      <c r="E2042" s="783" t="s">
        <v>3013</v>
      </c>
      <c r="F2042" s="783" t="s">
        <v>4011</v>
      </c>
      <c r="G2042" s="783" t="str">
        <f t="shared" si="107"/>
        <v>Renewal (25% in 2020)</v>
      </c>
      <c r="H2042" s="783" t="s">
        <v>6135</v>
      </c>
      <c r="I2042" s="783" t="s">
        <v>6136</v>
      </c>
      <c r="J2042" s="783">
        <v>25</v>
      </c>
      <c r="K2042" s="783" t="s">
        <v>898</v>
      </c>
      <c r="L2042" s="783" t="s">
        <v>4014</v>
      </c>
      <c r="M2042" s="784">
        <v>21220.91</v>
      </c>
      <c r="N2042" s="784">
        <v>12.73</v>
      </c>
      <c r="O2042" s="784">
        <v>16.670000000000002</v>
      </c>
      <c r="P2042" s="783">
        <v>100</v>
      </c>
      <c r="Q2042" s="783">
        <v>795.78</v>
      </c>
      <c r="R2042" s="783">
        <v>619.65</v>
      </c>
      <c r="S2042" s="783">
        <v>99.74</v>
      </c>
      <c r="T2042" s="783">
        <v>76.400000000000006</v>
      </c>
      <c r="U2042" s="785">
        <v>44631.6358680556</v>
      </c>
    </row>
    <row r="2043" spans="1:21">
      <c r="A2043" s="782">
        <v>44533</v>
      </c>
      <c r="B2043" s="783" t="s">
        <v>47</v>
      </c>
      <c r="C2043" s="783" t="s">
        <v>4244</v>
      </c>
      <c r="D2043" s="783" t="s">
        <v>4102</v>
      </c>
      <c r="E2043" s="783" t="s">
        <v>6141</v>
      </c>
      <c r="F2043" s="783" t="s">
        <v>4011</v>
      </c>
      <c r="G2043" s="783" t="str">
        <f t="shared" si="107"/>
        <v>Renewal (20% in 2020)</v>
      </c>
      <c r="H2043" s="783" t="s">
        <v>6142</v>
      </c>
      <c r="I2043" s="783" t="s">
        <v>6143</v>
      </c>
      <c r="J2043" s="783">
        <v>20</v>
      </c>
      <c r="K2043" s="783" t="s">
        <v>898</v>
      </c>
      <c r="L2043" s="783" t="s">
        <v>4014</v>
      </c>
      <c r="M2043" s="784">
        <v>10352</v>
      </c>
      <c r="N2043" s="784">
        <v>6.47</v>
      </c>
      <c r="O2043" s="784">
        <v>16</v>
      </c>
      <c r="P2043" s="783">
        <v>100</v>
      </c>
      <c r="Q2043" s="783">
        <v>457.56</v>
      </c>
      <c r="R2043" s="783">
        <v>302.27999999999997</v>
      </c>
      <c r="S2043" s="783">
        <v>48.65</v>
      </c>
      <c r="T2043" s="783">
        <v>106.63</v>
      </c>
      <c r="U2043" s="785">
        <v>44631.635543981502</v>
      </c>
    </row>
    <row r="2044" spans="1:21">
      <c r="A2044" s="782">
        <v>44524</v>
      </c>
      <c r="B2044" s="783" t="s">
        <v>30</v>
      </c>
      <c r="C2044" s="783" t="s">
        <v>5213</v>
      </c>
      <c r="D2044" s="783" t="s">
        <v>4021</v>
      </c>
      <c r="E2044" s="783" t="s">
        <v>4769</v>
      </c>
      <c r="F2044" s="783" t="s">
        <v>4011</v>
      </c>
      <c r="G2044" s="783" t="str">
        <f t="shared" si="107"/>
        <v>Renewal (30% in 2020)</v>
      </c>
      <c r="H2044" s="783" t="s">
        <v>4770</v>
      </c>
      <c r="I2044" s="783" t="s">
        <v>4771</v>
      </c>
      <c r="J2044" s="783">
        <v>30</v>
      </c>
      <c r="K2044" s="783" t="s">
        <v>898</v>
      </c>
      <c r="L2044" s="783" t="s">
        <v>4014</v>
      </c>
      <c r="M2044" s="784">
        <v>48098.5</v>
      </c>
      <c r="N2044" s="784">
        <v>35.94</v>
      </c>
      <c r="O2044" s="784">
        <v>14.87</v>
      </c>
      <c r="P2044" s="783">
        <v>90</v>
      </c>
      <c r="Q2044" s="783">
        <v>3136.02</v>
      </c>
      <c r="R2044" s="783">
        <v>2693.52</v>
      </c>
      <c r="S2044" s="783">
        <v>0</v>
      </c>
      <c r="T2044" s="783">
        <v>442.51</v>
      </c>
      <c r="U2044" s="785">
        <v>44631.635775463001</v>
      </c>
    </row>
    <row r="2045" spans="1:21">
      <c r="A2045" s="782">
        <v>44524</v>
      </c>
      <c r="B2045" s="783" t="s">
        <v>30</v>
      </c>
      <c r="C2045" s="783" t="s">
        <v>4089</v>
      </c>
      <c r="D2045" s="783" t="s">
        <v>4021</v>
      </c>
      <c r="E2045" s="783" t="s">
        <v>4769</v>
      </c>
      <c r="F2045" s="783" t="s">
        <v>4011</v>
      </c>
      <c r="G2045" s="783" t="str">
        <f t="shared" si="107"/>
        <v>Renewal (30% in 2020)</v>
      </c>
      <c r="H2045" s="783" t="s">
        <v>4770</v>
      </c>
      <c r="I2045" s="783" t="s">
        <v>4771</v>
      </c>
      <c r="J2045" s="783">
        <v>30</v>
      </c>
      <c r="K2045" s="783" t="s">
        <v>898</v>
      </c>
      <c r="L2045" s="783" t="s">
        <v>4014</v>
      </c>
      <c r="M2045" s="784">
        <v>9100.44</v>
      </c>
      <c r="N2045" s="784">
        <v>6.8</v>
      </c>
      <c r="O2045" s="784">
        <v>14.87</v>
      </c>
      <c r="P2045" s="783">
        <v>90</v>
      </c>
      <c r="Q2045" s="783">
        <v>495.97</v>
      </c>
      <c r="R2045" s="783">
        <v>421.35</v>
      </c>
      <c r="S2045" s="783">
        <v>0</v>
      </c>
      <c r="T2045" s="783">
        <v>74.62</v>
      </c>
      <c r="U2045" s="785">
        <v>44631.635775463001</v>
      </c>
    </row>
    <row r="2046" spans="1:21">
      <c r="A2046" s="782">
        <v>44532</v>
      </c>
      <c r="B2046" s="783" t="s">
        <v>41</v>
      </c>
      <c r="C2046" s="783" t="s">
        <v>4092</v>
      </c>
      <c r="D2046" s="783" t="s">
        <v>4009</v>
      </c>
      <c r="E2046" s="783" t="s">
        <v>6149</v>
      </c>
      <c r="F2046" s="783" t="s">
        <v>4011</v>
      </c>
      <c r="G2046" s="783" t="str">
        <f t="shared" si="107"/>
        <v>Renewal (25% in 2020)</v>
      </c>
      <c r="H2046" s="783" t="s">
        <v>6150</v>
      </c>
      <c r="I2046" s="783" t="s">
        <v>6151</v>
      </c>
      <c r="J2046" s="783">
        <v>25</v>
      </c>
      <c r="K2046" s="783" t="s">
        <v>898</v>
      </c>
      <c r="L2046" s="783" t="s">
        <v>4014</v>
      </c>
      <c r="M2046" s="784">
        <v>9864.92</v>
      </c>
      <c r="N2046" s="784">
        <v>6.22</v>
      </c>
      <c r="O2046" s="784">
        <v>12.2</v>
      </c>
      <c r="P2046" s="783">
        <v>130</v>
      </c>
      <c r="Q2046" s="783">
        <v>581.04</v>
      </c>
      <c r="R2046" s="783">
        <v>347.96</v>
      </c>
      <c r="S2046" s="783">
        <v>183.76</v>
      </c>
      <c r="T2046" s="783">
        <v>49.32</v>
      </c>
      <c r="U2046" s="785">
        <v>44672.6337152778</v>
      </c>
    </row>
    <row r="2047" spans="1:21">
      <c r="A2047" s="782">
        <v>44620</v>
      </c>
      <c r="B2047" s="783" t="s">
        <v>41</v>
      </c>
      <c r="C2047" s="783" t="s">
        <v>4139</v>
      </c>
      <c r="D2047" s="783" t="s">
        <v>4009</v>
      </c>
      <c r="E2047" s="783" t="s">
        <v>6687</v>
      </c>
      <c r="F2047" s="783" t="s">
        <v>4011</v>
      </c>
      <c r="G2047" s="783" t="s">
        <v>4028</v>
      </c>
      <c r="H2047" s="783" t="s">
        <v>6688</v>
      </c>
      <c r="I2047" s="783" t="s">
        <v>6689</v>
      </c>
      <c r="J2047" s="783">
        <v>25</v>
      </c>
      <c r="K2047" s="783" t="s">
        <v>898</v>
      </c>
      <c r="L2047" s="783" t="s">
        <v>4014</v>
      </c>
      <c r="M2047" s="784">
        <v>27592.36</v>
      </c>
      <c r="N2047" s="784">
        <v>20.39</v>
      </c>
      <c r="O2047" s="784">
        <v>10.33</v>
      </c>
      <c r="P2047" s="783">
        <v>131</v>
      </c>
      <c r="Q2047" s="783">
        <v>1385.14</v>
      </c>
      <c r="R2047" s="783">
        <v>846.69</v>
      </c>
      <c r="S2047" s="783">
        <v>425.32</v>
      </c>
      <c r="T2047" s="783">
        <v>113.13</v>
      </c>
      <c r="U2047" s="785">
        <v>44631.636990740699</v>
      </c>
    </row>
    <row r="2048" spans="1:21">
      <c r="A2048" s="782">
        <v>44578</v>
      </c>
      <c r="B2048" s="783" t="s">
        <v>4025</v>
      </c>
      <c r="C2048" s="783" t="s">
        <v>4026</v>
      </c>
      <c r="D2048" s="783" t="s">
        <v>4021</v>
      </c>
      <c r="E2048" s="783" t="s">
        <v>6193</v>
      </c>
      <c r="F2048" s="783" t="s">
        <v>4011</v>
      </c>
      <c r="G2048" s="783" t="s">
        <v>4028</v>
      </c>
      <c r="H2048" s="783" t="s">
        <v>6194</v>
      </c>
      <c r="I2048" s="783" t="s">
        <v>6195</v>
      </c>
      <c r="J2048" s="783">
        <v>25</v>
      </c>
      <c r="K2048" s="783" t="s">
        <v>898</v>
      </c>
      <c r="L2048" s="783" t="s">
        <v>4014</v>
      </c>
      <c r="M2048" s="784">
        <v>13476</v>
      </c>
      <c r="N2048" s="784">
        <v>10</v>
      </c>
      <c r="O2048" s="784">
        <v>11.23</v>
      </c>
      <c r="P2048" s="783">
        <v>120</v>
      </c>
      <c r="Q2048" s="783">
        <v>734.44</v>
      </c>
      <c r="R2048" s="783">
        <v>461.63</v>
      </c>
      <c r="S2048" s="783">
        <v>174.44</v>
      </c>
      <c r="T2048" s="783">
        <v>98.37</v>
      </c>
      <c r="U2048" s="785">
        <v>44631.637013888903</v>
      </c>
    </row>
    <row r="2049" spans="1:21">
      <c r="A2049" s="782">
        <v>44560</v>
      </c>
      <c r="B2049" s="783" t="s">
        <v>4025</v>
      </c>
      <c r="C2049" s="783" t="s">
        <v>4026</v>
      </c>
      <c r="D2049" s="783" t="s">
        <v>4021</v>
      </c>
      <c r="E2049" s="783" t="s">
        <v>6213</v>
      </c>
      <c r="F2049" s="783" t="s">
        <v>4011</v>
      </c>
      <c r="G2049" s="783" t="s">
        <v>4028</v>
      </c>
      <c r="H2049" s="783" t="s">
        <v>6214</v>
      </c>
      <c r="I2049" s="783" t="s">
        <v>6215</v>
      </c>
      <c r="J2049" s="783">
        <v>25</v>
      </c>
      <c r="K2049" s="783" t="s">
        <v>898</v>
      </c>
      <c r="L2049" s="783" t="s">
        <v>4014</v>
      </c>
      <c r="M2049" s="784">
        <v>50878.75</v>
      </c>
      <c r="N2049" s="784">
        <v>32.5</v>
      </c>
      <c r="O2049" s="784">
        <v>15.5</v>
      </c>
      <c r="P2049" s="783">
        <v>101</v>
      </c>
      <c r="Q2049" s="783">
        <v>2772.89</v>
      </c>
      <c r="R2049" s="783">
        <v>2070.77</v>
      </c>
      <c r="S2049" s="783">
        <v>330.71</v>
      </c>
      <c r="T2049" s="783">
        <v>371.41</v>
      </c>
      <c r="U2049" s="785">
        <v>44631.637280092596</v>
      </c>
    </row>
    <row r="2050" spans="1:21">
      <c r="A2050" s="782">
        <v>44561</v>
      </c>
      <c r="B2050" s="783" t="s">
        <v>74</v>
      </c>
      <c r="C2050" s="783" t="s">
        <v>4097</v>
      </c>
      <c r="D2050" s="783" t="s">
        <v>4038</v>
      </c>
      <c r="E2050" s="783" t="s">
        <v>4455</v>
      </c>
      <c r="F2050" s="783" t="s">
        <v>4011</v>
      </c>
      <c r="G2050" s="783" t="str">
        <f t="shared" ref="G2050:G2072" si="108">VLOOKUP(I2050,pacage,2,FALSE)</f>
        <v>Renewal (20% in 2020)</v>
      </c>
      <c r="H2050" s="783" t="s">
        <v>4456</v>
      </c>
      <c r="I2050" s="783" t="s">
        <v>4457</v>
      </c>
      <c r="J2050" s="783">
        <v>25</v>
      </c>
      <c r="K2050" s="783" t="s">
        <v>898</v>
      </c>
      <c r="L2050" s="783" t="s">
        <v>4014</v>
      </c>
      <c r="M2050" s="784">
        <v>7280</v>
      </c>
      <c r="N2050" s="784">
        <v>8</v>
      </c>
      <c r="O2050" s="784">
        <v>7</v>
      </c>
      <c r="P2050" s="783">
        <v>130</v>
      </c>
      <c r="Q2050" s="783">
        <v>393.85</v>
      </c>
      <c r="R2050" s="783">
        <v>222.85</v>
      </c>
      <c r="S2050" s="783">
        <v>109.85</v>
      </c>
      <c r="T2050" s="783">
        <v>61.15</v>
      </c>
      <c r="U2050" s="785">
        <v>44631.636990740699</v>
      </c>
    </row>
    <row r="2051" spans="1:21">
      <c r="A2051" s="782">
        <v>44557</v>
      </c>
      <c r="B2051" s="783" t="s">
        <v>30</v>
      </c>
      <c r="C2051" s="783" t="s">
        <v>4089</v>
      </c>
      <c r="D2051" s="783" t="s">
        <v>4021</v>
      </c>
      <c r="E2051" s="783" t="s">
        <v>6233</v>
      </c>
      <c r="F2051" s="783" t="s">
        <v>4011</v>
      </c>
      <c r="G2051" s="783" t="str">
        <f t="shared" si="108"/>
        <v>Renewal (20% in 2020)</v>
      </c>
      <c r="H2051" s="783" t="s">
        <v>6234</v>
      </c>
      <c r="I2051" s="783" t="s">
        <v>6235</v>
      </c>
      <c r="J2051" s="783">
        <v>20</v>
      </c>
      <c r="K2051" s="783" t="s">
        <v>898</v>
      </c>
      <c r="L2051" s="783" t="s">
        <v>4014</v>
      </c>
      <c r="M2051" s="784">
        <v>40668.25</v>
      </c>
      <c r="N2051" s="784">
        <v>35</v>
      </c>
      <c r="O2051" s="784">
        <v>13.67</v>
      </c>
      <c r="P2051" s="783">
        <v>85</v>
      </c>
      <c r="Q2051" s="783">
        <v>3237.19</v>
      </c>
      <c r="R2051" s="783">
        <v>1882.94</v>
      </c>
      <c r="S2051" s="783">
        <v>309.08</v>
      </c>
      <c r="T2051" s="783">
        <v>1045.17</v>
      </c>
      <c r="U2051" s="785">
        <v>44631.637071759302</v>
      </c>
    </row>
    <row r="2052" spans="1:21">
      <c r="A2052" s="782">
        <v>44483</v>
      </c>
      <c r="B2052" s="783" t="s">
        <v>228</v>
      </c>
      <c r="C2052" s="783" t="s">
        <v>4020</v>
      </c>
      <c r="D2052" s="783" t="s">
        <v>4021</v>
      </c>
      <c r="E2052" s="783" t="s">
        <v>6269</v>
      </c>
      <c r="F2052" s="783" t="s">
        <v>4011</v>
      </c>
      <c r="G2052" s="783" t="str">
        <f t="shared" si="108"/>
        <v>Renewal (25% in 2020)</v>
      </c>
      <c r="H2052" s="783" t="s">
        <v>6270</v>
      </c>
      <c r="I2052" s="783" t="s">
        <v>6271</v>
      </c>
      <c r="J2052" s="783">
        <v>25</v>
      </c>
      <c r="K2052" s="783" t="s">
        <v>898</v>
      </c>
      <c r="L2052" s="783" t="s">
        <v>4014</v>
      </c>
      <c r="M2052" s="784">
        <v>4054.4</v>
      </c>
      <c r="N2052" s="784">
        <v>4</v>
      </c>
      <c r="O2052" s="784">
        <v>12.67</v>
      </c>
      <c r="P2052" s="783">
        <v>80</v>
      </c>
      <c r="Q2052" s="783">
        <v>247.32</v>
      </c>
      <c r="R2052" s="783">
        <v>187.31</v>
      </c>
      <c r="S2052" s="783">
        <v>30.41</v>
      </c>
      <c r="T2052" s="783">
        <v>29.6</v>
      </c>
      <c r="U2052" s="785">
        <v>44631.637546296297</v>
      </c>
    </row>
    <row r="2053" spans="1:21">
      <c r="A2053" s="782">
        <v>44485</v>
      </c>
      <c r="B2053" s="783" t="s">
        <v>51</v>
      </c>
      <c r="C2053" s="783" t="s">
        <v>4796</v>
      </c>
      <c r="D2053" s="783" t="s">
        <v>4016</v>
      </c>
      <c r="E2053" s="783" t="s">
        <v>3366</v>
      </c>
      <c r="F2053" s="783" t="s">
        <v>4011</v>
      </c>
      <c r="G2053" s="783" t="str">
        <f t="shared" si="108"/>
        <v>Renewal (25% in 2020)</v>
      </c>
      <c r="H2053" s="783" t="s">
        <v>6279</v>
      </c>
      <c r="I2053" s="783" t="s">
        <v>6280</v>
      </c>
      <c r="J2053" s="783">
        <v>30</v>
      </c>
      <c r="K2053" s="783" t="s">
        <v>898</v>
      </c>
      <c r="L2053" s="783" t="s">
        <v>4014</v>
      </c>
      <c r="M2053" s="784">
        <v>56180.04</v>
      </c>
      <c r="N2053" s="784">
        <v>56.05</v>
      </c>
      <c r="O2053" s="784">
        <v>11.39</v>
      </c>
      <c r="P2053" s="783">
        <v>88</v>
      </c>
      <c r="Q2053" s="783">
        <v>3039.34</v>
      </c>
      <c r="R2053" s="783">
        <v>2662.93</v>
      </c>
      <c r="S2053" s="783">
        <v>0</v>
      </c>
      <c r="T2053" s="783">
        <v>376.41</v>
      </c>
      <c r="U2053" s="785">
        <v>44631.637372685203</v>
      </c>
    </row>
    <row r="2054" spans="1:21">
      <c r="A2054" s="782">
        <v>44511</v>
      </c>
      <c r="B2054" s="783" t="s">
        <v>30</v>
      </c>
      <c r="C2054" s="783" t="s">
        <v>4089</v>
      </c>
      <c r="D2054" s="783" t="s">
        <v>4021</v>
      </c>
      <c r="E2054" s="783" t="s">
        <v>6302</v>
      </c>
      <c r="F2054" s="783" t="s">
        <v>4011</v>
      </c>
      <c r="G2054" s="783" t="str">
        <f t="shared" si="108"/>
        <v>New Contract</v>
      </c>
      <c r="H2054" s="783" t="s">
        <v>6303</v>
      </c>
      <c r="I2054" s="783" t="s">
        <v>6304</v>
      </c>
      <c r="J2054" s="783">
        <v>30</v>
      </c>
      <c r="K2054" s="783" t="s">
        <v>898</v>
      </c>
      <c r="L2054" s="783" t="s">
        <v>4014</v>
      </c>
      <c r="M2054" s="784">
        <v>58558.79</v>
      </c>
      <c r="N2054" s="784">
        <v>37</v>
      </c>
      <c r="O2054" s="784">
        <v>15.67</v>
      </c>
      <c r="P2054" s="783">
        <v>101</v>
      </c>
      <c r="Q2054" s="783">
        <v>3191.45</v>
      </c>
      <c r="R2054" s="783">
        <v>2711.27</v>
      </c>
      <c r="S2054" s="783">
        <v>0</v>
      </c>
      <c r="T2054" s="783">
        <v>480.18</v>
      </c>
      <c r="U2054" s="785">
        <v>44631.637523148202</v>
      </c>
    </row>
    <row r="2055" spans="1:21">
      <c r="A2055" s="782">
        <v>44466</v>
      </c>
      <c r="B2055" s="783" t="s">
        <v>30</v>
      </c>
      <c r="C2055" s="783" t="s">
        <v>4939</v>
      </c>
      <c r="D2055" s="783" t="s">
        <v>4021</v>
      </c>
      <c r="E2055" s="783" t="s">
        <v>3300</v>
      </c>
      <c r="F2055" s="783" t="s">
        <v>4011</v>
      </c>
      <c r="G2055" s="783" t="str">
        <f t="shared" si="108"/>
        <v>Renewal (25% in 2020)</v>
      </c>
      <c r="H2055" s="783" t="s">
        <v>6312</v>
      </c>
      <c r="I2055" s="783" t="s">
        <v>6313</v>
      </c>
      <c r="J2055" s="783">
        <v>25</v>
      </c>
      <c r="K2055" s="783" t="s">
        <v>898</v>
      </c>
      <c r="L2055" s="783" t="s">
        <v>4014</v>
      </c>
      <c r="M2055" s="784">
        <v>26520</v>
      </c>
      <c r="N2055" s="784">
        <v>26</v>
      </c>
      <c r="O2055" s="784">
        <v>12</v>
      </c>
      <c r="P2055" s="783">
        <v>85</v>
      </c>
      <c r="Q2055" s="783">
        <v>1617.72</v>
      </c>
      <c r="R2055" s="783">
        <v>1196.05</v>
      </c>
      <c r="S2055" s="783">
        <v>246.64</v>
      </c>
      <c r="T2055" s="783">
        <v>175.03</v>
      </c>
      <c r="U2055" s="785">
        <v>44631.637754629599</v>
      </c>
    </row>
    <row r="2056" spans="1:21">
      <c r="A2056" s="782">
        <v>44469</v>
      </c>
      <c r="B2056" s="783" t="s">
        <v>30</v>
      </c>
      <c r="C2056" s="783" t="s">
        <v>4089</v>
      </c>
      <c r="D2056" s="783" t="s">
        <v>4021</v>
      </c>
      <c r="E2056" s="783" t="s">
        <v>125</v>
      </c>
      <c r="F2056" s="783" t="s">
        <v>4011</v>
      </c>
      <c r="G2056" s="783" t="str">
        <f t="shared" si="108"/>
        <v>Renewal (15% in 2020)</v>
      </c>
      <c r="H2056" s="783" t="s">
        <v>6323</v>
      </c>
      <c r="I2056" s="783" t="s">
        <v>6324</v>
      </c>
      <c r="J2056" s="783">
        <v>15</v>
      </c>
      <c r="K2056" s="783" t="s">
        <v>898</v>
      </c>
      <c r="L2056" s="783" t="s">
        <v>4014</v>
      </c>
      <c r="M2056" s="784">
        <v>31802.47</v>
      </c>
      <c r="N2056" s="784">
        <v>20.09</v>
      </c>
      <c r="O2056" s="784">
        <v>15.83</v>
      </c>
      <c r="P2056" s="783">
        <v>100</v>
      </c>
      <c r="Q2056" s="783">
        <v>3005.33</v>
      </c>
      <c r="R2056" s="783">
        <v>1472.45</v>
      </c>
      <c r="S2056" s="783">
        <v>241.7</v>
      </c>
      <c r="T2056" s="783">
        <v>1291.18</v>
      </c>
      <c r="U2056" s="785">
        <v>44631.636736111097</v>
      </c>
    </row>
    <row r="2057" spans="1:21">
      <c r="A2057" s="782">
        <v>44488</v>
      </c>
      <c r="B2057" s="783" t="s">
        <v>41</v>
      </c>
      <c r="C2057" s="783" t="s">
        <v>4139</v>
      </c>
      <c r="D2057" s="783" t="s">
        <v>4009</v>
      </c>
      <c r="E2057" s="783" t="s">
        <v>721</v>
      </c>
      <c r="F2057" s="783" t="s">
        <v>4011</v>
      </c>
      <c r="G2057" s="783" t="str">
        <f t="shared" si="108"/>
        <v>Renewal (20% in 2020)</v>
      </c>
      <c r="H2057" s="783" t="s">
        <v>6349</v>
      </c>
      <c r="I2057" s="783" t="s">
        <v>6350</v>
      </c>
      <c r="J2057" s="783">
        <v>20</v>
      </c>
      <c r="K2057" s="783" t="s">
        <v>898</v>
      </c>
      <c r="L2057" s="783" t="s">
        <v>4014</v>
      </c>
      <c r="M2057" s="784">
        <v>43344</v>
      </c>
      <c r="N2057" s="784">
        <v>27.09</v>
      </c>
      <c r="O2057" s="784">
        <v>16</v>
      </c>
      <c r="P2057" s="783">
        <v>100</v>
      </c>
      <c r="Q2057" s="783">
        <v>2826.03</v>
      </c>
      <c r="R2057" s="783">
        <v>1725.09</v>
      </c>
      <c r="S2057" s="783">
        <v>273.07</v>
      </c>
      <c r="T2057" s="783">
        <v>827.87</v>
      </c>
      <c r="U2057" s="785">
        <v>44631.637997685197</v>
      </c>
    </row>
    <row r="2058" spans="1:21">
      <c r="A2058" s="782">
        <v>44409</v>
      </c>
      <c r="B2058" s="783" t="s">
        <v>2866</v>
      </c>
      <c r="C2058" s="783" t="s">
        <v>4008</v>
      </c>
      <c r="D2058" s="783" t="s">
        <v>4009</v>
      </c>
      <c r="E2058" s="783" t="s">
        <v>4806</v>
      </c>
      <c r="F2058" s="783" t="s">
        <v>4011</v>
      </c>
      <c r="G2058" s="783" t="str">
        <f t="shared" si="108"/>
        <v>Renewal (15% in 2020)</v>
      </c>
      <c r="H2058" s="783" t="s">
        <v>4807</v>
      </c>
      <c r="I2058" s="783" t="s">
        <v>4808</v>
      </c>
      <c r="J2058" s="783">
        <v>15</v>
      </c>
      <c r="K2058" s="783" t="s">
        <v>910</v>
      </c>
      <c r="L2058" s="783" t="s">
        <v>4014</v>
      </c>
      <c r="M2058" s="784">
        <v>16272.35</v>
      </c>
      <c r="N2058" s="784">
        <v>8.99</v>
      </c>
      <c r="O2058" s="784">
        <v>10.97</v>
      </c>
      <c r="P2058" s="783">
        <v>165</v>
      </c>
      <c r="Q2058" s="783">
        <v>1461.26</v>
      </c>
      <c r="R2058" s="783">
        <v>611.29999999999995</v>
      </c>
      <c r="S2058" s="783">
        <v>117.7</v>
      </c>
      <c r="T2058" s="783">
        <v>732.26</v>
      </c>
      <c r="U2058" s="785">
        <v>44631.504999999997</v>
      </c>
    </row>
    <row r="2059" spans="1:21">
      <c r="A2059" s="782">
        <v>44409</v>
      </c>
      <c r="B2059" s="783" t="s">
        <v>113</v>
      </c>
      <c r="C2059" s="783" t="s">
        <v>4606</v>
      </c>
      <c r="D2059" s="783" t="s">
        <v>4009</v>
      </c>
      <c r="E2059" s="783" t="s">
        <v>6690</v>
      </c>
      <c r="F2059" s="783" t="s">
        <v>4011</v>
      </c>
      <c r="G2059" s="783" t="str">
        <f t="shared" si="108"/>
        <v>Renewal (30% in 2020)</v>
      </c>
      <c r="H2059" s="783" t="s">
        <v>6691</v>
      </c>
      <c r="I2059" s="783" t="s">
        <v>6692</v>
      </c>
      <c r="J2059" s="783">
        <v>30</v>
      </c>
      <c r="K2059" s="783" t="s">
        <v>910</v>
      </c>
      <c r="L2059" s="783" t="s">
        <v>4014</v>
      </c>
      <c r="M2059" s="784">
        <v>50248.08</v>
      </c>
      <c r="N2059" s="784">
        <v>23.17</v>
      </c>
      <c r="O2059" s="784">
        <v>13.47</v>
      </c>
      <c r="P2059" s="783">
        <v>161</v>
      </c>
      <c r="Q2059" s="783">
        <v>2512.4</v>
      </c>
      <c r="R2059" s="783">
        <v>1859.18</v>
      </c>
      <c r="S2059" s="783">
        <v>0</v>
      </c>
      <c r="T2059" s="783">
        <v>653.23</v>
      </c>
      <c r="U2059" s="785">
        <v>44631.510300925896</v>
      </c>
    </row>
    <row r="2060" spans="1:21">
      <c r="A2060" s="782">
        <v>44409</v>
      </c>
      <c r="B2060" s="783" t="s">
        <v>74</v>
      </c>
      <c r="C2060" s="783" t="s">
        <v>4097</v>
      </c>
      <c r="D2060" s="783" t="s">
        <v>4038</v>
      </c>
      <c r="E2060" s="783" t="s">
        <v>4817</v>
      </c>
      <c r="F2060" s="783" t="s">
        <v>4011</v>
      </c>
      <c r="G2060" s="783" t="str">
        <f t="shared" si="108"/>
        <v>Renewal (15% in 2020)</v>
      </c>
      <c r="H2060" s="783" t="s">
        <v>4818</v>
      </c>
      <c r="I2060" s="783" t="s">
        <v>4819</v>
      </c>
      <c r="J2060" s="783">
        <v>15</v>
      </c>
      <c r="K2060" s="783" t="s">
        <v>910</v>
      </c>
      <c r="L2060" s="783" t="s">
        <v>4014</v>
      </c>
      <c r="M2060" s="784">
        <v>30786</v>
      </c>
      <c r="N2060" s="784">
        <v>30</v>
      </c>
      <c r="O2060" s="784">
        <v>7.33</v>
      </c>
      <c r="P2060" s="783">
        <v>140</v>
      </c>
      <c r="Q2060" s="783">
        <v>2118.08</v>
      </c>
      <c r="R2060" s="783">
        <v>1074.43</v>
      </c>
      <c r="S2060" s="783">
        <v>172.4</v>
      </c>
      <c r="T2060" s="783">
        <v>871.24</v>
      </c>
      <c r="U2060" s="785">
        <v>44631.503958333298</v>
      </c>
    </row>
    <row r="2061" spans="1:21">
      <c r="A2061" s="782">
        <v>44434</v>
      </c>
      <c r="B2061" s="783" t="s">
        <v>113</v>
      </c>
      <c r="C2061" s="783" t="s">
        <v>4606</v>
      </c>
      <c r="D2061" s="783" t="s">
        <v>4009</v>
      </c>
      <c r="E2061" s="783" t="s">
        <v>2370</v>
      </c>
      <c r="F2061" s="783" t="s">
        <v>4011</v>
      </c>
      <c r="G2061" s="783" t="str">
        <f t="shared" si="108"/>
        <v>Renewal (20% in 2020)</v>
      </c>
      <c r="H2061" s="783" t="s">
        <v>6693</v>
      </c>
      <c r="I2061" s="783" t="s">
        <v>6694</v>
      </c>
      <c r="J2061" s="783">
        <v>20</v>
      </c>
      <c r="K2061" s="783" t="s">
        <v>910</v>
      </c>
      <c r="L2061" s="783" t="s">
        <v>4014</v>
      </c>
      <c r="M2061" s="784">
        <v>25505.51</v>
      </c>
      <c r="N2061" s="784">
        <v>13.11</v>
      </c>
      <c r="O2061" s="784">
        <v>12.97</v>
      </c>
      <c r="P2061" s="783">
        <v>150</v>
      </c>
      <c r="Q2061" s="783">
        <v>1764.98</v>
      </c>
      <c r="R2061" s="783">
        <v>943.7</v>
      </c>
      <c r="S2061" s="783">
        <v>153.03</v>
      </c>
      <c r="T2061" s="783">
        <v>668.24</v>
      </c>
      <c r="U2061" s="785">
        <v>44631.506620370397</v>
      </c>
    </row>
    <row r="2062" spans="1:21">
      <c r="A2062" s="782">
        <v>44409</v>
      </c>
      <c r="B2062" s="783" t="s">
        <v>150</v>
      </c>
      <c r="C2062" s="783" t="s">
        <v>4606</v>
      </c>
      <c r="D2062" s="783" t="s">
        <v>4009</v>
      </c>
      <c r="E2062" s="783" t="s">
        <v>6654</v>
      </c>
      <c r="F2062" s="783" t="s">
        <v>4011</v>
      </c>
      <c r="G2062" s="783" t="str">
        <f t="shared" si="108"/>
        <v>Renewal (25% in 2020)</v>
      </c>
      <c r="H2062" s="783" t="s">
        <v>6655</v>
      </c>
      <c r="I2062" s="783" t="s">
        <v>6656</v>
      </c>
      <c r="J2062" s="783">
        <v>25</v>
      </c>
      <c r="K2062" s="783" t="s">
        <v>910</v>
      </c>
      <c r="L2062" s="783" t="s">
        <v>4014</v>
      </c>
      <c r="M2062" s="784">
        <v>15057.04</v>
      </c>
      <c r="N2062" s="784">
        <v>6.6</v>
      </c>
      <c r="O2062" s="784">
        <v>14.17</v>
      </c>
      <c r="P2062" s="783">
        <v>161</v>
      </c>
      <c r="Q2062" s="783">
        <v>840.18</v>
      </c>
      <c r="R2062" s="783">
        <v>557.11</v>
      </c>
      <c r="S2062" s="783">
        <v>90.34</v>
      </c>
      <c r="T2062" s="783">
        <v>192.73</v>
      </c>
      <c r="U2062" s="785">
        <v>44631.505254629599</v>
      </c>
    </row>
    <row r="2063" spans="1:21">
      <c r="A2063" s="782">
        <v>44409</v>
      </c>
      <c r="B2063" s="783" t="s">
        <v>41</v>
      </c>
      <c r="C2063" s="783" t="s">
        <v>4008</v>
      </c>
      <c r="D2063" s="783" t="s">
        <v>4009</v>
      </c>
      <c r="E2063" s="783" t="s">
        <v>4503</v>
      </c>
      <c r="F2063" s="783" t="s">
        <v>4011</v>
      </c>
      <c r="G2063" s="783" t="str">
        <f t="shared" si="108"/>
        <v>Renewal (20% in 2020)</v>
      </c>
      <c r="H2063" s="783" t="s">
        <v>4504</v>
      </c>
      <c r="I2063" s="783" t="s">
        <v>4505</v>
      </c>
      <c r="J2063" s="783">
        <v>20</v>
      </c>
      <c r="K2063" s="783" t="s">
        <v>910</v>
      </c>
      <c r="L2063" s="783" t="s">
        <v>4014</v>
      </c>
      <c r="M2063" s="784">
        <v>26452.54</v>
      </c>
      <c r="N2063" s="784">
        <v>23.72</v>
      </c>
      <c r="O2063" s="784">
        <v>6.97</v>
      </c>
      <c r="P2063" s="783">
        <v>160</v>
      </c>
      <c r="Q2063" s="783">
        <v>1793.48</v>
      </c>
      <c r="R2063" s="783">
        <v>1018.42</v>
      </c>
      <c r="S2063" s="783">
        <v>166.65</v>
      </c>
      <c r="T2063" s="783">
        <v>608.41</v>
      </c>
      <c r="U2063" s="785">
        <v>44631.505243055602</v>
      </c>
    </row>
    <row r="2064" spans="1:21">
      <c r="A2064" s="782">
        <v>44409</v>
      </c>
      <c r="B2064" s="783" t="s">
        <v>41</v>
      </c>
      <c r="C2064" s="783" t="s">
        <v>4071</v>
      </c>
      <c r="D2064" s="783" t="s">
        <v>4009</v>
      </c>
      <c r="E2064" s="783" t="s">
        <v>4838</v>
      </c>
      <c r="F2064" s="783" t="s">
        <v>4011</v>
      </c>
      <c r="G2064" s="783" t="str">
        <f t="shared" si="108"/>
        <v>Renewal (30% in 2020)</v>
      </c>
      <c r="H2064" s="783" t="s">
        <v>4839</v>
      </c>
      <c r="I2064" s="783" t="s">
        <v>4840</v>
      </c>
      <c r="J2064" s="783">
        <v>30</v>
      </c>
      <c r="K2064" s="783" t="s">
        <v>910</v>
      </c>
      <c r="L2064" s="783" t="s">
        <v>4014</v>
      </c>
      <c r="M2064" s="784">
        <v>95227.199999999997</v>
      </c>
      <c r="N2064" s="784">
        <v>66.13</v>
      </c>
      <c r="O2064" s="784">
        <v>9</v>
      </c>
      <c r="P2064" s="783">
        <v>160</v>
      </c>
      <c r="Q2064" s="783">
        <v>4847.0600000000004</v>
      </c>
      <c r="R2064" s="783">
        <v>4370.93</v>
      </c>
      <c r="S2064" s="783">
        <v>0</v>
      </c>
      <c r="T2064" s="783">
        <v>476.14</v>
      </c>
      <c r="U2064" s="785">
        <v>44631.503854166702</v>
      </c>
    </row>
    <row r="2065" spans="1:21">
      <c r="A2065" s="782">
        <v>44409</v>
      </c>
      <c r="B2065" s="783" t="s">
        <v>41</v>
      </c>
      <c r="C2065" s="783" t="s">
        <v>4082</v>
      </c>
      <c r="D2065" s="783" t="s">
        <v>4009</v>
      </c>
      <c r="E2065" s="783" t="s">
        <v>2101</v>
      </c>
      <c r="F2065" s="783" t="s">
        <v>4011</v>
      </c>
      <c r="G2065" s="783" t="str">
        <f t="shared" si="108"/>
        <v>Renewal (15% in 2020)</v>
      </c>
      <c r="H2065" s="783" t="s">
        <v>4506</v>
      </c>
      <c r="I2065" s="783" t="s">
        <v>4507</v>
      </c>
      <c r="J2065" s="783">
        <v>15</v>
      </c>
      <c r="K2065" s="783" t="s">
        <v>910</v>
      </c>
      <c r="L2065" s="783" t="s">
        <v>4014</v>
      </c>
      <c r="M2065" s="784">
        <v>45846.9</v>
      </c>
      <c r="N2065" s="784">
        <v>24.2</v>
      </c>
      <c r="O2065" s="784">
        <v>12.63</v>
      </c>
      <c r="P2065" s="783">
        <v>150</v>
      </c>
      <c r="Q2065" s="783">
        <v>3709.01</v>
      </c>
      <c r="R2065" s="783">
        <v>1627.56</v>
      </c>
      <c r="S2065" s="783">
        <v>307.17</v>
      </c>
      <c r="T2065" s="783">
        <v>1774.28</v>
      </c>
      <c r="U2065" s="785">
        <v>44631.505023148202</v>
      </c>
    </row>
    <row r="2066" spans="1:21">
      <c r="A2066" s="782">
        <v>44409</v>
      </c>
      <c r="B2066" s="783" t="s">
        <v>74</v>
      </c>
      <c r="C2066" s="783" t="s">
        <v>6308</v>
      </c>
      <c r="D2066" s="783" t="s">
        <v>4038</v>
      </c>
      <c r="E2066" s="783" t="s">
        <v>6695</v>
      </c>
      <c r="F2066" s="783" t="s">
        <v>4011</v>
      </c>
      <c r="G2066" s="783" t="str">
        <f t="shared" si="108"/>
        <v>Renewal (15% in 2020)</v>
      </c>
      <c r="H2066" s="783" t="s">
        <v>6696</v>
      </c>
      <c r="I2066" s="783" t="s">
        <v>6697</v>
      </c>
      <c r="J2066" s="783">
        <v>15</v>
      </c>
      <c r="K2066" s="783" t="s">
        <v>910</v>
      </c>
      <c r="L2066" s="783" t="s">
        <v>4014</v>
      </c>
      <c r="M2066" s="784">
        <v>66460.800000000003</v>
      </c>
      <c r="N2066" s="784">
        <v>48.16</v>
      </c>
      <c r="O2066" s="784">
        <v>9.1999999999999993</v>
      </c>
      <c r="P2066" s="783">
        <v>150</v>
      </c>
      <c r="Q2066" s="783">
        <v>6473.28</v>
      </c>
      <c r="R2066" s="783">
        <v>2651.79</v>
      </c>
      <c r="S2066" s="783">
        <v>432</v>
      </c>
      <c r="T2066" s="783">
        <v>3389.5</v>
      </c>
      <c r="U2066" s="785">
        <v>44631.506817129601</v>
      </c>
    </row>
    <row r="2067" spans="1:21">
      <c r="A2067" s="782">
        <v>44409</v>
      </c>
      <c r="B2067" s="783" t="s">
        <v>113</v>
      </c>
      <c r="C2067" s="783" t="s">
        <v>4598</v>
      </c>
      <c r="D2067" s="783" t="s">
        <v>4009</v>
      </c>
      <c r="E2067" s="783" t="s">
        <v>6698</v>
      </c>
      <c r="F2067" s="783" t="s">
        <v>4011</v>
      </c>
      <c r="G2067" s="783" t="str">
        <f t="shared" si="108"/>
        <v>Renewal (15% in 2020)</v>
      </c>
      <c r="H2067" s="783" t="s">
        <v>6699</v>
      </c>
      <c r="I2067" s="783" t="s">
        <v>6700</v>
      </c>
      <c r="J2067" s="783">
        <v>15</v>
      </c>
      <c r="K2067" s="783" t="s">
        <v>910</v>
      </c>
      <c r="L2067" s="783" t="s">
        <v>4014</v>
      </c>
      <c r="M2067" s="784">
        <v>38760</v>
      </c>
      <c r="N2067" s="784">
        <v>17</v>
      </c>
      <c r="O2067" s="784">
        <v>12</v>
      </c>
      <c r="P2067" s="783">
        <v>190</v>
      </c>
      <c r="Q2067" s="783">
        <v>3217.08</v>
      </c>
      <c r="R2067" s="783">
        <v>1067.43</v>
      </c>
      <c r="S2067" s="783">
        <v>513.98</v>
      </c>
      <c r="T2067" s="783">
        <v>1635.67</v>
      </c>
      <c r="U2067" s="785">
        <v>44631.505208333299</v>
      </c>
    </row>
    <row r="2068" spans="1:21">
      <c r="A2068" s="782">
        <v>44497</v>
      </c>
      <c r="B2068" s="783" t="s">
        <v>41</v>
      </c>
      <c r="C2068" s="783" t="s">
        <v>4082</v>
      </c>
      <c r="D2068" s="783" t="s">
        <v>4009</v>
      </c>
      <c r="E2068" s="783" t="s">
        <v>4515</v>
      </c>
      <c r="F2068" s="783" t="s">
        <v>4011</v>
      </c>
      <c r="G2068" s="783" t="str">
        <f t="shared" si="108"/>
        <v>Renewal (25% in 2020)</v>
      </c>
      <c r="H2068" s="783" t="s">
        <v>4516</v>
      </c>
      <c r="I2068" s="783" t="s">
        <v>4517</v>
      </c>
      <c r="J2068" s="783">
        <v>25</v>
      </c>
      <c r="K2068" s="783" t="s">
        <v>910</v>
      </c>
      <c r="L2068" s="783" t="s">
        <v>4014</v>
      </c>
      <c r="M2068" s="784">
        <v>170032.72</v>
      </c>
      <c r="N2068" s="784">
        <v>73.48</v>
      </c>
      <c r="O2068" s="784">
        <v>11.57</v>
      </c>
      <c r="P2068" s="783">
        <v>200</v>
      </c>
      <c r="Q2068" s="783">
        <v>7855.51</v>
      </c>
      <c r="R2068" s="783">
        <v>4859.1099999999997</v>
      </c>
      <c r="S2068" s="783">
        <v>2316.27</v>
      </c>
      <c r="T2068" s="783">
        <v>680.13</v>
      </c>
      <c r="U2068" s="785">
        <v>44631.503159722197</v>
      </c>
    </row>
    <row r="2069" spans="1:21">
      <c r="A2069" s="782">
        <v>44581</v>
      </c>
      <c r="B2069" s="783" t="s">
        <v>41</v>
      </c>
      <c r="C2069" s="783" t="s">
        <v>4092</v>
      </c>
      <c r="D2069" s="783" t="s">
        <v>4009</v>
      </c>
      <c r="E2069" s="783" t="s">
        <v>4865</v>
      </c>
      <c r="F2069" s="783" t="s">
        <v>4011</v>
      </c>
      <c r="G2069" s="783" t="str">
        <f t="shared" si="108"/>
        <v>New Contract</v>
      </c>
      <c r="H2069" s="783" t="s">
        <v>4866</v>
      </c>
      <c r="I2069" s="783" t="s">
        <v>4867</v>
      </c>
      <c r="J2069" s="783">
        <v>25</v>
      </c>
      <c r="K2069" s="783" t="s">
        <v>910</v>
      </c>
      <c r="L2069" s="783" t="s">
        <v>4014</v>
      </c>
      <c r="M2069" s="784">
        <v>24993.93</v>
      </c>
      <c r="N2069" s="784">
        <v>15.19</v>
      </c>
      <c r="O2069" s="784">
        <v>10.220000000000001</v>
      </c>
      <c r="P2069" s="783">
        <v>161</v>
      </c>
      <c r="Q2069" s="783">
        <v>1154.72</v>
      </c>
      <c r="R2069" s="783">
        <v>884.79</v>
      </c>
      <c r="S2069" s="783">
        <v>172.46</v>
      </c>
      <c r="T2069" s="783">
        <v>97.48</v>
      </c>
      <c r="U2069" s="785">
        <v>44631.516516203701</v>
      </c>
    </row>
    <row r="2070" spans="1:21">
      <c r="A2070" s="782">
        <v>44532</v>
      </c>
      <c r="B2070" s="783" t="s">
        <v>74</v>
      </c>
      <c r="C2070" s="783" t="s">
        <v>4097</v>
      </c>
      <c r="D2070" s="783" t="s">
        <v>4038</v>
      </c>
      <c r="E2070" s="783" t="s">
        <v>4268</v>
      </c>
      <c r="F2070" s="783" t="s">
        <v>4011</v>
      </c>
      <c r="G2070" s="783" t="str">
        <f t="shared" si="108"/>
        <v>Renewal (20% in 2020)</v>
      </c>
      <c r="H2070" s="783" t="s">
        <v>4269</v>
      </c>
      <c r="I2070" s="783" t="s">
        <v>4270</v>
      </c>
      <c r="J2070" s="783">
        <v>25</v>
      </c>
      <c r="K2070" s="783" t="s">
        <v>910</v>
      </c>
      <c r="L2070" s="783" t="s">
        <v>4014</v>
      </c>
      <c r="M2070" s="784">
        <v>24898.59</v>
      </c>
      <c r="N2070" s="784">
        <v>12.76</v>
      </c>
      <c r="O2070" s="784">
        <v>10.27</v>
      </c>
      <c r="P2070" s="783">
        <v>190</v>
      </c>
      <c r="Q2070" s="783">
        <v>1210.07</v>
      </c>
      <c r="R2070" s="783">
        <v>736.33</v>
      </c>
      <c r="S2070" s="783">
        <v>272.06</v>
      </c>
      <c r="T2070" s="783">
        <v>201.68</v>
      </c>
      <c r="U2070" s="785">
        <v>44631.512581018498</v>
      </c>
    </row>
    <row r="2071" spans="1:21">
      <c r="A2071" s="782">
        <v>44650</v>
      </c>
      <c r="B2071" s="783" t="s">
        <v>113</v>
      </c>
      <c r="C2071" s="783" t="s">
        <v>4606</v>
      </c>
      <c r="D2071" s="783" t="s">
        <v>4009</v>
      </c>
      <c r="E2071" s="783" t="s">
        <v>3271</v>
      </c>
      <c r="F2071" s="783" t="s">
        <v>4011</v>
      </c>
      <c r="G2071" s="783" t="str">
        <f t="shared" si="108"/>
        <v>Renewal (25% in 2020)</v>
      </c>
      <c r="H2071" s="783" t="s">
        <v>4871</v>
      </c>
      <c r="I2071" s="783" t="s">
        <v>4872</v>
      </c>
      <c r="J2071" s="783">
        <v>25</v>
      </c>
      <c r="K2071" s="783" t="s">
        <v>910</v>
      </c>
      <c r="L2071" s="783" t="s">
        <v>4014</v>
      </c>
      <c r="M2071" s="784">
        <v>302464.8</v>
      </c>
      <c r="N2071" s="784">
        <v>134</v>
      </c>
      <c r="O2071" s="784">
        <v>12.54</v>
      </c>
      <c r="P2071" s="783">
        <v>180</v>
      </c>
      <c r="Q2071" s="783">
        <v>16877.54</v>
      </c>
      <c r="R2071" s="783">
        <v>10009.9</v>
      </c>
      <c r="S2071" s="783">
        <v>2996.08</v>
      </c>
      <c r="T2071" s="783">
        <v>3871.55</v>
      </c>
      <c r="U2071" s="785">
        <v>44652.396921296298</v>
      </c>
    </row>
    <row r="2072" spans="1:21">
      <c r="A2072" s="782">
        <v>44435</v>
      </c>
      <c r="B2072" s="783" t="s">
        <v>41</v>
      </c>
      <c r="C2072" s="783" t="s">
        <v>4082</v>
      </c>
      <c r="D2072" s="783" t="s">
        <v>4009</v>
      </c>
      <c r="E2072" s="783" t="s">
        <v>1290</v>
      </c>
      <c r="F2072" s="783" t="s">
        <v>4011</v>
      </c>
      <c r="G2072" s="783" t="str">
        <f t="shared" si="108"/>
        <v>Renewal (20% in 2020)</v>
      </c>
      <c r="H2072" s="783" t="s">
        <v>4521</v>
      </c>
      <c r="I2072" s="783" t="s">
        <v>4522</v>
      </c>
      <c r="J2072" s="783">
        <v>20</v>
      </c>
      <c r="K2072" s="783" t="s">
        <v>910</v>
      </c>
      <c r="L2072" s="783" t="s">
        <v>4014</v>
      </c>
      <c r="M2072" s="784">
        <v>24323.599999999999</v>
      </c>
      <c r="N2072" s="784">
        <v>17</v>
      </c>
      <c r="O2072" s="784">
        <v>10.220000000000001</v>
      </c>
      <c r="P2072" s="783">
        <v>140</v>
      </c>
      <c r="Q2072" s="783">
        <v>1464.28</v>
      </c>
      <c r="R2072" s="783">
        <v>863.49</v>
      </c>
      <c r="S2072" s="783">
        <v>162.97</v>
      </c>
      <c r="T2072" s="783">
        <v>437.82</v>
      </c>
      <c r="U2072" s="785">
        <v>44631.512025463002</v>
      </c>
    </row>
    <row r="2073" spans="1:21">
      <c r="A2073" s="782">
        <v>44581</v>
      </c>
      <c r="B2073" s="783" t="s">
        <v>74</v>
      </c>
      <c r="C2073" s="783" t="s">
        <v>4037</v>
      </c>
      <c r="D2073" s="783" t="s">
        <v>4038</v>
      </c>
      <c r="E2073" s="783" t="s">
        <v>4278</v>
      </c>
      <c r="F2073" s="783" t="s">
        <v>4011</v>
      </c>
      <c r="G2073" s="783" t="s">
        <v>4028</v>
      </c>
      <c r="H2073" s="783" t="s">
        <v>4279</v>
      </c>
      <c r="I2073" s="783" t="s">
        <v>4280</v>
      </c>
      <c r="J2073" s="783">
        <v>25</v>
      </c>
      <c r="K2073" s="783" t="s">
        <v>910</v>
      </c>
      <c r="L2073" s="783" t="s">
        <v>4014</v>
      </c>
      <c r="M2073" s="784">
        <v>34668</v>
      </c>
      <c r="N2073" s="784">
        <v>20</v>
      </c>
      <c r="O2073" s="784">
        <v>9.6300000000000008</v>
      </c>
      <c r="P2073" s="783">
        <v>180</v>
      </c>
      <c r="Q2073" s="783">
        <v>2485.6999999999998</v>
      </c>
      <c r="R2073" s="783">
        <v>1519.42</v>
      </c>
      <c r="S2073" s="783">
        <v>456.65</v>
      </c>
      <c r="T2073" s="783">
        <v>509.62</v>
      </c>
      <c r="U2073" s="785">
        <v>44631.516180555598</v>
      </c>
    </row>
    <row r="2074" spans="1:21">
      <c r="A2074" s="782">
        <v>44690</v>
      </c>
      <c r="B2074" s="783" t="s">
        <v>41</v>
      </c>
      <c r="C2074" s="783" t="s">
        <v>4071</v>
      </c>
      <c r="D2074" s="783" t="s">
        <v>4009</v>
      </c>
      <c r="E2074" s="783" t="s">
        <v>4887</v>
      </c>
      <c r="F2074" s="783" t="s">
        <v>4011</v>
      </c>
      <c r="G2074" s="783" t="str">
        <f>VLOOKUP(I2074,pacage,2,FALSE)</f>
        <v>Renewal (15% in 2020)</v>
      </c>
      <c r="H2074" s="783" t="s">
        <v>4888</v>
      </c>
      <c r="I2074" s="783" t="s">
        <v>4889</v>
      </c>
      <c r="J2074" s="783">
        <v>15</v>
      </c>
      <c r="K2074" s="783" t="s">
        <v>910</v>
      </c>
      <c r="L2074" s="783" t="s">
        <v>4014</v>
      </c>
      <c r="M2074" s="784">
        <v>79487.100000000006</v>
      </c>
      <c r="N2074" s="784">
        <v>38.5</v>
      </c>
      <c r="O2074" s="784">
        <v>11.47</v>
      </c>
      <c r="P2074" s="783">
        <v>180</v>
      </c>
      <c r="Q2074" s="783">
        <v>8099.74</v>
      </c>
      <c r="R2074" s="783">
        <v>3263.34</v>
      </c>
      <c r="S2074" s="783">
        <v>973.32</v>
      </c>
      <c r="T2074" s="783">
        <v>3863.07</v>
      </c>
      <c r="U2074" s="785">
        <v>44691.505821759303</v>
      </c>
    </row>
    <row r="2075" spans="1:21">
      <c r="A2075" s="782">
        <v>44697</v>
      </c>
      <c r="B2075" s="783" t="s">
        <v>41</v>
      </c>
      <c r="C2075" s="783" t="s">
        <v>4139</v>
      </c>
      <c r="D2075" s="783" t="s">
        <v>4009</v>
      </c>
      <c r="E2075" s="783" t="s">
        <v>4532</v>
      </c>
      <c r="F2075" s="783" t="s">
        <v>4011</v>
      </c>
      <c r="G2075" s="783" t="str">
        <f>VLOOKUP(I2075,pacage,2,FALSE)</f>
        <v>Renewal (15% in 2020)</v>
      </c>
      <c r="H2075" s="783" t="s">
        <v>4533</v>
      </c>
      <c r="I2075" s="783" t="s">
        <v>4534</v>
      </c>
      <c r="J2075" s="783">
        <v>15</v>
      </c>
      <c r="K2075" s="783" t="s">
        <v>910</v>
      </c>
      <c r="L2075" s="783" t="s">
        <v>4014</v>
      </c>
      <c r="M2075" s="784">
        <v>58803.8</v>
      </c>
      <c r="N2075" s="784">
        <v>31.65</v>
      </c>
      <c r="O2075" s="784">
        <v>11.54</v>
      </c>
      <c r="P2075" s="783">
        <v>161</v>
      </c>
      <c r="Q2075" s="783">
        <v>4698.42</v>
      </c>
      <c r="R2075" s="783">
        <v>2122.8200000000002</v>
      </c>
      <c r="S2075" s="783">
        <v>346.94</v>
      </c>
      <c r="T2075" s="783">
        <v>2228.66</v>
      </c>
      <c r="U2075" s="785">
        <v>44708.603842592602</v>
      </c>
    </row>
    <row r="2076" spans="1:21">
      <c r="A2076" s="782">
        <v>44693</v>
      </c>
      <c r="B2076" s="783" t="s">
        <v>397</v>
      </c>
      <c r="C2076" s="783" t="s">
        <v>4020</v>
      </c>
      <c r="D2076" s="783" t="s">
        <v>4021</v>
      </c>
      <c r="E2076" s="783" t="s">
        <v>3774</v>
      </c>
      <c r="F2076" s="783" t="s">
        <v>4011</v>
      </c>
      <c r="G2076" s="783" t="s">
        <v>4028</v>
      </c>
      <c r="H2076" s="783" t="s">
        <v>4920</v>
      </c>
      <c r="I2076" s="783" t="s">
        <v>4921</v>
      </c>
      <c r="J2076" s="783">
        <v>30</v>
      </c>
      <c r="K2076" s="783" t="s">
        <v>910</v>
      </c>
      <c r="L2076" s="783" t="s">
        <v>4014</v>
      </c>
      <c r="M2076" s="784">
        <v>332129.13</v>
      </c>
      <c r="N2076" s="784">
        <v>143.49</v>
      </c>
      <c r="O2076" s="784">
        <v>11.87</v>
      </c>
      <c r="P2076" s="783">
        <v>195</v>
      </c>
      <c r="Q2076" s="783">
        <v>11890.22</v>
      </c>
      <c r="R2076" s="783">
        <v>8391.11</v>
      </c>
      <c r="S2076" s="783">
        <v>1772.04</v>
      </c>
      <c r="T2076" s="783">
        <v>1727.07</v>
      </c>
      <c r="U2076" s="785">
        <v>44694.506215277797</v>
      </c>
    </row>
    <row r="2077" spans="1:21">
      <c r="A2077" s="782">
        <v>44690</v>
      </c>
      <c r="B2077" s="783" t="s">
        <v>41</v>
      </c>
      <c r="C2077" s="783" t="s">
        <v>4082</v>
      </c>
      <c r="D2077" s="783" t="s">
        <v>4009</v>
      </c>
      <c r="E2077" s="783" t="s">
        <v>635</v>
      </c>
      <c r="F2077" s="783" t="s">
        <v>4011</v>
      </c>
      <c r="G2077" s="783" t="str">
        <f>VLOOKUP(I2077,pacage,2,FALSE)</f>
        <v>Renewal (20% in 2020)</v>
      </c>
      <c r="H2077" s="783" t="s">
        <v>4538</v>
      </c>
      <c r="I2077" s="783" t="s">
        <v>4539</v>
      </c>
      <c r="J2077" s="783">
        <v>20</v>
      </c>
      <c r="K2077" s="783" t="s">
        <v>910</v>
      </c>
      <c r="L2077" s="783" t="s">
        <v>4014</v>
      </c>
      <c r="M2077" s="784">
        <v>104500.94</v>
      </c>
      <c r="N2077" s="784">
        <v>56.7</v>
      </c>
      <c r="O2077" s="784">
        <v>11.17</v>
      </c>
      <c r="P2077" s="783">
        <v>165</v>
      </c>
      <c r="Q2077" s="783">
        <v>6290.96</v>
      </c>
      <c r="R2077" s="783">
        <v>3619.85</v>
      </c>
      <c r="S2077" s="783">
        <v>790.09</v>
      </c>
      <c r="T2077" s="783">
        <v>1881.02</v>
      </c>
      <c r="U2077" s="785">
        <v>44690.674062500002</v>
      </c>
    </row>
    <row r="2078" spans="1:21">
      <c r="A2078" s="782">
        <v>44694</v>
      </c>
      <c r="B2078" s="783" t="s">
        <v>2866</v>
      </c>
      <c r="C2078" s="783" t="s">
        <v>4414</v>
      </c>
      <c r="D2078" s="783" t="s">
        <v>4009</v>
      </c>
      <c r="E2078" s="783" t="s">
        <v>4940</v>
      </c>
      <c r="F2078" s="783" t="s">
        <v>4066</v>
      </c>
      <c r="G2078" s="783" t="s">
        <v>4028</v>
      </c>
      <c r="H2078" s="783" t="s">
        <v>4941</v>
      </c>
      <c r="I2078" s="783" t="s">
        <v>4942</v>
      </c>
      <c r="J2078" s="783">
        <v>10</v>
      </c>
      <c r="K2078" s="783" t="s">
        <v>910</v>
      </c>
      <c r="L2078" s="783" t="s">
        <v>4014</v>
      </c>
      <c r="M2078" s="784">
        <v>14490</v>
      </c>
      <c r="N2078" s="784">
        <v>9</v>
      </c>
      <c r="O2078" s="784">
        <v>10</v>
      </c>
      <c r="P2078" s="783">
        <v>161</v>
      </c>
      <c r="Q2078" s="783">
        <v>418.76</v>
      </c>
      <c r="R2078" s="783">
        <v>0</v>
      </c>
      <c r="S2078" s="783">
        <v>0</v>
      </c>
      <c r="T2078" s="783">
        <v>418.76</v>
      </c>
      <c r="U2078" s="785">
        <v>44694.520810185197</v>
      </c>
    </row>
    <row r="2079" spans="1:21">
      <c r="A2079" s="782">
        <v>44693</v>
      </c>
      <c r="B2079" s="783" t="s">
        <v>41</v>
      </c>
      <c r="C2079" s="783" t="s">
        <v>4071</v>
      </c>
      <c r="D2079" s="783" t="s">
        <v>4009</v>
      </c>
      <c r="E2079" s="783" t="s">
        <v>4949</v>
      </c>
      <c r="F2079" s="783" t="s">
        <v>4011</v>
      </c>
      <c r="G2079" s="783" t="str">
        <f t="shared" ref="G2079:G2084" si="109">VLOOKUP(I2079,pacage,2,FALSE)</f>
        <v>Renewal (30% in 2020)</v>
      </c>
      <c r="H2079" s="783" t="s">
        <v>4950</v>
      </c>
      <c r="I2079" s="783" t="s">
        <v>4951</v>
      </c>
      <c r="J2079" s="783">
        <v>30</v>
      </c>
      <c r="K2079" s="783" t="s">
        <v>910</v>
      </c>
      <c r="L2079" s="783" t="s">
        <v>4014</v>
      </c>
      <c r="M2079" s="784">
        <v>10125.120000000001</v>
      </c>
      <c r="N2079" s="784">
        <v>6.37</v>
      </c>
      <c r="O2079" s="784">
        <v>9.35</v>
      </c>
      <c r="P2079" s="783">
        <v>170</v>
      </c>
      <c r="Q2079" s="783">
        <v>515.37</v>
      </c>
      <c r="R2079" s="783">
        <v>440.14</v>
      </c>
      <c r="S2079" s="783">
        <v>24.6</v>
      </c>
      <c r="T2079" s="783">
        <v>50.63</v>
      </c>
      <c r="U2079" s="785">
        <v>44693.696516203701</v>
      </c>
    </row>
    <row r="2080" spans="1:21">
      <c r="A2080" s="782">
        <v>44692</v>
      </c>
      <c r="B2080" s="783" t="s">
        <v>34</v>
      </c>
      <c r="C2080" s="783" t="s">
        <v>4082</v>
      </c>
      <c r="D2080" s="783" t="s">
        <v>4009</v>
      </c>
      <c r="E2080" s="783" t="s">
        <v>4970</v>
      </c>
      <c r="F2080" s="783" t="s">
        <v>4011</v>
      </c>
      <c r="G2080" s="783" t="str">
        <f t="shared" si="109"/>
        <v>Renewal (25% in 2020)</v>
      </c>
      <c r="H2080" s="783" t="s">
        <v>4971</v>
      </c>
      <c r="I2080" s="783" t="s">
        <v>4972</v>
      </c>
      <c r="J2080" s="783">
        <v>25</v>
      </c>
      <c r="K2080" s="783" t="s">
        <v>910</v>
      </c>
      <c r="L2080" s="783" t="s">
        <v>4014</v>
      </c>
      <c r="M2080" s="784">
        <v>42129.35</v>
      </c>
      <c r="N2080" s="784">
        <v>25.01</v>
      </c>
      <c r="O2080" s="784">
        <v>11.23</v>
      </c>
      <c r="P2080" s="783">
        <v>150</v>
      </c>
      <c r="Q2080" s="783">
        <v>1946.38</v>
      </c>
      <c r="R2080" s="783">
        <v>1495.59</v>
      </c>
      <c r="S2080" s="783">
        <v>282.27</v>
      </c>
      <c r="T2080" s="783">
        <v>168.52</v>
      </c>
      <c r="U2080" s="785">
        <v>44692.477835648097</v>
      </c>
    </row>
    <row r="2081" spans="1:21">
      <c r="A2081" s="782">
        <v>44692</v>
      </c>
      <c r="B2081" s="783" t="s">
        <v>113</v>
      </c>
      <c r="C2081" s="783" t="s">
        <v>4606</v>
      </c>
      <c r="D2081" s="783" t="s">
        <v>4009</v>
      </c>
      <c r="E2081" s="783" t="s">
        <v>3632</v>
      </c>
      <c r="F2081" s="783" t="s">
        <v>4011</v>
      </c>
      <c r="G2081" s="783" t="str">
        <f t="shared" si="109"/>
        <v>Renewal (20% in 2020)</v>
      </c>
      <c r="H2081" s="783" t="s">
        <v>6701</v>
      </c>
      <c r="I2081" s="783" t="s">
        <v>6702</v>
      </c>
      <c r="J2081" s="783">
        <v>25</v>
      </c>
      <c r="K2081" s="783" t="s">
        <v>910</v>
      </c>
      <c r="L2081" s="783" t="s">
        <v>4014</v>
      </c>
      <c r="M2081" s="784">
        <v>47413.06</v>
      </c>
      <c r="N2081" s="784">
        <v>21.11</v>
      </c>
      <c r="O2081" s="784">
        <v>11.23</v>
      </c>
      <c r="P2081" s="783">
        <v>200</v>
      </c>
      <c r="Q2081" s="783">
        <v>2645.65</v>
      </c>
      <c r="R2081" s="783">
        <v>1412.2</v>
      </c>
      <c r="S2081" s="783">
        <v>626.55999999999995</v>
      </c>
      <c r="T2081" s="783">
        <v>606.89</v>
      </c>
      <c r="U2081" s="785">
        <v>44693.712407407402</v>
      </c>
    </row>
    <row r="2082" spans="1:21">
      <c r="A2082" s="782">
        <v>44446</v>
      </c>
      <c r="B2082" s="783" t="s">
        <v>41</v>
      </c>
      <c r="C2082" s="783" t="s">
        <v>4092</v>
      </c>
      <c r="D2082" s="783" t="s">
        <v>4009</v>
      </c>
      <c r="E2082" s="783" t="s">
        <v>4552</v>
      </c>
      <c r="F2082" s="783" t="s">
        <v>4011</v>
      </c>
      <c r="G2082" s="783" t="str">
        <f t="shared" si="109"/>
        <v>Renewal (20% in 2020)</v>
      </c>
      <c r="H2082" s="783" t="s">
        <v>4553</v>
      </c>
      <c r="I2082" s="783" t="s">
        <v>4554</v>
      </c>
      <c r="J2082" s="783">
        <v>20</v>
      </c>
      <c r="K2082" s="783" t="s">
        <v>910</v>
      </c>
      <c r="L2082" s="783" t="s">
        <v>4014</v>
      </c>
      <c r="M2082" s="784">
        <v>1793.6</v>
      </c>
      <c r="N2082" s="784">
        <v>1</v>
      </c>
      <c r="O2082" s="784">
        <v>11.21</v>
      </c>
      <c r="P2082" s="783">
        <v>160</v>
      </c>
      <c r="Q2082" s="783">
        <v>107.62</v>
      </c>
      <c r="R2082" s="783">
        <v>63.49</v>
      </c>
      <c r="S2082" s="783">
        <v>12.38</v>
      </c>
      <c r="T2082" s="783">
        <v>31.75</v>
      </c>
      <c r="U2082" s="785">
        <v>44631.630150463003</v>
      </c>
    </row>
    <row r="2083" spans="1:21">
      <c r="A2083" s="782">
        <v>44446</v>
      </c>
      <c r="B2083" s="783" t="s">
        <v>41</v>
      </c>
      <c r="C2083" s="783" t="s">
        <v>4082</v>
      </c>
      <c r="D2083" s="783" t="s">
        <v>4009</v>
      </c>
      <c r="E2083" s="783" t="s">
        <v>4552</v>
      </c>
      <c r="F2083" s="783" t="s">
        <v>4011</v>
      </c>
      <c r="G2083" s="783" t="str">
        <f t="shared" si="109"/>
        <v>Renewal (20% in 2020)</v>
      </c>
      <c r="H2083" s="783" t="s">
        <v>4553</v>
      </c>
      <c r="I2083" s="783" t="s">
        <v>4554</v>
      </c>
      <c r="J2083" s="783">
        <v>20</v>
      </c>
      <c r="K2083" s="783" t="s">
        <v>910</v>
      </c>
      <c r="L2083" s="783" t="s">
        <v>4014</v>
      </c>
      <c r="M2083" s="784">
        <v>1793.6</v>
      </c>
      <c r="N2083" s="784">
        <v>1</v>
      </c>
      <c r="O2083" s="784">
        <v>11.21</v>
      </c>
      <c r="P2083" s="783">
        <v>160</v>
      </c>
      <c r="Q2083" s="783">
        <v>107.97</v>
      </c>
      <c r="R2083" s="783">
        <v>63.67</v>
      </c>
      <c r="S2083" s="783">
        <v>12.02</v>
      </c>
      <c r="T2083" s="783">
        <v>32.28</v>
      </c>
      <c r="U2083" s="785">
        <v>44631.630150463003</v>
      </c>
    </row>
    <row r="2084" spans="1:21">
      <c r="A2084" s="782">
        <v>44475</v>
      </c>
      <c r="B2084" s="783" t="s">
        <v>971</v>
      </c>
      <c r="C2084" s="783" t="s">
        <v>4082</v>
      </c>
      <c r="D2084" s="783" t="s">
        <v>4009</v>
      </c>
      <c r="E2084" s="783" t="s">
        <v>6703</v>
      </c>
      <c r="F2084" s="783" t="s">
        <v>4011</v>
      </c>
      <c r="G2084" s="783" t="str">
        <f t="shared" si="109"/>
        <v>Renewal (20% in 2020)</v>
      </c>
      <c r="H2084" s="783" t="s">
        <v>6704</v>
      </c>
      <c r="I2084" s="783" t="s">
        <v>6705</v>
      </c>
      <c r="J2084" s="783">
        <v>20</v>
      </c>
      <c r="K2084" s="783" t="s">
        <v>910</v>
      </c>
      <c r="L2084" s="783" t="s">
        <v>4014</v>
      </c>
      <c r="M2084" s="784">
        <v>5977.92</v>
      </c>
      <c r="N2084" s="784">
        <v>4.79</v>
      </c>
      <c r="O2084" s="784">
        <v>9.6</v>
      </c>
      <c r="P2084" s="783">
        <v>130</v>
      </c>
      <c r="Q2084" s="783">
        <v>359.87</v>
      </c>
      <c r="R2084" s="783">
        <v>212.22</v>
      </c>
      <c r="S2084" s="783">
        <v>40.049999999999997</v>
      </c>
      <c r="T2084" s="783">
        <v>107.6</v>
      </c>
      <c r="U2084" s="785">
        <v>44631.5140972222</v>
      </c>
    </row>
    <row r="2085" spans="1:21">
      <c r="A2085" s="782">
        <v>44585</v>
      </c>
      <c r="B2085" s="783" t="s">
        <v>74</v>
      </c>
      <c r="C2085" s="783" t="s">
        <v>4097</v>
      </c>
      <c r="D2085" s="783" t="s">
        <v>4038</v>
      </c>
      <c r="E2085" s="783" t="s">
        <v>4281</v>
      </c>
      <c r="F2085" s="783" t="s">
        <v>4011</v>
      </c>
      <c r="G2085" s="783" t="s">
        <v>4028</v>
      </c>
      <c r="H2085" s="783" t="s">
        <v>4282</v>
      </c>
      <c r="I2085" s="783" t="s">
        <v>4283</v>
      </c>
      <c r="J2085" s="783">
        <v>25</v>
      </c>
      <c r="K2085" s="783" t="s">
        <v>910</v>
      </c>
      <c r="L2085" s="783" t="s">
        <v>4014</v>
      </c>
      <c r="M2085" s="784">
        <v>19349.55</v>
      </c>
      <c r="N2085" s="784">
        <v>13.5</v>
      </c>
      <c r="O2085" s="784">
        <v>13.03</v>
      </c>
      <c r="P2085" s="783">
        <v>110</v>
      </c>
      <c r="Q2085" s="783">
        <v>940.39</v>
      </c>
      <c r="R2085" s="783">
        <v>675.3</v>
      </c>
      <c r="S2085" s="783">
        <v>108.36</v>
      </c>
      <c r="T2085" s="783">
        <v>156.72999999999999</v>
      </c>
      <c r="U2085" s="785">
        <v>44631.633437500001</v>
      </c>
    </row>
    <row r="2086" spans="1:21">
      <c r="A2086" s="782">
        <v>44588</v>
      </c>
      <c r="B2086" s="783" t="s">
        <v>74</v>
      </c>
      <c r="C2086" s="783" t="s">
        <v>6308</v>
      </c>
      <c r="D2086" s="783" t="s">
        <v>4038</v>
      </c>
      <c r="E2086" s="783" t="s">
        <v>2504</v>
      </c>
      <c r="F2086" s="783" t="s">
        <v>4011</v>
      </c>
      <c r="G2086" s="783" t="str">
        <f>VLOOKUP(I2086,pacage,2,FALSE)</f>
        <v>Renewal (15% in 2020)</v>
      </c>
      <c r="H2086" s="783" t="s">
        <v>5027</v>
      </c>
      <c r="I2086" s="783" t="s">
        <v>5028</v>
      </c>
      <c r="J2086" s="783">
        <v>15</v>
      </c>
      <c r="K2086" s="783" t="s">
        <v>910</v>
      </c>
      <c r="L2086" s="783" t="s">
        <v>4014</v>
      </c>
      <c r="M2086" s="784">
        <v>81360</v>
      </c>
      <c r="N2086" s="784">
        <v>40</v>
      </c>
      <c r="O2086" s="784">
        <v>10.17</v>
      </c>
      <c r="P2086" s="783">
        <v>200</v>
      </c>
      <c r="Q2086" s="783">
        <v>7924.46</v>
      </c>
      <c r="R2086" s="783">
        <v>2613.2399999999998</v>
      </c>
      <c r="S2086" s="783">
        <v>1161.8599999999999</v>
      </c>
      <c r="T2086" s="783">
        <v>4149.3599999999997</v>
      </c>
      <c r="U2086" s="785">
        <v>44631.636319444398</v>
      </c>
    </row>
    <row r="2087" spans="1:21">
      <c r="A2087" s="782">
        <v>44638</v>
      </c>
      <c r="B2087" s="783" t="s">
        <v>74</v>
      </c>
      <c r="C2087" s="783" t="s">
        <v>4097</v>
      </c>
      <c r="D2087" s="783" t="s">
        <v>4038</v>
      </c>
      <c r="E2087" s="783" t="s">
        <v>4555</v>
      </c>
      <c r="F2087" s="783" t="s">
        <v>4066</v>
      </c>
      <c r="G2087" s="783" t="s">
        <v>4028</v>
      </c>
      <c r="H2087" s="783" t="s">
        <v>4556</v>
      </c>
      <c r="I2087" s="783" t="s">
        <v>4557</v>
      </c>
      <c r="J2087" s="783">
        <v>10</v>
      </c>
      <c r="K2087" s="783" t="s">
        <v>910</v>
      </c>
      <c r="L2087" s="783" t="s">
        <v>4014</v>
      </c>
      <c r="M2087" s="784">
        <v>238680</v>
      </c>
      <c r="N2087" s="784">
        <v>120</v>
      </c>
      <c r="O2087" s="784">
        <v>13</v>
      </c>
      <c r="P2087" s="783">
        <v>153</v>
      </c>
      <c r="Q2087" s="783">
        <v>5799.92</v>
      </c>
      <c r="R2087" s="783">
        <v>0</v>
      </c>
      <c r="S2087" s="783">
        <v>0</v>
      </c>
      <c r="T2087" s="783">
        <v>5799.92</v>
      </c>
      <c r="U2087" s="785">
        <v>44641.407685185201</v>
      </c>
    </row>
    <row r="2088" spans="1:21">
      <c r="A2088" s="782">
        <v>44594</v>
      </c>
      <c r="B2088" s="783" t="s">
        <v>228</v>
      </c>
      <c r="C2088" s="783" t="s">
        <v>4417</v>
      </c>
      <c r="D2088" s="783" t="s">
        <v>4193</v>
      </c>
      <c r="E2088" s="783" t="s">
        <v>5032</v>
      </c>
      <c r="F2088" s="783" t="s">
        <v>4011</v>
      </c>
      <c r="G2088" s="783" t="s">
        <v>4028</v>
      </c>
      <c r="H2088" s="783" t="s">
        <v>5033</v>
      </c>
      <c r="I2088" s="783" t="s">
        <v>5034</v>
      </c>
      <c r="J2088" s="783">
        <v>25</v>
      </c>
      <c r="K2088" s="783" t="s">
        <v>910</v>
      </c>
      <c r="L2088" s="783" t="s">
        <v>4014</v>
      </c>
      <c r="M2088" s="784">
        <v>21652.400000000001</v>
      </c>
      <c r="N2088" s="784">
        <v>10</v>
      </c>
      <c r="O2088" s="784">
        <v>10.36</v>
      </c>
      <c r="P2088" s="783">
        <v>209</v>
      </c>
      <c r="Q2088" s="783">
        <v>1060.97</v>
      </c>
      <c r="R2088" s="783">
        <v>633.82000000000005</v>
      </c>
      <c r="S2088" s="783">
        <v>318.88</v>
      </c>
      <c r="T2088" s="783">
        <v>108.26</v>
      </c>
      <c r="U2088" s="785">
        <v>44631.629421296297</v>
      </c>
    </row>
    <row r="2089" spans="1:21">
      <c r="A2089" s="782">
        <v>44592</v>
      </c>
      <c r="B2089" s="783" t="s">
        <v>41</v>
      </c>
      <c r="C2089" s="783" t="s">
        <v>4082</v>
      </c>
      <c r="D2089" s="783" t="s">
        <v>4009</v>
      </c>
      <c r="E2089" s="783" t="s">
        <v>4558</v>
      </c>
      <c r="F2089" s="783" t="s">
        <v>4011</v>
      </c>
      <c r="G2089" s="783" t="s">
        <v>4028</v>
      </c>
      <c r="H2089" s="783" t="s">
        <v>4559</v>
      </c>
      <c r="I2089" s="783" t="s">
        <v>4560</v>
      </c>
      <c r="J2089" s="783">
        <v>25</v>
      </c>
      <c r="K2089" s="783" t="s">
        <v>910</v>
      </c>
      <c r="L2089" s="783" t="s">
        <v>4014</v>
      </c>
      <c r="M2089" s="784">
        <v>24262.7</v>
      </c>
      <c r="N2089" s="784">
        <v>13.7</v>
      </c>
      <c r="O2089" s="784">
        <v>11</v>
      </c>
      <c r="P2089" s="783">
        <v>161</v>
      </c>
      <c r="Q2089" s="783">
        <v>1120.94</v>
      </c>
      <c r="R2089" s="783">
        <v>861.33</v>
      </c>
      <c r="S2089" s="783">
        <v>162.56</v>
      </c>
      <c r="T2089" s="783">
        <v>97.05</v>
      </c>
      <c r="U2089" s="785">
        <v>44631.629444444399</v>
      </c>
    </row>
    <row r="2090" spans="1:21">
      <c r="A2090" s="782">
        <v>44601</v>
      </c>
      <c r="B2090" s="783" t="s">
        <v>113</v>
      </c>
      <c r="C2090" s="783" t="s">
        <v>4097</v>
      </c>
      <c r="D2090" s="783" t="s">
        <v>4038</v>
      </c>
      <c r="E2090" s="783" t="s">
        <v>5044</v>
      </c>
      <c r="F2090" s="783" t="s">
        <v>4066</v>
      </c>
      <c r="G2090" s="783" t="str">
        <f t="shared" ref="G2090:G2107" si="110">VLOOKUP(I2090,pacage,2,FALSE)</f>
        <v>Renewal (15% in 2020)</v>
      </c>
      <c r="H2090" s="783" t="s">
        <v>5045</v>
      </c>
      <c r="I2090" s="783" t="s">
        <v>5046</v>
      </c>
      <c r="J2090" s="783">
        <v>5</v>
      </c>
      <c r="K2090" s="783" t="s">
        <v>910</v>
      </c>
      <c r="L2090" s="783" t="s">
        <v>4014</v>
      </c>
      <c r="M2090" s="784">
        <v>59380.2</v>
      </c>
      <c r="N2090" s="784">
        <v>29.99</v>
      </c>
      <c r="O2090" s="784">
        <v>11</v>
      </c>
      <c r="P2090" s="783">
        <v>180</v>
      </c>
      <c r="Q2090" s="783">
        <v>2695.86</v>
      </c>
      <c r="R2090" s="783">
        <v>0</v>
      </c>
      <c r="S2090" s="783">
        <v>0</v>
      </c>
      <c r="T2090" s="783">
        <v>2695.86</v>
      </c>
      <c r="U2090" s="785">
        <v>44631.626388888901</v>
      </c>
    </row>
    <row r="2091" spans="1:21">
      <c r="A2091" s="782">
        <v>44636</v>
      </c>
      <c r="B2091" s="783" t="s">
        <v>113</v>
      </c>
      <c r="C2091" s="783" t="s">
        <v>4606</v>
      </c>
      <c r="D2091" s="783" t="s">
        <v>4009</v>
      </c>
      <c r="E2091" s="783" t="s">
        <v>6706</v>
      </c>
      <c r="F2091" s="783" t="s">
        <v>4011</v>
      </c>
      <c r="G2091" s="783" t="str">
        <f t="shared" si="110"/>
        <v>Renewal (15% in 2020)</v>
      </c>
      <c r="H2091" s="783" t="s">
        <v>6707</v>
      </c>
      <c r="I2091" s="783" t="s">
        <v>6708</v>
      </c>
      <c r="J2091" s="783">
        <v>15</v>
      </c>
      <c r="K2091" s="783" t="s">
        <v>910</v>
      </c>
      <c r="L2091" s="783" t="s">
        <v>4014</v>
      </c>
      <c r="M2091" s="784">
        <v>25300</v>
      </c>
      <c r="N2091" s="784">
        <v>11</v>
      </c>
      <c r="O2091" s="784">
        <v>11.5</v>
      </c>
      <c r="P2091" s="783">
        <v>200</v>
      </c>
      <c r="Q2091" s="783">
        <v>2256.7600000000002</v>
      </c>
      <c r="R2091" s="783">
        <v>753.56</v>
      </c>
      <c r="S2091" s="783">
        <v>334.34</v>
      </c>
      <c r="T2091" s="783">
        <v>1168.8599999999999</v>
      </c>
      <c r="U2091" s="785">
        <v>44637.371863425898</v>
      </c>
    </row>
    <row r="2092" spans="1:21">
      <c r="A2092" s="782">
        <v>44656</v>
      </c>
      <c r="B2092" s="783" t="s">
        <v>41</v>
      </c>
      <c r="C2092" s="783" t="s">
        <v>4071</v>
      </c>
      <c r="D2092" s="783" t="s">
        <v>4009</v>
      </c>
      <c r="E2092" s="783" t="s">
        <v>4287</v>
      </c>
      <c r="F2092" s="783" t="s">
        <v>4011</v>
      </c>
      <c r="G2092" s="783" t="str">
        <f t="shared" si="110"/>
        <v>Renewal (15% in 2020)</v>
      </c>
      <c r="H2092" s="783" t="s">
        <v>4288</v>
      </c>
      <c r="I2092" s="783" t="s">
        <v>4289</v>
      </c>
      <c r="J2092" s="783">
        <v>30</v>
      </c>
      <c r="K2092" s="783" t="s">
        <v>910</v>
      </c>
      <c r="L2092" s="783" t="s">
        <v>4014</v>
      </c>
      <c r="M2092" s="784">
        <v>37050.839999999997</v>
      </c>
      <c r="N2092" s="784">
        <v>20.38</v>
      </c>
      <c r="O2092" s="784">
        <v>10.1</v>
      </c>
      <c r="P2092" s="783">
        <v>180</v>
      </c>
      <c r="Q2092" s="783">
        <v>1885.89</v>
      </c>
      <c r="R2092" s="783">
        <v>1521.12</v>
      </c>
      <c r="S2092" s="783">
        <v>179.51</v>
      </c>
      <c r="T2092" s="783">
        <v>185.25</v>
      </c>
      <c r="U2092" s="785">
        <v>44657.630127314798</v>
      </c>
    </row>
    <row r="2093" spans="1:21">
      <c r="A2093" s="782">
        <v>44699</v>
      </c>
      <c r="B2093" s="783" t="s">
        <v>113</v>
      </c>
      <c r="C2093" s="783" t="s">
        <v>4606</v>
      </c>
      <c r="D2093" s="783" t="s">
        <v>4009</v>
      </c>
      <c r="E2093" s="783" t="s">
        <v>159</v>
      </c>
      <c r="F2093" s="783" t="s">
        <v>4011</v>
      </c>
      <c r="G2093" s="783" t="str">
        <f t="shared" si="110"/>
        <v>Renewal (15% in 2020)</v>
      </c>
      <c r="H2093" s="783" t="s">
        <v>5055</v>
      </c>
      <c r="I2093" s="783" t="s">
        <v>5056</v>
      </c>
      <c r="J2093" s="783">
        <v>15</v>
      </c>
      <c r="K2093" s="783" t="s">
        <v>910</v>
      </c>
      <c r="L2093" s="783" t="s">
        <v>4014</v>
      </c>
      <c r="M2093" s="784">
        <v>16429.14</v>
      </c>
      <c r="N2093" s="784">
        <v>8.19</v>
      </c>
      <c r="O2093" s="784">
        <v>11.8</v>
      </c>
      <c r="P2093" s="783">
        <v>170</v>
      </c>
      <c r="Q2093" s="783">
        <v>1465.48</v>
      </c>
      <c r="R2093" s="783">
        <v>575.70000000000005</v>
      </c>
      <c r="S2093" s="783">
        <v>130.76</v>
      </c>
      <c r="T2093" s="783">
        <v>759.03</v>
      </c>
      <c r="U2093" s="785">
        <v>44700.505393518499</v>
      </c>
    </row>
    <row r="2094" spans="1:21">
      <c r="A2094" s="782">
        <v>44701</v>
      </c>
      <c r="B2094" s="783" t="s">
        <v>41</v>
      </c>
      <c r="C2094" s="783" t="s">
        <v>4071</v>
      </c>
      <c r="D2094" s="783" t="s">
        <v>4009</v>
      </c>
      <c r="E2094" s="783" t="s">
        <v>5072</v>
      </c>
      <c r="F2094" s="783" t="s">
        <v>4011</v>
      </c>
      <c r="G2094" s="783" t="str">
        <f t="shared" si="110"/>
        <v>Renewal (25% in 2020)</v>
      </c>
      <c r="H2094" s="783" t="s">
        <v>5073</v>
      </c>
      <c r="I2094" s="783" t="s">
        <v>5074</v>
      </c>
      <c r="J2094" s="783">
        <v>25</v>
      </c>
      <c r="K2094" s="783" t="s">
        <v>910</v>
      </c>
      <c r="L2094" s="783" t="s">
        <v>4014</v>
      </c>
      <c r="M2094" s="784">
        <v>41644.81</v>
      </c>
      <c r="N2094" s="784">
        <v>29.67</v>
      </c>
      <c r="O2094" s="784">
        <v>9.68</v>
      </c>
      <c r="P2094" s="783">
        <v>145</v>
      </c>
      <c r="Q2094" s="783">
        <v>2427.89</v>
      </c>
      <c r="R2094" s="783">
        <v>1911.5</v>
      </c>
      <c r="S2094" s="783">
        <v>308.17</v>
      </c>
      <c r="T2094" s="783">
        <v>208.22</v>
      </c>
      <c r="U2094" s="785">
        <v>44701.569374999999</v>
      </c>
    </row>
    <row r="2095" spans="1:21">
      <c r="A2095" s="782">
        <v>44704</v>
      </c>
      <c r="B2095" s="783" t="s">
        <v>228</v>
      </c>
      <c r="C2095" s="783" t="s">
        <v>4582</v>
      </c>
      <c r="D2095" s="783" t="s">
        <v>4193</v>
      </c>
      <c r="E2095" s="783" t="s">
        <v>5087</v>
      </c>
      <c r="F2095" s="783" t="s">
        <v>4011</v>
      </c>
      <c r="G2095" s="783" t="str">
        <f t="shared" si="110"/>
        <v>Renewal (25% in 2020)</v>
      </c>
      <c r="H2095" s="783" t="s">
        <v>5088</v>
      </c>
      <c r="I2095" s="783" t="s">
        <v>5089</v>
      </c>
      <c r="J2095" s="783">
        <v>25</v>
      </c>
      <c r="K2095" s="783" t="s">
        <v>910</v>
      </c>
      <c r="L2095" s="783" t="s">
        <v>4014</v>
      </c>
      <c r="M2095" s="784">
        <v>75200.94</v>
      </c>
      <c r="N2095" s="784">
        <v>29.63</v>
      </c>
      <c r="O2095" s="784">
        <v>12.69</v>
      </c>
      <c r="P2095" s="783">
        <v>200</v>
      </c>
      <c r="Q2095" s="783">
        <v>3835.25</v>
      </c>
      <c r="R2095" s="783">
        <v>2415.42</v>
      </c>
      <c r="S2095" s="783">
        <v>1058.8699999999999</v>
      </c>
      <c r="T2095" s="783">
        <v>360.96</v>
      </c>
      <c r="U2095" s="785">
        <v>44708.951261574097</v>
      </c>
    </row>
    <row r="2096" spans="1:21">
      <c r="A2096" s="782">
        <v>44706</v>
      </c>
      <c r="B2096" s="783" t="s">
        <v>41</v>
      </c>
      <c r="C2096" s="783" t="s">
        <v>4139</v>
      </c>
      <c r="D2096" s="783" t="s">
        <v>4009</v>
      </c>
      <c r="E2096" s="783" t="s">
        <v>5093</v>
      </c>
      <c r="F2096" s="783" t="s">
        <v>4011</v>
      </c>
      <c r="G2096" s="783" t="str">
        <f t="shared" si="110"/>
        <v>Renewal (15% in 2020)</v>
      </c>
      <c r="H2096" s="783" t="s">
        <v>5094</v>
      </c>
      <c r="I2096" s="783" t="s">
        <v>5095</v>
      </c>
      <c r="J2096" s="783">
        <v>25</v>
      </c>
      <c r="K2096" s="783" t="s">
        <v>910</v>
      </c>
      <c r="L2096" s="783" t="s">
        <v>4014</v>
      </c>
      <c r="M2096" s="784">
        <v>145694.39999999999</v>
      </c>
      <c r="N2096" s="784">
        <v>57.36</v>
      </c>
      <c r="O2096" s="784">
        <v>12.7</v>
      </c>
      <c r="P2096" s="783">
        <v>200</v>
      </c>
      <c r="Q2096" s="783">
        <v>6658.23</v>
      </c>
      <c r="R2096" s="783">
        <v>4233.95</v>
      </c>
      <c r="S2096" s="783">
        <v>1885.21</v>
      </c>
      <c r="T2096" s="783">
        <v>539.07000000000005</v>
      </c>
      <c r="U2096" s="785">
        <v>44708.575486111098</v>
      </c>
    </row>
    <row r="2097" spans="1:21">
      <c r="A2097" s="782">
        <v>44685</v>
      </c>
      <c r="B2097" s="783" t="s">
        <v>41</v>
      </c>
      <c r="C2097" s="783" t="s">
        <v>4139</v>
      </c>
      <c r="D2097" s="783" t="s">
        <v>4009</v>
      </c>
      <c r="E2097" s="783" t="s">
        <v>4563</v>
      </c>
      <c r="F2097" s="783" t="s">
        <v>4011</v>
      </c>
      <c r="G2097" s="783" t="str">
        <f t="shared" si="110"/>
        <v>Renewal (30% in 2020)</v>
      </c>
      <c r="H2097" s="783" t="s">
        <v>4564</v>
      </c>
      <c r="I2097" s="783" t="s">
        <v>4565</v>
      </c>
      <c r="J2097" s="783">
        <v>30</v>
      </c>
      <c r="K2097" s="783" t="s">
        <v>910</v>
      </c>
      <c r="L2097" s="783" t="s">
        <v>4014</v>
      </c>
      <c r="M2097" s="784">
        <v>26591.46</v>
      </c>
      <c r="N2097" s="784">
        <v>13.69</v>
      </c>
      <c r="O2097" s="784">
        <v>12.14</v>
      </c>
      <c r="P2097" s="783">
        <v>160</v>
      </c>
      <c r="Q2097" s="783">
        <v>1058.3399999999999</v>
      </c>
      <c r="R2097" s="783">
        <v>959.95</v>
      </c>
      <c r="S2097" s="783">
        <v>0</v>
      </c>
      <c r="T2097" s="783">
        <v>98.39</v>
      </c>
      <c r="U2097" s="785">
        <v>44685.417777777802</v>
      </c>
    </row>
    <row r="2098" spans="1:21">
      <c r="A2098" s="782">
        <v>44687</v>
      </c>
      <c r="B2098" s="783" t="s">
        <v>113</v>
      </c>
      <c r="C2098" s="783" t="s">
        <v>4606</v>
      </c>
      <c r="D2098" s="783" t="s">
        <v>4009</v>
      </c>
      <c r="E2098" s="783" t="s">
        <v>6559</v>
      </c>
      <c r="F2098" s="783" t="s">
        <v>4011</v>
      </c>
      <c r="G2098" s="783" t="str">
        <f t="shared" si="110"/>
        <v>Renewal (25% in 2020)</v>
      </c>
      <c r="H2098" s="783" t="s">
        <v>6560</v>
      </c>
      <c r="I2098" s="783" t="s">
        <v>6561</v>
      </c>
      <c r="J2098" s="783">
        <v>20</v>
      </c>
      <c r="K2098" s="783" t="s">
        <v>910</v>
      </c>
      <c r="L2098" s="783" t="s">
        <v>4014</v>
      </c>
      <c r="M2098" s="784">
        <v>170664.12</v>
      </c>
      <c r="N2098" s="784">
        <v>66.77</v>
      </c>
      <c r="O2098" s="784">
        <v>12.78</v>
      </c>
      <c r="P2098" s="783">
        <v>200</v>
      </c>
      <c r="Q2098" s="783">
        <v>11809.96</v>
      </c>
      <c r="R2098" s="783">
        <v>5083.2299999999996</v>
      </c>
      <c r="S2098" s="783">
        <v>2255.33</v>
      </c>
      <c r="T2098" s="783">
        <v>4471.3999999999996</v>
      </c>
      <c r="U2098" s="785">
        <v>44687.607939814799</v>
      </c>
    </row>
    <row r="2099" spans="1:21">
      <c r="A2099" s="782">
        <v>44686</v>
      </c>
      <c r="B2099" s="783" t="s">
        <v>41</v>
      </c>
      <c r="C2099" s="783" t="s">
        <v>4082</v>
      </c>
      <c r="D2099" s="783" t="s">
        <v>4009</v>
      </c>
      <c r="E2099" s="783" t="s">
        <v>4566</v>
      </c>
      <c r="F2099" s="783" t="s">
        <v>4011</v>
      </c>
      <c r="G2099" s="783" t="str">
        <f t="shared" si="110"/>
        <v>Renewal (25% in 2020)</v>
      </c>
      <c r="H2099" s="783" t="s">
        <v>4567</v>
      </c>
      <c r="I2099" s="783" t="s">
        <v>4568</v>
      </c>
      <c r="J2099" s="783">
        <v>25</v>
      </c>
      <c r="K2099" s="783" t="s">
        <v>910</v>
      </c>
      <c r="L2099" s="783" t="s">
        <v>4014</v>
      </c>
      <c r="M2099" s="784">
        <v>81527.070000000007</v>
      </c>
      <c r="N2099" s="784">
        <v>40.869999999999997</v>
      </c>
      <c r="O2099" s="784">
        <v>12.39</v>
      </c>
      <c r="P2099" s="783">
        <v>161</v>
      </c>
      <c r="Q2099" s="783">
        <v>3766.55</v>
      </c>
      <c r="R2099" s="783">
        <v>2894.21</v>
      </c>
      <c r="S2099" s="783">
        <v>546.23</v>
      </c>
      <c r="T2099" s="783">
        <v>326.11</v>
      </c>
      <c r="U2099" s="785">
        <v>44687.616493055597</v>
      </c>
    </row>
    <row r="2100" spans="1:21">
      <c r="A2100" s="782">
        <v>44690</v>
      </c>
      <c r="B2100" s="783" t="s">
        <v>41</v>
      </c>
      <c r="C2100" s="783" t="s">
        <v>4071</v>
      </c>
      <c r="D2100" s="783" t="s">
        <v>4009</v>
      </c>
      <c r="E2100" s="783" t="s">
        <v>1570</v>
      </c>
      <c r="F2100" s="783" t="s">
        <v>4011</v>
      </c>
      <c r="G2100" s="783" t="str">
        <f t="shared" si="110"/>
        <v>Renewal (30% in 2020)</v>
      </c>
      <c r="H2100" s="783" t="s">
        <v>5140</v>
      </c>
      <c r="I2100" s="783" t="s">
        <v>5141</v>
      </c>
      <c r="J2100" s="783">
        <v>30</v>
      </c>
      <c r="K2100" s="783" t="s">
        <v>910</v>
      </c>
      <c r="L2100" s="783" t="s">
        <v>4014</v>
      </c>
      <c r="M2100" s="784">
        <v>39106.54</v>
      </c>
      <c r="N2100" s="784">
        <v>16.39</v>
      </c>
      <c r="O2100" s="784">
        <v>11.93</v>
      </c>
      <c r="P2100" s="783">
        <v>200</v>
      </c>
      <c r="Q2100" s="783">
        <v>1990.52</v>
      </c>
      <c r="R2100" s="783">
        <v>1444.97</v>
      </c>
      <c r="S2100" s="783">
        <v>350.02</v>
      </c>
      <c r="T2100" s="783">
        <v>195.53</v>
      </c>
      <c r="U2100" s="785">
        <v>44691.507743055598</v>
      </c>
    </row>
    <row r="2101" spans="1:21">
      <c r="A2101" s="782">
        <v>44683</v>
      </c>
      <c r="B2101" s="783" t="s">
        <v>51</v>
      </c>
      <c r="C2101" s="783" t="s">
        <v>4042</v>
      </c>
      <c r="D2101" s="783" t="s">
        <v>4016</v>
      </c>
      <c r="E2101" s="783" t="s">
        <v>5154</v>
      </c>
      <c r="F2101" s="783" t="s">
        <v>4011</v>
      </c>
      <c r="G2101" s="783" t="str">
        <f t="shared" si="110"/>
        <v>New Contract</v>
      </c>
      <c r="H2101" s="783" t="s">
        <v>5155</v>
      </c>
      <c r="I2101" s="783" t="s">
        <v>5156</v>
      </c>
      <c r="J2101" s="783">
        <v>25</v>
      </c>
      <c r="K2101" s="783" t="s">
        <v>910</v>
      </c>
      <c r="L2101" s="783" t="s">
        <v>4014</v>
      </c>
      <c r="M2101" s="784">
        <v>58036.38</v>
      </c>
      <c r="N2101" s="784">
        <v>31.51</v>
      </c>
      <c r="O2101" s="784">
        <v>8.8000000000000007</v>
      </c>
      <c r="P2101" s="783">
        <v>209.3</v>
      </c>
      <c r="Q2101" s="783">
        <v>2681.28</v>
      </c>
      <c r="R2101" s="783">
        <v>1562.52</v>
      </c>
      <c r="S2101" s="783">
        <v>793.76</v>
      </c>
      <c r="T2101" s="783">
        <v>325</v>
      </c>
      <c r="U2101" s="785">
        <v>44684.405162037001</v>
      </c>
    </row>
    <row r="2102" spans="1:21">
      <c r="A2102" s="782">
        <v>44694</v>
      </c>
      <c r="B2102" s="783" t="s">
        <v>2866</v>
      </c>
      <c r="C2102" s="783" t="s">
        <v>4008</v>
      </c>
      <c r="D2102" s="783" t="s">
        <v>4009</v>
      </c>
      <c r="E2102" s="783" t="s">
        <v>5157</v>
      </c>
      <c r="F2102" s="783" t="s">
        <v>4011</v>
      </c>
      <c r="G2102" s="783" t="str">
        <f t="shared" si="110"/>
        <v>Renewal (15% in 2020)</v>
      </c>
      <c r="H2102" s="783" t="s">
        <v>5158</v>
      </c>
      <c r="I2102" s="783" t="s">
        <v>5159</v>
      </c>
      <c r="J2102" s="783">
        <v>15</v>
      </c>
      <c r="K2102" s="783" t="s">
        <v>910</v>
      </c>
      <c r="L2102" s="783" t="s">
        <v>4014</v>
      </c>
      <c r="M2102" s="784">
        <v>91676.58</v>
      </c>
      <c r="N2102" s="784">
        <v>52.87</v>
      </c>
      <c r="O2102" s="784">
        <v>8.67</v>
      </c>
      <c r="P2102" s="783">
        <v>200</v>
      </c>
      <c r="Q2102" s="783">
        <v>8232.56</v>
      </c>
      <c r="R2102" s="783">
        <v>2841.29</v>
      </c>
      <c r="S2102" s="783">
        <v>1265.82</v>
      </c>
      <c r="T2102" s="783">
        <v>4125.45</v>
      </c>
      <c r="U2102" s="785">
        <v>44694.529247685197</v>
      </c>
    </row>
    <row r="2103" spans="1:21">
      <c r="A2103" s="782">
        <v>44679</v>
      </c>
      <c r="B2103" s="783" t="s">
        <v>113</v>
      </c>
      <c r="C2103" s="783" t="s">
        <v>4606</v>
      </c>
      <c r="D2103" s="783" t="s">
        <v>4009</v>
      </c>
      <c r="E2103" s="783" t="s">
        <v>3600</v>
      </c>
      <c r="F2103" s="783" t="s">
        <v>4011</v>
      </c>
      <c r="G2103" s="783" t="str">
        <f t="shared" si="110"/>
        <v>Renewal (25% in 2020)</v>
      </c>
      <c r="H2103" s="783" t="s">
        <v>6709</v>
      </c>
      <c r="I2103" s="783" t="s">
        <v>6710</v>
      </c>
      <c r="J2103" s="783">
        <v>25</v>
      </c>
      <c r="K2103" s="783" t="s">
        <v>910</v>
      </c>
      <c r="L2103" s="783" t="s">
        <v>4014</v>
      </c>
      <c r="M2103" s="784">
        <v>20754</v>
      </c>
      <c r="N2103" s="784">
        <v>12</v>
      </c>
      <c r="O2103" s="784">
        <v>11.53</v>
      </c>
      <c r="P2103" s="783">
        <v>150</v>
      </c>
      <c r="Q2103" s="783">
        <v>1158.07</v>
      </c>
      <c r="R2103" s="783">
        <v>767.9</v>
      </c>
      <c r="S2103" s="783">
        <v>124.52</v>
      </c>
      <c r="T2103" s="783">
        <v>265.64999999999998</v>
      </c>
      <c r="U2103" s="785">
        <v>44680.694166666697</v>
      </c>
    </row>
    <row r="2104" spans="1:21">
      <c r="A2104" s="782">
        <v>44678</v>
      </c>
      <c r="B2104" s="783" t="s">
        <v>113</v>
      </c>
      <c r="C2104" s="783" t="s">
        <v>4598</v>
      </c>
      <c r="D2104" s="783" t="s">
        <v>4009</v>
      </c>
      <c r="E2104" s="783" t="s">
        <v>6562</v>
      </c>
      <c r="F2104" s="783" t="s">
        <v>4011</v>
      </c>
      <c r="G2104" s="783" t="str">
        <f t="shared" si="110"/>
        <v>Renewal (20% in 2020)</v>
      </c>
      <c r="H2104" s="783" t="s">
        <v>6563</v>
      </c>
      <c r="I2104" s="783" t="s">
        <v>6564</v>
      </c>
      <c r="J2104" s="783">
        <v>20</v>
      </c>
      <c r="K2104" s="783" t="s">
        <v>910</v>
      </c>
      <c r="L2104" s="783" t="s">
        <v>4014</v>
      </c>
      <c r="M2104" s="784">
        <v>74141.460000000006</v>
      </c>
      <c r="N2104" s="784">
        <v>30.9</v>
      </c>
      <c r="O2104" s="784">
        <v>13.33</v>
      </c>
      <c r="P2104" s="783">
        <v>180</v>
      </c>
      <c r="Q2104" s="783">
        <v>4745.05</v>
      </c>
      <c r="R2104" s="783">
        <v>2155.25</v>
      </c>
      <c r="S2104" s="783">
        <v>869.72</v>
      </c>
      <c r="T2104" s="783">
        <v>1720.08</v>
      </c>
      <c r="U2104" s="785">
        <v>44680.661435185197</v>
      </c>
    </row>
    <row r="2105" spans="1:21">
      <c r="A2105" s="782">
        <v>44682</v>
      </c>
      <c r="B2105" s="783" t="s">
        <v>113</v>
      </c>
      <c r="C2105" s="783" t="s">
        <v>4606</v>
      </c>
      <c r="D2105" s="783" t="s">
        <v>4009</v>
      </c>
      <c r="E2105" s="783" t="s">
        <v>6657</v>
      </c>
      <c r="F2105" s="783" t="s">
        <v>4011</v>
      </c>
      <c r="G2105" s="783" t="str">
        <f t="shared" si="110"/>
        <v>Renewal (15% in 2020)</v>
      </c>
      <c r="H2105" s="783" t="s">
        <v>6658</v>
      </c>
      <c r="I2105" s="783" t="s">
        <v>6659</v>
      </c>
      <c r="J2105" s="783">
        <v>20</v>
      </c>
      <c r="K2105" s="783" t="s">
        <v>910</v>
      </c>
      <c r="L2105" s="783" t="s">
        <v>4014</v>
      </c>
      <c r="M2105" s="784">
        <v>13772.21</v>
      </c>
      <c r="N2105" s="784">
        <v>7.32</v>
      </c>
      <c r="O2105" s="784">
        <v>10.17</v>
      </c>
      <c r="P2105" s="783">
        <v>185</v>
      </c>
      <c r="Q2105" s="783">
        <v>953.04</v>
      </c>
      <c r="R2105" s="783">
        <v>443.47</v>
      </c>
      <c r="S2105" s="783">
        <v>148.74</v>
      </c>
      <c r="T2105" s="783">
        <v>360.83</v>
      </c>
      <c r="U2105" s="785">
        <v>44683.415057870399</v>
      </c>
    </row>
    <row r="2106" spans="1:21">
      <c r="A2106" s="782">
        <v>44710</v>
      </c>
      <c r="B2106" s="783" t="s">
        <v>41</v>
      </c>
      <c r="C2106" s="783" t="s">
        <v>4092</v>
      </c>
      <c r="D2106" s="783" t="s">
        <v>4009</v>
      </c>
      <c r="E2106" s="783" t="s">
        <v>1795</v>
      </c>
      <c r="F2106" s="783" t="s">
        <v>4011</v>
      </c>
      <c r="G2106" s="783" t="str">
        <f t="shared" si="110"/>
        <v>Renewal (20% in 2020)</v>
      </c>
      <c r="H2106" s="783" t="s">
        <v>4117</v>
      </c>
      <c r="I2106" s="783" t="s">
        <v>4118</v>
      </c>
      <c r="J2106" s="783">
        <v>20</v>
      </c>
      <c r="K2106" s="783" t="s">
        <v>910</v>
      </c>
      <c r="L2106" s="783" t="s">
        <v>4014</v>
      </c>
      <c r="M2106" s="784">
        <v>34210.800000000003</v>
      </c>
      <c r="N2106" s="784">
        <v>16.77</v>
      </c>
      <c r="O2106" s="784">
        <v>10.199999999999999</v>
      </c>
      <c r="P2106" s="783">
        <v>200</v>
      </c>
      <c r="Q2106" s="783">
        <v>2052.65</v>
      </c>
      <c r="R2106" s="783">
        <v>974.91</v>
      </c>
      <c r="S2106" s="783">
        <v>472.21</v>
      </c>
      <c r="T2106" s="783">
        <v>605.53</v>
      </c>
      <c r="U2106" s="785">
        <v>44712.585555555597</v>
      </c>
    </row>
    <row r="2107" spans="1:21">
      <c r="A2107" s="782">
        <v>44680</v>
      </c>
      <c r="B2107" s="783" t="s">
        <v>41</v>
      </c>
      <c r="C2107" s="783" t="s">
        <v>4092</v>
      </c>
      <c r="D2107" s="783" t="s">
        <v>4009</v>
      </c>
      <c r="E2107" s="783" t="s">
        <v>5195</v>
      </c>
      <c r="F2107" s="783" t="s">
        <v>4011</v>
      </c>
      <c r="G2107" s="783" t="str">
        <f t="shared" si="110"/>
        <v>Renewal (20% in 2020)</v>
      </c>
      <c r="H2107" s="783" t="s">
        <v>5196</v>
      </c>
      <c r="I2107" s="783" t="s">
        <v>5197</v>
      </c>
      <c r="J2107" s="783">
        <v>20</v>
      </c>
      <c r="K2107" s="783" t="s">
        <v>910</v>
      </c>
      <c r="L2107" s="783" t="s">
        <v>4014</v>
      </c>
      <c r="M2107" s="784">
        <v>116087.18</v>
      </c>
      <c r="N2107" s="784">
        <v>51.23</v>
      </c>
      <c r="O2107" s="784">
        <v>11.33</v>
      </c>
      <c r="P2107" s="783">
        <v>200</v>
      </c>
      <c r="Q2107" s="783">
        <v>6965.23</v>
      </c>
      <c r="R2107" s="783">
        <v>3308.14</v>
      </c>
      <c r="S2107" s="783">
        <v>1602.35</v>
      </c>
      <c r="T2107" s="783">
        <v>2054.7399999999998</v>
      </c>
      <c r="U2107" s="785">
        <v>44680.724687499998</v>
      </c>
    </row>
    <row r="2108" spans="1:21">
      <c r="A2108" s="782">
        <v>44680</v>
      </c>
      <c r="B2108" s="783" t="s">
        <v>113</v>
      </c>
      <c r="C2108" s="783" t="s">
        <v>4606</v>
      </c>
      <c r="D2108" s="783" t="s">
        <v>4009</v>
      </c>
      <c r="E2108" s="783" t="s">
        <v>6711</v>
      </c>
      <c r="F2108" s="783" t="s">
        <v>4011</v>
      </c>
      <c r="G2108" s="783" t="s">
        <v>4028</v>
      </c>
      <c r="H2108" s="783" t="s">
        <v>6712</v>
      </c>
      <c r="I2108" s="783" t="s">
        <v>6713</v>
      </c>
      <c r="J2108" s="783">
        <v>25</v>
      </c>
      <c r="K2108" s="783" t="s">
        <v>910</v>
      </c>
      <c r="L2108" s="783" t="s">
        <v>4014</v>
      </c>
      <c r="M2108" s="784">
        <v>67418.67</v>
      </c>
      <c r="N2108" s="784">
        <v>28.01</v>
      </c>
      <c r="O2108" s="784">
        <v>11.5</v>
      </c>
      <c r="P2108" s="783">
        <v>209.3</v>
      </c>
      <c r="Q2108" s="783">
        <v>3761.96</v>
      </c>
      <c r="R2108" s="783">
        <v>1918.84</v>
      </c>
      <c r="S2108" s="783">
        <v>980.16</v>
      </c>
      <c r="T2108" s="783">
        <v>862.96</v>
      </c>
      <c r="U2108" s="785">
        <v>44680.749166666697</v>
      </c>
    </row>
    <row r="2109" spans="1:21">
      <c r="A2109" s="782">
        <v>44694</v>
      </c>
      <c r="B2109" s="783" t="s">
        <v>41</v>
      </c>
      <c r="C2109" s="783" t="s">
        <v>4008</v>
      </c>
      <c r="D2109" s="783" t="s">
        <v>4009</v>
      </c>
      <c r="E2109" s="783" t="s">
        <v>4577</v>
      </c>
      <c r="F2109" s="783" t="s">
        <v>4011</v>
      </c>
      <c r="G2109" s="783" t="str">
        <f>VLOOKUP(I2109,pacage,2,FALSE)</f>
        <v>Renewal (30% in 2020)</v>
      </c>
      <c r="H2109" s="783" t="s">
        <v>4578</v>
      </c>
      <c r="I2109" s="783" t="s">
        <v>4579</v>
      </c>
      <c r="J2109" s="783">
        <v>30</v>
      </c>
      <c r="K2109" s="783" t="s">
        <v>910</v>
      </c>
      <c r="L2109" s="783" t="s">
        <v>4014</v>
      </c>
      <c r="M2109" s="784">
        <v>87439.61</v>
      </c>
      <c r="N2109" s="784">
        <v>48.92</v>
      </c>
      <c r="O2109" s="784">
        <v>9.93</v>
      </c>
      <c r="P2109" s="783">
        <v>180</v>
      </c>
      <c r="Q2109" s="783">
        <v>4092.17</v>
      </c>
      <c r="R2109" s="783">
        <v>3011.08</v>
      </c>
      <c r="S2109" s="783">
        <v>355.34</v>
      </c>
      <c r="T2109" s="783">
        <v>725.75</v>
      </c>
      <c r="U2109" s="785">
        <v>44694.519189814797</v>
      </c>
    </row>
    <row r="2110" spans="1:21">
      <c r="A2110" s="782">
        <v>44681</v>
      </c>
      <c r="B2110" s="783" t="s">
        <v>41</v>
      </c>
      <c r="C2110" s="783" t="s">
        <v>4139</v>
      </c>
      <c r="D2110" s="783" t="s">
        <v>4009</v>
      </c>
      <c r="E2110" s="783" t="s">
        <v>4296</v>
      </c>
      <c r="F2110" s="783" t="s">
        <v>4011</v>
      </c>
      <c r="G2110" s="783" t="str">
        <f>VLOOKUP(I2110,pacage,2,FALSE)</f>
        <v>Renewal (30% in 2020)</v>
      </c>
      <c r="H2110" s="783" t="s">
        <v>4297</v>
      </c>
      <c r="I2110" s="783" t="s">
        <v>4298</v>
      </c>
      <c r="J2110" s="783">
        <v>30</v>
      </c>
      <c r="K2110" s="783" t="s">
        <v>910</v>
      </c>
      <c r="L2110" s="783" t="s">
        <v>4014</v>
      </c>
      <c r="M2110" s="784">
        <v>17754.12</v>
      </c>
      <c r="N2110" s="784">
        <v>10.8</v>
      </c>
      <c r="O2110" s="784">
        <v>9.67</v>
      </c>
      <c r="P2110" s="783">
        <v>170</v>
      </c>
      <c r="Q2110" s="783">
        <v>706.61</v>
      </c>
      <c r="R2110" s="783">
        <v>606.99</v>
      </c>
      <c r="S2110" s="783">
        <v>33.93</v>
      </c>
      <c r="T2110" s="783">
        <v>65.69</v>
      </c>
      <c r="U2110" s="785">
        <v>44683.422060185199</v>
      </c>
    </row>
    <row r="2111" spans="1:21">
      <c r="A2111" s="782">
        <v>44698</v>
      </c>
      <c r="B2111" s="783" t="s">
        <v>41</v>
      </c>
      <c r="C2111" s="783" t="s">
        <v>4092</v>
      </c>
      <c r="D2111" s="783" t="s">
        <v>4009</v>
      </c>
      <c r="E2111" s="783" t="s">
        <v>5204</v>
      </c>
      <c r="F2111" s="783" t="s">
        <v>4011</v>
      </c>
      <c r="G2111" s="783" t="str">
        <f>VLOOKUP(I2111,pacage,2,FALSE)</f>
        <v>Renewal (15% in 2020)</v>
      </c>
      <c r="H2111" s="783" t="s">
        <v>5205</v>
      </c>
      <c r="I2111" s="783" t="s">
        <v>5206</v>
      </c>
      <c r="J2111" s="783">
        <v>15</v>
      </c>
      <c r="K2111" s="783" t="s">
        <v>910</v>
      </c>
      <c r="L2111" s="783" t="s">
        <v>4014</v>
      </c>
      <c r="M2111" s="784">
        <v>72459</v>
      </c>
      <c r="N2111" s="784">
        <v>30</v>
      </c>
      <c r="O2111" s="784">
        <v>9.6999999999999993</v>
      </c>
      <c r="P2111" s="783">
        <v>249</v>
      </c>
      <c r="Q2111" s="783">
        <v>5847.44</v>
      </c>
      <c r="R2111" s="783">
        <v>1658.53</v>
      </c>
      <c r="S2111" s="783">
        <v>1406.49</v>
      </c>
      <c r="T2111" s="783">
        <v>2782.43</v>
      </c>
      <c r="U2111" s="785">
        <v>44699.741724537002</v>
      </c>
    </row>
    <row r="2112" spans="1:21">
      <c r="A2112" s="782">
        <v>44698</v>
      </c>
      <c r="B2112" s="783" t="s">
        <v>41</v>
      </c>
      <c r="C2112" s="783" t="s">
        <v>4082</v>
      </c>
      <c r="D2112" s="783" t="s">
        <v>4009</v>
      </c>
      <c r="E2112" s="783" t="s">
        <v>5216</v>
      </c>
      <c r="F2112" s="783" t="s">
        <v>4011</v>
      </c>
      <c r="G2112" s="783" t="str">
        <f>VLOOKUP(I2112,pacage,2,FALSE)</f>
        <v>Renewal (20% in 2020)</v>
      </c>
      <c r="H2112" s="783" t="s">
        <v>5217</v>
      </c>
      <c r="I2112" s="783" t="s">
        <v>5218</v>
      </c>
      <c r="J2112" s="783">
        <v>20</v>
      </c>
      <c r="K2112" s="783" t="s">
        <v>910</v>
      </c>
      <c r="L2112" s="783" t="s">
        <v>4014</v>
      </c>
      <c r="M2112" s="784">
        <v>16310</v>
      </c>
      <c r="N2112" s="784">
        <v>11.65</v>
      </c>
      <c r="O2112" s="784">
        <v>10</v>
      </c>
      <c r="P2112" s="783">
        <v>140</v>
      </c>
      <c r="Q2112" s="783">
        <v>981.86</v>
      </c>
      <c r="R2112" s="783">
        <v>579.01</v>
      </c>
      <c r="S2112" s="783">
        <v>109.28</v>
      </c>
      <c r="T2112" s="783">
        <v>293.58</v>
      </c>
      <c r="U2112" s="785">
        <v>44699.474409722199</v>
      </c>
    </row>
    <row r="2113" spans="1:21">
      <c r="A2113" s="782">
        <v>44711</v>
      </c>
      <c r="B2113" s="783" t="s">
        <v>624</v>
      </c>
      <c r="C2113" s="783" t="s">
        <v>4037</v>
      </c>
      <c r="D2113" s="783" t="s">
        <v>4038</v>
      </c>
      <c r="E2113" s="783" t="s">
        <v>4039</v>
      </c>
      <c r="F2113" s="783" t="s">
        <v>4011</v>
      </c>
      <c r="G2113" s="783" t="s">
        <v>4028</v>
      </c>
      <c r="H2113" s="783" t="s">
        <v>4040</v>
      </c>
      <c r="I2113" s="783" t="s">
        <v>4041</v>
      </c>
      <c r="J2113" s="783">
        <v>20</v>
      </c>
      <c r="K2113" s="783" t="s">
        <v>910</v>
      </c>
      <c r="L2113" s="783" t="s">
        <v>4014</v>
      </c>
      <c r="M2113" s="784">
        <v>42909.2</v>
      </c>
      <c r="N2113" s="784">
        <v>21.57</v>
      </c>
      <c r="O2113" s="784">
        <v>10.47</v>
      </c>
      <c r="P2113" s="783">
        <v>190</v>
      </c>
      <c r="Q2113" s="783">
        <v>3565.75</v>
      </c>
      <c r="R2113" s="783">
        <v>1781.64</v>
      </c>
      <c r="S2113" s="783">
        <v>664.19</v>
      </c>
      <c r="T2113" s="783">
        <v>1119.93</v>
      </c>
      <c r="U2113" s="785">
        <v>44713.980636574102</v>
      </c>
    </row>
    <row r="2114" spans="1:21">
      <c r="A2114" s="782">
        <v>44657</v>
      </c>
      <c r="B2114" s="783" t="s">
        <v>41</v>
      </c>
      <c r="C2114" s="783" t="s">
        <v>4092</v>
      </c>
      <c r="D2114" s="783" t="s">
        <v>4009</v>
      </c>
      <c r="E2114" s="783" t="s">
        <v>338</v>
      </c>
      <c r="F2114" s="783" t="s">
        <v>4011</v>
      </c>
      <c r="G2114" s="783" t="str">
        <f t="shared" ref="G2114:G2119" si="111">VLOOKUP(I2114,pacage,2,FALSE)</f>
        <v>New Contract</v>
      </c>
      <c r="H2114" s="783" t="s">
        <v>4589</v>
      </c>
      <c r="I2114" s="783" t="s">
        <v>4590</v>
      </c>
      <c r="J2114" s="783">
        <v>15</v>
      </c>
      <c r="K2114" s="783" t="s">
        <v>910</v>
      </c>
      <c r="L2114" s="783" t="s">
        <v>4014</v>
      </c>
      <c r="M2114" s="784">
        <v>61249.5</v>
      </c>
      <c r="N2114" s="784">
        <v>39</v>
      </c>
      <c r="O2114" s="784">
        <v>10.47</v>
      </c>
      <c r="P2114" s="783">
        <v>150</v>
      </c>
      <c r="Q2114" s="783">
        <v>4942.83</v>
      </c>
      <c r="R2114" s="783">
        <v>2168.23</v>
      </c>
      <c r="S2114" s="783">
        <v>422.62</v>
      </c>
      <c r="T2114" s="783">
        <v>2351.98</v>
      </c>
      <c r="U2114" s="785">
        <v>44657.603819444397</v>
      </c>
    </row>
    <row r="2115" spans="1:21">
      <c r="A2115" s="782">
        <v>44655</v>
      </c>
      <c r="B2115" s="783" t="s">
        <v>41</v>
      </c>
      <c r="C2115" s="783" t="s">
        <v>4082</v>
      </c>
      <c r="D2115" s="783" t="s">
        <v>4009</v>
      </c>
      <c r="E2115" s="783" t="s">
        <v>245</v>
      </c>
      <c r="F2115" s="783" t="s">
        <v>4011</v>
      </c>
      <c r="G2115" s="783" t="str">
        <f t="shared" si="111"/>
        <v>Renewal (20% in 2020)</v>
      </c>
      <c r="H2115" s="783" t="s">
        <v>4591</v>
      </c>
      <c r="I2115" s="783" t="s">
        <v>4592</v>
      </c>
      <c r="J2115" s="783">
        <v>20</v>
      </c>
      <c r="K2115" s="783" t="s">
        <v>910</v>
      </c>
      <c r="L2115" s="783" t="s">
        <v>4014</v>
      </c>
      <c r="M2115" s="784">
        <v>33516</v>
      </c>
      <c r="N2115" s="784">
        <v>14.7</v>
      </c>
      <c r="O2115" s="784">
        <v>11.4</v>
      </c>
      <c r="P2115" s="783">
        <v>200</v>
      </c>
      <c r="Q2115" s="783">
        <v>2017.66</v>
      </c>
      <c r="R2115" s="783">
        <v>957.8</v>
      </c>
      <c r="S2115" s="783">
        <v>456.57</v>
      </c>
      <c r="T2115" s="783">
        <v>603.29</v>
      </c>
      <c r="U2115" s="785">
        <v>44657.613634259302</v>
      </c>
    </row>
    <row r="2116" spans="1:21">
      <c r="A2116" s="782">
        <v>44657</v>
      </c>
      <c r="B2116" s="783" t="s">
        <v>34</v>
      </c>
      <c r="C2116" s="783" t="s">
        <v>4082</v>
      </c>
      <c r="D2116" s="783" t="s">
        <v>4009</v>
      </c>
      <c r="E2116" s="783" t="s">
        <v>4593</v>
      </c>
      <c r="F2116" s="783" t="s">
        <v>4011</v>
      </c>
      <c r="G2116" s="783" t="str">
        <f t="shared" si="111"/>
        <v>Renewal (30% in 2020)</v>
      </c>
      <c r="H2116" s="783" t="s">
        <v>4594</v>
      </c>
      <c r="I2116" s="783" t="s">
        <v>4595</v>
      </c>
      <c r="J2116" s="783">
        <v>30</v>
      </c>
      <c r="K2116" s="783" t="s">
        <v>910</v>
      </c>
      <c r="L2116" s="783" t="s">
        <v>4014</v>
      </c>
      <c r="M2116" s="784">
        <v>18326.91</v>
      </c>
      <c r="N2116" s="784">
        <v>13.79</v>
      </c>
      <c r="O2116" s="784">
        <v>8.86</v>
      </c>
      <c r="P2116" s="783">
        <v>150</v>
      </c>
      <c r="Q2116" s="783">
        <v>723.91</v>
      </c>
      <c r="R2116" s="783">
        <v>650.61</v>
      </c>
      <c r="S2116" s="783">
        <v>0</v>
      </c>
      <c r="T2116" s="783">
        <v>73.31</v>
      </c>
      <c r="U2116" s="785">
        <v>44657.630648148202</v>
      </c>
    </row>
    <row r="2117" spans="1:21">
      <c r="A2117" s="782">
        <v>44664</v>
      </c>
      <c r="B2117" s="783" t="s">
        <v>113</v>
      </c>
      <c r="C2117" s="783" t="s">
        <v>4598</v>
      </c>
      <c r="D2117" s="783" t="s">
        <v>4009</v>
      </c>
      <c r="E2117" s="783" t="s">
        <v>6714</v>
      </c>
      <c r="F2117" s="783" t="s">
        <v>4011</v>
      </c>
      <c r="G2117" s="783" t="str">
        <f t="shared" si="111"/>
        <v>Renewal (20% in 2020)</v>
      </c>
      <c r="H2117" s="783" t="s">
        <v>6715</v>
      </c>
      <c r="I2117" s="783" t="s">
        <v>6716</v>
      </c>
      <c r="J2117" s="783">
        <v>20</v>
      </c>
      <c r="K2117" s="783" t="s">
        <v>910</v>
      </c>
      <c r="L2117" s="783" t="s">
        <v>4014</v>
      </c>
      <c r="M2117" s="784">
        <v>17848.86</v>
      </c>
      <c r="N2117" s="784">
        <v>8.75</v>
      </c>
      <c r="O2117" s="784">
        <v>12.67</v>
      </c>
      <c r="P2117" s="783">
        <v>161</v>
      </c>
      <c r="Q2117" s="783">
        <v>1142.33</v>
      </c>
      <c r="R2117" s="783">
        <v>580.09</v>
      </c>
      <c r="S2117" s="783">
        <v>148.15</v>
      </c>
      <c r="T2117" s="783">
        <v>414.09</v>
      </c>
      <c r="U2117" s="785">
        <v>44665.654884259297</v>
      </c>
    </row>
    <row r="2118" spans="1:21">
      <c r="A2118" s="782">
        <v>44683</v>
      </c>
      <c r="B2118" s="783" t="s">
        <v>113</v>
      </c>
      <c r="C2118" s="783" t="s">
        <v>4606</v>
      </c>
      <c r="D2118" s="783" t="s">
        <v>4009</v>
      </c>
      <c r="E2118" s="783" t="s">
        <v>3858</v>
      </c>
      <c r="F2118" s="783" t="s">
        <v>4011</v>
      </c>
      <c r="G2118" s="783" t="str">
        <f t="shared" si="111"/>
        <v>Renewal (25% in 2020)</v>
      </c>
      <c r="H2118" s="783" t="s">
        <v>6717</v>
      </c>
      <c r="I2118" s="783" t="s">
        <v>6718</v>
      </c>
      <c r="J2118" s="783">
        <v>25</v>
      </c>
      <c r="K2118" s="783" t="s">
        <v>910</v>
      </c>
      <c r="L2118" s="783" t="s">
        <v>4014</v>
      </c>
      <c r="M2118" s="784">
        <v>94300</v>
      </c>
      <c r="N2118" s="784">
        <v>47.15</v>
      </c>
      <c r="O2118" s="784">
        <v>12.5</v>
      </c>
      <c r="P2118" s="783">
        <v>160</v>
      </c>
      <c r="Q2118" s="783">
        <v>5261.94</v>
      </c>
      <c r="R2118" s="783">
        <v>3489.1</v>
      </c>
      <c r="S2118" s="783">
        <v>565.79999999999995</v>
      </c>
      <c r="T2118" s="783">
        <v>1207.04</v>
      </c>
      <c r="U2118" s="785">
        <v>44684.399803240703</v>
      </c>
    </row>
    <row r="2119" spans="1:21">
      <c r="A2119" s="782">
        <v>44684</v>
      </c>
      <c r="B2119" s="783" t="s">
        <v>113</v>
      </c>
      <c r="C2119" s="783" t="s">
        <v>4097</v>
      </c>
      <c r="D2119" s="783" t="s">
        <v>4038</v>
      </c>
      <c r="E2119" s="783" t="s">
        <v>195</v>
      </c>
      <c r="F2119" s="783" t="s">
        <v>4011</v>
      </c>
      <c r="G2119" s="783" t="str">
        <f t="shared" si="111"/>
        <v>Renewal (25% in 2020)</v>
      </c>
      <c r="H2119" s="783" t="s">
        <v>5260</v>
      </c>
      <c r="I2119" s="783" t="s">
        <v>5261</v>
      </c>
      <c r="J2119" s="783">
        <v>25</v>
      </c>
      <c r="K2119" s="783" t="s">
        <v>910</v>
      </c>
      <c r="L2119" s="783" t="s">
        <v>4014</v>
      </c>
      <c r="M2119" s="784">
        <v>31627.4</v>
      </c>
      <c r="N2119" s="784">
        <v>14.35</v>
      </c>
      <c r="O2119" s="784">
        <v>11.02</v>
      </c>
      <c r="P2119" s="783">
        <v>200</v>
      </c>
      <c r="Q2119" s="783">
        <v>1537.09</v>
      </c>
      <c r="R2119" s="783">
        <v>888.56</v>
      </c>
      <c r="S2119" s="783">
        <v>392.35</v>
      </c>
      <c r="T2119" s="783">
        <v>256.18</v>
      </c>
      <c r="U2119" s="785">
        <v>44685.457511574103</v>
      </c>
    </row>
    <row r="2120" spans="1:21">
      <c r="A2120" s="782">
        <v>44684</v>
      </c>
      <c r="B2120" s="783" t="s">
        <v>113</v>
      </c>
      <c r="C2120" s="783" t="s">
        <v>4598</v>
      </c>
      <c r="D2120" s="783" t="s">
        <v>4009</v>
      </c>
      <c r="E2120" s="783" t="s">
        <v>2261</v>
      </c>
      <c r="F2120" s="783" t="s">
        <v>4011</v>
      </c>
      <c r="G2120" s="783" t="s">
        <v>4028</v>
      </c>
      <c r="H2120" s="783" t="s">
        <v>6719</v>
      </c>
      <c r="I2120" s="783" t="s">
        <v>6720</v>
      </c>
      <c r="J2120" s="783">
        <v>30</v>
      </c>
      <c r="K2120" s="783" t="s">
        <v>910</v>
      </c>
      <c r="L2120" s="783" t="s">
        <v>4014</v>
      </c>
      <c r="M2120" s="784">
        <v>205775</v>
      </c>
      <c r="N2120" s="784">
        <v>82.31</v>
      </c>
      <c r="O2120" s="784">
        <v>12.5</v>
      </c>
      <c r="P2120" s="783">
        <v>200</v>
      </c>
      <c r="Q2120" s="783">
        <v>8930.64</v>
      </c>
      <c r="R2120" s="783">
        <v>5383.59</v>
      </c>
      <c r="S2120" s="783">
        <v>1304.0999999999999</v>
      </c>
      <c r="T2120" s="783">
        <v>2242.9499999999998</v>
      </c>
      <c r="U2120" s="785">
        <v>44685.4446412037</v>
      </c>
    </row>
    <row r="2121" spans="1:21">
      <c r="A2121" s="782">
        <v>44665</v>
      </c>
      <c r="B2121" s="783" t="s">
        <v>113</v>
      </c>
      <c r="C2121" s="783" t="s">
        <v>4606</v>
      </c>
      <c r="D2121" s="783" t="s">
        <v>4009</v>
      </c>
      <c r="E2121" s="783" t="s">
        <v>6639</v>
      </c>
      <c r="F2121" s="783" t="s">
        <v>4011</v>
      </c>
      <c r="G2121" s="783" t="str">
        <f>VLOOKUP(I2121,pacage,2,FALSE)</f>
        <v>Renewal (25% in 2020)</v>
      </c>
      <c r="H2121" s="783" t="s">
        <v>6640</v>
      </c>
      <c r="I2121" s="783" t="s">
        <v>6641</v>
      </c>
      <c r="J2121" s="783">
        <v>25</v>
      </c>
      <c r="K2121" s="783" t="s">
        <v>910</v>
      </c>
      <c r="L2121" s="783" t="s">
        <v>4014</v>
      </c>
      <c r="M2121" s="784">
        <v>34552.300000000003</v>
      </c>
      <c r="N2121" s="784">
        <v>12.62</v>
      </c>
      <c r="O2121" s="784">
        <v>13.1</v>
      </c>
      <c r="P2121" s="783">
        <v>209</v>
      </c>
      <c r="Q2121" s="783">
        <v>1928.02</v>
      </c>
      <c r="R2121" s="783">
        <v>984.82</v>
      </c>
      <c r="S2121" s="783">
        <v>500.93</v>
      </c>
      <c r="T2121" s="783">
        <v>442.27</v>
      </c>
      <c r="U2121" s="785">
        <v>44665.673333333303</v>
      </c>
    </row>
    <row r="2122" spans="1:21">
      <c r="A2122" s="782">
        <v>44665</v>
      </c>
      <c r="B2122" s="783" t="s">
        <v>113</v>
      </c>
      <c r="C2122" s="783" t="s">
        <v>4606</v>
      </c>
      <c r="D2122" s="783" t="s">
        <v>4009</v>
      </c>
      <c r="E2122" s="783" t="s">
        <v>6681</v>
      </c>
      <c r="F2122" s="783" t="s">
        <v>4011</v>
      </c>
      <c r="G2122" s="783" t="str">
        <f>VLOOKUP(I2122,pacage,2,FALSE)</f>
        <v>Renewal (25% in 2020)</v>
      </c>
      <c r="H2122" s="783" t="s">
        <v>6682</v>
      </c>
      <c r="I2122" s="783" t="s">
        <v>6683</v>
      </c>
      <c r="J2122" s="783">
        <v>30</v>
      </c>
      <c r="K2122" s="783" t="s">
        <v>910</v>
      </c>
      <c r="L2122" s="783" t="s">
        <v>4014</v>
      </c>
      <c r="M2122" s="784">
        <v>118522.44</v>
      </c>
      <c r="N2122" s="784">
        <v>46.6</v>
      </c>
      <c r="O2122" s="784">
        <v>14.13</v>
      </c>
      <c r="P2122" s="783">
        <v>180</v>
      </c>
      <c r="Q2122" s="783">
        <v>5926.12</v>
      </c>
      <c r="R2122" s="783">
        <v>3922.43</v>
      </c>
      <c r="S2122" s="783">
        <v>462.9</v>
      </c>
      <c r="T2122" s="783">
        <v>1540.79</v>
      </c>
      <c r="U2122" s="785">
        <v>44666.397430555597</v>
      </c>
    </row>
    <row r="2123" spans="1:21">
      <c r="A2123" s="782">
        <v>44665</v>
      </c>
      <c r="B2123" s="783" t="s">
        <v>41</v>
      </c>
      <c r="C2123" s="783" t="s">
        <v>4092</v>
      </c>
      <c r="D2123" s="783" t="s">
        <v>4009</v>
      </c>
      <c r="E2123" s="783" t="s">
        <v>4310</v>
      </c>
      <c r="F2123" s="783" t="s">
        <v>4011</v>
      </c>
      <c r="G2123" s="783" t="str">
        <f>VLOOKUP(I2123,pacage,2,FALSE)</f>
        <v>New Contract</v>
      </c>
      <c r="H2123" s="783" t="s">
        <v>4311</v>
      </c>
      <c r="I2123" s="783" t="s">
        <v>4312</v>
      </c>
      <c r="J2123" s="783">
        <v>25</v>
      </c>
      <c r="K2123" s="783" t="s">
        <v>910</v>
      </c>
      <c r="L2123" s="783" t="s">
        <v>4014</v>
      </c>
      <c r="M2123" s="784">
        <v>47656</v>
      </c>
      <c r="N2123" s="784">
        <v>20</v>
      </c>
      <c r="O2123" s="784">
        <v>10.36</v>
      </c>
      <c r="P2123" s="783">
        <v>230</v>
      </c>
      <c r="Q2123" s="783">
        <v>2201.71</v>
      </c>
      <c r="R2123" s="783">
        <v>1180.92</v>
      </c>
      <c r="S2123" s="783">
        <v>834.93</v>
      </c>
      <c r="T2123" s="783">
        <v>185.86</v>
      </c>
      <c r="U2123" s="785">
        <v>44665.6621759259</v>
      </c>
    </row>
    <row r="2124" spans="1:21">
      <c r="A2124" s="782">
        <v>44666</v>
      </c>
      <c r="B2124" s="783" t="s">
        <v>41</v>
      </c>
      <c r="C2124" s="783" t="s">
        <v>4008</v>
      </c>
      <c r="D2124" s="783" t="s">
        <v>4009</v>
      </c>
      <c r="E2124" s="783" t="s">
        <v>5296</v>
      </c>
      <c r="F2124" s="783" t="s">
        <v>4011</v>
      </c>
      <c r="G2124" s="783" t="str">
        <f>VLOOKUP(I2124,pacage,2,FALSE)</f>
        <v>Renewal (20% in 2020)</v>
      </c>
      <c r="H2124" s="783" t="s">
        <v>5297</v>
      </c>
      <c r="I2124" s="783" t="s">
        <v>5298</v>
      </c>
      <c r="J2124" s="783">
        <v>20</v>
      </c>
      <c r="K2124" s="783" t="s">
        <v>910</v>
      </c>
      <c r="L2124" s="783" t="s">
        <v>4014</v>
      </c>
      <c r="M2124" s="784">
        <v>26822.86</v>
      </c>
      <c r="N2124" s="784">
        <v>14.05</v>
      </c>
      <c r="O2124" s="784">
        <v>11.23</v>
      </c>
      <c r="P2124" s="783">
        <v>170</v>
      </c>
      <c r="Q2124" s="783">
        <v>1818.59</v>
      </c>
      <c r="R2124" s="783">
        <v>978.01</v>
      </c>
      <c r="S2124" s="783">
        <v>223.66</v>
      </c>
      <c r="T2124" s="783">
        <v>616.92999999999995</v>
      </c>
      <c r="U2124" s="785">
        <v>44671.483136574097</v>
      </c>
    </row>
    <row r="2125" spans="1:21">
      <c r="A2125" s="782">
        <v>44683</v>
      </c>
      <c r="B2125" s="783" t="s">
        <v>113</v>
      </c>
      <c r="C2125" s="783" t="s">
        <v>4606</v>
      </c>
      <c r="D2125" s="783" t="s">
        <v>4009</v>
      </c>
      <c r="E2125" s="783" t="s">
        <v>6721</v>
      </c>
      <c r="F2125" s="783" t="s">
        <v>4011</v>
      </c>
      <c r="G2125" s="783" t="s">
        <v>4028</v>
      </c>
      <c r="H2125" s="783" t="s">
        <v>6722</v>
      </c>
      <c r="I2125" s="783" t="s">
        <v>6723</v>
      </c>
      <c r="J2125" s="783">
        <v>25</v>
      </c>
      <c r="K2125" s="783" t="s">
        <v>910</v>
      </c>
      <c r="L2125" s="783" t="s">
        <v>4014</v>
      </c>
      <c r="M2125" s="784">
        <v>55332</v>
      </c>
      <c r="N2125" s="784">
        <v>26.5</v>
      </c>
      <c r="O2125" s="784">
        <v>11.6</v>
      </c>
      <c r="P2125" s="783">
        <v>180</v>
      </c>
      <c r="Q2125" s="783">
        <v>3087.53</v>
      </c>
      <c r="R2125" s="783">
        <v>1831.18</v>
      </c>
      <c r="S2125" s="783">
        <v>548.09</v>
      </c>
      <c r="T2125" s="783">
        <v>708.25</v>
      </c>
      <c r="U2125" s="785">
        <v>44684.403680555602</v>
      </c>
    </row>
    <row r="2126" spans="1:21">
      <c r="A2126" s="782">
        <v>44665</v>
      </c>
      <c r="B2126" s="783" t="s">
        <v>41</v>
      </c>
      <c r="C2126" s="783" t="s">
        <v>4092</v>
      </c>
      <c r="D2126" s="783" t="s">
        <v>4009</v>
      </c>
      <c r="E2126" s="783" t="s">
        <v>4125</v>
      </c>
      <c r="F2126" s="783" t="s">
        <v>4011</v>
      </c>
      <c r="G2126" s="783" t="str">
        <f t="shared" ref="G2126:G2139" si="112">VLOOKUP(I2126,pacage,2,FALSE)</f>
        <v>Renewal (20% in 2020)</v>
      </c>
      <c r="H2126" s="783" t="s">
        <v>4126</v>
      </c>
      <c r="I2126" s="783" t="s">
        <v>4127</v>
      </c>
      <c r="J2126" s="783">
        <v>20</v>
      </c>
      <c r="K2126" s="783" t="s">
        <v>910</v>
      </c>
      <c r="L2126" s="783" t="s">
        <v>4014</v>
      </c>
      <c r="M2126" s="784">
        <v>27036.240000000002</v>
      </c>
      <c r="N2126" s="784">
        <v>22</v>
      </c>
      <c r="O2126" s="784">
        <v>5.88</v>
      </c>
      <c r="P2126" s="783">
        <v>209</v>
      </c>
      <c r="Q2126" s="783">
        <v>1622.17</v>
      </c>
      <c r="R2126" s="783">
        <v>737.27</v>
      </c>
      <c r="S2126" s="783">
        <v>406.36</v>
      </c>
      <c r="T2126" s="783">
        <v>478.54</v>
      </c>
      <c r="U2126" s="785">
        <v>44665.668240740699</v>
      </c>
    </row>
    <row r="2127" spans="1:21">
      <c r="A2127" s="782">
        <v>44666</v>
      </c>
      <c r="B2127" s="783" t="s">
        <v>41</v>
      </c>
      <c r="C2127" s="783" t="s">
        <v>4092</v>
      </c>
      <c r="D2127" s="783" t="s">
        <v>4009</v>
      </c>
      <c r="E2127" s="783" t="s">
        <v>5299</v>
      </c>
      <c r="F2127" s="783" t="s">
        <v>4011</v>
      </c>
      <c r="G2127" s="783" t="str">
        <f t="shared" si="112"/>
        <v>Renewal (20% in 2020)</v>
      </c>
      <c r="H2127" s="783" t="s">
        <v>5300</v>
      </c>
      <c r="I2127" s="783" t="s">
        <v>5301</v>
      </c>
      <c r="J2127" s="783">
        <v>20</v>
      </c>
      <c r="K2127" s="783" t="s">
        <v>910</v>
      </c>
      <c r="L2127" s="783" t="s">
        <v>4014</v>
      </c>
      <c r="M2127" s="784">
        <v>56000.66</v>
      </c>
      <c r="N2127" s="784">
        <v>22.58</v>
      </c>
      <c r="O2127" s="784">
        <v>11.81</v>
      </c>
      <c r="P2127" s="783">
        <v>210</v>
      </c>
      <c r="Q2127" s="783">
        <v>3360.04</v>
      </c>
      <c r="R2127" s="783">
        <v>1519.86</v>
      </c>
      <c r="S2127" s="783">
        <v>848.97</v>
      </c>
      <c r="T2127" s="783">
        <v>991.21</v>
      </c>
      <c r="U2127" s="785">
        <v>44671.484583333302</v>
      </c>
    </row>
    <row r="2128" spans="1:21">
      <c r="A2128" s="782">
        <v>44711</v>
      </c>
      <c r="B2128" s="783" t="s">
        <v>113</v>
      </c>
      <c r="C2128" s="783" t="s">
        <v>4606</v>
      </c>
      <c r="D2128" s="783" t="s">
        <v>4009</v>
      </c>
      <c r="E2128" s="783" t="s">
        <v>659</v>
      </c>
      <c r="F2128" s="783" t="s">
        <v>4011</v>
      </c>
      <c r="G2128" s="783" t="str">
        <f t="shared" si="112"/>
        <v>Renewal (20% in 2020)</v>
      </c>
      <c r="H2128" s="783" t="s">
        <v>6565</v>
      </c>
      <c r="I2128" s="783" t="s">
        <v>6566</v>
      </c>
      <c r="J2128" s="783">
        <v>20</v>
      </c>
      <c r="K2128" s="783" t="s">
        <v>910</v>
      </c>
      <c r="L2128" s="783" t="s">
        <v>4014</v>
      </c>
      <c r="M2128" s="784">
        <v>26785.200000000001</v>
      </c>
      <c r="N2128" s="784">
        <v>13.6</v>
      </c>
      <c r="O2128" s="784">
        <v>13.13</v>
      </c>
      <c r="P2128" s="783">
        <v>150</v>
      </c>
      <c r="Q2128" s="783">
        <v>1853.54</v>
      </c>
      <c r="R2128" s="783">
        <v>991.05</v>
      </c>
      <c r="S2128" s="783">
        <v>160.71</v>
      </c>
      <c r="T2128" s="783">
        <v>701.77</v>
      </c>
      <c r="U2128" s="785">
        <v>44713.629039351901</v>
      </c>
    </row>
    <row r="2129" spans="1:21">
      <c r="A2129" s="782">
        <v>44708</v>
      </c>
      <c r="B2129" s="783" t="s">
        <v>113</v>
      </c>
      <c r="C2129" s="783" t="s">
        <v>4598</v>
      </c>
      <c r="D2129" s="783" t="s">
        <v>4009</v>
      </c>
      <c r="E2129" s="783" t="s">
        <v>4599</v>
      </c>
      <c r="F2129" s="783" t="s">
        <v>4011</v>
      </c>
      <c r="G2129" s="783" t="str">
        <f t="shared" si="112"/>
        <v>Renewal (25% in 2020)</v>
      </c>
      <c r="H2129" s="783" t="s">
        <v>4600</v>
      </c>
      <c r="I2129" s="783" t="s">
        <v>4601</v>
      </c>
      <c r="J2129" s="783">
        <v>25</v>
      </c>
      <c r="K2129" s="783" t="s">
        <v>910</v>
      </c>
      <c r="L2129" s="783" t="s">
        <v>4014</v>
      </c>
      <c r="M2129" s="784">
        <v>54411.56</v>
      </c>
      <c r="N2129" s="784">
        <v>28</v>
      </c>
      <c r="O2129" s="784">
        <v>12.07</v>
      </c>
      <c r="P2129" s="783">
        <v>161</v>
      </c>
      <c r="Q2129" s="783">
        <v>2791.31</v>
      </c>
      <c r="R2129" s="783">
        <v>1768.38</v>
      </c>
      <c r="S2129" s="783">
        <v>451.62</v>
      </c>
      <c r="T2129" s="783">
        <v>571.32000000000005</v>
      </c>
      <c r="U2129" s="785">
        <v>44711.538182870398</v>
      </c>
    </row>
    <row r="2130" spans="1:21">
      <c r="A2130" s="782">
        <v>44705</v>
      </c>
      <c r="B2130" s="783" t="s">
        <v>150</v>
      </c>
      <c r="C2130" s="783" t="s">
        <v>5313</v>
      </c>
      <c r="D2130" s="783" t="s">
        <v>4009</v>
      </c>
      <c r="E2130" s="783" t="s">
        <v>5314</v>
      </c>
      <c r="F2130" s="783" t="s">
        <v>4011</v>
      </c>
      <c r="G2130" s="783" t="str">
        <f t="shared" si="112"/>
        <v>New Contract</v>
      </c>
      <c r="H2130" s="783" t="s">
        <v>5315</v>
      </c>
      <c r="I2130" s="783" t="s">
        <v>5316</v>
      </c>
      <c r="J2130" s="783">
        <v>20</v>
      </c>
      <c r="K2130" s="783" t="s">
        <v>910</v>
      </c>
      <c r="L2130" s="783" t="s">
        <v>4014</v>
      </c>
      <c r="M2130" s="784">
        <v>13284.54</v>
      </c>
      <c r="N2130" s="784">
        <v>6.19</v>
      </c>
      <c r="O2130" s="784">
        <v>13.33</v>
      </c>
      <c r="P2130" s="783">
        <v>161</v>
      </c>
      <c r="Q2130" s="783">
        <v>868.81</v>
      </c>
      <c r="R2130" s="783">
        <v>499.5</v>
      </c>
      <c r="S2130" s="783">
        <v>78.38</v>
      </c>
      <c r="T2130" s="783">
        <v>290.93</v>
      </c>
      <c r="U2130" s="785">
        <v>44706.525081018503</v>
      </c>
    </row>
    <row r="2131" spans="1:21">
      <c r="A2131" s="782">
        <v>44699</v>
      </c>
      <c r="B2131" s="783" t="s">
        <v>41</v>
      </c>
      <c r="C2131" s="783" t="s">
        <v>4092</v>
      </c>
      <c r="D2131" s="783" t="s">
        <v>4009</v>
      </c>
      <c r="E2131" s="783" t="s">
        <v>507</v>
      </c>
      <c r="F2131" s="783" t="s">
        <v>4011</v>
      </c>
      <c r="G2131" s="783" t="str">
        <f t="shared" si="112"/>
        <v>Renewal (15% in 2020)</v>
      </c>
      <c r="H2131" s="783" t="s">
        <v>4318</v>
      </c>
      <c r="I2131" s="783" t="s">
        <v>4319</v>
      </c>
      <c r="J2131" s="783">
        <v>15</v>
      </c>
      <c r="K2131" s="783" t="s">
        <v>910</v>
      </c>
      <c r="L2131" s="783" t="s">
        <v>4014</v>
      </c>
      <c r="M2131" s="784">
        <v>5599.2</v>
      </c>
      <c r="N2131" s="784">
        <v>23.33</v>
      </c>
      <c r="O2131" s="784">
        <v>1.2</v>
      </c>
      <c r="P2131" s="783">
        <v>200</v>
      </c>
      <c r="Q2131" s="783">
        <v>451.86</v>
      </c>
      <c r="R2131" s="783">
        <v>159.56</v>
      </c>
      <c r="S2131" s="783">
        <v>77.290000000000006</v>
      </c>
      <c r="T2131" s="783">
        <v>215.01</v>
      </c>
      <c r="U2131" s="785">
        <v>44700.5155324074</v>
      </c>
    </row>
    <row r="2132" spans="1:21">
      <c r="A2132" s="782">
        <v>44702</v>
      </c>
      <c r="B2132" s="783" t="s">
        <v>41</v>
      </c>
      <c r="C2132" s="783" t="s">
        <v>4071</v>
      </c>
      <c r="D2132" s="783" t="s">
        <v>4009</v>
      </c>
      <c r="E2132" s="783" t="s">
        <v>5327</v>
      </c>
      <c r="F2132" s="783" t="s">
        <v>4011</v>
      </c>
      <c r="G2132" s="783" t="str">
        <f t="shared" si="112"/>
        <v>Renewal (20% in 2020)</v>
      </c>
      <c r="H2132" s="783" t="s">
        <v>5328</v>
      </c>
      <c r="I2132" s="783" t="s">
        <v>5329</v>
      </c>
      <c r="J2132" s="783">
        <v>20</v>
      </c>
      <c r="K2132" s="783" t="s">
        <v>910</v>
      </c>
      <c r="L2132" s="783" t="s">
        <v>4014</v>
      </c>
      <c r="M2132" s="784">
        <v>47760.92</v>
      </c>
      <c r="N2132" s="784">
        <v>25.29</v>
      </c>
      <c r="O2132" s="784">
        <v>11.73</v>
      </c>
      <c r="P2132" s="783">
        <v>161</v>
      </c>
      <c r="Q2132" s="783">
        <v>3620.28</v>
      </c>
      <c r="R2132" s="783">
        <v>2192.23</v>
      </c>
      <c r="S2132" s="783">
        <v>353.43</v>
      </c>
      <c r="T2132" s="783">
        <v>1074.6199999999999</v>
      </c>
      <c r="U2132" s="785">
        <v>44704.410868055602</v>
      </c>
    </row>
    <row r="2133" spans="1:21">
      <c r="A2133" s="782">
        <v>44697</v>
      </c>
      <c r="B2133" s="783" t="s">
        <v>74</v>
      </c>
      <c r="C2133" s="783" t="s">
        <v>4097</v>
      </c>
      <c r="D2133" s="783" t="s">
        <v>4038</v>
      </c>
      <c r="E2133" s="783" t="s">
        <v>2064</v>
      </c>
      <c r="F2133" s="783" t="s">
        <v>4011</v>
      </c>
      <c r="G2133" s="783" t="str">
        <f t="shared" si="112"/>
        <v>Renewal (15% in 2020)</v>
      </c>
      <c r="H2133" s="783" t="s">
        <v>4320</v>
      </c>
      <c r="I2133" s="783" t="s">
        <v>4321</v>
      </c>
      <c r="J2133" s="783">
        <v>20</v>
      </c>
      <c r="K2133" s="783" t="s">
        <v>910</v>
      </c>
      <c r="L2133" s="783" t="s">
        <v>4014</v>
      </c>
      <c r="M2133" s="784">
        <v>105402</v>
      </c>
      <c r="N2133" s="784">
        <v>47.91</v>
      </c>
      <c r="O2133" s="784">
        <v>11</v>
      </c>
      <c r="P2133" s="783">
        <v>200</v>
      </c>
      <c r="Q2133" s="783">
        <v>5976.29</v>
      </c>
      <c r="R2133" s="783">
        <v>2961.22</v>
      </c>
      <c r="S2133" s="783">
        <v>1307.56</v>
      </c>
      <c r="T2133" s="783">
        <v>1707.51</v>
      </c>
      <c r="U2133" s="785">
        <v>44708.962384259299</v>
      </c>
    </row>
    <row r="2134" spans="1:21">
      <c r="A2134" s="782">
        <v>44543</v>
      </c>
      <c r="B2134" s="783" t="s">
        <v>74</v>
      </c>
      <c r="C2134" s="783" t="s">
        <v>4097</v>
      </c>
      <c r="D2134" s="783" t="s">
        <v>4038</v>
      </c>
      <c r="E2134" s="783" t="s">
        <v>4322</v>
      </c>
      <c r="F2134" s="783" t="s">
        <v>4011</v>
      </c>
      <c r="G2134" s="783" t="str">
        <f t="shared" si="112"/>
        <v>Renewal (25% in 2020)</v>
      </c>
      <c r="H2134" s="783" t="s">
        <v>4323</v>
      </c>
      <c r="I2134" s="783" t="s">
        <v>4324</v>
      </c>
      <c r="J2134" s="783">
        <v>25</v>
      </c>
      <c r="K2134" s="783" t="s">
        <v>910</v>
      </c>
      <c r="L2134" s="783" t="s">
        <v>4014</v>
      </c>
      <c r="M2134" s="784">
        <v>183207.52</v>
      </c>
      <c r="N2134" s="784">
        <v>85.9</v>
      </c>
      <c r="O2134" s="784">
        <v>13.33</v>
      </c>
      <c r="P2134" s="783">
        <v>160</v>
      </c>
      <c r="Q2134" s="783">
        <v>8903.89</v>
      </c>
      <c r="R2134" s="783">
        <v>6393.94</v>
      </c>
      <c r="S2134" s="783">
        <v>1025.96</v>
      </c>
      <c r="T2134" s="783">
        <v>1483.98</v>
      </c>
      <c r="U2134" s="785">
        <v>44631.626736111102</v>
      </c>
    </row>
    <row r="2135" spans="1:21">
      <c r="A2135" s="782">
        <v>44543</v>
      </c>
      <c r="B2135" s="783" t="s">
        <v>41</v>
      </c>
      <c r="C2135" s="783" t="s">
        <v>4092</v>
      </c>
      <c r="D2135" s="783" t="s">
        <v>4009</v>
      </c>
      <c r="E2135" s="783" t="s">
        <v>4131</v>
      </c>
      <c r="F2135" s="783" t="s">
        <v>4011</v>
      </c>
      <c r="G2135" s="783" t="str">
        <f t="shared" si="112"/>
        <v>Renewal (20% in 2020)</v>
      </c>
      <c r="H2135" s="783" t="s">
        <v>4132</v>
      </c>
      <c r="I2135" s="783" t="s">
        <v>4133</v>
      </c>
      <c r="J2135" s="783">
        <v>20</v>
      </c>
      <c r="K2135" s="783" t="s">
        <v>910</v>
      </c>
      <c r="L2135" s="783" t="s">
        <v>4014</v>
      </c>
      <c r="M2135" s="784">
        <v>21819.33</v>
      </c>
      <c r="N2135" s="784">
        <v>11.05</v>
      </c>
      <c r="O2135" s="784">
        <v>10.97</v>
      </c>
      <c r="P2135" s="783">
        <v>180</v>
      </c>
      <c r="Q2135" s="783">
        <v>1309.1600000000001</v>
      </c>
      <c r="R2135" s="783">
        <v>690.87</v>
      </c>
      <c r="S2135" s="783">
        <v>232.08</v>
      </c>
      <c r="T2135" s="783">
        <v>386.2</v>
      </c>
      <c r="U2135" s="785">
        <v>44631.6266203704</v>
      </c>
    </row>
    <row r="2136" spans="1:21">
      <c r="A2136" s="782">
        <v>44687</v>
      </c>
      <c r="B2136" s="783" t="s">
        <v>41</v>
      </c>
      <c r="C2136" s="783" t="s">
        <v>4008</v>
      </c>
      <c r="D2136" s="783" t="s">
        <v>4009</v>
      </c>
      <c r="E2136" s="783" t="s">
        <v>6570</v>
      </c>
      <c r="F2136" s="783" t="s">
        <v>4011</v>
      </c>
      <c r="G2136" s="783" t="str">
        <f t="shared" si="112"/>
        <v>Renewal (20% in 2020)</v>
      </c>
      <c r="H2136" s="783" t="s">
        <v>6571</v>
      </c>
      <c r="I2136" s="783" t="s">
        <v>6572</v>
      </c>
      <c r="J2136" s="783">
        <v>20</v>
      </c>
      <c r="K2136" s="783" t="s">
        <v>910</v>
      </c>
      <c r="L2136" s="783" t="s">
        <v>4014</v>
      </c>
      <c r="M2136" s="784">
        <v>65481.599999999999</v>
      </c>
      <c r="N2136" s="784">
        <v>32</v>
      </c>
      <c r="O2136" s="784">
        <v>10.77</v>
      </c>
      <c r="P2136" s="783">
        <v>190</v>
      </c>
      <c r="Q2136" s="783">
        <v>4439.6499999999996</v>
      </c>
      <c r="R2136" s="783">
        <v>2136.25</v>
      </c>
      <c r="S2136" s="783">
        <v>797.32</v>
      </c>
      <c r="T2136" s="783">
        <v>1506.08</v>
      </c>
      <c r="U2136" s="785">
        <v>44687.609837962998</v>
      </c>
    </row>
    <row r="2137" spans="1:21">
      <c r="A2137" s="782">
        <v>44598</v>
      </c>
      <c r="B2137" s="783" t="s">
        <v>74</v>
      </c>
      <c r="C2137" s="783" t="s">
        <v>4097</v>
      </c>
      <c r="D2137" s="783" t="s">
        <v>4038</v>
      </c>
      <c r="E2137" s="783" t="s">
        <v>4328</v>
      </c>
      <c r="F2137" s="783" t="s">
        <v>4011</v>
      </c>
      <c r="G2137" s="783" t="str">
        <f t="shared" si="112"/>
        <v>Renewal (20% in 2020)</v>
      </c>
      <c r="H2137" s="783" t="s">
        <v>4329</v>
      </c>
      <c r="I2137" s="783" t="s">
        <v>4330</v>
      </c>
      <c r="J2137" s="783">
        <v>25</v>
      </c>
      <c r="K2137" s="783" t="s">
        <v>910</v>
      </c>
      <c r="L2137" s="783" t="s">
        <v>4014</v>
      </c>
      <c r="M2137" s="784">
        <v>127465.60000000001</v>
      </c>
      <c r="N2137" s="784">
        <v>61</v>
      </c>
      <c r="O2137" s="784">
        <v>13.06</v>
      </c>
      <c r="P2137" s="783">
        <v>160</v>
      </c>
      <c r="Q2137" s="783">
        <v>6194.83</v>
      </c>
      <c r="R2137" s="783">
        <v>4448.55</v>
      </c>
      <c r="S2137" s="783">
        <v>713.81</v>
      </c>
      <c r="T2137" s="783">
        <v>1032.47</v>
      </c>
      <c r="U2137" s="785">
        <v>44631.626909722203</v>
      </c>
    </row>
    <row r="2138" spans="1:21">
      <c r="A2138" s="782">
        <v>44539</v>
      </c>
      <c r="B2138" s="783" t="s">
        <v>228</v>
      </c>
      <c r="C2138" s="783" t="s">
        <v>4491</v>
      </c>
      <c r="D2138" s="783" t="s">
        <v>4193</v>
      </c>
      <c r="E2138" s="783" t="s">
        <v>5367</v>
      </c>
      <c r="F2138" s="783" t="s">
        <v>4011</v>
      </c>
      <c r="G2138" s="783" t="str">
        <f t="shared" si="112"/>
        <v>New contract</v>
      </c>
      <c r="H2138" s="783" t="s">
        <v>5368</v>
      </c>
      <c r="I2138" s="783" t="s">
        <v>5369</v>
      </c>
      <c r="J2138" s="783">
        <v>20</v>
      </c>
      <c r="K2138" s="783" t="s">
        <v>910</v>
      </c>
      <c r="L2138" s="783" t="s">
        <v>4014</v>
      </c>
      <c r="M2138" s="784">
        <v>15450</v>
      </c>
      <c r="N2138" s="784">
        <v>10.3</v>
      </c>
      <c r="O2138" s="784">
        <v>7.5</v>
      </c>
      <c r="P2138" s="783">
        <v>200</v>
      </c>
      <c r="Q2138" s="783">
        <v>743.15</v>
      </c>
      <c r="R2138" s="783">
        <v>361.92</v>
      </c>
      <c r="S2138" s="783">
        <v>158.74</v>
      </c>
      <c r="T2138" s="783">
        <v>222.48</v>
      </c>
      <c r="U2138" s="785">
        <v>44631.626770833303</v>
      </c>
    </row>
    <row r="2139" spans="1:21">
      <c r="A2139" s="782">
        <v>44544</v>
      </c>
      <c r="B2139" s="783" t="s">
        <v>74</v>
      </c>
      <c r="C2139" s="783" t="s">
        <v>4097</v>
      </c>
      <c r="D2139" s="783" t="s">
        <v>4038</v>
      </c>
      <c r="E2139" s="783" t="s">
        <v>2961</v>
      </c>
      <c r="F2139" s="783" t="s">
        <v>4011</v>
      </c>
      <c r="G2139" s="783" t="str">
        <f t="shared" si="112"/>
        <v>New Contract</v>
      </c>
      <c r="H2139" s="783" t="s">
        <v>5373</v>
      </c>
      <c r="I2139" s="783" t="s">
        <v>5374</v>
      </c>
      <c r="J2139" s="783">
        <v>25</v>
      </c>
      <c r="K2139" s="783" t="s">
        <v>910</v>
      </c>
      <c r="L2139" s="783" t="s">
        <v>4014</v>
      </c>
      <c r="M2139" s="784">
        <v>42120</v>
      </c>
      <c r="N2139" s="784">
        <v>22.5</v>
      </c>
      <c r="O2139" s="784">
        <v>11.7</v>
      </c>
      <c r="P2139" s="783">
        <v>160</v>
      </c>
      <c r="Q2139" s="783">
        <v>2047.03</v>
      </c>
      <c r="R2139" s="783">
        <v>1469.99</v>
      </c>
      <c r="S2139" s="783">
        <v>235.87</v>
      </c>
      <c r="T2139" s="783">
        <v>341.17</v>
      </c>
      <c r="U2139" s="785">
        <v>44631.630868055603</v>
      </c>
    </row>
    <row r="2140" spans="1:21">
      <c r="A2140" s="782">
        <v>44615</v>
      </c>
      <c r="B2140" s="783" t="s">
        <v>74</v>
      </c>
      <c r="C2140" s="783" t="s">
        <v>4037</v>
      </c>
      <c r="D2140" s="783" t="s">
        <v>4038</v>
      </c>
      <c r="E2140" s="783" t="s">
        <v>4334</v>
      </c>
      <c r="F2140" s="783" t="s">
        <v>4011</v>
      </c>
      <c r="G2140" s="783" t="s">
        <v>4028</v>
      </c>
      <c r="H2140" s="783" t="s">
        <v>4335</v>
      </c>
      <c r="I2140" s="783" t="s">
        <v>4336</v>
      </c>
      <c r="J2140" s="783">
        <v>30</v>
      </c>
      <c r="K2140" s="783" t="s">
        <v>910</v>
      </c>
      <c r="L2140" s="783" t="s">
        <v>4014</v>
      </c>
      <c r="M2140" s="784">
        <v>96496.92</v>
      </c>
      <c r="N2140" s="784">
        <v>45.82</v>
      </c>
      <c r="O2140" s="784">
        <v>10.53</v>
      </c>
      <c r="P2140" s="783">
        <v>200</v>
      </c>
      <c r="Q2140" s="783">
        <v>6146.85</v>
      </c>
      <c r="R2140" s="783">
        <v>3806.32</v>
      </c>
      <c r="S2140" s="783">
        <v>922.03</v>
      </c>
      <c r="T2140" s="783">
        <v>1418.5</v>
      </c>
      <c r="U2140" s="785">
        <v>44631.511851851901</v>
      </c>
    </row>
    <row r="2141" spans="1:21">
      <c r="A2141" s="782">
        <v>44550</v>
      </c>
      <c r="B2141" s="783" t="s">
        <v>113</v>
      </c>
      <c r="C2141" s="783" t="s">
        <v>4097</v>
      </c>
      <c r="D2141" s="783" t="s">
        <v>4038</v>
      </c>
      <c r="E2141" s="783" t="s">
        <v>5389</v>
      </c>
      <c r="F2141" s="783" t="s">
        <v>4011</v>
      </c>
      <c r="G2141" s="783" t="str">
        <f t="shared" ref="G2141:G2147" si="113">VLOOKUP(I2141,pacage,2,FALSE)</f>
        <v>Renewal (20% in 2020)</v>
      </c>
      <c r="H2141" s="783" t="s">
        <v>5390</v>
      </c>
      <c r="I2141" s="783" t="s">
        <v>5391</v>
      </c>
      <c r="J2141" s="783">
        <v>25</v>
      </c>
      <c r="K2141" s="783" t="s">
        <v>910</v>
      </c>
      <c r="L2141" s="783" t="s">
        <v>4014</v>
      </c>
      <c r="M2141" s="784">
        <v>315820.62</v>
      </c>
      <c r="N2141" s="784">
        <v>110.97</v>
      </c>
      <c r="O2141" s="784">
        <v>14.23</v>
      </c>
      <c r="P2141" s="783">
        <v>200</v>
      </c>
      <c r="Q2141" s="783">
        <v>15348.88</v>
      </c>
      <c r="R2141" s="783">
        <v>8872.82</v>
      </c>
      <c r="S2141" s="783">
        <v>3917.91</v>
      </c>
      <c r="T2141" s="783">
        <v>2558.15</v>
      </c>
      <c r="U2141" s="785">
        <v>44631.630868055603</v>
      </c>
    </row>
    <row r="2142" spans="1:21">
      <c r="A2142" s="782">
        <v>44550</v>
      </c>
      <c r="B2142" s="783" t="s">
        <v>113</v>
      </c>
      <c r="C2142" s="783" t="s">
        <v>4097</v>
      </c>
      <c r="D2142" s="783" t="s">
        <v>4038</v>
      </c>
      <c r="E2142" s="783" t="s">
        <v>5392</v>
      </c>
      <c r="F2142" s="783" t="s">
        <v>4011</v>
      </c>
      <c r="G2142" s="783" t="str">
        <f t="shared" si="113"/>
        <v>Renewal (20% in 2020)</v>
      </c>
      <c r="H2142" s="783" t="s">
        <v>5393</v>
      </c>
      <c r="I2142" s="783" t="s">
        <v>5394</v>
      </c>
      <c r="J2142" s="783">
        <v>25</v>
      </c>
      <c r="K2142" s="783" t="s">
        <v>910</v>
      </c>
      <c r="L2142" s="783" t="s">
        <v>4014</v>
      </c>
      <c r="M2142" s="784">
        <v>78536.06</v>
      </c>
      <c r="N2142" s="784">
        <v>28.81</v>
      </c>
      <c r="O2142" s="784">
        <v>13.63</v>
      </c>
      <c r="P2142" s="783">
        <v>200</v>
      </c>
      <c r="Q2142" s="783">
        <v>3816.85</v>
      </c>
      <c r="R2142" s="783">
        <v>2206.4299999999998</v>
      </c>
      <c r="S2142" s="783">
        <v>974.28</v>
      </c>
      <c r="T2142" s="783">
        <v>636.14</v>
      </c>
      <c r="U2142" s="785">
        <v>44631.630844907399</v>
      </c>
    </row>
    <row r="2143" spans="1:21">
      <c r="A2143" s="782">
        <v>44543</v>
      </c>
      <c r="B2143" s="783" t="s">
        <v>65</v>
      </c>
      <c r="C2143" s="783" t="s">
        <v>4491</v>
      </c>
      <c r="D2143" s="783" t="s">
        <v>4193</v>
      </c>
      <c r="E2143" s="783" t="s">
        <v>5395</v>
      </c>
      <c r="F2143" s="783" t="s">
        <v>4011</v>
      </c>
      <c r="G2143" s="783" t="str">
        <f t="shared" si="113"/>
        <v>New Contract</v>
      </c>
      <c r="H2143" s="783" t="s">
        <v>5396</v>
      </c>
      <c r="I2143" s="783" t="s">
        <v>5397</v>
      </c>
      <c r="J2143" s="783">
        <v>25</v>
      </c>
      <c r="K2143" s="783" t="s">
        <v>910</v>
      </c>
      <c r="L2143" s="783" t="s">
        <v>4014</v>
      </c>
      <c r="M2143" s="784">
        <v>32970</v>
      </c>
      <c r="N2143" s="784">
        <v>25</v>
      </c>
      <c r="O2143" s="784">
        <v>9.42</v>
      </c>
      <c r="P2143" s="783">
        <v>140</v>
      </c>
      <c r="Q2143" s="783">
        <v>1219.8900000000001</v>
      </c>
      <c r="R2143" s="783">
        <v>959.43</v>
      </c>
      <c r="S2143" s="783">
        <v>151.66</v>
      </c>
      <c r="T2143" s="783">
        <v>108.8</v>
      </c>
      <c r="U2143" s="785">
        <v>44631.631053240701</v>
      </c>
    </row>
    <row r="2144" spans="1:21">
      <c r="A2144" s="782">
        <v>44545</v>
      </c>
      <c r="B2144" s="783" t="s">
        <v>113</v>
      </c>
      <c r="C2144" s="783" t="s">
        <v>4606</v>
      </c>
      <c r="D2144" s="783" t="s">
        <v>4009</v>
      </c>
      <c r="E2144" s="783" t="s">
        <v>1116</v>
      </c>
      <c r="F2144" s="783" t="s">
        <v>4011</v>
      </c>
      <c r="G2144" s="783" t="str">
        <f t="shared" si="113"/>
        <v>Renewal (15% in 2020)</v>
      </c>
      <c r="H2144" s="783" t="s">
        <v>6724</v>
      </c>
      <c r="I2144" s="783" t="s">
        <v>6725</v>
      </c>
      <c r="J2144" s="783">
        <v>15</v>
      </c>
      <c r="K2144" s="783" t="s">
        <v>910</v>
      </c>
      <c r="L2144" s="783" t="s">
        <v>4014</v>
      </c>
      <c r="M2144" s="784">
        <v>23059.8</v>
      </c>
      <c r="N2144" s="784">
        <v>11.14</v>
      </c>
      <c r="O2144" s="784">
        <v>11.5</v>
      </c>
      <c r="P2144" s="783">
        <v>180</v>
      </c>
      <c r="Q2144" s="783">
        <v>2056.9299999999998</v>
      </c>
      <c r="R2144" s="783">
        <v>763.15</v>
      </c>
      <c r="S2144" s="783">
        <v>228.42</v>
      </c>
      <c r="T2144" s="783">
        <v>1065.3599999999999</v>
      </c>
      <c r="U2144" s="785">
        <v>44631.630972222199</v>
      </c>
    </row>
    <row r="2145" spans="1:21">
      <c r="A2145" s="782">
        <v>44547</v>
      </c>
      <c r="B2145" s="783" t="s">
        <v>41</v>
      </c>
      <c r="C2145" s="783" t="s">
        <v>4092</v>
      </c>
      <c r="D2145" s="783" t="s">
        <v>4009</v>
      </c>
      <c r="E2145" s="783" t="s">
        <v>5427</v>
      </c>
      <c r="F2145" s="783" t="s">
        <v>4011</v>
      </c>
      <c r="G2145" s="783" t="str">
        <f t="shared" si="113"/>
        <v>New contract</v>
      </c>
      <c r="H2145" s="783" t="s">
        <v>5428</v>
      </c>
      <c r="I2145" s="783" t="s">
        <v>5429</v>
      </c>
      <c r="J2145" s="783">
        <v>25</v>
      </c>
      <c r="K2145" s="783" t="s">
        <v>910</v>
      </c>
      <c r="L2145" s="783" t="s">
        <v>4014</v>
      </c>
      <c r="M2145" s="784">
        <v>30571.97</v>
      </c>
      <c r="N2145" s="784">
        <v>19.2</v>
      </c>
      <c r="O2145" s="784">
        <v>9.89</v>
      </c>
      <c r="P2145" s="783">
        <v>161</v>
      </c>
      <c r="Q2145" s="783">
        <v>1412.42</v>
      </c>
      <c r="R2145" s="783">
        <v>1082.25</v>
      </c>
      <c r="S2145" s="783">
        <v>210.95</v>
      </c>
      <c r="T2145" s="783">
        <v>119.23</v>
      </c>
      <c r="U2145" s="785">
        <v>44631.631018518499</v>
      </c>
    </row>
    <row r="2146" spans="1:21">
      <c r="A2146" s="782">
        <v>44657</v>
      </c>
      <c r="B2146" s="783" t="s">
        <v>74</v>
      </c>
      <c r="C2146" s="783" t="s">
        <v>4037</v>
      </c>
      <c r="D2146" s="783" t="s">
        <v>4038</v>
      </c>
      <c r="E2146" s="783" t="s">
        <v>3455</v>
      </c>
      <c r="F2146" s="783" t="s">
        <v>4011</v>
      </c>
      <c r="G2146" s="783" t="str">
        <f t="shared" si="113"/>
        <v>Renewal (15% in 2020)</v>
      </c>
      <c r="H2146" s="783" t="s">
        <v>5433</v>
      </c>
      <c r="I2146" s="783" t="s">
        <v>5434</v>
      </c>
      <c r="J2146" s="783">
        <v>15</v>
      </c>
      <c r="K2146" s="783" t="s">
        <v>910</v>
      </c>
      <c r="L2146" s="783" t="s">
        <v>4014</v>
      </c>
      <c r="M2146" s="784">
        <v>91329.2</v>
      </c>
      <c r="N2146" s="784">
        <v>37.43</v>
      </c>
      <c r="O2146" s="784">
        <v>12.2</v>
      </c>
      <c r="P2146" s="783">
        <v>200</v>
      </c>
      <c r="Q2146" s="783">
        <v>9142.0499999999993</v>
      </c>
      <c r="R2146" s="783">
        <v>3602.48</v>
      </c>
      <c r="S2146" s="783">
        <v>1603.28</v>
      </c>
      <c r="T2146" s="783">
        <v>3936.29</v>
      </c>
      <c r="U2146" s="785">
        <v>44657.6333101852</v>
      </c>
    </row>
    <row r="2147" spans="1:21">
      <c r="A2147" s="782">
        <v>44666</v>
      </c>
      <c r="B2147" s="783" t="s">
        <v>41</v>
      </c>
      <c r="C2147" s="783" t="s">
        <v>4082</v>
      </c>
      <c r="D2147" s="783" t="s">
        <v>4009</v>
      </c>
      <c r="E2147" s="783" t="s">
        <v>5435</v>
      </c>
      <c r="F2147" s="783" t="s">
        <v>4011</v>
      </c>
      <c r="G2147" s="783" t="str">
        <f t="shared" si="113"/>
        <v>Renewal (20% in 2020)</v>
      </c>
      <c r="H2147" s="783" t="s">
        <v>5436</v>
      </c>
      <c r="I2147" s="783" t="s">
        <v>5437</v>
      </c>
      <c r="J2147" s="783">
        <v>25</v>
      </c>
      <c r="K2147" s="783" t="s">
        <v>910</v>
      </c>
      <c r="L2147" s="783" t="s">
        <v>4014</v>
      </c>
      <c r="M2147" s="784">
        <v>21367.200000000001</v>
      </c>
      <c r="N2147" s="784">
        <v>12</v>
      </c>
      <c r="O2147" s="784">
        <v>12.28</v>
      </c>
      <c r="P2147" s="783">
        <v>145</v>
      </c>
      <c r="Q2147" s="783">
        <v>987.16</v>
      </c>
      <c r="R2147" s="783">
        <v>758.54</v>
      </c>
      <c r="S2147" s="783">
        <v>143.16</v>
      </c>
      <c r="T2147" s="783">
        <v>85.47</v>
      </c>
      <c r="U2147" s="785">
        <v>44671.479236111103</v>
      </c>
    </row>
    <row r="2148" spans="1:21">
      <c r="A2148" s="782">
        <v>44678</v>
      </c>
      <c r="B2148" s="783" t="s">
        <v>113</v>
      </c>
      <c r="C2148" s="783" t="s">
        <v>4606</v>
      </c>
      <c r="D2148" s="783" t="s">
        <v>4009</v>
      </c>
      <c r="E2148" s="783" t="s">
        <v>6726</v>
      </c>
      <c r="F2148" s="783" t="s">
        <v>4011</v>
      </c>
      <c r="G2148" s="783" t="s">
        <v>4028</v>
      </c>
      <c r="H2148" s="783" t="s">
        <v>6727</v>
      </c>
      <c r="I2148" s="783" t="s">
        <v>6728</v>
      </c>
      <c r="J2148" s="783">
        <v>30</v>
      </c>
      <c r="K2148" s="783" t="s">
        <v>910</v>
      </c>
      <c r="L2148" s="783" t="s">
        <v>4014</v>
      </c>
      <c r="M2148" s="784">
        <v>54065.02</v>
      </c>
      <c r="N2148" s="784">
        <v>20.55</v>
      </c>
      <c r="O2148" s="784">
        <v>12.57</v>
      </c>
      <c r="P2148" s="783">
        <v>209.3</v>
      </c>
      <c r="Q2148" s="783">
        <v>2703.25</v>
      </c>
      <c r="R2148" s="783">
        <v>1538.77</v>
      </c>
      <c r="S2148" s="783">
        <v>461.63</v>
      </c>
      <c r="T2148" s="783">
        <v>702.85</v>
      </c>
      <c r="U2148" s="785">
        <v>44680.641724537003</v>
      </c>
    </row>
    <row r="2149" spans="1:21">
      <c r="A2149" s="782">
        <v>44678</v>
      </c>
      <c r="B2149" s="783" t="s">
        <v>113</v>
      </c>
      <c r="C2149" s="783" t="s">
        <v>4598</v>
      </c>
      <c r="D2149" s="783" t="s">
        <v>4009</v>
      </c>
      <c r="E2149" s="783" t="s">
        <v>6726</v>
      </c>
      <c r="F2149" s="783" t="s">
        <v>4011</v>
      </c>
      <c r="G2149" s="783" t="s">
        <v>4028</v>
      </c>
      <c r="H2149" s="783" t="s">
        <v>6727</v>
      </c>
      <c r="I2149" s="783" t="s">
        <v>6728</v>
      </c>
      <c r="J2149" s="783">
        <v>30</v>
      </c>
      <c r="K2149" s="783" t="s">
        <v>910</v>
      </c>
      <c r="L2149" s="783" t="s">
        <v>4014</v>
      </c>
      <c r="M2149" s="784">
        <v>113128.74</v>
      </c>
      <c r="N2149" s="784">
        <v>43</v>
      </c>
      <c r="O2149" s="784">
        <v>12.57</v>
      </c>
      <c r="P2149" s="783">
        <v>209.3</v>
      </c>
      <c r="Q2149" s="783">
        <v>4909.79</v>
      </c>
      <c r="R2149" s="783">
        <v>2828.22</v>
      </c>
      <c r="S2149" s="783">
        <v>848.47</v>
      </c>
      <c r="T2149" s="783">
        <v>1233.0999999999999</v>
      </c>
      <c r="U2149" s="785">
        <v>44680.641724537003</v>
      </c>
    </row>
    <row r="2150" spans="1:21">
      <c r="A2150" s="782">
        <v>44678</v>
      </c>
      <c r="B2150" s="783" t="s">
        <v>118</v>
      </c>
      <c r="C2150" s="783" t="s">
        <v>4139</v>
      </c>
      <c r="D2150" s="783" t="s">
        <v>4009</v>
      </c>
      <c r="E2150" s="783" t="s">
        <v>1097</v>
      </c>
      <c r="F2150" s="783" t="s">
        <v>4011</v>
      </c>
      <c r="G2150" s="783" t="str">
        <f t="shared" ref="G2150:G2165" si="114">VLOOKUP(I2150,pacage,2,FALSE)</f>
        <v>New contract</v>
      </c>
      <c r="H2150" s="783" t="s">
        <v>4235</v>
      </c>
      <c r="I2150" s="783" t="s">
        <v>4236</v>
      </c>
      <c r="J2150" s="783">
        <v>25</v>
      </c>
      <c r="K2150" s="783" t="s">
        <v>910</v>
      </c>
      <c r="L2150" s="783" t="s">
        <v>4014</v>
      </c>
      <c r="M2150" s="784">
        <v>22155.360000000001</v>
      </c>
      <c r="N2150" s="784">
        <v>13.71</v>
      </c>
      <c r="O2150" s="784">
        <v>10.1</v>
      </c>
      <c r="P2150" s="783">
        <v>160</v>
      </c>
      <c r="Q2150" s="783">
        <v>1012.5</v>
      </c>
      <c r="R2150" s="783">
        <v>799.81</v>
      </c>
      <c r="S2150" s="783">
        <v>130.72</v>
      </c>
      <c r="T2150" s="783">
        <v>81.97</v>
      </c>
      <c r="U2150" s="785">
        <v>44680.660208333298</v>
      </c>
    </row>
    <row r="2151" spans="1:21">
      <c r="A2151" s="782">
        <v>44678</v>
      </c>
      <c r="B2151" s="783" t="s">
        <v>113</v>
      </c>
      <c r="C2151" s="783" t="s">
        <v>4606</v>
      </c>
      <c r="D2151" s="783" t="s">
        <v>4009</v>
      </c>
      <c r="E2151" s="783" t="s">
        <v>6729</v>
      </c>
      <c r="F2151" s="783" t="s">
        <v>4011</v>
      </c>
      <c r="G2151" s="783" t="str">
        <f t="shared" si="114"/>
        <v>Renewal (20% in 2020)</v>
      </c>
      <c r="H2151" s="783" t="s">
        <v>6730</v>
      </c>
      <c r="I2151" s="783" t="s">
        <v>6731</v>
      </c>
      <c r="J2151" s="783">
        <v>20</v>
      </c>
      <c r="K2151" s="783" t="s">
        <v>910</v>
      </c>
      <c r="L2151" s="783" t="s">
        <v>4014</v>
      </c>
      <c r="M2151" s="784">
        <v>7891.2</v>
      </c>
      <c r="N2151" s="784">
        <v>4</v>
      </c>
      <c r="O2151" s="784">
        <v>12.33</v>
      </c>
      <c r="P2151" s="783">
        <v>160</v>
      </c>
      <c r="Q2151" s="783">
        <v>546.07000000000005</v>
      </c>
      <c r="R2151" s="783">
        <v>291.97000000000003</v>
      </c>
      <c r="S2151" s="783">
        <v>47.35</v>
      </c>
      <c r="T2151" s="783">
        <v>206.75</v>
      </c>
      <c r="U2151" s="785">
        <v>44680.667962963002</v>
      </c>
    </row>
    <row r="2152" spans="1:21">
      <c r="A2152" s="782">
        <v>44678</v>
      </c>
      <c r="B2152" s="783" t="s">
        <v>113</v>
      </c>
      <c r="C2152" s="783" t="s">
        <v>4097</v>
      </c>
      <c r="D2152" s="783" t="s">
        <v>4038</v>
      </c>
      <c r="E2152" s="783" t="s">
        <v>5449</v>
      </c>
      <c r="F2152" s="783" t="s">
        <v>4011</v>
      </c>
      <c r="G2152" s="783" t="str">
        <f t="shared" si="114"/>
        <v>Renewal (15% in 2020)</v>
      </c>
      <c r="H2152" s="783" t="s">
        <v>5450</v>
      </c>
      <c r="I2152" s="783" t="s">
        <v>5451</v>
      </c>
      <c r="J2152" s="783">
        <v>15</v>
      </c>
      <c r="K2152" s="783" t="s">
        <v>910</v>
      </c>
      <c r="L2152" s="783" t="s">
        <v>4014</v>
      </c>
      <c r="M2152" s="784">
        <v>52744.7</v>
      </c>
      <c r="N2152" s="784">
        <v>29.86</v>
      </c>
      <c r="O2152" s="784">
        <v>11.04</v>
      </c>
      <c r="P2152" s="783">
        <v>160</v>
      </c>
      <c r="Q2152" s="783">
        <v>3628.84</v>
      </c>
      <c r="R2152" s="783">
        <v>1840.79</v>
      </c>
      <c r="S2152" s="783">
        <v>295.37</v>
      </c>
      <c r="T2152" s="783">
        <v>1492.68</v>
      </c>
      <c r="U2152" s="785">
        <v>44680.656597222202</v>
      </c>
    </row>
    <row r="2153" spans="1:21">
      <c r="A2153" s="782">
        <v>44680</v>
      </c>
      <c r="B2153" s="783" t="s">
        <v>113</v>
      </c>
      <c r="C2153" s="783" t="s">
        <v>4606</v>
      </c>
      <c r="D2153" s="783" t="s">
        <v>4009</v>
      </c>
      <c r="E2153" s="783" t="s">
        <v>6660</v>
      </c>
      <c r="F2153" s="783" t="s">
        <v>4011</v>
      </c>
      <c r="G2153" s="783" t="str">
        <f t="shared" si="114"/>
        <v>Renewal (30% in 2020)</v>
      </c>
      <c r="H2153" s="783" t="s">
        <v>6661</v>
      </c>
      <c r="I2153" s="783" t="s">
        <v>6662</v>
      </c>
      <c r="J2153" s="783">
        <v>30</v>
      </c>
      <c r="K2153" s="783" t="s">
        <v>910</v>
      </c>
      <c r="L2153" s="783" t="s">
        <v>4014</v>
      </c>
      <c r="M2153" s="784">
        <v>66517.5</v>
      </c>
      <c r="N2153" s="784">
        <v>35</v>
      </c>
      <c r="O2153" s="784">
        <v>12.67</v>
      </c>
      <c r="P2153" s="783">
        <v>150</v>
      </c>
      <c r="Q2153" s="783">
        <v>3325.88</v>
      </c>
      <c r="R2153" s="783">
        <v>2461.15</v>
      </c>
      <c r="S2153" s="783">
        <v>0</v>
      </c>
      <c r="T2153" s="783">
        <v>864.73</v>
      </c>
      <c r="U2153" s="785">
        <v>44683.466747685197</v>
      </c>
    </row>
    <row r="2154" spans="1:21">
      <c r="A2154" s="782">
        <v>44680</v>
      </c>
      <c r="B2154" s="783" t="s">
        <v>113</v>
      </c>
      <c r="C2154" s="783" t="s">
        <v>4097</v>
      </c>
      <c r="D2154" s="783" t="s">
        <v>4038</v>
      </c>
      <c r="E2154" s="783" t="s">
        <v>5493</v>
      </c>
      <c r="F2154" s="783" t="s">
        <v>4011</v>
      </c>
      <c r="G2154" s="783" t="str">
        <f t="shared" si="114"/>
        <v>Renewal (15% in 2020)</v>
      </c>
      <c r="H2154" s="783" t="s">
        <v>5494</v>
      </c>
      <c r="I2154" s="783" t="s">
        <v>5495</v>
      </c>
      <c r="J2154" s="783">
        <v>15</v>
      </c>
      <c r="K2154" s="783" t="s">
        <v>910</v>
      </c>
      <c r="L2154" s="783" t="s">
        <v>4014</v>
      </c>
      <c r="M2154" s="784">
        <v>126316.08</v>
      </c>
      <c r="N2154" s="784">
        <v>67.650000000000006</v>
      </c>
      <c r="O2154" s="784">
        <v>11.67</v>
      </c>
      <c r="P2154" s="783">
        <v>160</v>
      </c>
      <c r="Q2154" s="783">
        <v>8690.5499999999993</v>
      </c>
      <c r="R2154" s="783">
        <v>4408.43</v>
      </c>
      <c r="S2154" s="783">
        <v>707.37</v>
      </c>
      <c r="T2154" s="783">
        <v>3574.75</v>
      </c>
      <c r="U2154" s="785">
        <v>44683.465462963002</v>
      </c>
    </row>
    <row r="2155" spans="1:21">
      <c r="A2155" s="782">
        <v>44690</v>
      </c>
      <c r="B2155" s="783" t="s">
        <v>113</v>
      </c>
      <c r="C2155" s="783" t="s">
        <v>4606</v>
      </c>
      <c r="D2155" s="783" t="s">
        <v>4009</v>
      </c>
      <c r="E2155" s="783" t="s">
        <v>6732</v>
      </c>
      <c r="F2155" s="783" t="s">
        <v>4011</v>
      </c>
      <c r="G2155" s="783" t="str">
        <f t="shared" si="114"/>
        <v>Renewal (20% in 2020)</v>
      </c>
      <c r="H2155" s="783" t="s">
        <v>6733</v>
      </c>
      <c r="I2155" s="783" t="s">
        <v>6734</v>
      </c>
      <c r="J2155" s="783">
        <v>15</v>
      </c>
      <c r="K2155" s="783" t="s">
        <v>910</v>
      </c>
      <c r="L2155" s="783" t="s">
        <v>4014</v>
      </c>
      <c r="M2155" s="784">
        <v>77073.919999999998</v>
      </c>
      <c r="N2155" s="784">
        <v>37.4</v>
      </c>
      <c r="O2155" s="784">
        <v>12.88</v>
      </c>
      <c r="P2155" s="783">
        <v>160</v>
      </c>
      <c r="Q2155" s="783">
        <v>6874.99</v>
      </c>
      <c r="R2155" s="783">
        <v>2851.74</v>
      </c>
      <c r="S2155" s="783">
        <v>462.44</v>
      </c>
      <c r="T2155" s="783">
        <v>3560.82</v>
      </c>
      <c r="U2155" s="785">
        <v>44690.670509259297</v>
      </c>
    </row>
    <row r="2156" spans="1:21">
      <c r="A2156" s="782">
        <v>44683</v>
      </c>
      <c r="B2156" s="783" t="s">
        <v>113</v>
      </c>
      <c r="C2156" s="783" t="s">
        <v>4606</v>
      </c>
      <c r="D2156" s="783" t="s">
        <v>4009</v>
      </c>
      <c r="E2156" s="783" t="s">
        <v>2966</v>
      </c>
      <c r="F2156" s="783" t="s">
        <v>4011</v>
      </c>
      <c r="G2156" s="783" t="str">
        <f t="shared" si="114"/>
        <v>Renewal (25% in 2020)</v>
      </c>
      <c r="H2156" s="783" t="s">
        <v>6735</v>
      </c>
      <c r="I2156" s="783" t="s">
        <v>6736</v>
      </c>
      <c r="J2156" s="783">
        <v>20</v>
      </c>
      <c r="K2156" s="783" t="s">
        <v>910</v>
      </c>
      <c r="L2156" s="783" t="s">
        <v>4014</v>
      </c>
      <c r="M2156" s="784">
        <v>25070.1</v>
      </c>
      <c r="N2156" s="784">
        <v>14.2</v>
      </c>
      <c r="O2156" s="784">
        <v>10.7</v>
      </c>
      <c r="P2156" s="783">
        <v>165</v>
      </c>
      <c r="Q2156" s="783">
        <v>1734.85</v>
      </c>
      <c r="R2156" s="783">
        <v>905.11</v>
      </c>
      <c r="S2156" s="783">
        <v>172.91</v>
      </c>
      <c r="T2156" s="783">
        <v>656.84</v>
      </c>
      <c r="U2156" s="785">
        <v>44684.397731481498</v>
      </c>
    </row>
    <row r="2157" spans="1:21">
      <c r="A2157" s="782">
        <v>44686</v>
      </c>
      <c r="B2157" s="783" t="s">
        <v>41</v>
      </c>
      <c r="C2157" s="783" t="s">
        <v>4071</v>
      </c>
      <c r="D2157" s="783" t="s">
        <v>4009</v>
      </c>
      <c r="E2157" s="783" t="s">
        <v>5523</v>
      </c>
      <c r="F2157" s="783" t="s">
        <v>4011</v>
      </c>
      <c r="G2157" s="783" t="str">
        <f t="shared" si="114"/>
        <v>Renewal (20% in 2020)</v>
      </c>
      <c r="H2157" s="783" t="s">
        <v>5524</v>
      </c>
      <c r="I2157" s="783" t="s">
        <v>5525</v>
      </c>
      <c r="J2157" s="783">
        <v>20</v>
      </c>
      <c r="K2157" s="783" t="s">
        <v>910</v>
      </c>
      <c r="L2157" s="783" t="s">
        <v>4014</v>
      </c>
      <c r="M2157" s="784">
        <v>48885.26</v>
      </c>
      <c r="N2157" s="784">
        <v>29.14</v>
      </c>
      <c r="O2157" s="784">
        <v>9.32</v>
      </c>
      <c r="P2157" s="783">
        <v>180</v>
      </c>
      <c r="Q2157" s="783">
        <v>3705.5</v>
      </c>
      <c r="R2157" s="783">
        <v>2006.98</v>
      </c>
      <c r="S2157" s="783">
        <v>598.6</v>
      </c>
      <c r="T2157" s="783">
        <v>1099.92</v>
      </c>
      <c r="U2157" s="785">
        <v>44687.626284722202</v>
      </c>
    </row>
    <row r="2158" spans="1:21">
      <c r="A2158" s="782">
        <v>44678</v>
      </c>
      <c r="B2158" s="783" t="s">
        <v>41</v>
      </c>
      <c r="C2158" s="783" t="s">
        <v>4008</v>
      </c>
      <c r="D2158" s="783" t="s">
        <v>4009</v>
      </c>
      <c r="E2158" s="783" t="s">
        <v>5532</v>
      </c>
      <c r="F2158" s="783" t="s">
        <v>4011</v>
      </c>
      <c r="G2158" s="783" t="str">
        <f t="shared" si="114"/>
        <v>Renewal (15% in 2020)</v>
      </c>
      <c r="H2158" s="783" t="s">
        <v>5533</v>
      </c>
      <c r="I2158" s="783" t="s">
        <v>5534</v>
      </c>
      <c r="J2158" s="783">
        <v>15</v>
      </c>
      <c r="K2158" s="783" t="s">
        <v>910</v>
      </c>
      <c r="L2158" s="783" t="s">
        <v>4014</v>
      </c>
      <c r="M2158" s="784">
        <v>6293.75</v>
      </c>
      <c r="N2158" s="784">
        <v>2.5</v>
      </c>
      <c r="O2158" s="784">
        <v>10.07</v>
      </c>
      <c r="P2158" s="783">
        <v>250</v>
      </c>
      <c r="Q2158" s="783">
        <v>565.17999999999995</v>
      </c>
      <c r="R2158" s="783">
        <v>156.05000000000001</v>
      </c>
      <c r="S2158" s="783">
        <v>125.91</v>
      </c>
      <c r="T2158" s="783">
        <v>283.22000000000003</v>
      </c>
      <c r="U2158" s="785">
        <v>44680.657766203702</v>
      </c>
    </row>
    <row r="2159" spans="1:21">
      <c r="A2159" s="782">
        <v>44714</v>
      </c>
      <c r="B2159" s="783" t="s">
        <v>41</v>
      </c>
      <c r="C2159" s="783" t="s">
        <v>4008</v>
      </c>
      <c r="D2159" s="783" t="s">
        <v>4009</v>
      </c>
      <c r="E2159" s="783" t="s">
        <v>5535</v>
      </c>
      <c r="F2159" s="783" t="s">
        <v>4011</v>
      </c>
      <c r="G2159" s="783" t="str">
        <f t="shared" si="114"/>
        <v>Renewal (20% in 2020)</v>
      </c>
      <c r="H2159" s="783" t="s">
        <v>5536</v>
      </c>
      <c r="I2159" s="783" t="s">
        <v>5537</v>
      </c>
      <c r="J2159" s="783">
        <v>20</v>
      </c>
      <c r="K2159" s="783" t="s">
        <v>910</v>
      </c>
      <c r="L2159" s="783" t="s">
        <v>4014</v>
      </c>
      <c r="M2159" s="784">
        <v>33969.69</v>
      </c>
      <c r="N2159" s="784">
        <v>19.93</v>
      </c>
      <c r="O2159" s="784">
        <v>10.33</v>
      </c>
      <c r="P2159" s="783">
        <v>165</v>
      </c>
      <c r="Q2159" s="783">
        <v>2303.14</v>
      </c>
      <c r="R2159" s="783">
        <v>1276.1300000000001</v>
      </c>
      <c r="S2159" s="783">
        <v>245.71</v>
      </c>
      <c r="T2159" s="783">
        <v>781.3</v>
      </c>
      <c r="U2159" s="785">
        <v>44715.5711226852</v>
      </c>
    </row>
    <row r="2160" spans="1:21">
      <c r="A2160" s="782">
        <v>44680</v>
      </c>
      <c r="B2160" s="783" t="s">
        <v>113</v>
      </c>
      <c r="C2160" s="783" t="s">
        <v>4606</v>
      </c>
      <c r="D2160" s="783" t="s">
        <v>4009</v>
      </c>
      <c r="E2160" s="783" t="s">
        <v>6737</v>
      </c>
      <c r="F2160" s="783" t="s">
        <v>4011</v>
      </c>
      <c r="G2160" s="783" t="str">
        <f t="shared" si="114"/>
        <v>Renewal (20% in 2020)</v>
      </c>
      <c r="H2160" s="783" t="s">
        <v>6738</v>
      </c>
      <c r="I2160" s="783" t="s">
        <v>6739</v>
      </c>
      <c r="J2160" s="783">
        <v>20</v>
      </c>
      <c r="K2160" s="783" t="s">
        <v>910</v>
      </c>
      <c r="L2160" s="783" t="s">
        <v>4014</v>
      </c>
      <c r="M2160" s="784">
        <v>28344.78</v>
      </c>
      <c r="N2160" s="784">
        <v>15.7</v>
      </c>
      <c r="O2160" s="784">
        <v>10.62</v>
      </c>
      <c r="P2160" s="783">
        <v>170</v>
      </c>
      <c r="Q2160" s="783">
        <v>1961.46</v>
      </c>
      <c r="R2160" s="783">
        <v>993.23</v>
      </c>
      <c r="S2160" s="783">
        <v>225.59</v>
      </c>
      <c r="T2160" s="783">
        <v>742.63</v>
      </c>
      <c r="U2160" s="785">
        <v>44683.498900462997</v>
      </c>
    </row>
    <row r="2161" spans="1:21">
      <c r="A2161" s="782">
        <v>44680</v>
      </c>
      <c r="B2161" s="783" t="s">
        <v>228</v>
      </c>
      <c r="C2161" s="783" t="s">
        <v>4675</v>
      </c>
      <c r="D2161" s="783" t="s">
        <v>4193</v>
      </c>
      <c r="E2161" s="783" t="s">
        <v>5541</v>
      </c>
      <c r="F2161" s="783" t="s">
        <v>4011</v>
      </c>
      <c r="G2161" s="783" t="str">
        <f t="shared" si="114"/>
        <v>Renewal (20% in 2020)</v>
      </c>
      <c r="H2161" s="783" t="s">
        <v>5542</v>
      </c>
      <c r="I2161" s="783" t="s">
        <v>5543</v>
      </c>
      <c r="J2161" s="783">
        <v>25</v>
      </c>
      <c r="K2161" s="783" t="s">
        <v>910</v>
      </c>
      <c r="L2161" s="783" t="s">
        <v>4014</v>
      </c>
      <c r="M2161" s="784">
        <v>169449.28</v>
      </c>
      <c r="N2161" s="784">
        <v>73.599999999999994</v>
      </c>
      <c r="O2161" s="784">
        <v>10.01</v>
      </c>
      <c r="P2161" s="783">
        <v>230</v>
      </c>
      <c r="Q2161" s="783">
        <v>9218.0400000000009</v>
      </c>
      <c r="R2161" s="783">
        <v>4756.4399999999996</v>
      </c>
      <c r="S2161" s="783">
        <v>3139.9</v>
      </c>
      <c r="T2161" s="783">
        <v>1321.7</v>
      </c>
      <c r="U2161" s="785">
        <v>44683.503043981502</v>
      </c>
    </row>
    <row r="2162" spans="1:21">
      <c r="A2162" s="782">
        <v>44693</v>
      </c>
      <c r="B2162" s="783" t="s">
        <v>41</v>
      </c>
      <c r="C2162" s="783" t="s">
        <v>4008</v>
      </c>
      <c r="D2162" s="783" t="s">
        <v>4009</v>
      </c>
      <c r="E2162" s="783" t="s">
        <v>5555</v>
      </c>
      <c r="F2162" s="783" t="s">
        <v>4011</v>
      </c>
      <c r="G2162" s="783" t="str">
        <f t="shared" si="114"/>
        <v>Renewal (20% in 2020)</v>
      </c>
      <c r="H2162" s="783" t="s">
        <v>5556</v>
      </c>
      <c r="I2162" s="783" t="s">
        <v>5557</v>
      </c>
      <c r="J2162" s="783">
        <v>20</v>
      </c>
      <c r="K2162" s="783" t="s">
        <v>910</v>
      </c>
      <c r="L2162" s="783" t="s">
        <v>4014</v>
      </c>
      <c r="M2162" s="784">
        <v>12853.13</v>
      </c>
      <c r="N2162" s="784">
        <v>9.19</v>
      </c>
      <c r="O2162" s="784">
        <v>7.77</v>
      </c>
      <c r="P2162" s="783">
        <v>180</v>
      </c>
      <c r="Q2162" s="783">
        <v>871.44</v>
      </c>
      <c r="R2162" s="783">
        <v>442.61</v>
      </c>
      <c r="S2162" s="783">
        <v>133.21</v>
      </c>
      <c r="T2162" s="783">
        <v>295.62</v>
      </c>
      <c r="U2162" s="785">
        <v>44693.465833333299</v>
      </c>
    </row>
    <row r="2163" spans="1:21">
      <c r="A2163" s="782">
        <v>44685</v>
      </c>
      <c r="B2163" s="783" t="s">
        <v>113</v>
      </c>
      <c r="C2163" s="783" t="s">
        <v>4606</v>
      </c>
      <c r="D2163" s="783" t="s">
        <v>4009</v>
      </c>
      <c r="E2163" s="783" t="s">
        <v>6740</v>
      </c>
      <c r="F2163" s="783" t="s">
        <v>4011</v>
      </c>
      <c r="G2163" s="783" t="str">
        <f t="shared" si="114"/>
        <v>Renewal (15% in 2020)</v>
      </c>
      <c r="H2163" s="783" t="s">
        <v>6741</v>
      </c>
      <c r="I2163" s="783" t="s">
        <v>6742</v>
      </c>
      <c r="J2163" s="783">
        <v>15</v>
      </c>
      <c r="K2163" s="783" t="s">
        <v>910</v>
      </c>
      <c r="L2163" s="783" t="s">
        <v>4014</v>
      </c>
      <c r="M2163" s="784">
        <v>29260</v>
      </c>
      <c r="N2163" s="784">
        <v>14</v>
      </c>
      <c r="O2163" s="784">
        <v>11</v>
      </c>
      <c r="P2163" s="783">
        <v>190</v>
      </c>
      <c r="Q2163" s="783">
        <v>2609.9899999999998</v>
      </c>
      <c r="R2163" s="783">
        <v>917.38</v>
      </c>
      <c r="S2163" s="783">
        <v>340.8</v>
      </c>
      <c r="T2163" s="783">
        <v>1351.81</v>
      </c>
      <c r="U2163" s="785">
        <v>44685.637060185203</v>
      </c>
    </row>
    <row r="2164" spans="1:21">
      <c r="A2164" s="782">
        <v>44686</v>
      </c>
      <c r="B2164" s="783" t="s">
        <v>113</v>
      </c>
      <c r="C2164" s="783" t="s">
        <v>4598</v>
      </c>
      <c r="D2164" s="783" t="s">
        <v>4009</v>
      </c>
      <c r="E2164" s="783" t="s">
        <v>6663</v>
      </c>
      <c r="F2164" s="783" t="s">
        <v>4011</v>
      </c>
      <c r="G2164" s="783" t="str">
        <f t="shared" si="114"/>
        <v>Renewal (25% in 2020)</v>
      </c>
      <c r="H2164" s="783" t="s">
        <v>6664</v>
      </c>
      <c r="I2164" s="783" t="s">
        <v>6665</v>
      </c>
      <c r="J2164" s="783">
        <v>30</v>
      </c>
      <c r="K2164" s="783" t="s">
        <v>910</v>
      </c>
      <c r="L2164" s="783" t="s">
        <v>4014</v>
      </c>
      <c r="M2164" s="784">
        <v>62912</v>
      </c>
      <c r="N2164" s="784">
        <v>32</v>
      </c>
      <c r="O2164" s="784">
        <v>9.83</v>
      </c>
      <c r="P2164" s="783">
        <v>200</v>
      </c>
      <c r="Q2164" s="783">
        <v>2730.38</v>
      </c>
      <c r="R2164" s="783">
        <v>1645.94</v>
      </c>
      <c r="S2164" s="783">
        <v>398.7</v>
      </c>
      <c r="T2164" s="783">
        <v>685.74</v>
      </c>
      <c r="U2164" s="785">
        <v>44687.666585648098</v>
      </c>
    </row>
    <row r="2165" spans="1:21">
      <c r="A2165" s="782">
        <v>44705</v>
      </c>
      <c r="B2165" s="783" t="s">
        <v>41</v>
      </c>
      <c r="C2165" s="783" t="s">
        <v>4082</v>
      </c>
      <c r="D2165" s="783" t="s">
        <v>4009</v>
      </c>
      <c r="E2165" s="783" t="s">
        <v>535</v>
      </c>
      <c r="F2165" s="783" t="s">
        <v>4011</v>
      </c>
      <c r="G2165" s="783" t="str">
        <f t="shared" si="114"/>
        <v>Renewal (20% in 2020)</v>
      </c>
      <c r="H2165" s="783" t="s">
        <v>5563</v>
      </c>
      <c r="I2165" s="783" t="s">
        <v>5564</v>
      </c>
      <c r="J2165" s="783">
        <v>20</v>
      </c>
      <c r="K2165" s="783" t="s">
        <v>910</v>
      </c>
      <c r="L2165" s="783" t="s">
        <v>4014</v>
      </c>
      <c r="M2165" s="784">
        <v>19222.97</v>
      </c>
      <c r="N2165" s="784">
        <v>11.19</v>
      </c>
      <c r="O2165" s="784">
        <v>10.67</v>
      </c>
      <c r="P2165" s="783">
        <v>161</v>
      </c>
      <c r="Q2165" s="783">
        <v>1157.22</v>
      </c>
      <c r="R2165" s="783">
        <v>682.42</v>
      </c>
      <c r="S2165" s="783">
        <v>128.79</v>
      </c>
      <c r="T2165" s="783">
        <v>346.01</v>
      </c>
      <c r="U2165" s="785">
        <v>44706.465775463003</v>
      </c>
    </row>
    <row r="2166" spans="1:21">
      <c r="A2166" s="782">
        <v>44700</v>
      </c>
      <c r="B2166" s="783" t="s">
        <v>41</v>
      </c>
      <c r="C2166" s="783" t="s">
        <v>4071</v>
      </c>
      <c r="D2166" s="783" t="s">
        <v>4009</v>
      </c>
      <c r="E2166" s="783" t="s">
        <v>5565</v>
      </c>
      <c r="F2166" s="783" t="s">
        <v>4011</v>
      </c>
      <c r="G2166" s="783" t="s">
        <v>4028</v>
      </c>
      <c r="H2166" s="783" t="s">
        <v>5566</v>
      </c>
      <c r="I2166" s="783" t="s">
        <v>5567</v>
      </c>
      <c r="J2166" s="783">
        <v>25</v>
      </c>
      <c r="K2166" s="783" t="s">
        <v>910</v>
      </c>
      <c r="L2166" s="783" t="s">
        <v>4014</v>
      </c>
      <c r="M2166" s="784">
        <v>32987.79</v>
      </c>
      <c r="N2166" s="784">
        <v>23.47</v>
      </c>
      <c r="O2166" s="784">
        <v>8.73</v>
      </c>
      <c r="P2166" s="783">
        <v>161</v>
      </c>
      <c r="Q2166" s="783">
        <v>1923.19</v>
      </c>
      <c r="R2166" s="783">
        <v>1514.14</v>
      </c>
      <c r="S2166" s="783">
        <v>244.11</v>
      </c>
      <c r="T2166" s="783">
        <v>164.94</v>
      </c>
      <c r="U2166" s="785">
        <v>44705.666585648098</v>
      </c>
    </row>
    <row r="2167" spans="1:21">
      <c r="A2167" s="782">
        <v>44715</v>
      </c>
      <c r="B2167" s="783" t="s">
        <v>4025</v>
      </c>
      <c r="C2167" s="783" t="s">
        <v>4026</v>
      </c>
      <c r="D2167" s="783" t="s">
        <v>4021</v>
      </c>
      <c r="E2167" s="783" t="s">
        <v>5614</v>
      </c>
      <c r="F2167" s="783" t="s">
        <v>4011</v>
      </c>
      <c r="G2167" s="783" t="str">
        <f t="shared" ref="G2167:G2180" si="115">VLOOKUP(I2167,pacage,2,FALSE)</f>
        <v>New contract</v>
      </c>
      <c r="H2167" s="783" t="s">
        <v>5615</v>
      </c>
      <c r="I2167" s="783" t="s">
        <v>5616</v>
      </c>
      <c r="J2167" s="783">
        <v>25</v>
      </c>
      <c r="K2167" s="783" t="s">
        <v>910</v>
      </c>
      <c r="L2167" s="783" t="s">
        <v>4014</v>
      </c>
      <c r="M2167" s="784">
        <v>75544.570000000007</v>
      </c>
      <c r="N2167" s="784">
        <v>40.99</v>
      </c>
      <c r="O2167" s="784">
        <v>9.6999999999999993</v>
      </c>
      <c r="P2167" s="783">
        <v>190</v>
      </c>
      <c r="Q2167" s="783">
        <v>4283.38</v>
      </c>
      <c r="R2167" s="783">
        <v>2682.19</v>
      </c>
      <c r="S2167" s="783">
        <v>989.28</v>
      </c>
      <c r="T2167" s="783">
        <v>611.91</v>
      </c>
      <c r="U2167" s="785">
        <v>44715.462627314802</v>
      </c>
    </row>
    <row r="2168" spans="1:21">
      <c r="A2168" s="782">
        <v>44711</v>
      </c>
      <c r="B2168" s="783" t="s">
        <v>41</v>
      </c>
      <c r="C2168" s="783" t="s">
        <v>4139</v>
      </c>
      <c r="D2168" s="783" t="s">
        <v>4009</v>
      </c>
      <c r="E2168" s="783" t="s">
        <v>549</v>
      </c>
      <c r="F2168" s="783" t="s">
        <v>4011</v>
      </c>
      <c r="G2168" s="783" t="str">
        <f t="shared" si="115"/>
        <v>Renewal (25% in 2020)</v>
      </c>
      <c r="H2168" s="783" t="s">
        <v>5626</v>
      </c>
      <c r="I2168" s="783" t="s">
        <v>5627</v>
      </c>
      <c r="J2168" s="783">
        <v>25</v>
      </c>
      <c r="K2168" s="783" t="s">
        <v>910</v>
      </c>
      <c r="L2168" s="783" t="s">
        <v>4014</v>
      </c>
      <c r="M2168" s="784">
        <v>42718.080000000002</v>
      </c>
      <c r="N2168" s="784">
        <v>18.239999999999998</v>
      </c>
      <c r="O2168" s="784">
        <v>11.71</v>
      </c>
      <c r="P2168" s="783">
        <v>200</v>
      </c>
      <c r="Q2168" s="783">
        <v>1952.22</v>
      </c>
      <c r="R2168" s="783">
        <v>1241.4100000000001</v>
      </c>
      <c r="S2168" s="783">
        <v>552.75</v>
      </c>
      <c r="T2168" s="783">
        <v>158.06</v>
      </c>
      <c r="U2168" s="785">
        <v>44712.724351851903</v>
      </c>
    </row>
    <row r="2169" spans="1:21">
      <c r="A2169" s="782">
        <v>44712</v>
      </c>
      <c r="B2169" s="783" t="s">
        <v>41</v>
      </c>
      <c r="C2169" s="783" t="s">
        <v>4092</v>
      </c>
      <c r="D2169" s="783" t="s">
        <v>4009</v>
      </c>
      <c r="E2169" s="783" t="s">
        <v>5645</v>
      </c>
      <c r="F2169" s="783" t="s">
        <v>4011</v>
      </c>
      <c r="G2169" s="783" t="str">
        <f t="shared" si="115"/>
        <v>Renewal (15% in 2020)</v>
      </c>
      <c r="H2169" s="783" t="s">
        <v>5646</v>
      </c>
      <c r="I2169" s="783" t="s">
        <v>5647</v>
      </c>
      <c r="J2169" s="783">
        <v>15</v>
      </c>
      <c r="K2169" s="783" t="s">
        <v>910</v>
      </c>
      <c r="L2169" s="783" t="s">
        <v>4014</v>
      </c>
      <c r="M2169" s="784">
        <v>48867.1</v>
      </c>
      <c r="N2169" s="784">
        <v>26.59</v>
      </c>
      <c r="O2169" s="784">
        <v>10.210000000000001</v>
      </c>
      <c r="P2169" s="783">
        <v>180</v>
      </c>
      <c r="Q2169" s="783">
        <v>3943.58</v>
      </c>
      <c r="R2169" s="783">
        <v>1547.3</v>
      </c>
      <c r="S2169" s="783">
        <v>519.78</v>
      </c>
      <c r="T2169" s="783">
        <v>1876.5</v>
      </c>
      <c r="U2169" s="785">
        <v>44714.586956018502</v>
      </c>
    </row>
    <row r="2170" spans="1:21">
      <c r="A2170" s="782">
        <v>44715</v>
      </c>
      <c r="B2170" s="783" t="s">
        <v>74</v>
      </c>
      <c r="C2170" s="783" t="s">
        <v>4097</v>
      </c>
      <c r="D2170" s="783" t="s">
        <v>4038</v>
      </c>
      <c r="E2170" s="783" t="s">
        <v>4367</v>
      </c>
      <c r="F2170" s="783" t="s">
        <v>4011</v>
      </c>
      <c r="G2170" s="783" t="str">
        <f t="shared" si="115"/>
        <v>Renewal (15% in 2020)</v>
      </c>
      <c r="H2170" s="783" t="s">
        <v>4368</v>
      </c>
      <c r="I2170" s="783" t="s">
        <v>4369</v>
      </c>
      <c r="J2170" s="783">
        <v>20</v>
      </c>
      <c r="K2170" s="783" t="s">
        <v>910</v>
      </c>
      <c r="L2170" s="783" t="s">
        <v>4014</v>
      </c>
      <c r="M2170" s="784">
        <v>19867.54</v>
      </c>
      <c r="N2170" s="784">
        <v>6.79</v>
      </c>
      <c r="O2170" s="784">
        <v>14.63</v>
      </c>
      <c r="P2170" s="783">
        <v>200</v>
      </c>
      <c r="Q2170" s="783">
        <v>1126.49</v>
      </c>
      <c r="R2170" s="783">
        <v>558.16999999999996</v>
      </c>
      <c r="S2170" s="783">
        <v>246.47</v>
      </c>
      <c r="T2170" s="783">
        <v>321.85000000000002</v>
      </c>
      <c r="U2170" s="785">
        <v>44715.465138888903</v>
      </c>
    </row>
    <row r="2171" spans="1:21">
      <c r="A2171" s="782">
        <v>44711</v>
      </c>
      <c r="B2171" s="783" t="s">
        <v>113</v>
      </c>
      <c r="C2171" s="783" t="s">
        <v>4097</v>
      </c>
      <c r="D2171" s="783" t="s">
        <v>4038</v>
      </c>
      <c r="E2171" s="783" t="s">
        <v>5665</v>
      </c>
      <c r="F2171" s="783" t="s">
        <v>4011</v>
      </c>
      <c r="G2171" s="783" t="str">
        <f t="shared" si="115"/>
        <v>Renewal (15% in 2020)</v>
      </c>
      <c r="H2171" s="783" t="s">
        <v>5666</v>
      </c>
      <c r="I2171" s="783" t="s">
        <v>5667</v>
      </c>
      <c r="J2171" s="783">
        <v>15</v>
      </c>
      <c r="K2171" s="783" t="s">
        <v>910</v>
      </c>
      <c r="L2171" s="783" t="s">
        <v>4014</v>
      </c>
      <c r="M2171" s="784">
        <v>64176.77</v>
      </c>
      <c r="N2171" s="784">
        <v>39.44</v>
      </c>
      <c r="O2171" s="784">
        <v>10.17</v>
      </c>
      <c r="P2171" s="783">
        <v>160</v>
      </c>
      <c r="Q2171" s="783">
        <v>4415.3599999999997</v>
      </c>
      <c r="R2171" s="783">
        <v>2239.77</v>
      </c>
      <c r="S2171" s="783">
        <v>359.39</v>
      </c>
      <c r="T2171" s="783">
        <v>1816.2</v>
      </c>
      <c r="U2171" s="785">
        <v>44713.627766203703</v>
      </c>
    </row>
    <row r="2172" spans="1:21">
      <c r="A2172" s="782">
        <v>44712</v>
      </c>
      <c r="B2172" s="783" t="s">
        <v>41</v>
      </c>
      <c r="C2172" s="783" t="s">
        <v>4092</v>
      </c>
      <c r="D2172" s="783" t="s">
        <v>4009</v>
      </c>
      <c r="E2172" s="783" t="s">
        <v>605</v>
      </c>
      <c r="F2172" s="783" t="s">
        <v>4011</v>
      </c>
      <c r="G2172" s="783" t="str">
        <f t="shared" si="115"/>
        <v>Renewal (15% in 2020)</v>
      </c>
      <c r="H2172" s="783" t="s">
        <v>4161</v>
      </c>
      <c r="I2172" s="783" t="s">
        <v>4162</v>
      </c>
      <c r="J2172" s="783">
        <v>15</v>
      </c>
      <c r="K2172" s="783" t="s">
        <v>910</v>
      </c>
      <c r="L2172" s="783" t="s">
        <v>4014</v>
      </c>
      <c r="M2172" s="784">
        <v>13815</v>
      </c>
      <c r="N2172" s="784">
        <v>10</v>
      </c>
      <c r="O2172" s="784">
        <v>9.2100000000000009</v>
      </c>
      <c r="P2172" s="783">
        <v>150</v>
      </c>
      <c r="Q2172" s="783">
        <v>1114.8699999999999</v>
      </c>
      <c r="R2172" s="783">
        <v>489.05</v>
      </c>
      <c r="S2172" s="783">
        <v>95.32</v>
      </c>
      <c r="T2172" s="783">
        <v>530.5</v>
      </c>
      <c r="U2172" s="785">
        <v>44714.667314814797</v>
      </c>
    </row>
    <row r="2173" spans="1:21">
      <c r="A2173" s="782">
        <v>44711</v>
      </c>
      <c r="B2173" s="783" t="s">
        <v>113</v>
      </c>
      <c r="C2173" s="783" t="s">
        <v>4097</v>
      </c>
      <c r="D2173" s="783" t="s">
        <v>4038</v>
      </c>
      <c r="E2173" s="783" t="s">
        <v>4377</v>
      </c>
      <c r="F2173" s="783" t="s">
        <v>4011</v>
      </c>
      <c r="G2173" s="783" t="str">
        <f t="shared" si="115"/>
        <v>Renewal (15% in 2020)</v>
      </c>
      <c r="H2173" s="783" t="s">
        <v>4378</v>
      </c>
      <c r="I2173" s="783" t="s">
        <v>4379</v>
      </c>
      <c r="J2173" s="783">
        <v>15</v>
      </c>
      <c r="K2173" s="783" t="s">
        <v>910</v>
      </c>
      <c r="L2173" s="783" t="s">
        <v>4014</v>
      </c>
      <c r="M2173" s="784">
        <v>17676.23</v>
      </c>
      <c r="N2173" s="784">
        <v>12.47</v>
      </c>
      <c r="O2173" s="784">
        <v>9.4499999999999993</v>
      </c>
      <c r="P2173" s="783">
        <v>150</v>
      </c>
      <c r="Q2173" s="783">
        <v>1216.1199999999999</v>
      </c>
      <c r="R2173" s="783">
        <v>616.9</v>
      </c>
      <c r="S2173" s="783">
        <v>98.99</v>
      </c>
      <c r="T2173" s="783">
        <v>500.24</v>
      </c>
      <c r="U2173" s="785">
        <v>44713.522210648101</v>
      </c>
    </row>
    <row r="2174" spans="1:21">
      <c r="A2174" s="782">
        <v>44711</v>
      </c>
      <c r="B2174" s="783" t="s">
        <v>113</v>
      </c>
      <c r="C2174" s="783" t="s">
        <v>4097</v>
      </c>
      <c r="D2174" s="783" t="s">
        <v>4038</v>
      </c>
      <c r="E2174" s="783" t="s">
        <v>4377</v>
      </c>
      <c r="F2174" s="783" t="s">
        <v>4011</v>
      </c>
      <c r="G2174" s="783" t="str">
        <f t="shared" si="115"/>
        <v>Renewal (15% in 2020)</v>
      </c>
      <c r="H2174" s="783" t="s">
        <v>4378</v>
      </c>
      <c r="I2174" s="783" t="s">
        <v>4379</v>
      </c>
      <c r="J2174" s="783">
        <v>15</v>
      </c>
      <c r="K2174" s="783" t="s">
        <v>910</v>
      </c>
      <c r="L2174" s="783" t="s">
        <v>4014</v>
      </c>
      <c r="M2174" s="784">
        <v>6156</v>
      </c>
      <c r="N2174" s="784">
        <v>5.13</v>
      </c>
      <c r="O2174" s="784">
        <v>8</v>
      </c>
      <c r="P2174" s="783">
        <v>150</v>
      </c>
      <c r="Q2174" s="783">
        <v>423.53</v>
      </c>
      <c r="R2174" s="783">
        <v>214.84</v>
      </c>
      <c r="S2174" s="783">
        <v>34.47</v>
      </c>
      <c r="T2174" s="783">
        <v>174.21</v>
      </c>
      <c r="U2174" s="785">
        <v>44713.5222222222</v>
      </c>
    </row>
    <row r="2175" spans="1:21">
      <c r="A2175" s="782">
        <v>44712</v>
      </c>
      <c r="B2175" s="783" t="s">
        <v>3078</v>
      </c>
      <c r="C2175" s="783" t="s">
        <v>4414</v>
      </c>
      <c r="D2175" s="783" t="s">
        <v>4009</v>
      </c>
      <c r="E2175" s="783" t="s">
        <v>5701</v>
      </c>
      <c r="F2175" s="783" t="s">
        <v>4011</v>
      </c>
      <c r="G2175" s="783" t="str">
        <f t="shared" si="115"/>
        <v>Renewal (25% in 2020)</v>
      </c>
      <c r="H2175" s="783" t="s">
        <v>5702</v>
      </c>
      <c r="I2175" s="783" t="s">
        <v>5703</v>
      </c>
      <c r="J2175" s="783">
        <v>25</v>
      </c>
      <c r="K2175" s="783" t="s">
        <v>910</v>
      </c>
      <c r="L2175" s="783" t="s">
        <v>4014</v>
      </c>
      <c r="M2175" s="784">
        <v>32340</v>
      </c>
      <c r="N2175" s="784">
        <v>30.8</v>
      </c>
      <c r="O2175" s="784">
        <v>7</v>
      </c>
      <c r="P2175" s="783">
        <v>150</v>
      </c>
      <c r="Q2175" s="783">
        <v>1869.25</v>
      </c>
      <c r="R2175" s="783">
        <v>1277.43</v>
      </c>
      <c r="S2175" s="783">
        <v>210.21</v>
      </c>
      <c r="T2175" s="783">
        <v>381.61</v>
      </c>
      <c r="U2175" s="785">
        <v>44715.402372685203</v>
      </c>
    </row>
    <row r="2176" spans="1:21">
      <c r="A2176" s="782">
        <v>44714</v>
      </c>
      <c r="B2176" s="783" t="s">
        <v>41</v>
      </c>
      <c r="C2176" s="783" t="s">
        <v>4071</v>
      </c>
      <c r="D2176" s="783" t="s">
        <v>4009</v>
      </c>
      <c r="E2176" s="783" t="s">
        <v>3805</v>
      </c>
      <c r="F2176" s="783" t="s">
        <v>4011</v>
      </c>
      <c r="G2176" s="783" t="str">
        <f t="shared" si="115"/>
        <v>Renewal (15% in 2020)</v>
      </c>
      <c r="H2176" s="783" t="s">
        <v>5707</v>
      </c>
      <c r="I2176" s="783" t="s">
        <v>5708</v>
      </c>
      <c r="J2176" s="783">
        <v>15</v>
      </c>
      <c r="K2176" s="783" t="s">
        <v>910</v>
      </c>
      <c r="L2176" s="783" t="s">
        <v>4014</v>
      </c>
      <c r="M2176" s="784">
        <v>54154.98</v>
      </c>
      <c r="N2176" s="784">
        <v>35.64</v>
      </c>
      <c r="O2176" s="784">
        <v>10.130000000000001</v>
      </c>
      <c r="P2176" s="783">
        <v>150</v>
      </c>
      <c r="Q2176" s="783">
        <v>5518.39</v>
      </c>
      <c r="R2176" s="783">
        <v>2485.71</v>
      </c>
      <c r="S2176" s="783">
        <v>400.75</v>
      </c>
      <c r="T2176" s="783">
        <v>2631.93</v>
      </c>
      <c r="U2176" s="785">
        <v>44715.447175925903</v>
      </c>
    </row>
    <row r="2177" spans="1:21">
      <c r="A2177" s="782">
        <v>44714</v>
      </c>
      <c r="B2177" s="783" t="s">
        <v>113</v>
      </c>
      <c r="C2177" s="783" t="s">
        <v>4606</v>
      </c>
      <c r="D2177" s="783" t="s">
        <v>4009</v>
      </c>
      <c r="E2177" s="783" t="s">
        <v>6743</v>
      </c>
      <c r="F2177" s="783" t="s">
        <v>4011</v>
      </c>
      <c r="G2177" s="783" t="str">
        <f t="shared" si="115"/>
        <v>Renewal (25% in 2020)</v>
      </c>
      <c r="H2177" s="783" t="s">
        <v>6744</v>
      </c>
      <c r="I2177" s="783" t="s">
        <v>6745</v>
      </c>
      <c r="J2177" s="783">
        <v>25</v>
      </c>
      <c r="K2177" s="783" t="s">
        <v>910</v>
      </c>
      <c r="L2177" s="783" t="s">
        <v>4014</v>
      </c>
      <c r="M2177" s="784">
        <v>84524</v>
      </c>
      <c r="N2177" s="784">
        <v>34</v>
      </c>
      <c r="O2177" s="784">
        <v>12.43</v>
      </c>
      <c r="P2177" s="783">
        <v>200</v>
      </c>
      <c r="Q2177" s="783">
        <v>4716.4399999999996</v>
      </c>
      <c r="R2177" s="783">
        <v>2517.5500000000002</v>
      </c>
      <c r="S2177" s="783">
        <v>1116.98</v>
      </c>
      <c r="T2177" s="783">
        <v>1081.9100000000001</v>
      </c>
      <c r="U2177" s="785">
        <v>44715.456770833298</v>
      </c>
    </row>
    <row r="2178" spans="1:21">
      <c r="A2178" s="782">
        <v>44713</v>
      </c>
      <c r="B2178" s="783" t="s">
        <v>228</v>
      </c>
      <c r="C2178" s="783" t="s">
        <v>4582</v>
      </c>
      <c r="D2178" s="783" t="s">
        <v>4193</v>
      </c>
      <c r="E2178" s="783" t="s">
        <v>5715</v>
      </c>
      <c r="F2178" s="783" t="s">
        <v>4011</v>
      </c>
      <c r="G2178" s="783" t="str">
        <f t="shared" si="115"/>
        <v>Renewal (25% in 2020)</v>
      </c>
      <c r="H2178" s="783" t="s">
        <v>5716</v>
      </c>
      <c r="I2178" s="783" t="s">
        <v>5717</v>
      </c>
      <c r="J2178" s="783">
        <v>25</v>
      </c>
      <c r="K2178" s="783" t="s">
        <v>910</v>
      </c>
      <c r="L2178" s="783" t="s">
        <v>4014</v>
      </c>
      <c r="M2178" s="784">
        <v>4137.8599999999997</v>
      </c>
      <c r="N2178" s="784">
        <v>3.27</v>
      </c>
      <c r="O2178" s="784">
        <v>7.03</v>
      </c>
      <c r="P2178" s="783">
        <v>180</v>
      </c>
      <c r="Q2178" s="783">
        <v>211.03</v>
      </c>
      <c r="R2178" s="783">
        <v>147.66999999999999</v>
      </c>
      <c r="S2178" s="783">
        <v>43.5</v>
      </c>
      <c r="T2178" s="783">
        <v>19.86</v>
      </c>
      <c r="U2178" s="785">
        <v>44715.434895833299</v>
      </c>
    </row>
    <row r="2179" spans="1:21">
      <c r="A2179" s="782">
        <v>44698</v>
      </c>
      <c r="B2179" s="783" t="s">
        <v>113</v>
      </c>
      <c r="C2179" s="783" t="s">
        <v>4606</v>
      </c>
      <c r="D2179" s="783" t="s">
        <v>4009</v>
      </c>
      <c r="E2179" s="783" t="s">
        <v>6746</v>
      </c>
      <c r="F2179" s="783" t="s">
        <v>4011</v>
      </c>
      <c r="G2179" s="783" t="str">
        <f t="shared" si="115"/>
        <v>Renewal (15% in 2020)</v>
      </c>
      <c r="H2179" s="783" t="s">
        <v>6747</v>
      </c>
      <c r="I2179" s="783" t="s">
        <v>6748</v>
      </c>
      <c r="J2179" s="783">
        <v>15</v>
      </c>
      <c r="K2179" s="783" t="s">
        <v>910</v>
      </c>
      <c r="L2179" s="783" t="s">
        <v>4014</v>
      </c>
      <c r="M2179" s="784">
        <v>16894.8</v>
      </c>
      <c r="N2179" s="784">
        <v>8</v>
      </c>
      <c r="O2179" s="784">
        <v>10.83</v>
      </c>
      <c r="P2179" s="783">
        <v>195</v>
      </c>
      <c r="Q2179" s="783">
        <v>1507.02</v>
      </c>
      <c r="R2179" s="783">
        <v>516.11</v>
      </c>
      <c r="S2179" s="783">
        <v>210.36</v>
      </c>
      <c r="T2179" s="783">
        <v>780.54</v>
      </c>
      <c r="U2179" s="785">
        <v>44699.598518518498</v>
      </c>
    </row>
    <row r="2180" spans="1:21">
      <c r="A2180" s="782">
        <v>44698</v>
      </c>
      <c r="B2180" s="783" t="s">
        <v>41</v>
      </c>
      <c r="C2180" s="783" t="s">
        <v>4082</v>
      </c>
      <c r="D2180" s="783" t="s">
        <v>4009</v>
      </c>
      <c r="E2180" s="783" t="s">
        <v>5735</v>
      </c>
      <c r="F2180" s="783" t="s">
        <v>4011</v>
      </c>
      <c r="G2180" s="783" t="str">
        <f t="shared" si="115"/>
        <v>Renewal (25% in 2020)</v>
      </c>
      <c r="H2180" s="783" t="s">
        <v>5736</v>
      </c>
      <c r="I2180" s="783" t="s">
        <v>5737</v>
      </c>
      <c r="J2180" s="783">
        <v>25</v>
      </c>
      <c r="K2180" s="783" t="s">
        <v>910</v>
      </c>
      <c r="L2180" s="783" t="s">
        <v>4014</v>
      </c>
      <c r="M2180" s="784">
        <v>182310.72</v>
      </c>
      <c r="N2180" s="784">
        <v>111.71</v>
      </c>
      <c r="O2180" s="784">
        <v>10.88</v>
      </c>
      <c r="P2180" s="783">
        <v>150</v>
      </c>
      <c r="Q2180" s="783">
        <v>8422.76</v>
      </c>
      <c r="R2180" s="783">
        <v>6472.03</v>
      </c>
      <c r="S2180" s="783">
        <v>1221.48</v>
      </c>
      <c r="T2180" s="783">
        <v>729.24</v>
      </c>
      <c r="U2180" s="785">
        <v>44699.747546296298</v>
      </c>
    </row>
    <row r="2181" spans="1:21">
      <c r="A2181" s="782">
        <v>44711</v>
      </c>
      <c r="B2181" s="783" t="s">
        <v>624</v>
      </c>
      <c r="C2181" s="783" t="s">
        <v>4037</v>
      </c>
      <c r="D2181" s="783" t="s">
        <v>4038</v>
      </c>
      <c r="E2181" s="783" t="s">
        <v>5747</v>
      </c>
      <c r="F2181" s="783" t="s">
        <v>4011</v>
      </c>
      <c r="G2181" s="783" t="s">
        <v>4028</v>
      </c>
      <c r="H2181" s="783" t="s">
        <v>5748</v>
      </c>
      <c r="I2181" s="783" t="s">
        <v>5749</v>
      </c>
      <c r="J2181" s="783">
        <v>20</v>
      </c>
      <c r="K2181" s="783" t="s">
        <v>910</v>
      </c>
      <c r="L2181" s="783" t="s">
        <v>4014</v>
      </c>
      <c r="M2181" s="784">
        <v>73783.14</v>
      </c>
      <c r="N2181" s="784">
        <v>37.090000000000003</v>
      </c>
      <c r="O2181" s="784">
        <v>10.47</v>
      </c>
      <c r="P2181" s="783">
        <v>190</v>
      </c>
      <c r="Q2181" s="783">
        <v>6131.38</v>
      </c>
      <c r="R2181" s="783">
        <v>3063.55</v>
      </c>
      <c r="S2181" s="783">
        <v>1142.0899999999999</v>
      </c>
      <c r="T2181" s="783">
        <v>1925.74</v>
      </c>
      <c r="U2181" s="785">
        <v>44713.981689814798</v>
      </c>
    </row>
    <row r="2182" spans="1:21">
      <c r="A2182" s="782">
        <v>44694</v>
      </c>
      <c r="B2182" s="783" t="s">
        <v>41</v>
      </c>
      <c r="C2182" s="783" t="s">
        <v>4139</v>
      </c>
      <c r="D2182" s="783" t="s">
        <v>4009</v>
      </c>
      <c r="E2182" s="783" t="s">
        <v>5762</v>
      </c>
      <c r="F2182" s="783" t="s">
        <v>4011</v>
      </c>
      <c r="G2182" s="783" t="str">
        <f>VLOOKUP(I2182,pacage,2,FALSE)</f>
        <v>Renewal (25% in 2020)</v>
      </c>
      <c r="H2182" s="783" t="s">
        <v>5763</v>
      </c>
      <c r="I2182" s="783" t="s">
        <v>5764</v>
      </c>
      <c r="J2182" s="783">
        <v>25</v>
      </c>
      <c r="K2182" s="783" t="s">
        <v>910</v>
      </c>
      <c r="L2182" s="783" t="s">
        <v>4014</v>
      </c>
      <c r="M2182" s="784">
        <v>55608</v>
      </c>
      <c r="N2182" s="784">
        <v>28</v>
      </c>
      <c r="O2182" s="784">
        <v>9.93</v>
      </c>
      <c r="P2182" s="783">
        <v>200</v>
      </c>
      <c r="Q2182" s="783">
        <v>2541.29</v>
      </c>
      <c r="R2182" s="783">
        <v>1616</v>
      </c>
      <c r="S2182" s="783">
        <v>719.54</v>
      </c>
      <c r="T2182" s="783">
        <v>205.75</v>
      </c>
      <c r="U2182" s="785">
        <v>44697.504097222198</v>
      </c>
    </row>
    <row r="2183" spans="1:21">
      <c r="A2183" s="782">
        <v>44697</v>
      </c>
      <c r="B2183" s="783" t="s">
        <v>113</v>
      </c>
      <c r="C2183" s="783" t="s">
        <v>4606</v>
      </c>
      <c r="D2183" s="783" t="s">
        <v>4009</v>
      </c>
      <c r="E2183" s="783" t="s">
        <v>2334</v>
      </c>
      <c r="F2183" s="783" t="s">
        <v>4011</v>
      </c>
      <c r="G2183" s="783" t="s">
        <v>4028</v>
      </c>
      <c r="H2183" s="783" t="s">
        <v>6749</v>
      </c>
      <c r="I2183" s="783" t="s">
        <v>6750</v>
      </c>
      <c r="J2183" s="783">
        <v>25</v>
      </c>
      <c r="K2183" s="783" t="s">
        <v>910</v>
      </c>
      <c r="L2183" s="783" t="s">
        <v>4014</v>
      </c>
      <c r="M2183" s="784">
        <v>33094.04</v>
      </c>
      <c r="N2183" s="784">
        <v>13.06</v>
      </c>
      <c r="O2183" s="784">
        <v>12.67</v>
      </c>
      <c r="P2183" s="783">
        <v>200</v>
      </c>
      <c r="Q2183" s="783">
        <v>1846.65</v>
      </c>
      <c r="R2183" s="783">
        <v>985.71</v>
      </c>
      <c r="S2183" s="783">
        <v>437.34</v>
      </c>
      <c r="T2183" s="783">
        <v>423.6</v>
      </c>
      <c r="U2183" s="785">
        <v>44698.4711342593</v>
      </c>
    </row>
    <row r="2184" spans="1:21">
      <c r="A2184" s="782">
        <v>44694</v>
      </c>
      <c r="B2184" s="783" t="s">
        <v>74</v>
      </c>
      <c r="C2184" s="783" t="s">
        <v>4097</v>
      </c>
      <c r="D2184" s="783" t="s">
        <v>4038</v>
      </c>
      <c r="E2184" s="783" t="s">
        <v>4385</v>
      </c>
      <c r="F2184" s="783" t="s">
        <v>4011</v>
      </c>
      <c r="G2184" s="783" t="str">
        <f t="shared" ref="G2184:G2189" si="116">VLOOKUP(I2184,pacage,2,FALSE)</f>
        <v>Renewal (15% in 2020)</v>
      </c>
      <c r="H2184" s="783" t="s">
        <v>4386</v>
      </c>
      <c r="I2184" s="783" t="s">
        <v>4387</v>
      </c>
      <c r="J2184" s="783">
        <v>15</v>
      </c>
      <c r="K2184" s="783" t="s">
        <v>910</v>
      </c>
      <c r="L2184" s="783" t="s">
        <v>4014</v>
      </c>
      <c r="M2184" s="784">
        <v>69775.45</v>
      </c>
      <c r="N2184" s="784">
        <v>29.98</v>
      </c>
      <c r="O2184" s="784">
        <v>12.93</v>
      </c>
      <c r="P2184" s="783">
        <v>180</v>
      </c>
      <c r="Q2184" s="783">
        <v>4800.55</v>
      </c>
      <c r="R2184" s="783">
        <v>2178.12</v>
      </c>
      <c r="S2184" s="783">
        <v>647.79</v>
      </c>
      <c r="T2184" s="783">
        <v>1974.65</v>
      </c>
      <c r="U2184" s="785">
        <v>44697.657094907401</v>
      </c>
    </row>
    <row r="2185" spans="1:21">
      <c r="A2185" s="782">
        <v>44697</v>
      </c>
      <c r="B2185" s="783" t="s">
        <v>41</v>
      </c>
      <c r="C2185" s="783" t="s">
        <v>4071</v>
      </c>
      <c r="D2185" s="783" t="s">
        <v>4009</v>
      </c>
      <c r="E2185" s="783" t="s">
        <v>5784</v>
      </c>
      <c r="F2185" s="783" t="s">
        <v>4011</v>
      </c>
      <c r="G2185" s="783" t="str">
        <f t="shared" si="116"/>
        <v>Renewal (20% in 2020)</v>
      </c>
      <c r="H2185" s="783" t="s">
        <v>5785</v>
      </c>
      <c r="I2185" s="783" t="s">
        <v>5786</v>
      </c>
      <c r="J2185" s="783">
        <v>20</v>
      </c>
      <c r="K2185" s="783" t="s">
        <v>910</v>
      </c>
      <c r="L2185" s="783" t="s">
        <v>4014</v>
      </c>
      <c r="M2185" s="784">
        <v>72057.960000000006</v>
      </c>
      <c r="N2185" s="784">
        <v>44.98</v>
      </c>
      <c r="O2185" s="784">
        <v>8.9</v>
      </c>
      <c r="P2185" s="783">
        <v>180</v>
      </c>
      <c r="Q2185" s="783">
        <v>5461.99</v>
      </c>
      <c r="R2185" s="783">
        <v>2958.34</v>
      </c>
      <c r="S2185" s="783">
        <v>882.35</v>
      </c>
      <c r="T2185" s="783">
        <v>1621.3</v>
      </c>
      <c r="U2185" s="785">
        <v>44699.484548611101</v>
      </c>
    </row>
    <row r="2186" spans="1:21">
      <c r="A2186" s="782">
        <v>44698</v>
      </c>
      <c r="B2186" s="783" t="s">
        <v>41</v>
      </c>
      <c r="C2186" s="783" t="s">
        <v>4092</v>
      </c>
      <c r="D2186" s="783" t="s">
        <v>4009</v>
      </c>
      <c r="E2186" s="783" t="s">
        <v>597</v>
      </c>
      <c r="F2186" s="783" t="s">
        <v>4011</v>
      </c>
      <c r="G2186" s="783" t="str">
        <f t="shared" si="116"/>
        <v>Renewal (15% in 2020)</v>
      </c>
      <c r="H2186" s="783" t="s">
        <v>5793</v>
      </c>
      <c r="I2186" s="783" t="s">
        <v>5794</v>
      </c>
      <c r="J2186" s="783">
        <v>15</v>
      </c>
      <c r="K2186" s="783" t="s">
        <v>910</v>
      </c>
      <c r="L2186" s="783" t="s">
        <v>4014</v>
      </c>
      <c r="M2186" s="784">
        <v>97812.33</v>
      </c>
      <c r="N2186" s="784">
        <v>57.86</v>
      </c>
      <c r="O2186" s="784">
        <v>11.27</v>
      </c>
      <c r="P2186" s="783">
        <v>150</v>
      </c>
      <c r="Q2186" s="783">
        <v>7893.46</v>
      </c>
      <c r="R2186" s="783">
        <v>3462.56</v>
      </c>
      <c r="S2186" s="783">
        <v>674.91</v>
      </c>
      <c r="T2186" s="783">
        <v>3755.99</v>
      </c>
      <c r="U2186" s="785">
        <v>44699.496608796297</v>
      </c>
    </row>
    <row r="2187" spans="1:21">
      <c r="A2187" s="782">
        <v>44707</v>
      </c>
      <c r="B2187" s="783" t="s">
        <v>41</v>
      </c>
      <c r="C2187" s="783" t="s">
        <v>4082</v>
      </c>
      <c r="D2187" s="783" t="s">
        <v>4009</v>
      </c>
      <c r="E2187" s="783" t="s">
        <v>4664</v>
      </c>
      <c r="F2187" s="783" t="s">
        <v>4011</v>
      </c>
      <c r="G2187" s="783" t="str">
        <f t="shared" si="116"/>
        <v>Renewal (30% in 2020)</v>
      </c>
      <c r="H2187" s="783" t="s">
        <v>4665</v>
      </c>
      <c r="I2187" s="783" t="s">
        <v>4666</v>
      </c>
      <c r="J2187" s="783">
        <v>30</v>
      </c>
      <c r="K2187" s="783" t="s">
        <v>910</v>
      </c>
      <c r="L2187" s="783" t="s">
        <v>4014</v>
      </c>
      <c r="M2187" s="784">
        <v>146616.99</v>
      </c>
      <c r="N2187" s="784">
        <v>68.98</v>
      </c>
      <c r="O2187" s="784">
        <v>14.17</v>
      </c>
      <c r="P2187" s="783">
        <v>150</v>
      </c>
      <c r="Q2187" s="783">
        <v>5791.37</v>
      </c>
      <c r="R2187" s="783">
        <v>5204.8999999999996</v>
      </c>
      <c r="S2187" s="783">
        <v>0</v>
      </c>
      <c r="T2187" s="783">
        <v>586.47</v>
      </c>
      <c r="U2187" s="785">
        <v>44708.584884259297</v>
      </c>
    </row>
    <row r="2188" spans="1:21">
      <c r="A2188" s="782">
        <v>44699</v>
      </c>
      <c r="B2188" s="783" t="s">
        <v>74</v>
      </c>
      <c r="C2188" s="783" t="s">
        <v>4097</v>
      </c>
      <c r="D2188" s="783" t="s">
        <v>4038</v>
      </c>
      <c r="E2188" s="783" t="s">
        <v>5797</v>
      </c>
      <c r="F2188" s="783" t="s">
        <v>4011</v>
      </c>
      <c r="G2188" s="783" t="str">
        <f t="shared" si="116"/>
        <v>Renewal (15% in 2020)</v>
      </c>
      <c r="H2188" s="783" t="s">
        <v>5798</v>
      </c>
      <c r="I2188" s="783" t="s">
        <v>5799</v>
      </c>
      <c r="J2188" s="783">
        <v>15</v>
      </c>
      <c r="K2188" s="783" t="s">
        <v>910</v>
      </c>
      <c r="L2188" s="783" t="s">
        <v>4014</v>
      </c>
      <c r="M2188" s="784">
        <v>57898.89</v>
      </c>
      <c r="N2188" s="784">
        <v>24.98</v>
      </c>
      <c r="O2188" s="784">
        <v>11.09</v>
      </c>
      <c r="P2188" s="783">
        <v>209</v>
      </c>
      <c r="Q2188" s="783">
        <v>3983.44</v>
      </c>
      <c r="R2188" s="783">
        <v>1556.59</v>
      </c>
      <c r="S2188" s="783">
        <v>788.31</v>
      </c>
      <c r="T2188" s="783">
        <v>1638.54</v>
      </c>
      <c r="U2188" s="785">
        <v>44700.537696759297</v>
      </c>
    </row>
    <row r="2189" spans="1:21">
      <c r="A2189" s="782">
        <v>44659</v>
      </c>
      <c r="B2189" s="783" t="s">
        <v>3078</v>
      </c>
      <c r="C2189" s="783" t="s">
        <v>4414</v>
      </c>
      <c r="D2189" s="783" t="s">
        <v>4009</v>
      </c>
      <c r="E2189" s="783" t="s">
        <v>5848</v>
      </c>
      <c r="F2189" s="783" t="s">
        <v>4011</v>
      </c>
      <c r="G2189" s="783" t="str">
        <f t="shared" si="116"/>
        <v>Renewal (15% in 2020)</v>
      </c>
      <c r="H2189" s="783" t="s">
        <v>5849</v>
      </c>
      <c r="I2189" s="783" t="s">
        <v>5850</v>
      </c>
      <c r="J2189" s="783">
        <v>20</v>
      </c>
      <c r="K2189" s="783" t="s">
        <v>910</v>
      </c>
      <c r="L2189" s="783" t="s">
        <v>4014</v>
      </c>
      <c r="M2189" s="784">
        <v>22050</v>
      </c>
      <c r="N2189" s="784">
        <v>21</v>
      </c>
      <c r="O2189" s="784">
        <v>7</v>
      </c>
      <c r="P2189" s="783">
        <v>150</v>
      </c>
      <c r="Q2189" s="783">
        <v>1607.45</v>
      </c>
      <c r="R2189" s="783">
        <v>870.98</v>
      </c>
      <c r="S2189" s="783">
        <v>143.33000000000001</v>
      </c>
      <c r="T2189" s="783">
        <v>593.15</v>
      </c>
      <c r="U2189" s="785">
        <v>44663.419976851903</v>
      </c>
    </row>
    <row r="2190" spans="1:21">
      <c r="A2190" s="782">
        <v>44700</v>
      </c>
      <c r="B2190" s="783" t="s">
        <v>113</v>
      </c>
      <c r="C2190" s="783" t="s">
        <v>4606</v>
      </c>
      <c r="D2190" s="783" t="s">
        <v>4009</v>
      </c>
      <c r="E2190" s="783" t="s">
        <v>984</v>
      </c>
      <c r="F2190" s="783" t="s">
        <v>4011</v>
      </c>
      <c r="G2190" s="783" t="s">
        <v>4028</v>
      </c>
      <c r="H2190" s="783" t="s">
        <v>6751</v>
      </c>
      <c r="I2190" s="783" t="s">
        <v>6752</v>
      </c>
      <c r="J2190" s="783">
        <v>20</v>
      </c>
      <c r="K2190" s="783" t="s">
        <v>910</v>
      </c>
      <c r="L2190" s="783" t="s">
        <v>4014</v>
      </c>
      <c r="M2190" s="784">
        <v>80950.8</v>
      </c>
      <c r="N2190" s="784">
        <v>32.200000000000003</v>
      </c>
      <c r="O2190" s="784">
        <v>12.57</v>
      </c>
      <c r="P2190" s="783">
        <v>200</v>
      </c>
      <c r="Q2190" s="783">
        <v>5601.8</v>
      </c>
      <c r="R2190" s="783">
        <v>2411.12</v>
      </c>
      <c r="S2190" s="783">
        <v>1069.76</v>
      </c>
      <c r="T2190" s="783">
        <v>2120.91</v>
      </c>
      <c r="U2190" s="785">
        <v>44700.684027777803</v>
      </c>
    </row>
    <row r="2191" spans="1:21">
      <c r="A2191" s="782">
        <v>44705</v>
      </c>
      <c r="B2191" s="783" t="s">
        <v>74</v>
      </c>
      <c r="C2191" s="783" t="s">
        <v>4097</v>
      </c>
      <c r="D2191" s="783" t="s">
        <v>4038</v>
      </c>
      <c r="E2191" s="783" t="s">
        <v>4390</v>
      </c>
      <c r="F2191" s="783" t="s">
        <v>4066</v>
      </c>
      <c r="G2191" s="783" t="s">
        <v>4028</v>
      </c>
      <c r="H2191" s="783" t="s">
        <v>4391</v>
      </c>
      <c r="I2191" s="783" t="s">
        <v>4392</v>
      </c>
      <c r="J2191" s="783">
        <v>10</v>
      </c>
      <c r="K2191" s="783" t="s">
        <v>910</v>
      </c>
      <c r="L2191" s="783" t="s">
        <v>4014</v>
      </c>
      <c r="M2191" s="784">
        <v>62914.5</v>
      </c>
      <c r="N2191" s="784">
        <v>30.69</v>
      </c>
      <c r="O2191" s="784">
        <v>10</v>
      </c>
      <c r="P2191" s="783">
        <v>205</v>
      </c>
      <c r="Q2191" s="783">
        <v>1528.82</v>
      </c>
      <c r="R2191" s="783">
        <v>0</v>
      </c>
      <c r="S2191" s="783">
        <v>0</v>
      </c>
      <c r="T2191" s="783">
        <v>1528.82</v>
      </c>
      <c r="U2191" s="785">
        <v>44706.523495370398</v>
      </c>
    </row>
    <row r="2192" spans="1:21">
      <c r="A2192" s="782">
        <v>44707</v>
      </c>
      <c r="B2192" s="783" t="s">
        <v>41</v>
      </c>
      <c r="C2192" s="783" t="s">
        <v>4071</v>
      </c>
      <c r="D2192" s="783" t="s">
        <v>4009</v>
      </c>
      <c r="E2192" s="783" t="s">
        <v>4174</v>
      </c>
      <c r="F2192" s="783" t="s">
        <v>4011</v>
      </c>
      <c r="G2192" s="783" t="str">
        <f t="shared" ref="G2192:G2204" si="117">VLOOKUP(I2192,pacage,2,FALSE)</f>
        <v>Renewal (20% in 2020)</v>
      </c>
      <c r="H2192" s="783" t="s">
        <v>4175</v>
      </c>
      <c r="I2192" s="783" t="s">
        <v>4176</v>
      </c>
      <c r="J2192" s="783">
        <v>20</v>
      </c>
      <c r="K2192" s="783" t="s">
        <v>910</v>
      </c>
      <c r="L2192" s="783" t="s">
        <v>4014</v>
      </c>
      <c r="M2192" s="784">
        <v>24926.720000000001</v>
      </c>
      <c r="N2192" s="784">
        <v>16.64</v>
      </c>
      <c r="O2192" s="784">
        <v>10.7</v>
      </c>
      <c r="P2192" s="783">
        <v>140</v>
      </c>
      <c r="Q2192" s="783">
        <v>1889.45</v>
      </c>
      <c r="R2192" s="783">
        <v>1144.1400000000001</v>
      </c>
      <c r="S2192" s="783">
        <v>184.46</v>
      </c>
      <c r="T2192" s="783">
        <v>560.85</v>
      </c>
      <c r="U2192" s="785">
        <v>44708.586967592601</v>
      </c>
    </row>
    <row r="2193" spans="1:21">
      <c r="A2193" s="782">
        <v>44711</v>
      </c>
      <c r="B2193" s="783" t="s">
        <v>74</v>
      </c>
      <c r="C2193" s="783" t="s">
        <v>4037</v>
      </c>
      <c r="D2193" s="783" t="s">
        <v>4038</v>
      </c>
      <c r="E2193" s="783" t="s">
        <v>4393</v>
      </c>
      <c r="F2193" s="783" t="s">
        <v>4011</v>
      </c>
      <c r="G2193" s="783" t="str">
        <f t="shared" si="117"/>
        <v>Renewal (15% in 2020)</v>
      </c>
      <c r="H2193" s="783" t="s">
        <v>4394</v>
      </c>
      <c r="I2193" s="783" t="s">
        <v>4395</v>
      </c>
      <c r="J2193" s="783">
        <v>30</v>
      </c>
      <c r="K2193" s="783" t="s">
        <v>910</v>
      </c>
      <c r="L2193" s="783" t="s">
        <v>4014</v>
      </c>
      <c r="M2193" s="784">
        <v>95096.26</v>
      </c>
      <c r="N2193" s="784">
        <v>42.19</v>
      </c>
      <c r="O2193" s="784">
        <v>11.27</v>
      </c>
      <c r="P2193" s="783">
        <v>200</v>
      </c>
      <c r="Q2193" s="783">
        <v>6057.63</v>
      </c>
      <c r="R2193" s="783">
        <v>3751.07</v>
      </c>
      <c r="S2193" s="783">
        <v>908.64</v>
      </c>
      <c r="T2193" s="783">
        <v>1397.92</v>
      </c>
      <c r="U2193" s="785">
        <v>44713.998842592599</v>
      </c>
    </row>
    <row r="2194" spans="1:21">
      <c r="A2194" s="782">
        <v>44711</v>
      </c>
      <c r="B2194" s="783" t="s">
        <v>113</v>
      </c>
      <c r="C2194" s="783" t="s">
        <v>4097</v>
      </c>
      <c r="D2194" s="783" t="s">
        <v>4038</v>
      </c>
      <c r="E2194" s="783" t="s">
        <v>172</v>
      </c>
      <c r="F2194" s="783" t="s">
        <v>4011</v>
      </c>
      <c r="G2194" s="783" t="str">
        <f t="shared" si="117"/>
        <v>Renewal (25% in 2020)</v>
      </c>
      <c r="H2194" s="783" t="s">
        <v>5892</v>
      </c>
      <c r="I2194" s="783" t="s">
        <v>5893</v>
      </c>
      <c r="J2194" s="783">
        <v>25</v>
      </c>
      <c r="K2194" s="783" t="s">
        <v>910</v>
      </c>
      <c r="L2194" s="783" t="s">
        <v>4014</v>
      </c>
      <c r="M2194" s="784">
        <v>68486.490000000005</v>
      </c>
      <c r="N2194" s="784">
        <v>26.96</v>
      </c>
      <c r="O2194" s="784">
        <v>13.37</v>
      </c>
      <c r="P2194" s="783">
        <v>190</v>
      </c>
      <c r="Q2194" s="783">
        <v>3328.44</v>
      </c>
      <c r="R2194" s="783">
        <v>2025.36</v>
      </c>
      <c r="S2194" s="783">
        <v>748.34</v>
      </c>
      <c r="T2194" s="783">
        <v>554.74</v>
      </c>
      <c r="U2194" s="785">
        <v>44713.519942129598</v>
      </c>
    </row>
    <row r="2195" spans="1:21">
      <c r="A2195" s="782">
        <v>44671</v>
      </c>
      <c r="B2195" s="783" t="s">
        <v>41</v>
      </c>
      <c r="C2195" s="783" t="s">
        <v>4071</v>
      </c>
      <c r="D2195" s="783" t="s">
        <v>4009</v>
      </c>
      <c r="E2195" s="783" t="s">
        <v>5903</v>
      </c>
      <c r="F2195" s="783" t="s">
        <v>4011</v>
      </c>
      <c r="G2195" s="783" t="str">
        <f t="shared" si="117"/>
        <v>Renewal (15% in 2020)</v>
      </c>
      <c r="H2195" s="783" t="s">
        <v>5904</v>
      </c>
      <c r="I2195" s="783" t="s">
        <v>5905</v>
      </c>
      <c r="J2195" s="783">
        <v>20</v>
      </c>
      <c r="K2195" s="783" t="s">
        <v>910</v>
      </c>
      <c r="L2195" s="783" t="s">
        <v>4014</v>
      </c>
      <c r="M2195" s="784">
        <v>37801.230000000003</v>
      </c>
      <c r="N2195" s="784">
        <v>28.54</v>
      </c>
      <c r="O2195" s="784">
        <v>8.83</v>
      </c>
      <c r="P2195" s="783">
        <v>150</v>
      </c>
      <c r="Q2195" s="783">
        <v>2865.33</v>
      </c>
      <c r="R2195" s="783">
        <v>1735.08</v>
      </c>
      <c r="S2195" s="783">
        <v>279.73</v>
      </c>
      <c r="T2195" s="783">
        <v>850.53</v>
      </c>
      <c r="U2195" s="785">
        <v>44673.372361111098</v>
      </c>
    </row>
    <row r="2196" spans="1:21">
      <c r="A2196" s="782">
        <v>44672</v>
      </c>
      <c r="B2196" s="783" t="s">
        <v>113</v>
      </c>
      <c r="C2196" s="783" t="s">
        <v>4598</v>
      </c>
      <c r="D2196" s="783" t="s">
        <v>4009</v>
      </c>
      <c r="E2196" s="783" t="s">
        <v>6753</v>
      </c>
      <c r="F2196" s="783" t="s">
        <v>4011</v>
      </c>
      <c r="G2196" s="783" t="str">
        <f t="shared" si="117"/>
        <v>Renewal (30% in 2020)</v>
      </c>
      <c r="H2196" s="783" t="s">
        <v>6754</v>
      </c>
      <c r="I2196" s="783" t="s">
        <v>6755</v>
      </c>
      <c r="J2196" s="783">
        <v>30</v>
      </c>
      <c r="K2196" s="783" t="s">
        <v>910</v>
      </c>
      <c r="L2196" s="783" t="s">
        <v>4014</v>
      </c>
      <c r="M2196" s="784">
        <v>89879.24</v>
      </c>
      <c r="N2196" s="784">
        <v>39.11</v>
      </c>
      <c r="O2196" s="784">
        <v>10.98</v>
      </c>
      <c r="P2196" s="783">
        <v>209.3</v>
      </c>
      <c r="Q2196" s="783">
        <v>3900.76</v>
      </c>
      <c r="R2196" s="783">
        <v>2246.98</v>
      </c>
      <c r="S2196" s="783">
        <v>674.09</v>
      </c>
      <c r="T2196" s="783">
        <v>979.68</v>
      </c>
      <c r="U2196" s="785">
        <v>44673.375370370399</v>
      </c>
    </row>
    <row r="2197" spans="1:21">
      <c r="A2197" s="782">
        <v>44671</v>
      </c>
      <c r="B2197" s="783" t="s">
        <v>41</v>
      </c>
      <c r="C2197" s="783" t="s">
        <v>4071</v>
      </c>
      <c r="D2197" s="783" t="s">
        <v>4009</v>
      </c>
      <c r="E2197" s="783" t="s">
        <v>5906</v>
      </c>
      <c r="F2197" s="783" t="s">
        <v>4011</v>
      </c>
      <c r="G2197" s="783" t="str">
        <f t="shared" si="117"/>
        <v>Renewal (20% in 2020)</v>
      </c>
      <c r="H2197" s="783" t="s">
        <v>5907</v>
      </c>
      <c r="I2197" s="783" t="s">
        <v>5908</v>
      </c>
      <c r="J2197" s="783">
        <v>20</v>
      </c>
      <c r="K2197" s="783" t="s">
        <v>910</v>
      </c>
      <c r="L2197" s="783" t="s">
        <v>4014</v>
      </c>
      <c r="M2197" s="784">
        <v>51324.74</v>
      </c>
      <c r="N2197" s="784">
        <v>28.49</v>
      </c>
      <c r="O2197" s="784">
        <v>12.01</v>
      </c>
      <c r="P2197" s="783">
        <v>150</v>
      </c>
      <c r="Q2197" s="783">
        <v>3890.41</v>
      </c>
      <c r="R2197" s="783">
        <v>2355.81</v>
      </c>
      <c r="S2197" s="783">
        <v>379.8</v>
      </c>
      <c r="T2197" s="783">
        <v>1154.81</v>
      </c>
      <c r="U2197" s="785">
        <v>44673.361180555599</v>
      </c>
    </row>
    <row r="2198" spans="1:21">
      <c r="A2198" s="782">
        <v>44676</v>
      </c>
      <c r="B2198" s="783" t="s">
        <v>41</v>
      </c>
      <c r="C2198" s="783" t="s">
        <v>4082</v>
      </c>
      <c r="D2198" s="783" t="s">
        <v>4009</v>
      </c>
      <c r="E2198" s="783" t="s">
        <v>4679</v>
      </c>
      <c r="F2198" s="783" t="s">
        <v>4011</v>
      </c>
      <c r="G2198" s="783" t="str">
        <f t="shared" si="117"/>
        <v>Renewal (25% in 2020)</v>
      </c>
      <c r="H2198" s="783" t="s">
        <v>4680</v>
      </c>
      <c r="I2198" s="783" t="s">
        <v>4681</v>
      </c>
      <c r="J2198" s="783">
        <v>25</v>
      </c>
      <c r="K2198" s="783" t="s">
        <v>910</v>
      </c>
      <c r="L2198" s="783" t="s">
        <v>4014</v>
      </c>
      <c r="M2198" s="784">
        <v>30424.57</v>
      </c>
      <c r="N2198" s="784">
        <v>16.62</v>
      </c>
      <c r="O2198" s="784">
        <v>10.17</v>
      </c>
      <c r="P2198" s="783">
        <v>180</v>
      </c>
      <c r="Q2198" s="783">
        <v>1405.62</v>
      </c>
      <c r="R2198" s="783">
        <v>966.06</v>
      </c>
      <c r="S2198" s="783">
        <v>317.85000000000002</v>
      </c>
      <c r="T2198" s="783">
        <v>121.7</v>
      </c>
      <c r="U2198" s="785">
        <v>44676.729212963</v>
      </c>
    </row>
    <row r="2199" spans="1:21">
      <c r="A2199" s="782">
        <v>44671</v>
      </c>
      <c r="B2199" s="783" t="s">
        <v>41</v>
      </c>
      <c r="C2199" s="783" t="s">
        <v>4082</v>
      </c>
      <c r="D2199" s="783" t="s">
        <v>4009</v>
      </c>
      <c r="E2199" s="783" t="s">
        <v>4682</v>
      </c>
      <c r="F2199" s="783" t="s">
        <v>4011</v>
      </c>
      <c r="G2199" s="783" t="str">
        <f t="shared" si="117"/>
        <v>Renewal (25% in 2020)</v>
      </c>
      <c r="H2199" s="783" t="s">
        <v>4683</v>
      </c>
      <c r="I2199" s="783" t="s">
        <v>4684</v>
      </c>
      <c r="J2199" s="783">
        <v>25</v>
      </c>
      <c r="K2199" s="783" t="s">
        <v>910</v>
      </c>
      <c r="L2199" s="783" t="s">
        <v>4014</v>
      </c>
      <c r="M2199" s="784">
        <v>80388.58</v>
      </c>
      <c r="N2199" s="784">
        <v>52.7</v>
      </c>
      <c r="O2199" s="784">
        <v>10.52</v>
      </c>
      <c r="P2199" s="783">
        <v>145</v>
      </c>
      <c r="Q2199" s="783">
        <v>3713.95</v>
      </c>
      <c r="R2199" s="783">
        <v>2853.79</v>
      </c>
      <c r="S2199" s="783">
        <v>538.6</v>
      </c>
      <c r="T2199" s="783">
        <v>321.55</v>
      </c>
      <c r="U2199" s="785">
        <v>44673.370185185202</v>
      </c>
    </row>
    <row r="2200" spans="1:21">
      <c r="A2200" s="782">
        <v>44671</v>
      </c>
      <c r="B2200" s="783" t="s">
        <v>113</v>
      </c>
      <c r="C2200" s="783" t="s">
        <v>4606</v>
      </c>
      <c r="D2200" s="783" t="s">
        <v>4009</v>
      </c>
      <c r="E2200" s="783" t="s">
        <v>6756</v>
      </c>
      <c r="F2200" s="783" t="s">
        <v>4011</v>
      </c>
      <c r="G2200" s="783" t="str">
        <f t="shared" si="117"/>
        <v>Renewal (30% in 2020)</v>
      </c>
      <c r="H2200" s="783" t="s">
        <v>6757</v>
      </c>
      <c r="I2200" s="783" t="s">
        <v>6758</v>
      </c>
      <c r="J2200" s="783">
        <v>30</v>
      </c>
      <c r="K2200" s="783" t="s">
        <v>910</v>
      </c>
      <c r="L2200" s="783" t="s">
        <v>4014</v>
      </c>
      <c r="M2200" s="784">
        <v>68838.509999999995</v>
      </c>
      <c r="N2200" s="784">
        <v>35.72</v>
      </c>
      <c r="O2200" s="784">
        <v>11.97</v>
      </c>
      <c r="P2200" s="783">
        <v>161</v>
      </c>
      <c r="Q2200" s="783">
        <v>3441.93</v>
      </c>
      <c r="R2200" s="783">
        <v>2547.02</v>
      </c>
      <c r="S2200" s="783">
        <v>0</v>
      </c>
      <c r="T2200" s="783">
        <v>894.9</v>
      </c>
      <c r="U2200" s="785">
        <v>44708.9596296296</v>
      </c>
    </row>
    <row r="2201" spans="1:21">
      <c r="A2201" s="782">
        <v>44672</v>
      </c>
      <c r="B2201" s="783" t="s">
        <v>113</v>
      </c>
      <c r="C2201" s="783" t="s">
        <v>4606</v>
      </c>
      <c r="D2201" s="783" t="s">
        <v>4009</v>
      </c>
      <c r="E2201" s="783" t="s">
        <v>3106</v>
      </c>
      <c r="F2201" s="783" t="s">
        <v>4011</v>
      </c>
      <c r="G2201" s="783" t="str">
        <f t="shared" si="117"/>
        <v>Renewal (25% in 2020)</v>
      </c>
      <c r="H2201" s="783" t="s">
        <v>6759</v>
      </c>
      <c r="I2201" s="783" t="s">
        <v>6760</v>
      </c>
      <c r="J2201" s="783">
        <v>25</v>
      </c>
      <c r="K2201" s="783" t="s">
        <v>910</v>
      </c>
      <c r="L2201" s="783" t="s">
        <v>4014</v>
      </c>
      <c r="M2201" s="784">
        <v>46332</v>
      </c>
      <c r="N2201" s="784">
        <v>18</v>
      </c>
      <c r="O2201" s="784">
        <v>12.87</v>
      </c>
      <c r="P2201" s="783">
        <v>200</v>
      </c>
      <c r="Q2201" s="783">
        <v>2585.33</v>
      </c>
      <c r="R2201" s="783">
        <v>1380</v>
      </c>
      <c r="S2201" s="783">
        <v>612.28</v>
      </c>
      <c r="T2201" s="783">
        <v>593.04999999999995</v>
      </c>
      <c r="U2201" s="785">
        <v>44673.391018518501</v>
      </c>
    </row>
    <row r="2202" spans="1:21">
      <c r="A2202" s="782">
        <v>44670</v>
      </c>
      <c r="B2202" s="783" t="s">
        <v>3078</v>
      </c>
      <c r="C2202" s="783" t="s">
        <v>4414</v>
      </c>
      <c r="D2202" s="783" t="s">
        <v>4009</v>
      </c>
      <c r="E2202" s="783" t="s">
        <v>5915</v>
      </c>
      <c r="F2202" s="783" t="s">
        <v>4011</v>
      </c>
      <c r="G2202" s="783" t="str">
        <f t="shared" si="117"/>
        <v>Renewal (25% in 2020)</v>
      </c>
      <c r="H2202" s="783" t="s">
        <v>5916</v>
      </c>
      <c r="I2202" s="783" t="s">
        <v>5917</v>
      </c>
      <c r="J2202" s="783">
        <v>25</v>
      </c>
      <c r="K2202" s="783" t="s">
        <v>910</v>
      </c>
      <c r="L2202" s="783" t="s">
        <v>4014</v>
      </c>
      <c r="M2202" s="784">
        <v>44776.26</v>
      </c>
      <c r="N2202" s="784">
        <v>22.46</v>
      </c>
      <c r="O2202" s="784">
        <v>12.46</v>
      </c>
      <c r="P2202" s="783">
        <v>160</v>
      </c>
      <c r="Q2202" s="783">
        <v>2588.0700000000002</v>
      </c>
      <c r="R2202" s="783">
        <v>1768.66</v>
      </c>
      <c r="S2202" s="783">
        <v>291.05</v>
      </c>
      <c r="T2202" s="783">
        <v>528.36</v>
      </c>
      <c r="U2202" s="785">
        <v>44671.496898148202</v>
      </c>
    </row>
    <row r="2203" spans="1:21">
      <c r="A2203" s="782">
        <v>44705</v>
      </c>
      <c r="B2203" s="783" t="s">
        <v>113</v>
      </c>
      <c r="C2203" s="783" t="s">
        <v>4606</v>
      </c>
      <c r="D2203" s="783" t="s">
        <v>4009</v>
      </c>
      <c r="E2203" s="783" t="s">
        <v>6666</v>
      </c>
      <c r="F2203" s="783" t="s">
        <v>4011</v>
      </c>
      <c r="G2203" s="783" t="str">
        <f t="shared" si="117"/>
        <v>Renewal (25% in 2020)</v>
      </c>
      <c r="H2203" s="783" t="s">
        <v>6667</v>
      </c>
      <c r="I2203" s="783" t="s">
        <v>6668</v>
      </c>
      <c r="J2203" s="783">
        <v>25</v>
      </c>
      <c r="K2203" s="783" t="s">
        <v>910</v>
      </c>
      <c r="L2203" s="783" t="s">
        <v>4014</v>
      </c>
      <c r="M2203" s="784">
        <v>103281.55</v>
      </c>
      <c r="N2203" s="784">
        <v>34.630000000000003</v>
      </c>
      <c r="O2203" s="784">
        <v>14.27</v>
      </c>
      <c r="P2203" s="783">
        <v>209</v>
      </c>
      <c r="Q2203" s="783">
        <v>5763.11</v>
      </c>
      <c r="R2203" s="783">
        <v>2943.77</v>
      </c>
      <c r="S2203" s="783">
        <v>1497.34</v>
      </c>
      <c r="T2203" s="783">
        <v>1322</v>
      </c>
      <c r="U2203" s="785">
        <v>44708.958333333299</v>
      </c>
    </row>
    <row r="2204" spans="1:21">
      <c r="A2204" s="782">
        <v>44672</v>
      </c>
      <c r="B2204" s="783" t="s">
        <v>41</v>
      </c>
      <c r="C2204" s="783" t="s">
        <v>4082</v>
      </c>
      <c r="D2204" s="783" t="s">
        <v>4009</v>
      </c>
      <c r="E2204" s="783" t="s">
        <v>4687</v>
      </c>
      <c r="F2204" s="783" t="s">
        <v>4011</v>
      </c>
      <c r="G2204" s="783" t="str">
        <f t="shared" si="117"/>
        <v>Renewal (20% in 2020)</v>
      </c>
      <c r="H2204" s="783" t="s">
        <v>4688</v>
      </c>
      <c r="I2204" s="783" t="s">
        <v>4689</v>
      </c>
      <c r="J2204" s="783">
        <v>20</v>
      </c>
      <c r="K2204" s="783" t="s">
        <v>910</v>
      </c>
      <c r="L2204" s="783" t="s">
        <v>4014</v>
      </c>
      <c r="M2204" s="784">
        <v>15307.95</v>
      </c>
      <c r="N2204" s="784">
        <v>15.25</v>
      </c>
      <c r="O2204" s="784">
        <v>7.17</v>
      </c>
      <c r="P2204" s="783">
        <v>140</v>
      </c>
      <c r="Q2204" s="783">
        <v>921.54</v>
      </c>
      <c r="R2204" s="783">
        <v>543.42999999999995</v>
      </c>
      <c r="S2204" s="783">
        <v>102.56</v>
      </c>
      <c r="T2204" s="783">
        <v>275.54000000000002</v>
      </c>
      <c r="U2204" s="785">
        <v>44673.380335648202</v>
      </c>
    </row>
    <row r="2205" spans="1:21">
      <c r="A2205" s="782">
        <v>44672</v>
      </c>
      <c r="B2205" s="783" t="s">
        <v>113</v>
      </c>
      <c r="C2205" s="783" t="s">
        <v>4598</v>
      </c>
      <c r="D2205" s="783" t="s">
        <v>4009</v>
      </c>
      <c r="E2205" s="783" t="s">
        <v>6761</v>
      </c>
      <c r="F2205" s="783" t="s">
        <v>4011</v>
      </c>
      <c r="G2205" s="783" t="s">
        <v>4028</v>
      </c>
      <c r="H2205" s="783" t="s">
        <v>6762</v>
      </c>
      <c r="I2205" s="783" t="s">
        <v>6763</v>
      </c>
      <c r="J2205" s="783">
        <v>15</v>
      </c>
      <c r="K2205" s="783" t="s">
        <v>910</v>
      </c>
      <c r="L2205" s="783" t="s">
        <v>4014</v>
      </c>
      <c r="M2205" s="784">
        <v>165974.9</v>
      </c>
      <c r="N2205" s="784">
        <v>61</v>
      </c>
      <c r="O2205" s="784">
        <v>13</v>
      </c>
      <c r="P2205" s="783">
        <v>209.3</v>
      </c>
      <c r="Q2205" s="783">
        <v>13775.92</v>
      </c>
      <c r="R2205" s="783">
        <v>4149.37</v>
      </c>
      <c r="S2205" s="783">
        <v>2622.4</v>
      </c>
      <c r="T2205" s="783">
        <v>7004.14</v>
      </c>
      <c r="U2205" s="785">
        <v>44673.377638888902</v>
      </c>
    </row>
    <row r="2206" spans="1:21">
      <c r="A2206" s="782">
        <v>44672</v>
      </c>
      <c r="B2206" s="783" t="s">
        <v>113</v>
      </c>
      <c r="C2206" s="783" t="s">
        <v>4606</v>
      </c>
      <c r="D2206" s="783" t="s">
        <v>4009</v>
      </c>
      <c r="E2206" s="783" t="s">
        <v>6764</v>
      </c>
      <c r="F2206" s="783" t="s">
        <v>4011</v>
      </c>
      <c r="G2206" s="783" t="str">
        <f>VLOOKUP(I2206,pacage,2,FALSE)</f>
        <v>Renewal (25% in 2020)</v>
      </c>
      <c r="H2206" s="783" t="s">
        <v>6765</v>
      </c>
      <c r="I2206" s="783" t="s">
        <v>6766</v>
      </c>
      <c r="J2206" s="783">
        <v>25</v>
      </c>
      <c r="K2206" s="783" t="s">
        <v>910</v>
      </c>
      <c r="L2206" s="783" t="s">
        <v>4014</v>
      </c>
      <c r="M2206" s="784">
        <v>46674.42</v>
      </c>
      <c r="N2206" s="784">
        <v>24.28</v>
      </c>
      <c r="O2206" s="784">
        <v>11.94</v>
      </c>
      <c r="P2206" s="783">
        <v>161</v>
      </c>
      <c r="Q2206" s="783">
        <v>2604.4299999999998</v>
      </c>
      <c r="R2206" s="783">
        <v>1726.95</v>
      </c>
      <c r="S2206" s="783">
        <v>280.05</v>
      </c>
      <c r="T2206" s="783">
        <v>597.42999999999995</v>
      </c>
      <c r="U2206" s="785">
        <v>44673.393240740697</v>
      </c>
    </row>
    <row r="2207" spans="1:21">
      <c r="A2207" s="782">
        <v>44693</v>
      </c>
      <c r="B2207" s="783" t="s">
        <v>41</v>
      </c>
      <c r="C2207" s="783" t="s">
        <v>4139</v>
      </c>
      <c r="D2207" s="783" t="s">
        <v>4009</v>
      </c>
      <c r="E2207" s="783" t="s">
        <v>60</v>
      </c>
      <c r="F2207" s="783" t="s">
        <v>4011</v>
      </c>
      <c r="G2207" s="783" t="str">
        <f>VLOOKUP(I2207,pacage,2,FALSE)</f>
        <v>Renewal (15% in 2020)</v>
      </c>
      <c r="H2207" s="783" t="s">
        <v>5932</v>
      </c>
      <c r="I2207" s="783" t="s">
        <v>5933</v>
      </c>
      <c r="J2207" s="783">
        <v>15</v>
      </c>
      <c r="K2207" s="783" t="s">
        <v>910</v>
      </c>
      <c r="L2207" s="783" t="s">
        <v>4014</v>
      </c>
      <c r="M2207" s="784">
        <v>158590.88</v>
      </c>
      <c r="N2207" s="784">
        <v>63.64</v>
      </c>
      <c r="O2207" s="784">
        <v>12.46</v>
      </c>
      <c r="P2207" s="783">
        <v>200</v>
      </c>
      <c r="Q2207" s="783">
        <v>12671.41</v>
      </c>
      <c r="R2207" s="783">
        <v>4608.7299999999996</v>
      </c>
      <c r="S2207" s="783">
        <v>2052.09</v>
      </c>
      <c r="T2207" s="783">
        <v>6010.59</v>
      </c>
      <c r="U2207" s="785">
        <v>44694.417210648098</v>
      </c>
    </row>
    <row r="2208" spans="1:21">
      <c r="A2208" s="782">
        <v>44694</v>
      </c>
      <c r="B2208" s="783" t="s">
        <v>74</v>
      </c>
      <c r="C2208" s="783" t="s">
        <v>4097</v>
      </c>
      <c r="D2208" s="783" t="s">
        <v>4038</v>
      </c>
      <c r="E2208" s="783" t="s">
        <v>6767</v>
      </c>
      <c r="F2208" s="783" t="s">
        <v>4011</v>
      </c>
      <c r="G2208" s="783" t="str">
        <f>VLOOKUP(I2208,pacage,2,FALSE)</f>
        <v>Renewal (25% in 2020)</v>
      </c>
      <c r="H2208" s="783" t="s">
        <v>6768</v>
      </c>
      <c r="I2208" s="783" t="s">
        <v>6769</v>
      </c>
      <c r="J2208" s="783">
        <v>25</v>
      </c>
      <c r="K2208" s="783" t="s">
        <v>910</v>
      </c>
      <c r="L2208" s="783" t="s">
        <v>4014</v>
      </c>
      <c r="M2208" s="784">
        <v>16207.77</v>
      </c>
      <c r="N2208" s="784">
        <v>10.46</v>
      </c>
      <c r="O2208" s="784">
        <v>10.33</v>
      </c>
      <c r="P2208" s="783">
        <v>150</v>
      </c>
      <c r="Q2208" s="783">
        <v>787.7</v>
      </c>
      <c r="R2208" s="783">
        <v>565.65</v>
      </c>
      <c r="S2208" s="783">
        <v>90.76</v>
      </c>
      <c r="T2208" s="783">
        <v>131.28</v>
      </c>
      <c r="U2208" s="785">
        <v>44694.621805555602</v>
      </c>
    </row>
    <row r="2209" spans="1:21">
      <c r="A2209" s="782">
        <v>44638</v>
      </c>
      <c r="B2209" s="783" t="s">
        <v>113</v>
      </c>
      <c r="C2209" s="783" t="s">
        <v>4606</v>
      </c>
      <c r="D2209" s="783" t="s">
        <v>4009</v>
      </c>
      <c r="E2209" s="783" t="s">
        <v>6770</v>
      </c>
      <c r="F2209" s="783" t="s">
        <v>4011</v>
      </c>
      <c r="G2209" s="783" t="s">
        <v>4028</v>
      </c>
      <c r="H2209" s="783" t="s">
        <v>6771</v>
      </c>
      <c r="I2209" s="783" t="s">
        <v>6772</v>
      </c>
      <c r="J2209" s="783">
        <v>25</v>
      </c>
      <c r="K2209" s="783" t="s">
        <v>910</v>
      </c>
      <c r="L2209" s="783" t="s">
        <v>4014</v>
      </c>
      <c r="M2209" s="784">
        <v>30625</v>
      </c>
      <c r="N2209" s="784">
        <v>14</v>
      </c>
      <c r="O2209" s="784">
        <v>12.5</v>
      </c>
      <c r="P2209" s="783">
        <v>175</v>
      </c>
      <c r="Q2209" s="783">
        <v>1708.88</v>
      </c>
      <c r="R2209" s="783">
        <v>1042.48</v>
      </c>
      <c r="S2209" s="783">
        <v>274.39999999999998</v>
      </c>
      <c r="T2209" s="783">
        <v>392</v>
      </c>
      <c r="U2209" s="785">
        <v>44641.400347222203</v>
      </c>
    </row>
    <row r="2210" spans="1:21">
      <c r="A2210" s="782">
        <v>44638</v>
      </c>
      <c r="B2210" s="783" t="s">
        <v>113</v>
      </c>
      <c r="C2210" s="783" t="s">
        <v>4606</v>
      </c>
      <c r="D2210" s="783" t="s">
        <v>4009</v>
      </c>
      <c r="E2210" s="783" t="s">
        <v>6773</v>
      </c>
      <c r="F2210" s="783" t="s">
        <v>4011</v>
      </c>
      <c r="G2210" s="783" t="str">
        <f>VLOOKUP(I2210,pacage,2,FALSE)</f>
        <v>Renewal (25% in 2020)</v>
      </c>
      <c r="H2210" s="783" t="s">
        <v>6774</v>
      </c>
      <c r="I2210" s="783" t="s">
        <v>6775</v>
      </c>
      <c r="J2210" s="783">
        <v>25</v>
      </c>
      <c r="K2210" s="783" t="s">
        <v>910</v>
      </c>
      <c r="L2210" s="783" t="s">
        <v>4014</v>
      </c>
      <c r="M2210" s="784">
        <v>71982</v>
      </c>
      <c r="N2210" s="784">
        <v>36</v>
      </c>
      <c r="O2210" s="784">
        <v>13.33</v>
      </c>
      <c r="P2210" s="783">
        <v>150</v>
      </c>
      <c r="Q2210" s="783">
        <v>4016.6</v>
      </c>
      <c r="R2210" s="783">
        <v>2663.33</v>
      </c>
      <c r="S2210" s="783">
        <v>431.89</v>
      </c>
      <c r="T2210" s="783">
        <v>921.37</v>
      </c>
      <c r="U2210" s="785">
        <v>44638.378819444399</v>
      </c>
    </row>
    <row r="2211" spans="1:21">
      <c r="A2211" s="782">
        <v>44671</v>
      </c>
      <c r="B2211" s="783" t="s">
        <v>113</v>
      </c>
      <c r="C2211" s="783" t="s">
        <v>4606</v>
      </c>
      <c r="D2211" s="783" t="s">
        <v>4009</v>
      </c>
      <c r="E2211" s="783" t="s">
        <v>3638</v>
      </c>
      <c r="F2211" s="783" t="s">
        <v>4011</v>
      </c>
      <c r="G2211" s="783" t="str">
        <f>VLOOKUP(I2211,pacage,2,FALSE)</f>
        <v>Renewal (20% in 2020)</v>
      </c>
      <c r="H2211" s="783" t="s">
        <v>6776</v>
      </c>
      <c r="I2211" s="783" t="s">
        <v>6777</v>
      </c>
      <c r="J2211" s="783">
        <v>20</v>
      </c>
      <c r="K2211" s="783" t="s">
        <v>910</v>
      </c>
      <c r="L2211" s="783" t="s">
        <v>4014</v>
      </c>
      <c r="M2211" s="784">
        <v>19750</v>
      </c>
      <c r="N2211" s="784">
        <v>7.9</v>
      </c>
      <c r="O2211" s="784">
        <v>12.5</v>
      </c>
      <c r="P2211" s="783">
        <v>200</v>
      </c>
      <c r="Q2211" s="783">
        <v>1366.7</v>
      </c>
      <c r="R2211" s="783">
        <v>588.25</v>
      </c>
      <c r="S2211" s="783">
        <v>261</v>
      </c>
      <c r="T2211" s="783">
        <v>517.45000000000005</v>
      </c>
      <c r="U2211" s="785">
        <v>44673.368553240703</v>
      </c>
    </row>
    <row r="2212" spans="1:21">
      <c r="A2212" s="782">
        <v>44634</v>
      </c>
      <c r="B2212" s="783" t="s">
        <v>113</v>
      </c>
      <c r="C2212" s="783" t="s">
        <v>4606</v>
      </c>
      <c r="D2212" s="783" t="s">
        <v>4009</v>
      </c>
      <c r="E2212" s="783" t="s">
        <v>2825</v>
      </c>
      <c r="F2212" s="783" t="s">
        <v>4011</v>
      </c>
      <c r="G2212" s="783" t="str">
        <f>VLOOKUP(I2212,pacage,2,FALSE)</f>
        <v>Renewal (30% in 2020)</v>
      </c>
      <c r="H2212" s="783" t="s">
        <v>6778</v>
      </c>
      <c r="I2212" s="783" t="s">
        <v>6779</v>
      </c>
      <c r="J2212" s="783">
        <v>30</v>
      </c>
      <c r="K2212" s="783" t="s">
        <v>910</v>
      </c>
      <c r="L2212" s="783" t="s">
        <v>4014</v>
      </c>
      <c r="M2212" s="784">
        <v>49761.91</v>
      </c>
      <c r="N2212" s="784">
        <v>27.82</v>
      </c>
      <c r="O2212" s="784">
        <v>11.11</v>
      </c>
      <c r="P2212" s="783">
        <v>161</v>
      </c>
      <c r="Q2212" s="783">
        <v>2488.1</v>
      </c>
      <c r="R2212" s="783">
        <v>1841.19</v>
      </c>
      <c r="S2212" s="783">
        <v>0</v>
      </c>
      <c r="T2212" s="783">
        <v>646.9</v>
      </c>
      <c r="U2212" s="785">
        <v>44636.370972222197</v>
      </c>
    </row>
    <row r="2213" spans="1:21">
      <c r="A2213" s="782">
        <v>44637</v>
      </c>
      <c r="B2213" s="783" t="s">
        <v>113</v>
      </c>
      <c r="C2213" s="783" t="s">
        <v>4606</v>
      </c>
      <c r="D2213" s="783" t="s">
        <v>4009</v>
      </c>
      <c r="E2213" s="783" t="s">
        <v>6780</v>
      </c>
      <c r="F2213" s="783" t="s">
        <v>4011</v>
      </c>
      <c r="G2213" s="783" t="s">
        <v>4028</v>
      </c>
      <c r="H2213" s="783" t="s">
        <v>6781</v>
      </c>
      <c r="I2213" s="783" t="s">
        <v>6782</v>
      </c>
      <c r="J2213" s="783">
        <v>30</v>
      </c>
      <c r="K2213" s="783" t="s">
        <v>910</v>
      </c>
      <c r="L2213" s="783" t="s">
        <v>4014</v>
      </c>
      <c r="M2213" s="784">
        <v>6768.75</v>
      </c>
      <c r="N2213" s="784">
        <v>4.75</v>
      </c>
      <c r="O2213" s="784">
        <v>9.5</v>
      </c>
      <c r="P2213" s="783">
        <v>150</v>
      </c>
      <c r="Q2213" s="783">
        <v>338.44</v>
      </c>
      <c r="R2213" s="783">
        <v>250.44</v>
      </c>
      <c r="S2213" s="783">
        <v>0</v>
      </c>
      <c r="T2213" s="783">
        <v>87.99</v>
      </c>
      <c r="U2213" s="785">
        <v>44638.393032407403</v>
      </c>
    </row>
    <row r="2214" spans="1:21">
      <c r="A2214" s="782">
        <v>44652</v>
      </c>
      <c r="B2214" s="783" t="s">
        <v>2866</v>
      </c>
      <c r="C2214" s="783" t="s">
        <v>4008</v>
      </c>
      <c r="D2214" s="783" t="s">
        <v>4009</v>
      </c>
      <c r="E2214" s="783" t="s">
        <v>5964</v>
      </c>
      <c r="F2214" s="783" t="s">
        <v>4011</v>
      </c>
      <c r="G2214" s="783" t="str">
        <f t="shared" ref="G2214:G2219" si="118">VLOOKUP(I2214,pacage,2,FALSE)</f>
        <v>Renewal (25% in 2020)</v>
      </c>
      <c r="H2214" s="783" t="s">
        <v>5965</v>
      </c>
      <c r="I2214" s="783" t="s">
        <v>5966</v>
      </c>
      <c r="J2214" s="783">
        <v>25</v>
      </c>
      <c r="K2214" s="783" t="s">
        <v>910</v>
      </c>
      <c r="L2214" s="783" t="s">
        <v>4014</v>
      </c>
      <c r="M2214" s="784">
        <v>13457.66</v>
      </c>
      <c r="N2214" s="784">
        <v>9.44</v>
      </c>
      <c r="O2214" s="784">
        <v>7.92</v>
      </c>
      <c r="P2214" s="783">
        <v>180</v>
      </c>
      <c r="Q2214" s="783">
        <v>715.95</v>
      </c>
      <c r="R2214" s="783">
        <v>463.43</v>
      </c>
      <c r="S2214" s="783">
        <v>139.47</v>
      </c>
      <c r="T2214" s="783">
        <v>113.04</v>
      </c>
      <c r="U2214" s="785">
        <v>44655.503194444398</v>
      </c>
    </row>
    <row r="2215" spans="1:21">
      <c r="A2215" s="782">
        <v>44658</v>
      </c>
      <c r="B2215" s="783" t="s">
        <v>34</v>
      </c>
      <c r="C2215" s="783" t="s">
        <v>4082</v>
      </c>
      <c r="D2215" s="783" t="s">
        <v>4009</v>
      </c>
      <c r="E2215" s="783" t="s">
        <v>4690</v>
      </c>
      <c r="F2215" s="783" t="s">
        <v>4011</v>
      </c>
      <c r="G2215" s="783" t="str">
        <f t="shared" si="118"/>
        <v>Renewal (30% in 2020)</v>
      </c>
      <c r="H2215" s="783" t="s">
        <v>4691</v>
      </c>
      <c r="I2215" s="783" t="s">
        <v>4692</v>
      </c>
      <c r="J2215" s="783">
        <v>30</v>
      </c>
      <c r="K2215" s="783" t="s">
        <v>910</v>
      </c>
      <c r="L2215" s="783" t="s">
        <v>4014</v>
      </c>
      <c r="M2215" s="784">
        <v>32254.35</v>
      </c>
      <c r="N2215" s="784">
        <v>21.29</v>
      </c>
      <c r="O2215" s="784">
        <v>10.1</v>
      </c>
      <c r="P2215" s="783">
        <v>150</v>
      </c>
      <c r="Q2215" s="783">
        <v>1178.9000000000001</v>
      </c>
      <c r="R2215" s="783">
        <v>1059.52</v>
      </c>
      <c r="S2215" s="783">
        <v>0</v>
      </c>
      <c r="T2215" s="783">
        <v>119.38</v>
      </c>
      <c r="U2215" s="785">
        <v>44659.413680555597</v>
      </c>
    </row>
    <row r="2216" spans="1:21">
      <c r="A2216" s="782">
        <v>44652</v>
      </c>
      <c r="B2216" s="783" t="s">
        <v>113</v>
      </c>
      <c r="C2216" s="783" t="s">
        <v>4606</v>
      </c>
      <c r="D2216" s="783" t="s">
        <v>4009</v>
      </c>
      <c r="E2216" s="783" t="s">
        <v>6783</v>
      </c>
      <c r="F2216" s="783" t="s">
        <v>4011</v>
      </c>
      <c r="G2216" s="783" t="str">
        <f t="shared" si="118"/>
        <v>Renewal (25% in 2020)</v>
      </c>
      <c r="H2216" s="783" t="s">
        <v>6784</v>
      </c>
      <c r="I2216" s="783" t="s">
        <v>6785</v>
      </c>
      <c r="J2216" s="783">
        <v>25</v>
      </c>
      <c r="K2216" s="783" t="s">
        <v>910</v>
      </c>
      <c r="L2216" s="783" t="s">
        <v>4014</v>
      </c>
      <c r="M2216" s="784">
        <v>91266.12</v>
      </c>
      <c r="N2216" s="784">
        <v>36.39</v>
      </c>
      <c r="O2216" s="784">
        <v>12.54</v>
      </c>
      <c r="P2216" s="783">
        <v>200</v>
      </c>
      <c r="Q2216" s="783">
        <v>5092.6499999999996</v>
      </c>
      <c r="R2216" s="783">
        <v>2718.36</v>
      </c>
      <c r="S2216" s="783">
        <v>1206.08</v>
      </c>
      <c r="T2216" s="783">
        <v>1168.21</v>
      </c>
      <c r="U2216" s="785">
        <v>44655.500567129602</v>
      </c>
    </row>
    <row r="2217" spans="1:21">
      <c r="A2217" s="782">
        <v>44655</v>
      </c>
      <c r="B2217" s="783" t="s">
        <v>113</v>
      </c>
      <c r="C2217" s="783" t="s">
        <v>4097</v>
      </c>
      <c r="D2217" s="783" t="s">
        <v>4038</v>
      </c>
      <c r="E2217" s="783" t="s">
        <v>5983</v>
      </c>
      <c r="F2217" s="783" t="s">
        <v>4066</v>
      </c>
      <c r="G2217" s="783" t="str">
        <f t="shared" si="118"/>
        <v>Renewal (15% in 2020)</v>
      </c>
      <c r="H2217" s="783" t="s">
        <v>5984</v>
      </c>
      <c r="I2217" s="783" t="s">
        <v>5985</v>
      </c>
      <c r="J2217" s="783">
        <v>10</v>
      </c>
      <c r="K2217" s="783" t="s">
        <v>910</v>
      </c>
      <c r="L2217" s="783" t="s">
        <v>4014</v>
      </c>
      <c r="M2217" s="784">
        <v>115115</v>
      </c>
      <c r="N2217" s="784">
        <v>55</v>
      </c>
      <c r="O2217" s="784">
        <v>13</v>
      </c>
      <c r="P2217" s="783">
        <v>161</v>
      </c>
      <c r="Q2217" s="783">
        <v>2797.29</v>
      </c>
      <c r="R2217" s="783">
        <v>0</v>
      </c>
      <c r="S2217" s="783">
        <v>0</v>
      </c>
      <c r="T2217" s="783">
        <v>2797.29</v>
      </c>
      <c r="U2217" s="785">
        <v>44657.619456018503</v>
      </c>
    </row>
    <row r="2218" spans="1:21">
      <c r="A2218" s="782">
        <v>44652</v>
      </c>
      <c r="B2218" s="783" t="s">
        <v>3078</v>
      </c>
      <c r="C2218" s="783" t="s">
        <v>4414</v>
      </c>
      <c r="D2218" s="783" t="s">
        <v>4009</v>
      </c>
      <c r="E2218" s="783" t="s">
        <v>3082</v>
      </c>
      <c r="F2218" s="783" t="s">
        <v>4011</v>
      </c>
      <c r="G2218" s="783" t="str">
        <f t="shared" si="118"/>
        <v>Renewal (20% in 2020)</v>
      </c>
      <c r="H2218" s="783" t="s">
        <v>4415</v>
      </c>
      <c r="I2218" s="783" t="s">
        <v>4416</v>
      </c>
      <c r="J2218" s="783">
        <v>20</v>
      </c>
      <c r="K2218" s="783" t="s">
        <v>910</v>
      </c>
      <c r="L2218" s="783" t="s">
        <v>4014</v>
      </c>
      <c r="M2218" s="784">
        <v>42623.46</v>
      </c>
      <c r="N2218" s="784">
        <v>18</v>
      </c>
      <c r="O2218" s="784">
        <v>11.33</v>
      </c>
      <c r="P2218" s="783">
        <v>209</v>
      </c>
      <c r="Q2218" s="783">
        <v>3107.25</v>
      </c>
      <c r="R2218" s="783">
        <v>1296.96</v>
      </c>
      <c r="S2218" s="783">
        <v>663.72</v>
      </c>
      <c r="T2218" s="783">
        <v>1146.57</v>
      </c>
      <c r="U2218" s="785">
        <v>44655.497453703698</v>
      </c>
    </row>
    <row r="2219" spans="1:21">
      <c r="A2219" s="782">
        <v>44654</v>
      </c>
      <c r="B2219" s="783" t="s">
        <v>113</v>
      </c>
      <c r="C2219" s="783" t="s">
        <v>4606</v>
      </c>
      <c r="D2219" s="783" t="s">
        <v>4009</v>
      </c>
      <c r="E2219" s="783" t="s">
        <v>5992</v>
      </c>
      <c r="F2219" s="783" t="s">
        <v>4011</v>
      </c>
      <c r="G2219" s="783" t="str">
        <f t="shared" si="118"/>
        <v>Renewal (25% in 2020)</v>
      </c>
      <c r="H2219" s="783" t="s">
        <v>5993</v>
      </c>
      <c r="I2219" s="783" t="s">
        <v>5994</v>
      </c>
      <c r="J2219" s="783">
        <v>25</v>
      </c>
      <c r="K2219" s="783" t="s">
        <v>910</v>
      </c>
      <c r="L2219" s="783" t="s">
        <v>4014</v>
      </c>
      <c r="M2219" s="784">
        <v>13930.04</v>
      </c>
      <c r="N2219" s="784">
        <v>6.01</v>
      </c>
      <c r="O2219" s="784">
        <v>11.09</v>
      </c>
      <c r="P2219" s="783">
        <v>209</v>
      </c>
      <c r="Q2219" s="783">
        <v>777.3</v>
      </c>
      <c r="R2219" s="783">
        <v>397.04</v>
      </c>
      <c r="S2219" s="783">
        <v>201.95</v>
      </c>
      <c r="T2219" s="783">
        <v>178.3</v>
      </c>
      <c r="U2219" s="785">
        <v>44655.502337963</v>
      </c>
    </row>
    <row r="2220" spans="1:21">
      <c r="A2220" s="782">
        <v>44615</v>
      </c>
      <c r="B2220" s="783" t="s">
        <v>74</v>
      </c>
      <c r="C2220" s="783" t="s">
        <v>4037</v>
      </c>
      <c r="D2220" s="783" t="s">
        <v>4038</v>
      </c>
      <c r="E2220" s="783" t="s">
        <v>1665</v>
      </c>
      <c r="F2220" s="783" t="s">
        <v>4011</v>
      </c>
      <c r="G2220" s="783" t="s">
        <v>4028</v>
      </c>
      <c r="H2220" s="783" t="s">
        <v>4421</v>
      </c>
      <c r="I2220" s="783" t="s">
        <v>4422</v>
      </c>
      <c r="J2220" s="783">
        <v>30</v>
      </c>
      <c r="K2220" s="783" t="s">
        <v>910</v>
      </c>
      <c r="L2220" s="783" t="s">
        <v>4014</v>
      </c>
      <c r="M2220" s="784">
        <v>50088.22</v>
      </c>
      <c r="N2220" s="784">
        <v>26.39</v>
      </c>
      <c r="O2220" s="784">
        <v>9.49</v>
      </c>
      <c r="P2220" s="783">
        <v>200</v>
      </c>
      <c r="Q2220" s="783">
        <v>3190.62</v>
      </c>
      <c r="R2220" s="783">
        <v>1975.73</v>
      </c>
      <c r="S2220" s="783">
        <v>478.59</v>
      </c>
      <c r="T2220" s="783">
        <v>736.3</v>
      </c>
      <c r="U2220" s="785">
        <v>44631.511851851901</v>
      </c>
    </row>
    <row r="2221" spans="1:21">
      <c r="A2221" s="782">
        <v>44606</v>
      </c>
      <c r="B2221" s="783" t="s">
        <v>113</v>
      </c>
      <c r="C2221" s="783" t="s">
        <v>4606</v>
      </c>
      <c r="D2221" s="783" t="s">
        <v>4009</v>
      </c>
      <c r="E2221" s="783" t="s">
        <v>6786</v>
      </c>
      <c r="F2221" s="783" t="s">
        <v>4011</v>
      </c>
      <c r="G2221" s="783" t="str">
        <f>VLOOKUP(I2221,pacage,2,FALSE)</f>
        <v>Renewal (15% in 2020)</v>
      </c>
      <c r="H2221" s="783" t="s">
        <v>6787</v>
      </c>
      <c r="I2221" s="783" t="s">
        <v>6788</v>
      </c>
      <c r="J2221" s="783">
        <v>15</v>
      </c>
      <c r="K2221" s="783" t="s">
        <v>910</v>
      </c>
      <c r="L2221" s="783" t="s">
        <v>4014</v>
      </c>
      <c r="M2221" s="784">
        <v>98180.12</v>
      </c>
      <c r="N2221" s="784">
        <v>43.84</v>
      </c>
      <c r="O2221" s="784">
        <v>13.91</v>
      </c>
      <c r="P2221" s="783">
        <v>161</v>
      </c>
      <c r="Q2221" s="783">
        <v>8757.67</v>
      </c>
      <c r="R2221" s="783">
        <v>3632.66</v>
      </c>
      <c r="S2221" s="783">
        <v>589.08000000000004</v>
      </c>
      <c r="T2221" s="783">
        <v>4535.92</v>
      </c>
      <c r="U2221" s="785">
        <v>44631.632349537002</v>
      </c>
    </row>
    <row r="2222" spans="1:21">
      <c r="A2222" s="782">
        <v>44564</v>
      </c>
      <c r="B2222" s="783" t="s">
        <v>30</v>
      </c>
      <c r="C2222" s="783" t="s">
        <v>4239</v>
      </c>
      <c r="D2222" s="783" t="s">
        <v>4021</v>
      </c>
      <c r="E2222" s="783" t="s">
        <v>6006</v>
      </c>
      <c r="F2222" s="783" t="s">
        <v>4066</v>
      </c>
      <c r="G2222" s="783" t="s">
        <v>4028</v>
      </c>
      <c r="H2222" s="783" t="s">
        <v>6007</v>
      </c>
      <c r="I2222" s="783" t="s">
        <v>6008</v>
      </c>
      <c r="J2222" s="783">
        <v>5</v>
      </c>
      <c r="K2222" s="783" t="s">
        <v>910</v>
      </c>
      <c r="L2222" s="783" t="s">
        <v>4014</v>
      </c>
      <c r="M2222" s="784">
        <v>16611.98</v>
      </c>
      <c r="N2222" s="784">
        <v>9.3800000000000008</v>
      </c>
      <c r="O2222" s="784">
        <v>11</v>
      </c>
      <c r="P2222" s="783">
        <v>161</v>
      </c>
      <c r="Q2222" s="783">
        <v>305.66000000000003</v>
      </c>
      <c r="R2222" s="783">
        <v>0</v>
      </c>
      <c r="S2222" s="783">
        <v>0</v>
      </c>
      <c r="T2222" s="783">
        <v>305.66000000000003</v>
      </c>
      <c r="U2222" s="785">
        <v>44631.632187499999</v>
      </c>
    </row>
    <row r="2223" spans="1:21">
      <c r="A2223" s="782">
        <v>44572</v>
      </c>
      <c r="B2223" s="783" t="s">
        <v>41</v>
      </c>
      <c r="C2223" s="783" t="s">
        <v>4092</v>
      </c>
      <c r="D2223" s="783" t="s">
        <v>4009</v>
      </c>
      <c r="E2223" s="783" t="s">
        <v>6012</v>
      </c>
      <c r="F2223" s="783" t="s">
        <v>4011</v>
      </c>
      <c r="G2223" s="783" t="s">
        <v>4028</v>
      </c>
      <c r="H2223" s="783" t="s">
        <v>6013</v>
      </c>
      <c r="I2223" s="783" t="s">
        <v>6014</v>
      </c>
      <c r="J2223" s="783">
        <v>25</v>
      </c>
      <c r="K2223" s="783" t="s">
        <v>910</v>
      </c>
      <c r="L2223" s="783" t="s">
        <v>4014</v>
      </c>
      <c r="M2223" s="784">
        <v>27739.96</v>
      </c>
      <c r="N2223" s="784">
        <v>14.23</v>
      </c>
      <c r="O2223" s="784">
        <v>10.83</v>
      </c>
      <c r="P2223" s="783">
        <v>180</v>
      </c>
      <c r="Q2223" s="783">
        <v>1281.5899999999999</v>
      </c>
      <c r="R2223" s="783">
        <v>878.34</v>
      </c>
      <c r="S2223" s="783">
        <v>295.06</v>
      </c>
      <c r="T2223" s="783">
        <v>108.19</v>
      </c>
      <c r="U2223" s="785">
        <v>44631.632615740702</v>
      </c>
    </row>
    <row r="2224" spans="1:21">
      <c r="A2224" s="782">
        <v>44594</v>
      </c>
      <c r="B2224" s="783" t="s">
        <v>113</v>
      </c>
      <c r="C2224" s="783" t="s">
        <v>4097</v>
      </c>
      <c r="D2224" s="783" t="s">
        <v>4038</v>
      </c>
      <c r="E2224" s="783" t="s">
        <v>6021</v>
      </c>
      <c r="F2224" s="783" t="s">
        <v>4066</v>
      </c>
      <c r="G2224" s="783" t="str">
        <f>VLOOKUP(I2224,pacage,2,FALSE)</f>
        <v>Renewal (15% in 2020)</v>
      </c>
      <c r="H2224" s="783" t="s">
        <v>6022</v>
      </c>
      <c r="I2224" s="783" t="s">
        <v>6023</v>
      </c>
      <c r="J2224" s="783">
        <v>5</v>
      </c>
      <c r="K2224" s="783" t="s">
        <v>910</v>
      </c>
      <c r="L2224" s="783" t="s">
        <v>4014</v>
      </c>
      <c r="M2224" s="784">
        <v>52767</v>
      </c>
      <c r="N2224" s="784">
        <v>26.65</v>
      </c>
      <c r="O2224" s="784">
        <v>11</v>
      </c>
      <c r="P2224" s="783">
        <v>180</v>
      </c>
      <c r="Q2224" s="783">
        <v>2395.62</v>
      </c>
      <c r="R2224" s="783">
        <v>0</v>
      </c>
      <c r="S2224" s="783">
        <v>0</v>
      </c>
      <c r="T2224" s="783">
        <v>2395.62</v>
      </c>
      <c r="U2224" s="785">
        <v>44631.635289351798</v>
      </c>
    </row>
    <row r="2225" spans="1:21">
      <c r="A2225" s="782">
        <v>44613</v>
      </c>
      <c r="B2225" s="783" t="s">
        <v>41</v>
      </c>
      <c r="C2225" s="783" t="s">
        <v>4082</v>
      </c>
      <c r="D2225" s="783" t="s">
        <v>4009</v>
      </c>
      <c r="E2225" s="783" t="s">
        <v>4699</v>
      </c>
      <c r="F2225" s="783" t="s">
        <v>4011</v>
      </c>
      <c r="G2225" s="783" t="str">
        <f>VLOOKUP(I2225,pacage,2,FALSE)</f>
        <v>Renewal (30% in 2020)</v>
      </c>
      <c r="H2225" s="783" t="s">
        <v>4700</v>
      </c>
      <c r="I2225" s="783" t="s">
        <v>4701</v>
      </c>
      <c r="J2225" s="783">
        <v>30</v>
      </c>
      <c r="K2225" s="783" t="s">
        <v>910</v>
      </c>
      <c r="L2225" s="783" t="s">
        <v>4014</v>
      </c>
      <c r="M2225" s="784">
        <v>40833.82</v>
      </c>
      <c r="N2225" s="784">
        <v>20.77</v>
      </c>
      <c r="O2225" s="784">
        <v>9.83</v>
      </c>
      <c r="P2225" s="783">
        <v>200</v>
      </c>
      <c r="Q2225" s="783">
        <v>1612.94</v>
      </c>
      <c r="R2225" s="783">
        <v>1166.93</v>
      </c>
      <c r="S2225" s="783">
        <v>282.67</v>
      </c>
      <c r="T2225" s="783">
        <v>163.34</v>
      </c>
      <c r="U2225" s="785">
        <v>44631.632337962998</v>
      </c>
    </row>
    <row r="2226" spans="1:21">
      <c r="A2226" s="782">
        <v>44565</v>
      </c>
      <c r="B2226" s="783" t="s">
        <v>74</v>
      </c>
      <c r="C2226" s="783" t="s">
        <v>4097</v>
      </c>
      <c r="D2226" s="783" t="s">
        <v>4038</v>
      </c>
      <c r="E2226" s="783" t="s">
        <v>4429</v>
      </c>
      <c r="F2226" s="783" t="s">
        <v>4011</v>
      </c>
      <c r="G2226" s="783" t="s">
        <v>4028</v>
      </c>
      <c r="H2226" s="783" t="s">
        <v>4430</v>
      </c>
      <c r="I2226" s="783" t="s">
        <v>4431</v>
      </c>
      <c r="J2226" s="783">
        <v>20</v>
      </c>
      <c r="K2226" s="783" t="s">
        <v>910</v>
      </c>
      <c r="L2226" s="783" t="s">
        <v>4014</v>
      </c>
      <c r="M2226" s="784">
        <v>160821.84</v>
      </c>
      <c r="N2226" s="784">
        <v>68.61</v>
      </c>
      <c r="O2226" s="784">
        <v>11.72</v>
      </c>
      <c r="P2226" s="783">
        <v>200</v>
      </c>
      <c r="Q2226" s="783">
        <v>9118.6</v>
      </c>
      <c r="R2226" s="783">
        <v>4518.21</v>
      </c>
      <c r="S2226" s="783">
        <v>1995.08</v>
      </c>
      <c r="T2226" s="783">
        <v>2605.31</v>
      </c>
      <c r="U2226" s="785">
        <v>44631.635138888902</v>
      </c>
    </row>
    <row r="2227" spans="1:21">
      <c r="A2227" s="782">
        <v>44678</v>
      </c>
      <c r="B2227" s="783" t="s">
        <v>47</v>
      </c>
      <c r="C2227" s="783" t="s">
        <v>4101</v>
      </c>
      <c r="D2227" s="783" t="s">
        <v>4102</v>
      </c>
      <c r="E2227" s="783" t="s">
        <v>4702</v>
      </c>
      <c r="F2227" s="783" t="s">
        <v>4011</v>
      </c>
      <c r="G2227" s="783" t="str">
        <f>VLOOKUP(I2227,pacage,2,FALSE)</f>
        <v>Renewal (30% in 2020)</v>
      </c>
      <c r="H2227" s="783" t="s">
        <v>4703</v>
      </c>
      <c r="I2227" s="783" t="s">
        <v>4704</v>
      </c>
      <c r="J2227" s="783">
        <v>30</v>
      </c>
      <c r="K2227" s="783" t="s">
        <v>910</v>
      </c>
      <c r="L2227" s="783" t="s">
        <v>4014</v>
      </c>
      <c r="M2227" s="784">
        <v>23439.599999999999</v>
      </c>
      <c r="N2227" s="784">
        <v>18</v>
      </c>
      <c r="O2227" s="784">
        <v>7.66</v>
      </c>
      <c r="P2227" s="783">
        <v>170</v>
      </c>
      <c r="Q2227" s="783">
        <v>794.6</v>
      </c>
      <c r="R2227" s="783">
        <v>661.52</v>
      </c>
      <c r="S2227" s="783">
        <v>36.979999999999997</v>
      </c>
      <c r="T2227" s="783">
        <v>96.1</v>
      </c>
      <c r="U2227" s="785">
        <v>44679.479791666701</v>
      </c>
    </row>
    <row r="2228" spans="1:21">
      <c r="A2228" s="782">
        <v>44561</v>
      </c>
      <c r="B2228" s="783" t="s">
        <v>4025</v>
      </c>
      <c r="C2228" s="783" t="s">
        <v>4239</v>
      </c>
      <c r="D2228" s="783" t="s">
        <v>4021</v>
      </c>
      <c r="E2228" s="783" t="s">
        <v>6036</v>
      </c>
      <c r="F2228" s="783" t="s">
        <v>4011</v>
      </c>
      <c r="G2228" s="783" t="s">
        <v>4028</v>
      </c>
      <c r="H2228" s="783" t="s">
        <v>6037</v>
      </c>
      <c r="I2228" s="783" t="s">
        <v>6038</v>
      </c>
      <c r="J2228" s="783">
        <v>20</v>
      </c>
      <c r="K2228" s="783" t="s">
        <v>910</v>
      </c>
      <c r="L2228" s="783" t="s">
        <v>4014</v>
      </c>
      <c r="M2228" s="784">
        <v>37749.599999999999</v>
      </c>
      <c r="N2228" s="784">
        <v>28</v>
      </c>
      <c r="O2228" s="784">
        <v>7.49</v>
      </c>
      <c r="P2228" s="783">
        <v>180</v>
      </c>
      <c r="Q2228" s="783">
        <v>2140.4</v>
      </c>
      <c r="R2228" s="783">
        <v>1066.97</v>
      </c>
      <c r="S2228" s="783">
        <v>393.94</v>
      </c>
      <c r="T2228" s="783">
        <v>679.49</v>
      </c>
      <c r="U2228" s="785">
        <v>44631.632557870398</v>
      </c>
    </row>
    <row r="2229" spans="1:21">
      <c r="A2229" s="782">
        <v>44561</v>
      </c>
      <c r="B2229" s="783" t="s">
        <v>74</v>
      </c>
      <c r="C2229" s="783" t="s">
        <v>4097</v>
      </c>
      <c r="D2229" s="783" t="s">
        <v>4038</v>
      </c>
      <c r="E2229" s="783" t="s">
        <v>4432</v>
      </c>
      <c r="F2229" s="783" t="s">
        <v>4011</v>
      </c>
      <c r="G2229" s="783" t="s">
        <v>4028</v>
      </c>
      <c r="H2229" s="783" t="s">
        <v>4433</v>
      </c>
      <c r="I2229" s="783" t="s">
        <v>4434</v>
      </c>
      <c r="J2229" s="783">
        <v>20</v>
      </c>
      <c r="K2229" s="783" t="s">
        <v>910</v>
      </c>
      <c r="L2229" s="783" t="s">
        <v>4014</v>
      </c>
      <c r="M2229" s="784">
        <v>3615</v>
      </c>
      <c r="N2229" s="784">
        <v>2.41</v>
      </c>
      <c r="O2229" s="784">
        <v>10</v>
      </c>
      <c r="P2229" s="783">
        <v>150</v>
      </c>
      <c r="Q2229" s="783">
        <v>204.97</v>
      </c>
      <c r="R2229" s="783">
        <v>126.16</v>
      </c>
      <c r="S2229" s="783">
        <v>20.239999999999998</v>
      </c>
      <c r="T2229" s="783">
        <v>58.56</v>
      </c>
      <c r="U2229" s="785">
        <v>44631.632303240702</v>
      </c>
    </row>
    <row r="2230" spans="1:21">
      <c r="A2230" s="782">
        <v>44581</v>
      </c>
      <c r="B2230" s="783" t="s">
        <v>113</v>
      </c>
      <c r="C2230" s="783" t="s">
        <v>4598</v>
      </c>
      <c r="D2230" s="783" t="s">
        <v>4009</v>
      </c>
      <c r="E2230" s="783" t="s">
        <v>3697</v>
      </c>
      <c r="F2230" s="783" t="s">
        <v>4066</v>
      </c>
      <c r="G2230" s="783" t="s">
        <v>4028</v>
      </c>
      <c r="H2230" s="783" t="s">
        <v>6039</v>
      </c>
      <c r="I2230" s="783" t="s">
        <v>6040</v>
      </c>
      <c r="J2230" s="783">
        <v>5</v>
      </c>
      <c r="K2230" s="783" t="s">
        <v>910</v>
      </c>
      <c r="L2230" s="783" t="s">
        <v>4014</v>
      </c>
      <c r="M2230" s="784">
        <v>79115.399999999994</v>
      </c>
      <c r="N2230" s="784">
        <v>33.6</v>
      </c>
      <c r="O2230" s="784">
        <v>11.25</v>
      </c>
      <c r="P2230" s="783">
        <v>209.3</v>
      </c>
      <c r="Q2230" s="783">
        <v>3726.34</v>
      </c>
      <c r="R2230" s="783">
        <v>0</v>
      </c>
      <c r="S2230" s="783">
        <v>0</v>
      </c>
      <c r="T2230" s="783">
        <v>3726.34</v>
      </c>
      <c r="U2230" s="785">
        <v>44631.632881944402</v>
      </c>
    </row>
    <row r="2231" spans="1:21">
      <c r="A2231" s="782">
        <v>44566</v>
      </c>
      <c r="B2231" s="783" t="s">
        <v>74</v>
      </c>
      <c r="C2231" s="783" t="s">
        <v>4037</v>
      </c>
      <c r="D2231" s="783" t="s">
        <v>4038</v>
      </c>
      <c r="E2231" s="783" t="s">
        <v>4197</v>
      </c>
      <c r="F2231" s="783" t="s">
        <v>4011</v>
      </c>
      <c r="G2231" s="783" t="str">
        <f>VLOOKUP(I2231,pacage,2,FALSE)</f>
        <v>Renewal (25% in 2020)</v>
      </c>
      <c r="H2231" s="783" t="s">
        <v>4198</v>
      </c>
      <c r="I2231" s="783" t="s">
        <v>4199</v>
      </c>
      <c r="J2231" s="783">
        <v>25</v>
      </c>
      <c r="K2231" s="783" t="s">
        <v>910</v>
      </c>
      <c r="L2231" s="783" t="s">
        <v>4014</v>
      </c>
      <c r="M2231" s="784">
        <v>13742.7</v>
      </c>
      <c r="N2231" s="784">
        <v>8.42</v>
      </c>
      <c r="O2231" s="784">
        <v>10.53</v>
      </c>
      <c r="P2231" s="783">
        <v>155</v>
      </c>
      <c r="Q2231" s="783">
        <v>985.35</v>
      </c>
      <c r="R2231" s="783">
        <v>673.39</v>
      </c>
      <c r="S2231" s="783">
        <v>109.94</v>
      </c>
      <c r="T2231" s="783">
        <v>202.02</v>
      </c>
      <c r="U2231" s="785">
        <v>44631.632430555597</v>
      </c>
    </row>
    <row r="2232" spans="1:21">
      <c r="A2232" s="782">
        <v>44568</v>
      </c>
      <c r="B2232" s="783" t="s">
        <v>74</v>
      </c>
      <c r="C2232" s="783" t="s">
        <v>4097</v>
      </c>
      <c r="D2232" s="783" t="s">
        <v>4038</v>
      </c>
      <c r="E2232" s="783" t="s">
        <v>2608</v>
      </c>
      <c r="F2232" s="783" t="s">
        <v>4011</v>
      </c>
      <c r="G2232" s="783" t="s">
        <v>4028</v>
      </c>
      <c r="H2232" s="783" t="s">
        <v>4435</v>
      </c>
      <c r="I2232" s="783" t="s">
        <v>4436</v>
      </c>
      <c r="J2232" s="783">
        <v>25</v>
      </c>
      <c r="K2232" s="783" t="s">
        <v>910</v>
      </c>
      <c r="L2232" s="783" t="s">
        <v>4014</v>
      </c>
      <c r="M2232" s="784">
        <v>22518</v>
      </c>
      <c r="N2232" s="784">
        <v>13.9</v>
      </c>
      <c r="O2232" s="784">
        <v>9</v>
      </c>
      <c r="P2232" s="783">
        <v>180</v>
      </c>
      <c r="Q2232" s="783">
        <v>1094.3699999999999</v>
      </c>
      <c r="R2232" s="783">
        <v>702.92</v>
      </c>
      <c r="S2232" s="783">
        <v>209.05</v>
      </c>
      <c r="T2232" s="783">
        <v>182.4</v>
      </c>
      <c r="U2232" s="785">
        <v>44631.632592592599</v>
      </c>
    </row>
    <row r="2233" spans="1:21">
      <c r="A2233" s="782">
        <v>44525</v>
      </c>
      <c r="B2233" s="783" t="s">
        <v>41</v>
      </c>
      <c r="C2233" s="783" t="s">
        <v>4082</v>
      </c>
      <c r="D2233" s="783" t="s">
        <v>4009</v>
      </c>
      <c r="E2233" s="783" t="s">
        <v>774</v>
      </c>
      <c r="F2233" s="783" t="s">
        <v>4011</v>
      </c>
      <c r="G2233" s="783" t="str">
        <f t="shared" ref="G2233:G2245" si="119">VLOOKUP(I2233,pacage,2,FALSE)</f>
        <v>Renewal (30% in 2020)</v>
      </c>
      <c r="H2233" s="783" t="s">
        <v>6075</v>
      </c>
      <c r="I2233" s="783" t="s">
        <v>6076</v>
      </c>
      <c r="J2233" s="783">
        <v>30</v>
      </c>
      <c r="K2233" s="783" t="s">
        <v>910</v>
      </c>
      <c r="L2233" s="783" t="s">
        <v>4014</v>
      </c>
      <c r="M2233" s="784">
        <v>93840</v>
      </c>
      <c r="N2233" s="784">
        <v>40</v>
      </c>
      <c r="O2233" s="784">
        <v>11.73</v>
      </c>
      <c r="P2233" s="783">
        <v>200</v>
      </c>
      <c r="Q2233" s="783">
        <v>3706.68</v>
      </c>
      <c r="R2233" s="783">
        <v>2681.71</v>
      </c>
      <c r="S2233" s="783">
        <v>649.61</v>
      </c>
      <c r="T2233" s="783">
        <v>375.36</v>
      </c>
      <c r="U2233" s="785">
        <v>44631.633125</v>
      </c>
    </row>
    <row r="2234" spans="1:21">
      <c r="A2234" s="782">
        <v>44531</v>
      </c>
      <c r="B2234" s="783" t="s">
        <v>74</v>
      </c>
      <c r="C2234" s="783" t="s">
        <v>4097</v>
      </c>
      <c r="D2234" s="783" t="s">
        <v>4038</v>
      </c>
      <c r="E2234" s="783" t="s">
        <v>4437</v>
      </c>
      <c r="F2234" s="783" t="s">
        <v>4011</v>
      </c>
      <c r="G2234" s="783" t="str">
        <f t="shared" si="119"/>
        <v>Renewal (20% in 2020)</v>
      </c>
      <c r="H2234" s="783" t="s">
        <v>4438</v>
      </c>
      <c r="I2234" s="783" t="s">
        <v>4439</v>
      </c>
      <c r="J2234" s="783">
        <v>20</v>
      </c>
      <c r="K2234" s="783" t="s">
        <v>910</v>
      </c>
      <c r="L2234" s="783" t="s">
        <v>4014</v>
      </c>
      <c r="M2234" s="784">
        <v>74903.399999999994</v>
      </c>
      <c r="N2234" s="784">
        <v>39</v>
      </c>
      <c r="O2234" s="784">
        <v>10.67</v>
      </c>
      <c r="P2234" s="783">
        <v>180</v>
      </c>
      <c r="Q2234" s="783">
        <v>4247.0200000000004</v>
      </c>
      <c r="R2234" s="783">
        <v>2338.19</v>
      </c>
      <c r="S2234" s="783">
        <v>695.39</v>
      </c>
      <c r="T2234" s="783">
        <v>1213.44</v>
      </c>
      <c r="U2234" s="785">
        <v>44631.636215277802</v>
      </c>
    </row>
    <row r="2235" spans="1:21">
      <c r="A2235" s="782">
        <v>44532</v>
      </c>
      <c r="B2235" s="783" t="s">
        <v>74</v>
      </c>
      <c r="C2235" s="783" t="s">
        <v>4037</v>
      </c>
      <c r="D2235" s="783" t="s">
        <v>4038</v>
      </c>
      <c r="E2235" s="783" t="s">
        <v>4440</v>
      </c>
      <c r="F2235" s="783" t="s">
        <v>4011</v>
      </c>
      <c r="G2235" s="783" t="str">
        <f t="shared" si="119"/>
        <v>Renewal (15% in 2020)</v>
      </c>
      <c r="H2235" s="783" t="s">
        <v>4441</v>
      </c>
      <c r="I2235" s="783" t="s">
        <v>4442</v>
      </c>
      <c r="J2235" s="783">
        <v>20</v>
      </c>
      <c r="K2235" s="783" t="s">
        <v>910</v>
      </c>
      <c r="L2235" s="783" t="s">
        <v>4014</v>
      </c>
      <c r="M2235" s="784">
        <v>65331.199999999997</v>
      </c>
      <c r="N2235" s="784">
        <v>37.119999999999997</v>
      </c>
      <c r="O2235" s="784">
        <v>11</v>
      </c>
      <c r="P2235" s="783">
        <v>160</v>
      </c>
      <c r="Q2235" s="783">
        <v>5429.02</v>
      </c>
      <c r="R2235" s="783">
        <v>3201.23</v>
      </c>
      <c r="S2235" s="783">
        <v>522.65</v>
      </c>
      <c r="T2235" s="783">
        <v>1705.14</v>
      </c>
      <c r="U2235" s="785">
        <v>44631.632881944402</v>
      </c>
    </row>
    <row r="2236" spans="1:21">
      <c r="A2236" s="782">
        <v>44528</v>
      </c>
      <c r="B2236" s="783" t="s">
        <v>74</v>
      </c>
      <c r="C2236" s="783" t="s">
        <v>4097</v>
      </c>
      <c r="D2236" s="783" t="s">
        <v>4038</v>
      </c>
      <c r="E2236" s="783" t="s">
        <v>4443</v>
      </c>
      <c r="F2236" s="783" t="s">
        <v>4011</v>
      </c>
      <c r="G2236" s="783" t="str">
        <f t="shared" si="119"/>
        <v>Renewal (15% in 2020)</v>
      </c>
      <c r="H2236" s="783" t="s">
        <v>4444</v>
      </c>
      <c r="I2236" s="783" t="s">
        <v>4445</v>
      </c>
      <c r="J2236" s="783">
        <v>20</v>
      </c>
      <c r="K2236" s="783" t="s">
        <v>910</v>
      </c>
      <c r="L2236" s="783" t="s">
        <v>4014</v>
      </c>
      <c r="M2236" s="784">
        <v>38900.879999999997</v>
      </c>
      <c r="N2236" s="784">
        <v>22.28</v>
      </c>
      <c r="O2236" s="784">
        <v>9.6999999999999993</v>
      </c>
      <c r="P2236" s="783">
        <v>180</v>
      </c>
      <c r="Q2236" s="783">
        <v>2205.6799999999998</v>
      </c>
      <c r="R2236" s="783">
        <v>1214.33</v>
      </c>
      <c r="S2236" s="783">
        <v>361.15</v>
      </c>
      <c r="T2236" s="783">
        <v>630.19000000000005</v>
      </c>
      <c r="U2236" s="785">
        <v>44631.6329513889</v>
      </c>
    </row>
    <row r="2237" spans="1:21">
      <c r="A2237" s="782">
        <v>44540</v>
      </c>
      <c r="B2237" s="783" t="s">
        <v>74</v>
      </c>
      <c r="C2237" s="783" t="s">
        <v>4097</v>
      </c>
      <c r="D2237" s="783" t="s">
        <v>4038</v>
      </c>
      <c r="E2237" s="783" t="s">
        <v>4446</v>
      </c>
      <c r="F2237" s="783" t="s">
        <v>4011</v>
      </c>
      <c r="G2237" s="783" t="str">
        <f t="shared" si="119"/>
        <v>New Contract</v>
      </c>
      <c r="H2237" s="783" t="s">
        <v>4447</v>
      </c>
      <c r="I2237" s="783" t="s">
        <v>4448</v>
      </c>
      <c r="J2237" s="783">
        <v>25</v>
      </c>
      <c r="K2237" s="783" t="s">
        <v>910</v>
      </c>
      <c r="L2237" s="783" t="s">
        <v>4014</v>
      </c>
      <c r="M2237" s="784">
        <v>146780</v>
      </c>
      <c r="N2237" s="784">
        <v>73.39</v>
      </c>
      <c r="O2237" s="784">
        <v>10</v>
      </c>
      <c r="P2237" s="783">
        <v>200</v>
      </c>
      <c r="Q2237" s="783">
        <v>7133.51</v>
      </c>
      <c r="R2237" s="783">
        <v>4123.71</v>
      </c>
      <c r="S2237" s="783">
        <v>1820.88</v>
      </c>
      <c r="T2237" s="783">
        <v>1188.92</v>
      </c>
      <c r="U2237" s="785">
        <v>44631.633125</v>
      </c>
    </row>
    <row r="2238" spans="1:21">
      <c r="A2238" s="782">
        <v>44527</v>
      </c>
      <c r="B2238" s="783" t="s">
        <v>41</v>
      </c>
      <c r="C2238" s="783" t="s">
        <v>4082</v>
      </c>
      <c r="D2238" s="783" t="s">
        <v>4009</v>
      </c>
      <c r="E2238" s="783" t="s">
        <v>6123</v>
      </c>
      <c r="F2238" s="783" t="s">
        <v>4011</v>
      </c>
      <c r="G2238" s="783" t="str">
        <f t="shared" si="119"/>
        <v>Renewal (30% in 2020)</v>
      </c>
      <c r="H2238" s="783" t="s">
        <v>6124</v>
      </c>
      <c r="I2238" s="783" t="s">
        <v>6125</v>
      </c>
      <c r="J2238" s="783">
        <v>30</v>
      </c>
      <c r="K2238" s="783" t="s">
        <v>910</v>
      </c>
      <c r="L2238" s="783" t="s">
        <v>4014</v>
      </c>
      <c r="M2238" s="784">
        <v>18181.5</v>
      </c>
      <c r="N2238" s="784">
        <v>7.75</v>
      </c>
      <c r="O2238" s="784">
        <v>11.73</v>
      </c>
      <c r="P2238" s="783">
        <v>200</v>
      </c>
      <c r="Q2238" s="783">
        <v>718.17</v>
      </c>
      <c r="R2238" s="783">
        <v>519.58000000000004</v>
      </c>
      <c r="S2238" s="783">
        <v>125.86</v>
      </c>
      <c r="T2238" s="783">
        <v>72.73</v>
      </c>
      <c r="U2238" s="785">
        <v>44631.636006944398</v>
      </c>
    </row>
    <row r="2239" spans="1:21">
      <c r="A2239" s="782">
        <v>44543</v>
      </c>
      <c r="B2239" s="783" t="s">
        <v>41</v>
      </c>
      <c r="C2239" s="783" t="s">
        <v>4092</v>
      </c>
      <c r="D2239" s="783" t="s">
        <v>4009</v>
      </c>
      <c r="E2239" s="783" t="s">
        <v>4208</v>
      </c>
      <c r="F2239" s="783" t="s">
        <v>4011</v>
      </c>
      <c r="G2239" s="783" t="str">
        <f t="shared" si="119"/>
        <v>New Contract</v>
      </c>
      <c r="H2239" s="783" t="s">
        <v>4209</v>
      </c>
      <c r="I2239" s="783" t="s">
        <v>4210</v>
      </c>
      <c r="J2239" s="783">
        <v>30</v>
      </c>
      <c r="K2239" s="783" t="s">
        <v>910</v>
      </c>
      <c r="L2239" s="783" t="s">
        <v>4014</v>
      </c>
      <c r="M2239" s="784">
        <v>50150</v>
      </c>
      <c r="N2239" s="784">
        <v>25</v>
      </c>
      <c r="O2239" s="784">
        <v>10.029999999999999</v>
      </c>
      <c r="P2239" s="783">
        <v>200</v>
      </c>
      <c r="Q2239" s="783">
        <v>1975.91</v>
      </c>
      <c r="R2239" s="783">
        <v>1429.12</v>
      </c>
      <c r="S2239" s="783">
        <v>346.19</v>
      </c>
      <c r="T2239" s="783">
        <v>200.6</v>
      </c>
      <c r="U2239" s="785">
        <v>44631.632928240702</v>
      </c>
    </row>
    <row r="2240" spans="1:21">
      <c r="A2240" s="782">
        <v>44531</v>
      </c>
      <c r="B2240" s="783" t="s">
        <v>113</v>
      </c>
      <c r="C2240" s="783" t="s">
        <v>4097</v>
      </c>
      <c r="D2240" s="783" t="s">
        <v>4038</v>
      </c>
      <c r="E2240" s="783" t="s">
        <v>221</v>
      </c>
      <c r="F2240" s="783" t="s">
        <v>4011</v>
      </c>
      <c r="G2240" s="783" t="str">
        <f t="shared" si="119"/>
        <v>Renewal (20% in 2020)</v>
      </c>
      <c r="H2240" s="783" t="s">
        <v>6137</v>
      </c>
      <c r="I2240" s="783" t="s">
        <v>6138</v>
      </c>
      <c r="J2240" s="783">
        <v>20</v>
      </c>
      <c r="K2240" s="783" t="s">
        <v>910</v>
      </c>
      <c r="L2240" s="783" t="s">
        <v>4014</v>
      </c>
      <c r="M2240" s="784">
        <v>85625.12</v>
      </c>
      <c r="N2240" s="784">
        <v>43.16</v>
      </c>
      <c r="O2240" s="784">
        <v>11.67</v>
      </c>
      <c r="P2240" s="783">
        <v>170</v>
      </c>
      <c r="Q2240" s="783">
        <v>4854.9399999999996</v>
      </c>
      <c r="R2240" s="783">
        <v>2830.11</v>
      </c>
      <c r="S2240" s="783">
        <v>637.71</v>
      </c>
      <c r="T2240" s="783">
        <v>1387.13</v>
      </c>
      <c r="U2240" s="785">
        <v>44631.635578703703</v>
      </c>
    </row>
    <row r="2241" spans="1:21">
      <c r="A2241" s="782">
        <v>44526</v>
      </c>
      <c r="B2241" s="783" t="s">
        <v>41</v>
      </c>
      <c r="C2241" s="783" t="s">
        <v>4082</v>
      </c>
      <c r="D2241" s="783" t="s">
        <v>4009</v>
      </c>
      <c r="E2241" s="783" t="s">
        <v>4714</v>
      </c>
      <c r="F2241" s="783" t="s">
        <v>4011</v>
      </c>
      <c r="G2241" s="783" t="str">
        <f t="shared" si="119"/>
        <v>Renewal (15% in 2020)</v>
      </c>
      <c r="H2241" s="783" t="s">
        <v>4715</v>
      </c>
      <c r="I2241" s="783" t="s">
        <v>4716</v>
      </c>
      <c r="J2241" s="783">
        <v>15</v>
      </c>
      <c r="K2241" s="783" t="s">
        <v>910</v>
      </c>
      <c r="L2241" s="783" t="s">
        <v>4014</v>
      </c>
      <c r="M2241" s="784">
        <v>7344.25</v>
      </c>
      <c r="N2241" s="784">
        <v>5</v>
      </c>
      <c r="O2241" s="784">
        <v>10.130000000000001</v>
      </c>
      <c r="P2241" s="783">
        <v>145</v>
      </c>
      <c r="Q2241" s="783">
        <v>594.15</v>
      </c>
      <c r="R2241" s="783">
        <v>260.72000000000003</v>
      </c>
      <c r="S2241" s="783">
        <v>49.21</v>
      </c>
      <c r="T2241" s="783">
        <v>284.22000000000003</v>
      </c>
      <c r="U2241" s="785">
        <v>44631.635636574101</v>
      </c>
    </row>
    <row r="2242" spans="1:21">
      <c r="A2242" s="782">
        <v>44607</v>
      </c>
      <c r="B2242" s="783" t="s">
        <v>74</v>
      </c>
      <c r="C2242" s="783" t="s">
        <v>4037</v>
      </c>
      <c r="D2242" s="783" t="s">
        <v>4038</v>
      </c>
      <c r="E2242" s="783" t="s">
        <v>6173</v>
      </c>
      <c r="F2242" s="783" t="s">
        <v>4011</v>
      </c>
      <c r="G2242" s="783" t="str">
        <f t="shared" si="119"/>
        <v>Renewal (25% in 2020)</v>
      </c>
      <c r="H2242" s="783" t="s">
        <v>6174</v>
      </c>
      <c r="I2242" s="783" t="s">
        <v>6175</v>
      </c>
      <c r="J2242" s="783">
        <v>25</v>
      </c>
      <c r="K2242" s="783" t="s">
        <v>910</v>
      </c>
      <c r="L2242" s="783" t="s">
        <v>4014</v>
      </c>
      <c r="M2242" s="784">
        <v>13910.4</v>
      </c>
      <c r="N2242" s="784">
        <v>6.3</v>
      </c>
      <c r="O2242" s="784">
        <v>11.04</v>
      </c>
      <c r="P2242" s="783">
        <v>200</v>
      </c>
      <c r="Q2242" s="783">
        <v>997.38</v>
      </c>
      <c r="R2242" s="783">
        <v>548.70000000000005</v>
      </c>
      <c r="S2242" s="783">
        <v>244.2</v>
      </c>
      <c r="T2242" s="783">
        <v>204.48</v>
      </c>
      <c r="U2242" s="785">
        <v>44631.6332638889</v>
      </c>
    </row>
    <row r="2243" spans="1:21">
      <c r="A2243" s="782">
        <v>44552</v>
      </c>
      <c r="B2243" s="783" t="s">
        <v>74</v>
      </c>
      <c r="C2243" s="783" t="s">
        <v>4097</v>
      </c>
      <c r="D2243" s="783" t="s">
        <v>4038</v>
      </c>
      <c r="E2243" s="783" t="s">
        <v>3820</v>
      </c>
      <c r="F2243" s="783" t="s">
        <v>4011</v>
      </c>
      <c r="G2243" s="783" t="str">
        <f t="shared" si="119"/>
        <v>New contract</v>
      </c>
      <c r="H2243" s="783" t="s">
        <v>6191</v>
      </c>
      <c r="I2243" s="783" t="s">
        <v>6192</v>
      </c>
      <c r="J2243" s="783">
        <v>25</v>
      </c>
      <c r="K2243" s="783" t="s">
        <v>910</v>
      </c>
      <c r="L2243" s="783" t="s">
        <v>4014</v>
      </c>
      <c r="M2243" s="784">
        <v>66917</v>
      </c>
      <c r="N2243" s="784">
        <v>30.5</v>
      </c>
      <c r="O2243" s="784">
        <v>10.97</v>
      </c>
      <c r="P2243" s="783">
        <v>200</v>
      </c>
      <c r="Q2243" s="783">
        <v>3252.17</v>
      </c>
      <c r="R2243" s="783">
        <v>1880</v>
      </c>
      <c r="S2243" s="783">
        <v>830.14</v>
      </c>
      <c r="T2243" s="783">
        <v>542.03</v>
      </c>
      <c r="U2243" s="785">
        <v>44631.637002314797</v>
      </c>
    </row>
    <row r="2244" spans="1:21">
      <c r="A2244" s="782">
        <v>44551</v>
      </c>
      <c r="B2244" s="783" t="s">
        <v>113</v>
      </c>
      <c r="C2244" s="783" t="s">
        <v>4097</v>
      </c>
      <c r="D2244" s="783" t="s">
        <v>4038</v>
      </c>
      <c r="E2244" s="783" t="s">
        <v>6607</v>
      </c>
      <c r="F2244" s="783" t="s">
        <v>4011</v>
      </c>
      <c r="G2244" s="783" t="str">
        <f t="shared" si="119"/>
        <v>New contract</v>
      </c>
      <c r="H2244" s="783" t="s">
        <v>6608</v>
      </c>
      <c r="I2244" s="783" t="s">
        <v>6609</v>
      </c>
      <c r="J2244" s="783">
        <v>25</v>
      </c>
      <c r="K2244" s="783" t="s">
        <v>910</v>
      </c>
      <c r="L2244" s="783" t="s">
        <v>4014</v>
      </c>
      <c r="M2244" s="784">
        <v>52347.48</v>
      </c>
      <c r="N2244" s="784">
        <v>23.02</v>
      </c>
      <c r="O2244" s="784">
        <v>11.37</v>
      </c>
      <c r="P2244" s="783">
        <v>200</v>
      </c>
      <c r="Q2244" s="783">
        <v>2544.09</v>
      </c>
      <c r="R2244" s="783">
        <v>1470.68</v>
      </c>
      <c r="S2244" s="783">
        <v>649.4</v>
      </c>
      <c r="T2244" s="783">
        <v>424.01</v>
      </c>
      <c r="U2244" s="785">
        <v>44631.637187499997</v>
      </c>
    </row>
    <row r="2245" spans="1:21">
      <c r="A2245" s="782">
        <v>44552</v>
      </c>
      <c r="B2245" s="783" t="s">
        <v>74</v>
      </c>
      <c r="C2245" s="783" t="s">
        <v>4097</v>
      </c>
      <c r="D2245" s="783" t="s">
        <v>4038</v>
      </c>
      <c r="E2245" s="783" t="s">
        <v>4726</v>
      </c>
      <c r="F2245" s="783" t="s">
        <v>4011</v>
      </c>
      <c r="G2245" s="783" t="str">
        <f t="shared" si="119"/>
        <v>Renewal (15% in 2020)</v>
      </c>
      <c r="H2245" s="783" t="s">
        <v>4727</v>
      </c>
      <c r="I2245" s="783" t="s">
        <v>4728</v>
      </c>
      <c r="J2245" s="783">
        <v>15</v>
      </c>
      <c r="K2245" s="783" t="s">
        <v>910</v>
      </c>
      <c r="L2245" s="783" t="s">
        <v>4014</v>
      </c>
      <c r="M2245" s="784">
        <v>9630</v>
      </c>
      <c r="N2245" s="784">
        <v>5</v>
      </c>
      <c r="O2245" s="784">
        <v>10.7</v>
      </c>
      <c r="P2245" s="783">
        <v>180</v>
      </c>
      <c r="Q2245" s="783">
        <v>662.54</v>
      </c>
      <c r="R2245" s="783">
        <v>300.61</v>
      </c>
      <c r="S2245" s="783">
        <v>89.4</v>
      </c>
      <c r="T2245" s="783">
        <v>272.52999999999997</v>
      </c>
      <c r="U2245" s="785">
        <v>44631.637210648201</v>
      </c>
    </row>
    <row r="2246" spans="1:21">
      <c r="A2246" s="782">
        <v>44556</v>
      </c>
      <c r="B2246" s="783" t="s">
        <v>41</v>
      </c>
      <c r="C2246" s="783" t="s">
        <v>4071</v>
      </c>
      <c r="D2246" s="783" t="s">
        <v>4009</v>
      </c>
      <c r="E2246" s="783" t="s">
        <v>6201</v>
      </c>
      <c r="F2246" s="783" t="s">
        <v>4066</v>
      </c>
      <c r="G2246" s="783" t="s">
        <v>4028</v>
      </c>
      <c r="H2246" s="783" t="s">
        <v>6202</v>
      </c>
      <c r="I2246" s="783" t="s">
        <v>6203</v>
      </c>
      <c r="J2246" s="783">
        <v>5</v>
      </c>
      <c r="K2246" s="783" t="s">
        <v>910</v>
      </c>
      <c r="L2246" s="783" t="s">
        <v>4014</v>
      </c>
      <c r="M2246" s="784">
        <v>63340.62</v>
      </c>
      <c r="N2246" s="784">
        <v>49.8</v>
      </c>
      <c r="O2246" s="784">
        <v>7.9</v>
      </c>
      <c r="P2246" s="783">
        <v>161</v>
      </c>
      <c r="Q2246" s="783">
        <v>2102.91</v>
      </c>
      <c r="R2246" s="783">
        <v>0</v>
      </c>
      <c r="S2246" s="783">
        <v>0</v>
      </c>
      <c r="T2246" s="783">
        <v>2102.91</v>
      </c>
      <c r="U2246" s="785">
        <v>44631.637256944399</v>
      </c>
    </row>
    <row r="2247" spans="1:21">
      <c r="A2247" s="782">
        <v>44551</v>
      </c>
      <c r="B2247" s="783" t="s">
        <v>41</v>
      </c>
      <c r="C2247" s="783" t="s">
        <v>4082</v>
      </c>
      <c r="D2247" s="783" t="s">
        <v>4009</v>
      </c>
      <c r="E2247" s="783" t="s">
        <v>4729</v>
      </c>
      <c r="F2247" s="783" t="s">
        <v>4011</v>
      </c>
      <c r="G2247" s="783" t="str">
        <f>VLOOKUP(I2247,pacage,2,FALSE)</f>
        <v>New contract</v>
      </c>
      <c r="H2247" s="783" t="s">
        <v>4730</v>
      </c>
      <c r="I2247" s="783" t="s">
        <v>4731</v>
      </c>
      <c r="J2247" s="783">
        <v>25</v>
      </c>
      <c r="K2247" s="783" t="s">
        <v>910</v>
      </c>
      <c r="L2247" s="783" t="s">
        <v>4014</v>
      </c>
      <c r="M2247" s="784">
        <v>26975.55</v>
      </c>
      <c r="N2247" s="784">
        <v>15</v>
      </c>
      <c r="O2247" s="784">
        <v>11.17</v>
      </c>
      <c r="P2247" s="783">
        <v>161</v>
      </c>
      <c r="Q2247" s="783">
        <v>1246.27</v>
      </c>
      <c r="R2247" s="783">
        <v>957.63</v>
      </c>
      <c r="S2247" s="783">
        <v>180.74</v>
      </c>
      <c r="T2247" s="783">
        <v>107.9</v>
      </c>
      <c r="U2247" s="785">
        <v>44631.637164351901</v>
      </c>
    </row>
    <row r="2248" spans="1:21">
      <c r="A2248" s="782">
        <v>44552</v>
      </c>
      <c r="B2248" s="783" t="s">
        <v>41</v>
      </c>
      <c r="C2248" s="783" t="s">
        <v>4071</v>
      </c>
      <c r="D2248" s="783" t="s">
        <v>4009</v>
      </c>
      <c r="E2248" s="783" t="s">
        <v>6218</v>
      </c>
      <c r="F2248" s="783" t="s">
        <v>4011</v>
      </c>
      <c r="G2248" s="783" t="str">
        <f>VLOOKUP(I2248,pacage,2,FALSE)</f>
        <v>Renewal (30% in 2020)</v>
      </c>
      <c r="H2248" s="783" t="s">
        <v>6219</v>
      </c>
      <c r="I2248" s="783" t="s">
        <v>6220</v>
      </c>
      <c r="J2248" s="783">
        <v>25</v>
      </c>
      <c r="K2248" s="783" t="s">
        <v>910</v>
      </c>
      <c r="L2248" s="783" t="s">
        <v>4014</v>
      </c>
      <c r="M2248" s="784">
        <v>66906</v>
      </c>
      <c r="N2248" s="784">
        <v>45</v>
      </c>
      <c r="O2248" s="784">
        <v>8.26</v>
      </c>
      <c r="P2248" s="783">
        <v>180</v>
      </c>
      <c r="Q2248" s="783">
        <v>3900.62</v>
      </c>
      <c r="R2248" s="783">
        <v>2746.83</v>
      </c>
      <c r="S2248" s="783">
        <v>819.26</v>
      </c>
      <c r="T2248" s="783">
        <v>334.53</v>
      </c>
      <c r="U2248" s="785">
        <v>44631.636886574102</v>
      </c>
    </row>
    <row r="2249" spans="1:21">
      <c r="A2249" s="782">
        <v>44560</v>
      </c>
      <c r="B2249" s="783" t="s">
        <v>74</v>
      </c>
      <c r="C2249" s="783" t="s">
        <v>4097</v>
      </c>
      <c r="D2249" s="783" t="s">
        <v>4038</v>
      </c>
      <c r="E2249" s="783" t="s">
        <v>6221</v>
      </c>
      <c r="F2249" s="783" t="s">
        <v>4066</v>
      </c>
      <c r="G2249" s="783" t="s">
        <v>4028</v>
      </c>
      <c r="H2249" s="783" t="s">
        <v>6222</v>
      </c>
      <c r="I2249" s="783" t="s">
        <v>6223</v>
      </c>
      <c r="J2249" s="783">
        <v>10</v>
      </c>
      <c r="K2249" s="783" t="s">
        <v>910</v>
      </c>
      <c r="L2249" s="783" t="s">
        <v>4014</v>
      </c>
      <c r="M2249" s="784">
        <v>10237.5</v>
      </c>
      <c r="N2249" s="784">
        <v>6.5</v>
      </c>
      <c r="O2249" s="784">
        <v>9</v>
      </c>
      <c r="P2249" s="783">
        <v>175</v>
      </c>
      <c r="Q2249" s="783">
        <v>248.77</v>
      </c>
      <c r="R2249" s="783">
        <v>0</v>
      </c>
      <c r="S2249" s="783">
        <v>0</v>
      </c>
      <c r="T2249" s="783">
        <v>248.77</v>
      </c>
      <c r="U2249" s="785">
        <v>44631.637048611097</v>
      </c>
    </row>
    <row r="2250" spans="1:21">
      <c r="A2250" s="782">
        <v>44559</v>
      </c>
      <c r="B2250" s="783" t="s">
        <v>74</v>
      </c>
      <c r="C2250" s="783" t="s">
        <v>4097</v>
      </c>
      <c r="D2250" s="783" t="s">
        <v>4038</v>
      </c>
      <c r="E2250" s="783" t="s">
        <v>4461</v>
      </c>
      <c r="F2250" s="783" t="s">
        <v>4011</v>
      </c>
      <c r="G2250" s="783" t="s">
        <v>4028</v>
      </c>
      <c r="H2250" s="783" t="s">
        <v>4462</v>
      </c>
      <c r="I2250" s="783" t="s">
        <v>4463</v>
      </c>
      <c r="J2250" s="783">
        <v>20</v>
      </c>
      <c r="K2250" s="783" t="s">
        <v>910</v>
      </c>
      <c r="L2250" s="783" t="s">
        <v>4014</v>
      </c>
      <c r="M2250" s="784">
        <v>19265.23</v>
      </c>
      <c r="N2250" s="784">
        <v>13.34</v>
      </c>
      <c r="O2250" s="784">
        <v>8.9700000000000006</v>
      </c>
      <c r="P2250" s="783">
        <v>161</v>
      </c>
      <c r="Q2250" s="783">
        <v>1092.3399999999999</v>
      </c>
      <c r="R2250" s="783">
        <v>672.36</v>
      </c>
      <c r="S2250" s="783">
        <v>107.89</v>
      </c>
      <c r="T2250" s="783">
        <v>312.10000000000002</v>
      </c>
      <c r="U2250" s="785">
        <v>44631.637037036999</v>
      </c>
    </row>
    <row r="2251" spans="1:21">
      <c r="A2251" s="782">
        <v>44503</v>
      </c>
      <c r="B2251" s="783" t="s">
        <v>74</v>
      </c>
      <c r="C2251" s="783" t="s">
        <v>4097</v>
      </c>
      <c r="D2251" s="783" t="s">
        <v>4038</v>
      </c>
      <c r="E2251" s="783" t="s">
        <v>4732</v>
      </c>
      <c r="F2251" s="783" t="s">
        <v>4066</v>
      </c>
      <c r="G2251" s="783" t="str">
        <f t="shared" ref="G2251:G2263" si="120">VLOOKUP(I2251,pacage,2,FALSE)</f>
        <v>New Contract</v>
      </c>
      <c r="H2251" s="783" t="s">
        <v>4733</v>
      </c>
      <c r="I2251" s="783" t="s">
        <v>4734</v>
      </c>
      <c r="J2251" s="783">
        <v>10</v>
      </c>
      <c r="K2251" s="783" t="s">
        <v>910</v>
      </c>
      <c r="L2251" s="783" t="s">
        <v>4014</v>
      </c>
      <c r="M2251" s="784">
        <v>232344</v>
      </c>
      <c r="N2251" s="784">
        <v>82.98</v>
      </c>
      <c r="O2251" s="784">
        <v>14</v>
      </c>
      <c r="P2251" s="783">
        <v>200</v>
      </c>
      <c r="Q2251" s="783">
        <v>5645.96</v>
      </c>
      <c r="R2251" s="783">
        <v>0</v>
      </c>
      <c r="S2251" s="783">
        <v>0</v>
      </c>
      <c r="T2251" s="783">
        <v>5645.96</v>
      </c>
      <c r="U2251" s="785">
        <v>44631.636504629598</v>
      </c>
    </row>
    <row r="2252" spans="1:21">
      <c r="A2252" s="782">
        <v>44525</v>
      </c>
      <c r="B2252" s="783" t="s">
        <v>397</v>
      </c>
      <c r="C2252" s="783" t="s">
        <v>4511</v>
      </c>
      <c r="D2252" s="783" t="s">
        <v>4512</v>
      </c>
      <c r="E2252" s="783" t="s">
        <v>4735</v>
      </c>
      <c r="F2252" s="783" t="s">
        <v>4011</v>
      </c>
      <c r="G2252" s="783" t="str">
        <f t="shared" si="120"/>
        <v>Renewal (20% in 2020)</v>
      </c>
      <c r="H2252" s="783" t="s">
        <v>4736</v>
      </c>
      <c r="I2252" s="783" t="s">
        <v>4737</v>
      </c>
      <c r="J2252" s="783">
        <v>20</v>
      </c>
      <c r="K2252" s="783" t="s">
        <v>910</v>
      </c>
      <c r="L2252" s="783" t="s">
        <v>4014</v>
      </c>
      <c r="M2252" s="784">
        <v>31082.77</v>
      </c>
      <c r="N2252" s="784">
        <v>15.05</v>
      </c>
      <c r="O2252" s="784">
        <v>10.87</v>
      </c>
      <c r="P2252" s="783">
        <v>190</v>
      </c>
      <c r="Q2252" s="783">
        <v>2203.77</v>
      </c>
      <c r="R2252" s="783">
        <v>1006.13</v>
      </c>
      <c r="S2252" s="783">
        <v>464.08</v>
      </c>
      <c r="T2252" s="783">
        <v>733.55</v>
      </c>
      <c r="U2252" s="785">
        <v>44631.637349536999</v>
      </c>
    </row>
    <row r="2253" spans="1:21">
      <c r="A2253" s="782">
        <v>44503</v>
      </c>
      <c r="B2253" s="783" t="s">
        <v>41</v>
      </c>
      <c r="C2253" s="783" t="s">
        <v>4071</v>
      </c>
      <c r="D2253" s="783" t="s">
        <v>4009</v>
      </c>
      <c r="E2253" s="783" t="s">
        <v>6258</v>
      </c>
      <c r="F2253" s="783" t="s">
        <v>4011</v>
      </c>
      <c r="G2253" s="783" t="str">
        <f t="shared" si="120"/>
        <v>Renewal (25% in 2020)</v>
      </c>
      <c r="H2253" s="783" t="s">
        <v>6259</v>
      </c>
      <c r="I2253" s="783" t="s">
        <v>6260</v>
      </c>
      <c r="J2253" s="783">
        <v>25</v>
      </c>
      <c r="K2253" s="783" t="s">
        <v>910</v>
      </c>
      <c r="L2253" s="783" t="s">
        <v>4014</v>
      </c>
      <c r="M2253" s="784">
        <v>54240.51</v>
      </c>
      <c r="N2253" s="784">
        <v>31.94</v>
      </c>
      <c r="O2253" s="784">
        <v>12.13</v>
      </c>
      <c r="P2253" s="783">
        <v>140</v>
      </c>
      <c r="Q2253" s="783">
        <v>3162.22</v>
      </c>
      <c r="R2253" s="783">
        <v>2489.64</v>
      </c>
      <c r="S2253" s="783">
        <v>401.38</v>
      </c>
      <c r="T2253" s="783">
        <v>271.2</v>
      </c>
      <c r="U2253" s="785">
        <v>44631.633402777799</v>
      </c>
    </row>
    <row r="2254" spans="1:21">
      <c r="A2254" s="782">
        <v>44525</v>
      </c>
      <c r="B2254" s="783" t="s">
        <v>41</v>
      </c>
      <c r="C2254" s="783" t="s">
        <v>4008</v>
      </c>
      <c r="D2254" s="783" t="s">
        <v>4009</v>
      </c>
      <c r="E2254" s="783" t="s">
        <v>6266</v>
      </c>
      <c r="F2254" s="783" t="s">
        <v>4011</v>
      </c>
      <c r="G2254" s="783" t="str">
        <f t="shared" si="120"/>
        <v>Renewal (15% in 2020)</v>
      </c>
      <c r="H2254" s="783" t="s">
        <v>6267</v>
      </c>
      <c r="I2254" s="783" t="s">
        <v>6268</v>
      </c>
      <c r="J2254" s="783">
        <v>15</v>
      </c>
      <c r="K2254" s="783" t="s">
        <v>910</v>
      </c>
      <c r="L2254" s="783" t="s">
        <v>4014</v>
      </c>
      <c r="M2254" s="784">
        <v>58696</v>
      </c>
      <c r="N2254" s="784">
        <v>44</v>
      </c>
      <c r="O2254" s="784">
        <v>9.1999999999999993</v>
      </c>
      <c r="P2254" s="783">
        <v>145</v>
      </c>
      <c r="Q2254" s="783">
        <v>5270.9</v>
      </c>
      <c r="R2254" s="783">
        <v>2259.8000000000002</v>
      </c>
      <c r="S2254" s="783">
        <v>369.78</v>
      </c>
      <c r="T2254" s="783">
        <v>2641.32</v>
      </c>
      <c r="U2254" s="785">
        <v>44631.637256944399</v>
      </c>
    </row>
    <row r="2255" spans="1:21">
      <c r="A2255" s="782">
        <v>44482</v>
      </c>
      <c r="B2255" s="783" t="s">
        <v>41</v>
      </c>
      <c r="C2255" s="783" t="s">
        <v>4139</v>
      </c>
      <c r="D2255" s="783" t="s">
        <v>4009</v>
      </c>
      <c r="E2255" s="783" t="s">
        <v>6284</v>
      </c>
      <c r="F2255" s="783" t="s">
        <v>4011</v>
      </c>
      <c r="G2255" s="783" t="str">
        <f t="shared" si="120"/>
        <v>Renewal (30% in 2020)</v>
      </c>
      <c r="H2255" s="783" t="s">
        <v>6285</v>
      </c>
      <c r="I2255" s="783" t="s">
        <v>6286</v>
      </c>
      <c r="J2255" s="783">
        <v>25</v>
      </c>
      <c r="K2255" s="783" t="s">
        <v>910</v>
      </c>
      <c r="L2255" s="783" t="s">
        <v>4014</v>
      </c>
      <c r="M2255" s="784">
        <v>23588.11</v>
      </c>
      <c r="N2255" s="784">
        <v>13</v>
      </c>
      <c r="O2255" s="784">
        <v>11.27</v>
      </c>
      <c r="P2255" s="783">
        <v>161</v>
      </c>
      <c r="Q2255" s="783">
        <v>1077.98</v>
      </c>
      <c r="R2255" s="783">
        <v>851.53</v>
      </c>
      <c r="S2255" s="783">
        <v>139.16999999999999</v>
      </c>
      <c r="T2255" s="783">
        <v>87.28</v>
      </c>
      <c r="U2255" s="785">
        <v>44631.637476851902</v>
      </c>
    </row>
    <row r="2256" spans="1:21">
      <c r="A2256" s="782">
        <v>44516</v>
      </c>
      <c r="B2256" s="783" t="s">
        <v>74</v>
      </c>
      <c r="C2256" s="783" t="s">
        <v>4097</v>
      </c>
      <c r="D2256" s="783" t="s">
        <v>4038</v>
      </c>
      <c r="E2256" s="783" t="s">
        <v>1659</v>
      </c>
      <c r="F2256" s="783" t="s">
        <v>4066</v>
      </c>
      <c r="G2256" s="783" t="str">
        <f t="shared" si="120"/>
        <v>New Contract</v>
      </c>
      <c r="H2256" s="783" t="s">
        <v>4472</v>
      </c>
      <c r="I2256" s="783" t="s">
        <v>4473</v>
      </c>
      <c r="J2256" s="783">
        <v>10</v>
      </c>
      <c r="K2256" s="783" t="s">
        <v>910</v>
      </c>
      <c r="L2256" s="783" t="s">
        <v>4014</v>
      </c>
      <c r="M2256" s="784">
        <v>121914</v>
      </c>
      <c r="N2256" s="784">
        <v>46.89</v>
      </c>
      <c r="O2256" s="784">
        <v>13</v>
      </c>
      <c r="P2256" s="783">
        <v>200</v>
      </c>
      <c r="Q2256" s="783">
        <v>2962.51</v>
      </c>
      <c r="R2256" s="783">
        <v>0</v>
      </c>
      <c r="S2256" s="783">
        <v>0</v>
      </c>
      <c r="T2256" s="783">
        <v>2962.51</v>
      </c>
      <c r="U2256" s="785">
        <v>44631.637511574103</v>
      </c>
    </row>
    <row r="2257" spans="1:21">
      <c r="A2257" s="782">
        <v>44468</v>
      </c>
      <c r="B2257" s="783" t="s">
        <v>41</v>
      </c>
      <c r="C2257" s="783" t="s">
        <v>4139</v>
      </c>
      <c r="D2257" s="783" t="s">
        <v>4009</v>
      </c>
      <c r="E2257" s="783" t="s">
        <v>6334</v>
      </c>
      <c r="F2257" s="783" t="s">
        <v>4011</v>
      </c>
      <c r="G2257" s="783" t="str">
        <f t="shared" si="120"/>
        <v>Renewal (30% in 2020)</v>
      </c>
      <c r="H2257" s="783" t="s">
        <v>6335</v>
      </c>
      <c r="I2257" s="783" t="s">
        <v>6336</v>
      </c>
      <c r="J2257" s="783">
        <v>30</v>
      </c>
      <c r="K2257" s="783" t="s">
        <v>910</v>
      </c>
      <c r="L2257" s="783" t="s">
        <v>4014</v>
      </c>
      <c r="M2257" s="784">
        <v>31366.33</v>
      </c>
      <c r="N2257" s="784">
        <v>18.97</v>
      </c>
      <c r="O2257" s="784">
        <v>10.27</v>
      </c>
      <c r="P2257" s="783">
        <v>161</v>
      </c>
      <c r="Q2257" s="783">
        <v>1248.3800000000001</v>
      </c>
      <c r="R2257" s="783">
        <v>1132.32</v>
      </c>
      <c r="S2257" s="783">
        <v>0</v>
      </c>
      <c r="T2257" s="783">
        <v>116.06</v>
      </c>
      <c r="U2257" s="785">
        <v>44631.636724536998</v>
      </c>
    </row>
    <row r="2258" spans="1:21">
      <c r="A2258" s="782">
        <v>44501</v>
      </c>
      <c r="B2258" s="783" t="s">
        <v>74</v>
      </c>
      <c r="C2258" s="783" t="s">
        <v>4097</v>
      </c>
      <c r="D2258" s="783" t="s">
        <v>4038</v>
      </c>
      <c r="E2258" s="783" t="s">
        <v>4479</v>
      </c>
      <c r="F2258" s="783" t="s">
        <v>4066</v>
      </c>
      <c r="G2258" s="783" t="str">
        <f t="shared" si="120"/>
        <v>New Contract</v>
      </c>
      <c r="H2258" s="783" t="s">
        <v>4480</v>
      </c>
      <c r="I2258" s="783" t="s">
        <v>4481</v>
      </c>
      <c r="J2258" s="783">
        <v>5</v>
      </c>
      <c r="K2258" s="783" t="s">
        <v>910</v>
      </c>
      <c r="L2258" s="783" t="s">
        <v>4014</v>
      </c>
      <c r="M2258" s="784">
        <v>50400</v>
      </c>
      <c r="N2258" s="784">
        <v>21</v>
      </c>
      <c r="O2258" s="784">
        <v>12</v>
      </c>
      <c r="P2258" s="783">
        <v>200</v>
      </c>
      <c r="Q2258" s="783">
        <v>1532.16</v>
      </c>
      <c r="R2258" s="783">
        <v>0</v>
      </c>
      <c r="S2258" s="783">
        <v>0</v>
      </c>
      <c r="T2258" s="783">
        <v>1532.16</v>
      </c>
      <c r="U2258" s="785">
        <v>44631.638263888897</v>
      </c>
    </row>
    <row r="2259" spans="1:21">
      <c r="A2259" s="782">
        <v>44508</v>
      </c>
      <c r="B2259" s="783" t="s">
        <v>74</v>
      </c>
      <c r="C2259" s="783" t="s">
        <v>4097</v>
      </c>
      <c r="D2259" s="783" t="s">
        <v>4038</v>
      </c>
      <c r="E2259" s="783" t="s">
        <v>4482</v>
      </c>
      <c r="F2259" s="783" t="s">
        <v>4011</v>
      </c>
      <c r="G2259" s="783" t="str">
        <f t="shared" si="120"/>
        <v>Renewal (15% in 2020)</v>
      </c>
      <c r="H2259" s="783" t="s">
        <v>4483</v>
      </c>
      <c r="I2259" s="783" t="s">
        <v>4484</v>
      </c>
      <c r="J2259" s="783">
        <v>20</v>
      </c>
      <c r="K2259" s="783" t="s">
        <v>910</v>
      </c>
      <c r="L2259" s="783" t="s">
        <v>4014</v>
      </c>
      <c r="M2259" s="784">
        <v>60328.800000000003</v>
      </c>
      <c r="N2259" s="784">
        <v>28</v>
      </c>
      <c r="O2259" s="784">
        <v>11.97</v>
      </c>
      <c r="P2259" s="783">
        <v>180</v>
      </c>
      <c r="Q2259" s="783">
        <v>3420.64</v>
      </c>
      <c r="R2259" s="783">
        <v>1883.23</v>
      </c>
      <c r="S2259" s="783">
        <v>560.09</v>
      </c>
      <c r="T2259" s="783">
        <v>977.33</v>
      </c>
      <c r="U2259" s="785">
        <v>44631.637986111098</v>
      </c>
    </row>
    <row r="2260" spans="1:21">
      <c r="A2260" s="782">
        <v>44488</v>
      </c>
      <c r="B2260" s="783" t="s">
        <v>74</v>
      </c>
      <c r="C2260" s="783" t="s">
        <v>4097</v>
      </c>
      <c r="D2260" s="783" t="s">
        <v>4038</v>
      </c>
      <c r="E2260" s="783" t="s">
        <v>4485</v>
      </c>
      <c r="F2260" s="783" t="s">
        <v>4011</v>
      </c>
      <c r="G2260" s="783" t="str">
        <f t="shared" si="120"/>
        <v>Renewal (15% in 2020)</v>
      </c>
      <c r="H2260" s="783" t="s">
        <v>4486</v>
      </c>
      <c r="I2260" s="783" t="s">
        <v>4487</v>
      </c>
      <c r="J2260" s="783">
        <v>15</v>
      </c>
      <c r="K2260" s="783" t="s">
        <v>910</v>
      </c>
      <c r="L2260" s="783" t="s">
        <v>4014</v>
      </c>
      <c r="M2260" s="784">
        <v>30745.96</v>
      </c>
      <c r="N2260" s="784">
        <v>17.03</v>
      </c>
      <c r="O2260" s="784">
        <v>10.62</v>
      </c>
      <c r="P2260" s="783">
        <v>170</v>
      </c>
      <c r="Q2260" s="783">
        <v>2115.3200000000002</v>
      </c>
      <c r="R2260" s="783">
        <v>1016.23</v>
      </c>
      <c r="S2260" s="783">
        <v>228.99</v>
      </c>
      <c r="T2260" s="783">
        <v>870.11</v>
      </c>
      <c r="U2260" s="785">
        <v>44631.638113425899</v>
      </c>
    </row>
    <row r="2261" spans="1:21">
      <c r="A2261" s="782">
        <v>44497</v>
      </c>
      <c r="B2261" s="783" t="s">
        <v>113</v>
      </c>
      <c r="C2261" s="783" t="s">
        <v>4606</v>
      </c>
      <c r="D2261" s="783" t="s">
        <v>4009</v>
      </c>
      <c r="E2261" s="783" t="s">
        <v>3329</v>
      </c>
      <c r="F2261" s="783" t="s">
        <v>4011</v>
      </c>
      <c r="G2261" s="783" t="str">
        <f t="shared" si="120"/>
        <v>Renewal (20% in 2020)</v>
      </c>
      <c r="H2261" s="783" t="s">
        <v>6789</v>
      </c>
      <c r="I2261" s="783" t="s">
        <v>6790</v>
      </c>
      <c r="J2261" s="783">
        <v>20</v>
      </c>
      <c r="K2261" s="783" t="s">
        <v>910</v>
      </c>
      <c r="L2261" s="783" t="s">
        <v>4014</v>
      </c>
      <c r="M2261" s="784">
        <v>39787.019999999997</v>
      </c>
      <c r="N2261" s="784">
        <v>17.350000000000001</v>
      </c>
      <c r="O2261" s="784">
        <v>12.74</v>
      </c>
      <c r="P2261" s="783">
        <v>180</v>
      </c>
      <c r="Q2261" s="783">
        <v>2753.26</v>
      </c>
      <c r="R2261" s="783">
        <v>1316.73</v>
      </c>
      <c r="S2261" s="783">
        <v>394.11</v>
      </c>
      <c r="T2261" s="783">
        <v>1042.42</v>
      </c>
      <c r="U2261" s="785">
        <v>44631.637800925899</v>
      </c>
    </row>
    <row r="2262" spans="1:21">
      <c r="A2262" s="782">
        <v>44581</v>
      </c>
      <c r="B2262" s="783" t="s">
        <v>2866</v>
      </c>
      <c r="C2262" s="783" t="s">
        <v>4008</v>
      </c>
      <c r="D2262" s="783" t="s">
        <v>4009</v>
      </c>
      <c r="E2262" s="783" t="s">
        <v>6372</v>
      </c>
      <c r="F2262" s="783" t="s">
        <v>4011</v>
      </c>
      <c r="G2262" s="783" t="str">
        <f t="shared" si="120"/>
        <v>Renewal (25% in 2020)</v>
      </c>
      <c r="H2262" s="783" t="s">
        <v>6373</v>
      </c>
      <c r="I2262" s="783" t="s">
        <v>6374</v>
      </c>
      <c r="J2262" s="783">
        <v>20</v>
      </c>
      <c r="K2262" s="783" t="s">
        <v>910</v>
      </c>
      <c r="L2262" s="783" t="s">
        <v>4014</v>
      </c>
      <c r="M2262" s="784">
        <v>31163.99</v>
      </c>
      <c r="N2262" s="784">
        <v>13</v>
      </c>
      <c r="O2262" s="784">
        <v>11.47</v>
      </c>
      <c r="P2262" s="783">
        <v>209</v>
      </c>
      <c r="Q2262" s="783">
        <v>2112.92</v>
      </c>
      <c r="R2262" s="783">
        <v>924.26</v>
      </c>
      <c r="S2262" s="783">
        <v>471.89</v>
      </c>
      <c r="T2262" s="783">
        <v>716.77</v>
      </c>
      <c r="U2262" s="785">
        <v>44631.638298611098</v>
      </c>
    </row>
    <row r="2263" spans="1:21">
      <c r="A2263" s="782">
        <v>44578</v>
      </c>
      <c r="B2263" s="783" t="s">
        <v>41</v>
      </c>
      <c r="C2263" s="783" t="s">
        <v>4139</v>
      </c>
      <c r="D2263" s="783" t="s">
        <v>4009</v>
      </c>
      <c r="E2263" s="783" t="s">
        <v>6383</v>
      </c>
      <c r="F2263" s="783" t="s">
        <v>4011</v>
      </c>
      <c r="G2263" s="783" t="str">
        <f t="shared" si="120"/>
        <v>Renewal (30% in 2020)</v>
      </c>
      <c r="H2263" s="783" t="s">
        <v>6384</v>
      </c>
      <c r="I2263" s="783" t="s">
        <v>6385</v>
      </c>
      <c r="J2263" s="783">
        <v>30</v>
      </c>
      <c r="K2263" s="783" t="s">
        <v>910</v>
      </c>
      <c r="L2263" s="783" t="s">
        <v>4014</v>
      </c>
      <c r="M2263" s="784">
        <v>100420.03</v>
      </c>
      <c r="N2263" s="784">
        <v>68.42</v>
      </c>
      <c r="O2263" s="784">
        <v>11.29</v>
      </c>
      <c r="P2263" s="783">
        <v>130</v>
      </c>
      <c r="Q2263" s="783">
        <v>3996.72</v>
      </c>
      <c r="R2263" s="783">
        <v>3625.16</v>
      </c>
      <c r="S2263" s="783">
        <v>0</v>
      </c>
      <c r="T2263" s="783">
        <v>371.55</v>
      </c>
      <c r="U2263" s="785">
        <v>44631.638414351903</v>
      </c>
    </row>
    <row r="2264" spans="1:21">
      <c r="A2264" s="782">
        <v>44581</v>
      </c>
      <c r="B2264" s="783" t="s">
        <v>74</v>
      </c>
      <c r="C2264" s="783" t="s">
        <v>4097</v>
      </c>
      <c r="D2264" s="783" t="s">
        <v>4038</v>
      </c>
      <c r="E2264" s="783" t="s">
        <v>6389</v>
      </c>
      <c r="F2264" s="783" t="s">
        <v>4066</v>
      </c>
      <c r="G2264" s="783" t="s">
        <v>4028</v>
      </c>
      <c r="H2264" s="783" t="s">
        <v>6390</v>
      </c>
      <c r="I2264" s="783" t="s">
        <v>6391</v>
      </c>
      <c r="J2264" s="783">
        <v>5</v>
      </c>
      <c r="K2264" s="783" t="s">
        <v>910</v>
      </c>
      <c r="L2264" s="783" t="s">
        <v>4014</v>
      </c>
      <c r="M2264" s="784">
        <v>3000</v>
      </c>
      <c r="N2264" s="784">
        <v>2</v>
      </c>
      <c r="O2264" s="784">
        <v>10</v>
      </c>
      <c r="P2264" s="783">
        <v>150</v>
      </c>
      <c r="Q2264" s="783">
        <v>91.2</v>
      </c>
      <c r="R2264" s="783">
        <v>0</v>
      </c>
      <c r="S2264" s="783">
        <v>0</v>
      </c>
      <c r="T2264" s="783">
        <v>91.2</v>
      </c>
      <c r="U2264" s="785">
        <v>44631.638356481497</v>
      </c>
    </row>
    <row r="2265" spans="1:21">
      <c r="A2265" s="782">
        <v>44678</v>
      </c>
      <c r="B2265" s="783" t="s">
        <v>41</v>
      </c>
      <c r="C2265" s="783" t="s">
        <v>4082</v>
      </c>
      <c r="D2265" s="783" t="s">
        <v>4009</v>
      </c>
      <c r="E2265" s="783" t="s">
        <v>6403</v>
      </c>
      <c r="F2265" s="783" t="s">
        <v>4011</v>
      </c>
      <c r="G2265" s="783" t="str">
        <f>VLOOKUP(I2265,pacage,2,FALSE)</f>
        <v>Renewal (25% in 2020)</v>
      </c>
      <c r="H2265" s="783" t="s">
        <v>6404</v>
      </c>
      <c r="I2265" s="783" t="s">
        <v>6405</v>
      </c>
      <c r="J2265" s="783">
        <v>25</v>
      </c>
      <c r="K2265" s="783" t="s">
        <v>910</v>
      </c>
      <c r="L2265" s="783" t="s">
        <v>4014</v>
      </c>
      <c r="M2265" s="784">
        <v>30618.21</v>
      </c>
      <c r="N2265" s="784">
        <v>20.73</v>
      </c>
      <c r="O2265" s="784">
        <v>10.55</v>
      </c>
      <c r="P2265" s="783">
        <v>140</v>
      </c>
      <c r="Q2265" s="783">
        <v>1414.56</v>
      </c>
      <c r="R2265" s="783">
        <v>1086.95</v>
      </c>
      <c r="S2265" s="783">
        <v>205.14</v>
      </c>
      <c r="T2265" s="783">
        <v>122.47</v>
      </c>
      <c r="U2265" s="785">
        <v>44680.645138888904</v>
      </c>
    </row>
    <row r="2266" spans="1:21">
      <c r="A2266" s="782">
        <v>44559</v>
      </c>
      <c r="B2266" s="783" t="s">
        <v>41</v>
      </c>
      <c r="C2266" s="783" t="s">
        <v>4139</v>
      </c>
      <c r="D2266" s="783" t="s">
        <v>4009</v>
      </c>
      <c r="E2266" s="783" t="s">
        <v>6412</v>
      </c>
      <c r="F2266" s="783" t="s">
        <v>4011</v>
      </c>
      <c r="G2266" s="783" t="str">
        <f>VLOOKUP(I2266,pacage,2,FALSE)</f>
        <v>Renewal (20% in 2020)</v>
      </c>
      <c r="H2266" s="783" t="s">
        <v>6413</v>
      </c>
      <c r="I2266" s="783" t="s">
        <v>6414</v>
      </c>
      <c r="J2266" s="783">
        <v>20</v>
      </c>
      <c r="K2266" s="783" t="s">
        <v>910</v>
      </c>
      <c r="L2266" s="783" t="s">
        <v>4014</v>
      </c>
      <c r="M2266" s="784">
        <v>18262</v>
      </c>
      <c r="N2266" s="784">
        <v>11.5</v>
      </c>
      <c r="O2266" s="784">
        <v>7.94</v>
      </c>
      <c r="P2266" s="783">
        <v>200</v>
      </c>
      <c r="Q2266" s="783">
        <v>1082.94</v>
      </c>
      <c r="R2266" s="783">
        <v>530.70000000000005</v>
      </c>
      <c r="S2266" s="783">
        <v>236.3</v>
      </c>
      <c r="T2266" s="783">
        <v>315.93</v>
      </c>
      <c r="U2266" s="785">
        <v>44631.638425925899</v>
      </c>
    </row>
    <row r="2267" spans="1:21">
      <c r="A2267" s="782">
        <v>44638</v>
      </c>
      <c r="B2267" s="783" t="s">
        <v>74</v>
      </c>
      <c r="C2267" s="783" t="s">
        <v>4097</v>
      </c>
      <c r="D2267" s="783" t="s">
        <v>4038</v>
      </c>
      <c r="E2267" s="783" t="s">
        <v>4555</v>
      </c>
      <c r="F2267" s="783" t="s">
        <v>4066</v>
      </c>
      <c r="G2267" s="783" t="s">
        <v>4028</v>
      </c>
      <c r="H2267" s="783" t="s">
        <v>4556</v>
      </c>
      <c r="I2267" s="783" t="s">
        <v>4557</v>
      </c>
      <c r="J2267" s="783">
        <v>10</v>
      </c>
      <c r="K2267" s="783" t="s">
        <v>993</v>
      </c>
      <c r="L2267" s="783" t="s">
        <v>4014</v>
      </c>
      <c r="M2267" s="784">
        <v>80000</v>
      </c>
      <c r="N2267" s="784">
        <v>40</v>
      </c>
      <c r="O2267" s="784">
        <v>10</v>
      </c>
      <c r="P2267" s="783">
        <v>200</v>
      </c>
      <c r="Q2267" s="783">
        <v>2136</v>
      </c>
      <c r="R2267" s="783">
        <v>0</v>
      </c>
      <c r="S2267" s="783">
        <v>0</v>
      </c>
      <c r="T2267" s="783">
        <v>2136</v>
      </c>
      <c r="U2267" s="785">
        <v>44641.407685185201</v>
      </c>
    </row>
    <row r="2268" spans="1:21">
      <c r="A2268" s="782">
        <v>44704</v>
      </c>
      <c r="B2268" s="783" t="s">
        <v>41</v>
      </c>
      <c r="C2268" s="783" t="s">
        <v>4071</v>
      </c>
      <c r="D2268" s="783" t="s">
        <v>4009</v>
      </c>
      <c r="E2268" s="783" t="s">
        <v>5084</v>
      </c>
      <c r="F2268" s="783" t="s">
        <v>4011</v>
      </c>
      <c r="G2268" s="783" t="str">
        <f>VLOOKUP(I2268,pacage,2,FALSE)</f>
        <v>Renewal (15% in 2020)</v>
      </c>
      <c r="H2268" s="783" t="s">
        <v>5085</v>
      </c>
      <c r="I2268" s="783" t="s">
        <v>5086</v>
      </c>
      <c r="J2268" s="783">
        <v>15</v>
      </c>
      <c r="K2268" s="783" t="s">
        <v>993</v>
      </c>
      <c r="L2268" s="783" t="s">
        <v>4014</v>
      </c>
      <c r="M2268" s="784">
        <v>29738.16</v>
      </c>
      <c r="N2268" s="784">
        <v>12.36</v>
      </c>
      <c r="O2268" s="784">
        <v>8.02</v>
      </c>
      <c r="P2268" s="783">
        <v>300</v>
      </c>
      <c r="Q2268" s="783">
        <v>3333.65</v>
      </c>
      <c r="R2268" s="783">
        <v>1475.01</v>
      </c>
      <c r="S2268" s="783">
        <v>220.06</v>
      </c>
      <c r="T2268" s="783">
        <v>1638.57</v>
      </c>
      <c r="U2268" s="785">
        <v>44708.798425925903</v>
      </c>
    </row>
    <row r="2269" spans="1:21">
      <c r="A2269" s="782">
        <v>44680</v>
      </c>
      <c r="B2269" s="783" t="s">
        <v>34</v>
      </c>
      <c r="C2269" s="783" t="s">
        <v>4082</v>
      </c>
      <c r="D2269" s="783" t="s">
        <v>4009</v>
      </c>
      <c r="E2269" s="783" t="s">
        <v>6480</v>
      </c>
      <c r="F2269" s="783" t="s">
        <v>4011</v>
      </c>
      <c r="G2269" s="783" t="str">
        <f>VLOOKUP(I2269,pacage,2,FALSE)</f>
        <v>New Contract</v>
      </c>
      <c r="H2269" s="783" t="s">
        <v>6481</v>
      </c>
      <c r="I2269" s="783" t="s">
        <v>6482</v>
      </c>
      <c r="J2269" s="783">
        <v>20</v>
      </c>
      <c r="K2269" s="783" t="s">
        <v>993</v>
      </c>
      <c r="L2269" s="783" t="s">
        <v>4014</v>
      </c>
      <c r="M2269" s="784">
        <v>26789.119999999999</v>
      </c>
      <c r="N2269" s="784">
        <v>11.89</v>
      </c>
      <c r="O2269" s="784">
        <v>7.13</v>
      </c>
      <c r="P2269" s="783">
        <v>316</v>
      </c>
      <c r="Q2269" s="783">
        <v>1773.44</v>
      </c>
      <c r="R2269" s="783">
        <v>1031.3800000000001</v>
      </c>
      <c r="S2269" s="783">
        <v>182.17</v>
      </c>
      <c r="T2269" s="783">
        <v>559.89</v>
      </c>
      <c r="U2269" s="785">
        <v>44680.727581018502</v>
      </c>
    </row>
    <row r="2270" spans="1:21">
      <c r="A2270" s="782">
        <v>44712</v>
      </c>
      <c r="B2270" s="783" t="s">
        <v>34</v>
      </c>
      <c r="C2270" s="783" t="s">
        <v>4082</v>
      </c>
      <c r="D2270" s="783" t="s">
        <v>4009</v>
      </c>
      <c r="E2270" s="783" t="s">
        <v>4083</v>
      </c>
      <c r="F2270" s="783" t="s">
        <v>4011</v>
      </c>
      <c r="G2270" s="783" t="s">
        <v>4028</v>
      </c>
      <c r="H2270" s="783" t="s">
        <v>4084</v>
      </c>
      <c r="I2270" s="783" t="s">
        <v>4085</v>
      </c>
      <c r="J2270" s="783">
        <v>25</v>
      </c>
      <c r="K2270" s="783" t="s">
        <v>993</v>
      </c>
      <c r="L2270" s="783" t="s">
        <v>4014</v>
      </c>
      <c r="M2270" s="784">
        <v>4631.3999999999996</v>
      </c>
      <c r="N2270" s="784">
        <v>2.4900000000000002</v>
      </c>
      <c r="O2270" s="784">
        <v>6.2</v>
      </c>
      <c r="P2270" s="783">
        <v>300</v>
      </c>
      <c r="Q2270" s="783">
        <v>235.28</v>
      </c>
      <c r="R2270" s="783">
        <v>178.31</v>
      </c>
      <c r="S2270" s="783">
        <v>31.49</v>
      </c>
      <c r="T2270" s="783">
        <v>25.47</v>
      </c>
      <c r="U2270" s="785">
        <v>44714.003958333298</v>
      </c>
    </row>
    <row r="2271" spans="1:21">
      <c r="A2271" s="782">
        <v>44704</v>
      </c>
      <c r="B2271" s="783" t="s">
        <v>41</v>
      </c>
      <c r="C2271" s="783" t="s">
        <v>4071</v>
      </c>
      <c r="D2271" s="783" t="s">
        <v>4009</v>
      </c>
      <c r="E2271" s="783" t="s">
        <v>5853</v>
      </c>
      <c r="F2271" s="783" t="s">
        <v>4011</v>
      </c>
      <c r="G2271" s="783" t="str">
        <f>VLOOKUP(I2271,pacage,2,FALSE)</f>
        <v>Renewal (20% in 2020)</v>
      </c>
      <c r="H2271" s="783" t="s">
        <v>5854</v>
      </c>
      <c r="I2271" s="783" t="s">
        <v>5855</v>
      </c>
      <c r="J2271" s="783">
        <v>25</v>
      </c>
      <c r="K2271" s="783" t="s">
        <v>993</v>
      </c>
      <c r="L2271" s="783" t="s">
        <v>4014</v>
      </c>
      <c r="M2271" s="784">
        <v>110490.16</v>
      </c>
      <c r="N2271" s="784">
        <v>54.13</v>
      </c>
      <c r="O2271" s="784">
        <v>7.29</v>
      </c>
      <c r="P2271" s="783">
        <v>280</v>
      </c>
      <c r="Q2271" s="783">
        <v>7082.42</v>
      </c>
      <c r="R2271" s="783">
        <v>5480.31</v>
      </c>
      <c r="S2271" s="783">
        <v>817.63</v>
      </c>
      <c r="T2271" s="783">
        <v>784.48</v>
      </c>
      <c r="U2271" s="785">
        <v>44704.577442129601</v>
      </c>
    </row>
    <row r="2272" spans="1:21">
      <c r="A2272" s="782">
        <v>44643</v>
      </c>
      <c r="B2272" s="783" t="s">
        <v>113</v>
      </c>
      <c r="C2272" s="783" t="s">
        <v>4598</v>
      </c>
      <c r="D2272" s="783" t="s">
        <v>4009</v>
      </c>
      <c r="E2272" s="783" t="s">
        <v>6791</v>
      </c>
      <c r="F2272" s="783" t="s">
        <v>4011</v>
      </c>
      <c r="G2272" s="783" t="str">
        <f>VLOOKUP(I2272,pacage,2,FALSE)</f>
        <v>Renewal (20% in 2020)</v>
      </c>
      <c r="H2272" s="783" t="s">
        <v>6792</v>
      </c>
      <c r="I2272" s="783" t="s">
        <v>6793</v>
      </c>
      <c r="J2272" s="783">
        <v>20</v>
      </c>
      <c r="K2272" s="783" t="s">
        <v>1164</v>
      </c>
      <c r="L2272" s="783" t="s">
        <v>4014</v>
      </c>
      <c r="M2272" s="784">
        <v>80316</v>
      </c>
      <c r="N2272" s="784">
        <v>19.399999999999999</v>
      </c>
      <c r="O2272" s="784">
        <v>6.9</v>
      </c>
      <c r="P2272" s="783">
        <v>600</v>
      </c>
      <c r="Q2272" s="783">
        <v>5911.26</v>
      </c>
      <c r="R2272" s="783">
        <v>2489.8000000000002</v>
      </c>
      <c r="S2272" s="783">
        <v>1220.8</v>
      </c>
      <c r="T2272" s="783">
        <v>2200.66</v>
      </c>
      <c r="U2272" s="785">
        <v>44665.652141203696</v>
      </c>
    </row>
    <row r="2273" spans="1:21">
      <c r="A2273" s="782">
        <v>44711</v>
      </c>
      <c r="B2273" s="783" t="s">
        <v>113</v>
      </c>
      <c r="C2273" s="783" t="s">
        <v>4606</v>
      </c>
      <c r="D2273" s="783" t="s">
        <v>4009</v>
      </c>
      <c r="E2273" s="783" t="s">
        <v>659</v>
      </c>
      <c r="F2273" s="783" t="s">
        <v>4011</v>
      </c>
      <c r="G2273" s="783" t="str">
        <f>VLOOKUP(I2273,pacage,2,FALSE)</f>
        <v>Renewal (20% in 2020)</v>
      </c>
      <c r="H2273" s="783" t="s">
        <v>6565</v>
      </c>
      <c r="I2273" s="783" t="s">
        <v>6566</v>
      </c>
      <c r="J2273" s="783">
        <v>20</v>
      </c>
      <c r="K2273" s="783" t="s">
        <v>1164</v>
      </c>
      <c r="L2273" s="783" t="s">
        <v>4014</v>
      </c>
      <c r="M2273" s="784">
        <v>48360</v>
      </c>
      <c r="N2273" s="784">
        <v>12</v>
      </c>
      <c r="O2273" s="784">
        <v>6.2</v>
      </c>
      <c r="P2273" s="783">
        <v>650</v>
      </c>
      <c r="Q2273" s="783">
        <v>3849.46</v>
      </c>
      <c r="R2273" s="783">
        <v>1581</v>
      </c>
      <c r="S2273" s="783">
        <v>798.31</v>
      </c>
      <c r="T2273" s="783">
        <v>1470.14</v>
      </c>
      <c r="U2273" s="785">
        <v>44713.629039351901</v>
      </c>
    </row>
    <row r="2274" spans="1:21">
      <c r="A2274" s="782">
        <v>44681</v>
      </c>
      <c r="B2274" s="783" t="s">
        <v>113</v>
      </c>
      <c r="C2274" s="783" t="s">
        <v>4606</v>
      </c>
      <c r="D2274" s="783" t="s">
        <v>4009</v>
      </c>
      <c r="E2274" s="783" t="s">
        <v>6794</v>
      </c>
      <c r="F2274" s="783" t="s">
        <v>4011</v>
      </c>
      <c r="G2274" s="783" t="s">
        <v>4028</v>
      </c>
      <c r="H2274" s="783" t="s">
        <v>6795</v>
      </c>
      <c r="I2274" s="783" t="s">
        <v>6796</v>
      </c>
      <c r="J2274" s="783">
        <v>25</v>
      </c>
      <c r="K2274" s="783" t="s">
        <v>1164</v>
      </c>
      <c r="L2274" s="783" t="s">
        <v>4014</v>
      </c>
      <c r="M2274" s="784">
        <v>138775</v>
      </c>
      <c r="N2274" s="784">
        <v>30.5</v>
      </c>
      <c r="O2274" s="784">
        <v>7</v>
      </c>
      <c r="P2274" s="783">
        <v>650</v>
      </c>
      <c r="Q2274" s="783">
        <v>8909.36</v>
      </c>
      <c r="R2274" s="783">
        <v>4536.88</v>
      </c>
      <c r="S2274" s="783">
        <v>2290.86</v>
      </c>
      <c r="T2274" s="783">
        <v>2081.63</v>
      </c>
      <c r="U2274" s="785">
        <v>44683.447835648098</v>
      </c>
    </row>
    <row r="2275" spans="1:21">
      <c r="A2275" s="782">
        <v>44680</v>
      </c>
      <c r="B2275" s="783" t="s">
        <v>150</v>
      </c>
      <c r="C2275" s="783" t="s">
        <v>4606</v>
      </c>
      <c r="D2275" s="783" t="s">
        <v>4009</v>
      </c>
      <c r="E2275" s="783" t="s">
        <v>6797</v>
      </c>
      <c r="F2275" s="783" t="s">
        <v>4011</v>
      </c>
      <c r="G2275" s="783" t="s">
        <v>4028</v>
      </c>
      <c r="H2275" s="783" t="s">
        <v>6798</v>
      </c>
      <c r="I2275" s="783" t="s">
        <v>6799</v>
      </c>
      <c r="J2275" s="783">
        <v>25</v>
      </c>
      <c r="K2275" s="783" t="s">
        <v>1164</v>
      </c>
      <c r="L2275" s="783" t="s">
        <v>4014</v>
      </c>
      <c r="M2275" s="784">
        <v>156936</v>
      </c>
      <c r="N2275" s="784">
        <v>24</v>
      </c>
      <c r="O2275" s="784">
        <v>5.03</v>
      </c>
      <c r="P2275" s="783">
        <v>1300</v>
      </c>
      <c r="Q2275" s="783">
        <v>10075.290000000001</v>
      </c>
      <c r="R2275" s="783">
        <v>2565.3000000000002</v>
      </c>
      <c r="S2275" s="783">
        <v>5155.95</v>
      </c>
      <c r="T2275" s="783">
        <v>2354.04</v>
      </c>
      <c r="U2275" s="785">
        <v>44683.4695138889</v>
      </c>
    </row>
    <row r="2276" spans="1:21">
      <c r="A2276" s="782">
        <v>44706</v>
      </c>
      <c r="B2276" s="783" t="s">
        <v>113</v>
      </c>
      <c r="C2276" s="783" t="s">
        <v>4097</v>
      </c>
      <c r="D2276" s="783" t="s">
        <v>4038</v>
      </c>
      <c r="E2276" s="783" t="s">
        <v>4644</v>
      </c>
      <c r="F2276" s="783" t="s">
        <v>4011</v>
      </c>
      <c r="G2276" s="783" t="str">
        <f t="shared" ref="G2276:G2282" si="121">VLOOKUP(I2276,pacage,2,FALSE)</f>
        <v>Renewal (15% in 2020)</v>
      </c>
      <c r="H2276" s="783" t="s">
        <v>4645</v>
      </c>
      <c r="I2276" s="783" t="s">
        <v>4646</v>
      </c>
      <c r="J2276" s="783">
        <v>15</v>
      </c>
      <c r="K2276" s="783" t="s">
        <v>1164</v>
      </c>
      <c r="L2276" s="783" t="s">
        <v>4014</v>
      </c>
      <c r="M2276" s="784">
        <v>1857.44</v>
      </c>
      <c r="N2276" s="784">
        <v>0.76</v>
      </c>
      <c r="O2276" s="784">
        <v>3.76</v>
      </c>
      <c r="P2276" s="783">
        <v>650</v>
      </c>
      <c r="Q2276" s="783">
        <v>146.91999999999999</v>
      </c>
      <c r="R2276" s="783">
        <v>57.15</v>
      </c>
      <c r="S2276" s="783">
        <v>28.66</v>
      </c>
      <c r="T2276" s="783">
        <v>61.11</v>
      </c>
      <c r="U2276" s="785">
        <v>44706.638182870403</v>
      </c>
    </row>
    <row r="2277" spans="1:21">
      <c r="A2277" s="782">
        <v>44713</v>
      </c>
      <c r="B2277" s="783" t="s">
        <v>150</v>
      </c>
      <c r="C2277" s="783" t="s">
        <v>5313</v>
      </c>
      <c r="D2277" s="783" t="s">
        <v>4009</v>
      </c>
      <c r="E2277" s="783" t="s">
        <v>2290</v>
      </c>
      <c r="F2277" s="783" t="s">
        <v>4011</v>
      </c>
      <c r="G2277" s="783" t="str">
        <f t="shared" si="121"/>
        <v>Renewal (25% in 2020)</v>
      </c>
      <c r="H2277" s="783" t="s">
        <v>6800</v>
      </c>
      <c r="I2277" s="783" t="s">
        <v>6801</v>
      </c>
      <c r="J2277" s="783">
        <v>30</v>
      </c>
      <c r="K2277" s="783" t="s">
        <v>1164</v>
      </c>
      <c r="L2277" s="783" t="s">
        <v>4014</v>
      </c>
      <c r="M2277" s="784">
        <v>96800</v>
      </c>
      <c r="N2277" s="784">
        <v>8.8000000000000007</v>
      </c>
      <c r="O2277" s="784">
        <v>2.2000000000000002</v>
      </c>
      <c r="P2277" s="783">
        <v>5000</v>
      </c>
      <c r="Q2277" s="783">
        <v>4994.88</v>
      </c>
      <c r="R2277" s="783">
        <v>415.27</v>
      </c>
      <c r="S2277" s="783">
        <v>3737.45</v>
      </c>
      <c r="T2277" s="783">
        <v>842.16</v>
      </c>
      <c r="U2277" s="785">
        <v>44715.433865740699</v>
      </c>
    </row>
    <row r="2278" spans="1:21">
      <c r="A2278" s="782">
        <v>44711</v>
      </c>
      <c r="B2278" s="783" t="s">
        <v>113</v>
      </c>
      <c r="C2278" s="783" t="s">
        <v>4097</v>
      </c>
      <c r="D2278" s="783" t="s">
        <v>4038</v>
      </c>
      <c r="E2278" s="783" t="s">
        <v>172</v>
      </c>
      <c r="F2278" s="783" t="s">
        <v>4011</v>
      </c>
      <c r="G2278" s="783" t="str">
        <f t="shared" si="121"/>
        <v>Renewal (25% in 2020)</v>
      </c>
      <c r="H2278" s="783" t="s">
        <v>5892</v>
      </c>
      <c r="I2278" s="783" t="s">
        <v>5893</v>
      </c>
      <c r="J2278" s="783">
        <v>25</v>
      </c>
      <c r="K2278" s="783" t="s">
        <v>1164</v>
      </c>
      <c r="L2278" s="783" t="s">
        <v>4014</v>
      </c>
      <c r="M2278" s="784">
        <v>12285</v>
      </c>
      <c r="N2278" s="784">
        <v>3.15</v>
      </c>
      <c r="O2278" s="784">
        <v>6</v>
      </c>
      <c r="P2278" s="783">
        <v>650</v>
      </c>
      <c r="Q2278" s="783">
        <v>686.73</v>
      </c>
      <c r="R2278" s="783">
        <v>378</v>
      </c>
      <c r="S2278" s="783">
        <v>189.57</v>
      </c>
      <c r="T2278" s="783">
        <v>119.16</v>
      </c>
      <c r="U2278" s="785">
        <v>44713.519942129598</v>
      </c>
    </row>
    <row r="2279" spans="1:21">
      <c r="A2279" s="782">
        <v>44665</v>
      </c>
      <c r="B2279" s="783" t="s">
        <v>41</v>
      </c>
      <c r="C2279" s="783" t="s">
        <v>4139</v>
      </c>
      <c r="D2279" s="783" t="s">
        <v>4009</v>
      </c>
      <c r="E2279" s="783" t="s">
        <v>5969</v>
      </c>
      <c r="F2279" s="783" t="s">
        <v>4011</v>
      </c>
      <c r="G2279" s="783" t="str">
        <f t="shared" si="121"/>
        <v>Renewal (20% in 2020)</v>
      </c>
      <c r="H2279" s="783" t="s">
        <v>5970</v>
      </c>
      <c r="I2279" s="783" t="s">
        <v>5971</v>
      </c>
      <c r="J2279" s="783">
        <v>30</v>
      </c>
      <c r="K2279" s="783" t="s">
        <v>1164</v>
      </c>
      <c r="L2279" s="783" t="s">
        <v>4014</v>
      </c>
      <c r="M2279" s="784">
        <v>34115.5</v>
      </c>
      <c r="N2279" s="784">
        <v>22.01</v>
      </c>
      <c r="O2279" s="784">
        <v>3.1</v>
      </c>
      <c r="P2279" s="783">
        <v>500</v>
      </c>
      <c r="Q2279" s="783">
        <v>1562.49</v>
      </c>
      <c r="R2279" s="783">
        <v>1385.09</v>
      </c>
      <c r="S2279" s="783">
        <v>0</v>
      </c>
      <c r="T2279" s="783">
        <v>177.4</v>
      </c>
      <c r="U2279" s="785">
        <v>44665.6721412037</v>
      </c>
    </row>
    <row r="2280" spans="1:21">
      <c r="A2280" s="782">
        <v>44652</v>
      </c>
      <c r="B2280" s="783" t="s">
        <v>3078</v>
      </c>
      <c r="C2280" s="783" t="s">
        <v>4414</v>
      </c>
      <c r="D2280" s="783" t="s">
        <v>4009</v>
      </c>
      <c r="E2280" s="783" t="s">
        <v>3082</v>
      </c>
      <c r="F2280" s="783" t="s">
        <v>4011</v>
      </c>
      <c r="G2280" s="783" t="str">
        <f t="shared" si="121"/>
        <v>Renewal (20% in 2020)</v>
      </c>
      <c r="H2280" s="783" t="s">
        <v>4415</v>
      </c>
      <c r="I2280" s="783" t="s">
        <v>4416</v>
      </c>
      <c r="J2280" s="783">
        <v>20</v>
      </c>
      <c r="K2280" s="783" t="s">
        <v>1164</v>
      </c>
      <c r="L2280" s="783" t="s">
        <v>4014</v>
      </c>
      <c r="M2280" s="784">
        <v>80275</v>
      </c>
      <c r="N2280" s="784">
        <v>19</v>
      </c>
      <c r="O2280" s="784">
        <v>6.5</v>
      </c>
      <c r="P2280" s="783">
        <v>650</v>
      </c>
      <c r="Q2280" s="783">
        <v>6727.05</v>
      </c>
      <c r="R2280" s="783">
        <v>2791.1</v>
      </c>
      <c r="S2280" s="783">
        <v>1415.31</v>
      </c>
      <c r="T2280" s="783">
        <v>2520.64</v>
      </c>
      <c r="U2280" s="785">
        <v>44655.497453703698</v>
      </c>
    </row>
    <row r="2281" spans="1:21">
      <c r="A2281" s="782">
        <v>44540</v>
      </c>
      <c r="B2281" s="783" t="s">
        <v>113</v>
      </c>
      <c r="C2281" s="783" t="s">
        <v>4376</v>
      </c>
      <c r="D2281" s="783" t="s">
        <v>4038</v>
      </c>
      <c r="E2281" s="783" t="s">
        <v>4717</v>
      </c>
      <c r="F2281" s="783" t="s">
        <v>4011</v>
      </c>
      <c r="G2281" s="783" t="str">
        <f t="shared" si="121"/>
        <v>New Contract</v>
      </c>
      <c r="H2281" s="783" t="s">
        <v>4718</v>
      </c>
      <c r="I2281" s="783" t="s">
        <v>4719</v>
      </c>
      <c r="J2281" s="783">
        <v>20</v>
      </c>
      <c r="K2281" s="783" t="s">
        <v>1164</v>
      </c>
      <c r="L2281" s="783" t="s">
        <v>4014</v>
      </c>
      <c r="M2281" s="784">
        <v>74100</v>
      </c>
      <c r="N2281" s="784">
        <v>19</v>
      </c>
      <c r="O2281" s="784">
        <v>6</v>
      </c>
      <c r="P2281" s="783">
        <v>650</v>
      </c>
      <c r="Q2281" s="783">
        <v>7765.68</v>
      </c>
      <c r="R2281" s="783">
        <v>3323.1</v>
      </c>
      <c r="S2281" s="783">
        <v>1678.65</v>
      </c>
      <c r="T2281" s="783">
        <v>2763.93</v>
      </c>
      <c r="U2281" s="785">
        <v>44631.636122685202</v>
      </c>
    </row>
    <row r="2282" spans="1:21">
      <c r="A2282" s="782">
        <v>44553</v>
      </c>
      <c r="B2282" s="783" t="s">
        <v>177</v>
      </c>
      <c r="C2282" s="783" t="s">
        <v>4274</v>
      </c>
      <c r="D2282" s="783" t="s">
        <v>4038</v>
      </c>
      <c r="E2282" s="783" t="s">
        <v>6204</v>
      </c>
      <c r="F2282" s="783" t="s">
        <v>4011</v>
      </c>
      <c r="G2282" s="783" t="str">
        <f t="shared" si="121"/>
        <v>Renewal (25% in 2020)</v>
      </c>
      <c r="H2282" s="783" t="s">
        <v>6205</v>
      </c>
      <c r="I2282" s="783" t="s">
        <v>6206</v>
      </c>
      <c r="J2282" s="783">
        <v>25</v>
      </c>
      <c r="K2282" s="783" t="s">
        <v>1164</v>
      </c>
      <c r="L2282" s="783" t="s">
        <v>4014</v>
      </c>
      <c r="M2282" s="784">
        <v>9505.2999999999993</v>
      </c>
      <c r="N2282" s="784">
        <v>2.59</v>
      </c>
      <c r="O2282" s="784">
        <v>3.67</v>
      </c>
      <c r="P2282" s="783">
        <v>1000</v>
      </c>
      <c r="Q2282" s="783">
        <v>676.78</v>
      </c>
      <c r="R2282" s="783">
        <v>258.54000000000002</v>
      </c>
      <c r="S2282" s="783">
        <v>374.51</v>
      </c>
      <c r="T2282" s="783">
        <v>43.72</v>
      </c>
      <c r="U2282" s="785">
        <v>44701.675810185203</v>
      </c>
    </row>
    <row r="2283" spans="1:21">
      <c r="A2283" s="782">
        <v>44681</v>
      </c>
      <c r="B2283" s="783" t="s">
        <v>113</v>
      </c>
      <c r="C2283" s="783" t="s">
        <v>4606</v>
      </c>
      <c r="D2283" s="783" t="s">
        <v>4009</v>
      </c>
      <c r="E2283" s="783" t="s">
        <v>6794</v>
      </c>
      <c r="F2283" s="783" t="s">
        <v>4011</v>
      </c>
      <c r="G2283" s="783" t="s">
        <v>4028</v>
      </c>
      <c r="H2283" s="783" t="s">
        <v>6795</v>
      </c>
      <c r="I2283" s="783" t="s">
        <v>6796</v>
      </c>
      <c r="J2283" s="783">
        <v>25</v>
      </c>
      <c r="K2283" s="783" t="s">
        <v>729</v>
      </c>
      <c r="L2283" s="783" t="s">
        <v>4014</v>
      </c>
      <c r="M2283" s="784">
        <v>23400</v>
      </c>
      <c r="N2283" s="784">
        <v>6</v>
      </c>
      <c r="O2283" s="784">
        <v>6.5</v>
      </c>
      <c r="P2283" s="783">
        <v>600</v>
      </c>
      <c r="Q2283" s="783">
        <v>1502.28</v>
      </c>
      <c r="R2283" s="783">
        <v>828.75</v>
      </c>
      <c r="S2283" s="783">
        <v>322.52999999999997</v>
      </c>
      <c r="T2283" s="783">
        <v>351</v>
      </c>
      <c r="U2283" s="785">
        <v>44683.447835648098</v>
      </c>
    </row>
    <row r="2284" spans="1:21">
      <c r="A2284" s="782">
        <v>44713</v>
      </c>
      <c r="B2284" s="783" t="s">
        <v>150</v>
      </c>
      <c r="C2284" s="783" t="s">
        <v>5313</v>
      </c>
      <c r="D2284" s="783" t="s">
        <v>4009</v>
      </c>
      <c r="E2284" s="783" t="s">
        <v>2290</v>
      </c>
      <c r="F2284" s="783" t="s">
        <v>4011</v>
      </c>
      <c r="G2284" s="783" t="str">
        <f t="shared" ref="G2284:G2315" si="122">VLOOKUP(I2284,pacage,2,FALSE)</f>
        <v>Renewal (25% in 2020)</v>
      </c>
      <c r="H2284" s="783" t="s">
        <v>6800</v>
      </c>
      <c r="I2284" s="783" t="s">
        <v>6801</v>
      </c>
      <c r="J2284" s="783">
        <v>30</v>
      </c>
      <c r="K2284" s="783" t="s">
        <v>729</v>
      </c>
      <c r="L2284" s="783" t="s">
        <v>4014</v>
      </c>
      <c r="M2284" s="784">
        <v>77440</v>
      </c>
      <c r="N2284" s="784">
        <v>8.8000000000000007</v>
      </c>
      <c r="O2284" s="784">
        <v>2.2000000000000002</v>
      </c>
      <c r="P2284" s="783">
        <v>4000</v>
      </c>
      <c r="Q2284" s="783">
        <v>3995.9</v>
      </c>
      <c r="R2284" s="783">
        <v>415.27</v>
      </c>
      <c r="S2284" s="783">
        <v>2906.9</v>
      </c>
      <c r="T2284" s="783">
        <v>673.73</v>
      </c>
      <c r="U2284" s="785">
        <v>44715.433865740699</v>
      </c>
    </row>
    <row r="2285" spans="1:21">
      <c r="A2285" s="782">
        <v>44652</v>
      </c>
      <c r="B2285" s="783" t="s">
        <v>3078</v>
      </c>
      <c r="C2285" s="783" t="s">
        <v>4414</v>
      </c>
      <c r="D2285" s="783" t="s">
        <v>4009</v>
      </c>
      <c r="E2285" s="783" t="s">
        <v>3082</v>
      </c>
      <c r="F2285" s="783" t="s">
        <v>4011</v>
      </c>
      <c r="G2285" s="783" t="str">
        <f t="shared" si="122"/>
        <v>Renewal (20% in 2020)</v>
      </c>
      <c r="H2285" s="783" t="s">
        <v>4415</v>
      </c>
      <c r="I2285" s="783" t="s">
        <v>4416</v>
      </c>
      <c r="J2285" s="783">
        <v>20</v>
      </c>
      <c r="K2285" s="783" t="s">
        <v>729</v>
      </c>
      <c r="L2285" s="783" t="s">
        <v>4014</v>
      </c>
      <c r="M2285" s="784">
        <v>172200</v>
      </c>
      <c r="N2285" s="784">
        <v>41</v>
      </c>
      <c r="O2285" s="784">
        <v>7</v>
      </c>
      <c r="P2285" s="783">
        <v>600</v>
      </c>
      <c r="Q2285" s="783">
        <v>14430.36</v>
      </c>
      <c r="R2285" s="783">
        <v>6486.2</v>
      </c>
      <c r="S2285" s="783">
        <v>2537.08</v>
      </c>
      <c r="T2285" s="783">
        <v>5407.08</v>
      </c>
      <c r="U2285" s="785">
        <v>44655.497453703698</v>
      </c>
    </row>
    <row r="2286" spans="1:21">
      <c r="A2286" s="782">
        <v>44652</v>
      </c>
      <c r="B2286" s="783" t="s">
        <v>74</v>
      </c>
      <c r="C2286" s="783" t="s">
        <v>4037</v>
      </c>
      <c r="D2286" s="783" t="s">
        <v>4038</v>
      </c>
      <c r="E2286" s="783" t="s">
        <v>4693</v>
      </c>
      <c r="F2286" s="783" t="s">
        <v>4011</v>
      </c>
      <c r="G2286" s="783" t="str">
        <f t="shared" si="122"/>
        <v>Renewal (25% in 2020)</v>
      </c>
      <c r="H2286" s="783" t="s">
        <v>4694</v>
      </c>
      <c r="I2286" s="783" t="s">
        <v>4695</v>
      </c>
      <c r="J2286" s="783">
        <v>25</v>
      </c>
      <c r="K2286" s="783" t="s">
        <v>729</v>
      </c>
      <c r="L2286" s="783" t="s">
        <v>4014</v>
      </c>
      <c r="M2286" s="784">
        <v>15984</v>
      </c>
      <c r="N2286" s="784">
        <v>4</v>
      </c>
      <c r="O2286" s="784">
        <v>6</v>
      </c>
      <c r="P2286" s="783">
        <v>666</v>
      </c>
      <c r="Q2286" s="783">
        <v>1318.68</v>
      </c>
      <c r="R2286" s="783">
        <v>676.8</v>
      </c>
      <c r="S2286" s="783">
        <v>368.55</v>
      </c>
      <c r="T2286" s="783">
        <v>273.33</v>
      </c>
      <c r="U2286" s="785">
        <v>44662.739421296297</v>
      </c>
    </row>
    <row r="2287" spans="1:21">
      <c r="A2287" s="782">
        <v>44553</v>
      </c>
      <c r="B2287" s="783" t="s">
        <v>177</v>
      </c>
      <c r="C2287" s="783" t="s">
        <v>4274</v>
      </c>
      <c r="D2287" s="783" t="s">
        <v>4038</v>
      </c>
      <c r="E2287" s="783" t="s">
        <v>6204</v>
      </c>
      <c r="F2287" s="783" t="s">
        <v>4011</v>
      </c>
      <c r="G2287" s="783" t="str">
        <f t="shared" si="122"/>
        <v>Renewal (25% in 2020)</v>
      </c>
      <c r="H2287" s="783" t="s">
        <v>6205</v>
      </c>
      <c r="I2287" s="783" t="s">
        <v>6206</v>
      </c>
      <c r="J2287" s="783">
        <v>25</v>
      </c>
      <c r="K2287" s="783" t="s">
        <v>729</v>
      </c>
      <c r="L2287" s="783" t="s">
        <v>4014</v>
      </c>
      <c r="M2287" s="784">
        <v>15000</v>
      </c>
      <c r="N2287" s="784">
        <v>5</v>
      </c>
      <c r="O2287" s="784">
        <v>3</v>
      </c>
      <c r="P2287" s="783">
        <v>1000</v>
      </c>
      <c r="Q2287" s="783">
        <v>1068</v>
      </c>
      <c r="R2287" s="783">
        <v>408</v>
      </c>
      <c r="S2287" s="783">
        <v>591</v>
      </c>
      <c r="T2287" s="783">
        <v>69</v>
      </c>
      <c r="U2287" s="785">
        <v>44701.675810185203</v>
      </c>
    </row>
    <row r="2288" spans="1:21">
      <c r="A2288" s="782">
        <v>44449</v>
      </c>
      <c r="B2288" s="783" t="s">
        <v>41</v>
      </c>
      <c r="C2288" s="783" t="s">
        <v>4082</v>
      </c>
      <c r="D2288" s="783" t="s">
        <v>4009</v>
      </c>
      <c r="E2288" s="783" t="s">
        <v>4495</v>
      </c>
      <c r="F2288" s="783" t="s">
        <v>4011</v>
      </c>
      <c r="G2288" s="783" t="str">
        <f t="shared" si="122"/>
        <v>Renewal (15% in 2020)</v>
      </c>
      <c r="H2288" s="783" t="s">
        <v>4496</v>
      </c>
      <c r="I2288" s="783" t="s">
        <v>4497</v>
      </c>
      <c r="J2288" s="783">
        <v>15</v>
      </c>
      <c r="K2288" s="783" t="s">
        <v>866</v>
      </c>
      <c r="L2288" s="783" t="s">
        <v>4014</v>
      </c>
      <c r="M2288" s="784">
        <v>11117.53</v>
      </c>
      <c r="N2288" s="784">
        <v>9.9499999999999993</v>
      </c>
      <c r="O2288" s="784">
        <v>6.94</v>
      </c>
      <c r="P2288" s="783">
        <v>161</v>
      </c>
      <c r="Q2288" s="783">
        <v>1168.45</v>
      </c>
      <c r="R2288" s="783">
        <v>513.63</v>
      </c>
      <c r="S2288" s="783">
        <v>96.72</v>
      </c>
      <c r="T2288" s="783">
        <v>558.1</v>
      </c>
      <c r="U2288" s="785">
        <v>44631.502824074101</v>
      </c>
    </row>
    <row r="2289" spans="1:21">
      <c r="A2289" s="782">
        <v>44449</v>
      </c>
      <c r="B2289" s="783" t="s">
        <v>41</v>
      </c>
      <c r="C2289" s="783" t="s">
        <v>4139</v>
      </c>
      <c r="D2289" s="783" t="s">
        <v>4009</v>
      </c>
      <c r="E2289" s="783" t="s">
        <v>4495</v>
      </c>
      <c r="F2289" s="783" t="s">
        <v>4011</v>
      </c>
      <c r="G2289" s="783" t="str">
        <f t="shared" si="122"/>
        <v>Renewal (15% in 2020)</v>
      </c>
      <c r="H2289" s="783" t="s">
        <v>4496</v>
      </c>
      <c r="I2289" s="783" t="s">
        <v>4497</v>
      </c>
      <c r="J2289" s="783">
        <v>15</v>
      </c>
      <c r="K2289" s="783" t="s">
        <v>866</v>
      </c>
      <c r="L2289" s="783" t="s">
        <v>4014</v>
      </c>
      <c r="M2289" s="784">
        <v>9760.42</v>
      </c>
      <c r="N2289" s="784">
        <v>8.7899999999999991</v>
      </c>
      <c r="O2289" s="784">
        <v>6.94</v>
      </c>
      <c r="P2289" s="783">
        <v>160</v>
      </c>
      <c r="Q2289" s="783">
        <v>1006.3</v>
      </c>
      <c r="R2289" s="783">
        <v>453.86</v>
      </c>
      <c r="S2289" s="783">
        <v>74.180000000000007</v>
      </c>
      <c r="T2289" s="783">
        <v>478.26</v>
      </c>
      <c r="U2289" s="785">
        <v>44631.502824074101</v>
      </c>
    </row>
    <row r="2290" spans="1:21">
      <c r="A2290" s="782">
        <v>44495</v>
      </c>
      <c r="B2290" s="783" t="s">
        <v>41</v>
      </c>
      <c r="C2290" s="783" t="s">
        <v>4092</v>
      </c>
      <c r="D2290" s="783" t="s">
        <v>4009</v>
      </c>
      <c r="E2290" s="783" t="s">
        <v>4787</v>
      </c>
      <c r="F2290" s="783" t="s">
        <v>4011</v>
      </c>
      <c r="G2290" s="783" t="str">
        <f t="shared" si="122"/>
        <v>New Contract</v>
      </c>
      <c r="H2290" s="783" t="s">
        <v>4788</v>
      </c>
      <c r="I2290" s="783" t="s">
        <v>4789</v>
      </c>
      <c r="J2290" s="783">
        <v>25</v>
      </c>
      <c r="K2290" s="783" t="s">
        <v>866</v>
      </c>
      <c r="L2290" s="783" t="s">
        <v>4014</v>
      </c>
      <c r="M2290" s="784">
        <v>1948.2</v>
      </c>
      <c r="N2290" s="784">
        <v>2</v>
      </c>
      <c r="O2290" s="784">
        <v>5.73</v>
      </c>
      <c r="P2290" s="783">
        <v>170</v>
      </c>
      <c r="Q2290" s="783">
        <v>135.01</v>
      </c>
      <c r="R2290" s="783">
        <v>97.97</v>
      </c>
      <c r="S2290" s="783">
        <v>25.35</v>
      </c>
      <c r="T2290" s="783">
        <v>11.69</v>
      </c>
      <c r="U2290" s="785">
        <v>44631.506666666697</v>
      </c>
    </row>
    <row r="2291" spans="1:21">
      <c r="A2291" s="782">
        <v>44496</v>
      </c>
      <c r="B2291" s="783" t="s">
        <v>30</v>
      </c>
      <c r="C2291" s="783" t="s">
        <v>4089</v>
      </c>
      <c r="D2291" s="783" t="s">
        <v>4021</v>
      </c>
      <c r="E2291" s="783" t="s">
        <v>4793</v>
      </c>
      <c r="F2291" s="783" t="s">
        <v>4011</v>
      </c>
      <c r="G2291" s="783" t="str">
        <f t="shared" si="122"/>
        <v>Renewal (15% in 2020)</v>
      </c>
      <c r="H2291" s="783" t="s">
        <v>4794</v>
      </c>
      <c r="I2291" s="783" t="s">
        <v>4795</v>
      </c>
      <c r="J2291" s="783">
        <v>15</v>
      </c>
      <c r="K2291" s="783" t="s">
        <v>866</v>
      </c>
      <c r="L2291" s="783" t="s">
        <v>4014</v>
      </c>
      <c r="M2291" s="784">
        <v>49980</v>
      </c>
      <c r="N2291" s="784">
        <v>30</v>
      </c>
      <c r="O2291" s="784">
        <v>8.33</v>
      </c>
      <c r="P2291" s="783">
        <v>200</v>
      </c>
      <c r="Q2291" s="783">
        <v>6297.48</v>
      </c>
      <c r="R2291" s="783">
        <v>2450.2399999999998</v>
      </c>
      <c r="S2291" s="783">
        <v>1098.3399999999999</v>
      </c>
      <c r="T2291" s="783">
        <v>2748.9</v>
      </c>
      <c r="U2291" s="785">
        <v>44631.503113425897</v>
      </c>
    </row>
    <row r="2292" spans="1:21">
      <c r="A2292" s="782">
        <v>44409</v>
      </c>
      <c r="B2292" s="783" t="s">
        <v>113</v>
      </c>
      <c r="C2292" s="783" t="s">
        <v>4606</v>
      </c>
      <c r="D2292" s="783" t="s">
        <v>4009</v>
      </c>
      <c r="E2292" s="783" t="s">
        <v>6802</v>
      </c>
      <c r="F2292" s="783" t="s">
        <v>4011</v>
      </c>
      <c r="G2292" s="783" t="str">
        <f t="shared" si="122"/>
        <v>Renewal (30% in 2020)</v>
      </c>
      <c r="H2292" s="783" t="s">
        <v>6803</v>
      </c>
      <c r="I2292" s="783" t="s">
        <v>6804</v>
      </c>
      <c r="J2292" s="783">
        <v>30</v>
      </c>
      <c r="K2292" s="783" t="s">
        <v>866</v>
      </c>
      <c r="L2292" s="783" t="s">
        <v>4014</v>
      </c>
      <c r="M2292" s="784">
        <v>46346.7</v>
      </c>
      <c r="N2292" s="784">
        <v>32.869999999999997</v>
      </c>
      <c r="O2292" s="784">
        <v>11.75</v>
      </c>
      <c r="P2292" s="783">
        <v>120</v>
      </c>
      <c r="Q2292" s="783">
        <v>2484.1799999999998</v>
      </c>
      <c r="R2292" s="783">
        <v>1835.33</v>
      </c>
      <c r="S2292" s="783">
        <v>0</v>
      </c>
      <c r="T2292" s="783">
        <v>648.85</v>
      </c>
      <c r="U2292" s="785">
        <v>44631.505231481497</v>
      </c>
    </row>
    <row r="2293" spans="1:21">
      <c r="A2293" s="782">
        <v>44409</v>
      </c>
      <c r="B2293" s="783" t="s">
        <v>2866</v>
      </c>
      <c r="C2293" s="783" t="s">
        <v>4008</v>
      </c>
      <c r="D2293" s="783" t="s">
        <v>4009</v>
      </c>
      <c r="E2293" s="783" t="s">
        <v>4806</v>
      </c>
      <c r="F2293" s="783" t="s">
        <v>4011</v>
      </c>
      <c r="G2293" s="783" t="str">
        <f t="shared" si="122"/>
        <v>Renewal (15% in 2020)</v>
      </c>
      <c r="H2293" s="783" t="s">
        <v>4807</v>
      </c>
      <c r="I2293" s="783" t="s">
        <v>4808</v>
      </c>
      <c r="J2293" s="783">
        <v>15</v>
      </c>
      <c r="K2293" s="783" t="s">
        <v>866</v>
      </c>
      <c r="L2293" s="783" t="s">
        <v>4014</v>
      </c>
      <c r="M2293" s="784">
        <v>13712.19</v>
      </c>
      <c r="N2293" s="784">
        <v>10.11</v>
      </c>
      <c r="O2293" s="784">
        <v>8.2200000000000006</v>
      </c>
      <c r="P2293" s="783">
        <v>165</v>
      </c>
      <c r="Q2293" s="783">
        <v>1557.71</v>
      </c>
      <c r="R2293" s="783">
        <v>651.6</v>
      </c>
      <c r="S2293" s="783">
        <v>124.52</v>
      </c>
      <c r="T2293" s="783">
        <v>781.6</v>
      </c>
      <c r="U2293" s="785">
        <v>44631.504999999997</v>
      </c>
    </row>
    <row r="2294" spans="1:21">
      <c r="A2294" s="782">
        <v>44409</v>
      </c>
      <c r="B2294" s="783" t="s">
        <v>34</v>
      </c>
      <c r="C2294" s="783" t="s">
        <v>4071</v>
      </c>
      <c r="D2294" s="783" t="s">
        <v>4009</v>
      </c>
      <c r="E2294" s="783" t="s">
        <v>6805</v>
      </c>
      <c r="F2294" s="783" t="s">
        <v>4011</v>
      </c>
      <c r="G2294" s="783" t="str">
        <f t="shared" si="122"/>
        <v>Renewal (20% in 2020)</v>
      </c>
      <c r="H2294" s="783" t="s">
        <v>6806</v>
      </c>
      <c r="I2294" s="783" t="s">
        <v>6807</v>
      </c>
      <c r="J2294" s="783">
        <v>20</v>
      </c>
      <c r="K2294" s="783" t="s">
        <v>866</v>
      </c>
      <c r="L2294" s="783" t="s">
        <v>4014</v>
      </c>
      <c r="M2294" s="784">
        <v>23988.799999999999</v>
      </c>
      <c r="N2294" s="784">
        <v>29</v>
      </c>
      <c r="O2294" s="784">
        <v>5.17</v>
      </c>
      <c r="P2294" s="783">
        <v>160</v>
      </c>
      <c r="Q2294" s="783">
        <v>2451.66</v>
      </c>
      <c r="R2294" s="783">
        <v>1487.31</v>
      </c>
      <c r="S2294" s="783">
        <v>237.49</v>
      </c>
      <c r="T2294" s="783">
        <v>726.86</v>
      </c>
      <c r="U2294" s="785">
        <v>44631.507939814801</v>
      </c>
    </row>
    <row r="2295" spans="1:21">
      <c r="A2295" s="782">
        <v>44409</v>
      </c>
      <c r="B2295" s="783" t="s">
        <v>30</v>
      </c>
      <c r="C2295" s="783" t="s">
        <v>4089</v>
      </c>
      <c r="D2295" s="783" t="s">
        <v>4021</v>
      </c>
      <c r="E2295" s="783" t="s">
        <v>2560</v>
      </c>
      <c r="F2295" s="783" t="s">
        <v>4011</v>
      </c>
      <c r="G2295" s="783" t="str">
        <f t="shared" si="122"/>
        <v>Renewal (20% in 2020)</v>
      </c>
      <c r="H2295" s="783" t="s">
        <v>4809</v>
      </c>
      <c r="I2295" s="783" t="s">
        <v>4810</v>
      </c>
      <c r="J2295" s="783">
        <v>20</v>
      </c>
      <c r="K2295" s="783" t="s">
        <v>866</v>
      </c>
      <c r="L2295" s="783" t="s">
        <v>4014</v>
      </c>
      <c r="M2295" s="784">
        <v>26732.16</v>
      </c>
      <c r="N2295" s="784">
        <v>28.8</v>
      </c>
      <c r="O2295" s="784">
        <v>6.63</v>
      </c>
      <c r="P2295" s="783">
        <v>140</v>
      </c>
      <c r="Q2295" s="783">
        <v>2836.28</v>
      </c>
      <c r="R2295" s="783">
        <v>1627.99</v>
      </c>
      <c r="S2295" s="783">
        <v>269.99</v>
      </c>
      <c r="T2295" s="783">
        <v>938.3</v>
      </c>
      <c r="U2295" s="785">
        <v>44631.507592592599</v>
      </c>
    </row>
    <row r="2296" spans="1:21">
      <c r="A2296" s="782">
        <v>44409</v>
      </c>
      <c r="B2296" s="783" t="s">
        <v>113</v>
      </c>
      <c r="C2296" s="783" t="s">
        <v>4606</v>
      </c>
      <c r="D2296" s="783" t="s">
        <v>4009</v>
      </c>
      <c r="E2296" s="783" t="s">
        <v>2404</v>
      </c>
      <c r="F2296" s="783" t="s">
        <v>4011</v>
      </c>
      <c r="G2296" s="783" t="str">
        <f t="shared" si="122"/>
        <v>Renewal (15% in 2020)</v>
      </c>
      <c r="H2296" s="783" t="s">
        <v>6808</v>
      </c>
      <c r="I2296" s="783" t="s">
        <v>6809</v>
      </c>
      <c r="J2296" s="783">
        <v>15</v>
      </c>
      <c r="K2296" s="783" t="s">
        <v>866</v>
      </c>
      <c r="L2296" s="783" t="s">
        <v>4014</v>
      </c>
      <c r="M2296" s="784">
        <v>19143.900000000001</v>
      </c>
      <c r="N2296" s="784">
        <v>14.34</v>
      </c>
      <c r="O2296" s="784">
        <v>8.9</v>
      </c>
      <c r="P2296" s="783">
        <v>150</v>
      </c>
      <c r="Q2296" s="783">
        <v>1828.24</v>
      </c>
      <c r="R2296" s="783">
        <v>758.1</v>
      </c>
      <c r="S2296" s="783">
        <v>124.44</v>
      </c>
      <c r="T2296" s="783">
        <v>945.71</v>
      </c>
      <c r="U2296" s="785">
        <v>44631.504745370403</v>
      </c>
    </row>
    <row r="2297" spans="1:21">
      <c r="A2297" s="782">
        <v>44409</v>
      </c>
      <c r="B2297" s="783" t="s">
        <v>113</v>
      </c>
      <c r="C2297" s="783" t="s">
        <v>4606</v>
      </c>
      <c r="D2297" s="783" t="s">
        <v>4009</v>
      </c>
      <c r="E2297" s="783" t="s">
        <v>6810</v>
      </c>
      <c r="F2297" s="783" t="s">
        <v>4011</v>
      </c>
      <c r="G2297" s="783" t="str">
        <f t="shared" si="122"/>
        <v>Renewal (20% in 2020)</v>
      </c>
      <c r="H2297" s="783" t="s">
        <v>6811</v>
      </c>
      <c r="I2297" s="783" t="s">
        <v>6812</v>
      </c>
      <c r="J2297" s="783">
        <v>20</v>
      </c>
      <c r="K2297" s="783" t="s">
        <v>866</v>
      </c>
      <c r="L2297" s="783" t="s">
        <v>4014</v>
      </c>
      <c r="M2297" s="784">
        <v>18842.48</v>
      </c>
      <c r="N2297" s="784">
        <v>11.23</v>
      </c>
      <c r="O2297" s="784">
        <v>9.27</v>
      </c>
      <c r="P2297" s="783">
        <v>181</v>
      </c>
      <c r="Q2297" s="783">
        <v>1396.23</v>
      </c>
      <c r="R2297" s="783">
        <v>663.71</v>
      </c>
      <c r="S2297" s="783">
        <v>204.92</v>
      </c>
      <c r="T2297" s="783">
        <v>527.59</v>
      </c>
      <c r="U2297" s="785">
        <v>44631.507835648103</v>
      </c>
    </row>
    <row r="2298" spans="1:21">
      <c r="A2298" s="782">
        <v>44409</v>
      </c>
      <c r="B2298" s="783" t="s">
        <v>41</v>
      </c>
      <c r="C2298" s="783" t="s">
        <v>4082</v>
      </c>
      <c r="D2298" s="783" t="s">
        <v>4009</v>
      </c>
      <c r="E2298" s="783" t="s">
        <v>4814</v>
      </c>
      <c r="F2298" s="783" t="s">
        <v>4011</v>
      </c>
      <c r="G2298" s="783" t="str">
        <f t="shared" si="122"/>
        <v>Renewal (15% in 2020)</v>
      </c>
      <c r="H2298" s="783" t="s">
        <v>4815</v>
      </c>
      <c r="I2298" s="783" t="s">
        <v>4816</v>
      </c>
      <c r="J2298" s="783">
        <v>15</v>
      </c>
      <c r="K2298" s="783" t="s">
        <v>866</v>
      </c>
      <c r="L2298" s="783" t="s">
        <v>4014</v>
      </c>
      <c r="M2298" s="784">
        <v>8100</v>
      </c>
      <c r="N2298" s="784">
        <v>9</v>
      </c>
      <c r="O2298" s="784">
        <v>6</v>
      </c>
      <c r="P2298" s="783">
        <v>150</v>
      </c>
      <c r="Q2298" s="783">
        <v>851.31</v>
      </c>
      <c r="R2298" s="783">
        <v>374.22</v>
      </c>
      <c r="S2298" s="783">
        <v>70.47</v>
      </c>
      <c r="T2298" s="783">
        <v>406.62</v>
      </c>
      <c r="U2298" s="785">
        <v>44631.504641203697</v>
      </c>
    </row>
    <row r="2299" spans="1:21">
      <c r="A2299" s="782">
        <v>44418</v>
      </c>
      <c r="B2299" s="783" t="s">
        <v>41</v>
      </c>
      <c r="C2299" s="783" t="s">
        <v>4082</v>
      </c>
      <c r="D2299" s="783" t="s">
        <v>4009</v>
      </c>
      <c r="E2299" s="783" t="s">
        <v>509</v>
      </c>
      <c r="F2299" s="783" t="s">
        <v>4011</v>
      </c>
      <c r="G2299" s="783" t="str">
        <f t="shared" si="122"/>
        <v>Renewal (15% in 2020)</v>
      </c>
      <c r="H2299" s="783" t="s">
        <v>4498</v>
      </c>
      <c r="I2299" s="783" t="s">
        <v>4499</v>
      </c>
      <c r="J2299" s="783">
        <v>15</v>
      </c>
      <c r="K2299" s="783" t="s">
        <v>866</v>
      </c>
      <c r="L2299" s="783" t="s">
        <v>4014</v>
      </c>
      <c r="M2299" s="784">
        <v>24631.98</v>
      </c>
      <c r="N2299" s="784">
        <v>23.37</v>
      </c>
      <c r="O2299" s="784">
        <v>6.8</v>
      </c>
      <c r="P2299" s="783">
        <v>155</v>
      </c>
      <c r="Q2299" s="783">
        <v>2588.8200000000002</v>
      </c>
      <c r="R2299" s="783">
        <v>1138</v>
      </c>
      <c r="S2299" s="783">
        <v>214.3</v>
      </c>
      <c r="T2299" s="783">
        <v>1236.53</v>
      </c>
      <c r="U2299" s="785">
        <v>44631.503194444398</v>
      </c>
    </row>
    <row r="2300" spans="1:21">
      <c r="A2300" s="782">
        <v>44409</v>
      </c>
      <c r="B2300" s="783" t="s">
        <v>30</v>
      </c>
      <c r="C2300" s="783" t="s">
        <v>4239</v>
      </c>
      <c r="D2300" s="783" t="s">
        <v>4021</v>
      </c>
      <c r="E2300" s="783" t="s">
        <v>6813</v>
      </c>
      <c r="F2300" s="783" t="s">
        <v>4011</v>
      </c>
      <c r="G2300" s="783" t="str">
        <f t="shared" si="122"/>
        <v>Renewal (15% in 2020)</v>
      </c>
      <c r="H2300" s="783" t="s">
        <v>6814</v>
      </c>
      <c r="I2300" s="783" t="s">
        <v>6815</v>
      </c>
      <c r="J2300" s="783">
        <v>15</v>
      </c>
      <c r="K2300" s="783" t="s">
        <v>866</v>
      </c>
      <c r="L2300" s="783" t="s">
        <v>4014</v>
      </c>
      <c r="M2300" s="784">
        <v>12160.5</v>
      </c>
      <c r="N2300" s="784">
        <v>11</v>
      </c>
      <c r="O2300" s="784">
        <v>7.37</v>
      </c>
      <c r="P2300" s="783">
        <v>150</v>
      </c>
      <c r="Q2300" s="783">
        <v>1106.6099999999999</v>
      </c>
      <c r="R2300" s="783">
        <v>462.1</v>
      </c>
      <c r="S2300" s="783">
        <v>102.15</v>
      </c>
      <c r="T2300" s="783">
        <v>542.36</v>
      </c>
      <c r="U2300" s="785">
        <v>44631.504131944399</v>
      </c>
    </row>
    <row r="2301" spans="1:21">
      <c r="A2301" s="782">
        <v>44409</v>
      </c>
      <c r="B2301" s="783" t="s">
        <v>30</v>
      </c>
      <c r="C2301" s="783" t="s">
        <v>4939</v>
      </c>
      <c r="D2301" s="783" t="s">
        <v>4021</v>
      </c>
      <c r="E2301" s="783" t="s">
        <v>6813</v>
      </c>
      <c r="F2301" s="783" t="s">
        <v>4011</v>
      </c>
      <c r="G2301" s="783" t="str">
        <f t="shared" si="122"/>
        <v>Renewal (15% in 2020)</v>
      </c>
      <c r="H2301" s="783" t="s">
        <v>6814</v>
      </c>
      <c r="I2301" s="783" t="s">
        <v>6815</v>
      </c>
      <c r="J2301" s="783">
        <v>15</v>
      </c>
      <c r="K2301" s="783" t="s">
        <v>866</v>
      </c>
      <c r="L2301" s="783" t="s">
        <v>4014</v>
      </c>
      <c r="M2301" s="784">
        <v>18793.5</v>
      </c>
      <c r="N2301" s="784">
        <v>17</v>
      </c>
      <c r="O2301" s="784">
        <v>7.37</v>
      </c>
      <c r="P2301" s="783">
        <v>150</v>
      </c>
      <c r="Q2301" s="783">
        <v>2324.7600000000002</v>
      </c>
      <c r="R2301" s="783">
        <v>988.54</v>
      </c>
      <c r="S2301" s="783">
        <v>212.37</v>
      </c>
      <c r="T2301" s="783">
        <v>1123.8499999999999</v>
      </c>
      <c r="U2301" s="785">
        <v>44631.504131944399</v>
      </c>
    </row>
    <row r="2302" spans="1:21">
      <c r="A2302" s="782">
        <v>44409</v>
      </c>
      <c r="B2302" s="783" t="s">
        <v>113</v>
      </c>
      <c r="C2302" s="783" t="s">
        <v>4606</v>
      </c>
      <c r="D2302" s="783" t="s">
        <v>4009</v>
      </c>
      <c r="E2302" s="783" t="s">
        <v>6690</v>
      </c>
      <c r="F2302" s="783" t="s">
        <v>4011</v>
      </c>
      <c r="G2302" s="783" t="str">
        <f t="shared" si="122"/>
        <v>Renewal (30% in 2020)</v>
      </c>
      <c r="H2302" s="783" t="s">
        <v>6691</v>
      </c>
      <c r="I2302" s="783" t="s">
        <v>6692</v>
      </c>
      <c r="J2302" s="783">
        <v>30</v>
      </c>
      <c r="K2302" s="783" t="s">
        <v>866</v>
      </c>
      <c r="L2302" s="783" t="s">
        <v>4014</v>
      </c>
      <c r="M2302" s="784">
        <v>24947.01</v>
      </c>
      <c r="N2302" s="784">
        <v>13.64</v>
      </c>
      <c r="O2302" s="784">
        <v>11.36</v>
      </c>
      <c r="P2302" s="783">
        <v>161</v>
      </c>
      <c r="Q2302" s="783">
        <v>1337.16</v>
      </c>
      <c r="R2302" s="783">
        <v>987.9</v>
      </c>
      <c r="S2302" s="783">
        <v>0</v>
      </c>
      <c r="T2302" s="783">
        <v>349.26</v>
      </c>
      <c r="U2302" s="785">
        <v>44631.510300925896</v>
      </c>
    </row>
    <row r="2303" spans="1:21">
      <c r="A2303" s="782">
        <v>44409</v>
      </c>
      <c r="B2303" s="783" t="s">
        <v>41</v>
      </c>
      <c r="C2303" s="783" t="s">
        <v>4008</v>
      </c>
      <c r="D2303" s="783" t="s">
        <v>4009</v>
      </c>
      <c r="E2303" s="783" t="s">
        <v>4503</v>
      </c>
      <c r="F2303" s="783" t="s">
        <v>4011</v>
      </c>
      <c r="G2303" s="783" t="str">
        <f t="shared" si="122"/>
        <v>Renewal (20% in 2020)</v>
      </c>
      <c r="H2303" s="783" t="s">
        <v>4504</v>
      </c>
      <c r="I2303" s="783" t="s">
        <v>4505</v>
      </c>
      <c r="J2303" s="783">
        <v>20</v>
      </c>
      <c r="K2303" s="783" t="s">
        <v>866</v>
      </c>
      <c r="L2303" s="783" t="s">
        <v>4014</v>
      </c>
      <c r="M2303" s="784">
        <v>3879.65</v>
      </c>
      <c r="N2303" s="784">
        <v>5.16</v>
      </c>
      <c r="O2303" s="784">
        <v>4.67</v>
      </c>
      <c r="P2303" s="783">
        <v>161</v>
      </c>
      <c r="Q2303" s="783">
        <v>332.87</v>
      </c>
      <c r="R2303" s="783">
        <v>188.94</v>
      </c>
      <c r="S2303" s="783">
        <v>30.65</v>
      </c>
      <c r="T2303" s="783">
        <v>113.29</v>
      </c>
      <c r="U2303" s="785">
        <v>44631.505231481497</v>
      </c>
    </row>
    <row r="2304" spans="1:21">
      <c r="A2304" s="782">
        <v>44409</v>
      </c>
      <c r="B2304" s="783" t="s">
        <v>34</v>
      </c>
      <c r="C2304" s="783" t="s">
        <v>4082</v>
      </c>
      <c r="D2304" s="783" t="s">
        <v>4009</v>
      </c>
      <c r="E2304" s="783" t="s">
        <v>2979</v>
      </c>
      <c r="F2304" s="783" t="s">
        <v>4011</v>
      </c>
      <c r="G2304" s="783" t="str">
        <f t="shared" si="122"/>
        <v>Renewal (15% in 2020)</v>
      </c>
      <c r="H2304" s="783" t="s">
        <v>4829</v>
      </c>
      <c r="I2304" s="783" t="s">
        <v>4830</v>
      </c>
      <c r="J2304" s="783">
        <v>15</v>
      </c>
      <c r="K2304" s="783" t="s">
        <v>866</v>
      </c>
      <c r="L2304" s="783" t="s">
        <v>4014</v>
      </c>
      <c r="M2304" s="784">
        <v>3394.02</v>
      </c>
      <c r="N2304" s="784">
        <v>5.44</v>
      </c>
      <c r="O2304" s="784">
        <v>3.67</v>
      </c>
      <c r="P2304" s="783">
        <v>170</v>
      </c>
      <c r="Q2304" s="783">
        <v>356.71</v>
      </c>
      <c r="R2304" s="783">
        <v>148.5</v>
      </c>
      <c r="S2304" s="783">
        <v>37.83</v>
      </c>
      <c r="T2304" s="783">
        <v>170.38</v>
      </c>
      <c r="U2304" s="785">
        <v>44631.511331018497</v>
      </c>
    </row>
    <row r="2305" spans="1:21">
      <c r="A2305" s="782">
        <v>44409</v>
      </c>
      <c r="B2305" s="783" t="s">
        <v>113</v>
      </c>
      <c r="C2305" s="783" t="s">
        <v>4606</v>
      </c>
      <c r="D2305" s="783" t="s">
        <v>4009</v>
      </c>
      <c r="E2305" s="783" t="s">
        <v>6816</v>
      </c>
      <c r="F2305" s="783" t="s">
        <v>4011</v>
      </c>
      <c r="G2305" s="783" t="str">
        <f t="shared" si="122"/>
        <v>Renewal (15% in 2020)</v>
      </c>
      <c r="H2305" s="783" t="s">
        <v>6817</v>
      </c>
      <c r="I2305" s="783" t="s">
        <v>6818</v>
      </c>
      <c r="J2305" s="783">
        <v>15</v>
      </c>
      <c r="K2305" s="783" t="s">
        <v>866</v>
      </c>
      <c r="L2305" s="783" t="s">
        <v>4014</v>
      </c>
      <c r="M2305" s="784">
        <v>2586.13</v>
      </c>
      <c r="N2305" s="784">
        <v>1.25</v>
      </c>
      <c r="O2305" s="784">
        <v>12.17</v>
      </c>
      <c r="P2305" s="783">
        <v>170</v>
      </c>
      <c r="Q2305" s="783">
        <v>246.97</v>
      </c>
      <c r="R2305" s="783">
        <v>96.99</v>
      </c>
      <c r="S2305" s="783">
        <v>22.23</v>
      </c>
      <c r="T2305" s="783">
        <v>127.75</v>
      </c>
      <c r="U2305" s="785">
        <v>44631.504664351902</v>
      </c>
    </row>
    <row r="2306" spans="1:21">
      <c r="A2306" s="782">
        <v>44409</v>
      </c>
      <c r="B2306" s="783" t="s">
        <v>113</v>
      </c>
      <c r="C2306" s="783" t="s">
        <v>4606</v>
      </c>
      <c r="D2306" s="783" t="s">
        <v>4009</v>
      </c>
      <c r="E2306" s="783" t="s">
        <v>6819</v>
      </c>
      <c r="F2306" s="783" t="s">
        <v>4011</v>
      </c>
      <c r="G2306" s="783" t="str">
        <f t="shared" si="122"/>
        <v>Renewal (20% in 2020)</v>
      </c>
      <c r="H2306" s="783" t="s">
        <v>6820</v>
      </c>
      <c r="I2306" s="783" t="s">
        <v>6821</v>
      </c>
      <c r="J2306" s="783">
        <v>20</v>
      </c>
      <c r="K2306" s="783" t="s">
        <v>866</v>
      </c>
      <c r="L2306" s="783" t="s">
        <v>4014</v>
      </c>
      <c r="M2306" s="784">
        <v>19512</v>
      </c>
      <c r="N2306" s="784">
        <v>10.84</v>
      </c>
      <c r="O2306" s="784">
        <v>10</v>
      </c>
      <c r="P2306" s="783">
        <v>180</v>
      </c>
      <c r="Q2306" s="783">
        <v>1445.84</v>
      </c>
      <c r="R2306" s="783">
        <v>691.12</v>
      </c>
      <c r="S2306" s="783">
        <v>208.39</v>
      </c>
      <c r="T2306" s="783">
        <v>546.34</v>
      </c>
      <c r="U2306" s="785">
        <v>44631.508159722202</v>
      </c>
    </row>
    <row r="2307" spans="1:21">
      <c r="A2307" s="782">
        <v>44409</v>
      </c>
      <c r="B2307" s="783" t="s">
        <v>113</v>
      </c>
      <c r="C2307" s="783" t="s">
        <v>4598</v>
      </c>
      <c r="D2307" s="783" t="s">
        <v>4009</v>
      </c>
      <c r="E2307" s="783" t="s">
        <v>6822</v>
      </c>
      <c r="F2307" s="783" t="s">
        <v>4011</v>
      </c>
      <c r="G2307" s="783" t="str">
        <f t="shared" si="122"/>
        <v>Renewal (15% in 2020)</v>
      </c>
      <c r="H2307" s="783" t="s">
        <v>6823</v>
      </c>
      <c r="I2307" s="783" t="s">
        <v>6824</v>
      </c>
      <c r="J2307" s="783">
        <v>15</v>
      </c>
      <c r="K2307" s="783" t="s">
        <v>866</v>
      </c>
      <c r="L2307" s="783" t="s">
        <v>4014</v>
      </c>
      <c r="M2307" s="784">
        <v>23778.29</v>
      </c>
      <c r="N2307" s="784">
        <v>13.89</v>
      </c>
      <c r="O2307" s="784">
        <v>10.07</v>
      </c>
      <c r="P2307" s="783">
        <v>170</v>
      </c>
      <c r="Q2307" s="783">
        <v>2256.56</v>
      </c>
      <c r="R2307" s="783">
        <v>837.72</v>
      </c>
      <c r="S2307" s="783">
        <v>270.35000000000002</v>
      </c>
      <c r="T2307" s="783">
        <v>1148.49</v>
      </c>
      <c r="U2307" s="785">
        <v>44631.508414351898</v>
      </c>
    </row>
    <row r="2308" spans="1:21">
      <c r="A2308" s="782">
        <v>44409</v>
      </c>
      <c r="B2308" s="783" t="s">
        <v>74</v>
      </c>
      <c r="C2308" s="783" t="s">
        <v>6308</v>
      </c>
      <c r="D2308" s="783" t="s">
        <v>4038</v>
      </c>
      <c r="E2308" s="783" t="s">
        <v>6695</v>
      </c>
      <c r="F2308" s="783" t="s">
        <v>4011</v>
      </c>
      <c r="G2308" s="783" t="str">
        <f t="shared" si="122"/>
        <v>Renewal (15% in 2020)</v>
      </c>
      <c r="H2308" s="783" t="s">
        <v>6696</v>
      </c>
      <c r="I2308" s="783" t="s">
        <v>6697</v>
      </c>
      <c r="J2308" s="783">
        <v>15</v>
      </c>
      <c r="K2308" s="783" t="s">
        <v>866</v>
      </c>
      <c r="L2308" s="783" t="s">
        <v>4014</v>
      </c>
      <c r="M2308" s="784">
        <v>8960</v>
      </c>
      <c r="N2308" s="784">
        <v>8</v>
      </c>
      <c r="O2308" s="784">
        <v>8</v>
      </c>
      <c r="P2308" s="783">
        <v>140</v>
      </c>
      <c r="Q2308" s="783">
        <v>1045.6300000000001</v>
      </c>
      <c r="R2308" s="783">
        <v>428.29</v>
      </c>
      <c r="S2308" s="783">
        <v>70.78</v>
      </c>
      <c r="T2308" s="783">
        <v>546.55999999999995</v>
      </c>
      <c r="U2308" s="785">
        <v>44631.506817129601</v>
      </c>
    </row>
    <row r="2309" spans="1:21">
      <c r="A2309" s="782">
        <v>44409</v>
      </c>
      <c r="B2309" s="783" t="s">
        <v>397</v>
      </c>
      <c r="C2309" s="783" t="s">
        <v>4511</v>
      </c>
      <c r="D2309" s="783" t="s">
        <v>4512</v>
      </c>
      <c r="E2309" s="783"/>
      <c r="F2309" s="783" t="s">
        <v>4011</v>
      </c>
      <c r="G2309" s="783" t="str">
        <f t="shared" si="122"/>
        <v>Renewal (20% in 2020)</v>
      </c>
      <c r="H2309" s="783" t="s">
        <v>4513</v>
      </c>
      <c r="I2309" s="783" t="s">
        <v>4514</v>
      </c>
      <c r="J2309" s="783">
        <v>20</v>
      </c>
      <c r="K2309" s="783" t="s">
        <v>866</v>
      </c>
      <c r="L2309" s="783" t="s">
        <v>4014</v>
      </c>
      <c r="M2309" s="784">
        <v>64896.84</v>
      </c>
      <c r="N2309" s="784">
        <v>57.91</v>
      </c>
      <c r="O2309" s="784">
        <v>7.23</v>
      </c>
      <c r="P2309" s="783">
        <v>155</v>
      </c>
      <c r="Q2309" s="783">
        <v>5191.75</v>
      </c>
      <c r="R2309" s="783">
        <v>2803.54</v>
      </c>
      <c r="S2309" s="783">
        <v>674.93</v>
      </c>
      <c r="T2309" s="783">
        <v>1713.28</v>
      </c>
      <c r="U2309" s="785">
        <v>44631.504224536999</v>
      </c>
    </row>
    <row r="2310" spans="1:21">
      <c r="A2310" s="782">
        <v>44409</v>
      </c>
      <c r="B2310" s="783" t="s">
        <v>113</v>
      </c>
      <c r="C2310" s="783" t="s">
        <v>4606</v>
      </c>
      <c r="D2310" s="783" t="s">
        <v>4009</v>
      </c>
      <c r="E2310" s="783" t="s">
        <v>6675</v>
      </c>
      <c r="F2310" s="783" t="s">
        <v>4011</v>
      </c>
      <c r="G2310" s="783" t="str">
        <f t="shared" si="122"/>
        <v>Renewal (15% in 2020)</v>
      </c>
      <c r="H2310" s="783" t="s">
        <v>6676</v>
      </c>
      <c r="I2310" s="783" t="s">
        <v>6677</v>
      </c>
      <c r="J2310" s="783">
        <v>15</v>
      </c>
      <c r="K2310" s="783" t="s">
        <v>866</v>
      </c>
      <c r="L2310" s="783" t="s">
        <v>4014</v>
      </c>
      <c r="M2310" s="784">
        <v>22183.5</v>
      </c>
      <c r="N2310" s="784">
        <v>12.86</v>
      </c>
      <c r="O2310" s="784">
        <v>11.5</v>
      </c>
      <c r="P2310" s="783">
        <v>150</v>
      </c>
      <c r="Q2310" s="783">
        <v>2118.52</v>
      </c>
      <c r="R2310" s="783">
        <v>878.47</v>
      </c>
      <c r="S2310" s="783">
        <v>144.19</v>
      </c>
      <c r="T2310" s="783">
        <v>1095.8599999999999</v>
      </c>
      <c r="U2310" s="785">
        <v>44631.505092592597</v>
      </c>
    </row>
    <row r="2311" spans="1:21">
      <c r="A2311" s="782">
        <v>44409</v>
      </c>
      <c r="B2311" s="783" t="s">
        <v>228</v>
      </c>
      <c r="C2311" s="783" t="s">
        <v>4675</v>
      </c>
      <c r="D2311" s="783" t="s">
        <v>4193</v>
      </c>
      <c r="E2311" s="783" t="s">
        <v>4844</v>
      </c>
      <c r="F2311" s="783" t="s">
        <v>4011</v>
      </c>
      <c r="G2311" s="783" t="str">
        <f t="shared" si="122"/>
        <v>Renewal (20% in 2020)</v>
      </c>
      <c r="H2311" s="783" t="s">
        <v>4845</v>
      </c>
      <c r="I2311" s="783" t="s">
        <v>4846</v>
      </c>
      <c r="J2311" s="783">
        <v>20</v>
      </c>
      <c r="K2311" s="783" t="s">
        <v>866</v>
      </c>
      <c r="L2311" s="783" t="s">
        <v>4014</v>
      </c>
      <c r="M2311" s="784">
        <v>14960</v>
      </c>
      <c r="N2311" s="784">
        <v>17</v>
      </c>
      <c r="O2311" s="784">
        <v>5.5</v>
      </c>
      <c r="P2311" s="783">
        <v>160</v>
      </c>
      <c r="Q2311" s="783">
        <v>1328.45</v>
      </c>
      <c r="R2311" s="783">
        <v>764.46</v>
      </c>
      <c r="S2311" s="783">
        <v>124.17</v>
      </c>
      <c r="T2311" s="783">
        <v>439.82</v>
      </c>
      <c r="U2311" s="785">
        <v>44631.507291666698</v>
      </c>
    </row>
    <row r="2312" spans="1:21">
      <c r="A2312" s="782">
        <v>44497</v>
      </c>
      <c r="B2312" s="783" t="s">
        <v>41</v>
      </c>
      <c r="C2312" s="783" t="s">
        <v>4092</v>
      </c>
      <c r="D2312" s="783" t="s">
        <v>4009</v>
      </c>
      <c r="E2312" s="783" t="s">
        <v>4854</v>
      </c>
      <c r="F2312" s="783" t="s">
        <v>4011</v>
      </c>
      <c r="G2312" s="783" t="str">
        <f t="shared" si="122"/>
        <v>Renewal (25% in 2020)</v>
      </c>
      <c r="H2312" s="783" t="s">
        <v>4855</v>
      </c>
      <c r="I2312" s="783" t="s">
        <v>4856</v>
      </c>
      <c r="J2312" s="783">
        <v>25</v>
      </c>
      <c r="K2312" s="783" t="s">
        <v>866</v>
      </c>
      <c r="L2312" s="783" t="s">
        <v>4014</v>
      </c>
      <c r="M2312" s="784">
        <v>4769.82</v>
      </c>
      <c r="N2312" s="784">
        <v>3.02</v>
      </c>
      <c r="O2312" s="784">
        <v>9.81</v>
      </c>
      <c r="P2312" s="783">
        <v>161</v>
      </c>
      <c r="Q2312" s="783">
        <v>330.55</v>
      </c>
      <c r="R2312" s="783">
        <v>253.28</v>
      </c>
      <c r="S2312" s="783">
        <v>48.65</v>
      </c>
      <c r="T2312" s="783">
        <v>28.62</v>
      </c>
      <c r="U2312" s="785">
        <v>44631.509629629603</v>
      </c>
    </row>
    <row r="2313" spans="1:21">
      <c r="A2313" s="782">
        <v>44554</v>
      </c>
      <c r="B2313" s="783" t="s">
        <v>74</v>
      </c>
      <c r="C2313" s="783" t="s">
        <v>4097</v>
      </c>
      <c r="D2313" s="783" t="s">
        <v>4038</v>
      </c>
      <c r="E2313" s="783" t="s">
        <v>4859</v>
      </c>
      <c r="F2313" s="783" t="s">
        <v>4011</v>
      </c>
      <c r="G2313" s="783" t="str">
        <f t="shared" si="122"/>
        <v>New contract</v>
      </c>
      <c r="H2313" s="783" t="s">
        <v>4860</v>
      </c>
      <c r="I2313" s="783" t="s">
        <v>4861</v>
      </c>
      <c r="J2313" s="783">
        <v>20</v>
      </c>
      <c r="K2313" s="783" t="s">
        <v>866</v>
      </c>
      <c r="L2313" s="783" t="s">
        <v>4014</v>
      </c>
      <c r="M2313" s="784">
        <v>5834.4</v>
      </c>
      <c r="N2313" s="784">
        <v>5.2</v>
      </c>
      <c r="O2313" s="784">
        <v>5.61</v>
      </c>
      <c r="P2313" s="783">
        <v>200</v>
      </c>
      <c r="Q2313" s="783">
        <v>472.59</v>
      </c>
      <c r="R2313" s="783">
        <v>214.64</v>
      </c>
      <c r="S2313" s="783">
        <v>95.75</v>
      </c>
      <c r="T2313" s="783">
        <v>162.19999999999999</v>
      </c>
      <c r="U2313" s="785">
        <v>44631.506562499999</v>
      </c>
    </row>
    <row r="2314" spans="1:21">
      <c r="A2314" s="782">
        <v>44650</v>
      </c>
      <c r="B2314" s="783" t="s">
        <v>113</v>
      </c>
      <c r="C2314" s="783" t="s">
        <v>4606</v>
      </c>
      <c r="D2314" s="783" t="s">
        <v>4009</v>
      </c>
      <c r="E2314" s="783" t="s">
        <v>3271</v>
      </c>
      <c r="F2314" s="783" t="s">
        <v>4011</v>
      </c>
      <c r="G2314" s="783" t="str">
        <f t="shared" si="122"/>
        <v>Renewal (25% in 2020)</v>
      </c>
      <c r="H2314" s="783" t="s">
        <v>4871</v>
      </c>
      <c r="I2314" s="783" t="s">
        <v>4872</v>
      </c>
      <c r="J2314" s="783">
        <v>25</v>
      </c>
      <c r="K2314" s="783" t="s">
        <v>866</v>
      </c>
      <c r="L2314" s="783" t="s">
        <v>4014</v>
      </c>
      <c r="M2314" s="784">
        <v>95054.399999999994</v>
      </c>
      <c r="N2314" s="784">
        <v>56</v>
      </c>
      <c r="O2314" s="784">
        <v>9.43</v>
      </c>
      <c r="P2314" s="783">
        <v>180</v>
      </c>
      <c r="Q2314" s="783">
        <v>5684.25</v>
      </c>
      <c r="R2314" s="783">
        <v>3366.83</v>
      </c>
      <c r="S2314" s="783">
        <v>1015.18</v>
      </c>
      <c r="T2314" s="783">
        <v>1302.25</v>
      </c>
      <c r="U2314" s="785">
        <v>44652.396921296298</v>
      </c>
    </row>
    <row r="2315" spans="1:21">
      <c r="A2315" s="782">
        <v>44427</v>
      </c>
      <c r="B2315" s="783" t="s">
        <v>41</v>
      </c>
      <c r="C2315" s="783" t="s">
        <v>4082</v>
      </c>
      <c r="D2315" s="783" t="s">
        <v>4009</v>
      </c>
      <c r="E2315" s="783" t="s">
        <v>4518</v>
      </c>
      <c r="F2315" s="783" t="s">
        <v>4011</v>
      </c>
      <c r="G2315" s="783" t="str">
        <f t="shared" si="122"/>
        <v>Renewal (25% in 2020)</v>
      </c>
      <c r="H2315" s="783" t="s">
        <v>4519</v>
      </c>
      <c r="I2315" s="783" t="s">
        <v>4520</v>
      </c>
      <c r="J2315" s="783">
        <v>25</v>
      </c>
      <c r="K2315" s="783" t="s">
        <v>866</v>
      </c>
      <c r="L2315" s="783" t="s">
        <v>4014</v>
      </c>
      <c r="M2315" s="784">
        <v>12117</v>
      </c>
      <c r="N2315" s="784">
        <v>14</v>
      </c>
      <c r="O2315" s="784">
        <v>5.77</v>
      </c>
      <c r="P2315" s="783">
        <v>150</v>
      </c>
      <c r="Q2315" s="783">
        <v>728.23</v>
      </c>
      <c r="R2315" s="783">
        <v>559.80999999999995</v>
      </c>
      <c r="S2315" s="783">
        <v>105.42</v>
      </c>
      <c r="T2315" s="783">
        <v>63.01</v>
      </c>
      <c r="U2315" s="785">
        <v>44631.512187499997</v>
      </c>
    </row>
    <row r="2316" spans="1:21">
      <c r="A2316" s="782">
        <v>44435</v>
      </c>
      <c r="B2316" s="783" t="s">
        <v>41</v>
      </c>
      <c r="C2316" s="783" t="s">
        <v>4082</v>
      </c>
      <c r="D2316" s="783" t="s">
        <v>4009</v>
      </c>
      <c r="E2316" s="783" t="s">
        <v>1290</v>
      </c>
      <c r="F2316" s="783" t="s">
        <v>4011</v>
      </c>
      <c r="G2316" s="783" t="str">
        <f t="shared" ref="G2316:G2346" si="123">VLOOKUP(I2316,pacage,2,FALSE)</f>
        <v>Renewal (20% in 2020)</v>
      </c>
      <c r="H2316" s="783" t="s">
        <v>4521</v>
      </c>
      <c r="I2316" s="783" t="s">
        <v>4522</v>
      </c>
      <c r="J2316" s="783">
        <v>20</v>
      </c>
      <c r="K2316" s="783" t="s">
        <v>866</v>
      </c>
      <c r="L2316" s="783" t="s">
        <v>4014</v>
      </c>
      <c r="M2316" s="784">
        <v>5880</v>
      </c>
      <c r="N2316" s="784">
        <v>6</v>
      </c>
      <c r="O2316" s="784">
        <v>7</v>
      </c>
      <c r="P2316" s="783">
        <v>140</v>
      </c>
      <c r="Q2316" s="783">
        <v>460.4</v>
      </c>
      <c r="R2316" s="783">
        <v>271.66000000000003</v>
      </c>
      <c r="S2316" s="783">
        <v>51.16</v>
      </c>
      <c r="T2316" s="783">
        <v>137.59</v>
      </c>
      <c r="U2316" s="785">
        <v>44631.512025463002</v>
      </c>
    </row>
    <row r="2317" spans="1:21">
      <c r="A2317" s="782">
        <v>44435</v>
      </c>
      <c r="B2317" s="783" t="s">
        <v>41</v>
      </c>
      <c r="C2317" s="783" t="s">
        <v>5313</v>
      </c>
      <c r="D2317" s="783" t="s">
        <v>4009</v>
      </c>
      <c r="E2317" s="783" t="s">
        <v>1290</v>
      </c>
      <c r="F2317" s="783" t="s">
        <v>4011</v>
      </c>
      <c r="G2317" s="783" t="str">
        <f t="shared" si="123"/>
        <v>Renewal (20% in 2020)</v>
      </c>
      <c r="H2317" s="783" t="s">
        <v>4521</v>
      </c>
      <c r="I2317" s="783" t="s">
        <v>4522</v>
      </c>
      <c r="J2317" s="783">
        <v>20</v>
      </c>
      <c r="K2317" s="783" t="s">
        <v>866</v>
      </c>
      <c r="L2317" s="783" t="s">
        <v>4014</v>
      </c>
      <c r="M2317" s="784">
        <v>21560</v>
      </c>
      <c r="N2317" s="784">
        <v>22</v>
      </c>
      <c r="O2317" s="784">
        <v>7</v>
      </c>
      <c r="P2317" s="783">
        <v>140</v>
      </c>
      <c r="Q2317" s="783">
        <v>1657.96</v>
      </c>
      <c r="R2317" s="783">
        <v>957.26</v>
      </c>
      <c r="S2317" s="783">
        <v>155.22999999999999</v>
      </c>
      <c r="T2317" s="783">
        <v>545.47</v>
      </c>
      <c r="U2317" s="785">
        <v>44631.512025463002</v>
      </c>
    </row>
    <row r="2318" spans="1:21">
      <c r="A2318" s="782">
        <v>44572</v>
      </c>
      <c r="B2318" s="783" t="s">
        <v>177</v>
      </c>
      <c r="C2318" s="783" t="s">
        <v>4274</v>
      </c>
      <c r="D2318" s="783" t="s">
        <v>4038</v>
      </c>
      <c r="E2318" s="783" t="s">
        <v>4275</v>
      </c>
      <c r="F2318" s="783" t="s">
        <v>4011</v>
      </c>
      <c r="G2318" s="783" t="str">
        <f t="shared" si="123"/>
        <v>Renewal (20% in 2020)</v>
      </c>
      <c r="H2318" s="783" t="s">
        <v>4276</v>
      </c>
      <c r="I2318" s="783" t="s">
        <v>4277</v>
      </c>
      <c r="J2318" s="783">
        <v>20</v>
      </c>
      <c r="K2318" s="783" t="s">
        <v>866</v>
      </c>
      <c r="L2318" s="783" t="s">
        <v>4014</v>
      </c>
      <c r="M2318" s="784">
        <v>5697</v>
      </c>
      <c r="N2318" s="784">
        <v>6</v>
      </c>
      <c r="O2318" s="784">
        <v>6.33</v>
      </c>
      <c r="P2318" s="783">
        <v>150</v>
      </c>
      <c r="Q2318" s="783">
        <v>566.28</v>
      </c>
      <c r="R2318" s="783">
        <v>316.75</v>
      </c>
      <c r="S2318" s="783">
        <v>7.98</v>
      </c>
      <c r="T2318" s="783">
        <v>241.55</v>
      </c>
      <c r="U2318" s="785">
        <v>44631.512395833299</v>
      </c>
    </row>
    <row r="2319" spans="1:21">
      <c r="A2319" s="782">
        <v>44574</v>
      </c>
      <c r="B2319" s="783" t="s">
        <v>41</v>
      </c>
      <c r="C2319" s="783" t="s">
        <v>4082</v>
      </c>
      <c r="D2319" s="783" t="s">
        <v>4009</v>
      </c>
      <c r="E2319" s="783" t="s">
        <v>3825</v>
      </c>
      <c r="F2319" s="783" t="s">
        <v>4011</v>
      </c>
      <c r="G2319" s="783" t="str">
        <f t="shared" si="123"/>
        <v>Renewal (15% in 2020)</v>
      </c>
      <c r="H2319" s="783" t="s">
        <v>4879</v>
      </c>
      <c r="I2319" s="783" t="s">
        <v>4880</v>
      </c>
      <c r="J2319" s="783">
        <v>15</v>
      </c>
      <c r="K2319" s="783" t="s">
        <v>866</v>
      </c>
      <c r="L2319" s="783" t="s">
        <v>4014</v>
      </c>
      <c r="M2319" s="784">
        <v>5013.96</v>
      </c>
      <c r="N2319" s="784">
        <v>6.58</v>
      </c>
      <c r="O2319" s="784">
        <v>5.08</v>
      </c>
      <c r="P2319" s="783">
        <v>150</v>
      </c>
      <c r="Q2319" s="783">
        <v>526.97</v>
      </c>
      <c r="R2319" s="783">
        <v>231.64</v>
      </c>
      <c r="S2319" s="783">
        <v>43.62</v>
      </c>
      <c r="T2319" s="783">
        <v>251.7</v>
      </c>
      <c r="U2319" s="785">
        <v>44701.658900463</v>
      </c>
    </row>
    <row r="2320" spans="1:21">
      <c r="A2320" s="782">
        <v>44690</v>
      </c>
      <c r="B2320" s="783" t="s">
        <v>113</v>
      </c>
      <c r="C2320" s="783" t="s">
        <v>4606</v>
      </c>
      <c r="D2320" s="783" t="s">
        <v>4009</v>
      </c>
      <c r="E2320" s="783" t="s">
        <v>6825</v>
      </c>
      <c r="F2320" s="783" t="s">
        <v>4011</v>
      </c>
      <c r="G2320" s="783" t="str">
        <f t="shared" si="123"/>
        <v>Renewal (20% in 2020)</v>
      </c>
      <c r="H2320" s="783" t="s">
        <v>6826</v>
      </c>
      <c r="I2320" s="783" t="s">
        <v>6827</v>
      </c>
      <c r="J2320" s="783">
        <v>25</v>
      </c>
      <c r="K2320" s="783" t="s">
        <v>866</v>
      </c>
      <c r="L2320" s="783" t="s">
        <v>4014</v>
      </c>
      <c r="M2320" s="784">
        <v>30810</v>
      </c>
      <c r="N2320" s="784">
        <v>15</v>
      </c>
      <c r="O2320" s="784">
        <v>10.27</v>
      </c>
      <c r="P2320" s="783">
        <v>200</v>
      </c>
      <c r="Q2320" s="783">
        <v>1842.44</v>
      </c>
      <c r="R2320" s="783">
        <v>982.16</v>
      </c>
      <c r="S2320" s="783">
        <v>438.18</v>
      </c>
      <c r="T2320" s="783">
        <v>422.1</v>
      </c>
      <c r="U2320" s="785">
        <v>44690.497442129599</v>
      </c>
    </row>
    <row r="2321" spans="1:21">
      <c r="A2321" s="782">
        <v>44690</v>
      </c>
      <c r="B2321" s="783" t="s">
        <v>4025</v>
      </c>
      <c r="C2321" s="783" t="s">
        <v>4026</v>
      </c>
      <c r="D2321" s="783" t="s">
        <v>4021</v>
      </c>
      <c r="E2321" s="783" t="s">
        <v>4881</v>
      </c>
      <c r="F2321" s="783" t="s">
        <v>4011</v>
      </c>
      <c r="G2321" s="783" t="str">
        <f t="shared" si="123"/>
        <v>New Contract</v>
      </c>
      <c r="H2321" s="783" t="s">
        <v>4882</v>
      </c>
      <c r="I2321" s="783" t="s">
        <v>4883</v>
      </c>
      <c r="J2321" s="783">
        <v>20</v>
      </c>
      <c r="K2321" s="783" t="s">
        <v>866</v>
      </c>
      <c r="L2321" s="783" t="s">
        <v>4014</v>
      </c>
      <c r="M2321" s="784">
        <v>7888</v>
      </c>
      <c r="N2321" s="784">
        <v>4.93</v>
      </c>
      <c r="O2321" s="784">
        <v>8</v>
      </c>
      <c r="P2321" s="783">
        <v>200</v>
      </c>
      <c r="Q2321" s="783">
        <v>648.39</v>
      </c>
      <c r="R2321" s="783">
        <v>300.35000000000002</v>
      </c>
      <c r="S2321" s="783">
        <v>132.69999999999999</v>
      </c>
      <c r="T2321" s="783">
        <v>215.34</v>
      </c>
      <c r="U2321" s="785">
        <v>44690.687962962998</v>
      </c>
    </row>
    <row r="2322" spans="1:21">
      <c r="A2322" s="782">
        <v>44692</v>
      </c>
      <c r="B2322" s="783" t="s">
        <v>113</v>
      </c>
      <c r="C2322" s="783" t="s">
        <v>4606</v>
      </c>
      <c r="D2322" s="783" t="s">
        <v>4009</v>
      </c>
      <c r="E2322" s="783" t="s">
        <v>6549</v>
      </c>
      <c r="F2322" s="783" t="s">
        <v>4011</v>
      </c>
      <c r="G2322" s="783" t="str">
        <f t="shared" si="123"/>
        <v>Renewal (20% in 2020)</v>
      </c>
      <c r="H2322" s="783" t="s">
        <v>6550</v>
      </c>
      <c r="I2322" s="783" t="s">
        <v>6551</v>
      </c>
      <c r="J2322" s="783">
        <v>20</v>
      </c>
      <c r="K2322" s="783" t="s">
        <v>866</v>
      </c>
      <c r="L2322" s="783" t="s">
        <v>4014</v>
      </c>
      <c r="M2322" s="784">
        <v>16614</v>
      </c>
      <c r="N2322" s="784">
        <v>10.4</v>
      </c>
      <c r="O2322" s="784">
        <v>10.65</v>
      </c>
      <c r="P2322" s="783">
        <v>150</v>
      </c>
      <c r="Q2322" s="783">
        <v>1231.0999999999999</v>
      </c>
      <c r="R2322" s="783">
        <v>657.91</v>
      </c>
      <c r="S2322" s="783">
        <v>107.99</v>
      </c>
      <c r="T2322" s="783">
        <v>465.19</v>
      </c>
      <c r="U2322" s="785">
        <v>44693.455740740697</v>
      </c>
    </row>
    <row r="2323" spans="1:21">
      <c r="A2323" s="782">
        <v>44693</v>
      </c>
      <c r="B2323" s="783" t="s">
        <v>30</v>
      </c>
      <c r="C2323" s="783" t="s">
        <v>4239</v>
      </c>
      <c r="D2323" s="783" t="s">
        <v>4021</v>
      </c>
      <c r="E2323" s="783" t="s">
        <v>4894</v>
      </c>
      <c r="F2323" s="783" t="s">
        <v>4011</v>
      </c>
      <c r="G2323" s="783" t="str">
        <f t="shared" si="123"/>
        <v>New Contract</v>
      </c>
      <c r="H2323" s="783" t="s">
        <v>4895</v>
      </c>
      <c r="I2323" s="783" t="s">
        <v>4896</v>
      </c>
      <c r="J2323" s="783">
        <v>20</v>
      </c>
      <c r="K2323" s="783" t="s">
        <v>866</v>
      </c>
      <c r="L2323" s="783" t="s">
        <v>4014</v>
      </c>
      <c r="M2323" s="784">
        <v>33288.36</v>
      </c>
      <c r="N2323" s="784">
        <v>17.23</v>
      </c>
      <c r="O2323" s="784">
        <v>9.66</v>
      </c>
      <c r="P2323" s="783">
        <v>200</v>
      </c>
      <c r="Q2323" s="783">
        <v>2273.59</v>
      </c>
      <c r="R2323" s="783">
        <v>1018.29</v>
      </c>
      <c r="S2323" s="783">
        <v>526.29</v>
      </c>
      <c r="T2323" s="783">
        <v>729.02</v>
      </c>
      <c r="U2323" s="785">
        <v>44694.435486111099</v>
      </c>
    </row>
    <row r="2324" spans="1:21">
      <c r="A2324" s="782">
        <v>44693</v>
      </c>
      <c r="B2324" s="783" t="s">
        <v>30</v>
      </c>
      <c r="C2324" s="783" t="s">
        <v>4239</v>
      </c>
      <c r="D2324" s="783" t="s">
        <v>4021</v>
      </c>
      <c r="E2324" s="783" t="s">
        <v>4894</v>
      </c>
      <c r="F2324" s="783" t="s">
        <v>4011</v>
      </c>
      <c r="G2324" s="783" t="str">
        <f t="shared" si="123"/>
        <v>New Contract</v>
      </c>
      <c r="H2324" s="783" t="s">
        <v>4895</v>
      </c>
      <c r="I2324" s="783" t="s">
        <v>4896</v>
      </c>
      <c r="J2324" s="783">
        <v>20</v>
      </c>
      <c r="K2324" s="783" t="s">
        <v>866</v>
      </c>
      <c r="L2324" s="783" t="s">
        <v>4014</v>
      </c>
      <c r="M2324" s="784">
        <v>13620.6</v>
      </c>
      <c r="N2324" s="784">
        <v>7.05</v>
      </c>
      <c r="O2324" s="784">
        <v>9.66</v>
      </c>
      <c r="P2324" s="783">
        <v>200</v>
      </c>
      <c r="Q2324" s="783">
        <v>930.29</v>
      </c>
      <c r="R2324" s="783">
        <v>416.65</v>
      </c>
      <c r="S2324" s="783">
        <v>215.34</v>
      </c>
      <c r="T2324" s="783">
        <v>298.29000000000002</v>
      </c>
      <c r="U2324" s="785">
        <v>44694.435486111099</v>
      </c>
    </row>
    <row r="2325" spans="1:21">
      <c r="A2325" s="782">
        <v>44692</v>
      </c>
      <c r="B2325" s="783" t="s">
        <v>41</v>
      </c>
      <c r="C2325" s="783" t="s">
        <v>4139</v>
      </c>
      <c r="D2325" s="783" t="s">
        <v>4009</v>
      </c>
      <c r="E2325" s="783" t="s">
        <v>4899</v>
      </c>
      <c r="F2325" s="783" t="s">
        <v>4011</v>
      </c>
      <c r="G2325" s="783" t="str">
        <f t="shared" si="123"/>
        <v>Renewal (30% in 2020)</v>
      </c>
      <c r="H2325" s="783" t="s">
        <v>4900</v>
      </c>
      <c r="I2325" s="783" t="s">
        <v>4901</v>
      </c>
      <c r="J2325" s="783">
        <v>25</v>
      </c>
      <c r="K2325" s="783" t="s">
        <v>866</v>
      </c>
      <c r="L2325" s="783" t="s">
        <v>4014</v>
      </c>
      <c r="M2325" s="784">
        <v>9589.6299999999992</v>
      </c>
      <c r="N2325" s="784">
        <v>6.87</v>
      </c>
      <c r="O2325" s="784">
        <v>8.67</v>
      </c>
      <c r="P2325" s="783">
        <v>161</v>
      </c>
      <c r="Q2325" s="783">
        <v>565.79</v>
      </c>
      <c r="R2325" s="783">
        <v>445.92</v>
      </c>
      <c r="S2325" s="783">
        <v>72.88</v>
      </c>
      <c r="T2325" s="783">
        <v>46.99</v>
      </c>
      <c r="U2325" s="785">
        <v>44693.4159953704</v>
      </c>
    </row>
    <row r="2326" spans="1:21">
      <c r="A2326" s="782">
        <v>44690</v>
      </c>
      <c r="B2326" s="783" t="s">
        <v>51</v>
      </c>
      <c r="C2326" s="783" t="s">
        <v>4042</v>
      </c>
      <c r="D2326" s="783" t="s">
        <v>4016</v>
      </c>
      <c r="E2326" s="783" t="s">
        <v>1468</v>
      </c>
      <c r="F2326" s="783" t="s">
        <v>4011</v>
      </c>
      <c r="G2326" s="783" t="str">
        <f t="shared" si="123"/>
        <v>Renewal (15% in 2020)</v>
      </c>
      <c r="H2326" s="783" t="s">
        <v>4902</v>
      </c>
      <c r="I2326" s="783" t="s">
        <v>4903</v>
      </c>
      <c r="J2326" s="783">
        <v>30</v>
      </c>
      <c r="K2326" s="783" t="s">
        <v>866</v>
      </c>
      <c r="L2326" s="783" t="s">
        <v>4014</v>
      </c>
      <c r="M2326" s="784">
        <v>34525.300000000003</v>
      </c>
      <c r="N2326" s="784">
        <v>19.55</v>
      </c>
      <c r="O2326" s="784">
        <v>8.83</v>
      </c>
      <c r="P2326" s="783">
        <v>200</v>
      </c>
      <c r="Q2326" s="783">
        <v>2271.7600000000002</v>
      </c>
      <c r="R2326" s="783">
        <v>1578.63</v>
      </c>
      <c r="S2326" s="783">
        <v>382.4</v>
      </c>
      <c r="T2326" s="783">
        <v>310.73</v>
      </c>
      <c r="U2326" s="785">
        <v>44690.678333333301</v>
      </c>
    </row>
    <row r="2327" spans="1:21">
      <c r="A2327" s="782">
        <v>44697</v>
      </c>
      <c r="B2327" s="783" t="s">
        <v>41</v>
      </c>
      <c r="C2327" s="783" t="s">
        <v>4139</v>
      </c>
      <c r="D2327" s="783" t="s">
        <v>4009</v>
      </c>
      <c r="E2327" s="783" t="s">
        <v>4532</v>
      </c>
      <c r="F2327" s="783" t="s">
        <v>4011</v>
      </c>
      <c r="G2327" s="783" t="str">
        <f t="shared" si="123"/>
        <v>Renewal (15% in 2020)</v>
      </c>
      <c r="H2327" s="783" t="s">
        <v>4533</v>
      </c>
      <c r="I2327" s="783" t="s">
        <v>4534</v>
      </c>
      <c r="J2327" s="783">
        <v>15</v>
      </c>
      <c r="K2327" s="783" t="s">
        <v>866</v>
      </c>
      <c r="L2327" s="783" t="s">
        <v>4014</v>
      </c>
      <c r="M2327" s="784">
        <v>10137.200000000001</v>
      </c>
      <c r="N2327" s="784">
        <v>9.5399999999999991</v>
      </c>
      <c r="O2327" s="784">
        <v>6.6</v>
      </c>
      <c r="P2327" s="783">
        <v>161</v>
      </c>
      <c r="Q2327" s="783">
        <v>1045.1500000000001</v>
      </c>
      <c r="R2327" s="783">
        <v>471.38</v>
      </c>
      <c r="S2327" s="783">
        <v>77.040000000000006</v>
      </c>
      <c r="T2327" s="783">
        <v>496.72</v>
      </c>
      <c r="U2327" s="785">
        <v>44708.603842592602</v>
      </c>
    </row>
    <row r="2328" spans="1:21">
      <c r="A2328" s="782">
        <v>44693</v>
      </c>
      <c r="B2328" s="783" t="s">
        <v>4025</v>
      </c>
      <c r="C2328" s="783" t="s">
        <v>4026</v>
      </c>
      <c r="D2328" s="783" t="s">
        <v>4021</v>
      </c>
      <c r="E2328" s="783" t="s">
        <v>4917</v>
      </c>
      <c r="F2328" s="783" t="s">
        <v>4011</v>
      </c>
      <c r="G2328" s="783" t="str">
        <f t="shared" si="123"/>
        <v>New Contract</v>
      </c>
      <c r="H2328" s="783" t="s">
        <v>4918</v>
      </c>
      <c r="I2328" s="783" t="s">
        <v>4919</v>
      </c>
      <c r="J2328" s="783">
        <v>25</v>
      </c>
      <c r="K2328" s="783" t="s">
        <v>866</v>
      </c>
      <c r="L2328" s="783" t="s">
        <v>4014</v>
      </c>
      <c r="M2328" s="784">
        <v>25190.2</v>
      </c>
      <c r="N2328" s="784">
        <v>18.940000000000001</v>
      </c>
      <c r="O2328" s="784">
        <v>7.6</v>
      </c>
      <c r="P2328" s="783">
        <v>175</v>
      </c>
      <c r="Q2328" s="783">
        <v>1614.69</v>
      </c>
      <c r="R2328" s="783">
        <v>1096.18</v>
      </c>
      <c r="S2328" s="783">
        <v>286.77</v>
      </c>
      <c r="T2328" s="783">
        <v>231.75</v>
      </c>
      <c r="U2328" s="785">
        <v>44694.4207523148</v>
      </c>
    </row>
    <row r="2329" spans="1:21">
      <c r="A2329" s="782">
        <v>44698</v>
      </c>
      <c r="B2329" s="783" t="s">
        <v>228</v>
      </c>
      <c r="C2329" s="783" t="s">
        <v>4675</v>
      </c>
      <c r="D2329" s="783" t="s">
        <v>4193</v>
      </c>
      <c r="E2329" s="783" t="s">
        <v>4928</v>
      </c>
      <c r="F2329" s="783" t="s">
        <v>4011</v>
      </c>
      <c r="G2329" s="783" t="str">
        <f t="shared" si="123"/>
        <v>Renewal (25% in 2020)</v>
      </c>
      <c r="H2329" s="783" t="s">
        <v>4929</v>
      </c>
      <c r="I2329" s="783" t="s">
        <v>4930</v>
      </c>
      <c r="J2329" s="783">
        <v>25</v>
      </c>
      <c r="K2329" s="783" t="s">
        <v>866</v>
      </c>
      <c r="L2329" s="783" t="s">
        <v>4014</v>
      </c>
      <c r="M2329" s="784">
        <v>14938.54</v>
      </c>
      <c r="N2329" s="784">
        <v>10.19</v>
      </c>
      <c r="O2329" s="784">
        <v>7.33</v>
      </c>
      <c r="P2329" s="783">
        <v>200</v>
      </c>
      <c r="Q2329" s="783">
        <v>1035.24</v>
      </c>
      <c r="R2329" s="783">
        <v>614.5</v>
      </c>
      <c r="S2329" s="783">
        <v>272.83999999999997</v>
      </c>
      <c r="T2329" s="783">
        <v>147.88999999999999</v>
      </c>
      <c r="U2329" s="785">
        <v>44699.478576388901</v>
      </c>
    </row>
    <row r="2330" spans="1:21">
      <c r="A2330" s="782">
        <v>44691</v>
      </c>
      <c r="B2330" s="783" t="s">
        <v>30</v>
      </c>
      <c r="C2330" s="783" t="s">
        <v>4239</v>
      </c>
      <c r="D2330" s="783" t="s">
        <v>4021</v>
      </c>
      <c r="E2330" s="783" t="s">
        <v>4931</v>
      </c>
      <c r="F2330" s="783" t="s">
        <v>4011</v>
      </c>
      <c r="G2330" s="783" t="str">
        <f t="shared" si="123"/>
        <v>Renewal (20% in 2020)</v>
      </c>
      <c r="H2330" s="783" t="s">
        <v>4932</v>
      </c>
      <c r="I2330" s="783" t="s">
        <v>4933</v>
      </c>
      <c r="J2330" s="783">
        <v>20</v>
      </c>
      <c r="K2330" s="783" t="s">
        <v>866</v>
      </c>
      <c r="L2330" s="783" t="s">
        <v>4014</v>
      </c>
      <c r="M2330" s="784">
        <v>30421.64</v>
      </c>
      <c r="N2330" s="784">
        <v>15.38</v>
      </c>
      <c r="O2330" s="784">
        <v>9.89</v>
      </c>
      <c r="P2330" s="783">
        <v>200</v>
      </c>
      <c r="Q2330" s="783">
        <v>2077.8000000000002</v>
      </c>
      <c r="R2330" s="783">
        <v>930.6</v>
      </c>
      <c r="S2330" s="783">
        <v>480.97</v>
      </c>
      <c r="T2330" s="783">
        <v>666.23</v>
      </c>
      <c r="U2330" s="785">
        <v>44692.438055555598</v>
      </c>
    </row>
    <row r="2331" spans="1:21">
      <c r="A2331" s="782">
        <v>44690</v>
      </c>
      <c r="B2331" s="783" t="s">
        <v>41</v>
      </c>
      <c r="C2331" s="783" t="s">
        <v>4082</v>
      </c>
      <c r="D2331" s="783" t="s">
        <v>4009</v>
      </c>
      <c r="E2331" s="783" t="s">
        <v>635</v>
      </c>
      <c r="F2331" s="783" t="s">
        <v>4011</v>
      </c>
      <c r="G2331" s="783" t="str">
        <f t="shared" si="123"/>
        <v>Renewal (20% in 2020)</v>
      </c>
      <c r="H2331" s="783" t="s">
        <v>4538</v>
      </c>
      <c r="I2331" s="783" t="s">
        <v>4539</v>
      </c>
      <c r="J2331" s="783">
        <v>20</v>
      </c>
      <c r="K2331" s="783" t="s">
        <v>866</v>
      </c>
      <c r="L2331" s="783" t="s">
        <v>4014</v>
      </c>
      <c r="M2331" s="784">
        <v>23897.02</v>
      </c>
      <c r="N2331" s="784">
        <v>22.88</v>
      </c>
      <c r="O2331" s="784">
        <v>6.33</v>
      </c>
      <c r="P2331" s="783">
        <v>165</v>
      </c>
      <c r="Q2331" s="783">
        <v>1871.14</v>
      </c>
      <c r="R2331" s="783">
        <v>1077.28</v>
      </c>
      <c r="S2331" s="783">
        <v>234.67</v>
      </c>
      <c r="T2331" s="783">
        <v>559.19000000000005</v>
      </c>
      <c r="U2331" s="785">
        <v>44690.674062500002</v>
      </c>
    </row>
    <row r="2332" spans="1:21">
      <c r="A2332" s="782">
        <v>44693</v>
      </c>
      <c r="B2332" s="783" t="s">
        <v>30</v>
      </c>
      <c r="C2332" s="783" t="s">
        <v>4089</v>
      </c>
      <c r="D2332" s="783" t="s">
        <v>4021</v>
      </c>
      <c r="E2332" s="783" t="s">
        <v>4934</v>
      </c>
      <c r="F2332" s="783" t="s">
        <v>4011</v>
      </c>
      <c r="G2332" s="783" t="str">
        <f t="shared" si="123"/>
        <v>Renewal (15% in 2020)</v>
      </c>
      <c r="H2332" s="783" t="s">
        <v>4935</v>
      </c>
      <c r="I2332" s="783" t="s">
        <v>4936</v>
      </c>
      <c r="J2332" s="783">
        <v>15</v>
      </c>
      <c r="K2332" s="783" t="s">
        <v>866</v>
      </c>
      <c r="L2332" s="783" t="s">
        <v>4014</v>
      </c>
      <c r="M2332" s="784">
        <v>28209.22</v>
      </c>
      <c r="N2332" s="784">
        <v>24.16</v>
      </c>
      <c r="O2332" s="784">
        <v>9.73</v>
      </c>
      <c r="P2332" s="783">
        <v>120</v>
      </c>
      <c r="Q2332" s="783">
        <v>3554.36</v>
      </c>
      <c r="R2332" s="783">
        <v>1717.94</v>
      </c>
      <c r="S2332" s="783">
        <v>284.91000000000003</v>
      </c>
      <c r="T2332" s="783">
        <v>1551.51</v>
      </c>
      <c r="U2332" s="785">
        <v>44694.419212963003</v>
      </c>
    </row>
    <row r="2333" spans="1:21">
      <c r="A2333" s="782">
        <v>44694</v>
      </c>
      <c r="B2333" s="783" t="s">
        <v>30</v>
      </c>
      <c r="C2333" s="783" t="s">
        <v>4939</v>
      </c>
      <c r="D2333" s="783" t="s">
        <v>4021</v>
      </c>
      <c r="E2333" s="783" t="s">
        <v>1792</v>
      </c>
      <c r="F2333" s="783" t="s">
        <v>4011</v>
      </c>
      <c r="G2333" s="783" t="str">
        <f t="shared" si="123"/>
        <v>Renewal (25% in 2020)</v>
      </c>
      <c r="H2333" s="783" t="s">
        <v>4937</v>
      </c>
      <c r="I2333" s="783" t="s">
        <v>4938</v>
      </c>
      <c r="J2333" s="783">
        <v>25</v>
      </c>
      <c r="K2333" s="783" t="s">
        <v>866</v>
      </c>
      <c r="L2333" s="783" t="s">
        <v>4014</v>
      </c>
      <c r="M2333" s="784">
        <v>138882.59</v>
      </c>
      <c r="N2333" s="784">
        <v>77</v>
      </c>
      <c r="O2333" s="784">
        <v>8.6300000000000008</v>
      </c>
      <c r="P2333" s="783">
        <v>209</v>
      </c>
      <c r="Q2333" s="783">
        <v>9971.77</v>
      </c>
      <c r="R2333" s="783">
        <v>5627.47</v>
      </c>
      <c r="S2333" s="783">
        <v>3247.13</v>
      </c>
      <c r="T2333" s="783">
        <v>1097.17</v>
      </c>
      <c r="U2333" s="785">
        <v>44697.502337963</v>
      </c>
    </row>
    <row r="2334" spans="1:21">
      <c r="A2334" s="782">
        <v>44697</v>
      </c>
      <c r="B2334" s="783" t="s">
        <v>4025</v>
      </c>
      <c r="C2334" s="783" t="s">
        <v>4026</v>
      </c>
      <c r="D2334" s="783" t="s">
        <v>4021</v>
      </c>
      <c r="E2334" s="783" t="s">
        <v>4943</v>
      </c>
      <c r="F2334" s="783" t="s">
        <v>4011</v>
      </c>
      <c r="G2334" s="783" t="str">
        <f t="shared" si="123"/>
        <v>New Contract</v>
      </c>
      <c r="H2334" s="783" t="s">
        <v>4944</v>
      </c>
      <c r="I2334" s="783" t="s">
        <v>4945</v>
      </c>
      <c r="J2334" s="783">
        <v>20</v>
      </c>
      <c r="K2334" s="783" t="s">
        <v>866</v>
      </c>
      <c r="L2334" s="783" t="s">
        <v>4014</v>
      </c>
      <c r="M2334" s="784">
        <v>6624.65</v>
      </c>
      <c r="N2334" s="784">
        <v>5.63</v>
      </c>
      <c r="O2334" s="784">
        <v>5.63</v>
      </c>
      <c r="P2334" s="783">
        <v>209</v>
      </c>
      <c r="Q2334" s="783">
        <v>544.54999999999995</v>
      </c>
      <c r="R2334" s="783">
        <v>241.38</v>
      </c>
      <c r="S2334" s="783">
        <v>122.31</v>
      </c>
      <c r="T2334" s="783">
        <v>180.85</v>
      </c>
      <c r="U2334" s="785">
        <v>44699.416342592602</v>
      </c>
    </row>
    <row r="2335" spans="1:21">
      <c r="A2335" s="782">
        <v>44694</v>
      </c>
      <c r="B2335" s="783" t="s">
        <v>150</v>
      </c>
      <c r="C2335" s="783" t="s">
        <v>4037</v>
      </c>
      <c r="D2335" s="783" t="s">
        <v>4038</v>
      </c>
      <c r="E2335" s="783" t="s">
        <v>4946</v>
      </c>
      <c r="F2335" s="783" t="s">
        <v>4011</v>
      </c>
      <c r="G2335" s="783" t="str">
        <f t="shared" si="123"/>
        <v>Renewal (15% in 2020)</v>
      </c>
      <c r="H2335" s="783" t="s">
        <v>4947</v>
      </c>
      <c r="I2335" s="783" t="s">
        <v>4948</v>
      </c>
      <c r="J2335" s="783">
        <v>15</v>
      </c>
      <c r="K2335" s="783" t="s">
        <v>866</v>
      </c>
      <c r="L2335" s="783" t="s">
        <v>4014</v>
      </c>
      <c r="M2335" s="784">
        <v>109315.36</v>
      </c>
      <c r="N2335" s="784">
        <v>106.4</v>
      </c>
      <c r="O2335" s="784">
        <v>9.34</v>
      </c>
      <c r="P2335" s="783">
        <v>110</v>
      </c>
      <c r="Q2335" s="783">
        <v>14429.63</v>
      </c>
      <c r="R2335" s="783">
        <v>6034.21</v>
      </c>
      <c r="S2335" s="783">
        <v>1005.7</v>
      </c>
      <c r="T2335" s="783">
        <v>7389.72</v>
      </c>
      <c r="U2335" s="785">
        <v>44694.517685185201</v>
      </c>
    </row>
    <row r="2336" spans="1:21">
      <c r="A2336" s="782">
        <v>44690</v>
      </c>
      <c r="B2336" s="783" t="s">
        <v>41</v>
      </c>
      <c r="C2336" s="783" t="s">
        <v>4139</v>
      </c>
      <c r="D2336" s="783" t="s">
        <v>4009</v>
      </c>
      <c r="E2336" s="783" t="s">
        <v>1386</v>
      </c>
      <c r="F2336" s="783" t="s">
        <v>4011</v>
      </c>
      <c r="G2336" s="783" t="str">
        <f t="shared" si="123"/>
        <v>Renewal (15% in 2020)</v>
      </c>
      <c r="H2336" s="783" t="s">
        <v>4957</v>
      </c>
      <c r="I2336" s="783" t="s">
        <v>4958</v>
      </c>
      <c r="J2336" s="783">
        <v>15</v>
      </c>
      <c r="K2336" s="783" t="s">
        <v>866</v>
      </c>
      <c r="L2336" s="783" t="s">
        <v>4014</v>
      </c>
      <c r="M2336" s="784">
        <v>16490.02</v>
      </c>
      <c r="N2336" s="784">
        <v>13.25</v>
      </c>
      <c r="O2336" s="784">
        <v>7.73</v>
      </c>
      <c r="P2336" s="783">
        <v>161</v>
      </c>
      <c r="Q2336" s="783">
        <v>1700.12</v>
      </c>
      <c r="R2336" s="783">
        <v>766.79</v>
      </c>
      <c r="S2336" s="783">
        <v>125.32</v>
      </c>
      <c r="T2336" s="783">
        <v>808.01</v>
      </c>
      <c r="U2336" s="785">
        <v>44691.522037037001</v>
      </c>
    </row>
    <row r="2337" spans="1:21">
      <c r="A2337" s="782">
        <v>44691</v>
      </c>
      <c r="B2337" s="783" t="s">
        <v>4025</v>
      </c>
      <c r="C2337" s="783" t="s">
        <v>4015</v>
      </c>
      <c r="D2337" s="783" t="s">
        <v>4016</v>
      </c>
      <c r="E2337" s="783" t="s">
        <v>4964</v>
      </c>
      <c r="F2337" s="783" t="s">
        <v>4011</v>
      </c>
      <c r="G2337" s="783" t="str">
        <f t="shared" si="123"/>
        <v>New Contract</v>
      </c>
      <c r="H2337" s="783" t="s">
        <v>4965</v>
      </c>
      <c r="I2337" s="783" t="s">
        <v>4966</v>
      </c>
      <c r="J2337" s="783">
        <v>25</v>
      </c>
      <c r="K2337" s="783" t="s">
        <v>866</v>
      </c>
      <c r="L2337" s="783" t="s">
        <v>4014</v>
      </c>
      <c r="M2337" s="784">
        <v>39146.29</v>
      </c>
      <c r="N2337" s="784">
        <v>20.25</v>
      </c>
      <c r="O2337" s="784">
        <v>9.43</v>
      </c>
      <c r="P2337" s="783">
        <v>205</v>
      </c>
      <c r="Q2337" s="783">
        <v>3010.35</v>
      </c>
      <c r="R2337" s="783">
        <v>1767.79</v>
      </c>
      <c r="S2337" s="783">
        <v>851.1</v>
      </c>
      <c r="T2337" s="783">
        <v>391.46</v>
      </c>
      <c r="U2337" s="785">
        <v>44699.684953703698</v>
      </c>
    </row>
    <row r="2338" spans="1:21">
      <c r="A2338" s="782">
        <v>44691</v>
      </c>
      <c r="B2338" s="783" t="s">
        <v>113</v>
      </c>
      <c r="C2338" s="783" t="s">
        <v>4606</v>
      </c>
      <c r="D2338" s="783" t="s">
        <v>4009</v>
      </c>
      <c r="E2338" s="783" t="s">
        <v>6678</v>
      </c>
      <c r="F2338" s="783" t="s">
        <v>4011</v>
      </c>
      <c r="G2338" s="783" t="str">
        <f t="shared" si="123"/>
        <v>Renewal (20% in 2020)</v>
      </c>
      <c r="H2338" s="783" t="s">
        <v>6679</v>
      </c>
      <c r="I2338" s="783" t="s">
        <v>6680</v>
      </c>
      <c r="J2338" s="783">
        <v>20</v>
      </c>
      <c r="K2338" s="783" t="s">
        <v>866</v>
      </c>
      <c r="L2338" s="783" t="s">
        <v>4014</v>
      </c>
      <c r="M2338" s="784">
        <v>39795.15</v>
      </c>
      <c r="N2338" s="784">
        <v>14.78</v>
      </c>
      <c r="O2338" s="784">
        <v>10.77</v>
      </c>
      <c r="P2338" s="783">
        <v>250</v>
      </c>
      <c r="Q2338" s="783">
        <v>2948.82</v>
      </c>
      <c r="R2338" s="783">
        <v>1014.87</v>
      </c>
      <c r="S2338" s="783">
        <v>819.68</v>
      </c>
      <c r="T2338" s="783">
        <v>1114.26</v>
      </c>
      <c r="U2338" s="785">
        <v>44692.419270833299</v>
      </c>
    </row>
    <row r="2339" spans="1:21">
      <c r="A2339" s="782">
        <v>44692</v>
      </c>
      <c r="B2339" s="783" t="s">
        <v>51</v>
      </c>
      <c r="C2339" s="783" t="s">
        <v>4042</v>
      </c>
      <c r="D2339" s="783" t="s">
        <v>4016</v>
      </c>
      <c r="E2339" s="783" t="s">
        <v>4976</v>
      </c>
      <c r="F2339" s="783" t="s">
        <v>4011</v>
      </c>
      <c r="G2339" s="783" t="str">
        <f t="shared" si="123"/>
        <v>New Contract</v>
      </c>
      <c r="H2339" s="783" t="s">
        <v>4977</v>
      </c>
      <c r="I2339" s="783" t="s">
        <v>4978</v>
      </c>
      <c r="J2339" s="783">
        <v>30</v>
      </c>
      <c r="K2339" s="783" t="s">
        <v>866</v>
      </c>
      <c r="L2339" s="783" t="s">
        <v>4014</v>
      </c>
      <c r="M2339" s="784">
        <v>2316.3200000000002</v>
      </c>
      <c r="N2339" s="784">
        <v>2.17</v>
      </c>
      <c r="O2339" s="784">
        <v>6.63</v>
      </c>
      <c r="P2339" s="783">
        <v>161</v>
      </c>
      <c r="Q2339" s="783">
        <v>152.41</v>
      </c>
      <c r="R2339" s="783">
        <v>131.57</v>
      </c>
      <c r="S2339" s="783">
        <v>0</v>
      </c>
      <c r="T2339" s="783">
        <v>20.85</v>
      </c>
      <c r="U2339" s="785">
        <v>44693.716122685197</v>
      </c>
    </row>
    <row r="2340" spans="1:21">
      <c r="A2340" s="782">
        <v>44698</v>
      </c>
      <c r="B2340" s="783" t="s">
        <v>41</v>
      </c>
      <c r="C2340" s="783" t="s">
        <v>4092</v>
      </c>
      <c r="D2340" s="783" t="s">
        <v>4009</v>
      </c>
      <c r="E2340" s="783" t="s">
        <v>1411</v>
      </c>
      <c r="F2340" s="783" t="s">
        <v>4011</v>
      </c>
      <c r="G2340" s="783" t="str">
        <f t="shared" si="123"/>
        <v>Renewal (20% in 2020)</v>
      </c>
      <c r="H2340" s="783" t="s">
        <v>4982</v>
      </c>
      <c r="I2340" s="783" t="s">
        <v>4983</v>
      </c>
      <c r="J2340" s="783">
        <v>20</v>
      </c>
      <c r="K2340" s="783" t="s">
        <v>866</v>
      </c>
      <c r="L2340" s="783" t="s">
        <v>4014</v>
      </c>
      <c r="M2340" s="784">
        <v>11708.64</v>
      </c>
      <c r="N2340" s="784">
        <v>7.54</v>
      </c>
      <c r="O2340" s="784">
        <v>7.43</v>
      </c>
      <c r="P2340" s="783">
        <v>209</v>
      </c>
      <c r="Q2340" s="783">
        <v>1056.1199999999999</v>
      </c>
      <c r="R2340" s="783">
        <v>478.94</v>
      </c>
      <c r="S2340" s="783">
        <v>262.22000000000003</v>
      </c>
      <c r="T2340" s="783">
        <v>314.95999999999998</v>
      </c>
      <c r="U2340" s="785">
        <v>44699.484398148103</v>
      </c>
    </row>
    <row r="2341" spans="1:21">
      <c r="A2341" s="782">
        <v>44522</v>
      </c>
      <c r="B2341" s="783" t="s">
        <v>41</v>
      </c>
      <c r="C2341" s="783" t="s">
        <v>4082</v>
      </c>
      <c r="D2341" s="783" t="s">
        <v>4009</v>
      </c>
      <c r="E2341" s="783" t="s">
        <v>6828</v>
      </c>
      <c r="F2341" s="783" t="s">
        <v>4011</v>
      </c>
      <c r="G2341" s="783" t="str">
        <f t="shared" si="123"/>
        <v>Renewal (25% in 2020)</v>
      </c>
      <c r="H2341" s="783" t="s">
        <v>6829</v>
      </c>
      <c r="I2341" s="783" t="s">
        <v>6830</v>
      </c>
      <c r="J2341" s="783">
        <v>25</v>
      </c>
      <c r="K2341" s="783" t="s">
        <v>866</v>
      </c>
      <c r="L2341" s="783" t="s">
        <v>4014</v>
      </c>
      <c r="M2341" s="784">
        <v>5714.86</v>
      </c>
      <c r="N2341" s="784">
        <v>6.12</v>
      </c>
      <c r="O2341" s="784">
        <v>5.8</v>
      </c>
      <c r="P2341" s="783">
        <v>161</v>
      </c>
      <c r="Q2341" s="783">
        <v>343.46</v>
      </c>
      <c r="R2341" s="783">
        <v>264.02999999999997</v>
      </c>
      <c r="S2341" s="783">
        <v>49.72</v>
      </c>
      <c r="T2341" s="783">
        <v>29.72</v>
      </c>
      <c r="U2341" s="785">
        <v>44631.628912036998</v>
      </c>
    </row>
    <row r="2342" spans="1:21">
      <c r="A2342" s="782">
        <v>44447</v>
      </c>
      <c r="B2342" s="783" t="s">
        <v>41</v>
      </c>
      <c r="C2342" s="783" t="s">
        <v>4139</v>
      </c>
      <c r="D2342" s="783" t="s">
        <v>4009</v>
      </c>
      <c r="E2342" s="783" t="s">
        <v>4993</v>
      </c>
      <c r="F2342" s="783" t="s">
        <v>4011</v>
      </c>
      <c r="G2342" s="783" t="str">
        <f t="shared" si="123"/>
        <v>Renewal (15% in 2020)</v>
      </c>
      <c r="H2342" s="783" t="s">
        <v>4994</v>
      </c>
      <c r="I2342" s="783" t="s">
        <v>4995</v>
      </c>
      <c r="J2342" s="783">
        <v>15</v>
      </c>
      <c r="K2342" s="783" t="s">
        <v>866</v>
      </c>
      <c r="L2342" s="783" t="s">
        <v>4014</v>
      </c>
      <c r="M2342" s="784">
        <v>21315.35</v>
      </c>
      <c r="N2342" s="784">
        <v>20.99</v>
      </c>
      <c r="O2342" s="784">
        <v>6.77</v>
      </c>
      <c r="P2342" s="783">
        <v>150</v>
      </c>
      <c r="Q2342" s="783">
        <v>2197.61</v>
      </c>
      <c r="R2342" s="783">
        <v>991.16</v>
      </c>
      <c r="S2342" s="783">
        <v>162</v>
      </c>
      <c r="T2342" s="783">
        <v>1044.45</v>
      </c>
      <c r="U2342" s="785">
        <v>44708.987847222197</v>
      </c>
    </row>
    <row r="2343" spans="1:21">
      <c r="A2343" s="782">
        <v>44447</v>
      </c>
      <c r="B2343" s="783" t="s">
        <v>30</v>
      </c>
      <c r="C2343" s="783" t="s">
        <v>4939</v>
      </c>
      <c r="D2343" s="783" t="s">
        <v>4021</v>
      </c>
      <c r="E2343" s="783" t="s">
        <v>3477</v>
      </c>
      <c r="F2343" s="783" t="s">
        <v>4011</v>
      </c>
      <c r="G2343" s="783" t="str">
        <f t="shared" si="123"/>
        <v>Renewal (30% in 2020)</v>
      </c>
      <c r="H2343" s="783" t="s">
        <v>5001</v>
      </c>
      <c r="I2343" s="783" t="s">
        <v>5002</v>
      </c>
      <c r="J2343" s="783">
        <v>30</v>
      </c>
      <c r="K2343" s="783" t="s">
        <v>866</v>
      </c>
      <c r="L2343" s="783" t="s">
        <v>4014</v>
      </c>
      <c r="M2343" s="784">
        <v>18639.45</v>
      </c>
      <c r="N2343" s="784">
        <v>13.88</v>
      </c>
      <c r="O2343" s="784">
        <v>10.33</v>
      </c>
      <c r="P2343" s="783">
        <v>130</v>
      </c>
      <c r="Q2343" s="783">
        <v>1127.69</v>
      </c>
      <c r="R2343" s="783">
        <v>980.44</v>
      </c>
      <c r="S2343" s="783">
        <v>0</v>
      </c>
      <c r="T2343" s="783">
        <v>147.25</v>
      </c>
      <c r="U2343" s="785">
        <v>44631.516759259299</v>
      </c>
    </row>
    <row r="2344" spans="1:21">
      <c r="A2344" s="782">
        <v>44586</v>
      </c>
      <c r="B2344" s="783" t="s">
        <v>41</v>
      </c>
      <c r="C2344" s="783" t="s">
        <v>4071</v>
      </c>
      <c r="D2344" s="783" t="s">
        <v>4009</v>
      </c>
      <c r="E2344" s="783" t="s">
        <v>4106</v>
      </c>
      <c r="F2344" s="783" t="s">
        <v>4011</v>
      </c>
      <c r="G2344" s="783" t="str">
        <f t="shared" si="123"/>
        <v>Renewal (15% in 2020)</v>
      </c>
      <c r="H2344" s="783" t="s">
        <v>4107</v>
      </c>
      <c r="I2344" s="783" t="s">
        <v>4108</v>
      </c>
      <c r="J2344" s="783">
        <v>15</v>
      </c>
      <c r="K2344" s="783" t="s">
        <v>866</v>
      </c>
      <c r="L2344" s="783" t="s">
        <v>4014</v>
      </c>
      <c r="M2344" s="784">
        <v>14516.25</v>
      </c>
      <c r="N2344" s="784">
        <v>17.5</v>
      </c>
      <c r="O2344" s="784">
        <v>5.53</v>
      </c>
      <c r="P2344" s="783">
        <v>150</v>
      </c>
      <c r="Q2344" s="783">
        <v>1994.53</v>
      </c>
      <c r="R2344" s="783">
        <v>900.01</v>
      </c>
      <c r="S2344" s="783">
        <v>143.71</v>
      </c>
      <c r="T2344" s="783">
        <v>950.81</v>
      </c>
      <c r="U2344" s="785">
        <v>44631.635891203703</v>
      </c>
    </row>
    <row r="2345" spans="1:21">
      <c r="A2345" s="782">
        <v>44452</v>
      </c>
      <c r="B2345" s="783" t="s">
        <v>228</v>
      </c>
      <c r="C2345" s="783" t="s">
        <v>4020</v>
      </c>
      <c r="D2345" s="783" t="s">
        <v>4021</v>
      </c>
      <c r="E2345" s="783" t="s">
        <v>4022</v>
      </c>
      <c r="F2345" s="783" t="s">
        <v>4011</v>
      </c>
      <c r="G2345" s="783" t="str">
        <f t="shared" si="123"/>
        <v>Renewal (25% in 2020)</v>
      </c>
      <c r="H2345" s="783" t="s">
        <v>4023</v>
      </c>
      <c r="I2345" s="783" t="s">
        <v>4024</v>
      </c>
      <c r="J2345" s="783">
        <v>25</v>
      </c>
      <c r="K2345" s="783" t="s">
        <v>866</v>
      </c>
      <c r="L2345" s="783" t="s">
        <v>4014</v>
      </c>
      <c r="M2345" s="784">
        <v>5875.2</v>
      </c>
      <c r="N2345" s="784">
        <v>8.16</v>
      </c>
      <c r="O2345" s="784">
        <v>4.5</v>
      </c>
      <c r="P2345" s="783">
        <v>160</v>
      </c>
      <c r="Q2345" s="783">
        <v>421.84</v>
      </c>
      <c r="R2345" s="783">
        <v>316.67</v>
      </c>
      <c r="S2345" s="783">
        <v>52.29</v>
      </c>
      <c r="T2345" s="783">
        <v>52.88</v>
      </c>
      <c r="U2345" s="785">
        <v>44631.513865740701</v>
      </c>
    </row>
    <row r="2346" spans="1:21">
      <c r="A2346" s="782">
        <v>44475</v>
      </c>
      <c r="B2346" s="783" t="s">
        <v>971</v>
      </c>
      <c r="C2346" s="783" t="s">
        <v>4082</v>
      </c>
      <c r="D2346" s="783" t="s">
        <v>4009</v>
      </c>
      <c r="E2346" s="783" t="s">
        <v>6703</v>
      </c>
      <c r="F2346" s="783" t="s">
        <v>4011</v>
      </c>
      <c r="G2346" s="783" t="str">
        <f t="shared" si="123"/>
        <v>Renewal (20% in 2020)</v>
      </c>
      <c r="H2346" s="783" t="s">
        <v>6704</v>
      </c>
      <c r="I2346" s="783" t="s">
        <v>6705</v>
      </c>
      <c r="J2346" s="783">
        <v>20</v>
      </c>
      <c r="K2346" s="783" t="s">
        <v>866</v>
      </c>
      <c r="L2346" s="783" t="s">
        <v>4014</v>
      </c>
      <c r="M2346" s="784">
        <v>3696.03</v>
      </c>
      <c r="N2346" s="784">
        <v>3.51</v>
      </c>
      <c r="O2346" s="784">
        <v>8.1</v>
      </c>
      <c r="P2346" s="783">
        <v>130</v>
      </c>
      <c r="Q2346" s="783">
        <v>289.39999999999998</v>
      </c>
      <c r="R2346" s="783">
        <v>170.76</v>
      </c>
      <c r="S2346" s="783">
        <v>32.159999999999997</v>
      </c>
      <c r="T2346" s="783">
        <v>86.49</v>
      </c>
      <c r="U2346" s="785">
        <v>44631.5140972222</v>
      </c>
    </row>
    <row r="2347" spans="1:21">
      <c r="A2347" s="782">
        <v>44585</v>
      </c>
      <c r="B2347" s="783" t="s">
        <v>74</v>
      </c>
      <c r="C2347" s="783" t="s">
        <v>4097</v>
      </c>
      <c r="D2347" s="783" t="s">
        <v>4038</v>
      </c>
      <c r="E2347" s="783" t="s">
        <v>4281</v>
      </c>
      <c r="F2347" s="783" t="s">
        <v>4011</v>
      </c>
      <c r="G2347" s="783" t="s">
        <v>4028</v>
      </c>
      <c r="H2347" s="783" t="s">
        <v>4282</v>
      </c>
      <c r="I2347" s="783" t="s">
        <v>4283</v>
      </c>
      <c r="J2347" s="783">
        <v>25</v>
      </c>
      <c r="K2347" s="783" t="s">
        <v>866</v>
      </c>
      <c r="L2347" s="783" t="s">
        <v>4014</v>
      </c>
      <c r="M2347" s="784">
        <v>10013.85</v>
      </c>
      <c r="N2347" s="784">
        <v>8.5</v>
      </c>
      <c r="O2347" s="784">
        <v>6.93</v>
      </c>
      <c r="P2347" s="783">
        <v>170</v>
      </c>
      <c r="Q2347" s="783">
        <v>636.88</v>
      </c>
      <c r="R2347" s="783">
        <v>433.41</v>
      </c>
      <c r="S2347" s="783">
        <v>99.33</v>
      </c>
      <c r="T2347" s="783">
        <v>104.14</v>
      </c>
      <c r="U2347" s="785">
        <v>44631.633437500001</v>
      </c>
    </row>
    <row r="2348" spans="1:21">
      <c r="A2348" s="782">
        <v>44616</v>
      </c>
      <c r="B2348" s="783" t="s">
        <v>118</v>
      </c>
      <c r="C2348" s="783" t="s">
        <v>4139</v>
      </c>
      <c r="D2348" s="783" t="s">
        <v>4009</v>
      </c>
      <c r="E2348" s="783" t="s">
        <v>5029</v>
      </c>
      <c r="F2348" s="783" t="s">
        <v>4066</v>
      </c>
      <c r="G2348" s="783" t="s">
        <v>4028</v>
      </c>
      <c r="H2348" s="783" t="s">
        <v>5030</v>
      </c>
      <c r="I2348" s="783" t="s">
        <v>5031</v>
      </c>
      <c r="J2348" s="783">
        <v>10</v>
      </c>
      <c r="K2348" s="783" t="s">
        <v>866</v>
      </c>
      <c r="L2348" s="783" t="s">
        <v>4014</v>
      </c>
      <c r="M2348" s="784">
        <v>22540</v>
      </c>
      <c r="N2348" s="784">
        <v>20</v>
      </c>
      <c r="O2348" s="784">
        <v>7</v>
      </c>
      <c r="P2348" s="783">
        <v>161</v>
      </c>
      <c r="Q2348" s="783">
        <v>595.05999999999995</v>
      </c>
      <c r="R2348" s="783">
        <v>0</v>
      </c>
      <c r="S2348" s="783">
        <v>0</v>
      </c>
      <c r="T2348" s="783">
        <v>595.05999999999995</v>
      </c>
      <c r="U2348" s="785">
        <v>44631.626041666699</v>
      </c>
    </row>
    <row r="2349" spans="1:21">
      <c r="A2349" s="782">
        <v>44592</v>
      </c>
      <c r="B2349" s="783" t="s">
        <v>41</v>
      </c>
      <c r="C2349" s="783" t="s">
        <v>4139</v>
      </c>
      <c r="D2349" s="783" t="s">
        <v>4009</v>
      </c>
      <c r="E2349" s="783" t="s">
        <v>5035</v>
      </c>
      <c r="F2349" s="783" t="s">
        <v>4011</v>
      </c>
      <c r="G2349" s="783" t="str">
        <f>VLOOKUP(I2349,pacage,2,FALSE)</f>
        <v>Renewal (15% in 2020)</v>
      </c>
      <c r="H2349" s="783" t="s">
        <v>5036</v>
      </c>
      <c r="I2349" s="783" t="s">
        <v>5037</v>
      </c>
      <c r="J2349" s="783">
        <v>15</v>
      </c>
      <c r="K2349" s="783" t="s">
        <v>866</v>
      </c>
      <c r="L2349" s="783" t="s">
        <v>4014</v>
      </c>
      <c r="M2349" s="784">
        <v>15226.74</v>
      </c>
      <c r="N2349" s="784">
        <v>10.28</v>
      </c>
      <c r="O2349" s="784">
        <v>9.1999999999999993</v>
      </c>
      <c r="P2349" s="783">
        <v>161</v>
      </c>
      <c r="Q2349" s="783">
        <v>1569.88</v>
      </c>
      <c r="R2349" s="783">
        <v>708.04</v>
      </c>
      <c r="S2349" s="783">
        <v>115.72</v>
      </c>
      <c r="T2349" s="783">
        <v>746.11</v>
      </c>
      <c r="U2349" s="785">
        <v>44631.626087962999</v>
      </c>
    </row>
    <row r="2350" spans="1:21">
      <c r="A2350" s="782">
        <v>44592</v>
      </c>
      <c r="B2350" s="783" t="s">
        <v>41</v>
      </c>
      <c r="C2350" s="783" t="s">
        <v>4082</v>
      </c>
      <c r="D2350" s="783" t="s">
        <v>4009</v>
      </c>
      <c r="E2350" s="783" t="s">
        <v>4558</v>
      </c>
      <c r="F2350" s="783" t="s">
        <v>4011</v>
      </c>
      <c r="G2350" s="783" t="s">
        <v>4028</v>
      </c>
      <c r="H2350" s="783" t="s">
        <v>4559</v>
      </c>
      <c r="I2350" s="783" t="s">
        <v>4560</v>
      </c>
      <c r="J2350" s="783">
        <v>25</v>
      </c>
      <c r="K2350" s="783" t="s">
        <v>866</v>
      </c>
      <c r="L2350" s="783" t="s">
        <v>4014</v>
      </c>
      <c r="M2350" s="784">
        <v>16486.400000000001</v>
      </c>
      <c r="N2350" s="784">
        <v>16</v>
      </c>
      <c r="O2350" s="784">
        <v>6.4</v>
      </c>
      <c r="P2350" s="783">
        <v>161</v>
      </c>
      <c r="Q2350" s="783">
        <v>990.83</v>
      </c>
      <c r="R2350" s="783">
        <v>761.67</v>
      </c>
      <c r="S2350" s="783">
        <v>143.43</v>
      </c>
      <c r="T2350" s="783">
        <v>85.73</v>
      </c>
      <c r="U2350" s="785">
        <v>44631.629444444399</v>
      </c>
    </row>
    <row r="2351" spans="1:21">
      <c r="A2351" s="782">
        <v>44615</v>
      </c>
      <c r="B2351" s="783" t="s">
        <v>30</v>
      </c>
      <c r="C2351" s="783" t="s">
        <v>4239</v>
      </c>
      <c r="D2351" s="783" t="s">
        <v>4021</v>
      </c>
      <c r="E2351" s="783" t="s">
        <v>5041</v>
      </c>
      <c r="F2351" s="783" t="s">
        <v>4066</v>
      </c>
      <c r="G2351" s="783" t="s">
        <v>4028</v>
      </c>
      <c r="H2351" s="783" t="s">
        <v>5042</v>
      </c>
      <c r="I2351" s="783" t="s">
        <v>5043</v>
      </c>
      <c r="J2351" s="783">
        <v>10</v>
      </c>
      <c r="K2351" s="783" t="s">
        <v>866</v>
      </c>
      <c r="L2351" s="783" t="s">
        <v>4014</v>
      </c>
      <c r="M2351" s="784">
        <v>29268.9</v>
      </c>
      <c r="N2351" s="784">
        <v>19.13</v>
      </c>
      <c r="O2351" s="784">
        <v>8.5</v>
      </c>
      <c r="P2351" s="783">
        <v>180</v>
      </c>
      <c r="Q2351" s="783">
        <v>430.25</v>
      </c>
      <c r="R2351" s="783">
        <v>0</v>
      </c>
      <c r="S2351" s="783">
        <v>0</v>
      </c>
      <c r="T2351" s="783">
        <v>430.25</v>
      </c>
      <c r="U2351" s="785">
        <v>44631.626284722202</v>
      </c>
    </row>
    <row r="2352" spans="1:21">
      <c r="A2352" s="782">
        <v>44601</v>
      </c>
      <c r="B2352" s="783" t="s">
        <v>113</v>
      </c>
      <c r="C2352" s="783" t="s">
        <v>4097</v>
      </c>
      <c r="D2352" s="783" t="s">
        <v>4038</v>
      </c>
      <c r="E2352" s="783" t="s">
        <v>5044</v>
      </c>
      <c r="F2352" s="783" t="s">
        <v>4066</v>
      </c>
      <c r="G2352" s="783" t="str">
        <f t="shared" ref="G2352:G2363" si="124">VLOOKUP(I2352,pacage,2,FALSE)</f>
        <v>Renewal (15% in 2020)</v>
      </c>
      <c r="H2352" s="783" t="s">
        <v>5045</v>
      </c>
      <c r="I2352" s="783" t="s">
        <v>5046</v>
      </c>
      <c r="J2352" s="783">
        <v>5</v>
      </c>
      <c r="K2352" s="783" t="s">
        <v>866</v>
      </c>
      <c r="L2352" s="783" t="s">
        <v>4014</v>
      </c>
      <c r="M2352" s="784">
        <v>31995</v>
      </c>
      <c r="N2352" s="784">
        <v>19.75</v>
      </c>
      <c r="O2352" s="784">
        <v>9</v>
      </c>
      <c r="P2352" s="783">
        <v>180</v>
      </c>
      <c r="Q2352" s="783">
        <v>1452.57</v>
      </c>
      <c r="R2352" s="783">
        <v>0</v>
      </c>
      <c r="S2352" s="783">
        <v>0</v>
      </c>
      <c r="T2352" s="783">
        <v>1452.57</v>
      </c>
      <c r="U2352" s="785">
        <v>44631.626388888901</v>
      </c>
    </row>
    <row r="2353" spans="1:21">
      <c r="A2353" s="782">
        <v>44616</v>
      </c>
      <c r="B2353" s="783" t="s">
        <v>74</v>
      </c>
      <c r="C2353" s="783" t="s">
        <v>4097</v>
      </c>
      <c r="D2353" s="783" t="s">
        <v>4038</v>
      </c>
      <c r="E2353" s="783" t="s">
        <v>4284</v>
      </c>
      <c r="F2353" s="783" t="s">
        <v>4011</v>
      </c>
      <c r="G2353" s="783" t="str">
        <f t="shared" si="124"/>
        <v>Renewal (15% in 2020)</v>
      </c>
      <c r="H2353" s="783" t="s">
        <v>4285</v>
      </c>
      <c r="I2353" s="783" t="s">
        <v>4286</v>
      </c>
      <c r="J2353" s="783">
        <v>20</v>
      </c>
      <c r="K2353" s="783" t="s">
        <v>866</v>
      </c>
      <c r="L2353" s="783" t="s">
        <v>4014</v>
      </c>
      <c r="M2353" s="784">
        <v>63507.6</v>
      </c>
      <c r="N2353" s="784">
        <v>46</v>
      </c>
      <c r="O2353" s="784">
        <v>7.67</v>
      </c>
      <c r="P2353" s="783">
        <v>180</v>
      </c>
      <c r="Q2353" s="783">
        <v>5144.12</v>
      </c>
      <c r="R2353" s="783">
        <v>2595.94</v>
      </c>
      <c r="S2353" s="783">
        <v>782.66</v>
      </c>
      <c r="T2353" s="783">
        <v>1765.51</v>
      </c>
      <c r="U2353" s="785">
        <v>44631.629178240699</v>
      </c>
    </row>
    <row r="2354" spans="1:21">
      <c r="A2354" s="782">
        <v>44616</v>
      </c>
      <c r="B2354" s="783" t="s">
        <v>74</v>
      </c>
      <c r="C2354" s="783" t="s">
        <v>4274</v>
      </c>
      <c r="D2354" s="783" t="s">
        <v>4038</v>
      </c>
      <c r="E2354" s="783" t="s">
        <v>4284</v>
      </c>
      <c r="F2354" s="783" t="s">
        <v>4011</v>
      </c>
      <c r="G2354" s="783" t="str">
        <f t="shared" si="124"/>
        <v>Renewal (15% in 2020)</v>
      </c>
      <c r="H2354" s="783" t="s">
        <v>4285</v>
      </c>
      <c r="I2354" s="783" t="s">
        <v>4286</v>
      </c>
      <c r="J2354" s="783">
        <v>20</v>
      </c>
      <c r="K2354" s="783" t="s">
        <v>866</v>
      </c>
      <c r="L2354" s="783" t="s">
        <v>4014</v>
      </c>
      <c r="M2354" s="784">
        <v>5094.41</v>
      </c>
      <c r="N2354" s="784">
        <v>3.69</v>
      </c>
      <c r="O2354" s="784">
        <v>7.67</v>
      </c>
      <c r="P2354" s="783">
        <v>180</v>
      </c>
      <c r="Q2354" s="783">
        <v>506.38</v>
      </c>
      <c r="R2354" s="783">
        <v>253.35</v>
      </c>
      <c r="S2354" s="783">
        <v>37.03</v>
      </c>
      <c r="T2354" s="783">
        <v>216</v>
      </c>
      <c r="U2354" s="785">
        <v>44631.629189814797</v>
      </c>
    </row>
    <row r="2355" spans="1:21">
      <c r="A2355" s="782">
        <v>44636</v>
      </c>
      <c r="B2355" s="783" t="s">
        <v>113</v>
      </c>
      <c r="C2355" s="783" t="s">
        <v>4606</v>
      </c>
      <c r="D2355" s="783" t="s">
        <v>4009</v>
      </c>
      <c r="E2355" s="783" t="s">
        <v>6706</v>
      </c>
      <c r="F2355" s="783" t="s">
        <v>4011</v>
      </c>
      <c r="G2355" s="783" t="str">
        <f t="shared" si="124"/>
        <v>Renewal (15% in 2020)</v>
      </c>
      <c r="H2355" s="783" t="s">
        <v>6707</v>
      </c>
      <c r="I2355" s="783" t="s">
        <v>6708</v>
      </c>
      <c r="J2355" s="783">
        <v>15</v>
      </c>
      <c r="K2355" s="783" t="s">
        <v>866</v>
      </c>
      <c r="L2355" s="783" t="s">
        <v>4014</v>
      </c>
      <c r="M2355" s="784">
        <v>108834</v>
      </c>
      <c r="N2355" s="784">
        <v>51</v>
      </c>
      <c r="O2355" s="784">
        <v>10.67</v>
      </c>
      <c r="P2355" s="783">
        <v>200</v>
      </c>
      <c r="Q2355" s="783">
        <v>10393.65</v>
      </c>
      <c r="R2355" s="783">
        <v>3469.41</v>
      </c>
      <c r="S2355" s="783">
        <v>1547.84</v>
      </c>
      <c r="T2355" s="783">
        <v>5376.4</v>
      </c>
      <c r="U2355" s="785">
        <v>44637.371863425898</v>
      </c>
    </row>
    <row r="2356" spans="1:21">
      <c r="A2356" s="782">
        <v>44656</v>
      </c>
      <c r="B2356" s="783" t="s">
        <v>41</v>
      </c>
      <c r="C2356" s="783" t="s">
        <v>4092</v>
      </c>
      <c r="D2356" s="783" t="s">
        <v>4009</v>
      </c>
      <c r="E2356" s="783" t="s">
        <v>4287</v>
      </c>
      <c r="F2356" s="783" t="s">
        <v>4011</v>
      </c>
      <c r="G2356" s="783" t="str">
        <f t="shared" si="124"/>
        <v>Renewal (15% in 2020)</v>
      </c>
      <c r="H2356" s="783" t="s">
        <v>4288</v>
      </c>
      <c r="I2356" s="783" t="s">
        <v>4289</v>
      </c>
      <c r="J2356" s="783">
        <v>30</v>
      </c>
      <c r="K2356" s="783" t="s">
        <v>866</v>
      </c>
      <c r="L2356" s="783" t="s">
        <v>4014</v>
      </c>
      <c r="M2356" s="784">
        <v>35403.839999999997</v>
      </c>
      <c r="N2356" s="784">
        <v>30.4</v>
      </c>
      <c r="O2356" s="784">
        <v>6.47</v>
      </c>
      <c r="P2356" s="783">
        <v>180</v>
      </c>
      <c r="Q2356" s="783">
        <v>2095.91</v>
      </c>
      <c r="R2356" s="783">
        <v>1681.51</v>
      </c>
      <c r="S2356" s="783">
        <v>198.44</v>
      </c>
      <c r="T2356" s="783">
        <v>215.96</v>
      </c>
      <c r="U2356" s="785">
        <v>44657.630127314798</v>
      </c>
    </row>
    <row r="2357" spans="1:21">
      <c r="A2357" s="782">
        <v>44637</v>
      </c>
      <c r="B2357" s="783" t="s">
        <v>113</v>
      </c>
      <c r="C2357" s="783" t="s">
        <v>4606</v>
      </c>
      <c r="D2357" s="783" t="s">
        <v>4009</v>
      </c>
      <c r="E2357" s="783" t="s">
        <v>6831</v>
      </c>
      <c r="F2357" s="783" t="s">
        <v>4011</v>
      </c>
      <c r="G2357" s="783" t="str">
        <f t="shared" si="124"/>
        <v>Renewal (15% in 2020)</v>
      </c>
      <c r="H2357" s="783" t="s">
        <v>6832</v>
      </c>
      <c r="I2357" s="783" t="s">
        <v>6833</v>
      </c>
      <c r="J2357" s="783">
        <v>15</v>
      </c>
      <c r="K2357" s="783" t="s">
        <v>866</v>
      </c>
      <c r="L2357" s="783" t="s">
        <v>4014</v>
      </c>
      <c r="M2357" s="784">
        <v>47388</v>
      </c>
      <c r="N2357" s="784">
        <v>22</v>
      </c>
      <c r="O2357" s="784">
        <v>10.77</v>
      </c>
      <c r="P2357" s="783">
        <v>200</v>
      </c>
      <c r="Q2357" s="783">
        <v>4525.55</v>
      </c>
      <c r="R2357" s="783">
        <v>1510.63</v>
      </c>
      <c r="S2357" s="783">
        <v>673.95</v>
      </c>
      <c r="T2357" s="783">
        <v>2340.9699999999998</v>
      </c>
      <c r="U2357" s="785">
        <v>44638.383159722202</v>
      </c>
    </row>
    <row r="2358" spans="1:21">
      <c r="A2358" s="782">
        <v>44699</v>
      </c>
      <c r="B2358" s="783" t="s">
        <v>113</v>
      </c>
      <c r="C2358" s="783" t="s">
        <v>4606</v>
      </c>
      <c r="D2358" s="783" t="s">
        <v>4009</v>
      </c>
      <c r="E2358" s="783" t="s">
        <v>159</v>
      </c>
      <c r="F2358" s="783" t="s">
        <v>4011</v>
      </c>
      <c r="G2358" s="783" t="str">
        <f t="shared" si="124"/>
        <v>Renewal (15% in 2020)</v>
      </c>
      <c r="H2358" s="783" t="s">
        <v>5055</v>
      </c>
      <c r="I2358" s="783" t="s">
        <v>5056</v>
      </c>
      <c r="J2358" s="783">
        <v>15</v>
      </c>
      <c r="K2358" s="783" t="s">
        <v>866</v>
      </c>
      <c r="L2358" s="783" t="s">
        <v>4014</v>
      </c>
      <c r="M2358" s="784">
        <v>6004.4</v>
      </c>
      <c r="N2358" s="784">
        <v>4</v>
      </c>
      <c r="O2358" s="784">
        <v>8.83</v>
      </c>
      <c r="P2358" s="783">
        <v>170</v>
      </c>
      <c r="Q2358" s="783">
        <v>573.41999999999996</v>
      </c>
      <c r="R2358" s="783">
        <v>225.19</v>
      </c>
      <c r="S2358" s="783">
        <v>51.62</v>
      </c>
      <c r="T2358" s="783">
        <v>296.62</v>
      </c>
      <c r="U2358" s="785">
        <v>44700.505393518499</v>
      </c>
    </row>
    <row r="2359" spans="1:21">
      <c r="A2359" s="782">
        <v>44698</v>
      </c>
      <c r="B2359" s="783" t="s">
        <v>41</v>
      </c>
      <c r="C2359" s="783" t="s">
        <v>4092</v>
      </c>
      <c r="D2359" s="783" t="s">
        <v>4009</v>
      </c>
      <c r="E2359" s="783" t="s">
        <v>5063</v>
      </c>
      <c r="F2359" s="783" t="s">
        <v>4011</v>
      </c>
      <c r="G2359" s="783" t="str">
        <f t="shared" si="124"/>
        <v>Renewal (15% in 2020)</v>
      </c>
      <c r="H2359" s="783" t="s">
        <v>5064</v>
      </c>
      <c r="I2359" s="783" t="s">
        <v>5065</v>
      </c>
      <c r="J2359" s="783">
        <v>15</v>
      </c>
      <c r="K2359" s="783" t="s">
        <v>866</v>
      </c>
      <c r="L2359" s="783" t="s">
        <v>4014</v>
      </c>
      <c r="M2359" s="784">
        <v>5780.22</v>
      </c>
      <c r="N2359" s="784">
        <v>6.19</v>
      </c>
      <c r="O2359" s="784">
        <v>5.8</v>
      </c>
      <c r="P2359" s="783">
        <v>161</v>
      </c>
      <c r="Q2359" s="783">
        <v>701.14</v>
      </c>
      <c r="R2359" s="783">
        <v>306.93</v>
      </c>
      <c r="S2359" s="783">
        <v>58.96</v>
      </c>
      <c r="T2359" s="783">
        <v>335.25</v>
      </c>
      <c r="U2359" s="785">
        <v>44699.508784722202</v>
      </c>
    </row>
    <row r="2360" spans="1:21">
      <c r="A2360" s="782">
        <v>44698</v>
      </c>
      <c r="B2360" s="783" t="s">
        <v>41</v>
      </c>
      <c r="C2360" s="783" t="s">
        <v>4082</v>
      </c>
      <c r="D2360" s="783" t="s">
        <v>4009</v>
      </c>
      <c r="E2360" s="783" t="s">
        <v>5069</v>
      </c>
      <c r="F2360" s="783" t="s">
        <v>4011</v>
      </c>
      <c r="G2360" s="783" t="str">
        <f t="shared" si="124"/>
        <v>Renewal (15% in 2020)</v>
      </c>
      <c r="H2360" s="783" t="s">
        <v>5070</v>
      </c>
      <c r="I2360" s="783" t="s">
        <v>5071</v>
      </c>
      <c r="J2360" s="783">
        <v>15</v>
      </c>
      <c r="K2360" s="783" t="s">
        <v>866</v>
      </c>
      <c r="L2360" s="783" t="s">
        <v>4014</v>
      </c>
      <c r="M2360" s="784">
        <v>7356.48</v>
      </c>
      <c r="N2360" s="784">
        <v>7.76</v>
      </c>
      <c r="O2360" s="784">
        <v>7.9</v>
      </c>
      <c r="P2360" s="783">
        <v>120</v>
      </c>
      <c r="Q2360" s="783">
        <v>773.17</v>
      </c>
      <c r="R2360" s="783">
        <v>339.87</v>
      </c>
      <c r="S2360" s="783">
        <v>64</v>
      </c>
      <c r="T2360" s="783">
        <v>369.3</v>
      </c>
      <c r="U2360" s="785">
        <v>44699.477245370399</v>
      </c>
    </row>
    <row r="2361" spans="1:21">
      <c r="A2361" s="782">
        <v>44702</v>
      </c>
      <c r="B2361" s="783" t="s">
        <v>41</v>
      </c>
      <c r="C2361" s="783" t="s">
        <v>4092</v>
      </c>
      <c r="D2361" s="783" t="s">
        <v>4009</v>
      </c>
      <c r="E2361" s="783" t="s">
        <v>5078</v>
      </c>
      <c r="F2361" s="783" t="s">
        <v>4011</v>
      </c>
      <c r="G2361" s="783" t="str">
        <f t="shared" si="124"/>
        <v>New Contract</v>
      </c>
      <c r="H2361" s="783" t="s">
        <v>5079</v>
      </c>
      <c r="I2361" s="783" t="s">
        <v>5080</v>
      </c>
      <c r="J2361" s="783">
        <v>25</v>
      </c>
      <c r="K2361" s="783" t="s">
        <v>866</v>
      </c>
      <c r="L2361" s="783" t="s">
        <v>4014</v>
      </c>
      <c r="M2361" s="784">
        <v>1185.1199999999999</v>
      </c>
      <c r="N2361" s="784">
        <v>1.7</v>
      </c>
      <c r="O2361" s="784">
        <v>4.33</v>
      </c>
      <c r="P2361" s="783">
        <v>161</v>
      </c>
      <c r="Q2361" s="783">
        <v>82.13</v>
      </c>
      <c r="R2361" s="783">
        <v>62.93</v>
      </c>
      <c r="S2361" s="783">
        <v>12.09</v>
      </c>
      <c r="T2361" s="783">
        <v>7.11</v>
      </c>
      <c r="U2361" s="785">
        <v>44708.596215277801</v>
      </c>
    </row>
    <row r="2362" spans="1:21">
      <c r="A2362" s="782">
        <v>44704</v>
      </c>
      <c r="B2362" s="783" t="s">
        <v>41</v>
      </c>
      <c r="C2362" s="783" t="s">
        <v>4139</v>
      </c>
      <c r="D2362" s="783" t="s">
        <v>4009</v>
      </c>
      <c r="E2362" s="783" t="s">
        <v>5081</v>
      </c>
      <c r="F2362" s="783" t="s">
        <v>4011</v>
      </c>
      <c r="G2362" s="783" t="str">
        <f t="shared" si="124"/>
        <v>Renewal (30% in 2020)</v>
      </c>
      <c r="H2362" s="783" t="s">
        <v>5082</v>
      </c>
      <c r="I2362" s="783" t="s">
        <v>5083</v>
      </c>
      <c r="J2362" s="783">
        <v>30</v>
      </c>
      <c r="K2362" s="783" t="s">
        <v>866</v>
      </c>
      <c r="L2362" s="783" t="s">
        <v>4014</v>
      </c>
      <c r="M2362" s="784">
        <v>10580.01</v>
      </c>
      <c r="N2362" s="784">
        <v>11.62</v>
      </c>
      <c r="O2362" s="784">
        <v>6.07</v>
      </c>
      <c r="P2362" s="783">
        <v>150</v>
      </c>
      <c r="Q2362" s="783">
        <v>544.87</v>
      </c>
      <c r="R2362" s="783">
        <v>491.97</v>
      </c>
      <c r="S2362" s="783">
        <v>0</v>
      </c>
      <c r="T2362" s="783">
        <v>52.9</v>
      </c>
      <c r="U2362" s="785">
        <v>44704.632754629602</v>
      </c>
    </row>
    <row r="2363" spans="1:21">
      <c r="A2363" s="782">
        <v>44705</v>
      </c>
      <c r="B2363" s="783" t="s">
        <v>41</v>
      </c>
      <c r="C2363" s="783" t="s">
        <v>4139</v>
      </c>
      <c r="D2363" s="783" t="s">
        <v>4009</v>
      </c>
      <c r="E2363" s="783" t="s">
        <v>5090</v>
      </c>
      <c r="F2363" s="783" t="s">
        <v>4011</v>
      </c>
      <c r="G2363" s="783" t="str">
        <f t="shared" si="124"/>
        <v>Renewal (30% in 2020)</v>
      </c>
      <c r="H2363" s="783" t="s">
        <v>5091</v>
      </c>
      <c r="I2363" s="783" t="s">
        <v>5092</v>
      </c>
      <c r="J2363" s="783">
        <v>30</v>
      </c>
      <c r="K2363" s="783" t="s">
        <v>866</v>
      </c>
      <c r="L2363" s="783" t="s">
        <v>4014</v>
      </c>
      <c r="M2363" s="784">
        <v>31118.42</v>
      </c>
      <c r="N2363" s="784">
        <v>24.07</v>
      </c>
      <c r="O2363" s="784">
        <v>8.0299999999999994</v>
      </c>
      <c r="P2363" s="783">
        <v>161</v>
      </c>
      <c r="Q2363" s="783">
        <v>1602.6</v>
      </c>
      <c r="R2363" s="783">
        <v>1447.01</v>
      </c>
      <c r="S2363" s="783">
        <v>0</v>
      </c>
      <c r="T2363" s="783">
        <v>155.59</v>
      </c>
      <c r="U2363" s="785">
        <v>44708.953414351898</v>
      </c>
    </row>
    <row r="2364" spans="1:21">
      <c r="A2364" s="782">
        <v>44711</v>
      </c>
      <c r="B2364" s="783" t="s">
        <v>113</v>
      </c>
      <c r="C2364" s="783" t="s">
        <v>4598</v>
      </c>
      <c r="D2364" s="783" t="s">
        <v>4009</v>
      </c>
      <c r="E2364" s="783" t="s">
        <v>6834</v>
      </c>
      <c r="F2364" s="783" t="s">
        <v>4011</v>
      </c>
      <c r="G2364" s="783" t="s">
        <v>4028</v>
      </c>
      <c r="H2364" s="783" t="s">
        <v>6835</v>
      </c>
      <c r="I2364" s="783" t="s">
        <v>6836</v>
      </c>
      <c r="J2364" s="783">
        <v>25</v>
      </c>
      <c r="K2364" s="783" t="s">
        <v>866</v>
      </c>
      <c r="L2364" s="783" t="s">
        <v>4014</v>
      </c>
      <c r="M2364" s="784">
        <v>31202.81</v>
      </c>
      <c r="N2364" s="784">
        <v>23.66</v>
      </c>
      <c r="O2364" s="784">
        <v>9.42</v>
      </c>
      <c r="P2364" s="783">
        <v>140</v>
      </c>
      <c r="Q2364" s="783">
        <v>1831.6</v>
      </c>
      <c r="R2364" s="783">
        <v>1160.74</v>
      </c>
      <c r="S2364" s="783">
        <v>293.31</v>
      </c>
      <c r="T2364" s="783">
        <v>377.55</v>
      </c>
      <c r="U2364" s="785">
        <v>44713.978576388901</v>
      </c>
    </row>
    <row r="2365" spans="1:21">
      <c r="A2365" s="782">
        <v>44712</v>
      </c>
      <c r="B2365" s="783" t="s">
        <v>113</v>
      </c>
      <c r="C2365" s="783" t="s">
        <v>4606</v>
      </c>
      <c r="D2365" s="783" t="s">
        <v>4009</v>
      </c>
      <c r="E2365" s="783" t="s">
        <v>6837</v>
      </c>
      <c r="F2365" s="783" t="s">
        <v>4011</v>
      </c>
      <c r="G2365" s="783" t="s">
        <v>4028</v>
      </c>
      <c r="H2365" s="783" t="s">
        <v>6838</v>
      </c>
      <c r="I2365" s="783" t="s">
        <v>6839</v>
      </c>
      <c r="J2365" s="783">
        <v>20</v>
      </c>
      <c r="K2365" s="783" t="s">
        <v>866</v>
      </c>
      <c r="L2365" s="783" t="s">
        <v>4014</v>
      </c>
      <c r="M2365" s="784">
        <v>56501.760000000002</v>
      </c>
      <c r="N2365" s="784">
        <v>31.53</v>
      </c>
      <c r="O2365" s="784">
        <v>11.2</v>
      </c>
      <c r="P2365" s="783">
        <v>160</v>
      </c>
      <c r="Q2365" s="783">
        <v>4186.78</v>
      </c>
      <c r="R2365" s="783">
        <v>2237.4699999999998</v>
      </c>
      <c r="S2365" s="783">
        <v>367.26</v>
      </c>
      <c r="T2365" s="783">
        <v>1582.05</v>
      </c>
      <c r="U2365" s="785">
        <v>44714.022928240702</v>
      </c>
    </row>
    <row r="2366" spans="1:21">
      <c r="A2366" s="782">
        <v>44686</v>
      </c>
      <c r="B2366" s="783" t="s">
        <v>41</v>
      </c>
      <c r="C2366" s="783" t="s">
        <v>4082</v>
      </c>
      <c r="D2366" s="783" t="s">
        <v>4009</v>
      </c>
      <c r="E2366" s="783" t="s">
        <v>4566</v>
      </c>
      <c r="F2366" s="783" t="s">
        <v>4011</v>
      </c>
      <c r="G2366" s="783" t="str">
        <f>VLOOKUP(I2366,pacage,2,FALSE)</f>
        <v>Renewal (25% in 2020)</v>
      </c>
      <c r="H2366" s="783" t="s">
        <v>4567</v>
      </c>
      <c r="I2366" s="783" t="s">
        <v>4568</v>
      </c>
      <c r="J2366" s="783">
        <v>25</v>
      </c>
      <c r="K2366" s="783" t="s">
        <v>866</v>
      </c>
      <c r="L2366" s="783" t="s">
        <v>4014</v>
      </c>
      <c r="M2366" s="784">
        <v>23366.48</v>
      </c>
      <c r="N2366" s="784">
        <v>16.53</v>
      </c>
      <c r="O2366" s="784">
        <v>8.7799999999999994</v>
      </c>
      <c r="P2366" s="783">
        <v>161</v>
      </c>
      <c r="Q2366" s="783">
        <v>1404.33</v>
      </c>
      <c r="R2366" s="783">
        <v>1079.53</v>
      </c>
      <c r="S2366" s="783">
        <v>203.29</v>
      </c>
      <c r="T2366" s="783">
        <v>121.51</v>
      </c>
      <c r="U2366" s="785">
        <v>44687.616493055597</v>
      </c>
    </row>
    <row r="2367" spans="1:21">
      <c r="A2367" s="782">
        <v>44686</v>
      </c>
      <c r="B2367" s="783" t="s">
        <v>41</v>
      </c>
      <c r="C2367" s="783" t="s">
        <v>4071</v>
      </c>
      <c r="D2367" s="783" t="s">
        <v>4009</v>
      </c>
      <c r="E2367" s="783" t="s">
        <v>505</v>
      </c>
      <c r="F2367" s="783" t="s">
        <v>4011</v>
      </c>
      <c r="G2367" s="783" t="str">
        <f>VLOOKUP(I2367,pacage,2,FALSE)</f>
        <v>Renewal (15% in 2020)</v>
      </c>
      <c r="H2367" s="783" t="s">
        <v>4112</v>
      </c>
      <c r="I2367" s="783" t="s">
        <v>4113</v>
      </c>
      <c r="J2367" s="783">
        <v>15</v>
      </c>
      <c r="K2367" s="783" t="s">
        <v>866</v>
      </c>
      <c r="L2367" s="783" t="s">
        <v>4014</v>
      </c>
      <c r="M2367" s="784">
        <v>37077.4</v>
      </c>
      <c r="N2367" s="784">
        <v>38.64</v>
      </c>
      <c r="O2367" s="784">
        <v>5.96</v>
      </c>
      <c r="P2367" s="783">
        <v>161</v>
      </c>
      <c r="Q2367" s="783">
        <v>5094.43</v>
      </c>
      <c r="R2367" s="783">
        <v>2298.8000000000002</v>
      </c>
      <c r="S2367" s="783">
        <v>367.07</v>
      </c>
      <c r="T2367" s="783">
        <v>2428.5700000000002</v>
      </c>
      <c r="U2367" s="785">
        <v>44687.621041666702</v>
      </c>
    </row>
    <row r="2368" spans="1:21">
      <c r="A2368" s="782">
        <v>44689</v>
      </c>
      <c r="B2368" s="783" t="s">
        <v>113</v>
      </c>
      <c r="C2368" s="783" t="s">
        <v>6308</v>
      </c>
      <c r="D2368" s="783" t="s">
        <v>4038</v>
      </c>
      <c r="E2368" s="783" t="s">
        <v>6840</v>
      </c>
      <c r="F2368" s="783" t="s">
        <v>4011</v>
      </c>
      <c r="G2368" s="783" t="s">
        <v>4028</v>
      </c>
      <c r="H2368" s="783" t="s">
        <v>6841</v>
      </c>
      <c r="I2368" s="783" t="s">
        <v>6842</v>
      </c>
      <c r="J2368" s="783">
        <v>20</v>
      </c>
      <c r="K2368" s="783" t="s">
        <v>866</v>
      </c>
      <c r="L2368" s="783" t="s">
        <v>4014</v>
      </c>
      <c r="M2368" s="784">
        <v>7840</v>
      </c>
      <c r="N2368" s="784">
        <v>3.92</v>
      </c>
      <c r="O2368" s="784">
        <v>10</v>
      </c>
      <c r="P2368" s="783">
        <v>200</v>
      </c>
      <c r="Q2368" s="783">
        <v>711.87</v>
      </c>
      <c r="R2368" s="783">
        <v>301.68</v>
      </c>
      <c r="S2368" s="783">
        <v>135.01</v>
      </c>
      <c r="T2368" s="783">
        <v>275.18</v>
      </c>
      <c r="U2368" s="785">
        <v>44690.6492939815</v>
      </c>
    </row>
    <row r="2369" spans="1:21">
      <c r="A2369" s="782">
        <v>44692</v>
      </c>
      <c r="B2369" s="783" t="s">
        <v>30</v>
      </c>
      <c r="C2369" s="783" t="s">
        <v>4239</v>
      </c>
      <c r="D2369" s="783" t="s">
        <v>4021</v>
      </c>
      <c r="E2369" s="783" t="s">
        <v>5112</v>
      </c>
      <c r="F2369" s="783" t="s">
        <v>4011</v>
      </c>
      <c r="G2369" s="783" t="str">
        <f>VLOOKUP(I2369,pacage,2,FALSE)</f>
        <v>Renewal (30% in 2020)</v>
      </c>
      <c r="H2369" s="783" t="s">
        <v>5113</v>
      </c>
      <c r="I2369" s="783" t="s">
        <v>5114</v>
      </c>
      <c r="J2369" s="783">
        <v>25</v>
      </c>
      <c r="K2369" s="783" t="s">
        <v>866</v>
      </c>
      <c r="L2369" s="783" t="s">
        <v>4014</v>
      </c>
      <c r="M2369" s="784">
        <v>80291</v>
      </c>
      <c r="N2369" s="784">
        <v>47.23</v>
      </c>
      <c r="O2369" s="784">
        <v>10</v>
      </c>
      <c r="P2369" s="783">
        <v>170</v>
      </c>
      <c r="Q2369" s="783">
        <v>4255.42</v>
      </c>
      <c r="R2369" s="783">
        <v>2889.53</v>
      </c>
      <c r="S2369" s="783">
        <v>835.97</v>
      </c>
      <c r="T2369" s="783">
        <v>529.91999999999996</v>
      </c>
      <c r="U2369" s="785">
        <v>44692.484965277799</v>
      </c>
    </row>
    <row r="2370" spans="1:21">
      <c r="A2370" s="782">
        <v>44687</v>
      </c>
      <c r="B2370" s="783" t="s">
        <v>113</v>
      </c>
      <c r="C2370" s="783" t="s">
        <v>4606</v>
      </c>
      <c r="D2370" s="783" t="s">
        <v>4009</v>
      </c>
      <c r="E2370" s="783" t="s">
        <v>6843</v>
      </c>
      <c r="F2370" s="783" t="s">
        <v>4011</v>
      </c>
      <c r="G2370" s="783" t="s">
        <v>4028</v>
      </c>
      <c r="H2370" s="783" t="s">
        <v>6844</v>
      </c>
      <c r="I2370" s="783" t="s">
        <v>6845</v>
      </c>
      <c r="J2370" s="783">
        <v>20</v>
      </c>
      <c r="K2370" s="783" t="s">
        <v>866</v>
      </c>
      <c r="L2370" s="783" t="s">
        <v>4014</v>
      </c>
      <c r="M2370" s="784">
        <v>97442.38</v>
      </c>
      <c r="N2370" s="784">
        <v>43.05</v>
      </c>
      <c r="O2370" s="784">
        <v>10.83</v>
      </c>
      <c r="P2370" s="783">
        <v>209</v>
      </c>
      <c r="Q2370" s="783">
        <v>7220.48</v>
      </c>
      <c r="R2370" s="783">
        <v>2972.51</v>
      </c>
      <c r="S2370" s="783">
        <v>1519.59</v>
      </c>
      <c r="T2370" s="783">
        <v>2728.39</v>
      </c>
      <c r="U2370" s="785">
        <v>44690.604062500002</v>
      </c>
    </row>
    <row r="2371" spans="1:21">
      <c r="A2371" s="782">
        <v>44684</v>
      </c>
      <c r="B2371" s="783" t="s">
        <v>4025</v>
      </c>
      <c r="C2371" s="783" t="s">
        <v>4026</v>
      </c>
      <c r="D2371" s="783" t="s">
        <v>4021</v>
      </c>
      <c r="E2371" s="783" t="s">
        <v>5117</v>
      </c>
      <c r="F2371" s="783" t="s">
        <v>4011</v>
      </c>
      <c r="G2371" s="783" t="str">
        <f>VLOOKUP(I2371,pacage,2,FALSE)</f>
        <v>New Contract</v>
      </c>
      <c r="H2371" s="783" t="s">
        <v>5118</v>
      </c>
      <c r="I2371" s="783" t="s">
        <v>5119</v>
      </c>
      <c r="J2371" s="783">
        <v>25</v>
      </c>
      <c r="K2371" s="783" t="s">
        <v>866</v>
      </c>
      <c r="L2371" s="783" t="s">
        <v>4014</v>
      </c>
      <c r="M2371" s="784">
        <v>10495.95</v>
      </c>
      <c r="N2371" s="784">
        <v>5.01</v>
      </c>
      <c r="O2371" s="784">
        <v>8.3800000000000008</v>
      </c>
      <c r="P2371" s="783">
        <v>250</v>
      </c>
      <c r="Q2371" s="783">
        <v>672.79</v>
      </c>
      <c r="R2371" s="783">
        <v>319.72000000000003</v>
      </c>
      <c r="S2371" s="783">
        <v>256.51</v>
      </c>
      <c r="T2371" s="783">
        <v>96.56</v>
      </c>
      <c r="U2371" s="785">
        <v>44685.446550925903</v>
      </c>
    </row>
    <row r="2372" spans="1:21">
      <c r="A2372" s="782">
        <v>44681</v>
      </c>
      <c r="B2372" s="783" t="s">
        <v>4025</v>
      </c>
      <c r="C2372" s="783" t="s">
        <v>4026</v>
      </c>
      <c r="D2372" s="783" t="s">
        <v>4021</v>
      </c>
      <c r="E2372" s="783" t="s">
        <v>5123</v>
      </c>
      <c r="F2372" s="783" t="s">
        <v>4011</v>
      </c>
      <c r="G2372" s="783" t="str">
        <f>VLOOKUP(I2372,pacage,2,FALSE)</f>
        <v>New Contract</v>
      </c>
      <c r="H2372" s="783" t="s">
        <v>5124</v>
      </c>
      <c r="I2372" s="783" t="s">
        <v>5125</v>
      </c>
      <c r="J2372" s="783">
        <v>20</v>
      </c>
      <c r="K2372" s="783" t="s">
        <v>866</v>
      </c>
      <c r="L2372" s="783" t="s">
        <v>4014</v>
      </c>
      <c r="M2372" s="784">
        <v>7815.92</v>
      </c>
      <c r="N2372" s="784">
        <v>4.76</v>
      </c>
      <c r="O2372" s="784">
        <v>8.2100000000000009</v>
      </c>
      <c r="P2372" s="783">
        <v>200</v>
      </c>
      <c r="Q2372" s="783">
        <v>642.47</v>
      </c>
      <c r="R2372" s="783">
        <v>297.60000000000002</v>
      </c>
      <c r="S2372" s="783">
        <v>131.49</v>
      </c>
      <c r="T2372" s="783">
        <v>213.37</v>
      </c>
      <c r="U2372" s="785">
        <v>44701.992164351897</v>
      </c>
    </row>
    <row r="2373" spans="1:21">
      <c r="A2373" s="782">
        <v>44685</v>
      </c>
      <c r="B2373" s="783" t="s">
        <v>41</v>
      </c>
      <c r="C2373" s="783" t="s">
        <v>4139</v>
      </c>
      <c r="D2373" s="783" t="s">
        <v>4009</v>
      </c>
      <c r="E2373" s="783" t="s">
        <v>737</v>
      </c>
      <c r="F2373" s="783" t="s">
        <v>4011</v>
      </c>
      <c r="G2373" s="783" t="str">
        <f>VLOOKUP(I2373,pacage,2,FALSE)</f>
        <v>Renewal (20% in 2020)</v>
      </c>
      <c r="H2373" s="783" t="s">
        <v>5130</v>
      </c>
      <c r="I2373" s="783" t="s">
        <v>5131</v>
      </c>
      <c r="J2373" s="783">
        <v>20</v>
      </c>
      <c r="K2373" s="783" t="s">
        <v>866</v>
      </c>
      <c r="L2373" s="783" t="s">
        <v>4014</v>
      </c>
      <c r="M2373" s="784">
        <v>37386.68</v>
      </c>
      <c r="N2373" s="784">
        <v>31.14</v>
      </c>
      <c r="O2373" s="784">
        <v>6.67</v>
      </c>
      <c r="P2373" s="783">
        <v>180</v>
      </c>
      <c r="Q2373" s="783">
        <v>2867.56</v>
      </c>
      <c r="R2373" s="783">
        <v>1554.97</v>
      </c>
      <c r="S2373" s="783">
        <v>467.65</v>
      </c>
      <c r="T2373" s="783">
        <v>844.94</v>
      </c>
      <c r="U2373" s="785">
        <v>44687.665717592601</v>
      </c>
    </row>
    <row r="2374" spans="1:21">
      <c r="A2374" s="782">
        <v>44685</v>
      </c>
      <c r="B2374" s="783" t="s">
        <v>113</v>
      </c>
      <c r="C2374" s="783" t="s">
        <v>4606</v>
      </c>
      <c r="D2374" s="783" t="s">
        <v>4009</v>
      </c>
      <c r="E2374" s="783" t="s">
        <v>6846</v>
      </c>
      <c r="F2374" s="783" t="s">
        <v>4011</v>
      </c>
      <c r="G2374" s="783" t="s">
        <v>4028</v>
      </c>
      <c r="H2374" s="783" t="s">
        <v>6847</v>
      </c>
      <c r="I2374" s="783" t="s">
        <v>6848</v>
      </c>
      <c r="J2374" s="783">
        <v>25</v>
      </c>
      <c r="K2374" s="783" t="s">
        <v>866</v>
      </c>
      <c r="L2374" s="783" t="s">
        <v>4014</v>
      </c>
      <c r="M2374" s="784">
        <v>14572.8</v>
      </c>
      <c r="N2374" s="784">
        <v>5.52</v>
      </c>
      <c r="O2374" s="784">
        <v>13.2</v>
      </c>
      <c r="P2374" s="783">
        <v>200</v>
      </c>
      <c r="Q2374" s="783">
        <v>871.45</v>
      </c>
      <c r="R2374" s="783">
        <v>464.55</v>
      </c>
      <c r="S2374" s="783">
        <v>207.25</v>
      </c>
      <c r="T2374" s="783">
        <v>199.65</v>
      </c>
      <c r="U2374" s="785">
        <v>44685.670335648101</v>
      </c>
    </row>
    <row r="2375" spans="1:21">
      <c r="A2375" s="782">
        <v>44697</v>
      </c>
      <c r="B2375" s="783" t="s">
        <v>41</v>
      </c>
      <c r="C2375" s="783" t="s">
        <v>4082</v>
      </c>
      <c r="D2375" s="783" t="s">
        <v>4009</v>
      </c>
      <c r="E2375" s="783" t="s">
        <v>5132</v>
      </c>
      <c r="F2375" s="783" t="s">
        <v>4011</v>
      </c>
      <c r="G2375" s="783" t="str">
        <f>VLOOKUP(I2375,pacage,2,FALSE)</f>
        <v>Renewal (15% in 2020)</v>
      </c>
      <c r="H2375" s="783" t="s">
        <v>5133</v>
      </c>
      <c r="I2375" s="783" t="s">
        <v>5134</v>
      </c>
      <c r="J2375" s="783">
        <v>20</v>
      </c>
      <c r="K2375" s="783" t="s">
        <v>866</v>
      </c>
      <c r="L2375" s="783" t="s">
        <v>4014</v>
      </c>
      <c r="M2375" s="784">
        <v>10981.65</v>
      </c>
      <c r="N2375" s="784">
        <v>8.9499999999999993</v>
      </c>
      <c r="O2375" s="784">
        <v>8.18</v>
      </c>
      <c r="P2375" s="783">
        <v>150</v>
      </c>
      <c r="Q2375" s="783">
        <v>859.86</v>
      </c>
      <c r="R2375" s="783">
        <v>507.35</v>
      </c>
      <c r="S2375" s="783">
        <v>95.54</v>
      </c>
      <c r="T2375" s="783">
        <v>256.97000000000003</v>
      </c>
      <c r="U2375" s="785">
        <v>44705.6020138889</v>
      </c>
    </row>
    <row r="2376" spans="1:21">
      <c r="A2376" s="782">
        <v>44687</v>
      </c>
      <c r="B2376" s="783" t="s">
        <v>113</v>
      </c>
      <c r="C2376" s="783" t="s">
        <v>4606</v>
      </c>
      <c r="D2376" s="783" t="s">
        <v>4009</v>
      </c>
      <c r="E2376" s="783" t="s">
        <v>3571</v>
      </c>
      <c r="F2376" s="783" t="s">
        <v>4011</v>
      </c>
      <c r="G2376" s="783" t="str">
        <f>VLOOKUP(I2376,pacage,2,FALSE)</f>
        <v>Renewal (25% in 2020)</v>
      </c>
      <c r="H2376" s="783" t="s">
        <v>6849</v>
      </c>
      <c r="I2376" s="783" t="s">
        <v>6850</v>
      </c>
      <c r="J2376" s="783">
        <v>25</v>
      </c>
      <c r="K2376" s="783" t="s">
        <v>866</v>
      </c>
      <c r="L2376" s="783" t="s">
        <v>4014</v>
      </c>
      <c r="M2376" s="784">
        <v>10381.65</v>
      </c>
      <c r="N2376" s="784">
        <v>6.7</v>
      </c>
      <c r="O2376" s="784">
        <v>10.33</v>
      </c>
      <c r="P2376" s="783">
        <v>150</v>
      </c>
      <c r="Q2376" s="783">
        <v>620.82000000000005</v>
      </c>
      <c r="R2376" s="783">
        <v>411.11</v>
      </c>
      <c r="S2376" s="783">
        <v>67.48</v>
      </c>
      <c r="T2376" s="783">
        <v>142.22999999999999</v>
      </c>
      <c r="U2376" s="785">
        <v>44690.627534722204</v>
      </c>
    </row>
    <row r="2377" spans="1:21">
      <c r="A2377" s="782">
        <v>44692</v>
      </c>
      <c r="B2377" s="783" t="s">
        <v>74</v>
      </c>
      <c r="C2377" s="783" t="s">
        <v>4037</v>
      </c>
      <c r="D2377" s="783" t="s">
        <v>4038</v>
      </c>
      <c r="E2377" s="783" t="s">
        <v>4572</v>
      </c>
      <c r="F2377" s="783" t="s">
        <v>4011</v>
      </c>
      <c r="G2377" s="783" t="str">
        <f>VLOOKUP(I2377,pacage,2,FALSE)</f>
        <v>Renewal (15% in 2020)</v>
      </c>
      <c r="H2377" s="783" t="s">
        <v>4573</v>
      </c>
      <c r="I2377" s="783" t="s">
        <v>4574</v>
      </c>
      <c r="J2377" s="783">
        <v>25</v>
      </c>
      <c r="K2377" s="783" t="s">
        <v>866</v>
      </c>
      <c r="L2377" s="783" t="s">
        <v>4014</v>
      </c>
      <c r="M2377" s="784">
        <v>48676.32</v>
      </c>
      <c r="N2377" s="784">
        <v>35.119999999999997</v>
      </c>
      <c r="O2377" s="784">
        <v>6.93</v>
      </c>
      <c r="P2377" s="783">
        <v>200</v>
      </c>
      <c r="Q2377" s="783">
        <v>3937.91</v>
      </c>
      <c r="R2377" s="783">
        <v>2162.98</v>
      </c>
      <c r="S2377" s="783">
        <v>971.77</v>
      </c>
      <c r="T2377" s="783">
        <v>803.16</v>
      </c>
      <c r="U2377" s="785">
        <v>44692.518634259301</v>
      </c>
    </row>
    <row r="2378" spans="1:21">
      <c r="A2378" s="782">
        <v>44687</v>
      </c>
      <c r="B2378" s="783" t="s">
        <v>41</v>
      </c>
      <c r="C2378" s="783" t="s">
        <v>4071</v>
      </c>
      <c r="D2378" s="783" t="s">
        <v>4009</v>
      </c>
      <c r="E2378" s="783" t="s">
        <v>404</v>
      </c>
      <c r="F2378" s="783" t="s">
        <v>4011</v>
      </c>
      <c r="G2378" s="783" t="str">
        <f>VLOOKUP(I2378,pacage,2,FALSE)</f>
        <v>Renewal (15% in 2020)</v>
      </c>
      <c r="H2378" s="783" t="s">
        <v>5135</v>
      </c>
      <c r="I2378" s="783" t="s">
        <v>5136</v>
      </c>
      <c r="J2378" s="783">
        <v>15</v>
      </c>
      <c r="K2378" s="783" t="s">
        <v>866</v>
      </c>
      <c r="L2378" s="783" t="s">
        <v>4014</v>
      </c>
      <c r="M2378" s="784">
        <v>10618.26</v>
      </c>
      <c r="N2378" s="784">
        <v>10.43</v>
      </c>
      <c r="O2378" s="784">
        <v>6.17</v>
      </c>
      <c r="P2378" s="783">
        <v>165</v>
      </c>
      <c r="Q2378" s="783">
        <v>1458.95</v>
      </c>
      <c r="R2378" s="783">
        <v>642.37</v>
      </c>
      <c r="S2378" s="783">
        <v>121.08</v>
      </c>
      <c r="T2378" s="783">
        <v>695.5</v>
      </c>
      <c r="U2378" s="785">
        <v>44687.593969907401</v>
      </c>
    </row>
    <row r="2379" spans="1:21">
      <c r="A2379" s="782">
        <v>44687</v>
      </c>
      <c r="B2379" s="783" t="s">
        <v>41</v>
      </c>
      <c r="C2379" s="783" t="s">
        <v>4092</v>
      </c>
      <c r="D2379" s="783" t="s">
        <v>4009</v>
      </c>
      <c r="E2379" s="783" t="s">
        <v>404</v>
      </c>
      <c r="F2379" s="783" t="s">
        <v>4011</v>
      </c>
      <c r="G2379" s="783" t="str">
        <f>VLOOKUP(I2379,pacage,2,FALSE)</f>
        <v>Renewal (15% in 2020)</v>
      </c>
      <c r="H2379" s="783" t="s">
        <v>5135</v>
      </c>
      <c r="I2379" s="783" t="s">
        <v>5136</v>
      </c>
      <c r="J2379" s="783">
        <v>15</v>
      </c>
      <c r="K2379" s="783" t="s">
        <v>866</v>
      </c>
      <c r="L2379" s="783" t="s">
        <v>4014</v>
      </c>
      <c r="M2379" s="784">
        <v>9528.9500000000007</v>
      </c>
      <c r="N2379" s="784">
        <v>9.36</v>
      </c>
      <c r="O2379" s="784">
        <v>6.17</v>
      </c>
      <c r="P2379" s="783">
        <v>165</v>
      </c>
      <c r="Q2379" s="783">
        <v>1155.8599999999999</v>
      </c>
      <c r="R2379" s="783">
        <v>493.72</v>
      </c>
      <c r="S2379" s="783">
        <v>109.46</v>
      </c>
      <c r="T2379" s="783">
        <v>552.67999999999995</v>
      </c>
      <c r="U2379" s="785">
        <v>44687.593981481499</v>
      </c>
    </row>
    <row r="2380" spans="1:21">
      <c r="A2380" s="782">
        <v>44687</v>
      </c>
      <c r="B2380" s="783" t="s">
        <v>113</v>
      </c>
      <c r="C2380" s="783" t="s">
        <v>4606</v>
      </c>
      <c r="D2380" s="783" t="s">
        <v>4009</v>
      </c>
      <c r="E2380" s="783" t="s">
        <v>1542</v>
      </c>
      <c r="F2380" s="783" t="s">
        <v>4011</v>
      </c>
      <c r="G2380" s="783" t="s">
        <v>4028</v>
      </c>
      <c r="H2380" s="783" t="s">
        <v>6851</v>
      </c>
      <c r="I2380" s="783" t="s">
        <v>6852</v>
      </c>
      <c r="J2380" s="783">
        <v>15</v>
      </c>
      <c r="K2380" s="783" t="s">
        <v>866</v>
      </c>
      <c r="L2380" s="783" t="s">
        <v>4014</v>
      </c>
      <c r="M2380" s="784">
        <v>12949.74</v>
      </c>
      <c r="N2380" s="784">
        <v>7.35</v>
      </c>
      <c r="O2380" s="784">
        <v>8.43</v>
      </c>
      <c r="P2380" s="783">
        <v>209</v>
      </c>
      <c r="Q2380" s="783">
        <v>1236.7</v>
      </c>
      <c r="R2380" s="783">
        <v>395.04</v>
      </c>
      <c r="S2380" s="783">
        <v>201.95</v>
      </c>
      <c r="T2380" s="783">
        <v>639.72</v>
      </c>
      <c r="U2380" s="785">
        <v>44687.604768518497</v>
      </c>
    </row>
    <row r="2381" spans="1:21">
      <c r="A2381" s="782">
        <v>44687</v>
      </c>
      <c r="B2381" s="783" t="s">
        <v>228</v>
      </c>
      <c r="C2381" s="783" t="s">
        <v>4247</v>
      </c>
      <c r="D2381" s="783" t="s">
        <v>4248</v>
      </c>
      <c r="E2381" s="783" t="s">
        <v>3566</v>
      </c>
      <c r="F2381" s="783" t="s">
        <v>4011</v>
      </c>
      <c r="G2381" s="783" t="str">
        <f t="shared" ref="G2381:G2388" si="125">VLOOKUP(I2381,pacage,2,FALSE)</f>
        <v>Renewal (25% in 2020)</v>
      </c>
      <c r="H2381" s="783" t="s">
        <v>4249</v>
      </c>
      <c r="I2381" s="783" t="s">
        <v>4250</v>
      </c>
      <c r="J2381" s="783">
        <v>25</v>
      </c>
      <c r="K2381" s="783" t="s">
        <v>866</v>
      </c>
      <c r="L2381" s="783" t="s">
        <v>4014</v>
      </c>
      <c r="M2381" s="784">
        <v>20519.64</v>
      </c>
      <c r="N2381" s="784">
        <v>11.73</v>
      </c>
      <c r="O2381" s="784">
        <v>8.3699999999999992</v>
      </c>
      <c r="P2381" s="783">
        <v>209</v>
      </c>
      <c r="Q2381" s="783">
        <v>1278.3699999999999</v>
      </c>
      <c r="R2381" s="783">
        <v>763.48</v>
      </c>
      <c r="S2381" s="783">
        <v>385.62</v>
      </c>
      <c r="T2381" s="783">
        <v>129.27000000000001</v>
      </c>
      <c r="U2381" s="785">
        <v>44687.670960648102</v>
      </c>
    </row>
    <row r="2382" spans="1:21">
      <c r="A2382" s="782">
        <v>44690</v>
      </c>
      <c r="B2382" s="783" t="s">
        <v>41</v>
      </c>
      <c r="C2382" s="783" t="s">
        <v>4071</v>
      </c>
      <c r="D2382" s="783" t="s">
        <v>4009</v>
      </c>
      <c r="E2382" s="783" t="s">
        <v>1570</v>
      </c>
      <c r="F2382" s="783" t="s">
        <v>4011</v>
      </c>
      <c r="G2382" s="783" t="str">
        <f t="shared" si="125"/>
        <v>Renewal (30% in 2020)</v>
      </c>
      <c r="H2382" s="783" t="s">
        <v>5140</v>
      </c>
      <c r="I2382" s="783" t="s">
        <v>5141</v>
      </c>
      <c r="J2382" s="783">
        <v>30</v>
      </c>
      <c r="K2382" s="783" t="s">
        <v>866</v>
      </c>
      <c r="L2382" s="783" t="s">
        <v>4014</v>
      </c>
      <c r="M2382" s="784">
        <v>3062.4</v>
      </c>
      <c r="N2382" s="784">
        <v>2.4</v>
      </c>
      <c r="O2382" s="784">
        <v>6.38</v>
      </c>
      <c r="P2382" s="783">
        <v>200</v>
      </c>
      <c r="Q2382" s="783">
        <v>210.39</v>
      </c>
      <c r="R2382" s="783">
        <v>152.84</v>
      </c>
      <c r="S2382" s="783">
        <v>37.020000000000003</v>
      </c>
      <c r="T2382" s="783">
        <v>20.52</v>
      </c>
      <c r="U2382" s="785">
        <v>44691.507743055598</v>
      </c>
    </row>
    <row r="2383" spans="1:21">
      <c r="A2383" s="782">
        <v>44690</v>
      </c>
      <c r="B2383" s="783" t="s">
        <v>41</v>
      </c>
      <c r="C2383" s="783" t="s">
        <v>4092</v>
      </c>
      <c r="D2383" s="783" t="s">
        <v>4009</v>
      </c>
      <c r="E2383" s="783" t="s">
        <v>1570</v>
      </c>
      <c r="F2383" s="783" t="s">
        <v>4011</v>
      </c>
      <c r="G2383" s="783" t="str">
        <f t="shared" si="125"/>
        <v>Renewal (30% in 2020)</v>
      </c>
      <c r="H2383" s="783" t="s">
        <v>5140</v>
      </c>
      <c r="I2383" s="783" t="s">
        <v>5141</v>
      </c>
      <c r="J2383" s="783">
        <v>30</v>
      </c>
      <c r="K2383" s="783" t="s">
        <v>866</v>
      </c>
      <c r="L2383" s="783" t="s">
        <v>4014</v>
      </c>
      <c r="M2383" s="784">
        <v>3343.12</v>
      </c>
      <c r="N2383" s="784">
        <v>2.62</v>
      </c>
      <c r="O2383" s="784">
        <v>6.38</v>
      </c>
      <c r="P2383" s="783">
        <v>200</v>
      </c>
      <c r="Q2383" s="783">
        <v>197.91</v>
      </c>
      <c r="R2383" s="783">
        <v>142.9</v>
      </c>
      <c r="S2383" s="783">
        <v>34.619999999999997</v>
      </c>
      <c r="T2383" s="783">
        <v>20.39</v>
      </c>
      <c r="U2383" s="785">
        <v>44691.507754629602</v>
      </c>
    </row>
    <row r="2384" spans="1:21">
      <c r="A2384" s="782">
        <v>44685</v>
      </c>
      <c r="B2384" s="783" t="s">
        <v>30</v>
      </c>
      <c r="C2384" s="783" t="s">
        <v>4939</v>
      </c>
      <c r="D2384" s="783" t="s">
        <v>4021</v>
      </c>
      <c r="E2384" s="783" t="s">
        <v>5144</v>
      </c>
      <c r="F2384" s="783" t="s">
        <v>4011</v>
      </c>
      <c r="G2384" s="783" t="str">
        <f t="shared" si="125"/>
        <v>Renewal (20% in 2020)</v>
      </c>
      <c r="H2384" s="783" t="s">
        <v>5145</v>
      </c>
      <c r="I2384" s="783" t="s">
        <v>5146</v>
      </c>
      <c r="J2384" s="783">
        <v>20</v>
      </c>
      <c r="K2384" s="783" t="s">
        <v>866</v>
      </c>
      <c r="L2384" s="783" t="s">
        <v>4014</v>
      </c>
      <c r="M2384" s="784">
        <v>38390.400000000001</v>
      </c>
      <c r="N2384" s="784">
        <v>28.8</v>
      </c>
      <c r="O2384" s="784">
        <v>8.6</v>
      </c>
      <c r="P2384" s="783">
        <v>155</v>
      </c>
      <c r="Q2384" s="783">
        <v>3554.95</v>
      </c>
      <c r="R2384" s="783">
        <v>2019.34</v>
      </c>
      <c r="S2384" s="783">
        <v>433.81</v>
      </c>
      <c r="T2384" s="783">
        <v>1101.8</v>
      </c>
      <c r="U2384" s="785">
        <v>44685.669039351902</v>
      </c>
    </row>
    <row r="2385" spans="1:21">
      <c r="A2385" s="782">
        <v>44690</v>
      </c>
      <c r="B2385" s="783" t="s">
        <v>113</v>
      </c>
      <c r="C2385" s="783" t="s">
        <v>4606</v>
      </c>
      <c r="D2385" s="783" t="s">
        <v>4009</v>
      </c>
      <c r="E2385" s="783" t="s">
        <v>6853</v>
      </c>
      <c r="F2385" s="783" t="s">
        <v>4011</v>
      </c>
      <c r="G2385" s="783" t="str">
        <f t="shared" si="125"/>
        <v>Renewal (15% in 2020)</v>
      </c>
      <c r="H2385" s="783" t="s">
        <v>6854</v>
      </c>
      <c r="I2385" s="783" t="s">
        <v>6855</v>
      </c>
      <c r="J2385" s="783">
        <v>15</v>
      </c>
      <c r="K2385" s="783" t="s">
        <v>866</v>
      </c>
      <c r="L2385" s="783" t="s">
        <v>4014</v>
      </c>
      <c r="M2385" s="784">
        <v>61267.5</v>
      </c>
      <c r="N2385" s="784">
        <v>35</v>
      </c>
      <c r="O2385" s="784">
        <v>11.67</v>
      </c>
      <c r="P2385" s="783">
        <v>150</v>
      </c>
      <c r="Q2385" s="783">
        <v>5851.05</v>
      </c>
      <c r="R2385" s="783">
        <v>2426.19</v>
      </c>
      <c r="S2385" s="783">
        <v>398.24</v>
      </c>
      <c r="T2385" s="783">
        <v>3026.61</v>
      </c>
      <c r="U2385" s="785">
        <v>44691.472719907397</v>
      </c>
    </row>
    <row r="2386" spans="1:21">
      <c r="A2386" s="782">
        <v>44679</v>
      </c>
      <c r="B2386" s="783" t="s">
        <v>113</v>
      </c>
      <c r="C2386" s="783" t="s">
        <v>4606</v>
      </c>
      <c r="D2386" s="783" t="s">
        <v>4009</v>
      </c>
      <c r="E2386" s="783" t="s">
        <v>3600</v>
      </c>
      <c r="F2386" s="783" t="s">
        <v>4011</v>
      </c>
      <c r="G2386" s="783" t="str">
        <f t="shared" si="125"/>
        <v>Renewal (25% in 2020)</v>
      </c>
      <c r="H2386" s="783" t="s">
        <v>6709</v>
      </c>
      <c r="I2386" s="783" t="s">
        <v>6710</v>
      </c>
      <c r="J2386" s="783">
        <v>25</v>
      </c>
      <c r="K2386" s="783" t="s">
        <v>866</v>
      </c>
      <c r="L2386" s="783" t="s">
        <v>4014</v>
      </c>
      <c r="M2386" s="784">
        <v>37033.050000000003</v>
      </c>
      <c r="N2386" s="784">
        <v>23.9</v>
      </c>
      <c r="O2386" s="784">
        <v>10.33</v>
      </c>
      <c r="P2386" s="783">
        <v>150</v>
      </c>
      <c r="Q2386" s="783">
        <v>2214.58</v>
      </c>
      <c r="R2386" s="783">
        <v>1466.51</v>
      </c>
      <c r="S2386" s="783">
        <v>240.71</v>
      </c>
      <c r="T2386" s="783">
        <v>507.35</v>
      </c>
      <c r="U2386" s="785">
        <v>44680.694178240701</v>
      </c>
    </row>
    <row r="2387" spans="1:21">
      <c r="A2387" s="782">
        <v>44679</v>
      </c>
      <c r="B2387" s="783" t="s">
        <v>74</v>
      </c>
      <c r="C2387" s="783" t="s">
        <v>4037</v>
      </c>
      <c r="D2387" s="783" t="s">
        <v>4038</v>
      </c>
      <c r="E2387" s="783" t="s">
        <v>6856</v>
      </c>
      <c r="F2387" s="783" t="s">
        <v>4011</v>
      </c>
      <c r="G2387" s="783" t="str">
        <f t="shared" si="125"/>
        <v>New Contract</v>
      </c>
      <c r="H2387" s="783" t="s">
        <v>6857</v>
      </c>
      <c r="I2387" s="783" t="s">
        <v>6858</v>
      </c>
      <c r="J2387" s="783">
        <v>20</v>
      </c>
      <c r="K2387" s="783" t="s">
        <v>866</v>
      </c>
      <c r="L2387" s="783" t="s">
        <v>4014</v>
      </c>
      <c r="M2387" s="784">
        <v>13838</v>
      </c>
      <c r="N2387" s="784">
        <v>11</v>
      </c>
      <c r="O2387" s="784">
        <v>6.29</v>
      </c>
      <c r="P2387" s="783">
        <v>200</v>
      </c>
      <c r="Q2387" s="783">
        <v>1411.48</v>
      </c>
      <c r="R2387" s="783">
        <v>614.91</v>
      </c>
      <c r="S2387" s="783">
        <v>276.26</v>
      </c>
      <c r="T2387" s="783">
        <v>520.30999999999995</v>
      </c>
      <c r="U2387" s="785">
        <v>44680.695613425902</v>
      </c>
    </row>
    <row r="2388" spans="1:21">
      <c r="A2388" s="782">
        <v>44678</v>
      </c>
      <c r="B2388" s="783" t="s">
        <v>41</v>
      </c>
      <c r="C2388" s="783" t="s">
        <v>4139</v>
      </c>
      <c r="D2388" s="783" t="s">
        <v>4009</v>
      </c>
      <c r="E2388" s="783" t="s">
        <v>5181</v>
      </c>
      <c r="F2388" s="783" t="s">
        <v>4011</v>
      </c>
      <c r="G2388" s="783" t="str">
        <f t="shared" si="125"/>
        <v>Renewal (25% in 2020)</v>
      </c>
      <c r="H2388" s="783" t="s">
        <v>5182</v>
      </c>
      <c r="I2388" s="783" t="s">
        <v>5183</v>
      </c>
      <c r="J2388" s="783">
        <v>25</v>
      </c>
      <c r="K2388" s="783" t="s">
        <v>866</v>
      </c>
      <c r="L2388" s="783" t="s">
        <v>4014</v>
      </c>
      <c r="M2388" s="784">
        <v>44729.04</v>
      </c>
      <c r="N2388" s="784">
        <v>38.76</v>
      </c>
      <c r="O2388" s="784">
        <v>5.77</v>
      </c>
      <c r="P2388" s="783">
        <v>200</v>
      </c>
      <c r="Q2388" s="783">
        <v>2639.01</v>
      </c>
      <c r="R2388" s="783">
        <v>1674.32</v>
      </c>
      <c r="S2388" s="783">
        <v>745.52</v>
      </c>
      <c r="T2388" s="783">
        <v>219.17</v>
      </c>
      <c r="U2388" s="785">
        <v>44680.658981481502</v>
      </c>
    </row>
    <row r="2389" spans="1:21">
      <c r="A2389" s="782">
        <v>44679</v>
      </c>
      <c r="B2389" s="783" t="s">
        <v>113</v>
      </c>
      <c r="C2389" s="783" t="s">
        <v>4606</v>
      </c>
      <c r="D2389" s="783" t="s">
        <v>4009</v>
      </c>
      <c r="E2389" s="783" t="s">
        <v>6859</v>
      </c>
      <c r="F2389" s="783" t="s">
        <v>4011</v>
      </c>
      <c r="G2389" s="783" t="s">
        <v>4028</v>
      </c>
      <c r="H2389" s="783" t="s">
        <v>6860</v>
      </c>
      <c r="I2389" s="783" t="s">
        <v>6861</v>
      </c>
      <c r="J2389" s="783">
        <v>25</v>
      </c>
      <c r="K2389" s="783" t="s">
        <v>866</v>
      </c>
      <c r="L2389" s="783" t="s">
        <v>4014</v>
      </c>
      <c r="M2389" s="784">
        <v>90033.02</v>
      </c>
      <c r="N2389" s="784">
        <v>34</v>
      </c>
      <c r="O2389" s="784">
        <v>12.67</v>
      </c>
      <c r="P2389" s="783">
        <v>209</v>
      </c>
      <c r="Q2389" s="783">
        <v>5383.97</v>
      </c>
      <c r="R2389" s="783">
        <v>2746.48</v>
      </c>
      <c r="S2389" s="783">
        <v>1404.04</v>
      </c>
      <c r="T2389" s="783">
        <v>1233.45</v>
      </c>
      <c r="U2389" s="785">
        <v>44680.718715277799</v>
      </c>
    </row>
    <row r="2390" spans="1:21">
      <c r="A2390" s="782">
        <v>44679</v>
      </c>
      <c r="B2390" s="783" t="s">
        <v>41</v>
      </c>
      <c r="C2390" s="783" t="s">
        <v>4092</v>
      </c>
      <c r="D2390" s="783" t="s">
        <v>4009</v>
      </c>
      <c r="E2390" s="783" t="s">
        <v>608</v>
      </c>
      <c r="F2390" s="783" t="s">
        <v>4011</v>
      </c>
      <c r="G2390" s="783" t="str">
        <f t="shared" ref="G2390:G2396" si="126">VLOOKUP(I2390,pacage,2,FALSE)</f>
        <v>Renewal (15% in 2020)</v>
      </c>
      <c r="H2390" s="783" t="s">
        <v>4575</v>
      </c>
      <c r="I2390" s="783" t="s">
        <v>4576</v>
      </c>
      <c r="J2390" s="783">
        <v>15</v>
      </c>
      <c r="K2390" s="783" t="s">
        <v>866</v>
      </c>
      <c r="L2390" s="783" t="s">
        <v>4014</v>
      </c>
      <c r="M2390" s="784">
        <v>37768.18</v>
      </c>
      <c r="N2390" s="784">
        <v>29.72</v>
      </c>
      <c r="O2390" s="784">
        <v>7.06</v>
      </c>
      <c r="P2390" s="783">
        <v>180</v>
      </c>
      <c r="Q2390" s="783">
        <v>4581.28</v>
      </c>
      <c r="R2390" s="783">
        <v>1793.8</v>
      </c>
      <c r="S2390" s="783">
        <v>596.92999999999995</v>
      </c>
      <c r="T2390" s="783">
        <v>2190.5500000000002</v>
      </c>
      <c r="U2390" s="785">
        <v>44680.705127314803</v>
      </c>
    </row>
    <row r="2391" spans="1:21">
      <c r="A2391" s="782">
        <v>44710</v>
      </c>
      <c r="B2391" s="783" t="s">
        <v>51</v>
      </c>
      <c r="C2391" s="783" t="s">
        <v>4042</v>
      </c>
      <c r="D2391" s="783" t="s">
        <v>4016</v>
      </c>
      <c r="E2391" s="783" t="s">
        <v>5187</v>
      </c>
      <c r="F2391" s="783" t="s">
        <v>4011</v>
      </c>
      <c r="G2391" s="783" t="str">
        <f t="shared" si="126"/>
        <v>Renewal (15% in 2020)</v>
      </c>
      <c r="H2391" s="783" t="s">
        <v>5188</v>
      </c>
      <c r="I2391" s="783" t="s">
        <v>5189</v>
      </c>
      <c r="J2391" s="783">
        <v>15</v>
      </c>
      <c r="K2391" s="783" t="s">
        <v>866</v>
      </c>
      <c r="L2391" s="783" t="s">
        <v>4014</v>
      </c>
      <c r="M2391" s="784">
        <v>82110</v>
      </c>
      <c r="N2391" s="784">
        <v>75</v>
      </c>
      <c r="O2391" s="784">
        <v>6.8</v>
      </c>
      <c r="P2391" s="783">
        <v>161</v>
      </c>
      <c r="Q2391" s="783">
        <v>8884.2999999999993</v>
      </c>
      <c r="R2391" s="783">
        <v>4663.8500000000004</v>
      </c>
      <c r="S2391" s="783">
        <v>771.83</v>
      </c>
      <c r="T2391" s="783">
        <v>3448.62</v>
      </c>
      <c r="U2391" s="785">
        <v>44712.649722222202</v>
      </c>
    </row>
    <row r="2392" spans="1:21">
      <c r="A2392" s="782">
        <v>44682</v>
      </c>
      <c r="B2392" s="783" t="s">
        <v>113</v>
      </c>
      <c r="C2392" s="783" t="s">
        <v>4606</v>
      </c>
      <c r="D2392" s="783" t="s">
        <v>4009</v>
      </c>
      <c r="E2392" s="783" t="s">
        <v>6657</v>
      </c>
      <c r="F2392" s="783" t="s">
        <v>4011</v>
      </c>
      <c r="G2392" s="783" t="str">
        <f t="shared" si="126"/>
        <v>Renewal (15% in 2020)</v>
      </c>
      <c r="H2392" s="783" t="s">
        <v>6658</v>
      </c>
      <c r="I2392" s="783" t="s">
        <v>6659</v>
      </c>
      <c r="J2392" s="783">
        <v>20</v>
      </c>
      <c r="K2392" s="783" t="s">
        <v>866</v>
      </c>
      <c r="L2392" s="783" t="s">
        <v>4014</v>
      </c>
      <c r="M2392" s="784">
        <v>10704.6</v>
      </c>
      <c r="N2392" s="784">
        <v>6.31</v>
      </c>
      <c r="O2392" s="784">
        <v>9.17</v>
      </c>
      <c r="P2392" s="783">
        <v>185</v>
      </c>
      <c r="Q2392" s="783">
        <v>793.21</v>
      </c>
      <c r="R2392" s="783">
        <v>368.91</v>
      </c>
      <c r="S2392" s="783">
        <v>124.57</v>
      </c>
      <c r="T2392" s="783">
        <v>299.73</v>
      </c>
      <c r="U2392" s="785">
        <v>44683.415057870399</v>
      </c>
    </row>
    <row r="2393" spans="1:21">
      <c r="A2393" s="782">
        <v>44710</v>
      </c>
      <c r="B2393" s="783" t="s">
        <v>41</v>
      </c>
      <c r="C2393" s="783" t="s">
        <v>4092</v>
      </c>
      <c r="D2393" s="783" t="s">
        <v>4009</v>
      </c>
      <c r="E2393" s="783" t="s">
        <v>1795</v>
      </c>
      <c r="F2393" s="783" t="s">
        <v>4011</v>
      </c>
      <c r="G2393" s="783" t="str">
        <f t="shared" si="126"/>
        <v>Renewal (20% in 2020)</v>
      </c>
      <c r="H2393" s="783" t="s">
        <v>4117</v>
      </c>
      <c r="I2393" s="783" t="s">
        <v>4118</v>
      </c>
      <c r="J2393" s="783">
        <v>20</v>
      </c>
      <c r="K2393" s="783" t="s">
        <v>866</v>
      </c>
      <c r="L2393" s="783" t="s">
        <v>4014</v>
      </c>
      <c r="M2393" s="784">
        <v>9338</v>
      </c>
      <c r="N2393" s="784">
        <v>7</v>
      </c>
      <c r="O2393" s="784">
        <v>6.67</v>
      </c>
      <c r="P2393" s="783">
        <v>200</v>
      </c>
      <c r="Q2393" s="783">
        <v>842.29</v>
      </c>
      <c r="R2393" s="783">
        <v>399.16</v>
      </c>
      <c r="S2393" s="783">
        <v>191.94</v>
      </c>
      <c r="T2393" s="783">
        <v>251.19</v>
      </c>
      <c r="U2393" s="785">
        <v>44712.585555555597</v>
      </c>
    </row>
    <row r="2394" spans="1:21">
      <c r="A2394" s="782">
        <v>44680</v>
      </c>
      <c r="B2394" s="783" t="s">
        <v>41</v>
      </c>
      <c r="C2394" s="783" t="s">
        <v>4092</v>
      </c>
      <c r="D2394" s="783" t="s">
        <v>4009</v>
      </c>
      <c r="E2394" s="783" t="s">
        <v>5195</v>
      </c>
      <c r="F2394" s="783" t="s">
        <v>4011</v>
      </c>
      <c r="G2394" s="783" t="str">
        <f t="shared" si="126"/>
        <v>Renewal (20% in 2020)</v>
      </c>
      <c r="H2394" s="783" t="s">
        <v>5196</v>
      </c>
      <c r="I2394" s="783" t="s">
        <v>5197</v>
      </c>
      <c r="J2394" s="783">
        <v>20</v>
      </c>
      <c r="K2394" s="783" t="s">
        <v>866</v>
      </c>
      <c r="L2394" s="783" t="s">
        <v>4014</v>
      </c>
      <c r="M2394" s="784">
        <v>3598.32</v>
      </c>
      <c r="N2394" s="784">
        <v>3.48</v>
      </c>
      <c r="O2394" s="784">
        <v>5.17</v>
      </c>
      <c r="P2394" s="783">
        <v>200</v>
      </c>
      <c r="Q2394" s="783">
        <v>324.57</v>
      </c>
      <c r="R2394" s="783">
        <v>153.81</v>
      </c>
      <c r="S2394" s="783">
        <v>73.959999999999994</v>
      </c>
      <c r="T2394" s="783">
        <v>96.79</v>
      </c>
      <c r="U2394" s="785">
        <v>44680.724687499998</v>
      </c>
    </row>
    <row r="2395" spans="1:21">
      <c r="A2395" s="782">
        <v>44681</v>
      </c>
      <c r="B2395" s="783" t="s">
        <v>41</v>
      </c>
      <c r="C2395" s="783" t="s">
        <v>4139</v>
      </c>
      <c r="D2395" s="783" t="s">
        <v>4009</v>
      </c>
      <c r="E2395" s="783" t="s">
        <v>4296</v>
      </c>
      <c r="F2395" s="783" t="s">
        <v>4011</v>
      </c>
      <c r="G2395" s="783" t="str">
        <f t="shared" si="126"/>
        <v>Renewal (30% in 2020)</v>
      </c>
      <c r="H2395" s="783" t="s">
        <v>4297</v>
      </c>
      <c r="I2395" s="783" t="s">
        <v>4298</v>
      </c>
      <c r="J2395" s="783">
        <v>30</v>
      </c>
      <c r="K2395" s="783" t="s">
        <v>866</v>
      </c>
      <c r="L2395" s="783" t="s">
        <v>4014</v>
      </c>
      <c r="M2395" s="784">
        <v>32939.5</v>
      </c>
      <c r="N2395" s="784">
        <v>28.39</v>
      </c>
      <c r="O2395" s="784">
        <v>6.63</v>
      </c>
      <c r="P2395" s="783">
        <v>175</v>
      </c>
      <c r="Q2395" s="783">
        <v>1696.38</v>
      </c>
      <c r="R2395" s="783">
        <v>1409.15</v>
      </c>
      <c r="S2395" s="783">
        <v>122.53</v>
      </c>
      <c r="T2395" s="783">
        <v>164.7</v>
      </c>
      <c r="U2395" s="785">
        <v>44683.422060185199</v>
      </c>
    </row>
    <row r="2396" spans="1:21">
      <c r="A2396" s="782">
        <v>44686</v>
      </c>
      <c r="B2396" s="783" t="s">
        <v>113</v>
      </c>
      <c r="C2396" s="783" t="s">
        <v>4606</v>
      </c>
      <c r="D2396" s="783" t="s">
        <v>4009</v>
      </c>
      <c r="E2396" s="783" t="s">
        <v>6862</v>
      </c>
      <c r="F2396" s="783" t="s">
        <v>4011</v>
      </c>
      <c r="G2396" s="783" t="str">
        <f t="shared" si="126"/>
        <v>Renewal (20% in 2020)</v>
      </c>
      <c r="H2396" s="783" t="s">
        <v>6863</v>
      </c>
      <c r="I2396" s="783" t="s">
        <v>6864</v>
      </c>
      <c r="J2396" s="783">
        <v>20</v>
      </c>
      <c r="K2396" s="783" t="s">
        <v>866</v>
      </c>
      <c r="L2396" s="783" t="s">
        <v>4014</v>
      </c>
      <c r="M2396" s="784">
        <v>30240</v>
      </c>
      <c r="N2396" s="784">
        <v>15</v>
      </c>
      <c r="O2396" s="784">
        <v>11.2</v>
      </c>
      <c r="P2396" s="783">
        <v>180</v>
      </c>
      <c r="Q2396" s="783">
        <v>2240.7800000000002</v>
      </c>
      <c r="R2396" s="783">
        <v>1071.0999999999999</v>
      </c>
      <c r="S2396" s="783">
        <v>322.95999999999998</v>
      </c>
      <c r="T2396" s="783">
        <v>846.72</v>
      </c>
      <c r="U2396" s="785">
        <v>44687.628078703703</v>
      </c>
    </row>
    <row r="2397" spans="1:21">
      <c r="A2397" s="782">
        <v>44697</v>
      </c>
      <c r="B2397" s="783" t="s">
        <v>41</v>
      </c>
      <c r="C2397" s="783" t="s">
        <v>4092</v>
      </c>
      <c r="D2397" s="783" t="s">
        <v>4009</v>
      </c>
      <c r="E2397" s="783" t="s">
        <v>5201</v>
      </c>
      <c r="F2397" s="783" t="s">
        <v>4011</v>
      </c>
      <c r="G2397" s="783" t="s">
        <v>4028</v>
      </c>
      <c r="H2397" s="783" t="s">
        <v>5202</v>
      </c>
      <c r="I2397" s="783" t="s">
        <v>5203</v>
      </c>
      <c r="J2397" s="783">
        <v>20</v>
      </c>
      <c r="K2397" s="783" t="s">
        <v>866</v>
      </c>
      <c r="L2397" s="783" t="s">
        <v>4014</v>
      </c>
      <c r="M2397" s="784">
        <v>25420.34</v>
      </c>
      <c r="N2397" s="784">
        <v>18.510000000000002</v>
      </c>
      <c r="O2397" s="784">
        <v>8.5299999999999994</v>
      </c>
      <c r="P2397" s="783">
        <v>161</v>
      </c>
      <c r="Q2397" s="783">
        <v>2292.91</v>
      </c>
      <c r="R2397" s="783">
        <v>1349.82</v>
      </c>
      <c r="S2397" s="783">
        <v>259.29000000000002</v>
      </c>
      <c r="T2397" s="783">
        <v>683.81</v>
      </c>
      <c r="U2397" s="785">
        <v>44699.481064814798</v>
      </c>
    </row>
    <row r="2398" spans="1:21">
      <c r="A2398" s="782">
        <v>44698</v>
      </c>
      <c r="B2398" s="783" t="s">
        <v>41</v>
      </c>
      <c r="C2398" s="783" t="s">
        <v>4092</v>
      </c>
      <c r="D2398" s="783" t="s">
        <v>4009</v>
      </c>
      <c r="E2398" s="783" t="s">
        <v>5204</v>
      </c>
      <c r="F2398" s="783" t="s">
        <v>4011</v>
      </c>
      <c r="G2398" s="783" t="str">
        <f t="shared" ref="G2398:G2410" si="127">VLOOKUP(I2398,pacage,2,FALSE)</f>
        <v>Renewal (15% in 2020)</v>
      </c>
      <c r="H2398" s="783" t="s">
        <v>5205</v>
      </c>
      <c r="I2398" s="783" t="s">
        <v>5206</v>
      </c>
      <c r="J2398" s="783">
        <v>15</v>
      </c>
      <c r="K2398" s="783" t="s">
        <v>866</v>
      </c>
      <c r="L2398" s="783" t="s">
        <v>4014</v>
      </c>
      <c r="M2398" s="784">
        <v>25026.52</v>
      </c>
      <c r="N2398" s="784">
        <v>14.63</v>
      </c>
      <c r="O2398" s="784">
        <v>6.87</v>
      </c>
      <c r="P2398" s="783">
        <v>249</v>
      </c>
      <c r="Q2398" s="783">
        <v>3035.72</v>
      </c>
      <c r="R2398" s="783">
        <v>859.25</v>
      </c>
      <c r="S2398" s="783">
        <v>724.92</v>
      </c>
      <c r="T2398" s="783">
        <v>1451.54</v>
      </c>
      <c r="U2398" s="785">
        <v>44699.741724537002</v>
      </c>
    </row>
    <row r="2399" spans="1:21">
      <c r="A2399" s="782">
        <v>44697</v>
      </c>
      <c r="B2399" s="783" t="s">
        <v>113</v>
      </c>
      <c r="C2399" s="783" t="s">
        <v>4606</v>
      </c>
      <c r="D2399" s="783" t="s">
        <v>4009</v>
      </c>
      <c r="E2399" s="783" t="s">
        <v>2433</v>
      </c>
      <c r="F2399" s="783" t="s">
        <v>4011</v>
      </c>
      <c r="G2399" s="783" t="str">
        <f t="shared" si="127"/>
        <v>Renewal (25% in 2020)</v>
      </c>
      <c r="H2399" s="783" t="s">
        <v>6865</v>
      </c>
      <c r="I2399" s="783" t="s">
        <v>6866</v>
      </c>
      <c r="J2399" s="783">
        <v>25</v>
      </c>
      <c r="K2399" s="783" t="s">
        <v>866</v>
      </c>
      <c r="L2399" s="783" t="s">
        <v>4014</v>
      </c>
      <c r="M2399" s="784">
        <v>113217.31</v>
      </c>
      <c r="N2399" s="784">
        <v>64.739999999999995</v>
      </c>
      <c r="O2399" s="784">
        <v>10.93</v>
      </c>
      <c r="P2399" s="783">
        <v>160</v>
      </c>
      <c r="Q2399" s="783">
        <v>6770.4</v>
      </c>
      <c r="R2399" s="783">
        <v>4483.41</v>
      </c>
      <c r="S2399" s="783">
        <v>735.91</v>
      </c>
      <c r="T2399" s="783">
        <v>1551.08</v>
      </c>
      <c r="U2399" s="785">
        <v>44698.523518518501</v>
      </c>
    </row>
    <row r="2400" spans="1:21">
      <c r="A2400" s="782">
        <v>44699</v>
      </c>
      <c r="B2400" s="783" t="s">
        <v>41</v>
      </c>
      <c r="C2400" s="783" t="s">
        <v>4071</v>
      </c>
      <c r="D2400" s="783" t="s">
        <v>4009</v>
      </c>
      <c r="E2400" s="783" t="s">
        <v>5207</v>
      </c>
      <c r="F2400" s="783" t="s">
        <v>4011</v>
      </c>
      <c r="G2400" s="783" t="str">
        <f t="shared" si="127"/>
        <v>Renewal (15% in 2020)</v>
      </c>
      <c r="H2400" s="783" t="s">
        <v>5208</v>
      </c>
      <c r="I2400" s="783" t="s">
        <v>5209</v>
      </c>
      <c r="J2400" s="783">
        <v>15</v>
      </c>
      <c r="K2400" s="783" t="s">
        <v>866</v>
      </c>
      <c r="L2400" s="783" t="s">
        <v>4014</v>
      </c>
      <c r="M2400" s="784">
        <v>14741.3</v>
      </c>
      <c r="N2400" s="784">
        <v>22.77</v>
      </c>
      <c r="O2400" s="784">
        <v>4.9800000000000004</v>
      </c>
      <c r="P2400" s="783">
        <v>130</v>
      </c>
      <c r="Q2400" s="783">
        <v>2025.45</v>
      </c>
      <c r="R2400" s="783">
        <v>913.96</v>
      </c>
      <c r="S2400" s="783">
        <v>145.94</v>
      </c>
      <c r="T2400" s="783">
        <v>965.56</v>
      </c>
      <c r="U2400" s="785">
        <v>44705.458680555603</v>
      </c>
    </row>
    <row r="2401" spans="1:21">
      <c r="A2401" s="782">
        <v>44698</v>
      </c>
      <c r="B2401" s="783" t="s">
        <v>30</v>
      </c>
      <c r="C2401" s="783" t="s">
        <v>5213</v>
      </c>
      <c r="D2401" s="783" t="s">
        <v>4021</v>
      </c>
      <c r="E2401" s="783" t="s">
        <v>1513</v>
      </c>
      <c r="F2401" s="783" t="s">
        <v>4011</v>
      </c>
      <c r="G2401" s="783" t="str">
        <f t="shared" si="127"/>
        <v>Renewal (15% in 2020)</v>
      </c>
      <c r="H2401" s="783" t="s">
        <v>5214</v>
      </c>
      <c r="I2401" s="783" t="s">
        <v>5215</v>
      </c>
      <c r="J2401" s="783">
        <v>15</v>
      </c>
      <c r="K2401" s="783" t="s">
        <v>866</v>
      </c>
      <c r="L2401" s="783" t="s">
        <v>4014</v>
      </c>
      <c r="M2401" s="784">
        <v>54893.85</v>
      </c>
      <c r="N2401" s="784">
        <v>33.99</v>
      </c>
      <c r="O2401" s="784">
        <v>8.5</v>
      </c>
      <c r="P2401" s="783">
        <v>190</v>
      </c>
      <c r="Q2401" s="783">
        <v>6916.63</v>
      </c>
      <c r="R2401" s="783">
        <v>3023.5</v>
      </c>
      <c r="S2401" s="783">
        <v>1120.99</v>
      </c>
      <c r="T2401" s="783">
        <v>2772.14</v>
      </c>
      <c r="U2401" s="785">
        <v>44699.511724536998</v>
      </c>
    </row>
    <row r="2402" spans="1:21">
      <c r="A2402" s="782">
        <v>44704</v>
      </c>
      <c r="B2402" s="783" t="s">
        <v>41</v>
      </c>
      <c r="C2402" s="783" t="s">
        <v>4082</v>
      </c>
      <c r="D2402" s="783" t="s">
        <v>4009</v>
      </c>
      <c r="E2402" s="783" t="s">
        <v>2021</v>
      </c>
      <c r="F2402" s="783" t="s">
        <v>4011</v>
      </c>
      <c r="G2402" s="783" t="str">
        <f t="shared" si="127"/>
        <v>Renewal (25% in 2020)</v>
      </c>
      <c r="H2402" s="783" t="s">
        <v>4580</v>
      </c>
      <c r="I2402" s="783" t="s">
        <v>4581</v>
      </c>
      <c r="J2402" s="783">
        <v>25</v>
      </c>
      <c r="K2402" s="783" t="s">
        <v>866</v>
      </c>
      <c r="L2402" s="783" t="s">
        <v>4014</v>
      </c>
      <c r="M2402" s="784">
        <v>160945.51</v>
      </c>
      <c r="N2402" s="784">
        <v>87.31</v>
      </c>
      <c r="O2402" s="784">
        <v>8.82</v>
      </c>
      <c r="P2402" s="783">
        <v>209</v>
      </c>
      <c r="Q2402" s="783">
        <v>9672.83</v>
      </c>
      <c r="R2402" s="783">
        <v>5727.97</v>
      </c>
      <c r="S2402" s="783">
        <v>3107.94</v>
      </c>
      <c r="T2402" s="783">
        <v>836.92</v>
      </c>
      <c r="U2402" s="785">
        <v>44704.3933680556</v>
      </c>
    </row>
    <row r="2403" spans="1:21">
      <c r="A2403" s="782">
        <v>44700</v>
      </c>
      <c r="B2403" s="783" t="s">
        <v>51</v>
      </c>
      <c r="C2403" s="783" t="s">
        <v>4042</v>
      </c>
      <c r="D2403" s="783" t="s">
        <v>4016</v>
      </c>
      <c r="E2403" s="783" t="s">
        <v>5225</v>
      </c>
      <c r="F2403" s="783" t="s">
        <v>4011</v>
      </c>
      <c r="G2403" s="783" t="str">
        <f t="shared" si="127"/>
        <v>Renewal (30% in 2020)</v>
      </c>
      <c r="H2403" s="783" t="s">
        <v>5226</v>
      </c>
      <c r="I2403" s="783" t="s">
        <v>5227</v>
      </c>
      <c r="J2403" s="783">
        <v>30</v>
      </c>
      <c r="K2403" s="783" t="s">
        <v>866</v>
      </c>
      <c r="L2403" s="783" t="s">
        <v>4014</v>
      </c>
      <c r="M2403" s="784">
        <v>99588.06</v>
      </c>
      <c r="N2403" s="784">
        <v>68.900000000000006</v>
      </c>
      <c r="O2403" s="784">
        <v>8.0299999999999994</v>
      </c>
      <c r="P2403" s="783">
        <v>180</v>
      </c>
      <c r="Q2403" s="783">
        <v>6552.89</v>
      </c>
      <c r="R2403" s="783">
        <v>5059.5200000000004</v>
      </c>
      <c r="S2403" s="783">
        <v>597.09</v>
      </c>
      <c r="T2403" s="783">
        <v>896.29</v>
      </c>
      <c r="U2403" s="785">
        <v>44708.688946759299</v>
      </c>
    </row>
    <row r="2404" spans="1:21">
      <c r="A2404" s="782">
        <v>44710</v>
      </c>
      <c r="B2404" s="783" t="s">
        <v>41</v>
      </c>
      <c r="C2404" s="783" t="s">
        <v>4092</v>
      </c>
      <c r="D2404" s="783" t="s">
        <v>4009</v>
      </c>
      <c r="E2404" s="783" t="s">
        <v>1125</v>
      </c>
      <c r="F2404" s="783" t="s">
        <v>4011</v>
      </c>
      <c r="G2404" s="783" t="str">
        <f t="shared" si="127"/>
        <v>Renewal (15% in 2020)</v>
      </c>
      <c r="H2404" s="783" t="s">
        <v>5228</v>
      </c>
      <c r="I2404" s="783" t="s">
        <v>5229</v>
      </c>
      <c r="J2404" s="783">
        <v>20</v>
      </c>
      <c r="K2404" s="783" t="s">
        <v>866</v>
      </c>
      <c r="L2404" s="783" t="s">
        <v>4014</v>
      </c>
      <c r="M2404" s="784">
        <v>21764.34</v>
      </c>
      <c r="N2404" s="784">
        <v>17.03</v>
      </c>
      <c r="O2404" s="784">
        <v>7.1</v>
      </c>
      <c r="P2404" s="783">
        <v>180</v>
      </c>
      <c r="Q2404" s="783">
        <v>1963.14</v>
      </c>
      <c r="R2404" s="783">
        <v>1033.7</v>
      </c>
      <c r="S2404" s="783">
        <v>343.99</v>
      </c>
      <c r="T2404" s="783">
        <v>585.46</v>
      </c>
      <c r="U2404" s="785">
        <v>44712.651805555601</v>
      </c>
    </row>
    <row r="2405" spans="1:21">
      <c r="A2405" s="782">
        <v>44699</v>
      </c>
      <c r="B2405" s="783" t="s">
        <v>41</v>
      </c>
      <c r="C2405" s="783" t="s">
        <v>4092</v>
      </c>
      <c r="D2405" s="783" t="s">
        <v>4009</v>
      </c>
      <c r="E2405" s="783" t="s">
        <v>5230</v>
      </c>
      <c r="F2405" s="783" t="s">
        <v>4011</v>
      </c>
      <c r="G2405" s="783" t="str">
        <f t="shared" si="127"/>
        <v>Renewal (20% in 2020)</v>
      </c>
      <c r="H2405" s="783" t="s">
        <v>5231</v>
      </c>
      <c r="I2405" s="783" t="s">
        <v>5232</v>
      </c>
      <c r="J2405" s="783">
        <v>20</v>
      </c>
      <c r="K2405" s="783" t="s">
        <v>866</v>
      </c>
      <c r="L2405" s="783" t="s">
        <v>4014</v>
      </c>
      <c r="M2405" s="784">
        <v>23884.38</v>
      </c>
      <c r="N2405" s="784">
        <v>15.57</v>
      </c>
      <c r="O2405" s="784">
        <v>7.67</v>
      </c>
      <c r="P2405" s="783">
        <v>200</v>
      </c>
      <c r="Q2405" s="783">
        <v>2154.37</v>
      </c>
      <c r="R2405" s="783">
        <v>1020.95</v>
      </c>
      <c r="S2405" s="783">
        <v>490.93</v>
      </c>
      <c r="T2405" s="783">
        <v>642.49</v>
      </c>
      <c r="U2405" s="785">
        <v>44700.525358796302</v>
      </c>
    </row>
    <row r="2406" spans="1:21">
      <c r="A2406" s="782">
        <v>44655</v>
      </c>
      <c r="B2406" s="783" t="s">
        <v>41</v>
      </c>
      <c r="C2406" s="783" t="s">
        <v>4082</v>
      </c>
      <c r="D2406" s="783" t="s">
        <v>4009</v>
      </c>
      <c r="E2406" s="783" t="s">
        <v>245</v>
      </c>
      <c r="F2406" s="783" t="s">
        <v>4011</v>
      </c>
      <c r="G2406" s="783" t="str">
        <f t="shared" si="127"/>
        <v>Renewal (20% in 2020)</v>
      </c>
      <c r="H2406" s="783" t="s">
        <v>4591</v>
      </c>
      <c r="I2406" s="783" t="s">
        <v>4592</v>
      </c>
      <c r="J2406" s="783">
        <v>20</v>
      </c>
      <c r="K2406" s="783" t="s">
        <v>866</v>
      </c>
      <c r="L2406" s="783" t="s">
        <v>4014</v>
      </c>
      <c r="M2406" s="784">
        <v>17122.919999999998</v>
      </c>
      <c r="N2406" s="784">
        <v>9.74</v>
      </c>
      <c r="O2406" s="784">
        <v>8.7899999999999991</v>
      </c>
      <c r="P2406" s="783">
        <v>200</v>
      </c>
      <c r="Q2406" s="783">
        <v>1340.72</v>
      </c>
      <c r="R2406" s="783">
        <v>636.82000000000005</v>
      </c>
      <c r="S2406" s="783">
        <v>303.23</v>
      </c>
      <c r="T2406" s="783">
        <v>400.68</v>
      </c>
      <c r="U2406" s="785">
        <v>44657.613634259302</v>
      </c>
    </row>
    <row r="2407" spans="1:21">
      <c r="A2407" s="782">
        <v>44657</v>
      </c>
      <c r="B2407" s="783" t="s">
        <v>51</v>
      </c>
      <c r="C2407" s="783" t="s">
        <v>4042</v>
      </c>
      <c r="D2407" s="783" t="s">
        <v>4016</v>
      </c>
      <c r="E2407" s="783" t="s">
        <v>49</v>
      </c>
      <c r="F2407" s="783" t="s">
        <v>4011</v>
      </c>
      <c r="G2407" s="783" t="str">
        <f t="shared" si="127"/>
        <v>Renewal (20% in 2020)</v>
      </c>
      <c r="H2407" s="783" t="s">
        <v>5250</v>
      </c>
      <c r="I2407" s="783" t="s">
        <v>5251</v>
      </c>
      <c r="J2407" s="783">
        <v>20</v>
      </c>
      <c r="K2407" s="783" t="s">
        <v>866</v>
      </c>
      <c r="L2407" s="783" t="s">
        <v>4014</v>
      </c>
      <c r="M2407" s="784">
        <v>38075.58</v>
      </c>
      <c r="N2407" s="784">
        <v>27.05</v>
      </c>
      <c r="O2407" s="784">
        <v>8.2799999999999994</v>
      </c>
      <c r="P2407" s="783">
        <v>170</v>
      </c>
      <c r="Q2407" s="783">
        <v>3365.88</v>
      </c>
      <c r="R2407" s="783">
        <v>2048.1999999999998</v>
      </c>
      <c r="S2407" s="783">
        <v>472.41</v>
      </c>
      <c r="T2407" s="783">
        <v>845.28</v>
      </c>
      <c r="U2407" s="785">
        <v>44657.614317129599</v>
      </c>
    </row>
    <row r="2408" spans="1:21">
      <c r="A2408" s="782">
        <v>44664</v>
      </c>
      <c r="B2408" s="783" t="s">
        <v>113</v>
      </c>
      <c r="C2408" s="783" t="s">
        <v>4598</v>
      </c>
      <c r="D2408" s="783" t="s">
        <v>4009</v>
      </c>
      <c r="E2408" s="783" t="s">
        <v>6714</v>
      </c>
      <c r="F2408" s="783" t="s">
        <v>4011</v>
      </c>
      <c r="G2408" s="783" t="str">
        <f t="shared" si="127"/>
        <v>Renewal (20% in 2020)</v>
      </c>
      <c r="H2408" s="783" t="s">
        <v>6715</v>
      </c>
      <c r="I2408" s="783" t="s">
        <v>6716</v>
      </c>
      <c r="J2408" s="783">
        <v>20</v>
      </c>
      <c r="K2408" s="783" t="s">
        <v>866</v>
      </c>
      <c r="L2408" s="783" t="s">
        <v>4014</v>
      </c>
      <c r="M2408" s="784">
        <v>10498.29</v>
      </c>
      <c r="N2408" s="784">
        <v>6.14</v>
      </c>
      <c r="O2408" s="784">
        <v>10.62</v>
      </c>
      <c r="P2408" s="783">
        <v>161</v>
      </c>
      <c r="Q2408" s="783">
        <v>768.48</v>
      </c>
      <c r="R2408" s="783">
        <v>390.54</v>
      </c>
      <c r="S2408" s="783">
        <v>98.68</v>
      </c>
      <c r="T2408" s="783">
        <v>279.25</v>
      </c>
      <c r="U2408" s="785">
        <v>44665.654884259297</v>
      </c>
    </row>
    <row r="2409" spans="1:21">
      <c r="A2409" s="782">
        <v>44659</v>
      </c>
      <c r="B2409" s="783" t="s">
        <v>34</v>
      </c>
      <c r="C2409" s="783" t="s">
        <v>4139</v>
      </c>
      <c r="D2409" s="783" t="s">
        <v>4009</v>
      </c>
      <c r="E2409" s="783" t="s">
        <v>1585</v>
      </c>
      <c r="F2409" s="783" t="s">
        <v>4011</v>
      </c>
      <c r="G2409" s="783" t="str">
        <f t="shared" si="127"/>
        <v>Renewal (20% in 2020)</v>
      </c>
      <c r="H2409" s="783" t="s">
        <v>4299</v>
      </c>
      <c r="I2409" s="783" t="s">
        <v>4300</v>
      </c>
      <c r="J2409" s="783">
        <v>20</v>
      </c>
      <c r="K2409" s="783" t="s">
        <v>866</v>
      </c>
      <c r="L2409" s="783" t="s">
        <v>4014</v>
      </c>
      <c r="M2409" s="784">
        <v>23231.93</v>
      </c>
      <c r="N2409" s="784">
        <v>15.05</v>
      </c>
      <c r="O2409" s="784">
        <v>7.53</v>
      </c>
      <c r="P2409" s="783">
        <v>205</v>
      </c>
      <c r="Q2409" s="783">
        <v>1781.89</v>
      </c>
      <c r="R2409" s="783">
        <v>848.42</v>
      </c>
      <c r="S2409" s="783">
        <v>408.43</v>
      </c>
      <c r="T2409" s="783">
        <v>525.04</v>
      </c>
      <c r="U2409" s="785">
        <v>44663.407847222203</v>
      </c>
    </row>
    <row r="2410" spans="1:21">
      <c r="A2410" s="782">
        <v>44683</v>
      </c>
      <c r="B2410" s="783" t="s">
        <v>113</v>
      </c>
      <c r="C2410" s="783" t="s">
        <v>4606</v>
      </c>
      <c r="D2410" s="783" t="s">
        <v>4009</v>
      </c>
      <c r="E2410" s="783" t="s">
        <v>3858</v>
      </c>
      <c r="F2410" s="783" t="s">
        <v>4011</v>
      </c>
      <c r="G2410" s="783" t="str">
        <f t="shared" si="127"/>
        <v>Renewal (25% in 2020)</v>
      </c>
      <c r="H2410" s="783" t="s">
        <v>6717</v>
      </c>
      <c r="I2410" s="783" t="s">
        <v>6718</v>
      </c>
      <c r="J2410" s="783">
        <v>25</v>
      </c>
      <c r="K2410" s="783" t="s">
        <v>866</v>
      </c>
      <c r="L2410" s="783" t="s">
        <v>4014</v>
      </c>
      <c r="M2410" s="784">
        <v>29956.75</v>
      </c>
      <c r="N2410" s="784">
        <v>18.41</v>
      </c>
      <c r="O2410" s="784">
        <v>10.17</v>
      </c>
      <c r="P2410" s="783">
        <v>160</v>
      </c>
      <c r="Q2410" s="783">
        <v>1791.41</v>
      </c>
      <c r="R2410" s="783">
        <v>1186.29</v>
      </c>
      <c r="S2410" s="783">
        <v>194.72</v>
      </c>
      <c r="T2410" s="783">
        <v>410.41</v>
      </c>
      <c r="U2410" s="785">
        <v>44684.399803240703</v>
      </c>
    </row>
    <row r="2411" spans="1:21">
      <c r="A2411" s="782">
        <v>44684</v>
      </c>
      <c r="B2411" s="783" t="s">
        <v>113</v>
      </c>
      <c r="C2411" s="783" t="s">
        <v>4606</v>
      </c>
      <c r="D2411" s="783" t="s">
        <v>4009</v>
      </c>
      <c r="E2411" s="783" t="s">
        <v>6867</v>
      </c>
      <c r="F2411" s="783" t="s">
        <v>4011</v>
      </c>
      <c r="G2411" s="783" t="s">
        <v>4028</v>
      </c>
      <c r="H2411" s="783" t="s">
        <v>6868</v>
      </c>
      <c r="I2411" s="783" t="s">
        <v>6869</v>
      </c>
      <c r="J2411" s="783">
        <v>20</v>
      </c>
      <c r="K2411" s="783" t="s">
        <v>866</v>
      </c>
      <c r="L2411" s="783" t="s">
        <v>4014</v>
      </c>
      <c r="M2411" s="784">
        <v>34000</v>
      </c>
      <c r="N2411" s="784">
        <v>17</v>
      </c>
      <c r="O2411" s="784">
        <v>10</v>
      </c>
      <c r="P2411" s="783">
        <v>200</v>
      </c>
      <c r="Q2411" s="783">
        <v>2519.4</v>
      </c>
      <c r="R2411" s="783">
        <v>1083.8499999999999</v>
      </c>
      <c r="S2411" s="783">
        <v>483.55</v>
      </c>
      <c r="T2411" s="783">
        <v>952</v>
      </c>
      <c r="U2411" s="785">
        <v>44685.410486111097</v>
      </c>
    </row>
    <row r="2412" spans="1:21">
      <c r="A2412" s="782">
        <v>44685</v>
      </c>
      <c r="B2412" s="783" t="s">
        <v>41</v>
      </c>
      <c r="C2412" s="783" t="s">
        <v>4082</v>
      </c>
      <c r="D2412" s="783" t="s">
        <v>4009</v>
      </c>
      <c r="E2412" s="783" t="s">
        <v>533</v>
      </c>
      <c r="F2412" s="783" t="s">
        <v>4011</v>
      </c>
      <c r="G2412" s="783" t="str">
        <f t="shared" ref="G2412:G2417" si="128">VLOOKUP(I2412,pacage,2,FALSE)</f>
        <v>Renewal (15% in 2020)</v>
      </c>
      <c r="H2412" s="783" t="s">
        <v>4596</v>
      </c>
      <c r="I2412" s="783" t="s">
        <v>4597</v>
      </c>
      <c r="J2412" s="783">
        <v>15</v>
      </c>
      <c r="K2412" s="783" t="s">
        <v>866</v>
      </c>
      <c r="L2412" s="783" t="s">
        <v>4014</v>
      </c>
      <c r="M2412" s="784">
        <v>12280.44</v>
      </c>
      <c r="N2412" s="784">
        <v>12.51</v>
      </c>
      <c r="O2412" s="784">
        <v>6.77</v>
      </c>
      <c r="P2412" s="783">
        <v>145</v>
      </c>
      <c r="Q2412" s="783">
        <v>1290.67</v>
      </c>
      <c r="R2412" s="783">
        <v>567.36</v>
      </c>
      <c r="S2412" s="783">
        <v>106.84</v>
      </c>
      <c r="T2412" s="783">
        <v>616.48</v>
      </c>
      <c r="U2412" s="785">
        <v>44687.643043981501</v>
      </c>
    </row>
    <row r="2413" spans="1:21">
      <c r="A2413" s="782">
        <v>44683</v>
      </c>
      <c r="B2413" s="783" t="s">
        <v>113</v>
      </c>
      <c r="C2413" s="783" t="s">
        <v>4606</v>
      </c>
      <c r="D2413" s="783" t="s">
        <v>4009</v>
      </c>
      <c r="E2413" s="783" t="s">
        <v>6870</v>
      </c>
      <c r="F2413" s="783" t="s">
        <v>4011</v>
      </c>
      <c r="G2413" s="783" t="str">
        <f t="shared" si="128"/>
        <v>Renewal (20% in 2020)</v>
      </c>
      <c r="H2413" s="783" t="s">
        <v>6871</v>
      </c>
      <c r="I2413" s="783" t="s">
        <v>6872</v>
      </c>
      <c r="J2413" s="783">
        <v>20</v>
      </c>
      <c r="K2413" s="783" t="s">
        <v>866</v>
      </c>
      <c r="L2413" s="783" t="s">
        <v>4014</v>
      </c>
      <c r="M2413" s="784">
        <v>7605</v>
      </c>
      <c r="N2413" s="784">
        <v>5.07</v>
      </c>
      <c r="O2413" s="784">
        <v>10</v>
      </c>
      <c r="P2413" s="783">
        <v>150</v>
      </c>
      <c r="Q2413" s="783">
        <v>563.53</v>
      </c>
      <c r="R2413" s="783">
        <v>301.16000000000003</v>
      </c>
      <c r="S2413" s="783">
        <v>49.43</v>
      </c>
      <c r="T2413" s="783">
        <v>212.94</v>
      </c>
      <c r="U2413" s="785">
        <v>44684.407523148097</v>
      </c>
    </row>
    <row r="2414" spans="1:21">
      <c r="A2414" s="782">
        <v>44684</v>
      </c>
      <c r="B2414" s="783" t="s">
        <v>30</v>
      </c>
      <c r="C2414" s="783" t="s">
        <v>4239</v>
      </c>
      <c r="D2414" s="783" t="s">
        <v>4021</v>
      </c>
      <c r="E2414" s="783" t="s">
        <v>5264</v>
      </c>
      <c r="F2414" s="783" t="s">
        <v>4011</v>
      </c>
      <c r="G2414" s="783" t="str">
        <f t="shared" si="128"/>
        <v>Renewal (15% in 2020)</v>
      </c>
      <c r="H2414" s="783" t="s">
        <v>5265</v>
      </c>
      <c r="I2414" s="783" t="s">
        <v>5266</v>
      </c>
      <c r="J2414" s="783">
        <v>15</v>
      </c>
      <c r="K2414" s="783" t="s">
        <v>866</v>
      </c>
      <c r="L2414" s="783" t="s">
        <v>4014</v>
      </c>
      <c r="M2414" s="784">
        <v>18401.8</v>
      </c>
      <c r="N2414" s="784">
        <v>14.46</v>
      </c>
      <c r="O2414" s="784">
        <v>7.07</v>
      </c>
      <c r="P2414" s="783">
        <v>180</v>
      </c>
      <c r="Q2414" s="783">
        <v>1674.56</v>
      </c>
      <c r="R2414" s="783">
        <v>625.46</v>
      </c>
      <c r="S2414" s="783">
        <v>228.39</v>
      </c>
      <c r="T2414" s="783">
        <v>820.72</v>
      </c>
      <c r="U2414" s="785">
        <v>44685.407048611101</v>
      </c>
    </row>
    <row r="2415" spans="1:21">
      <c r="A2415" s="782">
        <v>44685</v>
      </c>
      <c r="B2415" s="783" t="s">
        <v>41</v>
      </c>
      <c r="C2415" s="783" t="s">
        <v>4092</v>
      </c>
      <c r="D2415" s="783" t="s">
        <v>4009</v>
      </c>
      <c r="E2415" s="783" t="s">
        <v>5270</v>
      </c>
      <c r="F2415" s="783" t="s">
        <v>4011</v>
      </c>
      <c r="G2415" s="783" t="str">
        <f t="shared" si="128"/>
        <v>Renewal (15% in 2020)</v>
      </c>
      <c r="H2415" s="783" t="s">
        <v>5271</v>
      </c>
      <c r="I2415" s="783" t="s">
        <v>5272</v>
      </c>
      <c r="J2415" s="783">
        <v>15</v>
      </c>
      <c r="K2415" s="783" t="s">
        <v>866</v>
      </c>
      <c r="L2415" s="783" t="s">
        <v>4014</v>
      </c>
      <c r="M2415" s="784">
        <v>21941.01</v>
      </c>
      <c r="N2415" s="784">
        <v>29.25</v>
      </c>
      <c r="O2415" s="784">
        <v>5.32</v>
      </c>
      <c r="P2415" s="783">
        <v>141</v>
      </c>
      <c r="Q2415" s="783">
        <v>2661.44</v>
      </c>
      <c r="R2415" s="783">
        <v>1165.07</v>
      </c>
      <c r="S2415" s="783">
        <v>223.8</v>
      </c>
      <c r="T2415" s="783">
        <v>1272.58</v>
      </c>
      <c r="U2415" s="785">
        <v>44685.625937500001</v>
      </c>
    </row>
    <row r="2416" spans="1:21">
      <c r="A2416" s="782">
        <v>44686</v>
      </c>
      <c r="B2416" s="783" t="s">
        <v>41</v>
      </c>
      <c r="C2416" s="783" t="s">
        <v>4092</v>
      </c>
      <c r="D2416" s="783" t="s">
        <v>4009</v>
      </c>
      <c r="E2416" s="783" t="s">
        <v>5273</v>
      </c>
      <c r="F2416" s="783" t="s">
        <v>4011</v>
      </c>
      <c r="G2416" s="783" t="str">
        <f t="shared" si="128"/>
        <v>New Contract</v>
      </c>
      <c r="H2416" s="783" t="s">
        <v>5274</v>
      </c>
      <c r="I2416" s="783" t="s">
        <v>5275</v>
      </c>
      <c r="J2416" s="783">
        <v>25</v>
      </c>
      <c r="K2416" s="783" t="s">
        <v>866</v>
      </c>
      <c r="L2416" s="783" t="s">
        <v>4014</v>
      </c>
      <c r="M2416" s="784">
        <v>38120.78</v>
      </c>
      <c r="N2416" s="784">
        <v>31.57</v>
      </c>
      <c r="O2416" s="784">
        <v>7.5</v>
      </c>
      <c r="P2416" s="783">
        <v>161</v>
      </c>
      <c r="Q2416" s="783">
        <v>2641.77</v>
      </c>
      <c r="R2416" s="783">
        <v>2024.21</v>
      </c>
      <c r="S2416" s="783">
        <v>388.83</v>
      </c>
      <c r="T2416" s="783">
        <v>228.72</v>
      </c>
      <c r="U2416" s="785">
        <v>44687.614872685197</v>
      </c>
    </row>
    <row r="2417" spans="1:21">
      <c r="A2417" s="782">
        <v>44691</v>
      </c>
      <c r="B2417" s="783" t="s">
        <v>41</v>
      </c>
      <c r="C2417" s="783" t="s">
        <v>4092</v>
      </c>
      <c r="D2417" s="783" t="s">
        <v>4009</v>
      </c>
      <c r="E2417" s="783" t="s">
        <v>5276</v>
      </c>
      <c r="F2417" s="783" t="s">
        <v>4011</v>
      </c>
      <c r="G2417" s="783" t="str">
        <f t="shared" si="128"/>
        <v>Renewal (20% in 2020)</v>
      </c>
      <c r="H2417" s="783" t="s">
        <v>5277</v>
      </c>
      <c r="I2417" s="783" t="s">
        <v>5278</v>
      </c>
      <c r="J2417" s="783">
        <v>20</v>
      </c>
      <c r="K2417" s="783" t="s">
        <v>866</v>
      </c>
      <c r="L2417" s="783" t="s">
        <v>4014</v>
      </c>
      <c r="M2417" s="784">
        <v>4692.97</v>
      </c>
      <c r="N2417" s="784">
        <v>8.0299999999999994</v>
      </c>
      <c r="O2417" s="784">
        <v>3.63</v>
      </c>
      <c r="P2417" s="783">
        <v>161</v>
      </c>
      <c r="Q2417" s="783">
        <v>423.31</v>
      </c>
      <c r="R2417" s="783">
        <v>249.2</v>
      </c>
      <c r="S2417" s="783">
        <v>47.87</v>
      </c>
      <c r="T2417" s="783">
        <v>126.24</v>
      </c>
      <c r="U2417" s="785">
        <v>44708.6492939815</v>
      </c>
    </row>
    <row r="2418" spans="1:21">
      <c r="A2418" s="782">
        <v>44687</v>
      </c>
      <c r="B2418" s="783" t="s">
        <v>51</v>
      </c>
      <c r="C2418" s="783" t="s">
        <v>4042</v>
      </c>
      <c r="D2418" s="783" t="s">
        <v>4016</v>
      </c>
      <c r="E2418" s="783" t="s">
        <v>4043</v>
      </c>
      <c r="F2418" s="783" t="s">
        <v>4011</v>
      </c>
      <c r="G2418" s="783" t="s">
        <v>4028</v>
      </c>
      <c r="H2418" s="783" t="s">
        <v>4044</v>
      </c>
      <c r="I2418" s="783" t="s">
        <v>4045</v>
      </c>
      <c r="J2418" s="783">
        <v>25</v>
      </c>
      <c r="K2418" s="783" t="s">
        <v>866</v>
      </c>
      <c r="L2418" s="783" t="s">
        <v>4014</v>
      </c>
      <c r="M2418" s="784">
        <v>18130.849999999999</v>
      </c>
      <c r="N2418" s="784">
        <v>20.55</v>
      </c>
      <c r="O2418" s="784">
        <v>5.48</v>
      </c>
      <c r="P2418" s="783">
        <v>161</v>
      </c>
      <c r="Q2418" s="783">
        <v>1363.44</v>
      </c>
      <c r="R2418" s="783">
        <v>1029.83</v>
      </c>
      <c r="S2418" s="783">
        <v>170.43</v>
      </c>
      <c r="T2418" s="783">
        <v>163.18</v>
      </c>
      <c r="U2418" s="785">
        <v>44687.596319444398</v>
      </c>
    </row>
    <row r="2419" spans="1:21">
      <c r="A2419" s="782">
        <v>44663</v>
      </c>
      <c r="B2419" s="783" t="s">
        <v>113</v>
      </c>
      <c r="C2419" s="783" t="s">
        <v>4606</v>
      </c>
      <c r="D2419" s="783" t="s">
        <v>4009</v>
      </c>
      <c r="E2419" s="783" t="s">
        <v>3191</v>
      </c>
      <c r="F2419" s="783" t="s">
        <v>4011</v>
      </c>
      <c r="G2419" s="783" t="str">
        <f>VLOOKUP(I2419,pacage,2,FALSE)</f>
        <v>Renewal (25% in 2020)</v>
      </c>
      <c r="H2419" s="783" t="s">
        <v>6873</v>
      </c>
      <c r="I2419" s="783" t="s">
        <v>6874</v>
      </c>
      <c r="J2419" s="783">
        <v>25</v>
      </c>
      <c r="K2419" s="783" t="s">
        <v>866</v>
      </c>
      <c r="L2419" s="783" t="s">
        <v>4014</v>
      </c>
      <c r="M2419" s="784">
        <v>30700.79</v>
      </c>
      <c r="N2419" s="784">
        <v>19.07</v>
      </c>
      <c r="O2419" s="784">
        <v>9.4700000000000006</v>
      </c>
      <c r="P2419" s="783">
        <v>170</v>
      </c>
      <c r="Q2419" s="783">
        <v>1835.91</v>
      </c>
      <c r="R2419" s="783">
        <v>1151.3900000000001</v>
      </c>
      <c r="S2419" s="783">
        <v>263.92</v>
      </c>
      <c r="T2419" s="783">
        <v>420.6</v>
      </c>
      <c r="U2419" s="785">
        <v>44665.648854166699</v>
      </c>
    </row>
    <row r="2420" spans="1:21">
      <c r="A2420" s="782">
        <v>44665</v>
      </c>
      <c r="B2420" s="783" t="s">
        <v>113</v>
      </c>
      <c r="C2420" s="783" t="s">
        <v>4606</v>
      </c>
      <c r="D2420" s="783" t="s">
        <v>4009</v>
      </c>
      <c r="E2420" s="783" t="s">
        <v>6639</v>
      </c>
      <c r="F2420" s="783" t="s">
        <v>4011</v>
      </c>
      <c r="G2420" s="783" t="str">
        <f>VLOOKUP(I2420,pacage,2,FALSE)</f>
        <v>Renewal (25% in 2020)</v>
      </c>
      <c r="H2420" s="783" t="s">
        <v>6640</v>
      </c>
      <c r="I2420" s="783" t="s">
        <v>6641</v>
      </c>
      <c r="J2420" s="783">
        <v>25</v>
      </c>
      <c r="K2420" s="783" t="s">
        <v>866</v>
      </c>
      <c r="L2420" s="783" t="s">
        <v>4014</v>
      </c>
      <c r="M2420" s="784">
        <v>10967.57</v>
      </c>
      <c r="N2420" s="784">
        <v>5.08</v>
      </c>
      <c r="O2420" s="784">
        <v>10.33</v>
      </c>
      <c r="P2420" s="783">
        <v>209</v>
      </c>
      <c r="Q2420" s="783">
        <v>655.86</v>
      </c>
      <c r="R2420" s="783">
        <v>334.57</v>
      </c>
      <c r="S2420" s="783">
        <v>171.04</v>
      </c>
      <c r="T2420" s="783">
        <v>150.26</v>
      </c>
      <c r="U2420" s="785">
        <v>44665.673333333303</v>
      </c>
    </row>
    <row r="2421" spans="1:21">
      <c r="A2421" s="782">
        <v>44665</v>
      </c>
      <c r="B2421" s="783" t="s">
        <v>113</v>
      </c>
      <c r="C2421" s="783" t="s">
        <v>4606</v>
      </c>
      <c r="D2421" s="783" t="s">
        <v>4009</v>
      </c>
      <c r="E2421" s="783" t="s">
        <v>1064</v>
      </c>
      <c r="F2421" s="783" t="s">
        <v>4011</v>
      </c>
      <c r="G2421" s="783" t="s">
        <v>4028</v>
      </c>
      <c r="H2421" s="783" t="s">
        <v>6875</v>
      </c>
      <c r="I2421" s="783" t="s">
        <v>6876</v>
      </c>
      <c r="J2421" s="783">
        <v>20</v>
      </c>
      <c r="K2421" s="783" t="s">
        <v>866</v>
      </c>
      <c r="L2421" s="783" t="s">
        <v>4014</v>
      </c>
      <c r="M2421" s="784">
        <v>114950</v>
      </c>
      <c r="N2421" s="784">
        <v>50</v>
      </c>
      <c r="O2421" s="784">
        <v>11</v>
      </c>
      <c r="P2421" s="783">
        <v>209</v>
      </c>
      <c r="Q2421" s="783">
        <v>8517.7999999999993</v>
      </c>
      <c r="R2421" s="783">
        <v>3506.58</v>
      </c>
      <c r="S2421" s="783">
        <v>1792.62</v>
      </c>
      <c r="T2421" s="783">
        <v>3218.6</v>
      </c>
      <c r="U2421" s="785">
        <v>44666.391678240703</v>
      </c>
    </row>
    <row r="2422" spans="1:21">
      <c r="A2422" s="782">
        <v>44665</v>
      </c>
      <c r="B2422" s="783" t="s">
        <v>113</v>
      </c>
      <c r="C2422" s="783" t="s">
        <v>4606</v>
      </c>
      <c r="D2422" s="783" t="s">
        <v>4009</v>
      </c>
      <c r="E2422" s="783" t="s">
        <v>6681</v>
      </c>
      <c r="F2422" s="783" t="s">
        <v>4011</v>
      </c>
      <c r="G2422" s="783" t="str">
        <f>VLOOKUP(I2422,pacage,2,FALSE)</f>
        <v>Renewal (25% in 2020)</v>
      </c>
      <c r="H2422" s="783" t="s">
        <v>6682</v>
      </c>
      <c r="I2422" s="783" t="s">
        <v>6683</v>
      </c>
      <c r="J2422" s="783">
        <v>30</v>
      </c>
      <c r="K2422" s="783" t="s">
        <v>866</v>
      </c>
      <c r="L2422" s="783" t="s">
        <v>4014</v>
      </c>
      <c r="M2422" s="784">
        <v>66233.97</v>
      </c>
      <c r="N2422" s="784">
        <v>38.450000000000003</v>
      </c>
      <c r="O2422" s="784">
        <v>9.57</v>
      </c>
      <c r="P2422" s="783">
        <v>180</v>
      </c>
      <c r="Q2422" s="783">
        <v>3550.14</v>
      </c>
      <c r="R2422" s="783">
        <v>2346.0100000000002</v>
      </c>
      <c r="S2422" s="783">
        <v>276.86</v>
      </c>
      <c r="T2422" s="783">
        <v>927.28</v>
      </c>
      <c r="U2422" s="785">
        <v>44666.397430555597</v>
      </c>
    </row>
    <row r="2423" spans="1:21">
      <c r="A2423" s="782">
        <v>44665</v>
      </c>
      <c r="B2423" s="783" t="s">
        <v>41</v>
      </c>
      <c r="C2423" s="783" t="s">
        <v>4092</v>
      </c>
      <c r="D2423" s="783" t="s">
        <v>4009</v>
      </c>
      <c r="E2423" s="783" t="s">
        <v>4310</v>
      </c>
      <c r="F2423" s="783" t="s">
        <v>4011</v>
      </c>
      <c r="G2423" s="783" t="str">
        <f>VLOOKUP(I2423,pacage,2,FALSE)</f>
        <v>New Contract</v>
      </c>
      <c r="H2423" s="783" t="s">
        <v>4311</v>
      </c>
      <c r="I2423" s="783" t="s">
        <v>4312</v>
      </c>
      <c r="J2423" s="783">
        <v>25</v>
      </c>
      <c r="K2423" s="783" t="s">
        <v>866</v>
      </c>
      <c r="L2423" s="783" t="s">
        <v>4014</v>
      </c>
      <c r="M2423" s="784">
        <v>17416.75</v>
      </c>
      <c r="N2423" s="784">
        <v>11.65</v>
      </c>
      <c r="O2423" s="784">
        <v>6.5</v>
      </c>
      <c r="P2423" s="783">
        <v>230</v>
      </c>
      <c r="Q2423" s="783">
        <v>1206.98</v>
      </c>
      <c r="R2423" s="783">
        <v>647.38</v>
      </c>
      <c r="S2423" s="783">
        <v>455.1</v>
      </c>
      <c r="T2423" s="783">
        <v>104.5</v>
      </c>
      <c r="U2423" s="785">
        <v>44665.6621759259</v>
      </c>
    </row>
    <row r="2424" spans="1:21">
      <c r="A2424" s="782">
        <v>44671</v>
      </c>
      <c r="B2424" s="783" t="s">
        <v>113</v>
      </c>
      <c r="C2424" s="783" t="s">
        <v>4606</v>
      </c>
      <c r="D2424" s="783" t="s">
        <v>4009</v>
      </c>
      <c r="E2424" s="783" t="s">
        <v>6877</v>
      </c>
      <c r="F2424" s="783" t="s">
        <v>4011</v>
      </c>
      <c r="G2424" s="783" t="s">
        <v>4028</v>
      </c>
      <c r="H2424" s="783" t="s">
        <v>6878</v>
      </c>
      <c r="I2424" s="783" t="s">
        <v>6879</v>
      </c>
      <c r="J2424" s="783">
        <v>15</v>
      </c>
      <c r="K2424" s="783" t="s">
        <v>866</v>
      </c>
      <c r="L2424" s="783" t="s">
        <v>4014</v>
      </c>
      <c r="M2424" s="784">
        <v>26848.39</v>
      </c>
      <c r="N2424" s="784">
        <v>15.25</v>
      </c>
      <c r="O2424" s="784">
        <v>10.67</v>
      </c>
      <c r="P2424" s="783">
        <v>165</v>
      </c>
      <c r="Q2424" s="783">
        <v>2564.02</v>
      </c>
      <c r="R2424" s="783">
        <v>1037.42</v>
      </c>
      <c r="S2424" s="783">
        <v>200.29</v>
      </c>
      <c r="T2424" s="783">
        <v>1326.31</v>
      </c>
      <c r="U2424" s="785">
        <v>44673.358263888898</v>
      </c>
    </row>
    <row r="2425" spans="1:21">
      <c r="A2425" s="782">
        <v>44695</v>
      </c>
      <c r="B2425" s="783" t="s">
        <v>113</v>
      </c>
      <c r="C2425" s="783" t="s">
        <v>4598</v>
      </c>
      <c r="D2425" s="783" t="s">
        <v>4009</v>
      </c>
      <c r="E2425" s="783" t="s">
        <v>6880</v>
      </c>
      <c r="F2425" s="783" t="s">
        <v>4011</v>
      </c>
      <c r="G2425" s="783" t="str">
        <f>VLOOKUP(I2425,pacage,2,FALSE)</f>
        <v>Renewal (20% in 2020)</v>
      </c>
      <c r="H2425" s="783" t="s">
        <v>6881</v>
      </c>
      <c r="I2425" s="783" t="s">
        <v>6882</v>
      </c>
      <c r="J2425" s="783">
        <v>15</v>
      </c>
      <c r="K2425" s="783" t="s">
        <v>866</v>
      </c>
      <c r="L2425" s="783" t="s">
        <v>4014</v>
      </c>
      <c r="M2425" s="784">
        <v>49536.82</v>
      </c>
      <c r="N2425" s="784">
        <v>26.53</v>
      </c>
      <c r="O2425" s="784">
        <v>11.67</v>
      </c>
      <c r="P2425" s="783">
        <v>160</v>
      </c>
      <c r="Q2425" s="783">
        <v>4701.04</v>
      </c>
      <c r="R2425" s="783">
        <v>1842.77</v>
      </c>
      <c r="S2425" s="783">
        <v>465.65</v>
      </c>
      <c r="T2425" s="783">
        <v>2392.63</v>
      </c>
      <c r="U2425" s="785">
        <v>44697.415289351899</v>
      </c>
    </row>
    <row r="2426" spans="1:21">
      <c r="A2426" s="782">
        <v>44666</v>
      </c>
      <c r="B2426" s="783" t="s">
        <v>41</v>
      </c>
      <c r="C2426" s="783" t="s">
        <v>4008</v>
      </c>
      <c r="D2426" s="783" t="s">
        <v>4009</v>
      </c>
      <c r="E2426" s="783" t="s">
        <v>5296</v>
      </c>
      <c r="F2426" s="783" t="s">
        <v>4011</v>
      </c>
      <c r="G2426" s="783" t="str">
        <f>VLOOKUP(I2426,pacage,2,FALSE)</f>
        <v>Renewal (20% in 2020)</v>
      </c>
      <c r="H2426" s="783" t="s">
        <v>5297</v>
      </c>
      <c r="I2426" s="783" t="s">
        <v>5298</v>
      </c>
      <c r="J2426" s="783">
        <v>20</v>
      </c>
      <c r="K2426" s="783" t="s">
        <v>866</v>
      </c>
      <c r="L2426" s="783" t="s">
        <v>4014</v>
      </c>
      <c r="M2426" s="784">
        <v>8942.26</v>
      </c>
      <c r="N2426" s="784">
        <v>7.91</v>
      </c>
      <c r="O2426" s="784">
        <v>6.65</v>
      </c>
      <c r="P2426" s="783">
        <v>170</v>
      </c>
      <c r="Q2426" s="783">
        <v>767.25</v>
      </c>
      <c r="R2426" s="783">
        <v>412.43</v>
      </c>
      <c r="S2426" s="783">
        <v>93.7</v>
      </c>
      <c r="T2426" s="783">
        <v>261.11</v>
      </c>
      <c r="U2426" s="785">
        <v>44671.483136574097</v>
      </c>
    </row>
    <row r="2427" spans="1:21">
      <c r="A2427" s="782">
        <v>44643</v>
      </c>
      <c r="B2427" s="783" t="s">
        <v>113</v>
      </c>
      <c r="C2427" s="783" t="s">
        <v>4598</v>
      </c>
      <c r="D2427" s="783" t="s">
        <v>4009</v>
      </c>
      <c r="E2427" s="783" t="s">
        <v>6791</v>
      </c>
      <c r="F2427" s="783" t="s">
        <v>4011</v>
      </c>
      <c r="G2427" s="783" t="str">
        <f>VLOOKUP(I2427,pacage,2,FALSE)</f>
        <v>Renewal (20% in 2020)</v>
      </c>
      <c r="H2427" s="783" t="s">
        <v>6792</v>
      </c>
      <c r="I2427" s="783" t="s">
        <v>6793</v>
      </c>
      <c r="J2427" s="783">
        <v>20</v>
      </c>
      <c r="K2427" s="783" t="s">
        <v>866</v>
      </c>
      <c r="L2427" s="783" t="s">
        <v>4014</v>
      </c>
      <c r="M2427" s="784">
        <v>76692.56</v>
      </c>
      <c r="N2427" s="784">
        <v>38.11</v>
      </c>
      <c r="O2427" s="784">
        <v>12.9</v>
      </c>
      <c r="P2427" s="783">
        <v>156</v>
      </c>
      <c r="Q2427" s="783">
        <v>5613.9</v>
      </c>
      <c r="R2427" s="783">
        <v>2852.96</v>
      </c>
      <c r="S2427" s="783">
        <v>720.91</v>
      </c>
      <c r="T2427" s="783">
        <v>2040.02</v>
      </c>
      <c r="U2427" s="785">
        <v>44665.652141203696</v>
      </c>
    </row>
    <row r="2428" spans="1:21">
      <c r="A2428" s="782">
        <v>44683</v>
      </c>
      <c r="B2428" s="783" t="s">
        <v>113</v>
      </c>
      <c r="C2428" s="783" t="s">
        <v>4606</v>
      </c>
      <c r="D2428" s="783" t="s">
        <v>4009</v>
      </c>
      <c r="E2428" s="783" t="s">
        <v>6721</v>
      </c>
      <c r="F2428" s="783" t="s">
        <v>4011</v>
      </c>
      <c r="G2428" s="783" t="s">
        <v>4028</v>
      </c>
      <c r="H2428" s="783" t="s">
        <v>6722</v>
      </c>
      <c r="I2428" s="783" t="s">
        <v>6723</v>
      </c>
      <c r="J2428" s="783">
        <v>25</v>
      </c>
      <c r="K2428" s="783" t="s">
        <v>866</v>
      </c>
      <c r="L2428" s="783" t="s">
        <v>4014</v>
      </c>
      <c r="M2428" s="784">
        <v>10196.44</v>
      </c>
      <c r="N2428" s="784">
        <v>5.57</v>
      </c>
      <c r="O2428" s="784">
        <v>10.17</v>
      </c>
      <c r="P2428" s="783">
        <v>180</v>
      </c>
      <c r="Q2428" s="783">
        <v>609.75</v>
      </c>
      <c r="R2428" s="783">
        <v>361.16</v>
      </c>
      <c r="S2428" s="783">
        <v>108.9</v>
      </c>
      <c r="T2428" s="783">
        <v>139.69</v>
      </c>
      <c r="U2428" s="785">
        <v>44684.403680555602</v>
      </c>
    </row>
    <row r="2429" spans="1:21">
      <c r="A2429" s="782">
        <v>44665</v>
      </c>
      <c r="B2429" s="783" t="s">
        <v>41</v>
      </c>
      <c r="C2429" s="783" t="s">
        <v>4008</v>
      </c>
      <c r="D2429" s="783" t="s">
        <v>4009</v>
      </c>
      <c r="E2429" s="783" t="s">
        <v>6883</v>
      </c>
      <c r="F2429" s="783" t="s">
        <v>4011</v>
      </c>
      <c r="G2429" s="783" t="str">
        <f t="shared" ref="G2429:G2447" si="129">VLOOKUP(I2429,pacage,2,FALSE)</f>
        <v>Renewal (20% in 2020)</v>
      </c>
      <c r="H2429" s="783" t="s">
        <v>6884</v>
      </c>
      <c r="I2429" s="783" t="s">
        <v>6885</v>
      </c>
      <c r="J2429" s="783">
        <v>25</v>
      </c>
      <c r="K2429" s="783" t="s">
        <v>866</v>
      </c>
      <c r="L2429" s="783" t="s">
        <v>4014</v>
      </c>
      <c r="M2429" s="784">
        <v>12490.24</v>
      </c>
      <c r="N2429" s="784">
        <v>8.9600000000000009</v>
      </c>
      <c r="O2429" s="784">
        <v>6.97</v>
      </c>
      <c r="P2429" s="783">
        <v>200</v>
      </c>
      <c r="Q2429" s="783">
        <v>838.1</v>
      </c>
      <c r="R2429" s="783">
        <v>489.66</v>
      </c>
      <c r="S2429" s="783">
        <v>217.29</v>
      </c>
      <c r="T2429" s="783">
        <v>131.15</v>
      </c>
      <c r="U2429" s="785">
        <v>44666.393182870401</v>
      </c>
    </row>
    <row r="2430" spans="1:21">
      <c r="A2430" s="782">
        <v>44666</v>
      </c>
      <c r="B2430" s="783" t="s">
        <v>113</v>
      </c>
      <c r="C2430" s="783" t="s">
        <v>4606</v>
      </c>
      <c r="D2430" s="783" t="s">
        <v>4009</v>
      </c>
      <c r="E2430" s="783" t="s">
        <v>6886</v>
      </c>
      <c r="F2430" s="783" t="s">
        <v>4011</v>
      </c>
      <c r="G2430" s="783" t="str">
        <f t="shared" si="129"/>
        <v>Renewal (30% in 2020)</v>
      </c>
      <c r="H2430" s="783" t="s">
        <v>6887</v>
      </c>
      <c r="I2430" s="783" t="s">
        <v>6888</v>
      </c>
      <c r="J2430" s="783">
        <v>30</v>
      </c>
      <c r="K2430" s="783" t="s">
        <v>866</v>
      </c>
      <c r="L2430" s="783" t="s">
        <v>4014</v>
      </c>
      <c r="M2430" s="784">
        <v>8946.14</v>
      </c>
      <c r="N2430" s="784">
        <v>5.83</v>
      </c>
      <c r="O2430" s="784">
        <v>10.23</v>
      </c>
      <c r="P2430" s="783">
        <v>150</v>
      </c>
      <c r="Q2430" s="783">
        <v>479.51</v>
      </c>
      <c r="R2430" s="783">
        <v>354.27</v>
      </c>
      <c r="S2430" s="783">
        <v>0</v>
      </c>
      <c r="T2430" s="783">
        <v>125.25</v>
      </c>
      <c r="U2430" s="785">
        <v>44671.487395833297</v>
      </c>
    </row>
    <row r="2431" spans="1:21">
      <c r="A2431" s="782">
        <v>44711</v>
      </c>
      <c r="B2431" s="783" t="s">
        <v>113</v>
      </c>
      <c r="C2431" s="783" t="s">
        <v>4606</v>
      </c>
      <c r="D2431" s="783" t="s">
        <v>4009</v>
      </c>
      <c r="E2431" s="783" t="s">
        <v>659</v>
      </c>
      <c r="F2431" s="783" t="s">
        <v>4011</v>
      </c>
      <c r="G2431" s="783" t="str">
        <f t="shared" si="129"/>
        <v>Renewal (20% in 2020)</v>
      </c>
      <c r="H2431" s="783" t="s">
        <v>6565</v>
      </c>
      <c r="I2431" s="783" t="s">
        <v>6566</v>
      </c>
      <c r="J2431" s="783">
        <v>20</v>
      </c>
      <c r="K2431" s="783" t="s">
        <v>866</v>
      </c>
      <c r="L2431" s="783" t="s">
        <v>4014</v>
      </c>
      <c r="M2431" s="784">
        <v>44549.52</v>
      </c>
      <c r="N2431" s="784">
        <v>28.64</v>
      </c>
      <c r="O2431" s="784">
        <v>10.37</v>
      </c>
      <c r="P2431" s="783">
        <v>150</v>
      </c>
      <c r="Q2431" s="783">
        <v>3301.12</v>
      </c>
      <c r="R2431" s="783">
        <v>1764.16</v>
      </c>
      <c r="S2431" s="783">
        <v>289.57</v>
      </c>
      <c r="T2431" s="783">
        <v>1247.3900000000001</v>
      </c>
      <c r="U2431" s="785">
        <v>44713.629039351901</v>
      </c>
    </row>
    <row r="2432" spans="1:21">
      <c r="A2432" s="782">
        <v>44711</v>
      </c>
      <c r="B2432" s="783" t="s">
        <v>74</v>
      </c>
      <c r="C2432" s="783" t="s">
        <v>4602</v>
      </c>
      <c r="D2432" s="783" t="s">
        <v>4038</v>
      </c>
      <c r="E2432" s="783" t="s">
        <v>4603</v>
      </c>
      <c r="F2432" s="783" t="s">
        <v>4011</v>
      </c>
      <c r="G2432" s="783" t="str">
        <f t="shared" si="129"/>
        <v>Renewal (30% in 2020)</v>
      </c>
      <c r="H2432" s="783" t="s">
        <v>4604</v>
      </c>
      <c r="I2432" s="783" t="s">
        <v>4605</v>
      </c>
      <c r="J2432" s="783">
        <v>30</v>
      </c>
      <c r="K2432" s="783" t="s">
        <v>866</v>
      </c>
      <c r="L2432" s="783" t="s">
        <v>4014</v>
      </c>
      <c r="M2432" s="784">
        <v>46941.75</v>
      </c>
      <c r="N2432" s="784">
        <v>46.5</v>
      </c>
      <c r="O2432" s="784">
        <v>6.73</v>
      </c>
      <c r="P2432" s="783">
        <v>150</v>
      </c>
      <c r="Q2432" s="783">
        <v>2290.7600000000002</v>
      </c>
      <c r="R2432" s="783">
        <v>1990.33</v>
      </c>
      <c r="S2432" s="783">
        <v>0</v>
      </c>
      <c r="T2432" s="783">
        <v>300.43</v>
      </c>
      <c r="U2432" s="785">
        <v>44712.722685185203</v>
      </c>
    </row>
    <row r="2433" spans="1:21">
      <c r="A2433" s="782">
        <v>44712</v>
      </c>
      <c r="B2433" s="783" t="s">
        <v>30</v>
      </c>
      <c r="C2433" s="783" t="s">
        <v>4239</v>
      </c>
      <c r="D2433" s="783" t="s">
        <v>4021</v>
      </c>
      <c r="E2433" s="783" t="s">
        <v>787</v>
      </c>
      <c r="F2433" s="783" t="s">
        <v>4011</v>
      </c>
      <c r="G2433" s="783" t="str">
        <f t="shared" si="129"/>
        <v>Renewal (15% in 2020)</v>
      </c>
      <c r="H2433" s="783" t="s">
        <v>5304</v>
      </c>
      <c r="I2433" s="783" t="s">
        <v>5305</v>
      </c>
      <c r="J2433" s="783">
        <v>15</v>
      </c>
      <c r="K2433" s="783" t="s">
        <v>866</v>
      </c>
      <c r="L2433" s="783" t="s">
        <v>4014</v>
      </c>
      <c r="M2433" s="784">
        <v>90564.4</v>
      </c>
      <c r="N2433" s="784">
        <v>60.7</v>
      </c>
      <c r="O2433" s="784">
        <v>7.46</v>
      </c>
      <c r="P2433" s="783">
        <v>200</v>
      </c>
      <c r="Q2433" s="783">
        <v>8241.36</v>
      </c>
      <c r="R2433" s="783">
        <v>2770.36</v>
      </c>
      <c r="S2433" s="783">
        <v>1431.82</v>
      </c>
      <c r="T2433" s="783">
        <v>4039.17</v>
      </c>
      <c r="U2433" s="785">
        <v>44714.581064814804</v>
      </c>
    </row>
    <row r="2434" spans="1:21">
      <c r="A2434" s="782">
        <v>44697</v>
      </c>
      <c r="B2434" s="783" t="s">
        <v>113</v>
      </c>
      <c r="C2434" s="783" t="s">
        <v>4606</v>
      </c>
      <c r="D2434" s="783" t="s">
        <v>4009</v>
      </c>
      <c r="E2434" s="783" t="s">
        <v>2436</v>
      </c>
      <c r="F2434" s="783" t="s">
        <v>4011</v>
      </c>
      <c r="G2434" s="783" t="str">
        <f t="shared" si="129"/>
        <v>Renewal (25% in 2020)</v>
      </c>
      <c r="H2434" s="783" t="s">
        <v>6889</v>
      </c>
      <c r="I2434" s="783" t="s">
        <v>6890</v>
      </c>
      <c r="J2434" s="783">
        <v>25</v>
      </c>
      <c r="K2434" s="783" t="s">
        <v>866</v>
      </c>
      <c r="L2434" s="783" t="s">
        <v>4014</v>
      </c>
      <c r="M2434" s="784">
        <v>111577.84</v>
      </c>
      <c r="N2434" s="784">
        <v>61.55</v>
      </c>
      <c r="O2434" s="784">
        <v>11.33</v>
      </c>
      <c r="P2434" s="783">
        <v>160</v>
      </c>
      <c r="Q2434" s="783">
        <v>6672.35</v>
      </c>
      <c r="R2434" s="783">
        <v>4418.4799999999996</v>
      </c>
      <c r="S2434" s="783">
        <v>725.26</v>
      </c>
      <c r="T2434" s="783">
        <v>1528.62</v>
      </c>
      <c r="U2434" s="785">
        <v>44708.666527777801</v>
      </c>
    </row>
    <row r="2435" spans="1:21">
      <c r="A2435" s="782">
        <v>44697</v>
      </c>
      <c r="B2435" s="783" t="s">
        <v>113</v>
      </c>
      <c r="C2435" s="783" t="s">
        <v>4606</v>
      </c>
      <c r="D2435" s="783" t="s">
        <v>4009</v>
      </c>
      <c r="E2435" s="783" t="s">
        <v>4607</v>
      </c>
      <c r="F2435" s="783" t="s">
        <v>4011</v>
      </c>
      <c r="G2435" s="783" t="str">
        <f t="shared" si="129"/>
        <v>Renewal (15% in 2020)</v>
      </c>
      <c r="H2435" s="783" t="s">
        <v>4608</v>
      </c>
      <c r="I2435" s="783" t="s">
        <v>4609</v>
      </c>
      <c r="J2435" s="783">
        <v>15</v>
      </c>
      <c r="K2435" s="783" t="s">
        <v>866</v>
      </c>
      <c r="L2435" s="783" t="s">
        <v>4014</v>
      </c>
      <c r="M2435" s="784">
        <v>31969.13</v>
      </c>
      <c r="N2435" s="784">
        <v>20.2</v>
      </c>
      <c r="O2435" s="784">
        <v>9.83</v>
      </c>
      <c r="P2435" s="783">
        <v>161</v>
      </c>
      <c r="Q2435" s="783">
        <v>3053.05</v>
      </c>
      <c r="R2435" s="783">
        <v>1265.98</v>
      </c>
      <c r="S2435" s="783">
        <v>207.8</v>
      </c>
      <c r="T2435" s="783">
        <v>1579.27</v>
      </c>
      <c r="U2435" s="785">
        <v>44699.493645833303</v>
      </c>
    </row>
    <row r="2436" spans="1:21">
      <c r="A2436" s="782">
        <v>44697</v>
      </c>
      <c r="B2436" s="783" t="s">
        <v>41</v>
      </c>
      <c r="C2436" s="783" t="s">
        <v>4092</v>
      </c>
      <c r="D2436" s="783" t="s">
        <v>4009</v>
      </c>
      <c r="E2436" s="783" t="s">
        <v>4128</v>
      </c>
      <c r="F2436" s="783" t="s">
        <v>4011</v>
      </c>
      <c r="G2436" s="783" t="str">
        <f t="shared" si="129"/>
        <v>Renewal (20% in 2020)</v>
      </c>
      <c r="H2436" s="783" t="s">
        <v>4129</v>
      </c>
      <c r="I2436" s="783" t="s">
        <v>4130</v>
      </c>
      <c r="J2436" s="783">
        <v>20</v>
      </c>
      <c r="K2436" s="783" t="s">
        <v>866</v>
      </c>
      <c r="L2436" s="783" t="s">
        <v>4014</v>
      </c>
      <c r="M2436" s="784">
        <v>27474.400000000001</v>
      </c>
      <c r="N2436" s="784">
        <v>24.4</v>
      </c>
      <c r="O2436" s="784">
        <v>5.63</v>
      </c>
      <c r="P2436" s="783">
        <v>200</v>
      </c>
      <c r="Q2436" s="783">
        <v>2478.19</v>
      </c>
      <c r="R2436" s="783">
        <v>1174.4100000000001</v>
      </c>
      <c r="S2436" s="783">
        <v>564.72</v>
      </c>
      <c r="T2436" s="783">
        <v>739.06</v>
      </c>
      <c r="U2436" s="785">
        <v>44699.507303240702</v>
      </c>
    </row>
    <row r="2437" spans="1:21">
      <c r="A2437" s="782">
        <v>44698</v>
      </c>
      <c r="B2437" s="783" t="s">
        <v>113</v>
      </c>
      <c r="C2437" s="783" t="s">
        <v>4606</v>
      </c>
      <c r="D2437" s="783" t="s">
        <v>4009</v>
      </c>
      <c r="E2437" s="783" t="s">
        <v>3595</v>
      </c>
      <c r="F2437" s="783" t="s">
        <v>4011</v>
      </c>
      <c r="G2437" s="783" t="str">
        <f t="shared" si="129"/>
        <v>Renewal (15% in 2020)</v>
      </c>
      <c r="H2437" s="783" t="s">
        <v>6891</v>
      </c>
      <c r="I2437" s="783" t="s">
        <v>6892</v>
      </c>
      <c r="J2437" s="783">
        <v>15</v>
      </c>
      <c r="K2437" s="783" t="s">
        <v>866</v>
      </c>
      <c r="L2437" s="783" t="s">
        <v>4014</v>
      </c>
      <c r="M2437" s="784">
        <v>25389.7</v>
      </c>
      <c r="N2437" s="784">
        <v>16.600000000000001</v>
      </c>
      <c r="O2437" s="784">
        <v>9.5</v>
      </c>
      <c r="P2437" s="783">
        <v>161</v>
      </c>
      <c r="Q2437" s="783">
        <v>2424.7199999999998</v>
      </c>
      <c r="R2437" s="783">
        <v>1005.43</v>
      </c>
      <c r="S2437" s="783">
        <v>165.03</v>
      </c>
      <c r="T2437" s="783">
        <v>1254.25</v>
      </c>
      <c r="U2437" s="785">
        <v>44699.48</v>
      </c>
    </row>
    <row r="2438" spans="1:21">
      <c r="A2438" s="782">
        <v>44699</v>
      </c>
      <c r="B2438" s="783" t="s">
        <v>2866</v>
      </c>
      <c r="C2438" s="783" t="s">
        <v>4414</v>
      </c>
      <c r="D2438" s="783" t="s">
        <v>4009</v>
      </c>
      <c r="E2438" s="783" t="s">
        <v>5324</v>
      </c>
      <c r="F2438" s="783" t="s">
        <v>4011</v>
      </c>
      <c r="G2438" s="783" t="str">
        <f t="shared" si="129"/>
        <v>Renewal (15% in 2020)</v>
      </c>
      <c r="H2438" s="783" t="s">
        <v>5325</v>
      </c>
      <c r="I2438" s="783" t="s">
        <v>5326</v>
      </c>
      <c r="J2438" s="783">
        <v>20</v>
      </c>
      <c r="K2438" s="783" t="s">
        <v>866</v>
      </c>
      <c r="L2438" s="783" t="s">
        <v>4014</v>
      </c>
      <c r="M2438" s="784">
        <v>101546.83</v>
      </c>
      <c r="N2438" s="784">
        <v>69.41</v>
      </c>
      <c r="O2438" s="784">
        <v>7</v>
      </c>
      <c r="P2438" s="783">
        <v>209</v>
      </c>
      <c r="Q2438" s="783">
        <v>10357.780000000001</v>
      </c>
      <c r="R2438" s="783">
        <v>4318.0200000000004</v>
      </c>
      <c r="S2438" s="783">
        <v>2221.59</v>
      </c>
      <c r="T2438" s="783">
        <v>3818.16</v>
      </c>
      <c r="U2438" s="785">
        <v>44708.702685185199</v>
      </c>
    </row>
    <row r="2439" spans="1:21">
      <c r="A2439" s="782">
        <v>44694</v>
      </c>
      <c r="B2439" s="783" t="s">
        <v>150</v>
      </c>
      <c r="C2439" s="783" t="s">
        <v>4606</v>
      </c>
      <c r="D2439" s="783" t="s">
        <v>4009</v>
      </c>
      <c r="E2439" s="783" t="s">
        <v>2257</v>
      </c>
      <c r="F2439" s="783" t="s">
        <v>4011</v>
      </c>
      <c r="G2439" s="783" t="str">
        <f t="shared" si="129"/>
        <v>New Contract</v>
      </c>
      <c r="H2439" s="783" t="s">
        <v>6893</v>
      </c>
      <c r="I2439" s="783" t="s">
        <v>6894</v>
      </c>
      <c r="J2439" s="783">
        <v>20</v>
      </c>
      <c r="K2439" s="783" t="s">
        <v>866</v>
      </c>
      <c r="L2439" s="783" t="s">
        <v>4014</v>
      </c>
      <c r="M2439" s="784">
        <v>43642.29</v>
      </c>
      <c r="N2439" s="784">
        <v>23.35</v>
      </c>
      <c r="O2439" s="784">
        <v>8.93</v>
      </c>
      <c r="P2439" s="783">
        <v>209.3</v>
      </c>
      <c r="Q2439" s="783">
        <v>3233.89</v>
      </c>
      <c r="R2439" s="783">
        <v>1329.41</v>
      </c>
      <c r="S2439" s="783">
        <v>682.5</v>
      </c>
      <c r="T2439" s="783">
        <v>1221.98</v>
      </c>
      <c r="U2439" s="785">
        <v>44694.523217592599</v>
      </c>
    </row>
    <row r="2440" spans="1:21">
      <c r="A2440" s="782">
        <v>44694</v>
      </c>
      <c r="B2440" s="783" t="s">
        <v>41</v>
      </c>
      <c r="C2440" s="783" t="s">
        <v>4082</v>
      </c>
      <c r="D2440" s="783" t="s">
        <v>4009</v>
      </c>
      <c r="E2440" s="783" t="s">
        <v>5332</v>
      </c>
      <c r="F2440" s="783" t="s">
        <v>4011</v>
      </c>
      <c r="G2440" s="783" t="str">
        <f t="shared" si="129"/>
        <v>Renewal (15% in 2020)</v>
      </c>
      <c r="H2440" s="783" t="s">
        <v>5333</v>
      </c>
      <c r="I2440" s="783" t="s">
        <v>5334</v>
      </c>
      <c r="J2440" s="783">
        <v>15</v>
      </c>
      <c r="K2440" s="783" t="s">
        <v>866</v>
      </c>
      <c r="L2440" s="783" t="s">
        <v>4014</v>
      </c>
      <c r="M2440" s="784">
        <v>25471.16</v>
      </c>
      <c r="N2440" s="784">
        <v>22.28</v>
      </c>
      <c r="O2440" s="784">
        <v>5.47</v>
      </c>
      <c r="P2440" s="783">
        <v>209</v>
      </c>
      <c r="Q2440" s="783">
        <v>2677.02</v>
      </c>
      <c r="R2440" s="783">
        <v>906.51</v>
      </c>
      <c r="S2440" s="783">
        <v>491.86</v>
      </c>
      <c r="T2440" s="783">
        <v>1278.6500000000001</v>
      </c>
      <c r="U2440" s="785">
        <v>44697.506168981497</v>
      </c>
    </row>
    <row r="2441" spans="1:21">
      <c r="A2441" s="782">
        <v>44698</v>
      </c>
      <c r="B2441" s="783" t="s">
        <v>41</v>
      </c>
      <c r="C2441" s="783" t="s">
        <v>4092</v>
      </c>
      <c r="D2441" s="783" t="s">
        <v>4009</v>
      </c>
      <c r="E2441" s="783" t="s">
        <v>5338</v>
      </c>
      <c r="F2441" s="783" t="s">
        <v>4011</v>
      </c>
      <c r="G2441" s="783" t="str">
        <f t="shared" si="129"/>
        <v>Renewal (15% in 2020)</v>
      </c>
      <c r="H2441" s="783" t="s">
        <v>5339</v>
      </c>
      <c r="I2441" s="783" t="s">
        <v>5340</v>
      </c>
      <c r="J2441" s="783">
        <v>15</v>
      </c>
      <c r="K2441" s="783" t="s">
        <v>866</v>
      </c>
      <c r="L2441" s="783" t="s">
        <v>4014</v>
      </c>
      <c r="M2441" s="784">
        <v>12095.52</v>
      </c>
      <c r="N2441" s="784">
        <v>11.15</v>
      </c>
      <c r="O2441" s="784">
        <v>6.78</v>
      </c>
      <c r="P2441" s="783">
        <v>160</v>
      </c>
      <c r="Q2441" s="783">
        <v>1467.19</v>
      </c>
      <c r="R2441" s="783">
        <v>642.27</v>
      </c>
      <c r="S2441" s="783">
        <v>123.37</v>
      </c>
      <c r="T2441" s="783">
        <v>701.54</v>
      </c>
      <c r="U2441" s="785">
        <v>44699.495023148098</v>
      </c>
    </row>
    <row r="2442" spans="1:21">
      <c r="A2442" s="782">
        <v>44539</v>
      </c>
      <c r="B2442" s="783" t="s">
        <v>41</v>
      </c>
      <c r="C2442" s="783" t="s">
        <v>4071</v>
      </c>
      <c r="D2442" s="783" t="s">
        <v>4009</v>
      </c>
      <c r="E2442" s="783" t="s">
        <v>5347</v>
      </c>
      <c r="F2442" s="783" t="s">
        <v>4011</v>
      </c>
      <c r="G2442" s="783" t="str">
        <f t="shared" si="129"/>
        <v>Renewal (15% in 2020)</v>
      </c>
      <c r="H2442" s="783" t="s">
        <v>5348</v>
      </c>
      <c r="I2442" s="783" t="s">
        <v>5349</v>
      </c>
      <c r="J2442" s="783">
        <v>15</v>
      </c>
      <c r="K2442" s="783" t="s">
        <v>866</v>
      </c>
      <c r="L2442" s="783" t="s">
        <v>4014</v>
      </c>
      <c r="M2442" s="784">
        <v>10888.5</v>
      </c>
      <c r="N2442" s="784">
        <v>17</v>
      </c>
      <c r="O2442" s="784">
        <v>4.2699999999999996</v>
      </c>
      <c r="P2442" s="783">
        <v>150</v>
      </c>
      <c r="Q2442" s="783">
        <v>1496.08</v>
      </c>
      <c r="R2442" s="783">
        <v>675.09</v>
      </c>
      <c r="S2442" s="783">
        <v>107.8</v>
      </c>
      <c r="T2442" s="783">
        <v>713.2</v>
      </c>
      <c r="U2442" s="785">
        <v>44631.626736111102</v>
      </c>
    </row>
    <row r="2443" spans="1:21">
      <c r="A2443" s="782">
        <v>44560</v>
      </c>
      <c r="B2443" s="783" t="s">
        <v>228</v>
      </c>
      <c r="C2443" s="783" t="s">
        <v>4582</v>
      </c>
      <c r="D2443" s="783" t="s">
        <v>4193</v>
      </c>
      <c r="E2443" s="783" t="s">
        <v>5350</v>
      </c>
      <c r="F2443" s="783" t="s">
        <v>4011</v>
      </c>
      <c r="G2443" s="783" t="str">
        <f t="shared" si="129"/>
        <v>Renewal (25% in 2020)</v>
      </c>
      <c r="H2443" s="783" t="s">
        <v>5351</v>
      </c>
      <c r="I2443" s="783" t="s">
        <v>5352</v>
      </c>
      <c r="J2443" s="783">
        <v>25</v>
      </c>
      <c r="K2443" s="783" t="s">
        <v>866</v>
      </c>
      <c r="L2443" s="783" t="s">
        <v>4014</v>
      </c>
      <c r="M2443" s="784">
        <v>37785.839999999997</v>
      </c>
      <c r="N2443" s="784">
        <v>28.03</v>
      </c>
      <c r="O2443" s="784">
        <v>8.17</v>
      </c>
      <c r="P2443" s="783">
        <v>165</v>
      </c>
      <c r="Q2443" s="783">
        <v>1987.54</v>
      </c>
      <c r="R2443" s="783">
        <v>1522.72</v>
      </c>
      <c r="S2443" s="783">
        <v>287.22000000000003</v>
      </c>
      <c r="T2443" s="783">
        <v>177.59</v>
      </c>
      <c r="U2443" s="785">
        <v>44631.626678240696</v>
      </c>
    </row>
    <row r="2444" spans="1:21">
      <c r="A2444" s="782">
        <v>44641</v>
      </c>
      <c r="B2444" s="783" t="s">
        <v>30</v>
      </c>
      <c r="C2444" s="783" t="s">
        <v>4239</v>
      </c>
      <c r="D2444" s="783" t="s">
        <v>4021</v>
      </c>
      <c r="E2444" s="783" t="s">
        <v>5353</v>
      </c>
      <c r="F2444" s="783" t="s">
        <v>4011</v>
      </c>
      <c r="G2444" s="783" t="str">
        <f t="shared" si="129"/>
        <v>Renewal (20% in 2020)</v>
      </c>
      <c r="H2444" s="783" t="s">
        <v>5354</v>
      </c>
      <c r="I2444" s="783" t="s">
        <v>5355</v>
      </c>
      <c r="J2444" s="783">
        <v>20</v>
      </c>
      <c r="K2444" s="783" t="s">
        <v>866</v>
      </c>
      <c r="L2444" s="783" t="s">
        <v>4014</v>
      </c>
      <c r="M2444" s="784">
        <v>50830.080000000002</v>
      </c>
      <c r="N2444" s="784">
        <v>36.6</v>
      </c>
      <c r="O2444" s="784">
        <v>8.68</v>
      </c>
      <c r="P2444" s="783">
        <v>160</v>
      </c>
      <c r="Q2444" s="783">
        <v>3471.69</v>
      </c>
      <c r="R2444" s="783">
        <v>1931.54</v>
      </c>
      <c r="S2444" s="783">
        <v>426.97</v>
      </c>
      <c r="T2444" s="783">
        <v>1113.18</v>
      </c>
      <c r="U2444" s="785">
        <v>44641.473437499997</v>
      </c>
    </row>
    <row r="2445" spans="1:21">
      <c r="A2445" s="782">
        <v>44536</v>
      </c>
      <c r="B2445" s="783" t="s">
        <v>4025</v>
      </c>
      <c r="C2445" s="783" t="s">
        <v>4026</v>
      </c>
      <c r="D2445" s="783" t="s">
        <v>4021</v>
      </c>
      <c r="E2445" s="783" t="s">
        <v>5364</v>
      </c>
      <c r="F2445" s="783" t="s">
        <v>4011</v>
      </c>
      <c r="G2445" s="783" t="str">
        <f t="shared" si="129"/>
        <v>New contract</v>
      </c>
      <c r="H2445" s="783" t="s">
        <v>5365</v>
      </c>
      <c r="I2445" s="783" t="s">
        <v>5366</v>
      </c>
      <c r="J2445" s="783">
        <v>20</v>
      </c>
      <c r="K2445" s="783" t="s">
        <v>866</v>
      </c>
      <c r="L2445" s="783" t="s">
        <v>4014</v>
      </c>
      <c r="M2445" s="784">
        <v>19665</v>
      </c>
      <c r="N2445" s="784">
        <v>15</v>
      </c>
      <c r="O2445" s="784">
        <v>6.9</v>
      </c>
      <c r="P2445" s="783">
        <v>190</v>
      </c>
      <c r="Q2445" s="783">
        <v>1616.46</v>
      </c>
      <c r="R2445" s="783">
        <v>788.18</v>
      </c>
      <c r="S2445" s="783">
        <v>291.42</v>
      </c>
      <c r="T2445" s="783">
        <v>536.85</v>
      </c>
      <c r="U2445" s="785">
        <v>44631.630104166703</v>
      </c>
    </row>
    <row r="2446" spans="1:21">
      <c r="A2446" s="782">
        <v>44544</v>
      </c>
      <c r="B2446" s="783" t="s">
        <v>74</v>
      </c>
      <c r="C2446" s="783" t="s">
        <v>4097</v>
      </c>
      <c r="D2446" s="783" t="s">
        <v>4038</v>
      </c>
      <c r="E2446" s="783" t="s">
        <v>2961</v>
      </c>
      <c r="F2446" s="783" t="s">
        <v>4011</v>
      </c>
      <c r="G2446" s="783" t="str">
        <f t="shared" si="129"/>
        <v>New Contract</v>
      </c>
      <c r="H2446" s="783" t="s">
        <v>5373</v>
      </c>
      <c r="I2446" s="783" t="s">
        <v>5374</v>
      </c>
      <c r="J2446" s="783">
        <v>25</v>
      </c>
      <c r="K2446" s="783" t="s">
        <v>866</v>
      </c>
      <c r="L2446" s="783" t="s">
        <v>4014</v>
      </c>
      <c r="M2446" s="784">
        <v>35884.800000000003</v>
      </c>
      <c r="N2446" s="784">
        <v>36</v>
      </c>
      <c r="O2446" s="784">
        <v>6.23</v>
      </c>
      <c r="P2446" s="783">
        <v>160</v>
      </c>
      <c r="Q2446" s="783">
        <v>2282.27</v>
      </c>
      <c r="R2446" s="783">
        <v>1639.94</v>
      </c>
      <c r="S2446" s="783">
        <v>269.14</v>
      </c>
      <c r="T2446" s="783">
        <v>373.2</v>
      </c>
      <c r="U2446" s="785">
        <v>44631.630868055603</v>
      </c>
    </row>
    <row r="2447" spans="1:21">
      <c r="A2447" s="782">
        <v>44553</v>
      </c>
      <c r="B2447" s="783" t="s">
        <v>2866</v>
      </c>
      <c r="C2447" s="783" t="s">
        <v>4008</v>
      </c>
      <c r="D2447" s="783" t="s">
        <v>4009</v>
      </c>
      <c r="E2447" s="783" t="s">
        <v>2864</v>
      </c>
      <c r="F2447" s="783" t="s">
        <v>4011</v>
      </c>
      <c r="G2447" s="783" t="str">
        <f t="shared" si="129"/>
        <v>New contract</v>
      </c>
      <c r="H2447" s="783" t="s">
        <v>6475</v>
      </c>
      <c r="I2447" s="783" t="s">
        <v>6476</v>
      </c>
      <c r="J2447" s="783">
        <v>20</v>
      </c>
      <c r="K2447" s="783" t="s">
        <v>866</v>
      </c>
      <c r="L2447" s="783" t="s">
        <v>4014</v>
      </c>
      <c r="M2447" s="784">
        <v>4773.6000000000004</v>
      </c>
      <c r="N2447" s="784">
        <v>3</v>
      </c>
      <c r="O2447" s="784">
        <v>8.84</v>
      </c>
      <c r="P2447" s="783">
        <v>180</v>
      </c>
      <c r="Q2447" s="783">
        <v>409.57</v>
      </c>
      <c r="R2447" s="783">
        <v>207.94</v>
      </c>
      <c r="S2447" s="783">
        <v>62.25</v>
      </c>
      <c r="T2447" s="783">
        <v>139.38999999999999</v>
      </c>
      <c r="U2447" s="785">
        <v>44631.6309259259</v>
      </c>
    </row>
    <row r="2448" spans="1:21">
      <c r="A2448" s="782">
        <v>44615</v>
      </c>
      <c r="B2448" s="783" t="s">
        <v>74</v>
      </c>
      <c r="C2448" s="783" t="s">
        <v>4037</v>
      </c>
      <c r="D2448" s="783" t="s">
        <v>4038</v>
      </c>
      <c r="E2448" s="783" t="s">
        <v>5378</v>
      </c>
      <c r="F2448" s="783" t="s">
        <v>4011</v>
      </c>
      <c r="G2448" s="783" t="s">
        <v>4028</v>
      </c>
      <c r="H2448" s="783" t="s">
        <v>5379</v>
      </c>
      <c r="I2448" s="783" t="s">
        <v>5380</v>
      </c>
      <c r="J2448" s="783">
        <v>30</v>
      </c>
      <c r="K2448" s="783" t="s">
        <v>866</v>
      </c>
      <c r="L2448" s="783" t="s">
        <v>4014</v>
      </c>
      <c r="M2448" s="784">
        <v>49623.519999999997</v>
      </c>
      <c r="N2448" s="784">
        <v>37.479999999999997</v>
      </c>
      <c r="O2448" s="784">
        <v>6.62</v>
      </c>
      <c r="P2448" s="783">
        <v>200</v>
      </c>
      <c r="Q2448" s="783">
        <v>3558.01</v>
      </c>
      <c r="R2448" s="783">
        <v>2205.0700000000002</v>
      </c>
      <c r="S2448" s="783">
        <v>534.15</v>
      </c>
      <c r="T2448" s="783">
        <v>818.79</v>
      </c>
      <c r="U2448" s="785">
        <v>44631.511851851901</v>
      </c>
    </row>
    <row r="2449" spans="1:21">
      <c r="A2449" s="782">
        <v>44610</v>
      </c>
      <c r="B2449" s="783" t="s">
        <v>150</v>
      </c>
      <c r="C2449" s="783" t="s">
        <v>4598</v>
      </c>
      <c r="D2449" s="783" t="s">
        <v>4009</v>
      </c>
      <c r="E2449" s="783" t="s">
        <v>612</v>
      </c>
      <c r="F2449" s="783" t="s">
        <v>4011</v>
      </c>
      <c r="G2449" s="783" t="str">
        <f t="shared" ref="G2449:G2466" si="130">VLOOKUP(I2449,pacage,2,FALSE)</f>
        <v>Renewal (30% in 2020)</v>
      </c>
      <c r="H2449" s="783" t="s">
        <v>5381</v>
      </c>
      <c r="I2449" s="783" t="s">
        <v>5382</v>
      </c>
      <c r="J2449" s="783">
        <v>30</v>
      </c>
      <c r="K2449" s="783" t="s">
        <v>866</v>
      </c>
      <c r="L2449" s="783" t="s">
        <v>4014</v>
      </c>
      <c r="M2449" s="784">
        <v>114420.18</v>
      </c>
      <c r="N2449" s="784">
        <v>61.22</v>
      </c>
      <c r="O2449" s="784">
        <v>12.46</v>
      </c>
      <c r="P2449" s="783">
        <v>150</v>
      </c>
      <c r="Q2449" s="783">
        <v>5698.12</v>
      </c>
      <c r="R2449" s="783">
        <v>4256.43</v>
      </c>
      <c r="S2449" s="783">
        <v>0</v>
      </c>
      <c r="T2449" s="783">
        <v>1441.69</v>
      </c>
      <c r="U2449" s="785">
        <v>44631.511736111097</v>
      </c>
    </row>
    <row r="2450" spans="1:21">
      <c r="A2450" s="782">
        <v>44606</v>
      </c>
      <c r="B2450" s="783" t="s">
        <v>30</v>
      </c>
      <c r="C2450" s="783" t="s">
        <v>4239</v>
      </c>
      <c r="D2450" s="783" t="s">
        <v>4021</v>
      </c>
      <c r="E2450" s="783" t="s">
        <v>5383</v>
      </c>
      <c r="F2450" s="783" t="s">
        <v>4011</v>
      </c>
      <c r="G2450" s="783" t="str">
        <f t="shared" si="130"/>
        <v>New Contract</v>
      </c>
      <c r="H2450" s="783" t="s">
        <v>5384</v>
      </c>
      <c r="I2450" s="783" t="s">
        <v>5385</v>
      </c>
      <c r="J2450" s="783">
        <v>20</v>
      </c>
      <c r="K2450" s="783" t="s">
        <v>866</v>
      </c>
      <c r="L2450" s="783" t="s">
        <v>4014</v>
      </c>
      <c r="M2450" s="784">
        <v>32433.279999999999</v>
      </c>
      <c r="N2450" s="784">
        <v>21.68</v>
      </c>
      <c r="O2450" s="784">
        <v>7.48</v>
      </c>
      <c r="P2450" s="783">
        <v>200</v>
      </c>
      <c r="Q2450" s="783">
        <v>2215.19</v>
      </c>
      <c r="R2450" s="783">
        <v>992.13</v>
      </c>
      <c r="S2450" s="783">
        <v>512.77</v>
      </c>
      <c r="T2450" s="783">
        <v>710.29</v>
      </c>
      <c r="U2450" s="785">
        <v>44631.511828703697</v>
      </c>
    </row>
    <row r="2451" spans="1:21">
      <c r="A2451" s="782">
        <v>44546</v>
      </c>
      <c r="B2451" s="783" t="s">
        <v>74</v>
      </c>
      <c r="C2451" s="783" t="s">
        <v>4097</v>
      </c>
      <c r="D2451" s="783" t="s">
        <v>4038</v>
      </c>
      <c r="E2451" s="783" t="s">
        <v>5386</v>
      </c>
      <c r="F2451" s="783" t="s">
        <v>4011</v>
      </c>
      <c r="G2451" s="783" t="str">
        <f t="shared" si="130"/>
        <v>Renewal (15% in 2020)</v>
      </c>
      <c r="H2451" s="783" t="s">
        <v>5387</v>
      </c>
      <c r="I2451" s="783" t="s">
        <v>5388</v>
      </c>
      <c r="J2451" s="783">
        <v>15</v>
      </c>
      <c r="K2451" s="783" t="s">
        <v>866</v>
      </c>
      <c r="L2451" s="783" t="s">
        <v>4014</v>
      </c>
      <c r="M2451" s="784">
        <v>26965.3</v>
      </c>
      <c r="N2451" s="784">
        <v>18.82</v>
      </c>
      <c r="O2451" s="784">
        <v>7.96</v>
      </c>
      <c r="P2451" s="783">
        <v>180</v>
      </c>
      <c r="Q2451" s="783">
        <v>2885.29</v>
      </c>
      <c r="R2451" s="783">
        <v>1102.24</v>
      </c>
      <c r="S2451" s="783">
        <v>332.32</v>
      </c>
      <c r="T2451" s="783">
        <v>1450.73</v>
      </c>
      <c r="U2451" s="785">
        <v>44631.634282407402</v>
      </c>
    </row>
    <row r="2452" spans="1:21">
      <c r="A2452" s="782">
        <v>44543</v>
      </c>
      <c r="B2452" s="783" t="s">
        <v>65</v>
      </c>
      <c r="C2452" s="783" t="s">
        <v>4491</v>
      </c>
      <c r="D2452" s="783" t="s">
        <v>4193</v>
      </c>
      <c r="E2452" s="783" t="s">
        <v>5395</v>
      </c>
      <c r="F2452" s="783" t="s">
        <v>4011</v>
      </c>
      <c r="G2452" s="783" t="str">
        <f t="shared" si="130"/>
        <v>New Contract</v>
      </c>
      <c r="H2452" s="783" t="s">
        <v>5396</v>
      </c>
      <c r="I2452" s="783" t="s">
        <v>5397</v>
      </c>
      <c r="J2452" s="783">
        <v>25</v>
      </c>
      <c r="K2452" s="783" t="s">
        <v>866</v>
      </c>
      <c r="L2452" s="783" t="s">
        <v>4014</v>
      </c>
      <c r="M2452" s="784">
        <v>77011.199999999997</v>
      </c>
      <c r="N2452" s="784">
        <v>72</v>
      </c>
      <c r="O2452" s="784">
        <v>7.64</v>
      </c>
      <c r="P2452" s="783">
        <v>140</v>
      </c>
      <c r="Q2452" s="783">
        <v>4451.25</v>
      </c>
      <c r="R2452" s="783">
        <v>3488.61</v>
      </c>
      <c r="S2452" s="783">
        <v>562.17999999999995</v>
      </c>
      <c r="T2452" s="783">
        <v>400.46</v>
      </c>
      <c r="U2452" s="785">
        <v>44631.631053240701</v>
      </c>
    </row>
    <row r="2453" spans="1:21">
      <c r="A2453" s="782">
        <v>44545</v>
      </c>
      <c r="B2453" s="783" t="s">
        <v>113</v>
      </c>
      <c r="C2453" s="783" t="s">
        <v>4606</v>
      </c>
      <c r="D2453" s="783" t="s">
        <v>4009</v>
      </c>
      <c r="E2453" s="783" t="s">
        <v>1116</v>
      </c>
      <c r="F2453" s="783" t="s">
        <v>4011</v>
      </c>
      <c r="G2453" s="783" t="str">
        <f t="shared" si="130"/>
        <v>Renewal (15% in 2020)</v>
      </c>
      <c r="H2453" s="783" t="s">
        <v>6724</v>
      </c>
      <c r="I2453" s="783" t="s">
        <v>6725</v>
      </c>
      <c r="J2453" s="783">
        <v>15</v>
      </c>
      <c r="K2453" s="783" t="s">
        <v>866</v>
      </c>
      <c r="L2453" s="783" t="s">
        <v>4014</v>
      </c>
      <c r="M2453" s="784">
        <v>21736.26</v>
      </c>
      <c r="N2453" s="784">
        <v>13.27</v>
      </c>
      <c r="O2453" s="784">
        <v>9.1</v>
      </c>
      <c r="P2453" s="783">
        <v>180</v>
      </c>
      <c r="Q2453" s="783">
        <v>2075.81</v>
      </c>
      <c r="R2453" s="783">
        <v>769.9</v>
      </c>
      <c r="S2453" s="783">
        <v>232.14</v>
      </c>
      <c r="T2453" s="783">
        <v>1073.77</v>
      </c>
      <c r="U2453" s="785">
        <v>44631.630972222199</v>
      </c>
    </row>
    <row r="2454" spans="1:21">
      <c r="A2454" s="782">
        <v>44553</v>
      </c>
      <c r="B2454" s="783" t="s">
        <v>41</v>
      </c>
      <c r="C2454" s="783" t="s">
        <v>4092</v>
      </c>
      <c r="D2454" s="783" t="s">
        <v>4009</v>
      </c>
      <c r="E2454" s="783" t="s">
        <v>4616</v>
      </c>
      <c r="F2454" s="783" t="s">
        <v>4011</v>
      </c>
      <c r="G2454" s="783" t="str">
        <f t="shared" si="130"/>
        <v>Renewal (25% in 2020)</v>
      </c>
      <c r="H2454" s="783" t="s">
        <v>4617</v>
      </c>
      <c r="I2454" s="783" t="s">
        <v>4618</v>
      </c>
      <c r="J2454" s="783">
        <v>25</v>
      </c>
      <c r="K2454" s="783" t="s">
        <v>866</v>
      </c>
      <c r="L2454" s="783" t="s">
        <v>4014</v>
      </c>
      <c r="M2454" s="784">
        <v>5925.15</v>
      </c>
      <c r="N2454" s="784">
        <v>6.93</v>
      </c>
      <c r="O2454" s="784">
        <v>5.7</v>
      </c>
      <c r="P2454" s="783">
        <v>150</v>
      </c>
      <c r="Q2454" s="783">
        <v>410.61</v>
      </c>
      <c r="R2454" s="783">
        <v>314.63</v>
      </c>
      <c r="S2454" s="783">
        <v>60.44</v>
      </c>
      <c r="T2454" s="783">
        <v>35.549999999999997</v>
      </c>
      <c r="U2454" s="785">
        <v>44631.6308333333</v>
      </c>
    </row>
    <row r="2455" spans="1:21">
      <c r="A2455" s="782">
        <v>44547</v>
      </c>
      <c r="B2455" s="783" t="s">
        <v>41</v>
      </c>
      <c r="C2455" s="783" t="s">
        <v>4092</v>
      </c>
      <c r="D2455" s="783" t="s">
        <v>4009</v>
      </c>
      <c r="E2455" s="783" t="s">
        <v>4340</v>
      </c>
      <c r="F2455" s="783" t="s">
        <v>4011</v>
      </c>
      <c r="G2455" s="783" t="str">
        <f t="shared" si="130"/>
        <v>New Contract</v>
      </c>
      <c r="H2455" s="783" t="s">
        <v>4341</v>
      </c>
      <c r="I2455" s="783" t="s">
        <v>4342</v>
      </c>
      <c r="J2455" s="783">
        <v>25</v>
      </c>
      <c r="K2455" s="783" t="s">
        <v>866</v>
      </c>
      <c r="L2455" s="783" t="s">
        <v>4014</v>
      </c>
      <c r="M2455" s="784">
        <v>13756.25</v>
      </c>
      <c r="N2455" s="784">
        <v>12.5</v>
      </c>
      <c r="O2455" s="784">
        <v>7.1</v>
      </c>
      <c r="P2455" s="783">
        <v>155</v>
      </c>
      <c r="Q2455" s="783">
        <v>953.31</v>
      </c>
      <c r="R2455" s="783">
        <v>730.46</v>
      </c>
      <c r="S2455" s="783">
        <v>140.31</v>
      </c>
      <c r="T2455" s="783">
        <v>82.54</v>
      </c>
      <c r="U2455" s="785">
        <v>44631.634305555599</v>
      </c>
    </row>
    <row r="2456" spans="1:21">
      <c r="A2456" s="782">
        <v>44564</v>
      </c>
      <c r="B2456" s="783" t="s">
        <v>41</v>
      </c>
      <c r="C2456" s="783" t="s">
        <v>4082</v>
      </c>
      <c r="D2456" s="783" t="s">
        <v>4009</v>
      </c>
      <c r="E2456" s="783" t="s">
        <v>5409</v>
      </c>
      <c r="F2456" s="783" t="s">
        <v>4011</v>
      </c>
      <c r="G2456" s="783" t="str">
        <f t="shared" si="130"/>
        <v>Renewal (15% in 2020)</v>
      </c>
      <c r="H2456" s="783" t="s">
        <v>5410</v>
      </c>
      <c r="I2456" s="783" t="s">
        <v>5411</v>
      </c>
      <c r="J2456" s="783">
        <v>15</v>
      </c>
      <c r="K2456" s="783" t="s">
        <v>866</v>
      </c>
      <c r="L2456" s="783" t="s">
        <v>4014</v>
      </c>
      <c r="M2456" s="784">
        <v>50752</v>
      </c>
      <c r="N2456" s="784">
        <v>40</v>
      </c>
      <c r="O2456" s="784">
        <v>7.93</v>
      </c>
      <c r="P2456" s="783">
        <v>160</v>
      </c>
      <c r="Q2456" s="783">
        <v>5334.04</v>
      </c>
      <c r="R2456" s="783">
        <v>2344.7399999999998</v>
      </c>
      <c r="S2456" s="783">
        <v>441.54</v>
      </c>
      <c r="T2456" s="783">
        <v>2547.75</v>
      </c>
      <c r="U2456" s="785">
        <v>44631.6343402778</v>
      </c>
    </row>
    <row r="2457" spans="1:21">
      <c r="A2457" s="782">
        <v>44552</v>
      </c>
      <c r="B2457" s="783" t="s">
        <v>74</v>
      </c>
      <c r="C2457" s="783" t="s">
        <v>4097</v>
      </c>
      <c r="D2457" s="783" t="s">
        <v>4038</v>
      </c>
      <c r="E2457" s="783" t="s">
        <v>1621</v>
      </c>
      <c r="F2457" s="783" t="s">
        <v>4011</v>
      </c>
      <c r="G2457" s="783" t="str">
        <f t="shared" si="130"/>
        <v>Renewal (20% in 2020)</v>
      </c>
      <c r="H2457" s="783" t="s">
        <v>4346</v>
      </c>
      <c r="I2457" s="783" t="s">
        <v>4347</v>
      </c>
      <c r="J2457" s="783">
        <v>25</v>
      </c>
      <c r="K2457" s="783" t="s">
        <v>866</v>
      </c>
      <c r="L2457" s="783" t="s">
        <v>4014</v>
      </c>
      <c r="M2457" s="784">
        <v>10794.82</v>
      </c>
      <c r="N2457" s="784">
        <v>7.57</v>
      </c>
      <c r="O2457" s="784">
        <v>7.13</v>
      </c>
      <c r="P2457" s="783">
        <v>200</v>
      </c>
      <c r="Q2457" s="783">
        <v>686.55</v>
      </c>
      <c r="R2457" s="783">
        <v>397.13</v>
      </c>
      <c r="S2457" s="783">
        <v>177.16</v>
      </c>
      <c r="T2457" s="783">
        <v>112.27</v>
      </c>
      <c r="U2457" s="785">
        <v>44631.631134259304</v>
      </c>
    </row>
    <row r="2458" spans="1:21">
      <c r="A2458" s="782">
        <v>44546</v>
      </c>
      <c r="B2458" s="783" t="s">
        <v>113</v>
      </c>
      <c r="C2458" s="783" t="s">
        <v>4376</v>
      </c>
      <c r="D2458" s="783" t="s">
        <v>4038</v>
      </c>
      <c r="E2458" s="783" t="s">
        <v>5418</v>
      </c>
      <c r="F2458" s="783" t="s">
        <v>4011</v>
      </c>
      <c r="G2458" s="783" t="str">
        <f t="shared" si="130"/>
        <v>New contract</v>
      </c>
      <c r="H2458" s="783" t="s">
        <v>5419</v>
      </c>
      <c r="I2458" s="783" t="s">
        <v>5420</v>
      </c>
      <c r="J2458" s="783">
        <v>15</v>
      </c>
      <c r="K2458" s="783" t="s">
        <v>866</v>
      </c>
      <c r="L2458" s="783" t="s">
        <v>4014</v>
      </c>
      <c r="M2458" s="784">
        <v>14677.32</v>
      </c>
      <c r="N2458" s="784">
        <v>10.09</v>
      </c>
      <c r="O2458" s="784">
        <v>6.96</v>
      </c>
      <c r="P2458" s="783">
        <v>209</v>
      </c>
      <c r="Q2458" s="783">
        <v>1937.41</v>
      </c>
      <c r="R2458" s="783">
        <v>650.12</v>
      </c>
      <c r="S2458" s="783">
        <v>328.86</v>
      </c>
      <c r="T2458" s="783">
        <v>958.43</v>
      </c>
      <c r="U2458" s="785">
        <v>44631.6309259259</v>
      </c>
    </row>
    <row r="2459" spans="1:21">
      <c r="A2459" s="782">
        <v>44551</v>
      </c>
      <c r="B2459" s="783" t="s">
        <v>41</v>
      </c>
      <c r="C2459" s="783" t="s">
        <v>4139</v>
      </c>
      <c r="D2459" s="783" t="s">
        <v>4009</v>
      </c>
      <c r="E2459" s="783" t="s">
        <v>6895</v>
      </c>
      <c r="F2459" s="783" t="s">
        <v>4011</v>
      </c>
      <c r="G2459" s="783" t="str">
        <f t="shared" si="130"/>
        <v>New contract</v>
      </c>
      <c r="H2459" s="783" t="s">
        <v>6896</v>
      </c>
      <c r="I2459" s="783" t="s">
        <v>6897</v>
      </c>
      <c r="J2459" s="783">
        <v>25</v>
      </c>
      <c r="K2459" s="783" t="s">
        <v>866</v>
      </c>
      <c r="L2459" s="783" t="s">
        <v>4014</v>
      </c>
      <c r="M2459" s="784">
        <v>47763.9</v>
      </c>
      <c r="N2459" s="784">
        <v>36.35</v>
      </c>
      <c r="O2459" s="784">
        <v>7.3</v>
      </c>
      <c r="P2459" s="783">
        <v>180</v>
      </c>
      <c r="Q2459" s="783">
        <v>2818.07</v>
      </c>
      <c r="R2459" s="783">
        <v>1986.58</v>
      </c>
      <c r="S2459" s="783">
        <v>597.45000000000005</v>
      </c>
      <c r="T2459" s="783">
        <v>234.04</v>
      </c>
      <c r="U2459" s="785">
        <v>44631.631064814799</v>
      </c>
    </row>
    <row r="2460" spans="1:21">
      <c r="A2460" s="782">
        <v>44544</v>
      </c>
      <c r="B2460" s="783" t="s">
        <v>74</v>
      </c>
      <c r="C2460" s="783" t="s">
        <v>4097</v>
      </c>
      <c r="D2460" s="783" t="s">
        <v>4038</v>
      </c>
      <c r="E2460" s="783" t="s">
        <v>4348</v>
      </c>
      <c r="F2460" s="783" t="s">
        <v>4011</v>
      </c>
      <c r="G2460" s="783" t="str">
        <f t="shared" si="130"/>
        <v>New Contract</v>
      </c>
      <c r="H2460" s="783" t="s">
        <v>4349</v>
      </c>
      <c r="I2460" s="783" t="s">
        <v>4350</v>
      </c>
      <c r="J2460" s="783">
        <v>20</v>
      </c>
      <c r="K2460" s="783" t="s">
        <v>866</v>
      </c>
      <c r="L2460" s="783" t="s">
        <v>4014</v>
      </c>
      <c r="M2460" s="784">
        <v>4112.3999999999996</v>
      </c>
      <c r="N2460" s="784">
        <v>2.98</v>
      </c>
      <c r="O2460" s="784">
        <v>6.9</v>
      </c>
      <c r="P2460" s="783">
        <v>200</v>
      </c>
      <c r="Q2460" s="783">
        <v>333.1</v>
      </c>
      <c r="R2460" s="783">
        <v>151.29</v>
      </c>
      <c r="S2460" s="783">
        <v>67.489999999999995</v>
      </c>
      <c r="T2460" s="783">
        <v>114.32</v>
      </c>
      <c r="U2460" s="785">
        <v>44631.630787037</v>
      </c>
    </row>
    <row r="2461" spans="1:21">
      <c r="A2461" s="782">
        <v>44666</v>
      </c>
      <c r="B2461" s="783" t="s">
        <v>41</v>
      </c>
      <c r="C2461" s="783" t="s">
        <v>4082</v>
      </c>
      <c r="D2461" s="783" t="s">
        <v>4009</v>
      </c>
      <c r="E2461" s="783" t="s">
        <v>5435</v>
      </c>
      <c r="F2461" s="783" t="s">
        <v>4011</v>
      </c>
      <c r="G2461" s="783" t="str">
        <f t="shared" si="130"/>
        <v>Renewal (20% in 2020)</v>
      </c>
      <c r="H2461" s="783" t="s">
        <v>5436</v>
      </c>
      <c r="I2461" s="783" t="s">
        <v>5437</v>
      </c>
      <c r="J2461" s="783">
        <v>25</v>
      </c>
      <c r="K2461" s="783" t="s">
        <v>866</v>
      </c>
      <c r="L2461" s="783" t="s">
        <v>4014</v>
      </c>
      <c r="M2461" s="784">
        <v>13285.63</v>
      </c>
      <c r="N2461" s="784">
        <v>12.5</v>
      </c>
      <c r="O2461" s="784">
        <v>7.33</v>
      </c>
      <c r="P2461" s="783">
        <v>145</v>
      </c>
      <c r="Q2461" s="783">
        <v>798.47</v>
      </c>
      <c r="R2461" s="783">
        <v>613.79999999999995</v>
      </c>
      <c r="S2461" s="783">
        <v>115.58</v>
      </c>
      <c r="T2461" s="783">
        <v>69.09</v>
      </c>
      <c r="U2461" s="785">
        <v>44671.479236111103</v>
      </c>
    </row>
    <row r="2462" spans="1:21">
      <c r="A2462" s="782">
        <v>44663</v>
      </c>
      <c r="B2462" s="783" t="s">
        <v>41</v>
      </c>
      <c r="C2462" s="783" t="s">
        <v>4071</v>
      </c>
      <c r="D2462" s="783" t="s">
        <v>4009</v>
      </c>
      <c r="E2462" s="783" t="s">
        <v>169</v>
      </c>
      <c r="F2462" s="783" t="s">
        <v>4011</v>
      </c>
      <c r="G2462" s="783" t="str">
        <f t="shared" si="130"/>
        <v>Renewal (15% in 2020)</v>
      </c>
      <c r="H2462" s="783" t="s">
        <v>4137</v>
      </c>
      <c r="I2462" s="783" t="s">
        <v>4138</v>
      </c>
      <c r="J2462" s="783">
        <v>15</v>
      </c>
      <c r="K2462" s="783" t="s">
        <v>866</v>
      </c>
      <c r="L2462" s="783" t="s">
        <v>4014</v>
      </c>
      <c r="M2462" s="784">
        <v>8359.16</v>
      </c>
      <c r="N2462" s="784">
        <v>12.12</v>
      </c>
      <c r="O2462" s="784">
        <v>4.18</v>
      </c>
      <c r="P2462" s="783">
        <v>165</v>
      </c>
      <c r="Q2462" s="783">
        <v>1148.55</v>
      </c>
      <c r="R2462" s="783">
        <v>505.7</v>
      </c>
      <c r="S2462" s="783">
        <v>95.32</v>
      </c>
      <c r="T2462" s="783">
        <v>547.53</v>
      </c>
      <c r="U2462" s="785">
        <v>44663.427581018499</v>
      </c>
    </row>
    <row r="2463" spans="1:21">
      <c r="A2463" s="782">
        <v>44677</v>
      </c>
      <c r="B2463" s="783" t="s">
        <v>113</v>
      </c>
      <c r="C2463" s="783" t="s">
        <v>4606</v>
      </c>
      <c r="D2463" s="783" t="s">
        <v>4009</v>
      </c>
      <c r="E2463" s="783" t="s">
        <v>6898</v>
      </c>
      <c r="F2463" s="783" t="s">
        <v>4011</v>
      </c>
      <c r="G2463" s="783" t="str">
        <f t="shared" si="130"/>
        <v>Renewal (25% in 2020)</v>
      </c>
      <c r="H2463" s="783" t="s">
        <v>6899</v>
      </c>
      <c r="I2463" s="783" t="s">
        <v>6900</v>
      </c>
      <c r="J2463" s="783">
        <v>25</v>
      </c>
      <c r="K2463" s="783" t="s">
        <v>866</v>
      </c>
      <c r="L2463" s="783" t="s">
        <v>4014</v>
      </c>
      <c r="M2463" s="784">
        <v>4322.16</v>
      </c>
      <c r="N2463" s="784">
        <v>2.0699999999999998</v>
      </c>
      <c r="O2463" s="784">
        <v>11.6</v>
      </c>
      <c r="P2463" s="783">
        <v>180</v>
      </c>
      <c r="Q2463" s="783">
        <v>258.47000000000003</v>
      </c>
      <c r="R2463" s="783">
        <v>153.09</v>
      </c>
      <c r="S2463" s="783">
        <v>46.16</v>
      </c>
      <c r="T2463" s="783">
        <v>59.21</v>
      </c>
      <c r="U2463" s="785">
        <v>44678.778923611098</v>
      </c>
    </row>
    <row r="2464" spans="1:21">
      <c r="A2464" s="782">
        <v>44677</v>
      </c>
      <c r="B2464" s="783" t="s">
        <v>113</v>
      </c>
      <c r="C2464" s="783" t="s">
        <v>4606</v>
      </c>
      <c r="D2464" s="783" t="s">
        <v>4009</v>
      </c>
      <c r="E2464" s="783" t="s">
        <v>2896</v>
      </c>
      <c r="F2464" s="783" t="s">
        <v>4011</v>
      </c>
      <c r="G2464" s="783" t="str">
        <f t="shared" si="130"/>
        <v>Renewal (15% in 2020)</v>
      </c>
      <c r="H2464" s="783" t="s">
        <v>6901</v>
      </c>
      <c r="I2464" s="783" t="s">
        <v>6902</v>
      </c>
      <c r="J2464" s="783">
        <v>15</v>
      </c>
      <c r="K2464" s="783" t="s">
        <v>866</v>
      </c>
      <c r="L2464" s="783" t="s">
        <v>4014</v>
      </c>
      <c r="M2464" s="784">
        <v>120003.91</v>
      </c>
      <c r="N2464" s="784">
        <v>66.61</v>
      </c>
      <c r="O2464" s="784">
        <v>11.19</v>
      </c>
      <c r="P2464" s="783">
        <v>161</v>
      </c>
      <c r="Q2464" s="783">
        <v>11460.37</v>
      </c>
      <c r="R2464" s="783">
        <v>4752.1499999999996</v>
      </c>
      <c r="S2464" s="783">
        <v>780.03</v>
      </c>
      <c r="T2464" s="783">
        <v>5928.19</v>
      </c>
      <c r="U2464" s="785">
        <v>44678.780092592599</v>
      </c>
    </row>
    <row r="2465" spans="1:21">
      <c r="A2465" s="782">
        <v>44677</v>
      </c>
      <c r="B2465" s="783" t="s">
        <v>113</v>
      </c>
      <c r="C2465" s="783" t="s">
        <v>4598</v>
      </c>
      <c r="D2465" s="783" t="s">
        <v>4009</v>
      </c>
      <c r="E2465" s="783" t="s">
        <v>2896</v>
      </c>
      <c r="F2465" s="783" t="s">
        <v>4011</v>
      </c>
      <c r="G2465" s="783" t="str">
        <f t="shared" si="130"/>
        <v>Renewal (15% in 2020)</v>
      </c>
      <c r="H2465" s="783" t="s">
        <v>6901</v>
      </c>
      <c r="I2465" s="783" t="s">
        <v>6902</v>
      </c>
      <c r="J2465" s="783">
        <v>15</v>
      </c>
      <c r="K2465" s="783" t="s">
        <v>866</v>
      </c>
      <c r="L2465" s="783" t="s">
        <v>4014</v>
      </c>
      <c r="M2465" s="784">
        <v>33761.800000000003</v>
      </c>
      <c r="N2465" s="784">
        <v>18.739999999999998</v>
      </c>
      <c r="O2465" s="784">
        <v>11.19</v>
      </c>
      <c r="P2465" s="783">
        <v>161</v>
      </c>
      <c r="Q2465" s="783">
        <v>3203.99</v>
      </c>
      <c r="R2465" s="783">
        <v>1255.94</v>
      </c>
      <c r="S2465" s="783">
        <v>317.36</v>
      </c>
      <c r="T2465" s="783">
        <v>1630.69</v>
      </c>
      <c r="U2465" s="785">
        <v>44678.780092592599</v>
      </c>
    </row>
    <row r="2466" spans="1:21">
      <c r="A2466" s="782">
        <v>44678</v>
      </c>
      <c r="B2466" s="783" t="s">
        <v>41</v>
      </c>
      <c r="C2466" s="783" t="s">
        <v>4139</v>
      </c>
      <c r="D2466" s="783" t="s">
        <v>4009</v>
      </c>
      <c r="E2466" s="783" t="s">
        <v>261</v>
      </c>
      <c r="F2466" s="783" t="s">
        <v>4011</v>
      </c>
      <c r="G2466" s="783" t="str">
        <f t="shared" si="130"/>
        <v>New Contract</v>
      </c>
      <c r="H2466" s="783" t="s">
        <v>4140</v>
      </c>
      <c r="I2466" s="783" t="s">
        <v>4141</v>
      </c>
      <c r="J2466" s="783">
        <v>15</v>
      </c>
      <c r="K2466" s="783" t="s">
        <v>866</v>
      </c>
      <c r="L2466" s="783" t="s">
        <v>4014</v>
      </c>
      <c r="M2466" s="784">
        <v>9213.7000000000007</v>
      </c>
      <c r="N2466" s="784">
        <v>5.49</v>
      </c>
      <c r="O2466" s="784">
        <v>8.0299999999999994</v>
      </c>
      <c r="P2466" s="783">
        <v>209</v>
      </c>
      <c r="Q2466" s="783">
        <v>949.93</v>
      </c>
      <c r="R2466" s="783">
        <v>330.04</v>
      </c>
      <c r="S2466" s="783">
        <v>168.42</v>
      </c>
      <c r="T2466" s="783">
        <v>451.47</v>
      </c>
      <c r="U2466" s="785">
        <v>44680.488356481503</v>
      </c>
    </row>
    <row r="2467" spans="1:21">
      <c r="A2467" s="782">
        <v>44678</v>
      </c>
      <c r="B2467" s="783" t="s">
        <v>113</v>
      </c>
      <c r="C2467" s="783" t="s">
        <v>4606</v>
      </c>
      <c r="D2467" s="783" t="s">
        <v>4009</v>
      </c>
      <c r="E2467" s="783" t="s">
        <v>6726</v>
      </c>
      <c r="F2467" s="783" t="s">
        <v>4011</v>
      </c>
      <c r="G2467" s="783" t="s">
        <v>4028</v>
      </c>
      <c r="H2467" s="783" t="s">
        <v>6727</v>
      </c>
      <c r="I2467" s="783" t="s">
        <v>6728</v>
      </c>
      <c r="J2467" s="783">
        <v>30</v>
      </c>
      <c r="K2467" s="783" t="s">
        <v>866</v>
      </c>
      <c r="L2467" s="783" t="s">
        <v>4014</v>
      </c>
      <c r="M2467" s="784">
        <v>111918.53</v>
      </c>
      <c r="N2467" s="784">
        <v>42.54</v>
      </c>
      <c r="O2467" s="784">
        <v>12.57</v>
      </c>
      <c r="P2467" s="783">
        <v>209.3</v>
      </c>
      <c r="Q2467" s="783">
        <v>5998.83</v>
      </c>
      <c r="R2467" s="783">
        <v>3409.21</v>
      </c>
      <c r="S2467" s="783">
        <v>1022.76</v>
      </c>
      <c r="T2467" s="783">
        <v>1566.86</v>
      </c>
      <c r="U2467" s="785">
        <v>44680.641724537003</v>
      </c>
    </row>
    <row r="2468" spans="1:21">
      <c r="A2468" s="782">
        <v>44678</v>
      </c>
      <c r="B2468" s="783" t="s">
        <v>113</v>
      </c>
      <c r="C2468" s="783" t="s">
        <v>4598</v>
      </c>
      <c r="D2468" s="783" t="s">
        <v>4009</v>
      </c>
      <c r="E2468" s="783" t="s">
        <v>6726</v>
      </c>
      <c r="F2468" s="783" t="s">
        <v>4011</v>
      </c>
      <c r="G2468" s="783" t="s">
        <v>4028</v>
      </c>
      <c r="H2468" s="783" t="s">
        <v>6727</v>
      </c>
      <c r="I2468" s="783" t="s">
        <v>6728</v>
      </c>
      <c r="J2468" s="783">
        <v>30</v>
      </c>
      <c r="K2468" s="783" t="s">
        <v>866</v>
      </c>
      <c r="L2468" s="783" t="s">
        <v>4014</v>
      </c>
      <c r="M2468" s="784">
        <v>3183.39</v>
      </c>
      <c r="N2468" s="784">
        <v>1.21</v>
      </c>
      <c r="O2468" s="784">
        <v>12.57</v>
      </c>
      <c r="P2468" s="783">
        <v>209.3</v>
      </c>
      <c r="Q2468" s="783">
        <v>158.53</v>
      </c>
      <c r="R2468" s="783">
        <v>91.09</v>
      </c>
      <c r="S2468" s="783">
        <v>27.33</v>
      </c>
      <c r="T2468" s="783">
        <v>40.11</v>
      </c>
      <c r="U2468" s="785">
        <v>44680.641724537003</v>
      </c>
    </row>
    <row r="2469" spans="1:21">
      <c r="A2469" s="782">
        <v>44678</v>
      </c>
      <c r="B2469" s="783" t="s">
        <v>118</v>
      </c>
      <c r="C2469" s="783" t="s">
        <v>4139</v>
      </c>
      <c r="D2469" s="783" t="s">
        <v>4009</v>
      </c>
      <c r="E2469" s="783" t="s">
        <v>1097</v>
      </c>
      <c r="F2469" s="783" t="s">
        <v>4011</v>
      </c>
      <c r="G2469" s="783" t="str">
        <f>VLOOKUP(I2469,pacage,2,FALSE)</f>
        <v>New contract</v>
      </c>
      <c r="H2469" s="783" t="s">
        <v>4235</v>
      </c>
      <c r="I2469" s="783" t="s">
        <v>4236</v>
      </c>
      <c r="J2469" s="783">
        <v>25</v>
      </c>
      <c r="K2469" s="783" t="s">
        <v>866</v>
      </c>
      <c r="L2469" s="783" t="s">
        <v>4014</v>
      </c>
      <c r="M2469" s="784">
        <v>23998</v>
      </c>
      <c r="N2469" s="784">
        <v>16.25</v>
      </c>
      <c r="O2469" s="784">
        <v>9.23</v>
      </c>
      <c r="P2469" s="783">
        <v>160</v>
      </c>
      <c r="Q2469" s="783">
        <v>1415.88</v>
      </c>
      <c r="R2469" s="783">
        <v>1115.9100000000001</v>
      </c>
      <c r="S2469" s="783">
        <v>182.38</v>
      </c>
      <c r="T2469" s="783">
        <v>117.59</v>
      </c>
      <c r="U2469" s="785">
        <v>44680.660208333298</v>
      </c>
    </row>
    <row r="2470" spans="1:21">
      <c r="A2470" s="782">
        <v>44678</v>
      </c>
      <c r="B2470" s="783" t="s">
        <v>113</v>
      </c>
      <c r="C2470" s="783" t="s">
        <v>4606</v>
      </c>
      <c r="D2470" s="783" t="s">
        <v>4009</v>
      </c>
      <c r="E2470" s="783" t="s">
        <v>6729</v>
      </c>
      <c r="F2470" s="783" t="s">
        <v>4011</v>
      </c>
      <c r="G2470" s="783" t="str">
        <f>VLOOKUP(I2470,pacage,2,FALSE)</f>
        <v>Renewal (20% in 2020)</v>
      </c>
      <c r="H2470" s="783" t="s">
        <v>6730</v>
      </c>
      <c r="I2470" s="783" t="s">
        <v>6731</v>
      </c>
      <c r="J2470" s="783">
        <v>20</v>
      </c>
      <c r="K2470" s="783" t="s">
        <v>866</v>
      </c>
      <c r="L2470" s="783" t="s">
        <v>4014</v>
      </c>
      <c r="M2470" s="784">
        <v>28000</v>
      </c>
      <c r="N2470" s="784">
        <v>14</v>
      </c>
      <c r="O2470" s="784">
        <v>12.5</v>
      </c>
      <c r="P2470" s="783">
        <v>160</v>
      </c>
      <c r="Q2470" s="783">
        <v>2074.8000000000002</v>
      </c>
      <c r="R2470" s="783">
        <v>1108.8</v>
      </c>
      <c r="S2470" s="783">
        <v>182</v>
      </c>
      <c r="T2470" s="783">
        <v>784</v>
      </c>
      <c r="U2470" s="785">
        <v>44680.667962963002</v>
      </c>
    </row>
    <row r="2471" spans="1:21">
      <c r="A2471" s="782">
        <v>44681</v>
      </c>
      <c r="B2471" s="783" t="s">
        <v>113</v>
      </c>
      <c r="C2471" s="783" t="s">
        <v>4606</v>
      </c>
      <c r="D2471" s="783" t="s">
        <v>4009</v>
      </c>
      <c r="E2471" s="783" t="s">
        <v>6794</v>
      </c>
      <c r="F2471" s="783" t="s">
        <v>4011</v>
      </c>
      <c r="G2471" s="783" t="s">
        <v>4028</v>
      </c>
      <c r="H2471" s="783" t="s">
        <v>6795</v>
      </c>
      <c r="I2471" s="783" t="s">
        <v>6796</v>
      </c>
      <c r="J2471" s="783">
        <v>25</v>
      </c>
      <c r="K2471" s="783" t="s">
        <v>866</v>
      </c>
      <c r="L2471" s="783" t="s">
        <v>4014</v>
      </c>
      <c r="M2471" s="784">
        <v>54000</v>
      </c>
      <c r="N2471" s="784">
        <v>27</v>
      </c>
      <c r="O2471" s="784">
        <v>10</v>
      </c>
      <c r="P2471" s="783">
        <v>200</v>
      </c>
      <c r="Q2471" s="783">
        <v>3229.2</v>
      </c>
      <c r="R2471" s="783">
        <v>1721.41</v>
      </c>
      <c r="S2471" s="783">
        <v>767.99</v>
      </c>
      <c r="T2471" s="783">
        <v>739.8</v>
      </c>
      <c r="U2471" s="785">
        <v>44683.447835648098</v>
      </c>
    </row>
    <row r="2472" spans="1:21">
      <c r="A2472" s="782">
        <v>44680</v>
      </c>
      <c r="B2472" s="783" t="s">
        <v>228</v>
      </c>
      <c r="C2472" s="783" t="s">
        <v>4625</v>
      </c>
      <c r="D2472" s="783" t="s">
        <v>4248</v>
      </c>
      <c r="E2472" s="783" t="s">
        <v>4626</v>
      </c>
      <c r="F2472" s="783" t="s">
        <v>4011</v>
      </c>
      <c r="G2472" s="783" t="str">
        <f t="shared" ref="G2472:G2479" si="131">VLOOKUP(I2472,pacage,2,FALSE)</f>
        <v>New Contract</v>
      </c>
      <c r="H2472" s="783" t="s">
        <v>4627</v>
      </c>
      <c r="I2472" s="783" t="s">
        <v>4628</v>
      </c>
      <c r="J2472" s="783">
        <v>25</v>
      </c>
      <c r="K2472" s="783" t="s">
        <v>866</v>
      </c>
      <c r="L2472" s="783" t="s">
        <v>4014</v>
      </c>
      <c r="M2472" s="784">
        <v>50386</v>
      </c>
      <c r="N2472" s="784">
        <v>30.5</v>
      </c>
      <c r="O2472" s="784">
        <v>8.26</v>
      </c>
      <c r="P2472" s="783">
        <v>200</v>
      </c>
      <c r="Q2472" s="783">
        <v>2559.61</v>
      </c>
      <c r="R2472" s="783">
        <v>1606.2</v>
      </c>
      <c r="S2472" s="783">
        <v>706.51</v>
      </c>
      <c r="T2472" s="783">
        <v>246.89</v>
      </c>
      <c r="U2472" s="785">
        <v>44680.726504629602</v>
      </c>
    </row>
    <row r="2473" spans="1:21">
      <c r="A2473" s="782">
        <v>44680</v>
      </c>
      <c r="B2473" s="783" t="s">
        <v>113</v>
      </c>
      <c r="C2473" s="783" t="s">
        <v>4606</v>
      </c>
      <c r="D2473" s="783" t="s">
        <v>4009</v>
      </c>
      <c r="E2473" s="783" t="s">
        <v>6660</v>
      </c>
      <c r="F2473" s="783" t="s">
        <v>4011</v>
      </c>
      <c r="G2473" s="783" t="str">
        <f t="shared" si="131"/>
        <v>Renewal (30% in 2020)</v>
      </c>
      <c r="H2473" s="783" t="s">
        <v>6661</v>
      </c>
      <c r="I2473" s="783" t="s">
        <v>6662</v>
      </c>
      <c r="J2473" s="783">
        <v>30</v>
      </c>
      <c r="K2473" s="783" t="s">
        <v>866</v>
      </c>
      <c r="L2473" s="783" t="s">
        <v>4014</v>
      </c>
      <c r="M2473" s="784">
        <v>16005</v>
      </c>
      <c r="N2473" s="784">
        <v>10</v>
      </c>
      <c r="O2473" s="784">
        <v>10.67</v>
      </c>
      <c r="P2473" s="783">
        <v>150</v>
      </c>
      <c r="Q2473" s="783">
        <v>857.87</v>
      </c>
      <c r="R2473" s="783">
        <v>633.79999999999995</v>
      </c>
      <c r="S2473" s="783">
        <v>0</v>
      </c>
      <c r="T2473" s="783">
        <v>224.07</v>
      </c>
      <c r="U2473" s="785">
        <v>44683.466747685197</v>
      </c>
    </row>
    <row r="2474" spans="1:21">
      <c r="A2474" s="782">
        <v>44680</v>
      </c>
      <c r="B2474" s="783" t="s">
        <v>41</v>
      </c>
      <c r="C2474" s="783" t="s">
        <v>4082</v>
      </c>
      <c r="D2474" s="783" t="s">
        <v>4009</v>
      </c>
      <c r="E2474" s="783" t="s">
        <v>5455</v>
      </c>
      <c r="F2474" s="783" t="s">
        <v>4011</v>
      </c>
      <c r="G2474" s="783" t="str">
        <f t="shared" si="131"/>
        <v>Renewal (25% in 2020)</v>
      </c>
      <c r="H2474" s="783" t="s">
        <v>5456</v>
      </c>
      <c r="I2474" s="783" t="s">
        <v>5457</v>
      </c>
      <c r="J2474" s="783">
        <v>25</v>
      </c>
      <c r="K2474" s="783" t="s">
        <v>866</v>
      </c>
      <c r="L2474" s="783" t="s">
        <v>4014</v>
      </c>
      <c r="M2474" s="784">
        <v>10766.91</v>
      </c>
      <c r="N2474" s="784">
        <v>11.85</v>
      </c>
      <c r="O2474" s="784">
        <v>6.49</v>
      </c>
      <c r="P2474" s="783">
        <v>140</v>
      </c>
      <c r="Q2474" s="783">
        <v>647.09</v>
      </c>
      <c r="R2474" s="783">
        <v>497.43</v>
      </c>
      <c r="S2474" s="783">
        <v>93.67</v>
      </c>
      <c r="T2474" s="783">
        <v>55.99</v>
      </c>
      <c r="U2474" s="785">
        <v>44683.476840277799</v>
      </c>
    </row>
    <row r="2475" spans="1:21">
      <c r="A2475" s="782">
        <v>44680</v>
      </c>
      <c r="B2475" s="783" t="s">
        <v>41</v>
      </c>
      <c r="C2475" s="783" t="s">
        <v>4139</v>
      </c>
      <c r="D2475" s="783" t="s">
        <v>4009</v>
      </c>
      <c r="E2475" s="783" t="s">
        <v>5458</v>
      </c>
      <c r="F2475" s="783" t="s">
        <v>4011</v>
      </c>
      <c r="G2475" s="783" t="str">
        <f t="shared" si="131"/>
        <v>Renewal (15% in 2020)</v>
      </c>
      <c r="H2475" s="783" t="s">
        <v>5459</v>
      </c>
      <c r="I2475" s="783" t="s">
        <v>5460</v>
      </c>
      <c r="J2475" s="783">
        <v>20</v>
      </c>
      <c r="K2475" s="783" t="s">
        <v>866</v>
      </c>
      <c r="L2475" s="783" t="s">
        <v>4014</v>
      </c>
      <c r="M2475" s="784">
        <v>25677.15</v>
      </c>
      <c r="N2475" s="784">
        <v>22.59</v>
      </c>
      <c r="O2475" s="784">
        <v>7.06</v>
      </c>
      <c r="P2475" s="783">
        <v>161</v>
      </c>
      <c r="Q2475" s="783">
        <v>1969.44</v>
      </c>
      <c r="R2475" s="783">
        <v>1193.99</v>
      </c>
      <c r="S2475" s="783">
        <v>195.15</v>
      </c>
      <c r="T2475" s="783">
        <v>580.29999999999995</v>
      </c>
      <c r="U2475" s="785">
        <v>44715.443576388898</v>
      </c>
    </row>
    <row r="2476" spans="1:21">
      <c r="A2476" s="782">
        <v>44686</v>
      </c>
      <c r="B2476" s="783" t="s">
        <v>41</v>
      </c>
      <c r="C2476" s="783" t="s">
        <v>4139</v>
      </c>
      <c r="D2476" s="783" t="s">
        <v>4009</v>
      </c>
      <c r="E2476" s="783" t="s">
        <v>5461</v>
      </c>
      <c r="F2476" s="783" t="s">
        <v>4011</v>
      </c>
      <c r="G2476" s="783" t="str">
        <f t="shared" si="131"/>
        <v>Renewal (20% in 2020)</v>
      </c>
      <c r="H2476" s="783" t="s">
        <v>5462</v>
      </c>
      <c r="I2476" s="783" t="s">
        <v>5463</v>
      </c>
      <c r="J2476" s="783">
        <v>20</v>
      </c>
      <c r="K2476" s="783" t="s">
        <v>866</v>
      </c>
      <c r="L2476" s="783" t="s">
        <v>4014</v>
      </c>
      <c r="M2476" s="784">
        <v>27982.26</v>
      </c>
      <c r="N2476" s="784">
        <v>30.04</v>
      </c>
      <c r="O2476" s="784">
        <v>6.21</v>
      </c>
      <c r="P2476" s="783">
        <v>150</v>
      </c>
      <c r="Q2476" s="783">
        <v>2146.2399999999998</v>
      </c>
      <c r="R2476" s="783">
        <v>1301.18</v>
      </c>
      <c r="S2476" s="783">
        <v>212.67</v>
      </c>
      <c r="T2476" s="783">
        <v>632.4</v>
      </c>
      <c r="U2476" s="785">
        <v>44687.632581018501</v>
      </c>
    </row>
    <row r="2477" spans="1:21">
      <c r="A2477" s="782">
        <v>44683</v>
      </c>
      <c r="B2477" s="783" t="s">
        <v>113</v>
      </c>
      <c r="C2477" s="783" t="s">
        <v>4606</v>
      </c>
      <c r="D2477" s="783" t="s">
        <v>4009</v>
      </c>
      <c r="E2477" s="783" t="s">
        <v>6903</v>
      </c>
      <c r="F2477" s="783" t="s">
        <v>4011</v>
      </c>
      <c r="G2477" s="783" t="str">
        <f t="shared" si="131"/>
        <v>Renewal (25% in 2020)</v>
      </c>
      <c r="H2477" s="783" t="s">
        <v>6904</v>
      </c>
      <c r="I2477" s="783" t="s">
        <v>6905</v>
      </c>
      <c r="J2477" s="783">
        <v>25</v>
      </c>
      <c r="K2477" s="783" t="s">
        <v>866</v>
      </c>
      <c r="L2477" s="783" t="s">
        <v>4014</v>
      </c>
      <c r="M2477" s="784">
        <v>10920.96</v>
      </c>
      <c r="N2477" s="784">
        <v>7.11</v>
      </c>
      <c r="O2477" s="784">
        <v>9.6</v>
      </c>
      <c r="P2477" s="783">
        <v>160</v>
      </c>
      <c r="Q2477" s="783">
        <v>653.07000000000005</v>
      </c>
      <c r="R2477" s="783">
        <v>432.47</v>
      </c>
      <c r="S2477" s="783">
        <v>70.989999999999995</v>
      </c>
      <c r="T2477" s="783">
        <v>149.62</v>
      </c>
      <c r="U2477" s="785">
        <v>44684.395254629599</v>
      </c>
    </row>
    <row r="2478" spans="1:21">
      <c r="A2478" s="782">
        <v>44685</v>
      </c>
      <c r="B2478" s="783" t="s">
        <v>3078</v>
      </c>
      <c r="C2478" s="783" t="s">
        <v>4008</v>
      </c>
      <c r="D2478" s="783" t="s">
        <v>4009</v>
      </c>
      <c r="E2478" s="783" t="s">
        <v>5464</v>
      </c>
      <c r="F2478" s="783" t="s">
        <v>4011</v>
      </c>
      <c r="G2478" s="783" t="str">
        <f t="shared" si="131"/>
        <v>Renewal (20% in 2020)</v>
      </c>
      <c r="H2478" s="783" t="s">
        <v>5465</v>
      </c>
      <c r="I2478" s="783" t="s">
        <v>5466</v>
      </c>
      <c r="J2478" s="783">
        <v>20</v>
      </c>
      <c r="K2478" s="783" t="s">
        <v>866</v>
      </c>
      <c r="L2478" s="783" t="s">
        <v>4014</v>
      </c>
      <c r="M2478" s="784">
        <v>3193.25</v>
      </c>
      <c r="N2478" s="784">
        <v>2.34</v>
      </c>
      <c r="O2478" s="784">
        <v>6.52</v>
      </c>
      <c r="P2478" s="783">
        <v>209.3</v>
      </c>
      <c r="Q2478" s="783">
        <v>273.98</v>
      </c>
      <c r="R2478" s="783">
        <v>119.62</v>
      </c>
      <c r="S2478" s="783">
        <v>61.11</v>
      </c>
      <c r="T2478" s="783">
        <v>93.24</v>
      </c>
      <c r="U2478" s="785">
        <v>44685.634270833303</v>
      </c>
    </row>
    <row r="2479" spans="1:21">
      <c r="A2479" s="782">
        <v>44686</v>
      </c>
      <c r="B2479" s="783" t="s">
        <v>41</v>
      </c>
      <c r="C2479" s="783" t="s">
        <v>4092</v>
      </c>
      <c r="D2479" s="783" t="s">
        <v>4009</v>
      </c>
      <c r="E2479" s="783" t="s">
        <v>4763</v>
      </c>
      <c r="F2479" s="783" t="s">
        <v>4011</v>
      </c>
      <c r="G2479" s="783" t="str">
        <f t="shared" si="131"/>
        <v>Renewal (15% in 2020)</v>
      </c>
      <c r="H2479" s="783" t="s">
        <v>4764</v>
      </c>
      <c r="I2479" s="783" t="s">
        <v>4765</v>
      </c>
      <c r="J2479" s="783">
        <v>15</v>
      </c>
      <c r="K2479" s="783" t="s">
        <v>866</v>
      </c>
      <c r="L2479" s="783" t="s">
        <v>4014</v>
      </c>
      <c r="M2479" s="784">
        <v>28908</v>
      </c>
      <c r="N2479" s="784">
        <v>24.09</v>
      </c>
      <c r="O2479" s="784">
        <v>6</v>
      </c>
      <c r="P2479" s="783">
        <v>200</v>
      </c>
      <c r="Q2479" s="783">
        <v>3506.54</v>
      </c>
      <c r="R2479" s="783">
        <v>1235.69</v>
      </c>
      <c r="S2479" s="783">
        <v>594.19000000000005</v>
      </c>
      <c r="T2479" s="783">
        <v>1676.66</v>
      </c>
      <c r="U2479" s="785">
        <v>44687.613275463002</v>
      </c>
    </row>
    <row r="2480" spans="1:21">
      <c r="A2480" s="782">
        <v>44685</v>
      </c>
      <c r="B2480" s="783" t="s">
        <v>113</v>
      </c>
      <c r="C2480" s="783" t="s">
        <v>4606</v>
      </c>
      <c r="D2480" s="783" t="s">
        <v>4009</v>
      </c>
      <c r="E2480" s="783" t="s">
        <v>6906</v>
      </c>
      <c r="F2480" s="783" t="s">
        <v>4011</v>
      </c>
      <c r="G2480" s="783" t="s">
        <v>4028</v>
      </c>
      <c r="H2480" s="783" t="s">
        <v>6907</v>
      </c>
      <c r="I2480" s="783" t="s">
        <v>6908</v>
      </c>
      <c r="J2480" s="783">
        <v>30</v>
      </c>
      <c r="K2480" s="783" t="s">
        <v>866</v>
      </c>
      <c r="L2480" s="783" t="s">
        <v>4014</v>
      </c>
      <c r="M2480" s="784">
        <v>10476</v>
      </c>
      <c r="N2480" s="784">
        <v>5.82</v>
      </c>
      <c r="O2480" s="784">
        <v>10</v>
      </c>
      <c r="P2480" s="783">
        <v>180</v>
      </c>
      <c r="Q2480" s="783">
        <v>561.51</v>
      </c>
      <c r="R2480" s="783">
        <v>371.06</v>
      </c>
      <c r="S2480" s="783">
        <v>43.79</v>
      </c>
      <c r="T2480" s="783">
        <v>146.66</v>
      </c>
      <c r="U2480" s="785">
        <v>44687.636111111096</v>
      </c>
    </row>
    <row r="2481" spans="1:21">
      <c r="A2481" s="782">
        <v>44679</v>
      </c>
      <c r="B2481" s="783" t="s">
        <v>113</v>
      </c>
      <c r="C2481" s="783" t="s">
        <v>6308</v>
      </c>
      <c r="D2481" s="783" t="s">
        <v>4038</v>
      </c>
      <c r="E2481" s="783" t="s">
        <v>2287</v>
      </c>
      <c r="F2481" s="783" t="s">
        <v>4066</v>
      </c>
      <c r="G2481" s="783" t="s">
        <v>4028</v>
      </c>
      <c r="H2481" s="783" t="s">
        <v>6909</v>
      </c>
      <c r="I2481" s="783" t="s">
        <v>6910</v>
      </c>
      <c r="J2481" s="783">
        <v>5</v>
      </c>
      <c r="K2481" s="783" t="s">
        <v>866</v>
      </c>
      <c r="L2481" s="783" t="s">
        <v>4014</v>
      </c>
      <c r="M2481" s="784">
        <v>55738.2</v>
      </c>
      <c r="N2481" s="784">
        <v>28.85</v>
      </c>
      <c r="O2481" s="784">
        <v>12</v>
      </c>
      <c r="P2481" s="783">
        <v>161</v>
      </c>
      <c r="Q2481" s="783">
        <v>2842.65</v>
      </c>
      <c r="R2481" s="783">
        <v>0</v>
      </c>
      <c r="S2481" s="783">
        <v>0</v>
      </c>
      <c r="T2481" s="783">
        <v>2842.65</v>
      </c>
      <c r="U2481" s="785">
        <v>44680.697870370401</v>
      </c>
    </row>
    <row r="2482" spans="1:21">
      <c r="A2482" s="782">
        <v>44676</v>
      </c>
      <c r="B2482" s="783" t="s">
        <v>51</v>
      </c>
      <c r="C2482" s="783" t="s">
        <v>4042</v>
      </c>
      <c r="D2482" s="783" t="s">
        <v>4016</v>
      </c>
      <c r="E2482" s="783" t="s">
        <v>5471</v>
      </c>
      <c r="F2482" s="783" t="s">
        <v>4066</v>
      </c>
      <c r="G2482" s="783" t="s">
        <v>4028</v>
      </c>
      <c r="H2482" s="783" t="s">
        <v>5472</v>
      </c>
      <c r="I2482" s="783" t="s">
        <v>5473</v>
      </c>
      <c r="J2482" s="783">
        <v>10</v>
      </c>
      <c r="K2482" s="783" t="s">
        <v>866</v>
      </c>
      <c r="L2482" s="783" t="s">
        <v>4014</v>
      </c>
      <c r="M2482" s="784">
        <v>15400</v>
      </c>
      <c r="N2482" s="784">
        <v>11</v>
      </c>
      <c r="O2482" s="784">
        <v>7</v>
      </c>
      <c r="P2482" s="783">
        <v>200</v>
      </c>
      <c r="Q2482" s="783">
        <v>237.16</v>
      </c>
      <c r="R2482" s="783">
        <v>0</v>
      </c>
      <c r="S2482" s="783">
        <v>0</v>
      </c>
      <c r="T2482" s="783">
        <v>237.16</v>
      </c>
      <c r="U2482" s="785">
        <v>44676.727997685201</v>
      </c>
    </row>
    <row r="2483" spans="1:21">
      <c r="A2483" s="782">
        <v>44677</v>
      </c>
      <c r="B2483" s="783" t="s">
        <v>113</v>
      </c>
      <c r="C2483" s="783" t="s">
        <v>4606</v>
      </c>
      <c r="D2483" s="783" t="s">
        <v>4009</v>
      </c>
      <c r="E2483" s="783" t="s">
        <v>6911</v>
      </c>
      <c r="F2483" s="783" t="s">
        <v>4011</v>
      </c>
      <c r="G2483" s="783" t="str">
        <f t="shared" ref="G2483:G2490" si="132">VLOOKUP(I2483,pacage,2,FALSE)</f>
        <v>Renewal (25% in 2020)</v>
      </c>
      <c r="H2483" s="783" t="s">
        <v>6912</v>
      </c>
      <c r="I2483" s="783" t="s">
        <v>6913</v>
      </c>
      <c r="J2483" s="783">
        <v>25</v>
      </c>
      <c r="K2483" s="783" t="s">
        <v>866</v>
      </c>
      <c r="L2483" s="783" t="s">
        <v>4014</v>
      </c>
      <c r="M2483" s="784">
        <v>58693.68</v>
      </c>
      <c r="N2483" s="784">
        <v>28.11</v>
      </c>
      <c r="O2483" s="784">
        <v>11.6</v>
      </c>
      <c r="P2483" s="783">
        <v>180</v>
      </c>
      <c r="Q2483" s="783">
        <v>3509.88</v>
      </c>
      <c r="R2483" s="783">
        <v>2078.9299999999998</v>
      </c>
      <c r="S2483" s="783">
        <v>626.85</v>
      </c>
      <c r="T2483" s="783">
        <v>804.1</v>
      </c>
      <c r="U2483" s="785">
        <v>44678.775266203702</v>
      </c>
    </row>
    <row r="2484" spans="1:21">
      <c r="A2484" s="782">
        <v>44689</v>
      </c>
      <c r="B2484" s="783" t="s">
        <v>41</v>
      </c>
      <c r="C2484" s="783" t="s">
        <v>4092</v>
      </c>
      <c r="D2484" s="783" t="s">
        <v>4009</v>
      </c>
      <c r="E2484" s="783" t="s">
        <v>5474</v>
      </c>
      <c r="F2484" s="783" t="s">
        <v>4011</v>
      </c>
      <c r="G2484" s="783" t="str">
        <f t="shared" si="132"/>
        <v>Renewal (20% in 2020)</v>
      </c>
      <c r="H2484" s="783" t="s">
        <v>5475</v>
      </c>
      <c r="I2484" s="783" t="s">
        <v>5476</v>
      </c>
      <c r="J2484" s="783">
        <v>20</v>
      </c>
      <c r="K2484" s="783" t="s">
        <v>866</v>
      </c>
      <c r="L2484" s="783" t="s">
        <v>4014</v>
      </c>
      <c r="M2484" s="784">
        <v>35992.44</v>
      </c>
      <c r="N2484" s="784">
        <v>26.82</v>
      </c>
      <c r="O2484" s="784">
        <v>6.71</v>
      </c>
      <c r="P2484" s="783">
        <v>200</v>
      </c>
      <c r="Q2484" s="783">
        <v>3246.52</v>
      </c>
      <c r="R2484" s="783">
        <v>1538.51</v>
      </c>
      <c r="S2484" s="783">
        <v>739.81</v>
      </c>
      <c r="T2484" s="783">
        <v>968.2</v>
      </c>
      <c r="U2484" s="785">
        <v>44690.659444444398</v>
      </c>
    </row>
    <row r="2485" spans="1:21">
      <c r="A2485" s="782">
        <v>44678</v>
      </c>
      <c r="B2485" s="783" t="s">
        <v>113</v>
      </c>
      <c r="C2485" s="783" t="s">
        <v>4598</v>
      </c>
      <c r="D2485" s="783" t="s">
        <v>4009</v>
      </c>
      <c r="E2485" s="783" t="s">
        <v>5480</v>
      </c>
      <c r="F2485" s="783" t="s">
        <v>4011</v>
      </c>
      <c r="G2485" s="783" t="str">
        <f t="shared" si="132"/>
        <v>Renewal (30% in 2020)</v>
      </c>
      <c r="H2485" s="783" t="s">
        <v>5481</v>
      </c>
      <c r="I2485" s="783" t="s">
        <v>5482</v>
      </c>
      <c r="J2485" s="783">
        <v>30</v>
      </c>
      <c r="K2485" s="783" t="s">
        <v>866</v>
      </c>
      <c r="L2485" s="783" t="s">
        <v>4014</v>
      </c>
      <c r="M2485" s="784">
        <v>4173.12</v>
      </c>
      <c r="N2485" s="784">
        <v>2.4</v>
      </c>
      <c r="O2485" s="784">
        <v>9.66</v>
      </c>
      <c r="P2485" s="783">
        <v>180</v>
      </c>
      <c r="Q2485" s="783">
        <v>207.82</v>
      </c>
      <c r="R2485" s="783">
        <v>138.85</v>
      </c>
      <c r="S2485" s="783">
        <v>16.39</v>
      </c>
      <c r="T2485" s="783">
        <v>52.58</v>
      </c>
      <c r="U2485" s="785">
        <v>44680.4984259259</v>
      </c>
    </row>
    <row r="2486" spans="1:21">
      <c r="A2486" s="782">
        <v>44708</v>
      </c>
      <c r="B2486" s="783" t="s">
        <v>41</v>
      </c>
      <c r="C2486" s="783" t="s">
        <v>4082</v>
      </c>
      <c r="D2486" s="783" t="s">
        <v>4009</v>
      </c>
      <c r="E2486" s="783" t="s">
        <v>4632</v>
      </c>
      <c r="F2486" s="783" t="s">
        <v>4011</v>
      </c>
      <c r="G2486" s="783" t="str">
        <f t="shared" si="132"/>
        <v>Renewal (15% in 2020)</v>
      </c>
      <c r="H2486" s="783" t="s">
        <v>4633</v>
      </c>
      <c r="I2486" s="783" t="s">
        <v>4634</v>
      </c>
      <c r="J2486" s="783">
        <v>15</v>
      </c>
      <c r="K2486" s="783" t="s">
        <v>866</v>
      </c>
      <c r="L2486" s="783" t="s">
        <v>4014</v>
      </c>
      <c r="M2486" s="784">
        <v>48802.26</v>
      </c>
      <c r="N2486" s="784">
        <v>34.71</v>
      </c>
      <c r="O2486" s="784">
        <v>7.03</v>
      </c>
      <c r="P2486" s="783">
        <v>200</v>
      </c>
      <c r="Q2486" s="783">
        <v>5129.12</v>
      </c>
      <c r="R2486" s="783">
        <v>1815</v>
      </c>
      <c r="S2486" s="783">
        <v>864.24</v>
      </c>
      <c r="T2486" s="783">
        <v>2449.87</v>
      </c>
      <c r="U2486" s="785">
        <v>44711.537106481497</v>
      </c>
    </row>
    <row r="2487" spans="1:21">
      <c r="A2487" s="782">
        <v>44690</v>
      </c>
      <c r="B2487" s="783" t="s">
        <v>113</v>
      </c>
      <c r="C2487" s="783" t="s">
        <v>4606</v>
      </c>
      <c r="D2487" s="783" t="s">
        <v>4009</v>
      </c>
      <c r="E2487" s="783" t="s">
        <v>6732</v>
      </c>
      <c r="F2487" s="783" t="s">
        <v>4011</v>
      </c>
      <c r="G2487" s="783" t="str">
        <f t="shared" si="132"/>
        <v>Renewal (20% in 2020)</v>
      </c>
      <c r="H2487" s="783" t="s">
        <v>6733</v>
      </c>
      <c r="I2487" s="783" t="s">
        <v>6734</v>
      </c>
      <c r="J2487" s="783">
        <v>15</v>
      </c>
      <c r="K2487" s="783" t="s">
        <v>866</v>
      </c>
      <c r="L2487" s="783" t="s">
        <v>4014</v>
      </c>
      <c r="M2487" s="784">
        <v>51420.1</v>
      </c>
      <c r="N2487" s="784">
        <v>29.43</v>
      </c>
      <c r="O2487" s="784">
        <v>10.92</v>
      </c>
      <c r="P2487" s="783">
        <v>160</v>
      </c>
      <c r="Q2487" s="783">
        <v>4910.62</v>
      </c>
      <c r="R2487" s="783">
        <v>2036.24</v>
      </c>
      <c r="S2487" s="783">
        <v>334.23</v>
      </c>
      <c r="T2487" s="783">
        <v>2540.15</v>
      </c>
      <c r="U2487" s="785">
        <v>44690.670509259297</v>
      </c>
    </row>
    <row r="2488" spans="1:21">
      <c r="A2488" s="782">
        <v>44680</v>
      </c>
      <c r="B2488" s="783" t="s">
        <v>41</v>
      </c>
      <c r="C2488" s="783" t="s">
        <v>4082</v>
      </c>
      <c r="D2488" s="783" t="s">
        <v>4009</v>
      </c>
      <c r="E2488" s="783" t="s">
        <v>5509</v>
      </c>
      <c r="F2488" s="783" t="s">
        <v>4011</v>
      </c>
      <c r="G2488" s="783" t="str">
        <f t="shared" si="132"/>
        <v>Renewal (15% in 2020)</v>
      </c>
      <c r="H2488" s="783" t="s">
        <v>5510</v>
      </c>
      <c r="I2488" s="783" t="s">
        <v>5511</v>
      </c>
      <c r="J2488" s="783">
        <v>15</v>
      </c>
      <c r="K2488" s="783" t="s">
        <v>866</v>
      </c>
      <c r="L2488" s="783" t="s">
        <v>4014</v>
      </c>
      <c r="M2488" s="784">
        <v>20085.62</v>
      </c>
      <c r="N2488" s="784">
        <v>17.940000000000001</v>
      </c>
      <c r="O2488" s="784">
        <v>6.22</v>
      </c>
      <c r="P2488" s="783">
        <v>180</v>
      </c>
      <c r="Q2488" s="783">
        <v>2111</v>
      </c>
      <c r="R2488" s="783">
        <v>830</v>
      </c>
      <c r="S2488" s="783">
        <v>272.7</v>
      </c>
      <c r="T2488" s="783">
        <v>1008.3</v>
      </c>
      <c r="U2488" s="785">
        <v>44680.750289351898</v>
      </c>
    </row>
    <row r="2489" spans="1:21">
      <c r="A2489" s="782">
        <v>44683</v>
      </c>
      <c r="B2489" s="783" t="s">
        <v>113</v>
      </c>
      <c r="C2489" s="783" t="s">
        <v>4606</v>
      </c>
      <c r="D2489" s="783" t="s">
        <v>4009</v>
      </c>
      <c r="E2489" s="783" t="s">
        <v>2966</v>
      </c>
      <c r="F2489" s="783" t="s">
        <v>4011</v>
      </c>
      <c r="G2489" s="783" t="str">
        <f t="shared" si="132"/>
        <v>Renewal (25% in 2020)</v>
      </c>
      <c r="H2489" s="783" t="s">
        <v>6735</v>
      </c>
      <c r="I2489" s="783" t="s">
        <v>6736</v>
      </c>
      <c r="J2489" s="783">
        <v>20</v>
      </c>
      <c r="K2489" s="783" t="s">
        <v>866</v>
      </c>
      <c r="L2489" s="783" t="s">
        <v>4014</v>
      </c>
      <c r="M2489" s="784">
        <v>25107.72</v>
      </c>
      <c r="N2489" s="784">
        <v>16.54</v>
      </c>
      <c r="O2489" s="784">
        <v>9.1999999999999993</v>
      </c>
      <c r="P2489" s="783">
        <v>165</v>
      </c>
      <c r="Q2489" s="783">
        <v>1860.48</v>
      </c>
      <c r="R2489" s="783">
        <v>970.16</v>
      </c>
      <c r="S2489" s="783">
        <v>187.3</v>
      </c>
      <c r="T2489" s="783">
        <v>703.02</v>
      </c>
      <c r="U2489" s="785">
        <v>44684.397731481498</v>
      </c>
    </row>
    <row r="2490" spans="1:21">
      <c r="A2490" s="782">
        <v>44685</v>
      </c>
      <c r="B2490" s="783" t="s">
        <v>113</v>
      </c>
      <c r="C2490" s="783" t="s">
        <v>4097</v>
      </c>
      <c r="D2490" s="783" t="s">
        <v>4038</v>
      </c>
      <c r="E2490" s="783" t="s">
        <v>5517</v>
      </c>
      <c r="F2490" s="783" t="s">
        <v>4011</v>
      </c>
      <c r="G2490" s="783" t="str">
        <f t="shared" si="132"/>
        <v>Renewal (15% in 2020)</v>
      </c>
      <c r="H2490" s="783" t="s">
        <v>5518</v>
      </c>
      <c r="I2490" s="783" t="s">
        <v>5519</v>
      </c>
      <c r="J2490" s="783">
        <v>15</v>
      </c>
      <c r="K2490" s="783" t="s">
        <v>866</v>
      </c>
      <c r="L2490" s="783" t="s">
        <v>4014</v>
      </c>
      <c r="M2490" s="784">
        <v>32869.54</v>
      </c>
      <c r="N2490" s="784">
        <v>28.19</v>
      </c>
      <c r="O2490" s="784">
        <v>5.83</v>
      </c>
      <c r="P2490" s="783">
        <v>200</v>
      </c>
      <c r="Q2490" s="783">
        <v>3517.04</v>
      </c>
      <c r="R2490" s="783">
        <v>1209.22</v>
      </c>
      <c r="S2490" s="783">
        <v>539.44000000000005</v>
      </c>
      <c r="T2490" s="783">
        <v>1768.38</v>
      </c>
      <c r="U2490" s="785">
        <v>44687.659293981502</v>
      </c>
    </row>
    <row r="2491" spans="1:21">
      <c r="A2491" s="782">
        <v>44678</v>
      </c>
      <c r="B2491" s="783" t="s">
        <v>74</v>
      </c>
      <c r="C2491" s="783" t="s">
        <v>4097</v>
      </c>
      <c r="D2491" s="783" t="s">
        <v>4038</v>
      </c>
      <c r="E2491" s="783" t="s">
        <v>4361</v>
      </c>
      <c r="F2491" s="783" t="s">
        <v>4011</v>
      </c>
      <c r="G2491" s="783" t="s">
        <v>4028</v>
      </c>
      <c r="H2491" s="783" t="s">
        <v>4362</v>
      </c>
      <c r="I2491" s="783" t="s">
        <v>4363</v>
      </c>
      <c r="J2491" s="783">
        <v>15</v>
      </c>
      <c r="K2491" s="783" t="s">
        <v>866</v>
      </c>
      <c r="L2491" s="783" t="s">
        <v>4014</v>
      </c>
      <c r="M2491" s="784">
        <v>14843.14</v>
      </c>
      <c r="N2491" s="784">
        <v>14.08</v>
      </c>
      <c r="O2491" s="784">
        <v>7.53</v>
      </c>
      <c r="P2491" s="783">
        <v>140</v>
      </c>
      <c r="Q2491" s="783">
        <v>1588.22</v>
      </c>
      <c r="R2491" s="783">
        <v>678.33</v>
      </c>
      <c r="S2491" s="783">
        <v>111.32</v>
      </c>
      <c r="T2491" s="783">
        <v>798.56</v>
      </c>
      <c r="U2491" s="785">
        <v>44680.483090277798</v>
      </c>
    </row>
    <row r="2492" spans="1:21">
      <c r="A2492" s="782">
        <v>44713</v>
      </c>
      <c r="B2492" s="783" t="s">
        <v>113</v>
      </c>
      <c r="C2492" s="783" t="s">
        <v>4606</v>
      </c>
      <c r="D2492" s="783" t="s">
        <v>4009</v>
      </c>
      <c r="E2492" s="783" t="s">
        <v>6914</v>
      </c>
      <c r="F2492" s="783" t="s">
        <v>4011</v>
      </c>
      <c r="G2492" s="783" t="str">
        <f t="shared" ref="G2492:G2498" si="133">VLOOKUP(I2492,pacage,2,FALSE)</f>
        <v>Renewal (25% in 2020)</v>
      </c>
      <c r="H2492" s="783" t="s">
        <v>6915</v>
      </c>
      <c r="I2492" s="783" t="s">
        <v>6916</v>
      </c>
      <c r="J2492" s="783">
        <v>25</v>
      </c>
      <c r="K2492" s="783" t="s">
        <v>866</v>
      </c>
      <c r="L2492" s="783" t="s">
        <v>4014</v>
      </c>
      <c r="M2492" s="784">
        <v>81210.899999999994</v>
      </c>
      <c r="N2492" s="784">
        <v>32.15</v>
      </c>
      <c r="O2492" s="784">
        <v>12.63</v>
      </c>
      <c r="P2492" s="783">
        <v>200</v>
      </c>
      <c r="Q2492" s="783">
        <v>4856.41</v>
      </c>
      <c r="R2492" s="783">
        <v>2588.84</v>
      </c>
      <c r="S2492" s="783">
        <v>1154.98</v>
      </c>
      <c r="T2492" s="783">
        <v>1112.5899999999999</v>
      </c>
      <c r="U2492" s="785">
        <v>44715.437256944402</v>
      </c>
    </row>
    <row r="2493" spans="1:21">
      <c r="A2493" s="782">
        <v>44679</v>
      </c>
      <c r="B2493" s="783" t="s">
        <v>113</v>
      </c>
      <c r="C2493" s="783" t="s">
        <v>4606</v>
      </c>
      <c r="D2493" s="783" t="s">
        <v>4009</v>
      </c>
      <c r="E2493" s="783" t="s">
        <v>6917</v>
      </c>
      <c r="F2493" s="783" t="s">
        <v>4011</v>
      </c>
      <c r="G2493" s="783" t="str">
        <f t="shared" si="133"/>
        <v>Renewal (15% in 2020)</v>
      </c>
      <c r="H2493" s="783" t="s">
        <v>6918</v>
      </c>
      <c r="I2493" s="783" t="s">
        <v>6919</v>
      </c>
      <c r="J2493" s="783">
        <v>25</v>
      </c>
      <c r="K2493" s="783" t="s">
        <v>866</v>
      </c>
      <c r="L2493" s="783" t="s">
        <v>4014</v>
      </c>
      <c r="M2493" s="784">
        <v>46971.75</v>
      </c>
      <c r="N2493" s="784">
        <v>25</v>
      </c>
      <c r="O2493" s="784">
        <v>11.67</v>
      </c>
      <c r="P2493" s="783">
        <v>161</v>
      </c>
      <c r="Q2493" s="783">
        <v>2808.91</v>
      </c>
      <c r="R2493" s="783">
        <v>1860.08</v>
      </c>
      <c r="S2493" s="783">
        <v>305.32</v>
      </c>
      <c r="T2493" s="783">
        <v>643.51</v>
      </c>
      <c r="U2493" s="785">
        <v>44680.696921296301</v>
      </c>
    </row>
    <row r="2494" spans="1:21">
      <c r="A2494" s="782">
        <v>44679</v>
      </c>
      <c r="B2494" s="783" t="s">
        <v>113</v>
      </c>
      <c r="C2494" s="783" t="s">
        <v>4606</v>
      </c>
      <c r="D2494" s="783" t="s">
        <v>4009</v>
      </c>
      <c r="E2494" s="783" t="s">
        <v>6920</v>
      </c>
      <c r="F2494" s="783" t="s">
        <v>4011</v>
      </c>
      <c r="G2494" s="783" t="str">
        <f t="shared" si="133"/>
        <v>Renewal (20% in 2020)</v>
      </c>
      <c r="H2494" s="783" t="s">
        <v>6921</v>
      </c>
      <c r="I2494" s="783" t="s">
        <v>6922</v>
      </c>
      <c r="J2494" s="783">
        <v>15</v>
      </c>
      <c r="K2494" s="783" t="s">
        <v>866</v>
      </c>
      <c r="L2494" s="783" t="s">
        <v>4014</v>
      </c>
      <c r="M2494" s="784">
        <v>25013.48</v>
      </c>
      <c r="N2494" s="784">
        <v>15.04</v>
      </c>
      <c r="O2494" s="784">
        <v>10.33</v>
      </c>
      <c r="P2494" s="783">
        <v>161</v>
      </c>
      <c r="Q2494" s="783">
        <v>2388.79</v>
      </c>
      <c r="R2494" s="783">
        <v>990.53</v>
      </c>
      <c r="S2494" s="783">
        <v>162.59</v>
      </c>
      <c r="T2494" s="783">
        <v>1235.67</v>
      </c>
      <c r="U2494" s="785">
        <v>44680.693136574097</v>
      </c>
    </row>
    <row r="2495" spans="1:21">
      <c r="A2495" s="782">
        <v>44678</v>
      </c>
      <c r="B2495" s="783" t="s">
        <v>41</v>
      </c>
      <c r="C2495" s="783" t="s">
        <v>4008</v>
      </c>
      <c r="D2495" s="783" t="s">
        <v>4009</v>
      </c>
      <c r="E2495" s="783" t="s">
        <v>5532</v>
      </c>
      <c r="F2495" s="783" t="s">
        <v>4011</v>
      </c>
      <c r="G2495" s="783" t="str">
        <f t="shared" si="133"/>
        <v>Renewal (15% in 2020)</v>
      </c>
      <c r="H2495" s="783" t="s">
        <v>5533</v>
      </c>
      <c r="I2495" s="783" t="s">
        <v>5534</v>
      </c>
      <c r="J2495" s="783">
        <v>15</v>
      </c>
      <c r="K2495" s="783" t="s">
        <v>866</v>
      </c>
      <c r="L2495" s="783" t="s">
        <v>4014</v>
      </c>
      <c r="M2495" s="784">
        <v>2962.5</v>
      </c>
      <c r="N2495" s="784">
        <v>1.5</v>
      </c>
      <c r="O2495" s="784">
        <v>7.9</v>
      </c>
      <c r="P2495" s="783">
        <v>250</v>
      </c>
      <c r="Q2495" s="783">
        <v>336.54</v>
      </c>
      <c r="R2495" s="783">
        <v>92.91</v>
      </c>
      <c r="S2495" s="783">
        <v>74.77</v>
      </c>
      <c r="T2495" s="783">
        <v>168.86</v>
      </c>
      <c r="U2495" s="785">
        <v>44680.657766203702</v>
      </c>
    </row>
    <row r="2496" spans="1:21">
      <c r="A2496" s="782">
        <v>44680</v>
      </c>
      <c r="B2496" s="783" t="s">
        <v>113</v>
      </c>
      <c r="C2496" s="783" t="s">
        <v>4606</v>
      </c>
      <c r="D2496" s="783" t="s">
        <v>4009</v>
      </c>
      <c r="E2496" s="783" t="s">
        <v>6737</v>
      </c>
      <c r="F2496" s="783" t="s">
        <v>4011</v>
      </c>
      <c r="G2496" s="783" t="str">
        <f t="shared" si="133"/>
        <v>Renewal (20% in 2020)</v>
      </c>
      <c r="H2496" s="783" t="s">
        <v>6738</v>
      </c>
      <c r="I2496" s="783" t="s">
        <v>6739</v>
      </c>
      <c r="J2496" s="783">
        <v>20</v>
      </c>
      <c r="K2496" s="783" t="s">
        <v>866</v>
      </c>
      <c r="L2496" s="783" t="s">
        <v>4014</v>
      </c>
      <c r="M2496" s="784">
        <v>24650.14</v>
      </c>
      <c r="N2496" s="784">
        <v>17.64</v>
      </c>
      <c r="O2496" s="784">
        <v>8.2200000000000006</v>
      </c>
      <c r="P2496" s="783">
        <v>170</v>
      </c>
      <c r="Q2496" s="783">
        <v>1826.58</v>
      </c>
      <c r="R2496" s="783">
        <v>924.47</v>
      </c>
      <c r="S2496" s="783">
        <v>211.9</v>
      </c>
      <c r="T2496" s="783">
        <v>690.2</v>
      </c>
      <c r="U2496" s="785">
        <v>44683.498900462997</v>
      </c>
    </row>
    <row r="2497" spans="1:21">
      <c r="A2497" s="782">
        <v>44680</v>
      </c>
      <c r="B2497" s="783" t="s">
        <v>41</v>
      </c>
      <c r="C2497" s="783" t="s">
        <v>4082</v>
      </c>
      <c r="D2497" s="783" t="s">
        <v>4009</v>
      </c>
      <c r="E2497" s="783" t="s">
        <v>5538</v>
      </c>
      <c r="F2497" s="783" t="s">
        <v>4011</v>
      </c>
      <c r="G2497" s="783" t="str">
        <f t="shared" si="133"/>
        <v>New Contract</v>
      </c>
      <c r="H2497" s="783" t="s">
        <v>5539</v>
      </c>
      <c r="I2497" s="783" t="s">
        <v>5540</v>
      </c>
      <c r="J2497" s="783">
        <v>30</v>
      </c>
      <c r="K2497" s="783" t="s">
        <v>866</v>
      </c>
      <c r="L2497" s="783" t="s">
        <v>4014</v>
      </c>
      <c r="M2497" s="784">
        <v>6891.44</v>
      </c>
      <c r="N2497" s="784">
        <v>8.1999999999999993</v>
      </c>
      <c r="O2497" s="784">
        <v>5.22</v>
      </c>
      <c r="P2497" s="783">
        <v>161</v>
      </c>
      <c r="Q2497" s="783">
        <v>354.22</v>
      </c>
      <c r="R2497" s="783">
        <v>318.38</v>
      </c>
      <c r="S2497" s="783">
        <v>0</v>
      </c>
      <c r="T2497" s="783">
        <v>35.840000000000003</v>
      </c>
      <c r="U2497" s="785">
        <v>44680.743125000001</v>
      </c>
    </row>
    <row r="2498" spans="1:21">
      <c r="A2498" s="782">
        <v>44680</v>
      </c>
      <c r="B2498" s="783" t="s">
        <v>47</v>
      </c>
      <c r="C2498" s="783" t="s">
        <v>4101</v>
      </c>
      <c r="D2498" s="783" t="s">
        <v>4102</v>
      </c>
      <c r="E2498" s="783" t="s">
        <v>4638</v>
      </c>
      <c r="F2498" s="783" t="s">
        <v>4011</v>
      </c>
      <c r="G2498" s="783" t="str">
        <f t="shared" si="133"/>
        <v>Renewal (15% in 2020)</v>
      </c>
      <c r="H2498" s="783" t="s">
        <v>4639</v>
      </c>
      <c r="I2498" s="783" t="s">
        <v>4640</v>
      </c>
      <c r="J2498" s="783">
        <v>15</v>
      </c>
      <c r="K2498" s="783" t="s">
        <v>866</v>
      </c>
      <c r="L2498" s="783" t="s">
        <v>4014</v>
      </c>
      <c r="M2498" s="784">
        <v>16667.2</v>
      </c>
      <c r="N2498" s="784">
        <v>18.940000000000001</v>
      </c>
      <c r="O2498" s="784">
        <v>4</v>
      </c>
      <c r="P2498" s="783">
        <v>220</v>
      </c>
      <c r="Q2498" s="783">
        <v>1065.03</v>
      </c>
      <c r="R2498" s="783">
        <v>415.93</v>
      </c>
      <c r="S2498" s="783">
        <v>244.09</v>
      </c>
      <c r="T2498" s="783">
        <v>405.01</v>
      </c>
      <c r="U2498" s="785">
        <v>44683.488113425898</v>
      </c>
    </row>
    <row r="2499" spans="1:21">
      <c r="A2499" s="782">
        <v>44680</v>
      </c>
      <c r="B2499" s="783" t="s">
        <v>113</v>
      </c>
      <c r="C2499" s="783" t="s">
        <v>4606</v>
      </c>
      <c r="D2499" s="783" t="s">
        <v>4009</v>
      </c>
      <c r="E2499" s="783" t="s">
        <v>2717</v>
      </c>
      <c r="F2499" s="783" t="s">
        <v>4011</v>
      </c>
      <c r="G2499" s="783" t="s">
        <v>4028</v>
      </c>
      <c r="H2499" s="783" t="s">
        <v>5550</v>
      </c>
      <c r="I2499" s="783" t="s">
        <v>5551</v>
      </c>
      <c r="J2499" s="783">
        <v>25</v>
      </c>
      <c r="K2499" s="783" t="s">
        <v>866</v>
      </c>
      <c r="L2499" s="783" t="s">
        <v>4014</v>
      </c>
      <c r="M2499" s="784">
        <v>22532.1</v>
      </c>
      <c r="N2499" s="784">
        <v>11.21</v>
      </c>
      <c r="O2499" s="784">
        <v>10</v>
      </c>
      <c r="P2499" s="783">
        <v>201</v>
      </c>
      <c r="Q2499" s="783">
        <v>1347.42</v>
      </c>
      <c r="R2499" s="783">
        <v>714.7</v>
      </c>
      <c r="S2499" s="783">
        <v>324.02999999999997</v>
      </c>
      <c r="T2499" s="783">
        <v>308.69</v>
      </c>
      <c r="U2499" s="785">
        <v>44683.484479166698</v>
      </c>
    </row>
    <row r="2500" spans="1:21">
      <c r="A2500" s="782">
        <v>44680</v>
      </c>
      <c r="B2500" s="783" t="s">
        <v>113</v>
      </c>
      <c r="C2500" s="783" t="s">
        <v>4606</v>
      </c>
      <c r="D2500" s="783" t="s">
        <v>4009</v>
      </c>
      <c r="E2500" s="783" t="s">
        <v>6923</v>
      </c>
      <c r="F2500" s="783" t="s">
        <v>4011</v>
      </c>
      <c r="G2500" s="783" t="s">
        <v>4028</v>
      </c>
      <c r="H2500" s="783" t="s">
        <v>6924</v>
      </c>
      <c r="I2500" s="783" t="s">
        <v>6925</v>
      </c>
      <c r="J2500" s="783">
        <v>20</v>
      </c>
      <c r="K2500" s="783" t="s">
        <v>866</v>
      </c>
      <c r="L2500" s="783" t="s">
        <v>4014</v>
      </c>
      <c r="M2500" s="784">
        <v>7953.4</v>
      </c>
      <c r="N2500" s="784">
        <v>4</v>
      </c>
      <c r="O2500" s="784">
        <v>9.5</v>
      </c>
      <c r="P2500" s="783">
        <v>209.3</v>
      </c>
      <c r="Q2500" s="783">
        <v>589.35</v>
      </c>
      <c r="R2500" s="783">
        <v>242.27</v>
      </c>
      <c r="S2500" s="783">
        <v>124.38</v>
      </c>
      <c r="T2500" s="783">
        <v>222.7</v>
      </c>
      <c r="U2500" s="785">
        <v>44708.735393518502</v>
      </c>
    </row>
    <row r="2501" spans="1:21">
      <c r="A2501" s="782">
        <v>44680</v>
      </c>
      <c r="B2501" s="783" t="s">
        <v>113</v>
      </c>
      <c r="C2501" s="783" t="s">
        <v>4598</v>
      </c>
      <c r="D2501" s="783" t="s">
        <v>4009</v>
      </c>
      <c r="E2501" s="783" t="s">
        <v>6926</v>
      </c>
      <c r="F2501" s="783" t="s">
        <v>4011</v>
      </c>
      <c r="G2501" s="783" t="s">
        <v>4028</v>
      </c>
      <c r="H2501" s="783" t="s">
        <v>6927</v>
      </c>
      <c r="I2501" s="783" t="s">
        <v>6928</v>
      </c>
      <c r="J2501" s="783">
        <v>20</v>
      </c>
      <c r="K2501" s="783" t="s">
        <v>866</v>
      </c>
      <c r="L2501" s="783" t="s">
        <v>4014</v>
      </c>
      <c r="M2501" s="784">
        <v>16929</v>
      </c>
      <c r="N2501" s="784">
        <v>9</v>
      </c>
      <c r="O2501" s="784">
        <v>9</v>
      </c>
      <c r="P2501" s="783">
        <v>209</v>
      </c>
      <c r="Q2501" s="783">
        <v>1239.2</v>
      </c>
      <c r="R2501" s="783">
        <v>485.13</v>
      </c>
      <c r="S2501" s="783">
        <v>303.77</v>
      </c>
      <c r="T2501" s="783">
        <v>450.31</v>
      </c>
      <c r="U2501" s="785">
        <v>44683.485648148097</v>
      </c>
    </row>
    <row r="2502" spans="1:21">
      <c r="A2502" s="782">
        <v>44685</v>
      </c>
      <c r="B2502" s="783" t="s">
        <v>113</v>
      </c>
      <c r="C2502" s="783" t="s">
        <v>4606</v>
      </c>
      <c r="D2502" s="783" t="s">
        <v>4009</v>
      </c>
      <c r="E2502" s="783" t="s">
        <v>6740</v>
      </c>
      <c r="F2502" s="783" t="s">
        <v>4011</v>
      </c>
      <c r="G2502" s="783" t="str">
        <f>VLOOKUP(I2502,pacage,2,FALSE)</f>
        <v>Renewal (15% in 2020)</v>
      </c>
      <c r="H2502" s="783" t="s">
        <v>6741</v>
      </c>
      <c r="I2502" s="783" t="s">
        <v>6742</v>
      </c>
      <c r="J2502" s="783">
        <v>15</v>
      </c>
      <c r="K2502" s="783" t="s">
        <v>866</v>
      </c>
      <c r="L2502" s="783" t="s">
        <v>4014</v>
      </c>
      <c r="M2502" s="784">
        <v>88918.1</v>
      </c>
      <c r="N2502" s="784">
        <v>53</v>
      </c>
      <c r="O2502" s="784">
        <v>8.83</v>
      </c>
      <c r="P2502" s="783">
        <v>190</v>
      </c>
      <c r="Q2502" s="783">
        <v>8491.68</v>
      </c>
      <c r="R2502" s="783">
        <v>2983.72</v>
      </c>
      <c r="S2502" s="783">
        <v>1115.4100000000001</v>
      </c>
      <c r="T2502" s="783">
        <v>4392.55</v>
      </c>
      <c r="U2502" s="785">
        <v>44685.637060185203</v>
      </c>
    </row>
    <row r="2503" spans="1:21">
      <c r="A2503" s="782">
        <v>44686</v>
      </c>
      <c r="B2503" s="783" t="s">
        <v>113</v>
      </c>
      <c r="C2503" s="783" t="s">
        <v>4598</v>
      </c>
      <c r="D2503" s="783" t="s">
        <v>4009</v>
      </c>
      <c r="E2503" s="783" t="s">
        <v>6663</v>
      </c>
      <c r="F2503" s="783" t="s">
        <v>4011</v>
      </c>
      <c r="G2503" s="783" t="str">
        <f>VLOOKUP(I2503,pacage,2,FALSE)</f>
        <v>Renewal (25% in 2020)</v>
      </c>
      <c r="H2503" s="783" t="s">
        <v>6664</v>
      </c>
      <c r="I2503" s="783" t="s">
        <v>6665</v>
      </c>
      <c r="J2503" s="783">
        <v>30</v>
      </c>
      <c r="K2503" s="783" t="s">
        <v>866</v>
      </c>
      <c r="L2503" s="783" t="s">
        <v>4014</v>
      </c>
      <c r="M2503" s="784">
        <v>8300</v>
      </c>
      <c r="N2503" s="784">
        <v>5</v>
      </c>
      <c r="O2503" s="784">
        <v>8.3000000000000007</v>
      </c>
      <c r="P2503" s="783">
        <v>200</v>
      </c>
      <c r="Q2503" s="783">
        <v>413.34</v>
      </c>
      <c r="R2503" s="783">
        <v>248.55</v>
      </c>
      <c r="S2503" s="783">
        <v>60.21</v>
      </c>
      <c r="T2503" s="783">
        <v>104.58</v>
      </c>
      <c r="U2503" s="785">
        <v>44687.666585648098</v>
      </c>
    </row>
    <row r="2504" spans="1:21">
      <c r="A2504" s="782">
        <v>44703</v>
      </c>
      <c r="B2504" s="783" t="s">
        <v>41</v>
      </c>
      <c r="C2504" s="783" t="s">
        <v>4071</v>
      </c>
      <c r="D2504" s="783" t="s">
        <v>4009</v>
      </c>
      <c r="E2504" s="783" t="s">
        <v>4147</v>
      </c>
      <c r="F2504" s="783" t="s">
        <v>4011</v>
      </c>
      <c r="G2504" s="783" t="str">
        <f>VLOOKUP(I2504,pacage,2,FALSE)</f>
        <v>Renewal (15% in 2020)</v>
      </c>
      <c r="H2504" s="783" t="s">
        <v>4148</v>
      </c>
      <c r="I2504" s="783" t="s">
        <v>4149</v>
      </c>
      <c r="J2504" s="783">
        <v>15</v>
      </c>
      <c r="K2504" s="783" t="s">
        <v>866</v>
      </c>
      <c r="L2504" s="783" t="s">
        <v>4014</v>
      </c>
      <c r="M2504" s="784">
        <v>945.07</v>
      </c>
      <c r="N2504" s="784">
        <v>1</v>
      </c>
      <c r="O2504" s="784">
        <v>5.87</v>
      </c>
      <c r="P2504" s="783">
        <v>161</v>
      </c>
      <c r="Q2504" s="783">
        <v>129.85</v>
      </c>
      <c r="R2504" s="783">
        <v>58.59</v>
      </c>
      <c r="S2504" s="783">
        <v>9.36</v>
      </c>
      <c r="T2504" s="783">
        <v>61.9</v>
      </c>
      <c r="U2504" s="785">
        <v>44704.407847222203</v>
      </c>
    </row>
    <row r="2505" spans="1:21">
      <c r="A2505" s="782">
        <v>44701</v>
      </c>
      <c r="B2505" s="783" t="s">
        <v>1274</v>
      </c>
      <c r="C2505" s="783" t="s">
        <v>4139</v>
      </c>
      <c r="D2505" s="783" t="s">
        <v>4009</v>
      </c>
      <c r="E2505" s="783" t="s">
        <v>5568</v>
      </c>
      <c r="F2505" s="783" t="s">
        <v>4011</v>
      </c>
      <c r="G2505" s="783" t="s">
        <v>4028</v>
      </c>
      <c r="H2505" s="783" t="s">
        <v>5569</v>
      </c>
      <c r="I2505" s="783" t="s">
        <v>5570</v>
      </c>
      <c r="J2505" s="783">
        <v>25</v>
      </c>
      <c r="K2505" s="783" t="s">
        <v>866</v>
      </c>
      <c r="L2505" s="783" t="s">
        <v>4014</v>
      </c>
      <c r="M2505" s="784">
        <v>12287.16</v>
      </c>
      <c r="N2505" s="784">
        <v>9.3000000000000007</v>
      </c>
      <c r="O2505" s="784">
        <v>7.34</v>
      </c>
      <c r="P2505" s="783">
        <v>180</v>
      </c>
      <c r="Q2505" s="783">
        <v>724.94</v>
      </c>
      <c r="R2505" s="783">
        <v>511.04</v>
      </c>
      <c r="S2505" s="783">
        <v>153.69</v>
      </c>
      <c r="T2505" s="783">
        <v>60.21</v>
      </c>
      <c r="U2505" s="785">
        <v>44704.417534722197</v>
      </c>
    </row>
    <row r="2506" spans="1:21">
      <c r="A2506" s="782">
        <v>44701</v>
      </c>
      <c r="B2506" s="783" t="s">
        <v>41</v>
      </c>
      <c r="C2506" s="783" t="s">
        <v>4071</v>
      </c>
      <c r="D2506" s="783" t="s">
        <v>4009</v>
      </c>
      <c r="E2506" s="783" t="s">
        <v>5571</v>
      </c>
      <c r="F2506" s="783" t="s">
        <v>4011</v>
      </c>
      <c r="G2506" s="783" t="str">
        <f>VLOOKUP(I2506,pacage,2,FALSE)</f>
        <v>New Contract</v>
      </c>
      <c r="H2506" s="783" t="s">
        <v>5572</v>
      </c>
      <c r="I2506" s="783" t="s">
        <v>5573</v>
      </c>
      <c r="J2506" s="783">
        <v>25</v>
      </c>
      <c r="K2506" s="783" t="s">
        <v>866</v>
      </c>
      <c r="L2506" s="783" t="s">
        <v>4014</v>
      </c>
      <c r="M2506" s="784">
        <v>19327.25</v>
      </c>
      <c r="N2506" s="784">
        <v>16.57</v>
      </c>
      <c r="O2506" s="784">
        <v>6.48</v>
      </c>
      <c r="P2506" s="783">
        <v>180</v>
      </c>
      <c r="Q2506" s="783">
        <v>1519.12</v>
      </c>
      <c r="R2506" s="783">
        <v>1071.8</v>
      </c>
      <c r="S2506" s="783">
        <v>317.83</v>
      </c>
      <c r="T2506" s="783">
        <v>129.49</v>
      </c>
      <c r="U2506" s="785">
        <v>44704.414976851898</v>
      </c>
    </row>
    <row r="2507" spans="1:21">
      <c r="A2507" s="782">
        <v>44705</v>
      </c>
      <c r="B2507" s="783" t="s">
        <v>118</v>
      </c>
      <c r="C2507" s="783" t="s">
        <v>4139</v>
      </c>
      <c r="D2507" s="783" t="s">
        <v>4009</v>
      </c>
      <c r="E2507" s="783" t="s">
        <v>5586</v>
      </c>
      <c r="F2507" s="783" t="s">
        <v>4011</v>
      </c>
      <c r="G2507" s="783" t="str">
        <f>VLOOKUP(I2507,pacage,2,FALSE)</f>
        <v>Renewal (15% in 2020)</v>
      </c>
      <c r="H2507" s="783" t="s">
        <v>5587</v>
      </c>
      <c r="I2507" s="783" t="s">
        <v>5588</v>
      </c>
      <c r="J2507" s="783">
        <v>15</v>
      </c>
      <c r="K2507" s="783" t="s">
        <v>866</v>
      </c>
      <c r="L2507" s="783" t="s">
        <v>4014</v>
      </c>
      <c r="M2507" s="784">
        <v>15710.92</v>
      </c>
      <c r="N2507" s="784">
        <v>15.02</v>
      </c>
      <c r="O2507" s="784">
        <v>5.23</v>
      </c>
      <c r="P2507" s="783">
        <v>200</v>
      </c>
      <c r="Q2507" s="783">
        <v>1619.8</v>
      </c>
      <c r="R2507" s="783">
        <v>588.1</v>
      </c>
      <c r="S2507" s="783">
        <v>261.86</v>
      </c>
      <c r="T2507" s="783">
        <v>769.84</v>
      </c>
      <c r="U2507" s="785">
        <v>44706.462696759299</v>
      </c>
    </row>
    <row r="2508" spans="1:21">
      <c r="A2508" s="782">
        <v>44707</v>
      </c>
      <c r="B2508" s="783" t="s">
        <v>41</v>
      </c>
      <c r="C2508" s="783" t="s">
        <v>4071</v>
      </c>
      <c r="D2508" s="783" t="s">
        <v>4009</v>
      </c>
      <c r="E2508" s="783" t="s">
        <v>5594</v>
      </c>
      <c r="F2508" s="783" t="s">
        <v>4011</v>
      </c>
      <c r="G2508" s="783" t="str">
        <f>VLOOKUP(I2508,pacage,2,FALSE)</f>
        <v>New Contract</v>
      </c>
      <c r="H2508" s="783" t="s">
        <v>5595</v>
      </c>
      <c r="I2508" s="783" t="s">
        <v>5596</v>
      </c>
      <c r="J2508" s="783">
        <v>25</v>
      </c>
      <c r="K2508" s="783" t="s">
        <v>866</v>
      </c>
      <c r="L2508" s="783" t="s">
        <v>4014</v>
      </c>
      <c r="M2508" s="784">
        <v>3969.05</v>
      </c>
      <c r="N2508" s="784">
        <v>5.19</v>
      </c>
      <c r="O2508" s="784">
        <v>4.75</v>
      </c>
      <c r="P2508" s="783">
        <v>161</v>
      </c>
      <c r="Q2508" s="783">
        <v>311.97000000000003</v>
      </c>
      <c r="R2508" s="783">
        <v>246.08</v>
      </c>
      <c r="S2508" s="783">
        <v>39.29</v>
      </c>
      <c r="T2508" s="783">
        <v>26.59</v>
      </c>
      <c r="U2508" s="785">
        <v>44708.583854166704</v>
      </c>
    </row>
    <row r="2509" spans="1:21">
      <c r="A2509" s="782">
        <v>44712</v>
      </c>
      <c r="B2509" s="783" t="s">
        <v>41</v>
      </c>
      <c r="C2509" s="783" t="s">
        <v>4092</v>
      </c>
      <c r="D2509" s="783" t="s">
        <v>4009</v>
      </c>
      <c r="E2509" s="783" t="s">
        <v>5597</v>
      </c>
      <c r="F2509" s="783" t="s">
        <v>4011</v>
      </c>
      <c r="G2509" s="783" t="s">
        <v>4028</v>
      </c>
      <c r="H2509" s="783" t="s">
        <v>5598</v>
      </c>
      <c r="I2509" s="783" t="s">
        <v>5599</v>
      </c>
      <c r="J2509" s="783">
        <v>25</v>
      </c>
      <c r="K2509" s="783" t="s">
        <v>866</v>
      </c>
      <c r="L2509" s="783" t="s">
        <v>4014</v>
      </c>
      <c r="M2509" s="784">
        <v>23553.06</v>
      </c>
      <c r="N2509" s="784">
        <v>21.11</v>
      </c>
      <c r="O2509" s="784">
        <v>6.93</v>
      </c>
      <c r="P2509" s="783">
        <v>161</v>
      </c>
      <c r="Q2509" s="783">
        <v>1632.23</v>
      </c>
      <c r="R2509" s="783">
        <v>1250.67</v>
      </c>
      <c r="S2509" s="783">
        <v>240.24</v>
      </c>
      <c r="T2509" s="783">
        <v>141.32</v>
      </c>
      <c r="U2509" s="785">
        <v>44715.397291666697</v>
      </c>
    </row>
    <row r="2510" spans="1:21">
      <c r="A2510" s="782">
        <v>44701</v>
      </c>
      <c r="B2510" s="783" t="s">
        <v>113</v>
      </c>
      <c r="C2510" s="783" t="s">
        <v>4606</v>
      </c>
      <c r="D2510" s="783" t="s">
        <v>4009</v>
      </c>
      <c r="E2510" s="783" t="s">
        <v>6581</v>
      </c>
      <c r="F2510" s="783" t="s">
        <v>4011</v>
      </c>
      <c r="G2510" s="783" t="str">
        <f t="shared" ref="G2510:G2538" si="134">VLOOKUP(I2510,pacage,2,FALSE)</f>
        <v>Renewal (20% in 2020)</v>
      </c>
      <c r="H2510" s="783" t="s">
        <v>6582</v>
      </c>
      <c r="I2510" s="783" t="s">
        <v>6583</v>
      </c>
      <c r="J2510" s="783">
        <v>20</v>
      </c>
      <c r="K2510" s="783" t="s">
        <v>866</v>
      </c>
      <c r="L2510" s="783" t="s">
        <v>4014</v>
      </c>
      <c r="M2510" s="784">
        <v>60701.83</v>
      </c>
      <c r="N2510" s="784">
        <v>32.520000000000003</v>
      </c>
      <c r="O2510" s="784">
        <v>10.37</v>
      </c>
      <c r="P2510" s="783">
        <v>180</v>
      </c>
      <c r="Q2510" s="783">
        <v>4498.01</v>
      </c>
      <c r="R2510" s="783">
        <v>2150.06</v>
      </c>
      <c r="S2510" s="783">
        <v>648.29999999999995</v>
      </c>
      <c r="T2510" s="783">
        <v>1699.65</v>
      </c>
      <c r="U2510" s="785">
        <v>44701.644189814797</v>
      </c>
    </row>
    <row r="2511" spans="1:21">
      <c r="A2511" s="782">
        <v>44708</v>
      </c>
      <c r="B2511" s="783" t="s">
        <v>41</v>
      </c>
      <c r="C2511" s="783" t="s">
        <v>4082</v>
      </c>
      <c r="D2511" s="783" t="s">
        <v>4009</v>
      </c>
      <c r="E2511" s="783" t="s">
        <v>5600</v>
      </c>
      <c r="F2511" s="783" t="s">
        <v>4011</v>
      </c>
      <c r="G2511" s="783" t="str">
        <f t="shared" si="134"/>
        <v>Renewal (15% in 2020)</v>
      </c>
      <c r="H2511" s="783" t="s">
        <v>5601</v>
      </c>
      <c r="I2511" s="783" t="s">
        <v>5602</v>
      </c>
      <c r="J2511" s="783">
        <v>15</v>
      </c>
      <c r="K2511" s="783" t="s">
        <v>866</v>
      </c>
      <c r="L2511" s="783" t="s">
        <v>4014</v>
      </c>
      <c r="M2511" s="784">
        <v>24650.34</v>
      </c>
      <c r="N2511" s="784">
        <v>22</v>
      </c>
      <c r="O2511" s="784">
        <v>6.63</v>
      </c>
      <c r="P2511" s="783">
        <v>169</v>
      </c>
      <c r="Q2511" s="783">
        <v>2590.75</v>
      </c>
      <c r="R2511" s="783">
        <v>1084.94</v>
      </c>
      <c r="S2511" s="783">
        <v>268.37</v>
      </c>
      <c r="T2511" s="783">
        <v>1237.45</v>
      </c>
      <c r="U2511" s="785">
        <v>44711.535891203697</v>
      </c>
    </row>
    <row r="2512" spans="1:21">
      <c r="A2512" s="782">
        <v>44704</v>
      </c>
      <c r="B2512" s="783" t="s">
        <v>30</v>
      </c>
      <c r="C2512" s="783" t="s">
        <v>4239</v>
      </c>
      <c r="D2512" s="783" t="s">
        <v>4021</v>
      </c>
      <c r="E2512" s="783" t="s">
        <v>5611</v>
      </c>
      <c r="F2512" s="783" t="s">
        <v>4011</v>
      </c>
      <c r="G2512" s="783" t="str">
        <f t="shared" si="134"/>
        <v>Renewal (30% in 2020)</v>
      </c>
      <c r="H2512" s="783" t="s">
        <v>5612</v>
      </c>
      <c r="I2512" s="783" t="s">
        <v>5613</v>
      </c>
      <c r="J2512" s="783">
        <v>30</v>
      </c>
      <c r="K2512" s="783" t="s">
        <v>866</v>
      </c>
      <c r="L2512" s="783" t="s">
        <v>4014</v>
      </c>
      <c r="M2512" s="784">
        <v>103125.74</v>
      </c>
      <c r="N2512" s="784">
        <v>44.62</v>
      </c>
      <c r="O2512" s="784">
        <v>9.6300000000000008</v>
      </c>
      <c r="P2512" s="783">
        <v>240</v>
      </c>
      <c r="Q2512" s="783">
        <v>4599.41</v>
      </c>
      <c r="R2512" s="783">
        <v>2628.85</v>
      </c>
      <c r="S2512" s="783">
        <v>1289.93</v>
      </c>
      <c r="T2512" s="783">
        <v>680.63</v>
      </c>
      <c r="U2512" s="785">
        <v>44704.427673611099</v>
      </c>
    </row>
    <row r="2513" spans="1:21">
      <c r="A2513" s="782">
        <v>44706</v>
      </c>
      <c r="B2513" s="783" t="s">
        <v>41</v>
      </c>
      <c r="C2513" s="783" t="s">
        <v>4092</v>
      </c>
      <c r="D2513" s="783" t="s">
        <v>4009</v>
      </c>
      <c r="E2513" s="783" t="s">
        <v>5620</v>
      </c>
      <c r="F2513" s="783" t="s">
        <v>4011</v>
      </c>
      <c r="G2513" s="783" t="str">
        <f t="shared" si="134"/>
        <v>New contract</v>
      </c>
      <c r="H2513" s="783" t="s">
        <v>5621</v>
      </c>
      <c r="I2513" s="783" t="s">
        <v>5622</v>
      </c>
      <c r="J2513" s="783">
        <v>25</v>
      </c>
      <c r="K2513" s="783" t="s">
        <v>866</v>
      </c>
      <c r="L2513" s="783" t="s">
        <v>4014</v>
      </c>
      <c r="M2513" s="784">
        <v>30981.599999999999</v>
      </c>
      <c r="N2513" s="784">
        <v>19.86</v>
      </c>
      <c r="O2513" s="784">
        <v>7.8</v>
      </c>
      <c r="P2513" s="783">
        <v>200</v>
      </c>
      <c r="Q2513" s="783">
        <v>2147.02</v>
      </c>
      <c r="R2513" s="783">
        <v>1324.32</v>
      </c>
      <c r="S2513" s="783">
        <v>636.80999999999995</v>
      </c>
      <c r="T2513" s="783">
        <v>185.89</v>
      </c>
      <c r="U2513" s="785">
        <v>44706.626828703702</v>
      </c>
    </row>
    <row r="2514" spans="1:21">
      <c r="A2514" s="782">
        <v>44711</v>
      </c>
      <c r="B2514" s="783" t="s">
        <v>41</v>
      </c>
      <c r="C2514" s="783" t="s">
        <v>4139</v>
      </c>
      <c r="D2514" s="783" t="s">
        <v>4009</v>
      </c>
      <c r="E2514" s="783" t="s">
        <v>549</v>
      </c>
      <c r="F2514" s="783" t="s">
        <v>4011</v>
      </c>
      <c r="G2514" s="783" t="str">
        <f t="shared" si="134"/>
        <v>Renewal (25% in 2020)</v>
      </c>
      <c r="H2514" s="783" t="s">
        <v>5626</v>
      </c>
      <c r="I2514" s="783" t="s">
        <v>5627</v>
      </c>
      <c r="J2514" s="783">
        <v>25</v>
      </c>
      <c r="K2514" s="783" t="s">
        <v>866</v>
      </c>
      <c r="L2514" s="783" t="s">
        <v>4014</v>
      </c>
      <c r="M2514" s="784">
        <v>19852.080000000002</v>
      </c>
      <c r="N2514" s="784">
        <v>13.71</v>
      </c>
      <c r="O2514" s="784">
        <v>7.24</v>
      </c>
      <c r="P2514" s="783">
        <v>200</v>
      </c>
      <c r="Q2514" s="783">
        <v>1171.27</v>
      </c>
      <c r="R2514" s="783">
        <v>743.11</v>
      </c>
      <c r="S2514" s="783">
        <v>330.88</v>
      </c>
      <c r="T2514" s="783">
        <v>97.28</v>
      </c>
      <c r="U2514" s="785">
        <v>44712.724351851903</v>
      </c>
    </row>
    <row r="2515" spans="1:21">
      <c r="A2515" s="782">
        <v>44713</v>
      </c>
      <c r="B2515" s="783" t="s">
        <v>113</v>
      </c>
      <c r="C2515" s="783" t="s">
        <v>4606</v>
      </c>
      <c r="D2515" s="783" t="s">
        <v>4009</v>
      </c>
      <c r="E2515" s="783" t="s">
        <v>6929</v>
      </c>
      <c r="F2515" s="783" t="s">
        <v>4011</v>
      </c>
      <c r="G2515" s="783" t="str">
        <f t="shared" si="134"/>
        <v>Renewal (20% in 2020)</v>
      </c>
      <c r="H2515" s="783" t="s">
        <v>6930</v>
      </c>
      <c r="I2515" s="783" t="s">
        <v>6931</v>
      </c>
      <c r="J2515" s="783">
        <v>30</v>
      </c>
      <c r="K2515" s="783" t="s">
        <v>866</v>
      </c>
      <c r="L2515" s="783" t="s">
        <v>4014</v>
      </c>
      <c r="M2515" s="784">
        <v>6865.24</v>
      </c>
      <c r="N2515" s="784">
        <v>3.78</v>
      </c>
      <c r="O2515" s="784">
        <v>10.09</v>
      </c>
      <c r="P2515" s="783">
        <v>180</v>
      </c>
      <c r="Q2515" s="783">
        <v>367.98</v>
      </c>
      <c r="R2515" s="783">
        <v>243.17</v>
      </c>
      <c r="S2515" s="783">
        <v>28.7</v>
      </c>
      <c r="T2515" s="783">
        <v>96.11</v>
      </c>
      <c r="U2515" s="785">
        <v>44715.441192129598</v>
      </c>
    </row>
    <row r="2516" spans="1:21">
      <c r="A2516" s="782">
        <v>44712</v>
      </c>
      <c r="B2516" s="783" t="s">
        <v>51</v>
      </c>
      <c r="C2516" s="783" t="s">
        <v>4042</v>
      </c>
      <c r="D2516" s="783" t="s">
        <v>4016</v>
      </c>
      <c r="E2516" s="783" t="s">
        <v>5636</v>
      </c>
      <c r="F2516" s="783" t="s">
        <v>4011</v>
      </c>
      <c r="G2516" s="783" t="str">
        <f t="shared" si="134"/>
        <v>Renewal (30% in 2020)</v>
      </c>
      <c r="H2516" s="783" t="s">
        <v>5637</v>
      </c>
      <c r="I2516" s="783" t="s">
        <v>5638</v>
      </c>
      <c r="J2516" s="783">
        <v>30</v>
      </c>
      <c r="K2516" s="783" t="s">
        <v>866</v>
      </c>
      <c r="L2516" s="783" t="s">
        <v>4014</v>
      </c>
      <c r="M2516" s="784">
        <v>14045.28</v>
      </c>
      <c r="N2516" s="784">
        <v>10.09</v>
      </c>
      <c r="O2516" s="784">
        <v>6.96</v>
      </c>
      <c r="P2516" s="783">
        <v>200</v>
      </c>
      <c r="Q2516" s="783">
        <v>924.18</v>
      </c>
      <c r="R2516" s="783">
        <v>642.21</v>
      </c>
      <c r="S2516" s="783">
        <v>155.57</v>
      </c>
      <c r="T2516" s="783">
        <v>126.41</v>
      </c>
      <c r="U2516" s="785">
        <v>44714.579861111102</v>
      </c>
    </row>
    <row r="2517" spans="1:21">
      <c r="A2517" s="782">
        <v>44712</v>
      </c>
      <c r="B2517" s="783" t="s">
        <v>30</v>
      </c>
      <c r="C2517" s="783" t="s">
        <v>4239</v>
      </c>
      <c r="D2517" s="783" t="s">
        <v>4021</v>
      </c>
      <c r="E2517" s="783" t="s">
        <v>5639</v>
      </c>
      <c r="F2517" s="783" t="s">
        <v>4011</v>
      </c>
      <c r="G2517" s="783" t="str">
        <f t="shared" si="134"/>
        <v>Renewal (15% in 2020)</v>
      </c>
      <c r="H2517" s="783" t="s">
        <v>5640</v>
      </c>
      <c r="I2517" s="783" t="s">
        <v>5641</v>
      </c>
      <c r="J2517" s="783">
        <v>15</v>
      </c>
      <c r="K2517" s="783" t="s">
        <v>866</v>
      </c>
      <c r="L2517" s="783" t="s">
        <v>4014</v>
      </c>
      <c r="M2517" s="784">
        <v>34256.29</v>
      </c>
      <c r="N2517" s="784">
        <v>25.33</v>
      </c>
      <c r="O2517" s="784">
        <v>8.4</v>
      </c>
      <c r="P2517" s="783">
        <v>161</v>
      </c>
      <c r="Q2517" s="783">
        <v>3117.32</v>
      </c>
      <c r="R2517" s="783">
        <v>1301.74</v>
      </c>
      <c r="S2517" s="783">
        <v>287.75</v>
      </c>
      <c r="T2517" s="783">
        <v>1527.83</v>
      </c>
      <c r="U2517" s="785">
        <v>44714.577662037002</v>
      </c>
    </row>
    <row r="2518" spans="1:21">
      <c r="A2518" s="782">
        <v>44712</v>
      </c>
      <c r="B2518" s="783" t="s">
        <v>41</v>
      </c>
      <c r="C2518" s="783" t="s">
        <v>4092</v>
      </c>
      <c r="D2518" s="783" t="s">
        <v>4009</v>
      </c>
      <c r="E2518" s="783" t="s">
        <v>5645</v>
      </c>
      <c r="F2518" s="783" t="s">
        <v>4011</v>
      </c>
      <c r="G2518" s="783" t="str">
        <f t="shared" si="134"/>
        <v>Renewal (15% in 2020)</v>
      </c>
      <c r="H2518" s="783" t="s">
        <v>5646</v>
      </c>
      <c r="I2518" s="783" t="s">
        <v>5647</v>
      </c>
      <c r="J2518" s="783">
        <v>15</v>
      </c>
      <c r="K2518" s="783" t="s">
        <v>866</v>
      </c>
      <c r="L2518" s="783" t="s">
        <v>4014</v>
      </c>
      <c r="M2518" s="784">
        <v>48721.25</v>
      </c>
      <c r="N2518" s="784">
        <v>36.369999999999997</v>
      </c>
      <c r="O2518" s="784">
        <v>7.88</v>
      </c>
      <c r="P2518" s="783">
        <v>170</v>
      </c>
      <c r="Q2518" s="783">
        <v>5909.89</v>
      </c>
      <c r="R2518" s="783">
        <v>2450.13</v>
      </c>
      <c r="S2518" s="783">
        <v>633.91999999999996</v>
      </c>
      <c r="T2518" s="783">
        <v>2825.83</v>
      </c>
      <c r="U2518" s="785">
        <v>44714.586956018502</v>
      </c>
    </row>
    <row r="2519" spans="1:21">
      <c r="A2519" s="782">
        <v>44713</v>
      </c>
      <c r="B2519" s="783" t="s">
        <v>41</v>
      </c>
      <c r="C2519" s="783" t="s">
        <v>4092</v>
      </c>
      <c r="D2519" s="783" t="s">
        <v>4009</v>
      </c>
      <c r="E2519" s="783" t="s">
        <v>5653</v>
      </c>
      <c r="F2519" s="783" t="s">
        <v>4011</v>
      </c>
      <c r="G2519" s="783" t="str">
        <f t="shared" si="134"/>
        <v>New contract</v>
      </c>
      <c r="H2519" s="783" t="s">
        <v>5654</v>
      </c>
      <c r="I2519" s="783" t="s">
        <v>5655</v>
      </c>
      <c r="J2519" s="783">
        <v>20</v>
      </c>
      <c r="K2519" s="783" t="s">
        <v>866</v>
      </c>
      <c r="L2519" s="783" t="s">
        <v>4014</v>
      </c>
      <c r="M2519" s="784">
        <v>37935.18</v>
      </c>
      <c r="N2519" s="784">
        <v>28.87</v>
      </c>
      <c r="O2519" s="784">
        <v>7.3</v>
      </c>
      <c r="P2519" s="783">
        <v>180</v>
      </c>
      <c r="Q2519" s="783">
        <v>3421.75</v>
      </c>
      <c r="R2519" s="783">
        <v>1801.73</v>
      </c>
      <c r="S2519" s="783">
        <v>599.57000000000005</v>
      </c>
      <c r="T2519" s="783">
        <v>1020.46</v>
      </c>
      <c r="U2519" s="785">
        <v>44715.425567129598</v>
      </c>
    </row>
    <row r="2520" spans="1:21">
      <c r="A2520" s="782">
        <v>44712</v>
      </c>
      <c r="B2520" s="783" t="s">
        <v>228</v>
      </c>
      <c r="C2520" s="783" t="s">
        <v>4020</v>
      </c>
      <c r="D2520" s="783" t="s">
        <v>4021</v>
      </c>
      <c r="E2520" s="783" t="s">
        <v>5670</v>
      </c>
      <c r="F2520" s="783" t="s">
        <v>4011</v>
      </c>
      <c r="G2520" s="783" t="str">
        <f t="shared" si="134"/>
        <v>Renewal (15% in 2020)</v>
      </c>
      <c r="H2520" s="783" t="s">
        <v>5671</v>
      </c>
      <c r="I2520" s="783" t="s">
        <v>5672</v>
      </c>
      <c r="J2520" s="783">
        <v>20</v>
      </c>
      <c r="K2520" s="783" t="s">
        <v>866</v>
      </c>
      <c r="L2520" s="783" t="s">
        <v>4014</v>
      </c>
      <c r="M2520" s="784">
        <v>21402.240000000002</v>
      </c>
      <c r="N2520" s="784">
        <v>18.84</v>
      </c>
      <c r="O2520" s="784">
        <v>5.68</v>
      </c>
      <c r="P2520" s="783">
        <v>200</v>
      </c>
      <c r="Q2520" s="783">
        <v>1975.43</v>
      </c>
      <c r="R2520" s="783">
        <v>928.63</v>
      </c>
      <c r="S2520" s="783">
        <v>415.43</v>
      </c>
      <c r="T2520" s="783">
        <v>631.37</v>
      </c>
      <c r="U2520" s="785">
        <v>44714.466921296298</v>
      </c>
    </row>
    <row r="2521" spans="1:21">
      <c r="A2521" s="782">
        <v>44712</v>
      </c>
      <c r="B2521" s="783" t="s">
        <v>41</v>
      </c>
      <c r="C2521" s="783" t="s">
        <v>4139</v>
      </c>
      <c r="D2521" s="783" t="s">
        <v>4009</v>
      </c>
      <c r="E2521" s="783" t="s">
        <v>4650</v>
      </c>
      <c r="F2521" s="783" t="s">
        <v>4011</v>
      </c>
      <c r="G2521" s="783" t="str">
        <f t="shared" si="134"/>
        <v>Renewal (20% in 2020)</v>
      </c>
      <c r="H2521" s="783" t="s">
        <v>4651</v>
      </c>
      <c r="I2521" s="783" t="s">
        <v>4652</v>
      </c>
      <c r="J2521" s="783">
        <v>20</v>
      </c>
      <c r="K2521" s="783" t="s">
        <v>866</v>
      </c>
      <c r="L2521" s="783" t="s">
        <v>4014</v>
      </c>
      <c r="M2521" s="784">
        <v>9168.9500000000007</v>
      </c>
      <c r="N2521" s="784">
        <v>11.39</v>
      </c>
      <c r="O2521" s="784">
        <v>5</v>
      </c>
      <c r="P2521" s="783">
        <v>161</v>
      </c>
      <c r="Q2521" s="783">
        <v>703.26</v>
      </c>
      <c r="R2521" s="783">
        <v>426.36</v>
      </c>
      <c r="S2521" s="783">
        <v>69.680000000000007</v>
      </c>
      <c r="T2521" s="783">
        <v>207.22</v>
      </c>
      <c r="U2521" s="785">
        <v>44714.5765509259</v>
      </c>
    </row>
    <row r="2522" spans="1:21">
      <c r="A2522" s="782">
        <v>44712</v>
      </c>
      <c r="B2522" s="783" t="s">
        <v>41</v>
      </c>
      <c r="C2522" s="783" t="s">
        <v>4082</v>
      </c>
      <c r="D2522" s="783" t="s">
        <v>4009</v>
      </c>
      <c r="E2522" s="783" t="s">
        <v>4650</v>
      </c>
      <c r="F2522" s="783" t="s">
        <v>4011</v>
      </c>
      <c r="G2522" s="783" t="str">
        <f t="shared" si="134"/>
        <v>Renewal (20% in 2020)</v>
      </c>
      <c r="H2522" s="783" t="s">
        <v>4651</v>
      </c>
      <c r="I2522" s="783" t="s">
        <v>4652</v>
      </c>
      <c r="J2522" s="783">
        <v>20</v>
      </c>
      <c r="K2522" s="783" t="s">
        <v>866</v>
      </c>
      <c r="L2522" s="783" t="s">
        <v>4014</v>
      </c>
      <c r="M2522" s="784">
        <v>9064.2999999999993</v>
      </c>
      <c r="N2522" s="784">
        <v>11.26</v>
      </c>
      <c r="O2522" s="784">
        <v>5</v>
      </c>
      <c r="P2522" s="783">
        <v>161</v>
      </c>
      <c r="Q2522" s="783">
        <v>709.73</v>
      </c>
      <c r="R2522" s="783">
        <v>418.77</v>
      </c>
      <c r="S2522" s="783">
        <v>78.86</v>
      </c>
      <c r="T2522" s="783">
        <v>212.1</v>
      </c>
      <c r="U2522" s="785">
        <v>44714.5765509259</v>
      </c>
    </row>
    <row r="2523" spans="1:21">
      <c r="A2523" s="782">
        <v>44714</v>
      </c>
      <c r="B2523" s="783" t="s">
        <v>113</v>
      </c>
      <c r="C2523" s="783" t="s">
        <v>4606</v>
      </c>
      <c r="D2523" s="783" t="s">
        <v>4009</v>
      </c>
      <c r="E2523" s="783" t="s">
        <v>6584</v>
      </c>
      <c r="F2523" s="783" t="s">
        <v>4011</v>
      </c>
      <c r="G2523" s="783" t="str">
        <f t="shared" si="134"/>
        <v>Renewal (15% in 2020)</v>
      </c>
      <c r="H2523" s="783" t="s">
        <v>6585</v>
      </c>
      <c r="I2523" s="783" t="s">
        <v>6586</v>
      </c>
      <c r="J2523" s="783">
        <v>15</v>
      </c>
      <c r="K2523" s="783" t="s">
        <v>866</v>
      </c>
      <c r="L2523" s="783" t="s">
        <v>4014</v>
      </c>
      <c r="M2523" s="784">
        <v>12113.64</v>
      </c>
      <c r="N2523" s="784">
        <v>7.92</v>
      </c>
      <c r="O2523" s="784">
        <v>9.5</v>
      </c>
      <c r="P2523" s="783">
        <v>161</v>
      </c>
      <c r="Q2523" s="783">
        <v>1156.8499999999999</v>
      </c>
      <c r="R2523" s="783">
        <v>479.7</v>
      </c>
      <c r="S2523" s="783">
        <v>78.739999999999995</v>
      </c>
      <c r="T2523" s="783">
        <v>598.41</v>
      </c>
      <c r="U2523" s="785">
        <v>44715.4515972222</v>
      </c>
    </row>
    <row r="2524" spans="1:21">
      <c r="A2524" s="782">
        <v>44712</v>
      </c>
      <c r="B2524" s="783" t="s">
        <v>41</v>
      </c>
      <c r="C2524" s="783" t="s">
        <v>4092</v>
      </c>
      <c r="D2524" s="783" t="s">
        <v>4009</v>
      </c>
      <c r="E2524" s="783" t="s">
        <v>605</v>
      </c>
      <c r="F2524" s="783" t="s">
        <v>4011</v>
      </c>
      <c r="G2524" s="783" t="str">
        <f t="shared" si="134"/>
        <v>Renewal (15% in 2020)</v>
      </c>
      <c r="H2524" s="783" t="s">
        <v>4161</v>
      </c>
      <c r="I2524" s="783" t="s">
        <v>4162</v>
      </c>
      <c r="J2524" s="783">
        <v>15</v>
      </c>
      <c r="K2524" s="783" t="s">
        <v>866</v>
      </c>
      <c r="L2524" s="783" t="s">
        <v>4014</v>
      </c>
      <c r="M2524" s="784">
        <v>10941.76</v>
      </c>
      <c r="N2524" s="784">
        <v>11.03</v>
      </c>
      <c r="O2524" s="784">
        <v>6.2</v>
      </c>
      <c r="P2524" s="783">
        <v>160</v>
      </c>
      <c r="Q2524" s="783">
        <v>1327.24</v>
      </c>
      <c r="R2524" s="783">
        <v>581.01</v>
      </c>
      <c r="S2524" s="783">
        <v>111.61</v>
      </c>
      <c r="T2524" s="783">
        <v>634.62</v>
      </c>
      <c r="U2524" s="785">
        <v>44714.667314814797</v>
      </c>
    </row>
    <row r="2525" spans="1:21">
      <c r="A2525" s="782">
        <v>44710</v>
      </c>
      <c r="B2525" s="783" t="s">
        <v>41</v>
      </c>
      <c r="C2525" s="783" t="s">
        <v>4008</v>
      </c>
      <c r="D2525" s="783" t="s">
        <v>4009</v>
      </c>
      <c r="E2525" s="783" t="s">
        <v>5678</v>
      </c>
      <c r="F2525" s="783" t="s">
        <v>4011</v>
      </c>
      <c r="G2525" s="783" t="str">
        <f t="shared" si="134"/>
        <v>Renewal (20% in 2020)</v>
      </c>
      <c r="H2525" s="783" t="s">
        <v>5679</v>
      </c>
      <c r="I2525" s="783" t="s">
        <v>5680</v>
      </c>
      <c r="J2525" s="783">
        <v>20</v>
      </c>
      <c r="K2525" s="783" t="s">
        <v>866</v>
      </c>
      <c r="L2525" s="783" t="s">
        <v>4014</v>
      </c>
      <c r="M2525" s="784">
        <v>17828.11</v>
      </c>
      <c r="N2525" s="784">
        <v>15.91</v>
      </c>
      <c r="O2525" s="784">
        <v>6.96</v>
      </c>
      <c r="P2525" s="783">
        <v>161</v>
      </c>
      <c r="Q2525" s="783">
        <v>1529.65</v>
      </c>
      <c r="R2525" s="783">
        <v>868.23</v>
      </c>
      <c r="S2525" s="783">
        <v>140.84</v>
      </c>
      <c r="T2525" s="783">
        <v>520.58000000000004</v>
      </c>
      <c r="U2525" s="785">
        <v>44712.637372685203</v>
      </c>
    </row>
    <row r="2526" spans="1:21">
      <c r="A2526" s="782">
        <v>44710</v>
      </c>
      <c r="B2526" s="783" t="s">
        <v>113</v>
      </c>
      <c r="C2526" s="783" t="s">
        <v>4606</v>
      </c>
      <c r="D2526" s="783" t="s">
        <v>4009</v>
      </c>
      <c r="E2526" s="783" t="s">
        <v>6932</v>
      </c>
      <c r="F2526" s="783" t="s">
        <v>4011</v>
      </c>
      <c r="G2526" s="783" t="str">
        <f t="shared" si="134"/>
        <v>Renewal (20% in 2020)</v>
      </c>
      <c r="H2526" s="783" t="s">
        <v>6933</v>
      </c>
      <c r="I2526" s="783" t="s">
        <v>6934</v>
      </c>
      <c r="J2526" s="783">
        <v>25</v>
      </c>
      <c r="K2526" s="783" t="s">
        <v>866</v>
      </c>
      <c r="L2526" s="783" t="s">
        <v>4014</v>
      </c>
      <c r="M2526" s="784">
        <v>79140.91</v>
      </c>
      <c r="N2526" s="784">
        <v>28.93</v>
      </c>
      <c r="O2526" s="784">
        <v>9.77</v>
      </c>
      <c r="P2526" s="783">
        <v>280</v>
      </c>
      <c r="Q2526" s="783">
        <v>4732.63</v>
      </c>
      <c r="R2526" s="783">
        <v>1802.04</v>
      </c>
      <c r="S2526" s="783">
        <v>1846.36</v>
      </c>
      <c r="T2526" s="783">
        <v>1084.23</v>
      </c>
      <c r="U2526" s="785">
        <v>44712.668854166703</v>
      </c>
    </row>
    <row r="2527" spans="1:21">
      <c r="A2527" s="782">
        <v>44711</v>
      </c>
      <c r="B2527" s="783" t="s">
        <v>113</v>
      </c>
      <c r="C2527" s="783" t="s">
        <v>4606</v>
      </c>
      <c r="D2527" s="783" t="s">
        <v>4009</v>
      </c>
      <c r="E2527" s="783" t="s">
        <v>6935</v>
      </c>
      <c r="F2527" s="783" t="s">
        <v>4011</v>
      </c>
      <c r="G2527" s="783" t="str">
        <f t="shared" si="134"/>
        <v>Renewal (30% in 2020)</v>
      </c>
      <c r="H2527" s="783" t="s">
        <v>6936</v>
      </c>
      <c r="I2527" s="783" t="s">
        <v>6937</v>
      </c>
      <c r="J2527" s="783">
        <v>25</v>
      </c>
      <c r="K2527" s="783" t="s">
        <v>866</v>
      </c>
      <c r="L2527" s="783" t="s">
        <v>4014</v>
      </c>
      <c r="M2527" s="784">
        <v>22070.76</v>
      </c>
      <c r="N2527" s="784">
        <v>10.54</v>
      </c>
      <c r="O2527" s="784">
        <v>10.47</v>
      </c>
      <c r="P2527" s="783">
        <v>200</v>
      </c>
      <c r="Q2527" s="783">
        <v>1319.83</v>
      </c>
      <c r="R2527" s="783">
        <v>703.57</v>
      </c>
      <c r="S2527" s="783">
        <v>313.89</v>
      </c>
      <c r="T2527" s="783">
        <v>302.37</v>
      </c>
      <c r="U2527" s="785">
        <v>44713.977349537003</v>
      </c>
    </row>
    <row r="2528" spans="1:21">
      <c r="A2528" s="782">
        <v>44711</v>
      </c>
      <c r="B2528" s="783" t="s">
        <v>113</v>
      </c>
      <c r="C2528" s="783" t="s">
        <v>6308</v>
      </c>
      <c r="D2528" s="783" t="s">
        <v>4038</v>
      </c>
      <c r="E2528" s="783" t="s">
        <v>6935</v>
      </c>
      <c r="F2528" s="783" t="s">
        <v>4011</v>
      </c>
      <c r="G2528" s="783" t="str">
        <f t="shared" si="134"/>
        <v>Renewal (30% in 2020)</v>
      </c>
      <c r="H2528" s="783" t="s">
        <v>6936</v>
      </c>
      <c r="I2528" s="783" t="s">
        <v>6937</v>
      </c>
      <c r="J2528" s="783">
        <v>25</v>
      </c>
      <c r="K2528" s="783" t="s">
        <v>866</v>
      </c>
      <c r="L2528" s="783" t="s">
        <v>4014</v>
      </c>
      <c r="M2528" s="784">
        <v>1834</v>
      </c>
      <c r="N2528" s="784">
        <v>1</v>
      </c>
      <c r="O2528" s="784">
        <v>9.17</v>
      </c>
      <c r="P2528" s="783">
        <v>200</v>
      </c>
      <c r="Q2528" s="783">
        <v>134.62</v>
      </c>
      <c r="R2528" s="783">
        <v>70.569999999999993</v>
      </c>
      <c r="S2528" s="783">
        <v>31.58</v>
      </c>
      <c r="T2528" s="783">
        <v>32.46</v>
      </c>
      <c r="U2528" s="785">
        <v>44713.977349537003</v>
      </c>
    </row>
    <row r="2529" spans="1:21">
      <c r="A2529" s="782">
        <v>44711</v>
      </c>
      <c r="B2529" s="783" t="s">
        <v>113</v>
      </c>
      <c r="C2529" s="783" t="s">
        <v>4606</v>
      </c>
      <c r="D2529" s="783" t="s">
        <v>4009</v>
      </c>
      <c r="E2529" s="783" t="s">
        <v>6938</v>
      </c>
      <c r="F2529" s="783" t="s">
        <v>4011</v>
      </c>
      <c r="G2529" s="783" t="str">
        <f t="shared" si="134"/>
        <v>Renewal (30% in 2020)</v>
      </c>
      <c r="H2529" s="783" t="s">
        <v>6939</v>
      </c>
      <c r="I2529" s="783" t="s">
        <v>6940</v>
      </c>
      <c r="J2529" s="783">
        <v>30</v>
      </c>
      <c r="K2529" s="783" t="s">
        <v>866</v>
      </c>
      <c r="L2529" s="783" t="s">
        <v>4014</v>
      </c>
      <c r="M2529" s="784">
        <v>23383</v>
      </c>
      <c r="N2529" s="784">
        <v>12.74</v>
      </c>
      <c r="O2529" s="784">
        <v>11.4</v>
      </c>
      <c r="P2529" s="783">
        <v>161</v>
      </c>
      <c r="Q2529" s="783">
        <v>1253.33</v>
      </c>
      <c r="R2529" s="783">
        <v>925.97</v>
      </c>
      <c r="S2529" s="783">
        <v>0</v>
      </c>
      <c r="T2529" s="783">
        <v>327.36</v>
      </c>
      <c r="U2529" s="785">
        <v>44713.5304398148</v>
      </c>
    </row>
    <row r="2530" spans="1:21">
      <c r="A2530" s="782">
        <v>44711</v>
      </c>
      <c r="B2530" s="783" t="s">
        <v>51</v>
      </c>
      <c r="C2530" s="783" t="s">
        <v>4015</v>
      </c>
      <c r="D2530" s="783" t="s">
        <v>4016</v>
      </c>
      <c r="E2530" s="783" t="s">
        <v>5689</v>
      </c>
      <c r="F2530" s="783" t="s">
        <v>4011</v>
      </c>
      <c r="G2530" s="783" t="str">
        <f t="shared" si="134"/>
        <v>Renewal (15% in 2020)</v>
      </c>
      <c r="H2530" s="783" t="s">
        <v>5690</v>
      </c>
      <c r="I2530" s="783" t="s">
        <v>5691</v>
      </c>
      <c r="J2530" s="783">
        <v>15</v>
      </c>
      <c r="K2530" s="783" t="s">
        <v>866</v>
      </c>
      <c r="L2530" s="783" t="s">
        <v>4014</v>
      </c>
      <c r="M2530" s="784">
        <v>9780.7800000000007</v>
      </c>
      <c r="N2530" s="784">
        <v>7.97</v>
      </c>
      <c r="O2530" s="784">
        <v>7.67</v>
      </c>
      <c r="P2530" s="783">
        <v>160</v>
      </c>
      <c r="Q2530" s="783">
        <v>1288.1300000000001</v>
      </c>
      <c r="R2530" s="783">
        <v>562.4</v>
      </c>
      <c r="S2530" s="783">
        <v>91.94</v>
      </c>
      <c r="T2530" s="783">
        <v>633.79</v>
      </c>
      <c r="U2530" s="785">
        <v>44713.541979166701</v>
      </c>
    </row>
    <row r="2531" spans="1:21">
      <c r="A2531" s="782">
        <v>44712</v>
      </c>
      <c r="B2531" s="783" t="s">
        <v>228</v>
      </c>
      <c r="C2531" s="783" t="s">
        <v>4020</v>
      </c>
      <c r="D2531" s="783" t="s">
        <v>4021</v>
      </c>
      <c r="E2531" s="783" t="s">
        <v>4163</v>
      </c>
      <c r="F2531" s="783" t="s">
        <v>4011</v>
      </c>
      <c r="G2531" s="783" t="str">
        <f t="shared" si="134"/>
        <v>Renewal (15% in 2020)</v>
      </c>
      <c r="H2531" s="783" t="s">
        <v>4164</v>
      </c>
      <c r="I2531" s="783" t="s">
        <v>4165</v>
      </c>
      <c r="J2531" s="783">
        <v>25</v>
      </c>
      <c r="K2531" s="783" t="s">
        <v>866</v>
      </c>
      <c r="L2531" s="783" t="s">
        <v>4014</v>
      </c>
      <c r="M2531" s="784">
        <v>8508.64</v>
      </c>
      <c r="N2531" s="784">
        <v>7.49</v>
      </c>
      <c r="O2531" s="784">
        <v>5.68</v>
      </c>
      <c r="P2531" s="783">
        <v>200</v>
      </c>
      <c r="Q2531" s="783">
        <v>610.91999999999996</v>
      </c>
      <c r="R2531" s="783">
        <v>369.19</v>
      </c>
      <c r="S2531" s="783">
        <v>165.16</v>
      </c>
      <c r="T2531" s="783">
        <v>76.58</v>
      </c>
      <c r="U2531" s="785">
        <v>44714.582372685203</v>
      </c>
    </row>
    <row r="2532" spans="1:21">
      <c r="A2532" s="782">
        <v>44712</v>
      </c>
      <c r="B2532" s="783" t="s">
        <v>34</v>
      </c>
      <c r="C2532" s="783" t="s">
        <v>4139</v>
      </c>
      <c r="D2532" s="783" t="s">
        <v>4009</v>
      </c>
      <c r="E2532" s="783" t="s">
        <v>5698</v>
      </c>
      <c r="F2532" s="783" t="s">
        <v>4011</v>
      </c>
      <c r="G2532" s="783" t="str">
        <f t="shared" si="134"/>
        <v>Renewal (20% in 2020)</v>
      </c>
      <c r="H2532" s="783" t="s">
        <v>5699</v>
      </c>
      <c r="I2532" s="783" t="s">
        <v>5700</v>
      </c>
      <c r="J2532" s="783">
        <v>20</v>
      </c>
      <c r="K2532" s="783" t="s">
        <v>866</v>
      </c>
      <c r="L2532" s="783" t="s">
        <v>4014</v>
      </c>
      <c r="M2532" s="784">
        <v>13576.5</v>
      </c>
      <c r="N2532" s="784">
        <v>12.93</v>
      </c>
      <c r="O2532" s="784">
        <v>7</v>
      </c>
      <c r="P2532" s="783">
        <v>150</v>
      </c>
      <c r="Q2532" s="783">
        <v>1041.32</v>
      </c>
      <c r="R2532" s="783">
        <v>631.30999999999995</v>
      </c>
      <c r="S2532" s="783">
        <v>103.18</v>
      </c>
      <c r="T2532" s="783">
        <v>306.83</v>
      </c>
      <c r="U2532" s="785">
        <v>44714.0089814815</v>
      </c>
    </row>
    <row r="2533" spans="1:21">
      <c r="A2533" s="782">
        <v>44714</v>
      </c>
      <c r="B2533" s="783" t="s">
        <v>113</v>
      </c>
      <c r="C2533" s="783" t="s">
        <v>4606</v>
      </c>
      <c r="D2533" s="783" t="s">
        <v>4009</v>
      </c>
      <c r="E2533" s="783" t="s">
        <v>6941</v>
      </c>
      <c r="F2533" s="783" t="s">
        <v>4011</v>
      </c>
      <c r="G2533" s="783" t="str">
        <f t="shared" si="134"/>
        <v>Renewal (15% in 2020)</v>
      </c>
      <c r="H2533" s="783" t="s">
        <v>6942</v>
      </c>
      <c r="I2533" s="783" t="s">
        <v>6943</v>
      </c>
      <c r="J2533" s="783">
        <v>15</v>
      </c>
      <c r="K2533" s="783" t="s">
        <v>866</v>
      </c>
      <c r="L2533" s="783" t="s">
        <v>4014</v>
      </c>
      <c r="M2533" s="784">
        <v>12760.38</v>
      </c>
      <c r="N2533" s="784">
        <v>9.11</v>
      </c>
      <c r="O2533" s="784">
        <v>8.6999999999999993</v>
      </c>
      <c r="P2533" s="783">
        <v>161</v>
      </c>
      <c r="Q2533" s="783">
        <v>1218.6199999999999</v>
      </c>
      <c r="R2533" s="783">
        <v>505.31</v>
      </c>
      <c r="S2533" s="783">
        <v>82.94</v>
      </c>
      <c r="T2533" s="783">
        <v>630.36</v>
      </c>
      <c r="U2533" s="785">
        <v>44715.454849537004</v>
      </c>
    </row>
    <row r="2534" spans="1:21">
      <c r="A2534" s="782">
        <v>44711</v>
      </c>
      <c r="B2534" s="783" t="s">
        <v>41</v>
      </c>
      <c r="C2534" s="783" t="s">
        <v>4008</v>
      </c>
      <c r="D2534" s="783" t="s">
        <v>4009</v>
      </c>
      <c r="E2534" s="783" t="s">
        <v>5704</v>
      </c>
      <c r="F2534" s="783" t="s">
        <v>4011</v>
      </c>
      <c r="G2534" s="783" t="str">
        <f t="shared" si="134"/>
        <v>New Contract</v>
      </c>
      <c r="H2534" s="783" t="s">
        <v>5705</v>
      </c>
      <c r="I2534" s="783" t="s">
        <v>5706</v>
      </c>
      <c r="J2534" s="783">
        <v>25</v>
      </c>
      <c r="K2534" s="783" t="s">
        <v>866</v>
      </c>
      <c r="L2534" s="783" t="s">
        <v>4014</v>
      </c>
      <c r="M2534" s="784">
        <v>2691.28</v>
      </c>
      <c r="N2534" s="784">
        <v>2.8</v>
      </c>
      <c r="O2534" s="784">
        <v>5.97</v>
      </c>
      <c r="P2534" s="783">
        <v>161</v>
      </c>
      <c r="Q2534" s="783">
        <v>180.58</v>
      </c>
      <c r="R2534" s="783">
        <v>131.07</v>
      </c>
      <c r="S2534" s="783">
        <v>21.26</v>
      </c>
      <c r="T2534" s="783">
        <v>28.26</v>
      </c>
      <c r="U2534" s="785">
        <v>44713.5255092593</v>
      </c>
    </row>
    <row r="2535" spans="1:21">
      <c r="A2535" s="782">
        <v>44714</v>
      </c>
      <c r="B2535" s="783" t="s">
        <v>41</v>
      </c>
      <c r="C2535" s="783" t="s">
        <v>4071</v>
      </c>
      <c r="D2535" s="783" t="s">
        <v>4009</v>
      </c>
      <c r="E2535" s="783" t="s">
        <v>3805</v>
      </c>
      <c r="F2535" s="783" t="s">
        <v>4011</v>
      </c>
      <c r="G2535" s="783" t="str">
        <f t="shared" si="134"/>
        <v>Renewal (15% in 2020)</v>
      </c>
      <c r="H2535" s="783" t="s">
        <v>5707</v>
      </c>
      <c r="I2535" s="783" t="s">
        <v>5708</v>
      </c>
      <c r="J2535" s="783">
        <v>15</v>
      </c>
      <c r="K2535" s="783" t="s">
        <v>866</v>
      </c>
      <c r="L2535" s="783" t="s">
        <v>4014</v>
      </c>
      <c r="M2535" s="784">
        <v>5267.97</v>
      </c>
      <c r="N2535" s="784">
        <v>6.54</v>
      </c>
      <c r="O2535" s="784">
        <v>5.37</v>
      </c>
      <c r="P2535" s="783">
        <v>150</v>
      </c>
      <c r="Q2535" s="783">
        <v>723.82</v>
      </c>
      <c r="R2535" s="783">
        <v>326.61</v>
      </c>
      <c r="S2535" s="783">
        <v>52.15</v>
      </c>
      <c r="T2535" s="783">
        <v>345.05</v>
      </c>
      <c r="U2535" s="785">
        <v>44715.447175925903</v>
      </c>
    </row>
    <row r="2536" spans="1:21">
      <c r="A2536" s="782">
        <v>44714</v>
      </c>
      <c r="B2536" s="783" t="s">
        <v>113</v>
      </c>
      <c r="C2536" s="783" t="s">
        <v>4606</v>
      </c>
      <c r="D2536" s="783" t="s">
        <v>4009</v>
      </c>
      <c r="E2536" s="783" t="s">
        <v>6743</v>
      </c>
      <c r="F2536" s="783" t="s">
        <v>4011</v>
      </c>
      <c r="G2536" s="783" t="str">
        <f t="shared" si="134"/>
        <v>Renewal (25% in 2020)</v>
      </c>
      <c r="H2536" s="783" t="s">
        <v>6744</v>
      </c>
      <c r="I2536" s="783" t="s">
        <v>6745</v>
      </c>
      <c r="J2536" s="783">
        <v>25</v>
      </c>
      <c r="K2536" s="783" t="s">
        <v>866</v>
      </c>
      <c r="L2536" s="783" t="s">
        <v>4014</v>
      </c>
      <c r="M2536" s="784">
        <v>59010</v>
      </c>
      <c r="N2536" s="784">
        <v>35</v>
      </c>
      <c r="O2536" s="784">
        <v>8.43</v>
      </c>
      <c r="P2536" s="783">
        <v>200</v>
      </c>
      <c r="Q2536" s="783">
        <v>3528.8</v>
      </c>
      <c r="R2536" s="783">
        <v>1881.12</v>
      </c>
      <c r="S2536" s="783">
        <v>839.24</v>
      </c>
      <c r="T2536" s="783">
        <v>808.44</v>
      </c>
      <c r="U2536" s="785">
        <v>44715.456770833298</v>
      </c>
    </row>
    <row r="2537" spans="1:21">
      <c r="A2537" s="782">
        <v>44713</v>
      </c>
      <c r="B2537" s="783" t="s">
        <v>2866</v>
      </c>
      <c r="C2537" s="783" t="s">
        <v>4008</v>
      </c>
      <c r="D2537" s="783" t="s">
        <v>4009</v>
      </c>
      <c r="E2537" s="783" t="s">
        <v>5712</v>
      </c>
      <c r="F2537" s="783" t="s">
        <v>4011</v>
      </c>
      <c r="G2537" s="783" t="str">
        <f t="shared" si="134"/>
        <v>Renewal (30% in 2020)</v>
      </c>
      <c r="H2537" s="783" t="s">
        <v>5713</v>
      </c>
      <c r="I2537" s="783" t="s">
        <v>5714</v>
      </c>
      <c r="J2537" s="783">
        <v>25</v>
      </c>
      <c r="K2537" s="783" t="s">
        <v>866</v>
      </c>
      <c r="L2537" s="783" t="s">
        <v>4014</v>
      </c>
      <c r="M2537" s="784">
        <v>16135.72</v>
      </c>
      <c r="N2537" s="784">
        <v>10.92</v>
      </c>
      <c r="O2537" s="784">
        <v>7.07</v>
      </c>
      <c r="P2537" s="783">
        <v>209</v>
      </c>
      <c r="Q2537" s="783">
        <v>1082.71</v>
      </c>
      <c r="R2537" s="783">
        <v>605.34</v>
      </c>
      <c r="S2537" s="783">
        <v>307.95</v>
      </c>
      <c r="T2537" s="783">
        <v>169.43</v>
      </c>
      <c r="U2537" s="785">
        <v>44715.438368055598</v>
      </c>
    </row>
    <row r="2538" spans="1:21">
      <c r="A2538" s="782">
        <v>44697</v>
      </c>
      <c r="B2538" s="783" t="s">
        <v>41</v>
      </c>
      <c r="C2538" s="783" t="s">
        <v>4139</v>
      </c>
      <c r="D2538" s="783" t="s">
        <v>4009</v>
      </c>
      <c r="E2538" s="783" t="s">
        <v>5721</v>
      </c>
      <c r="F2538" s="783" t="s">
        <v>4011</v>
      </c>
      <c r="G2538" s="783" t="str">
        <f t="shared" si="134"/>
        <v>Renewal (30% in 2020)</v>
      </c>
      <c r="H2538" s="783" t="s">
        <v>5722</v>
      </c>
      <c r="I2538" s="783" t="s">
        <v>5723</v>
      </c>
      <c r="J2538" s="783">
        <v>30</v>
      </c>
      <c r="K2538" s="783" t="s">
        <v>866</v>
      </c>
      <c r="L2538" s="783" t="s">
        <v>4014</v>
      </c>
      <c r="M2538" s="784">
        <v>5518.34</v>
      </c>
      <c r="N2538" s="784">
        <v>5.78</v>
      </c>
      <c r="O2538" s="784">
        <v>5.93</v>
      </c>
      <c r="P2538" s="783">
        <v>161</v>
      </c>
      <c r="Q2538" s="783">
        <v>284.19</v>
      </c>
      <c r="R2538" s="783">
        <v>256.60000000000002</v>
      </c>
      <c r="S2538" s="783">
        <v>0</v>
      </c>
      <c r="T2538" s="783">
        <v>27.59</v>
      </c>
      <c r="U2538" s="785">
        <v>44698.719282407401</v>
      </c>
    </row>
    <row r="2539" spans="1:21">
      <c r="A2539" s="782">
        <v>44712</v>
      </c>
      <c r="B2539" s="783" t="s">
        <v>74</v>
      </c>
      <c r="C2539" s="783" t="s">
        <v>4097</v>
      </c>
      <c r="D2539" s="783" t="s">
        <v>4038</v>
      </c>
      <c r="E2539" s="783" t="s">
        <v>2526</v>
      </c>
      <c r="F2539" s="783" t="s">
        <v>4011</v>
      </c>
      <c r="G2539" s="783" t="s">
        <v>4028</v>
      </c>
      <c r="H2539" s="783" t="s">
        <v>5727</v>
      </c>
      <c r="I2539" s="783" t="s">
        <v>5728</v>
      </c>
      <c r="J2539" s="783">
        <v>25</v>
      </c>
      <c r="K2539" s="783" t="s">
        <v>866</v>
      </c>
      <c r="L2539" s="783" t="s">
        <v>4014</v>
      </c>
      <c r="M2539" s="784">
        <v>4030.88</v>
      </c>
      <c r="N2539" s="784">
        <v>4.29</v>
      </c>
      <c r="O2539" s="784">
        <v>5.22</v>
      </c>
      <c r="P2539" s="783">
        <v>180</v>
      </c>
      <c r="Q2539" s="783">
        <v>256.36</v>
      </c>
      <c r="R2539" s="783">
        <v>164.77</v>
      </c>
      <c r="S2539" s="783">
        <v>49.68</v>
      </c>
      <c r="T2539" s="783">
        <v>41.92</v>
      </c>
      <c r="U2539" s="785">
        <v>44714.590590277803</v>
      </c>
    </row>
    <row r="2540" spans="1:21">
      <c r="A2540" s="782">
        <v>44697</v>
      </c>
      <c r="B2540" s="783" t="s">
        <v>30</v>
      </c>
      <c r="C2540" s="783" t="s">
        <v>4239</v>
      </c>
      <c r="D2540" s="783" t="s">
        <v>4021</v>
      </c>
      <c r="E2540" s="783" t="s">
        <v>5732</v>
      </c>
      <c r="F2540" s="783" t="s">
        <v>4011</v>
      </c>
      <c r="G2540" s="783" t="str">
        <f t="shared" ref="G2540:G2546" si="135">VLOOKUP(I2540,pacage,2,FALSE)</f>
        <v>Renewal (20% in 2020)</v>
      </c>
      <c r="H2540" s="783" t="s">
        <v>5733</v>
      </c>
      <c r="I2540" s="783" t="s">
        <v>5734</v>
      </c>
      <c r="J2540" s="783">
        <v>20</v>
      </c>
      <c r="K2540" s="783" t="s">
        <v>866</v>
      </c>
      <c r="L2540" s="783" t="s">
        <v>4014</v>
      </c>
      <c r="M2540" s="784">
        <v>15835.52</v>
      </c>
      <c r="N2540" s="784">
        <v>10.9</v>
      </c>
      <c r="O2540" s="784">
        <v>9.08</v>
      </c>
      <c r="P2540" s="783">
        <v>160</v>
      </c>
      <c r="Q2540" s="783">
        <v>1081.57</v>
      </c>
      <c r="R2540" s="783">
        <v>601.75</v>
      </c>
      <c r="S2540" s="783">
        <v>133.02000000000001</v>
      </c>
      <c r="T2540" s="783">
        <v>346.8</v>
      </c>
      <c r="U2540" s="785">
        <v>44699.495277777802</v>
      </c>
    </row>
    <row r="2541" spans="1:21">
      <c r="A2541" s="782">
        <v>44698</v>
      </c>
      <c r="B2541" s="783" t="s">
        <v>113</v>
      </c>
      <c r="C2541" s="783" t="s">
        <v>4598</v>
      </c>
      <c r="D2541" s="783" t="s">
        <v>4009</v>
      </c>
      <c r="E2541" s="783" t="s">
        <v>6746</v>
      </c>
      <c r="F2541" s="783" t="s">
        <v>4011</v>
      </c>
      <c r="G2541" s="783" t="str">
        <f t="shared" si="135"/>
        <v>Renewal (15% in 2020)</v>
      </c>
      <c r="H2541" s="783" t="s">
        <v>6747</v>
      </c>
      <c r="I2541" s="783" t="s">
        <v>6748</v>
      </c>
      <c r="J2541" s="783">
        <v>15</v>
      </c>
      <c r="K2541" s="783" t="s">
        <v>866</v>
      </c>
      <c r="L2541" s="783" t="s">
        <v>4014</v>
      </c>
      <c r="M2541" s="784">
        <v>40575.599999999999</v>
      </c>
      <c r="N2541" s="784">
        <v>24</v>
      </c>
      <c r="O2541" s="784">
        <v>8.67</v>
      </c>
      <c r="P2541" s="783">
        <v>195</v>
      </c>
      <c r="Q2541" s="783">
        <v>3850.62</v>
      </c>
      <c r="R2541" s="783">
        <v>1246.23</v>
      </c>
      <c r="S2541" s="783">
        <v>644.59</v>
      </c>
      <c r="T2541" s="783">
        <v>1959.8</v>
      </c>
      <c r="U2541" s="785">
        <v>44699.598518518498</v>
      </c>
    </row>
    <row r="2542" spans="1:21">
      <c r="A2542" s="782">
        <v>44698</v>
      </c>
      <c r="B2542" s="783" t="s">
        <v>113</v>
      </c>
      <c r="C2542" s="783" t="s">
        <v>4606</v>
      </c>
      <c r="D2542" s="783" t="s">
        <v>4009</v>
      </c>
      <c r="E2542" s="783" t="s">
        <v>6746</v>
      </c>
      <c r="F2542" s="783" t="s">
        <v>4011</v>
      </c>
      <c r="G2542" s="783" t="str">
        <f t="shared" si="135"/>
        <v>Renewal (15% in 2020)</v>
      </c>
      <c r="H2542" s="783" t="s">
        <v>6747</v>
      </c>
      <c r="I2542" s="783" t="s">
        <v>6748</v>
      </c>
      <c r="J2542" s="783">
        <v>15</v>
      </c>
      <c r="K2542" s="783" t="s">
        <v>866</v>
      </c>
      <c r="L2542" s="783" t="s">
        <v>4014</v>
      </c>
      <c r="M2542" s="784">
        <v>59172.75</v>
      </c>
      <c r="N2542" s="784">
        <v>35</v>
      </c>
      <c r="O2542" s="784">
        <v>8.67</v>
      </c>
      <c r="P2542" s="783">
        <v>195</v>
      </c>
      <c r="Q2542" s="783">
        <v>5651</v>
      </c>
      <c r="R2542" s="783">
        <v>1934.68</v>
      </c>
      <c r="S2542" s="783">
        <v>793.19</v>
      </c>
      <c r="T2542" s="783">
        <v>2923.13</v>
      </c>
      <c r="U2542" s="785">
        <v>44699.598518518498</v>
      </c>
    </row>
    <row r="2543" spans="1:21">
      <c r="A2543" s="782">
        <v>44698</v>
      </c>
      <c r="B2543" s="783" t="s">
        <v>41</v>
      </c>
      <c r="C2543" s="783" t="s">
        <v>4082</v>
      </c>
      <c r="D2543" s="783" t="s">
        <v>4009</v>
      </c>
      <c r="E2543" s="783" t="s">
        <v>5735</v>
      </c>
      <c r="F2543" s="783" t="s">
        <v>4011</v>
      </c>
      <c r="G2543" s="783" t="str">
        <f t="shared" si="135"/>
        <v>Renewal (25% in 2020)</v>
      </c>
      <c r="H2543" s="783" t="s">
        <v>5736</v>
      </c>
      <c r="I2543" s="783" t="s">
        <v>5737</v>
      </c>
      <c r="J2543" s="783">
        <v>25</v>
      </c>
      <c r="K2543" s="783" t="s">
        <v>866</v>
      </c>
      <c r="L2543" s="783" t="s">
        <v>4014</v>
      </c>
      <c r="M2543" s="784">
        <v>30849</v>
      </c>
      <c r="N2543" s="784">
        <v>29.38</v>
      </c>
      <c r="O2543" s="784">
        <v>7</v>
      </c>
      <c r="P2543" s="783">
        <v>150</v>
      </c>
      <c r="Q2543" s="783">
        <v>1854.02</v>
      </c>
      <c r="R2543" s="783">
        <v>1425.22</v>
      </c>
      <c r="S2543" s="783">
        <v>268.39</v>
      </c>
      <c r="T2543" s="783">
        <v>160.41</v>
      </c>
      <c r="U2543" s="785">
        <v>44699.747546296298</v>
      </c>
    </row>
    <row r="2544" spans="1:21">
      <c r="A2544" s="782">
        <v>44701</v>
      </c>
      <c r="B2544" s="783" t="s">
        <v>4025</v>
      </c>
      <c r="C2544" s="783" t="s">
        <v>4026</v>
      </c>
      <c r="D2544" s="783" t="s">
        <v>4021</v>
      </c>
      <c r="E2544" s="783" t="s">
        <v>5741</v>
      </c>
      <c r="F2544" s="783" t="s">
        <v>4011</v>
      </c>
      <c r="G2544" s="783" t="str">
        <f t="shared" si="135"/>
        <v>New Contract</v>
      </c>
      <c r="H2544" s="783" t="s">
        <v>5742</v>
      </c>
      <c r="I2544" s="783" t="s">
        <v>5743</v>
      </c>
      <c r="J2544" s="783">
        <v>25</v>
      </c>
      <c r="K2544" s="783" t="s">
        <v>866</v>
      </c>
      <c r="L2544" s="783" t="s">
        <v>4014</v>
      </c>
      <c r="M2544" s="784">
        <v>14879.28</v>
      </c>
      <c r="N2544" s="784">
        <v>9.8800000000000008</v>
      </c>
      <c r="O2544" s="784">
        <v>7.53</v>
      </c>
      <c r="P2544" s="783">
        <v>200</v>
      </c>
      <c r="Q2544" s="783">
        <v>953.76</v>
      </c>
      <c r="R2544" s="783">
        <v>566.54999999999995</v>
      </c>
      <c r="S2544" s="783">
        <v>250.32</v>
      </c>
      <c r="T2544" s="783">
        <v>136.88999999999999</v>
      </c>
      <c r="U2544" s="785">
        <v>44701.496296296304</v>
      </c>
    </row>
    <row r="2545" spans="1:21">
      <c r="A2545" s="782">
        <v>44704</v>
      </c>
      <c r="B2545" s="783" t="s">
        <v>41</v>
      </c>
      <c r="C2545" s="783" t="s">
        <v>4092</v>
      </c>
      <c r="D2545" s="783" t="s">
        <v>4009</v>
      </c>
      <c r="E2545" s="783" t="s">
        <v>901</v>
      </c>
      <c r="F2545" s="783" t="s">
        <v>4011</v>
      </c>
      <c r="G2545" s="783" t="str">
        <f t="shared" si="135"/>
        <v>Renewal (15% in 2020)</v>
      </c>
      <c r="H2545" s="783" t="s">
        <v>4659</v>
      </c>
      <c r="I2545" s="783" t="s">
        <v>4660</v>
      </c>
      <c r="J2545" s="783">
        <v>15</v>
      </c>
      <c r="K2545" s="783" t="s">
        <v>866</v>
      </c>
      <c r="L2545" s="783" t="s">
        <v>4014</v>
      </c>
      <c r="M2545" s="784">
        <v>9484.2800000000007</v>
      </c>
      <c r="N2545" s="784">
        <v>5.98</v>
      </c>
      <c r="O2545" s="784">
        <v>7.93</v>
      </c>
      <c r="P2545" s="783">
        <v>200</v>
      </c>
      <c r="Q2545" s="783">
        <v>1150.44</v>
      </c>
      <c r="R2545" s="783">
        <v>405.41</v>
      </c>
      <c r="S2545" s="783">
        <v>194.94</v>
      </c>
      <c r="T2545" s="783">
        <v>550.09</v>
      </c>
      <c r="U2545" s="785">
        <v>44708.961261574099</v>
      </c>
    </row>
    <row r="2546" spans="1:21">
      <c r="A2546" s="782">
        <v>44693</v>
      </c>
      <c r="B2546" s="783" t="s">
        <v>30</v>
      </c>
      <c r="C2546" s="783" t="s">
        <v>4239</v>
      </c>
      <c r="D2546" s="783" t="s">
        <v>4021</v>
      </c>
      <c r="E2546" s="783" t="s">
        <v>5753</v>
      </c>
      <c r="F2546" s="783" t="s">
        <v>4011</v>
      </c>
      <c r="G2546" s="783" t="str">
        <f t="shared" si="135"/>
        <v>Renewal (30% in 2020)</v>
      </c>
      <c r="H2546" s="783" t="s">
        <v>5754</v>
      </c>
      <c r="I2546" s="783" t="s">
        <v>5755</v>
      </c>
      <c r="J2546" s="783">
        <v>30</v>
      </c>
      <c r="K2546" s="783" t="s">
        <v>866</v>
      </c>
      <c r="L2546" s="783" t="s">
        <v>4014</v>
      </c>
      <c r="M2546" s="784">
        <v>11077.6</v>
      </c>
      <c r="N2546" s="784">
        <v>6.1</v>
      </c>
      <c r="O2546" s="784">
        <v>9.08</v>
      </c>
      <c r="P2546" s="783">
        <v>200</v>
      </c>
      <c r="Q2546" s="783">
        <v>494.06</v>
      </c>
      <c r="R2546" s="783">
        <v>338.86</v>
      </c>
      <c r="S2546" s="783">
        <v>82.09</v>
      </c>
      <c r="T2546" s="783">
        <v>73.11</v>
      </c>
      <c r="U2546" s="785">
        <v>44693.597974536999</v>
      </c>
    </row>
    <row r="2547" spans="1:21">
      <c r="A2547" s="782">
        <v>44694</v>
      </c>
      <c r="B2547" s="783" t="s">
        <v>4025</v>
      </c>
      <c r="C2547" s="783" t="s">
        <v>4026</v>
      </c>
      <c r="D2547" s="783" t="s">
        <v>4021</v>
      </c>
      <c r="E2547" s="783" t="s">
        <v>5765</v>
      </c>
      <c r="F2547" s="783" t="s">
        <v>4011</v>
      </c>
      <c r="G2547" s="783" t="s">
        <v>4028</v>
      </c>
      <c r="H2547" s="783" t="s">
        <v>5766</v>
      </c>
      <c r="I2547" s="783" t="s">
        <v>5767</v>
      </c>
      <c r="J2547" s="783">
        <v>20</v>
      </c>
      <c r="K2547" s="783" t="s">
        <v>866</v>
      </c>
      <c r="L2547" s="783" t="s">
        <v>4014</v>
      </c>
      <c r="M2547" s="784">
        <v>31060.04</v>
      </c>
      <c r="N2547" s="784">
        <v>19.34</v>
      </c>
      <c r="O2547" s="784">
        <v>8.0299999999999994</v>
      </c>
      <c r="P2547" s="783">
        <v>200</v>
      </c>
      <c r="Q2547" s="783">
        <v>2553.14</v>
      </c>
      <c r="R2547" s="783">
        <v>1182.6600000000001</v>
      </c>
      <c r="S2547" s="783">
        <v>522.54</v>
      </c>
      <c r="T2547" s="783">
        <v>847.94</v>
      </c>
      <c r="U2547" s="785">
        <v>44694.733784722201</v>
      </c>
    </row>
    <row r="2548" spans="1:21">
      <c r="A2548" s="782">
        <v>44696</v>
      </c>
      <c r="B2548" s="783" t="s">
        <v>41</v>
      </c>
      <c r="C2548" s="783" t="s">
        <v>4092</v>
      </c>
      <c r="D2548" s="783" t="s">
        <v>4009</v>
      </c>
      <c r="E2548" s="783" t="s">
        <v>2249</v>
      </c>
      <c r="F2548" s="783" t="s">
        <v>4011</v>
      </c>
      <c r="G2548" s="783" t="str">
        <f>VLOOKUP(I2548,pacage,2,FALSE)</f>
        <v>Renewal (30% in 2020)</v>
      </c>
      <c r="H2548" s="783" t="s">
        <v>5771</v>
      </c>
      <c r="I2548" s="783" t="s">
        <v>5772</v>
      </c>
      <c r="J2548" s="783">
        <v>30</v>
      </c>
      <c r="K2548" s="783" t="s">
        <v>866</v>
      </c>
      <c r="L2548" s="783" t="s">
        <v>4014</v>
      </c>
      <c r="M2548" s="784">
        <v>17253.84</v>
      </c>
      <c r="N2548" s="784">
        <v>21.46</v>
      </c>
      <c r="O2548" s="784">
        <v>5.36</v>
      </c>
      <c r="P2548" s="783">
        <v>150</v>
      </c>
      <c r="Q2548" s="783">
        <v>1021.43</v>
      </c>
      <c r="R2548" s="783">
        <v>916.18</v>
      </c>
      <c r="S2548" s="783">
        <v>0</v>
      </c>
      <c r="T2548" s="783">
        <v>105.25</v>
      </c>
      <c r="U2548" s="785">
        <v>44697.411840277797</v>
      </c>
    </row>
    <row r="2549" spans="1:21">
      <c r="A2549" s="782">
        <v>44697</v>
      </c>
      <c r="B2549" s="783" t="s">
        <v>113</v>
      </c>
      <c r="C2549" s="783" t="s">
        <v>4606</v>
      </c>
      <c r="D2549" s="783" t="s">
        <v>4009</v>
      </c>
      <c r="E2549" s="783" t="s">
        <v>2334</v>
      </c>
      <c r="F2549" s="783" t="s">
        <v>4011</v>
      </c>
      <c r="G2549" s="783" t="s">
        <v>4028</v>
      </c>
      <c r="H2549" s="783" t="s">
        <v>6749</v>
      </c>
      <c r="I2549" s="783" t="s">
        <v>6750</v>
      </c>
      <c r="J2549" s="783">
        <v>25</v>
      </c>
      <c r="K2549" s="783" t="s">
        <v>866</v>
      </c>
      <c r="L2549" s="783" t="s">
        <v>4014</v>
      </c>
      <c r="M2549" s="784">
        <v>65340</v>
      </c>
      <c r="N2549" s="784">
        <v>29.7</v>
      </c>
      <c r="O2549" s="784">
        <v>11</v>
      </c>
      <c r="P2549" s="783">
        <v>200</v>
      </c>
      <c r="Q2549" s="783">
        <v>3907.33</v>
      </c>
      <c r="R2549" s="783">
        <v>2082.91</v>
      </c>
      <c r="S2549" s="783">
        <v>929.27</v>
      </c>
      <c r="T2549" s="783">
        <v>895.16</v>
      </c>
      <c r="U2549" s="785">
        <v>44698.4711342593</v>
      </c>
    </row>
    <row r="2550" spans="1:21">
      <c r="A2550" s="782">
        <v>44694</v>
      </c>
      <c r="B2550" s="783" t="s">
        <v>74</v>
      </c>
      <c r="C2550" s="783" t="s">
        <v>4097</v>
      </c>
      <c r="D2550" s="783" t="s">
        <v>4038</v>
      </c>
      <c r="E2550" s="783" t="s">
        <v>4385</v>
      </c>
      <c r="F2550" s="783" t="s">
        <v>4011</v>
      </c>
      <c r="G2550" s="783" t="str">
        <f>VLOOKUP(I2550,pacage,2,FALSE)</f>
        <v>Renewal (15% in 2020)</v>
      </c>
      <c r="H2550" s="783" t="s">
        <v>4386</v>
      </c>
      <c r="I2550" s="783" t="s">
        <v>4387</v>
      </c>
      <c r="J2550" s="783">
        <v>15</v>
      </c>
      <c r="K2550" s="783" t="s">
        <v>866</v>
      </c>
      <c r="L2550" s="783" t="s">
        <v>4014</v>
      </c>
      <c r="M2550" s="784">
        <v>23443.200000000001</v>
      </c>
      <c r="N2550" s="784">
        <v>16.28</v>
      </c>
      <c r="O2550" s="784">
        <v>8</v>
      </c>
      <c r="P2550" s="783">
        <v>180</v>
      </c>
      <c r="Q2550" s="783">
        <v>2508.42</v>
      </c>
      <c r="R2550" s="783">
        <v>958.27</v>
      </c>
      <c r="S2550" s="783">
        <v>288.91000000000003</v>
      </c>
      <c r="T2550" s="783">
        <v>1261.24</v>
      </c>
      <c r="U2550" s="785">
        <v>44697.657094907401</v>
      </c>
    </row>
    <row r="2551" spans="1:21">
      <c r="A2551" s="782">
        <v>44709</v>
      </c>
      <c r="B2551" s="783" t="s">
        <v>347</v>
      </c>
      <c r="C2551" s="783" t="s">
        <v>4139</v>
      </c>
      <c r="D2551" s="783" t="s">
        <v>4009</v>
      </c>
      <c r="E2551" s="783" t="s">
        <v>5779</v>
      </c>
      <c r="F2551" s="783" t="s">
        <v>4011</v>
      </c>
      <c r="G2551" s="783" t="str">
        <f>VLOOKUP(I2551,pacage,2,FALSE)</f>
        <v>Renewal (20% in 2020)</v>
      </c>
      <c r="H2551" s="783" t="s">
        <v>5780</v>
      </c>
      <c r="I2551" s="783" t="s">
        <v>5781</v>
      </c>
      <c r="J2551" s="783">
        <v>20</v>
      </c>
      <c r="K2551" s="783" t="s">
        <v>866</v>
      </c>
      <c r="L2551" s="783" t="s">
        <v>4014</v>
      </c>
      <c r="M2551" s="784">
        <v>6039.6</v>
      </c>
      <c r="N2551" s="784">
        <v>7.19</v>
      </c>
      <c r="O2551" s="784">
        <v>5.6</v>
      </c>
      <c r="P2551" s="783">
        <v>150</v>
      </c>
      <c r="Q2551" s="783">
        <v>463.24</v>
      </c>
      <c r="R2551" s="783">
        <v>280.83999999999997</v>
      </c>
      <c r="S2551" s="783">
        <v>45.9</v>
      </c>
      <c r="T2551" s="783">
        <v>136.49</v>
      </c>
      <c r="U2551" s="785">
        <v>44711.539895833303</v>
      </c>
    </row>
    <row r="2552" spans="1:21">
      <c r="A2552" s="782">
        <v>44698</v>
      </c>
      <c r="B2552" s="783" t="s">
        <v>113</v>
      </c>
      <c r="C2552" s="783" t="s">
        <v>4606</v>
      </c>
      <c r="D2552" s="783" t="s">
        <v>4009</v>
      </c>
      <c r="E2552" s="783" t="s">
        <v>6944</v>
      </c>
      <c r="F2552" s="783" t="s">
        <v>4011</v>
      </c>
      <c r="G2552" s="783" t="s">
        <v>4028</v>
      </c>
      <c r="H2552" s="783" t="s">
        <v>6945</v>
      </c>
      <c r="I2552" s="783" t="s">
        <v>6946</v>
      </c>
      <c r="J2552" s="783">
        <v>25</v>
      </c>
      <c r="K2552" s="783" t="s">
        <v>866</v>
      </c>
      <c r="L2552" s="783" t="s">
        <v>4014</v>
      </c>
      <c r="M2552" s="784">
        <v>94497.49</v>
      </c>
      <c r="N2552" s="784">
        <v>36.67</v>
      </c>
      <c r="O2552" s="784">
        <v>12.33</v>
      </c>
      <c r="P2552" s="783">
        <v>209</v>
      </c>
      <c r="Q2552" s="783">
        <v>5650.95</v>
      </c>
      <c r="R2552" s="783">
        <v>2882.67</v>
      </c>
      <c r="S2552" s="783">
        <v>1473.66</v>
      </c>
      <c r="T2552" s="783">
        <v>1294.6199999999999</v>
      </c>
      <c r="U2552" s="785">
        <v>44699.509907407402</v>
      </c>
    </row>
    <row r="2553" spans="1:21">
      <c r="A2553" s="782">
        <v>44698</v>
      </c>
      <c r="B2553" s="783" t="s">
        <v>41</v>
      </c>
      <c r="C2553" s="783" t="s">
        <v>4082</v>
      </c>
      <c r="D2553" s="783" t="s">
        <v>4009</v>
      </c>
      <c r="E2553" s="783" t="s">
        <v>4661</v>
      </c>
      <c r="F2553" s="783" t="s">
        <v>4011</v>
      </c>
      <c r="G2553" s="783" t="str">
        <f t="shared" ref="G2553:G2561" si="136">VLOOKUP(I2553,pacage,2,FALSE)</f>
        <v>Renewal (15% in 2020)</v>
      </c>
      <c r="H2553" s="783" t="s">
        <v>4662</v>
      </c>
      <c r="I2553" s="783" t="s">
        <v>4663</v>
      </c>
      <c r="J2553" s="783">
        <v>15</v>
      </c>
      <c r="K2553" s="783" t="s">
        <v>866</v>
      </c>
      <c r="L2553" s="783" t="s">
        <v>4014</v>
      </c>
      <c r="M2553" s="784">
        <v>12190.5</v>
      </c>
      <c r="N2553" s="784">
        <v>12.6</v>
      </c>
      <c r="O2553" s="784">
        <v>6.45</v>
      </c>
      <c r="P2553" s="783">
        <v>150</v>
      </c>
      <c r="Q2553" s="783">
        <v>1281.22</v>
      </c>
      <c r="R2553" s="783">
        <v>563.20000000000005</v>
      </c>
      <c r="S2553" s="783">
        <v>106.06</v>
      </c>
      <c r="T2553" s="783">
        <v>611.96</v>
      </c>
      <c r="U2553" s="785">
        <v>44699.473240740699</v>
      </c>
    </row>
    <row r="2554" spans="1:21">
      <c r="A2554" s="782">
        <v>44701</v>
      </c>
      <c r="B2554" s="783" t="s">
        <v>65</v>
      </c>
      <c r="C2554" s="783" t="s">
        <v>4606</v>
      </c>
      <c r="D2554" s="783" t="s">
        <v>4009</v>
      </c>
      <c r="E2554" s="783" t="s">
        <v>6947</v>
      </c>
      <c r="F2554" s="783" t="s">
        <v>4011</v>
      </c>
      <c r="G2554" s="783" t="str">
        <f t="shared" si="136"/>
        <v>New contract</v>
      </c>
      <c r="H2554" s="783" t="s">
        <v>6948</v>
      </c>
      <c r="I2554" s="783" t="s">
        <v>6949</v>
      </c>
      <c r="J2554" s="783">
        <v>20</v>
      </c>
      <c r="K2554" s="783" t="s">
        <v>866</v>
      </c>
      <c r="L2554" s="783" t="s">
        <v>4014</v>
      </c>
      <c r="M2554" s="784">
        <v>22456.1</v>
      </c>
      <c r="N2554" s="784">
        <v>11.15</v>
      </c>
      <c r="O2554" s="784">
        <v>10.6</v>
      </c>
      <c r="P2554" s="783">
        <v>190</v>
      </c>
      <c r="Q2554" s="783">
        <v>1664</v>
      </c>
      <c r="R2554" s="783">
        <v>753.53</v>
      </c>
      <c r="S2554" s="783">
        <v>281.69</v>
      </c>
      <c r="T2554" s="783">
        <v>628.77</v>
      </c>
      <c r="U2554" s="785">
        <v>44701.653599537</v>
      </c>
    </row>
    <row r="2555" spans="1:21">
      <c r="A2555" s="782">
        <v>44697</v>
      </c>
      <c r="B2555" s="783" t="s">
        <v>41</v>
      </c>
      <c r="C2555" s="783" t="s">
        <v>4071</v>
      </c>
      <c r="D2555" s="783" t="s">
        <v>4009</v>
      </c>
      <c r="E2555" s="783" t="s">
        <v>2366</v>
      </c>
      <c r="F2555" s="783" t="s">
        <v>4011</v>
      </c>
      <c r="G2555" s="783" t="str">
        <f t="shared" si="136"/>
        <v>Renewal (25% in 2020)</v>
      </c>
      <c r="H2555" s="783" t="s">
        <v>5782</v>
      </c>
      <c r="I2555" s="783" t="s">
        <v>5783</v>
      </c>
      <c r="J2555" s="783">
        <v>25</v>
      </c>
      <c r="K2555" s="783" t="s">
        <v>866</v>
      </c>
      <c r="L2555" s="783" t="s">
        <v>4014</v>
      </c>
      <c r="M2555" s="784">
        <v>7689.12</v>
      </c>
      <c r="N2555" s="784">
        <v>8.3000000000000007</v>
      </c>
      <c r="O2555" s="784">
        <v>5.79</v>
      </c>
      <c r="P2555" s="783">
        <v>160</v>
      </c>
      <c r="Q2555" s="783">
        <v>604.36</v>
      </c>
      <c r="R2555" s="783">
        <v>476.73</v>
      </c>
      <c r="S2555" s="783">
        <v>76.12</v>
      </c>
      <c r="T2555" s="783">
        <v>51.52</v>
      </c>
      <c r="U2555" s="785">
        <v>44698.709548611099</v>
      </c>
    </row>
    <row r="2556" spans="1:21">
      <c r="A2556" s="782">
        <v>44697</v>
      </c>
      <c r="B2556" s="783" t="s">
        <v>113</v>
      </c>
      <c r="C2556" s="783" t="s">
        <v>4606</v>
      </c>
      <c r="D2556" s="783" t="s">
        <v>4009</v>
      </c>
      <c r="E2556" s="783" t="s">
        <v>6950</v>
      </c>
      <c r="F2556" s="783" t="s">
        <v>4011</v>
      </c>
      <c r="G2556" s="783" t="str">
        <f t="shared" si="136"/>
        <v>Renewal (15% in 2020)</v>
      </c>
      <c r="H2556" s="783" t="s">
        <v>6951</v>
      </c>
      <c r="I2556" s="783" t="s">
        <v>6952</v>
      </c>
      <c r="J2556" s="783">
        <v>15</v>
      </c>
      <c r="K2556" s="783" t="s">
        <v>866</v>
      </c>
      <c r="L2556" s="783" t="s">
        <v>4014</v>
      </c>
      <c r="M2556" s="784">
        <v>18006.400000000001</v>
      </c>
      <c r="N2556" s="784">
        <v>9.6999999999999993</v>
      </c>
      <c r="O2556" s="784">
        <v>11.53</v>
      </c>
      <c r="P2556" s="783">
        <v>161</v>
      </c>
      <c r="Q2556" s="783">
        <v>1719.61</v>
      </c>
      <c r="R2556" s="783">
        <v>713.05</v>
      </c>
      <c r="S2556" s="783">
        <v>117.04</v>
      </c>
      <c r="T2556" s="783">
        <v>889.52</v>
      </c>
      <c r="U2556" s="785">
        <v>44699.413773148102</v>
      </c>
    </row>
    <row r="2557" spans="1:21">
      <c r="A2557" s="782">
        <v>44707</v>
      </c>
      <c r="B2557" s="783" t="s">
        <v>41</v>
      </c>
      <c r="C2557" s="783" t="s">
        <v>4082</v>
      </c>
      <c r="D2557" s="783" t="s">
        <v>4009</v>
      </c>
      <c r="E2557" s="783" t="s">
        <v>4664</v>
      </c>
      <c r="F2557" s="783" t="s">
        <v>4011</v>
      </c>
      <c r="G2557" s="783" t="str">
        <f t="shared" si="136"/>
        <v>Renewal (30% in 2020)</v>
      </c>
      <c r="H2557" s="783" t="s">
        <v>4665</v>
      </c>
      <c r="I2557" s="783" t="s">
        <v>4666</v>
      </c>
      <c r="J2557" s="783">
        <v>30</v>
      </c>
      <c r="K2557" s="783" t="s">
        <v>866</v>
      </c>
      <c r="L2557" s="783" t="s">
        <v>4014</v>
      </c>
      <c r="M2557" s="784">
        <v>68764.5</v>
      </c>
      <c r="N2557" s="784">
        <v>51.8</v>
      </c>
      <c r="O2557" s="784">
        <v>8.85</v>
      </c>
      <c r="P2557" s="783">
        <v>150</v>
      </c>
      <c r="Q2557" s="783">
        <v>3534.5</v>
      </c>
      <c r="R2557" s="783">
        <v>3176.92</v>
      </c>
      <c r="S2557" s="783">
        <v>0</v>
      </c>
      <c r="T2557" s="783">
        <v>357.58</v>
      </c>
      <c r="U2557" s="785">
        <v>44708.584884259297</v>
      </c>
    </row>
    <row r="2558" spans="1:21">
      <c r="A2558" s="782">
        <v>44698</v>
      </c>
      <c r="B2558" s="783" t="s">
        <v>30</v>
      </c>
      <c r="C2558" s="783" t="s">
        <v>4239</v>
      </c>
      <c r="D2558" s="783" t="s">
        <v>4021</v>
      </c>
      <c r="E2558" s="783" t="s">
        <v>5800</v>
      </c>
      <c r="F2558" s="783" t="s">
        <v>4011</v>
      </c>
      <c r="G2558" s="783" t="str">
        <f t="shared" si="136"/>
        <v>Renewal (20% in 2020)</v>
      </c>
      <c r="H2558" s="783" t="s">
        <v>5801</v>
      </c>
      <c r="I2558" s="783" t="s">
        <v>5802</v>
      </c>
      <c r="J2558" s="783">
        <v>20</v>
      </c>
      <c r="K2558" s="783" t="s">
        <v>866</v>
      </c>
      <c r="L2558" s="783" t="s">
        <v>4014</v>
      </c>
      <c r="M2558" s="784">
        <v>23149.61</v>
      </c>
      <c r="N2558" s="784">
        <v>19.329999999999998</v>
      </c>
      <c r="O2558" s="784">
        <v>9.98</v>
      </c>
      <c r="P2558" s="783">
        <v>120</v>
      </c>
      <c r="Q2558" s="783">
        <v>1581.12</v>
      </c>
      <c r="R2558" s="783">
        <v>879.69</v>
      </c>
      <c r="S2558" s="783">
        <v>194.46</v>
      </c>
      <c r="T2558" s="783">
        <v>506.98</v>
      </c>
      <c r="U2558" s="785">
        <v>44699.487800925897</v>
      </c>
    </row>
    <row r="2559" spans="1:21">
      <c r="A2559" s="782">
        <v>44701</v>
      </c>
      <c r="B2559" s="783" t="s">
        <v>41</v>
      </c>
      <c r="C2559" s="783" t="s">
        <v>4139</v>
      </c>
      <c r="D2559" s="783" t="s">
        <v>4009</v>
      </c>
      <c r="E2559" s="783" t="s">
        <v>2788</v>
      </c>
      <c r="F2559" s="783" t="s">
        <v>4011</v>
      </c>
      <c r="G2559" s="783" t="str">
        <f t="shared" si="136"/>
        <v>Renewal (25% in 2020)</v>
      </c>
      <c r="H2559" s="783" t="s">
        <v>6953</v>
      </c>
      <c r="I2559" s="783" t="s">
        <v>6954</v>
      </c>
      <c r="J2559" s="783">
        <v>25</v>
      </c>
      <c r="K2559" s="783" t="s">
        <v>866</v>
      </c>
      <c r="L2559" s="783" t="s">
        <v>4014</v>
      </c>
      <c r="M2559" s="784">
        <v>11757.31</v>
      </c>
      <c r="N2559" s="784">
        <v>11.52</v>
      </c>
      <c r="O2559" s="784">
        <v>5.67</v>
      </c>
      <c r="P2559" s="783">
        <v>180</v>
      </c>
      <c r="Q2559" s="783">
        <v>693.68</v>
      </c>
      <c r="R2559" s="783">
        <v>489.01</v>
      </c>
      <c r="S2559" s="783">
        <v>147.06</v>
      </c>
      <c r="T2559" s="783">
        <v>57.61</v>
      </c>
      <c r="U2559" s="785">
        <v>44701.665625000001</v>
      </c>
    </row>
    <row r="2560" spans="1:21">
      <c r="A2560" s="782">
        <v>44699</v>
      </c>
      <c r="B2560" s="783" t="s">
        <v>397</v>
      </c>
      <c r="C2560" s="783" t="s">
        <v>4511</v>
      </c>
      <c r="D2560" s="783" t="s">
        <v>4512</v>
      </c>
      <c r="E2560" s="783"/>
      <c r="F2560" s="783" t="s">
        <v>4011</v>
      </c>
      <c r="G2560" s="783" t="str">
        <f t="shared" si="136"/>
        <v>Renewal (15% in 2020)</v>
      </c>
      <c r="H2560" s="783" t="s">
        <v>4667</v>
      </c>
      <c r="I2560" s="783" t="s">
        <v>4668</v>
      </c>
      <c r="J2560" s="783">
        <v>25</v>
      </c>
      <c r="K2560" s="783" t="s">
        <v>866</v>
      </c>
      <c r="L2560" s="783" t="s">
        <v>4014</v>
      </c>
      <c r="M2560" s="784">
        <v>16119.6</v>
      </c>
      <c r="N2560" s="784">
        <v>14.14</v>
      </c>
      <c r="O2560" s="784">
        <v>5.7</v>
      </c>
      <c r="P2560" s="783">
        <v>200</v>
      </c>
      <c r="Q2560" s="783">
        <v>1004.25</v>
      </c>
      <c r="R2560" s="783">
        <v>560.58000000000004</v>
      </c>
      <c r="S2560" s="783">
        <v>303.44</v>
      </c>
      <c r="T2560" s="783">
        <v>140.24</v>
      </c>
      <c r="U2560" s="785">
        <v>44699.471782407403</v>
      </c>
    </row>
    <row r="2561" spans="1:21">
      <c r="A2561" s="782">
        <v>44700</v>
      </c>
      <c r="B2561" s="783" t="s">
        <v>228</v>
      </c>
      <c r="C2561" s="783" t="s">
        <v>4020</v>
      </c>
      <c r="D2561" s="783" t="s">
        <v>4021</v>
      </c>
      <c r="E2561" s="783" t="s">
        <v>5815</v>
      </c>
      <c r="F2561" s="783" t="s">
        <v>4011</v>
      </c>
      <c r="G2561" s="783" t="str">
        <f t="shared" si="136"/>
        <v>Renewal (25% in 2020)</v>
      </c>
      <c r="H2561" s="783" t="s">
        <v>5816</v>
      </c>
      <c r="I2561" s="783" t="s">
        <v>5817</v>
      </c>
      <c r="J2561" s="783">
        <v>25</v>
      </c>
      <c r="K2561" s="783" t="s">
        <v>866</v>
      </c>
      <c r="L2561" s="783" t="s">
        <v>4014</v>
      </c>
      <c r="M2561" s="784">
        <v>84203.79</v>
      </c>
      <c r="N2561" s="784">
        <v>28.67</v>
      </c>
      <c r="O2561" s="784">
        <v>8.9</v>
      </c>
      <c r="P2561" s="783">
        <v>330</v>
      </c>
      <c r="Q2561" s="783">
        <v>6045.83</v>
      </c>
      <c r="R2561" s="783">
        <v>2214.2800000000002</v>
      </c>
      <c r="S2561" s="783">
        <v>3073.72</v>
      </c>
      <c r="T2561" s="783">
        <v>757.83</v>
      </c>
      <c r="U2561" s="785">
        <v>44700.717766203699</v>
      </c>
    </row>
    <row r="2562" spans="1:21">
      <c r="A2562" s="782">
        <v>44699</v>
      </c>
      <c r="B2562" s="783" t="s">
        <v>34</v>
      </c>
      <c r="C2562" s="783" t="s">
        <v>4139</v>
      </c>
      <c r="D2562" s="783" t="s">
        <v>4009</v>
      </c>
      <c r="E2562" s="783" t="s">
        <v>4669</v>
      </c>
      <c r="F2562" s="783" t="s">
        <v>4011</v>
      </c>
      <c r="G2562" s="783" t="s">
        <v>4028</v>
      </c>
      <c r="H2562" s="783" t="s">
        <v>4670</v>
      </c>
      <c r="I2562" s="783" t="s">
        <v>4671</v>
      </c>
      <c r="J2562" s="783">
        <v>25</v>
      </c>
      <c r="K2562" s="783" t="s">
        <v>866</v>
      </c>
      <c r="L2562" s="783" t="s">
        <v>4014</v>
      </c>
      <c r="M2562" s="784">
        <v>11234.58</v>
      </c>
      <c r="N2562" s="784">
        <v>11.63</v>
      </c>
      <c r="O2562" s="784">
        <v>6</v>
      </c>
      <c r="P2562" s="783">
        <v>161</v>
      </c>
      <c r="Q2562" s="783">
        <v>662.84</v>
      </c>
      <c r="R2562" s="783">
        <v>522.41</v>
      </c>
      <c r="S2562" s="783">
        <v>85.38</v>
      </c>
      <c r="T2562" s="783">
        <v>55.05</v>
      </c>
      <c r="U2562" s="785">
        <v>44699.470520833303</v>
      </c>
    </row>
    <row r="2563" spans="1:21">
      <c r="A2563" s="782">
        <v>44699</v>
      </c>
      <c r="B2563" s="783" t="s">
        <v>41</v>
      </c>
      <c r="C2563" s="783" t="s">
        <v>4139</v>
      </c>
      <c r="D2563" s="783" t="s">
        <v>4009</v>
      </c>
      <c r="E2563" s="783" t="s">
        <v>5821</v>
      </c>
      <c r="F2563" s="783" t="s">
        <v>4011</v>
      </c>
      <c r="G2563" s="783" t="str">
        <f>VLOOKUP(I2563,pacage,2,FALSE)</f>
        <v>Renewal (15% in 2020)</v>
      </c>
      <c r="H2563" s="783" t="s">
        <v>5822</v>
      </c>
      <c r="I2563" s="783" t="s">
        <v>5823</v>
      </c>
      <c r="J2563" s="783">
        <v>15</v>
      </c>
      <c r="K2563" s="783" t="s">
        <v>866</v>
      </c>
      <c r="L2563" s="783" t="s">
        <v>4014</v>
      </c>
      <c r="M2563" s="784">
        <v>33353.32</v>
      </c>
      <c r="N2563" s="784">
        <v>26.18</v>
      </c>
      <c r="O2563" s="784">
        <v>9.8000000000000007</v>
      </c>
      <c r="P2563" s="783">
        <v>130</v>
      </c>
      <c r="Q2563" s="783">
        <v>3438.73</v>
      </c>
      <c r="R2563" s="783">
        <v>1550.93</v>
      </c>
      <c r="S2563" s="783">
        <v>253.49</v>
      </c>
      <c r="T2563" s="783">
        <v>1634.31</v>
      </c>
      <c r="U2563" s="785">
        <v>44700.527256944399</v>
      </c>
    </row>
    <row r="2564" spans="1:21">
      <c r="A2564" s="782">
        <v>44657</v>
      </c>
      <c r="B2564" s="783" t="s">
        <v>51</v>
      </c>
      <c r="C2564" s="783" t="s">
        <v>4042</v>
      </c>
      <c r="D2564" s="783" t="s">
        <v>4016</v>
      </c>
      <c r="E2564" s="783" t="s">
        <v>5833</v>
      </c>
      <c r="F2564" s="783" t="s">
        <v>4011</v>
      </c>
      <c r="G2564" s="783" t="str">
        <f>VLOOKUP(I2564,pacage,2,FALSE)</f>
        <v>New Contract</v>
      </c>
      <c r="H2564" s="783" t="s">
        <v>5834</v>
      </c>
      <c r="I2564" s="783" t="s">
        <v>5835</v>
      </c>
      <c r="J2564" s="783">
        <v>25</v>
      </c>
      <c r="K2564" s="783" t="s">
        <v>866</v>
      </c>
      <c r="L2564" s="783" t="s">
        <v>4014</v>
      </c>
      <c r="M2564" s="784">
        <v>2298.75</v>
      </c>
      <c r="N2564" s="784">
        <v>2.5</v>
      </c>
      <c r="O2564" s="784">
        <v>6.13</v>
      </c>
      <c r="P2564" s="783">
        <v>150</v>
      </c>
      <c r="Q2564" s="783">
        <v>172.87</v>
      </c>
      <c r="R2564" s="783">
        <v>130.57</v>
      </c>
      <c r="S2564" s="783">
        <v>21.61</v>
      </c>
      <c r="T2564" s="783">
        <v>20.69</v>
      </c>
      <c r="U2564" s="785">
        <v>44657.620393518497</v>
      </c>
    </row>
    <row r="2565" spans="1:21">
      <c r="A2565" s="782">
        <v>44657</v>
      </c>
      <c r="B2565" s="783" t="s">
        <v>113</v>
      </c>
      <c r="C2565" s="783" t="s">
        <v>4606</v>
      </c>
      <c r="D2565" s="783" t="s">
        <v>4009</v>
      </c>
      <c r="E2565" s="783" t="s">
        <v>6955</v>
      </c>
      <c r="F2565" s="783" t="s">
        <v>4011</v>
      </c>
      <c r="G2565" s="783" t="str">
        <f>VLOOKUP(I2565,pacage,2,FALSE)</f>
        <v>Renewal (15% in 2020)</v>
      </c>
      <c r="H2565" s="783" t="s">
        <v>6956</v>
      </c>
      <c r="I2565" s="783" t="s">
        <v>6957</v>
      </c>
      <c r="J2565" s="783">
        <v>15</v>
      </c>
      <c r="K2565" s="783" t="s">
        <v>866</v>
      </c>
      <c r="L2565" s="783" t="s">
        <v>4014</v>
      </c>
      <c r="M2565" s="784">
        <v>3299.67</v>
      </c>
      <c r="N2565" s="784">
        <v>2.42</v>
      </c>
      <c r="O2565" s="784">
        <v>9.09</v>
      </c>
      <c r="P2565" s="783">
        <v>150</v>
      </c>
      <c r="Q2565" s="783">
        <v>315.12</v>
      </c>
      <c r="R2565" s="783">
        <v>130.66999999999999</v>
      </c>
      <c r="S2565" s="783">
        <v>21.45</v>
      </c>
      <c r="T2565" s="783">
        <v>163</v>
      </c>
      <c r="U2565" s="785">
        <v>44657.634560185201</v>
      </c>
    </row>
    <row r="2566" spans="1:21">
      <c r="A2566" s="782">
        <v>44660</v>
      </c>
      <c r="B2566" s="783" t="s">
        <v>113</v>
      </c>
      <c r="C2566" s="783" t="s">
        <v>4606</v>
      </c>
      <c r="D2566" s="783" t="s">
        <v>4009</v>
      </c>
      <c r="E2566" s="783" t="s">
        <v>2808</v>
      </c>
      <c r="F2566" s="783" t="s">
        <v>4011</v>
      </c>
      <c r="G2566" s="783" t="str">
        <f>VLOOKUP(I2566,pacage,2,FALSE)</f>
        <v>Renewal (15% in 2020)</v>
      </c>
      <c r="H2566" s="783" t="s">
        <v>6958</v>
      </c>
      <c r="I2566" s="783" t="s">
        <v>6959</v>
      </c>
      <c r="J2566" s="783">
        <v>15</v>
      </c>
      <c r="K2566" s="783" t="s">
        <v>866</v>
      </c>
      <c r="L2566" s="783" t="s">
        <v>4014</v>
      </c>
      <c r="M2566" s="784">
        <v>74168</v>
      </c>
      <c r="N2566" s="784">
        <v>29.2</v>
      </c>
      <c r="O2566" s="784">
        <v>12.7</v>
      </c>
      <c r="P2566" s="783">
        <v>200</v>
      </c>
      <c r="Q2566" s="783">
        <v>7083.04</v>
      </c>
      <c r="R2566" s="783">
        <v>2364.33</v>
      </c>
      <c r="S2566" s="783">
        <v>1054.82</v>
      </c>
      <c r="T2566" s="783">
        <v>3663.9</v>
      </c>
      <c r="U2566" s="785">
        <v>44663.422893518502</v>
      </c>
    </row>
    <row r="2567" spans="1:21">
      <c r="A2567" s="782">
        <v>44660</v>
      </c>
      <c r="B2567" s="783" t="s">
        <v>30</v>
      </c>
      <c r="C2567" s="783" t="s">
        <v>4089</v>
      </c>
      <c r="D2567" s="783" t="s">
        <v>4021</v>
      </c>
      <c r="E2567" s="783" t="s">
        <v>5845</v>
      </c>
      <c r="F2567" s="783" t="s">
        <v>4011</v>
      </c>
      <c r="G2567" s="783" t="str">
        <f>VLOOKUP(I2567,pacage,2,FALSE)</f>
        <v>Renewal (30% in 2020)</v>
      </c>
      <c r="H2567" s="783" t="s">
        <v>5846</v>
      </c>
      <c r="I2567" s="783" t="s">
        <v>5847</v>
      </c>
      <c r="J2567" s="783">
        <v>30</v>
      </c>
      <c r="K2567" s="783" t="s">
        <v>866</v>
      </c>
      <c r="L2567" s="783" t="s">
        <v>4014</v>
      </c>
      <c r="M2567" s="784">
        <v>14549.98</v>
      </c>
      <c r="N2567" s="784">
        <v>10.6</v>
      </c>
      <c r="O2567" s="784">
        <v>7.46</v>
      </c>
      <c r="P2567" s="783">
        <v>184</v>
      </c>
      <c r="Q2567" s="783">
        <v>1057.78</v>
      </c>
      <c r="R2567" s="783">
        <v>775.33</v>
      </c>
      <c r="S2567" s="783">
        <v>110.76</v>
      </c>
      <c r="T2567" s="783">
        <v>171.69</v>
      </c>
      <c r="U2567" s="785">
        <v>44663.426203703697</v>
      </c>
    </row>
    <row r="2568" spans="1:21">
      <c r="A2568" s="782">
        <v>44700</v>
      </c>
      <c r="B2568" s="783" t="s">
        <v>113</v>
      </c>
      <c r="C2568" s="783" t="s">
        <v>4606</v>
      </c>
      <c r="D2568" s="783" t="s">
        <v>4009</v>
      </c>
      <c r="E2568" s="783" t="s">
        <v>984</v>
      </c>
      <c r="F2568" s="783" t="s">
        <v>4011</v>
      </c>
      <c r="G2568" s="783" t="s">
        <v>4028</v>
      </c>
      <c r="H2568" s="783" t="s">
        <v>6751</v>
      </c>
      <c r="I2568" s="783" t="s">
        <v>6752</v>
      </c>
      <c r="J2568" s="783">
        <v>20</v>
      </c>
      <c r="K2568" s="783" t="s">
        <v>866</v>
      </c>
      <c r="L2568" s="783" t="s">
        <v>4014</v>
      </c>
      <c r="M2568" s="784">
        <v>46112</v>
      </c>
      <c r="N2568" s="784">
        <v>20.96</v>
      </c>
      <c r="O2568" s="784">
        <v>11</v>
      </c>
      <c r="P2568" s="783">
        <v>200</v>
      </c>
      <c r="Q2568" s="783">
        <v>3416.9</v>
      </c>
      <c r="R2568" s="783">
        <v>1469.96</v>
      </c>
      <c r="S2568" s="783">
        <v>655.8</v>
      </c>
      <c r="T2568" s="783">
        <v>1291.1400000000001</v>
      </c>
      <c r="U2568" s="785">
        <v>44700.684027777803</v>
      </c>
    </row>
    <row r="2569" spans="1:21">
      <c r="A2569" s="782">
        <v>44700</v>
      </c>
      <c r="B2569" s="783" t="s">
        <v>30</v>
      </c>
      <c r="C2569" s="783" t="s">
        <v>4239</v>
      </c>
      <c r="D2569" s="783" t="s">
        <v>4021</v>
      </c>
      <c r="E2569" s="783" t="s">
        <v>2043</v>
      </c>
      <c r="F2569" s="783" t="s">
        <v>4011</v>
      </c>
      <c r="G2569" s="783" t="str">
        <f t="shared" ref="G2569:G2580" si="137">VLOOKUP(I2569,pacage,2,FALSE)</f>
        <v>Renewal (30% in 2020)</v>
      </c>
      <c r="H2569" s="783" t="s">
        <v>4240</v>
      </c>
      <c r="I2569" s="783" t="s">
        <v>4241</v>
      </c>
      <c r="J2569" s="783">
        <v>30</v>
      </c>
      <c r="K2569" s="783" t="s">
        <v>866</v>
      </c>
      <c r="L2569" s="783" t="s">
        <v>4014</v>
      </c>
      <c r="M2569" s="784">
        <v>28761.59</v>
      </c>
      <c r="N2569" s="784">
        <v>21.22</v>
      </c>
      <c r="O2569" s="784">
        <v>7.53</v>
      </c>
      <c r="P2569" s="783">
        <v>180</v>
      </c>
      <c r="Q2569" s="783">
        <v>1282.77</v>
      </c>
      <c r="R2569" s="783">
        <v>977.57</v>
      </c>
      <c r="S2569" s="783">
        <v>115.37</v>
      </c>
      <c r="T2569" s="783">
        <v>189.83</v>
      </c>
      <c r="U2569" s="785">
        <v>44700.716516203698</v>
      </c>
    </row>
    <row r="2570" spans="1:21">
      <c r="A2570" s="782">
        <v>44704</v>
      </c>
      <c r="B2570" s="783" t="s">
        <v>65</v>
      </c>
      <c r="C2570" s="783" t="s">
        <v>5861</v>
      </c>
      <c r="D2570" s="783" t="s">
        <v>4258</v>
      </c>
      <c r="E2570" s="783" t="s">
        <v>1072</v>
      </c>
      <c r="F2570" s="783" t="s">
        <v>4011</v>
      </c>
      <c r="G2570" s="783" t="str">
        <f t="shared" si="137"/>
        <v>Renewal (20% in 2020)</v>
      </c>
      <c r="H2570" s="783" t="s">
        <v>5862</v>
      </c>
      <c r="I2570" s="783" t="s">
        <v>5863</v>
      </c>
      <c r="J2570" s="783">
        <v>20</v>
      </c>
      <c r="K2570" s="783" t="s">
        <v>866</v>
      </c>
      <c r="L2570" s="783" t="s">
        <v>4014</v>
      </c>
      <c r="M2570" s="784">
        <v>12456.12</v>
      </c>
      <c r="N2570" s="784">
        <v>7.76</v>
      </c>
      <c r="O2570" s="784">
        <v>9.9700000000000006</v>
      </c>
      <c r="P2570" s="783">
        <v>161</v>
      </c>
      <c r="Q2570" s="783">
        <v>748.61</v>
      </c>
      <c r="R2570" s="783">
        <v>443.44</v>
      </c>
      <c r="S2570" s="783">
        <v>69.75</v>
      </c>
      <c r="T2570" s="783">
        <v>235.42</v>
      </c>
      <c r="U2570" s="785">
        <v>44704.579918981501</v>
      </c>
    </row>
    <row r="2571" spans="1:21">
      <c r="A2571" s="782">
        <v>44704</v>
      </c>
      <c r="B2571" s="783" t="s">
        <v>30</v>
      </c>
      <c r="C2571" s="783" t="s">
        <v>4239</v>
      </c>
      <c r="D2571" s="783" t="s">
        <v>4021</v>
      </c>
      <c r="E2571" s="783" t="s">
        <v>5864</v>
      </c>
      <c r="F2571" s="783" t="s">
        <v>4011</v>
      </c>
      <c r="G2571" s="783" t="str">
        <f t="shared" si="137"/>
        <v>New Contract</v>
      </c>
      <c r="H2571" s="783" t="s">
        <v>5865</v>
      </c>
      <c r="I2571" s="783" t="s">
        <v>5866</v>
      </c>
      <c r="J2571" s="783">
        <v>30</v>
      </c>
      <c r="K2571" s="783" t="s">
        <v>866</v>
      </c>
      <c r="L2571" s="783" t="s">
        <v>4014</v>
      </c>
      <c r="M2571" s="784">
        <v>25142.400000000001</v>
      </c>
      <c r="N2571" s="784">
        <v>16</v>
      </c>
      <c r="O2571" s="784">
        <v>8.73</v>
      </c>
      <c r="P2571" s="783">
        <v>180</v>
      </c>
      <c r="Q2571" s="783">
        <v>1121.3499999999999</v>
      </c>
      <c r="R2571" s="783">
        <v>854.56</v>
      </c>
      <c r="S2571" s="783">
        <v>100.85</v>
      </c>
      <c r="T2571" s="783">
        <v>165.94</v>
      </c>
      <c r="U2571" s="785">
        <v>44708.799456018503</v>
      </c>
    </row>
    <row r="2572" spans="1:21">
      <c r="A2572" s="782">
        <v>44705</v>
      </c>
      <c r="B2572" s="783" t="s">
        <v>113</v>
      </c>
      <c r="C2572" s="783" t="s">
        <v>4606</v>
      </c>
      <c r="D2572" s="783" t="s">
        <v>4009</v>
      </c>
      <c r="E2572" s="783" t="s">
        <v>6960</v>
      </c>
      <c r="F2572" s="783" t="s">
        <v>4011</v>
      </c>
      <c r="G2572" s="783" t="str">
        <f t="shared" si="137"/>
        <v>Renewal (20% in 2020)</v>
      </c>
      <c r="H2572" s="783" t="s">
        <v>6961</v>
      </c>
      <c r="I2572" s="783" t="s">
        <v>6962</v>
      </c>
      <c r="J2572" s="783">
        <v>20</v>
      </c>
      <c r="K2572" s="783" t="s">
        <v>866</v>
      </c>
      <c r="L2572" s="783" t="s">
        <v>4014</v>
      </c>
      <c r="M2572" s="784">
        <v>16907.599999999999</v>
      </c>
      <c r="N2572" s="784">
        <v>10.75</v>
      </c>
      <c r="O2572" s="784">
        <v>9.83</v>
      </c>
      <c r="P2572" s="783">
        <v>160</v>
      </c>
      <c r="Q2572" s="783">
        <v>1252.8499999999999</v>
      </c>
      <c r="R2572" s="783">
        <v>669.54</v>
      </c>
      <c r="S2572" s="783">
        <v>109.9</v>
      </c>
      <c r="T2572" s="783">
        <v>473.41</v>
      </c>
      <c r="U2572" s="785">
        <v>44705.531284722201</v>
      </c>
    </row>
    <row r="2573" spans="1:21">
      <c r="A2573" s="782">
        <v>44705</v>
      </c>
      <c r="B2573" s="783" t="s">
        <v>113</v>
      </c>
      <c r="C2573" s="783" t="s">
        <v>4598</v>
      </c>
      <c r="D2573" s="783" t="s">
        <v>4009</v>
      </c>
      <c r="E2573" s="783" t="s">
        <v>6960</v>
      </c>
      <c r="F2573" s="783" t="s">
        <v>4011</v>
      </c>
      <c r="G2573" s="783" t="str">
        <f t="shared" si="137"/>
        <v>Renewal (20% in 2020)</v>
      </c>
      <c r="H2573" s="783" t="s">
        <v>6961</v>
      </c>
      <c r="I2573" s="783" t="s">
        <v>6962</v>
      </c>
      <c r="J2573" s="783">
        <v>20</v>
      </c>
      <c r="K2573" s="783" t="s">
        <v>866</v>
      </c>
      <c r="L2573" s="783" t="s">
        <v>4014</v>
      </c>
      <c r="M2573" s="784">
        <v>27445.360000000001</v>
      </c>
      <c r="N2573" s="784">
        <v>17.45</v>
      </c>
      <c r="O2573" s="784">
        <v>9.83</v>
      </c>
      <c r="P2573" s="783">
        <v>160</v>
      </c>
      <c r="Q2573" s="783">
        <v>2009</v>
      </c>
      <c r="R2573" s="783">
        <v>1020.97</v>
      </c>
      <c r="S2573" s="783">
        <v>257.99</v>
      </c>
      <c r="T2573" s="783">
        <v>730.05</v>
      </c>
      <c r="U2573" s="785">
        <v>44705.531284722201</v>
      </c>
    </row>
    <row r="2574" spans="1:21">
      <c r="A2574" s="782">
        <v>44710</v>
      </c>
      <c r="B2574" s="783" t="s">
        <v>30</v>
      </c>
      <c r="C2574" s="783" t="s">
        <v>4239</v>
      </c>
      <c r="D2574" s="783" t="s">
        <v>4021</v>
      </c>
      <c r="E2574" s="783" t="s">
        <v>1495</v>
      </c>
      <c r="F2574" s="783" t="s">
        <v>4011</v>
      </c>
      <c r="G2574" s="783" t="str">
        <f t="shared" si="137"/>
        <v>Renewal (15% in 2020)</v>
      </c>
      <c r="H2574" s="783" t="s">
        <v>5873</v>
      </c>
      <c r="I2574" s="783" t="s">
        <v>5874</v>
      </c>
      <c r="J2574" s="783">
        <v>15</v>
      </c>
      <c r="K2574" s="783" t="s">
        <v>866</v>
      </c>
      <c r="L2574" s="783" t="s">
        <v>4014</v>
      </c>
      <c r="M2574" s="784">
        <v>33581.839999999997</v>
      </c>
      <c r="N2574" s="784">
        <v>22.37</v>
      </c>
      <c r="O2574" s="784">
        <v>8.34</v>
      </c>
      <c r="P2574" s="783">
        <v>180</v>
      </c>
      <c r="Q2574" s="783">
        <v>3055.95</v>
      </c>
      <c r="R2574" s="783">
        <v>1141.4100000000001</v>
      </c>
      <c r="S2574" s="783">
        <v>416.79</v>
      </c>
      <c r="T2574" s="783">
        <v>1497.75</v>
      </c>
      <c r="U2574" s="785">
        <v>44712.6339351852</v>
      </c>
    </row>
    <row r="2575" spans="1:21">
      <c r="A2575" s="782">
        <v>44715</v>
      </c>
      <c r="B2575" s="783" t="s">
        <v>4025</v>
      </c>
      <c r="C2575" s="783" t="s">
        <v>4026</v>
      </c>
      <c r="D2575" s="783" t="s">
        <v>4021</v>
      </c>
      <c r="E2575" s="783" t="s">
        <v>5875</v>
      </c>
      <c r="F2575" s="783" t="s">
        <v>4011</v>
      </c>
      <c r="G2575" s="783" t="str">
        <f t="shared" si="137"/>
        <v>New Contract</v>
      </c>
      <c r="H2575" s="783" t="s">
        <v>5876</v>
      </c>
      <c r="I2575" s="783" t="s">
        <v>5877</v>
      </c>
      <c r="J2575" s="783">
        <v>25</v>
      </c>
      <c r="K2575" s="783" t="s">
        <v>866</v>
      </c>
      <c r="L2575" s="783" t="s">
        <v>4014</v>
      </c>
      <c r="M2575" s="784">
        <v>25998.48</v>
      </c>
      <c r="N2575" s="784">
        <v>15.71</v>
      </c>
      <c r="O2575" s="784">
        <v>8.7100000000000009</v>
      </c>
      <c r="P2575" s="783">
        <v>190</v>
      </c>
      <c r="Q2575" s="783">
        <v>1666.5</v>
      </c>
      <c r="R2575" s="783">
        <v>1042.03</v>
      </c>
      <c r="S2575" s="783">
        <v>385.28</v>
      </c>
      <c r="T2575" s="783">
        <v>239.19</v>
      </c>
      <c r="U2575" s="785">
        <v>44715.4636805556</v>
      </c>
    </row>
    <row r="2576" spans="1:21">
      <c r="A2576" s="782">
        <v>44707</v>
      </c>
      <c r="B2576" s="783" t="s">
        <v>41</v>
      </c>
      <c r="C2576" s="783" t="s">
        <v>4071</v>
      </c>
      <c r="D2576" s="783" t="s">
        <v>4009</v>
      </c>
      <c r="E2576" s="783" t="s">
        <v>4174</v>
      </c>
      <c r="F2576" s="783" t="s">
        <v>4011</v>
      </c>
      <c r="G2576" s="783" t="str">
        <f t="shared" si="137"/>
        <v>Renewal (20% in 2020)</v>
      </c>
      <c r="H2576" s="783" t="s">
        <v>4175</v>
      </c>
      <c r="I2576" s="783" t="s">
        <v>4176</v>
      </c>
      <c r="J2576" s="783">
        <v>20</v>
      </c>
      <c r="K2576" s="783" t="s">
        <v>866</v>
      </c>
      <c r="L2576" s="783" t="s">
        <v>4014</v>
      </c>
      <c r="M2576" s="784">
        <v>25984.84</v>
      </c>
      <c r="N2576" s="784">
        <v>29.99</v>
      </c>
      <c r="O2576" s="784">
        <v>5.59</v>
      </c>
      <c r="P2576" s="783">
        <v>155</v>
      </c>
      <c r="Q2576" s="783">
        <v>2655.65</v>
      </c>
      <c r="R2576" s="783">
        <v>1611.06</v>
      </c>
      <c r="S2576" s="783">
        <v>257.25</v>
      </c>
      <c r="T2576" s="783">
        <v>787.34</v>
      </c>
      <c r="U2576" s="785">
        <v>44708.586967592601</v>
      </c>
    </row>
    <row r="2577" spans="1:21">
      <c r="A2577" s="782">
        <v>44707</v>
      </c>
      <c r="B2577" s="783" t="s">
        <v>30</v>
      </c>
      <c r="C2577" s="783" t="s">
        <v>4939</v>
      </c>
      <c r="D2577" s="783" t="s">
        <v>4021</v>
      </c>
      <c r="E2577" s="783" t="s">
        <v>5883</v>
      </c>
      <c r="F2577" s="783" t="s">
        <v>4011</v>
      </c>
      <c r="G2577" s="783" t="str">
        <f t="shared" si="137"/>
        <v>Renewal (25% in 2020)</v>
      </c>
      <c r="H2577" s="783" t="s">
        <v>5884</v>
      </c>
      <c r="I2577" s="783" t="s">
        <v>5885</v>
      </c>
      <c r="J2577" s="783">
        <v>25</v>
      </c>
      <c r="K2577" s="783" t="s">
        <v>866</v>
      </c>
      <c r="L2577" s="783" t="s">
        <v>4014</v>
      </c>
      <c r="M2577" s="784">
        <v>7276.33</v>
      </c>
      <c r="N2577" s="784">
        <v>8.41</v>
      </c>
      <c r="O2577" s="784">
        <v>6.18</v>
      </c>
      <c r="P2577" s="783">
        <v>140</v>
      </c>
      <c r="Q2577" s="783">
        <v>522.44000000000005</v>
      </c>
      <c r="R2577" s="783">
        <v>382.74</v>
      </c>
      <c r="S2577" s="783">
        <v>82.22</v>
      </c>
      <c r="T2577" s="783">
        <v>57.48</v>
      </c>
      <c r="U2577" s="785">
        <v>44708.582476851901</v>
      </c>
    </row>
    <row r="2578" spans="1:21">
      <c r="A2578" s="782">
        <v>44711</v>
      </c>
      <c r="B2578" s="783" t="s">
        <v>74</v>
      </c>
      <c r="C2578" s="783" t="s">
        <v>4037</v>
      </c>
      <c r="D2578" s="783" t="s">
        <v>4038</v>
      </c>
      <c r="E2578" s="783" t="s">
        <v>4393</v>
      </c>
      <c r="F2578" s="783" t="s">
        <v>4011</v>
      </c>
      <c r="G2578" s="783" t="str">
        <f t="shared" si="137"/>
        <v>Renewal (15% in 2020)</v>
      </c>
      <c r="H2578" s="783" t="s">
        <v>4394</v>
      </c>
      <c r="I2578" s="783" t="s">
        <v>4395</v>
      </c>
      <c r="J2578" s="783">
        <v>30</v>
      </c>
      <c r="K2578" s="783" t="s">
        <v>866</v>
      </c>
      <c r="L2578" s="783" t="s">
        <v>4014</v>
      </c>
      <c r="M2578" s="784">
        <v>24405.94</v>
      </c>
      <c r="N2578" s="784">
        <v>15.34</v>
      </c>
      <c r="O2578" s="784">
        <v>8.6</v>
      </c>
      <c r="P2578" s="783">
        <v>185</v>
      </c>
      <c r="Q2578" s="783">
        <v>1749.91</v>
      </c>
      <c r="R2578" s="783">
        <v>1172.43</v>
      </c>
      <c r="S2578" s="783">
        <v>174.77</v>
      </c>
      <c r="T2578" s="783">
        <v>402.7</v>
      </c>
      <c r="U2578" s="785">
        <v>44713.998842592599</v>
      </c>
    </row>
    <row r="2579" spans="1:21">
      <c r="A2579" s="782">
        <v>44659</v>
      </c>
      <c r="B2579" s="783" t="s">
        <v>113</v>
      </c>
      <c r="C2579" s="783" t="s">
        <v>4606</v>
      </c>
      <c r="D2579" s="783" t="s">
        <v>4009</v>
      </c>
      <c r="E2579" s="783" t="s">
        <v>6963</v>
      </c>
      <c r="F2579" s="783" t="s">
        <v>4066</v>
      </c>
      <c r="G2579" s="783" t="str">
        <f t="shared" si="137"/>
        <v>Renewal (30% in 2020)</v>
      </c>
      <c r="H2579" s="783" t="s">
        <v>6964</v>
      </c>
      <c r="I2579" s="783" t="s">
        <v>6965</v>
      </c>
      <c r="J2579" s="783">
        <v>10</v>
      </c>
      <c r="K2579" s="783" t="s">
        <v>866</v>
      </c>
      <c r="L2579" s="783" t="s">
        <v>4014</v>
      </c>
      <c r="M2579" s="784">
        <v>41860</v>
      </c>
      <c r="N2579" s="784">
        <v>16</v>
      </c>
      <c r="O2579" s="784">
        <v>12.5</v>
      </c>
      <c r="P2579" s="783">
        <v>209.3</v>
      </c>
      <c r="Q2579" s="783">
        <v>1167.8900000000001</v>
      </c>
      <c r="R2579" s="783">
        <v>0</v>
      </c>
      <c r="S2579" s="783">
        <v>0</v>
      </c>
      <c r="T2579" s="783">
        <v>1167.8900000000001</v>
      </c>
      <c r="U2579" s="785">
        <v>44659.3976736111</v>
      </c>
    </row>
    <row r="2580" spans="1:21">
      <c r="A2580" s="782">
        <v>44687</v>
      </c>
      <c r="B2580" s="783" t="s">
        <v>228</v>
      </c>
      <c r="C2580" s="783" t="s">
        <v>4675</v>
      </c>
      <c r="D2580" s="783" t="s">
        <v>4193</v>
      </c>
      <c r="E2580" s="783" t="s">
        <v>4676</v>
      </c>
      <c r="F2580" s="783" t="s">
        <v>4011</v>
      </c>
      <c r="G2580" s="783" t="str">
        <f t="shared" si="137"/>
        <v>Renewal (25% in 2020)</v>
      </c>
      <c r="H2580" s="783" t="s">
        <v>4677</v>
      </c>
      <c r="I2580" s="783" t="s">
        <v>4678</v>
      </c>
      <c r="J2580" s="783">
        <v>25</v>
      </c>
      <c r="K2580" s="783" t="s">
        <v>866</v>
      </c>
      <c r="L2580" s="783" t="s">
        <v>4014</v>
      </c>
      <c r="M2580" s="784">
        <v>25839</v>
      </c>
      <c r="N2580" s="784">
        <v>11</v>
      </c>
      <c r="O2580" s="784">
        <v>7.83</v>
      </c>
      <c r="P2580" s="783">
        <v>300</v>
      </c>
      <c r="Q2580" s="783">
        <v>1790.64</v>
      </c>
      <c r="R2580" s="783">
        <v>708.6</v>
      </c>
      <c r="S2580" s="783">
        <v>826.24</v>
      </c>
      <c r="T2580" s="783">
        <v>255.81</v>
      </c>
      <c r="U2580" s="785">
        <v>44704.413402777798</v>
      </c>
    </row>
    <row r="2581" spans="1:21">
      <c r="A2581" s="782">
        <v>44689</v>
      </c>
      <c r="B2581" s="783" t="s">
        <v>113</v>
      </c>
      <c r="C2581" s="783" t="s">
        <v>4606</v>
      </c>
      <c r="D2581" s="783" t="s">
        <v>4009</v>
      </c>
      <c r="E2581" s="783" t="s">
        <v>6966</v>
      </c>
      <c r="F2581" s="783" t="s">
        <v>4011</v>
      </c>
      <c r="G2581" s="783" t="s">
        <v>4028</v>
      </c>
      <c r="H2581" s="783" t="s">
        <v>6967</v>
      </c>
      <c r="I2581" s="783" t="s">
        <v>6968</v>
      </c>
      <c r="J2581" s="783">
        <v>20</v>
      </c>
      <c r="K2581" s="783" t="s">
        <v>866</v>
      </c>
      <c r="L2581" s="783" t="s">
        <v>4014</v>
      </c>
      <c r="M2581" s="784">
        <v>53550</v>
      </c>
      <c r="N2581" s="784">
        <v>30</v>
      </c>
      <c r="O2581" s="784">
        <v>10.199999999999999</v>
      </c>
      <c r="P2581" s="783">
        <v>175</v>
      </c>
      <c r="Q2581" s="783">
        <v>3968.06</v>
      </c>
      <c r="R2581" s="783">
        <v>1950.93</v>
      </c>
      <c r="S2581" s="783">
        <v>517.72</v>
      </c>
      <c r="T2581" s="783">
        <v>1499.4</v>
      </c>
      <c r="U2581" s="785">
        <v>44690.641585648104</v>
      </c>
    </row>
    <row r="2582" spans="1:21">
      <c r="A2582" s="782">
        <v>44662</v>
      </c>
      <c r="B2582" s="783" t="s">
        <v>41</v>
      </c>
      <c r="C2582" s="783" t="s">
        <v>4139</v>
      </c>
      <c r="D2582" s="783" t="s">
        <v>4009</v>
      </c>
      <c r="E2582" s="783" t="s">
        <v>5900</v>
      </c>
      <c r="F2582" s="783" t="s">
        <v>4011</v>
      </c>
      <c r="G2582" s="783" t="str">
        <f t="shared" ref="G2582:G2587" si="138">VLOOKUP(I2582,pacage,2,FALSE)</f>
        <v>Renewal (15% in 2020)</v>
      </c>
      <c r="H2582" s="783" t="s">
        <v>5901</v>
      </c>
      <c r="I2582" s="783" t="s">
        <v>5902</v>
      </c>
      <c r="J2582" s="783">
        <v>15</v>
      </c>
      <c r="K2582" s="783" t="s">
        <v>866</v>
      </c>
      <c r="L2582" s="783" t="s">
        <v>4014</v>
      </c>
      <c r="M2582" s="784">
        <v>2666.48</v>
      </c>
      <c r="N2582" s="784">
        <v>3.38</v>
      </c>
      <c r="O2582" s="784">
        <v>4.9000000000000004</v>
      </c>
      <c r="P2582" s="783">
        <v>161</v>
      </c>
      <c r="Q2582" s="783">
        <v>274.91000000000003</v>
      </c>
      <c r="R2582" s="783">
        <v>123.99</v>
      </c>
      <c r="S2582" s="783">
        <v>20.27</v>
      </c>
      <c r="T2582" s="783">
        <v>130.66</v>
      </c>
      <c r="U2582" s="785">
        <v>44663.430057870399</v>
      </c>
    </row>
    <row r="2583" spans="1:21">
      <c r="A2583" s="782">
        <v>44670</v>
      </c>
      <c r="B2583" s="783" t="s">
        <v>113</v>
      </c>
      <c r="C2583" s="783" t="s">
        <v>4606</v>
      </c>
      <c r="D2583" s="783" t="s">
        <v>4009</v>
      </c>
      <c r="E2583" s="783" t="s">
        <v>2324</v>
      </c>
      <c r="F2583" s="783" t="s">
        <v>4011</v>
      </c>
      <c r="G2583" s="783" t="str">
        <f t="shared" si="138"/>
        <v>Renewal (25% in 2020)</v>
      </c>
      <c r="H2583" s="783" t="s">
        <v>6969</v>
      </c>
      <c r="I2583" s="783" t="s">
        <v>6970</v>
      </c>
      <c r="J2583" s="783">
        <v>25</v>
      </c>
      <c r="K2583" s="783" t="s">
        <v>866</v>
      </c>
      <c r="L2583" s="783" t="s">
        <v>4014</v>
      </c>
      <c r="M2583" s="784">
        <v>90000.66</v>
      </c>
      <c r="N2583" s="784">
        <v>48.94</v>
      </c>
      <c r="O2583" s="784">
        <v>12.26</v>
      </c>
      <c r="P2583" s="783">
        <v>150</v>
      </c>
      <c r="Q2583" s="783">
        <v>5382.04</v>
      </c>
      <c r="R2583" s="783">
        <v>3564.03</v>
      </c>
      <c r="S2583" s="783">
        <v>585</v>
      </c>
      <c r="T2583" s="783">
        <v>1233.01</v>
      </c>
      <c r="U2583" s="785">
        <v>44671.494039351899</v>
      </c>
    </row>
    <row r="2584" spans="1:21">
      <c r="A2584" s="782">
        <v>44672</v>
      </c>
      <c r="B2584" s="783" t="s">
        <v>113</v>
      </c>
      <c r="C2584" s="783" t="s">
        <v>4598</v>
      </c>
      <c r="D2584" s="783" t="s">
        <v>4009</v>
      </c>
      <c r="E2584" s="783" t="s">
        <v>6753</v>
      </c>
      <c r="F2584" s="783" t="s">
        <v>4011</v>
      </c>
      <c r="G2584" s="783" t="str">
        <f t="shared" si="138"/>
        <v>Renewal (30% in 2020)</v>
      </c>
      <c r="H2584" s="783" t="s">
        <v>6754</v>
      </c>
      <c r="I2584" s="783" t="s">
        <v>6755</v>
      </c>
      <c r="J2584" s="783">
        <v>30</v>
      </c>
      <c r="K2584" s="783" t="s">
        <v>866</v>
      </c>
      <c r="L2584" s="783" t="s">
        <v>4014</v>
      </c>
      <c r="M2584" s="784">
        <v>71418.73</v>
      </c>
      <c r="N2584" s="784">
        <v>31.98</v>
      </c>
      <c r="O2584" s="784">
        <v>10.67</v>
      </c>
      <c r="P2584" s="783">
        <v>209.3</v>
      </c>
      <c r="Q2584" s="783">
        <v>3556.65</v>
      </c>
      <c r="R2584" s="783">
        <v>2043.67</v>
      </c>
      <c r="S2584" s="783">
        <v>613.1</v>
      </c>
      <c r="T2584" s="783">
        <v>899.88</v>
      </c>
      <c r="U2584" s="785">
        <v>44673.375370370399</v>
      </c>
    </row>
    <row r="2585" spans="1:21">
      <c r="A2585" s="782">
        <v>44672</v>
      </c>
      <c r="B2585" s="783" t="s">
        <v>113</v>
      </c>
      <c r="C2585" s="783" t="s">
        <v>4606</v>
      </c>
      <c r="D2585" s="783" t="s">
        <v>4009</v>
      </c>
      <c r="E2585" s="783" t="s">
        <v>2202</v>
      </c>
      <c r="F2585" s="783" t="s">
        <v>4011</v>
      </c>
      <c r="G2585" s="783" t="str">
        <f t="shared" si="138"/>
        <v>Renewal (25% in 2020)</v>
      </c>
      <c r="H2585" s="783" t="s">
        <v>6971</v>
      </c>
      <c r="I2585" s="783" t="s">
        <v>6972</v>
      </c>
      <c r="J2585" s="783">
        <v>25</v>
      </c>
      <c r="K2585" s="783" t="s">
        <v>866</v>
      </c>
      <c r="L2585" s="783" t="s">
        <v>4014</v>
      </c>
      <c r="M2585" s="784">
        <v>89821.93</v>
      </c>
      <c r="N2585" s="784">
        <v>39.07</v>
      </c>
      <c r="O2585" s="784">
        <v>11</v>
      </c>
      <c r="P2585" s="783">
        <v>209</v>
      </c>
      <c r="Q2585" s="783">
        <v>5371.35</v>
      </c>
      <c r="R2585" s="783">
        <v>2740.04</v>
      </c>
      <c r="S2585" s="783">
        <v>1400.75</v>
      </c>
      <c r="T2585" s="783">
        <v>1230.56</v>
      </c>
      <c r="U2585" s="785">
        <v>44673.392083333303</v>
      </c>
    </row>
    <row r="2586" spans="1:21">
      <c r="A2586" s="782">
        <v>44676</v>
      </c>
      <c r="B2586" s="783" t="s">
        <v>41</v>
      </c>
      <c r="C2586" s="783" t="s">
        <v>4082</v>
      </c>
      <c r="D2586" s="783" t="s">
        <v>4009</v>
      </c>
      <c r="E2586" s="783" t="s">
        <v>4679</v>
      </c>
      <c r="F2586" s="783" t="s">
        <v>4011</v>
      </c>
      <c r="G2586" s="783" t="str">
        <f t="shared" si="138"/>
        <v>Renewal (25% in 2020)</v>
      </c>
      <c r="H2586" s="783" t="s">
        <v>4680</v>
      </c>
      <c r="I2586" s="783" t="s">
        <v>4681</v>
      </c>
      <c r="J2586" s="783">
        <v>25</v>
      </c>
      <c r="K2586" s="783" t="s">
        <v>866</v>
      </c>
      <c r="L2586" s="783" t="s">
        <v>4014</v>
      </c>
      <c r="M2586" s="784">
        <v>9823.52</v>
      </c>
      <c r="N2586" s="784">
        <v>6.97</v>
      </c>
      <c r="O2586" s="784">
        <v>7.83</v>
      </c>
      <c r="P2586" s="783">
        <v>180</v>
      </c>
      <c r="Q2586" s="783">
        <v>590.39</v>
      </c>
      <c r="R2586" s="783">
        <v>405.94</v>
      </c>
      <c r="S2586" s="783">
        <v>133.37</v>
      </c>
      <c r="T2586" s="783">
        <v>51.08</v>
      </c>
      <c r="U2586" s="785">
        <v>44676.729212963</v>
      </c>
    </row>
    <row r="2587" spans="1:21">
      <c r="A2587" s="782">
        <v>44670</v>
      </c>
      <c r="B2587" s="783" t="s">
        <v>74</v>
      </c>
      <c r="C2587" s="783" t="s">
        <v>4097</v>
      </c>
      <c r="D2587" s="783" t="s">
        <v>4038</v>
      </c>
      <c r="E2587" s="783" t="s">
        <v>4402</v>
      </c>
      <c r="F2587" s="783" t="s">
        <v>4011</v>
      </c>
      <c r="G2587" s="783" t="str">
        <f t="shared" si="138"/>
        <v>Renewal (15% in 2020)</v>
      </c>
      <c r="H2587" s="783" t="s">
        <v>4403</v>
      </c>
      <c r="I2587" s="783" t="s">
        <v>4404</v>
      </c>
      <c r="J2587" s="783">
        <v>15</v>
      </c>
      <c r="K2587" s="783" t="s">
        <v>866</v>
      </c>
      <c r="L2587" s="783" t="s">
        <v>4014</v>
      </c>
      <c r="M2587" s="784">
        <v>4111.88</v>
      </c>
      <c r="N2587" s="784">
        <v>3.75</v>
      </c>
      <c r="O2587" s="784">
        <v>6.45</v>
      </c>
      <c r="P2587" s="783">
        <v>170</v>
      </c>
      <c r="Q2587" s="783">
        <v>439.97</v>
      </c>
      <c r="R2587" s="783">
        <v>177.96</v>
      </c>
      <c r="S2587" s="783">
        <v>40.79</v>
      </c>
      <c r="T2587" s="783">
        <v>221.22</v>
      </c>
      <c r="U2587" s="785">
        <v>44671.492812500001</v>
      </c>
    </row>
    <row r="2588" spans="1:21">
      <c r="A2588" s="782">
        <v>44672</v>
      </c>
      <c r="B2588" s="783" t="s">
        <v>113</v>
      </c>
      <c r="C2588" s="783" t="s">
        <v>4606</v>
      </c>
      <c r="D2588" s="783" t="s">
        <v>4009</v>
      </c>
      <c r="E2588" s="783" t="s">
        <v>6973</v>
      </c>
      <c r="F2588" s="783" t="s">
        <v>4011</v>
      </c>
      <c r="G2588" s="783" t="s">
        <v>4028</v>
      </c>
      <c r="H2588" s="783" t="s">
        <v>6974</v>
      </c>
      <c r="I2588" s="783" t="s">
        <v>6975</v>
      </c>
      <c r="J2588" s="783">
        <v>25</v>
      </c>
      <c r="K2588" s="783" t="s">
        <v>866</v>
      </c>
      <c r="L2588" s="783" t="s">
        <v>4014</v>
      </c>
      <c r="M2588" s="784">
        <v>16552.8</v>
      </c>
      <c r="N2588" s="784">
        <v>9</v>
      </c>
      <c r="O2588" s="784">
        <v>8.8000000000000007</v>
      </c>
      <c r="P2588" s="783">
        <v>209</v>
      </c>
      <c r="Q2588" s="783">
        <v>989.86</v>
      </c>
      <c r="R2588" s="783">
        <v>504.95</v>
      </c>
      <c r="S2588" s="783">
        <v>258.14</v>
      </c>
      <c r="T2588" s="783">
        <v>226.77</v>
      </c>
      <c r="U2588" s="785">
        <v>44673.389398148101</v>
      </c>
    </row>
    <row r="2589" spans="1:21">
      <c r="A2589" s="782">
        <v>44678</v>
      </c>
      <c r="B2589" s="783" t="s">
        <v>113</v>
      </c>
      <c r="C2589" s="783" t="s">
        <v>4606</v>
      </c>
      <c r="D2589" s="783" t="s">
        <v>4009</v>
      </c>
      <c r="E2589" s="783" t="s">
        <v>6684</v>
      </c>
      <c r="F2589" s="783" t="s">
        <v>4011</v>
      </c>
      <c r="G2589" s="783" t="s">
        <v>4028</v>
      </c>
      <c r="H2589" s="783" t="s">
        <v>6685</v>
      </c>
      <c r="I2589" s="783" t="s">
        <v>6686</v>
      </c>
      <c r="J2589" s="783">
        <v>25</v>
      </c>
      <c r="K2589" s="783" t="s">
        <v>866</v>
      </c>
      <c r="L2589" s="783" t="s">
        <v>4014</v>
      </c>
      <c r="M2589" s="784">
        <v>5720</v>
      </c>
      <c r="N2589" s="784">
        <v>4.4000000000000004</v>
      </c>
      <c r="O2589" s="784">
        <v>10</v>
      </c>
      <c r="P2589" s="783">
        <v>130</v>
      </c>
      <c r="Q2589" s="783">
        <v>342.06</v>
      </c>
      <c r="R2589" s="783">
        <v>226.51</v>
      </c>
      <c r="S2589" s="783">
        <v>37.18</v>
      </c>
      <c r="T2589" s="783">
        <v>78.36</v>
      </c>
      <c r="U2589" s="785">
        <v>44680.665173611102</v>
      </c>
    </row>
    <row r="2590" spans="1:21">
      <c r="A2590" s="782">
        <v>44671</v>
      </c>
      <c r="B2590" s="783" t="s">
        <v>41</v>
      </c>
      <c r="C2590" s="783" t="s">
        <v>4082</v>
      </c>
      <c r="D2590" s="783" t="s">
        <v>4009</v>
      </c>
      <c r="E2590" s="783" t="s">
        <v>4682</v>
      </c>
      <c r="F2590" s="783" t="s">
        <v>4011</v>
      </c>
      <c r="G2590" s="783" t="str">
        <f t="shared" ref="G2590:G2596" si="139">VLOOKUP(I2590,pacage,2,FALSE)</f>
        <v>Renewal (25% in 2020)</v>
      </c>
      <c r="H2590" s="783" t="s">
        <v>4683</v>
      </c>
      <c r="I2590" s="783" t="s">
        <v>4684</v>
      </c>
      <c r="J2590" s="783">
        <v>25</v>
      </c>
      <c r="K2590" s="783" t="s">
        <v>866</v>
      </c>
      <c r="L2590" s="783" t="s">
        <v>4014</v>
      </c>
      <c r="M2590" s="784">
        <v>5541.17</v>
      </c>
      <c r="N2590" s="784">
        <v>5.16</v>
      </c>
      <c r="O2590" s="784">
        <v>6.67</v>
      </c>
      <c r="P2590" s="783">
        <v>161</v>
      </c>
      <c r="Q2590" s="783">
        <v>333.02</v>
      </c>
      <c r="R2590" s="783">
        <v>256</v>
      </c>
      <c r="S2590" s="783">
        <v>48.21</v>
      </c>
      <c r="T2590" s="783">
        <v>28.81</v>
      </c>
      <c r="U2590" s="785">
        <v>44673.370185185202</v>
      </c>
    </row>
    <row r="2591" spans="1:21">
      <c r="A2591" s="782">
        <v>44671</v>
      </c>
      <c r="B2591" s="783" t="s">
        <v>113</v>
      </c>
      <c r="C2591" s="783" t="s">
        <v>4606</v>
      </c>
      <c r="D2591" s="783" t="s">
        <v>4009</v>
      </c>
      <c r="E2591" s="783" t="s">
        <v>6756</v>
      </c>
      <c r="F2591" s="783" t="s">
        <v>4011</v>
      </c>
      <c r="G2591" s="783" t="str">
        <f t="shared" si="139"/>
        <v>Renewal (30% in 2020)</v>
      </c>
      <c r="H2591" s="783" t="s">
        <v>6757</v>
      </c>
      <c r="I2591" s="783" t="s">
        <v>6758</v>
      </c>
      <c r="J2591" s="783">
        <v>30</v>
      </c>
      <c r="K2591" s="783" t="s">
        <v>866</v>
      </c>
      <c r="L2591" s="783" t="s">
        <v>4014</v>
      </c>
      <c r="M2591" s="784">
        <v>36273.99</v>
      </c>
      <c r="N2591" s="784">
        <v>24.41</v>
      </c>
      <c r="O2591" s="784">
        <v>9.23</v>
      </c>
      <c r="P2591" s="783">
        <v>161</v>
      </c>
      <c r="Q2591" s="783">
        <v>1944.29</v>
      </c>
      <c r="R2591" s="783">
        <v>1436.45</v>
      </c>
      <c r="S2591" s="783">
        <v>0</v>
      </c>
      <c r="T2591" s="783">
        <v>507.84</v>
      </c>
      <c r="U2591" s="785">
        <v>44708.9596296296</v>
      </c>
    </row>
    <row r="2592" spans="1:21">
      <c r="A2592" s="782">
        <v>44671</v>
      </c>
      <c r="B2592" s="783" t="s">
        <v>113</v>
      </c>
      <c r="C2592" s="783" t="s">
        <v>4606</v>
      </c>
      <c r="D2592" s="783" t="s">
        <v>4009</v>
      </c>
      <c r="E2592" s="783" t="s">
        <v>6976</v>
      </c>
      <c r="F2592" s="783" t="s">
        <v>4011</v>
      </c>
      <c r="G2592" s="783" t="str">
        <f t="shared" si="139"/>
        <v>Renewal (20% in 2020)</v>
      </c>
      <c r="H2592" s="783" t="s">
        <v>6977</v>
      </c>
      <c r="I2592" s="783" t="s">
        <v>6978</v>
      </c>
      <c r="J2592" s="783">
        <v>20</v>
      </c>
      <c r="K2592" s="783" t="s">
        <v>866</v>
      </c>
      <c r="L2592" s="783" t="s">
        <v>4014</v>
      </c>
      <c r="M2592" s="784">
        <v>34382.32</v>
      </c>
      <c r="N2592" s="784">
        <v>12.53</v>
      </c>
      <c r="O2592" s="784">
        <v>9.8000000000000007</v>
      </c>
      <c r="P2592" s="783">
        <v>280</v>
      </c>
      <c r="Q2592" s="783">
        <v>2547.73</v>
      </c>
      <c r="R2592" s="783">
        <v>782.89</v>
      </c>
      <c r="S2592" s="783">
        <v>802.14</v>
      </c>
      <c r="T2592" s="783">
        <v>962.7</v>
      </c>
      <c r="U2592" s="785">
        <v>44673.366805555597</v>
      </c>
    </row>
    <row r="2593" spans="1:21">
      <c r="A2593" s="782">
        <v>44671</v>
      </c>
      <c r="B2593" s="783" t="s">
        <v>113</v>
      </c>
      <c r="C2593" s="783" t="s">
        <v>4598</v>
      </c>
      <c r="D2593" s="783" t="s">
        <v>4009</v>
      </c>
      <c r="E2593" s="783" t="s">
        <v>6976</v>
      </c>
      <c r="F2593" s="783" t="s">
        <v>4011</v>
      </c>
      <c r="G2593" s="783" t="str">
        <f t="shared" si="139"/>
        <v>Renewal (20% in 2020)</v>
      </c>
      <c r="H2593" s="783" t="s">
        <v>6977</v>
      </c>
      <c r="I2593" s="783" t="s">
        <v>6978</v>
      </c>
      <c r="J2593" s="783">
        <v>20</v>
      </c>
      <c r="K2593" s="783" t="s">
        <v>866</v>
      </c>
      <c r="L2593" s="783" t="s">
        <v>4014</v>
      </c>
      <c r="M2593" s="784">
        <v>12348</v>
      </c>
      <c r="N2593" s="784">
        <v>4.5</v>
      </c>
      <c r="O2593" s="784">
        <v>9.8000000000000007</v>
      </c>
      <c r="P2593" s="783">
        <v>280</v>
      </c>
      <c r="Q2593" s="783">
        <v>903.87</v>
      </c>
      <c r="R2593" s="783">
        <v>264.12</v>
      </c>
      <c r="S2593" s="783">
        <v>311.29000000000002</v>
      </c>
      <c r="T2593" s="783">
        <v>328.46</v>
      </c>
      <c r="U2593" s="785">
        <v>44673.366817129601</v>
      </c>
    </row>
    <row r="2594" spans="1:21">
      <c r="A2594" s="782">
        <v>44704</v>
      </c>
      <c r="B2594" s="783" t="s">
        <v>41</v>
      </c>
      <c r="C2594" s="783" t="s">
        <v>4082</v>
      </c>
      <c r="D2594" s="783" t="s">
        <v>4009</v>
      </c>
      <c r="E2594" s="783" t="s">
        <v>94</v>
      </c>
      <c r="F2594" s="783" t="s">
        <v>4011</v>
      </c>
      <c r="G2594" s="783" t="str">
        <f t="shared" si="139"/>
        <v>Renewal (25% in 2020)</v>
      </c>
      <c r="H2594" s="783" t="s">
        <v>4685</v>
      </c>
      <c r="I2594" s="783" t="s">
        <v>4686</v>
      </c>
      <c r="J2594" s="783">
        <v>25</v>
      </c>
      <c r="K2594" s="783" t="s">
        <v>866</v>
      </c>
      <c r="L2594" s="783" t="s">
        <v>4014</v>
      </c>
      <c r="M2594" s="784">
        <v>3293.65</v>
      </c>
      <c r="N2594" s="784">
        <v>2.76</v>
      </c>
      <c r="O2594" s="784">
        <v>8.23</v>
      </c>
      <c r="P2594" s="783">
        <v>145</v>
      </c>
      <c r="Q2594" s="783">
        <v>197.95</v>
      </c>
      <c r="R2594" s="783">
        <v>152.16999999999999</v>
      </c>
      <c r="S2594" s="783">
        <v>28.65</v>
      </c>
      <c r="T2594" s="783">
        <v>17.13</v>
      </c>
      <c r="U2594" s="785">
        <v>44704.568576388898</v>
      </c>
    </row>
    <row r="2595" spans="1:21">
      <c r="A2595" s="782">
        <v>44672</v>
      </c>
      <c r="B2595" s="783" t="s">
        <v>113</v>
      </c>
      <c r="C2595" s="783" t="s">
        <v>4606</v>
      </c>
      <c r="D2595" s="783" t="s">
        <v>4009</v>
      </c>
      <c r="E2595" s="783" t="s">
        <v>2994</v>
      </c>
      <c r="F2595" s="783" t="s">
        <v>4011</v>
      </c>
      <c r="G2595" s="783" t="str">
        <f t="shared" si="139"/>
        <v>Renewal (25% in 2020)</v>
      </c>
      <c r="H2595" s="783" t="s">
        <v>6590</v>
      </c>
      <c r="I2595" s="783" t="s">
        <v>6591</v>
      </c>
      <c r="J2595" s="783">
        <v>25</v>
      </c>
      <c r="K2595" s="783" t="s">
        <v>866</v>
      </c>
      <c r="L2595" s="783" t="s">
        <v>4014</v>
      </c>
      <c r="M2595" s="784">
        <v>50031.68</v>
      </c>
      <c r="N2595" s="784">
        <v>21.64</v>
      </c>
      <c r="O2595" s="784">
        <v>11.56</v>
      </c>
      <c r="P2595" s="783">
        <v>200</v>
      </c>
      <c r="Q2595" s="783">
        <v>2991.89</v>
      </c>
      <c r="R2595" s="783">
        <v>1594.91</v>
      </c>
      <c r="S2595" s="783">
        <v>711.55</v>
      </c>
      <c r="T2595" s="783">
        <v>685.43</v>
      </c>
      <c r="U2595" s="785">
        <v>44673.378842592603</v>
      </c>
    </row>
    <row r="2596" spans="1:21">
      <c r="A2596" s="782">
        <v>44672</v>
      </c>
      <c r="B2596" s="783" t="s">
        <v>113</v>
      </c>
      <c r="C2596" s="783" t="s">
        <v>4606</v>
      </c>
      <c r="D2596" s="783" t="s">
        <v>4009</v>
      </c>
      <c r="E2596" s="783" t="s">
        <v>3106</v>
      </c>
      <c r="F2596" s="783" t="s">
        <v>4011</v>
      </c>
      <c r="G2596" s="783" t="str">
        <f t="shared" si="139"/>
        <v>Renewal (25% in 2020)</v>
      </c>
      <c r="H2596" s="783" t="s">
        <v>6759</v>
      </c>
      <c r="I2596" s="783" t="s">
        <v>6760</v>
      </c>
      <c r="J2596" s="783">
        <v>25</v>
      </c>
      <c r="K2596" s="783" t="s">
        <v>866</v>
      </c>
      <c r="L2596" s="783" t="s">
        <v>4014</v>
      </c>
      <c r="M2596" s="784">
        <v>25558</v>
      </c>
      <c r="N2596" s="784">
        <v>13</v>
      </c>
      <c r="O2596" s="784">
        <v>9.83</v>
      </c>
      <c r="P2596" s="783">
        <v>200</v>
      </c>
      <c r="Q2596" s="783">
        <v>1528.37</v>
      </c>
      <c r="R2596" s="783">
        <v>814.74</v>
      </c>
      <c r="S2596" s="783">
        <v>363.49</v>
      </c>
      <c r="T2596" s="783">
        <v>350.14</v>
      </c>
      <c r="U2596" s="785">
        <v>44673.391018518501</v>
      </c>
    </row>
    <row r="2597" spans="1:21">
      <c r="A2597" s="782">
        <v>44676</v>
      </c>
      <c r="B2597" s="783" t="s">
        <v>113</v>
      </c>
      <c r="C2597" s="783" t="s">
        <v>4606</v>
      </c>
      <c r="D2597" s="783" t="s">
        <v>4009</v>
      </c>
      <c r="E2597" s="783" t="s">
        <v>6979</v>
      </c>
      <c r="F2597" s="783" t="s">
        <v>4011</v>
      </c>
      <c r="G2597" s="783" t="s">
        <v>4028</v>
      </c>
      <c r="H2597" s="783" t="s">
        <v>6980</v>
      </c>
      <c r="I2597" s="783" t="s">
        <v>6981</v>
      </c>
      <c r="J2597" s="783">
        <v>25</v>
      </c>
      <c r="K2597" s="783" t="s">
        <v>866</v>
      </c>
      <c r="L2597" s="783" t="s">
        <v>4014</v>
      </c>
      <c r="M2597" s="784">
        <v>73018.399999999994</v>
      </c>
      <c r="N2597" s="784">
        <v>52</v>
      </c>
      <c r="O2597" s="784">
        <v>10.029999999999999</v>
      </c>
      <c r="P2597" s="783">
        <v>140</v>
      </c>
      <c r="Q2597" s="783">
        <v>4366.5</v>
      </c>
      <c r="R2597" s="783">
        <v>2891.53</v>
      </c>
      <c r="S2597" s="783">
        <v>474.62</v>
      </c>
      <c r="T2597" s="783">
        <v>1000.35</v>
      </c>
      <c r="U2597" s="785">
        <v>44676.730162036998</v>
      </c>
    </row>
    <row r="2598" spans="1:21">
      <c r="A2598" s="782">
        <v>44673</v>
      </c>
      <c r="B2598" s="783" t="s">
        <v>41</v>
      </c>
      <c r="C2598" s="783" t="s">
        <v>4008</v>
      </c>
      <c r="D2598" s="783" t="s">
        <v>4009</v>
      </c>
      <c r="E2598" s="783" t="s">
        <v>6982</v>
      </c>
      <c r="F2598" s="783" t="s">
        <v>4011</v>
      </c>
      <c r="G2598" s="783" t="str">
        <f t="shared" ref="G2598:G2604" si="140">VLOOKUP(I2598,pacage,2,FALSE)</f>
        <v>Renewal (30% in 2020)</v>
      </c>
      <c r="H2598" s="783" t="s">
        <v>6983</v>
      </c>
      <c r="I2598" s="783" t="s">
        <v>6984</v>
      </c>
      <c r="J2598" s="783">
        <v>25</v>
      </c>
      <c r="K2598" s="783" t="s">
        <v>866</v>
      </c>
      <c r="L2598" s="783" t="s">
        <v>4014</v>
      </c>
      <c r="M2598" s="784">
        <v>8795.76</v>
      </c>
      <c r="N2598" s="784">
        <v>10.72</v>
      </c>
      <c r="O2598" s="784">
        <v>5.47</v>
      </c>
      <c r="P2598" s="783">
        <v>150</v>
      </c>
      <c r="Q2598" s="783">
        <v>590.20000000000005</v>
      </c>
      <c r="R2598" s="783">
        <v>428.35</v>
      </c>
      <c r="S2598" s="783">
        <v>69.489999999999995</v>
      </c>
      <c r="T2598" s="783">
        <v>92.36</v>
      </c>
      <c r="U2598" s="785">
        <v>44676.706840277802</v>
      </c>
    </row>
    <row r="2599" spans="1:21">
      <c r="A2599" s="782">
        <v>44677</v>
      </c>
      <c r="B2599" s="783" t="s">
        <v>113</v>
      </c>
      <c r="C2599" s="783" t="s">
        <v>4606</v>
      </c>
      <c r="D2599" s="783" t="s">
        <v>4009</v>
      </c>
      <c r="E2599" s="783" t="s">
        <v>6985</v>
      </c>
      <c r="F2599" s="783" t="s">
        <v>4011</v>
      </c>
      <c r="G2599" s="783" t="str">
        <f t="shared" si="140"/>
        <v>Renewal (25% in 2020)</v>
      </c>
      <c r="H2599" s="783" t="s">
        <v>6986</v>
      </c>
      <c r="I2599" s="783" t="s">
        <v>6987</v>
      </c>
      <c r="J2599" s="783">
        <v>25</v>
      </c>
      <c r="K2599" s="783" t="s">
        <v>866</v>
      </c>
      <c r="L2599" s="783" t="s">
        <v>4014</v>
      </c>
      <c r="M2599" s="784">
        <v>42640.800000000003</v>
      </c>
      <c r="N2599" s="784">
        <v>21.8</v>
      </c>
      <c r="O2599" s="784">
        <v>9.7799999999999994</v>
      </c>
      <c r="P2599" s="783">
        <v>200</v>
      </c>
      <c r="Q2599" s="783">
        <v>2549.92</v>
      </c>
      <c r="R2599" s="783">
        <v>1359.3</v>
      </c>
      <c r="S2599" s="783">
        <v>606.44000000000005</v>
      </c>
      <c r="T2599" s="783">
        <v>584.17999999999995</v>
      </c>
      <c r="U2599" s="785">
        <v>44678.772523148102</v>
      </c>
    </row>
    <row r="2600" spans="1:21">
      <c r="A2600" s="782">
        <v>44670</v>
      </c>
      <c r="B2600" s="783" t="s">
        <v>3078</v>
      </c>
      <c r="C2600" s="783" t="s">
        <v>4414</v>
      </c>
      <c r="D2600" s="783" t="s">
        <v>4009</v>
      </c>
      <c r="E2600" s="783" t="s">
        <v>5915</v>
      </c>
      <c r="F2600" s="783" t="s">
        <v>4011</v>
      </c>
      <c r="G2600" s="783" t="str">
        <f t="shared" si="140"/>
        <v>Renewal (25% in 2020)</v>
      </c>
      <c r="H2600" s="783" t="s">
        <v>5916</v>
      </c>
      <c r="I2600" s="783" t="s">
        <v>5917</v>
      </c>
      <c r="J2600" s="783">
        <v>25</v>
      </c>
      <c r="K2600" s="783" t="s">
        <v>866</v>
      </c>
      <c r="L2600" s="783" t="s">
        <v>4014</v>
      </c>
      <c r="M2600" s="784">
        <v>6630.62</v>
      </c>
      <c r="N2600" s="784">
        <v>6.24</v>
      </c>
      <c r="O2600" s="784">
        <v>6.6</v>
      </c>
      <c r="P2600" s="783">
        <v>161</v>
      </c>
      <c r="Q2600" s="783">
        <v>536.41999999999996</v>
      </c>
      <c r="R2600" s="783">
        <v>366.01</v>
      </c>
      <c r="S2600" s="783">
        <v>61</v>
      </c>
      <c r="T2600" s="783">
        <v>109.41</v>
      </c>
      <c r="U2600" s="785">
        <v>44671.496898148202</v>
      </c>
    </row>
    <row r="2601" spans="1:21">
      <c r="A2601" s="782">
        <v>44671</v>
      </c>
      <c r="B2601" s="783" t="s">
        <v>34</v>
      </c>
      <c r="C2601" s="783" t="s">
        <v>4082</v>
      </c>
      <c r="D2601" s="783" t="s">
        <v>4009</v>
      </c>
      <c r="E2601" s="783" t="s">
        <v>5918</v>
      </c>
      <c r="F2601" s="783" t="s">
        <v>4011</v>
      </c>
      <c r="G2601" s="783" t="str">
        <f t="shared" si="140"/>
        <v>Renewal (20% in 2020)</v>
      </c>
      <c r="H2601" s="783" t="s">
        <v>5919</v>
      </c>
      <c r="I2601" s="783" t="s">
        <v>5920</v>
      </c>
      <c r="J2601" s="783">
        <v>20</v>
      </c>
      <c r="K2601" s="783" t="s">
        <v>866</v>
      </c>
      <c r="L2601" s="783" t="s">
        <v>4014</v>
      </c>
      <c r="M2601" s="784">
        <v>1654.38</v>
      </c>
      <c r="N2601" s="784">
        <v>1.3</v>
      </c>
      <c r="O2601" s="784">
        <v>7.07</v>
      </c>
      <c r="P2601" s="783">
        <v>180</v>
      </c>
      <c r="Q2601" s="783">
        <v>129.54</v>
      </c>
      <c r="R2601" s="783">
        <v>68.36</v>
      </c>
      <c r="S2601" s="783">
        <v>22.46</v>
      </c>
      <c r="T2601" s="783">
        <v>38.71</v>
      </c>
      <c r="U2601" s="785">
        <v>44673.357094907398</v>
      </c>
    </row>
    <row r="2602" spans="1:21">
      <c r="A2602" s="782">
        <v>44671</v>
      </c>
      <c r="B2602" s="783" t="s">
        <v>113</v>
      </c>
      <c r="C2602" s="783" t="s">
        <v>4606</v>
      </c>
      <c r="D2602" s="783" t="s">
        <v>4009</v>
      </c>
      <c r="E2602" s="783" t="s">
        <v>6988</v>
      </c>
      <c r="F2602" s="783" t="s">
        <v>4011</v>
      </c>
      <c r="G2602" s="783" t="str">
        <f t="shared" si="140"/>
        <v>Renewal (25% in 2020)</v>
      </c>
      <c r="H2602" s="783" t="s">
        <v>6989</v>
      </c>
      <c r="I2602" s="783" t="s">
        <v>6990</v>
      </c>
      <c r="J2602" s="783">
        <v>30</v>
      </c>
      <c r="K2602" s="783" t="s">
        <v>866</v>
      </c>
      <c r="L2602" s="783" t="s">
        <v>4014</v>
      </c>
      <c r="M2602" s="784">
        <v>54689.599999999999</v>
      </c>
      <c r="N2602" s="784">
        <v>26.6</v>
      </c>
      <c r="O2602" s="784">
        <v>10.28</v>
      </c>
      <c r="P2602" s="783">
        <v>200</v>
      </c>
      <c r="Q2602" s="783">
        <v>2931.36</v>
      </c>
      <c r="R2602" s="783">
        <v>1743.4</v>
      </c>
      <c r="S2602" s="783">
        <v>422.31</v>
      </c>
      <c r="T2602" s="783">
        <v>765.65</v>
      </c>
      <c r="U2602" s="785">
        <v>44673.373888888898</v>
      </c>
    </row>
    <row r="2603" spans="1:21">
      <c r="A2603" s="782">
        <v>44673</v>
      </c>
      <c r="B2603" s="783" t="s">
        <v>113</v>
      </c>
      <c r="C2603" s="783" t="s">
        <v>4606</v>
      </c>
      <c r="D2603" s="783" t="s">
        <v>4009</v>
      </c>
      <c r="E2603" s="783" t="s">
        <v>6991</v>
      </c>
      <c r="F2603" s="783" t="s">
        <v>4011</v>
      </c>
      <c r="G2603" s="783" t="str">
        <f t="shared" si="140"/>
        <v>Renewal (30% in 2020)</v>
      </c>
      <c r="H2603" s="783" t="s">
        <v>6992</v>
      </c>
      <c r="I2603" s="783" t="s">
        <v>6993</v>
      </c>
      <c r="J2603" s="783">
        <v>20</v>
      </c>
      <c r="K2603" s="783" t="s">
        <v>866</v>
      </c>
      <c r="L2603" s="783" t="s">
        <v>4014</v>
      </c>
      <c r="M2603" s="784">
        <v>48051.09</v>
      </c>
      <c r="N2603" s="784">
        <v>26</v>
      </c>
      <c r="O2603" s="784">
        <v>8.83</v>
      </c>
      <c r="P2603" s="783">
        <v>209.3</v>
      </c>
      <c r="Q2603" s="783">
        <v>3560.59</v>
      </c>
      <c r="R2603" s="783">
        <v>1463.71</v>
      </c>
      <c r="S2603" s="783">
        <v>751.45</v>
      </c>
      <c r="T2603" s="783">
        <v>1345.43</v>
      </c>
      <c r="U2603" s="785">
        <v>44673.706574074102</v>
      </c>
    </row>
    <row r="2604" spans="1:21">
      <c r="A2604" s="782">
        <v>44672</v>
      </c>
      <c r="B2604" s="783" t="s">
        <v>41</v>
      </c>
      <c r="C2604" s="783" t="s">
        <v>4082</v>
      </c>
      <c r="D2604" s="783" t="s">
        <v>4009</v>
      </c>
      <c r="E2604" s="783" t="s">
        <v>4687</v>
      </c>
      <c r="F2604" s="783" t="s">
        <v>4011</v>
      </c>
      <c r="G2604" s="783" t="str">
        <f t="shared" si="140"/>
        <v>Renewal (20% in 2020)</v>
      </c>
      <c r="H2604" s="783" t="s">
        <v>4688</v>
      </c>
      <c r="I2604" s="783" t="s">
        <v>4689</v>
      </c>
      <c r="J2604" s="783">
        <v>20</v>
      </c>
      <c r="K2604" s="783" t="s">
        <v>866</v>
      </c>
      <c r="L2604" s="783" t="s">
        <v>4014</v>
      </c>
      <c r="M2604" s="784">
        <v>4116</v>
      </c>
      <c r="N2604" s="784">
        <v>4.2</v>
      </c>
      <c r="O2604" s="784">
        <v>7</v>
      </c>
      <c r="P2604" s="783">
        <v>140</v>
      </c>
      <c r="Q2604" s="783">
        <v>322.27999999999997</v>
      </c>
      <c r="R2604" s="783">
        <v>190.16</v>
      </c>
      <c r="S2604" s="783">
        <v>35.81</v>
      </c>
      <c r="T2604" s="783">
        <v>96.31</v>
      </c>
      <c r="U2604" s="785">
        <v>44673.380335648202</v>
      </c>
    </row>
    <row r="2605" spans="1:21">
      <c r="A2605" s="782">
        <v>44672</v>
      </c>
      <c r="B2605" s="783" t="s">
        <v>113</v>
      </c>
      <c r="C2605" s="783" t="s">
        <v>4598</v>
      </c>
      <c r="D2605" s="783" t="s">
        <v>4009</v>
      </c>
      <c r="E2605" s="783" t="s">
        <v>6761</v>
      </c>
      <c r="F2605" s="783" t="s">
        <v>4011</v>
      </c>
      <c r="G2605" s="783" t="s">
        <v>4028</v>
      </c>
      <c r="H2605" s="783" t="s">
        <v>6762</v>
      </c>
      <c r="I2605" s="783" t="s">
        <v>6763</v>
      </c>
      <c r="J2605" s="783">
        <v>15</v>
      </c>
      <c r="K2605" s="783" t="s">
        <v>866</v>
      </c>
      <c r="L2605" s="783" t="s">
        <v>4014</v>
      </c>
      <c r="M2605" s="784">
        <v>154660</v>
      </c>
      <c r="N2605" s="784">
        <v>74</v>
      </c>
      <c r="O2605" s="784">
        <v>10</v>
      </c>
      <c r="P2605" s="783">
        <v>209</v>
      </c>
      <c r="Q2605" s="783">
        <v>14677.23</v>
      </c>
      <c r="R2605" s="783">
        <v>4432.01</v>
      </c>
      <c r="S2605" s="783">
        <v>2775.15</v>
      </c>
      <c r="T2605" s="783">
        <v>7470.08</v>
      </c>
      <c r="U2605" s="785">
        <v>44673.377627314803</v>
      </c>
    </row>
    <row r="2606" spans="1:21">
      <c r="A2606" s="782">
        <v>44672</v>
      </c>
      <c r="B2606" s="783" t="s">
        <v>113</v>
      </c>
      <c r="C2606" s="783" t="s">
        <v>4606</v>
      </c>
      <c r="D2606" s="783" t="s">
        <v>4009</v>
      </c>
      <c r="E2606" s="783" t="s">
        <v>6764</v>
      </c>
      <c r="F2606" s="783" t="s">
        <v>4011</v>
      </c>
      <c r="G2606" s="783" t="str">
        <f>VLOOKUP(I2606,pacage,2,FALSE)</f>
        <v>Renewal (25% in 2020)</v>
      </c>
      <c r="H2606" s="783" t="s">
        <v>6765</v>
      </c>
      <c r="I2606" s="783" t="s">
        <v>6766</v>
      </c>
      <c r="J2606" s="783">
        <v>25</v>
      </c>
      <c r="K2606" s="783" t="s">
        <v>866</v>
      </c>
      <c r="L2606" s="783" t="s">
        <v>4014</v>
      </c>
      <c r="M2606" s="784">
        <v>52872.5</v>
      </c>
      <c r="N2606" s="784">
        <v>26.42</v>
      </c>
      <c r="O2606" s="784">
        <v>12.43</v>
      </c>
      <c r="P2606" s="783">
        <v>161</v>
      </c>
      <c r="Q2606" s="783">
        <v>3161.78</v>
      </c>
      <c r="R2606" s="783">
        <v>2093.75</v>
      </c>
      <c r="S2606" s="783">
        <v>343.67</v>
      </c>
      <c r="T2606" s="783">
        <v>724.35</v>
      </c>
      <c r="U2606" s="785">
        <v>44673.393240740697</v>
      </c>
    </row>
    <row r="2607" spans="1:21">
      <c r="A2607" s="782">
        <v>44630</v>
      </c>
      <c r="B2607" s="783" t="s">
        <v>41</v>
      </c>
      <c r="C2607" s="783" t="s">
        <v>4139</v>
      </c>
      <c r="D2607" s="783" t="s">
        <v>4009</v>
      </c>
      <c r="E2607" s="783" t="s">
        <v>672</v>
      </c>
      <c r="F2607" s="783" t="s">
        <v>4011</v>
      </c>
      <c r="G2607" s="783" t="str">
        <f>VLOOKUP(I2607,pacage,2,FALSE)</f>
        <v>Renewal (15% in 2020)</v>
      </c>
      <c r="H2607" s="783" t="s">
        <v>5924</v>
      </c>
      <c r="I2607" s="783" t="s">
        <v>5925</v>
      </c>
      <c r="J2607" s="783">
        <v>20</v>
      </c>
      <c r="K2607" s="783" t="s">
        <v>866</v>
      </c>
      <c r="L2607" s="783" t="s">
        <v>4014</v>
      </c>
      <c r="M2607" s="784">
        <v>5519.48</v>
      </c>
      <c r="N2607" s="784">
        <v>5.85</v>
      </c>
      <c r="O2607" s="784">
        <v>6.29</v>
      </c>
      <c r="P2607" s="783">
        <v>150</v>
      </c>
      <c r="Q2607" s="783">
        <v>423.34</v>
      </c>
      <c r="R2607" s="783">
        <v>256.66000000000003</v>
      </c>
      <c r="S2607" s="783">
        <v>41.95</v>
      </c>
      <c r="T2607" s="783">
        <v>124.74</v>
      </c>
      <c r="U2607" s="785">
        <v>44631.634502314802</v>
      </c>
    </row>
    <row r="2608" spans="1:21">
      <c r="A2608" s="782">
        <v>44630</v>
      </c>
      <c r="B2608" s="783" t="s">
        <v>113</v>
      </c>
      <c r="C2608" s="783" t="s">
        <v>4606</v>
      </c>
      <c r="D2608" s="783" t="s">
        <v>4009</v>
      </c>
      <c r="E2608" s="783" t="s">
        <v>6994</v>
      </c>
      <c r="F2608" s="783" t="s">
        <v>4011</v>
      </c>
      <c r="G2608" s="783" t="str">
        <f>VLOOKUP(I2608,pacage,2,FALSE)</f>
        <v>Renewal (15% in 2020)</v>
      </c>
      <c r="H2608" s="783" t="s">
        <v>6995</v>
      </c>
      <c r="I2608" s="783" t="s">
        <v>6996</v>
      </c>
      <c r="J2608" s="783">
        <v>20</v>
      </c>
      <c r="K2608" s="783" t="s">
        <v>866</v>
      </c>
      <c r="L2608" s="783" t="s">
        <v>4014</v>
      </c>
      <c r="M2608" s="784">
        <v>63698.04</v>
      </c>
      <c r="N2608" s="784">
        <v>36.11</v>
      </c>
      <c r="O2608" s="784">
        <v>9.8000000000000007</v>
      </c>
      <c r="P2608" s="783">
        <v>180</v>
      </c>
      <c r="Q2608" s="783">
        <v>4720.0200000000004</v>
      </c>
      <c r="R2608" s="783">
        <v>2256.1799999999998</v>
      </c>
      <c r="S2608" s="783">
        <v>680.3</v>
      </c>
      <c r="T2608" s="783">
        <v>1783.55</v>
      </c>
      <c r="U2608" s="785">
        <v>44631.631215277797</v>
      </c>
    </row>
    <row r="2609" spans="1:21">
      <c r="A2609" s="782">
        <v>44663</v>
      </c>
      <c r="B2609" s="783" t="s">
        <v>150</v>
      </c>
      <c r="C2609" s="783" t="s">
        <v>4037</v>
      </c>
      <c r="D2609" s="783" t="s">
        <v>4038</v>
      </c>
      <c r="E2609" s="783" t="s">
        <v>6997</v>
      </c>
      <c r="F2609" s="783" t="s">
        <v>4011</v>
      </c>
      <c r="G2609" s="783" t="str">
        <f>VLOOKUP(I2609,pacage,2,FALSE)</f>
        <v>Renewal (20% in 2020)</v>
      </c>
      <c r="H2609" s="783" t="s">
        <v>6998</v>
      </c>
      <c r="I2609" s="783" t="s">
        <v>6999</v>
      </c>
      <c r="J2609" s="783">
        <v>20</v>
      </c>
      <c r="K2609" s="783" t="s">
        <v>866</v>
      </c>
      <c r="L2609" s="783" t="s">
        <v>4014</v>
      </c>
      <c r="M2609" s="784">
        <v>7226.6</v>
      </c>
      <c r="N2609" s="784">
        <v>4.74</v>
      </c>
      <c r="O2609" s="784">
        <v>8.4700000000000006</v>
      </c>
      <c r="P2609" s="783">
        <v>180</v>
      </c>
      <c r="Q2609" s="783">
        <v>737.11</v>
      </c>
      <c r="R2609" s="783">
        <v>356.8</v>
      </c>
      <c r="S2609" s="783">
        <v>108.59</v>
      </c>
      <c r="T2609" s="783">
        <v>271.72000000000003</v>
      </c>
      <c r="U2609" s="785">
        <v>44663.424583333297</v>
      </c>
    </row>
    <row r="2610" spans="1:21">
      <c r="A2610" s="782">
        <v>44631</v>
      </c>
      <c r="B2610" s="783" t="s">
        <v>41</v>
      </c>
      <c r="C2610" s="783" t="s">
        <v>4071</v>
      </c>
      <c r="D2610" s="783" t="s">
        <v>4009</v>
      </c>
      <c r="E2610" s="783" t="s">
        <v>7000</v>
      </c>
      <c r="F2610" s="783" t="s">
        <v>4066</v>
      </c>
      <c r="G2610" s="783" t="s">
        <v>4028</v>
      </c>
      <c r="H2610" s="783" t="s">
        <v>7001</v>
      </c>
      <c r="I2610" s="783" t="s">
        <v>7002</v>
      </c>
      <c r="J2610" s="783">
        <v>5</v>
      </c>
      <c r="K2610" s="783" t="s">
        <v>866</v>
      </c>
      <c r="L2610" s="783" t="s">
        <v>4014</v>
      </c>
      <c r="M2610" s="784">
        <v>16983.34</v>
      </c>
      <c r="N2610" s="784">
        <v>9.56</v>
      </c>
      <c r="O2610" s="784">
        <v>8.5</v>
      </c>
      <c r="P2610" s="783">
        <v>209</v>
      </c>
      <c r="Q2610" s="783">
        <v>309.10000000000002</v>
      </c>
      <c r="R2610" s="783">
        <v>0</v>
      </c>
      <c r="S2610" s="783">
        <v>0</v>
      </c>
      <c r="T2610" s="783">
        <v>309.10000000000002</v>
      </c>
      <c r="U2610" s="785">
        <v>44634.3902199074</v>
      </c>
    </row>
    <row r="2611" spans="1:21">
      <c r="A2611" s="782">
        <v>44628</v>
      </c>
      <c r="B2611" s="783" t="s">
        <v>113</v>
      </c>
      <c r="C2611" s="783" t="s">
        <v>4606</v>
      </c>
      <c r="D2611" s="783" t="s">
        <v>4009</v>
      </c>
      <c r="E2611" s="783" t="s">
        <v>3586</v>
      </c>
      <c r="F2611" s="783" t="s">
        <v>4011</v>
      </c>
      <c r="G2611" s="783" t="str">
        <f>VLOOKUP(I2611,pacage,2,FALSE)</f>
        <v>Renewal (15% in 2020)</v>
      </c>
      <c r="H2611" s="783" t="s">
        <v>7003</v>
      </c>
      <c r="I2611" s="783" t="s">
        <v>7004</v>
      </c>
      <c r="J2611" s="783">
        <v>15</v>
      </c>
      <c r="K2611" s="783" t="s">
        <v>866</v>
      </c>
      <c r="L2611" s="783" t="s">
        <v>4014</v>
      </c>
      <c r="M2611" s="784">
        <v>27188.55</v>
      </c>
      <c r="N2611" s="784">
        <v>18.100000000000001</v>
      </c>
      <c r="O2611" s="784">
        <v>9.33</v>
      </c>
      <c r="P2611" s="783">
        <v>161</v>
      </c>
      <c r="Q2611" s="783">
        <v>2596.5100000000002</v>
      </c>
      <c r="R2611" s="783">
        <v>1076.67</v>
      </c>
      <c r="S2611" s="783">
        <v>176.73</v>
      </c>
      <c r="T2611" s="783">
        <v>1343.11</v>
      </c>
      <c r="U2611" s="785">
        <v>44631.634456018503</v>
      </c>
    </row>
    <row r="2612" spans="1:21">
      <c r="A2612" s="782">
        <v>44693</v>
      </c>
      <c r="B2612" s="783" t="s">
        <v>34</v>
      </c>
      <c r="C2612" s="783" t="s">
        <v>4139</v>
      </c>
      <c r="D2612" s="783" t="s">
        <v>4009</v>
      </c>
      <c r="E2612" s="783" t="s">
        <v>4405</v>
      </c>
      <c r="F2612" s="783" t="s">
        <v>4011</v>
      </c>
      <c r="G2612" s="783" t="str">
        <f>VLOOKUP(I2612,pacage,2,FALSE)</f>
        <v>Renewal (30% in 2020)</v>
      </c>
      <c r="H2612" s="783" t="s">
        <v>4406</v>
      </c>
      <c r="I2612" s="783" t="s">
        <v>4407</v>
      </c>
      <c r="J2612" s="783">
        <v>30</v>
      </c>
      <c r="K2612" s="783" t="s">
        <v>866</v>
      </c>
      <c r="L2612" s="783" t="s">
        <v>4014</v>
      </c>
      <c r="M2612" s="784">
        <v>17139.900000000001</v>
      </c>
      <c r="N2612" s="784">
        <v>18.43</v>
      </c>
      <c r="O2612" s="784">
        <v>6</v>
      </c>
      <c r="P2612" s="783">
        <v>155</v>
      </c>
      <c r="Q2612" s="783">
        <v>882.7</v>
      </c>
      <c r="R2612" s="783">
        <v>797.01</v>
      </c>
      <c r="S2612" s="783">
        <v>0</v>
      </c>
      <c r="T2612" s="783">
        <v>85.7</v>
      </c>
      <c r="U2612" s="785">
        <v>44694.433263888903</v>
      </c>
    </row>
    <row r="2613" spans="1:21">
      <c r="A2613" s="782">
        <v>44693</v>
      </c>
      <c r="B2613" s="783" t="s">
        <v>41</v>
      </c>
      <c r="C2613" s="783" t="s">
        <v>4139</v>
      </c>
      <c r="D2613" s="783" t="s">
        <v>4009</v>
      </c>
      <c r="E2613" s="783" t="s">
        <v>60</v>
      </c>
      <c r="F2613" s="783" t="s">
        <v>4011</v>
      </c>
      <c r="G2613" s="783" t="str">
        <f>VLOOKUP(I2613,pacage,2,FALSE)</f>
        <v>Renewal (15% in 2020)</v>
      </c>
      <c r="H2613" s="783" t="s">
        <v>5932</v>
      </c>
      <c r="I2613" s="783" t="s">
        <v>5933</v>
      </c>
      <c r="J2613" s="783">
        <v>15</v>
      </c>
      <c r="K2613" s="783" t="s">
        <v>866</v>
      </c>
      <c r="L2613" s="783" t="s">
        <v>4014</v>
      </c>
      <c r="M2613" s="784">
        <v>40986</v>
      </c>
      <c r="N2613" s="784">
        <v>18.63</v>
      </c>
      <c r="O2613" s="784">
        <v>11</v>
      </c>
      <c r="P2613" s="783">
        <v>200</v>
      </c>
      <c r="Q2613" s="783">
        <v>4225.66</v>
      </c>
      <c r="R2613" s="783">
        <v>1534.21</v>
      </c>
      <c r="S2613" s="783">
        <v>683.13</v>
      </c>
      <c r="T2613" s="783">
        <v>2008.31</v>
      </c>
      <c r="U2613" s="785">
        <v>44694.417210648098</v>
      </c>
    </row>
    <row r="2614" spans="1:21">
      <c r="A2614" s="782">
        <v>44694</v>
      </c>
      <c r="B2614" s="783" t="s">
        <v>51</v>
      </c>
      <c r="C2614" s="783" t="s">
        <v>4042</v>
      </c>
      <c r="D2614" s="783" t="s">
        <v>4016</v>
      </c>
      <c r="E2614" s="783" t="s">
        <v>1694</v>
      </c>
      <c r="F2614" s="783" t="s">
        <v>4011</v>
      </c>
      <c r="G2614" s="783" t="str">
        <f>VLOOKUP(I2614,pacage,2,FALSE)</f>
        <v>Renewal (20% in 2020)</v>
      </c>
      <c r="H2614" s="783" t="s">
        <v>5937</v>
      </c>
      <c r="I2614" s="783" t="s">
        <v>5938</v>
      </c>
      <c r="J2614" s="783">
        <v>25</v>
      </c>
      <c r="K2614" s="783" t="s">
        <v>866</v>
      </c>
      <c r="L2614" s="783" t="s">
        <v>4014</v>
      </c>
      <c r="M2614" s="784">
        <v>6295.1</v>
      </c>
      <c r="N2614" s="784">
        <v>5.29</v>
      </c>
      <c r="O2614" s="784">
        <v>7</v>
      </c>
      <c r="P2614" s="783">
        <v>170</v>
      </c>
      <c r="Q2614" s="783">
        <v>473.39</v>
      </c>
      <c r="R2614" s="783">
        <v>338.63</v>
      </c>
      <c r="S2614" s="783">
        <v>78.099999999999994</v>
      </c>
      <c r="T2614" s="783">
        <v>56.66</v>
      </c>
      <c r="U2614" s="785">
        <v>44697.605740740699</v>
      </c>
    </row>
    <row r="2615" spans="1:21">
      <c r="A2615" s="782">
        <v>44694</v>
      </c>
      <c r="B2615" s="783" t="s">
        <v>4025</v>
      </c>
      <c r="C2615" s="783" t="s">
        <v>4239</v>
      </c>
      <c r="D2615" s="783" t="s">
        <v>4021</v>
      </c>
      <c r="E2615" s="783" t="s">
        <v>5066</v>
      </c>
      <c r="F2615" s="783" t="s">
        <v>4011</v>
      </c>
      <c r="G2615" s="783" t="s">
        <v>4028</v>
      </c>
      <c r="H2615" s="783" t="s">
        <v>7005</v>
      </c>
      <c r="I2615" s="783" t="s">
        <v>5068</v>
      </c>
      <c r="J2615" s="783">
        <v>25</v>
      </c>
      <c r="K2615" s="783" t="s">
        <v>866</v>
      </c>
      <c r="L2615" s="783" t="s">
        <v>4014</v>
      </c>
      <c r="M2615" s="784">
        <v>18023.400000000001</v>
      </c>
      <c r="N2615" s="784">
        <v>11.78</v>
      </c>
      <c r="O2615" s="784">
        <v>8.5</v>
      </c>
      <c r="P2615" s="783">
        <v>180</v>
      </c>
      <c r="Q2615" s="783">
        <v>955.24</v>
      </c>
      <c r="R2615" s="783">
        <v>612.6</v>
      </c>
      <c r="S2615" s="783">
        <v>223.69</v>
      </c>
      <c r="T2615" s="783">
        <v>118.95</v>
      </c>
      <c r="U2615" s="785">
        <v>44697.471817129597</v>
      </c>
    </row>
    <row r="2616" spans="1:21">
      <c r="A2616" s="782">
        <v>44709</v>
      </c>
      <c r="B2616" s="783" t="s">
        <v>41</v>
      </c>
      <c r="C2616" s="783" t="s">
        <v>4082</v>
      </c>
      <c r="D2616" s="783" t="s">
        <v>4009</v>
      </c>
      <c r="E2616" s="783" t="s">
        <v>4186</v>
      </c>
      <c r="F2616" s="783" t="s">
        <v>4011</v>
      </c>
      <c r="G2616" s="783" t="str">
        <f>VLOOKUP(I2616,pacage,2,FALSE)</f>
        <v>Renewal (20% in 2020)</v>
      </c>
      <c r="H2616" s="783" t="s">
        <v>4187</v>
      </c>
      <c r="I2616" s="783" t="s">
        <v>4188</v>
      </c>
      <c r="J2616" s="783">
        <v>20</v>
      </c>
      <c r="K2616" s="783" t="s">
        <v>866</v>
      </c>
      <c r="L2616" s="783" t="s">
        <v>4014</v>
      </c>
      <c r="M2616" s="784">
        <v>3883.88</v>
      </c>
      <c r="N2616" s="784">
        <v>2.86</v>
      </c>
      <c r="O2616" s="784">
        <v>6.79</v>
      </c>
      <c r="P2616" s="783">
        <v>200</v>
      </c>
      <c r="Q2616" s="783">
        <v>304.11</v>
      </c>
      <c r="R2616" s="783">
        <v>144.44999999999999</v>
      </c>
      <c r="S2616" s="783">
        <v>68.78</v>
      </c>
      <c r="T2616" s="783">
        <v>90.88</v>
      </c>
      <c r="U2616" s="785">
        <v>44711.649282407401</v>
      </c>
    </row>
    <row r="2617" spans="1:21">
      <c r="A2617" s="782">
        <v>44638</v>
      </c>
      <c r="B2617" s="783" t="s">
        <v>113</v>
      </c>
      <c r="C2617" s="783" t="s">
        <v>4606</v>
      </c>
      <c r="D2617" s="783" t="s">
        <v>4009</v>
      </c>
      <c r="E2617" s="783" t="s">
        <v>6770</v>
      </c>
      <c r="F2617" s="783" t="s">
        <v>4011</v>
      </c>
      <c r="G2617" s="783" t="s">
        <v>4028</v>
      </c>
      <c r="H2617" s="783" t="s">
        <v>6771</v>
      </c>
      <c r="I2617" s="783" t="s">
        <v>6772</v>
      </c>
      <c r="J2617" s="783">
        <v>25</v>
      </c>
      <c r="K2617" s="783" t="s">
        <v>866</v>
      </c>
      <c r="L2617" s="783" t="s">
        <v>4014</v>
      </c>
      <c r="M2617" s="784">
        <v>57750</v>
      </c>
      <c r="N2617" s="784">
        <v>30</v>
      </c>
      <c r="O2617" s="784">
        <v>11</v>
      </c>
      <c r="P2617" s="783">
        <v>175</v>
      </c>
      <c r="Q2617" s="783">
        <v>3453.45</v>
      </c>
      <c r="R2617" s="783">
        <v>2103.9499999999998</v>
      </c>
      <c r="S2617" s="783">
        <v>558.33000000000004</v>
      </c>
      <c r="T2617" s="783">
        <v>791.17</v>
      </c>
      <c r="U2617" s="785">
        <v>44641.400347222203</v>
      </c>
    </row>
    <row r="2618" spans="1:21">
      <c r="A2618" s="782">
        <v>44657</v>
      </c>
      <c r="B2618" s="783" t="s">
        <v>113</v>
      </c>
      <c r="C2618" s="783" t="s">
        <v>4606</v>
      </c>
      <c r="D2618" s="783" t="s">
        <v>4009</v>
      </c>
      <c r="E2618" s="783" t="s">
        <v>7006</v>
      </c>
      <c r="F2618" s="783" t="s">
        <v>4011</v>
      </c>
      <c r="G2618" s="783" t="str">
        <f>VLOOKUP(I2618,pacage,2,FALSE)</f>
        <v>Renewal (25% in 2020)</v>
      </c>
      <c r="H2618" s="783" t="s">
        <v>7007</v>
      </c>
      <c r="I2618" s="783" t="s">
        <v>7008</v>
      </c>
      <c r="J2618" s="783">
        <v>25</v>
      </c>
      <c r="K2618" s="783" t="s">
        <v>866</v>
      </c>
      <c r="L2618" s="783" t="s">
        <v>4014</v>
      </c>
      <c r="M2618" s="784">
        <v>5908.32</v>
      </c>
      <c r="N2618" s="784">
        <v>4.8</v>
      </c>
      <c r="O2618" s="784">
        <v>11.19</v>
      </c>
      <c r="P2618" s="783">
        <v>110</v>
      </c>
      <c r="Q2618" s="783">
        <v>353.32</v>
      </c>
      <c r="R2618" s="783">
        <v>233.97</v>
      </c>
      <c r="S2618" s="783">
        <v>38.4</v>
      </c>
      <c r="T2618" s="783">
        <v>80.94</v>
      </c>
      <c r="U2618" s="785">
        <v>44657.634039351899</v>
      </c>
    </row>
    <row r="2619" spans="1:21">
      <c r="A2619" s="782">
        <v>44638</v>
      </c>
      <c r="B2619" s="783" t="s">
        <v>113</v>
      </c>
      <c r="C2619" s="783" t="s">
        <v>4606</v>
      </c>
      <c r="D2619" s="783" t="s">
        <v>4009</v>
      </c>
      <c r="E2619" s="783" t="s">
        <v>6773</v>
      </c>
      <c r="F2619" s="783" t="s">
        <v>4011</v>
      </c>
      <c r="G2619" s="783" t="str">
        <f>VLOOKUP(I2619,pacage,2,FALSE)</f>
        <v>Renewal (25% in 2020)</v>
      </c>
      <c r="H2619" s="783" t="s">
        <v>6774</v>
      </c>
      <c r="I2619" s="783" t="s">
        <v>6775</v>
      </c>
      <c r="J2619" s="783">
        <v>25</v>
      </c>
      <c r="K2619" s="783" t="s">
        <v>866</v>
      </c>
      <c r="L2619" s="783" t="s">
        <v>4014</v>
      </c>
      <c r="M2619" s="784">
        <v>14505</v>
      </c>
      <c r="N2619" s="784">
        <v>10</v>
      </c>
      <c r="O2619" s="784">
        <v>9.67</v>
      </c>
      <c r="P2619" s="783">
        <v>150</v>
      </c>
      <c r="Q2619" s="783">
        <v>867.4</v>
      </c>
      <c r="R2619" s="783">
        <v>574.4</v>
      </c>
      <c r="S2619" s="783">
        <v>94.28</v>
      </c>
      <c r="T2619" s="783">
        <v>198.72</v>
      </c>
      <c r="U2619" s="785">
        <v>44638.378819444399</v>
      </c>
    </row>
    <row r="2620" spans="1:21">
      <c r="A2620" s="782">
        <v>44671</v>
      </c>
      <c r="B2620" s="783" t="s">
        <v>113</v>
      </c>
      <c r="C2620" s="783" t="s">
        <v>4606</v>
      </c>
      <c r="D2620" s="783" t="s">
        <v>4009</v>
      </c>
      <c r="E2620" s="783" t="s">
        <v>3638</v>
      </c>
      <c r="F2620" s="783" t="s">
        <v>4011</v>
      </c>
      <c r="G2620" s="783" t="str">
        <f>VLOOKUP(I2620,pacage,2,FALSE)</f>
        <v>Renewal (20% in 2020)</v>
      </c>
      <c r="H2620" s="783" t="s">
        <v>6776</v>
      </c>
      <c r="I2620" s="783" t="s">
        <v>6777</v>
      </c>
      <c r="J2620" s="783">
        <v>20</v>
      </c>
      <c r="K2620" s="783" t="s">
        <v>866</v>
      </c>
      <c r="L2620" s="783" t="s">
        <v>4014</v>
      </c>
      <c r="M2620" s="784">
        <v>64000</v>
      </c>
      <c r="N2620" s="784">
        <v>32</v>
      </c>
      <c r="O2620" s="784">
        <v>10</v>
      </c>
      <c r="P2620" s="783">
        <v>200</v>
      </c>
      <c r="Q2620" s="783">
        <v>4742.3999999999996</v>
      </c>
      <c r="R2620" s="783">
        <v>2040.19</v>
      </c>
      <c r="S2620" s="783">
        <v>910.21</v>
      </c>
      <c r="T2620" s="783">
        <v>1792</v>
      </c>
      <c r="U2620" s="785">
        <v>44673.368553240703</v>
      </c>
    </row>
    <row r="2621" spans="1:21">
      <c r="A2621" s="782">
        <v>44637</v>
      </c>
      <c r="B2621" s="783" t="s">
        <v>113</v>
      </c>
      <c r="C2621" s="783" t="s">
        <v>4606</v>
      </c>
      <c r="D2621" s="783" t="s">
        <v>4009</v>
      </c>
      <c r="E2621" s="783" t="s">
        <v>7009</v>
      </c>
      <c r="F2621" s="783" t="s">
        <v>4011</v>
      </c>
      <c r="G2621" s="783" t="s">
        <v>4028</v>
      </c>
      <c r="H2621" s="783" t="s">
        <v>7010</v>
      </c>
      <c r="I2621" s="783" t="s">
        <v>7011</v>
      </c>
      <c r="J2621" s="783">
        <v>20</v>
      </c>
      <c r="K2621" s="783" t="s">
        <v>866</v>
      </c>
      <c r="L2621" s="783" t="s">
        <v>4014</v>
      </c>
      <c r="M2621" s="784">
        <v>40815</v>
      </c>
      <c r="N2621" s="784">
        <v>25</v>
      </c>
      <c r="O2621" s="784">
        <v>9.07</v>
      </c>
      <c r="P2621" s="783">
        <v>180</v>
      </c>
      <c r="Q2621" s="783">
        <v>3024.39</v>
      </c>
      <c r="R2621" s="783">
        <v>1445.67</v>
      </c>
      <c r="S2621" s="783">
        <v>435.9</v>
      </c>
      <c r="T2621" s="783">
        <v>1142.82</v>
      </c>
      <c r="U2621" s="785">
        <v>44638.381979166697</v>
      </c>
    </row>
    <row r="2622" spans="1:21">
      <c r="A2622" s="782">
        <v>44634</v>
      </c>
      <c r="B2622" s="783" t="s">
        <v>113</v>
      </c>
      <c r="C2622" s="783" t="s">
        <v>4606</v>
      </c>
      <c r="D2622" s="783" t="s">
        <v>4009</v>
      </c>
      <c r="E2622" s="783" t="s">
        <v>2825</v>
      </c>
      <c r="F2622" s="783" t="s">
        <v>4011</v>
      </c>
      <c r="G2622" s="783" t="str">
        <f t="shared" ref="G2622:G2627" si="141">VLOOKUP(I2622,pacage,2,FALSE)</f>
        <v>Renewal (30% in 2020)</v>
      </c>
      <c r="H2622" s="783" t="s">
        <v>6778</v>
      </c>
      <c r="I2622" s="783" t="s">
        <v>6779</v>
      </c>
      <c r="J2622" s="783">
        <v>30</v>
      </c>
      <c r="K2622" s="783" t="s">
        <v>866</v>
      </c>
      <c r="L2622" s="783" t="s">
        <v>4014</v>
      </c>
      <c r="M2622" s="784">
        <v>41696.79</v>
      </c>
      <c r="N2622" s="784">
        <v>30.01</v>
      </c>
      <c r="O2622" s="784">
        <v>8.6300000000000008</v>
      </c>
      <c r="P2622" s="783">
        <v>161</v>
      </c>
      <c r="Q2622" s="783">
        <v>2234.9499999999998</v>
      </c>
      <c r="R2622" s="783">
        <v>1651.19</v>
      </c>
      <c r="S2622" s="783">
        <v>0</v>
      </c>
      <c r="T2622" s="783">
        <v>583.76</v>
      </c>
      <c r="U2622" s="785">
        <v>44636.370972222197</v>
      </c>
    </row>
    <row r="2623" spans="1:21">
      <c r="A2623" s="782">
        <v>44635</v>
      </c>
      <c r="B2623" s="783" t="s">
        <v>113</v>
      </c>
      <c r="C2623" s="783" t="s">
        <v>4606</v>
      </c>
      <c r="D2623" s="783" t="s">
        <v>4009</v>
      </c>
      <c r="E2623" s="783" t="s">
        <v>7012</v>
      </c>
      <c r="F2623" s="783" t="s">
        <v>4011</v>
      </c>
      <c r="G2623" s="783" t="str">
        <f t="shared" si="141"/>
        <v>Renewal (15% in 2020)</v>
      </c>
      <c r="H2623" s="783" t="s">
        <v>7013</v>
      </c>
      <c r="I2623" s="783" t="s">
        <v>7014</v>
      </c>
      <c r="J2623" s="783">
        <v>15</v>
      </c>
      <c r="K2623" s="783" t="s">
        <v>866</v>
      </c>
      <c r="L2623" s="783" t="s">
        <v>4014</v>
      </c>
      <c r="M2623" s="784">
        <v>43410.879999999997</v>
      </c>
      <c r="N2623" s="784">
        <v>30.78</v>
      </c>
      <c r="O2623" s="784">
        <v>8.76</v>
      </c>
      <c r="P2623" s="783">
        <v>161</v>
      </c>
      <c r="Q2623" s="783">
        <v>4145.74</v>
      </c>
      <c r="R2623" s="783">
        <v>1719.07</v>
      </c>
      <c r="S2623" s="783">
        <v>282.17</v>
      </c>
      <c r="T2623" s="783">
        <v>2144.5</v>
      </c>
      <c r="U2623" s="785">
        <v>44636.360798611102</v>
      </c>
    </row>
    <row r="2624" spans="1:21">
      <c r="A2624" s="782">
        <v>44713</v>
      </c>
      <c r="B2624" s="783" t="s">
        <v>113</v>
      </c>
      <c r="C2624" s="783" t="s">
        <v>4606</v>
      </c>
      <c r="D2624" s="783" t="s">
        <v>4009</v>
      </c>
      <c r="E2624" s="783" t="s">
        <v>2328</v>
      </c>
      <c r="F2624" s="783" t="s">
        <v>4011</v>
      </c>
      <c r="G2624" s="783" t="str">
        <f t="shared" si="141"/>
        <v>Renewal (25% in 2020)</v>
      </c>
      <c r="H2624" s="783" t="s">
        <v>7015</v>
      </c>
      <c r="I2624" s="783" t="s">
        <v>7016</v>
      </c>
      <c r="J2624" s="783">
        <v>25</v>
      </c>
      <c r="K2624" s="783" t="s">
        <v>866</v>
      </c>
      <c r="L2624" s="783" t="s">
        <v>4014</v>
      </c>
      <c r="M2624" s="784">
        <v>120636</v>
      </c>
      <c r="N2624" s="784">
        <v>67.02</v>
      </c>
      <c r="O2624" s="784">
        <v>10</v>
      </c>
      <c r="P2624" s="783">
        <v>180</v>
      </c>
      <c r="Q2624" s="783">
        <v>7214.03</v>
      </c>
      <c r="R2624" s="783">
        <v>4272.93</v>
      </c>
      <c r="S2624" s="783">
        <v>1288.3900000000001</v>
      </c>
      <c r="T2624" s="783">
        <v>1652.71</v>
      </c>
      <c r="U2624" s="785">
        <v>44715.408171296302</v>
      </c>
    </row>
    <row r="2625" spans="1:21">
      <c r="A2625" s="782">
        <v>44637</v>
      </c>
      <c r="B2625" s="783" t="s">
        <v>113</v>
      </c>
      <c r="C2625" s="783" t="s">
        <v>4606</v>
      </c>
      <c r="D2625" s="783" t="s">
        <v>4009</v>
      </c>
      <c r="E2625" s="783" t="s">
        <v>7017</v>
      </c>
      <c r="F2625" s="783" t="s">
        <v>4011</v>
      </c>
      <c r="G2625" s="783" t="str">
        <f t="shared" si="141"/>
        <v>Renewal (15% in 2020)</v>
      </c>
      <c r="H2625" s="783" t="s">
        <v>7018</v>
      </c>
      <c r="I2625" s="783" t="s">
        <v>7019</v>
      </c>
      <c r="J2625" s="783">
        <v>15</v>
      </c>
      <c r="K2625" s="783" t="s">
        <v>866</v>
      </c>
      <c r="L2625" s="783" t="s">
        <v>4014</v>
      </c>
      <c r="M2625" s="784">
        <v>107095.7</v>
      </c>
      <c r="N2625" s="784">
        <v>59.83</v>
      </c>
      <c r="O2625" s="784">
        <v>10</v>
      </c>
      <c r="P2625" s="783">
        <v>179</v>
      </c>
      <c r="Q2625" s="783">
        <v>10227.64</v>
      </c>
      <c r="R2625" s="783">
        <v>3814.52</v>
      </c>
      <c r="S2625" s="783">
        <v>1122.5899999999999</v>
      </c>
      <c r="T2625" s="783">
        <v>5290.53</v>
      </c>
      <c r="U2625" s="785">
        <v>44638.394351851799</v>
      </c>
    </row>
    <row r="2626" spans="1:21">
      <c r="A2626" s="782">
        <v>44637</v>
      </c>
      <c r="B2626" s="783" t="s">
        <v>113</v>
      </c>
      <c r="C2626" s="783" t="s">
        <v>4606</v>
      </c>
      <c r="D2626" s="783" t="s">
        <v>4009</v>
      </c>
      <c r="E2626" s="783" t="s">
        <v>7020</v>
      </c>
      <c r="F2626" s="783" t="s">
        <v>4011</v>
      </c>
      <c r="G2626" s="783" t="str">
        <f t="shared" si="141"/>
        <v>Renewal (20% in 2020)</v>
      </c>
      <c r="H2626" s="783" t="s">
        <v>7021</v>
      </c>
      <c r="I2626" s="783" t="s">
        <v>7022</v>
      </c>
      <c r="J2626" s="783">
        <v>20</v>
      </c>
      <c r="K2626" s="783" t="s">
        <v>866</v>
      </c>
      <c r="L2626" s="783" t="s">
        <v>4014</v>
      </c>
      <c r="M2626" s="784">
        <v>168590.4</v>
      </c>
      <c r="N2626" s="784">
        <v>80</v>
      </c>
      <c r="O2626" s="784">
        <v>11.33</v>
      </c>
      <c r="P2626" s="783">
        <v>186</v>
      </c>
      <c r="Q2626" s="783">
        <v>12492.55</v>
      </c>
      <c r="R2626" s="783">
        <v>5778.84</v>
      </c>
      <c r="S2626" s="783">
        <v>1993.17</v>
      </c>
      <c r="T2626" s="783">
        <v>4720.53</v>
      </c>
      <c r="U2626" s="785">
        <v>44638.384328703702</v>
      </c>
    </row>
    <row r="2627" spans="1:21">
      <c r="A2627" s="782">
        <v>44635</v>
      </c>
      <c r="B2627" s="783" t="s">
        <v>113</v>
      </c>
      <c r="C2627" s="783" t="s">
        <v>4606</v>
      </c>
      <c r="D2627" s="783" t="s">
        <v>4009</v>
      </c>
      <c r="E2627" s="783" t="s">
        <v>7023</v>
      </c>
      <c r="F2627" s="783" t="s">
        <v>4011</v>
      </c>
      <c r="G2627" s="783" t="str">
        <f t="shared" si="141"/>
        <v>Renewal (15% in 2020)</v>
      </c>
      <c r="H2627" s="783" t="s">
        <v>7024</v>
      </c>
      <c r="I2627" s="783" t="s">
        <v>7025</v>
      </c>
      <c r="J2627" s="783">
        <v>15</v>
      </c>
      <c r="K2627" s="783" t="s">
        <v>866</v>
      </c>
      <c r="L2627" s="783" t="s">
        <v>4014</v>
      </c>
      <c r="M2627" s="784">
        <v>21234.21</v>
      </c>
      <c r="N2627" s="784">
        <v>11.93</v>
      </c>
      <c r="O2627" s="784">
        <v>10.47</v>
      </c>
      <c r="P2627" s="783">
        <v>170</v>
      </c>
      <c r="Q2627" s="783">
        <v>2027.87</v>
      </c>
      <c r="R2627" s="783">
        <v>796.36</v>
      </c>
      <c r="S2627" s="783">
        <v>182.54</v>
      </c>
      <c r="T2627" s="783">
        <v>1048.97</v>
      </c>
      <c r="U2627" s="785">
        <v>44636.361886574101</v>
      </c>
    </row>
    <row r="2628" spans="1:21">
      <c r="A2628" s="782">
        <v>44637</v>
      </c>
      <c r="B2628" s="783" t="s">
        <v>113</v>
      </c>
      <c r="C2628" s="783" t="s">
        <v>4606</v>
      </c>
      <c r="D2628" s="783" t="s">
        <v>4009</v>
      </c>
      <c r="E2628" s="783" t="s">
        <v>6780</v>
      </c>
      <c r="F2628" s="783" t="s">
        <v>4011</v>
      </c>
      <c r="G2628" s="783" t="s">
        <v>4028</v>
      </c>
      <c r="H2628" s="783" t="s">
        <v>6781</v>
      </c>
      <c r="I2628" s="783" t="s">
        <v>6782</v>
      </c>
      <c r="J2628" s="783">
        <v>30</v>
      </c>
      <c r="K2628" s="783" t="s">
        <v>866</v>
      </c>
      <c r="L2628" s="783" t="s">
        <v>4014</v>
      </c>
      <c r="M2628" s="784">
        <v>2713.5</v>
      </c>
      <c r="N2628" s="784">
        <v>2.0099999999999998</v>
      </c>
      <c r="O2628" s="784">
        <v>9</v>
      </c>
      <c r="P2628" s="783">
        <v>150</v>
      </c>
      <c r="Q2628" s="783">
        <v>145.44</v>
      </c>
      <c r="R2628" s="783">
        <v>107.45</v>
      </c>
      <c r="S2628" s="783">
        <v>0</v>
      </c>
      <c r="T2628" s="783">
        <v>37.99</v>
      </c>
      <c r="U2628" s="785">
        <v>44638.393032407403</v>
      </c>
    </row>
    <row r="2629" spans="1:21">
      <c r="A2629" s="782">
        <v>44642</v>
      </c>
      <c r="B2629" s="783" t="s">
        <v>41</v>
      </c>
      <c r="C2629" s="783" t="s">
        <v>4092</v>
      </c>
      <c r="D2629" s="783" t="s">
        <v>4009</v>
      </c>
      <c r="E2629" s="783" t="s">
        <v>2332</v>
      </c>
      <c r="F2629" s="783" t="s">
        <v>4011</v>
      </c>
      <c r="G2629" s="783" t="str">
        <f>VLOOKUP(I2629,pacage,2,FALSE)</f>
        <v>Renewal (25% in 2020)</v>
      </c>
      <c r="H2629" s="783" t="s">
        <v>5960</v>
      </c>
      <c r="I2629" s="783" t="s">
        <v>5961</v>
      </c>
      <c r="J2629" s="783">
        <v>25</v>
      </c>
      <c r="K2629" s="783" t="s">
        <v>866</v>
      </c>
      <c r="L2629" s="783" t="s">
        <v>4014</v>
      </c>
      <c r="M2629" s="784">
        <v>9579.33</v>
      </c>
      <c r="N2629" s="784">
        <v>8.17</v>
      </c>
      <c r="O2629" s="784">
        <v>6.7</v>
      </c>
      <c r="P2629" s="783">
        <v>175</v>
      </c>
      <c r="Q2629" s="783">
        <v>663.85</v>
      </c>
      <c r="R2629" s="783">
        <v>467.97</v>
      </c>
      <c r="S2629" s="783">
        <v>138.4</v>
      </c>
      <c r="T2629" s="783">
        <v>57.48</v>
      </c>
      <c r="U2629" s="785">
        <v>44643.372835648202</v>
      </c>
    </row>
    <row r="2630" spans="1:21">
      <c r="A2630" s="782">
        <v>44652</v>
      </c>
      <c r="B2630" s="783" t="s">
        <v>113</v>
      </c>
      <c r="C2630" s="783" t="s">
        <v>4606</v>
      </c>
      <c r="D2630" s="783" t="s">
        <v>4009</v>
      </c>
      <c r="E2630" s="783" t="s">
        <v>7026</v>
      </c>
      <c r="F2630" s="783" t="s">
        <v>4011</v>
      </c>
      <c r="G2630" s="783" t="s">
        <v>4028</v>
      </c>
      <c r="H2630" s="783" t="s">
        <v>7027</v>
      </c>
      <c r="I2630" s="783" t="s">
        <v>7028</v>
      </c>
      <c r="J2630" s="783">
        <v>20</v>
      </c>
      <c r="K2630" s="783" t="s">
        <v>866</v>
      </c>
      <c r="L2630" s="783" t="s">
        <v>4014</v>
      </c>
      <c r="M2630" s="784">
        <v>12645.67</v>
      </c>
      <c r="N2630" s="784">
        <v>6.71</v>
      </c>
      <c r="O2630" s="784">
        <v>10.47</v>
      </c>
      <c r="P2630" s="783">
        <v>180</v>
      </c>
      <c r="Q2630" s="783">
        <v>937.04</v>
      </c>
      <c r="R2630" s="783">
        <v>447.91</v>
      </c>
      <c r="S2630" s="783">
        <v>135.06</v>
      </c>
      <c r="T2630" s="783">
        <v>354.08</v>
      </c>
      <c r="U2630" s="785">
        <v>44655.507604166698</v>
      </c>
    </row>
    <row r="2631" spans="1:21">
      <c r="A2631" s="782">
        <v>44652</v>
      </c>
      <c r="B2631" s="783" t="s">
        <v>113</v>
      </c>
      <c r="C2631" s="783" t="s">
        <v>4606</v>
      </c>
      <c r="D2631" s="783" t="s">
        <v>4009</v>
      </c>
      <c r="E2631" s="783" t="s">
        <v>7029</v>
      </c>
      <c r="F2631" s="783" t="s">
        <v>4011</v>
      </c>
      <c r="G2631" s="783" t="str">
        <f>VLOOKUP(I2631,pacage,2,FALSE)</f>
        <v>Renewal (25% in 2020)</v>
      </c>
      <c r="H2631" s="783" t="s">
        <v>7030</v>
      </c>
      <c r="I2631" s="783" t="s">
        <v>7031</v>
      </c>
      <c r="J2631" s="783">
        <v>25</v>
      </c>
      <c r="K2631" s="783" t="s">
        <v>866</v>
      </c>
      <c r="L2631" s="783" t="s">
        <v>4014</v>
      </c>
      <c r="M2631" s="784">
        <v>39800.75</v>
      </c>
      <c r="N2631" s="784">
        <v>17.649999999999999</v>
      </c>
      <c r="O2631" s="784">
        <v>11</v>
      </c>
      <c r="P2631" s="783">
        <v>205</v>
      </c>
      <c r="Q2631" s="783">
        <v>2380.08</v>
      </c>
      <c r="R2631" s="783">
        <v>1237.82</v>
      </c>
      <c r="S2631" s="783">
        <v>596.99</v>
      </c>
      <c r="T2631" s="783">
        <v>545.27</v>
      </c>
      <c r="U2631" s="785">
        <v>44655.5143634259</v>
      </c>
    </row>
    <row r="2632" spans="1:21">
      <c r="A2632" s="782">
        <v>44652</v>
      </c>
      <c r="B2632" s="783" t="s">
        <v>2866</v>
      </c>
      <c r="C2632" s="783" t="s">
        <v>4008</v>
      </c>
      <c r="D2632" s="783" t="s">
        <v>4009</v>
      </c>
      <c r="E2632" s="783" t="s">
        <v>5964</v>
      </c>
      <c r="F2632" s="783" t="s">
        <v>4011</v>
      </c>
      <c r="G2632" s="783" t="str">
        <f>VLOOKUP(I2632,pacage,2,FALSE)</f>
        <v>Renewal (25% in 2020)</v>
      </c>
      <c r="H2632" s="783" t="s">
        <v>5965</v>
      </c>
      <c r="I2632" s="783" t="s">
        <v>5966</v>
      </c>
      <c r="J2632" s="783">
        <v>25</v>
      </c>
      <c r="K2632" s="783" t="s">
        <v>866</v>
      </c>
      <c r="L2632" s="783" t="s">
        <v>4014</v>
      </c>
      <c r="M2632" s="784">
        <v>3005.46</v>
      </c>
      <c r="N2632" s="784">
        <v>2.83</v>
      </c>
      <c r="O2632" s="784">
        <v>5.9</v>
      </c>
      <c r="P2632" s="783">
        <v>180</v>
      </c>
      <c r="Q2632" s="783">
        <v>201.67</v>
      </c>
      <c r="R2632" s="783">
        <v>130.91999999999999</v>
      </c>
      <c r="S2632" s="783">
        <v>39.19</v>
      </c>
      <c r="T2632" s="783">
        <v>31.56</v>
      </c>
      <c r="U2632" s="785">
        <v>44655.503194444398</v>
      </c>
    </row>
    <row r="2633" spans="1:21">
      <c r="A2633" s="782">
        <v>44658</v>
      </c>
      <c r="B2633" s="783" t="s">
        <v>34</v>
      </c>
      <c r="C2633" s="783" t="s">
        <v>4082</v>
      </c>
      <c r="D2633" s="783" t="s">
        <v>4009</v>
      </c>
      <c r="E2633" s="783" t="s">
        <v>4690</v>
      </c>
      <c r="F2633" s="783" t="s">
        <v>4011</v>
      </c>
      <c r="G2633" s="783" t="str">
        <f>VLOOKUP(I2633,pacage,2,FALSE)</f>
        <v>Renewal (30% in 2020)</v>
      </c>
      <c r="H2633" s="783" t="s">
        <v>4691</v>
      </c>
      <c r="I2633" s="783" t="s">
        <v>4692</v>
      </c>
      <c r="J2633" s="783">
        <v>30</v>
      </c>
      <c r="K2633" s="783" t="s">
        <v>866</v>
      </c>
      <c r="L2633" s="783" t="s">
        <v>4014</v>
      </c>
      <c r="M2633" s="784">
        <v>23871.24</v>
      </c>
      <c r="N2633" s="784">
        <v>22.32</v>
      </c>
      <c r="O2633" s="784">
        <v>7.13</v>
      </c>
      <c r="P2633" s="783">
        <v>150</v>
      </c>
      <c r="Q2633" s="783">
        <v>87.96</v>
      </c>
      <c r="R2633" s="783">
        <v>79.06</v>
      </c>
      <c r="S2633" s="783">
        <v>0</v>
      </c>
      <c r="T2633" s="783">
        <v>8.9</v>
      </c>
      <c r="U2633" s="785">
        <v>44659.413680555597</v>
      </c>
    </row>
    <row r="2634" spans="1:21">
      <c r="A2634" s="782">
        <v>44652</v>
      </c>
      <c r="B2634" s="783" t="s">
        <v>113</v>
      </c>
      <c r="C2634" s="783" t="s">
        <v>6308</v>
      </c>
      <c r="D2634" s="783" t="s">
        <v>4038</v>
      </c>
      <c r="E2634" s="783" t="s">
        <v>7032</v>
      </c>
      <c r="F2634" s="783" t="s">
        <v>4011</v>
      </c>
      <c r="G2634" s="783" t="str">
        <f>VLOOKUP(I2634,pacage,2,FALSE)</f>
        <v>Renewal (20% in 2020)</v>
      </c>
      <c r="H2634" s="783" t="s">
        <v>7033</v>
      </c>
      <c r="I2634" s="783" t="s">
        <v>7034</v>
      </c>
      <c r="J2634" s="783">
        <v>20</v>
      </c>
      <c r="K2634" s="783" t="s">
        <v>866</v>
      </c>
      <c r="L2634" s="783" t="s">
        <v>4014</v>
      </c>
      <c r="M2634" s="784">
        <v>50050.54</v>
      </c>
      <c r="N2634" s="784">
        <v>30.27</v>
      </c>
      <c r="O2634" s="784">
        <v>10.27</v>
      </c>
      <c r="P2634" s="783">
        <v>161</v>
      </c>
      <c r="Q2634" s="783">
        <v>4544.59</v>
      </c>
      <c r="R2634" s="783">
        <v>2392.42</v>
      </c>
      <c r="S2634" s="783">
        <v>395.4</v>
      </c>
      <c r="T2634" s="783">
        <v>1756.77</v>
      </c>
      <c r="U2634" s="785">
        <v>44655.602766203701</v>
      </c>
    </row>
    <row r="2635" spans="1:21">
      <c r="A2635" s="782">
        <v>44652</v>
      </c>
      <c r="B2635" s="783" t="s">
        <v>113</v>
      </c>
      <c r="C2635" s="783" t="s">
        <v>4598</v>
      </c>
      <c r="D2635" s="783" t="s">
        <v>4009</v>
      </c>
      <c r="E2635" s="783" t="s">
        <v>7035</v>
      </c>
      <c r="F2635" s="783" t="s">
        <v>4011</v>
      </c>
      <c r="G2635" s="783" t="s">
        <v>4028</v>
      </c>
      <c r="H2635" s="783" t="s">
        <v>7036</v>
      </c>
      <c r="I2635" s="783" t="s">
        <v>7037</v>
      </c>
      <c r="J2635" s="783">
        <v>25</v>
      </c>
      <c r="K2635" s="783" t="s">
        <v>866</v>
      </c>
      <c r="L2635" s="783" t="s">
        <v>4014</v>
      </c>
      <c r="M2635" s="784">
        <v>220594.38</v>
      </c>
      <c r="N2635" s="784">
        <v>94.03</v>
      </c>
      <c r="O2635" s="784">
        <v>11.73</v>
      </c>
      <c r="P2635" s="783">
        <v>200</v>
      </c>
      <c r="Q2635" s="783">
        <v>12948.89</v>
      </c>
      <c r="R2635" s="783">
        <v>6605.92</v>
      </c>
      <c r="S2635" s="783">
        <v>3673.78</v>
      </c>
      <c r="T2635" s="783">
        <v>2669.19</v>
      </c>
      <c r="U2635" s="785">
        <v>44655.511655092603</v>
      </c>
    </row>
    <row r="2636" spans="1:21">
      <c r="A2636" s="782">
        <v>44656</v>
      </c>
      <c r="B2636" s="783" t="s">
        <v>74</v>
      </c>
      <c r="C2636" s="783" t="s">
        <v>4097</v>
      </c>
      <c r="D2636" s="783" t="s">
        <v>4038</v>
      </c>
      <c r="E2636" s="783" t="s">
        <v>4411</v>
      </c>
      <c r="F2636" s="783" t="s">
        <v>4011</v>
      </c>
      <c r="G2636" s="783" t="s">
        <v>4028</v>
      </c>
      <c r="H2636" s="783" t="s">
        <v>4412</v>
      </c>
      <c r="I2636" s="783" t="s">
        <v>4413</v>
      </c>
      <c r="J2636" s="783">
        <v>15</v>
      </c>
      <c r="K2636" s="783" t="s">
        <v>866</v>
      </c>
      <c r="L2636" s="783" t="s">
        <v>4014</v>
      </c>
      <c r="M2636" s="784">
        <v>3024</v>
      </c>
      <c r="N2636" s="784">
        <v>3.6</v>
      </c>
      <c r="O2636" s="784">
        <v>6</v>
      </c>
      <c r="P2636" s="783">
        <v>140</v>
      </c>
      <c r="Q2636" s="783">
        <v>323.57</v>
      </c>
      <c r="R2636" s="783">
        <v>138.19999999999999</v>
      </c>
      <c r="S2636" s="783">
        <v>22.68</v>
      </c>
      <c r="T2636" s="783">
        <v>162.69</v>
      </c>
      <c r="U2636" s="785">
        <v>44657.628009259301</v>
      </c>
    </row>
    <row r="2637" spans="1:21">
      <c r="A2637" s="782">
        <v>44652</v>
      </c>
      <c r="B2637" s="783" t="s">
        <v>113</v>
      </c>
      <c r="C2637" s="783" t="s">
        <v>4606</v>
      </c>
      <c r="D2637" s="783" t="s">
        <v>4009</v>
      </c>
      <c r="E2637" s="783" t="s">
        <v>6783</v>
      </c>
      <c r="F2637" s="783" t="s">
        <v>4011</v>
      </c>
      <c r="G2637" s="783" t="str">
        <f>VLOOKUP(I2637,pacage,2,FALSE)</f>
        <v>Renewal (25% in 2020)</v>
      </c>
      <c r="H2637" s="783" t="s">
        <v>6784</v>
      </c>
      <c r="I2637" s="783" t="s">
        <v>6785</v>
      </c>
      <c r="J2637" s="783">
        <v>25</v>
      </c>
      <c r="K2637" s="783" t="s">
        <v>866</v>
      </c>
      <c r="L2637" s="783" t="s">
        <v>4014</v>
      </c>
      <c r="M2637" s="784">
        <v>33784.400000000001</v>
      </c>
      <c r="N2637" s="784">
        <v>17.8</v>
      </c>
      <c r="O2637" s="784">
        <v>9.49</v>
      </c>
      <c r="P2637" s="783">
        <v>200</v>
      </c>
      <c r="Q2637" s="783">
        <v>2020.31</v>
      </c>
      <c r="R2637" s="783">
        <v>1076.98</v>
      </c>
      <c r="S2637" s="783">
        <v>480.48</v>
      </c>
      <c r="T2637" s="783">
        <v>462.85</v>
      </c>
      <c r="U2637" s="785">
        <v>44655.500567129602</v>
      </c>
    </row>
    <row r="2638" spans="1:21">
      <c r="A2638" s="782">
        <v>44699</v>
      </c>
      <c r="B2638" s="783" t="s">
        <v>30</v>
      </c>
      <c r="C2638" s="783" t="s">
        <v>5974</v>
      </c>
      <c r="D2638" s="783" t="s">
        <v>4021</v>
      </c>
      <c r="E2638" s="783" t="s">
        <v>5975</v>
      </c>
      <c r="F2638" s="783" t="s">
        <v>4011</v>
      </c>
      <c r="G2638" s="783" t="str">
        <f>VLOOKUP(I2638,pacage,2,FALSE)</f>
        <v>Renewal (20% in 2020)</v>
      </c>
      <c r="H2638" s="783" t="s">
        <v>5976</v>
      </c>
      <c r="I2638" s="783" t="s">
        <v>5977</v>
      </c>
      <c r="J2638" s="783">
        <v>20</v>
      </c>
      <c r="K2638" s="783" t="s">
        <v>866</v>
      </c>
      <c r="L2638" s="783" t="s">
        <v>4014</v>
      </c>
      <c r="M2638" s="784">
        <v>6442.8</v>
      </c>
      <c r="N2638" s="784">
        <v>5</v>
      </c>
      <c r="O2638" s="784">
        <v>7.67</v>
      </c>
      <c r="P2638" s="783">
        <v>168</v>
      </c>
      <c r="Q2638" s="783">
        <v>463.88</v>
      </c>
      <c r="R2638" s="783">
        <v>240.8</v>
      </c>
      <c r="S2638" s="783">
        <v>69.739999999999995</v>
      </c>
      <c r="T2638" s="783">
        <v>153.34</v>
      </c>
      <c r="U2638" s="785">
        <v>44700.511574074102</v>
      </c>
    </row>
    <row r="2639" spans="1:21">
      <c r="A2639" s="782">
        <v>44652</v>
      </c>
      <c r="B2639" s="783" t="s">
        <v>47</v>
      </c>
      <c r="C2639" s="783" t="s">
        <v>4101</v>
      </c>
      <c r="D2639" s="783" t="s">
        <v>4102</v>
      </c>
      <c r="E2639" s="783" t="s">
        <v>5980</v>
      </c>
      <c r="F2639" s="783" t="s">
        <v>4011</v>
      </c>
      <c r="G2639" s="783" t="str">
        <f>VLOOKUP(I2639,pacage,2,FALSE)</f>
        <v>Renewal (25% in 2020)</v>
      </c>
      <c r="H2639" s="783" t="s">
        <v>5981</v>
      </c>
      <c r="I2639" s="783" t="s">
        <v>5982</v>
      </c>
      <c r="J2639" s="783">
        <v>25</v>
      </c>
      <c r="K2639" s="783" t="s">
        <v>866</v>
      </c>
      <c r="L2639" s="783" t="s">
        <v>4014</v>
      </c>
      <c r="M2639" s="784">
        <v>12294</v>
      </c>
      <c r="N2639" s="784">
        <v>10</v>
      </c>
      <c r="O2639" s="784">
        <v>6.83</v>
      </c>
      <c r="P2639" s="783">
        <v>180</v>
      </c>
      <c r="Q2639" s="783">
        <v>542.16999999999996</v>
      </c>
      <c r="R2639" s="783">
        <v>374.97</v>
      </c>
      <c r="S2639" s="783">
        <v>111.87</v>
      </c>
      <c r="T2639" s="783">
        <v>55.32</v>
      </c>
      <c r="U2639" s="785">
        <v>44655.504895833299</v>
      </c>
    </row>
    <row r="2640" spans="1:21">
      <c r="A2640" s="782">
        <v>44655</v>
      </c>
      <c r="B2640" s="783" t="s">
        <v>113</v>
      </c>
      <c r="C2640" s="783" t="s">
        <v>4097</v>
      </c>
      <c r="D2640" s="783" t="s">
        <v>4038</v>
      </c>
      <c r="E2640" s="783" t="s">
        <v>5983</v>
      </c>
      <c r="F2640" s="783" t="s">
        <v>4066</v>
      </c>
      <c r="G2640" s="783" t="str">
        <f>VLOOKUP(I2640,pacage,2,FALSE)</f>
        <v>Renewal (15% in 2020)</v>
      </c>
      <c r="H2640" s="783" t="s">
        <v>5984</v>
      </c>
      <c r="I2640" s="783" t="s">
        <v>5985</v>
      </c>
      <c r="J2640" s="783">
        <v>10</v>
      </c>
      <c r="K2640" s="783" t="s">
        <v>866</v>
      </c>
      <c r="L2640" s="783" t="s">
        <v>4014</v>
      </c>
      <c r="M2640" s="784">
        <v>16905</v>
      </c>
      <c r="N2640" s="784">
        <v>15</v>
      </c>
      <c r="O2640" s="784">
        <v>7</v>
      </c>
      <c r="P2640" s="783">
        <v>161</v>
      </c>
      <c r="Q2640" s="783">
        <v>410.79</v>
      </c>
      <c r="R2640" s="783">
        <v>0</v>
      </c>
      <c r="S2640" s="783">
        <v>0</v>
      </c>
      <c r="T2640" s="783">
        <v>410.79</v>
      </c>
      <c r="U2640" s="785">
        <v>44657.619456018503</v>
      </c>
    </row>
    <row r="2641" spans="1:21">
      <c r="A2641" s="782">
        <v>44655</v>
      </c>
      <c r="B2641" s="783" t="s">
        <v>2866</v>
      </c>
      <c r="C2641" s="783" t="s">
        <v>4008</v>
      </c>
      <c r="D2641" s="783" t="s">
        <v>4009</v>
      </c>
      <c r="E2641" s="783" t="s">
        <v>5995</v>
      </c>
      <c r="F2641" s="783" t="s">
        <v>4011</v>
      </c>
      <c r="G2641" s="783" t="s">
        <v>4028</v>
      </c>
      <c r="H2641" s="783" t="s">
        <v>5996</v>
      </c>
      <c r="I2641" s="783" t="s">
        <v>5997</v>
      </c>
      <c r="J2641" s="783">
        <v>15</v>
      </c>
      <c r="K2641" s="783" t="s">
        <v>866</v>
      </c>
      <c r="L2641" s="783" t="s">
        <v>4014</v>
      </c>
      <c r="M2641" s="784">
        <v>44730</v>
      </c>
      <c r="N2641" s="784">
        <v>36</v>
      </c>
      <c r="O2641" s="784">
        <v>7.1</v>
      </c>
      <c r="P2641" s="783">
        <v>175</v>
      </c>
      <c r="Q2641" s="783">
        <v>5081.33</v>
      </c>
      <c r="R2641" s="783">
        <v>2004.08</v>
      </c>
      <c r="S2641" s="783">
        <v>527.64</v>
      </c>
      <c r="T2641" s="783">
        <v>2549.61</v>
      </c>
      <c r="U2641" s="785">
        <v>44657.605914351901</v>
      </c>
    </row>
    <row r="2642" spans="1:21">
      <c r="A2642" s="782">
        <v>44615</v>
      </c>
      <c r="B2642" s="783" t="s">
        <v>74</v>
      </c>
      <c r="C2642" s="783" t="s">
        <v>4037</v>
      </c>
      <c r="D2642" s="783" t="s">
        <v>4038</v>
      </c>
      <c r="E2642" s="783" t="s">
        <v>1665</v>
      </c>
      <c r="F2642" s="783" t="s">
        <v>4011</v>
      </c>
      <c r="G2642" s="783" t="s">
        <v>4028</v>
      </c>
      <c r="H2642" s="783" t="s">
        <v>4421</v>
      </c>
      <c r="I2642" s="783" t="s">
        <v>4422</v>
      </c>
      <c r="J2642" s="783">
        <v>30</v>
      </c>
      <c r="K2642" s="783" t="s">
        <v>866</v>
      </c>
      <c r="L2642" s="783" t="s">
        <v>4014</v>
      </c>
      <c r="M2642" s="784">
        <v>106342.8</v>
      </c>
      <c r="N2642" s="784">
        <v>77.06</v>
      </c>
      <c r="O2642" s="784">
        <v>6.9</v>
      </c>
      <c r="P2642" s="783">
        <v>200</v>
      </c>
      <c r="Q2642" s="783">
        <v>7624.78</v>
      </c>
      <c r="R2642" s="783">
        <v>4725.45</v>
      </c>
      <c r="S2642" s="783">
        <v>1144.67</v>
      </c>
      <c r="T2642" s="783">
        <v>1754.66</v>
      </c>
      <c r="U2642" s="785">
        <v>44631.511851851901</v>
      </c>
    </row>
    <row r="2643" spans="1:21">
      <c r="A2643" s="782">
        <v>44606</v>
      </c>
      <c r="B2643" s="783" t="s">
        <v>113</v>
      </c>
      <c r="C2643" s="783" t="s">
        <v>4606</v>
      </c>
      <c r="D2643" s="783" t="s">
        <v>4009</v>
      </c>
      <c r="E2643" s="783" t="s">
        <v>6786</v>
      </c>
      <c r="F2643" s="783" t="s">
        <v>4011</v>
      </c>
      <c r="G2643" s="783" t="str">
        <f>VLOOKUP(I2643,pacage,2,FALSE)</f>
        <v>Renewal (15% in 2020)</v>
      </c>
      <c r="H2643" s="783" t="s">
        <v>6787</v>
      </c>
      <c r="I2643" s="783" t="s">
        <v>6788</v>
      </c>
      <c r="J2643" s="783">
        <v>15</v>
      </c>
      <c r="K2643" s="783" t="s">
        <v>866</v>
      </c>
      <c r="L2643" s="783" t="s">
        <v>4014</v>
      </c>
      <c r="M2643" s="784">
        <v>49341.54</v>
      </c>
      <c r="N2643" s="784">
        <v>30.77</v>
      </c>
      <c r="O2643" s="784">
        <v>9.9600000000000009</v>
      </c>
      <c r="P2643" s="783">
        <v>161</v>
      </c>
      <c r="Q2643" s="783">
        <v>4712.12</v>
      </c>
      <c r="R2643" s="783">
        <v>1953.93</v>
      </c>
      <c r="S2643" s="783">
        <v>320.72000000000003</v>
      </c>
      <c r="T2643" s="783">
        <v>2437.4699999999998</v>
      </c>
      <c r="U2643" s="785">
        <v>44631.632349537002</v>
      </c>
    </row>
    <row r="2644" spans="1:21">
      <c r="A2644" s="782">
        <v>44559</v>
      </c>
      <c r="B2644" s="783" t="s">
        <v>34</v>
      </c>
      <c r="C2644" s="783" t="s">
        <v>4139</v>
      </c>
      <c r="D2644" s="783" t="s">
        <v>4009</v>
      </c>
      <c r="E2644" s="783" t="s">
        <v>6000</v>
      </c>
      <c r="F2644" s="783" t="s">
        <v>4011</v>
      </c>
      <c r="G2644" s="783" t="str">
        <f>VLOOKUP(I2644,pacage,2,FALSE)</f>
        <v>Renewal (25% in 2020)</v>
      </c>
      <c r="H2644" s="783" t="s">
        <v>6001</v>
      </c>
      <c r="I2644" s="783" t="s">
        <v>6002</v>
      </c>
      <c r="J2644" s="783">
        <v>25</v>
      </c>
      <c r="K2644" s="783" t="s">
        <v>866</v>
      </c>
      <c r="L2644" s="783" t="s">
        <v>4014</v>
      </c>
      <c r="M2644" s="784">
        <v>14942.07</v>
      </c>
      <c r="N2644" s="784">
        <v>14.19</v>
      </c>
      <c r="O2644" s="784">
        <v>5.85</v>
      </c>
      <c r="P2644" s="783">
        <v>180</v>
      </c>
      <c r="Q2644" s="783">
        <v>881.58</v>
      </c>
      <c r="R2644" s="783">
        <v>621.47</v>
      </c>
      <c r="S2644" s="783">
        <v>186.9</v>
      </c>
      <c r="T2644" s="783">
        <v>73.22</v>
      </c>
      <c r="U2644" s="785">
        <v>44631.635381944398</v>
      </c>
    </row>
    <row r="2645" spans="1:21">
      <c r="A2645" s="782">
        <v>44566</v>
      </c>
      <c r="B2645" s="783" t="s">
        <v>113</v>
      </c>
      <c r="C2645" s="783" t="s">
        <v>4606</v>
      </c>
      <c r="D2645" s="783" t="s">
        <v>4009</v>
      </c>
      <c r="E2645" s="783" t="s">
        <v>6009</v>
      </c>
      <c r="F2645" s="783" t="s">
        <v>4011</v>
      </c>
      <c r="G2645" s="783" t="str">
        <f>VLOOKUP(I2645,pacage,2,FALSE)</f>
        <v>Renewal (20% in 2020)</v>
      </c>
      <c r="H2645" s="783" t="s">
        <v>6010</v>
      </c>
      <c r="I2645" s="783" t="s">
        <v>6011</v>
      </c>
      <c r="J2645" s="783">
        <v>25</v>
      </c>
      <c r="K2645" s="783" t="s">
        <v>866</v>
      </c>
      <c r="L2645" s="783" t="s">
        <v>4014</v>
      </c>
      <c r="M2645" s="784">
        <v>34615</v>
      </c>
      <c r="N2645" s="784">
        <v>21.5</v>
      </c>
      <c r="O2645" s="784">
        <v>10</v>
      </c>
      <c r="P2645" s="783">
        <v>161</v>
      </c>
      <c r="Q2645" s="783">
        <v>2069.98</v>
      </c>
      <c r="R2645" s="783">
        <v>1370.75</v>
      </c>
      <c r="S2645" s="783">
        <v>225</v>
      </c>
      <c r="T2645" s="783">
        <v>474.23</v>
      </c>
      <c r="U2645" s="785">
        <v>44631.635416666701</v>
      </c>
    </row>
    <row r="2646" spans="1:21">
      <c r="A2646" s="782">
        <v>44572</v>
      </c>
      <c r="B2646" s="783" t="s">
        <v>41</v>
      </c>
      <c r="C2646" s="783" t="s">
        <v>4092</v>
      </c>
      <c r="D2646" s="783" t="s">
        <v>4009</v>
      </c>
      <c r="E2646" s="783" t="s">
        <v>6012</v>
      </c>
      <c r="F2646" s="783" t="s">
        <v>4011</v>
      </c>
      <c r="G2646" s="783" t="s">
        <v>4028</v>
      </c>
      <c r="H2646" s="783" t="s">
        <v>6013</v>
      </c>
      <c r="I2646" s="783" t="s">
        <v>6014</v>
      </c>
      <c r="J2646" s="783">
        <v>25</v>
      </c>
      <c r="K2646" s="783" t="s">
        <v>866</v>
      </c>
      <c r="L2646" s="783" t="s">
        <v>4014</v>
      </c>
      <c r="M2646" s="784">
        <v>11560.37</v>
      </c>
      <c r="N2646" s="784">
        <v>7.71</v>
      </c>
      <c r="O2646" s="784">
        <v>8.33</v>
      </c>
      <c r="P2646" s="783">
        <v>180</v>
      </c>
      <c r="Q2646" s="783">
        <v>801.13</v>
      </c>
      <c r="R2646" s="783">
        <v>549.05999999999995</v>
      </c>
      <c r="S2646" s="783">
        <v>182.71</v>
      </c>
      <c r="T2646" s="783">
        <v>69.36</v>
      </c>
      <c r="U2646" s="785">
        <v>44631.632615740702</v>
      </c>
    </row>
    <row r="2647" spans="1:21">
      <c r="A2647" s="782">
        <v>44561</v>
      </c>
      <c r="B2647" s="783" t="s">
        <v>4025</v>
      </c>
      <c r="C2647" s="783" t="s">
        <v>4239</v>
      </c>
      <c r="D2647" s="783" t="s">
        <v>4021</v>
      </c>
      <c r="E2647" s="783" t="s">
        <v>6018</v>
      </c>
      <c r="F2647" s="783" t="s">
        <v>4011</v>
      </c>
      <c r="G2647" s="783" t="s">
        <v>4028</v>
      </c>
      <c r="H2647" s="783" t="s">
        <v>6019</v>
      </c>
      <c r="I2647" s="783" t="s">
        <v>6020</v>
      </c>
      <c r="J2647" s="783">
        <v>25</v>
      </c>
      <c r="K2647" s="783" t="s">
        <v>866</v>
      </c>
      <c r="L2647" s="783" t="s">
        <v>4014</v>
      </c>
      <c r="M2647" s="784">
        <v>36801</v>
      </c>
      <c r="N2647" s="784">
        <v>29</v>
      </c>
      <c r="O2647" s="784">
        <v>7.05</v>
      </c>
      <c r="P2647" s="783">
        <v>180</v>
      </c>
      <c r="Q2647" s="783">
        <v>1950.45</v>
      </c>
      <c r="R2647" s="783">
        <v>1250.83</v>
      </c>
      <c r="S2647" s="783">
        <v>456.74</v>
      </c>
      <c r="T2647" s="783">
        <v>242.89</v>
      </c>
      <c r="U2647" s="785">
        <v>44631.632118055597</v>
      </c>
    </row>
    <row r="2648" spans="1:21">
      <c r="A2648" s="782">
        <v>44565</v>
      </c>
      <c r="B2648" s="783" t="s">
        <v>74</v>
      </c>
      <c r="C2648" s="783" t="s">
        <v>4097</v>
      </c>
      <c r="D2648" s="783" t="s">
        <v>4038</v>
      </c>
      <c r="E2648" s="783" t="s">
        <v>4423</v>
      </c>
      <c r="F2648" s="783" t="s">
        <v>4011</v>
      </c>
      <c r="G2648" s="783" t="s">
        <v>4028</v>
      </c>
      <c r="H2648" s="783" t="s">
        <v>4424</v>
      </c>
      <c r="I2648" s="783" t="s">
        <v>4425</v>
      </c>
      <c r="J2648" s="783">
        <v>20</v>
      </c>
      <c r="K2648" s="783" t="s">
        <v>866</v>
      </c>
      <c r="L2648" s="783" t="s">
        <v>4014</v>
      </c>
      <c r="M2648" s="784">
        <v>11999</v>
      </c>
      <c r="N2648" s="784">
        <v>9.23</v>
      </c>
      <c r="O2648" s="784">
        <v>6.5</v>
      </c>
      <c r="P2648" s="783">
        <v>200</v>
      </c>
      <c r="Q2648" s="783">
        <v>971.92</v>
      </c>
      <c r="R2648" s="783">
        <v>441.43</v>
      </c>
      <c r="S2648" s="783">
        <v>196.92</v>
      </c>
      <c r="T2648" s="783">
        <v>333.57</v>
      </c>
      <c r="U2648" s="785">
        <v>44631.632557870398</v>
      </c>
    </row>
    <row r="2649" spans="1:21">
      <c r="A2649" s="782">
        <v>44594</v>
      </c>
      <c r="B2649" s="783" t="s">
        <v>113</v>
      </c>
      <c r="C2649" s="783" t="s">
        <v>4097</v>
      </c>
      <c r="D2649" s="783" t="s">
        <v>4038</v>
      </c>
      <c r="E2649" s="783" t="s">
        <v>6021</v>
      </c>
      <c r="F2649" s="783" t="s">
        <v>4066</v>
      </c>
      <c r="G2649" s="783" t="str">
        <f>VLOOKUP(I2649,pacage,2,FALSE)</f>
        <v>Renewal (15% in 2020)</v>
      </c>
      <c r="H2649" s="783" t="s">
        <v>6022</v>
      </c>
      <c r="I2649" s="783" t="s">
        <v>6023</v>
      </c>
      <c r="J2649" s="783">
        <v>5</v>
      </c>
      <c r="K2649" s="783" t="s">
        <v>866</v>
      </c>
      <c r="L2649" s="783" t="s">
        <v>4014</v>
      </c>
      <c r="M2649" s="784">
        <v>5346</v>
      </c>
      <c r="N2649" s="784">
        <v>3.3</v>
      </c>
      <c r="O2649" s="784">
        <v>9</v>
      </c>
      <c r="P2649" s="783">
        <v>180</v>
      </c>
      <c r="Q2649" s="783">
        <v>242.71</v>
      </c>
      <c r="R2649" s="783">
        <v>0</v>
      </c>
      <c r="S2649" s="783">
        <v>0</v>
      </c>
      <c r="T2649" s="783">
        <v>242.71</v>
      </c>
      <c r="U2649" s="785">
        <v>44631.635289351798</v>
      </c>
    </row>
    <row r="2650" spans="1:21">
      <c r="A2650" s="782">
        <v>44568</v>
      </c>
      <c r="B2650" s="783" t="s">
        <v>41</v>
      </c>
      <c r="C2650" s="783" t="s">
        <v>4092</v>
      </c>
      <c r="D2650" s="783" t="s">
        <v>4009</v>
      </c>
      <c r="E2650" s="783" t="s">
        <v>4696</v>
      </c>
      <c r="F2650" s="783" t="s">
        <v>4011</v>
      </c>
      <c r="G2650" s="783" t="str">
        <f>VLOOKUP(I2650,pacage,2,FALSE)</f>
        <v>Renewal (25% in 2020)</v>
      </c>
      <c r="H2650" s="783" t="s">
        <v>4697</v>
      </c>
      <c r="I2650" s="783" t="s">
        <v>4698</v>
      </c>
      <c r="J2650" s="783">
        <v>25</v>
      </c>
      <c r="K2650" s="783" t="s">
        <v>866</v>
      </c>
      <c r="L2650" s="783" t="s">
        <v>4014</v>
      </c>
      <c r="M2650" s="784">
        <v>24728.880000000001</v>
      </c>
      <c r="N2650" s="784">
        <v>15.95</v>
      </c>
      <c r="O2650" s="784">
        <v>8.16</v>
      </c>
      <c r="P2650" s="783">
        <v>190</v>
      </c>
      <c r="Q2650" s="783">
        <v>1713.71</v>
      </c>
      <c r="R2650" s="783">
        <v>1112.68</v>
      </c>
      <c r="S2650" s="783">
        <v>452.66</v>
      </c>
      <c r="T2650" s="783">
        <v>148.37</v>
      </c>
      <c r="U2650" s="785">
        <v>44631.632789351897</v>
      </c>
    </row>
    <row r="2651" spans="1:21">
      <c r="A2651" s="782">
        <v>44568</v>
      </c>
      <c r="B2651" s="783" t="s">
        <v>41</v>
      </c>
      <c r="C2651" s="783" t="s">
        <v>4082</v>
      </c>
      <c r="D2651" s="783" t="s">
        <v>4009</v>
      </c>
      <c r="E2651" s="783" t="s">
        <v>4696</v>
      </c>
      <c r="F2651" s="783" t="s">
        <v>4011</v>
      </c>
      <c r="G2651" s="783" t="str">
        <f>VLOOKUP(I2651,pacage,2,FALSE)</f>
        <v>Renewal (25% in 2020)</v>
      </c>
      <c r="H2651" s="783" t="s">
        <v>4697</v>
      </c>
      <c r="I2651" s="783" t="s">
        <v>4698</v>
      </c>
      <c r="J2651" s="783">
        <v>25</v>
      </c>
      <c r="K2651" s="783" t="s">
        <v>866</v>
      </c>
      <c r="L2651" s="783" t="s">
        <v>4014</v>
      </c>
      <c r="M2651" s="784">
        <v>5814</v>
      </c>
      <c r="N2651" s="784">
        <v>3.75</v>
      </c>
      <c r="O2651" s="784">
        <v>8.16</v>
      </c>
      <c r="P2651" s="783">
        <v>190</v>
      </c>
      <c r="Q2651" s="783">
        <v>349.42</v>
      </c>
      <c r="R2651" s="783">
        <v>227.61</v>
      </c>
      <c r="S2651" s="783">
        <v>91.58</v>
      </c>
      <c r="T2651" s="783">
        <v>30.23</v>
      </c>
      <c r="U2651" s="785">
        <v>44631.632789351897</v>
      </c>
    </row>
    <row r="2652" spans="1:21">
      <c r="A2652" s="782">
        <v>44565</v>
      </c>
      <c r="B2652" s="783" t="s">
        <v>74</v>
      </c>
      <c r="C2652" s="783" t="s">
        <v>4097</v>
      </c>
      <c r="D2652" s="783" t="s">
        <v>4038</v>
      </c>
      <c r="E2652" s="783" t="s">
        <v>4429</v>
      </c>
      <c r="F2652" s="783" t="s">
        <v>4011</v>
      </c>
      <c r="G2652" s="783" t="s">
        <v>4028</v>
      </c>
      <c r="H2652" s="783" t="s">
        <v>4430</v>
      </c>
      <c r="I2652" s="783" t="s">
        <v>4431</v>
      </c>
      <c r="J2652" s="783">
        <v>20</v>
      </c>
      <c r="K2652" s="783" t="s">
        <v>866</v>
      </c>
      <c r="L2652" s="783" t="s">
        <v>4014</v>
      </c>
      <c r="M2652" s="784">
        <v>23942.799999999999</v>
      </c>
      <c r="N2652" s="784">
        <v>20.12</v>
      </c>
      <c r="O2652" s="784">
        <v>5.95</v>
      </c>
      <c r="P2652" s="783">
        <v>200</v>
      </c>
      <c r="Q2652" s="783">
        <v>1939.37</v>
      </c>
      <c r="R2652" s="783">
        <v>880.82</v>
      </c>
      <c r="S2652" s="783">
        <v>392.94</v>
      </c>
      <c r="T2652" s="783">
        <v>665.61</v>
      </c>
      <c r="U2652" s="785">
        <v>44631.635138888902</v>
      </c>
    </row>
    <row r="2653" spans="1:21">
      <c r="A2653" s="782">
        <v>44581</v>
      </c>
      <c r="B2653" s="783" t="s">
        <v>113</v>
      </c>
      <c r="C2653" s="783" t="s">
        <v>4598</v>
      </c>
      <c r="D2653" s="783" t="s">
        <v>4009</v>
      </c>
      <c r="E2653" s="783" t="s">
        <v>3697</v>
      </c>
      <c r="F2653" s="783" t="s">
        <v>4066</v>
      </c>
      <c r="G2653" s="783" t="s">
        <v>4028</v>
      </c>
      <c r="H2653" s="783" t="s">
        <v>6039</v>
      </c>
      <c r="I2653" s="783" t="s">
        <v>6040</v>
      </c>
      <c r="J2653" s="783">
        <v>5</v>
      </c>
      <c r="K2653" s="783" t="s">
        <v>866</v>
      </c>
      <c r="L2653" s="783" t="s">
        <v>4014</v>
      </c>
      <c r="M2653" s="784">
        <v>56751.7</v>
      </c>
      <c r="N2653" s="784">
        <v>24.65</v>
      </c>
      <c r="O2653" s="784">
        <v>11</v>
      </c>
      <c r="P2653" s="783">
        <v>209.3</v>
      </c>
      <c r="Q2653" s="783">
        <v>2673</v>
      </c>
      <c r="R2653" s="783">
        <v>0</v>
      </c>
      <c r="S2653" s="783">
        <v>0</v>
      </c>
      <c r="T2653" s="783">
        <v>2673</v>
      </c>
      <c r="U2653" s="785">
        <v>44631.632881944402</v>
      </c>
    </row>
    <row r="2654" spans="1:21">
      <c r="A2654" s="782">
        <v>44646</v>
      </c>
      <c r="B2654" s="783" t="s">
        <v>65</v>
      </c>
      <c r="C2654" s="783" t="s">
        <v>4916</v>
      </c>
      <c r="D2654" s="783" t="s">
        <v>4102</v>
      </c>
      <c r="E2654" s="783" t="s">
        <v>6044</v>
      </c>
      <c r="F2654" s="783" t="s">
        <v>4011</v>
      </c>
      <c r="G2654" s="783" t="str">
        <f t="shared" ref="G2654:G2673" si="142">VLOOKUP(I2654,pacage,2,FALSE)</f>
        <v>Renewal (20% in 2020)</v>
      </c>
      <c r="H2654" s="783" t="s">
        <v>6045</v>
      </c>
      <c r="I2654" s="783" t="s">
        <v>6046</v>
      </c>
      <c r="J2654" s="783">
        <v>20</v>
      </c>
      <c r="K2654" s="783" t="s">
        <v>866</v>
      </c>
      <c r="L2654" s="783" t="s">
        <v>4014</v>
      </c>
      <c r="M2654" s="784">
        <v>45576</v>
      </c>
      <c r="N2654" s="784">
        <v>36</v>
      </c>
      <c r="O2654" s="784">
        <v>6.33</v>
      </c>
      <c r="P2654" s="783">
        <v>200</v>
      </c>
      <c r="Q2654" s="783">
        <v>2606.9499999999998</v>
      </c>
      <c r="R2654" s="783">
        <v>1243.75</v>
      </c>
      <c r="S2654" s="783">
        <v>547.39</v>
      </c>
      <c r="T2654" s="783">
        <v>815.81</v>
      </c>
      <c r="U2654" s="785">
        <v>44649.394490740699</v>
      </c>
    </row>
    <row r="2655" spans="1:21">
      <c r="A2655" s="782">
        <v>44594</v>
      </c>
      <c r="B2655" s="783" t="s">
        <v>113</v>
      </c>
      <c r="C2655" s="783" t="s">
        <v>4097</v>
      </c>
      <c r="D2655" s="783" t="s">
        <v>4038</v>
      </c>
      <c r="E2655" s="783" t="s">
        <v>6053</v>
      </c>
      <c r="F2655" s="783" t="s">
        <v>4066</v>
      </c>
      <c r="G2655" s="783" t="str">
        <f t="shared" si="142"/>
        <v>Renewal (15% in 2020)</v>
      </c>
      <c r="H2655" s="783" t="s">
        <v>6054</v>
      </c>
      <c r="I2655" s="783" t="s">
        <v>6055</v>
      </c>
      <c r="J2655" s="783">
        <v>5</v>
      </c>
      <c r="K2655" s="783" t="s">
        <v>866</v>
      </c>
      <c r="L2655" s="783" t="s">
        <v>4014</v>
      </c>
      <c r="M2655" s="784">
        <v>21205.8</v>
      </c>
      <c r="N2655" s="784">
        <v>13.09</v>
      </c>
      <c r="O2655" s="784">
        <v>9</v>
      </c>
      <c r="P2655" s="783">
        <v>180</v>
      </c>
      <c r="Q2655" s="783">
        <v>962.74</v>
      </c>
      <c r="R2655" s="783">
        <v>0</v>
      </c>
      <c r="S2655" s="783">
        <v>0</v>
      </c>
      <c r="T2655" s="783">
        <v>962.74</v>
      </c>
      <c r="U2655" s="785">
        <v>44631.632395833301</v>
      </c>
    </row>
    <row r="2656" spans="1:21">
      <c r="A2656" s="782">
        <v>44427</v>
      </c>
      <c r="B2656" s="783" t="s">
        <v>51</v>
      </c>
      <c r="C2656" s="783" t="s">
        <v>5489</v>
      </c>
      <c r="D2656" s="783" t="s">
        <v>4016</v>
      </c>
      <c r="E2656" s="783" t="s">
        <v>6058</v>
      </c>
      <c r="F2656" s="783" t="s">
        <v>4011</v>
      </c>
      <c r="G2656" s="783" t="str">
        <f t="shared" si="142"/>
        <v>Renewal (15% in 2020)</v>
      </c>
      <c r="H2656" s="783" t="s">
        <v>6059</v>
      </c>
      <c r="I2656" s="783" t="s">
        <v>6060</v>
      </c>
      <c r="J2656" s="783">
        <v>15</v>
      </c>
      <c r="K2656" s="783" t="s">
        <v>866</v>
      </c>
      <c r="L2656" s="783" t="s">
        <v>4014</v>
      </c>
      <c r="M2656" s="784">
        <v>7449</v>
      </c>
      <c r="N2656" s="784">
        <v>7.64</v>
      </c>
      <c r="O2656" s="784">
        <v>6.5</v>
      </c>
      <c r="P2656" s="783">
        <v>150</v>
      </c>
      <c r="Q2656" s="783">
        <v>983.27</v>
      </c>
      <c r="R2656" s="783">
        <v>440.24</v>
      </c>
      <c r="S2656" s="783">
        <v>71.510000000000005</v>
      </c>
      <c r="T2656" s="783">
        <v>471.52</v>
      </c>
      <c r="U2656" s="785">
        <v>44631.632638888899</v>
      </c>
    </row>
    <row r="2657" spans="1:21">
      <c r="A2657" s="782">
        <v>44428</v>
      </c>
      <c r="B2657" s="783" t="s">
        <v>30</v>
      </c>
      <c r="C2657" s="783" t="s">
        <v>4089</v>
      </c>
      <c r="D2657" s="783" t="s">
        <v>4021</v>
      </c>
      <c r="E2657" s="783" t="s">
        <v>6064</v>
      </c>
      <c r="F2657" s="783" t="s">
        <v>4011</v>
      </c>
      <c r="G2657" s="783" t="str">
        <f t="shared" si="142"/>
        <v>Renewal (20% in 2020)</v>
      </c>
      <c r="H2657" s="783" t="s">
        <v>6065</v>
      </c>
      <c r="I2657" s="783" t="s">
        <v>6066</v>
      </c>
      <c r="J2657" s="783">
        <v>20</v>
      </c>
      <c r="K2657" s="783" t="s">
        <v>866</v>
      </c>
      <c r="L2657" s="783" t="s">
        <v>4014</v>
      </c>
      <c r="M2657" s="784">
        <v>13994.4</v>
      </c>
      <c r="N2657" s="784">
        <v>12</v>
      </c>
      <c r="O2657" s="784">
        <v>8.33</v>
      </c>
      <c r="P2657" s="783">
        <v>140</v>
      </c>
      <c r="Q2657" s="783">
        <v>1484.81</v>
      </c>
      <c r="R2657" s="783">
        <v>852.26</v>
      </c>
      <c r="S2657" s="783">
        <v>141.34</v>
      </c>
      <c r="T2657" s="783">
        <v>491.2</v>
      </c>
      <c r="U2657" s="785">
        <v>44631.635717592602</v>
      </c>
    </row>
    <row r="2658" spans="1:21">
      <c r="A2658" s="782">
        <v>44447</v>
      </c>
      <c r="B2658" s="783" t="s">
        <v>118</v>
      </c>
      <c r="C2658" s="783" t="s">
        <v>4139</v>
      </c>
      <c r="D2658" s="783" t="s">
        <v>4009</v>
      </c>
      <c r="E2658" s="783" t="s">
        <v>117</v>
      </c>
      <c r="F2658" s="783" t="s">
        <v>4011</v>
      </c>
      <c r="G2658" s="783" t="str">
        <f t="shared" si="142"/>
        <v>Renewal (15% in 2020)</v>
      </c>
      <c r="H2658" s="783" t="s">
        <v>4200</v>
      </c>
      <c r="I2658" s="783" t="s">
        <v>4201</v>
      </c>
      <c r="J2658" s="783">
        <v>15</v>
      </c>
      <c r="K2658" s="783" t="s">
        <v>866</v>
      </c>
      <c r="L2658" s="783" t="s">
        <v>4014</v>
      </c>
      <c r="M2658" s="784">
        <v>49856.23</v>
      </c>
      <c r="N2658" s="784">
        <v>73.73</v>
      </c>
      <c r="O2658" s="784">
        <v>4.83</v>
      </c>
      <c r="P2658" s="783">
        <v>140</v>
      </c>
      <c r="Q2658" s="783">
        <v>5140.18</v>
      </c>
      <c r="R2658" s="783">
        <v>2318.31</v>
      </c>
      <c r="S2658" s="783">
        <v>378.91</v>
      </c>
      <c r="T2658" s="783">
        <v>2442.96</v>
      </c>
      <c r="U2658" s="785">
        <v>44631.632511574098</v>
      </c>
    </row>
    <row r="2659" spans="1:21">
      <c r="A2659" s="782">
        <v>44424</v>
      </c>
      <c r="B2659" s="783" t="s">
        <v>30</v>
      </c>
      <c r="C2659" s="783" t="s">
        <v>4239</v>
      </c>
      <c r="D2659" s="783" t="s">
        <v>4021</v>
      </c>
      <c r="E2659" s="783" t="s">
        <v>2574</v>
      </c>
      <c r="F2659" s="783" t="s">
        <v>4011</v>
      </c>
      <c r="G2659" s="783" t="str">
        <f t="shared" si="142"/>
        <v>Renewal (20% in 2020)</v>
      </c>
      <c r="H2659" s="783" t="s">
        <v>6070</v>
      </c>
      <c r="I2659" s="783" t="s">
        <v>6071</v>
      </c>
      <c r="J2659" s="783">
        <v>20</v>
      </c>
      <c r="K2659" s="783" t="s">
        <v>866</v>
      </c>
      <c r="L2659" s="783" t="s">
        <v>4014</v>
      </c>
      <c r="M2659" s="784">
        <v>23753.8</v>
      </c>
      <c r="N2659" s="784">
        <v>19</v>
      </c>
      <c r="O2659" s="784">
        <v>8.93</v>
      </c>
      <c r="P2659" s="783">
        <v>140</v>
      </c>
      <c r="Q2659" s="783">
        <v>1622.38</v>
      </c>
      <c r="R2659" s="783">
        <v>902.64</v>
      </c>
      <c r="S2659" s="783">
        <v>199.53</v>
      </c>
      <c r="T2659" s="783">
        <v>520.21</v>
      </c>
      <c r="U2659" s="785">
        <v>44631.633009259298</v>
      </c>
    </row>
    <row r="2660" spans="1:21">
      <c r="A2660" s="782">
        <v>44525</v>
      </c>
      <c r="B2660" s="783" t="s">
        <v>113</v>
      </c>
      <c r="C2660" s="783" t="s">
        <v>4606</v>
      </c>
      <c r="D2660" s="783" t="s">
        <v>4009</v>
      </c>
      <c r="E2660" s="783" t="s">
        <v>7038</v>
      </c>
      <c r="F2660" s="783" t="s">
        <v>4011</v>
      </c>
      <c r="G2660" s="783" t="str">
        <f t="shared" si="142"/>
        <v>Renewal (20% in 2020)</v>
      </c>
      <c r="H2660" s="783" t="s">
        <v>7039</v>
      </c>
      <c r="I2660" s="783" t="s">
        <v>7040</v>
      </c>
      <c r="J2660" s="783">
        <v>25</v>
      </c>
      <c r="K2660" s="783" t="s">
        <v>866</v>
      </c>
      <c r="L2660" s="783" t="s">
        <v>4014</v>
      </c>
      <c r="M2660" s="784">
        <v>20840.78</v>
      </c>
      <c r="N2660" s="784">
        <v>13.45</v>
      </c>
      <c r="O2660" s="784">
        <v>10.33</v>
      </c>
      <c r="P2660" s="783">
        <v>150</v>
      </c>
      <c r="Q2660" s="783">
        <v>1246.28</v>
      </c>
      <c r="R2660" s="783">
        <v>825.29</v>
      </c>
      <c r="S2660" s="783">
        <v>135.47</v>
      </c>
      <c r="T2660" s="783">
        <v>285.52</v>
      </c>
      <c r="U2660" s="785">
        <v>44631.633055555598</v>
      </c>
    </row>
    <row r="2661" spans="1:21">
      <c r="A2661" s="782">
        <v>44525</v>
      </c>
      <c r="B2661" s="783" t="s">
        <v>41</v>
      </c>
      <c r="C2661" s="783" t="s">
        <v>4082</v>
      </c>
      <c r="D2661" s="783" t="s">
        <v>4009</v>
      </c>
      <c r="E2661" s="783" t="s">
        <v>774</v>
      </c>
      <c r="F2661" s="783" t="s">
        <v>4011</v>
      </c>
      <c r="G2661" s="783" t="str">
        <f t="shared" si="142"/>
        <v>Renewal (30% in 2020)</v>
      </c>
      <c r="H2661" s="783" t="s">
        <v>6075</v>
      </c>
      <c r="I2661" s="783" t="s">
        <v>6076</v>
      </c>
      <c r="J2661" s="783">
        <v>30</v>
      </c>
      <c r="K2661" s="783" t="s">
        <v>866</v>
      </c>
      <c r="L2661" s="783" t="s">
        <v>4014</v>
      </c>
      <c r="M2661" s="784">
        <v>100108</v>
      </c>
      <c r="N2661" s="784">
        <v>58</v>
      </c>
      <c r="O2661" s="784">
        <v>8.6300000000000008</v>
      </c>
      <c r="P2661" s="783">
        <v>200</v>
      </c>
      <c r="Q2661" s="783">
        <v>5145.55</v>
      </c>
      <c r="R2661" s="783">
        <v>3723.12</v>
      </c>
      <c r="S2661" s="783">
        <v>901.87</v>
      </c>
      <c r="T2661" s="783">
        <v>520.55999999999995</v>
      </c>
      <c r="U2661" s="785">
        <v>44631.633125</v>
      </c>
    </row>
    <row r="2662" spans="1:21">
      <c r="A2662" s="782">
        <v>44523</v>
      </c>
      <c r="B2662" s="783" t="s">
        <v>41</v>
      </c>
      <c r="C2662" s="783" t="s">
        <v>4071</v>
      </c>
      <c r="D2662" s="783" t="s">
        <v>4009</v>
      </c>
      <c r="E2662" s="783" t="s">
        <v>303</v>
      </c>
      <c r="F2662" s="783" t="s">
        <v>4011</v>
      </c>
      <c r="G2662" s="783" t="str">
        <f t="shared" si="142"/>
        <v>Renewal (15% in 2020)</v>
      </c>
      <c r="H2662" s="783" t="s">
        <v>6081</v>
      </c>
      <c r="I2662" s="783" t="s">
        <v>6082</v>
      </c>
      <c r="J2662" s="783">
        <v>15</v>
      </c>
      <c r="K2662" s="783" t="s">
        <v>866</v>
      </c>
      <c r="L2662" s="783" t="s">
        <v>4014</v>
      </c>
      <c r="M2662" s="784">
        <v>25721.39</v>
      </c>
      <c r="N2662" s="784">
        <v>20.62</v>
      </c>
      <c r="O2662" s="784">
        <v>6.93</v>
      </c>
      <c r="P2662" s="783">
        <v>180</v>
      </c>
      <c r="Q2662" s="783">
        <v>3534.12</v>
      </c>
      <c r="R2662" s="783">
        <v>1426.39</v>
      </c>
      <c r="S2662" s="783">
        <v>422.97</v>
      </c>
      <c r="T2662" s="783">
        <v>1684.75</v>
      </c>
      <c r="U2662" s="785">
        <v>44631.635451388902</v>
      </c>
    </row>
    <row r="2663" spans="1:21">
      <c r="A2663" s="782">
        <v>44533</v>
      </c>
      <c r="B2663" s="783" t="s">
        <v>41</v>
      </c>
      <c r="C2663" s="783" t="s">
        <v>4071</v>
      </c>
      <c r="D2663" s="783" t="s">
        <v>4009</v>
      </c>
      <c r="E2663" s="783" t="s">
        <v>353</v>
      </c>
      <c r="F2663" s="783" t="s">
        <v>4011</v>
      </c>
      <c r="G2663" s="783" t="str">
        <f t="shared" si="142"/>
        <v>Renewal (15% in 2020)</v>
      </c>
      <c r="H2663" s="783" t="s">
        <v>6086</v>
      </c>
      <c r="I2663" s="783" t="s">
        <v>6087</v>
      </c>
      <c r="J2663" s="783">
        <v>15</v>
      </c>
      <c r="K2663" s="783" t="s">
        <v>866</v>
      </c>
      <c r="L2663" s="783" t="s">
        <v>4014</v>
      </c>
      <c r="M2663" s="784">
        <v>15731.72</v>
      </c>
      <c r="N2663" s="784">
        <v>14.45</v>
      </c>
      <c r="O2663" s="784">
        <v>5.73</v>
      </c>
      <c r="P2663" s="783">
        <v>190</v>
      </c>
      <c r="Q2663" s="783">
        <v>2161.54</v>
      </c>
      <c r="R2663" s="783">
        <v>826.49</v>
      </c>
      <c r="S2663" s="783">
        <v>304.62</v>
      </c>
      <c r="T2663" s="783">
        <v>1030.43</v>
      </c>
      <c r="U2663" s="785">
        <v>44631.635625000003</v>
      </c>
    </row>
    <row r="2664" spans="1:21">
      <c r="A2664" s="782">
        <v>44527</v>
      </c>
      <c r="B2664" s="783" t="s">
        <v>3078</v>
      </c>
      <c r="C2664" s="783" t="s">
        <v>4414</v>
      </c>
      <c r="D2664" s="783" t="s">
        <v>4009</v>
      </c>
      <c r="E2664" s="783" t="s">
        <v>1029</v>
      </c>
      <c r="F2664" s="783" t="s">
        <v>4011</v>
      </c>
      <c r="G2664" s="783" t="str">
        <f t="shared" si="142"/>
        <v>Renewal (15% in 2020)</v>
      </c>
      <c r="H2664" s="783" t="s">
        <v>6094</v>
      </c>
      <c r="I2664" s="783" t="s">
        <v>6095</v>
      </c>
      <c r="J2664" s="783">
        <v>15</v>
      </c>
      <c r="K2664" s="783" t="s">
        <v>866</v>
      </c>
      <c r="L2664" s="783" t="s">
        <v>4014</v>
      </c>
      <c r="M2664" s="784">
        <v>3616.2</v>
      </c>
      <c r="N2664" s="784">
        <v>2.87</v>
      </c>
      <c r="O2664" s="784">
        <v>7</v>
      </c>
      <c r="P2664" s="783">
        <v>180</v>
      </c>
      <c r="Q2664" s="783">
        <v>482.76</v>
      </c>
      <c r="R2664" s="783">
        <v>178.54</v>
      </c>
      <c r="S2664" s="783">
        <v>54.34</v>
      </c>
      <c r="T2664" s="783">
        <v>249.88</v>
      </c>
      <c r="U2664" s="785">
        <v>44631.6330787037</v>
      </c>
    </row>
    <row r="2665" spans="1:21">
      <c r="A2665" s="782">
        <v>44529</v>
      </c>
      <c r="B2665" s="783" t="s">
        <v>3078</v>
      </c>
      <c r="C2665" s="783" t="s">
        <v>4414</v>
      </c>
      <c r="D2665" s="783" t="s">
        <v>4009</v>
      </c>
      <c r="E2665" s="783" t="s">
        <v>1032</v>
      </c>
      <c r="F2665" s="783" t="s">
        <v>4011</v>
      </c>
      <c r="G2665" s="783" t="str">
        <f t="shared" si="142"/>
        <v>Renewal (15% in 2020)</v>
      </c>
      <c r="H2665" s="783" t="s">
        <v>6096</v>
      </c>
      <c r="I2665" s="783" t="s">
        <v>6097</v>
      </c>
      <c r="J2665" s="783">
        <v>15</v>
      </c>
      <c r="K2665" s="783" t="s">
        <v>866</v>
      </c>
      <c r="L2665" s="783" t="s">
        <v>4014</v>
      </c>
      <c r="M2665" s="784">
        <v>1868.4</v>
      </c>
      <c r="N2665" s="784">
        <v>1.73</v>
      </c>
      <c r="O2665" s="784">
        <v>6</v>
      </c>
      <c r="P2665" s="783">
        <v>180</v>
      </c>
      <c r="Q2665" s="783">
        <v>249.43</v>
      </c>
      <c r="R2665" s="783">
        <v>92.25</v>
      </c>
      <c r="S2665" s="783">
        <v>28.08</v>
      </c>
      <c r="T2665" s="783">
        <v>129.11000000000001</v>
      </c>
      <c r="U2665" s="785">
        <v>44631.632696759298</v>
      </c>
    </row>
    <row r="2666" spans="1:21">
      <c r="A2666" s="782">
        <v>44540</v>
      </c>
      <c r="B2666" s="783" t="s">
        <v>74</v>
      </c>
      <c r="C2666" s="783" t="s">
        <v>4097</v>
      </c>
      <c r="D2666" s="783" t="s">
        <v>4038</v>
      </c>
      <c r="E2666" s="783" t="s">
        <v>4446</v>
      </c>
      <c r="F2666" s="783" t="s">
        <v>4011</v>
      </c>
      <c r="G2666" s="783" t="str">
        <f t="shared" si="142"/>
        <v>New Contract</v>
      </c>
      <c r="H2666" s="783" t="s">
        <v>4447</v>
      </c>
      <c r="I2666" s="783" t="s">
        <v>4448</v>
      </c>
      <c r="J2666" s="783">
        <v>25</v>
      </c>
      <c r="K2666" s="783" t="s">
        <v>866</v>
      </c>
      <c r="L2666" s="783" t="s">
        <v>4014</v>
      </c>
      <c r="M2666" s="784">
        <v>21279.72</v>
      </c>
      <c r="N2666" s="784">
        <v>20.58</v>
      </c>
      <c r="O2666" s="784">
        <v>5.17</v>
      </c>
      <c r="P2666" s="783">
        <v>200</v>
      </c>
      <c r="Q2666" s="783">
        <v>1353.39</v>
      </c>
      <c r="R2666" s="783">
        <v>782.85</v>
      </c>
      <c r="S2666" s="783">
        <v>349.23</v>
      </c>
      <c r="T2666" s="783">
        <v>221.31</v>
      </c>
      <c r="U2666" s="785">
        <v>44631.633125</v>
      </c>
    </row>
    <row r="2667" spans="1:21">
      <c r="A2667" s="782">
        <v>44592</v>
      </c>
      <c r="B2667" s="783" t="s">
        <v>41</v>
      </c>
      <c r="C2667" s="783" t="s">
        <v>4071</v>
      </c>
      <c r="D2667" s="783" t="s">
        <v>4009</v>
      </c>
      <c r="E2667" s="783" t="s">
        <v>6110</v>
      </c>
      <c r="F2667" s="783" t="s">
        <v>4011</v>
      </c>
      <c r="G2667" s="783" t="str">
        <f t="shared" si="142"/>
        <v>Renewal (15% in 2020)</v>
      </c>
      <c r="H2667" s="783" t="s">
        <v>6111</v>
      </c>
      <c r="I2667" s="783" t="s">
        <v>6112</v>
      </c>
      <c r="J2667" s="783">
        <v>15</v>
      </c>
      <c r="K2667" s="783" t="s">
        <v>866</v>
      </c>
      <c r="L2667" s="783" t="s">
        <v>4014</v>
      </c>
      <c r="M2667" s="784">
        <v>5471.28</v>
      </c>
      <c r="N2667" s="784">
        <v>5.4</v>
      </c>
      <c r="O2667" s="784">
        <v>5.96</v>
      </c>
      <c r="P2667" s="783">
        <v>170</v>
      </c>
      <c r="Q2667" s="783">
        <v>751.75</v>
      </c>
      <c r="R2667" s="783">
        <v>321.26</v>
      </c>
      <c r="S2667" s="783">
        <v>72.12</v>
      </c>
      <c r="T2667" s="783">
        <v>358.37</v>
      </c>
      <c r="U2667" s="785">
        <v>44631.633333333302</v>
      </c>
    </row>
    <row r="2668" spans="1:21">
      <c r="A2668" s="782">
        <v>44525</v>
      </c>
      <c r="B2668" s="783" t="s">
        <v>34</v>
      </c>
      <c r="C2668" s="783" t="s">
        <v>4139</v>
      </c>
      <c r="D2668" s="783" t="s">
        <v>4009</v>
      </c>
      <c r="E2668" s="783" t="s">
        <v>4708</v>
      </c>
      <c r="F2668" s="783" t="s">
        <v>4011</v>
      </c>
      <c r="G2668" s="783" t="str">
        <f t="shared" si="142"/>
        <v>New Contract</v>
      </c>
      <c r="H2668" s="783" t="s">
        <v>4709</v>
      </c>
      <c r="I2668" s="783" t="s">
        <v>4710</v>
      </c>
      <c r="J2668" s="783">
        <v>25</v>
      </c>
      <c r="K2668" s="783" t="s">
        <v>866</v>
      </c>
      <c r="L2668" s="783" t="s">
        <v>4014</v>
      </c>
      <c r="M2668" s="784">
        <v>25911.34</v>
      </c>
      <c r="N2668" s="784">
        <v>24.76</v>
      </c>
      <c r="O2668" s="784">
        <v>6.5</v>
      </c>
      <c r="P2668" s="783">
        <v>161</v>
      </c>
      <c r="Q2668" s="783">
        <v>1528.77</v>
      </c>
      <c r="R2668" s="783">
        <v>1204.8800000000001</v>
      </c>
      <c r="S2668" s="783">
        <v>196.93</v>
      </c>
      <c r="T2668" s="783">
        <v>126.97</v>
      </c>
      <c r="U2668" s="785">
        <v>44631.636064814797</v>
      </c>
    </row>
    <row r="2669" spans="1:21">
      <c r="A2669" s="782">
        <v>44529</v>
      </c>
      <c r="B2669" s="783" t="s">
        <v>30</v>
      </c>
      <c r="C2669" s="783" t="s">
        <v>4089</v>
      </c>
      <c r="D2669" s="783" t="s">
        <v>4021</v>
      </c>
      <c r="E2669" s="783" t="s">
        <v>6118</v>
      </c>
      <c r="F2669" s="783" t="s">
        <v>4011</v>
      </c>
      <c r="G2669" s="783" t="str">
        <f t="shared" si="142"/>
        <v>Renewal (15% in 2020)</v>
      </c>
      <c r="H2669" s="783" t="s">
        <v>6119</v>
      </c>
      <c r="I2669" s="783" t="s">
        <v>6120</v>
      </c>
      <c r="J2669" s="783">
        <v>15</v>
      </c>
      <c r="K2669" s="783" t="s">
        <v>866</v>
      </c>
      <c r="L2669" s="783" t="s">
        <v>4014</v>
      </c>
      <c r="M2669" s="784">
        <v>4451.43</v>
      </c>
      <c r="N2669" s="784">
        <v>3.37</v>
      </c>
      <c r="O2669" s="784">
        <v>7.77</v>
      </c>
      <c r="P2669" s="783">
        <v>170</v>
      </c>
      <c r="Q2669" s="783">
        <v>560.88</v>
      </c>
      <c r="R2669" s="783">
        <v>256.74</v>
      </c>
      <c r="S2669" s="783">
        <v>59.31</v>
      </c>
      <c r="T2669" s="783">
        <v>244.83</v>
      </c>
      <c r="U2669" s="785">
        <v>44631.635497685202</v>
      </c>
    </row>
    <row r="2670" spans="1:21">
      <c r="A2670" s="782">
        <v>44527</v>
      </c>
      <c r="B2670" s="783" t="s">
        <v>41</v>
      </c>
      <c r="C2670" s="783" t="s">
        <v>4082</v>
      </c>
      <c r="D2670" s="783" t="s">
        <v>4009</v>
      </c>
      <c r="E2670" s="783" t="s">
        <v>6123</v>
      </c>
      <c r="F2670" s="783" t="s">
        <v>4011</v>
      </c>
      <c r="G2670" s="783" t="str">
        <f t="shared" si="142"/>
        <v>Renewal (30% in 2020)</v>
      </c>
      <c r="H2670" s="783" t="s">
        <v>6124</v>
      </c>
      <c r="I2670" s="783" t="s">
        <v>6125</v>
      </c>
      <c r="J2670" s="783">
        <v>30</v>
      </c>
      <c r="K2670" s="783" t="s">
        <v>866</v>
      </c>
      <c r="L2670" s="783" t="s">
        <v>4014</v>
      </c>
      <c r="M2670" s="784">
        <v>15534</v>
      </c>
      <c r="N2670" s="784">
        <v>9</v>
      </c>
      <c r="O2670" s="784">
        <v>8.6300000000000008</v>
      </c>
      <c r="P2670" s="783">
        <v>200</v>
      </c>
      <c r="Q2670" s="783">
        <v>798.45</v>
      </c>
      <c r="R2670" s="783">
        <v>577.72</v>
      </c>
      <c r="S2670" s="783">
        <v>139.94999999999999</v>
      </c>
      <c r="T2670" s="783">
        <v>80.78</v>
      </c>
      <c r="U2670" s="785">
        <v>44631.636006944398</v>
      </c>
    </row>
    <row r="2671" spans="1:21">
      <c r="A2671" s="782">
        <v>44537</v>
      </c>
      <c r="B2671" s="783" t="s">
        <v>41</v>
      </c>
      <c r="C2671" s="783" t="s">
        <v>4082</v>
      </c>
      <c r="D2671" s="783" t="s">
        <v>4009</v>
      </c>
      <c r="E2671" s="783" t="s">
        <v>6132</v>
      </c>
      <c r="F2671" s="783" t="s">
        <v>4011</v>
      </c>
      <c r="G2671" s="783" t="str">
        <f t="shared" si="142"/>
        <v>New contract</v>
      </c>
      <c r="H2671" s="783" t="s">
        <v>6133</v>
      </c>
      <c r="I2671" s="783" t="s">
        <v>6134</v>
      </c>
      <c r="J2671" s="783">
        <v>20</v>
      </c>
      <c r="K2671" s="783" t="s">
        <v>866</v>
      </c>
      <c r="L2671" s="783" t="s">
        <v>4014</v>
      </c>
      <c r="M2671" s="784">
        <v>7220</v>
      </c>
      <c r="N2671" s="784">
        <v>4</v>
      </c>
      <c r="O2671" s="784">
        <v>9.5</v>
      </c>
      <c r="P2671" s="783">
        <v>190</v>
      </c>
      <c r="Q2671" s="783">
        <v>565.33000000000004</v>
      </c>
      <c r="R2671" s="783">
        <v>282.64999999999998</v>
      </c>
      <c r="S2671" s="783">
        <v>113.73</v>
      </c>
      <c r="T2671" s="783">
        <v>168.95</v>
      </c>
      <c r="U2671" s="785">
        <v>44631.632916666698</v>
      </c>
    </row>
    <row r="2672" spans="1:21">
      <c r="A2672" s="782">
        <v>44531</v>
      </c>
      <c r="B2672" s="783" t="s">
        <v>113</v>
      </c>
      <c r="C2672" s="783" t="s">
        <v>4097</v>
      </c>
      <c r="D2672" s="783" t="s">
        <v>4038</v>
      </c>
      <c r="E2672" s="783" t="s">
        <v>221</v>
      </c>
      <c r="F2672" s="783" t="s">
        <v>4011</v>
      </c>
      <c r="G2672" s="783" t="str">
        <f t="shared" si="142"/>
        <v>Renewal (20% in 2020)</v>
      </c>
      <c r="H2672" s="783" t="s">
        <v>6137</v>
      </c>
      <c r="I2672" s="783" t="s">
        <v>6138</v>
      </c>
      <c r="J2672" s="783">
        <v>20</v>
      </c>
      <c r="K2672" s="783" t="s">
        <v>866</v>
      </c>
      <c r="L2672" s="783" t="s">
        <v>4014</v>
      </c>
      <c r="M2672" s="784">
        <v>18810.86</v>
      </c>
      <c r="N2672" s="784">
        <v>18.11</v>
      </c>
      <c r="O2672" s="784">
        <v>6.11</v>
      </c>
      <c r="P2672" s="783">
        <v>170</v>
      </c>
      <c r="Q2672" s="783">
        <v>1523.68</v>
      </c>
      <c r="R2672" s="783">
        <v>814.14</v>
      </c>
      <c r="S2672" s="783">
        <v>186.59</v>
      </c>
      <c r="T2672" s="783">
        <v>522.94000000000005</v>
      </c>
      <c r="U2672" s="785">
        <v>44631.635578703703</v>
      </c>
    </row>
    <row r="2673" spans="1:21">
      <c r="A2673" s="782">
        <v>44531</v>
      </c>
      <c r="B2673" s="783" t="s">
        <v>51</v>
      </c>
      <c r="C2673" s="783" t="s">
        <v>4042</v>
      </c>
      <c r="D2673" s="783" t="s">
        <v>4016</v>
      </c>
      <c r="E2673" s="783" t="s">
        <v>1531</v>
      </c>
      <c r="F2673" s="783" t="s">
        <v>4011</v>
      </c>
      <c r="G2673" s="783" t="str">
        <f t="shared" si="142"/>
        <v>Renewal (20% in 2020)</v>
      </c>
      <c r="H2673" s="783" t="s">
        <v>6139</v>
      </c>
      <c r="I2673" s="783" t="s">
        <v>6140</v>
      </c>
      <c r="J2673" s="783">
        <v>20</v>
      </c>
      <c r="K2673" s="783" t="s">
        <v>866</v>
      </c>
      <c r="L2673" s="783" t="s">
        <v>4014</v>
      </c>
      <c r="M2673" s="784">
        <v>8400</v>
      </c>
      <c r="N2673" s="784">
        <v>10</v>
      </c>
      <c r="O2673" s="784">
        <v>6</v>
      </c>
      <c r="P2673" s="783">
        <v>140</v>
      </c>
      <c r="Q2673" s="783">
        <v>742.56</v>
      </c>
      <c r="R2673" s="783">
        <v>477.12</v>
      </c>
      <c r="S2673" s="783">
        <v>78.959999999999994</v>
      </c>
      <c r="T2673" s="783">
        <v>186.48</v>
      </c>
      <c r="U2673" s="785">
        <v>44631.633125</v>
      </c>
    </row>
    <row r="2674" spans="1:21">
      <c r="A2674" s="782">
        <v>44536</v>
      </c>
      <c r="B2674" s="783" t="s">
        <v>41</v>
      </c>
      <c r="C2674" s="783" t="s">
        <v>4092</v>
      </c>
      <c r="D2674" s="783" t="s">
        <v>4009</v>
      </c>
      <c r="E2674" s="783" t="s">
        <v>4211</v>
      </c>
      <c r="F2674" s="783" t="s">
        <v>4011</v>
      </c>
      <c r="G2674" s="783" t="s">
        <v>4028</v>
      </c>
      <c r="H2674" s="783" t="s">
        <v>4212</v>
      </c>
      <c r="I2674" s="783" t="s">
        <v>4213</v>
      </c>
      <c r="J2674" s="783">
        <v>20</v>
      </c>
      <c r="K2674" s="783" t="s">
        <v>866</v>
      </c>
      <c r="L2674" s="783" t="s">
        <v>4014</v>
      </c>
      <c r="M2674" s="784">
        <v>1931.57</v>
      </c>
      <c r="N2674" s="784">
        <v>1.97</v>
      </c>
      <c r="O2674" s="784">
        <v>6.09</v>
      </c>
      <c r="P2674" s="783">
        <v>161</v>
      </c>
      <c r="Q2674" s="783">
        <v>174.23</v>
      </c>
      <c r="R2674" s="783">
        <v>102.57</v>
      </c>
      <c r="S2674" s="783">
        <v>19.7</v>
      </c>
      <c r="T2674" s="783">
        <v>51.96</v>
      </c>
      <c r="U2674" s="785">
        <v>44631.636076388902</v>
      </c>
    </row>
    <row r="2675" spans="1:21">
      <c r="A2675" s="782">
        <v>44434</v>
      </c>
      <c r="B2675" s="783" t="s">
        <v>41</v>
      </c>
      <c r="C2675" s="783" t="s">
        <v>4082</v>
      </c>
      <c r="D2675" s="783" t="s">
        <v>4009</v>
      </c>
      <c r="E2675" s="783" t="s">
        <v>4720</v>
      </c>
      <c r="F2675" s="783" t="s">
        <v>4011</v>
      </c>
      <c r="G2675" s="783" t="str">
        <f t="shared" ref="G2675:G2680" si="143">VLOOKUP(I2675,pacage,2,FALSE)</f>
        <v>Renewal (30% in 2020)</v>
      </c>
      <c r="H2675" s="783" t="s">
        <v>4721</v>
      </c>
      <c r="I2675" s="783" t="s">
        <v>4722</v>
      </c>
      <c r="J2675" s="783">
        <v>30</v>
      </c>
      <c r="K2675" s="783" t="s">
        <v>866</v>
      </c>
      <c r="L2675" s="783" t="s">
        <v>4014</v>
      </c>
      <c r="M2675" s="784">
        <v>15584.34</v>
      </c>
      <c r="N2675" s="784">
        <v>13.83</v>
      </c>
      <c r="O2675" s="784">
        <v>7.27</v>
      </c>
      <c r="P2675" s="783">
        <v>155</v>
      </c>
      <c r="Q2675" s="783">
        <v>801.03</v>
      </c>
      <c r="R2675" s="783">
        <v>720</v>
      </c>
      <c r="S2675" s="783">
        <v>0</v>
      </c>
      <c r="T2675" s="783">
        <v>81.040000000000006</v>
      </c>
      <c r="U2675" s="785">
        <v>44631.633032407401</v>
      </c>
    </row>
    <row r="2676" spans="1:21">
      <c r="A2676" s="782">
        <v>44456</v>
      </c>
      <c r="B2676" s="783" t="s">
        <v>30</v>
      </c>
      <c r="C2676" s="783" t="s">
        <v>5974</v>
      </c>
      <c r="D2676" s="783" t="s">
        <v>4021</v>
      </c>
      <c r="E2676" s="783" t="s">
        <v>6158</v>
      </c>
      <c r="F2676" s="783" t="s">
        <v>4011</v>
      </c>
      <c r="G2676" s="783" t="str">
        <f t="shared" si="143"/>
        <v>Renewal (15% in 2020)</v>
      </c>
      <c r="H2676" s="783" t="s">
        <v>6159</v>
      </c>
      <c r="I2676" s="783" t="s">
        <v>6160</v>
      </c>
      <c r="J2676" s="783">
        <v>15</v>
      </c>
      <c r="K2676" s="783" t="s">
        <v>866</v>
      </c>
      <c r="L2676" s="783" t="s">
        <v>4014</v>
      </c>
      <c r="M2676" s="784">
        <v>12945</v>
      </c>
      <c r="N2676" s="784">
        <v>10</v>
      </c>
      <c r="O2676" s="784">
        <v>8.6300000000000008</v>
      </c>
      <c r="P2676" s="783">
        <v>150</v>
      </c>
      <c r="Q2676" s="783">
        <v>1237.54</v>
      </c>
      <c r="R2676" s="783">
        <v>504.86</v>
      </c>
      <c r="S2676" s="783">
        <v>119.09</v>
      </c>
      <c r="T2676" s="783">
        <v>613.59</v>
      </c>
      <c r="U2676" s="785">
        <v>44631.636354166701</v>
      </c>
    </row>
    <row r="2677" spans="1:21">
      <c r="A2677" s="782">
        <v>44434</v>
      </c>
      <c r="B2677" s="783" t="s">
        <v>41</v>
      </c>
      <c r="C2677" s="783" t="s">
        <v>4092</v>
      </c>
      <c r="D2677" s="783" t="s">
        <v>4009</v>
      </c>
      <c r="E2677" s="783" t="s">
        <v>79</v>
      </c>
      <c r="F2677" s="783" t="s">
        <v>4011</v>
      </c>
      <c r="G2677" s="783" t="str">
        <f t="shared" si="143"/>
        <v>Renewal (20% in 2020)</v>
      </c>
      <c r="H2677" s="783" t="s">
        <v>6168</v>
      </c>
      <c r="I2677" s="783" t="s">
        <v>6169</v>
      </c>
      <c r="J2677" s="783">
        <v>20</v>
      </c>
      <c r="K2677" s="783" t="s">
        <v>866</v>
      </c>
      <c r="L2677" s="783" t="s">
        <v>4014</v>
      </c>
      <c r="M2677" s="784">
        <v>7879.2</v>
      </c>
      <c r="N2677" s="784">
        <v>7.84</v>
      </c>
      <c r="O2677" s="784">
        <v>6.7</v>
      </c>
      <c r="P2677" s="783">
        <v>150</v>
      </c>
      <c r="Q2677" s="783">
        <v>710.7</v>
      </c>
      <c r="R2677" s="783">
        <v>418.39</v>
      </c>
      <c r="S2677" s="783">
        <v>80.37</v>
      </c>
      <c r="T2677" s="783">
        <v>211.95</v>
      </c>
      <c r="U2677" s="785">
        <v>44631.6334837963</v>
      </c>
    </row>
    <row r="2678" spans="1:21">
      <c r="A2678" s="782">
        <v>44453</v>
      </c>
      <c r="B2678" s="783" t="s">
        <v>971</v>
      </c>
      <c r="C2678" s="783" t="s">
        <v>4092</v>
      </c>
      <c r="D2678" s="783" t="s">
        <v>4009</v>
      </c>
      <c r="E2678" s="783" t="s">
        <v>3334</v>
      </c>
      <c r="F2678" s="783" t="s">
        <v>4011</v>
      </c>
      <c r="G2678" s="783" t="str">
        <f t="shared" si="143"/>
        <v>Renewal (20% in 2020)</v>
      </c>
      <c r="H2678" s="783" t="s">
        <v>6179</v>
      </c>
      <c r="I2678" s="783" t="s">
        <v>6180</v>
      </c>
      <c r="J2678" s="783">
        <v>20</v>
      </c>
      <c r="K2678" s="783" t="s">
        <v>866</v>
      </c>
      <c r="L2678" s="783" t="s">
        <v>4014</v>
      </c>
      <c r="M2678" s="784">
        <v>1495.26</v>
      </c>
      <c r="N2678" s="784">
        <v>1.42</v>
      </c>
      <c r="O2678" s="784">
        <v>8.1</v>
      </c>
      <c r="P2678" s="783">
        <v>130</v>
      </c>
      <c r="Q2678" s="783">
        <v>134.87</v>
      </c>
      <c r="R2678" s="783">
        <v>79.400000000000006</v>
      </c>
      <c r="S2678" s="783">
        <v>15.25</v>
      </c>
      <c r="T2678" s="783">
        <v>40.22</v>
      </c>
      <c r="U2678" s="785">
        <v>44631.636041666701</v>
      </c>
    </row>
    <row r="2679" spans="1:21">
      <c r="A2679" s="782">
        <v>44454</v>
      </c>
      <c r="B2679" s="783" t="s">
        <v>74</v>
      </c>
      <c r="C2679" s="783" t="s">
        <v>4097</v>
      </c>
      <c r="D2679" s="783" t="s">
        <v>4038</v>
      </c>
      <c r="E2679" s="783" t="s">
        <v>204</v>
      </c>
      <c r="F2679" s="783" t="s">
        <v>4011</v>
      </c>
      <c r="G2679" s="783" t="str">
        <f t="shared" si="143"/>
        <v>Renewal (15% in 2020)</v>
      </c>
      <c r="H2679" s="783" t="s">
        <v>6181</v>
      </c>
      <c r="I2679" s="783" t="s">
        <v>6182</v>
      </c>
      <c r="J2679" s="783">
        <v>15</v>
      </c>
      <c r="K2679" s="783" t="s">
        <v>866</v>
      </c>
      <c r="L2679" s="783" t="s">
        <v>4014</v>
      </c>
      <c r="M2679" s="784">
        <v>36602.06</v>
      </c>
      <c r="N2679" s="784">
        <v>25.31</v>
      </c>
      <c r="O2679" s="784">
        <v>9.33</v>
      </c>
      <c r="P2679" s="783">
        <v>155</v>
      </c>
      <c r="Q2679" s="783">
        <v>3916.42</v>
      </c>
      <c r="R2679" s="783">
        <v>1672.71</v>
      </c>
      <c r="S2679" s="783">
        <v>274.52</v>
      </c>
      <c r="T2679" s="783">
        <v>1969.19</v>
      </c>
      <c r="U2679" s="785">
        <v>44631.636203703703</v>
      </c>
    </row>
    <row r="2680" spans="1:21">
      <c r="A2680" s="782">
        <v>44453</v>
      </c>
      <c r="B2680" s="783" t="s">
        <v>228</v>
      </c>
      <c r="C2680" s="783" t="s">
        <v>4192</v>
      </c>
      <c r="D2680" s="783" t="s">
        <v>4193</v>
      </c>
      <c r="E2680" s="783" t="s">
        <v>6601</v>
      </c>
      <c r="F2680" s="783" t="s">
        <v>4011</v>
      </c>
      <c r="G2680" s="783" t="str">
        <f t="shared" si="143"/>
        <v>Renewal (25% in 2020)</v>
      </c>
      <c r="H2680" s="783" t="s">
        <v>6602</v>
      </c>
      <c r="I2680" s="783" t="s">
        <v>6603</v>
      </c>
      <c r="J2680" s="783">
        <v>25</v>
      </c>
      <c r="K2680" s="783" t="s">
        <v>866</v>
      </c>
      <c r="L2680" s="783" t="s">
        <v>4014</v>
      </c>
      <c r="M2680" s="784">
        <v>15384.86</v>
      </c>
      <c r="N2680" s="784">
        <v>11.22</v>
      </c>
      <c r="O2680" s="784">
        <v>8.57</v>
      </c>
      <c r="P2680" s="783">
        <v>160</v>
      </c>
      <c r="Q2680" s="783">
        <v>924.63</v>
      </c>
      <c r="R2680" s="783">
        <v>707.7</v>
      </c>
      <c r="S2680" s="783">
        <v>115.39</v>
      </c>
      <c r="T2680" s="783">
        <v>101.54</v>
      </c>
      <c r="U2680" s="785">
        <v>44631.636226851799</v>
      </c>
    </row>
    <row r="2681" spans="1:21">
      <c r="A2681" s="782">
        <v>44554</v>
      </c>
      <c r="B2681" s="783" t="s">
        <v>113</v>
      </c>
      <c r="C2681" s="783" t="s">
        <v>4606</v>
      </c>
      <c r="D2681" s="783" t="s">
        <v>4009</v>
      </c>
      <c r="E2681" s="783" t="s">
        <v>2128</v>
      </c>
      <c r="F2681" s="783" t="s">
        <v>4011</v>
      </c>
      <c r="G2681" s="783" t="s">
        <v>4028</v>
      </c>
      <c r="H2681" s="783" t="s">
        <v>7041</v>
      </c>
      <c r="I2681" s="783" t="s">
        <v>7042</v>
      </c>
      <c r="J2681" s="783">
        <v>25</v>
      </c>
      <c r="K2681" s="783" t="s">
        <v>866</v>
      </c>
      <c r="L2681" s="783" t="s">
        <v>4014</v>
      </c>
      <c r="M2681" s="784">
        <v>31440.75</v>
      </c>
      <c r="N2681" s="784">
        <v>18.5</v>
      </c>
      <c r="O2681" s="784">
        <v>11.33</v>
      </c>
      <c r="P2681" s="783">
        <v>150</v>
      </c>
      <c r="Q2681" s="783">
        <v>1880.16</v>
      </c>
      <c r="R2681" s="783">
        <v>1245.05</v>
      </c>
      <c r="S2681" s="783">
        <v>204.36</v>
      </c>
      <c r="T2681" s="783">
        <v>430.74</v>
      </c>
      <c r="U2681" s="785">
        <v>44631.637060185203</v>
      </c>
    </row>
    <row r="2682" spans="1:21">
      <c r="A2682" s="782">
        <v>44582</v>
      </c>
      <c r="B2682" s="783" t="s">
        <v>113</v>
      </c>
      <c r="C2682" s="783" t="s">
        <v>4097</v>
      </c>
      <c r="D2682" s="783" t="s">
        <v>4038</v>
      </c>
      <c r="E2682" s="783" t="s">
        <v>1381</v>
      </c>
      <c r="F2682" s="783" t="s">
        <v>4011</v>
      </c>
      <c r="G2682" s="783" t="str">
        <f>VLOOKUP(I2682,pacage,2,FALSE)</f>
        <v>Renewal (20% in 2020)</v>
      </c>
      <c r="H2682" s="783" t="s">
        <v>6196</v>
      </c>
      <c r="I2682" s="783" t="s">
        <v>6197</v>
      </c>
      <c r="J2682" s="783">
        <v>20</v>
      </c>
      <c r="K2682" s="783" t="s">
        <v>866</v>
      </c>
      <c r="L2682" s="783" t="s">
        <v>4014</v>
      </c>
      <c r="M2682" s="784">
        <v>19743.75</v>
      </c>
      <c r="N2682" s="784">
        <v>16.25</v>
      </c>
      <c r="O2682" s="784">
        <v>8.1</v>
      </c>
      <c r="P2682" s="783">
        <v>150</v>
      </c>
      <c r="Q2682" s="783">
        <v>1599.24</v>
      </c>
      <c r="R2682" s="783">
        <v>902.29</v>
      </c>
      <c r="S2682" s="783">
        <v>148.08000000000001</v>
      </c>
      <c r="T2682" s="783">
        <v>548.88</v>
      </c>
      <c r="U2682" s="785">
        <v>44631.637268518498</v>
      </c>
    </row>
    <row r="2683" spans="1:21">
      <c r="A2683" s="782">
        <v>44556</v>
      </c>
      <c r="B2683" s="783" t="s">
        <v>41</v>
      </c>
      <c r="C2683" s="783" t="s">
        <v>4071</v>
      </c>
      <c r="D2683" s="783" t="s">
        <v>4009</v>
      </c>
      <c r="E2683" s="783" t="s">
        <v>6201</v>
      </c>
      <c r="F2683" s="783" t="s">
        <v>4066</v>
      </c>
      <c r="G2683" s="783" t="s">
        <v>4028</v>
      </c>
      <c r="H2683" s="783" t="s">
        <v>6202</v>
      </c>
      <c r="I2683" s="783" t="s">
        <v>6203</v>
      </c>
      <c r="J2683" s="783">
        <v>5</v>
      </c>
      <c r="K2683" s="783" t="s">
        <v>866</v>
      </c>
      <c r="L2683" s="783" t="s">
        <v>4014</v>
      </c>
      <c r="M2683" s="784">
        <v>23892.400000000001</v>
      </c>
      <c r="N2683" s="784">
        <v>21.2</v>
      </c>
      <c r="O2683" s="784">
        <v>7</v>
      </c>
      <c r="P2683" s="783">
        <v>161</v>
      </c>
      <c r="Q2683" s="783">
        <v>793.23</v>
      </c>
      <c r="R2683" s="783">
        <v>0</v>
      </c>
      <c r="S2683" s="783">
        <v>0</v>
      </c>
      <c r="T2683" s="783">
        <v>793.23</v>
      </c>
      <c r="U2683" s="785">
        <v>44631.637256944399</v>
      </c>
    </row>
    <row r="2684" spans="1:21">
      <c r="A2684" s="782">
        <v>44551</v>
      </c>
      <c r="B2684" s="783" t="s">
        <v>41</v>
      </c>
      <c r="C2684" s="783" t="s">
        <v>4082</v>
      </c>
      <c r="D2684" s="783" t="s">
        <v>4009</v>
      </c>
      <c r="E2684" s="783" t="s">
        <v>4729</v>
      </c>
      <c r="F2684" s="783" t="s">
        <v>4011</v>
      </c>
      <c r="G2684" s="783" t="str">
        <f>VLOOKUP(I2684,pacage,2,FALSE)</f>
        <v>New contract</v>
      </c>
      <c r="H2684" s="783" t="s">
        <v>4730</v>
      </c>
      <c r="I2684" s="783" t="s">
        <v>4731</v>
      </c>
      <c r="J2684" s="783">
        <v>25</v>
      </c>
      <c r="K2684" s="783" t="s">
        <v>866</v>
      </c>
      <c r="L2684" s="783" t="s">
        <v>4014</v>
      </c>
      <c r="M2684" s="784">
        <v>33791.370000000003</v>
      </c>
      <c r="N2684" s="784">
        <v>18.79</v>
      </c>
      <c r="O2684" s="784">
        <v>11.17</v>
      </c>
      <c r="P2684" s="783">
        <v>161</v>
      </c>
      <c r="Q2684" s="783">
        <v>2030.86</v>
      </c>
      <c r="R2684" s="783">
        <v>1561.16</v>
      </c>
      <c r="S2684" s="783">
        <v>293.98</v>
      </c>
      <c r="T2684" s="783">
        <v>175.72</v>
      </c>
      <c r="U2684" s="785">
        <v>44631.637164351901</v>
      </c>
    </row>
    <row r="2685" spans="1:21">
      <c r="A2685" s="782">
        <v>44569</v>
      </c>
      <c r="B2685" s="783" t="s">
        <v>41</v>
      </c>
      <c r="C2685" s="783" t="s">
        <v>4139</v>
      </c>
      <c r="D2685" s="783" t="s">
        <v>4009</v>
      </c>
      <c r="E2685" s="783" t="s">
        <v>6207</v>
      </c>
      <c r="F2685" s="783" t="s">
        <v>4011</v>
      </c>
      <c r="G2685" s="783" t="str">
        <f>VLOOKUP(I2685,pacage,2,FALSE)</f>
        <v>Renewal (15% in 2020)</v>
      </c>
      <c r="H2685" s="783" t="s">
        <v>6208</v>
      </c>
      <c r="I2685" s="783" t="s">
        <v>6209</v>
      </c>
      <c r="J2685" s="783">
        <v>15</v>
      </c>
      <c r="K2685" s="783" t="s">
        <v>866</v>
      </c>
      <c r="L2685" s="783" t="s">
        <v>4014</v>
      </c>
      <c r="M2685" s="784">
        <v>9564.59</v>
      </c>
      <c r="N2685" s="784">
        <v>7.3</v>
      </c>
      <c r="O2685" s="784">
        <v>6.26</v>
      </c>
      <c r="P2685" s="783">
        <v>209.3</v>
      </c>
      <c r="Q2685" s="783">
        <v>986.11</v>
      </c>
      <c r="R2685" s="783">
        <v>342.12</v>
      </c>
      <c r="S2685" s="783">
        <v>175.33</v>
      </c>
      <c r="T2685" s="783">
        <v>468.66</v>
      </c>
      <c r="U2685" s="785">
        <v>44631.636840277803</v>
      </c>
    </row>
    <row r="2686" spans="1:21">
      <c r="A2686" s="782">
        <v>44569</v>
      </c>
      <c r="B2686" s="783" t="s">
        <v>41</v>
      </c>
      <c r="C2686" s="783" t="s">
        <v>4071</v>
      </c>
      <c r="D2686" s="783" t="s">
        <v>4009</v>
      </c>
      <c r="E2686" s="783" t="s">
        <v>6207</v>
      </c>
      <c r="F2686" s="783" t="s">
        <v>4011</v>
      </c>
      <c r="G2686" s="783" t="str">
        <f>VLOOKUP(I2686,pacage,2,FALSE)</f>
        <v>Renewal (15% in 2020)</v>
      </c>
      <c r="H2686" s="783" t="s">
        <v>6208</v>
      </c>
      <c r="I2686" s="783" t="s">
        <v>6209</v>
      </c>
      <c r="J2686" s="783">
        <v>15</v>
      </c>
      <c r="K2686" s="783" t="s">
        <v>866</v>
      </c>
      <c r="L2686" s="783" t="s">
        <v>4014</v>
      </c>
      <c r="M2686" s="784">
        <v>13102.18</v>
      </c>
      <c r="N2686" s="784">
        <v>10</v>
      </c>
      <c r="O2686" s="784">
        <v>6.26</v>
      </c>
      <c r="P2686" s="783">
        <v>209.3</v>
      </c>
      <c r="Q2686" s="783">
        <v>1800.24</v>
      </c>
      <c r="R2686" s="783">
        <v>624.87</v>
      </c>
      <c r="S2686" s="783">
        <v>317.17</v>
      </c>
      <c r="T2686" s="783">
        <v>858.19</v>
      </c>
      <c r="U2686" s="785">
        <v>44631.636840277803</v>
      </c>
    </row>
    <row r="2687" spans="1:21">
      <c r="A2687" s="782">
        <v>44558</v>
      </c>
      <c r="B2687" s="783" t="s">
        <v>34</v>
      </c>
      <c r="C2687" s="783" t="s">
        <v>4139</v>
      </c>
      <c r="D2687" s="783" t="s">
        <v>4009</v>
      </c>
      <c r="E2687" s="783" t="s">
        <v>6210</v>
      </c>
      <c r="F2687" s="783" t="s">
        <v>4011</v>
      </c>
      <c r="G2687" s="783" t="s">
        <v>4028</v>
      </c>
      <c r="H2687" s="783" t="s">
        <v>6211</v>
      </c>
      <c r="I2687" s="783" t="s">
        <v>6212</v>
      </c>
      <c r="J2687" s="783">
        <v>20</v>
      </c>
      <c r="K2687" s="783" t="s">
        <v>866</v>
      </c>
      <c r="L2687" s="783" t="s">
        <v>4014</v>
      </c>
      <c r="M2687" s="784">
        <v>16632</v>
      </c>
      <c r="N2687" s="784">
        <v>14</v>
      </c>
      <c r="O2687" s="784">
        <v>6.6</v>
      </c>
      <c r="P2687" s="783">
        <v>180</v>
      </c>
      <c r="Q2687" s="783">
        <v>1275.67</v>
      </c>
      <c r="R2687" s="783">
        <v>691.75</v>
      </c>
      <c r="S2687" s="783">
        <v>208.04</v>
      </c>
      <c r="T2687" s="783">
        <v>375.88</v>
      </c>
      <c r="U2687" s="785">
        <v>44631.636956018498</v>
      </c>
    </row>
    <row r="2688" spans="1:21">
      <c r="A2688" s="782">
        <v>44552</v>
      </c>
      <c r="B2688" s="783" t="s">
        <v>41</v>
      </c>
      <c r="C2688" s="783" t="s">
        <v>4071</v>
      </c>
      <c r="D2688" s="783" t="s">
        <v>4009</v>
      </c>
      <c r="E2688" s="783" t="s">
        <v>6218</v>
      </c>
      <c r="F2688" s="783" t="s">
        <v>4011</v>
      </c>
      <c r="G2688" s="783" t="str">
        <f>VLOOKUP(I2688,pacage,2,FALSE)</f>
        <v>Renewal (30% in 2020)</v>
      </c>
      <c r="H2688" s="783" t="s">
        <v>6219</v>
      </c>
      <c r="I2688" s="783" t="s">
        <v>6220</v>
      </c>
      <c r="J2688" s="783">
        <v>25</v>
      </c>
      <c r="K2688" s="783" t="s">
        <v>866</v>
      </c>
      <c r="L2688" s="783" t="s">
        <v>4014</v>
      </c>
      <c r="M2688" s="784">
        <v>1031.4000000000001</v>
      </c>
      <c r="N2688" s="784">
        <v>1</v>
      </c>
      <c r="O2688" s="784">
        <v>5.73</v>
      </c>
      <c r="P2688" s="783">
        <v>180</v>
      </c>
      <c r="Q2688" s="783">
        <v>81.069999999999993</v>
      </c>
      <c r="R2688" s="783">
        <v>57.2</v>
      </c>
      <c r="S2688" s="783">
        <v>16.96</v>
      </c>
      <c r="T2688" s="783">
        <v>6.91</v>
      </c>
      <c r="U2688" s="785">
        <v>44631.636874999997</v>
      </c>
    </row>
    <row r="2689" spans="1:21">
      <c r="A2689" s="782">
        <v>44561</v>
      </c>
      <c r="B2689" s="783" t="s">
        <v>74</v>
      </c>
      <c r="C2689" s="783" t="s">
        <v>4097</v>
      </c>
      <c r="D2689" s="783" t="s">
        <v>4038</v>
      </c>
      <c r="E2689" s="783" t="s">
        <v>4455</v>
      </c>
      <c r="F2689" s="783" t="s">
        <v>4011</v>
      </c>
      <c r="G2689" s="783" t="str">
        <f>VLOOKUP(I2689,pacage,2,FALSE)</f>
        <v>Renewal (20% in 2020)</v>
      </c>
      <c r="H2689" s="783" t="s">
        <v>4456</v>
      </c>
      <c r="I2689" s="783" t="s">
        <v>4457</v>
      </c>
      <c r="J2689" s="783">
        <v>25</v>
      </c>
      <c r="K2689" s="783" t="s">
        <v>866</v>
      </c>
      <c r="L2689" s="783" t="s">
        <v>4014</v>
      </c>
      <c r="M2689" s="784">
        <v>3571.2</v>
      </c>
      <c r="N2689" s="784">
        <v>3.1</v>
      </c>
      <c r="O2689" s="784">
        <v>6.4</v>
      </c>
      <c r="P2689" s="783">
        <v>180</v>
      </c>
      <c r="Q2689" s="783">
        <v>227.13</v>
      </c>
      <c r="R2689" s="783">
        <v>145.97999999999999</v>
      </c>
      <c r="S2689" s="783">
        <v>44.01</v>
      </c>
      <c r="T2689" s="783">
        <v>37.14</v>
      </c>
      <c r="U2689" s="785">
        <v>44631.636990740699</v>
      </c>
    </row>
    <row r="2690" spans="1:21">
      <c r="A2690" s="782">
        <v>44554</v>
      </c>
      <c r="B2690" s="783" t="s">
        <v>113</v>
      </c>
      <c r="C2690" s="783" t="s">
        <v>4606</v>
      </c>
      <c r="D2690" s="783" t="s">
        <v>4009</v>
      </c>
      <c r="E2690" s="783" t="s">
        <v>1127</v>
      </c>
      <c r="F2690" s="783" t="s">
        <v>4066</v>
      </c>
      <c r="G2690" s="783" t="s">
        <v>4028</v>
      </c>
      <c r="H2690" s="783" t="s">
        <v>7043</v>
      </c>
      <c r="I2690" s="783" t="s">
        <v>7044</v>
      </c>
      <c r="J2690" s="783">
        <v>10</v>
      </c>
      <c r="K2690" s="783" t="s">
        <v>866</v>
      </c>
      <c r="L2690" s="783" t="s">
        <v>4014</v>
      </c>
      <c r="M2690" s="784">
        <v>56285.46</v>
      </c>
      <c r="N2690" s="784">
        <v>27.51</v>
      </c>
      <c r="O2690" s="784">
        <v>13.2</v>
      </c>
      <c r="P2690" s="783">
        <v>155</v>
      </c>
      <c r="Q2690" s="783">
        <v>2414.65</v>
      </c>
      <c r="R2690" s="783">
        <v>0</v>
      </c>
      <c r="S2690" s="783">
        <v>0</v>
      </c>
      <c r="T2690" s="783">
        <v>2414.65</v>
      </c>
      <c r="U2690" s="785">
        <v>44631.636944444399</v>
      </c>
    </row>
    <row r="2691" spans="1:21">
      <c r="A2691" s="782">
        <v>44558</v>
      </c>
      <c r="B2691" s="783" t="s">
        <v>150</v>
      </c>
      <c r="C2691" s="783" t="s">
        <v>4606</v>
      </c>
      <c r="D2691" s="783" t="s">
        <v>4009</v>
      </c>
      <c r="E2691" s="783" t="s">
        <v>6224</v>
      </c>
      <c r="F2691" s="783" t="s">
        <v>4011</v>
      </c>
      <c r="G2691" s="783" t="str">
        <f>VLOOKUP(I2691,pacage,2,FALSE)</f>
        <v>Renewal (20% in 2020)</v>
      </c>
      <c r="H2691" s="783" t="s">
        <v>6225</v>
      </c>
      <c r="I2691" s="783" t="s">
        <v>6226</v>
      </c>
      <c r="J2691" s="783">
        <v>20</v>
      </c>
      <c r="K2691" s="783" t="s">
        <v>866</v>
      </c>
      <c r="L2691" s="783" t="s">
        <v>4014</v>
      </c>
      <c r="M2691" s="784">
        <v>94137.51</v>
      </c>
      <c r="N2691" s="784">
        <v>43.78</v>
      </c>
      <c r="O2691" s="784">
        <v>12.08</v>
      </c>
      <c r="P2691" s="783">
        <v>178</v>
      </c>
      <c r="Q2691" s="783">
        <v>6975.59</v>
      </c>
      <c r="R2691" s="783">
        <v>3371.82</v>
      </c>
      <c r="S2691" s="783">
        <v>967.92</v>
      </c>
      <c r="T2691" s="783">
        <v>2635.85</v>
      </c>
      <c r="U2691" s="785">
        <v>44631.637106481503</v>
      </c>
    </row>
    <row r="2692" spans="1:21">
      <c r="A2692" s="782">
        <v>44551</v>
      </c>
      <c r="B2692" s="783" t="s">
        <v>41</v>
      </c>
      <c r="C2692" s="783" t="s">
        <v>4082</v>
      </c>
      <c r="D2692" s="783" t="s">
        <v>4009</v>
      </c>
      <c r="E2692" s="783" t="s">
        <v>7045</v>
      </c>
      <c r="F2692" s="783" t="s">
        <v>4011</v>
      </c>
      <c r="G2692" s="783" t="str">
        <f>VLOOKUP(I2692,pacage,2,FALSE)</f>
        <v>New contract</v>
      </c>
      <c r="H2692" s="783" t="s">
        <v>7046</v>
      </c>
      <c r="I2692" s="783" t="s">
        <v>7047</v>
      </c>
      <c r="J2692" s="783">
        <v>20</v>
      </c>
      <c r="K2692" s="783" t="s">
        <v>866</v>
      </c>
      <c r="L2692" s="783" t="s">
        <v>4014</v>
      </c>
      <c r="M2692" s="784">
        <v>15678.5</v>
      </c>
      <c r="N2692" s="784">
        <v>14.6</v>
      </c>
      <c r="O2692" s="784">
        <v>6.67</v>
      </c>
      <c r="P2692" s="783">
        <v>161</v>
      </c>
      <c r="Q2692" s="783">
        <v>1227.6300000000001</v>
      </c>
      <c r="R2692" s="783">
        <v>724.35</v>
      </c>
      <c r="S2692" s="783">
        <v>136.4</v>
      </c>
      <c r="T2692" s="783">
        <v>366.88</v>
      </c>
      <c r="U2692" s="785">
        <v>44631.636655092603</v>
      </c>
    </row>
    <row r="2693" spans="1:21">
      <c r="A2693" s="782">
        <v>44564</v>
      </c>
      <c r="B2693" s="783" t="s">
        <v>41</v>
      </c>
      <c r="C2693" s="783" t="s">
        <v>4071</v>
      </c>
      <c r="D2693" s="783" t="s">
        <v>4009</v>
      </c>
      <c r="E2693" s="783" t="s">
        <v>6227</v>
      </c>
      <c r="F2693" s="783" t="s">
        <v>4011</v>
      </c>
      <c r="G2693" s="783" t="str">
        <f>VLOOKUP(I2693,pacage,2,FALSE)</f>
        <v>Renewal (25% in 2020)</v>
      </c>
      <c r="H2693" s="783" t="s">
        <v>6228</v>
      </c>
      <c r="I2693" s="783" t="s">
        <v>6229</v>
      </c>
      <c r="J2693" s="783">
        <v>20</v>
      </c>
      <c r="K2693" s="783" t="s">
        <v>866</v>
      </c>
      <c r="L2693" s="783" t="s">
        <v>4014</v>
      </c>
      <c r="M2693" s="784">
        <v>14240.16</v>
      </c>
      <c r="N2693" s="784">
        <v>10.23</v>
      </c>
      <c r="O2693" s="784">
        <v>6.96</v>
      </c>
      <c r="P2693" s="783">
        <v>200</v>
      </c>
      <c r="Q2693" s="783">
        <v>1455.34</v>
      </c>
      <c r="R2693" s="783">
        <v>710.73</v>
      </c>
      <c r="S2693" s="783">
        <v>313.14</v>
      </c>
      <c r="T2693" s="783">
        <v>431.48</v>
      </c>
      <c r="U2693" s="785">
        <v>44631.636944444399</v>
      </c>
    </row>
    <row r="2694" spans="1:21">
      <c r="A2694" s="782">
        <v>44559</v>
      </c>
      <c r="B2694" s="783" t="s">
        <v>74</v>
      </c>
      <c r="C2694" s="783" t="s">
        <v>4097</v>
      </c>
      <c r="D2694" s="783" t="s">
        <v>4038</v>
      </c>
      <c r="E2694" s="783" t="s">
        <v>4461</v>
      </c>
      <c r="F2694" s="783" t="s">
        <v>4011</v>
      </c>
      <c r="G2694" s="783" t="s">
        <v>4028</v>
      </c>
      <c r="H2694" s="783" t="s">
        <v>4462</v>
      </c>
      <c r="I2694" s="783" t="s">
        <v>4463</v>
      </c>
      <c r="J2694" s="783">
        <v>20</v>
      </c>
      <c r="K2694" s="783" t="s">
        <v>866</v>
      </c>
      <c r="L2694" s="783" t="s">
        <v>4014</v>
      </c>
      <c r="M2694" s="784">
        <v>6975.07</v>
      </c>
      <c r="N2694" s="784">
        <v>4.32</v>
      </c>
      <c r="O2694" s="784">
        <v>8.9700000000000006</v>
      </c>
      <c r="P2694" s="783">
        <v>180</v>
      </c>
      <c r="Q2694" s="783">
        <v>564.98</v>
      </c>
      <c r="R2694" s="783">
        <v>285.11</v>
      </c>
      <c r="S2694" s="783">
        <v>85.96</v>
      </c>
      <c r="T2694" s="783">
        <v>193.91</v>
      </c>
      <c r="U2694" s="785">
        <v>44631.637037036999</v>
      </c>
    </row>
    <row r="2695" spans="1:21">
      <c r="A2695" s="782">
        <v>44553</v>
      </c>
      <c r="B2695" s="783" t="s">
        <v>41</v>
      </c>
      <c r="C2695" s="783" t="s">
        <v>4092</v>
      </c>
      <c r="D2695" s="783" t="s">
        <v>4009</v>
      </c>
      <c r="E2695" s="783" t="s">
        <v>6230</v>
      </c>
      <c r="F2695" s="783" t="s">
        <v>4011</v>
      </c>
      <c r="G2695" s="783" t="str">
        <f t="shared" ref="G2695:G2725" si="144">VLOOKUP(I2695,pacage,2,FALSE)</f>
        <v>Renewal (30% in 2020)</v>
      </c>
      <c r="H2695" s="783" t="s">
        <v>6231</v>
      </c>
      <c r="I2695" s="783" t="s">
        <v>6232</v>
      </c>
      <c r="J2695" s="783">
        <v>30</v>
      </c>
      <c r="K2695" s="783" t="s">
        <v>866</v>
      </c>
      <c r="L2695" s="783" t="s">
        <v>4014</v>
      </c>
      <c r="M2695" s="784">
        <v>1328</v>
      </c>
      <c r="N2695" s="784">
        <v>1</v>
      </c>
      <c r="O2695" s="784">
        <v>8.3000000000000007</v>
      </c>
      <c r="P2695" s="783">
        <v>160</v>
      </c>
      <c r="Q2695" s="783">
        <v>78.62</v>
      </c>
      <c r="R2695" s="783">
        <v>70.52</v>
      </c>
      <c r="S2695" s="783">
        <v>0</v>
      </c>
      <c r="T2695" s="783">
        <v>8.1</v>
      </c>
      <c r="U2695" s="785">
        <v>44631.637083333299</v>
      </c>
    </row>
    <row r="2696" spans="1:21">
      <c r="A2696" s="782">
        <v>44557</v>
      </c>
      <c r="B2696" s="783" t="s">
        <v>30</v>
      </c>
      <c r="C2696" s="783" t="s">
        <v>4089</v>
      </c>
      <c r="D2696" s="783" t="s">
        <v>4021</v>
      </c>
      <c r="E2696" s="783" t="s">
        <v>6233</v>
      </c>
      <c r="F2696" s="783" t="s">
        <v>4011</v>
      </c>
      <c r="G2696" s="783" t="str">
        <f t="shared" si="144"/>
        <v>Renewal (20% in 2020)</v>
      </c>
      <c r="H2696" s="783" t="s">
        <v>6234</v>
      </c>
      <c r="I2696" s="783" t="s">
        <v>6235</v>
      </c>
      <c r="J2696" s="783">
        <v>20</v>
      </c>
      <c r="K2696" s="783" t="s">
        <v>866</v>
      </c>
      <c r="L2696" s="783" t="s">
        <v>4014</v>
      </c>
      <c r="M2696" s="784">
        <v>13849.35</v>
      </c>
      <c r="N2696" s="784">
        <v>12.7</v>
      </c>
      <c r="O2696" s="784">
        <v>7.27</v>
      </c>
      <c r="P2696" s="783">
        <v>150</v>
      </c>
      <c r="Q2696" s="783">
        <v>1469.42</v>
      </c>
      <c r="R2696" s="783">
        <v>843.43</v>
      </c>
      <c r="S2696" s="783">
        <v>139.88</v>
      </c>
      <c r="T2696" s="783">
        <v>486.11</v>
      </c>
      <c r="U2696" s="785">
        <v>44631.637071759302</v>
      </c>
    </row>
    <row r="2697" spans="1:21">
      <c r="A2697" s="782">
        <v>44558</v>
      </c>
      <c r="B2697" s="783" t="s">
        <v>150</v>
      </c>
      <c r="C2697" s="783" t="s">
        <v>4606</v>
      </c>
      <c r="D2697" s="783" t="s">
        <v>4009</v>
      </c>
      <c r="E2697" s="783" t="s">
        <v>6238</v>
      </c>
      <c r="F2697" s="783" t="s">
        <v>4011</v>
      </c>
      <c r="G2697" s="783" t="str">
        <f t="shared" si="144"/>
        <v>Renewal (20% in 2020)</v>
      </c>
      <c r="H2697" s="783" t="s">
        <v>6239</v>
      </c>
      <c r="I2697" s="783" t="s">
        <v>6240</v>
      </c>
      <c r="J2697" s="783">
        <v>20</v>
      </c>
      <c r="K2697" s="783" t="s">
        <v>866</v>
      </c>
      <c r="L2697" s="783" t="s">
        <v>4014</v>
      </c>
      <c r="M2697" s="784">
        <v>151742.44</v>
      </c>
      <c r="N2697" s="784">
        <v>70.569999999999993</v>
      </c>
      <c r="O2697" s="784">
        <v>12.08</v>
      </c>
      <c r="P2697" s="783">
        <v>178</v>
      </c>
      <c r="Q2697" s="783">
        <v>11244.11</v>
      </c>
      <c r="R2697" s="783">
        <v>5435.11</v>
      </c>
      <c r="S2697" s="783">
        <v>1560.22</v>
      </c>
      <c r="T2697" s="783">
        <v>4248.79</v>
      </c>
      <c r="U2697" s="785">
        <v>44631.637037036999</v>
      </c>
    </row>
    <row r="2698" spans="1:21">
      <c r="A2698" s="782">
        <v>44553</v>
      </c>
      <c r="B2698" s="783" t="s">
        <v>41</v>
      </c>
      <c r="C2698" s="783" t="s">
        <v>4092</v>
      </c>
      <c r="D2698" s="783" t="s">
        <v>4009</v>
      </c>
      <c r="E2698" s="783" t="s">
        <v>6255</v>
      </c>
      <c r="F2698" s="783" t="s">
        <v>4011</v>
      </c>
      <c r="G2698" s="783" t="str">
        <f t="shared" si="144"/>
        <v>New contract</v>
      </c>
      <c r="H2698" s="783" t="s">
        <v>6256</v>
      </c>
      <c r="I2698" s="783" t="s">
        <v>6257</v>
      </c>
      <c r="J2698" s="783">
        <v>25</v>
      </c>
      <c r="K2698" s="783" t="s">
        <v>866</v>
      </c>
      <c r="L2698" s="783" t="s">
        <v>4014</v>
      </c>
      <c r="M2698" s="784">
        <v>32986.800000000003</v>
      </c>
      <c r="N2698" s="784">
        <v>22</v>
      </c>
      <c r="O2698" s="784">
        <v>8.33</v>
      </c>
      <c r="P2698" s="783">
        <v>180</v>
      </c>
      <c r="Q2698" s="783">
        <v>2285.9899999999998</v>
      </c>
      <c r="R2698" s="783">
        <v>1566.71</v>
      </c>
      <c r="S2698" s="783">
        <v>521.36</v>
      </c>
      <c r="T2698" s="783">
        <v>197.92</v>
      </c>
      <c r="U2698" s="785">
        <v>44631.633553240703</v>
      </c>
    </row>
    <row r="2699" spans="1:21">
      <c r="A2699" s="782">
        <v>44525</v>
      </c>
      <c r="B2699" s="783" t="s">
        <v>397</v>
      </c>
      <c r="C2699" s="783" t="s">
        <v>4511</v>
      </c>
      <c r="D2699" s="783" t="s">
        <v>4512</v>
      </c>
      <c r="E2699" s="783" t="s">
        <v>4735</v>
      </c>
      <c r="F2699" s="783" t="s">
        <v>4011</v>
      </c>
      <c r="G2699" s="783" t="str">
        <f t="shared" si="144"/>
        <v>Renewal (20% in 2020)</v>
      </c>
      <c r="H2699" s="783" t="s">
        <v>4736</v>
      </c>
      <c r="I2699" s="783" t="s">
        <v>4737</v>
      </c>
      <c r="J2699" s="783">
        <v>20</v>
      </c>
      <c r="K2699" s="783" t="s">
        <v>866</v>
      </c>
      <c r="L2699" s="783" t="s">
        <v>4014</v>
      </c>
      <c r="M2699" s="784">
        <v>9540.09</v>
      </c>
      <c r="N2699" s="784">
        <v>6.3</v>
      </c>
      <c r="O2699" s="784">
        <v>7.97</v>
      </c>
      <c r="P2699" s="783">
        <v>190</v>
      </c>
      <c r="Q2699" s="783">
        <v>763.21</v>
      </c>
      <c r="R2699" s="783">
        <v>349.23</v>
      </c>
      <c r="S2699" s="783">
        <v>162.12</v>
      </c>
      <c r="T2699" s="783">
        <v>251.86</v>
      </c>
      <c r="U2699" s="785">
        <v>44631.637349536999</v>
      </c>
    </row>
    <row r="2700" spans="1:21">
      <c r="A2700" s="782">
        <v>44477</v>
      </c>
      <c r="B2700" s="783" t="s">
        <v>41</v>
      </c>
      <c r="C2700" s="783" t="s">
        <v>4092</v>
      </c>
      <c r="D2700" s="783" t="s">
        <v>4009</v>
      </c>
      <c r="E2700" s="783" t="s">
        <v>1343</v>
      </c>
      <c r="F2700" s="783" t="s">
        <v>4011</v>
      </c>
      <c r="G2700" s="783" t="str">
        <f t="shared" si="144"/>
        <v>Renewal (25% in 2020)</v>
      </c>
      <c r="H2700" s="783" t="s">
        <v>4223</v>
      </c>
      <c r="I2700" s="783" t="s">
        <v>4224</v>
      </c>
      <c r="J2700" s="783">
        <v>25</v>
      </c>
      <c r="K2700" s="783" t="s">
        <v>866</v>
      </c>
      <c r="L2700" s="783" t="s">
        <v>4014</v>
      </c>
      <c r="M2700" s="784">
        <v>10214</v>
      </c>
      <c r="N2700" s="784">
        <v>11.13</v>
      </c>
      <c r="O2700" s="784">
        <v>5.7</v>
      </c>
      <c r="P2700" s="783">
        <v>161</v>
      </c>
      <c r="Q2700" s="783">
        <v>707.83</v>
      </c>
      <c r="R2700" s="783">
        <v>542.36</v>
      </c>
      <c r="S2700" s="783">
        <v>104.18</v>
      </c>
      <c r="T2700" s="783">
        <v>61.28</v>
      </c>
      <c r="U2700" s="785">
        <v>44631.637418981503</v>
      </c>
    </row>
    <row r="2701" spans="1:21">
      <c r="A2701" s="782">
        <v>44483</v>
      </c>
      <c r="B2701" s="783" t="s">
        <v>228</v>
      </c>
      <c r="C2701" s="783" t="s">
        <v>4020</v>
      </c>
      <c r="D2701" s="783" t="s">
        <v>4021</v>
      </c>
      <c r="E2701" s="783" t="s">
        <v>6269</v>
      </c>
      <c r="F2701" s="783" t="s">
        <v>4011</v>
      </c>
      <c r="G2701" s="783" t="str">
        <f t="shared" si="144"/>
        <v>Renewal (25% in 2020)</v>
      </c>
      <c r="H2701" s="783" t="s">
        <v>6270</v>
      </c>
      <c r="I2701" s="783" t="s">
        <v>6271</v>
      </c>
      <c r="J2701" s="783">
        <v>25</v>
      </c>
      <c r="K2701" s="783" t="s">
        <v>866</v>
      </c>
      <c r="L2701" s="783" t="s">
        <v>4014</v>
      </c>
      <c r="M2701" s="784">
        <v>4680</v>
      </c>
      <c r="N2701" s="784">
        <v>3.9</v>
      </c>
      <c r="O2701" s="784">
        <v>8</v>
      </c>
      <c r="P2701" s="783">
        <v>150</v>
      </c>
      <c r="Q2701" s="783">
        <v>336.02</v>
      </c>
      <c r="R2701" s="783">
        <v>252.25</v>
      </c>
      <c r="S2701" s="783">
        <v>41.65</v>
      </c>
      <c r="T2701" s="783">
        <v>42.12</v>
      </c>
      <c r="U2701" s="785">
        <v>44631.637546296297</v>
      </c>
    </row>
    <row r="2702" spans="1:21">
      <c r="A2702" s="782">
        <v>44480</v>
      </c>
      <c r="B2702" s="783" t="s">
        <v>74</v>
      </c>
      <c r="C2702" s="783" t="s">
        <v>4097</v>
      </c>
      <c r="D2702" s="783" t="s">
        <v>4038</v>
      </c>
      <c r="E2702" s="783" t="s">
        <v>4464</v>
      </c>
      <c r="F2702" s="783" t="s">
        <v>4011</v>
      </c>
      <c r="G2702" s="783" t="str">
        <f t="shared" si="144"/>
        <v>Renewal (15% in 2020)</v>
      </c>
      <c r="H2702" s="783" t="s">
        <v>4465</v>
      </c>
      <c r="I2702" s="783" t="s">
        <v>4466</v>
      </c>
      <c r="J2702" s="783">
        <v>15</v>
      </c>
      <c r="K2702" s="783" t="s">
        <v>866</v>
      </c>
      <c r="L2702" s="783" t="s">
        <v>4014</v>
      </c>
      <c r="M2702" s="784">
        <v>36430.559999999998</v>
      </c>
      <c r="N2702" s="784">
        <v>28.11</v>
      </c>
      <c r="O2702" s="784">
        <v>8.1</v>
      </c>
      <c r="P2702" s="783">
        <v>160</v>
      </c>
      <c r="Q2702" s="783">
        <v>3898.07</v>
      </c>
      <c r="R2702" s="783">
        <v>1664.88</v>
      </c>
      <c r="S2702" s="783">
        <v>273.23</v>
      </c>
      <c r="T2702" s="783">
        <v>1959.96</v>
      </c>
      <c r="U2702" s="785">
        <v>44631.637326388904</v>
      </c>
    </row>
    <row r="2703" spans="1:21">
      <c r="A2703" s="782">
        <v>44476</v>
      </c>
      <c r="B2703" s="783" t="s">
        <v>65</v>
      </c>
      <c r="C2703" s="783" t="s">
        <v>6275</v>
      </c>
      <c r="D2703" s="783" t="s">
        <v>4258</v>
      </c>
      <c r="E2703" s="783" t="s">
        <v>6276</v>
      </c>
      <c r="F2703" s="783" t="s">
        <v>4011</v>
      </c>
      <c r="G2703" s="783" t="str">
        <f t="shared" si="144"/>
        <v>Renewal (20% in 2020)</v>
      </c>
      <c r="H2703" s="783" t="s">
        <v>6277</v>
      </c>
      <c r="I2703" s="783" t="s">
        <v>6278</v>
      </c>
      <c r="J2703" s="783">
        <v>25</v>
      </c>
      <c r="K2703" s="783" t="s">
        <v>866</v>
      </c>
      <c r="L2703" s="783" t="s">
        <v>4014</v>
      </c>
      <c r="M2703" s="784">
        <v>3446.6</v>
      </c>
      <c r="N2703" s="784">
        <v>1.9</v>
      </c>
      <c r="O2703" s="784">
        <v>9.07</v>
      </c>
      <c r="P2703" s="783">
        <v>200</v>
      </c>
      <c r="Q2703" s="783">
        <v>159.91999999999999</v>
      </c>
      <c r="R2703" s="783">
        <v>99.88</v>
      </c>
      <c r="S2703" s="783">
        <v>44.19</v>
      </c>
      <c r="T2703" s="783">
        <v>15.85</v>
      </c>
      <c r="U2703" s="785">
        <v>44631.637256944399</v>
      </c>
    </row>
    <row r="2704" spans="1:21">
      <c r="A2704" s="782">
        <v>44473</v>
      </c>
      <c r="B2704" s="783" t="s">
        <v>51</v>
      </c>
      <c r="C2704" s="783" t="s">
        <v>4042</v>
      </c>
      <c r="D2704" s="783" t="s">
        <v>4016</v>
      </c>
      <c r="E2704" s="783" t="s">
        <v>6281</v>
      </c>
      <c r="F2704" s="783" t="s">
        <v>4011</v>
      </c>
      <c r="G2704" s="783" t="str">
        <f t="shared" si="144"/>
        <v>New Contract</v>
      </c>
      <c r="H2704" s="783" t="s">
        <v>6282</v>
      </c>
      <c r="I2704" s="783" t="s">
        <v>6283</v>
      </c>
      <c r="J2704" s="783">
        <v>25</v>
      </c>
      <c r="K2704" s="783" t="s">
        <v>866</v>
      </c>
      <c r="L2704" s="783" t="s">
        <v>4014</v>
      </c>
      <c r="M2704" s="784">
        <v>33456</v>
      </c>
      <c r="N2704" s="784">
        <v>30</v>
      </c>
      <c r="O2704" s="784">
        <v>6.97</v>
      </c>
      <c r="P2704" s="783">
        <v>160</v>
      </c>
      <c r="Q2704" s="783">
        <v>2515.89</v>
      </c>
      <c r="R2704" s="783">
        <v>1900.3</v>
      </c>
      <c r="S2704" s="783">
        <v>314.49</v>
      </c>
      <c r="T2704" s="783">
        <v>301.10000000000002</v>
      </c>
      <c r="U2704" s="785">
        <v>44631.637314814798</v>
      </c>
    </row>
    <row r="2705" spans="1:21">
      <c r="A2705" s="782">
        <v>44482</v>
      </c>
      <c r="B2705" s="783" t="s">
        <v>41</v>
      </c>
      <c r="C2705" s="783" t="s">
        <v>4139</v>
      </c>
      <c r="D2705" s="783" t="s">
        <v>4009</v>
      </c>
      <c r="E2705" s="783" t="s">
        <v>6284</v>
      </c>
      <c r="F2705" s="783" t="s">
        <v>4011</v>
      </c>
      <c r="G2705" s="783" t="str">
        <f t="shared" si="144"/>
        <v>Renewal (30% in 2020)</v>
      </c>
      <c r="H2705" s="783" t="s">
        <v>6285</v>
      </c>
      <c r="I2705" s="783" t="s">
        <v>6286</v>
      </c>
      <c r="J2705" s="783">
        <v>25</v>
      </c>
      <c r="K2705" s="783" t="s">
        <v>866</v>
      </c>
      <c r="L2705" s="783" t="s">
        <v>4014</v>
      </c>
      <c r="M2705" s="784">
        <v>33810</v>
      </c>
      <c r="N2705" s="784">
        <v>28</v>
      </c>
      <c r="O2705" s="784">
        <v>7.5</v>
      </c>
      <c r="P2705" s="783">
        <v>161</v>
      </c>
      <c r="Q2705" s="783">
        <v>1994.79</v>
      </c>
      <c r="R2705" s="783">
        <v>1572.17</v>
      </c>
      <c r="S2705" s="783">
        <v>256.95999999999998</v>
      </c>
      <c r="T2705" s="783">
        <v>165.67</v>
      </c>
      <c r="U2705" s="785">
        <v>44631.637476851902</v>
      </c>
    </row>
    <row r="2706" spans="1:21">
      <c r="A2706" s="782">
        <v>44522</v>
      </c>
      <c r="B2706" s="783" t="s">
        <v>41</v>
      </c>
      <c r="C2706" s="783" t="s">
        <v>4008</v>
      </c>
      <c r="D2706" s="783" t="s">
        <v>4009</v>
      </c>
      <c r="E2706" s="783" t="s">
        <v>6287</v>
      </c>
      <c r="F2706" s="783" t="s">
        <v>4011</v>
      </c>
      <c r="G2706" s="783" t="str">
        <f t="shared" si="144"/>
        <v>Renewal (15% in 2020)</v>
      </c>
      <c r="H2706" s="783" t="s">
        <v>6288</v>
      </c>
      <c r="I2706" s="783" t="s">
        <v>6289</v>
      </c>
      <c r="J2706" s="783">
        <v>15</v>
      </c>
      <c r="K2706" s="783" t="s">
        <v>866</v>
      </c>
      <c r="L2706" s="783" t="s">
        <v>4014</v>
      </c>
      <c r="M2706" s="784">
        <v>3304.1</v>
      </c>
      <c r="N2706" s="784">
        <v>3.7</v>
      </c>
      <c r="O2706" s="784">
        <v>4.7</v>
      </c>
      <c r="P2706" s="783">
        <v>190</v>
      </c>
      <c r="Q2706" s="783">
        <v>375.35</v>
      </c>
      <c r="R2706" s="783">
        <v>136.35</v>
      </c>
      <c r="S2706" s="783">
        <v>50.66</v>
      </c>
      <c r="T2706" s="783">
        <v>188.33</v>
      </c>
      <c r="U2706" s="785">
        <v>44631.637546296297</v>
      </c>
    </row>
    <row r="2707" spans="1:21">
      <c r="A2707" s="782">
        <v>44505</v>
      </c>
      <c r="B2707" s="783" t="s">
        <v>4025</v>
      </c>
      <c r="C2707" s="783" t="s">
        <v>4026</v>
      </c>
      <c r="D2707" s="783" t="s">
        <v>4021</v>
      </c>
      <c r="E2707" s="783" t="s">
        <v>6299</v>
      </c>
      <c r="F2707" s="783" t="s">
        <v>4011</v>
      </c>
      <c r="G2707" s="783" t="str">
        <f t="shared" si="144"/>
        <v>New Contract</v>
      </c>
      <c r="H2707" s="783" t="s">
        <v>6300</v>
      </c>
      <c r="I2707" s="783" t="s">
        <v>6301</v>
      </c>
      <c r="J2707" s="783">
        <v>25</v>
      </c>
      <c r="K2707" s="783" t="s">
        <v>866</v>
      </c>
      <c r="L2707" s="783" t="s">
        <v>4014</v>
      </c>
      <c r="M2707" s="784">
        <v>14612.04</v>
      </c>
      <c r="N2707" s="784">
        <v>10.97</v>
      </c>
      <c r="O2707" s="784">
        <v>7.4</v>
      </c>
      <c r="P2707" s="783">
        <v>180</v>
      </c>
      <c r="Q2707" s="783">
        <v>936.63</v>
      </c>
      <c r="R2707" s="783">
        <v>618.19000000000005</v>
      </c>
      <c r="S2707" s="783">
        <v>184.01</v>
      </c>
      <c r="T2707" s="783">
        <v>134.43</v>
      </c>
      <c r="U2707" s="785">
        <v>44631.637650463003</v>
      </c>
    </row>
    <row r="2708" spans="1:21">
      <c r="A2708" s="782">
        <v>44511</v>
      </c>
      <c r="B2708" s="783" t="s">
        <v>30</v>
      </c>
      <c r="C2708" s="783" t="s">
        <v>4089</v>
      </c>
      <c r="D2708" s="783" t="s">
        <v>4021</v>
      </c>
      <c r="E2708" s="783" t="s">
        <v>6302</v>
      </c>
      <c r="F2708" s="783" t="s">
        <v>4011</v>
      </c>
      <c r="G2708" s="783" t="str">
        <f t="shared" si="144"/>
        <v>New Contract</v>
      </c>
      <c r="H2708" s="783" t="s">
        <v>6303</v>
      </c>
      <c r="I2708" s="783" t="s">
        <v>6304</v>
      </c>
      <c r="J2708" s="783">
        <v>30</v>
      </c>
      <c r="K2708" s="783" t="s">
        <v>866</v>
      </c>
      <c r="L2708" s="783" t="s">
        <v>4014</v>
      </c>
      <c r="M2708" s="784">
        <v>19968.830000000002</v>
      </c>
      <c r="N2708" s="784">
        <v>15.7</v>
      </c>
      <c r="O2708" s="784">
        <v>7.9</v>
      </c>
      <c r="P2708" s="783">
        <v>161</v>
      </c>
      <c r="Q2708" s="783">
        <v>1451.73</v>
      </c>
      <c r="R2708" s="783">
        <v>1216.0999999999999</v>
      </c>
      <c r="S2708" s="783">
        <v>0</v>
      </c>
      <c r="T2708" s="783">
        <v>235.63</v>
      </c>
      <c r="U2708" s="785">
        <v>44631.637523148202</v>
      </c>
    </row>
    <row r="2709" spans="1:21">
      <c r="A2709" s="782">
        <v>44528</v>
      </c>
      <c r="B2709" s="783" t="s">
        <v>74</v>
      </c>
      <c r="C2709" s="783" t="s">
        <v>4097</v>
      </c>
      <c r="D2709" s="783" t="s">
        <v>4038</v>
      </c>
      <c r="E2709" s="783" t="s">
        <v>2048</v>
      </c>
      <c r="F2709" s="783" t="s">
        <v>4011</v>
      </c>
      <c r="G2709" s="783" t="str">
        <f t="shared" si="144"/>
        <v>Renewal (15% in 2020)</v>
      </c>
      <c r="H2709" s="783" t="s">
        <v>4474</v>
      </c>
      <c r="I2709" s="783" t="s">
        <v>4475</v>
      </c>
      <c r="J2709" s="783">
        <v>20</v>
      </c>
      <c r="K2709" s="783" t="s">
        <v>866</v>
      </c>
      <c r="L2709" s="783" t="s">
        <v>4014</v>
      </c>
      <c r="M2709" s="784">
        <v>56000</v>
      </c>
      <c r="N2709" s="784">
        <v>50</v>
      </c>
      <c r="O2709" s="784">
        <v>5.6</v>
      </c>
      <c r="P2709" s="783">
        <v>200</v>
      </c>
      <c r="Q2709" s="783">
        <v>4536</v>
      </c>
      <c r="R2709" s="783">
        <v>2060.16</v>
      </c>
      <c r="S2709" s="783">
        <v>919.04</v>
      </c>
      <c r="T2709" s="783">
        <v>1556.8</v>
      </c>
      <c r="U2709" s="785">
        <v>44631.637395833299</v>
      </c>
    </row>
    <row r="2710" spans="1:21">
      <c r="A2710" s="782">
        <v>44459</v>
      </c>
      <c r="B2710" s="783" t="s">
        <v>74</v>
      </c>
      <c r="C2710" s="783" t="s">
        <v>6308</v>
      </c>
      <c r="D2710" s="783" t="s">
        <v>4038</v>
      </c>
      <c r="E2710" s="783" t="s">
        <v>6309</v>
      </c>
      <c r="F2710" s="783" t="s">
        <v>4011</v>
      </c>
      <c r="G2710" s="783" t="str">
        <f t="shared" si="144"/>
        <v>Renewal (20% in 2020)</v>
      </c>
      <c r="H2710" s="783" t="s">
        <v>6310</v>
      </c>
      <c r="I2710" s="783" t="s">
        <v>6311</v>
      </c>
      <c r="J2710" s="783">
        <v>20</v>
      </c>
      <c r="K2710" s="783" t="s">
        <v>866</v>
      </c>
      <c r="L2710" s="783" t="s">
        <v>4014</v>
      </c>
      <c r="M2710" s="784">
        <v>24502.91</v>
      </c>
      <c r="N2710" s="784">
        <v>16.239999999999998</v>
      </c>
      <c r="O2710" s="784">
        <v>9.43</v>
      </c>
      <c r="P2710" s="783">
        <v>160</v>
      </c>
      <c r="Q2710" s="783">
        <v>2224.86</v>
      </c>
      <c r="R2710" s="783">
        <v>1171.24</v>
      </c>
      <c r="S2710" s="783">
        <v>193.57</v>
      </c>
      <c r="T2710" s="783">
        <v>860.05</v>
      </c>
      <c r="U2710" s="785">
        <v>44631.637407407397</v>
      </c>
    </row>
    <row r="2711" spans="1:21">
      <c r="A2711" s="782">
        <v>44466</v>
      </c>
      <c r="B2711" s="783" t="s">
        <v>30</v>
      </c>
      <c r="C2711" s="783" t="s">
        <v>4939</v>
      </c>
      <c r="D2711" s="783" t="s">
        <v>4021</v>
      </c>
      <c r="E2711" s="783" t="s">
        <v>3300</v>
      </c>
      <c r="F2711" s="783" t="s">
        <v>4011</v>
      </c>
      <c r="G2711" s="783" t="str">
        <f t="shared" si="144"/>
        <v>Renewal (25% in 2020)</v>
      </c>
      <c r="H2711" s="783" t="s">
        <v>6312</v>
      </c>
      <c r="I2711" s="783" t="s">
        <v>6313</v>
      </c>
      <c r="J2711" s="783">
        <v>25</v>
      </c>
      <c r="K2711" s="783" t="s">
        <v>866</v>
      </c>
      <c r="L2711" s="783" t="s">
        <v>4014</v>
      </c>
      <c r="M2711" s="784">
        <v>22248</v>
      </c>
      <c r="N2711" s="784">
        <v>20</v>
      </c>
      <c r="O2711" s="784">
        <v>9.27</v>
      </c>
      <c r="P2711" s="783">
        <v>120</v>
      </c>
      <c r="Q2711" s="783">
        <v>1597.41</v>
      </c>
      <c r="R2711" s="783">
        <v>1170.24</v>
      </c>
      <c r="S2711" s="783">
        <v>251.4</v>
      </c>
      <c r="T2711" s="783">
        <v>175.76</v>
      </c>
      <c r="U2711" s="785">
        <v>44631.637754629599</v>
      </c>
    </row>
    <row r="2712" spans="1:21">
      <c r="A2712" s="782">
        <v>44469</v>
      </c>
      <c r="B2712" s="783" t="s">
        <v>30</v>
      </c>
      <c r="C2712" s="783" t="s">
        <v>4089</v>
      </c>
      <c r="D2712" s="783" t="s">
        <v>4021</v>
      </c>
      <c r="E2712" s="783" t="s">
        <v>125</v>
      </c>
      <c r="F2712" s="783" t="s">
        <v>4011</v>
      </c>
      <c r="G2712" s="783" t="str">
        <f t="shared" si="144"/>
        <v>Renewal (15% in 2020)</v>
      </c>
      <c r="H2712" s="783" t="s">
        <v>6323</v>
      </c>
      <c r="I2712" s="783" t="s">
        <v>6324</v>
      </c>
      <c r="J2712" s="783">
        <v>15</v>
      </c>
      <c r="K2712" s="783" t="s">
        <v>866</v>
      </c>
      <c r="L2712" s="783" t="s">
        <v>4014</v>
      </c>
      <c r="M2712" s="784">
        <v>57250.400000000001</v>
      </c>
      <c r="N2712" s="784">
        <v>54.02</v>
      </c>
      <c r="O2712" s="784">
        <v>7.57</v>
      </c>
      <c r="P2712" s="783">
        <v>140</v>
      </c>
      <c r="Q2712" s="783">
        <v>7213.55</v>
      </c>
      <c r="R2712" s="783">
        <v>3486.55</v>
      </c>
      <c r="S2712" s="783">
        <v>578.23</v>
      </c>
      <c r="T2712" s="783">
        <v>3148.77</v>
      </c>
      <c r="U2712" s="785">
        <v>44631.636736111097</v>
      </c>
    </row>
    <row r="2713" spans="1:21">
      <c r="A2713" s="782">
        <v>44468</v>
      </c>
      <c r="B2713" s="783" t="s">
        <v>41</v>
      </c>
      <c r="C2713" s="783" t="s">
        <v>4071</v>
      </c>
      <c r="D2713" s="783" t="s">
        <v>4009</v>
      </c>
      <c r="E2713" s="783" t="s">
        <v>6325</v>
      </c>
      <c r="F2713" s="783" t="s">
        <v>4011</v>
      </c>
      <c r="G2713" s="783" t="str">
        <f t="shared" si="144"/>
        <v>Renewal (25% in 2020)</v>
      </c>
      <c r="H2713" s="783" t="s">
        <v>6326</v>
      </c>
      <c r="I2713" s="783" t="s">
        <v>6327</v>
      </c>
      <c r="J2713" s="783">
        <v>25</v>
      </c>
      <c r="K2713" s="783" t="s">
        <v>866</v>
      </c>
      <c r="L2713" s="783" t="s">
        <v>4014</v>
      </c>
      <c r="M2713" s="784">
        <v>21484.05</v>
      </c>
      <c r="N2713" s="784">
        <v>27.65</v>
      </c>
      <c r="O2713" s="784">
        <v>5.18</v>
      </c>
      <c r="P2713" s="783">
        <v>150</v>
      </c>
      <c r="Q2713" s="783">
        <v>1688.65</v>
      </c>
      <c r="R2713" s="783">
        <v>1332.01</v>
      </c>
      <c r="S2713" s="783">
        <v>212.69</v>
      </c>
      <c r="T2713" s="783">
        <v>143.94</v>
      </c>
      <c r="U2713" s="785">
        <v>44631.636793981503</v>
      </c>
    </row>
    <row r="2714" spans="1:21">
      <c r="A2714" s="782">
        <v>44468</v>
      </c>
      <c r="B2714" s="783" t="s">
        <v>41</v>
      </c>
      <c r="C2714" s="783" t="s">
        <v>4139</v>
      </c>
      <c r="D2714" s="783" t="s">
        <v>4009</v>
      </c>
      <c r="E2714" s="783" t="s">
        <v>6334</v>
      </c>
      <c r="F2714" s="783" t="s">
        <v>4011</v>
      </c>
      <c r="G2714" s="783" t="str">
        <f t="shared" si="144"/>
        <v>Renewal (30% in 2020)</v>
      </c>
      <c r="H2714" s="783" t="s">
        <v>6335</v>
      </c>
      <c r="I2714" s="783" t="s">
        <v>6336</v>
      </c>
      <c r="J2714" s="783">
        <v>30</v>
      </c>
      <c r="K2714" s="783" t="s">
        <v>866</v>
      </c>
      <c r="L2714" s="783" t="s">
        <v>4014</v>
      </c>
      <c r="M2714" s="784">
        <v>3241.12</v>
      </c>
      <c r="N2714" s="784">
        <v>2.88</v>
      </c>
      <c r="O2714" s="784">
        <v>6.99</v>
      </c>
      <c r="P2714" s="783">
        <v>161</v>
      </c>
      <c r="Q2714" s="783">
        <v>166.92</v>
      </c>
      <c r="R2714" s="783">
        <v>150.71</v>
      </c>
      <c r="S2714" s="783">
        <v>0</v>
      </c>
      <c r="T2714" s="783">
        <v>16.21</v>
      </c>
      <c r="U2714" s="785">
        <v>44631.636724536998</v>
      </c>
    </row>
    <row r="2715" spans="1:21">
      <c r="A2715" s="782">
        <v>44519</v>
      </c>
      <c r="B2715" s="783" t="s">
        <v>41</v>
      </c>
      <c r="C2715" s="783" t="s">
        <v>4139</v>
      </c>
      <c r="D2715" s="783" t="s">
        <v>4009</v>
      </c>
      <c r="E2715" s="783" t="s">
        <v>6337</v>
      </c>
      <c r="F2715" s="783" t="s">
        <v>4011</v>
      </c>
      <c r="G2715" s="783" t="str">
        <f t="shared" si="144"/>
        <v>Renewal (20% in 2020)</v>
      </c>
      <c r="H2715" s="783" t="s">
        <v>6338</v>
      </c>
      <c r="I2715" s="783" t="s">
        <v>6339</v>
      </c>
      <c r="J2715" s="783">
        <v>20</v>
      </c>
      <c r="K2715" s="783" t="s">
        <v>866</v>
      </c>
      <c r="L2715" s="783" t="s">
        <v>4014</v>
      </c>
      <c r="M2715" s="784">
        <v>24354</v>
      </c>
      <c r="N2715" s="784">
        <v>22</v>
      </c>
      <c r="O2715" s="784">
        <v>6.15</v>
      </c>
      <c r="P2715" s="783">
        <v>180</v>
      </c>
      <c r="Q2715" s="783">
        <v>1867.95</v>
      </c>
      <c r="R2715" s="783">
        <v>1012.92</v>
      </c>
      <c r="S2715" s="783">
        <v>304.63</v>
      </c>
      <c r="T2715" s="783">
        <v>550.4</v>
      </c>
      <c r="U2715" s="785">
        <v>44631.6378819444</v>
      </c>
    </row>
    <row r="2716" spans="1:21">
      <c r="A2716" s="782">
        <v>44523</v>
      </c>
      <c r="B2716" s="783" t="s">
        <v>113</v>
      </c>
      <c r="C2716" s="783" t="s">
        <v>4606</v>
      </c>
      <c r="D2716" s="783" t="s">
        <v>4009</v>
      </c>
      <c r="E2716" s="783" t="s">
        <v>3814</v>
      </c>
      <c r="F2716" s="783" t="s">
        <v>4011</v>
      </c>
      <c r="G2716" s="783" t="str">
        <f t="shared" si="144"/>
        <v>New Contract</v>
      </c>
      <c r="H2716" s="783" t="s">
        <v>6610</v>
      </c>
      <c r="I2716" s="783" t="s">
        <v>6611</v>
      </c>
      <c r="J2716" s="783">
        <v>20</v>
      </c>
      <c r="K2716" s="783" t="s">
        <v>866</v>
      </c>
      <c r="L2716" s="783" t="s">
        <v>4014</v>
      </c>
      <c r="M2716" s="784">
        <v>8701.8799999999992</v>
      </c>
      <c r="N2716" s="784">
        <v>4.25</v>
      </c>
      <c r="O2716" s="784">
        <v>10.5</v>
      </c>
      <c r="P2716" s="783">
        <v>195</v>
      </c>
      <c r="Q2716" s="783">
        <v>644.80999999999995</v>
      </c>
      <c r="R2716" s="783">
        <v>284.51</v>
      </c>
      <c r="S2716" s="783">
        <v>116.65</v>
      </c>
      <c r="T2716" s="783">
        <v>243.65</v>
      </c>
      <c r="U2716" s="785">
        <v>44631.6379282407</v>
      </c>
    </row>
    <row r="2717" spans="1:21">
      <c r="A2717" s="782">
        <v>44488</v>
      </c>
      <c r="B2717" s="783" t="s">
        <v>41</v>
      </c>
      <c r="C2717" s="783" t="s">
        <v>4082</v>
      </c>
      <c r="D2717" s="783" t="s">
        <v>4009</v>
      </c>
      <c r="E2717" s="783" t="s">
        <v>6346</v>
      </c>
      <c r="F2717" s="783" t="s">
        <v>4011</v>
      </c>
      <c r="G2717" s="783" t="str">
        <f t="shared" si="144"/>
        <v>Renewal (25% in 2020)</v>
      </c>
      <c r="H2717" s="783" t="s">
        <v>6347</v>
      </c>
      <c r="I2717" s="783" t="s">
        <v>6348</v>
      </c>
      <c r="J2717" s="783">
        <v>25</v>
      </c>
      <c r="K2717" s="783" t="s">
        <v>866</v>
      </c>
      <c r="L2717" s="783" t="s">
        <v>4014</v>
      </c>
      <c r="M2717" s="784">
        <v>5852.27</v>
      </c>
      <c r="N2717" s="784">
        <v>9.31</v>
      </c>
      <c r="O2717" s="784">
        <v>4.49</v>
      </c>
      <c r="P2717" s="783">
        <v>140</v>
      </c>
      <c r="Q2717" s="783">
        <v>351.72</v>
      </c>
      <c r="R2717" s="783">
        <v>270.37</v>
      </c>
      <c r="S2717" s="783">
        <v>50.91</v>
      </c>
      <c r="T2717" s="783">
        <v>30.43</v>
      </c>
      <c r="U2717" s="785">
        <v>44631.637870370403</v>
      </c>
    </row>
    <row r="2718" spans="1:21">
      <c r="A2718" s="782">
        <v>44488</v>
      </c>
      <c r="B2718" s="783" t="s">
        <v>41</v>
      </c>
      <c r="C2718" s="783" t="s">
        <v>4139</v>
      </c>
      <c r="D2718" s="783" t="s">
        <v>4009</v>
      </c>
      <c r="E2718" s="783" t="s">
        <v>721</v>
      </c>
      <c r="F2718" s="783" t="s">
        <v>4011</v>
      </c>
      <c r="G2718" s="783" t="str">
        <f t="shared" si="144"/>
        <v>Renewal (20% in 2020)</v>
      </c>
      <c r="H2718" s="783" t="s">
        <v>6349</v>
      </c>
      <c r="I2718" s="783" t="s">
        <v>6350</v>
      </c>
      <c r="J2718" s="783">
        <v>20</v>
      </c>
      <c r="K2718" s="783" t="s">
        <v>866</v>
      </c>
      <c r="L2718" s="783" t="s">
        <v>4014</v>
      </c>
      <c r="M2718" s="784">
        <v>23030</v>
      </c>
      <c r="N2718" s="784">
        <v>16.45</v>
      </c>
      <c r="O2718" s="784">
        <v>8</v>
      </c>
      <c r="P2718" s="783">
        <v>175</v>
      </c>
      <c r="Q2718" s="783">
        <v>1766.4</v>
      </c>
      <c r="R2718" s="783">
        <v>985.22</v>
      </c>
      <c r="S2718" s="783">
        <v>260.7</v>
      </c>
      <c r="T2718" s="783">
        <v>520.48</v>
      </c>
      <c r="U2718" s="785">
        <v>44631.637997685197</v>
      </c>
    </row>
    <row r="2719" spans="1:21">
      <c r="A2719" s="782">
        <v>44501</v>
      </c>
      <c r="B2719" s="783" t="s">
        <v>51</v>
      </c>
      <c r="C2719" s="783" t="s">
        <v>4042</v>
      </c>
      <c r="D2719" s="783" t="s">
        <v>4016</v>
      </c>
      <c r="E2719" s="783" t="s">
        <v>2871</v>
      </c>
      <c r="F2719" s="783" t="s">
        <v>4011</v>
      </c>
      <c r="G2719" s="783" t="str">
        <f t="shared" si="144"/>
        <v>Renewal (15% in 2020)</v>
      </c>
      <c r="H2719" s="783" t="s">
        <v>6351</v>
      </c>
      <c r="I2719" s="783" t="s">
        <v>6352</v>
      </c>
      <c r="J2719" s="783">
        <v>15</v>
      </c>
      <c r="K2719" s="783" t="s">
        <v>866</v>
      </c>
      <c r="L2719" s="783" t="s">
        <v>4014</v>
      </c>
      <c r="M2719" s="784">
        <v>33558.68</v>
      </c>
      <c r="N2719" s="784">
        <v>29.03</v>
      </c>
      <c r="O2719" s="784">
        <v>6.8</v>
      </c>
      <c r="P2719" s="783">
        <v>170</v>
      </c>
      <c r="Q2719" s="783">
        <v>3631.05</v>
      </c>
      <c r="R2719" s="783">
        <v>1805.22</v>
      </c>
      <c r="S2719" s="783">
        <v>416.36</v>
      </c>
      <c r="T2719" s="783">
        <v>1409.46</v>
      </c>
      <c r="U2719" s="785">
        <v>44631.638090277796</v>
      </c>
    </row>
    <row r="2720" spans="1:21">
      <c r="A2720" s="782">
        <v>44494</v>
      </c>
      <c r="B2720" s="783" t="s">
        <v>4025</v>
      </c>
      <c r="C2720" s="783" t="s">
        <v>4026</v>
      </c>
      <c r="D2720" s="783" t="s">
        <v>4021</v>
      </c>
      <c r="E2720" s="783" t="s">
        <v>4228</v>
      </c>
      <c r="F2720" s="783" t="s">
        <v>4011</v>
      </c>
      <c r="G2720" s="783" t="str">
        <f t="shared" si="144"/>
        <v>New Contract</v>
      </c>
      <c r="H2720" s="783" t="s">
        <v>4229</v>
      </c>
      <c r="I2720" s="783" t="s">
        <v>4230</v>
      </c>
      <c r="J2720" s="783">
        <v>20</v>
      </c>
      <c r="K2720" s="783" t="s">
        <v>866</v>
      </c>
      <c r="L2720" s="783" t="s">
        <v>4014</v>
      </c>
      <c r="M2720" s="784">
        <v>9981.74</v>
      </c>
      <c r="N2720" s="784">
        <v>7.23</v>
      </c>
      <c r="O2720" s="784">
        <v>7.67</v>
      </c>
      <c r="P2720" s="783">
        <v>180</v>
      </c>
      <c r="Q2720" s="783">
        <v>820.5</v>
      </c>
      <c r="R2720" s="783">
        <v>422.3</v>
      </c>
      <c r="S2720" s="783">
        <v>125.7</v>
      </c>
      <c r="T2720" s="783">
        <v>272.5</v>
      </c>
      <c r="U2720" s="785">
        <v>44631.638229166703</v>
      </c>
    </row>
    <row r="2721" spans="1:21">
      <c r="A2721" s="782">
        <v>44497</v>
      </c>
      <c r="B2721" s="783" t="s">
        <v>113</v>
      </c>
      <c r="C2721" s="783" t="s">
        <v>4606</v>
      </c>
      <c r="D2721" s="783" t="s">
        <v>4009</v>
      </c>
      <c r="E2721" s="783" t="s">
        <v>3329</v>
      </c>
      <c r="F2721" s="783" t="s">
        <v>4011</v>
      </c>
      <c r="G2721" s="783" t="str">
        <f t="shared" si="144"/>
        <v>Renewal (20% in 2020)</v>
      </c>
      <c r="H2721" s="783" t="s">
        <v>6789</v>
      </c>
      <c r="I2721" s="783" t="s">
        <v>6790</v>
      </c>
      <c r="J2721" s="783">
        <v>20</v>
      </c>
      <c r="K2721" s="783" t="s">
        <v>866</v>
      </c>
      <c r="L2721" s="783" t="s">
        <v>4014</v>
      </c>
      <c r="M2721" s="784">
        <v>13981.84</v>
      </c>
      <c r="N2721" s="784">
        <v>7.87</v>
      </c>
      <c r="O2721" s="784">
        <v>9.8699999999999992</v>
      </c>
      <c r="P2721" s="783">
        <v>180</v>
      </c>
      <c r="Q2721" s="783">
        <v>1036.05</v>
      </c>
      <c r="R2721" s="783">
        <v>495.24</v>
      </c>
      <c r="S2721" s="783">
        <v>149.33000000000001</v>
      </c>
      <c r="T2721" s="783">
        <v>391.49</v>
      </c>
      <c r="U2721" s="785">
        <v>44631.637812499997</v>
      </c>
    </row>
    <row r="2722" spans="1:21">
      <c r="A2722" s="782">
        <v>44525</v>
      </c>
      <c r="B2722" s="783" t="s">
        <v>74</v>
      </c>
      <c r="C2722" s="783" t="s">
        <v>4097</v>
      </c>
      <c r="D2722" s="783" t="s">
        <v>4038</v>
      </c>
      <c r="E2722" s="783" t="s">
        <v>6365</v>
      </c>
      <c r="F2722" s="783" t="s">
        <v>4011</v>
      </c>
      <c r="G2722" s="783" t="str">
        <f t="shared" si="144"/>
        <v>Renewal (15% in 2020)</v>
      </c>
      <c r="H2722" s="783" t="s">
        <v>6366</v>
      </c>
      <c r="I2722" s="783" t="s">
        <v>6367</v>
      </c>
      <c r="J2722" s="783">
        <v>20</v>
      </c>
      <c r="K2722" s="783" t="s">
        <v>866</v>
      </c>
      <c r="L2722" s="783" t="s">
        <v>4014</v>
      </c>
      <c r="M2722" s="784">
        <v>23840</v>
      </c>
      <c r="N2722" s="784">
        <v>20</v>
      </c>
      <c r="O2722" s="784">
        <v>5.96</v>
      </c>
      <c r="P2722" s="783">
        <v>200</v>
      </c>
      <c r="Q2722" s="783">
        <v>1931.04</v>
      </c>
      <c r="R2722" s="783">
        <v>877.04</v>
      </c>
      <c r="S2722" s="783">
        <v>391.25</v>
      </c>
      <c r="T2722" s="783">
        <v>662.75</v>
      </c>
      <c r="U2722" s="785">
        <v>44631.638020833299</v>
      </c>
    </row>
    <row r="2723" spans="1:21">
      <c r="A2723" s="782">
        <v>44579</v>
      </c>
      <c r="B2723" s="783" t="s">
        <v>715</v>
      </c>
      <c r="C2723" s="783" t="s">
        <v>4042</v>
      </c>
      <c r="D2723" s="783" t="s">
        <v>4016</v>
      </c>
      <c r="E2723" s="783" t="s">
        <v>714</v>
      </c>
      <c r="F2723" s="783" t="s">
        <v>4011</v>
      </c>
      <c r="G2723" s="783" t="str">
        <f t="shared" si="144"/>
        <v>Renewal (15% in 2020)</v>
      </c>
      <c r="H2723" s="783" t="s">
        <v>6378</v>
      </c>
      <c r="I2723" s="783" t="s">
        <v>6379</v>
      </c>
      <c r="J2723" s="783">
        <v>15</v>
      </c>
      <c r="K2723" s="783" t="s">
        <v>866</v>
      </c>
      <c r="L2723" s="783" t="s">
        <v>4014</v>
      </c>
      <c r="M2723" s="784">
        <v>48763</v>
      </c>
      <c r="N2723" s="784">
        <v>55</v>
      </c>
      <c r="O2723" s="784">
        <v>6.82</v>
      </c>
      <c r="P2723" s="783">
        <v>130</v>
      </c>
      <c r="Q2723" s="783">
        <v>5276.16</v>
      </c>
      <c r="R2723" s="783">
        <v>2769.74</v>
      </c>
      <c r="S2723" s="783">
        <v>458.37</v>
      </c>
      <c r="T2723" s="783">
        <v>2048.0500000000002</v>
      </c>
      <c r="U2723" s="785">
        <v>44631.638425925899</v>
      </c>
    </row>
    <row r="2724" spans="1:21">
      <c r="A2724" s="782">
        <v>44578</v>
      </c>
      <c r="B2724" s="783" t="s">
        <v>41</v>
      </c>
      <c r="C2724" s="783" t="s">
        <v>4139</v>
      </c>
      <c r="D2724" s="783" t="s">
        <v>4009</v>
      </c>
      <c r="E2724" s="783" t="s">
        <v>6383</v>
      </c>
      <c r="F2724" s="783" t="s">
        <v>4011</v>
      </c>
      <c r="G2724" s="783" t="str">
        <f t="shared" si="144"/>
        <v>Renewal (30% in 2020)</v>
      </c>
      <c r="H2724" s="783" t="s">
        <v>6384</v>
      </c>
      <c r="I2724" s="783" t="s">
        <v>6385</v>
      </c>
      <c r="J2724" s="783">
        <v>30</v>
      </c>
      <c r="K2724" s="783" t="s">
        <v>866</v>
      </c>
      <c r="L2724" s="783" t="s">
        <v>4014</v>
      </c>
      <c r="M2724" s="784">
        <v>9456.76</v>
      </c>
      <c r="N2724" s="784">
        <v>11.79</v>
      </c>
      <c r="O2724" s="784">
        <v>6.17</v>
      </c>
      <c r="P2724" s="783">
        <v>130</v>
      </c>
      <c r="Q2724" s="783">
        <v>487.02</v>
      </c>
      <c r="R2724" s="783">
        <v>439.74</v>
      </c>
      <c r="S2724" s="783">
        <v>0</v>
      </c>
      <c r="T2724" s="783">
        <v>47.28</v>
      </c>
      <c r="U2724" s="785">
        <v>44631.638414351903</v>
      </c>
    </row>
    <row r="2725" spans="1:21">
      <c r="A2725" s="782">
        <v>44622</v>
      </c>
      <c r="B2725" s="783" t="s">
        <v>41</v>
      </c>
      <c r="C2725" s="783" t="s">
        <v>4071</v>
      </c>
      <c r="D2725" s="783" t="s">
        <v>4009</v>
      </c>
      <c r="E2725" s="783" t="s">
        <v>6398</v>
      </c>
      <c r="F2725" s="783" t="s">
        <v>4011</v>
      </c>
      <c r="G2725" s="783" t="str">
        <f t="shared" si="144"/>
        <v>New Contract</v>
      </c>
      <c r="H2725" s="783" t="s">
        <v>6399</v>
      </c>
      <c r="I2725" s="783" t="s">
        <v>6400</v>
      </c>
      <c r="J2725" s="783">
        <v>30</v>
      </c>
      <c r="K2725" s="783" t="s">
        <v>866</v>
      </c>
      <c r="L2725" s="783" t="s">
        <v>4014</v>
      </c>
      <c r="M2725" s="784">
        <v>14716</v>
      </c>
      <c r="N2725" s="784">
        <v>16.41</v>
      </c>
      <c r="O2725" s="784">
        <v>5.57</v>
      </c>
      <c r="P2725" s="783">
        <v>161</v>
      </c>
      <c r="Q2725" s="783">
        <v>1010.99</v>
      </c>
      <c r="R2725" s="783">
        <v>912.39</v>
      </c>
      <c r="S2725" s="783">
        <v>0</v>
      </c>
      <c r="T2725" s="783">
        <v>98.6</v>
      </c>
      <c r="U2725" s="785">
        <v>44631.638067129599</v>
      </c>
    </row>
    <row r="2726" spans="1:21">
      <c r="A2726" s="782">
        <v>44621</v>
      </c>
      <c r="B2726" s="783" t="s">
        <v>113</v>
      </c>
      <c r="C2726" s="783" t="s">
        <v>4598</v>
      </c>
      <c r="D2726" s="783" t="s">
        <v>4009</v>
      </c>
      <c r="E2726" s="783" t="s">
        <v>7048</v>
      </c>
      <c r="F2726" s="783" t="s">
        <v>4011</v>
      </c>
      <c r="G2726" s="783" t="s">
        <v>4028</v>
      </c>
      <c r="H2726" s="783" t="s">
        <v>7049</v>
      </c>
      <c r="I2726" s="783" t="s">
        <v>7050</v>
      </c>
      <c r="J2726" s="783">
        <v>20</v>
      </c>
      <c r="K2726" s="783" t="s">
        <v>866</v>
      </c>
      <c r="L2726" s="783" t="s">
        <v>4014</v>
      </c>
      <c r="M2726" s="784">
        <v>161986</v>
      </c>
      <c r="N2726" s="784">
        <v>73.63</v>
      </c>
      <c r="O2726" s="784">
        <v>11</v>
      </c>
      <c r="P2726" s="783">
        <v>200</v>
      </c>
      <c r="Q2726" s="783">
        <v>11857.38</v>
      </c>
      <c r="R2726" s="783">
        <v>4850.83</v>
      </c>
      <c r="S2726" s="783">
        <v>2697.71</v>
      </c>
      <c r="T2726" s="783">
        <v>4308.83</v>
      </c>
      <c r="U2726" s="785">
        <v>44631.638483796298</v>
      </c>
    </row>
    <row r="2727" spans="1:21">
      <c r="A2727" s="782">
        <v>44678</v>
      </c>
      <c r="B2727" s="783" t="s">
        <v>41</v>
      </c>
      <c r="C2727" s="783" t="s">
        <v>4082</v>
      </c>
      <c r="D2727" s="783" t="s">
        <v>4009</v>
      </c>
      <c r="E2727" s="783" t="s">
        <v>6403</v>
      </c>
      <c r="F2727" s="783" t="s">
        <v>4011</v>
      </c>
      <c r="G2727" s="783" t="str">
        <f>VLOOKUP(I2727,pacage,2,FALSE)</f>
        <v>Renewal (25% in 2020)</v>
      </c>
      <c r="H2727" s="783" t="s">
        <v>6404</v>
      </c>
      <c r="I2727" s="783" t="s">
        <v>6405</v>
      </c>
      <c r="J2727" s="783">
        <v>25</v>
      </c>
      <c r="K2727" s="783" t="s">
        <v>866</v>
      </c>
      <c r="L2727" s="783" t="s">
        <v>4014</v>
      </c>
      <c r="M2727" s="784">
        <v>1917.37</v>
      </c>
      <c r="N2727" s="784">
        <v>2.15</v>
      </c>
      <c r="O2727" s="784">
        <v>6.37</v>
      </c>
      <c r="P2727" s="783">
        <v>140</v>
      </c>
      <c r="Q2727" s="783">
        <v>115.23</v>
      </c>
      <c r="R2727" s="783">
        <v>88.58</v>
      </c>
      <c r="S2727" s="783">
        <v>16.68</v>
      </c>
      <c r="T2727" s="783">
        <v>9.9700000000000006</v>
      </c>
      <c r="U2727" s="785">
        <v>44680.645138888904</v>
      </c>
    </row>
    <row r="2728" spans="1:21">
      <c r="A2728" s="782">
        <v>44519</v>
      </c>
      <c r="B2728" s="783" t="s">
        <v>41</v>
      </c>
      <c r="C2728" s="783" t="s">
        <v>4082</v>
      </c>
      <c r="D2728" s="783" t="s">
        <v>4009</v>
      </c>
      <c r="E2728" s="783" t="s">
        <v>6409</v>
      </c>
      <c r="F2728" s="783" t="s">
        <v>4011</v>
      </c>
      <c r="G2728" s="783" t="str">
        <f>VLOOKUP(I2728,pacage,2,FALSE)</f>
        <v>Renewal (15% in 2020)</v>
      </c>
      <c r="H2728" s="783" t="s">
        <v>6410</v>
      </c>
      <c r="I2728" s="783" t="s">
        <v>6411</v>
      </c>
      <c r="J2728" s="783">
        <v>15</v>
      </c>
      <c r="K2728" s="783" t="s">
        <v>866</v>
      </c>
      <c r="L2728" s="783" t="s">
        <v>4014</v>
      </c>
      <c r="M2728" s="784">
        <v>13256.1</v>
      </c>
      <c r="N2728" s="784">
        <v>12.36</v>
      </c>
      <c r="O2728" s="784">
        <v>7.15</v>
      </c>
      <c r="P2728" s="783">
        <v>150</v>
      </c>
      <c r="Q2728" s="783">
        <v>1393.22</v>
      </c>
      <c r="R2728" s="783">
        <v>612.42999999999995</v>
      </c>
      <c r="S2728" s="783">
        <v>115.33</v>
      </c>
      <c r="T2728" s="783">
        <v>665.46</v>
      </c>
      <c r="U2728" s="785">
        <v>44631.6379282407</v>
      </c>
    </row>
    <row r="2729" spans="1:21">
      <c r="A2729" s="782">
        <v>44559</v>
      </c>
      <c r="B2729" s="783" t="s">
        <v>41</v>
      </c>
      <c r="C2729" s="783" t="s">
        <v>4139</v>
      </c>
      <c r="D2729" s="783" t="s">
        <v>4009</v>
      </c>
      <c r="E2729" s="783" t="s">
        <v>6412</v>
      </c>
      <c r="F2729" s="783" t="s">
        <v>4011</v>
      </c>
      <c r="G2729" s="783" t="str">
        <f>VLOOKUP(I2729,pacage,2,FALSE)</f>
        <v>Renewal (20% in 2020)</v>
      </c>
      <c r="H2729" s="783" t="s">
        <v>6413</v>
      </c>
      <c r="I2729" s="783" t="s">
        <v>6414</v>
      </c>
      <c r="J2729" s="783">
        <v>20</v>
      </c>
      <c r="K2729" s="783" t="s">
        <v>866</v>
      </c>
      <c r="L2729" s="783" t="s">
        <v>4014</v>
      </c>
      <c r="M2729" s="784">
        <v>10607.4</v>
      </c>
      <c r="N2729" s="784">
        <v>7.1</v>
      </c>
      <c r="O2729" s="784">
        <v>7.47</v>
      </c>
      <c r="P2729" s="783">
        <v>200</v>
      </c>
      <c r="Q2729" s="783">
        <v>813.59</v>
      </c>
      <c r="R2729" s="783">
        <v>397.06</v>
      </c>
      <c r="S2729" s="783">
        <v>176.8</v>
      </c>
      <c r="T2729" s="783">
        <v>239.73</v>
      </c>
      <c r="U2729" s="785">
        <v>44631.638425925899</v>
      </c>
    </row>
    <row r="2730" spans="1:21">
      <c r="A2730" s="782">
        <v>44692</v>
      </c>
      <c r="B2730" s="783" t="s">
        <v>47</v>
      </c>
      <c r="C2730" s="783" t="s">
        <v>4101</v>
      </c>
      <c r="D2730" s="783" t="s">
        <v>4102</v>
      </c>
      <c r="E2730" s="783" t="s">
        <v>4103</v>
      </c>
      <c r="F2730" s="783" t="s">
        <v>4011</v>
      </c>
      <c r="G2730" s="783" t="str">
        <f>VLOOKUP(I2730,pacage,2,FALSE)</f>
        <v>Renewal (15% in 2020)</v>
      </c>
      <c r="H2730" s="783" t="s">
        <v>4104</v>
      </c>
      <c r="I2730" s="783" t="s">
        <v>4105</v>
      </c>
      <c r="J2730" s="783">
        <v>20</v>
      </c>
      <c r="K2730" s="783" t="s">
        <v>1015</v>
      </c>
      <c r="L2730" s="783" t="s">
        <v>4014</v>
      </c>
      <c r="M2730" s="784">
        <v>28489.62</v>
      </c>
      <c r="N2730" s="784">
        <v>18.02</v>
      </c>
      <c r="O2730" s="784">
        <v>5.27</v>
      </c>
      <c r="P2730" s="783">
        <v>300</v>
      </c>
      <c r="Q2730" s="783">
        <v>1629.61</v>
      </c>
      <c r="R2730" s="783">
        <v>1056.96</v>
      </c>
      <c r="S2730" s="783">
        <v>156.69</v>
      </c>
      <c r="T2730" s="783">
        <v>415.95</v>
      </c>
      <c r="U2730" s="785">
        <v>44692.516574074099</v>
      </c>
    </row>
    <row r="2731" spans="1:21">
      <c r="A2731" s="782">
        <v>44600</v>
      </c>
      <c r="B2731" s="783" t="s">
        <v>4025</v>
      </c>
      <c r="C2731" s="783" t="s">
        <v>4026</v>
      </c>
      <c r="D2731" s="783" t="s">
        <v>4021</v>
      </c>
      <c r="E2731" s="783" t="s">
        <v>4078</v>
      </c>
      <c r="F2731" s="783" t="s">
        <v>4011</v>
      </c>
      <c r="G2731" s="783" t="s">
        <v>4028</v>
      </c>
      <c r="H2731" s="783" t="s">
        <v>4079</v>
      </c>
      <c r="I2731" s="783" t="s">
        <v>4080</v>
      </c>
      <c r="J2731" s="783">
        <v>25</v>
      </c>
      <c r="K2731" s="783" t="s">
        <v>1015</v>
      </c>
      <c r="L2731" s="783" t="s">
        <v>4014</v>
      </c>
      <c r="M2731" s="784">
        <v>14497.76</v>
      </c>
      <c r="N2731" s="784">
        <v>7.6</v>
      </c>
      <c r="O2731" s="784">
        <v>5.0199999999999996</v>
      </c>
      <c r="P2731" s="783">
        <v>380</v>
      </c>
      <c r="Q2731" s="783">
        <v>1022.09</v>
      </c>
      <c r="R2731" s="783">
        <v>614.86</v>
      </c>
      <c r="S2731" s="783">
        <v>244.86</v>
      </c>
      <c r="T2731" s="783">
        <v>162.37</v>
      </c>
      <c r="U2731" s="785">
        <v>44631.629027777803</v>
      </c>
    </row>
    <row r="2732" spans="1:21">
      <c r="A2732" s="782">
        <v>44698</v>
      </c>
      <c r="B2732" s="783" t="s">
        <v>347</v>
      </c>
      <c r="C2732" s="783" t="s">
        <v>4139</v>
      </c>
      <c r="D2732" s="783" t="s">
        <v>4009</v>
      </c>
      <c r="E2732" s="783" t="s">
        <v>6437</v>
      </c>
      <c r="F2732" s="783" t="s">
        <v>4011</v>
      </c>
      <c r="G2732" s="783" t="s">
        <v>4028</v>
      </c>
      <c r="H2732" s="783" t="s">
        <v>6438</v>
      </c>
      <c r="I2732" s="783" t="s">
        <v>6439</v>
      </c>
      <c r="J2732" s="783">
        <v>15</v>
      </c>
      <c r="K2732" s="783" t="s">
        <v>1015</v>
      </c>
      <c r="L2732" s="783" t="s">
        <v>4014</v>
      </c>
      <c r="M2732" s="784">
        <v>7180</v>
      </c>
      <c r="N2732" s="784">
        <v>7.18</v>
      </c>
      <c r="O2732" s="784">
        <v>4</v>
      </c>
      <c r="P2732" s="783">
        <v>250</v>
      </c>
      <c r="Q2732" s="783">
        <v>814.21</v>
      </c>
      <c r="R2732" s="783">
        <v>360.44</v>
      </c>
      <c r="S2732" s="783">
        <v>54.57</v>
      </c>
      <c r="T2732" s="783">
        <v>399.21</v>
      </c>
      <c r="U2732" s="785">
        <v>44699.593020833301</v>
      </c>
    </row>
    <row r="2733" spans="1:21">
      <c r="A2733" s="782">
        <v>44700</v>
      </c>
      <c r="B2733" s="783" t="s">
        <v>34</v>
      </c>
      <c r="C2733" s="783" t="s">
        <v>4139</v>
      </c>
      <c r="D2733" s="783" t="s">
        <v>4009</v>
      </c>
      <c r="E2733" s="783" t="s">
        <v>6449</v>
      </c>
      <c r="F2733" s="783" t="s">
        <v>4011</v>
      </c>
      <c r="G2733" s="783" t="str">
        <f t="shared" ref="G2733:G2740" si="145">VLOOKUP(I2733,pacage,2,FALSE)</f>
        <v>Renewal (20% in 2020)</v>
      </c>
      <c r="H2733" s="783" t="s">
        <v>6450</v>
      </c>
      <c r="I2733" s="783" t="s">
        <v>6451</v>
      </c>
      <c r="J2733" s="783">
        <v>20</v>
      </c>
      <c r="K2733" s="783" t="s">
        <v>1015</v>
      </c>
      <c r="L2733" s="783" t="s">
        <v>4014</v>
      </c>
      <c r="M2733" s="784">
        <v>8959.65</v>
      </c>
      <c r="N2733" s="784">
        <v>8.0500000000000007</v>
      </c>
      <c r="O2733" s="784">
        <v>3.71</v>
      </c>
      <c r="P2733" s="783">
        <v>300</v>
      </c>
      <c r="Q2733" s="783">
        <v>756.19</v>
      </c>
      <c r="R2733" s="783">
        <v>449.77</v>
      </c>
      <c r="S2733" s="783">
        <v>68.09</v>
      </c>
      <c r="T2733" s="783">
        <v>238.33</v>
      </c>
      <c r="U2733" s="785">
        <v>44700.619363425903</v>
      </c>
    </row>
    <row r="2734" spans="1:21">
      <c r="A2734" s="782">
        <v>44711</v>
      </c>
      <c r="B2734" s="783" t="s">
        <v>347</v>
      </c>
      <c r="C2734" s="783" t="s">
        <v>4139</v>
      </c>
      <c r="D2734" s="783" t="s">
        <v>4009</v>
      </c>
      <c r="E2734" s="783" t="s">
        <v>355</v>
      </c>
      <c r="F2734" s="783" t="s">
        <v>4011</v>
      </c>
      <c r="G2734" s="783" t="str">
        <f t="shared" si="145"/>
        <v>Renewal (15% in 2020)</v>
      </c>
      <c r="H2734" s="783" t="s">
        <v>6455</v>
      </c>
      <c r="I2734" s="783" t="s">
        <v>6456</v>
      </c>
      <c r="J2734" s="783">
        <v>15</v>
      </c>
      <c r="K2734" s="783" t="s">
        <v>1015</v>
      </c>
      <c r="L2734" s="783" t="s">
        <v>4014</v>
      </c>
      <c r="M2734" s="784">
        <v>3267.76</v>
      </c>
      <c r="N2734" s="784">
        <v>3.16</v>
      </c>
      <c r="O2734" s="784">
        <v>3.83</v>
      </c>
      <c r="P2734" s="783">
        <v>270</v>
      </c>
      <c r="Q2734" s="783">
        <v>370.56</v>
      </c>
      <c r="R2734" s="783">
        <v>164.04</v>
      </c>
      <c r="S2734" s="783">
        <v>24.83</v>
      </c>
      <c r="T2734" s="783">
        <v>181.69</v>
      </c>
      <c r="U2734" s="785">
        <v>44713.611053240696</v>
      </c>
    </row>
    <row r="2735" spans="1:21">
      <c r="A2735" s="782">
        <v>44681</v>
      </c>
      <c r="B2735" s="783" t="s">
        <v>34</v>
      </c>
      <c r="C2735" s="783" t="s">
        <v>4082</v>
      </c>
      <c r="D2735" s="783" t="s">
        <v>4009</v>
      </c>
      <c r="E2735" s="783" t="s">
        <v>4629</v>
      </c>
      <c r="F2735" s="783" t="s">
        <v>4011</v>
      </c>
      <c r="G2735" s="783" t="str">
        <f t="shared" si="145"/>
        <v>Renewal (20% in 2020)</v>
      </c>
      <c r="H2735" s="783" t="s">
        <v>4630</v>
      </c>
      <c r="I2735" s="783" t="s">
        <v>4631</v>
      </c>
      <c r="J2735" s="783">
        <v>20</v>
      </c>
      <c r="K2735" s="783" t="s">
        <v>1015</v>
      </c>
      <c r="L2735" s="783" t="s">
        <v>4014</v>
      </c>
      <c r="M2735" s="784">
        <v>9426.9</v>
      </c>
      <c r="N2735" s="784">
        <v>9.3800000000000008</v>
      </c>
      <c r="O2735" s="784">
        <v>4.0199999999999996</v>
      </c>
      <c r="P2735" s="783">
        <v>250</v>
      </c>
      <c r="Q2735" s="783">
        <v>811.66</v>
      </c>
      <c r="R2735" s="783">
        <v>471.35</v>
      </c>
      <c r="S2735" s="783">
        <v>83.9</v>
      </c>
      <c r="T2735" s="783">
        <v>256.41000000000003</v>
      </c>
      <c r="U2735" s="785">
        <v>44683.4168055556</v>
      </c>
    </row>
    <row r="2736" spans="1:21">
      <c r="A2736" s="782">
        <v>44699</v>
      </c>
      <c r="B2736" s="783" t="s">
        <v>34</v>
      </c>
      <c r="C2736" s="783" t="s">
        <v>4139</v>
      </c>
      <c r="D2736" s="783" t="s">
        <v>4009</v>
      </c>
      <c r="E2736" s="783" t="s">
        <v>6486</v>
      </c>
      <c r="F2736" s="783" t="s">
        <v>4011</v>
      </c>
      <c r="G2736" s="783" t="str">
        <f t="shared" si="145"/>
        <v>Renewal (20% in 2020)</v>
      </c>
      <c r="H2736" s="783" t="s">
        <v>6487</v>
      </c>
      <c r="I2736" s="783" t="s">
        <v>6488</v>
      </c>
      <c r="J2736" s="783">
        <v>20</v>
      </c>
      <c r="K2736" s="783" t="s">
        <v>1015</v>
      </c>
      <c r="L2736" s="783" t="s">
        <v>4014</v>
      </c>
      <c r="M2736" s="784">
        <v>19455.240000000002</v>
      </c>
      <c r="N2736" s="784">
        <v>17.48</v>
      </c>
      <c r="O2736" s="784">
        <v>3.71</v>
      </c>
      <c r="P2736" s="783">
        <v>300</v>
      </c>
      <c r="Q2736" s="783">
        <v>1642.02</v>
      </c>
      <c r="R2736" s="783">
        <v>976.65</v>
      </c>
      <c r="S2736" s="783">
        <v>147.86000000000001</v>
      </c>
      <c r="T2736" s="783">
        <v>517.51</v>
      </c>
      <c r="U2736" s="785">
        <v>44700.617939814802</v>
      </c>
    </row>
    <row r="2737" spans="1:21">
      <c r="A2737" s="782">
        <v>44698</v>
      </c>
      <c r="B2737" s="783" t="s">
        <v>41</v>
      </c>
      <c r="C2737" s="783" t="s">
        <v>4071</v>
      </c>
      <c r="D2737" s="783" t="s">
        <v>4009</v>
      </c>
      <c r="E2737" s="783" t="s">
        <v>6495</v>
      </c>
      <c r="F2737" s="783" t="s">
        <v>4011</v>
      </c>
      <c r="G2737" s="783" t="str">
        <f t="shared" si="145"/>
        <v>Renewal (20% in 2020)</v>
      </c>
      <c r="H2737" s="783" t="s">
        <v>6496</v>
      </c>
      <c r="I2737" s="783" t="s">
        <v>6497</v>
      </c>
      <c r="J2737" s="783">
        <v>20</v>
      </c>
      <c r="K2737" s="783" t="s">
        <v>1015</v>
      </c>
      <c r="L2737" s="783" t="s">
        <v>4014</v>
      </c>
      <c r="M2737" s="784">
        <v>8036</v>
      </c>
      <c r="N2737" s="784">
        <v>7</v>
      </c>
      <c r="O2737" s="784">
        <v>2.87</v>
      </c>
      <c r="P2737" s="783">
        <v>400</v>
      </c>
      <c r="Q2737" s="783">
        <v>903.25</v>
      </c>
      <c r="R2737" s="783">
        <v>424.71</v>
      </c>
      <c r="S2737" s="783">
        <v>192.45</v>
      </c>
      <c r="T2737" s="783">
        <v>286.08</v>
      </c>
      <c r="U2737" s="785">
        <v>44699.4859027778</v>
      </c>
    </row>
    <row r="2738" spans="1:21">
      <c r="A2738" s="782">
        <v>44704</v>
      </c>
      <c r="B2738" s="783" t="s">
        <v>41</v>
      </c>
      <c r="C2738" s="783" t="s">
        <v>4071</v>
      </c>
      <c r="D2738" s="783" t="s">
        <v>4009</v>
      </c>
      <c r="E2738" s="783" t="s">
        <v>5853</v>
      </c>
      <c r="F2738" s="783" t="s">
        <v>4011</v>
      </c>
      <c r="G2738" s="783" t="str">
        <f t="shared" si="145"/>
        <v>Renewal (20% in 2020)</v>
      </c>
      <c r="H2738" s="783" t="s">
        <v>5854</v>
      </c>
      <c r="I2738" s="783" t="s">
        <v>5855</v>
      </c>
      <c r="J2738" s="783">
        <v>25</v>
      </c>
      <c r="K2738" s="783" t="s">
        <v>1015</v>
      </c>
      <c r="L2738" s="783" t="s">
        <v>4014</v>
      </c>
      <c r="M2738" s="784">
        <v>5272</v>
      </c>
      <c r="N2738" s="784">
        <v>6.59</v>
      </c>
      <c r="O2738" s="784">
        <v>3.2</v>
      </c>
      <c r="P2738" s="783">
        <v>250</v>
      </c>
      <c r="Q2738" s="783">
        <v>456.03</v>
      </c>
      <c r="R2738" s="783">
        <v>352.7</v>
      </c>
      <c r="S2738" s="783">
        <v>52.19</v>
      </c>
      <c r="T2738" s="783">
        <v>51.14</v>
      </c>
      <c r="U2738" s="785">
        <v>44704.577442129601</v>
      </c>
    </row>
    <row r="2739" spans="1:21">
      <c r="A2739" s="782">
        <v>44704</v>
      </c>
      <c r="B2739" s="783" t="s">
        <v>41</v>
      </c>
      <c r="C2739" s="783" t="s">
        <v>4092</v>
      </c>
      <c r="D2739" s="783" t="s">
        <v>4009</v>
      </c>
      <c r="E2739" s="783" t="s">
        <v>4778</v>
      </c>
      <c r="F2739" s="783" t="s">
        <v>4011</v>
      </c>
      <c r="G2739" s="783" t="str">
        <f t="shared" si="145"/>
        <v>Renewal (25% in 2020)</v>
      </c>
      <c r="H2739" s="783" t="s">
        <v>4779</v>
      </c>
      <c r="I2739" s="783" t="s">
        <v>4780</v>
      </c>
      <c r="J2739" s="783">
        <v>25</v>
      </c>
      <c r="K2739" s="783" t="s">
        <v>1015</v>
      </c>
      <c r="L2739" s="783" t="s">
        <v>4014</v>
      </c>
      <c r="M2739" s="784">
        <v>5089.8100000000004</v>
      </c>
      <c r="N2739" s="784">
        <v>4.13</v>
      </c>
      <c r="O2739" s="784">
        <v>3.9</v>
      </c>
      <c r="P2739" s="783">
        <v>316</v>
      </c>
      <c r="Q2739" s="783">
        <v>387.84</v>
      </c>
      <c r="R2739" s="783">
        <v>292.66000000000003</v>
      </c>
      <c r="S2739" s="783">
        <v>51.92</v>
      </c>
      <c r="T2739" s="783">
        <v>43.26</v>
      </c>
      <c r="U2739" s="785">
        <v>44704.574444444399</v>
      </c>
    </row>
    <row r="2740" spans="1:21">
      <c r="A2740" s="782">
        <v>44630</v>
      </c>
      <c r="B2740" s="783" t="s">
        <v>41</v>
      </c>
      <c r="C2740" s="783" t="s">
        <v>4071</v>
      </c>
      <c r="D2740" s="783" t="s">
        <v>4009</v>
      </c>
      <c r="E2740" s="783" t="s">
        <v>6510</v>
      </c>
      <c r="F2740" s="783" t="s">
        <v>4011</v>
      </c>
      <c r="G2740" s="783" t="str">
        <f t="shared" si="145"/>
        <v>Renewal (30% in 2020)</v>
      </c>
      <c r="H2740" s="783" t="s">
        <v>6511</v>
      </c>
      <c r="I2740" s="783" t="s">
        <v>6512</v>
      </c>
      <c r="J2740" s="783">
        <v>25</v>
      </c>
      <c r="K2740" s="783" t="s">
        <v>1015</v>
      </c>
      <c r="L2740" s="783" t="s">
        <v>4014</v>
      </c>
      <c r="M2740" s="784">
        <v>3769.92</v>
      </c>
      <c r="N2740" s="784">
        <v>3.36</v>
      </c>
      <c r="O2740" s="784">
        <v>3.74</v>
      </c>
      <c r="P2740" s="783">
        <v>300</v>
      </c>
      <c r="Q2740" s="783">
        <v>326.10000000000002</v>
      </c>
      <c r="R2740" s="783">
        <v>252.21</v>
      </c>
      <c r="S2740" s="783">
        <v>37.32</v>
      </c>
      <c r="T2740" s="783">
        <v>36.57</v>
      </c>
      <c r="U2740" s="785">
        <v>44631.631307870397</v>
      </c>
    </row>
    <row r="2741" spans="1:21">
      <c r="A2741" s="782">
        <v>44557</v>
      </c>
      <c r="B2741" s="783" t="s">
        <v>30</v>
      </c>
      <c r="C2741" s="783" t="s">
        <v>4089</v>
      </c>
      <c r="D2741" s="783" t="s">
        <v>4021</v>
      </c>
      <c r="E2741" s="783" t="s">
        <v>3187</v>
      </c>
      <c r="F2741" s="783" t="s">
        <v>4011</v>
      </c>
      <c r="G2741" s="783" t="s">
        <v>4028</v>
      </c>
      <c r="H2741" s="783" t="s">
        <v>4090</v>
      </c>
      <c r="I2741" s="783" t="s">
        <v>4091</v>
      </c>
      <c r="J2741" s="783">
        <v>20</v>
      </c>
      <c r="K2741" s="783" t="s">
        <v>1015</v>
      </c>
      <c r="L2741" s="783" t="s">
        <v>4014</v>
      </c>
      <c r="M2741" s="784">
        <v>28698.36</v>
      </c>
      <c r="N2741" s="784">
        <v>14.99</v>
      </c>
      <c r="O2741" s="784">
        <v>5.47</v>
      </c>
      <c r="P2741" s="783">
        <v>350</v>
      </c>
      <c r="Q2741" s="783">
        <v>3349.1</v>
      </c>
      <c r="R2741" s="783">
        <v>1728.23</v>
      </c>
      <c r="S2741" s="783">
        <v>484.41</v>
      </c>
      <c r="T2741" s="783">
        <v>1136.45</v>
      </c>
      <c r="U2741" s="785">
        <v>44631.637025463002</v>
      </c>
    </row>
    <row r="2742" spans="1:21">
      <c r="A2742" s="782">
        <v>44561</v>
      </c>
      <c r="B2742" s="783" t="s">
        <v>41</v>
      </c>
      <c r="C2742" s="783" t="s">
        <v>4082</v>
      </c>
      <c r="D2742" s="783" t="s">
        <v>4009</v>
      </c>
      <c r="E2742" s="783" t="s">
        <v>6528</v>
      </c>
      <c r="F2742" s="783" t="s">
        <v>4011</v>
      </c>
      <c r="G2742" s="783" t="str">
        <f t="shared" ref="G2742:G2758" si="146">VLOOKUP(I2742,pacage,2,FALSE)</f>
        <v>Renewal (25% in 2020)</v>
      </c>
      <c r="H2742" s="783" t="s">
        <v>6529</v>
      </c>
      <c r="I2742" s="783" t="s">
        <v>6530</v>
      </c>
      <c r="J2742" s="783">
        <v>25</v>
      </c>
      <c r="K2742" s="783" t="s">
        <v>1015</v>
      </c>
      <c r="L2742" s="783" t="s">
        <v>4014</v>
      </c>
      <c r="M2742" s="784">
        <v>23646</v>
      </c>
      <c r="N2742" s="784">
        <v>14</v>
      </c>
      <c r="O2742" s="784">
        <v>5.63</v>
      </c>
      <c r="P2742" s="783">
        <v>300</v>
      </c>
      <c r="Q2742" s="783">
        <v>1563</v>
      </c>
      <c r="R2742" s="783">
        <v>1182.3</v>
      </c>
      <c r="S2742" s="783">
        <v>210.45</v>
      </c>
      <c r="T2742" s="783">
        <v>170.25</v>
      </c>
      <c r="U2742" s="785">
        <v>44631.637152777803</v>
      </c>
    </row>
    <row r="2743" spans="1:21">
      <c r="A2743" s="782">
        <v>44691</v>
      </c>
      <c r="B2743" s="783" t="s">
        <v>41</v>
      </c>
      <c r="C2743" s="783" t="s">
        <v>4082</v>
      </c>
      <c r="D2743" s="783" t="s">
        <v>4009</v>
      </c>
      <c r="E2743" s="783" t="s">
        <v>4523</v>
      </c>
      <c r="F2743" s="783" t="s">
        <v>4011</v>
      </c>
      <c r="G2743" s="783" t="str">
        <f t="shared" si="146"/>
        <v>Renewal (25% in 2020)</v>
      </c>
      <c r="H2743" s="783" t="s">
        <v>4524</v>
      </c>
      <c r="I2743" s="783" t="s">
        <v>4525</v>
      </c>
      <c r="J2743" s="783">
        <v>25</v>
      </c>
      <c r="K2743" s="783" t="s">
        <v>911</v>
      </c>
      <c r="L2743" s="783" t="s">
        <v>4014</v>
      </c>
      <c r="M2743" s="784">
        <v>23712</v>
      </c>
      <c r="N2743" s="784">
        <v>12</v>
      </c>
      <c r="O2743" s="784">
        <v>4.9400000000000004</v>
      </c>
      <c r="P2743" s="783">
        <v>400</v>
      </c>
      <c r="Q2743" s="783">
        <v>1150.03</v>
      </c>
      <c r="R2743" s="783">
        <v>754.8</v>
      </c>
      <c r="S2743" s="783">
        <v>274.3</v>
      </c>
      <c r="T2743" s="783">
        <v>120.93</v>
      </c>
      <c r="U2743" s="785">
        <v>44691.530787037002</v>
      </c>
    </row>
    <row r="2744" spans="1:21">
      <c r="A2744" s="782">
        <v>44698</v>
      </c>
      <c r="B2744" s="783" t="s">
        <v>41</v>
      </c>
      <c r="C2744" s="783" t="s">
        <v>4082</v>
      </c>
      <c r="D2744" s="783" t="s">
        <v>4009</v>
      </c>
      <c r="E2744" s="783" t="s">
        <v>6537</v>
      </c>
      <c r="F2744" s="783" t="s">
        <v>4011</v>
      </c>
      <c r="G2744" s="783" t="str">
        <f t="shared" si="146"/>
        <v>New contract</v>
      </c>
      <c r="H2744" s="783" t="s">
        <v>6538</v>
      </c>
      <c r="I2744" s="783" t="s">
        <v>6539</v>
      </c>
      <c r="J2744" s="783">
        <v>25</v>
      </c>
      <c r="K2744" s="783" t="s">
        <v>911</v>
      </c>
      <c r="L2744" s="783" t="s">
        <v>4014</v>
      </c>
      <c r="M2744" s="784">
        <v>16270.65</v>
      </c>
      <c r="N2744" s="784">
        <v>8.5500000000000007</v>
      </c>
      <c r="O2744" s="784">
        <v>5.5</v>
      </c>
      <c r="P2744" s="783">
        <v>346</v>
      </c>
      <c r="Q2744" s="783">
        <v>789.13</v>
      </c>
      <c r="R2744" s="783">
        <v>598.76</v>
      </c>
      <c r="S2744" s="783">
        <v>107.39</v>
      </c>
      <c r="T2744" s="783">
        <v>82.98</v>
      </c>
      <c r="U2744" s="785">
        <v>44699.4924537037</v>
      </c>
    </row>
    <row r="2745" spans="1:21">
      <c r="A2745" s="782">
        <v>44697</v>
      </c>
      <c r="B2745" s="783" t="s">
        <v>41</v>
      </c>
      <c r="C2745" s="783" t="s">
        <v>4082</v>
      </c>
      <c r="D2745" s="783" t="s">
        <v>4009</v>
      </c>
      <c r="E2745" s="783" t="s">
        <v>5132</v>
      </c>
      <c r="F2745" s="783" t="s">
        <v>4011</v>
      </c>
      <c r="G2745" s="783" t="str">
        <f t="shared" si="146"/>
        <v>Renewal (15% in 2020)</v>
      </c>
      <c r="H2745" s="783" t="s">
        <v>5133</v>
      </c>
      <c r="I2745" s="783" t="s">
        <v>5134</v>
      </c>
      <c r="J2745" s="783">
        <v>20</v>
      </c>
      <c r="K2745" s="783" t="s">
        <v>911</v>
      </c>
      <c r="L2745" s="783" t="s">
        <v>4014</v>
      </c>
      <c r="M2745" s="784">
        <v>7166.21</v>
      </c>
      <c r="N2745" s="784">
        <v>6.02</v>
      </c>
      <c r="O2745" s="784">
        <v>3.72</v>
      </c>
      <c r="P2745" s="783">
        <v>320</v>
      </c>
      <c r="Q2745" s="783">
        <v>452.9</v>
      </c>
      <c r="R2745" s="783">
        <v>263.72000000000003</v>
      </c>
      <c r="S2745" s="783">
        <v>47.3</v>
      </c>
      <c r="T2745" s="783">
        <v>141.88999999999999</v>
      </c>
      <c r="U2745" s="785">
        <v>44705.6020138889</v>
      </c>
    </row>
    <row r="2746" spans="1:21">
      <c r="A2746" s="782">
        <v>44680</v>
      </c>
      <c r="B2746" s="783" t="s">
        <v>41</v>
      </c>
      <c r="C2746" s="783" t="s">
        <v>4092</v>
      </c>
      <c r="D2746" s="783" t="s">
        <v>4009</v>
      </c>
      <c r="E2746" s="783" t="s">
        <v>5195</v>
      </c>
      <c r="F2746" s="783" t="s">
        <v>4011</v>
      </c>
      <c r="G2746" s="783" t="str">
        <f t="shared" si="146"/>
        <v>Renewal (20% in 2020)</v>
      </c>
      <c r="H2746" s="783" t="s">
        <v>5196</v>
      </c>
      <c r="I2746" s="783" t="s">
        <v>5197</v>
      </c>
      <c r="J2746" s="783">
        <v>20</v>
      </c>
      <c r="K2746" s="783" t="s">
        <v>911</v>
      </c>
      <c r="L2746" s="783" t="s">
        <v>4014</v>
      </c>
      <c r="M2746" s="784">
        <v>19327.560000000001</v>
      </c>
      <c r="N2746" s="784">
        <v>9.8000000000000007</v>
      </c>
      <c r="O2746" s="784">
        <v>5.7</v>
      </c>
      <c r="P2746" s="783">
        <v>346</v>
      </c>
      <c r="Q2746" s="783">
        <v>1217.6400000000001</v>
      </c>
      <c r="R2746" s="783">
        <v>707.39</v>
      </c>
      <c r="S2746" s="783">
        <v>125.63</v>
      </c>
      <c r="T2746" s="783">
        <v>384.62</v>
      </c>
      <c r="U2746" s="785">
        <v>44680.724687499998</v>
      </c>
    </row>
    <row r="2747" spans="1:21">
      <c r="A2747" s="782">
        <v>44655</v>
      </c>
      <c r="B2747" s="783" t="s">
        <v>41</v>
      </c>
      <c r="C2747" s="783" t="s">
        <v>4082</v>
      </c>
      <c r="D2747" s="783" t="s">
        <v>4009</v>
      </c>
      <c r="E2747" s="783" t="s">
        <v>245</v>
      </c>
      <c r="F2747" s="783" t="s">
        <v>4011</v>
      </c>
      <c r="G2747" s="783" t="str">
        <f t="shared" si="146"/>
        <v>Renewal (20% in 2020)</v>
      </c>
      <c r="H2747" s="783" t="s">
        <v>4591</v>
      </c>
      <c r="I2747" s="783" t="s">
        <v>4592</v>
      </c>
      <c r="J2747" s="783">
        <v>20</v>
      </c>
      <c r="K2747" s="783" t="s">
        <v>911</v>
      </c>
      <c r="L2747" s="783" t="s">
        <v>4014</v>
      </c>
      <c r="M2747" s="784">
        <v>12750.1</v>
      </c>
      <c r="N2747" s="784">
        <v>6.7</v>
      </c>
      <c r="O2747" s="784">
        <v>5.5</v>
      </c>
      <c r="P2747" s="783">
        <v>346</v>
      </c>
      <c r="Q2747" s="783">
        <v>805.81</v>
      </c>
      <c r="R2747" s="783">
        <v>469.2</v>
      </c>
      <c r="S2747" s="783">
        <v>84.15</v>
      </c>
      <c r="T2747" s="783">
        <v>252.45</v>
      </c>
      <c r="U2747" s="785">
        <v>44657.613634259302</v>
      </c>
    </row>
    <row r="2748" spans="1:21">
      <c r="A2748" s="782">
        <v>44665</v>
      </c>
      <c r="B2748" s="783" t="s">
        <v>41</v>
      </c>
      <c r="C2748" s="783" t="s">
        <v>4092</v>
      </c>
      <c r="D2748" s="783" t="s">
        <v>4009</v>
      </c>
      <c r="E2748" s="783" t="s">
        <v>4310</v>
      </c>
      <c r="F2748" s="783" t="s">
        <v>4011</v>
      </c>
      <c r="G2748" s="783" t="str">
        <f t="shared" si="146"/>
        <v>New Contract</v>
      </c>
      <c r="H2748" s="783" t="s">
        <v>4311</v>
      </c>
      <c r="I2748" s="783" t="s">
        <v>4312</v>
      </c>
      <c r="J2748" s="783">
        <v>25</v>
      </c>
      <c r="K2748" s="783" t="s">
        <v>911</v>
      </c>
      <c r="L2748" s="783" t="s">
        <v>4014</v>
      </c>
      <c r="M2748" s="784">
        <v>10420</v>
      </c>
      <c r="N2748" s="784">
        <v>5</v>
      </c>
      <c r="O2748" s="784">
        <v>5.21</v>
      </c>
      <c r="P2748" s="783">
        <v>400</v>
      </c>
      <c r="Q2748" s="783">
        <v>505.37</v>
      </c>
      <c r="R2748" s="783">
        <v>329.89</v>
      </c>
      <c r="S2748" s="783">
        <v>119.22</v>
      </c>
      <c r="T2748" s="783">
        <v>56.27</v>
      </c>
      <c r="U2748" s="785">
        <v>44665.6621759259</v>
      </c>
    </row>
    <row r="2749" spans="1:21">
      <c r="A2749" s="782">
        <v>44666</v>
      </c>
      <c r="B2749" s="783" t="s">
        <v>41</v>
      </c>
      <c r="C2749" s="783" t="s">
        <v>4082</v>
      </c>
      <c r="D2749" s="783" t="s">
        <v>4009</v>
      </c>
      <c r="E2749" s="783" t="s">
        <v>5435</v>
      </c>
      <c r="F2749" s="783" t="s">
        <v>4011</v>
      </c>
      <c r="G2749" s="783" t="str">
        <f t="shared" si="146"/>
        <v>Renewal (20% in 2020)</v>
      </c>
      <c r="H2749" s="783" t="s">
        <v>5436</v>
      </c>
      <c r="I2749" s="783" t="s">
        <v>5437</v>
      </c>
      <c r="J2749" s="783">
        <v>25</v>
      </c>
      <c r="K2749" s="783" t="s">
        <v>911</v>
      </c>
      <c r="L2749" s="783" t="s">
        <v>4014</v>
      </c>
      <c r="M2749" s="784">
        <v>33669.11</v>
      </c>
      <c r="N2749" s="784">
        <v>16.920000000000002</v>
      </c>
      <c r="O2749" s="784">
        <v>6.03</v>
      </c>
      <c r="P2749" s="783">
        <v>330</v>
      </c>
      <c r="Q2749" s="783">
        <v>1632.95</v>
      </c>
      <c r="R2749" s="783">
        <v>1239.02</v>
      </c>
      <c r="S2749" s="783">
        <v>222.22</v>
      </c>
      <c r="T2749" s="783">
        <v>171.71</v>
      </c>
      <c r="U2749" s="785">
        <v>44671.479236111103</v>
      </c>
    </row>
    <row r="2750" spans="1:21">
      <c r="A2750" s="782">
        <v>44708</v>
      </c>
      <c r="B2750" s="783" t="s">
        <v>41</v>
      </c>
      <c r="C2750" s="783" t="s">
        <v>4082</v>
      </c>
      <c r="D2750" s="783" t="s">
        <v>4009</v>
      </c>
      <c r="E2750" s="783" t="s">
        <v>4632</v>
      </c>
      <c r="F2750" s="783" t="s">
        <v>4011</v>
      </c>
      <c r="G2750" s="783" t="str">
        <f t="shared" si="146"/>
        <v>Renewal (15% in 2020)</v>
      </c>
      <c r="H2750" s="783" t="s">
        <v>4633</v>
      </c>
      <c r="I2750" s="783" t="s">
        <v>4634</v>
      </c>
      <c r="J2750" s="783">
        <v>15</v>
      </c>
      <c r="K2750" s="783" t="s">
        <v>911</v>
      </c>
      <c r="L2750" s="783" t="s">
        <v>4014</v>
      </c>
      <c r="M2750" s="784">
        <v>13765.5</v>
      </c>
      <c r="N2750" s="784">
        <v>9.5</v>
      </c>
      <c r="O2750" s="784">
        <v>4.83</v>
      </c>
      <c r="P2750" s="783">
        <v>300</v>
      </c>
      <c r="Q2750" s="783">
        <v>1168.69</v>
      </c>
      <c r="R2750" s="783">
        <v>506.57</v>
      </c>
      <c r="S2750" s="783">
        <v>90.85</v>
      </c>
      <c r="T2750" s="783">
        <v>571.27</v>
      </c>
      <c r="U2750" s="785">
        <v>44711.537106481497</v>
      </c>
    </row>
    <row r="2751" spans="1:21">
      <c r="A2751" s="782">
        <v>44711</v>
      </c>
      <c r="B2751" s="783" t="s">
        <v>41</v>
      </c>
      <c r="C2751" s="783" t="s">
        <v>4139</v>
      </c>
      <c r="D2751" s="783" t="s">
        <v>4009</v>
      </c>
      <c r="E2751" s="783" t="s">
        <v>549</v>
      </c>
      <c r="F2751" s="783" t="s">
        <v>4011</v>
      </c>
      <c r="G2751" s="783" t="str">
        <f t="shared" si="146"/>
        <v>Renewal (25% in 2020)</v>
      </c>
      <c r="H2751" s="783" t="s">
        <v>5626</v>
      </c>
      <c r="I2751" s="783" t="s">
        <v>5627</v>
      </c>
      <c r="J2751" s="783">
        <v>25</v>
      </c>
      <c r="K2751" s="783" t="s">
        <v>911</v>
      </c>
      <c r="L2751" s="783" t="s">
        <v>4014</v>
      </c>
      <c r="M2751" s="784">
        <v>6361.6</v>
      </c>
      <c r="N2751" s="784">
        <v>3.2</v>
      </c>
      <c r="O2751" s="784">
        <v>4.97</v>
      </c>
      <c r="P2751" s="783">
        <v>400</v>
      </c>
      <c r="Q2751" s="783">
        <v>305.36</v>
      </c>
      <c r="R2751" s="783">
        <v>203.6</v>
      </c>
      <c r="S2751" s="783">
        <v>66.760000000000005</v>
      </c>
      <c r="T2751" s="783">
        <v>34.99</v>
      </c>
      <c r="U2751" s="785">
        <v>44712.724351851903</v>
      </c>
    </row>
    <row r="2752" spans="1:21">
      <c r="A2752" s="782">
        <v>44712</v>
      </c>
      <c r="B2752" s="783" t="s">
        <v>41</v>
      </c>
      <c r="C2752" s="783" t="s">
        <v>4092</v>
      </c>
      <c r="D2752" s="783" t="s">
        <v>4009</v>
      </c>
      <c r="E2752" s="783" t="s">
        <v>5645</v>
      </c>
      <c r="F2752" s="783" t="s">
        <v>4011</v>
      </c>
      <c r="G2752" s="783" t="str">
        <f t="shared" si="146"/>
        <v>Renewal (15% in 2020)</v>
      </c>
      <c r="H2752" s="783" t="s">
        <v>5646</v>
      </c>
      <c r="I2752" s="783" t="s">
        <v>5647</v>
      </c>
      <c r="J2752" s="783">
        <v>15</v>
      </c>
      <c r="K2752" s="783" t="s">
        <v>911</v>
      </c>
      <c r="L2752" s="783" t="s">
        <v>4014</v>
      </c>
      <c r="M2752" s="784">
        <v>14000.7</v>
      </c>
      <c r="N2752" s="784">
        <v>11.3</v>
      </c>
      <c r="O2752" s="784">
        <v>3.54</v>
      </c>
      <c r="P2752" s="783">
        <v>350</v>
      </c>
      <c r="Q2752" s="783">
        <v>1185.8599999999999</v>
      </c>
      <c r="R2752" s="783">
        <v>506.57</v>
      </c>
      <c r="S2752" s="783">
        <v>96.86</v>
      </c>
      <c r="T2752" s="783">
        <v>582.42999999999995</v>
      </c>
      <c r="U2752" s="785">
        <v>44714.586956018502</v>
      </c>
    </row>
    <row r="2753" spans="1:21">
      <c r="A2753" s="782">
        <v>44712</v>
      </c>
      <c r="B2753" s="783" t="s">
        <v>41</v>
      </c>
      <c r="C2753" s="783" t="s">
        <v>4092</v>
      </c>
      <c r="D2753" s="783" t="s">
        <v>4009</v>
      </c>
      <c r="E2753" s="783" t="s">
        <v>605</v>
      </c>
      <c r="F2753" s="783" t="s">
        <v>4011</v>
      </c>
      <c r="G2753" s="783" t="str">
        <f t="shared" si="146"/>
        <v>Renewal (15% in 2020)</v>
      </c>
      <c r="H2753" s="783" t="s">
        <v>4161</v>
      </c>
      <c r="I2753" s="783" t="s">
        <v>4162</v>
      </c>
      <c r="J2753" s="783">
        <v>15</v>
      </c>
      <c r="K2753" s="783" t="s">
        <v>911</v>
      </c>
      <c r="L2753" s="783" t="s">
        <v>4014</v>
      </c>
      <c r="M2753" s="784">
        <v>39355</v>
      </c>
      <c r="N2753" s="784">
        <v>25</v>
      </c>
      <c r="O2753" s="784">
        <v>4.63</v>
      </c>
      <c r="P2753" s="783">
        <v>340</v>
      </c>
      <c r="Q2753" s="783">
        <v>3333.37</v>
      </c>
      <c r="R2753" s="783">
        <v>1440.39</v>
      </c>
      <c r="S2753" s="783">
        <v>255.81</v>
      </c>
      <c r="T2753" s="783">
        <v>1637.17</v>
      </c>
      <c r="U2753" s="785">
        <v>44714.667314814797</v>
      </c>
    </row>
    <row r="2754" spans="1:21">
      <c r="A2754" s="782">
        <v>44711</v>
      </c>
      <c r="B2754" s="783" t="s">
        <v>41</v>
      </c>
      <c r="C2754" s="783" t="s">
        <v>4092</v>
      </c>
      <c r="D2754" s="783" t="s">
        <v>4009</v>
      </c>
      <c r="E2754" s="783" t="s">
        <v>446</v>
      </c>
      <c r="F2754" s="783" t="s">
        <v>4011</v>
      </c>
      <c r="G2754" s="783" t="str">
        <f t="shared" si="146"/>
        <v>Renewal (15% in 2020)</v>
      </c>
      <c r="H2754" s="783" t="s">
        <v>5681</v>
      </c>
      <c r="I2754" s="783" t="s">
        <v>5682</v>
      </c>
      <c r="J2754" s="783">
        <v>15</v>
      </c>
      <c r="K2754" s="783" t="s">
        <v>911</v>
      </c>
      <c r="L2754" s="783" t="s">
        <v>4014</v>
      </c>
      <c r="M2754" s="784">
        <v>28464</v>
      </c>
      <c r="N2754" s="784">
        <v>16</v>
      </c>
      <c r="O2754" s="784">
        <v>5.93</v>
      </c>
      <c r="P2754" s="783">
        <v>300</v>
      </c>
      <c r="Q2754" s="783">
        <v>2410.9</v>
      </c>
      <c r="R2754" s="783">
        <v>1041.78</v>
      </c>
      <c r="S2754" s="783">
        <v>185.02</v>
      </c>
      <c r="T2754" s="783">
        <v>1184.0999999999999</v>
      </c>
      <c r="U2754" s="785">
        <v>44713.990949074097</v>
      </c>
    </row>
    <row r="2755" spans="1:21">
      <c r="A2755" s="782">
        <v>44694</v>
      </c>
      <c r="B2755" s="783" t="s">
        <v>41</v>
      </c>
      <c r="C2755" s="783" t="s">
        <v>4082</v>
      </c>
      <c r="D2755" s="783" t="s">
        <v>4009</v>
      </c>
      <c r="E2755" s="783" t="s">
        <v>5773</v>
      </c>
      <c r="F2755" s="783" t="s">
        <v>4011</v>
      </c>
      <c r="G2755" s="783" t="str">
        <f t="shared" si="146"/>
        <v>Renewal (15% in 2020)</v>
      </c>
      <c r="H2755" s="783" t="s">
        <v>5774</v>
      </c>
      <c r="I2755" s="783" t="s">
        <v>5775</v>
      </c>
      <c r="J2755" s="783">
        <v>15</v>
      </c>
      <c r="K2755" s="783" t="s">
        <v>911</v>
      </c>
      <c r="L2755" s="783" t="s">
        <v>4014</v>
      </c>
      <c r="M2755" s="784">
        <v>25128.34</v>
      </c>
      <c r="N2755" s="784">
        <v>14.16</v>
      </c>
      <c r="O2755" s="784">
        <v>4.67</v>
      </c>
      <c r="P2755" s="783">
        <v>380</v>
      </c>
      <c r="Q2755" s="783">
        <v>2133.4</v>
      </c>
      <c r="R2755" s="783">
        <v>841.98</v>
      </c>
      <c r="S2755" s="783">
        <v>248.59</v>
      </c>
      <c r="T2755" s="783">
        <v>1042.83</v>
      </c>
      <c r="U2755" s="785">
        <v>44694.730231481502</v>
      </c>
    </row>
    <row r="2756" spans="1:21">
      <c r="A2756" s="782">
        <v>44698</v>
      </c>
      <c r="B2756" s="783" t="s">
        <v>41</v>
      </c>
      <c r="C2756" s="783" t="s">
        <v>4092</v>
      </c>
      <c r="D2756" s="783" t="s">
        <v>4009</v>
      </c>
      <c r="E2756" s="783" t="s">
        <v>597</v>
      </c>
      <c r="F2756" s="783" t="s">
        <v>4011</v>
      </c>
      <c r="G2756" s="783" t="str">
        <f t="shared" si="146"/>
        <v>Renewal (15% in 2020)</v>
      </c>
      <c r="H2756" s="783" t="s">
        <v>5793</v>
      </c>
      <c r="I2756" s="783" t="s">
        <v>5794</v>
      </c>
      <c r="J2756" s="783">
        <v>15</v>
      </c>
      <c r="K2756" s="783" t="s">
        <v>911</v>
      </c>
      <c r="L2756" s="783" t="s">
        <v>4014</v>
      </c>
      <c r="M2756" s="784">
        <v>17349.150000000001</v>
      </c>
      <c r="N2756" s="784">
        <v>9.3000000000000007</v>
      </c>
      <c r="O2756" s="784">
        <v>5.33</v>
      </c>
      <c r="P2756" s="783">
        <v>350</v>
      </c>
      <c r="Q2756" s="783">
        <v>1469.47</v>
      </c>
      <c r="R2756" s="783">
        <v>627.72</v>
      </c>
      <c r="S2756" s="783">
        <v>120.03</v>
      </c>
      <c r="T2756" s="783">
        <v>721.72</v>
      </c>
      <c r="U2756" s="785">
        <v>44699.496608796297</v>
      </c>
    </row>
    <row r="2757" spans="1:21">
      <c r="A2757" s="782">
        <v>44712</v>
      </c>
      <c r="B2757" s="783" t="s">
        <v>41</v>
      </c>
      <c r="C2757" s="783" t="s">
        <v>4092</v>
      </c>
      <c r="D2757" s="783" t="s">
        <v>4009</v>
      </c>
      <c r="E2757" s="783" t="s">
        <v>4672</v>
      </c>
      <c r="F2757" s="783" t="s">
        <v>4011</v>
      </c>
      <c r="G2757" s="783" t="str">
        <f t="shared" si="146"/>
        <v>Renewal (15% in 2020)</v>
      </c>
      <c r="H2757" s="783" t="s">
        <v>4673</v>
      </c>
      <c r="I2757" s="783" t="s">
        <v>4674</v>
      </c>
      <c r="J2757" s="783">
        <v>15</v>
      </c>
      <c r="K2757" s="783" t="s">
        <v>911</v>
      </c>
      <c r="L2757" s="783" t="s">
        <v>4014</v>
      </c>
      <c r="M2757" s="784">
        <v>13482.98</v>
      </c>
      <c r="N2757" s="784">
        <v>7.72</v>
      </c>
      <c r="O2757" s="784">
        <v>4.99</v>
      </c>
      <c r="P2757" s="783">
        <v>350</v>
      </c>
      <c r="Q2757" s="783">
        <v>1142.01</v>
      </c>
      <c r="R2757" s="783">
        <v>487.84</v>
      </c>
      <c r="S2757" s="783">
        <v>93.28</v>
      </c>
      <c r="T2757" s="783">
        <v>560.89</v>
      </c>
      <c r="U2757" s="785">
        <v>44714.588981481502</v>
      </c>
    </row>
    <row r="2758" spans="1:21">
      <c r="A2758" s="782">
        <v>44672</v>
      </c>
      <c r="B2758" s="783" t="s">
        <v>41</v>
      </c>
      <c r="C2758" s="783" t="s">
        <v>4082</v>
      </c>
      <c r="D2758" s="783" t="s">
        <v>4009</v>
      </c>
      <c r="E2758" s="783" t="s">
        <v>4687</v>
      </c>
      <c r="F2758" s="783" t="s">
        <v>4011</v>
      </c>
      <c r="G2758" s="783" t="str">
        <f t="shared" si="146"/>
        <v>Renewal (20% in 2020)</v>
      </c>
      <c r="H2758" s="783" t="s">
        <v>4688</v>
      </c>
      <c r="I2758" s="783" t="s">
        <v>4689</v>
      </c>
      <c r="J2758" s="783">
        <v>20</v>
      </c>
      <c r="K2758" s="783" t="s">
        <v>911</v>
      </c>
      <c r="L2758" s="783" t="s">
        <v>4014</v>
      </c>
      <c r="M2758" s="784">
        <v>14064.75</v>
      </c>
      <c r="N2758" s="784">
        <v>9.5</v>
      </c>
      <c r="O2758" s="784">
        <v>4.2300000000000004</v>
      </c>
      <c r="P2758" s="783">
        <v>350</v>
      </c>
      <c r="Q2758" s="783">
        <v>888.89</v>
      </c>
      <c r="R2758" s="783">
        <v>511.67</v>
      </c>
      <c r="S2758" s="783">
        <v>98.74</v>
      </c>
      <c r="T2758" s="783">
        <v>278.48</v>
      </c>
      <c r="U2758" s="785">
        <v>44673.380335648202</v>
      </c>
    </row>
    <row r="2759" spans="1:21">
      <c r="A2759" s="782">
        <v>44572</v>
      </c>
      <c r="B2759" s="783" t="s">
        <v>41</v>
      </c>
      <c r="C2759" s="783" t="s">
        <v>4092</v>
      </c>
      <c r="D2759" s="783" t="s">
        <v>4009</v>
      </c>
      <c r="E2759" s="783" t="s">
        <v>6012</v>
      </c>
      <c r="F2759" s="783" t="s">
        <v>4011</v>
      </c>
      <c r="G2759" s="783" t="s">
        <v>4028</v>
      </c>
      <c r="H2759" s="783" t="s">
        <v>6013</v>
      </c>
      <c r="I2759" s="783" t="s">
        <v>6014</v>
      </c>
      <c r="J2759" s="783">
        <v>25</v>
      </c>
      <c r="K2759" s="783" t="s">
        <v>911</v>
      </c>
      <c r="L2759" s="783" t="s">
        <v>4014</v>
      </c>
      <c r="M2759" s="784">
        <v>35776.400000000001</v>
      </c>
      <c r="N2759" s="784">
        <v>20</v>
      </c>
      <c r="O2759" s="784">
        <v>5.17</v>
      </c>
      <c r="P2759" s="783">
        <v>346</v>
      </c>
      <c r="Q2759" s="783">
        <v>1735.16</v>
      </c>
      <c r="R2759" s="783">
        <v>1309.42</v>
      </c>
      <c r="S2759" s="783">
        <v>232.55</v>
      </c>
      <c r="T2759" s="783">
        <v>193.19</v>
      </c>
      <c r="U2759" s="785">
        <v>44631.632615740702</v>
      </c>
    </row>
    <row r="2760" spans="1:21">
      <c r="A2760" s="782">
        <v>44540</v>
      </c>
      <c r="B2760" s="783" t="s">
        <v>113</v>
      </c>
      <c r="C2760" s="783" t="s">
        <v>4376</v>
      </c>
      <c r="D2760" s="783" t="s">
        <v>4038</v>
      </c>
      <c r="E2760" s="783" t="s">
        <v>4717</v>
      </c>
      <c r="F2760" s="783" t="s">
        <v>4011</v>
      </c>
      <c r="G2760" s="783" t="str">
        <f>VLOOKUP(I2760,pacage,2,FALSE)</f>
        <v>New Contract</v>
      </c>
      <c r="H2760" s="783" t="s">
        <v>4718</v>
      </c>
      <c r="I2760" s="783" t="s">
        <v>4719</v>
      </c>
      <c r="J2760" s="783">
        <v>20</v>
      </c>
      <c r="K2760" s="783" t="s">
        <v>911</v>
      </c>
      <c r="L2760" s="783" t="s">
        <v>4014</v>
      </c>
      <c r="M2760" s="784">
        <v>175214.4</v>
      </c>
      <c r="N2760" s="784">
        <v>80</v>
      </c>
      <c r="O2760" s="784">
        <v>6.33</v>
      </c>
      <c r="P2760" s="783">
        <v>346</v>
      </c>
      <c r="Q2760" s="783">
        <v>16768.02</v>
      </c>
      <c r="R2760" s="783">
        <v>9321.41</v>
      </c>
      <c r="S2760" s="783">
        <v>1454.28</v>
      </c>
      <c r="T2760" s="783">
        <v>5992.33</v>
      </c>
      <c r="U2760" s="785">
        <v>44631.636122685202</v>
      </c>
    </row>
    <row r="2761" spans="1:21">
      <c r="A2761" s="782">
        <v>44409</v>
      </c>
      <c r="B2761" s="783" t="s">
        <v>113</v>
      </c>
      <c r="C2761" s="783" t="s">
        <v>4606</v>
      </c>
      <c r="D2761" s="783" t="s">
        <v>4009</v>
      </c>
      <c r="E2761" s="783" t="s">
        <v>2282</v>
      </c>
      <c r="F2761" s="783" t="s">
        <v>4011</v>
      </c>
      <c r="G2761" s="783" t="str">
        <f>VLOOKUP(I2761,pacage,2,FALSE)</f>
        <v>Renewal (15% in 2020)</v>
      </c>
      <c r="H2761" s="783" t="s">
        <v>7051</v>
      </c>
      <c r="I2761" s="783" t="s">
        <v>7052</v>
      </c>
      <c r="J2761" s="783">
        <v>15</v>
      </c>
      <c r="K2761" s="783" t="s">
        <v>2267</v>
      </c>
      <c r="L2761" s="783" t="s">
        <v>4014</v>
      </c>
      <c r="M2761" s="784">
        <v>32844</v>
      </c>
      <c r="N2761" s="784">
        <v>17</v>
      </c>
      <c r="O2761" s="784">
        <v>12</v>
      </c>
      <c r="P2761" s="783">
        <v>161</v>
      </c>
      <c r="Q2761" s="783">
        <v>3077.48</v>
      </c>
      <c r="R2761" s="783">
        <v>1274.3499999999999</v>
      </c>
      <c r="S2761" s="783">
        <v>200.35</v>
      </c>
      <c r="T2761" s="783">
        <v>1602.79</v>
      </c>
      <c r="U2761" s="785">
        <v>44631.503935185203</v>
      </c>
    </row>
    <row r="2762" spans="1:21">
      <c r="A2762" s="782">
        <v>44694</v>
      </c>
      <c r="B2762" s="783" t="s">
        <v>2866</v>
      </c>
      <c r="C2762" s="783" t="s">
        <v>4414</v>
      </c>
      <c r="D2762" s="783" t="s">
        <v>4009</v>
      </c>
      <c r="E2762" s="783" t="s">
        <v>4940</v>
      </c>
      <c r="F2762" s="783" t="s">
        <v>4066</v>
      </c>
      <c r="G2762" s="783" t="s">
        <v>4028</v>
      </c>
      <c r="H2762" s="783" t="s">
        <v>4941</v>
      </c>
      <c r="I2762" s="783" t="s">
        <v>4942</v>
      </c>
      <c r="J2762" s="783">
        <v>10</v>
      </c>
      <c r="K2762" s="783" t="s">
        <v>2267</v>
      </c>
      <c r="L2762" s="783" t="s">
        <v>4014</v>
      </c>
      <c r="M2762" s="784">
        <v>20930</v>
      </c>
      <c r="N2762" s="784">
        <v>13</v>
      </c>
      <c r="O2762" s="784">
        <v>10</v>
      </c>
      <c r="P2762" s="783">
        <v>161</v>
      </c>
      <c r="Q2762" s="783">
        <v>634.17999999999995</v>
      </c>
      <c r="R2762" s="783">
        <v>0</v>
      </c>
      <c r="S2762" s="783">
        <v>0</v>
      </c>
      <c r="T2762" s="783">
        <v>634.17999999999995</v>
      </c>
      <c r="U2762" s="785">
        <v>44694.520810185197</v>
      </c>
    </row>
    <row r="2763" spans="1:21">
      <c r="A2763" s="782">
        <v>44680</v>
      </c>
      <c r="B2763" s="783" t="s">
        <v>113</v>
      </c>
      <c r="C2763" s="783" t="s">
        <v>4606</v>
      </c>
      <c r="D2763" s="783" t="s">
        <v>4009</v>
      </c>
      <c r="E2763" s="783" t="s">
        <v>7053</v>
      </c>
      <c r="F2763" s="783" t="s">
        <v>4011</v>
      </c>
      <c r="G2763" s="783" t="str">
        <f>VLOOKUP(I2763,pacage,2,FALSE)</f>
        <v>Renewal (15% in 2020)</v>
      </c>
      <c r="H2763" s="783" t="s">
        <v>7054</v>
      </c>
      <c r="I2763" s="783" t="s">
        <v>7055</v>
      </c>
      <c r="J2763" s="783">
        <v>15</v>
      </c>
      <c r="K2763" s="783" t="s">
        <v>2267</v>
      </c>
      <c r="L2763" s="783" t="s">
        <v>4014</v>
      </c>
      <c r="M2763" s="784">
        <v>65884</v>
      </c>
      <c r="N2763" s="784">
        <v>26</v>
      </c>
      <c r="O2763" s="784">
        <v>12.67</v>
      </c>
      <c r="P2763" s="783">
        <v>200</v>
      </c>
      <c r="Q2763" s="783">
        <v>6173.33</v>
      </c>
      <c r="R2763" s="783">
        <v>2057.8200000000002</v>
      </c>
      <c r="S2763" s="783">
        <v>900.37</v>
      </c>
      <c r="T2763" s="783">
        <v>3215.14</v>
      </c>
      <c r="U2763" s="785">
        <v>44683.489618055602</v>
      </c>
    </row>
    <row r="2764" spans="1:21">
      <c r="A2764" s="782">
        <v>44680</v>
      </c>
      <c r="B2764" s="783" t="s">
        <v>113</v>
      </c>
      <c r="C2764" s="783" t="s">
        <v>4606</v>
      </c>
      <c r="D2764" s="783" t="s">
        <v>4009</v>
      </c>
      <c r="E2764" s="783" t="s">
        <v>6711</v>
      </c>
      <c r="F2764" s="783" t="s">
        <v>4011</v>
      </c>
      <c r="G2764" s="783" t="s">
        <v>4028</v>
      </c>
      <c r="H2764" s="783" t="s">
        <v>6712</v>
      </c>
      <c r="I2764" s="783" t="s">
        <v>6713</v>
      </c>
      <c r="J2764" s="783">
        <v>25</v>
      </c>
      <c r="K2764" s="783" t="s">
        <v>2267</v>
      </c>
      <c r="L2764" s="783" t="s">
        <v>4014</v>
      </c>
      <c r="M2764" s="784">
        <v>8058.05</v>
      </c>
      <c r="N2764" s="784">
        <v>3.5</v>
      </c>
      <c r="O2764" s="784">
        <v>11</v>
      </c>
      <c r="P2764" s="783">
        <v>209.3</v>
      </c>
      <c r="Q2764" s="783">
        <v>472.2</v>
      </c>
      <c r="R2764" s="783">
        <v>240.5</v>
      </c>
      <c r="S2764" s="783">
        <v>121.3</v>
      </c>
      <c r="T2764" s="783">
        <v>110.4</v>
      </c>
      <c r="U2764" s="785">
        <v>44680.749166666697</v>
      </c>
    </row>
    <row r="2765" spans="1:21">
      <c r="A2765" s="782">
        <v>44696</v>
      </c>
      <c r="B2765" s="783" t="s">
        <v>113</v>
      </c>
      <c r="C2765" s="783" t="s">
        <v>4606</v>
      </c>
      <c r="D2765" s="783" t="s">
        <v>4009</v>
      </c>
      <c r="E2765" s="783" t="s">
        <v>6651</v>
      </c>
      <c r="F2765" s="783" t="s">
        <v>4011</v>
      </c>
      <c r="G2765" s="783" t="str">
        <f t="shared" ref="G2765:G2772" si="147">VLOOKUP(I2765,pacage,2,FALSE)</f>
        <v>Renewal (15% in 2020)</v>
      </c>
      <c r="H2765" s="783" t="s">
        <v>6652</v>
      </c>
      <c r="I2765" s="783" t="s">
        <v>6653</v>
      </c>
      <c r="J2765" s="783">
        <v>15</v>
      </c>
      <c r="K2765" s="783" t="s">
        <v>2267</v>
      </c>
      <c r="L2765" s="783" t="s">
        <v>4014</v>
      </c>
      <c r="M2765" s="784">
        <v>65853.81</v>
      </c>
      <c r="N2765" s="784">
        <v>27</v>
      </c>
      <c r="O2765" s="784">
        <v>11.67</v>
      </c>
      <c r="P2765" s="783">
        <v>209</v>
      </c>
      <c r="Q2765" s="783">
        <v>6170.5</v>
      </c>
      <c r="R2765" s="783">
        <v>1968.3</v>
      </c>
      <c r="S2765" s="783">
        <v>988.53</v>
      </c>
      <c r="T2765" s="783">
        <v>3213.67</v>
      </c>
      <c r="U2765" s="785">
        <v>44697.410104166702</v>
      </c>
    </row>
    <row r="2766" spans="1:21">
      <c r="A2766" s="782">
        <v>44665</v>
      </c>
      <c r="B2766" s="783" t="s">
        <v>113</v>
      </c>
      <c r="C2766" s="783" t="s">
        <v>4606</v>
      </c>
      <c r="D2766" s="783" t="s">
        <v>4009</v>
      </c>
      <c r="E2766" s="783" t="s">
        <v>6639</v>
      </c>
      <c r="F2766" s="783" t="s">
        <v>4011</v>
      </c>
      <c r="G2766" s="783" t="str">
        <f t="shared" si="147"/>
        <v>Renewal (25% in 2020)</v>
      </c>
      <c r="H2766" s="783" t="s">
        <v>6640</v>
      </c>
      <c r="I2766" s="783" t="s">
        <v>6641</v>
      </c>
      <c r="J2766" s="783">
        <v>25</v>
      </c>
      <c r="K2766" s="783" t="s">
        <v>2267</v>
      </c>
      <c r="L2766" s="783" t="s">
        <v>4014</v>
      </c>
      <c r="M2766" s="784">
        <v>81171.19</v>
      </c>
      <c r="N2766" s="784">
        <v>32.83</v>
      </c>
      <c r="O2766" s="784">
        <v>11.83</v>
      </c>
      <c r="P2766" s="783">
        <v>209</v>
      </c>
      <c r="Q2766" s="783">
        <v>4756.63</v>
      </c>
      <c r="R2766" s="783">
        <v>2426.13</v>
      </c>
      <c r="S2766" s="783">
        <v>1218.46</v>
      </c>
      <c r="T2766" s="783">
        <v>1112.05</v>
      </c>
      <c r="U2766" s="785">
        <v>44665.673333333303</v>
      </c>
    </row>
    <row r="2767" spans="1:21">
      <c r="A2767" s="782">
        <v>44668</v>
      </c>
      <c r="B2767" s="783" t="s">
        <v>113</v>
      </c>
      <c r="C2767" s="783" t="s">
        <v>4598</v>
      </c>
      <c r="D2767" s="783" t="s">
        <v>4009</v>
      </c>
      <c r="E2767" s="783" t="s">
        <v>7056</v>
      </c>
      <c r="F2767" s="783" t="s">
        <v>4011</v>
      </c>
      <c r="G2767" s="783" t="str">
        <f t="shared" si="147"/>
        <v>Renewal (20% in 2020)</v>
      </c>
      <c r="H2767" s="783" t="s">
        <v>7057</v>
      </c>
      <c r="I2767" s="783" t="s">
        <v>7058</v>
      </c>
      <c r="J2767" s="783">
        <v>15</v>
      </c>
      <c r="K2767" s="783" t="s">
        <v>2267</v>
      </c>
      <c r="L2767" s="783" t="s">
        <v>4014</v>
      </c>
      <c r="M2767" s="784">
        <v>12928.3</v>
      </c>
      <c r="N2767" s="784">
        <v>7.3</v>
      </c>
      <c r="O2767" s="784">
        <v>11</v>
      </c>
      <c r="P2767" s="783">
        <v>161</v>
      </c>
      <c r="Q2767" s="783">
        <v>1127.3499999999999</v>
      </c>
      <c r="R2767" s="783">
        <v>439.56</v>
      </c>
      <c r="S2767" s="783">
        <v>104.72</v>
      </c>
      <c r="T2767" s="783">
        <v>583.07000000000005</v>
      </c>
      <c r="U2767" s="785">
        <v>44671.488622685203</v>
      </c>
    </row>
    <row r="2768" spans="1:21">
      <c r="A2768" s="782">
        <v>44659</v>
      </c>
      <c r="B2768" s="783" t="s">
        <v>30</v>
      </c>
      <c r="C2768" s="783" t="s">
        <v>4239</v>
      </c>
      <c r="D2768" s="783" t="s">
        <v>4021</v>
      </c>
      <c r="E2768" s="783" t="s">
        <v>3763</v>
      </c>
      <c r="F2768" s="783" t="s">
        <v>4011</v>
      </c>
      <c r="G2768" s="783" t="str">
        <f t="shared" si="147"/>
        <v>Renewal (25% in 2020)</v>
      </c>
      <c r="H2768" s="783" t="s">
        <v>5438</v>
      </c>
      <c r="I2768" s="783" t="s">
        <v>5439</v>
      </c>
      <c r="J2768" s="783">
        <v>20</v>
      </c>
      <c r="K2768" s="783" t="s">
        <v>2267</v>
      </c>
      <c r="L2768" s="783" t="s">
        <v>4014</v>
      </c>
      <c r="M2768" s="784">
        <v>16288.04</v>
      </c>
      <c r="N2768" s="784">
        <v>8.5299999999999994</v>
      </c>
      <c r="O2768" s="784">
        <v>10.050000000000001</v>
      </c>
      <c r="P2768" s="783">
        <v>190</v>
      </c>
      <c r="Q2768" s="783">
        <v>969.14</v>
      </c>
      <c r="R2768" s="783">
        <v>454.08</v>
      </c>
      <c r="S2768" s="783">
        <v>190.92</v>
      </c>
      <c r="T2768" s="783">
        <v>324.13</v>
      </c>
      <c r="U2768" s="785">
        <v>44663.405995370398</v>
      </c>
    </row>
    <row r="2769" spans="1:21">
      <c r="A2769" s="782">
        <v>44680</v>
      </c>
      <c r="B2769" s="783" t="s">
        <v>113</v>
      </c>
      <c r="C2769" s="783" t="s">
        <v>4606</v>
      </c>
      <c r="D2769" s="783" t="s">
        <v>4009</v>
      </c>
      <c r="E2769" s="783" t="s">
        <v>7059</v>
      </c>
      <c r="F2769" s="783" t="s">
        <v>4011</v>
      </c>
      <c r="G2769" s="783" t="str">
        <f t="shared" si="147"/>
        <v>Renewal (20% in 2020)</v>
      </c>
      <c r="H2769" s="783" t="s">
        <v>7060</v>
      </c>
      <c r="I2769" s="783" t="s">
        <v>7061</v>
      </c>
      <c r="J2769" s="783">
        <v>20</v>
      </c>
      <c r="K2769" s="783" t="s">
        <v>2267</v>
      </c>
      <c r="L2769" s="783" t="s">
        <v>4014</v>
      </c>
      <c r="M2769" s="784">
        <v>80938.820000000007</v>
      </c>
      <c r="N2769" s="784">
        <v>31.44</v>
      </c>
      <c r="O2769" s="784">
        <v>12.3</v>
      </c>
      <c r="P2769" s="783">
        <v>209.3</v>
      </c>
      <c r="Q2769" s="783">
        <v>5884.25</v>
      </c>
      <c r="R2769" s="783">
        <v>2415.71</v>
      </c>
      <c r="S2769" s="783">
        <v>1218.44</v>
      </c>
      <c r="T2769" s="783">
        <v>2250.1</v>
      </c>
      <c r="U2769" s="785">
        <v>44687.652141203696</v>
      </c>
    </row>
    <row r="2770" spans="1:21">
      <c r="A2770" s="782">
        <v>44680</v>
      </c>
      <c r="B2770" s="783" t="s">
        <v>113</v>
      </c>
      <c r="C2770" s="783" t="s">
        <v>4598</v>
      </c>
      <c r="D2770" s="783" t="s">
        <v>4009</v>
      </c>
      <c r="E2770" s="783" t="s">
        <v>7059</v>
      </c>
      <c r="F2770" s="783" t="s">
        <v>4011</v>
      </c>
      <c r="G2770" s="783" t="str">
        <f t="shared" si="147"/>
        <v>Renewal (20% in 2020)</v>
      </c>
      <c r="H2770" s="783" t="s">
        <v>7060</v>
      </c>
      <c r="I2770" s="783" t="s">
        <v>7061</v>
      </c>
      <c r="J2770" s="783">
        <v>20</v>
      </c>
      <c r="K2770" s="783" t="s">
        <v>2267</v>
      </c>
      <c r="L2770" s="783" t="s">
        <v>4014</v>
      </c>
      <c r="M2770" s="784">
        <v>126357.34</v>
      </c>
      <c r="N2770" s="784">
        <v>47.8</v>
      </c>
      <c r="O2770" s="784">
        <v>12.63</v>
      </c>
      <c r="P2770" s="783">
        <v>209.3</v>
      </c>
      <c r="Q2770" s="783">
        <v>8491.2099999999991</v>
      </c>
      <c r="R2770" s="783">
        <v>3304.73</v>
      </c>
      <c r="S2770" s="783">
        <v>2014.91</v>
      </c>
      <c r="T2770" s="783">
        <v>3171.57</v>
      </c>
      <c r="U2770" s="785">
        <v>44687.652141203696</v>
      </c>
    </row>
    <row r="2771" spans="1:21">
      <c r="A2771" s="782">
        <v>44714</v>
      </c>
      <c r="B2771" s="783" t="s">
        <v>74</v>
      </c>
      <c r="C2771" s="783" t="s">
        <v>4097</v>
      </c>
      <c r="D2771" s="783" t="s">
        <v>4038</v>
      </c>
      <c r="E2771" s="783" t="s">
        <v>4364</v>
      </c>
      <c r="F2771" s="783" t="s">
        <v>4011</v>
      </c>
      <c r="G2771" s="783" t="str">
        <f t="shared" si="147"/>
        <v>Renewal (20% in 2020)</v>
      </c>
      <c r="H2771" s="783" t="s">
        <v>4365</v>
      </c>
      <c r="I2771" s="783" t="s">
        <v>4366</v>
      </c>
      <c r="J2771" s="783">
        <v>20</v>
      </c>
      <c r="K2771" s="783" t="s">
        <v>2267</v>
      </c>
      <c r="L2771" s="783" t="s">
        <v>4014</v>
      </c>
      <c r="M2771" s="784">
        <v>45315.75</v>
      </c>
      <c r="N2771" s="784">
        <v>26.27</v>
      </c>
      <c r="O2771" s="784">
        <v>11.5</v>
      </c>
      <c r="P2771" s="783">
        <v>150</v>
      </c>
      <c r="Q2771" s="783">
        <v>2696.29</v>
      </c>
      <c r="R2771" s="783">
        <v>1654.02</v>
      </c>
      <c r="S2771" s="783">
        <v>253.77</v>
      </c>
      <c r="T2771" s="783">
        <v>788.49</v>
      </c>
      <c r="U2771" s="785">
        <v>44715.463217592602</v>
      </c>
    </row>
    <row r="2772" spans="1:21">
      <c r="A2772" s="782">
        <v>44708</v>
      </c>
      <c r="B2772" s="783" t="s">
        <v>41</v>
      </c>
      <c r="C2772" s="783" t="s">
        <v>4082</v>
      </c>
      <c r="D2772" s="783" t="s">
        <v>4009</v>
      </c>
      <c r="E2772" s="783" t="s">
        <v>5600</v>
      </c>
      <c r="F2772" s="783" t="s">
        <v>4011</v>
      </c>
      <c r="G2772" s="783" t="str">
        <f t="shared" si="147"/>
        <v>Renewal (15% in 2020)</v>
      </c>
      <c r="H2772" s="783" t="s">
        <v>5601</v>
      </c>
      <c r="I2772" s="783" t="s">
        <v>5602</v>
      </c>
      <c r="J2772" s="783">
        <v>15</v>
      </c>
      <c r="K2772" s="783" t="s">
        <v>2267</v>
      </c>
      <c r="L2772" s="783" t="s">
        <v>4014</v>
      </c>
      <c r="M2772" s="784">
        <v>44855.24</v>
      </c>
      <c r="N2772" s="784">
        <v>32.659999999999997</v>
      </c>
      <c r="O2772" s="784">
        <v>7.63</v>
      </c>
      <c r="P2772" s="783">
        <v>180</v>
      </c>
      <c r="Q2772" s="783">
        <v>3808.21</v>
      </c>
      <c r="R2772" s="783">
        <v>1476.44</v>
      </c>
      <c r="S2772" s="783">
        <v>465.8</v>
      </c>
      <c r="T2772" s="783">
        <v>1865.98</v>
      </c>
      <c r="U2772" s="785">
        <v>44711.535891203697</v>
      </c>
    </row>
    <row r="2773" spans="1:21">
      <c r="A2773" s="782">
        <v>44701</v>
      </c>
      <c r="B2773" s="783" t="s">
        <v>113</v>
      </c>
      <c r="C2773" s="783" t="s">
        <v>4606</v>
      </c>
      <c r="D2773" s="783" t="s">
        <v>4009</v>
      </c>
      <c r="E2773" s="783" t="s">
        <v>7062</v>
      </c>
      <c r="F2773" s="783" t="s">
        <v>4066</v>
      </c>
      <c r="G2773" s="783" t="s">
        <v>4028</v>
      </c>
      <c r="H2773" s="783" t="s">
        <v>7063</v>
      </c>
      <c r="I2773" s="783" t="s">
        <v>7064</v>
      </c>
      <c r="J2773" s="783">
        <v>10</v>
      </c>
      <c r="K2773" s="783" t="s">
        <v>2267</v>
      </c>
      <c r="L2773" s="783" t="s">
        <v>4014</v>
      </c>
      <c r="M2773" s="784">
        <v>51357.599999999999</v>
      </c>
      <c r="N2773" s="784">
        <v>20.38</v>
      </c>
      <c r="O2773" s="784">
        <v>14</v>
      </c>
      <c r="P2773" s="783">
        <v>180</v>
      </c>
      <c r="Q2773" s="783">
        <v>1504.78</v>
      </c>
      <c r="R2773" s="783">
        <v>0</v>
      </c>
      <c r="S2773" s="783">
        <v>0</v>
      </c>
      <c r="T2773" s="783">
        <v>1504.78</v>
      </c>
      <c r="U2773" s="785">
        <v>44701.567013888904</v>
      </c>
    </row>
    <row r="2774" spans="1:21">
      <c r="A2774" s="782">
        <v>44663</v>
      </c>
      <c r="B2774" s="783" t="s">
        <v>150</v>
      </c>
      <c r="C2774" s="783" t="s">
        <v>4037</v>
      </c>
      <c r="D2774" s="783" t="s">
        <v>4038</v>
      </c>
      <c r="E2774" s="783" t="s">
        <v>6997</v>
      </c>
      <c r="F2774" s="783" t="s">
        <v>4011</v>
      </c>
      <c r="G2774" s="783" t="str">
        <f>VLOOKUP(I2774,pacage,2,FALSE)</f>
        <v>Renewal (20% in 2020)</v>
      </c>
      <c r="H2774" s="783" t="s">
        <v>6998</v>
      </c>
      <c r="I2774" s="783" t="s">
        <v>6999</v>
      </c>
      <c r="J2774" s="783">
        <v>20</v>
      </c>
      <c r="K2774" s="783" t="s">
        <v>2267</v>
      </c>
      <c r="L2774" s="783" t="s">
        <v>4014</v>
      </c>
      <c r="M2774" s="784">
        <v>125474.4</v>
      </c>
      <c r="N2774" s="784">
        <v>74</v>
      </c>
      <c r="O2774" s="784">
        <v>9.42</v>
      </c>
      <c r="P2774" s="783">
        <v>180</v>
      </c>
      <c r="Q2774" s="783">
        <v>10953.92</v>
      </c>
      <c r="R2774" s="783">
        <v>5779.84</v>
      </c>
      <c r="S2774" s="783">
        <v>1723.53</v>
      </c>
      <c r="T2774" s="783">
        <v>3450.55</v>
      </c>
      <c r="U2774" s="785">
        <v>44663.424583333297</v>
      </c>
    </row>
    <row r="2775" spans="1:21">
      <c r="A2775" s="782">
        <v>44636</v>
      </c>
      <c r="B2775" s="783" t="s">
        <v>113</v>
      </c>
      <c r="C2775" s="783" t="s">
        <v>4598</v>
      </c>
      <c r="D2775" s="783" t="s">
        <v>4009</v>
      </c>
      <c r="E2775" s="783" t="s">
        <v>7065</v>
      </c>
      <c r="F2775" s="783" t="s">
        <v>4011</v>
      </c>
      <c r="G2775" s="783" t="s">
        <v>4028</v>
      </c>
      <c r="H2775" s="783" t="s">
        <v>7066</v>
      </c>
      <c r="I2775" s="783" t="s">
        <v>7067</v>
      </c>
      <c r="J2775" s="783">
        <v>20</v>
      </c>
      <c r="K2775" s="783" t="s">
        <v>2267</v>
      </c>
      <c r="L2775" s="783" t="s">
        <v>4014</v>
      </c>
      <c r="M2775" s="784">
        <v>7112.78</v>
      </c>
      <c r="N2775" s="784">
        <v>3.23</v>
      </c>
      <c r="O2775" s="784">
        <v>11.59</v>
      </c>
      <c r="P2775" s="783">
        <v>190</v>
      </c>
      <c r="Q2775" s="783">
        <v>477.98</v>
      </c>
      <c r="R2775" s="783">
        <v>204.92</v>
      </c>
      <c r="S2775" s="783">
        <v>94.53</v>
      </c>
      <c r="T2775" s="783">
        <v>178.53</v>
      </c>
      <c r="U2775" s="785">
        <v>44637.370324074102</v>
      </c>
    </row>
    <row r="2776" spans="1:21">
      <c r="A2776" s="782">
        <v>44606</v>
      </c>
      <c r="B2776" s="783" t="s">
        <v>113</v>
      </c>
      <c r="C2776" s="783" t="s">
        <v>4606</v>
      </c>
      <c r="D2776" s="783" t="s">
        <v>4009</v>
      </c>
      <c r="E2776" s="783" t="s">
        <v>6786</v>
      </c>
      <c r="F2776" s="783" t="s">
        <v>4011</v>
      </c>
      <c r="G2776" s="783" t="str">
        <f>VLOOKUP(I2776,pacage,2,FALSE)</f>
        <v>Renewal (15% in 2020)</v>
      </c>
      <c r="H2776" s="783" t="s">
        <v>6787</v>
      </c>
      <c r="I2776" s="783" t="s">
        <v>6788</v>
      </c>
      <c r="J2776" s="783">
        <v>15</v>
      </c>
      <c r="K2776" s="783" t="s">
        <v>2267</v>
      </c>
      <c r="L2776" s="783" t="s">
        <v>4014</v>
      </c>
      <c r="M2776" s="784">
        <v>36118.19</v>
      </c>
      <c r="N2776" s="784">
        <v>17.54</v>
      </c>
      <c r="O2776" s="784">
        <v>12.79</v>
      </c>
      <c r="P2776" s="783">
        <v>161</v>
      </c>
      <c r="Q2776" s="783">
        <v>3384.27</v>
      </c>
      <c r="R2776" s="783">
        <v>1401.39</v>
      </c>
      <c r="S2776" s="783">
        <v>220.32</v>
      </c>
      <c r="T2776" s="783">
        <v>1762.57</v>
      </c>
      <c r="U2776" s="785">
        <v>44631.632349537002</v>
      </c>
    </row>
    <row r="2777" spans="1:21">
      <c r="A2777" s="782">
        <v>44572</v>
      </c>
      <c r="B2777" s="783" t="s">
        <v>41</v>
      </c>
      <c r="C2777" s="783" t="s">
        <v>4092</v>
      </c>
      <c r="D2777" s="783" t="s">
        <v>4009</v>
      </c>
      <c r="E2777" s="783" t="s">
        <v>4756</v>
      </c>
      <c r="F2777" s="783" t="s">
        <v>4011</v>
      </c>
      <c r="G2777" s="783" t="s">
        <v>4028</v>
      </c>
      <c r="H2777" s="783" t="s">
        <v>4757</v>
      </c>
      <c r="I2777" s="783" t="s">
        <v>4758</v>
      </c>
      <c r="J2777" s="783">
        <v>25</v>
      </c>
      <c r="K2777" s="783" t="s">
        <v>2267</v>
      </c>
      <c r="L2777" s="783" t="s">
        <v>4014</v>
      </c>
      <c r="M2777" s="784">
        <v>59527.44</v>
      </c>
      <c r="N2777" s="784">
        <v>26.67</v>
      </c>
      <c r="O2777" s="784">
        <v>12.4</v>
      </c>
      <c r="P2777" s="783">
        <v>180</v>
      </c>
      <c r="Q2777" s="783">
        <v>2887.08</v>
      </c>
      <c r="R2777" s="783">
        <v>1943.41</v>
      </c>
      <c r="S2777" s="783">
        <v>616.27</v>
      </c>
      <c r="T2777" s="783">
        <v>327.39999999999998</v>
      </c>
      <c r="U2777" s="785">
        <v>44631.635659722197</v>
      </c>
    </row>
    <row r="2778" spans="1:21">
      <c r="A2778" s="782">
        <v>44536</v>
      </c>
      <c r="B2778" s="783" t="s">
        <v>2866</v>
      </c>
      <c r="C2778" s="783" t="s">
        <v>4414</v>
      </c>
      <c r="D2778" s="783" t="s">
        <v>4009</v>
      </c>
      <c r="E2778" s="783" t="s">
        <v>6072</v>
      </c>
      <c r="F2778" s="783" t="s">
        <v>4011</v>
      </c>
      <c r="G2778" s="783" t="str">
        <f>VLOOKUP(I2778,pacage,2,FALSE)</f>
        <v>Renewal (25% in 2020)</v>
      </c>
      <c r="H2778" s="783" t="s">
        <v>6073</v>
      </c>
      <c r="I2778" s="783" t="s">
        <v>6074</v>
      </c>
      <c r="J2778" s="783">
        <v>25</v>
      </c>
      <c r="K2778" s="783" t="s">
        <v>2267</v>
      </c>
      <c r="L2778" s="783" t="s">
        <v>4014</v>
      </c>
      <c r="M2778" s="784">
        <v>39956.54</v>
      </c>
      <c r="N2778" s="784">
        <v>17.28</v>
      </c>
      <c r="O2778" s="784">
        <v>12.17</v>
      </c>
      <c r="P2778" s="783">
        <v>190</v>
      </c>
      <c r="Q2778" s="783">
        <v>2425.36</v>
      </c>
      <c r="R2778" s="783">
        <v>1398.33</v>
      </c>
      <c r="S2778" s="783">
        <v>515.59</v>
      </c>
      <c r="T2778" s="783">
        <v>511.44</v>
      </c>
      <c r="U2778" s="785">
        <v>44631.635648148098</v>
      </c>
    </row>
    <row r="2779" spans="1:21">
      <c r="A2779" s="782">
        <v>44524</v>
      </c>
      <c r="B2779" s="783" t="s">
        <v>3078</v>
      </c>
      <c r="C2779" s="783" t="s">
        <v>4414</v>
      </c>
      <c r="D2779" s="783" t="s">
        <v>4009</v>
      </c>
      <c r="E2779" s="783" t="s">
        <v>4449</v>
      </c>
      <c r="F2779" s="783" t="s">
        <v>4011</v>
      </c>
      <c r="G2779" s="783" t="str">
        <f>VLOOKUP(I2779,pacage,2,FALSE)</f>
        <v>Renewal (20% in 2020)</v>
      </c>
      <c r="H2779" s="783" t="s">
        <v>4450</v>
      </c>
      <c r="I2779" s="783" t="s">
        <v>4451</v>
      </c>
      <c r="J2779" s="783">
        <v>30</v>
      </c>
      <c r="K2779" s="783" t="s">
        <v>2267</v>
      </c>
      <c r="L2779" s="783" t="s">
        <v>4014</v>
      </c>
      <c r="M2779" s="784">
        <v>17503.2</v>
      </c>
      <c r="N2779" s="784">
        <v>6</v>
      </c>
      <c r="O2779" s="784">
        <v>13.26</v>
      </c>
      <c r="P2779" s="783">
        <v>220</v>
      </c>
      <c r="Q2779" s="783">
        <v>943.42</v>
      </c>
      <c r="R2779" s="783">
        <v>529.02</v>
      </c>
      <c r="S2779" s="783">
        <v>193.86</v>
      </c>
      <c r="T2779" s="783">
        <v>220.54</v>
      </c>
      <c r="U2779" s="785">
        <v>44631.632835648103</v>
      </c>
    </row>
    <row r="2780" spans="1:21">
      <c r="A2780" s="782">
        <v>44524</v>
      </c>
      <c r="B2780" s="783" t="s">
        <v>41</v>
      </c>
      <c r="C2780" s="783" t="s">
        <v>4008</v>
      </c>
      <c r="D2780" s="783" t="s">
        <v>4009</v>
      </c>
      <c r="E2780" s="783" t="s">
        <v>7068</v>
      </c>
      <c r="F2780" s="783" t="s">
        <v>4011</v>
      </c>
      <c r="G2780" s="783" t="str">
        <f>VLOOKUP(I2780,pacage,2,FALSE)</f>
        <v>Renewal (25% in 2020)</v>
      </c>
      <c r="H2780" s="783" t="s">
        <v>7069</v>
      </c>
      <c r="I2780" s="783" t="s">
        <v>7070</v>
      </c>
      <c r="J2780" s="783">
        <v>30</v>
      </c>
      <c r="K2780" s="783" t="s">
        <v>2267</v>
      </c>
      <c r="L2780" s="783" t="s">
        <v>4014</v>
      </c>
      <c r="M2780" s="784">
        <v>33237.26</v>
      </c>
      <c r="N2780" s="784">
        <v>22.17</v>
      </c>
      <c r="O2780" s="784">
        <v>9.3699999999999992</v>
      </c>
      <c r="P2780" s="783">
        <v>160</v>
      </c>
      <c r="Q2780" s="783">
        <v>1631.95</v>
      </c>
      <c r="R2780" s="783">
        <v>1329.49</v>
      </c>
      <c r="S2780" s="783">
        <v>0</v>
      </c>
      <c r="T2780" s="783">
        <v>302.45999999999998</v>
      </c>
      <c r="U2780" s="785">
        <v>44631.6333101852</v>
      </c>
    </row>
    <row r="2781" spans="1:21">
      <c r="A2781" s="782">
        <v>44409</v>
      </c>
      <c r="B2781" s="783" t="s">
        <v>113</v>
      </c>
      <c r="C2781" s="783" t="s">
        <v>4606</v>
      </c>
      <c r="D2781" s="783" t="s">
        <v>4009</v>
      </c>
      <c r="E2781" s="783" t="s">
        <v>2282</v>
      </c>
      <c r="F2781" s="783" t="s">
        <v>4011</v>
      </c>
      <c r="G2781" s="783" t="str">
        <f>VLOOKUP(I2781,pacage,2,FALSE)</f>
        <v>Renewal (15% in 2020)</v>
      </c>
      <c r="H2781" s="783" t="s">
        <v>7051</v>
      </c>
      <c r="I2781" s="783" t="s">
        <v>7052</v>
      </c>
      <c r="J2781" s="783">
        <v>15</v>
      </c>
      <c r="K2781" s="783" t="s">
        <v>2171</v>
      </c>
      <c r="L2781" s="783" t="s">
        <v>4014</v>
      </c>
      <c r="M2781" s="784">
        <v>48291.95</v>
      </c>
      <c r="N2781" s="784">
        <v>35</v>
      </c>
      <c r="O2781" s="784">
        <v>8.57</v>
      </c>
      <c r="P2781" s="783">
        <v>161</v>
      </c>
      <c r="Q2781" s="783">
        <v>4843.68</v>
      </c>
      <c r="R2781" s="783">
        <v>2013.77</v>
      </c>
      <c r="S2781" s="783">
        <v>318.73</v>
      </c>
      <c r="T2781" s="783">
        <v>2511.1799999999998</v>
      </c>
      <c r="U2781" s="785">
        <v>44631.503935185203</v>
      </c>
    </row>
    <row r="2782" spans="1:21">
      <c r="A2782" s="782">
        <v>44409</v>
      </c>
      <c r="B2782" s="783" t="s">
        <v>113</v>
      </c>
      <c r="C2782" s="783" t="s">
        <v>4606</v>
      </c>
      <c r="D2782" s="783" t="s">
        <v>4009</v>
      </c>
      <c r="E2782" s="783" t="s">
        <v>6819</v>
      </c>
      <c r="F2782" s="783" t="s">
        <v>4011</v>
      </c>
      <c r="G2782" s="783" t="str">
        <f>VLOOKUP(I2782,pacage,2,FALSE)</f>
        <v>Renewal (20% in 2020)</v>
      </c>
      <c r="H2782" s="783" t="s">
        <v>6820</v>
      </c>
      <c r="I2782" s="783" t="s">
        <v>6821</v>
      </c>
      <c r="J2782" s="783">
        <v>20</v>
      </c>
      <c r="K2782" s="783" t="s">
        <v>2171</v>
      </c>
      <c r="L2782" s="783" t="s">
        <v>4014</v>
      </c>
      <c r="M2782" s="784">
        <v>17480</v>
      </c>
      <c r="N2782" s="784">
        <v>8.74</v>
      </c>
      <c r="O2782" s="784">
        <v>10</v>
      </c>
      <c r="P2782" s="783">
        <v>200</v>
      </c>
      <c r="Q2782" s="783">
        <v>1359.94</v>
      </c>
      <c r="R2782" s="783">
        <v>586.78</v>
      </c>
      <c r="S2782" s="783">
        <v>257.51</v>
      </c>
      <c r="T2782" s="783">
        <v>515.66</v>
      </c>
      <c r="U2782" s="785">
        <v>44631.508159722202</v>
      </c>
    </row>
    <row r="2783" spans="1:21">
      <c r="A2783" s="782">
        <v>44615</v>
      </c>
      <c r="B2783" s="783" t="s">
        <v>30</v>
      </c>
      <c r="C2783" s="783" t="s">
        <v>4239</v>
      </c>
      <c r="D2783" s="783" t="s">
        <v>4021</v>
      </c>
      <c r="E2783" s="783" t="s">
        <v>5041</v>
      </c>
      <c r="F2783" s="783" t="s">
        <v>4066</v>
      </c>
      <c r="G2783" s="783" t="s">
        <v>4028</v>
      </c>
      <c r="H2783" s="783" t="s">
        <v>5042</v>
      </c>
      <c r="I2783" s="783" t="s">
        <v>5043</v>
      </c>
      <c r="J2783" s="783">
        <v>10</v>
      </c>
      <c r="K2783" s="783" t="s">
        <v>2171</v>
      </c>
      <c r="L2783" s="783" t="s">
        <v>4014</v>
      </c>
      <c r="M2783" s="784">
        <v>40805.1</v>
      </c>
      <c r="N2783" s="784">
        <v>26.67</v>
      </c>
      <c r="O2783" s="784">
        <v>8.5</v>
      </c>
      <c r="P2783" s="783">
        <v>180</v>
      </c>
      <c r="Q2783" s="783">
        <v>628.4</v>
      </c>
      <c r="R2783" s="783">
        <v>0</v>
      </c>
      <c r="S2783" s="783">
        <v>0</v>
      </c>
      <c r="T2783" s="783">
        <v>628.4</v>
      </c>
      <c r="U2783" s="785">
        <v>44631.626284722202</v>
      </c>
    </row>
    <row r="2784" spans="1:21">
      <c r="A2784" s="782">
        <v>44680</v>
      </c>
      <c r="B2784" s="783" t="s">
        <v>113</v>
      </c>
      <c r="C2784" s="783" t="s">
        <v>4606</v>
      </c>
      <c r="D2784" s="783" t="s">
        <v>4009</v>
      </c>
      <c r="E2784" s="783" t="s">
        <v>7053</v>
      </c>
      <c r="F2784" s="783" t="s">
        <v>4011</v>
      </c>
      <c r="G2784" s="783" t="str">
        <f>VLOOKUP(I2784,pacage,2,FALSE)</f>
        <v>Renewal (15% in 2020)</v>
      </c>
      <c r="H2784" s="783" t="s">
        <v>7054</v>
      </c>
      <c r="I2784" s="783" t="s">
        <v>7055</v>
      </c>
      <c r="J2784" s="783">
        <v>15</v>
      </c>
      <c r="K2784" s="783" t="s">
        <v>2171</v>
      </c>
      <c r="L2784" s="783" t="s">
        <v>4014</v>
      </c>
      <c r="M2784" s="784">
        <v>48020</v>
      </c>
      <c r="N2784" s="784">
        <v>24.5</v>
      </c>
      <c r="O2784" s="784">
        <v>9.8000000000000007</v>
      </c>
      <c r="P2784" s="783">
        <v>200</v>
      </c>
      <c r="Q2784" s="783">
        <v>4816.41</v>
      </c>
      <c r="R2784" s="783">
        <v>1611.96</v>
      </c>
      <c r="S2784" s="783">
        <v>707.41</v>
      </c>
      <c r="T2784" s="783">
        <v>2497.04</v>
      </c>
      <c r="U2784" s="785">
        <v>44683.489618055602</v>
      </c>
    </row>
    <row r="2785" spans="1:21">
      <c r="A2785" s="782">
        <v>44680</v>
      </c>
      <c r="B2785" s="783" t="s">
        <v>113</v>
      </c>
      <c r="C2785" s="783" t="s">
        <v>4606</v>
      </c>
      <c r="D2785" s="783" t="s">
        <v>4009</v>
      </c>
      <c r="E2785" s="783" t="s">
        <v>6711</v>
      </c>
      <c r="F2785" s="783" t="s">
        <v>4011</v>
      </c>
      <c r="G2785" s="783" t="s">
        <v>4028</v>
      </c>
      <c r="H2785" s="783" t="s">
        <v>6712</v>
      </c>
      <c r="I2785" s="783" t="s">
        <v>6713</v>
      </c>
      <c r="J2785" s="783">
        <v>25</v>
      </c>
      <c r="K2785" s="783" t="s">
        <v>2171</v>
      </c>
      <c r="L2785" s="783" t="s">
        <v>4014</v>
      </c>
      <c r="M2785" s="784">
        <v>45884.84</v>
      </c>
      <c r="N2785" s="784">
        <v>19.93</v>
      </c>
      <c r="O2785" s="784">
        <v>11</v>
      </c>
      <c r="P2785" s="783">
        <v>209.3</v>
      </c>
      <c r="Q2785" s="783">
        <v>2881.57</v>
      </c>
      <c r="R2785" s="783">
        <v>1471.84</v>
      </c>
      <c r="S2785" s="783">
        <v>744.39</v>
      </c>
      <c r="T2785" s="783">
        <v>665.33</v>
      </c>
      <c r="U2785" s="785">
        <v>44680.749166666697</v>
      </c>
    </row>
    <row r="2786" spans="1:21">
      <c r="A2786" s="782">
        <v>44699</v>
      </c>
      <c r="B2786" s="783" t="s">
        <v>41</v>
      </c>
      <c r="C2786" s="783" t="s">
        <v>4092</v>
      </c>
      <c r="D2786" s="783" t="s">
        <v>4009</v>
      </c>
      <c r="E2786" s="783" t="s">
        <v>5230</v>
      </c>
      <c r="F2786" s="783" t="s">
        <v>4011</v>
      </c>
      <c r="G2786" s="783" t="str">
        <f>VLOOKUP(I2786,pacage,2,FALSE)</f>
        <v>Renewal (20% in 2020)</v>
      </c>
      <c r="H2786" s="783" t="s">
        <v>5231</v>
      </c>
      <c r="I2786" s="783" t="s">
        <v>5232</v>
      </c>
      <c r="J2786" s="783">
        <v>20</v>
      </c>
      <c r="K2786" s="783" t="s">
        <v>2171</v>
      </c>
      <c r="L2786" s="783" t="s">
        <v>4014</v>
      </c>
      <c r="M2786" s="784">
        <v>8040.96</v>
      </c>
      <c r="N2786" s="784">
        <v>5.76</v>
      </c>
      <c r="O2786" s="784">
        <v>6.98</v>
      </c>
      <c r="P2786" s="783">
        <v>200</v>
      </c>
      <c r="Q2786" s="783">
        <v>761.48</v>
      </c>
      <c r="R2786" s="783">
        <v>355.37</v>
      </c>
      <c r="S2786" s="783">
        <v>164.88</v>
      </c>
      <c r="T2786" s="783">
        <v>241.23</v>
      </c>
      <c r="U2786" s="785">
        <v>44700.525358796302</v>
      </c>
    </row>
    <row r="2787" spans="1:21">
      <c r="A2787" s="782">
        <v>44657</v>
      </c>
      <c r="B2787" s="783" t="s">
        <v>41</v>
      </c>
      <c r="C2787" s="783" t="s">
        <v>4092</v>
      </c>
      <c r="D2787" s="783" t="s">
        <v>4009</v>
      </c>
      <c r="E2787" s="783" t="s">
        <v>5245</v>
      </c>
      <c r="F2787" s="783" t="s">
        <v>4011</v>
      </c>
      <c r="G2787" s="783" t="str">
        <f>VLOOKUP(I2787,pacage,2,FALSE)</f>
        <v>Renewal (30% in 2020)</v>
      </c>
      <c r="H2787" s="783" t="s">
        <v>5246</v>
      </c>
      <c r="I2787" s="783" t="s">
        <v>5247</v>
      </c>
      <c r="J2787" s="783">
        <v>30</v>
      </c>
      <c r="K2787" s="783" t="s">
        <v>2171</v>
      </c>
      <c r="L2787" s="783" t="s">
        <v>4014</v>
      </c>
      <c r="M2787" s="784">
        <v>26067.09</v>
      </c>
      <c r="N2787" s="784">
        <v>25.18</v>
      </c>
      <c r="O2787" s="784">
        <v>6.43</v>
      </c>
      <c r="P2787" s="783">
        <v>161</v>
      </c>
      <c r="Q2787" s="783">
        <v>1621.37</v>
      </c>
      <c r="R2787" s="783">
        <v>1431.08</v>
      </c>
      <c r="S2787" s="783">
        <v>0</v>
      </c>
      <c r="T2787" s="783">
        <v>190.29</v>
      </c>
      <c r="U2787" s="785">
        <v>44657.628784722197</v>
      </c>
    </row>
    <row r="2788" spans="1:21">
      <c r="A2788" s="782">
        <v>44696</v>
      </c>
      <c r="B2788" s="783" t="s">
        <v>113</v>
      </c>
      <c r="C2788" s="783" t="s">
        <v>4606</v>
      </c>
      <c r="D2788" s="783" t="s">
        <v>4009</v>
      </c>
      <c r="E2788" s="783" t="s">
        <v>6651</v>
      </c>
      <c r="F2788" s="783" t="s">
        <v>4011</v>
      </c>
      <c r="G2788" s="783" t="str">
        <f>VLOOKUP(I2788,pacage,2,FALSE)</f>
        <v>Renewal (15% in 2020)</v>
      </c>
      <c r="H2788" s="783" t="s">
        <v>6652</v>
      </c>
      <c r="I2788" s="783" t="s">
        <v>6653</v>
      </c>
      <c r="J2788" s="783">
        <v>15</v>
      </c>
      <c r="K2788" s="783" t="s">
        <v>2171</v>
      </c>
      <c r="L2788" s="783" t="s">
        <v>4014</v>
      </c>
      <c r="M2788" s="784">
        <v>32838.080000000002</v>
      </c>
      <c r="N2788" s="784">
        <v>16</v>
      </c>
      <c r="O2788" s="784">
        <v>9.82</v>
      </c>
      <c r="P2788" s="783">
        <v>209</v>
      </c>
      <c r="Q2788" s="783">
        <v>3293.66</v>
      </c>
      <c r="R2788" s="783">
        <v>1054.8599999999999</v>
      </c>
      <c r="S2788" s="783">
        <v>531.22</v>
      </c>
      <c r="T2788" s="783">
        <v>1707.58</v>
      </c>
      <c r="U2788" s="785">
        <v>44697.410104166702</v>
      </c>
    </row>
    <row r="2789" spans="1:21">
      <c r="A2789" s="782">
        <v>44665</v>
      </c>
      <c r="B2789" s="783" t="s">
        <v>113</v>
      </c>
      <c r="C2789" s="783" t="s">
        <v>4606</v>
      </c>
      <c r="D2789" s="783" t="s">
        <v>4009</v>
      </c>
      <c r="E2789" s="783" t="s">
        <v>6639</v>
      </c>
      <c r="F2789" s="783" t="s">
        <v>4011</v>
      </c>
      <c r="G2789" s="783" t="str">
        <f>VLOOKUP(I2789,pacage,2,FALSE)</f>
        <v>Renewal (25% in 2020)</v>
      </c>
      <c r="H2789" s="783" t="s">
        <v>6640</v>
      </c>
      <c r="I2789" s="783" t="s">
        <v>6641</v>
      </c>
      <c r="J2789" s="783">
        <v>25</v>
      </c>
      <c r="K2789" s="783" t="s">
        <v>2171</v>
      </c>
      <c r="L2789" s="783" t="s">
        <v>4014</v>
      </c>
      <c r="M2789" s="784">
        <v>18231.07</v>
      </c>
      <c r="N2789" s="784">
        <v>7.93</v>
      </c>
      <c r="O2789" s="784">
        <v>11</v>
      </c>
      <c r="P2789" s="783">
        <v>209</v>
      </c>
      <c r="Q2789" s="783">
        <v>1144.9100000000001</v>
      </c>
      <c r="R2789" s="783">
        <v>585.64</v>
      </c>
      <c r="S2789" s="783">
        <v>294.92</v>
      </c>
      <c r="T2789" s="783">
        <v>264.35000000000002</v>
      </c>
      <c r="U2789" s="785">
        <v>44665.673333333303</v>
      </c>
    </row>
    <row r="2790" spans="1:21">
      <c r="A2790" s="782">
        <v>44665</v>
      </c>
      <c r="B2790" s="783" t="s">
        <v>113</v>
      </c>
      <c r="C2790" s="783" t="s">
        <v>4606</v>
      </c>
      <c r="D2790" s="783" t="s">
        <v>4009</v>
      </c>
      <c r="E2790" s="783" t="s">
        <v>7071</v>
      </c>
      <c r="F2790" s="783" t="s">
        <v>4011</v>
      </c>
      <c r="G2790" s="783" t="s">
        <v>4028</v>
      </c>
      <c r="H2790" s="783" t="s">
        <v>7072</v>
      </c>
      <c r="I2790" s="783" t="s">
        <v>7073</v>
      </c>
      <c r="J2790" s="783">
        <v>30</v>
      </c>
      <c r="K2790" s="783" t="s">
        <v>2171</v>
      </c>
      <c r="L2790" s="783" t="s">
        <v>4014</v>
      </c>
      <c r="M2790" s="784">
        <v>18943.759999999998</v>
      </c>
      <c r="N2790" s="784">
        <v>8.24</v>
      </c>
      <c r="O2790" s="784">
        <v>11</v>
      </c>
      <c r="P2790" s="783">
        <v>209</v>
      </c>
      <c r="Q2790" s="783">
        <v>1066.53</v>
      </c>
      <c r="R2790" s="783">
        <v>608.53</v>
      </c>
      <c r="S2790" s="783">
        <v>181.43</v>
      </c>
      <c r="T2790" s="783">
        <v>276.58</v>
      </c>
      <c r="U2790" s="785">
        <v>44666.385671296302</v>
      </c>
    </row>
    <row r="2791" spans="1:21">
      <c r="A2791" s="782">
        <v>44668</v>
      </c>
      <c r="B2791" s="783" t="s">
        <v>113</v>
      </c>
      <c r="C2791" s="783" t="s">
        <v>4598</v>
      </c>
      <c r="D2791" s="783" t="s">
        <v>4009</v>
      </c>
      <c r="E2791" s="783" t="s">
        <v>7056</v>
      </c>
      <c r="F2791" s="783" t="s">
        <v>4011</v>
      </c>
      <c r="G2791" s="783" t="str">
        <f>VLOOKUP(I2791,pacage,2,FALSE)</f>
        <v>Renewal (20% in 2020)</v>
      </c>
      <c r="H2791" s="783" t="s">
        <v>7057</v>
      </c>
      <c r="I2791" s="783" t="s">
        <v>7058</v>
      </c>
      <c r="J2791" s="783">
        <v>15</v>
      </c>
      <c r="K2791" s="783" t="s">
        <v>2171</v>
      </c>
      <c r="L2791" s="783" t="s">
        <v>4014</v>
      </c>
      <c r="M2791" s="784">
        <v>12768.91</v>
      </c>
      <c r="N2791" s="784">
        <v>11.33</v>
      </c>
      <c r="O2791" s="784">
        <v>7</v>
      </c>
      <c r="P2791" s="783">
        <v>161</v>
      </c>
      <c r="Q2791" s="783">
        <v>1271.78</v>
      </c>
      <c r="R2791" s="783">
        <v>497.99</v>
      </c>
      <c r="S2791" s="783">
        <v>120.03</v>
      </c>
      <c r="T2791" s="783">
        <v>653.77</v>
      </c>
      <c r="U2791" s="785">
        <v>44671.488622685203</v>
      </c>
    </row>
    <row r="2792" spans="1:21">
      <c r="A2792" s="782">
        <v>44683</v>
      </c>
      <c r="B2792" s="783" t="s">
        <v>113</v>
      </c>
      <c r="C2792" s="783" t="s">
        <v>4606</v>
      </c>
      <c r="D2792" s="783" t="s">
        <v>4009</v>
      </c>
      <c r="E2792" s="783" t="s">
        <v>6721</v>
      </c>
      <c r="F2792" s="783" t="s">
        <v>4011</v>
      </c>
      <c r="G2792" s="783" t="s">
        <v>4028</v>
      </c>
      <c r="H2792" s="783" t="s">
        <v>6722</v>
      </c>
      <c r="I2792" s="783" t="s">
        <v>6723</v>
      </c>
      <c r="J2792" s="783">
        <v>25</v>
      </c>
      <c r="K2792" s="783" t="s">
        <v>2171</v>
      </c>
      <c r="L2792" s="783" t="s">
        <v>4014</v>
      </c>
      <c r="M2792" s="784">
        <v>41829.21</v>
      </c>
      <c r="N2792" s="784">
        <v>22.85</v>
      </c>
      <c r="O2792" s="784">
        <v>10.17</v>
      </c>
      <c r="P2792" s="783">
        <v>180</v>
      </c>
      <c r="Q2792" s="783">
        <v>2626.87</v>
      </c>
      <c r="R2792" s="783">
        <v>1560.16</v>
      </c>
      <c r="S2792" s="783">
        <v>460.19</v>
      </c>
      <c r="T2792" s="783">
        <v>606.52</v>
      </c>
      <c r="U2792" s="785">
        <v>44684.403680555602</v>
      </c>
    </row>
    <row r="2793" spans="1:21">
      <c r="A2793" s="782">
        <v>44666</v>
      </c>
      <c r="B2793" s="783" t="s">
        <v>113</v>
      </c>
      <c r="C2793" s="783" t="s">
        <v>4606</v>
      </c>
      <c r="D2793" s="783" t="s">
        <v>4009</v>
      </c>
      <c r="E2793" s="783" t="s">
        <v>7074</v>
      </c>
      <c r="F2793" s="783" t="s">
        <v>4011</v>
      </c>
      <c r="G2793" s="783" t="s">
        <v>4028</v>
      </c>
      <c r="H2793" s="783" t="s">
        <v>7075</v>
      </c>
      <c r="I2793" s="783" t="s">
        <v>7076</v>
      </c>
      <c r="J2793" s="783">
        <v>25</v>
      </c>
      <c r="K2793" s="783" t="s">
        <v>2171</v>
      </c>
      <c r="L2793" s="783" t="s">
        <v>4014</v>
      </c>
      <c r="M2793" s="784">
        <v>11000</v>
      </c>
      <c r="N2793" s="784">
        <v>5.5</v>
      </c>
      <c r="O2793" s="784">
        <v>10</v>
      </c>
      <c r="P2793" s="783">
        <v>200</v>
      </c>
      <c r="Q2793" s="783">
        <v>690.8</v>
      </c>
      <c r="R2793" s="783">
        <v>369.25</v>
      </c>
      <c r="S2793" s="783">
        <v>162.05000000000001</v>
      </c>
      <c r="T2793" s="783">
        <v>159.5</v>
      </c>
      <c r="U2793" s="785">
        <v>44671.481087963002</v>
      </c>
    </row>
    <row r="2794" spans="1:21">
      <c r="A2794" s="782">
        <v>44678</v>
      </c>
      <c r="B2794" s="783" t="s">
        <v>113</v>
      </c>
      <c r="C2794" s="783" t="s">
        <v>4598</v>
      </c>
      <c r="D2794" s="783" t="s">
        <v>4009</v>
      </c>
      <c r="E2794" s="783" t="s">
        <v>5480</v>
      </c>
      <c r="F2794" s="783" t="s">
        <v>4011</v>
      </c>
      <c r="G2794" s="783" t="str">
        <f t="shared" ref="G2794:G2800" si="148">VLOOKUP(I2794,pacage,2,FALSE)</f>
        <v>Renewal (30% in 2020)</v>
      </c>
      <c r="H2794" s="783" t="s">
        <v>5481</v>
      </c>
      <c r="I2794" s="783" t="s">
        <v>5482</v>
      </c>
      <c r="J2794" s="783">
        <v>30</v>
      </c>
      <c r="K2794" s="783" t="s">
        <v>2171</v>
      </c>
      <c r="L2794" s="783" t="s">
        <v>4014</v>
      </c>
      <c r="M2794" s="784">
        <v>18240.009999999998</v>
      </c>
      <c r="N2794" s="784">
        <v>10.49</v>
      </c>
      <c r="O2794" s="784">
        <v>9.66</v>
      </c>
      <c r="P2794" s="783">
        <v>180</v>
      </c>
      <c r="Q2794" s="783">
        <v>953.95</v>
      </c>
      <c r="R2794" s="783">
        <v>636.27</v>
      </c>
      <c r="S2794" s="783">
        <v>75.09</v>
      </c>
      <c r="T2794" s="783">
        <v>242.59</v>
      </c>
      <c r="U2794" s="785">
        <v>44680.4984259259</v>
      </c>
    </row>
    <row r="2795" spans="1:21">
      <c r="A2795" s="782">
        <v>44680</v>
      </c>
      <c r="B2795" s="783" t="s">
        <v>113</v>
      </c>
      <c r="C2795" s="783" t="s">
        <v>4606</v>
      </c>
      <c r="D2795" s="783" t="s">
        <v>4009</v>
      </c>
      <c r="E2795" s="783" t="s">
        <v>7059</v>
      </c>
      <c r="F2795" s="783" t="s">
        <v>4011</v>
      </c>
      <c r="G2795" s="783" t="str">
        <f t="shared" si="148"/>
        <v>Renewal (20% in 2020)</v>
      </c>
      <c r="H2795" s="783" t="s">
        <v>7060</v>
      </c>
      <c r="I2795" s="783" t="s">
        <v>7061</v>
      </c>
      <c r="J2795" s="783">
        <v>20</v>
      </c>
      <c r="K2795" s="783" t="s">
        <v>2171</v>
      </c>
      <c r="L2795" s="783" t="s">
        <v>4014</v>
      </c>
      <c r="M2795" s="784">
        <v>9527.69</v>
      </c>
      <c r="N2795" s="784">
        <v>3.71</v>
      </c>
      <c r="O2795" s="784">
        <v>12.27</v>
      </c>
      <c r="P2795" s="783">
        <v>209.3</v>
      </c>
      <c r="Q2795" s="783">
        <v>741.25</v>
      </c>
      <c r="R2795" s="783">
        <v>305.62</v>
      </c>
      <c r="S2795" s="783">
        <v>154.57</v>
      </c>
      <c r="T2795" s="783">
        <v>281.07</v>
      </c>
      <c r="U2795" s="785">
        <v>44687.652141203696</v>
      </c>
    </row>
    <row r="2796" spans="1:21">
      <c r="A2796" s="782">
        <v>44680</v>
      </c>
      <c r="B2796" s="783" t="s">
        <v>113</v>
      </c>
      <c r="C2796" s="783" t="s">
        <v>4598</v>
      </c>
      <c r="D2796" s="783" t="s">
        <v>4009</v>
      </c>
      <c r="E2796" s="783" t="s">
        <v>7059</v>
      </c>
      <c r="F2796" s="783" t="s">
        <v>4011</v>
      </c>
      <c r="G2796" s="783" t="str">
        <f t="shared" si="148"/>
        <v>Renewal (20% in 2020)</v>
      </c>
      <c r="H2796" s="783" t="s">
        <v>7060</v>
      </c>
      <c r="I2796" s="783" t="s">
        <v>7061</v>
      </c>
      <c r="J2796" s="783">
        <v>20</v>
      </c>
      <c r="K2796" s="783" t="s">
        <v>2171</v>
      </c>
      <c r="L2796" s="783" t="s">
        <v>4014</v>
      </c>
      <c r="M2796" s="784">
        <v>6658.13</v>
      </c>
      <c r="N2796" s="784">
        <v>2.58</v>
      </c>
      <c r="O2796" s="784">
        <v>12.33</v>
      </c>
      <c r="P2796" s="783">
        <v>209.3</v>
      </c>
      <c r="Q2796" s="783">
        <v>512.01</v>
      </c>
      <c r="R2796" s="783">
        <v>199.74</v>
      </c>
      <c r="S2796" s="783">
        <v>122.51</v>
      </c>
      <c r="T2796" s="783">
        <v>189.76</v>
      </c>
      <c r="U2796" s="785">
        <v>44687.652152777802</v>
      </c>
    </row>
    <row r="2797" spans="1:21">
      <c r="A2797" s="782">
        <v>44708</v>
      </c>
      <c r="B2797" s="783" t="s">
        <v>41</v>
      </c>
      <c r="C2797" s="783" t="s">
        <v>4082</v>
      </c>
      <c r="D2797" s="783" t="s">
        <v>4009</v>
      </c>
      <c r="E2797" s="783" t="s">
        <v>5600</v>
      </c>
      <c r="F2797" s="783" t="s">
        <v>4011</v>
      </c>
      <c r="G2797" s="783" t="str">
        <f t="shared" si="148"/>
        <v>Renewal (15% in 2020)</v>
      </c>
      <c r="H2797" s="783" t="s">
        <v>5601</v>
      </c>
      <c r="I2797" s="783" t="s">
        <v>5602</v>
      </c>
      <c r="J2797" s="783">
        <v>15</v>
      </c>
      <c r="K2797" s="783" t="s">
        <v>2171</v>
      </c>
      <c r="L2797" s="783" t="s">
        <v>4014</v>
      </c>
      <c r="M2797" s="784">
        <v>16750.8</v>
      </c>
      <c r="N2797" s="784">
        <v>22</v>
      </c>
      <c r="O2797" s="784">
        <v>4.2300000000000004</v>
      </c>
      <c r="P2797" s="783">
        <v>180</v>
      </c>
      <c r="Q2797" s="783">
        <v>1849.29</v>
      </c>
      <c r="R2797" s="783">
        <v>716.17</v>
      </c>
      <c r="S2797" s="783">
        <v>228.57</v>
      </c>
      <c r="T2797" s="783">
        <v>904.54</v>
      </c>
      <c r="U2797" s="785">
        <v>44711.535879629599</v>
      </c>
    </row>
    <row r="2798" spans="1:21">
      <c r="A2798" s="782">
        <v>44713</v>
      </c>
      <c r="B2798" s="783" t="s">
        <v>113</v>
      </c>
      <c r="C2798" s="783" t="s">
        <v>4606</v>
      </c>
      <c r="D2798" s="783" t="s">
        <v>4009</v>
      </c>
      <c r="E2798" s="783" t="s">
        <v>6929</v>
      </c>
      <c r="F2798" s="783" t="s">
        <v>4011</v>
      </c>
      <c r="G2798" s="783" t="str">
        <f t="shared" si="148"/>
        <v>Renewal (20% in 2020)</v>
      </c>
      <c r="H2798" s="783" t="s">
        <v>6930</v>
      </c>
      <c r="I2798" s="783" t="s">
        <v>6931</v>
      </c>
      <c r="J2798" s="783">
        <v>30</v>
      </c>
      <c r="K2798" s="783" t="s">
        <v>2171</v>
      </c>
      <c r="L2798" s="783" t="s">
        <v>4014</v>
      </c>
      <c r="M2798" s="784">
        <v>13820.68</v>
      </c>
      <c r="N2798" s="784">
        <v>7.94</v>
      </c>
      <c r="O2798" s="784">
        <v>9.4600000000000009</v>
      </c>
      <c r="P2798" s="783">
        <v>184</v>
      </c>
      <c r="Q2798" s="783">
        <v>778.1</v>
      </c>
      <c r="R2798" s="783">
        <v>504.28</v>
      </c>
      <c r="S2798" s="783">
        <v>72.040000000000006</v>
      </c>
      <c r="T2798" s="783">
        <v>201.78</v>
      </c>
      <c r="U2798" s="785">
        <v>44715.441192129598</v>
      </c>
    </row>
    <row r="2799" spans="1:21">
      <c r="A2799" s="782">
        <v>44701</v>
      </c>
      <c r="B2799" s="783" t="s">
        <v>65</v>
      </c>
      <c r="C2799" s="783" t="s">
        <v>4606</v>
      </c>
      <c r="D2799" s="783" t="s">
        <v>4009</v>
      </c>
      <c r="E2799" s="783" t="s">
        <v>6947</v>
      </c>
      <c r="F2799" s="783" t="s">
        <v>4011</v>
      </c>
      <c r="G2799" s="783" t="str">
        <f t="shared" si="148"/>
        <v>New contract</v>
      </c>
      <c r="H2799" s="783" t="s">
        <v>6948</v>
      </c>
      <c r="I2799" s="783" t="s">
        <v>6949</v>
      </c>
      <c r="J2799" s="783">
        <v>20</v>
      </c>
      <c r="K2799" s="783" t="s">
        <v>2171</v>
      </c>
      <c r="L2799" s="783" t="s">
        <v>4014</v>
      </c>
      <c r="M2799" s="784">
        <v>71658.12</v>
      </c>
      <c r="N2799" s="784">
        <v>35.58</v>
      </c>
      <c r="O2799" s="784">
        <v>10.6</v>
      </c>
      <c r="P2799" s="783">
        <v>190</v>
      </c>
      <c r="Q2799" s="783">
        <v>5575</v>
      </c>
      <c r="R2799" s="783">
        <v>2532.06</v>
      </c>
      <c r="S2799" s="783">
        <v>929.03</v>
      </c>
      <c r="T2799" s="783">
        <v>2113.91</v>
      </c>
      <c r="U2799" s="785">
        <v>44701.653599537</v>
      </c>
    </row>
    <row r="2800" spans="1:21">
      <c r="A2800" s="782">
        <v>44700</v>
      </c>
      <c r="B2800" s="783" t="s">
        <v>30</v>
      </c>
      <c r="C2800" s="783" t="s">
        <v>4239</v>
      </c>
      <c r="D2800" s="783" t="s">
        <v>4021</v>
      </c>
      <c r="E2800" s="783" t="s">
        <v>2043</v>
      </c>
      <c r="F2800" s="783" t="s">
        <v>4011</v>
      </c>
      <c r="G2800" s="783" t="str">
        <f t="shared" si="148"/>
        <v>Renewal (30% in 2020)</v>
      </c>
      <c r="H2800" s="783" t="s">
        <v>4240</v>
      </c>
      <c r="I2800" s="783" t="s">
        <v>4241</v>
      </c>
      <c r="J2800" s="783">
        <v>30</v>
      </c>
      <c r="K2800" s="783" t="s">
        <v>2171</v>
      </c>
      <c r="L2800" s="783" t="s">
        <v>4014</v>
      </c>
      <c r="M2800" s="784">
        <v>17350.11</v>
      </c>
      <c r="N2800" s="784">
        <v>13.15</v>
      </c>
      <c r="O2800" s="784">
        <v>7.33</v>
      </c>
      <c r="P2800" s="783">
        <v>180</v>
      </c>
      <c r="Q2800" s="783">
        <v>811.99</v>
      </c>
      <c r="R2800" s="783">
        <v>616.09</v>
      </c>
      <c r="S2800" s="783">
        <v>72.709999999999994</v>
      </c>
      <c r="T2800" s="783">
        <v>123.19</v>
      </c>
      <c r="U2800" s="785">
        <v>44700.716516203698</v>
      </c>
    </row>
    <row r="2801" spans="1:21">
      <c r="A2801" s="782">
        <v>44701</v>
      </c>
      <c r="B2801" s="783" t="s">
        <v>113</v>
      </c>
      <c r="C2801" s="783" t="s">
        <v>4606</v>
      </c>
      <c r="D2801" s="783" t="s">
        <v>4009</v>
      </c>
      <c r="E2801" s="783" t="s">
        <v>7062</v>
      </c>
      <c r="F2801" s="783" t="s">
        <v>4066</v>
      </c>
      <c r="G2801" s="783" t="s">
        <v>4028</v>
      </c>
      <c r="H2801" s="783" t="s">
        <v>7063</v>
      </c>
      <c r="I2801" s="783" t="s">
        <v>7064</v>
      </c>
      <c r="J2801" s="783">
        <v>10</v>
      </c>
      <c r="K2801" s="783" t="s">
        <v>2171</v>
      </c>
      <c r="L2801" s="783" t="s">
        <v>4014</v>
      </c>
      <c r="M2801" s="784">
        <v>18787.5</v>
      </c>
      <c r="N2801" s="784">
        <v>8.35</v>
      </c>
      <c r="O2801" s="784">
        <v>12.5</v>
      </c>
      <c r="P2801" s="783">
        <v>180</v>
      </c>
      <c r="Q2801" s="783">
        <v>550.47</v>
      </c>
      <c r="R2801" s="783">
        <v>0</v>
      </c>
      <c r="S2801" s="783">
        <v>0</v>
      </c>
      <c r="T2801" s="783">
        <v>550.47</v>
      </c>
      <c r="U2801" s="785">
        <v>44701.567013888904</v>
      </c>
    </row>
    <row r="2802" spans="1:21">
      <c r="A2802" s="782">
        <v>44672</v>
      </c>
      <c r="B2802" s="783" t="s">
        <v>113</v>
      </c>
      <c r="C2802" s="783" t="s">
        <v>4606</v>
      </c>
      <c r="D2802" s="783" t="s">
        <v>4009</v>
      </c>
      <c r="E2802" s="783" t="s">
        <v>6973</v>
      </c>
      <c r="F2802" s="783" t="s">
        <v>4011</v>
      </c>
      <c r="G2802" s="783" t="s">
        <v>4028</v>
      </c>
      <c r="H2802" s="783" t="s">
        <v>6974</v>
      </c>
      <c r="I2802" s="783" t="s">
        <v>6975</v>
      </c>
      <c r="J2802" s="783">
        <v>25</v>
      </c>
      <c r="K2802" s="783" t="s">
        <v>2171</v>
      </c>
      <c r="L2802" s="783" t="s">
        <v>4014</v>
      </c>
      <c r="M2802" s="784">
        <v>27588</v>
      </c>
      <c r="N2802" s="784">
        <v>15</v>
      </c>
      <c r="O2802" s="784">
        <v>8.8000000000000007</v>
      </c>
      <c r="P2802" s="783">
        <v>209</v>
      </c>
      <c r="Q2802" s="783">
        <v>1732.53</v>
      </c>
      <c r="R2802" s="783">
        <v>886.21</v>
      </c>
      <c r="S2802" s="783">
        <v>446.29</v>
      </c>
      <c r="T2802" s="783">
        <v>400.03</v>
      </c>
      <c r="U2802" s="785">
        <v>44673.389398148101</v>
      </c>
    </row>
    <row r="2803" spans="1:21">
      <c r="A2803" s="782">
        <v>44678</v>
      </c>
      <c r="B2803" s="783" t="s">
        <v>113</v>
      </c>
      <c r="C2803" s="783" t="s">
        <v>4606</v>
      </c>
      <c r="D2803" s="783" t="s">
        <v>4009</v>
      </c>
      <c r="E2803" s="783" t="s">
        <v>6684</v>
      </c>
      <c r="F2803" s="783" t="s">
        <v>4011</v>
      </c>
      <c r="G2803" s="783" t="s">
        <v>4028</v>
      </c>
      <c r="H2803" s="783" t="s">
        <v>6685</v>
      </c>
      <c r="I2803" s="783" t="s">
        <v>6686</v>
      </c>
      <c r="J2803" s="783">
        <v>25</v>
      </c>
      <c r="K2803" s="783" t="s">
        <v>2171</v>
      </c>
      <c r="L2803" s="783" t="s">
        <v>4014</v>
      </c>
      <c r="M2803" s="784">
        <v>5460</v>
      </c>
      <c r="N2803" s="784">
        <v>4.2</v>
      </c>
      <c r="O2803" s="784">
        <v>10</v>
      </c>
      <c r="P2803" s="783">
        <v>130</v>
      </c>
      <c r="Q2803" s="783">
        <v>342.89</v>
      </c>
      <c r="R2803" s="783">
        <v>227.68</v>
      </c>
      <c r="S2803" s="783">
        <v>36.04</v>
      </c>
      <c r="T2803" s="783">
        <v>79.17</v>
      </c>
      <c r="U2803" s="785">
        <v>44680.665173611102</v>
      </c>
    </row>
    <row r="2804" spans="1:21">
      <c r="A2804" s="782">
        <v>44663</v>
      </c>
      <c r="B2804" s="783" t="s">
        <v>150</v>
      </c>
      <c r="C2804" s="783" t="s">
        <v>4037</v>
      </c>
      <c r="D2804" s="783" t="s">
        <v>4038</v>
      </c>
      <c r="E2804" s="783" t="s">
        <v>6997</v>
      </c>
      <c r="F2804" s="783" t="s">
        <v>4011</v>
      </c>
      <c r="G2804" s="783" t="str">
        <f>VLOOKUP(I2804,pacage,2,FALSE)</f>
        <v>Renewal (20% in 2020)</v>
      </c>
      <c r="H2804" s="783" t="s">
        <v>6998</v>
      </c>
      <c r="I2804" s="783" t="s">
        <v>6999</v>
      </c>
      <c r="J2804" s="783">
        <v>20</v>
      </c>
      <c r="K2804" s="783" t="s">
        <v>2171</v>
      </c>
      <c r="L2804" s="783" t="s">
        <v>4014</v>
      </c>
      <c r="M2804" s="784">
        <v>40723.199999999997</v>
      </c>
      <c r="N2804" s="784">
        <v>32</v>
      </c>
      <c r="O2804" s="784">
        <v>7.07</v>
      </c>
      <c r="P2804" s="783">
        <v>180</v>
      </c>
      <c r="Q2804" s="783">
        <v>4361.45</v>
      </c>
      <c r="R2804" s="783">
        <v>2108.9899999999998</v>
      </c>
      <c r="S2804" s="783">
        <v>627.61</v>
      </c>
      <c r="T2804" s="783">
        <v>1624.86</v>
      </c>
      <c r="U2804" s="785">
        <v>44663.424583333297</v>
      </c>
    </row>
    <row r="2805" spans="1:21">
      <c r="A2805" s="782">
        <v>44638</v>
      </c>
      <c r="B2805" s="783" t="s">
        <v>113</v>
      </c>
      <c r="C2805" s="783" t="s">
        <v>4606</v>
      </c>
      <c r="D2805" s="783" t="s">
        <v>4009</v>
      </c>
      <c r="E2805" s="783" t="s">
        <v>6770</v>
      </c>
      <c r="F2805" s="783" t="s">
        <v>4011</v>
      </c>
      <c r="G2805" s="783" t="s">
        <v>4028</v>
      </c>
      <c r="H2805" s="783" t="s">
        <v>6771</v>
      </c>
      <c r="I2805" s="783" t="s">
        <v>6772</v>
      </c>
      <c r="J2805" s="783">
        <v>25</v>
      </c>
      <c r="K2805" s="783" t="s">
        <v>2171</v>
      </c>
      <c r="L2805" s="783" t="s">
        <v>4014</v>
      </c>
      <c r="M2805" s="784">
        <v>7700</v>
      </c>
      <c r="N2805" s="784">
        <v>4</v>
      </c>
      <c r="O2805" s="784">
        <v>11</v>
      </c>
      <c r="P2805" s="783">
        <v>175</v>
      </c>
      <c r="Q2805" s="783">
        <v>483.56</v>
      </c>
      <c r="R2805" s="783">
        <v>295.39999999999998</v>
      </c>
      <c r="S2805" s="783">
        <v>76.510000000000005</v>
      </c>
      <c r="T2805" s="783">
        <v>111.65</v>
      </c>
      <c r="U2805" s="785">
        <v>44641.400347222203</v>
      </c>
    </row>
    <row r="2806" spans="1:21">
      <c r="A2806" s="782">
        <v>44636</v>
      </c>
      <c r="B2806" s="783" t="s">
        <v>113</v>
      </c>
      <c r="C2806" s="783" t="s">
        <v>4598</v>
      </c>
      <c r="D2806" s="783" t="s">
        <v>4009</v>
      </c>
      <c r="E2806" s="783" t="s">
        <v>7065</v>
      </c>
      <c r="F2806" s="783" t="s">
        <v>4011</v>
      </c>
      <c r="G2806" s="783" t="s">
        <v>4028</v>
      </c>
      <c r="H2806" s="783" t="s">
        <v>7066</v>
      </c>
      <c r="I2806" s="783" t="s">
        <v>7067</v>
      </c>
      <c r="J2806" s="783">
        <v>20</v>
      </c>
      <c r="K2806" s="783" t="s">
        <v>2171</v>
      </c>
      <c r="L2806" s="783" t="s">
        <v>4014</v>
      </c>
      <c r="M2806" s="784">
        <v>12041.14</v>
      </c>
      <c r="N2806" s="784">
        <v>6.52</v>
      </c>
      <c r="O2806" s="784">
        <v>9.7200000000000006</v>
      </c>
      <c r="P2806" s="783">
        <v>190</v>
      </c>
      <c r="Q2806" s="783">
        <v>925.96</v>
      </c>
      <c r="R2806" s="783">
        <v>397.93</v>
      </c>
      <c r="S2806" s="783">
        <v>184.86</v>
      </c>
      <c r="T2806" s="783">
        <v>343.17</v>
      </c>
      <c r="U2806" s="785">
        <v>44637.370324074102</v>
      </c>
    </row>
    <row r="2807" spans="1:21">
      <c r="A2807" s="782">
        <v>44654</v>
      </c>
      <c r="B2807" s="783" t="s">
        <v>113</v>
      </c>
      <c r="C2807" s="783" t="s">
        <v>4598</v>
      </c>
      <c r="D2807" s="783" t="s">
        <v>4009</v>
      </c>
      <c r="E2807" s="783" t="s">
        <v>3026</v>
      </c>
      <c r="F2807" s="783" t="s">
        <v>4011</v>
      </c>
      <c r="G2807" s="783" t="str">
        <f>VLOOKUP(I2807,pacage,2,FALSE)</f>
        <v>Renewal (20% in 2020)</v>
      </c>
      <c r="H2807" s="783" t="s">
        <v>5972</v>
      </c>
      <c r="I2807" s="783" t="s">
        <v>5973</v>
      </c>
      <c r="J2807" s="783">
        <v>25</v>
      </c>
      <c r="K2807" s="783" t="s">
        <v>2171</v>
      </c>
      <c r="L2807" s="783" t="s">
        <v>4014</v>
      </c>
      <c r="M2807" s="784">
        <v>47674</v>
      </c>
      <c r="N2807" s="784">
        <v>19.7</v>
      </c>
      <c r="O2807" s="784">
        <v>12.1</v>
      </c>
      <c r="P2807" s="783">
        <v>200</v>
      </c>
      <c r="Q2807" s="783">
        <v>2936.72</v>
      </c>
      <c r="R2807" s="783">
        <v>1496.73</v>
      </c>
      <c r="S2807" s="783">
        <v>810.7</v>
      </c>
      <c r="T2807" s="783">
        <v>629.29999999999995</v>
      </c>
      <c r="U2807" s="785">
        <v>44655.504120370402</v>
      </c>
    </row>
    <row r="2808" spans="1:21">
      <c r="A2808" s="782">
        <v>44606</v>
      </c>
      <c r="B2808" s="783" t="s">
        <v>113</v>
      </c>
      <c r="C2808" s="783" t="s">
        <v>4598</v>
      </c>
      <c r="D2808" s="783" t="s">
        <v>4009</v>
      </c>
      <c r="E2808" s="783" t="s">
        <v>6786</v>
      </c>
      <c r="F2808" s="783" t="s">
        <v>4011</v>
      </c>
      <c r="G2808" s="783" t="str">
        <f>VLOOKUP(I2808,pacage,2,FALSE)</f>
        <v>Renewal (15% in 2020)</v>
      </c>
      <c r="H2808" s="783" t="s">
        <v>6787</v>
      </c>
      <c r="I2808" s="783" t="s">
        <v>6788</v>
      </c>
      <c r="J2808" s="783">
        <v>15</v>
      </c>
      <c r="K2808" s="783" t="s">
        <v>2171</v>
      </c>
      <c r="L2808" s="783" t="s">
        <v>4014</v>
      </c>
      <c r="M2808" s="784">
        <v>88375.3</v>
      </c>
      <c r="N2808" s="784">
        <v>55.39</v>
      </c>
      <c r="O2808" s="784">
        <v>9.91</v>
      </c>
      <c r="P2808" s="783">
        <v>161</v>
      </c>
      <c r="Q2808" s="783">
        <v>8802.18</v>
      </c>
      <c r="R2808" s="783">
        <v>3446.64</v>
      </c>
      <c r="S2808" s="783">
        <v>830.73</v>
      </c>
      <c r="T2808" s="783">
        <v>4524.82</v>
      </c>
      <c r="U2808" s="785">
        <v>44631.632349537002</v>
      </c>
    </row>
    <row r="2809" spans="1:21">
      <c r="A2809" s="782">
        <v>44536</v>
      </c>
      <c r="B2809" s="783" t="s">
        <v>2866</v>
      </c>
      <c r="C2809" s="783" t="s">
        <v>4414</v>
      </c>
      <c r="D2809" s="783" t="s">
        <v>4009</v>
      </c>
      <c r="E2809" s="783" t="s">
        <v>6072</v>
      </c>
      <c r="F2809" s="783" t="s">
        <v>4011</v>
      </c>
      <c r="G2809" s="783" t="str">
        <f>VLOOKUP(I2809,pacage,2,FALSE)</f>
        <v>Renewal (25% in 2020)</v>
      </c>
      <c r="H2809" s="783" t="s">
        <v>6073</v>
      </c>
      <c r="I2809" s="783" t="s">
        <v>6074</v>
      </c>
      <c r="J2809" s="783">
        <v>25</v>
      </c>
      <c r="K2809" s="783" t="s">
        <v>2171</v>
      </c>
      <c r="L2809" s="783" t="s">
        <v>4014</v>
      </c>
      <c r="M2809" s="784">
        <v>14637.11</v>
      </c>
      <c r="N2809" s="784">
        <v>7.22</v>
      </c>
      <c r="O2809" s="784">
        <v>10.67</v>
      </c>
      <c r="P2809" s="783">
        <v>190</v>
      </c>
      <c r="Q2809" s="783">
        <v>1242.69</v>
      </c>
      <c r="R2809" s="783">
        <v>716.89</v>
      </c>
      <c r="S2809" s="783">
        <v>266.72000000000003</v>
      </c>
      <c r="T2809" s="783">
        <v>259.08</v>
      </c>
      <c r="U2809" s="785">
        <v>44631.635648148098</v>
      </c>
    </row>
    <row r="2810" spans="1:21">
      <c r="A2810" s="782">
        <v>44524</v>
      </c>
      <c r="B2810" s="783" t="s">
        <v>41</v>
      </c>
      <c r="C2810" s="783" t="s">
        <v>4008</v>
      </c>
      <c r="D2810" s="783" t="s">
        <v>4009</v>
      </c>
      <c r="E2810" s="783" t="s">
        <v>7068</v>
      </c>
      <c r="F2810" s="783" t="s">
        <v>4011</v>
      </c>
      <c r="G2810" s="783" t="str">
        <f>VLOOKUP(I2810,pacage,2,FALSE)</f>
        <v>Renewal (25% in 2020)</v>
      </c>
      <c r="H2810" s="783" t="s">
        <v>7069</v>
      </c>
      <c r="I2810" s="783" t="s">
        <v>7070</v>
      </c>
      <c r="J2810" s="783">
        <v>30</v>
      </c>
      <c r="K2810" s="783" t="s">
        <v>2171</v>
      </c>
      <c r="L2810" s="783" t="s">
        <v>4014</v>
      </c>
      <c r="M2810" s="784">
        <v>2473.6</v>
      </c>
      <c r="N2810" s="784">
        <v>2</v>
      </c>
      <c r="O2810" s="784">
        <v>7.73</v>
      </c>
      <c r="P2810" s="783">
        <v>160</v>
      </c>
      <c r="Q2810" s="783">
        <v>153.86000000000001</v>
      </c>
      <c r="R2810" s="783">
        <v>125.41</v>
      </c>
      <c r="S2810" s="783">
        <v>0</v>
      </c>
      <c r="T2810" s="783">
        <v>28.45</v>
      </c>
      <c r="U2810" s="785">
        <v>44631.6333101852</v>
      </c>
    </row>
    <row r="2811" spans="1:21">
      <c r="A2811" s="782">
        <v>44616</v>
      </c>
      <c r="B2811" s="783" t="s">
        <v>118</v>
      </c>
      <c r="C2811" s="783" t="s">
        <v>4139</v>
      </c>
      <c r="D2811" s="783" t="s">
        <v>4009</v>
      </c>
      <c r="E2811" s="783" t="s">
        <v>5029</v>
      </c>
      <c r="F2811" s="783" t="s">
        <v>4066</v>
      </c>
      <c r="G2811" s="783" t="s">
        <v>4028</v>
      </c>
      <c r="H2811" s="783" t="s">
        <v>5030</v>
      </c>
      <c r="I2811" s="783" t="s">
        <v>5031</v>
      </c>
      <c r="J2811" s="783">
        <v>10</v>
      </c>
      <c r="K2811" s="783" t="s">
        <v>1372</v>
      </c>
      <c r="L2811" s="783" t="s">
        <v>4014</v>
      </c>
      <c r="M2811" s="784">
        <v>9600</v>
      </c>
      <c r="N2811" s="784">
        <v>24</v>
      </c>
      <c r="O2811" s="784">
        <v>2</v>
      </c>
      <c r="P2811" s="783">
        <v>200</v>
      </c>
      <c r="Q2811" s="783">
        <v>157.44</v>
      </c>
      <c r="R2811" s="783">
        <v>0</v>
      </c>
      <c r="S2811" s="783">
        <v>0</v>
      </c>
      <c r="T2811" s="783">
        <v>157.44</v>
      </c>
      <c r="U2811" s="785">
        <v>44631.626041666699</v>
      </c>
    </row>
    <row r="2812" spans="1:21">
      <c r="A2812" s="782">
        <v>44659</v>
      </c>
      <c r="B2812" s="783" t="s">
        <v>30</v>
      </c>
      <c r="C2812" s="783" t="s">
        <v>4239</v>
      </c>
      <c r="D2812" s="783" t="s">
        <v>4021</v>
      </c>
      <c r="E2812" s="783" t="s">
        <v>3763</v>
      </c>
      <c r="F2812" s="783" t="s">
        <v>4011</v>
      </c>
      <c r="G2812" s="783" t="str">
        <f t="shared" ref="G2812:G2825" si="149">VLOOKUP(I2812,pacage,2,FALSE)</f>
        <v>Renewal (25% in 2020)</v>
      </c>
      <c r="H2812" s="783" t="s">
        <v>5438</v>
      </c>
      <c r="I2812" s="783" t="s">
        <v>5439</v>
      </c>
      <c r="J2812" s="783">
        <v>20</v>
      </c>
      <c r="K2812" s="783" t="s">
        <v>7077</v>
      </c>
      <c r="L2812" s="783" t="s">
        <v>4096</v>
      </c>
      <c r="M2812" s="784">
        <v>38574.080000000002</v>
      </c>
      <c r="N2812" s="784">
        <v>10.24</v>
      </c>
      <c r="O2812" s="784">
        <v>37.67</v>
      </c>
      <c r="P2812" s="783">
        <v>100</v>
      </c>
      <c r="Q2812" s="783">
        <v>3394.52</v>
      </c>
      <c r="R2812" s="783">
        <v>1890.32</v>
      </c>
      <c r="S2812" s="783">
        <v>404.83</v>
      </c>
      <c r="T2812" s="783">
        <v>1099.3599999999999</v>
      </c>
      <c r="U2812" s="785">
        <v>44663.405995370398</v>
      </c>
    </row>
    <row r="2813" spans="1:21">
      <c r="A2813" s="782">
        <v>44502</v>
      </c>
      <c r="B2813" s="783" t="s">
        <v>51</v>
      </c>
      <c r="C2813" s="783" t="s">
        <v>4796</v>
      </c>
      <c r="D2813" s="783" t="s">
        <v>4016</v>
      </c>
      <c r="E2813" s="783" t="s">
        <v>4797</v>
      </c>
      <c r="F2813" s="783" t="s">
        <v>4011</v>
      </c>
      <c r="G2813" s="783" t="str">
        <f t="shared" si="149"/>
        <v>Renewal (20% in 2020)</v>
      </c>
      <c r="H2813" s="783" t="s">
        <v>4798</v>
      </c>
      <c r="I2813" s="783" t="s">
        <v>4799</v>
      </c>
      <c r="J2813" s="783">
        <v>20</v>
      </c>
      <c r="K2813" s="783" t="s">
        <v>137</v>
      </c>
      <c r="L2813" s="783" t="s">
        <v>4014</v>
      </c>
      <c r="M2813" s="784">
        <v>8056</v>
      </c>
      <c r="N2813" s="784">
        <v>7.6</v>
      </c>
      <c r="O2813" s="784">
        <v>5.3</v>
      </c>
      <c r="P2813" s="783">
        <v>200</v>
      </c>
      <c r="Q2813" s="783">
        <v>444.69</v>
      </c>
      <c r="R2813" s="783">
        <v>222.55</v>
      </c>
      <c r="S2813" s="783">
        <v>82.78</v>
      </c>
      <c r="T2813" s="783">
        <v>139.37</v>
      </c>
      <c r="U2813" s="785">
        <v>44631.503101851798</v>
      </c>
    </row>
    <row r="2814" spans="1:21">
      <c r="A2814" s="782">
        <v>44508</v>
      </c>
      <c r="B2814" s="783" t="s">
        <v>4025</v>
      </c>
      <c r="C2814" s="783" t="s">
        <v>4026</v>
      </c>
      <c r="D2814" s="783" t="s">
        <v>4021</v>
      </c>
      <c r="E2814" s="783" t="s">
        <v>4803</v>
      </c>
      <c r="F2814" s="783" t="s">
        <v>4011</v>
      </c>
      <c r="G2814" s="783" t="str">
        <f t="shared" si="149"/>
        <v>New Contract</v>
      </c>
      <c r="H2814" s="783" t="s">
        <v>4804</v>
      </c>
      <c r="I2814" s="783" t="s">
        <v>4805</v>
      </c>
      <c r="J2814" s="783">
        <v>25</v>
      </c>
      <c r="K2814" s="783" t="s">
        <v>137</v>
      </c>
      <c r="L2814" s="783" t="s">
        <v>4014</v>
      </c>
      <c r="M2814" s="784">
        <v>12914.85</v>
      </c>
      <c r="N2814" s="784">
        <v>13</v>
      </c>
      <c r="O2814" s="784">
        <v>5.37</v>
      </c>
      <c r="P2814" s="783">
        <v>185</v>
      </c>
      <c r="Q2814" s="783">
        <v>442.98</v>
      </c>
      <c r="R2814" s="783">
        <v>300.25</v>
      </c>
      <c r="S2814" s="783">
        <v>80.739999999999995</v>
      </c>
      <c r="T2814" s="783">
        <v>61.99</v>
      </c>
      <c r="U2814" s="785">
        <v>44631.506620370397</v>
      </c>
    </row>
    <row r="2815" spans="1:21">
      <c r="A2815" s="782">
        <v>44409</v>
      </c>
      <c r="B2815" s="783" t="s">
        <v>51</v>
      </c>
      <c r="C2815" s="783" t="s">
        <v>4042</v>
      </c>
      <c r="D2815" s="783" t="s">
        <v>4016</v>
      </c>
      <c r="E2815" s="783" t="s">
        <v>4811</v>
      </c>
      <c r="F2815" s="783" t="s">
        <v>4011</v>
      </c>
      <c r="G2815" s="783" t="str">
        <f t="shared" si="149"/>
        <v>Renewal (25% in 2020)</v>
      </c>
      <c r="H2815" s="783" t="s">
        <v>4812</v>
      </c>
      <c r="I2815" s="783" t="s">
        <v>4813</v>
      </c>
      <c r="J2815" s="783">
        <v>25</v>
      </c>
      <c r="K2815" s="783" t="s">
        <v>137</v>
      </c>
      <c r="L2815" s="783" t="s">
        <v>4014</v>
      </c>
      <c r="M2815" s="784">
        <v>10701</v>
      </c>
      <c r="N2815" s="784">
        <v>14.5</v>
      </c>
      <c r="O2815" s="784">
        <v>4.0999999999999996</v>
      </c>
      <c r="P2815" s="783">
        <v>180</v>
      </c>
      <c r="Q2815" s="783">
        <v>498.67</v>
      </c>
      <c r="R2815" s="783">
        <v>356.76</v>
      </c>
      <c r="S2815" s="783">
        <v>81.98</v>
      </c>
      <c r="T2815" s="783">
        <v>59.93</v>
      </c>
      <c r="U2815" s="785">
        <v>44631.504004629598</v>
      </c>
    </row>
    <row r="2816" spans="1:21">
      <c r="A2816" s="782">
        <v>44409</v>
      </c>
      <c r="B2816" s="783" t="s">
        <v>41</v>
      </c>
      <c r="C2816" s="783" t="s">
        <v>4092</v>
      </c>
      <c r="D2816" s="783" t="s">
        <v>4009</v>
      </c>
      <c r="E2816" s="783" t="s">
        <v>4823</v>
      </c>
      <c r="F2816" s="783" t="s">
        <v>4011</v>
      </c>
      <c r="G2816" s="783" t="str">
        <f t="shared" si="149"/>
        <v>Renewal (15% in 2020)</v>
      </c>
      <c r="H2816" s="783" t="s">
        <v>4824</v>
      </c>
      <c r="I2816" s="783" t="s">
        <v>4825</v>
      </c>
      <c r="J2816" s="783">
        <v>15</v>
      </c>
      <c r="K2816" s="783" t="s">
        <v>137</v>
      </c>
      <c r="L2816" s="783" t="s">
        <v>4014</v>
      </c>
      <c r="M2816" s="784">
        <v>9516.4599999999991</v>
      </c>
      <c r="N2816" s="784">
        <v>9.44</v>
      </c>
      <c r="O2816" s="784">
        <v>5.93</v>
      </c>
      <c r="P2816" s="783">
        <v>170</v>
      </c>
      <c r="Q2816" s="783">
        <v>826.98</v>
      </c>
      <c r="R2816" s="783">
        <v>362.58</v>
      </c>
      <c r="S2816" s="783">
        <v>69.47</v>
      </c>
      <c r="T2816" s="783">
        <v>394.93</v>
      </c>
      <c r="U2816" s="785">
        <v>44631.5082638889</v>
      </c>
    </row>
    <row r="2817" spans="1:21">
      <c r="A2817" s="782">
        <v>44409</v>
      </c>
      <c r="B2817" s="783" t="s">
        <v>41</v>
      </c>
      <c r="C2817" s="783" t="s">
        <v>4008</v>
      </c>
      <c r="D2817" s="783" t="s">
        <v>4009</v>
      </c>
      <c r="E2817" s="783" t="s">
        <v>4503</v>
      </c>
      <c r="F2817" s="783" t="s">
        <v>4011</v>
      </c>
      <c r="G2817" s="783" t="str">
        <f t="shared" si="149"/>
        <v>Renewal (20% in 2020)</v>
      </c>
      <c r="H2817" s="783" t="s">
        <v>4504</v>
      </c>
      <c r="I2817" s="783" t="s">
        <v>4505</v>
      </c>
      <c r="J2817" s="783">
        <v>20</v>
      </c>
      <c r="K2817" s="783" t="s">
        <v>137</v>
      </c>
      <c r="L2817" s="783" t="s">
        <v>4014</v>
      </c>
      <c r="M2817" s="784">
        <v>13487.9</v>
      </c>
      <c r="N2817" s="784">
        <v>18.09</v>
      </c>
      <c r="O2817" s="784">
        <v>4.66</v>
      </c>
      <c r="P2817" s="783">
        <v>160</v>
      </c>
      <c r="Q2817" s="783">
        <v>996.76</v>
      </c>
      <c r="R2817" s="783">
        <v>566.49</v>
      </c>
      <c r="S2817" s="783">
        <v>91.72</v>
      </c>
      <c r="T2817" s="783">
        <v>338.55</v>
      </c>
      <c r="U2817" s="785">
        <v>44631.505243055602</v>
      </c>
    </row>
    <row r="2818" spans="1:21">
      <c r="A2818" s="782">
        <v>44409</v>
      </c>
      <c r="B2818" s="783" t="s">
        <v>41</v>
      </c>
      <c r="C2818" s="783" t="s">
        <v>4071</v>
      </c>
      <c r="D2818" s="783" t="s">
        <v>4009</v>
      </c>
      <c r="E2818" s="783" t="s">
        <v>4838</v>
      </c>
      <c r="F2818" s="783" t="s">
        <v>4011</v>
      </c>
      <c r="G2818" s="783" t="str">
        <f t="shared" si="149"/>
        <v>Renewal (30% in 2020)</v>
      </c>
      <c r="H2818" s="783" t="s">
        <v>4839</v>
      </c>
      <c r="I2818" s="783" t="s">
        <v>4840</v>
      </c>
      <c r="J2818" s="783">
        <v>30</v>
      </c>
      <c r="K2818" s="783" t="s">
        <v>137</v>
      </c>
      <c r="L2818" s="783" t="s">
        <v>4014</v>
      </c>
      <c r="M2818" s="784">
        <v>43010</v>
      </c>
      <c r="N2818" s="784">
        <v>50.6</v>
      </c>
      <c r="O2818" s="784">
        <v>5</v>
      </c>
      <c r="P2818" s="783">
        <v>170</v>
      </c>
      <c r="Q2818" s="783">
        <v>1956.96</v>
      </c>
      <c r="R2818" s="783">
        <v>1763.41</v>
      </c>
      <c r="S2818" s="783">
        <v>0</v>
      </c>
      <c r="T2818" s="783">
        <v>193.55</v>
      </c>
      <c r="U2818" s="785">
        <v>44631.503854166702</v>
      </c>
    </row>
    <row r="2819" spans="1:21">
      <c r="A2819" s="782">
        <v>44409</v>
      </c>
      <c r="B2819" s="783" t="s">
        <v>41</v>
      </c>
      <c r="C2819" s="783" t="s">
        <v>4082</v>
      </c>
      <c r="D2819" s="783" t="s">
        <v>4009</v>
      </c>
      <c r="E2819" s="783" t="s">
        <v>2101</v>
      </c>
      <c r="F2819" s="783" t="s">
        <v>4011</v>
      </c>
      <c r="G2819" s="783" t="str">
        <f t="shared" si="149"/>
        <v>Renewal (15% in 2020)</v>
      </c>
      <c r="H2819" s="783" t="s">
        <v>4506</v>
      </c>
      <c r="I2819" s="783" t="s">
        <v>4507</v>
      </c>
      <c r="J2819" s="783">
        <v>15</v>
      </c>
      <c r="K2819" s="783" t="s">
        <v>137</v>
      </c>
      <c r="L2819" s="783" t="s">
        <v>4014</v>
      </c>
      <c r="M2819" s="784">
        <v>41083.17</v>
      </c>
      <c r="N2819" s="784">
        <v>38.130000000000003</v>
      </c>
      <c r="O2819" s="784">
        <v>6.53</v>
      </c>
      <c r="P2819" s="783">
        <v>165</v>
      </c>
      <c r="Q2819" s="783">
        <v>3652.29</v>
      </c>
      <c r="R2819" s="783">
        <v>1606.35</v>
      </c>
      <c r="S2819" s="783">
        <v>304.02</v>
      </c>
      <c r="T2819" s="783">
        <v>1741.93</v>
      </c>
      <c r="U2819" s="785">
        <v>44631.505023148202</v>
      </c>
    </row>
    <row r="2820" spans="1:21">
      <c r="A2820" s="782">
        <v>44409</v>
      </c>
      <c r="B2820" s="783" t="s">
        <v>228</v>
      </c>
      <c r="C2820" s="783" t="s">
        <v>4675</v>
      </c>
      <c r="D2820" s="783" t="s">
        <v>4193</v>
      </c>
      <c r="E2820" s="783" t="s">
        <v>4841</v>
      </c>
      <c r="F2820" s="783" t="s">
        <v>4011</v>
      </c>
      <c r="G2820" s="783" t="str">
        <f t="shared" si="149"/>
        <v>Renewal (25% in 2020)</v>
      </c>
      <c r="H2820" s="783" t="s">
        <v>4842</v>
      </c>
      <c r="I2820" s="783" t="s">
        <v>4843</v>
      </c>
      <c r="J2820" s="783">
        <v>25</v>
      </c>
      <c r="K2820" s="783" t="s">
        <v>137</v>
      </c>
      <c r="L2820" s="783" t="s">
        <v>4014</v>
      </c>
      <c r="M2820" s="784">
        <v>15965.04</v>
      </c>
      <c r="N2820" s="784">
        <v>16.8</v>
      </c>
      <c r="O2820" s="784">
        <v>5.59</v>
      </c>
      <c r="P2820" s="783">
        <v>170</v>
      </c>
      <c r="Q2820" s="783">
        <v>1115.96</v>
      </c>
      <c r="R2820" s="783">
        <v>826.99</v>
      </c>
      <c r="S2820" s="783">
        <v>130.91</v>
      </c>
      <c r="T2820" s="783">
        <v>158.05000000000001</v>
      </c>
      <c r="U2820" s="785">
        <v>44631.504456018498</v>
      </c>
    </row>
    <row r="2821" spans="1:21">
      <c r="A2821" s="782">
        <v>44409</v>
      </c>
      <c r="B2821" s="783" t="s">
        <v>228</v>
      </c>
      <c r="C2821" s="783" t="s">
        <v>4847</v>
      </c>
      <c r="D2821" s="783" t="s">
        <v>4016</v>
      </c>
      <c r="E2821" s="783" t="s">
        <v>4848</v>
      </c>
      <c r="F2821" s="783" t="s">
        <v>4011</v>
      </c>
      <c r="G2821" s="783" t="str">
        <f t="shared" si="149"/>
        <v>Renewal (20% in 2020)</v>
      </c>
      <c r="H2821" s="783" t="s">
        <v>4849</v>
      </c>
      <c r="I2821" s="783" t="s">
        <v>4850</v>
      </c>
      <c r="J2821" s="783">
        <v>20</v>
      </c>
      <c r="K2821" s="783" t="s">
        <v>137</v>
      </c>
      <c r="L2821" s="783" t="s">
        <v>4014</v>
      </c>
      <c r="M2821" s="784">
        <v>10113.6</v>
      </c>
      <c r="N2821" s="784">
        <v>14.7</v>
      </c>
      <c r="O2821" s="784">
        <v>4.3</v>
      </c>
      <c r="P2821" s="783">
        <v>160</v>
      </c>
      <c r="Q2821" s="783">
        <v>665.47</v>
      </c>
      <c r="R2821" s="783">
        <v>395.44</v>
      </c>
      <c r="S2821" s="783">
        <v>63.72</v>
      </c>
      <c r="T2821" s="783">
        <v>206.32</v>
      </c>
      <c r="U2821" s="785">
        <v>44631.503865740699</v>
      </c>
    </row>
    <row r="2822" spans="1:21">
      <c r="A2822" s="782">
        <v>44494</v>
      </c>
      <c r="B2822" s="783" t="s">
        <v>4025</v>
      </c>
      <c r="C2822" s="783" t="s">
        <v>4026</v>
      </c>
      <c r="D2822" s="783" t="s">
        <v>4021</v>
      </c>
      <c r="E2822" s="783" t="s">
        <v>2831</v>
      </c>
      <c r="F2822" s="783" t="s">
        <v>4011</v>
      </c>
      <c r="G2822" s="783" t="str">
        <f t="shared" si="149"/>
        <v>New Contract</v>
      </c>
      <c r="H2822" s="783" t="s">
        <v>6415</v>
      </c>
      <c r="I2822" s="783" t="s">
        <v>6416</v>
      </c>
      <c r="J2822" s="783">
        <v>25</v>
      </c>
      <c r="K2822" s="783" t="s">
        <v>137</v>
      </c>
      <c r="L2822" s="783" t="s">
        <v>4014</v>
      </c>
      <c r="M2822" s="784">
        <v>15321.24</v>
      </c>
      <c r="N2822" s="784">
        <v>16.059999999999999</v>
      </c>
      <c r="O2822" s="784">
        <v>5.3</v>
      </c>
      <c r="P2822" s="783">
        <v>180</v>
      </c>
      <c r="Q2822" s="783">
        <v>525.52</v>
      </c>
      <c r="R2822" s="783">
        <v>366.09</v>
      </c>
      <c r="S2822" s="783">
        <v>85.88</v>
      </c>
      <c r="T2822" s="783">
        <v>73.540000000000006</v>
      </c>
      <c r="U2822" s="785">
        <v>44631.503101851798</v>
      </c>
    </row>
    <row r="2823" spans="1:21">
      <c r="A2823" s="782">
        <v>44501</v>
      </c>
      <c r="B2823" s="783" t="s">
        <v>41</v>
      </c>
      <c r="C2823" s="783" t="s">
        <v>4071</v>
      </c>
      <c r="D2823" s="783" t="s">
        <v>4009</v>
      </c>
      <c r="E2823" s="783" t="s">
        <v>4862</v>
      </c>
      <c r="F2823" s="783" t="s">
        <v>4011</v>
      </c>
      <c r="G2823" s="783" t="str">
        <f t="shared" si="149"/>
        <v>Renewal (15% in 2020)</v>
      </c>
      <c r="H2823" s="783" t="s">
        <v>4863</v>
      </c>
      <c r="I2823" s="783" t="s">
        <v>4864</v>
      </c>
      <c r="J2823" s="783">
        <v>15</v>
      </c>
      <c r="K2823" s="783" t="s">
        <v>137</v>
      </c>
      <c r="L2823" s="783" t="s">
        <v>4014</v>
      </c>
      <c r="M2823" s="784">
        <v>1559.61</v>
      </c>
      <c r="N2823" s="784">
        <v>4.6500000000000004</v>
      </c>
      <c r="O2823" s="784">
        <v>1.72</v>
      </c>
      <c r="P2823" s="783">
        <v>195</v>
      </c>
      <c r="Q2823" s="783">
        <v>141.61000000000001</v>
      </c>
      <c r="R2823" s="783">
        <v>55.75</v>
      </c>
      <c r="S2823" s="783">
        <v>18.489999999999998</v>
      </c>
      <c r="T2823" s="783">
        <v>67.38</v>
      </c>
      <c r="U2823" s="785">
        <v>44631.503043981502</v>
      </c>
    </row>
    <row r="2824" spans="1:21">
      <c r="A2824" s="782">
        <v>44419</v>
      </c>
      <c r="B2824" s="783" t="s">
        <v>51</v>
      </c>
      <c r="C2824" s="783" t="s">
        <v>4015</v>
      </c>
      <c r="D2824" s="783" t="s">
        <v>4016</v>
      </c>
      <c r="E2824" s="783" t="s">
        <v>3263</v>
      </c>
      <c r="F2824" s="783" t="s">
        <v>4011</v>
      </c>
      <c r="G2824" s="783" t="str">
        <f t="shared" si="149"/>
        <v>Renewal (20% in 2020)</v>
      </c>
      <c r="H2824" s="783" t="s">
        <v>4873</v>
      </c>
      <c r="I2824" s="783" t="s">
        <v>4874</v>
      </c>
      <c r="J2824" s="783">
        <v>20</v>
      </c>
      <c r="K2824" s="783" t="s">
        <v>137</v>
      </c>
      <c r="L2824" s="783" t="s">
        <v>4014</v>
      </c>
      <c r="M2824" s="784">
        <v>6979.2</v>
      </c>
      <c r="N2824" s="784">
        <v>8.43</v>
      </c>
      <c r="O2824" s="784">
        <v>4.87</v>
      </c>
      <c r="P2824" s="783">
        <v>170</v>
      </c>
      <c r="Q2824" s="783">
        <v>435.5</v>
      </c>
      <c r="R2824" s="783">
        <v>278.47000000000003</v>
      </c>
      <c r="S2824" s="783">
        <v>11.86</v>
      </c>
      <c r="T2824" s="783">
        <v>145.16999999999999</v>
      </c>
      <c r="U2824" s="785">
        <v>44631.511747685203</v>
      </c>
    </row>
    <row r="2825" spans="1:21">
      <c r="A2825" s="782">
        <v>44427</v>
      </c>
      <c r="B2825" s="783" t="s">
        <v>41</v>
      </c>
      <c r="C2825" s="783" t="s">
        <v>4082</v>
      </c>
      <c r="D2825" s="783" t="s">
        <v>4009</v>
      </c>
      <c r="E2825" s="783" t="s">
        <v>4518</v>
      </c>
      <c r="F2825" s="783" t="s">
        <v>4011</v>
      </c>
      <c r="G2825" s="783" t="str">
        <f t="shared" si="149"/>
        <v>Renewal (25% in 2020)</v>
      </c>
      <c r="H2825" s="783" t="s">
        <v>4519</v>
      </c>
      <c r="I2825" s="783" t="s">
        <v>4520</v>
      </c>
      <c r="J2825" s="783">
        <v>25</v>
      </c>
      <c r="K2825" s="783" t="s">
        <v>137</v>
      </c>
      <c r="L2825" s="783" t="s">
        <v>4014</v>
      </c>
      <c r="M2825" s="784">
        <v>18518.400000000001</v>
      </c>
      <c r="N2825" s="784">
        <v>18</v>
      </c>
      <c r="O2825" s="784">
        <v>6.43</v>
      </c>
      <c r="P2825" s="783">
        <v>160</v>
      </c>
      <c r="Q2825" s="783">
        <v>942.59</v>
      </c>
      <c r="R2825" s="783">
        <v>724.07</v>
      </c>
      <c r="S2825" s="783">
        <v>137.04</v>
      </c>
      <c r="T2825" s="783">
        <v>81.48</v>
      </c>
      <c r="U2825" s="785">
        <v>44631.512187499997</v>
      </c>
    </row>
    <row r="2826" spans="1:21">
      <c r="A2826" s="782">
        <v>44581</v>
      </c>
      <c r="B2826" s="783" t="s">
        <v>74</v>
      </c>
      <c r="C2826" s="783" t="s">
        <v>4037</v>
      </c>
      <c r="D2826" s="783" t="s">
        <v>4038</v>
      </c>
      <c r="E2826" s="783" t="s">
        <v>4278</v>
      </c>
      <c r="F2826" s="783" t="s">
        <v>4011</v>
      </c>
      <c r="G2826" s="783" t="s">
        <v>4028</v>
      </c>
      <c r="H2826" s="783" t="s">
        <v>4279</v>
      </c>
      <c r="I2826" s="783" t="s">
        <v>4280</v>
      </c>
      <c r="J2826" s="783">
        <v>25</v>
      </c>
      <c r="K2826" s="783" t="s">
        <v>137</v>
      </c>
      <c r="L2826" s="783" t="s">
        <v>4014</v>
      </c>
      <c r="M2826" s="784">
        <v>5166</v>
      </c>
      <c r="N2826" s="784">
        <v>7</v>
      </c>
      <c r="O2826" s="784">
        <v>4.0999999999999996</v>
      </c>
      <c r="P2826" s="783">
        <v>180</v>
      </c>
      <c r="Q2826" s="783">
        <v>447.89</v>
      </c>
      <c r="R2826" s="783">
        <v>289.32</v>
      </c>
      <c r="S2826" s="783">
        <v>67.13</v>
      </c>
      <c r="T2826" s="783">
        <v>91.44</v>
      </c>
      <c r="U2826" s="785">
        <v>44631.516180555598</v>
      </c>
    </row>
    <row r="2827" spans="1:21">
      <c r="A2827" s="782">
        <v>44691</v>
      </c>
      <c r="B2827" s="783" t="s">
        <v>51</v>
      </c>
      <c r="C2827" s="783" t="s">
        <v>4015</v>
      </c>
      <c r="D2827" s="783" t="s">
        <v>4016</v>
      </c>
      <c r="E2827" s="783" t="s">
        <v>4017</v>
      </c>
      <c r="F2827" s="783" t="s">
        <v>4011</v>
      </c>
      <c r="G2827" s="783" t="str">
        <f t="shared" ref="G2827:G2846" si="150">VLOOKUP(I2827,pacage,2,FALSE)</f>
        <v>New Contract</v>
      </c>
      <c r="H2827" s="783" t="s">
        <v>4018</v>
      </c>
      <c r="I2827" s="783" t="s">
        <v>4019</v>
      </c>
      <c r="J2827" s="783">
        <v>25</v>
      </c>
      <c r="K2827" s="783" t="s">
        <v>137</v>
      </c>
      <c r="L2827" s="783" t="s">
        <v>4014</v>
      </c>
      <c r="M2827" s="784">
        <v>17760.14</v>
      </c>
      <c r="N2827" s="784">
        <v>17.73</v>
      </c>
      <c r="O2827" s="784">
        <v>4.7699999999999996</v>
      </c>
      <c r="P2827" s="783">
        <v>210</v>
      </c>
      <c r="Q2827" s="783">
        <v>912.87</v>
      </c>
      <c r="R2827" s="783">
        <v>573.65</v>
      </c>
      <c r="S2827" s="783">
        <v>165.17</v>
      </c>
      <c r="T2827" s="783">
        <v>174.05</v>
      </c>
      <c r="U2827" s="785">
        <v>44691.527569444399</v>
      </c>
    </row>
    <row r="2828" spans="1:21">
      <c r="A2828" s="782">
        <v>44690</v>
      </c>
      <c r="B2828" s="783" t="s">
        <v>4025</v>
      </c>
      <c r="C2828" s="783" t="s">
        <v>4026</v>
      </c>
      <c r="D2828" s="783" t="s">
        <v>4021</v>
      </c>
      <c r="E2828" s="783" t="s">
        <v>4884</v>
      </c>
      <c r="F2828" s="783" t="s">
        <v>4011</v>
      </c>
      <c r="G2828" s="783" t="str">
        <f t="shared" si="150"/>
        <v>New Contract</v>
      </c>
      <c r="H2828" s="783" t="s">
        <v>4885</v>
      </c>
      <c r="I2828" s="783" t="s">
        <v>4886</v>
      </c>
      <c r="J2828" s="783">
        <v>25</v>
      </c>
      <c r="K2828" s="783" t="s">
        <v>137</v>
      </c>
      <c r="L2828" s="783" t="s">
        <v>4014</v>
      </c>
      <c r="M2828" s="784">
        <v>88365.82</v>
      </c>
      <c r="N2828" s="784">
        <v>67.62</v>
      </c>
      <c r="O2828" s="784">
        <v>5.94</v>
      </c>
      <c r="P2828" s="783">
        <v>220</v>
      </c>
      <c r="Q2828" s="783">
        <v>3030.95</v>
      </c>
      <c r="R2828" s="783">
        <v>1727.55</v>
      </c>
      <c r="S2828" s="783">
        <v>879.24</v>
      </c>
      <c r="T2828" s="783">
        <v>424.16</v>
      </c>
      <c r="U2828" s="785">
        <v>44694.444571759297</v>
      </c>
    </row>
    <row r="2829" spans="1:21">
      <c r="A2829" s="782">
        <v>44691</v>
      </c>
      <c r="B2829" s="783" t="s">
        <v>41</v>
      </c>
      <c r="C2829" s="783" t="s">
        <v>4082</v>
      </c>
      <c r="D2829" s="783" t="s">
        <v>4009</v>
      </c>
      <c r="E2829" s="783" t="s">
        <v>4523</v>
      </c>
      <c r="F2829" s="783" t="s">
        <v>4011</v>
      </c>
      <c r="G2829" s="783" t="str">
        <f t="shared" si="150"/>
        <v>Renewal (25% in 2020)</v>
      </c>
      <c r="H2829" s="783" t="s">
        <v>4524</v>
      </c>
      <c r="I2829" s="783" t="s">
        <v>4525</v>
      </c>
      <c r="J2829" s="783">
        <v>25</v>
      </c>
      <c r="K2829" s="783" t="s">
        <v>137</v>
      </c>
      <c r="L2829" s="783" t="s">
        <v>4014</v>
      </c>
      <c r="M2829" s="784">
        <v>66386.539999999994</v>
      </c>
      <c r="N2829" s="784">
        <v>48.19</v>
      </c>
      <c r="O2829" s="784">
        <v>6.56</v>
      </c>
      <c r="P2829" s="783">
        <v>210</v>
      </c>
      <c r="Q2829" s="783">
        <v>3379.08</v>
      </c>
      <c r="R2829" s="783">
        <v>2101.29</v>
      </c>
      <c r="S2829" s="783">
        <v>985.68</v>
      </c>
      <c r="T2829" s="783">
        <v>292.10000000000002</v>
      </c>
      <c r="U2829" s="785">
        <v>44691.530787037002</v>
      </c>
    </row>
    <row r="2830" spans="1:21">
      <c r="A2830" s="782">
        <v>44690</v>
      </c>
      <c r="B2830" s="783" t="s">
        <v>51</v>
      </c>
      <c r="C2830" s="783" t="s">
        <v>4042</v>
      </c>
      <c r="D2830" s="783" t="s">
        <v>4016</v>
      </c>
      <c r="E2830" s="783" t="s">
        <v>1468</v>
      </c>
      <c r="F2830" s="783" t="s">
        <v>4011</v>
      </c>
      <c r="G2830" s="783" t="str">
        <f t="shared" si="150"/>
        <v>Renewal (15% in 2020)</v>
      </c>
      <c r="H2830" s="783" t="s">
        <v>4902</v>
      </c>
      <c r="I2830" s="783" t="s">
        <v>4903</v>
      </c>
      <c r="J2830" s="783">
        <v>30</v>
      </c>
      <c r="K2830" s="783" t="s">
        <v>137</v>
      </c>
      <c r="L2830" s="783" t="s">
        <v>4014</v>
      </c>
      <c r="M2830" s="784">
        <v>72876.2</v>
      </c>
      <c r="N2830" s="784">
        <v>65.849999999999994</v>
      </c>
      <c r="O2830" s="784">
        <v>6.51</v>
      </c>
      <c r="P2830" s="783">
        <v>170</v>
      </c>
      <c r="Q2830" s="783">
        <v>2980.64</v>
      </c>
      <c r="R2830" s="783">
        <v>2572.5300000000002</v>
      </c>
      <c r="S2830" s="783">
        <v>0</v>
      </c>
      <c r="T2830" s="783">
        <v>408.11</v>
      </c>
      <c r="U2830" s="785">
        <v>44690.678333333301</v>
      </c>
    </row>
    <row r="2831" spans="1:21">
      <c r="A2831" s="782">
        <v>44690</v>
      </c>
      <c r="B2831" s="783" t="s">
        <v>41</v>
      </c>
      <c r="C2831" s="783" t="s">
        <v>4092</v>
      </c>
      <c r="D2831" s="783" t="s">
        <v>4009</v>
      </c>
      <c r="E2831" s="783" t="s">
        <v>4529</v>
      </c>
      <c r="F2831" s="783" t="s">
        <v>4011</v>
      </c>
      <c r="G2831" s="783" t="str">
        <f t="shared" si="150"/>
        <v>Renewal (25% in 2020)</v>
      </c>
      <c r="H2831" s="783" t="s">
        <v>4530</v>
      </c>
      <c r="I2831" s="783" t="s">
        <v>4531</v>
      </c>
      <c r="J2831" s="783">
        <v>15</v>
      </c>
      <c r="K2831" s="783" t="s">
        <v>137</v>
      </c>
      <c r="L2831" s="783" t="s">
        <v>4014</v>
      </c>
      <c r="M2831" s="784">
        <v>18510.36</v>
      </c>
      <c r="N2831" s="784">
        <v>22.74</v>
      </c>
      <c r="O2831" s="784">
        <v>3.7</v>
      </c>
      <c r="P2831" s="783">
        <v>220</v>
      </c>
      <c r="Q2831" s="783">
        <v>1608.55</v>
      </c>
      <c r="R2831" s="783">
        <v>544.96</v>
      </c>
      <c r="S2831" s="783">
        <v>295.41000000000003</v>
      </c>
      <c r="T2831" s="783">
        <v>768.18</v>
      </c>
      <c r="U2831" s="785">
        <v>44706.435763888898</v>
      </c>
    </row>
    <row r="2832" spans="1:21">
      <c r="A2832" s="782">
        <v>44698</v>
      </c>
      <c r="B2832" s="783" t="s">
        <v>228</v>
      </c>
      <c r="C2832" s="783" t="s">
        <v>4675</v>
      </c>
      <c r="D2832" s="783" t="s">
        <v>4193</v>
      </c>
      <c r="E2832" s="783" t="s">
        <v>4928</v>
      </c>
      <c r="F2832" s="783" t="s">
        <v>4011</v>
      </c>
      <c r="G2832" s="783" t="str">
        <f t="shared" si="150"/>
        <v>Renewal (25% in 2020)</v>
      </c>
      <c r="H2832" s="783" t="s">
        <v>4929</v>
      </c>
      <c r="I2832" s="783" t="s">
        <v>4930</v>
      </c>
      <c r="J2832" s="783">
        <v>25</v>
      </c>
      <c r="K2832" s="783" t="s">
        <v>137</v>
      </c>
      <c r="L2832" s="783" t="s">
        <v>4014</v>
      </c>
      <c r="M2832" s="784">
        <v>11467.06</v>
      </c>
      <c r="N2832" s="784">
        <v>11.09</v>
      </c>
      <c r="O2832" s="784">
        <v>5.17</v>
      </c>
      <c r="P2832" s="783">
        <v>200</v>
      </c>
      <c r="Q2832" s="783">
        <v>801.55</v>
      </c>
      <c r="R2832" s="783">
        <v>504.89</v>
      </c>
      <c r="S2832" s="783">
        <v>183.13</v>
      </c>
      <c r="T2832" s="783">
        <v>113.52</v>
      </c>
      <c r="U2832" s="785">
        <v>44699.478576388901</v>
      </c>
    </row>
    <row r="2833" spans="1:21">
      <c r="A2833" s="782">
        <v>44690</v>
      </c>
      <c r="B2833" s="783" t="s">
        <v>41</v>
      </c>
      <c r="C2833" s="783" t="s">
        <v>4082</v>
      </c>
      <c r="D2833" s="783" t="s">
        <v>4009</v>
      </c>
      <c r="E2833" s="783" t="s">
        <v>635</v>
      </c>
      <c r="F2833" s="783" t="s">
        <v>4011</v>
      </c>
      <c r="G2833" s="783" t="str">
        <f t="shared" si="150"/>
        <v>Renewal (20% in 2020)</v>
      </c>
      <c r="H2833" s="783" t="s">
        <v>4538</v>
      </c>
      <c r="I2833" s="783" t="s">
        <v>4539</v>
      </c>
      <c r="J2833" s="783">
        <v>20</v>
      </c>
      <c r="K2833" s="783" t="s">
        <v>137</v>
      </c>
      <c r="L2833" s="783" t="s">
        <v>4014</v>
      </c>
      <c r="M2833" s="784">
        <v>27416</v>
      </c>
      <c r="N2833" s="784">
        <v>11.5</v>
      </c>
      <c r="O2833" s="784">
        <v>5.96</v>
      </c>
      <c r="P2833" s="783">
        <v>400</v>
      </c>
      <c r="Q2833" s="783">
        <v>1814.94</v>
      </c>
      <c r="R2833" s="783">
        <v>455.59</v>
      </c>
      <c r="S2833" s="783">
        <v>819.26</v>
      </c>
      <c r="T2833" s="783">
        <v>540.1</v>
      </c>
      <c r="U2833" s="785">
        <v>44690.674062500002</v>
      </c>
    </row>
    <row r="2834" spans="1:21">
      <c r="A2834" s="782">
        <v>44693</v>
      </c>
      <c r="B2834" s="783" t="s">
        <v>30</v>
      </c>
      <c r="C2834" s="783" t="s">
        <v>4089</v>
      </c>
      <c r="D2834" s="783" t="s">
        <v>4021</v>
      </c>
      <c r="E2834" s="783" t="s">
        <v>4934</v>
      </c>
      <c r="F2834" s="783" t="s">
        <v>4011</v>
      </c>
      <c r="G2834" s="783" t="str">
        <f t="shared" si="150"/>
        <v>Renewal (15% in 2020)</v>
      </c>
      <c r="H2834" s="783" t="s">
        <v>4935</v>
      </c>
      <c r="I2834" s="783" t="s">
        <v>4936</v>
      </c>
      <c r="J2834" s="783">
        <v>15</v>
      </c>
      <c r="K2834" s="783" t="s">
        <v>137</v>
      </c>
      <c r="L2834" s="783" t="s">
        <v>4014</v>
      </c>
      <c r="M2834" s="784">
        <v>17426.7</v>
      </c>
      <c r="N2834" s="784">
        <v>20.100000000000001</v>
      </c>
      <c r="O2834" s="784">
        <v>5.0999999999999996</v>
      </c>
      <c r="P2834" s="783">
        <v>170</v>
      </c>
      <c r="Q2834" s="783">
        <v>2061.58</v>
      </c>
      <c r="R2834" s="783">
        <v>892.25</v>
      </c>
      <c r="S2834" s="783">
        <v>148.13</v>
      </c>
      <c r="T2834" s="783">
        <v>1021.2</v>
      </c>
      <c r="U2834" s="785">
        <v>44694.419212963003</v>
      </c>
    </row>
    <row r="2835" spans="1:21">
      <c r="A2835" s="782">
        <v>44697</v>
      </c>
      <c r="B2835" s="783" t="s">
        <v>4025</v>
      </c>
      <c r="C2835" s="783" t="s">
        <v>4026</v>
      </c>
      <c r="D2835" s="783" t="s">
        <v>4021</v>
      </c>
      <c r="E2835" s="783" t="s">
        <v>3552</v>
      </c>
      <c r="F2835" s="783" t="s">
        <v>4011</v>
      </c>
      <c r="G2835" s="783" t="str">
        <f t="shared" si="150"/>
        <v>New Contract</v>
      </c>
      <c r="H2835" s="783" t="s">
        <v>4955</v>
      </c>
      <c r="I2835" s="783" t="s">
        <v>4956</v>
      </c>
      <c r="J2835" s="783">
        <v>20</v>
      </c>
      <c r="K2835" s="783" t="s">
        <v>137</v>
      </c>
      <c r="L2835" s="783" t="s">
        <v>4014</v>
      </c>
      <c r="M2835" s="784">
        <v>92084.64</v>
      </c>
      <c r="N2835" s="784">
        <v>52.44</v>
      </c>
      <c r="O2835" s="784">
        <v>4.3899999999999997</v>
      </c>
      <c r="P2835" s="783">
        <v>400</v>
      </c>
      <c r="Q2835" s="783">
        <v>4033.31</v>
      </c>
      <c r="R2835" s="783">
        <v>990.14</v>
      </c>
      <c r="S2835" s="783">
        <v>1726.36</v>
      </c>
      <c r="T2835" s="783">
        <v>1316.81</v>
      </c>
      <c r="U2835" s="785">
        <v>44708.607361111099</v>
      </c>
    </row>
    <row r="2836" spans="1:21">
      <c r="A2836" s="782">
        <v>44691</v>
      </c>
      <c r="B2836" s="783" t="s">
        <v>4025</v>
      </c>
      <c r="C2836" s="783" t="s">
        <v>4015</v>
      </c>
      <c r="D2836" s="783" t="s">
        <v>4016</v>
      </c>
      <c r="E2836" s="783" t="s">
        <v>4964</v>
      </c>
      <c r="F2836" s="783" t="s">
        <v>4011</v>
      </c>
      <c r="G2836" s="783" t="str">
        <f t="shared" si="150"/>
        <v>New Contract</v>
      </c>
      <c r="H2836" s="783" t="s">
        <v>4965</v>
      </c>
      <c r="I2836" s="783" t="s">
        <v>4966</v>
      </c>
      <c r="J2836" s="783">
        <v>25</v>
      </c>
      <c r="K2836" s="783" t="s">
        <v>137</v>
      </c>
      <c r="L2836" s="783" t="s">
        <v>4014</v>
      </c>
      <c r="M2836" s="784">
        <v>121039.8</v>
      </c>
      <c r="N2836" s="784">
        <v>90.16</v>
      </c>
      <c r="O2836" s="784">
        <v>5.37</v>
      </c>
      <c r="P2836" s="783">
        <v>250</v>
      </c>
      <c r="Q2836" s="783">
        <v>6221.45</v>
      </c>
      <c r="R2836" s="783">
        <v>3284.05</v>
      </c>
      <c r="S2836" s="783">
        <v>1751.2</v>
      </c>
      <c r="T2836" s="783">
        <v>1186.19</v>
      </c>
      <c r="U2836" s="785">
        <v>44699.684953703698</v>
      </c>
    </row>
    <row r="2837" spans="1:21">
      <c r="A2837" s="782">
        <v>44700</v>
      </c>
      <c r="B2837" s="783" t="s">
        <v>4025</v>
      </c>
      <c r="C2837" s="783" t="s">
        <v>4026</v>
      </c>
      <c r="D2837" s="783" t="s">
        <v>4021</v>
      </c>
      <c r="E2837" s="783" t="s">
        <v>4973</v>
      </c>
      <c r="F2837" s="783" t="s">
        <v>4011</v>
      </c>
      <c r="G2837" s="783" t="str">
        <f t="shared" si="150"/>
        <v>New Contract</v>
      </c>
      <c r="H2837" s="783" t="s">
        <v>4974</v>
      </c>
      <c r="I2837" s="783" t="s">
        <v>4975</v>
      </c>
      <c r="J2837" s="783">
        <v>20</v>
      </c>
      <c r="K2837" s="783" t="s">
        <v>137</v>
      </c>
      <c r="L2837" s="783" t="s">
        <v>4014</v>
      </c>
      <c r="M2837" s="784">
        <v>13927.84</v>
      </c>
      <c r="N2837" s="784">
        <v>14.82</v>
      </c>
      <c r="O2837" s="784">
        <v>5.08</v>
      </c>
      <c r="P2837" s="783">
        <v>185</v>
      </c>
      <c r="Q2837" s="783">
        <v>610.04</v>
      </c>
      <c r="R2837" s="783">
        <v>323.8</v>
      </c>
      <c r="S2837" s="783">
        <v>87.07</v>
      </c>
      <c r="T2837" s="783">
        <v>199.17</v>
      </c>
      <c r="U2837" s="785">
        <v>44700.633287037002</v>
      </c>
    </row>
    <row r="2838" spans="1:21">
      <c r="A2838" s="782">
        <v>44692</v>
      </c>
      <c r="B2838" s="783" t="s">
        <v>51</v>
      </c>
      <c r="C2838" s="783" t="s">
        <v>4042</v>
      </c>
      <c r="D2838" s="783" t="s">
        <v>4016</v>
      </c>
      <c r="E2838" s="783" t="s">
        <v>4976</v>
      </c>
      <c r="F2838" s="783" t="s">
        <v>4011</v>
      </c>
      <c r="G2838" s="783" t="str">
        <f t="shared" si="150"/>
        <v>New Contract</v>
      </c>
      <c r="H2838" s="783" t="s">
        <v>4977</v>
      </c>
      <c r="I2838" s="783" t="s">
        <v>4978</v>
      </c>
      <c r="J2838" s="783">
        <v>30</v>
      </c>
      <c r="K2838" s="783" t="s">
        <v>137</v>
      </c>
      <c r="L2838" s="783" t="s">
        <v>4014</v>
      </c>
      <c r="M2838" s="784">
        <v>11190.42</v>
      </c>
      <c r="N2838" s="784">
        <v>13.8</v>
      </c>
      <c r="O2838" s="784">
        <v>4.7699999999999996</v>
      </c>
      <c r="P2838" s="783">
        <v>170</v>
      </c>
      <c r="Q2838" s="783">
        <v>457.69</v>
      </c>
      <c r="R2838" s="783">
        <v>395.02</v>
      </c>
      <c r="S2838" s="783">
        <v>0</v>
      </c>
      <c r="T2838" s="783">
        <v>62.67</v>
      </c>
      <c r="U2838" s="785">
        <v>44693.716122685197</v>
      </c>
    </row>
    <row r="2839" spans="1:21">
      <c r="A2839" s="782">
        <v>44448</v>
      </c>
      <c r="B2839" s="783" t="s">
        <v>4025</v>
      </c>
      <c r="C2839" s="783" t="s">
        <v>4026</v>
      </c>
      <c r="D2839" s="783" t="s">
        <v>4021</v>
      </c>
      <c r="E2839" s="783" t="s">
        <v>4984</v>
      </c>
      <c r="F2839" s="783" t="s">
        <v>4011</v>
      </c>
      <c r="G2839" s="783" t="str">
        <f t="shared" si="150"/>
        <v>New Contract</v>
      </c>
      <c r="H2839" s="783" t="s">
        <v>4985</v>
      </c>
      <c r="I2839" s="783" t="s">
        <v>4986</v>
      </c>
      <c r="J2839" s="783">
        <v>25</v>
      </c>
      <c r="K2839" s="783" t="s">
        <v>137</v>
      </c>
      <c r="L2839" s="783" t="s">
        <v>4014</v>
      </c>
      <c r="M2839" s="784">
        <v>29557.5</v>
      </c>
      <c r="N2839" s="784">
        <v>30</v>
      </c>
      <c r="O2839" s="784">
        <v>5.63</v>
      </c>
      <c r="P2839" s="783">
        <v>175</v>
      </c>
      <c r="Q2839" s="783">
        <v>1013.82</v>
      </c>
      <c r="R2839" s="783">
        <v>726.44</v>
      </c>
      <c r="S2839" s="783">
        <v>145.51</v>
      </c>
      <c r="T2839" s="783">
        <v>141.88</v>
      </c>
      <c r="U2839" s="785">
        <v>44631.516504629602</v>
      </c>
    </row>
    <row r="2840" spans="1:21">
      <c r="A2840" s="782">
        <v>44447</v>
      </c>
      <c r="B2840" s="783" t="s">
        <v>41</v>
      </c>
      <c r="C2840" s="783" t="s">
        <v>4139</v>
      </c>
      <c r="D2840" s="783" t="s">
        <v>4009</v>
      </c>
      <c r="E2840" s="783" t="s">
        <v>4993</v>
      </c>
      <c r="F2840" s="783" t="s">
        <v>4011</v>
      </c>
      <c r="G2840" s="783" t="str">
        <f t="shared" si="150"/>
        <v>Renewal (15% in 2020)</v>
      </c>
      <c r="H2840" s="783" t="s">
        <v>4994</v>
      </c>
      <c r="I2840" s="783" t="s">
        <v>4995</v>
      </c>
      <c r="J2840" s="783">
        <v>15</v>
      </c>
      <c r="K2840" s="783" t="s">
        <v>137</v>
      </c>
      <c r="L2840" s="783" t="s">
        <v>4014</v>
      </c>
      <c r="M2840" s="784">
        <v>8880.26</v>
      </c>
      <c r="N2840" s="784">
        <v>9.52</v>
      </c>
      <c r="O2840" s="784">
        <v>5.83</v>
      </c>
      <c r="P2840" s="783">
        <v>160</v>
      </c>
      <c r="Q2840" s="783">
        <v>917.33</v>
      </c>
      <c r="R2840" s="783">
        <v>413.82</v>
      </c>
      <c r="S2840" s="783">
        <v>65.709999999999994</v>
      </c>
      <c r="T2840" s="783">
        <v>437.8</v>
      </c>
      <c r="U2840" s="785">
        <v>44708.987847222197</v>
      </c>
    </row>
    <row r="2841" spans="1:21">
      <c r="A2841" s="782">
        <v>44447</v>
      </c>
      <c r="B2841" s="783" t="s">
        <v>51</v>
      </c>
      <c r="C2841" s="783" t="s">
        <v>4796</v>
      </c>
      <c r="D2841" s="783" t="s">
        <v>4016</v>
      </c>
      <c r="E2841" s="783" t="s">
        <v>2934</v>
      </c>
      <c r="F2841" s="783" t="s">
        <v>4011</v>
      </c>
      <c r="G2841" s="783" t="str">
        <f t="shared" si="150"/>
        <v>Renewal (30% in 2020)</v>
      </c>
      <c r="H2841" s="783" t="s">
        <v>4996</v>
      </c>
      <c r="I2841" s="783" t="s">
        <v>4997</v>
      </c>
      <c r="J2841" s="783">
        <v>20</v>
      </c>
      <c r="K2841" s="783" t="s">
        <v>137</v>
      </c>
      <c r="L2841" s="783" t="s">
        <v>4014</v>
      </c>
      <c r="M2841" s="784">
        <v>18403.84</v>
      </c>
      <c r="N2841" s="784">
        <v>20.8</v>
      </c>
      <c r="O2841" s="784">
        <v>5.53</v>
      </c>
      <c r="P2841" s="783">
        <v>160</v>
      </c>
      <c r="Q2841" s="783">
        <v>1015.89</v>
      </c>
      <c r="R2841" s="783">
        <v>598.12</v>
      </c>
      <c r="S2841" s="783">
        <v>99.38</v>
      </c>
      <c r="T2841" s="783">
        <v>318.39</v>
      </c>
      <c r="U2841" s="785">
        <v>44631.513622685197</v>
      </c>
    </row>
    <row r="2842" spans="1:21">
      <c r="A2842" s="782">
        <v>44452</v>
      </c>
      <c r="B2842" s="783" t="s">
        <v>51</v>
      </c>
      <c r="C2842" s="783" t="s">
        <v>4015</v>
      </c>
      <c r="D2842" s="783" t="s">
        <v>4016</v>
      </c>
      <c r="E2842" s="783" t="s">
        <v>4998</v>
      </c>
      <c r="F2842" s="783" t="s">
        <v>4011</v>
      </c>
      <c r="G2842" s="783" t="str">
        <f t="shared" si="150"/>
        <v>New Contract</v>
      </c>
      <c r="H2842" s="783" t="s">
        <v>4999</v>
      </c>
      <c r="I2842" s="783" t="s">
        <v>5000</v>
      </c>
      <c r="J2842" s="783">
        <v>25</v>
      </c>
      <c r="K2842" s="783" t="s">
        <v>137</v>
      </c>
      <c r="L2842" s="783" t="s">
        <v>4014</v>
      </c>
      <c r="M2842" s="784">
        <v>8608.7999999999993</v>
      </c>
      <c r="N2842" s="784">
        <v>12</v>
      </c>
      <c r="O2842" s="784">
        <v>4.22</v>
      </c>
      <c r="P2842" s="783">
        <v>170</v>
      </c>
      <c r="Q2842" s="783">
        <v>442.49</v>
      </c>
      <c r="R2842" s="783">
        <v>343.49</v>
      </c>
      <c r="S2842" s="783">
        <v>14.63</v>
      </c>
      <c r="T2842" s="783">
        <v>84.37</v>
      </c>
      <c r="U2842" s="785">
        <v>44631.519826388903</v>
      </c>
    </row>
    <row r="2843" spans="1:21">
      <c r="A2843" s="782">
        <v>44638</v>
      </c>
      <c r="B2843" s="783" t="s">
        <v>30</v>
      </c>
      <c r="C2843" s="783" t="s">
        <v>4089</v>
      </c>
      <c r="D2843" s="783" t="s">
        <v>4021</v>
      </c>
      <c r="E2843" s="783" t="s">
        <v>2691</v>
      </c>
      <c r="F2843" s="783" t="s">
        <v>4011</v>
      </c>
      <c r="G2843" s="783" t="str">
        <f t="shared" si="150"/>
        <v>Renewal (15% in 2020)</v>
      </c>
      <c r="H2843" s="783" t="s">
        <v>5003</v>
      </c>
      <c r="I2843" s="783" t="s">
        <v>5004</v>
      </c>
      <c r="J2843" s="783">
        <v>15</v>
      </c>
      <c r="K2843" s="783" t="s">
        <v>137</v>
      </c>
      <c r="L2843" s="783" t="s">
        <v>4014</v>
      </c>
      <c r="M2843" s="784">
        <v>17788.68</v>
      </c>
      <c r="N2843" s="784">
        <v>18.2</v>
      </c>
      <c r="O2843" s="784">
        <v>5.43</v>
      </c>
      <c r="P2843" s="783">
        <v>180</v>
      </c>
      <c r="Q2843" s="783">
        <v>2104.4</v>
      </c>
      <c r="R2843" s="783">
        <v>860.18</v>
      </c>
      <c r="S2843" s="783">
        <v>201.8</v>
      </c>
      <c r="T2843" s="783">
        <v>1042.42</v>
      </c>
      <c r="U2843" s="785">
        <v>44638.561354166697</v>
      </c>
    </row>
    <row r="2844" spans="1:21">
      <c r="A2844" s="782">
        <v>44439</v>
      </c>
      <c r="B2844" s="783" t="s">
        <v>51</v>
      </c>
      <c r="C2844" s="783" t="s">
        <v>4042</v>
      </c>
      <c r="D2844" s="783" t="s">
        <v>4016</v>
      </c>
      <c r="E2844" s="783" t="s">
        <v>5014</v>
      </c>
      <c r="F2844" s="783" t="s">
        <v>4011</v>
      </c>
      <c r="G2844" s="783" t="str">
        <f t="shared" si="150"/>
        <v>New Contract</v>
      </c>
      <c r="H2844" s="783" t="s">
        <v>5015</v>
      </c>
      <c r="I2844" s="783" t="s">
        <v>5016</v>
      </c>
      <c r="J2844" s="783">
        <v>25</v>
      </c>
      <c r="K2844" s="783" t="s">
        <v>137</v>
      </c>
      <c r="L2844" s="783" t="s">
        <v>4014</v>
      </c>
      <c r="M2844" s="784">
        <v>11514.95</v>
      </c>
      <c r="N2844" s="784">
        <v>11.5</v>
      </c>
      <c r="O2844" s="784">
        <v>5.27</v>
      </c>
      <c r="P2844" s="783">
        <v>190</v>
      </c>
      <c r="Q2844" s="783">
        <v>536.6</v>
      </c>
      <c r="R2844" s="783">
        <v>363.69</v>
      </c>
      <c r="S2844" s="783">
        <v>108.42</v>
      </c>
      <c r="T2844" s="783">
        <v>64.48</v>
      </c>
      <c r="U2844" s="785">
        <v>44631.518113425896</v>
      </c>
    </row>
    <row r="2845" spans="1:21">
      <c r="A2845" s="782">
        <v>44452</v>
      </c>
      <c r="B2845" s="783" t="s">
        <v>228</v>
      </c>
      <c r="C2845" s="783" t="s">
        <v>4020</v>
      </c>
      <c r="D2845" s="783" t="s">
        <v>4021</v>
      </c>
      <c r="E2845" s="783" t="s">
        <v>4022</v>
      </c>
      <c r="F2845" s="783" t="s">
        <v>4011</v>
      </c>
      <c r="G2845" s="783" t="str">
        <f t="shared" si="150"/>
        <v>Renewal (25% in 2020)</v>
      </c>
      <c r="H2845" s="783" t="s">
        <v>4023</v>
      </c>
      <c r="I2845" s="783" t="s">
        <v>4024</v>
      </c>
      <c r="J2845" s="783">
        <v>25</v>
      </c>
      <c r="K2845" s="783" t="s">
        <v>137</v>
      </c>
      <c r="L2845" s="783" t="s">
        <v>4014</v>
      </c>
      <c r="M2845" s="784">
        <v>6851.22</v>
      </c>
      <c r="N2845" s="784">
        <v>10.69</v>
      </c>
      <c r="O2845" s="784">
        <v>3.77</v>
      </c>
      <c r="P2845" s="783">
        <v>170</v>
      </c>
      <c r="Q2845" s="783">
        <v>453.55</v>
      </c>
      <c r="R2845" s="783">
        <v>341.88</v>
      </c>
      <c r="S2845" s="783">
        <v>55.49</v>
      </c>
      <c r="T2845" s="783">
        <v>56.18</v>
      </c>
      <c r="U2845" s="785">
        <v>44631.513854166697</v>
      </c>
    </row>
    <row r="2846" spans="1:21">
      <c r="A2846" s="782">
        <v>44456</v>
      </c>
      <c r="B2846" s="783" t="s">
        <v>51</v>
      </c>
      <c r="C2846" s="783" t="s">
        <v>4042</v>
      </c>
      <c r="D2846" s="783" t="s">
        <v>4016</v>
      </c>
      <c r="E2846" s="783" t="s">
        <v>525</v>
      </c>
      <c r="F2846" s="783" t="s">
        <v>4011</v>
      </c>
      <c r="G2846" s="783" t="str">
        <f t="shared" si="150"/>
        <v>Renewal (15% in 2020)</v>
      </c>
      <c r="H2846" s="783" t="s">
        <v>5020</v>
      </c>
      <c r="I2846" s="783" t="s">
        <v>5021</v>
      </c>
      <c r="J2846" s="783">
        <v>15</v>
      </c>
      <c r="K2846" s="783" t="s">
        <v>137</v>
      </c>
      <c r="L2846" s="783" t="s">
        <v>4014</v>
      </c>
      <c r="M2846" s="784">
        <v>22815</v>
      </c>
      <c r="N2846" s="784">
        <v>25</v>
      </c>
      <c r="O2846" s="784">
        <v>5.07</v>
      </c>
      <c r="P2846" s="783">
        <v>180</v>
      </c>
      <c r="Q2846" s="783">
        <v>1827.48</v>
      </c>
      <c r="R2846" s="783">
        <v>760.63</v>
      </c>
      <c r="S2846" s="783">
        <v>174.79</v>
      </c>
      <c r="T2846" s="783">
        <v>892.07</v>
      </c>
      <c r="U2846" s="785">
        <v>44631.629247685203</v>
      </c>
    </row>
    <row r="2847" spans="1:21">
      <c r="A2847" s="782">
        <v>44594</v>
      </c>
      <c r="B2847" s="783" t="s">
        <v>228</v>
      </c>
      <c r="C2847" s="783" t="s">
        <v>4417</v>
      </c>
      <c r="D2847" s="783" t="s">
        <v>4193</v>
      </c>
      <c r="E2847" s="783" t="s">
        <v>5032</v>
      </c>
      <c r="F2847" s="783" t="s">
        <v>4011</v>
      </c>
      <c r="G2847" s="783" t="s">
        <v>4028</v>
      </c>
      <c r="H2847" s="783" t="s">
        <v>5033</v>
      </c>
      <c r="I2847" s="783" t="s">
        <v>5034</v>
      </c>
      <c r="J2847" s="783">
        <v>25</v>
      </c>
      <c r="K2847" s="783" t="s">
        <v>137</v>
      </c>
      <c r="L2847" s="783" t="s">
        <v>4014</v>
      </c>
      <c r="M2847" s="784">
        <v>49062</v>
      </c>
      <c r="N2847" s="784">
        <v>29.6</v>
      </c>
      <c r="O2847" s="784">
        <v>7.5</v>
      </c>
      <c r="P2847" s="783">
        <v>221</v>
      </c>
      <c r="Q2847" s="783">
        <v>2099.85</v>
      </c>
      <c r="R2847" s="783">
        <v>1252.97</v>
      </c>
      <c r="S2847" s="783">
        <v>645.73</v>
      </c>
      <c r="T2847" s="783">
        <v>201.15</v>
      </c>
      <c r="U2847" s="785">
        <v>44631.629421296297</v>
      </c>
    </row>
    <row r="2848" spans="1:21">
      <c r="A2848" s="782">
        <v>44592</v>
      </c>
      <c r="B2848" s="783" t="s">
        <v>41</v>
      </c>
      <c r="C2848" s="783" t="s">
        <v>4082</v>
      </c>
      <c r="D2848" s="783" t="s">
        <v>4009</v>
      </c>
      <c r="E2848" s="783" t="s">
        <v>4558</v>
      </c>
      <c r="F2848" s="783" t="s">
        <v>4011</v>
      </c>
      <c r="G2848" s="783" t="s">
        <v>4028</v>
      </c>
      <c r="H2848" s="783" t="s">
        <v>4559</v>
      </c>
      <c r="I2848" s="783" t="s">
        <v>4560</v>
      </c>
      <c r="J2848" s="783">
        <v>25</v>
      </c>
      <c r="K2848" s="783" t="s">
        <v>137</v>
      </c>
      <c r="L2848" s="783" t="s">
        <v>4014</v>
      </c>
      <c r="M2848" s="784">
        <v>8246.7000000000007</v>
      </c>
      <c r="N2848" s="784">
        <v>7.7</v>
      </c>
      <c r="O2848" s="784">
        <v>6.3</v>
      </c>
      <c r="P2848" s="783">
        <v>170</v>
      </c>
      <c r="Q2848" s="783">
        <v>419.76</v>
      </c>
      <c r="R2848" s="783">
        <v>322.45</v>
      </c>
      <c r="S2848" s="783">
        <v>61.03</v>
      </c>
      <c r="T2848" s="783">
        <v>36.29</v>
      </c>
      <c r="U2848" s="785">
        <v>44631.629456018498</v>
      </c>
    </row>
    <row r="2849" spans="1:21">
      <c r="A2849" s="782">
        <v>44633</v>
      </c>
      <c r="B2849" s="783" t="s">
        <v>30</v>
      </c>
      <c r="C2849" s="783" t="s">
        <v>4089</v>
      </c>
      <c r="D2849" s="783" t="s">
        <v>4021</v>
      </c>
      <c r="E2849" s="783" t="s">
        <v>5047</v>
      </c>
      <c r="F2849" s="783" t="s">
        <v>4011</v>
      </c>
      <c r="G2849" s="783" t="str">
        <f t="shared" ref="G2849:G2857" si="151">VLOOKUP(I2849,pacage,2,FALSE)</f>
        <v>Renewal (15% in 2020)</v>
      </c>
      <c r="H2849" s="783" t="s">
        <v>5048</v>
      </c>
      <c r="I2849" s="783" t="s">
        <v>5049</v>
      </c>
      <c r="J2849" s="783">
        <v>15</v>
      </c>
      <c r="K2849" s="783" t="s">
        <v>137</v>
      </c>
      <c r="L2849" s="783" t="s">
        <v>4014</v>
      </c>
      <c r="M2849" s="784">
        <v>18726.689999999999</v>
      </c>
      <c r="N2849" s="784">
        <v>21.9</v>
      </c>
      <c r="O2849" s="784">
        <v>5.03</v>
      </c>
      <c r="P2849" s="783">
        <v>170</v>
      </c>
      <c r="Q2849" s="783">
        <v>2215.37</v>
      </c>
      <c r="R2849" s="783">
        <v>958.81</v>
      </c>
      <c r="S2849" s="783">
        <v>159.18</v>
      </c>
      <c r="T2849" s="783">
        <v>1097.3800000000001</v>
      </c>
      <c r="U2849" s="785">
        <v>44634.389189814799</v>
      </c>
    </row>
    <row r="2850" spans="1:21">
      <c r="A2850" s="782">
        <v>44693</v>
      </c>
      <c r="B2850" s="783" t="s">
        <v>51</v>
      </c>
      <c r="C2850" s="783" t="s">
        <v>4042</v>
      </c>
      <c r="D2850" s="783" t="s">
        <v>4016</v>
      </c>
      <c r="E2850" s="783" t="s">
        <v>1359</v>
      </c>
      <c r="F2850" s="783" t="s">
        <v>4011</v>
      </c>
      <c r="G2850" s="783" t="str">
        <f t="shared" si="151"/>
        <v>Renewal (20% in 2020)</v>
      </c>
      <c r="H2850" s="783" t="s">
        <v>5053</v>
      </c>
      <c r="I2850" s="783" t="s">
        <v>5054</v>
      </c>
      <c r="J2850" s="783">
        <v>20</v>
      </c>
      <c r="K2850" s="783" t="s">
        <v>137</v>
      </c>
      <c r="L2850" s="783" t="s">
        <v>4014</v>
      </c>
      <c r="M2850" s="784">
        <v>76328.02</v>
      </c>
      <c r="N2850" s="784">
        <v>60.96</v>
      </c>
      <c r="O2850" s="784">
        <v>6.59</v>
      </c>
      <c r="P2850" s="783">
        <v>190</v>
      </c>
      <c r="Q2850" s="783">
        <v>4587.3100000000004</v>
      </c>
      <c r="R2850" s="783">
        <v>2410.7600000000002</v>
      </c>
      <c r="S2850" s="783">
        <v>718.69</v>
      </c>
      <c r="T2850" s="783">
        <v>1457.87</v>
      </c>
      <c r="U2850" s="785">
        <v>44694.5081712963</v>
      </c>
    </row>
    <row r="2851" spans="1:21">
      <c r="A2851" s="782">
        <v>44698</v>
      </c>
      <c r="B2851" s="783" t="s">
        <v>41</v>
      </c>
      <c r="C2851" s="783" t="s">
        <v>4082</v>
      </c>
      <c r="D2851" s="783" t="s">
        <v>4009</v>
      </c>
      <c r="E2851" s="783" t="s">
        <v>6537</v>
      </c>
      <c r="F2851" s="783" t="s">
        <v>4011</v>
      </c>
      <c r="G2851" s="783" t="str">
        <f t="shared" si="151"/>
        <v>New contract</v>
      </c>
      <c r="H2851" s="783" t="s">
        <v>6538</v>
      </c>
      <c r="I2851" s="783" t="s">
        <v>6539</v>
      </c>
      <c r="J2851" s="783">
        <v>25</v>
      </c>
      <c r="K2851" s="783" t="s">
        <v>137</v>
      </c>
      <c r="L2851" s="783" t="s">
        <v>4014</v>
      </c>
      <c r="M2851" s="784">
        <v>5967</v>
      </c>
      <c r="N2851" s="784">
        <v>5.85</v>
      </c>
      <c r="O2851" s="784">
        <v>6</v>
      </c>
      <c r="P2851" s="783">
        <v>170</v>
      </c>
      <c r="Q2851" s="783">
        <v>303.72000000000003</v>
      </c>
      <c r="R2851" s="783">
        <v>233.31</v>
      </c>
      <c r="S2851" s="783">
        <v>44.16</v>
      </c>
      <c r="T2851" s="783">
        <v>26.25</v>
      </c>
      <c r="U2851" s="785">
        <v>44699.4924537037</v>
      </c>
    </row>
    <row r="2852" spans="1:21">
      <c r="A2852" s="782">
        <v>44700</v>
      </c>
      <c r="B2852" s="783" t="s">
        <v>51</v>
      </c>
      <c r="C2852" s="783" t="s">
        <v>4015</v>
      </c>
      <c r="D2852" s="783" t="s">
        <v>4016</v>
      </c>
      <c r="E2852" s="783" t="s">
        <v>5075</v>
      </c>
      <c r="F2852" s="783" t="s">
        <v>4011</v>
      </c>
      <c r="G2852" s="783" t="str">
        <f t="shared" si="151"/>
        <v>Renewal (25% in 2020)</v>
      </c>
      <c r="H2852" s="783" t="s">
        <v>5076</v>
      </c>
      <c r="I2852" s="783" t="s">
        <v>5077</v>
      </c>
      <c r="J2852" s="783">
        <v>25</v>
      </c>
      <c r="K2852" s="783" t="s">
        <v>137</v>
      </c>
      <c r="L2852" s="783" t="s">
        <v>4014</v>
      </c>
      <c r="M2852" s="784">
        <v>14655.41</v>
      </c>
      <c r="N2852" s="784">
        <v>18.21</v>
      </c>
      <c r="O2852" s="784">
        <v>5.03</v>
      </c>
      <c r="P2852" s="783">
        <v>160</v>
      </c>
      <c r="Q2852" s="783">
        <v>753.29</v>
      </c>
      <c r="R2852" s="783">
        <v>584.75</v>
      </c>
      <c r="S2852" s="783">
        <v>24.91</v>
      </c>
      <c r="T2852" s="783">
        <v>143.62</v>
      </c>
      <c r="U2852" s="785">
        <v>44700.719907407401</v>
      </c>
    </row>
    <row r="2853" spans="1:21">
      <c r="A2853" s="782">
        <v>44704</v>
      </c>
      <c r="B2853" s="783" t="s">
        <v>41</v>
      </c>
      <c r="C2853" s="783" t="s">
        <v>4139</v>
      </c>
      <c r="D2853" s="783" t="s">
        <v>4009</v>
      </c>
      <c r="E2853" s="783" t="s">
        <v>5081</v>
      </c>
      <c r="F2853" s="783" t="s">
        <v>4011</v>
      </c>
      <c r="G2853" s="783" t="str">
        <f t="shared" si="151"/>
        <v>Renewal (30% in 2020)</v>
      </c>
      <c r="H2853" s="783" t="s">
        <v>5082</v>
      </c>
      <c r="I2853" s="783" t="s">
        <v>5083</v>
      </c>
      <c r="J2853" s="783">
        <v>30</v>
      </c>
      <c r="K2853" s="783" t="s">
        <v>137</v>
      </c>
      <c r="L2853" s="783" t="s">
        <v>4014</v>
      </c>
      <c r="M2853" s="784">
        <v>7038.61</v>
      </c>
      <c r="N2853" s="784">
        <v>8.68</v>
      </c>
      <c r="O2853" s="784">
        <v>4.7699999999999996</v>
      </c>
      <c r="P2853" s="783">
        <v>170</v>
      </c>
      <c r="Q2853" s="783">
        <v>363.19</v>
      </c>
      <c r="R2853" s="783">
        <v>328</v>
      </c>
      <c r="S2853" s="783">
        <v>0</v>
      </c>
      <c r="T2853" s="783">
        <v>35.19</v>
      </c>
      <c r="U2853" s="785">
        <v>44704.632754629602</v>
      </c>
    </row>
    <row r="2854" spans="1:21">
      <c r="A2854" s="782">
        <v>44706</v>
      </c>
      <c r="B2854" s="783" t="s">
        <v>74</v>
      </c>
      <c r="C2854" s="783" t="s">
        <v>4037</v>
      </c>
      <c r="D2854" s="783" t="s">
        <v>4038</v>
      </c>
      <c r="E2854" s="783" t="s">
        <v>4290</v>
      </c>
      <c r="F2854" s="783" t="s">
        <v>4011</v>
      </c>
      <c r="G2854" s="783" t="str">
        <f t="shared" si="151"/>
        <v>Renewal (15% in 2020)</v>
      </c>
      <c r="H2854" s="783" t="s">
        <v>4291</v>
      </c>
      <c r="I2854" s="783" t="s">
        <v>4292</v>
      </c>
      <c r="J2854" s="783">
        <v>15</v>
      </c>
      <c r="K2854" s="783" t="s">
        <v>137</v>
      </c>
      <c r="L2854" s="783" t="s">
        <v>4014</v>
      </c>
      <c r="M2854" s="784">
        <v>8932.14</v>
      </c>
      <c r="N2854" s="784">
        <v>14.28</v>
      </c>
      <c r="O2854" s="784">
        <v>4.17</v>
      </c>
      <c r="P2854" s="783">
        <v>150</v>
      </c>
      <c r="Q2854" s="783">
        <v>1179.04</v>
      </c>
      <c r="R2854" s="783">
        <v>529.67999999999995</v>
      </c>
      <c r="S2854" s="783">
        <v>86.64</v>
      </c>
      <c r="T2854" s="783">
        <v>562.72</v>
      </c>
      <c r="U2854" s="785">
        <v>44706.615312499998</v>
      </c>
    </row>
    <row r="2855" spans="1:21">
      <c r="A2855" s="782">
        <v>44685</v>
      </c>
      <c r="B2855" s="783" t="s">
        <v>51</v>
      </c>
      <c r="C2855" s="783" t="s">
        <v>4796</v>
      </c>
      <c r="D2855" s="783" t="s">
        <v>4016</v>
      </c>
      <c r="E2855" s="783" t="s">
        <v>5105</v>
      </c>
      <c r="F2855" s="783" t="s">
        <v>4011</v>
      </c>
      <c r="G2855" s="783" t="str">
        <f t="shared" si="151"/>
        <v>Renewal (20% in 2020)</v>
      </c>
      <c r="H2855" s="783" t="s">
        <v>5106</v>
      </c>
      <c r="I2855" s="783" t="s">
        <v>5107</v>
      </c>
      <c r="J2855" s="783">
        <v>20</v>
      </c>
      <c r="K2855" s="783" t="s">
        <v>137</v>
      </c>
      <c r="L2855" s="783" t="s">
        <v>4014</v>
      </c>
      <c r="M2855" s="784">
        <v>27399.83</v>
      </c>
      <c r="N2855" s="784">
        <v>28.19</v>
      </c>
      <c r="O2855" s="784">
        <v>5.37</v>
      </c>
      <c r="P2855" s="783">
        <v>181</v>
      </c>
      <c r="Q2855" s="783">
        <v>1512.47</v>
      </c>
      <c r="R2855" s="783">
        <v>836.38</v>
      </c>
      <c r="S2855" s="783">
        <v>202.08</v>
      </c>
      <c r="T2855" s="783">
        <v>474.02</v>
      </c>
      <c r="U2855" s="785">
        <v>44685.660266203697</v>
      </c>
    </row>
    <row r="2856" spans="1:21">
      <c r="A2856" s="782">
        <v>44686</v>
      </c>
      <c r="B2856" s="783" t="s">
        <v>41</v>
      </c>
      <c r="C2856" s="783" t="s">
        <v>4071</v>
      </c>
      <c r="D2856" s="783" t="s">
        <v>4009</v>
      </c>
      <c r="E2856" s="783" t="s">
        <v>505</v>
      </c>
      <c r="F2856" s="783" t="s">
        <v>4011</v>
      </c>
      <c r="G2856" s="783" t="str">
        <f t="shared" si="151"/>
        <v>Renewal (15% in 2020)</v>
      </c>
      <c r="H2856" s="783" t="s">
        <v>4112</v>
      </c>
      <c r="I2856" s="783" t="s">
        <v>4113</v>
      </c>
      <c r="J2856" s="783">
        <v>15</v>
      </c>
      <c r="K2856" s="783" t="s">
        <v>137</v>
      </c>
      <c r="L2856" s="783" t="s">
        <v>4014</v>
      </c>
      <c r="M2856" s="784">
        <v>36161.24</v>
      </c>
      <c r="N2856" s="784">
        <v>44.04</v>
      </c>
      <c r="O2856" s="784">
        <v>4.83</v>
      </c>
      <c r="P2856" s="783">
        <v>170</v>
      </c>
      <c r="Q2856" s="783">
        <v>3283.44</v>
      </c>
      <c r="R2856" s="783">
        <v>1482.61</v>
      </c>
      <c r="S2856" s="783">
        <v>238.66</v>
      </c>
      <c r="T2856" s="783">
        <v>1562.17</v>
      </c>
      <c r="U2856" s="785">
        <v>44687.621041666702</v>
      </c>
    </row>
    <row r="2857" spans="1:21">
      <c r="A2857" s="782">
        <v>44687</v>
      </c>
      <c r="B2857" s="783" t="s">
        <v>51</v>
      </c>
      <c r="C2857" s="783" t="s">
        <v>4042</v>
      </c>
      <c r="D2857" s="783" t="s">
        <v>4016</v>
      </c>
      <c r="E2857" s="783" t="s">
        <v>908</v>
      </c>
      <c r="F2857" s="783" t="s">
        <v>4011</v>
      </c>
      <c r="G2857" s="783" t="str">
        <f t="shared" si="151"/>
        <v>Renewal (20% in 2020)</v>
      </c>
      <c r="H2857" s="783" t="s">
        <v>5110</v>
      </c>
      <c r="I2857" s="783" t="s">
        <v>5111</v>
      </c>
      <c r="J2857" s="783">
        <v>20</v>
      </c>
      <c r="K2857" s="783" t="s">
        <v>137</v>
      </c>
      <c r="L2857" s="783" t="s">
        <v>4014</v>
      </c>
      <c r="M2857" s="784">
        <v>27253.78</v>
      </c>
      <c r="N2857" s="784">
        <v>30.16</v>
      </c>
      <c r="O2857" s="784">
        <v>5.51</v>
      </c>
      <c r="P2857" s="783">
        <v>164</v>
      </c>
      <c r="Q2857" s="783">
        <v>1637.95</v>
      </c>
      <c r="R2857" s="783">
        <v>962.06</v>
      </c>
      <c r="S2857" s="783">
        <v>155.35</v>
      </c>
      <c r="T2857" s="783">
        <v>520.54999999999995</v>
      </c>
      <c r="U2857" s="785">
        <v>44687.673576388901</v>
      </c>
    </row>
    <row r="2858" spans="1:21">
      <c r="A2858" s="782">
        <v>44685</v>
      </c>
      <c r="B2858" s="783" t="s">
        <v>4025</v>
      </c>
      <c r="C2858" s="783" t="s">
        <v>4026</v>
      </c>
      <c r="D2858" s="783" t="s">
        <v>4021</v>
      </c>
      <c r="E2858" s="783" t="s">
        <v>4114</v>
      </c>
      <c r="F2858" s="783" t="s">
        <v>4011</v>
      </c>
      <c r="G2858" s="783" t="s">
        <v>4028</v>
      </c>
      <c r="H2858" s="783" t="s">
        <v>4115</v>
      </c>
      <c r="I2858" s="783" t="s">
        <v>4116</v>
      </c>
      <c r="J2858" s="783">
        <v>25</v>
      </c>
      <c r="K2858" s="783" t="s">
        <v>137</v>
      </c>
      <c r="L2858" s="783" t="s">
        <v>4014</v>
      </c>
      <c r="M2858" s="784">
        <v>4312.3</v>
      </c>
      <c r="N2858" s="784">
        <v>4.3899999999999997</v>
      </c>
      <c r="O2858" s="784">
        <v>5.17</v>
      </c>
      <c r="P2858" s="783">
        <v>190</v>
      </c>
      <c r="Q2858" s="783">
        <v>147.91</v>
      </c>
      <c r="R2858" s="783">
        <v>97.62</v>
      </c>
      <c r="S2858" s="783">
        <v>29.6</v>
      </c>
      <c r="T2858" s="783">
        <v>20.7</v>
      </c>
      <c r="U2858" s="785">
        <v>44685.413182870398</v>
      </c>
    </row>
    <row r="2859" spans="1:21">
      <c r="A2859" s="782">
        <v>44684</v>
      </c>
      <c r="B2859" s="783" t="s">
        <v>4025</v>
      </c>
      <c r="C2859" s="783" t="s">
        <v>4026</v>
      </c>
      <c r="D2859" s="783" t="s">
        <v>4021</v>
      </c>
      <c r="E2859" s="783" t="s">
        <v>5117</v>
      </c>
      <c r="F2859" s="783" t="s">
        <v>4011</v>
      </c>
      <c r="G2859" s="783" t="str">
        <f t="shared" ref="G2859:G2871" si="152">VLOOKUP(I2859,pacage,2,FALSE)</f>
        <v>New Contract</v>
      </c>
      <c r="H2859" s="783" t="s">
        <v>5118</v>
      </c>
      <c r="I2859" s="783" t="s">
        <v>5119</v>
      </c>
      <c r="J2859" s="783">
        <v>25</v>
      </c>
      <c r="K2859" s="783" t="s">
        <v>137</v>
      </c>
      <c r="L2859" s="783" t="s">
        <v>4014</v>
      </c>
      <c r="M2859" s="784">
        <v>18315.73</v>
      </c>
      <c r="N2859" s="784">
        <v>19.489999999999998</v>
      </c>
      <c r="O2859" s="784">
        <v>5.37</v>
      </c>
      <c r="P2859" s="783">
        <v>175</v>
      </c>
      <c r="Q2859" s="783">
        <v>628.23</v>
      </c>
      <c r="R2859" s="783">
        <v>450.15</v>
      </c>
      <c r="S2859" s="783">
        <v>90.17</v>
      </c>
      <c r="T2859" s="783">
        <v>87.92</v>
      </c>
      <c r="U2859" s="785">
        <v>44685.446539351899</v>
      </c>
    </row>
    <row r="2860" spans="1:21">
      <c r="A2860" s="782">
        <v>44681</v>
      </c>
      <c r="B2860" s="783" t="s">
        <v>4025</v>
      </c>
      <c r="C2860" s="783" t="s">
        <v>4026</v>
      </c>
      <c r="D2860" s="783" t="s">
        <v>4021</v>
      </c>
      <c r="E2860" s="783" t="s">
        <v>5123</v>
      </c>
      <c r="F2860" s="783" t="s">
        <v>4011</v>
      </c>
      <c r="G2860" s="783" t="str">
        <f t="shared" si="152"/>
        <v>New Contract</v>
      </c>
      <c r="H2860" s="783" t="s">
        <v>5124</v>
      </c>
      <c r="I2860" s="783" t="s">
        <v>5125</v>
      </c>
      <c r="J2860" s="783">
        <v>20</v>
      </c>
      <c r="K2860" s="783" t="s">
        <v>137</v>
      </c>
      <c r="L2860" s="783" t="s">
        <v>4014</v>
      </c>
      <c r="M2860" s="784">
        <v>72116.039999999994</v>
      </c>
      <c r="N2860" s="784">
        <v>46.11</v>
      </c>
      <c r="O2860" s="784">
        <v>6.8</v>
      </c>
      <c r="P2860" s="783">
        <v>230</v>
      </c>
      <c r="Q2860" s="783">
        <v>3158.68</v>
      </c>
      <c r="R2860" s="783">
        <v>1348.57</v>
      </c>
      <c r="S2860" s="783">
        <v>778.85</v>
      </c>
      <c r="T2860" s="783">
        <v>1031.26</v>
      </c>
      <c r="U2860" s="785">
        <v>44701.992164351897</v>
      </c>
    </row>
    <row r="2861" spans="1:21">
      <c r="A2861" s="782">
        <v>44684</v>
      </c>
      <c r="B2861" s="783" t="s">
        <v>41</v>
      </c>
      <c r="C2861" s="783" t="s">
        <v>4092</v>
      </c>
      <c r="D2861" s="783" t="s">
        <v>4009</v>
      </c>
      <c r="E2861" s="783" t="s">
        <v>4569</v>
      </c>
      <c r="F2861" s="783" t="s">
        <v>4011</v>
      </c>
      <c r="G2861" s="783" t="str">
        <f t="shared" si="152"/>
        <v>Renewal (20% in 2020)</v>
      </c>
      <c r="H2861" s="783" t="s">
        <v>4570</v>
      </c>
      <c r="I2861" s="783" t="s">
        <v>4571</v>
      </c>
      <c r="J2861" s="783">
        <v>20</v>
      </c>
      <c r="K2861" s="783" t="s">
        <v>137</v>
      </c>
      <c r="L2861" s="783" t="s">
        <v>4014</v>
      </c>
      <c r="M2861" s="784">
        <v>14392.73</v>
      </c>
      <c r="N2861" s="784">
        <v>13.36</v>
      </c>
      <c r="O2861" s="784">
        <v>5.13</v>
      </c>
      <c r="P2861" s="783">
        <v>210</v>
      </c>
      <c r="Q2861" s="783">
        <v>931.21</v>
      </c>
      <c r="R2861" s="783">
        <v>443.91</v>
      </c>
      <c r="S2861" s="783">
        <v>209.52</v>
      </c>
      <c r="T2861" s="783">
        <v>277.77999999999997</v>
      </c>
      <c r="U2861" s="785">
        <v>44685.412025463003</v>
      </c>
    </row>
    <row r="2862" spans="1:21">
      <c r="A2862" s="782">
        <v>44690</v>
      </c>
      <c r="B2862" s="783" t="s">
        <v>41</v>
      </c>
      <c r="C2862" s="783" t="s">
        <v>4071</v>
      </c>
      <c r="D2862" s="783" t="s">
        <v>4009</v>
      </c>
      <c r="E2862" s="783" t="s">
        <v>1477</v>
      </c>
      <c r="F2862" s="783" t="s">
        <v>4011</v>
      </c>
      <c r="G2862" s="783" t="str">
        <f t="shared" si="152"/>
        <v>Renewal (15% in 2020)</v>
      </c>
      <c r="H2862" s="783" t="s">
        <v>5128</v>
      </c>
      <c r="I2862" s="783" t="s">
        <v>5129</v>
      </c>
      <c r="J2862" s="783">
        <v>15</v>
      </c>
      <c r="K2862" s="783" t="s">
        <v>137</v>
      </c>
      <c r="L2862" s="783" t="s">
        <v>4014</v>
      </c>
      <c r="M2862" s="784">
        <v>1746.45</v>
      </c>
      <c r="N2862" s="784">
        <v>1.45</v>
      </c>
      <c r="O2862" s="784">
        <v>5.45</v>
      </c>
      <c r="P2862" s="783">
        <v>221</v>
      </c>
      <c r="Q2862" s="783">
        <v>158.58000000000001</v>
      </c>
      <c r="R2862" s="783">
        <v>55.08</v>
      </c>
      <c r="S2862" s="783">
        <v>28.05</v>
      </c>
      <c r="T2862" s="783">
        <v>75.45</v>
      </c>
      <c r="U2862" s="785">
        <v>44690.681192129603</v>
      </c>
    </row>
    <row r="2863" spans="1:21">
      <c r="A2863" s="782">
        <v>44697</v>
      </c>
      <c r="B2863" s="783" t="s">
        <v>41</v>
      </c>
      <c r="C2863" s="783" t="s">
        <v>4082</v>
      </c>
      <c r="D2863" s="783" t="s">
        <v>4009</v>
      </c>
      <c r="E2863" s="783" t="s">
        <v>5132</v>
      </c>
      <c r="F2863" s="783" t="s">
        <v>4011</v>
      </c>
      <c r="G2863" s="783" t="str">
        <f t="shared" si="152"/>
        <v>Renewal (15% in 2020)</v>
      </c>
      <c r="H2863" s="783" t="s">
        <v>5133</v>
      </c>
      <c r="I2863" s="783" t="s">
        <v>5134</v>
      </c>
      <c r="J2863" s="783">
        <v>20</v>
      </c>
      <c r="K2863" s="783" t="s">
        <v>137</v>
      </c>
      <c r="L2863" s="783" t="s">
        <v>4014</v>
      </c>
      <c r="M2863" s="784">
        <v>39752.639999999999</v>
      </c>
      <c r="N2863" s="784">
        <v>46.01</v>
      </c>
      <c r="O2863" s="784">
        <v>5.4</v>
      </c>
      <c r="P2863" s="783">
        <v>160</v>
      </c>
      <c r="Q2863" s="783">
        <v>2631.62</v>
      </c>
      <c r="R2863" s="783">
        <v>1554.33</v>
      </c>
      <c r="S2863" s="783">
        <v>294.17</v>
      </c>
      <c r="T2863" s="783">
        <v>783.13</v>
      </c>
      <c r="U2863" s="785">
        <v>44705.6020138889</v>
      </c>
    </row>
    <row r="2864" spans="1:21">
      <c r="A2864" s="782">
        <v>44687</v>
      </c>
      <c r="B2864" s="783" t="s">
        <v>228</v>
      </c>
      <c r="C2864" s="783" t="s">
        <v>4247</v>
      </c>
      <c r="D2864" s="783" t="s">
        <v>4248</v>
      </c>
      <c r="E2864" s="783" t="s">
        <v>3566</v>
      </c>
      <c r="F2864" s="783" t="s">
        <v>4011</v>
      </c>
      <c r="G2864" s="783" t="str">
        <f t="shared" si="152"/>
        <v>Renewal (25% in 2020)</v>
      </c>
      <c r="H2864" s="783" t="s">
        <v>4249</v>
      </c>
      <c r="I2864" s="783" t="s">
        <v>4250</v>
      </c>
      <c r="J2864" s="783">
        <v>25</v>
      </c>
      <c r="K2864" s="783" t="s">
        <v>137</v>
      </c>
      <c r="L2864" s="783" t="s">
        <v>4014</v>
      </c>
      <c r="M2864" s="784">
        <v>5006.1400000000003</v>
      </c>
      <c r="N2864" s="784">
        <v>4.16</v>
      </c>
      <c r="O2864" s="784">
        <v>5.47</v>
      </c>
      <c r="P2864" s="783">
        <v>220</v>
      </c>
      <c r="Q2864" s="783">
        <v>333.91</v>
      </c>
      <c r="R2864" s="783">
        <v>200</v>
      </c>
      <c r="S2864" s="783">
        <v>100.87</v>
      </c>
      <c r="T2864" s="783">
        <v>33.04</v>
      </c>
      <c r="U2864" s="785">
        <v>44687.670960648102</v>
      </c>
    </row>
    <row r="2865" spans="1:21">
      <c r="A2865" s="782">
        <v>44691</v>
      </c>
      <c r="B2865" s="783" t="s">
        <v>30</v>
      </c>
      <c r="C2865" s="783" t="s">
        <v>4239</v>
      </c>
      <c r="D2865" s="783" t="s">
        <v>4021</v>
      </c>
      <c r="E2865" s="783" t="s">
        <v>5137</v>
      </c>
      <c r="F2865" s="783" t="s">
        <v>4011</v>
      </c>
      <c r="G2865" s="783" t="str">
        <f t="shared" si="152"/>
        <v>Renewal (30% in 2020)</v>
      </c>
      <c r="H2865" s="783" t="s">
        <v>5138</v>
      </c>
      <c r="I2865" s="783" t="s">
        <v>5139</v>
      </c>
      <c r="J2865" s="783">
        <v>30</v>
      </c>
      <c r="K2865" s="783" t="s">
        <v>137</v>
      </c>
      <c r="L2865" s="783" t="s">
        <v>4014</v>
      </c>
      <c r="M2865" s="784">
        <v>10721.7</v>
      </c>
      <c r="N2865" s="784">
        <v>8.5500000000000007</v>
      </c>
      <c r="O2865" s="784">
        <v>6.27</v>
      </c>
      <c r="P2865" s="783">
        <v>200</v>
      </c>
      <c r="Q2865" s="783">
        <v>388.13</v>
      </c>
      <c r="R2865" s="783">
        <v>281.61</v>
      </c>
      <c r="S2865" s="783">
        <v>49.7</v>
      </c>
      <c r="T2865" s="783">
        <v>56.83</v>
      </c>
      <c r="U2865" s="785">
        <v>44692.462071759299</v>
      </c>
    </row>
    <row r="2866" spans="1:21">
      <c r="A2866" s="782">
        <v>44686</v>
      </c>
      <c r="B2866" s="783" t="s">
        <v>51</v>
      </c>
      <c r="C2866" s="783" t="s">
        <v>4042</v>
      </c>
      <c r="D2866" s="783" t="s">
        <v>4016</v>
      </c>
      <c r="E2866" s="783" t="s">
        <v>120</v>
      </c>
      <c r="F2866" s="783" t="s">
        <v>4011</v>
      </c>
      <c r="G2866" s="783" t="str">
        <f t="shared" si="152"/>
        <v>Renewal (20% in 2020)</v>
      </c>
      <c r="H2866" s="783" t="s">
        <v>5150</v>
      </c>
      <c r="I2866" s="783" t="s">
        <v>5151</v>
      </c>
      <c r="J2866" s="783">
        <v>20</v>
      </c>
      <c r="K2866" s="783" t="s">
        <v>137</v>
      </c>
      <c r="L2866" s="783" t="s">
        <v>4014</v>
      </c>
      <c r="M2866" s="784">
        <v>21955.25</v>
      </c>
      <c r="N2866" s="784">
        <v>18.5</v>
      </c>
      <c r="O2866" s="784">
        <v>5.37</v>
      </c>
      <c r="P2866" s="783">
        <v>221</v>
      </c>
      <c r="Q2866" s="783">
        <v>1319.51</v>
      </c>
      <c r="R2866" s="783">
        <v>596.16999999999996</v>
      </c>
      <c r="S2866" s="783">
        <v>304</v>
      </c>
      <c r="T2866" s="783">
        <v>419.35</v>
      </c>
      <c r="U2866" s="785">
        <v>44687.624166666697</v>
      </c>
    </row>
    <row r="2867" spans="1:21">
      <c r="A2867" s="782">
        <v>44683</v>
      </c>
      <c r="B2867" s="783" t="s">
        <v>51</v>
      </c>
      <c r="C2867" s="783" t="s">
        <v>4042</v>
      </c>
      <c r="D2867" s="783" t="s">
        <v>4016</v>
      </c>
      <c r="E2867" s="783" t="s">
        <v>5154</v>
      </c>
      <c r="F2867" s="783" t="s">
        <v>4011</v>
      </c>
      <c r="G2867" s="783" t="str">
        <f t="shared" si="152"/>
        <v>New Contract</v>
      </c>
      <c r="H2867" s="783" t="s">
        <v>5155</v>
      </c>
      <c r="I2867" s="783" t="s">
        <v>5156</v>
      </c>
      <c r="J2867" s="783">
        <v>25</v>
      </c>
      <c r="K2867" s="783" t="s">
        <v>137</v>
      </c>
      <c r="L2867" s="783" t="s">
        <v>4014</v>
      </c>
      <c r="M2867" s="784">
        <v>92166.28</v>
      </c>
      <c r="N2867" s="784">
        <v>77.23</v>
      </c>
      <c r="O2867" s="784">
        <v>5.4</v>
      </c>
      <c r="P2867" s="783">
        <v>221</v>
      </c>
      <c r="Q2867" s="783">
        <v>4294.95</v>
      </c>
      <c r="R2867" s="783">
        <v>2502.67</v>
      </c>
      <c r="S2867" s="783">
        <v>1276.1500000000001</v>
      </c>
      <c r="T2867" s="783">
        <v>516.13</v>
      </c>
      <c r="U2867" s="785">
        <v>44684.405162037001</v>
      </c>
    </row>
    <row r="2868" spans="1:21">
      <c r="A2868" s="782">
        <v>44684</v>
      </c>
      <c r="B2868" s="783" t="s">
        <v>51</v>
      </c>
      <c r="C2868" s="783" t="s">
        <v>4796</v>
      </c>
      <c r="D2868" s="783" t="s">
        <v>4016</v>
      </c>
      <c r="E2868" s="783" t="s">
        <v>5163</v>
      </c>
      <c r="F2868" s="783" t="s">
        <v>4011</v>
      </c>
      <c r="G2868" s="783" t="str">
        <f t="shared" si="152"/>
        <v>New Contract</v>
      </c>
      <c r="H2868" s="783" t="s">
        <v>5164</v>
      </c>
      <c r="I2868" s="783" t="s">
        <v>5165</v>
      </c>
      <c r="J2868" s="783">
        <v>25</v>
      </c>
      <c r="K2868" s="783" t="s">
        <v>137</v>
      </c>
      <c r="L2868" s="783" t="s">
        <v>4014</v>
      </c>
      <c r="M2868" s="784">
        <v>22603</v>
      </c>
      <c r="N2868" s="784">
        <v>18.940000000000001</v>
      </c>
      <c r="O2868" s="784">
        <v>5.4</v>
      </c>
      <c r="P2868" s="783">
        <v>221</v>
      </c>
      <c r="Q2868" s="783">
        <v>967.41</v>
      </c>
      <c r="R2868" s="783">
        <v>565.07000000000005</v>
      </c>
      <c r="S2868" s="783">
        <v>291.58</v>
      </c>
      <c r="T2868" s="783">
        <v>110.75</v>
      </c>
      <c r="U2868" s="785">
        <v>44685.451851851903</v>
      </c>
    </row>
    <row r="2869" spans="1:21">
      <c r="A2869" s="782">
        <v>44686</v>
      </c>
      <c r="B2869" s="783" t="s">
        <v>4025</v>
      </c>
      <c r="C2869" s="783" t="s">
        <v>4026</v>
      </c>
      <c r="D2869" s="783" t="s">
        <v>4021</v>
      </c>
      <c r="E2869" s="783" t="s">
        <v>5169</v>
      </c>
      <c r="F2869" s="783" t="s">
        <v>4011</v>
      </c>
      <c r="G2869" s="783" t="str">
        <f t="shared" si="152"/>
        <v>New contract</v>
      </c>
      <c r="H2869" s="783" t="s">
        <v>5170</v>
      </c>
      <c r="I2869" s="783" t="s">
        <v>5171</v>
      </c>
      <c r="J2869" s="783">
        <v>25</v>
      </c>
      <c r="K2869" s="783" t="s">
        <v>137</v>
      </c>
      <c r="L2869" s="783" t="s">
        <v>4014</v>
      </c>
      <c r="M2869" s="784">
        <v>19911.57</v>
      </c>
      <c r="N2869" s="784">
        <v>17.89</v>
      </c>
      <c r="O2869" s="784">
        <v>5.3</v>
      </c>
      <c r="P2869" s="783">
        <v>210</v>
      </c>
      <c r="Q2869" s="783">
        <v>682.97</v>
      </c>
      <c r="R2869" s="783">
        <v>407.81</v>
      </c>
      <c r="S2869" s="783">
        <v>179.58</v>
      </c>
      <c r="T2869" s="783">
        <v>95.58</v>
      </c>
      <c r="U2869" s="785">
        <v>44687.651446759301</v>
      </c>
    </row>
    <row r="2870" spans="1:21">
      <c r="A2870" s="782">
        <v>44679</v>
      </c>
      <c r="B2870" s="783" t="s">
        <v>74</v>
      </c>
      <c r="C2870" s="783" t="s">
        <v>4037</v>
      </c>
      <c r="D2870" s="783" t="s">
        <v>4038</v>
      </c>
      <c r="E2870" s="783" t="s">
        <v>6856</v>
      </c>
      <c r="F2870" s="783" t="s">
        <v>4011</v>
      </c>
      <c r="G2870" s="783" t="str">
        <f t="shared" si="152"/>
        <v>New Contract</v>
      </c>
      <c r="H2870" s="783" t="s">
        <v>6857</v>
      </c>
      <c r="I2870" s="783" t="s">
        <v>6858</v>
      </c>
      <c r="J2870" s="783">
        <v>20</v>
      </c>
      <c r="K2870" s="783" t="s">
        <v>137</v>
      </c>
      <c r="L2870" s="783" t="s">
        <v>4014</v>
      </c>
      <c r="M2870" s="784">
        <v>21173.360000000001</v>
      </c>
      <c r="N2870" s="784">
        <v>23.86</v>
      </c>
      <c r="O2870" s="784">
        <v>4.93</v>
      </c>
      <c r="P2870" s="783">
        <v>180</v>
      </c>
      <c r="Q2870" s="783">
        <v>2318.48</v>
      </c>
      <c r="R2870" s="783">
        <v>1185.83</v>
      </c>
      <c r="S2870" s="783">
        <v>275.14</v>
      </c>
      <c r="T2870" s="783">
        <v>857.52</v>
      </c>
      <c r="U2870" s="785">
        <v>44680.695613425902</v>
      </c>
    </row>
    <row r="2871" spans="1:21">
      <c r="A2871" s="782">
        <v>44679</v>
      </c>
      <c r="B2871" s="783" t="s">
        <v>41</v>
      </c>
      <c r="C2871" s="783" t="s">
        <v>4008</v>
      </c>
      <c r="D2871" s="783" t="s">
        <v>4009</v>
      </c>
      <c r="E2871" s="783" t="s">
        <v>4034</v>
      </c>
      <c r="F2871" s="783" t="s">
        <v>4011</v>
      </c>
      <c r="G2871" s="783" t="str">
        <f t="shared" si="152"/>
        <v>Renewal (25% in 2020)</v>
      </c>
      <c r="H2871" s="783" t="s">
        <v>4035</v>
      </c>
      <c r="I2871" s="783" t="s">
        <v>4036</v>
      </c>
      <c r="J2871" s="783">
        <v>25</v>
      </c>
      <c r="K2871" s="783" t="s">
        <v>137</v>
      </c>
      <c r="L2871" s="783" t="s">
        <v>4014</v>
      </c>
      <c r="M2871" s="784">
        <v>13931.94</v>
      </c>
      <c r="N2871" s="784">
        <v>13.82</v>
      </c>
      <c r="O2871" s="784">
        <v>5.93</v>
      </c>
      <c r="P2871" s="783">
        <v>170</v>
      </c>
      <c r="Q2871" s="783">
        <v>805.27</v>
      </c>
      <c r="R2871" s="783">
        <v>585.14</v>
      </c>
      <c r="S2871" s="783">
        <v>94.74</v>
      </c>
      <c r="T2871" s="783">
        <v>125.39</v>
      </c>
      <c r="U2871" s="785">
        <v>44680.690590277802</v>
      </c>
    </row>
    <row r="2872" spans="1:21">
      <c r="A2872" s="782">
        <v>44679</v>
      </c>
      <c r="B2872" s="783" t="s">
        <v>228</v>
      </c>
      <c r="C2872" s="783" t="s">
        <v>4675</v>
      </c>
      <c r="D2872" s="783" t="s">
        <v>4193</v>
      </c>
      <c r="E2872" s="783" t="s">
        <v>5184</v>
      </c>
      <c r="F2872" s="783" t="s">
        <v>4011</v>
      </c>
      <c r="G2872" s="783" t="s">
        <v>4028</v>
      </c>
      <c r="H2872" s="783" t="s">
        <v>5185</v>
      </c>
      <c r="I2872" s="783" t="s">
        <v>5186</v>
      </c>
      <c r="J2872" s="783">
        <v>25</v>
      </c>
      <c r="K2872" s="783" t="s">
        <v>137</v>
      </c>
      <c r="L2872" s="783" t="s">
        <v>4014</v>
      </c>
      <c r="M2872" s="784">
        <v>22542</v>
      </c>
      <c r="N2872" s="784">
        <v>17</v>
      </c>
      <c r="O2872" s="784">
        <v>6.63</v>
      </c>
      <c r="P2872" s="783">
        <v>200</v>
      </c>
      <c r="Q2872" s="783">
        <v>1575.69</v>
      </c>
      <c r="R2872" s="783">
        <v>992.52</v>
      </c>
      <c r="S2872" s="783">
        <v>360</v>
      </c>
      <c r="T2872" s="783">
        <v>223.17</v>
      </c>
      <c r="U2872" s="785">
        <v>44680.691585648201</v>
      </c>
    </row>
    <row r="2873" spans="1:21">
      <c r="A2873" s="782">
        <v>44679</v>
      </c>
      <c r="B2873" s="783" t="s">
        <v>41</v>
      </c>
      <c r="C2873" s="783" t="s">
        <v>4092</v>
      </c>
      <c r="D2873" s="783" t="s">
        <v>4009</v>
      </c>
      <c r="E2873" s="783" t="s">
        <v>608</v>
      </c>
      <c r="F2873" s="783" t="s">
        <v>4011</v>
      </c>
      <c r="G2873" s="783" t="str">
        <f t="shared" ref="G2873:G2878" si="153">VLOOKUP(I2873,pacage,2,FALSE)</f>
        <v>Renewal (15% in 2020)</v>
      </c>
      <c r="H2873" s="783" t="s">
        <v>4575</v>
      </c>
      <c r="I2873" s="783" t="s">
        <v>4576</v>
      </c>
      <c r="J2873" s="783">
        <v>15</v>
      </c>
      <c r="K2873" s="783" t="s">
        <v>137</v>
      </c>
      <c r="L2873" s="783" t="s">
        <v>4014</v>
      </c>
      <c r="M2873" s="784">
        <v>25220.38</v>
      </c>
      <c r="N2873" s="784">
        <v>20.329999999999998</v>
      </c>
      <c r="O2873" s="784">
        <v>5.77</v>
      </c>
      <c r="P2873" s="783">
        <v>215</v>
      </c>
      <c r="Q2873" s="783">
        <v>2191.65</v>
      </c>
      <c r="R2873" s="783">
        <v>759.78</v>
      </c>
      <c r="S2873" s="783">
        <v>385.23</v>
      </c>
      <c r="T2873" s="783">
        <v>1046.6500000000001</v>
      </c>
      <c r="U2873" s="785">
        <v>44680.705127314803</v>
      </c>
    </row>
    <row r="2874" spans="1:21">
      <c r="A2874" s="782">
        <v>44710</v>
      </c>
      <c r="B2874" s="783" t="s">
        <v>51</v>
      </c>
      <c r="C2874" s="783" t="s">
        <v>4042</v>
      </c>
      <c r="D2874" s="783" t="s">
        <v>4016</v>
      </c>
      <c r="E2874" s="783" t="s">
        <v>5187</v>
      </c>
      <c r="F2874" s="783" t="s">
        <v>4011</v>
      </c>
      <c r="G2874" s="783" t="str">
        <f t="shared" si="153"/>
        <v>Renewal (15% in 2020)</v>
      </c>
      <c r="H2874" s="783" t="s">
        <v>5188</v>
      </c>
      <c r="I2874" s="783" t="s">
        <v>5189</v>
      </c>
      <c r="J2874" s="783">
        <v>15</v>
      </c>
      <c r="K2874" s="783" t="s">
        <v>137</v>
      </c>
      <c r="L2874" s="783" t="s">
        <v>4014</v>
      </c>
      <c r="M2874" s="784">
        <v>38235.599999999999</v>
      </c>
      <c r="N2874" s="784">
        <v>38</v>
      </c>
      <c r="O2874" s="784">
        <v>5.59</v>
      </c>
      <c r="P2874" s="783">
        <v>180</v>
      </c>
      <c r="Q2874" s="783">
        <v>3062.67</v>
      </c>
      <c r="R2874" s="783">
        <v>1274.73</v>
      </c>
      <c r="S2874" s="783">
        <v>292.93</v>
      </c>
      <c r="T2874" s="783">
        <v>1495.01</v>
      </c>
      <c r="U2874" s="785">
        <v>44712.649722222202</v>
      </c>
    </row>
    <row r="2875" spans="1:21">
      <c r="A2875" s="782">
        <v>44680</v>
      </c>
      <c r="B2875" s="783" t="s">
        <v>51</v>
      </c>
      <c r="C2875" s="783" t="s">
        <v>4015</v>
      </c>
      <c r="D2875" s="783" t="s">
        <v>4016</v>
      </c>
      <c r="E2875" s="783" t="s">
        <v>89</v>
      </c>
      <c r="F2875" s="783" t="s">
        <v>4011</v>
      </c>
      <c r="G2875" s="783" t="str">
        <f t="shared" si="153"/>
        <v>Renewal (20% in 2020)</v>
      </c>
      <c r="H2875" s="783" t="s">
        <v>5190</v>
      </c>
      <c r="I2875" s="783" t="s">
        <v>5191</v>
      </c>
      <c r="J2875" s="783">
        <v>20</v>
      </c>
      <c r="K2875" s="783" t="s">
        <v>137</v>
      </c>
      <c r="L2875" s="783" t="s">
        <v>4014</v>
      </c>
      <c r="M2875" s="784">
        <v>18664.650000000001</v>
      </c>
      <c r="N2875" s="784">
        <v>20.48</v>
      </c>
      <c r="O2875" s="784">
        <v>5.12</v>
      </c>
      <c r="P2875" s="783">
        <v>178</v>
      </c>
      <c r="Q2875" s="783">
        <v>1164.67</v>
      </c>
      <c r="R2875" s="783">
        <v>711.25</v>
      </c>
      <c r="S2875" s="783">
        <v>65.2</v>
      </c>
      <c r="T2875" s="783">
        <v>388.22</v>
      </c>
      <c r="U2875" s="785">
        <v>44680.747037036999</v>
      </c>
    </row>
    <row r="2876" spans="1:21">
      <c r="A2876" s="782">
        <v>44681</v>
      </c>
      <c r="B2876" s="783" t="s">
        <v>51</v>
      </c>
      <c r="C2876" s="783" t="s">
        <v>4042</v>
      </c>
      <c r="D2876" s="783" t="s">
        <v>4016</v>
      </c>
      <c r="E2876" s="783" t="s">
        <v>5192</v>
      </c>
      <c r="F2876" s="783" t="s">
        <v>4011</v>
      </c>
      <c r="G2876" s="783" t="str">
        <f t="shared" si="153"/>
        <v>Renewal (30% in 2020)</v>
      </c>
      <c r="H2876" s="783" t="s">
        <v>5193</v>
      </c>
      <c r="I2876" s="783" t="s">
        <v>5194</v>
      </c>
      <c r="J2876" s="783">
        <v>30</v>
      </c>
      <c r="K2876" s="783" t="s">
        <v>137</v>
      </c>
      <c r="L2876" s="783" t="s">
        <v>4014</v>
      </c>
      <c r="M2876" s="784">
        <v>20529.599999999999</v>
      </c>
      <c r="N2876" s="784">
        <v>21</v>
      </c>
      <c r="O2876" s="784">
        <v>6.11</v>
      </c>
      <c r="P2876" s="783">
        <v>160</v>
      </c>
      <c r="Q2876" s="783">
        <v>839.66</v>
      </c>
      <c r="R2876" s="783">
        <v>724.69</v>
      </c>
      <c r="S2876" s="783">
        <v>0</v>
      </c>
      <c r="T2876" s="783">
        <v>114.97</v>
      </c>
      <c r="U2876" s="785">
        <v>44683.456782407397</v>
      </c>
    </row>
    <row r="2877" spans="1:21">
      <c r="A2877" s="782">
        <v>44680</v>
      </c>
      <c r="B2877" s="783" t="s">
        <v>41</v>
      </c>
      <c r="C2877" s="783" t="s">
        <v>4092</v>
      </c>
      <c r="D2877" s="783" t="s">
        <v>4009</v>
      </c>
      <c r="E2877" s="783" t="s">
        <v>5195</v>
      </c>
      <c r="F2877" s="783" t="s">
        <v>4011</v>
      </c>
      <c r="G2877" s="783" t="str">
        <f t="shared" si="153"/>
        <v>Renewal (20% in 2020)</v>
      </c>
      <c r="H2877" s="783" t="s">
        <v>5196</v>
      </c>
      <c r="I2877" s="783" t="s">
        <v>5197</v>
      </c>
      <c r="J2877" s="783">
        <v>20</v>
      </c>
      <c r="K2877" s="783" t="s">
        <v>137</v>
      </c>
      <c r="L2877" s="783" t="s">
        <v>4014</v>
      </c>
      <c r="M2877" s="784">
        <v>52473.01</v>
      </c>
      <c r="N2877" s="784">
        <v>45.03</v>
      </c>
      <c r="O2877" s="784">
        <v>5.37</v>
      </c>
      <c r="P2877" s="783">
        <v>217</v>
      </c>
      <c r="Q2877" s="783">
        <v>3395</v>
      </c>
      <c r="R2877" s="783">
        <v>1566.21</v>
      </c>
      <c r="S2877" s="783">
        <v>816.06</v>
      </c>
      <c r="T2877" s="783">
        <v>1012.73</v>
      </c>
      <c r="U2877" s="785">
        <v>44680.724687499998</v>
      </c>
    </row>
    <row r="2878" spans="1:21">
      <c r="A2878" s="782">
        <v>44694</v>
      </c>
      <c r="B2878" s="783" t="s">
        <v>41</v>
      </c>
      <c r="C2878" s="783" t="s">
        <v>4008</v>
      </c>
      <c r="D2878" s="783" t="s">
        <v>4009</v>
      </c>
      <c r="E2878" s="783" t="s">
        <v>4577</v>
      </c>
      <c r="F2878" s="783" t="s">
        <v>4011</v>
      </c>
      <c r="G2878" s="783" t="str">
        <f t="shared" si="153"/>
        <v>Renewal (30% in 2020)</v>
      </c>
      <c r="H2878" s="783" t="s">
        <v>4578</v>
      </c>
      <c r="I2878" s="783" t="s">
        <v>4579</v>
      </c>
      <c r="J2878" s="783">
        <v>30</v>
      </c>
      <c r="K2878" s="783" t="s">
        <v>137</v>
      </c>
      <c r="L2878" s="783" t="s">
        <v>4014</v>
      </c>
      <c r="M2878" s="784">
        <v>7656.8</v>
      </c>
      <c r="N2878" s="784">
        <v>8</v>
      </c>
      <c r="O2878" s="784">
        <v>5.63</v>
      </c>
      <c r="P2878" s="783">
        <v>170</v>
      </c>
      <c r="Q2878" s="783">
        <v>390.5</v>
      </c>
      <c r="R2878" s="783">
        <v>321.58999999999997</v>
      </c>
      <c r="S2878" s="783">
        <v>0</v>
      </c>
      <c r="T2878" s="783">
        <v>68.91</v>
      </c>
      <c r="U2878" s="785">
        <v>44694.519189814797</v>
      </c>
    </row>
    <row r="2879" spans="1:21">
      <c r="A2879" s="782">
        <v>44697</v>
      </c>
      <c r="B2879" s="783" t="s">
        <v>41</v>
      </c>
      <c r="C2879" s="783" t="s">
        <v>4092</v>
      </c>
      <c r="D2879" s="783" t="s">
        <v>4009</v>
      </c>
      <c r="E2879" s="783" t="s">
        <v>5201</v>
      </c>
      <c r="F2879" s="783" t="s">
        <v>4011</v>
      </c>
      <c r="G2879" s="783" t="s">
        <v>4028</v>
      </c>
      <c r="H2879" s="783" t="s">
        <v>5202</v>
      </c>
      <c r="I2879" s="783" t="s">
        <v>5203</v>
      </c>
      <c r="J2879" s="783">
        <v>20</v>
      </c>
      <c r="K2879" s="783" t="s">
        <v>137</v>
      </c>
      <c r="L2879" s="783" t="s">
        <v>4014</v>
      </c>
      <c r="M2879" s="784">
        <v>2760.75</v>
      </c>
      <c r="N2879" s="784">
        <v>2.5099999999999998</v>
      </c>
      <c r="O2879" s="784">
        <v>6.47</v>
      </c>
      <c r="P2879" s="783">
        <v>170</v>
      </c>
      <c r="Q2879" s="783">
        <v>178.62</v>
      </c>
      <c r="R2879" s="783">
        <v>105.18</v>
      </c>
      <c r="S2879" s="783">
        <v>20.149999999999999</v>
      </c>
      <c r="T2879" s="783">
        <v>53.28</v>
      </c>
      <c r="U2879" s="785">
        <v>44699.481064814798</v>
      </c>
    </row>
    <row r="2880" spans="1:21">
      <c r="A2880" s="782">
        <v>44698</v>
      </c>
      <c r="B2880" s="783" t="s">
        <v>30</v>
      </c>
      <c r="C2880" s="783" t="s">
        <v>5213</v>
      </c>
      <c r="D2880" s="783" t="s">
        <v>4021</v>
      </c>
      <c r="E2880" s="783" t="s">
        <v>1513</v>
      </c>
      <c r="F2880" s="783" t="s">
        <v>4011</v>
      </c>
      <c r="G2880" s="783" t="str">
        <f t="shared" ref="G2880:G2893" si="154">VLOOKUP(I2880,pacage,2,FALSE)</f>
        <v>Renewal (15% in 2020)</v>
      </c>
      <c r="H2880" s="783" t="s">
        <v>5214</v>
      </c>
      <c r="I2880" s="783" t="s">
        <v>5215</v>
      </c>
      <c r="J2880" s="783">
        <v>15</v>
      </c>
      <c r="K2880" s="783" t="s">
        <v>137</v>
      </c>
      <c r="L2880" s="783" t="s">
        <v>4014</v>
      </c>
      <c r="M2880" s="784">
        <v>22052.16</v>
      </c>
      <c r="N2880" s="784">
        <v>24.8</v>
      </c>
      <c r="O2880" s="784">
        <v>4.9400000000000004</v>
      </c>
      <c r="P2880" s="783">
        <v>180</v>
      </c>
      <c r="Q2880" s="783">
        <v>2624.21</v>
      </c>
      <c r="R2880" s="783">
        <v>1083.01</v>
      </c>
      <c r="S2880" s="783">
        <v>248.94</v>
      </c>
      <c r="T2880" s="783">
        <v>1292.26</v>
      </c>
      <c r="U2880" s="785">
        <v>44699.511724536998</v>
      </c>
    </row>
    <row r="2881" spans="1:21">
      <c r="A2881" s="782">
        <v>44700</v>
      </c>
      <c r="B2881" s="783" t="s">
        <v>51</v>
      </c>
      <c r="C2881" s="783" t="s">
        <v>4042</v>
      </c>
      <c r="D2881" s="783" t="s">
        <v>4016</v>
      </c>
      <c r="E2881" s="783" t="s">
        <v>5225</v>
      </c>
      <c r="F2881" s="783" t="s">
        <v>4011</v>
      </c>
      <c r="G2881" s="783" t="str">
        <f t="shared" si="154"/>
        <v>Renewal (30% in 2020)</v>
      </c>
      <c r="H2881" s="783" t="s">
        <v>5226</v>
      </c>
      <c r="I2881" s="783" t="s">
        <v>5227</v>
      </c>
      <c r="J2881" s="783">
        <v>30</v>
      </c>
      <c r="K2881" s="783" t="s">
        <v>137</v>
      </c>
      <c r="L2881" s="783" t="s">
        <v>4014</v>
      </c>
      <c r="M2881" s="784">
        <v>46157.62</v>
      </c>
      <c r="N2881" s="784">
        <v>49.01</v>
      </c>
      <c r="O2881" s="784">
        <v>5.54</v>
      </c>
      <c r="P2881" s="783">
        <v>170</v>
      </c>
      <c r="Q2881" s="783">
        <v>1887.85</v>
      </c>
      <c r="R2881" s="783">
        <v>1629.36</v>
      </c>
      <c r="S2881" s="783">
        <v>0</v>
      </c>
      <c r="T2881" s="783">
        <v>258.48</v>
      </c>
      <c r="U2881" s="785">
        <v>44708.688946759299</v>
      </c>
    </row>
    <row r="2882" spans="1:21">
      <c r="A2882" s="782">
        <v>44705</v>
      </c>
      <c r="B2882" s="783" t="s">
        <v>4025</v>
      </c>
      <c r="C2882" s="783" t="s">
        <v>4026</v>
      </c>
      <c r="D2882" s="783" t="s">
        <v>4021</v>
      </c>
      <c r="E2882" s="783" t="s">
        <v>5233</v>
      </c>
      <c r="F2882" s="783" t="s">
        <v>4011</v>
      </c>
      <c r="G2882" s="783" t="str">
        <f t="shared" si="154"/>
        <v>New Contract</v>
      </c>
      <c r="H2882" s="783" t="s">
        <v>5234</v>
      </c>
      <c r="I2882" s="783" t="s">
        <v>5235</v>
      </c>
      <c r="J2882" s="783">
        <v>20</v>
      </c>
      <c r="K2882" s="783" t="s">
        <v>137</v>
      </c>
      <c r="L2882" s="783" t="s">
        <v>4014</v>
      </c>
      <c r="M2882" s="784">
        <v>18992.400000000001</v>
      </c>
      <c r="N2882" s="784">
        <v>26.6</v>
      </c>
      <c r="O2882" s="784">
        <v>3.57</v>
      </c>
      <c r="P2882" s="783">
        <v>200</v>
      </c>
      <c r="Q2882" s="783">
        <v>831.87</v>
      </c>
      <c r="R2882" s="783">
        <v>408.43</v>
      </c>
      <c r="S2882" s="783">
        <v>151.84</v>
      </c>
      <c r="T2882" s="783">
        <v>271.58999999999997</v>
      </c>
      <c r="U2882" s="785">
        <v>44708.694351851896</v>
      </c>
    </row>
    <row r="2883" spans="1:21">
      <c r="A2883" s="782">
        <v>44708</v>
      </c>
      <c r="B2883" s="783" t="s">
        <v>4025</v>
      </c>
      <c r="C2883" s="783" t="s">
        <v>4026</v>
      </c>
      <c r="D2883" s="783" t="s">
        <v>4021</v>
      </c>
      <c r="E2883" s="783" t="s">
        <v>5239</v>
      </c>
      <c r="F2883" s="783" t="s">
        <v>4011</v>
      </c>
      <c r="G2883" s="783" t="str">
        <f t="shared" si="154"/>
        <v>New Contract</v>
      </c>
      <c r="H2883" s="783" t="s">
        <v>5240</v>
      </c>
      <c r="I2883" s="783" t="s">
        <v>5241</v>
      </c>
      <c r="J2883" s="783">
        <v>25</v>
      </c>
      <c r="K2883" s="783" t="s">
        <v>137</v>
      </c>
      <c r="L2883" s="783" t="s">
        <v>4014</v>
      </c>
      <c r="M2883" s="784">
        <v>6429.96</v>
      </c>
      <c r="N2883" s="784">
        <v>6.74</v>
      </c>
      <c r="O2883" s="784">
        <v>5.3</v>
      </c>
      <c r="P2883" s="783">
        <v>180</v>
      </c>
      <c r="Q2883" s="783">
        <v>220.55</v>
      </c>
      <c r="R2883" s="783">
        <v>153.63999999999999</v>
      </c>
      <c r="S2883" s="783">
        <v>36.04</v>
      </c>
      <c r="T2883" s="783">
        <v>30.86</v>
      </c>
      <c r="U2883" s="785">
        <v>44711.534571759301</v>
      </c>
    </row>
    <row r="2884" spans="1:21">
      <c r="A2884" s="782">
        <v>44700</v>
      </c>
      <c r="B2884" s="783" t="s">
        <v>41</v>
      </c>
      <c r="C2884" s="783" t="s">
        <v>4354</v>
      </c>
      <c r="D2884" s="783" t="s">
        <v>4009</v>
      </c>
      <c r="E2884" s="783" t="s">
        <v>4586</v>
      </c>
      <c r="F2884" s="783" t="s">
        <v>4011</v>
      </c>
      <c r="G2884" s="783" t="str">
        <f t="shared" si="154"/>
        <v>New contract</v>
      </c>
      <c r="H2884" s="783" t="s">
        <v>4587</v>
      </c>
      <c r="I2884" s="783" t="s">
        <v>4588</v>
      </c>
      <c r="J2884" s="783">
        <v>25</v>
      </c>
      <c r="K2884" s="783" t="s">
        <v>137</v>
      </c>
      <c r="L2884" s="783" t="s">
        <v>4014</v>
      </c>
      <c r="M2884" s="784">
        <v>15263.82</v>
      </c>
      <c r="N2884" s="784">
        <v>12.87</v>
      </c>
      <c r="O2884" s="784">
        <v>5.93</v>
      </c>
      <c r="P2884" s="783">
        <v>200</v>
      </c>
      <c r="Q2884" s="783">
        <v>1182.95</v>
      </c>
      <c r="R2884" s="783">
        <v>726.56</v>
      </c>
      <c r="S2884" s="783">
        <v>261.01</v>
      </c>
      <c r="T2884" s="783">
        <v>195.38</v>
      </c>
      <c r="U2884" s="785">
        <v>44700.718599537002</v>
      </c>
    </row>
    <row r="2885" spans="1:21">
      <c r="A2885" s="782">
        <v>44655</v>
      </c>
      <c r="B2885" s="783" t="s">
        <v>41</v>
      </c>
      <c r="C2885" s="783" t="s">
        <v>4082</v>
      </c>
      <c r="D2885" s="783" t="s">
        <v>4009</v>
      </c>
      <c r="E2885" s="783" t="s">
        <v>245</v>
      </c>
      <c r="F2885" s="783" t="s">
        <v>4011</v>
      </c>
      <c r="G2885" s="783" t="str">
        <f t="shared" si="154"/>
        <v>Renewal (20% in 2020)</v>
      </c>
      <c r="H2885" s="783" t="s">
        <v>4591</v>
      </c>
      <c r="I2885" s="783" t="s">
        <v>4592</v>
      </c>
      <c r="J2885" s="783">
        <v>20</v>
      </c>
      <c r="K2885" s="783" t="s">
        <v>137</v>
      </c>
      <c r="L2885" s="783" t="s">
        <v>4014</v>
      </c>
      <c r="M2885" s="784">
        <v>14952.4</v>
      </c>
      <c r="N2885" s="784">
        <v>12.89</v>
      </c>
      <c r="O2885" s="784">
        <v>5.8</v>
      </c>
      <c r="P2885" s="783">
        <v>200</v>
      </c>
      <c r="Q2885" s="783">
        <v>989.85</v>
      </c>
      <c r="R2885" s="783">
        <v>496.94</v>
      </c>
      <c r="S2885" s="783">
        <v>198.34</v>
      </c>
      <c r="T2885" s="783">
        <v>294.56</v>
      </c>
      <c r="U2885" s="785">
        <v>44657.613634259302</v>
      </c>
    </row>
    <row r="2886" spans="1:21">
      <c r="A2886" s="782">
        <v>44657</v>
      </c>
      <c r="B2886" s="783" t="s">
        <v>51</v>
      </c>
      <c r="C2886" s="783" t="s">
        <v>4042</v>
      </c>
      <c r="D2886" s="783" t="s">
        <v>4016</v>
      </c>
      <c r="E2886" s="783" t="s">
        <v>56</v>
      </c>
      <c r="F2886" s="783" t="s">
        <v>4011</v>
      </c>
      <c r="G2886" s="783" t="str">
        <f t="shared" si="154"/>
        <v>Renewal (25% in 2020)</v>
      </c>
      <c r="H2886" s="783" t="s">
        <v>5248</v>
      </c>
      <c r="I2886" s="783" t="s">
        <v>5249</v>
      </c>
      <c r="J2886" s="783">
        <v>25</v>
      </c>
      <c r="K2886" s="783" t="s">
        <v>137</v>
      </c>
      <c r="L2886" s="783" t="s">
        <v>4014</v>
      </c>
      <c r="M2886" s="784">
        <v>75260.37</v>
      </c>
      <c r="N2886" s="784">
        <v>66.91</v>
      </c>
      <c r="O2886" s="784">
        <v>7.03</v>
      </c>
      <c r="P2886" s="783">
        <v>160</v>
      </c>
      <c r="Q2886" s="783">
        <v>3507.13</v>
      </c>
      <c r="R2886" s="783">
        <v>2656.69</v>
      </c>
      <c r="S2886" s="783">
        <v>428.98</v>
      </c>
      <c r="T2886" s="783">
        <v>421.46</v>
      </c>
      <c r="U2886" s="785">
        <v>44657.616006944401</v>
      </c>
    </row>
    <row r="2887" spans="1:21">
      <c r="A2887" s="782">
        <v>44657</v>
      </c>
      <c r="B2887" s="783" t="s">
        <v>51</v>
      </c>
      <c r="C2887" s="783" t="s">
        <v>4042</v>
      </c>
      <c r="D2887" s="783" t="s">
        <v>4016</v>
      </c>
      <c r="E2887" s="783" t="s">
        <v>49</v>
      </c>
      <c r="F2887" s="783" t="s">
        <v>4011</v>
      </c>
      <c r="G2887" s="783" t="str">
        <f t="shared" si="154"/>
        <v>Renewal (20% in 2020)</v>
      </c>
      <c r="H2887" s="783" t="s">
        <v>5250</v>
      </c>
      <c r="I2887" s="783" t="s">
        <v>5251</v>
      </c>
      <c r="J2887" s="783">
        <v>20</v>
      </c>
      <c r="K2887" s="783" t="s">
        <v>137</v>
      </c>
      <c r="L2887" s="783" t="s">
        <v>4014</v>
      </c>
      <c r="M2887" s="784">
        <v>56032.66</v>
      </c>
      <c r="N2887" s="784">
        <v>51.86</v>
      </c>
      <c r="O2887" s="784">
        <v>6.07</v>
      </c>
      <c r="P2887" s="783">
        <v>178</v>
      </c>
      <c r="Q2887" s="783">
        <v>3367.56</v>
      </c>
      <c r="R2887" s="783">
        <v>1889.06</v>
      </c>
      <c r="S2887" s="783">
        <v>408.28</v>
      </c>
      <c r="T2887" s="783">
        <v>1070.22</v>
      </c>
      <c r="U2887" s="785">
        <v>44657.614317129599</v>
      </c>
    </row>
    <row r="2888" spans="1:21">
      <c r="A2888" s="782">
        <v>44662</v>
      </c>
      <c r="B2888" s="783" t="s">
        <v>41</v>
      </c>
      <c r="C2888" s="783" t="s">
        <v>4092</v>
      </c>
      <c r="D2888" s="783" t="s">
        <v>4009</v>
      </c>
      <c r="E2888" s="783" t="s">
        <v>473</v>
      </c>
      <c r="F2888" s="783" t="s">
        <v>4011</v>
      </c>
      <c r="G2888" s="783" t="str">
        <f t="shared" si="154"/>
        <v>New Contract</v>
      </c>
      <c r="H2888" s="783" t="s">
        <v>5252</v>
      </c>
      <c r="I2888" s="783" t="s">
        <v>5253</v>
      </c>
      <c r="J2888" s="783">
        <v>25</v>
      </c>
      <c r="K2888" s="783" t="s">
        <v>137</v>
      </c>
      <c r="L2888" s="783" t="s">
        <v>4014</v>
      </c>
      <c r="M2888" s="784">
        <v>16389.97</v>
      </c>
      <c r="N2888" s="784">
        <v>14.22</v>
      </c>
      <c r="O2888" s="784">
        <v>6.78</v>
      </c>
      <c r="P2888" s="783">
        <v>170</v>
      </c>
      <c r="Q2888" s="783">
        <v>816.22</v>
      </c>
      <c r="R2888" s="783">
        <v>624.46</v>
      </c>
      <c r="S2888" s="783">
        <v>119.65</v>
      </c>
      <c r="T2888" s="783">
        <v>72.12</v>
      </c>
      <c r="U2888" s="785">
        <v>44663.428599537001</v>
      </c>
    </row>
    <row r="2889" spans="1:21">
      <c r="A2889" s="782">
        <v>44705</v>
      </c>
      <c r="B2889" s="783" t="s">
        <v>4025</v>
      </c>
      <c r="C2889" s="783" t="s">
        <v>4026</v>
      </c>
      <c r="D2889" s="783" t="s">
        <v>4021</v>
      </c>
      <c r="E2889" s="783" t="s">
        <v>5257</v>
      </c>
      <c r="F2889" s="783" t="s">
        <v>4011</v>
      </c>
      <c r="G2889" s="783" t="str">
        <f t="shared" si="154"/>
        <v>New Contract</v>
      </c>
      <c r="H2889" s="783" t="s">
        <v>5258</v>
      </c>
      <c r="I2889" s="783" t="s">
        <v>5259</v>
      </c>
      <c r="J2889" s="783">
        <v>15</v>
      </c>
      <c r="K2889" s="783" t="s">
        <v>137</v>
      </c>
      <c r="L2889" s="783" t="s">
        <v>4014</v>
      </c>
      <c r="M2889" s="784">
        <v>10146.24</v>
      </c>
      <c r="N2889" s="784">
        <v>19.2</v>
      </c>
      <c r="O2889" s="784">
        <v>2.71</v>
      </c>
      <c r="P2889" s="783">
        <v>195</v>
      </c>
      <c r="Q2889" s="783">
        <v>590.51</v>
      </c>
      <c r="R2889" s="783">
        <v>223.79</v>
      </c>
      <c r="S2889" s="783">
        <v>75.52</v>
      </c>
      <c r="T2889" s="783">
        <v>291.2</v>
      </c>
      <c r="U2889" s="785">
        <v>44708.986585648097</v>
      </c>
    </row>
    <row r="2890" spans="1:21">
      <c r="A2890" s="782">
        <v>44685</v>
      </c>
      <c r="B2890" s="783" t="s">
        <v>41</v>
      </c>
      <c r="C2890" s="783" t="s">
        <v>4082</v>
      </c>
      <c r="D2890" s="783" t="s">
        <v>4009</v>
      </c>
      <c r="E2890" s="783" t="s">
        <v>533</v>
      </c>
      <c r="F2890" s="783" t="s">
        <v>4011</v>
      </c>
      <c r="G2890" s="783" t="str">
        <f t="shared" si="154"/>
        <v>Renewal (15% in 2020)</v>
      </c>
      <c r="H2890" s="783" t="s">
        <v>4596</v>
      </c>
      <c r="I2890" s="783" t="s">
        <v>4597</v>
      </c>
      <c r="J2890" s="783">
        <v>15</v>
      </c>
      <c r="K2890" s="783" t="s">
        <v>137</v>
      </c>
      <c r="L2890" s="783" t="s">
        <v>4014</v>
      </c>
      <c r="M2890" s="784">
        <v>21719.040000000001</v>
      </c>
      <c r="N2890" s="784">
        <v>20.2</v>
      </c>
      <c r="O2890" s="784">
        <v>6.72</v>
      </c>
      <c r="P2890" s="783">
        <v>160</v>
      </c>
      <c r="Q2890" s="783">
        <v>1930.82</v>
      </c>
      <c r="R2890" s="783">
        <v>849.21</v>
      </c>
      <c r="S2890" s="783">
        <v>160.72</v>
      </c>
      <c r="T2890" s="783">
        <v>920.89</v>
      </c>
      <c r="U2890" s="785">
        <v>44687.643043981501</v>
      </c>
    </row>
    <row r="2891" spans="1:21">
      <c r="A2891" s="782">
        <v>44683</v>
      </c>
      <c r="B2891" s="783" t="s">
        <v>41</v>
      </c>
      <c r="C2891" s="783" t="s">
        <v>4082</v>
      </c>
      <c r="D2891" s="783" t="s">
        <v>4009</v>
      </c>
      <c r="E2891" s="783" t="s">
        <v>870</v>
      </c>
      <c r="F2891" s="783" t="s">
        <v>4011</v>
      </c>
      <c r="G2891" s="783" t="str">
        <f t="shared" si="154"/>
        <v>Renewal (20% in 2020)</v>
      </c>
      <c r="H2891" s="783" t="s">
        <v>5262</v>
      </c>
      <c r="I2891" s="783" t="s">
        <v>5263</v>
      </c>
      <c r="J2891" s="783">
        <v>20</v>
      </c>
      <c r="K2891" s="783" t="s">
        <v>137</v>
      </c>
      <c r="L2891" s="783" t="s">
        <v>4014</v>
      </c>
      <c r="M2891" s="784">
        <v>16274.3</v>
      </c>
      <c r="N2891" s="784">
        <v>16.62</v>
      </c>
      <c r="O2891" s="784">
        <v>5.76</v>
      </c>
      <c r="P2891" s="783">
        <v>170</v>
      </c>
      <c r="Q2891" s="783">
        <v>1077.3599999999999</v>
      </c>
      <c r="R2891" s="783">
        <v>636.33000000000004</v>
      </c>
      <c r="S2891" s="783">
        <v>120.43</v>
      </c>
      <c r="T2891" s="783">
        <v>320.60000000000002</v>
      </c>
      <c r="U2891" s="785">
        <v>44708.637372685203</v>
      </c>
    </row>
    <row r="2892" spans="1:21">
      <c r="A2892" s="782">
        <v>44686</v>
      </c>
      <c r="B2892" s="783" t="s">
        <v>41</v>
      </c>
      <c r="C2892" s="783" t="s">
        <v>4092</v>
      </c>
      <c r="D2892" s="783" t="s">
        <v>4009</v>
      </c>
      <c r="E2892" s="783" t="s">
        <v>5273</v>
      </c>
      <c r="F2892" s="783" t="s">
        <v>4011</v>
      </c>
      <c r="G2892" s="783" t="str">
        <f t="shared" si="154"/>
        <v>New Contract</v>
      </c>
      <c r="H2892" s="783" t="s">
        <v>5274</v>
      </c>
      <c r="I2892" s="783" t="s">
        <v>5275</v>
      </c>
      <c r="J2892" s="783">
        <v>25</v>
      </c>
      <c r="K2892" s="783" t="s">
        <v>137</v>
      </c>
      <c r="L2892" s="783" t="s">
        <v>4014</v>
      </c>
      <c r="M2892" s="784">
        <v>14962.55</v>
      </c>
      <c r="N2892" s="784">
        <v>14.5</v>
      </c>
      <c r="O2892" s="784">
        <v>6.07</v>
      </c>
      <c r="P2892" s="783">
        <v>170</v>
      </c>
      <c r="Q2892" s="783">
        <v>745.13</v>
      </c>
      <c r="R2892" s="783">
        <v>570.07000000000005</v>
      </c>
      <c r="S2892" s="783">
        <v>109.23</v>
      </c>
      <c r="T2892" s="783">
        <v>65.84</v>
      </c>
      <c r="U2892" s="785">
        <v>44687.614872685197</v>
      </c>
    </row>
    <row r="2893" spans="1:21">
      <c r="A2893" s="782">
        <v>44691</v>
      </c>
      <c r="B2893" s="783" t="s">
        <v>41</v>
      </c>
      <c r="C2893" s="783" t="s">
        <v>4092</v>
      </c>
      <c r="D2893" s="783" t="s">
        <v>4009</v>
      </c>
      <c r="E2893" s="783" t="s">
        <v>5276</v>
      </c>
      <c r="F2893" s="783" t="s">
        <v>4011</v>
      </c>
      <c r="G2893" s="783" t="str">
        <f t="shared" si="154"/>
        <v>Renewal (20% in 2020)</v>
      </c>
      <c r="H2893" s="783" t="s">
        <v>5277</v>
      </c>
      <c r="I2893" s="783" t="s">
        <v>5278</v>
      </c>
      <c r="J2893" s="783">
        <v>20</v>
      </c>
      <c r="K2893" s="783" t="s">
        <v>137</v>
      </c>
      <c r="L2893" s="783" t="s">
        <v>4014</v>
      </c>
      <c r="M2893" s="784">
        <v>1658.16</v>
      </c>
      <c r="N2893" s="784">
        <v>1.83</v>
      </c>
      <c r="O2893" s="784">
        <v>5.33</v>
      </c>
      <c r="P2893" s="783">
        <v>170</v>
      </c>
      <c r="Q2893" s="783">
        <v>107.28</v>
      </c>
      <c r="R2893" s="783">
        <v>63.18</v>
      </c>
      <c r="S2893" s="783">
        <v>12.1</v>
      </c>
      <c r="T2893" s="783">
        <v>32</v>
      </c>
      <c r="U2893" s="785">
        <v>44708.6492939815</v>
      </c>
    </row>
    <row r="2894" spans="1:21">
      <c r="A2894" s="782">
        <v>44687</v>
      </c>
      <c r="B2894" s="783" t="s">
        <v>51</v>
      </c>
      <c r="C2894" s="783" t="s">
        <v>4042</v>
      </c>
      <c r="D2894" s="783" t="s">
        <v>4016</v>
      </c>
      <c r="E2894" s="783" t="s">
        <v>4043</v>
      </c>
      <c r="F2894" s="783" t="s">
        <v>4011</v>
      </c>
      <c r="G2894" s="783" t="s">
        <v>4028</v>
      </c>
      <c r="H2894" s="783" t="s">
        <v>4044</v>
      </c>
      <c r="I2894" s="783" t="s">
        <v>4045</v>
      </c>
      <c r="J2894" s="783">
        <v>25</v>
      </c>
      <c r="K2894" s="783" t="s">
        <v>137</v>
      </c>
      <c r="L2894" s="783" t="s">
        <v>4014</v>
      </c>
      <c r="M2894" s="784">
        <v>54520.5</v>
      </c>
      <c r="N2894" s="784">
        <v>76.52</v>
      </c>
      <c r="O2894" s="784">
        <v>4.75</v>
      </c>
      <c r="P2894" s="783">
        <v>150</v>
      </c>
      <c r="Q2894" s="783">
        <v>2540.66</v>
      </c>
      <c r="R2894" s="783">
        <v>1924.57</v>
      </c>
      <c r="S2894" s="783">
        <v>310.77</v>
      </c>
      <c r="T2894" s="783">
        <v>305.31</v>
      </c>
      <c r="U2894" s="785">
        <v>44687.596307870401</v>
      </c>
    </row>
    <row r="2895" spans="1:21">
      <c r="A2895" s="782">
        <v>44665</v>
      </c>
      <c r="B2895" s="783" t="s">
        <v>41</v>
      </c>
      <c r="C2895" s="783" t="s">
        <v>4092</v>
      </c>
      <c r="D2895" s="783" t="s">
        <v>4009</v>
      </c>
      <c r="E2895" s="783" t="s">
        <v>4310</v>
      </c>
      <c r="F2895" s="783" t="s">
        <v>4011</v>
      </c>
      <c r="G2895" s="783" t="str">
        <f t="shared" ref="G2895:G2901" si="155">VLOOKUP(I2895,pacage,2,FALSE)</f>
        <v>New Contract</v>
      </c>
      <c r="H2895" s="783" t="s">
        <v>4311</v>
      </c>
      <c r="I2895" s="783" t="s">
        <v>4312</v>
      </c>
      <c r="J2895" s="783">
        <v>25</v>
      </c>
      <c r="K2895" s="783" t="s">
        <v>137</v>
      </c>
      <c r="L2895" s="783" t="s">
        <v>4014</v>
      </c>
      <c r="M2895" s="784">
        <v>5778.43</v>
      </c>
      <c r="N2895" s="784">
        <v>7.04</v>
      </c>
      <c r="O2895" s="784">
        <v>5.13</v>
      </c>
      <c r="P2895" s="783">
        <v>160</v>
      </c>
      <c r="Q2895" s="783">
        <v>287.77</v>
      </c>
      <c r="R2895" s="783">
        <v>220.16</v>
      </c>
      <c r="S2895" s="783">
        <v>42.18</v>
      </c>
      <c r="T2895" s="783">
        <v>25.43</v>
      </c>
      <c r="U2895" s="785">
        <v>44665.6621759259</v>
      </c>
    </row>
    <row r="2896" spans="1:21">
      <c r="A2896" s="782">
        <v>44673</v>
      </c>
      <c r="B2896" s="783" t="s">
        <v>51</v>
      </c>
      <c r="C2896" s="783" t="s">
        <v>4015</v>
      </c>
      <c r="D2896" s="783" t="s">
        <v>4016</v>
      </c>
      <c r="E2896" s="783" t="s">
        <v>2016</v>
      </c>
      <c r="F2896" s="783" t="s">
        <v>4011</v>
      </c>
      <c r="G2896" s="783" t="str">
        <f t="shared" si="155"/>
        <v>Renewal (20% in 2020)</v>
      </c>
      <c r="H2896" s="783" t="s">
        <v>5294</v>
      </c>
      <c r="I2896" s="783" t="s">
        <v>5295</v>
      </c>
      <c r="J2896" s="783">
        <v>20</v>
      </c>
      <c r="K2896" s="783" t="s">
        <v>137</v>
      </c>
      <c r="L2896" s="783" t="s">
        <v>4014</v>
      </c>
      <c r="M2896" s="784">
        <v>14785.75</v>
      </c>
      <c r="N2896" s="784">
        <v>17.5</v>
      </c>
      <c r="O2896" s="784">
        <v>4.97</v>
      </c>
      <c r="P2896" s="783">
        <v>170</v>
      </c>
      <c r="Q2896" s="783">
        <v>922.63</v>
      </c>
      <c r="R2896" s="783">
        <v>589.95000000000005</v>
      </c>
      <c r="S2896" s="783">
        <v>25.14</v>
      </c>
      <c r="T2896" s="783">
        <v>307.54000000000002</v>
      </c>
      <c r="U2896" s="785">
        <v>44673.708287037</v>
      </c>
    </row>
    <row r="2897" spans="1:21">
      <c r="A2897" s="782">
        <v>44666</v>
      </c>
      <c r="B2897" s="783" t="s">
        <v>41</v>
      </c>
      <c r="C2897" s="783" t="s">
        <v>4092</v>
      </c>
      <c r="D2897" s="783" t="s">
        <v>4009</v>
      </c>
      <c r="E2897" s="783" t="s">
        <v>5299</v>
      </c>
      <c r="F2897" s="783" t="s">
        <v>4011</v>
      </c>
      <c r="G2897" s="783" t="str">
        <f t="shared" si="155"/>
        <v>Renewal (20% in 2020)</v>
      </c>
      <c r="H2897" s="783" t="s">
        <v>5300</v>
      </c>
      <c r="I2897" s="783" t="s">
        <v>5301</v>
      </c>
      <c r="J2897" s="783">
        <v>20</v>
      </c>
      <c r="K2897" s="783" t="s">
        <v>137</v>
      </c>
      <c r="L2897" s="783" t="s">
        <v>4014</v>
      </c>
      <c r="M2897" s="784">
        <v>3247.83</v>
      </c>
      <c r="N2897" s="784">
        <v>2.7</v>
      </c>
      <c r="O2897" s="784">
        <v>5.23</v>
      </c>
      <c r="P2897" s="783">
        <v>230</v>
      </c>
      <c r="Q2897" s="783">
        <v>210.13</v>
      </c>
      <c r="R2897" s="783">
        <v>91.46</v>
      </c>
      <c r="S2897" s="783">
        <v>55.99</v>
      </c>
      <c r="T2897" s="783">
        <v>62.68</v>
      </c>
      <c r="U2897" s="785">
        <v>44671.484583333302</v>
      </c>
    </row>
    <row r="2898" spans="1:21">
      <c r="A2898" s="782">
        <v>44712</v>
      </c>
      <c r="B2898" s="783" t="s">
        <v>715</v>
      </c>
      <c r="C2898" s="783" t="s">
        <v>4042</v>
      </c>
      <c r="D2898" s="783" t="s">
        <v>4016</v>
      </c>
      <c r="E2898" s="783" t="s">
        <v>1478</v>
      </c>
      <c r="F2898" s="783" t="s">
        <v>4011</v>
      </c>
      <c r="G2898" s="783" t="str">
        <f t="shared" si="155"/>
        <v>Renewal (20% in 2020)</v>
      </c>
      <c r="H2898" s="783" t="s">
        <v>5302</v>
      </c>
      <c r="I2898" s="783" t="s">
        <v>5303</v>
      </c>
      <c r="J2898" s="783">
        <v>20</v>
      </c>
      <c r="K2898" s="783" t="s">
        <v>137</v>
      </c>
      <c r="L2898" s="783" t="s">
        <v>4014</v>
      </c>
      <c r="M2898" s="784">
        <v>168314.64</v>
      </c>
      <c r="N2898" s="784">
        <v>96.07</v>
      </c>
      <c r="O2898" s="784">
        <v>5.84</v>
      </c>
      <c r="P2898" s="783">
        <v>300</v>
      </c>
      <c r="Q2898" s="783">
        <v>10115.709999999999</v>
      </c>
      <c r="R2898" s="783">
        <v>3366.85</v>
      </c>
      <c r="S2898" s="783">
        <v>3534.05</v>
      </c>
      <c r="T2898" s="783">
        <v>3214.81</v>
      </c>
      <c r="U2898" s="785">
        <v>44714.010312500002</v>
      </c>
    </row>
    <row r="2899" spans="1:21">
      <c r="A2899" s="782">
        <v>44712</v>
      </c>
      <c r="B2899" s="783" t="s">
        <v>30</v>
      </c>
      <c r="C2899" s="783" t="s">
        <v>4239</v>
      </c>
      <c r="D2899" s="783" t="s">
        <v>4021</v>
      </c>
      <c r="E2899" s="783" t="s">
        <v>787</v>
      </c>
      <c r="F2899" s="783" t="s">
        <v>4011</v>
      </c>
      <c r="G2899" s="783" t="str">
        <f t="shared" si="155"/>
        <v>Renewal (15% in 2020)</v>
      </c>
      <c r="H2899" s="783" t="s">
        <v>5304</v>
      </c>
      <c r="I2899" s="783" t="s">
        <v>5305</v>
      </c>
      <c r="J2899" s="783">
        <v>15</v>
      </c>
      <c r="K2899" s="783" t="s">
        <v>137</v>
      </c>
      <c r="L2899" s="783" t="s">
        <v>4014</v>
      </c>
      <c r="M2899" s="784">
        <v>29394</v>
      </c>
      <c r="N2899" s="784">
        <v>17.04</v>
      </c>
      <c r="O2899" s="784">
        <v>6.9</v>
      </c>
      <c r="P2899" s="783">
        <v>250</v>
      </c>
      <c r="Q2899" s="783">
        <v>2172.2199999999998</v>
      </c>
      <c r="R2899" s="783">
        <v>617.63</v>
      </c>
      <c r="S2899" s="783">
        <v>493.47</v>
      </c>
      <c r="T2899" s="783">
        <v>1061.1199999999999</v>
      </c>
      <c r="U2899" s="785">
        <v>44714.581064814804</v>
      </c>
    </row>
    <row r="2900" spans="1:21">
      <c r="A2900" s="782">
        <v>44697</v>
      </c>
      <c r="B2900" s="783" t="s">
        <v>51</v>
      </c>
      <c r="C2900" s="783" t="s">
        <v>4042</v>
      </c>
      <c r="D2900" s="783" t="s">
        <v>4016</v>
      </c>
      <c r="E2900" s="783" t="s">
        <v>87</v>
      </c>
      <c r="F2900" s="783" t="s">
        <v>4011</v>
      </c>
      <c r="G2900" s="783" t="str">
        <f t="shared" si="155"/>
        <v>Renewal (20% in 2020)</v>
      </c>
      <c r="H2900" s="783" t="s">
        <v>5317</v>
      </c>
      <c r="I2900" s="783" t="s">
        <v>5318</v>
      </c>
      <c r="J2900" s="783">
        <v>20</v>
      </c>
      <c r="K2900" s="783" t="s">
        <v>137</v>
      </c>
      <c r="L2900" s="783" t="s">
        <v>4014</v>
      </c>
      <c r="M2900" s="784">
        <v>31677.119999999999</v>
      </c>
      <c r="N2900" s="784">
        <v>25.88</v>
      </c>
      <c r="O2900" s="784">
        <v>5.0999999999999996</v>
      </c>
      <c r="P2900" s="783">
        <v>240</v>
      </c>
      <c r="Q2900" s="783">
        <v>1903.79</v>
      </c>
      <c r="R2900" s="783">
        <v>792.06</v>
      </c>
      <c r="S2900" s="783">
        <v>506.7</v>
      </c>
      <c r="T2900" s="783">
        <v>605.03</v>
      </c>
      <c r="U2900" s="785">
        <v>44699.504178240699</v>
      </c>
    </row>
    <row r="2901" spans="1:21">
      <c r="A2901" s="782">
        <v>44697</v>
      </c>
      <c r="B2901" s="783" t="s">
        <v>41</v>
      </c>
      <c r="C2901" s="783" t="s">
        <v>4092</v>
      </c>
      <c r="D2901" s="783" t="s">
        <v>4009</v>
      </c>
      <c r="E2901" s="783" t="s">
        <v>4128</v>
      </c>
      <c r="F2901" s="783" t="s">
        <v>4011</v>
      </c>
      <c r="G2901" s="783" t="str">
        <f t="shared" si="155"/>
        <v>Renewal (20% in 2020)</v>
      </c>
      <c r="H2901" s="783" t="s">
        <v>4129</v>
      </c>
      <c r="I2901" s="783" t="s">
        <v>4130</v>
      </c>
      <c r="J2901" s="783">
        <v>20</v>
      </c>
      <c r="K2901" s="783" t="s">
        <v>137</v>
      </c>
      <c r="L2901" s="783" t="s">
        <v>4014</v>
      </c>
      <c r="M2901" s="784">
        <v>7932.98</v>
      </c>
      <c r="N2901" s="784">
        <v>6.74</v>
      </c>
      <c r="O2901" s="784">
        <v>5.35</v>
      </c>
      <c r="P2901" s="783">
        <v>220</v>
      </c>
      <c r="Q2901" s="783">
        <v>513.26</v>
      </c>
      <c r="R2901" s="783">
        <v>233.55</v>
      </c>
      <c r="S2901" s="783">
        <v>126.6</v>
      </c>
      <c r="T2901" s="783">
        <v>153.11000000000001</v>
      </c>
      <c r="U2901" s="785">
        <v>44699.507303240702</v>
      </c>
    </row>
    <row r="2902" spans="1:21">
      <c r="A2902" s="782">
        <v>44701</v>
      </c>
      <c r="B2902" s="783" t="s">
        <v>34</v>
      </c>
      <c r="C2902" s="783" t="s">
        <v>4082</v>
      </c>
      <c r="D2902" s="783" t="s">
        <v>4009</v>
      </c>
      <c r="E2902" s="783" t="s">
        <v>5319</v>
      </c>
      <c r="F2902" s="783" t="s">
        <v>4011</v>
      </c>
      <c r="G2902" s="783" t="s">
        <v>4028</v>
      </c>
      <c r="H2902" s="783" t="s">
        <v>5320</v>
      </c>
      <c r="I2902" s="783" t="s">
        <v>5321</v>
      </c>
      <c r="J2902" s="783">
        <v>30</v>
      </c>
      <c r="K2902" s="783" t="s">
        <v>137</v>
      </c>
      <c r="L2902" s="783" t="s">
        <v>4014</v>
      </c>
      <c r="M2902" s="784">
        <v>23022.34</v>
      </c>
      <c r="N2902" s="784">
        <v>20.53</v>
      </c>
      <c r="O2902" s="784">
        <v>6.23</v>
      </c>
      <c r="P2902" s="783">
        <v>180</v>
      </c>
      <c r="Q2902" s="783">
        <v>1001.47</v>
      </c>
      <c r="R2902" s="783">
        <v>850.16</v>
      </c>
      <c r="S2902" s="783">
        <v>50.01</v>
      </c>
      <c r="T2902" s="783">
        <v>101.3</v>
      </c>
      <c r="U2902" s="785">
        <v>44701.662430555603</v>
      </c>
    </row>
    <row r="2903" spans="1:21">
      <c r="A2903" s="782">
        <v>44693</v>
      </c>
      <c r="B2903" s="783" t="s">
        <v>51</v>
      </c>
      <c r="C2903" s="783" t="s">
        <v>4015</v>
      </c>
      <c r="D2903" s="783" t="s">
        <v>4016</v>
      </c>
      <c r="E2903" s="783" t="s">
        <v>1719</v>
      </c>
      <c r="F2903" s="783" t="s">
        <v>4011</v>
      </c>
      <c r="G2903" s="783" t="str">
        <f t="shared" ref="G2903:G2919" si="156">VLOOKUP(I2903,pacage,2,FALSE)</f>
        <v>Renewal (20% in 2020)</v>
      </c>
      <c r="H2903" s="783" t="s">
        <v>5330</v>
      </c>
      <c r="I2903" s="783" t="s">
        <v>5331</v>
      </c>
      <c r="J2903" s="783">
        <v>20</v>
      </c>
      <c r="K2903" s="783" t="s">
        <v>137</v>
      </c>
      <c r="L2903" s="783" t="s">
        <v>4014</v>
      </c>
      <c r="M2903" s="784">
        <v>21851.73</v>
      </c>
      <c r="N2903" s="784">
        <v>14.03</v>
      </c>
      <c r="O2903" s="784">
        <v>4.45</v>
      </c>
      <c r="P2903" s="783">
        <v>350</v>
      </c>
      <c r="Q2903" s="783">
        <v>1363.55</v>
      </c>
      <c r="R2903" s="783">
        <v>423.49</v>
      </c>
      <c r="S2903" s="783">
        <v>485.55</v>
      </c>
      <c r="T2903" s="783">
        <v>454.52</v>
      </c>
      <c r="U2903" s="785">
        <v>44693.600937499999</v>
      </c>
    </row>
    <row r="2904" spans="1:21">
      <c r="A2904" s="782">
        <v>44539</v>
      </c>
      <c r="B2904" s="783" t="s">
        <v>30</v>
      </c>
      <c r="C2904" s="783" t="s">
        <v>4239</v>
      </c>
      <c r="D2904" s="783" t="s">
        <v>4021</v>
      </c>
      <c r="E2904" s="783" t="s">
        <v>5356</v>
      </c>
      <c r="F2904" s="783" t="s">
        <v>4011</v>
      </c>
      <c r="G2904" s="783" t="str">
        <f t="shared" si="156"/>
        <v>New contract</v>
      </c>
      <c r="H2904" s="783" t="s">
        <v>5357</v>
      </c>
      <c r="I2904" s="783" t="s">
        <v>5358</v>
      </c>
      <c r="J2904" s="783">
        <v>25</v>
      </c>
      <c r="K2904" s="783" t="s">
        <v>137</v>
      </c>
      <c r="L2904" s="783" t="s">
        <v>4014</v>
      </c>
      <c r="M2904" s="784">
        <v>6835.97</v>
      </c>
      <c r="N2904" s="784">
        <v>5.72</v>
      </c>
      <c r="O2904" s="784">
        <v>7.03</v>
      </c>
      <c r="P2904" s="783">
        <v>170</v>
      </c>
      <c r="Q2904" s="783">
        <v>294.63</v>
      </c>
      <c r="R2904" s="783">
        <v>211.23</v>
      </c>
      <c r="S2904" s="783">
        <v>47.17</v>
      </c>
      <c r="T2904" s="783">
        <v>36.229999999999997</v>
      </c>
      <c r="U2904" s="785">
        <v>44631.630405092597</v>
      </c>
    </row>
    <row r="2905" spans="1:21">
      <c r="A2905" s="782">
        <v>44539</v>
      </c>
      <c r="B2905" s="783" t="s">
        <v>228</v>
      </c>
      <c r="C2905" s="783" t="s">
        <v>4491</v>
      </c>
      <c r="D2905" s="783" t="s">
        <v>4193</v>
      </c>
      <c r="E2905" s="783" t="s">
        <v>5367</v>
      </c>
      <c r="F2905" s="783" t="s">
        <v>4011</v>
      </c>
      <c r="G2905" s="783" t="str">
        <f t="shared" si="156"/>
        <v>New contract</v>
      </c>
      <c r="H2905" s="783" t="s">
        <v>5368</v>
      </c>
      <c r="I2905" s="783" t="s">
        <v>5369</v>
      </c>
      <c r="J2905" s="783">
        <v>20</v>
      </c>
      <c r="K2905" s="783" t="s">
        <v>137</v>
      </c>
      <c r="L2905" s="783" t="s">
        <v>4014</v>
      </c>
      <c r="M2905" s="784">
        <v>12960</v>
      </c>
      <c r="N2905" s="784">
        <v>14.4</v>
      </c>
      <c r="O2905" s="784">
        <v>4.5</v>
      </c>
      <c r="P2905" s="783">
        <v>200</v>
      </c>
      <c r="Q2905" s="783">
        <v>778.9</v>
      </c>
      <c r="R2905" s="783">
        <v>399.88</v>
      </c>
      <c r="S2905" s="783">
        <v>145.74</v>
      </c>
      <c r="T2905" s="783">
        <v>233.28</v>
      </c>
      <c r="U2905" s="785">
        <v>44631.626770833303</v>
      </c>
    </row>
    <row r="2906" spans="1:21">
      <c r="A2906" s="782">
        <v>44637</v>
      </c>
      <c r="B2906" s="783" t="s">
        <v>74</v>
      </c>
      <c r="C2906" s="783" t="s">
        <v>4037</v>
      </c>
      <c r="D2906" s="783" t="s">
        <v>4038</v>
      </c>
      <c r="E2906" s="783" t="s">
        <v>4331</v>
      </c>
      <c r="F2906" s="783" t="s">
        <v>4066</v>
      </c>
      <c r="G2906" s="783" t="str">
        <f t="shared" si="156"/>
        <v>Renewal (25% in 2020)</v>
      </c>
      <c r="H2906" s="783" t="s">
        <v>4332</v>
      </c>
      <c r="I2906" s="783" t="s">
        <v>4333</v>
      </c>
      <c r="J2906" s="783">
        <v>10</v>
      </c>
      <c r="K2906" s="783" t="s">
        <v>137</v>
      </c>
      <c r="L2906" s="783" t="s">
        <v>4014</v>
      </c>
      <c r="M2906" s="784">
        <v>3792.77</v>
      </c>
      <c r="N2906" s="784">
        <v>6.64</v>
      </c>
      <c r="O2906" s="784">
        <v>3.36</v>
      </c>
      <c r="P2906" s="783">
        <v>170</v>
      </c>
      <c r="Q2906" s="783">
        <v>131.61000000000001</v>
      </c>
      <c r="R2906" s="783">
        <v>0</v>
      </c>
      <c r="S2906" s="783">
        <v>0</v>
      </c>
      <c r="T2906" s="783">
        <v>131.61000000000001</v>
      </c>
      <c r="U2906" s="785">
        <v>44638.389479166697</v>
      </c>
    </row>
    <row r="2907" spans="1:21">
      <c r="A2907" s="782">
        <v>44546</v>
      </c>
      <c r="B2907" s="783" t="s">
        <v>74</v>
      </c>
      <c r="C2907" s="783" t="s">
        <v>4097</v>
      </c>
      <c r="D2907" s="783" t="s">
        <v>4038</v>
      </c>
      <c r="E2907" s="783" t="s">
        <v>4337</v>
      </c>
      <c r="F2907" s="783" t="s">
        <v>4011</v>
      </c>
      <c r="G2907" s="783" t="str">
        <f t="shared" si="156"/>
        <v>New Contract</v>
      </c>
      <c r="H2907" s="783" t="s">
        <v>4338</v>
      </c>
      <c r="I2907" s="783" t="s">
        <v>4339</v>
      </c>
      <c r="J2907" s="783">
        <v>20</v>
      </c>
      <c r="K2907" s="783" t="s">
        <v>137</v>
      </c>
      <c r="L2907" s="783" t="s">
        <v>4014</v>
      </c>
      <c r="M2907" s="784">
        <v>25227.759999999998</v>
      </c>
      <c r="N2907" s="784">
        <v>23.82</v>
      </c>
      <c r="O2907" s="784">
        <v>6.23</v>
      </c>
      <c r="P2907" s="783">
        <v>170</v>
      </c>
      <c r="Q2907" s="783">
        <v>2197.34</v>
      </c>
      <c r="R2907" s="783">
        <v>1241.21</v>
      </c>
      <c r="S2907" s="783">
        <v>199.3</v>
      </c>
      <c r="T2907" s="783">
        <v>756.83</v>
      </c>
      <c r="U2907" s="785">
        <v>44631.631157407399</v>
      </c>
    </row>
    <row r="2908" spans="1:21">
      <c r="A2908" s="782">
        <v>44553</v>
      </c>
      <c r="B2908" s="783" t="s">
        <v>41</v>
      </c>
      <c r="C2908" s="783" t="s">
        <v>4092</v>
      </c>
      <c r="D2908" s="783" t="s">
        <v>4009</v>
      </c>
      <c r="E2908" s="783" t="s">
        <v>4616</v>
      </c>
      <c r="F2908" s="783" t="s">
        <v>4011</v>
      </c>
      <c r="G2908" s="783" t="str">
        <f t="shared" si="156"/>
        <v>Renewal (25% in 2020)</v>
      </c>
      <c r="H2908" s="783" t="s">
        <v>4617</v>
      </c>
      <c r="I2908" s="783" t="s">
        <v>4618</v>
      </c>
      <c r="J2908" s="783">
        <v>25</v>
      </c>
      <c r="K2908" s="783" t="s">
        <v>137</v>
      </c>
      <c r="L2908" s="783" t="s">
        <v>4014</v>
      </c>
      <c r="M2908" s="784">
        <v>10969.11</v>
      </c>
      <c r="N2908" s="784">
        <v>14.98</v>
      </c>
      <c r="O2908" s="784">
        <v>5.05</v>
      </c>
      <c r="P2908" s="783">
        <v>145</v>
      </c>
      <c r="Q2908" s="783">
        <v>546.26</v>
      </c>
      <c r="R2908" s="783">
        <v>417.92</v>
      </c>
      <c r="S2908" s="783">
        <v>80.069999999999993</v>
      </c>
      <c r="T2908" s="783">
        <v>48.26</v>
      </c>
      <c r="U2908" s="785">
        <v>44631.6308333333</v>
      </c>
    </row>
    <row r="2909" spans="1:21">
      <c r="A2909" s="782">
        <v>44547</v>
      </c>
      <c r="B2909" s="783" t="s">
        <v>41</v>
      </c>
      <c r="C2909" s="783" t="s">
        <v>4092</v>
      </c>
      <c r="D2909" s="783" t="s">
        <v>4009</v>
      </c>
      <c r="E2909" s="783" t="s">
        <v>4340</v>
      </c>
      <c r="F2909" s="783" t="s">
        <v>4011</v>
      </c>
      <c r="G2909" s="783" t="str">
        <f t="shared" si="156"/>
        <v>New Contract</v>
      </c>
      <c r="H2909" s="783" t="s">
        <v>4341</v>
      </c>
      <c r="I2909" s="783" t="s">
        <v>4342</v>
      </c>
      <c r="J2909" s="783">
        <v>25</v>
      </c>
      <c r="K2909" s="783" t="s">
        <v>137</v>
      </c>
      <c r="L2909" s="783" t="s">
        <v>4014</v>
      </c>
      <c r="M2909" s="784">
        <v>9225.9</v>
      </c>
      <c r="N2909" s="784">
        <v>9</v>
      </c>
      <c r="O2909" s="784">
        <v>6.03</v>
      </c>
      <c r="P2909" s="783">
        <v>170</v>
      </c>
      <c r="Q2909" s="783">
        <v>459.45</v>
      </c>
      <c r="R2909" s="783">
        <v>351.51</v>
      </c>
      <c r="S2909" s="783">
        <v>67.349999999999994</v>
      </c>
      <c r="T2909" s="783">
        <v>40.590000000000003</v>
      </c>
      <c r="U2909" s="785">
        <v>44631.634305555599</v>
      </c>
    </row>
    <row r="2910" spans="1:21">
      <c r="A2910" s="782">
        <v>44551</v>
      </c>
      <c r="B2910" s="783" t="s">
        <v>397</v>
      </c>
      <c r="C2910" s="783" t="s">
        <v>4511</v>
      </c>
      <c r="D2910" s="783" t="s">
        <v>4512</v>
      </c>
      <c r="E2910" s="783" t="s">
        <v>4622</v>
      </c>
      <c r="F2910" s="783" t="s">
        <v>4011</v>
      </c>
      <c r="G2910" s="783" t="str">
        <f t="shared" si="156"/>
        <v>Renewal (20% in 2020)</v>
      </c>
      <c r="H2910" s="783" t="s">
        <v>4623</v>
      </c>
      <c r="I2910" s="783" t="s">
        <v>4624</v>
      </c>
      <c r="J2910" s="783">
        <v>30</v>
      </c>
      <c r="K2910" s="783" t="s">
        <v>137</v>
      </c>
      <c r="L2910" s="783" t="s">
        <v>4014</v>
      </c>
      <c r="M2910" s="784">
        <v>50195.199999999997</v>
      </c>
      <c r="N2910" s="784">
        <v>32</v>
      </c>
      <c r="O2910" s="784">
        <v>7.13</v>
      </c>
      <c r="P2910" s="783">
        <v>220</v>
      </c>
      <c r="Q2910" s="783">
        <v>2800.89</v>
      </c>
      <c r="R2910" s="783">
        <v>1799.73</v>
      </c>
      <c r="S2910" s="783">
        <v>529.33000000000004</v>
      </c>
      <c r="T2910" s="783">
        <v>471.83</v>
      </c>
      <c r="U2910" s="785">
        <v>44631.630891203698</v>
      </c>
    </row>
    <row r="2911" spans="1:21">
      <c r="A2911" s="782">
        <v>44666</v>
      </c>
      <c r="B2911" s="783" t="s">
        <v>41</v>
      </c>
      <c r="C2911" s="783" t="s">
        <v>4082</v>
      </c>
      <c r="D2911" s="783" t="s">
        <v>4009</v>
      </c>
      <c r="E2911" s="783" t="s">
        <v>5435</v>
      </c>
      <c r="F2911" s="783" t="s">
        <v>4011</v>
      </c>
      <c r="G2911" s="783" t="str">
        <f t="shared" si="156"/>
        <v>Renewal (20% in 2020)</v>
      </c>
      <c r="H2911" s="783" t="s">
        <v>5436</v>
      </c>
      <c r="I2911" s="783" t="s">
        <v>5437</v>
      </c>
      <c r="J2911" s="783">
        <v>25</v>
      </c>
      <c r="K2911" s="783" t="s">
        <v>137</v>
      </c>
      <c r="L2911" s="783" t="s">
        <v>4014</v>
      </c>
      <c r="M2911" s="784">
        <v>21097</v>
      </c>
      <c r="N2911" s="784">
        <v>17</v>
      </c>
      <c r="O2911" s="784">
        <v>7.3</v>
      </c>
      <c r="P2911" s="783">
        <v>170</v>
      </c>
      <c r="Q2911" s="783">
        <v>1073.8399999999999</v>
      </c>
      <c r="R2911" s="783">
        <v>824.89</v>
      </c>
      <c r="S2911" s="783">
        <v>156.12</v>
      </c>
      <c r="T2911" s="783">
        <v>92.83</v>
      </c>
      <c r="U2911" s="785">
        <v>44671.479236111103</v>
      </c>
    </row>
    <row r="2912" spans="1:21">
      <c r="A2912" s="782">
        <v>44659</v>
      </c>
      <c r="B2912" s="783" t="s">
        <v>30</v>
      </c>
      <c r="C2912" s="783" t="s">
        <v>4239</v>
      </c>
      <c r="D2912" s="783" t="s">
        <v>4021</v>
      </c>
      <c r="E2912" s="783" t="s">
        <v>3763</v>
      </c>
      <c r="F2912" s="783" t="s">
        <v>4011</v>
      </c>
      <c r="G2912" s="783" t="str">
        <f t="shared" si="156"/>
        <v>Renewal (25% in 2020)</v>
      </c>
      <c r="H2912" s="783" t="s">
        <v>5438</v>
      </c>
      <c r="I2912" s="783" t="s">
        <v>5439</v>
      </c>
      <c r="J2912" s="783">
        <v>20</v>
      </c>
      <c r="K2912" s="783" t="s">
        <v>137</v>
      </c>
      <c r="L2912" s="783" t="s">
        <v>4014</v>
      </c>
      <c r="M2912" s="784">
        <v>1377.5</v>
      </c>
      <c r="N2912" s="784">
        <v>1</v>
      </c>
      <c r="O2912" s="784">
        <v>7.25</v>
      </c>
      <c r="P2912" s="783">
        <v>190</v>
      </c>
      <c r="Q2912" s="783">
        <v>76.31</v>
      </c>
      <c r="R2912" s="783">
        <v>38.08</v>
      </c>
      <c r="S2912" s="783">
        <v>13.99</v>
      </c>
      <c r="T2912" s="783">
        <v>24.24</v>
      </c>
      <c r="U2912" s="785">
        <v>44663.405995370398</v>
      </c>
    </row>
    <row r="2913" spans="1:21">
      <c r="A2913" s="782">
        <v>44663</v>
      </c>
      <c r="B2913" s="783" t="s">
        <v>41</v>
      </c>
      <c r="C2913" s="783" t="s">
        <v>4071</v>
      </c>
      <c r="D2913" s="783" t="s">
        <v>4009</v>
      </c>
      <c r="E2913" s="783" t="s">
        <v>169</v>
      </c>
      <c r="F2913" s="783" t="s">
        <v>4011</v>
      </c>
      <c r="G2913" s="783" t="str">
        <f t="shared" si="156"/>
        <v>Renewal (15% in 2020)</v>
      </c>
      <c r="H2913" s="783" t="s">
        <v>4137</v>
      </c>
      <c r="I2913" s="783" t="s">
        <v>4138</v>
      </c>
      <c r="J2913" s="783">
        <v>15</v>
      </c>
      <c r="K2913" s="783" t="s">
        <v>137</v>
      </c>
      <c r="L2913" s="783" t="s">
        <v>4014</v>
      </c>
      <c r="M2913" s="784">
        <v>11010.22</v>
      </c>
      <c r="N2913" s="784">
        <v>13.78</v>
      </c>
      <c r="O2913" s="784">
        <v>4.7</v>
      </c>
      <c r="P2913" s="783">
        <v>170</v>
      </c>
      <c r="Q2913" s="783">
        <v>999.73</v>
      </c>
      <c r="R2913" s="783">
        <v>451.42</v>
      </c>
      <c r="S2913" s="783">
        <v>72.67</v>
      </c>
      <c r="T2913" s="783">
        <v>475.64</v>
      </c>
      <c r="U2913" s="785">
        <v>44663.427581018499</v>
      </c>
    </row>
    <row r="2914" spans="1:21">
      <c r="A2914" s="782">
        <v>44700</v>
      </c>
      <c r="B2914" s="783" t="s">
        <v>51</v>
      </c>
      <c r="C2914" s="783" t="s">
        <v>4042</v>
      </c>
      <c r="D2914" s="783" t="s">
        <v>4016</v>
      </c>
      <c r="E2914" s="783" t="s">
        <v>5443</v>
      </c>
      <c r="F2914" s="783" t="s">
        <v>4011</v>
      </c>
      <c r="G2914" s="783" t="str">
        <f t="shared" si="156"/>
        <v>New Contract</v>
      </c>
      <c r="H2914" s="783" t="s">
        <v>5444</v>
      </c>
      <c r="I2914" s="783" t="s">
        <v>5445</v>
      </c>
      <c r="J2914" s="783">
        <v>25</v>
      </c>
      <c r="K2914" s="783" t="s">
        <v>137</v>
      </c>
      <c r="L2914" s="783" t="s">
        <v>4014</v>
      </c>
      <c r="M2914" s="784">
        <v>47470.82</v>
      </c>
      <c r="N2914" s="784">
        <v>38.32</v>
      </c>
      <c r="O2914" s="784">
        <v>6.52</v>
      </c>
      <c r="P2914" s="783">
        <v>190</v>
      </c>
      <c r="Q2914" s="783">
        <v>2212.14</v>
      </c>
      <c r="R2914" s="783">
        <v>1499.33</v>
      </c>
      <c r="S2914" s="783">
        <v>446.98</v>
      </c>
      <c r="T2914" s="783">
        <v>265.83999999999997</v>
      </c>
      <c r="U2914" s="785">
        <v>44708.983275462997</v>
      </c>
    </row>
    <row r="2915" spans="1:21">
      <c r="A2915" s="782">
        <v>44677</v>
      </c>
      <c r="B2915" s="783" t="s">
        <v>51</v>
      </c>
      <c r="C2915" s="783" t="s">
        <v>4015</v>
      </c>
      <c r="D2915" s="783" t="s">
        <v>4016</v>
      </c>
      <c r="E2915" s="783" t="s">
        <v>7078</v>
      </c>
      <c r="F2915" s="783" t="s">
        <v>4011</v>
      </c>
      <c r="G2915" s="783" t="str">
        <f t="shared" si="156"/>
        <v>Renewal (20% in 2020)</v>
      </c>
      <c r="H2915" s="783" t="s">
        <v>7079</v>
      </c>
      <c r="I2915" s="783" t="s">
        <v>7080</v>
      </c>
      <c r="J2915" s="783">
        <v>20</v>
      </c>
      <c r="K2915" s="783" t="s">
        <v>137</v>
      </c>
      <c r="L2915" s="783" t="s">
        <v>4014</v>
      </c>
      <c r="M2915" s="784">
        <v>169899.08</v>
      </c>
      <c r="N2915" s="784">
        <v>159.38</v>
      </c>
      <c r="O2915" s="784">
        <v>5.33</v>
      </c>
      <c r="P2915" s="783">
        <v>200</v>
      </c>
      <c r="Q2915" s="783">
        <v>10601.7</v>
      </c>
      <c r="R2915" s="783">
        <v>5762.13</v>
      </c>
      <c r="S2915" s="783">
        <v>1305.67</v>
      </c>
      <c r="T2915" s="783">
        <v>3533.9</v>
      </c>
      <c r="U2915" s="785">
        <v>44678.777627314797</v>
      </c>
    </row>
    <row r="2916" spans="1:21">
      <c r="A2916" s="782">
        <v>44680</v>
      </c>
      <c r="B2916" s="783" t="s">
        <v>228</v>
      </c>
      <c r="C2916" s="783" t="s">
        <v>4625</v>
      </c>
      <c r="D2916" s="783" t="s">
        <v>4248</v>
      </c>
      <c r="E2916" s="783" t="s">
        <v>4626</v>
      </c>
      <c r="F2916" s="783" t="s">
        <v>4011</v>
      </c>
      <c r="G2916" s="783" t="str">
        <f t="shared" si="156"/>
        <v>New Contract</v>
      </c>
      <c r="H2916" s="783" t="s">
        <v>4627</v>
      </c>
      <c r="I2916" s="783" t="s">
        <v>4628</v>
      </c>
      <c r="J2916" s="783">
        <v>25</v>
      </c>
      <c r="K2916" s="783" t="s">
        <v>137</v>
      </c>
      <c r="L2916" s="783" t="s">
        <v>4014</v>
      </c>
      <c r="M2916" s="784">
        <v>27499.56</v>
      </c>
      <c r="N2916" s="784">
        <v>25.1</v>
      </c>
      <c r="O2916" s="784">
        <v>4.9800000000000004</v>
      </c>
      <c r="P2916" s="783">
        <v>220</v>
      </c>
      <c r="Q2916" s="783">
        <v>1152.23</v>
      </c>
      <c r="R2916" s="783">
        <v>694.86</v>
      </c>
      <c r="S2916" s="783">
        <v>350.12</v>
      </c>
      <c r="T2916" s="783">
        <v>107.25</v>
      </c>
      <c r="U2916" s="785">
        <v>44680.726504629602</v>
      </c>
    </row>
    <row r="2917" spans="1:21">
      <c r="A2917" s="782">
        <v>44680</v>
      </c>
      <c r="B2917" s="783" t="s">
        <v>41</v>
      </c>
      <c r="C2917" s="783" t="s">
        <v>4082</v>
      </c>
      <c r="D2917" s="783" t="s">
        <v>4009</v>
      </c>
      <c r="E2917" s="783" t="s">
        <v>5455</v>
      </c>
      <c r="F2917" s="783" t="s">
        <v>4011</v>
      </c>
      <c r="G2917" s="783" t="str">
        <f t="shared" si="156"/>
        <v>Renewal (25% in 2020)</v>
      </c>
      <c r="H2917" s="783" t="s">
        <v>5456</v>
      </c>
      <c r="I2917" s="783" t="s">
        <v>5457</v>
      </c>
      <c r="J2917" s="783">
        <v>25</v>
      </c>
      <c r="K2917" s="783" t="s">
        <v>137</v>
      </c>
      <c r="L2917" s="783" t="s">
        <v>4014</v>
      </c>
      <c r="M2917" s="784">
        <v>12925.44</v>
      </c>
      <c r="N2917" s="784">
        <v>11.88</v>
      </c>
      <c r="O2917" s="784">
        <v>6.4</v>
      </c>
      <c r="P2917" s="783">
        <v>170</v>
      </c>
      <c r="Q2917" s="783">
        <v>657.9</v>
      </c>
      <c r="R2917" s="783">
        <v>505.38</v>
      </c>
      <c r="S2917" s="783">
        <v>95.65</v>
      </c>
      <c r="T2917" s="783">
        <v>56.87</v>
      </c>
      <c r="U2917" s="785">
        <v>44683.476840277799</v>
      </c>
    </row>
    <row r="2918" spans="1:21">
      <c r="A2918" s="782">
        <v>44686</v>
      </c>
      <c r="B2918" s="783" t="s">
        <v>4025</v>
      </c>
      <c r="C2918" s="783" t="s">
        <v>4026</v>
      </c>
      <c r="D2918" s="783" t="s">
        <v>4021</v>
      </c>
      <c r="E2918" s="783" t="s">
        <v>4049</v>
      </c>
      <c r="F2918" s="783" t="s">
        <v>4011</v>
      </c>
      <c r="G2918" s="783" t="str">
        <f t="shared" si="156"/>
        <v>New contract</v>
      </c>
      <c r="H2918" s="783" t="s">
        <v>4050</v>
      </c>
      <c r="I2918" s="783" t="s">
        <v>4051</v>
      </c>
      <c r="J2918" s="783">
        <v>30</v>
      </c>
      <c r="K2918" s="783" t="s">
        <v>137</v>
      </c>
      <c r="L2918" s="783" t="s">
        <v>4014</v>
      </c>
      <c r="M2918" s="784">
        <v>33683.199999999997</v>
      </c>
      <c r="N2918" s="784">
        <v>44.32</v>
      </c>
      <c r="O2918" s="784">
        <v>3.8</v>
      </c>
      <c r="P2918" s="783">
        <v>200</v>
      </c>
      <c r="Q2918" s="783">
        <v>1013.86</v>
      </c>
      <c r="R2918" s="783">
        <v>724.36</v>
      </c>
      <c r="S2918" s="783">
        <v>127.83</v>
      </c>
      <c r="T2918" s="783">
        <v>161.68</v>
      </c>
      <c r="U2918" s="785">
        <v>44687.618229166699</v>
      </c>
    </row>
    <row r="2919" spans="1:21">
      <c r="A2919" s="782">
        <v>44676</v>
      </c>
      <c r="B2919" s="783" t="s">
        <v>51</v>
      </c>
      <c r="C2919" s="783" t="s">
        <v>4042</v>
      </c>
      <c r="D2919" s="783" t="s">
        <v>4016</v>
      </c>
      <c r="E2919" s="783" t="s">
        <v>2246</v>
      </c>
      <c r="F2919" s="783" t="s">
        <v>4011</v>
      </c>
      <c r="G2919" s="783" t="str">
        <f t="shared" si="156"/>
        <v>Renewal (20% in 2020)</v>
      </c>
      <c r="H2919" s="783" t="s">
        <v>5469</v>
      </c>
      <c r="I2919" s="783" t="s">
        <v>5470</v>
      </c>
      <c r="J2919" s="783">
        <v>20</v>
      </c>
      <c r="K2919" s="783" t="s">
        <v>137</v>
      </c>
      <c r="L2919" s="783" t="s">
        <v>4014</v>
      </c>
      <c r="M2919" s="784">
        <v>43200</v>
      </c>
      <c r="N2919" s="784">
        <v>40</v>
      </c>
      <c r="O2919" s="784">
        <v>5.4</v>
      </c>
      <c r="P2919" s="783">
        <v>200</v>
      </c>
      <c r="Q2919" s="783">
        <v>2596.3200000000002</v>
      </c>
      <c r="R2919" s="783">
        <v>1296.22</v>
      </c>
      <c r="S2919" s="783">
        <v>474.98</v>
      </c>
      <c r="T2919" s="783">
        <v>825.12</v>
      </c>
      <c r="U2919" s="785">
        <v>44678.769467592603</v>
      </c>
    </row>
    <row r="2920" spans="1:21">
      <c r="A2920" s="782">
        <v>44676</v>
      </c>
      <c r="B2920" s="783" t="s">
        <v>51</v>
      </c>
      <c r="C2920" s="783" t="s">
        <v>4042</v>
      </c>
      <c r="D2920" s="783" t="s">
        <v>4016</v>
      </c>
      <c r="E2920" s="783" t="s">
        <v>5471</v>
      </c>
      <c r="F2920" s="783" t="s">
        <v>4066</v>
      </c>
      <c r="G2920" s="783" t="s">
        <v>4028</v>
      </c>
      <c r="H2920" s="783" t="s">
        <v>5472</v>
      </c>
      <c r="I2920" s="783" t="s">
        <v>5473</v>
      </c>
      <c r="J2920" s="783">
        <v>10</v>
      </c>
      <c r="K2920" s="783" t="s">
        <v>137</v>
      </c>
      <c r="L2920" s="783" t="s">
        <v>4014</v>
      </c>
      <c r="M2920" s="784">
        <v>14950</v>
      </c>
      <c r="N2920" s="784">
        <v>11.5</v>
      </c>
      <c r="O2920" s="784">
        <v>6.5</v>
      </c>
      <c r="P2920" s="783">
        <v>200</v>
      </c>
      <c r="Q2920" s="783">
        <v>231.73</v>
      </c>
      <c r="R2920" s="783">
        <v>0</v>
      </c>
      <c r="S2920" s="783">
        <v>0</v>
      </c>
      <c r="T2920" s="783">
        <v>231.73</v>
      </c>
      <c r="U2920" s="785">
        <v>44676.727997685201</v>
      </c>
    </row>
    <row r="2921" spans="1:21">
      <c r="A2921" s="782">
        <v>44677</v>
      </c>
      <c r="B2921" s="783" t="s">
        <v>4025</v>
      </c>
      <c r="C2921" s="783" t="s">
        <v>4026</v>
      </c>
      <c r="D2921" s="783" t="s">
        <v>4021</v>
      </c>
      <c r="E2921" s="783" t="s">
        <v>5477</v>
      </c>
      <c r="F2921" s="783" t="s">
        <v>4011</v>
      </c>
      <c r="G2921" s="783" t="str">
        <f t="shared" ref="G2921:G2935" si="157">VLOOKUP(I2921,pacage,2,FALSE)</f>
        <v>New Contract</v>
      </c>
      <c r="H2921" s="783" t="s">
        <v>5478</v>
      </c>
      <c r="I2921" s="783" t="s">
        <v>5479</v>
      </c>
      <c r="J2921" s="783">
        <v>20</v>
      </c>
      <c r="K2921" s="783" t="s">
        <v>137</v>
      </c>
      <c r="L2921" s="783" t="s">
        <v>4014</v>
      </c>
      <c r="M2921" s="784">
        <v>178338.53</v>
      </c>
      <c r="N2921" s="784">
        <v>122.62</v>
      </c>
      <c r="O2921" s="784">
        <v>6.06</v>
      </c>
      <c r="P2921" s="783">
        <v>240</v>
      </c>
      <c r="Q2921" s="783">
        <v>7811.23</v>
      </c>
      <c r="R2921" s="783">
        <v>3195.98</v>
      </c>
      <c r="S2921" s="783">
        <v>2065.0100000000002</v>
      </c>
      <c r="T2921" s="783">
        <v>2550.2399999999998</v>
      </c>
      <c r="U2921" s="785">
        <v>44678.783344907402</v>
      </c>
    </row>
    <row r="2922" spans="1:21">
      <c r="A2922" s="782">
        <v>44681</v>
      </c>
      <c r="B2922" s="783" t="s">
        <v>51</v>
      </c>
      <c r="C2922" s="783" t="s">
        <v>4042</v>
      </c>
      <c r="D2922" s="783" t="s">
        <v>4016</v>
      </c>
      <c r="E2922" s="783" t="s">
        <v>5486</v>
      </c>
      <c r="F2922" s="783" t="s">
        <v>4011</v>
      </c>
      <c r="G2922" s="783" t="str">
        <f t="shared" si="157"/>
        <v>Renewal (30% in 2020)</v>
      </c>
      <c r="H2922" s="783" t="s">
        <v>5487</v>
      </c>
      <c r="I2922" s="783" t="s">
        <v>5488</v>
      </c>
      <c r="J2922" s="783">
        <v>30</v>
      </c>
      <c r="K2922" s="783" t="s">
        <v>137</v>
      </c>
      <c r="L2922" s="783" t="s">
        <v>4014</v>
      </c>
      <c r="M2922" s="784">
        <v>19544</v>
      </c>
      <c r="N2922" s="784">
        <v>13.96</v>
      </c>
      <c r="O2922" s="784">
        <v>5.6</v>
      </c>
      <c r="P2922" s="783">
        <v>250</v>
      </c>
      <c r="Q2922" s="783">
        <v>799.35</v>
      </c>
      <c r="R2922" s="783">
        <v>469.13</v>
      </c>
      <c r="S2922" s="783">
        <v>220.77</v>
      </c>
      <c r="T2922" s="783">
        <v>109.45</v>
      </c>
      <c r="U2922" s="785">
        <v>44683.458310185197</v>
      </c>
    </row>
    <row r="2923" spans="1:21">
      <c r="A2923" s="782">
        <v>44678</v>
      </c>
      <c r="B2923" s="783" t="s">
        <v>51</v>
      </c>
      <c r="C2923" s="783" t="s">
        <v>5489</v>
      </c>
      <c r="D2923" s="783" t="s">
        <v>4016</v>
      </c>
      <c r="E2923" s="783" t="s">
        <v>5490</v>
      </c>
      <c r="F2923" s="783" t="s">
        <v>4011</v>
      </c>
      <c r="G2923" s="783" t="str">
        <f t="shared" si="157"/>
        <v>Renewal (20% in 2020)</v>
      </c>
      <c r="H2923" s="783" t="s">
        <v>5491</v>
      </c>
      <c r="I2923" s="783" t="s">
        <v>5492</v>
      </c>
      <c r="J2923" s="783">
        <v>30</v>
      </c>
      <c r="K2923" s="783" t="s">
        <v>137</v>
      </c>
      <c r="L2923" s="783" t="s">
        <v>4014</v>
      </c>
      <c r="M2923" s="784">
        <v>11113.05</v>
      </c>
      <c r="N2923" s="784">
        <v>6.95</v>
      </c>
      <c r="O2923" s="784">
        <v>5.33</v>
      </c>
      <c r="P2923" s="783">
        <v>300</v>
      </c>
      <c r="Q2923" s="783">
        <v>427.85</v>
      </c>
      <c r="R2923" s="783">
        <v>209.7</v>
      </c>
      <c r="S2923" s="783">
        <v>160.36000000000001</v>
      </c>
      <c r="T2923" s="783">
        <v>57.79</v>
      </c>
      <c r="U2923" s="785">
        <v>44680.652604166702</v>
      </c>
    </row>
    <row r="2924" spans="1:21">
      <c r="A2924" s="782">
        <v>44708</v>
      </c>
      <c r="B2924" s="783" t="s">
        <v>41</v>
      </c>
      <c r="C2924" s="783" t="s">
        <v>4082</v>
      </c>
      <c r="D2924" s="783" t="s">
        <v>4009</v>
      </c>
      <c r="E2924" s="783" t="s">
        <v>4632</v>
      </c>
      <c r="F2924" s="783" t="s">
        <v>4011</v>
      </c>
      <c r="G2924" s="783" t="str">
        <f t="shared" si="157"/>
        <v>Renewal (15% in 2020)</v>
      </c>
      <c r="H2924" s="783" t="s">
        <v>4633</v>
      </c>
      <c r="I2924" s="783" t="s">
        <v>4634</v>
      </c>
      <c r="J2924" s="783">
        <v>15</v>
      </c>
      <c r="K2924" s="783" t="s">
        <v>137</v>
      </c>
      <c r="L2924" s="783" t="s">
        <v>4014</v>
      </c>
      <c r="M2924" s="784">
        <v>49481.36</v>
      </c>
      <c r="N2924" s="784">
        <v>40.36</v>
      </c>
      <c r="O2924" s="784">
        <v>6.13</v>
      </c>
      <c r="P2924" s="783">
        <v>200</v>
      </c>
      <c r="Q2924" s="783">
        <v>4398.8900000000003</v>
      </c>
      <c r="R2924" s="783">
        <v>1644.51</v>
      </c>
      <c r="S2924" s="783">
        <v>656.37</v>
      </c>
      <c r="T2924" s="783">
        <v>2098.0100000000002</v>
      </c>
      <c r="U2924" s="785">
        <v>44711.537106481497</v>
      </c>
    </row>
    <row r="2925" spans="1:21">
      <c r="A2925" s="782">
        <v>44681</v>
      </c>
      <c r="B2925" s="783" t="s">
        <v>51</v>
      </c>
      <c r="C2925" s="783" t="s">
        <v>4042</v>
      </c>
      <c r="D2925" s="783" t="s">
        <v>4016</v>
      </c>
      <c r="E2925" s="783" t="s">
        <v>96</v>
      </c>
      <c r="F2925" s="783" t="s">
        <v>4011</v>
      </c>
      <c r="G2925" s="783" t="str">
        <f t="shared" si="157"/>
        <v>Renewal (20% in 2020)</v>
      </c>
      <c r="H2925" s="783" t="s">
        <v>5499</v>
      </c>
      <c r="I2925" s="783" t="s">
        <v>5500</v>
      </c>
      <c r="J2925" s="783">
        <v>20</v>
      </c>
      <c r="K2925" s="783" t="s">
        <v>137</v>
      </c>
      <c r="L2925" s="783" t="s">
        <v>4014</v>
      </c>
      <c r="M2925" s="784">
        <v>22662.720000000001</v>
      </c>
      <c r="N2925" s="784">
        <v>21.89</v>
      </c>
      <c r="O2925" s="784">
        <v>6.09</v>
      </c>
      <c r="P2925" s="783">
        <v>170</v>
      </c>
      <c r="Q2925" s="783">
        <v>1362.03</v>
      </c>
      <c r="R2925" s="783">
        <v>799.99</v>
      </c>
      <c r="S2925" s="783">
        <v>129.18</v>
      </c>
      <c r="T2925" s="783">
        <v>432.86</v>
      </c>
      <c r="U2925" s="785">
        <v>44683.464166666701</v>
      </c>
    </row>
    <row r="2926" spans="1:21">
      <c r="A2926" s="782">
        <v>44681</v>
      </c>
      <c r="B2926" s="783" t="s">
        <v>74</v>
      </c>
      <c r="C2926" s="783" t="s">
        <v>4097</v>
      </c>
      <c r="D2926" s="783" t="s">
        <v>4038</v>
      </c>
      <c r="E2926" s="783" t="s">
        <v>4635</v>
      </c>
      <c r="F2926" s="783" t="s">
        <v>4011</v>
      </c>
      <c r="G2926" s="783" t="str">
        <f t="shared" si="157"/>
        <v>Renewal (25% in 2020)</v>
      </c>
      <c r="H2926" s="783" t="s">
        <v>4636</v>
      </c>
      <c r="I2926" s="783" t="s">
        <v>4637</v>
      </c>
      <c r="J2926" s="783">
        <v>25</v>
      </c>
      <c r="K2926" s="783" t="s">
        <v>137</v>
      </c>
      <c r="L2926" s="783" t="s">
        <v>4014</v>
      </c>
      <c r="M2926" s="784">
        <v>11681.28</v>
      </c>
      <c r="N2926" s="784">
        <v>14.04</v>
      </c>
      <c r="O2926" s="784">
        <v>5.2</v>
      </c>
      <c r="P2926" s="783">
        <v>160</v>
      </c>
      <c r="Q2926" s="783">
        <v>796.66</v>
      </c>
      <c r="R2926" s="783">
        <v>574.72</v>
      </c>
      <c r="S2926" s="783">
        <v>92.28</v>
      </c>
      <c r="T2926" s="783">
        <v>129.66</v>
      </c>
      <c r="U2926" s="785">
        <v>44683.46</v>
      </c>
    </row>
    <row r="2927" spans="1:21">
      <c r="A2927" s="782">
        <v>44680</v>
      </c>
      <c r="B2927" s="783" t="s">
        <v>51</v>
      </c>
      <c r="C2927" s="783" t="s">
        <v>4042</v>
      </c>
      <c r="D2927" s="783" t="s">
        <v>4016</v>
      </c>
      <c r="E2927" s="783" t="s">
        <v>5501</v>
      </c>
      <c r="F2927" s="783" t="s">
        <v>4011</v>
      </c>
      <c r="G2927" s="783" t="str">
        <f t="shared" si="157"/>
        <v>Renewal (15% in 2020)</v>
      </c>
      <c r="H2927" s="783" t="s">
        <v>5502</v>
      </c>
      <c r="I2927" s="783" t="s">
        <v>5503</v>
      </c>
      <c r="J2927" s="783">
        <v>15</v>
      </c>
      <c r="K2927" s="783" t="s">
        <v>137</v>
      </c>
      <c r="L2927" s="783" t="s">
        <v>4014</v>
      </c>
      <c r="M2927" s="784">
        <v>21669.9</v>
      </c>
      <c r="N2927" s="784">
        <v>21</v>
      </c>
      <c r="O2927" s="784">
        <v>6.07</v>
      </c>
      <c r="P2927" s="783">
        <v>170</v>
      </c>
      <c r="Q2927" s="783">
        <v>1735.76</v>
      </c>
      <c r="R2927" s="783">
        <v>764.95</v>
      </c>
      <c r="S2927" s="783">
        <v>123.52</v>
      </c>
      <c r="T2927" s="783">
        <v>847.29</v>
      </c>
      <c r="U2927" s="785">
        <v>44680.741655092599</v>
      </c>
    </row>
    <row r="2928" spans="1:21">
      <c r="A2928" s="782">
        <v>44680</v>
      </c>
      <c r="B2928" s="783" t="s">
        <v>51</v>
      </c>
      <c r="C2928" s="783" t="s">
        <v>4042</v>
      </c>
      <c r="D2928" s="783" t="s">
        <v>4016</v>
      </c>
      <c r="E2928" s="783" t="s">
        <v>106</v>
      </c>
      <c r="F2928" s="783" t="s">
        <v>4011</v>
      </c>
      <c r="G2928" s="783" t="str">
        <f t="shared" si="157"/>
        <v>Renewal (20% in 2020)</v>
      </c>
      <c r="H2928" s="783" t="s">
        <v>5512</v>
      </c>
      <c r="I2928" s="783" t="s">
        <v>5513</v>
      </c>
      <c r="J2928" s="783">
        <v>20</v>
      </c>
      <c r="K2928" s="783" t="s">
        <v>137</v>
      </c>
      <c r="L2928" s="783" t="s">
        <v>4014</v>
      </c>
      <c r="M2928" s="784">
        <v>76398.509999999995</v>
      </c>
      <c r="N2928" s="784">
        <v>76.17</v>
      </c>
      <c r="O2928" s="784">
        <v>5.9</v>
      </c>
      <c r="P2928" s="783">
        <v>170</v>
      </c>
      <c r="Q2928" s="783">
        <v>4591.55</v>
      </c>
      <c r="R2928" s="783">
        <v>2696.87</v>
      </c>
      <c r="S2928" s="783">
        <v>435.47</v>
      </c>
      <c r="T2928" s="783">
        <v>1459.21</v>
      </c>
      <c r="U2928" s="785">
        <v>44683.4868055556</v>
      </c>
    </row>
    <row r="2929" spans="1:21">
      <c r="A2929" s="782">
        <v>44709</v>
      </c>
      <c r="B2929" s="783" t="s">
        <v>882</v>
      </c>
      <c r="C2929" s="783" t="s">
        <v>4052</v>
      </c>
      <c r="D2929" s="783" t="s">
        <v>4021</v>
      </c>
      <c r="E2929" s="783" t="s">
        <v>5514</v>
      </c>
      <c r="F2929" s="783" t="s">
        <v>4011</v>
      </c>
      <c r="G2929" s="783" t="str">
        <f t="shared" si="157"/>
        <v>Renewal (25% in 2020)</v>
      </c>
      <c r="H2929" s="783" t="s">
        <v>5515</v>
      </c>
      <c r="I2929" s="783" t="s">
        <v>5516</v>
      </c>
      <c r="J2929" s="783">
        <v>15</v>
      </c>
      <c r="K2929" s="783" t="s">
        <v>137</v>
      </c>
      <c r="L2929" s="783" t="s">
        <v>4014</v>
      </c>
      <c r="M2929" s="784">
        <v>37559.160000000003</v>
      </c>
      <c r="N2929" s="784">
        <v>44.82</v>
      </c>
      <c r="O2929" s="784">
        <v>4.1900000000000004</v>
      </c>
      <c r="P2929" s="783">
        <v>200</v>
      </c>
      <c r="Q2929" s="783">
        <v>3087.36</v>
      </c>
      <c r="R2929" s="783">
        <v>1168.47</v>
      </c>
      <c r="S2929" s="783">
        <v>431.55</v>
      </c>
      <c r="T2929" s="783">
        <v>1487.34</v>
      </c>
      <c r="U2929" s="785">
        <v>44711.660694444399</v>
      </c>
    </row>
    <row r="2930" spans="1:21">
      <c r="A2930" s="782">
        <v>44684</v>
      </c>
      <c r="B2930" s="783" t="s">
        <v>4025</v>
      </c>
      <c r="C2930" s="783" t="s">
        <v>4052</v>
      </c>
      <c r="D2930" s="783" t="s">
        <v>4021</v>
      </c>
      <c r="E2930" s="783" t="s">
        <v>4053</v>
      </c>
      <c r="F2930" s="783" t="s">
        <v>4011</v>
      </c>
      <c r="G2930" s="783" t="str">
        <f t="shared" si="157"/>
        <v>New contract</v>
      </c>
      <c r="H2930" s="783" t="s">
        <v>4054</v>
      </c>
      <c r="I2930" s="783" t="s">
        <v>4055</v>
      </c>
      <c r="J2930" s="783">
        <v>25</v>
      </c>
      <c r="K2930" s="783" t="s">
        <v>137</v>
      </c>
      <c r="L2930" s="783" t="s">
        <v>4014</v>
      </c>
      <c r="M2930" s="784">
        <v>4804.45</v>
      </c>
      <c r="N2930" s="784">
        <v>5.3</v>
      </c>
      <c r="O2930" s="784">
        <v>4.9000000000000004</v>
      </c>
      <c r="P2930" s="783">
        <v>185</v>
      </c>
      <c r="Q2930" s="783">
        <v>228.21</v>
      </c>
      <c r="R2930" s="783">
        <v>161.59</v>
      </c>
      <c r="S2930" s="783">
        <v>43.08</v>
      </c>
      <c r="T2930" s="783">
        <v>23.54</v>
      </c>
      <c r="U2930" s="785">
        <v>44685.4058912037</v>
      </c>
    </row>
    <row r="2931" spans="1:21">
      <c r="A2931" s="782">
        <v>44678</v>
      </c>
      <c r="B2931" s="783" t="s">
        <v>41</v>
      </c>
      <c r="C2931" s="783" t="s">
        <v>4071</v>
      </c>
      <c r="D2931" s="783" t="s">
        <v>4009</v>
      </c>
      <c r="E2931" s="783" t="s">
        <v>1148</v>
      </c>
      <c r="F2931" s="783" t="s">
        <v>4011</v>
      </c>
      <c r="G2931" s="783" t="str">
        <f t="shared" si="157"/>
        <v>Renewal (20% in 2020)</v>
      </c>
      <c r="H2931" s="783" t="s">
        <v>4142</v>
      </c>
      <c r="I2931" s="783" t="s">
        <v>4143</v>
      </c>
      <c r="J2931" s="783">
        <v>15</v>
      </c>
      <c r="K2931" s="783" t="s">
        <v>137</v>
      </c>
      <c r="L2931" s="783" t="s">
        <v>4014</v>
      </c>
      <c r="M2931" s="784">
        <v>5992.03</v>
      </c>
      <c r="N2931" s="784">
        <v>6.1</v>
      </c>
      <c r="O2931" s="784">
        <v>5.17</v>
      </c>
      <c r="P2931" s="783">
        <v>190</v>
      </c>
      <c r="Q2931" s="783">
        <v>544.08000000000004</v>
      </c>
      <c r="R2931" s="783">
        <v>219.81</v>
      </c>
      <c r="S2931" s="783">
        <v>65.41</v>
      </c>
      <c r="T2931" s="783">
        <v>258.86</v>
      </c>
      <c r="U2931" s="785">
        <v>44680.655138888898</v>
      </c>
    </row>
    <row r="2932" spans="1:21">
      <c r="A2932" s="782">
        <v>44678</v>
      </c>
      <c r="B2932" s="783" t="s">
        <v>41</v>
      </c>
      <c r="C2932" s="783" t="s">
        <v>4008</v>
      </c>
      <c r="D2932" s="783" t="s">
        <v>4009</v>
      </c>
      <c r="E2932" s="783" t="s">
        <v>5532</v>
      </c>
      <c r="F2932" s="783" t="s">
        <v>4011</v>
      </c>
      <c r="G2932" s="783" t="str">
        <f t="shared" si="157"/>
        <v>Renewal (15% in 2020)</v>
      </c>
      <c r="H2932" s="783" t="s">
        <v>5533</v>
      </c>
      <c r="I2932" s="783" t="s">
        <v>5534</v>
      </c>
      <c r="J2932" s="783">
        <v>15</v>
      </c>
      <c r="K2932" s="783" t="s">
        <v>137</v>
      </c>
      <c r="L2932" s="783" t="s">
        <v>4014</v>
      </c>
      <c r="M2932" s="784">
        <v>19110.28</v>
      </c>
      <c r="N2932" s="784">
        <v>12.47</v>
      </c>
      <c r="O2932" s="784">
        <v>6.13</v>
      </c>
      <c r="P2932" s="783">
        <v>250</v>
      </c>
      <c r="Q2932" s="783">
        <v>1867.07</v>
      </c>
      <c r="R2932" s="783">
        <v>545.79</v>
      </c>
      <c r="S2932" s="783">
        <v>386.79</v>
      </c>
      <c r="T2932" s="783">
        <v>934.49</v>
      </c>
      <c r="U2932" s="785">
        <v>44680.657766203702</v>
      </c>
    </row>
    <row r="2933" spans="1:21">
      <c r="A2933" s="782">
        <v>44714</v>
      </c>
      <c r="B2933" s="783" t="s">
        <v>41</v>
      </c>
      <c r="C2933" s="783" t="s">
        <v>4008</v>
      </c>
      <c r="D2933" s="783" t="s">
        <v>4009</v>
      </c>
      <c r="E2933" s="783" t="s">
        <v>5535</v>
      </c>
      <c r="F2933" s="783" t="s">
        <v>4011</v>
      </c>
      <c r="G2933" s="783" t="str">
        <f t="shared" si="157"/>
        <v>Renewal (20% in 2020)</v>
      </c>
      <c r="H2933" s="783" t="s">
        <v>5536</v>
      </c>
      <c r="I2933" s="783" t="s">
        <v>5537</v>
      </c>
      <c r="J2933" s="783">
        <v>20</v>
      </c>
      <c r="K2933" s="783" t="s">
        <v>137</v>
      </c>
      <c r="L2933" s="783" t="s">
        <v>4014</v>
      </c>
      <c r="M2933" s="784">
        <v>12413.25</v>
      </c>
      <c r="N2933" s="784">
        <v>11.25</v>
      </c>
      <c r="O2933" s="784">
        <v>6.13</v>
      </c>
      <c r="P2933" s="783">
        <v>180</v>
      </c>
      <c r="Q2933" s="783">
        <v>917.34</v>
      </c>
      <c r="R2933" s="783">
        <v>492.39</v>
      </c>
      <c r="S2933" s="783">
        <v>113.37</v>
      </c>
      <c r="T2933" s="783">
        <v>311.57</v>
      </c>
      <c r="U2933" s="785">
        <v>44715.5711226852</v>
      </c>
    </row>
    <row r="2934" spans="1:21">
      <c r="A2934" s="782">
        <v>44680</v>
      </c>
      <c r="B2934" s="783" t="s">
        <v>41</v>
      </c>
      <c r="C2934" s="783" t="s">
        <v>4082</v>
      </c>
      <c r="D2934" s="783" t="s">
        <v>4009</v>
      </c>
      <c r="E2934" s="783" t="s">
        <v>5538</v>
      </c>
      <c r="F2934" s="783" t="s">
        <v>4011</v>
      </c>
      <c r="G2934" s="783" t="str">
        <f t="shared" si="157"/>
        <v>New Contract</v>
      </c>
      <c r="H2934" s="783" t="s">
        <v>5539</v>
      </c>
      <c r="I2934" s="783" t="s">
        <v>5540</v>
      </c>
      <c r="J2934" s="783">
        <v>30</v>
      </c>
      <c r="K2934" s="783" t="s">
        <v>137</v>
      </c>
      <c r="L2934" s="783" t="s">
        <v>4014</v>
      </c>
      <c r="M2934" s="784">
        <v>13807.52</v>
      </c>
      <c r="N2934" s="784">
        <v>15.71</v>
      </c>
      <c r="O2934" s="784">
        <v>5.17</v>
      </c>
      <c r="P2934" s="783">
        <v>170</v>
      </c>
      <c r="Q2934" s="783">
        <v>600.63</v>
      </c>
      <c r="R2934" s="783">
        <v>539.87</v>
      </c>
      <c r="S2934" s="783">
        <v>0</v>
      </c>
      <c r="T2934" s="783">
        <v>60.75</v>
      </c>
      <c r="U2934" s="785">
        <v>44680.743125000001</v>
      </c>
    </row>
    <row r="2935" spans="1:21">
      <c r="A2935" s="782">
        <v>44680</v>
      </c>
      <c r="B2935" s="783" t="s">
        <v>228</v>
      </c>
      <c r="C2935" s="783" t="s">
        <v>4675</v>
      </c>
      <c r="D2935" s="783" t="s">
        <v>4193</v>
      </c>
      <c r="E2935" s="783" t="s">
        <v>5541</v>
      </c>
      <c r="F2935" s="783" t="s">
        <v>4011</v>
      </c>
      <c r="G2935" s="783" t="str">
        <f t="shared" si="157"/>
        <v>Renewal (20% in 2020)</v>
      </c>
      <c r="H2935" s="783" t="s">
        <v>5542</v>
      </c>
      <c r="I2935" s="783" t="s">
        <v>5543</v>
      </c>
      <c r="J2935" s="783">
        <v>25</v>
      </c>
      <c r="K2935" s="783" t="s">
        <v>137</v>
      </c>
      <c r="L2935" s="783" t="s">
        <v>4014</v>
      </c>
      <c r="M2935" s="784">
        <v>27880.02</v>
      </c>
      <c r="N2935" s="784">
        <v>20.3</v>
      </c>
      <c r="O2935" s="784">
        <v>6.54</v>
      </c>
      <c r="P2935" s="783">
        <v>210</v>
      </c>
      <c r="Q2935" s="783">
        <v>1948.81</v>
      </c>
      <c r="R2935" s="783">
        <v>1169.0999999999999</v>
      </c>
      <c r="S2935" s="783">
        <v>503.7</v>
      </c>
      <c r="T2935" s="783">
        <v>276.01</v>
      </c>
      <c r="U2935" s="785">
        <v>44683.503043981502</v>
      </c>
    </row>
    <row r="2936" spans="1:21">
      <c r="A2936" s="782">
        <v>44680</v>
      </c>
      <c r="B2936" s="783" t="s">
        <v>4025</v>
      </c>
      <c r="C2936" s="783" t="s">
        <v>4026</v>
      </c>
      <c r="D2936" s="783" t="s">
        <v>4021</v>
      </c>
      <c r="E2936" s="783" t="s">
        <v>5547</v>
      </c>
      <c r="F2936" s="783" t="s">
        <v>4011</v>
      </c>
      <c r="G2936" s="783" t="s">
        <v>4028</v>
      </c>
      <c r="H2936" s="783" t="s">
        <v>5548</v>
      </c>
      <c r="I2936" s="783" t="s">
        <v>5549</v>
      </c>
      <c r="J2936" s="783">
        <v>20</v>
      </c>
      <c r="K2936" s="783" t="s">
        <v>137</v>
      </c>
      <c r="L2936" s="783" t="s">
        <v>4014</v>
      </c>
      <c r="M2936" s="784">
        <v>37152</v>
      </c>
      <c r="N2936" s="784">
        <v>48</v>
      </c>
      <c r="O2936" s="784">
        <v>3.87</v>
      </c>
      <c r="P2936" s="783">
        <v>200</v>
      </c>
      <c r="Q2936" s="783">
        <v>1627.26</v>
      </c>
      <c r="R2936" s="783">
        <v>798.95</v>
      </c>
      <c r="S2936" s="783">
        <v>297.02999999999997</v>
      </c>
      <c r="T2936" s="783">
        <v>531.27</v>
      </c>
      <c r="U2936" s="785">
        <v>44680.740601851903</v>
      </c>
    </row>
    <row r="2937" spans="1:21">
      <c r="A2937" s="782">
        <v>44681</v>
      </c>
      <c r="B2937" s="783" t="s">
        <v>41</v>
      </c>
      <c r="C2937" s="783" t="s">
        <v>4092</v>
      </c>
      <c r="D2937" s="783" t="s">
        <v>4009</v>
      </c>
      <c r="E2937" s="783" t="s">
        <v>5558</v>
      </c>
      <c r="F2937" s="783" t="s">
        <v>4011</v>
      </c>
      <c r="G2937" s="783" t="str">
        <f t="shared" ref="G2937:G2942" si="158">VLOOKUP(I2937,pacage,2,FALSE)</f>
        <v>Renewal (25% in 2020)</v>
      </c>
      <c r="H2937" s="783" t="s">
        <v>5559</v>
      </c>
      <c r="I2937" s="783" t="s">
        <v>5560</v>
      </c>
      <c r="J2937" s="783">
        <v>25</v>
      </c>
      <c r="K2937" s="783" t="s">
        <v>137</v>
      </c>
      <c r="L2937" s="783" t="s">
        <v>4014</v>
      </c>
      <c r="M2937" s="784">
        <v>4480.8599999999997</v>
      </c>
      <c r="N2937" s="784">
        <v>4.5999999999999996</v>
      </c>
      <c r="O2937" s="784">
        <v>5.73</v>
      </c>
      <c r="P2937" s="783">
        <v>170</v>
      </c>
      <c r="Q2937" s="783">
        <v>223.15</v>
      </c>
      <c r="R2937" s="783">
        <v>170.72</v>
      </c>
      <c r="S2937" s="783">
        <v>32.71</v>
      </c>
      <c r="T2937" s="783">
        <v>19.72</v>
      </c>
      <c r="U2937" s="785">
        <v>44683.418287036999</v>
      </c>
    </row>
    <row r="2938" spans="1:21">
      <c r="A2938" s="782">
        <v>44703</v>
      </c>
      <c r="B2938" s="783" t="s">
        <v>41</v>
      </c>
      <c r="C2938" s="783" t="s">
        <v>4071</v>
      </c>
      <c r="D2938" s="783" t="s">
        <v>4009</v>
      </c>
      <c r="E2938" s="783" t="s">
        <v>4147</v>
      </c>
      <c r="F2938" s="783" t="s">
        <v>4011</v>
      </c>
      <c r="G2938" s="783" t="str">
        <f t="shared" si="158"/>
        <v>Renewal (15% in 2020)</v>
      </c>
      <c r="H2938" s="783" t="s">
        <v>4148</v>
      </c>
      <c r="I2938" s="783" t="s">
        <v>4149</v>
      </c>
      <c r="J2938" s="783">
        <v>15</v>
      </c>
      <c r="K2938" s="783" t="s">
        <v>137</v>
      </c>
      <c r="L2938" s="783" t="s">
        <v>4014</v>
      </c>
      <c r="M2938" s="784">
        <v>18269.04</v>
      </c>
      <c r="N2938" s="784">
        <v>19.559999999999999</v>
      </c>
      <c r="O2938" s="784">
        <v>4.67</v>
      </c>
      <c r="P2938" s="783">
        <v>200</v>
      </c>
      <c r="Q2938" s="783">
        <v>1658.83</v>
      </c>
      <c r="R2938" s="783">
        <v>636.67999999999995</v>
      </c>
      <c r="S2938" s="783">
        <v>232.93</v>
      </c>
      <c r="T2938" s="783">
        <v>789.22</v>
      </c>
      <c r="U2938" s="785">
        <v>44704.407847222203</v>
      </c>
    </row>
    <row r="2939" spans="1:21">
      <c r="A2939" s="782">
        <v>44703</v>
      </c>
      <c r="B2939" s="783" t="s">
        <v>41</v>
      </c>
      <c r="C2939" s="783" t="s">
        <v>4121</v>
      </c>
      <c r="D2939" s="783" t="s">
        <v>4009</v>
      </c>
      <c r="E2939" s="783" t="s">
        <v>4147</v>
      </c>
      <c r="F2939" s="783" t="s">
        <v>4011</v>
      </c>
      <c r="G2939" s="783" t="str">
        <f t="shared" si="158"/>
        <v>Renewal (15% in 2020)</v>
      </c>
      <c r="H2939" s="783" t="s">
        <v>4148</v>
      </c>
      <c r="I2939" s="783" t="s">
        <v>4149</v>
      </c>
      <c r="J2939" s="783">
        <v>15</v>
      </c>
      <c r="K2939" s="783" t="s">
        <v>137</v>
      </c>
      <c r="L2939" s="783" t="s">
        <v>4014</v>
      </c>
      <c r="M2939" s="784">
        <v>6939.62</v>
      </c>
      <c r="N2939" s="784">
        <v>7.43</v>
      </c>
      <c r="O2939" s="784">
        <v>4.67</v>
      </c>
      <c r="P2939" s="783">
        <v>200</v>
      </c>
      <c r="Q2939" s="783">
        <v>834.84</v>
      </c>
      <c r="R2939" s="783">
        <v>312.04000000000002</v>
      </c>
      <c r="S2939" s="783">
        <v>113.36</v>
      </c>
      <c r="T2939" s="783">
        <v>409.44</v>
      </c>
      <c r="U2939" s="785">
        <v>44704.407847222203</v>
      </c>
    </row>
    <row r="2940" spans="1:21">
      <c r="A2940" s="782">
        <v>44712</v>
      </c>
      <c r="B2940" s="783" t="s">
        <v>51</v>
      </c>
      <c r="C2940" s="783" t="s">
        <v>4042</v>
      </c>
      <c r="D2940" s="783" t="s">
        <v>4016</v>
      </c>
      <c r="E2940" s="783" t="s">
        <v>1353</v>
      </c>
      <c r="F2940" s="783" t="s">
        <v>4011</v>
      </c>
      <c r="G2940" s="783" t="str">
        <f t="shared" si="158"/>
        <v>Renewal (30% in 2020)</v>
      </c>
      <c r="H2940" s="783" t="s">
        <v>5582</v>
      </c>
      <c r="I2940" s="783" t="s">
        <v>5583</v>
      </c>
      <c r="J2940" s="783">
        <v>30</v>
      </c>
      <c r="K2940" s="783" t="s">
        <v>137</v>
      </c>
      <c r="L2940" s="783" t="s">
        <v>4014</v>
      </c>
      <c r="M2940" s="784">
        <v>21154.25</v>
      </c>
      <c r="N2940" s="784">
        <v>16.27</v>
      </c>
      <c r="O2940" s="784">
        <v>5.91</v>
      </c>
      <c r="P2940" s="783">
        <v>220</v>
      </c>
      <c r="Q2940" s="783">
        <v>865.21</v>
      </c>
      <c r="R2940" s="783">
        <v>577.03</v>
      </c>
      <c r="S2940" s="783">
        <v>169.71</v>
      </c>
      <c r="T2940" s="783">
        <v>118.46</v>
      </c>
      <c r="U2940" s="785">
        <v>44714.001111111102</v>
      </c>
    </row>
    <row r="2941" spans="1:21">
      <c r="A2941" s="782">
        <v>44711</v>
      </c>
      <c r="B2941" s="783" t="s">
        <v>4025</v>
      </c>
      <c r="C2941" s="783" t="s">
        <v>4026</v>
      </c>
      <c r="D2941" s="783" t="s">
        <v>4021</v>
      </c>
      <c r="E2941" s="783" t="s">
        <v>5589</v>
      </c>
      <c r="F2941" s="783" t="s">
        <v>4011</v>
      </c>
      <c r="G2941" s="783" t="str">
        <f t="shared" si="158"/>
        <v>New Contract</v>
      </c>
      <c r="H2941" s="783" t="s">
        <v>5590</v>
      </c>
      <c r="I2941" s="783" t="s">
        <v>5591</v>
      </c>
      <c r="J2941" s="783">
        <v>25</v>
      </c>
      <c r="K2941" s="783" t="s">
        <v>137</v>
      </c>
      <c r="L2941" s="783" t="s">
        <v>4014</v>
      </c>
      <c r="M2941" s="784">
        <v>12957.75</v>
      </c>
      <c r="N2941" s="784">
        <v>13.29</v>
      </c>
      <c r="O2941" s="784">
        <v>5</v>
      </c>
      <c r="P2941" s="783">
        <v>195</v>
      </c>
      <c r="Q2941" s="783">
        <v>444.45</v>
      </c>
      <c r="R2941" s="783">
        <v>285.8</v>
      </c>
      <c r="S2941" s="783">
        <v>96.45</v>
      </c>
      <c r="T2941" s="783">
        <v>62.2</v>
      </c>
      <c r="U2941" s="785">
        <v>44713.639259259297</v>
      </c>
    </row>
    <row r="2942" spans="1:21">
      <c r="A2942" s="782">
        <v>44706</v>
      </c>
      <c r="B2942" s="783" t="s">
        <v>41</v>
      </c>
      <c r="C2942" s="783" t="s">
        <v>4092</v>
      </c>
      <c r="D2942" s="783" t="s">
        <v>4009</v>
      </c>
      <c r="E2942" s="783" t="s">
        <v>4641</v>
      </c>
      <c r="F2942" s="783" t="s">
        <v>4011</v>
      </c>
      <c r="G2942" s="783" t="str">
        <f t="shared" si="158"/>
        <v>Renewal (15% in 2020)</v>
      </c>
      <c r="H2942" s="783" t="s">
        <v>4642</v>
      </c>
      <c r="I2942" s="783" t="s">
        <v>4643</v>
      </c>
      <c r="J2942" s="783">
        <v>20</v>
      </c>
      <c r="K2942" s="783" t="s">
        <v>137</v>
      </c>
      <c r="L2942" s="783" t="s">
        <v>4014</v>
      </c>
      <c r="M2942" s="784">
        <v>16895.14</v>
      </c>
      <c r="N2942" s="784">
        <v>14.97</v>
      </c>
      <c r="O2942" s="784">
        <v>6.27</v>
      </c>
      <c r="P2942" s="783">
        <v>180</v>
      </c>
      <c r="Q2942" s="783">
        <v>1093.1199999999999</v>
      </c>
      <c r="R2942" s="783">
        <v>607.94000000000005</v>
      </c>
      <c r="S2942" s="783">
        <v>159.1</v>
      </c>
      <c r="T2942" s="783">
        <v>326.08</v>
      </c>
      <c r="U2942" s="785">
        <v>44706.619212963</v>
      </c>
    </row>
    <row r="2943" spans="1:21">
      <c r="A2943" s="782">
        <v>44712</v>
      </c>
      <c r="B2943" s="783" t="s">
        <v>34</v>
      </c>
      <c r="C2943" s="783" t="s">
        <v>4082</v>
      </c>
      <c r="D2943" s="783" t="s">
        <v>4009</v>
      </c>
      <c r="E2943" s="783" t="s">
        <v>6489</v>
      </c>
      <c r="F2943" s="783" t="s">
        <v>4011</v>
      </c>
      <c r="G2943" s="783" t="s">
        <v>4028</v>
      </c>
      <c r="H2943" s="783" t="s">
        <v>6490</v>
      </c>
      <c r="I2943" s="783" t="s">
        <v>6491</v>
      </c>
      <c r="J2943" s="783">
        <v>25</v>
      </c>
      <c r="K2943" s="783" t="s">
        <v>137</v>
      </c>
      <c r="L2943" s="783" t="s">
        <v>4014</v>
      </c>
      <c r="M2943" s="784">
        <v>48321</v>
      </c>
      <c r="N2943" s="784">
        <v>46.02</v>
      </c>
      <c r="O2943" s="784">
        <v>5.25</v>
      </c>
      <c r="P2943" s="783">
        <v>200</v>
      </c>
      <c r="Q2943" s="783">
        <v>2459.54</v>
      </c>
      <c r="R2943" s="783">
        <v>1605.95</v>
      </c>
      <c r="S2943" s="783">
        <v>640.98</v>
      </c>
      <c r="T2943" s="783">
        <v>212.61</v>
      </c>
      <c r="U2943" s="785">
        <v>44714.671759259298</v>
      </c>
    </row>
    <row r="2944" spans="1:21">
      <c r="A2944" s="782">
        <v>44712</v>
      </c>
      <c r="B2944" s="783" t="s">
        <v>41</v>
      </c>
      <c r="C2944" s="783" t="s">
        <v>4092</v>
      </c>
      <c r="D2944" s="783" t="s">
        <v>4009</v>
      </c>
      <c r="E2944" s="783" t="s">
        <v>5597</v>
      </c>
      <c r="F2944" s="783" t="s">
        <v>4011</v>
      </c>
      <c r="G2944" s="783" t="s">
        <v>4028</v>
      </c>
      <c r="H2944" s="783" t="s">
        <v>5598</v>
      </c>
      <c r="I2944" s="783" t="s">
        <v>5599</v>
      </c>
      <c r="J2944" s="783">
        <v>25</v>
      </c>
      <c r="K2944" s="783" t="s">
        <v>137</v>
      </c>
      <c r="L2944" s="783" t="s">
        <v>4014</v>
      </c>
      <c r="M2944" s="784">
        <v>3401.19</v>
      </c>
      <c r="N2944" s="784">
        <v>3.9</v>
      </c>
      <c r="O2944" s="784">
        <v>5.13</v>
      </c>
      <c r="P2944" s="783">
        <v>170</v>
      </c>
      <c r="Q2944" s="783">
        <v>169.38</v>
      </c>
      <c r="R2944" s="783">
        <v>129.59</v>
      </c>
      <c r="S2944" s="783">
        <v>24.83</v>
      </c>
      <c r="T2944" s="783">
        <v>14.97</v>
      </c>
      <c r="U2944" s="785">
        <v>44715.397291666697</v>
      </c>
    </row>
    <row r="2945" spans="1:21">
      <c r="A2945" s="782">
        <v>44701</v>
      </c>
      <c r="B2945" s="783" t="s">
        <v>51</v>
      </c>
      <c r="C2945" s="783" t="s">
        <v>4042</v>
      </c>
      <c r="D2945" s="783" t="s">
        <v>4016</v>
      </c>
      <c r="E2945" s="783" t="s">
        <v>5603</v>
      </c>
      <c r="F2945" s="783" t="s">
        <v>4011</v>
      </c>
      <c r="G2945" s="783" t="str">
        <f>VLOOKUP(I2945,pacage,2,FALSE)</f>
        <v>Renewal (15% in 2020)</v>
      </c>
      <c r="H2945" s="783" t="s">
        <v>5604</v>
      </c>
      <c r="I2945" s="783" t="s">
        <v>5605</v>
      </c>
      <c r="J2945" s="783">
        <v>15</v>
      </c>
      <c r="K2945" s="783" t="s">
        <v>137</v>
      </c>
      <c r="L2945" s="783" t="s">
        <v>4014</v>
      </c>
      <c r="M2945" s="784">
        <v>44448</v>
      </c>
      <c r="N2945" s="784">
        <v>46.3</v>
      </c>
      <c r="O2945" s="784">
        <v>5</v>
      </c>
      <c r="P2945" s="783">
        <v>192</v>
      </c>
      <c r="Q2945" s="783">
        <v>3560.28</v>
      </c>
      <c r="R2945" s="783">
        <v>1389.23</v>
      </c>
      <c r="S2945" s="783">
        <v>433.14</v>
      </c>
      <c r="T2945" s="783">
        <v>1737.92</v>
      </c>
      <c r="U2945" s="785">
        <v>44704.418981481504</v>
      </c>
    </row>
    <row r="2946" spans="1:21">
      <c r="A2946" s="782">
        <v>44704</v>
      </c>
      <c r="B2946" s="783" t="s">
        <v>30</v>
      </c>
      <c r="C2946" s="783" t="s">
        <v>4239</v>
      </c>
      <c r="D2946" s="783" t="s">
        <v>4021</v>
      </c>
      <c r="E2946" s="783" t="s">
        <v>5611</v>
      </c>
      <c r="F2946" s="783" t="s">
        <v>4011</v>
      </c>
      <c r="G2946" s="783" t="str">
        <f>VLOOKUP(I2946,pacage,2,FALSE)</f>
        <v>Renewal (30% in 2020)</v>
      </c>
      <c r="H2946" s="783" t="s">
        <v>5612</v>
      </c>
      <c r="I2946" s="783" t="s">
        <v>5613</v>
      </c>
      <c r="J2946" s="783">
        <v>30</v>
      </c>
      <c r="K2946" s="783" t="s">
        <v>137</v>
      </c>
      <c r="L2946" s="783" t="s">
        <v>4014</v>
      </c>
      <c r="M2946" s="784">
        <v>60982.720000000001</v>
      </c>
      <c r="N2946" s="784">
        <v>25.58</v>
      </c>
      <c r="O2946" s="784">
        <v>7.45</v>
      </c>
      <c r="P2946" s="783">
        <v>320</v>
      </c>
      <c r="Q2946" s="783">
        <v>2207.5700000000002</v>
      </c>
      <c r="R2946" s="783">
        <v>1001.07</v>
      </c>
      <c r="S2946" s="783">
        <v>883.3</v>
      </c>
      <c r="T2946" s="783">
        <v>323.20999999999998</v>
      </c>
      <c r="U2946" s="785">
        <v>44704.427673611099</v>
      </c>
    </row>
    <row r="2947" spans="1:21">
      <c r="A2947" s="782">
        <v>44712</v>
      </c>
      <c r="B2947" s="783" t="s">
        <v>228</v>
      </c>
      <c r="C2947" s="783" t="s">
        <v>4354</v>
      </c>
      <c r="D2947" s="783" t="s">
        <v>4009</v>
      </c>
      <c r="E2947" s="783" t="s">
        <v>4647</v>
      </c>
      <c r="F2947" s="783" t="s">
        <v>4011</v>
      </c>
      <c r="G2947" s="783" t="s">
        <v>4028</v>
      </c>
      <c r="H2947" s="783" t="s">
        <v>4648</v>
      </c>
      <c r="I2947" s="783" t="s">
        <v>4649</v>
      </c>
      <c r="J2947" s="783">
        <v>25</v>
      </c>
      <c r="K2947" s="783" t="s">
        <v>137</v>
      </c>
      <c r="L2947" s="783" t="s">
        <v>4014</v>
      </c>
      <c r="M2947" s="784">
        <v>11726</v>
      </c>
      <c r="N2947" s="784">
        <v>9.02</v>
      </c>
      <c r="O2947" s="784">
        <v>6.5</v>
      </c>
      <c r="P2947" s="783">
        <v>200</v>
      </c>
      <c r="Q2947" s="783">
        <v>908.77</v>
      </c>
      <c r="R2947" s="783">
        <v>558.16</v>
      </c>
      <c r="S2947" s="783">
        <v>200.51</v>
      </c>
      <c r="T2947" s="783">
        <v>150.09</v>
      </c>
      <c r="U2947" s="785">
        <v>44714.015439814801</v>
      </c>
    </row>
    <row r="2948" spans="1:21">
      <c r="A2948" s="782">
        <v>44711</v>
      </c>
      <c r="B2948" s="783" t="s">
        <v>65</v>
      </c>
      <c r="C2948" s="783" t="s">
        <v>4152</v>
      </c>
      <c r="D2948" s="783" t="s">
        <v>4102</v>
      </c>
      <c r="E2948" s="783" t="s">
        <v>1769</v>
      </c>
      <c r="F2948" s="783" t="s">
        <v>4011</v>
      </c>
      <c r="G2948" s="783" t="str">
        <f t="shared" ref="G2948:G2953" si="159">VLOOKUP(I2948,pacage,2,FALSE)</f>
        <v>Renewal (20% in 2020)</v>
      </c>
      <c r="H2948" s="783" t="s">
        <v>4153</v>
      </c>
      <c r="I2948" s="783" t="s">
        <v>4154</v>
      </c>
      <c r="J2948" s="783">
        <v>20</v>
      </c>
      <c r="K2948" s="783" t="s">
        <v>137</v>
      </c>
      <c r="L2948" s="783" t="s">
        <v>4014</v>
      </c>
      <c r="M2948" s="784">
        <v>15812.55</v>
      </c>
      <c r="N2948" s="784">
        <v>14.31</v>
      </c>
      <c r="O2948" s="784">
        <v>5</v>
      </c>
      <c r="P2948" s="783">
        <v>221</v>
      </c>
      <c r="Q2948" s="783">
        <v>836.48</v>
      </c>
      <c r="R2948" s="783">
        <v>381.93</v>
      </c>
      <c r="S2948" s="783">
        <v>196.81</v>
      </c>
      <c r="T2948" s="783">
        <v>257.74</v>
      </c>
      <c r="U2948" s="785">
        <v>44713.613599536999</v>
      </c>
    </row>
    <row r="2949" spans="1:21">
      <c r="A2949" s="782">
        <v>44711</v>
      </c>
      <c r="B2949" s="783" t="s">
        <v>4025</v>
      </c>
      <c r="C2949" s="783" t="s">
        <v>4026</v>
      </c>
      <c r="D2949" s="783" t="s">
        <v>4021</v>
      </c>
      <c r="E2949" s="783" t="s">
        <v>4155</v>
      </c>
      <c r="F2949" s="783" t="s">
        <v>4011</v>
      </c>
      <c r="G2949" s="783" t="str">
        <f t="shared" si="159"/>
        <v>New contract</v>
      </c>
      <c r="H2949" s="783" t="s">
        <v>4156</v>
      </c>
      <c r="I2949" s="783" t="s">
        <v>4157</v>
      </c>
      <c r="J2949" s="783">
        <v>25</v>
      </c>
      <c r="K2949" s="783" t="s">
        <v>137</v>
      </c>
      <c r="L2949" s="783" t="s">
        <v>4014</v>
      </c>
      <c r="M2949" s="784">
        <v>22352.240000000002</v>
      </c>
      <c r="N2949" s="784">
        <v>23.37</v>
      </c>
      <c r="O2949" s="784">
        <v>5.17</v>
      </c>
      <c r="P2949" s="783">
        <v>185</v>
      </c>
      <c r="Q2949" s="783">
        <v>766.68</v>
      </c>
      <c r="R2949" s="783">
        <v>519.66</v>
      </c>
      <c r="S2949" s="783">
        <v>139.72999999999999</v>
      </c>
      <c r="T2949" s="783">
        <v>107.29</v>
      </c>
      <c r="U2949" s="785">
        <v>44713.9839236111</v>
      </c>
    </row>
    <row r="2950" spans="1:21">
      <c r="A2950" s="782">
        <v>44712</v>
      </c>
      <c r="B2950" s="783" t="s">
        <v>51</v>
      </c>
      <c r="C2950" s="783" t="s">
        <v>4042</v>
      </c>
      <c r="D2950" s="783" t="s">
        <v>4016</v>
      </c>
      <c r="E2950" s="783" t="s">
        <v>5636</v>
      </c>
      <c r="F2950" s="783" t="s">
        <v>4011</v>
      </c>
      <c r="G2950" s="783" t="str">
        <f t="shared" si="159"/>
        <v>Renewal (30% in 2020)</v>
      </c>
      <c r="H2950" s="783" t="s">
        <v>5637</v>
      </c>
      <c r="I2950" s="783" t="s">
        <v>5638</v>
      </c>
      <c r="J2950" s="783">
        <v>30</v>
      </c>
      <c r="K2950" s="783" t="s">
        <v>137</v>
      </c>
      <c r="L2950" s="783" t="s">
        <v>4014</v>
      </c>
      <c r="M2950" s="784">
        <v>30409.040000000001</v>
      </c>
      <c r="N2950" s="784">
        <v>32.049999999999997</v>
      </c>
      <c r="O2950" s="784">
        <v>5.93</v>
      </c>
      <c r="P2950" s="783">
        <v>160</v>
      </c>
      <c r="Q2950" s="783">
        <v>1243.73</v>
      </c>
      <c r="R2950" s="783">
        <v>1073.44</v>
      </c>
      <c r="S2950" s="783">
        <v>0</v>
      </c>
      <c r="T2950" s="783">
        <v>170.29</v>
      </c>
      <c r="U2950" s="785">
        <v>44714.579861111102</v>
      </c>
    </row>
    <row r="2951" spans="1:21">
      <c r="A2951" s="782">
        <v>44712</v>
      </c>
      <c r="B2951" s="783" t="s">
        <v>51</v>
      </c>
      <c r="C2951" s="783" t="s">
        <v>4042</v>
      </c>
      <c r="D2951" s="783" t="s">
        <v>4016</v>
      </c>
      <c r="E2951" s="783" t="s">
        <v>5642</v>
      </c>
      <c r="F2951" s="783" t="s">
        <v>4011</v>
      </c>
      <c r="G2951" s="783" t="str">
        <f t="shared" si="159"/>
        <v>Renewal (20% in 2020)</v>
      </c>
      <c r="H2951" s="783" t="s">
        <v>5643</v>
      </c>
      <c r="I2951" s="783" t="s">
        <v>5644</v>
      </c>
      <c r="J2951" s="783">
        <v>20</v>
      </c>
      <c r="K2951" s="783" t="s">
        <v>137</v>
      </c>
      <c r="L2951" s="783" t="s">
        <v>4014</v>
      </c>
      <c r="M2951" s="784">
        <v>31011.73</v>
      </c>
      <c r="N2951" s="784">
        <v>31.91</v>
      </c>
      <c r="O2951" s="784">
        <v>6.27</v>
      </c>
      <c r="P2951" s="783">
        <v>155</v>
      </c>
      <c r="Q2951" s="783">
        <v>1863.81</v>
      </c>
      <c r="R2951" s="783">
        <v>1094.71</v>
      </c>
      <c r="S2951" s="783">
        <v>176.77</v>
      </c>
      <c r="T2951" s="783">
        <v>592.32000000000005</v>
      </c>
      <c r="U2951" s="785">
        <v>44714.585717592599</v>
      </c>
    </row>
    <row r="2952" spans="1:21">
      <c r="A2952" s="782">
        <v>44712</v>
      </c>
      <c r="B2952" s="783" t="s">
        <v>41</v>
      </c>
      <c r="C2952" s="783" t="s">
        <v>4092</v>
      </c>
      <c r="D2952" s="783" t="s">
        <v>4009</v>
      </c>
      <c r="E2952" s="783" t="s">
        <v>5645</v>
      </c>
      <c r="F2952" s="783" t="s">
        <v>4011</v>
      </c>
      <c r="G2952" s="783" t="str">
        <f t="shared" si="159"/>
        <v>Renewal (15% in 2020)</v>
      </c>
      <c r="H2952" s="783" t="s">
        <v>5646</v>
      </c>
      <c r="I2952" s="783" t="s">
        <v>5647</v>
      </c>
      <c r="J2952" s="783">
        <v>15</v>
      </c>
      <c r="K2952" s="783" t="s">
        <v>137</v>
      </c>
      <c r="L2952" s="783" t="s">
        <v>4014</v>
      </c>
      <c r="M2952" s="784">
        <v>22426.65</v>
      </c>
      <c r="N2952" s="784">
        <v>18.3</v>
      </c>
      <c r="O2952" s="784">
        <v>6.45</v>
      </c>
      <c r="P2952" s="783">
        <v>190</v>
      </c>
      <c r="Q2952" s="783">
        <v>1948.88</v>
      </c>
      <c r="R2952" s="783">
        <v>764.51</v>
      </c>
      <c r="S2952" s="783">
        <v>253.66</v>
      </c>
      <c r="T2952" s="783">
        <v>930.71</v>
      </c>
      <c r="U2952" s="785">
        <v>44714.586956018502</v>
      </c>
    </row>
    <row r="2953" spans="1:21">
      <c r="A2953" s="782">
        <v>44713</v>
      </c>
      <c r="B2953" s="783" t="s">
        <v>51</v>
      </c>
      <c r="C2953" s="783" t="s">
        <v>4042</v>
      </c>
      <c r="D2953" s="783" t="s">
        <v>4016</v>
      </c>
      <c r="E2953" s="783" t="s">
        <v>1417</v>
      </c>
      <c r="F2953" s="783" t="s">
        <v>4011</v>
      </c>
      <c r="G2953" s="783" t="str">
        <f t="shared" si="159"/>
        <v>Renewal (20% in 2020)</v>
      </c>
      <c r="H2953" s="783" t="s">
        <v>5648</v>
      </c>
      <c r="I2953" s="783" t="s">
        <v>5649</v>
      </c>
      <c r="J2953" s="783">
        <v>20</v>
      </c>
      <c r="K2953" s="783" t="s">
        <v>137</v>
      </c>
      <c r="L2953" s="783" t="s">
        <v>4014</v>
      </c>
      <c r="M2953" s="784">
        <v>16839.810000000001</v>
      </c>
      <c r="N2953" s="784">
        <v>28.86</v>
      </c>
      <c r="O2953" s="784">
        <v>3.89</v>
      </c>
      <c r="P2953" s="783">
        <v>150</v>
      </c>
      <c r="Q2953" s="783">
        <v>1012.07</v>
      </c>
      <c r="R2953" s="783">
        <v>594.45000000000005</v>
      </c>
      <c r="S2953" s="783">
        <v>95.99</v>
      </c>
      <c r="T2953" s="783">
        <v>321.64</v>
      </c>
      <c r="U2953" s="785">
        <v>44713.507650462998</v>
      </c>
    </row>
    <row r="2954" spans="1:21">
      <c r="A2954" s="782">
        <v>44713</v>
      </c>
      <c r="B2954" s="783" t="s">
        <v>3078</v>
      </c>
      <c r="C2954" s="783" t="s">
        <v>4414</v>
      </c>
      <c r="D2954" s="783" t="s">
        <v>4009</v>
      </c>
      <c r="E2954" s="783" t="s">
        <v>5650</v>
      </c>
      <c r="F2954" s="783" t="s">
        <v>4066</v>
      </c>
      <c r="G2954" s="783" t="s">
        <v>4028</v>
      </c>
      <c r="H2954" s="783" t="s">
        <v>5651</v>
      </c>
      <c r="I2954" s="783" t="s">
        <v>5652</v>
      </c>
      <c r="J2954" s="783">
        <v>10</v>
      </c>
      <c r="K2954" s="783" t="s">
        <v>137</v>
      </c>
      <c r="L2954" s="783" t="s">
        <v>4014</v>
      </c>
      <c r="M2954" s="784">
        <v>15702.05</v>
      </c>
      <c r="N2954" s="784">
        <v>20.3</v>
      </c>
      <c r="O2954" s="784">
        <v>3.5</v>
      </c>
      <c r="P2954" s="783">
        <v>221</v>
      </c>
      <c r="Q2954" s="783">
        <v>515.03</v>
      </c>
      <c r="R2954" s="783">
        <v>0</v>
      </c>
      <c r="S2954" s="783">
        <v>0</v>
      </c>
      <c r="T2954" s="783">
        <v>515.03</v>
      </c>
      <c r="U2954" s="785">
        <v>44715.418124999997</v>
      </c>
    </row>
    <row r="2955" spans="1:21">
      <c r="A2955" s="782">
        <v>44715</v>
      </c>
      <c r="B2955" s="783" t="s">
        <v>882</v>
      </c>
      <c r="C2955" s="783" t="s">
        <v>5656</v>
      </c>
      <c r="D2955" s="783" t="s">
        <v>4248</v>
      </c>
      <c r="E2955" s="783" t="s">
        <v>5657</v>
      </c>
      <c r="F2955" s="783" t="s">
        <v>4011</v>
      </c>
      <c r="G2955" s="783" t="str">
        <f t="shared" ref="G2955:G2961" si="160">VLOOKUP(I2955,pacage,2,FALSE)</f>
        <v>New Contract</v>
      </c>
      <c r="H2955" s="783" t="s">
        <v>5658</v>
      </c>
      <c r="I2955" s="783" t="s">
        <v>5659</v>
      </c>
      <c r="J2955" s="783">
        <v>25</v>
      </c>
      <c r="K2955" s="783" t="s">
        <v>137</v>
      </c>
      <c r="L2955" s="783" t="s">
        <v>4014</v>
      </c>
      <c r="M2955" s="784">
        <v>16530.8</v>
      </c>
      <c r="N2955" s="784">
        <v>17</v>
      </c>
      <c r="O2955" s="784">
        <v>5.72</v>
      </c>
      <c r="P2955" s="783">
        <v>170</v>
      </c>
      <c r="Q2955" s="783">
        <v>692.64</v>
      </c>
      <c r="R2955" s="783">
        <v>533.94000000000005</v>
      </c>
      <c r="S2955" s="783">
        <v>85.96</v>
      </c>
      <c r="T2955" s="783">
        <v>72.739999999999995</v>
      </c>
      <c r="U2955" s="785">
        <v>44715.469027777799</v>
      </c>
    </row>
    <row r="2956" spans="1:21">
      <c r="A2956" s="782">
        <v>44712</v>
      </c>
      <c r="B2956" s="783" t="s">
        <v>4025</v>
      </c>
      <c r="C2956" s="783" t="s">
        <v>4026</v>
      </c>
      <c r="D2956" s="783" t="s">
        <v>4021</v>
      </c>
      <c r="E2956" s="783" t="s">
        <v>4158</v>
      </c>
      <c r="F2956" s="783" t="s">
        <v>4011</v>
      </c>
      <c r="G2956" s="783" t="str">
        <f t="shared" si="160"/>
        <v>New Contract</v>
      </c>
      <c r="H2956" s="783" t="s">
        <v>4159</v>
      </c>
      <c r="I2956" s="783" t="s">
        <v>4160</v>
      </c>
      <c r="J2956" s="783">
        <v>25</v>
      </c>
      <c r="K2956" s="783" t="s">
        <v>137</v>
      </c>
      <c r="L2956" s="783" t="s">
        <v>4014</v>
      </c>
      <c r="M2956" s="784">
        <v>15744.59</v>
      </c>
      <c r="N2956" s="784">
        <v>14.75</v>
      </c>
      <c r="O2956" s="784">
        <v>4.83</v>
      </c>
      <c r="P2956" s="783">
        <v>221</v>
      </c>
      <c r="Q2956" s="783">
        <v>540.04</v>
      </c>
      <c r="R2956" s="783">
        <v>306.41000000000003</v>
      </c>
      <c r="S2956" s="783">
        <v>158.05000000000001</v>
      </c>
      <c r="T2956" s="783">
        <v>75.569999999999993</v>
      </c>
      <c r="U2956" s="785">
        <v>44714.012060185203</v>
      </c>
    </row>
    <row r="2957" spans="1:21">
      <c r="A2957" s="782">
        <v>44711</v>
      </c>
      <c r="B2957" s="783" t="s">
        <v>74</v>
      </c>
      <c r="C2957" s="783" t="s">
        <v>4097</v>
      </c>
      <c r="D2957" s="783" t="s">
        <v>4038</v>
      </c>
      <c r="E2957" s="783" t="s">
        <v>4370</v>
      </c>
      <c r="F2957" s="783" t="s">
        <v>4011</v>
      </c>
      <c r="G2957" s="783" t="str">
        <f t="shared" si="160"/>
        <v>Renewal (20% in 2020)</v>
      </c>
      <c r="H2957" s="783" t="s">
        <v>4371</v>
      </c>
      <c r="I2957" s="783" t="s">
        <v>4372</v>
      </c>
      <c r="J2957" s="783">
        <v>20</v>
      </c>
      <c r="K2957" s="783" t="s">
        <v>137</v>
      </c>
      <c r="L2957" s="783" t="s">
        <v>4014</v>
      </c>
      <c r="M2957" s="784">
        <v>8966.4</v>
      </c>
      <c r="N2957" s="784">
        <v>9.34</v>
      </c>
      <c r="O2957" s="784">
        <v>4.8</v>
      </c>
      <c r="P2957" s="783">
        <v>200</v>
      </c>
      <c r="Q2957" s="783">
        <v>780.97</v>
      </c>
      <c r="R2957" s="783">
        <v>374.97</v>
      </c>
      <c r="S2957" s="783">
        <v>137.01</v>
      </c>
      <c r="T2957" s="783">
        <v>268.99</v>
      </c>
      <c r="U2957" s="785">
        <v>44713.987754629597</v>
      </c>
    </row>
    <row r="2958" spans="1:21">
      <c r="A2958" s="782">
        <v>44712</v>
      </c>
      <c r="B2958" s="783" t="s">
        <v>228</v>
      </c>
      <c r="C2958" s="783" t="s">
        <v>4020</v>
      </c>
      <c r="D2958" s="783" t="s">
        <v>4021</v>
      </c>
      <c r="E2958" s="783" t="s">
        <v>5670</v>
      </c>
      <c r="F2958" s="783" t="s">
        <v>4011</v>
      </c>
      <c r="G2958" s="783" t="str">
        <f t="shared" si="160"/>
        <v>Renewal (15% in 2020)</v>
      </c>
      <c r="H2958" s="783" t="s">
        <v>5671</v>
      </c>
      <c r="I2958" s="783" t="s">
        <v>5672</v>
      </c>
      <c r="J2958" s="783">
        <v>20</v>
      </c>
      <c r="K2958" s="783" t="s">
        <v>137</v>
      </c>
      <c r="L2958" s="783" t="s">
        <v>4014</v>
      </c>
      <c r="M2958" s="784">
        <v>4987.8</v>
      </c>
      <c r="N2958" s="784">
        <v>4.8899999999999997</v>
      </c>
      <c r="O2958" s="784">
        <v>5.0999999999999996</v>
      </c>
      <c r="P2958" s="783">
        <v>200</v>
      </c>
      <c r="Q2958" s="783">
        <v>425.46</v>
      </c>
      <c r="R2958" s="783">
        <v>211.56</v>
      </c>
      <c r="S2958" s="783">
        <v>77.73</v>
      </c>
      <c r="T2958" s="783">
        <v>136.16999999999999</v>
      </c>
      <c r="U2958" s="785">
        <v>44714.466921296298</v>
      </c>
    </row>
    <row r="2959" spans="1:21">
      <c r="A2959" s="782">
        <v>44711</v>
      </c>
      <c r="B2959" s="783" t="s">
        <v>51</v>
      </c>
      <c r="C2959" s="783" t="s">
        <v>4042</v>
      </c>
      <c r="D2959" s="783" t="s">
        <v>4016</v>
      </c>
      <c r="E2959" s="783" t="s">
        <v>1315</v>
      </c>
      <c r="F2959" s="783" t="s">
        <v>4011</v>
      </c>
      <c r="G2959" s="783" t="str">
        <f t="shared" si="160"/>
        <v>Renewal (25% in 2020)</v>
      </c>
      <c r="H2959" s="783" t="s">
        <v>5676</v>
      </c>
      <c r="I2959" s="783" t="s">
        <v>5677</v>
      </c>
      <c r="J2959" s="783">
        <v>25</v>
      </c>
      <c r="K2959" s="783" t="s">
        <v>137</v>
      </c>
      <c r="L2959" s="783" t="s">
        <v>4014</v>
      </c>
      <c r="M2959" s="784">
        <v>12688</v>
      </c>
      <c r="N2959" s="784">
        <v>13</v>
      </c>
      <c r="O2959" s="784">
        <v>6.1</v>
      </c>
      <c r="P2959" s="783">
        <v>160</v>
      </c>
      <c r="Q2959" s="783">
        <v>591.26</v>
      </c>
      <c r="R2959" s="783">
        <v>447.89</v>
      </c>
      <c r="S2959" s="783">
        <v>72.319999999999993</v>
      </c>
      <c r="T2959" s="783">
        <v>71.05</v>
      </c>
      <c r="U2959" s="785">
        <v>44713.994988425897</v>
      </c>
    </row>
    <row r="2960" spans="1:21">
      <c r="A2960" s="782">
        <v>44711</v>
      </c>
      <c r="B2960" s="783" t="s">
        <v>113</v>
      </c>
      <c r="C2960" s="783" t="s">
        <v>4606</v>
      </c>
      <c r="D2960" s="783" t="s">
        <v>4009</v>
      </c>
      <c r="E2960" s="783" t="s">
        <v>6938</v>
      </c>
      <c r="F2960" s="783" t="s">
        <v>4011</v>
      </c>
      <c r="G2960" s="783" t="str">
        <f t="shared" si="160"/>
        <v>Renewal (30% in 2020)</v>
      </c>
      <c r="H2960" s="783" t="s">
        <v>6939</v>
      </c>
      <c r="I2960" s="783" t="s">
        <v>6940</v>
      </c>
      <c r="J2960" s="783">
        <v>30</v>
      </c>
      <c r="K2960" s="783" t="s">
        <v>137</v>
      </c>
      <c r="L2960" s="783" t="s">
        <v>4014</v>
      </c>
      <c r="M2960" s="784">
        <v>2388.1799999999998</v>
      </c>
      <c r="N2960" s="784">
        <v>2.97</v>
      </c>
      <c r="O2960" s="784">
        <v>4.7300000000000004</v>
      </c>
      <c r="P2960" s="783">
        <v>170</v>
      </c>
      <c r="Q2960" s="783">
        <v>105.08</v>
      </c>
      <c r="R2960" s="783">
        <v>82.39</v>
      </c>
      <c r="S2960" s="783">
        <v>0</v>
      </c>
      <c r="T2960" s="783">
        <v>22.69</v>
      </c>
      <c r="U2960" s="785">
        <v>44713.5304398148</v>
      </c>
    </row>
    <row r="2961" spans="1:21">
      <c r="A2961" s="782">
        <v>44712</v>
      </c>
      <c r="B2961" s="783" t="s">
        <v>41</v>
      </c>
      <c r="C2961" s="783" t="s">
        <v>4082</v>
      </c>
      <c r="D2961" s="783" t="s">
        <v>4009</v>
      </c>
      <c r="E2961" s="783" t="s">
        <v>5692</v>
      </c>
      <c r="F2961" s="783" t="s">
        <v>4011</v>
      </c>
      <c r="G2961" s="783" t="str">
        <f t="shared" si="160"/>
        <v>Renewal (15% in 2020)</v>
      </c>
      <c r="H2961" s="783" t="s">
        <v>5693</v>
      </c>
      <c r="I2961" s="783" t="s">
        <v>5694</v>
      </c>
      <c r="J2961" s="783">
        <v>15</v>
      </c>
      <c r="K2961" s="783" t="s">
        <v>137</v>
      </c>
      <c r="L2961" s="783" t="s">
        <v>4014</v>
      </c>
      <c r="M2961" s="784">
        <v>18513</v>
      </c>
      <c r="N2961" s="784">
        <v>18</v>
      </c>
      <c r="O2961" s="784">
        <v>6.05</v>
      </c>
      <c r="P2961" s="783">
        <v>170</v>
      </c>
      <c r="Q2961" s="783">
        <v>1645.81</v>
      </c>
      <c r="R2961" s="783">
        <v>723.86</v>
      </c>
      <c r="S2961" s="783">
        <v>137</v>
      </c>
      <c r="T2961" s="783">
        <v>784.95</v>
      </c>
      <c r="U2961" s="785">
        <v>44714.017002314802</v>
      </c>
    </row>
    <row r="2962" spans="1:21">
      <c r="A2962" s="782">
        <v>44712</v>
      </c>
      <c r="B2962" s="783" t="s">
        <v>4025</v>
      </c>
      <c r="C2962" s="783" t="s">
        <v>4026</v>
      </c>
      <c r="D2962" s="783" t="s">
        <v>4021</v>
      </c>
      <c r="E2962" s="783" t="s">
        <v>4056</v>
      </c>
      <c r="F2962" s="783" t="s">
        <v>4011</v>
      </c>
      <c r="G2962" s="783" t="s">
        <v>4028</v>
      </c>
      <c r="H2962" s="783" t="s">
        <v>4057</v>
      </c>
      <c r="I2962" s="783" t="s">
        <v>4058</v>
      </c>
      <c r="J2962" s="783">
        <v>25</v>
      </c>
      <c r="K2962" s="783" t="s">
        <v>137</v>
      </c>
      <c r="L2962" s="783" t="s">
        <v>4014</v>
      </c>
      <c r="M2962" s="784">
        <v>8787.4</v>
      </c>
      <c r="N2962" s="784">
        <v>8.2899999999999991</v>
      </c>
      <c r="O2962" s="784">
        <v>5.3</v>
      </c>
      <c r="P2962" s="783">
        <v>200</v>
      </c>
      <c r="Q2962" s="783">
        <v>301.41000000000003</v>
      </c>
      <c r="R2962" s="783">
        <v>188.97</v>
      </c>
      <c r="S2962" s="783">
        <v>70.260000000000005</v>
      </c>
      <c r="T2962" s="783">
        <v>42.18</v>
      </c>
      <c r="U2962" s="785">
        <v>44714.465833333299</v>
      </c>
    </row>
    <row r="2963" spans="1:21">
      <c r="A2963" s="782">
        <v>44698</v>
      </c>
      <c r="B2963" s="783" t="s">
        <v>4025</v>
      </c>
      <c r="C2963" s="783" t="s">
        <v>4026</v>
      </c>
      <c r="D2963" s="783" t="s">
        <v>4021</v>
      </c>
      <c r="E2963" s="783" t="s">
        <v>5695</v>
      </c>
      <c r="F2963" s="783" t="s">
        <v>4011</v>
      </c>
      <c r="G2963" s="783" t="str">
        <f>VLOOKUP(I2963,pacage,2,FALSE)</f>
        <v>New contract</v>
      </c>
      <c r="H2963" s="783" t="s">
        <v>5696</v>
      </c>
      <c r="I2963" s="783" t="s">
        <v>5697</v>
      </c>
      <c r="J2963" s="783">
        <v>20</v>
      </c>
      <c r="K2963" s="783" t="s">
        <v>137</v>
      </c>
      <c r="L2963" s="783" t="s">
        <v>4014</v>
      </c>
      <c r="M2963" s="784">
        <v>11537</v>
      </c>
      <c r="N2963" s="784">
        <v>13.9</v>
      </c>
      <c r="O2963" s="784">
        <v>4.1500000000000004</v>
      </c>
      <c r="P2963" s="783">
        <v>200</v>
      </c>
      <c r="Q2963" s="783">
        <v>505.32</v>
      </c>
      <c r="R2963" s="783">
        <v>248.1</v>
      </c>
      <c r="S2963" s="783">
        <v>92.24</v>
      </c>
      <c r="T2963" s="783">
        <v>164.98</v>
      </c>
      <c r="U2963" s="785">
        <v>44712.625081018501</v>
      </c>
    </row>
    <row r="2964" spans="1:21">
      <c r="A2964" s="782">
        <v>44713</v>
      </c>
      <c r="B2964" s="783" t="s">
        <v>65</v>
      </c>
      <c r="C2964" s="783" t="s">
        <v>4264</v>
      </c>
      <c r="D2964" s="783" t="s">
        <v>4016</v>
      </c>
      <c r="E2964" s="783" t="s">
        <v>4265</v>
      </c>
      <c r="F2964" s="783" t="s">
        <v>4011</v>
      </c>
      <c r="G2964" s="783" t="str">
        <f>VLOOKUP(I2964,pacage,2,FALSE)</f>
        <v>New Contract</v>
      </c>
      <c r="H2964" s="783" t="s">
        <v>4266</v>
      </c>
      <c r="I2964" s="783" t="s">
        <v>4267</v>
      </c>
      <c r="J2964" s="783">
        <v>20</v>
      </c>
      <c r="K2964" s="783" t="s">
        <v>137</v>
      </c>
      <c r="L2964" s="783" t="s">
        <v>4014</v>
      </c>
      <c r="M2964" s="784">
        <v>17644</v>
      </c>
      <c r="N2964" s="784">
        <v>16.04</v>
      </c>
      <c r="O2964" s="784">
        <v>5.5</v>
      </c>
      <c r="P2964" s="783">
        <v>200</v>
      </c>
      <c r="Q2964" s="783">
        <v>981.01</v>
      </c>
      <c r="R2964" s="783">
        <v>497.91</v>
      </c>
      <c r="S2964" s="783">
        <v>183.14</v>
      </c>
      <c r="T2964" s="783">
        <v>299.95</v>
      </c>
      <c r="U2964" s="785">
        <v>44715.435578703698</v>
      </c>
    </row>
    <row r="2965" spans="1:21">
      <c r="A2965" s="782">
        <v>44712</v>
      </c>
      <c r="B2965" s="783" t="s">
        <v>51</v>
      </c>
      <c r="C2965" s="783" t="s">
        <v>4042</v>
      </c>
      <c r="D2965" s="783" t="s">
        <v>4016</v>
      </c>
      <c r="E2965" s="783" t="s">
        <v>5709</v>
      </c>
      <c r="F2965" s="783" t="s">
        <v>4011</v>
      </c>
      <c r="G2965" s="783" t="str">
        <f>VLOOKUP(I2965,pacage,2,FALSE)</f>
        <v>Renewal (15% in 2020)</v>
      </c>
      <c r="H2965" s="783" t="s">
        <v>5710</v>
      </c>
      <c r="I2965" s="783" t="s">
        <v>5711</v>
      </c>
      <c r="J2965" s="783">
        <v>15</v>
      </c>
      <c r="K2965" s="783" t="s">
        <v>137</v>
      </c>
      <c r="L2965" s="783" t="s">
        <v>4014</v>
      </c>
      <c r="M2965" s="784">
        <v>8671</v>
      </c>
      <c r="N2965" s="784">
        <v>6.67</v>
      </c>
      <c r="O2965" s="784">
        <v>6.5</v>
      </c>
      <c r="P2965" s="783">
        <v>200</v>
      </c>
      <c r="Q2965" s="783">
        <v>694.55</v>
      </c>
      <c r="R2965" s="783">
        <v>260.17</v>
      </c>
      <c r="S2965" s="783">
        <v>95.34</v>
      </c>
      <c r="T2965" s="783">
        <v>339.04</v>
      </c>
      <c r="U2965" s="785">
        <v>44714.575671296298</v>
      </c>
    </row>
    <row r="2966" spans="1:21">
      <c r="A2966" s="782">
        <v>44713</v>
      </c>
      <c r="B2966" s="783" t="s">
        <v>228</v>
      </c>
      <c r="C2966" s="783" t="s">
        <v>4582</v>
      </c>
      <c r="D2966" s="783" t="s">
        <v>4193</v>
      </c>
      <c r="E2966" s="783" t="s">
        <v>5715</v>
      </c>
      <c r="F2966" s="783" t="s">
        <v>4011</v>
      </c>
      <c r="G2966" s="783" t="str">
        <f>VLOOKUP(I2966,pacage,2,FALSE)</f>
        <v>Renewal (25% in 2020)</v>
      </c>
      <c r="H2966" s="783" t="s">
        <v>5716</v>
      </c>
      <c r="I2966" s="783" t="s">
        <v>5717</v>
      </c>
      <c r="J2966" s="783">
        <v>25</v>
      </c>
      <c r="K2966" s="783" t="s">
        <v>137</v>
      </c>
      <c r="L2966" s="783" t="s">
        <v>4014</v>
      </c>
      <c r="M2966" s="784">
        <v>6730.56</v>
      </c>
      <c r="N2966" s="784">
        <v>5.76</v>
      </c>
      <c r="O2966" s="784">
        <v>6.15</v>
      </c>
      <c r="P2966" s="783">
        <v>190</v>
      </c>
      <c r="Q2966" s="783">
        <v>327.11</v>
      </c>
      <c r="R2966" s="783">
        <v>229.44</v>
      </c>
      <c r="S2966" s="783">
        <v>68.05</v>
      </c>
      <c r="T2966" s="783">
        <v>29.61</v>
      </c>
      <c r="U2966" s="785">
        <v>44715.434895833299</v>
      </c>
    </row>
    <row r="2967" spans="1:21">
      <c r="A2967" s="782">
        <v>44715</v>
      </c>
      <c r="B2967" s="783" t="s">
        <v>41</v>
      </c>
      <c r="C2967" s="783" t="s">
        <v>4082</v>
      </c>
      <c r="D2967" s="783" t="s">
        <v>4009</v>
      </c>
      <c r="E2967" s="783" t="s">
        <v>5718</v>
      </c>
      <c r="F2967" s="783" t="s">
        <v>4011</v>
      </c>
      <c r="G2967" s="783" t="s">
        <v>4028</v>
      </c>
      <c r="H2967" s="783" t="s">
        <v>5719</v>
      </c>
      <c r="I2967" s="783" t="s">
        <v>5720</v>
      </c>
      <c r="J2967" s="783">
        <v>20</v>
      </c>
      <c r="K2967" s="783" t="s">
        <v>137</v>
      </c>
      <c r="L2967" s="783" t="s">
        <v>4014</v>
      </c>
      <c r="M2967" s="784">
        <v>21386.34</v>
      </c>
      <c r="N2967" s="784">
        <v>21.69</v>
      </c>
      <c r="O2967" s="784">
        <v>5.8</v>
      </c>
      <c r="P2967" s="783">
        <v>170</v>
      </c>
      <c r="Q2967" s="783">
        <v>1415.78</v>
      </c>
      <c r="R2967" s="783">
        <v>836.21</v>
      </c>
      <c r="S2967" s="783">
        <v>158.26</v>
      </c>
      <c r="T2967" s="783">
        <v>421.31</v>
      </c>
      <c r="U2967" s="785">
        <v>44715.469942129603</v>
      </c>
    </row>
    <row r="2968" spans="1:21">
      <c r="A2968" s="782">
        <v>44697</v>
      </c>
      <c r="B2968" s="783" t="s">
        <v>4025</v>
      </c>
      <c r="C2968" s="783" t="s">
        <v>4026</v>
      </c>
      <c r="D2968" s="783" t="s">
        <v>4021</v>
      </c>
      <c r="E2968" s="783" t="s">
        <v>5724</v>
      </c>
      <c r="F2968" s="783" t="s">
        <v>4011</v>
      </c>
      <c r="G2968" s="783" t="str">
        <f>VLOOKUP(I2968,pacage,2,FALSE)</f>
        <v>New contract</v>
      </c>
      <c r="H2968" s="783" t="s">
        <v>5725</v>
      </c>
      <c r="I2968" s="783" t="s">
        <v>5726</v>
      </c>
      <c r="J2968" s="783">
        <v>25</v>
      </c>
      <c r="K2968" s="783" t="s">
        <v>137</v>
      </c>
      <c r="L2968" s="783" t="s">
        <v>4014</v>
      </c>
      <c r="M2968" s="784">
        <v>35727.839999999997</v>
      </c>
      <c r="N2968" s="784">
        <v>34.4</v>
      </c>
      <c r="O2968" s="784">
        <v>5.77</v>
      </c>
      <c r="P2968" s="783">
        <v>180</v>
      </c>
      <c r="Q2968" s="783">
        <v>1225.46</v>
      </c>
      <c r="R2968" s="783">
        <v>853.7</v>
      </c>
      <c r="S2968" s="783">
        <v>200.27</v>
      </c>
      <c r="T2968" s="783">
        <v>171.49</v>
      </c>
      <c r="U2968" s="785">
        <v>44699.486458333296</v>
      </c>
    </row>
    <row r="2969" spans="1:21">
      <c r="A2969" s="782">
        <v>44712</v>
      </c>
      <c r="B2969" s="783" t="s">
        <v>74</v>
      </c>
      <c r="C2969" s="783" t="s">
        <v>4097</v>
      </c>
      <c r="D2969" s="783" t="s">
        <v>4038</v>
      </c>
      <c r="E2969" s="783" t="s">
        <v>2526</v>
      </c>
      <c r="F2969" s="783" t="s">
        <v>4011</v>
      </c>
      <c r="G2969" s="783" t="s">
        <v>4028</v>
      </c>
      <c r="H2969" s="783" t="s">
        <v>5727</v>
      </c>
      <c r="I2969" s="783" t="s">
        <v>5728</v>
      </c>
      <c r="J2969" s="783">
        <v>25</v>
      </c>
      <c r="K2969" s="783" t="s">
        <v>137</v>
      </c>
      <c r="L2969" s="783" t="s">
        <v>4014</v>
      </c>
      <c r="M2969" s="784">
        <v>2049.3000000000002</v>
      </c>
      <c r="N2969" s="784">
        <v>2.5299999999999998</v>
      </c>
      <c r="O2969" s="784">
        <v>4.5</v>
      </c>
      <c r="P2969" s="783">
        <v>180</v>
      </c>
      <c r="Q2969" s="783">
        <v>139.76</v>
      </c>
      <c r="R2969" s="783">
        <v>95.22</v>
      </c>
      <c r="S2969" s="783">
        <v>21.79</v>
      </c>
      <c r="T2969" s="783">
        <v>22.75</v>
      </c>
      <c r="U2969" s="785">
        <v>44714.590590277803</v>
      </c>
    </row>
    <row r="2970" spans="1:21">
      <c r="A2970" s="782">
        <v>44703</v>
      </c>
      <c r="B2970" s="783" t="s">
        <v>4025</v>
      </c>
      <c r="C2970" s="783" t="s">
        <v>4026</v>
      </c>
      <c r="D2970" s="783" t="s">
        <v>4021</v>
      </c>
      <c r="E2970" s="783" t="s">
        <v>5738</v>
      </c>
      <c r="F2970" s="783" t="s">
        <v>4011</v>
      </c>
      <c r="G2970" s="783" t="str">
        <f>VLOOKUP(I2970,pacage,2,FALSE)</f>
        <v>New Contract</v>
      </c>
      <c r="H2970" s="783" t="s">
        <v>5739</v>
      </c>
      <c r="I2970" s="783" t="s">
        <v>5740</v>
      </c>
      <c r="J2970" s="783">
        <v>25</v>
      </c>
      <c r="K2970" s="783" t="s">
        <v>137</v>
      </c>
      <c r="L2970" s="783" t="s">
        <v>4014</v>
      </c>
      <c r="M2970" s="784">
        <v>12082.06</v>
      </c>
      <c r="N2970" s="784">
        <v>12.01</v>
      </c>
      <c r="O2970" s="784">
        <v>5.03</v>
      </c>
      <c r="P2970" s="783">
        <v>200</v>
      </c>
      <c r="Q2970" s="783">
        <v>414.41</v>
      </c>
      <c r="R2970" s="783">
        <v>259.82</v>
      </c>
      <c r="S2970" s="783">
        <v>96.6</v>
      </c>
      <c r="T2970" s="783">
        <v>57.99</v>
      </c>
      <c r="U2970" s="785">
        <v>44704.4062962963</v>
      </c>
    </row>
    <row r="2971" spans="1:21">
      <c r="A2971" s="782">
        <v>44701</v>
      </c>
      <c r="B2971" s="783" t="s">
        <v>4025</v>
      </c>
      <c r="C2971" s="783" t="s">
        <v>4026</v>
      </c>
      <c r="D2971" s="783" t="s">
        <v>4021</v>
      </c>
      <c r="E2971" s="783" t="s">
        <v>5741</v>
      </c>
      <c r="F2971" s="783" t="s">
        <v>4011</v>
      </c>
      <c r="G2971" s="783" t="str">
        <f>VLOOKUP(I2971,pacage,2,FALSE)</f>
        <v>New Contract</v>
      </c>
      <c r="H2971" s="783" t="s">
        <v>5742</v>
      </c>
      <c r="I2971" s="783" t="s">
        <v>5743</v>
      </c>
      <c r="J2971" s="783">
        <v>25</v>
      </c>
      <c r="K2971" s="783" t="s">
        <v>137</v>
      </c>
      <c r="L2971" s="783" t="s">
        <v>4014</v>
      </c>
      <c r="M2971" s="784">
        <v>6772.08</v>
      </c>
      <c r="N2971" s="784">
        <v>8.34</v>
      </c>
      <c r="O2971" s="784">
        <v>4.0599999999999996</v>
      </c>
      <c r="P2971" s="783">
        <v>200</v>
      </c>
      <c r="Q2971" s="783">
        <v>232.28</v>
      </c>
      <c r="R2971" s="783">
        <v>145.63</v>
      </c>
      <c r="S2971" s="783">
        <v>54.14</v>
      </c>
      <c r="T2971" s="783">
        <v>32.51</v>
      </c>
      <c r="U2971" s="785">
        <v>44701.496296296304</v>
      </c>
    </row>
    <row r="2972" spans="1:21">
      <c r="A2972" s="782">
        <v>44701</v>
      </c>
      <c r="B2972" s="783" t="s">
        <v>4025</v>
      </c>
      <c r="C2972" s="783" t="s">
        <v>4026</v>
      </c>
      <c r="D2972" s="783" t="s">
        <v>4021</v>
      </c>
      <c r="E2972" s="783" t="s">
        <v>4168</v>
      </c>
      <c r="F2972" s="783" t="s">
        <v>4066</v>
      </c>
      <c r="G2972" s="783" t="s">
        <v>4028</v>
      </c>
      <c r="H2972" s="783" t="s">
        <v>4169</v>
      </c>
      <c r="I2972" s="783" t="s">
        <v>4170</v>
      </c>
      <c r="J2972" s="783">
        <v>10</v>
      </c>
      <c r="K2972" s="783" t="s">
        <v>137</v>
      </c>
      <c r="L2972" s="783" t="s">
        <v>4014</v>
      </c>
      <c r="M2972" s="784">
        <v>22824</v>
      </c>
      <c r="N2972" s="784">
        <v>28.53</v>
      </c>
      <c r="O2972" s="784">
        <v>4</v>
      </c>
      <c r="P2972" s="783">
        <v>200</v>
      </c>
      <c r="Q2972" s="783">
        <v>260.19</v>
      </c>
      <c r="R2972" s="783">
        <v>0</v>
      </c>
      <c r="S2972" s="783">
        <v>0</v>
      </c>
      <c r="T2972" s="783">
        <v>260.19</v>
      </c>
      <c r="U2972" s="785">
        <v>44701.608680555597</v>
      </c>
    </row>
    <row r="2973" spans="1:21">
      <c r="A2973" s="782">
        <v>44699</v>
      </c>
      <c r="B2973" s="783" t="s">
        <v>4025</v>
      </c>
      <c r="C2973" s="783" t="s">
        <v>4026</v>
      </c>
      <c r="D2973" s="783" t="s">
        <v>4021</v>
      </c>
      <c r="E2973" s="783" t="s">
        <v>5750</v>
      </c>
      <c r="F2973" s="783" t="s">
        <v>4011</v>
      </c>
      <c r="G2973" s="783" t="str">
        <f>VLOOKUP(I2973,pacage,2,FALSE)</f>
        <v>New contract</v>
      </c>
      <c r="H2973" s="783" t="s">
        <v>5751</v>
      </c>
      <c r="I2973" s="783" t="s">
        <v>5752</v>
      </c>
      <c r="J2973" s="783">
        <v>25</v>
      </c>
      <c r="K2973" s="783" t="s">
        <v>137</v>
      </c>
      <c r="L2973" s="783" t="s">
        <v>4014</v>
      </c>
      <c r="M2973" s="784">
        <v>56430.62</v>
      </c>
      <c r="N2973" s="784">
        <v>45.56</v>
      </c>
      <c r="O2973" s="784">
        <v>5.63</v>
      </c>
      <c r="P2973" s="783">
        <v>220</v>
      </c>
      <c r="Q2973" s="783">
        <v>1935.57</v>
      </c>
      <c r="R2973" s="783">
        <v>1103.22</v>
      </c>
      <c r="S2973" s="783">
        <v>561.48</v>
      </c>
      <c r="T2973" s="783">
        <v>270.87</v>
      </c>
      <c r="U2973" s="785">
        <v>44700.539583333302</v>
      </c>
    </row>
    <row r="2974" spans="1:21">
      <c r="A2974" s="782">
        <v>44694</v>
      </c>
      <c r="B2974" s="783" t="s">
        <v>4025</v>
      </c>
      <c r="C2974" s="783" t="s">
        <v>4026</v>
      </c>
      <c r="D2974" s="783" t="s">
        <v>4021</v>
      </c>
      <c r="E2974" s="783" t="s">
        <v>5765</v>
      </c>
      <c r="F2974" s="783" t="s">
        <v>4011</v>
      </c>
      <c r="G2974" s="783" t="s">
        <v>4028</v>
      </c>
      <c r="H2974" s="783" t="s">
        <v>5766</v>
      </c>
      <c r="I2974" s="783" t="s">
        <v>5767</v>
      </c>
      <c r="J2974" s="783">
        <v>20</v>
      </c>
      <c r="K2974" s="783" t="s">
        <v>137</v>
      </c>
      <c r="L2974" s="783" t="s">
        <v>4014</v>
      </c>
      <c r="M2974" s="784">
        <v>144054.71</v>
      </c>
      <c r="N2974" s="784">
        <v>85.89</v>
      </c>
      <c r="O2974" s="784">
        <v>5.99</v>
      </c>
      <c r="P2974" s="783">
        <v>280</v>
      </c>
      <c r="Q2974" s="783">
        <v>6309.6</v>
      </c>
      <c r="R2974" s="783">
        <v>2212.7800000000002</v>
      </c>
      <c r="S2974" s="783">
        <v>2036.83</v>
      </c>
      <c r="T2974" s="783">
        <v>2059.98</v>
      </c>
      <c r="U2974" s="785">
        <v>44694.733784722201</v>
      </c>
    </row>
    <row r="2975" spans="1:21">
      <c r="A2975" s="782">
        <v>44698</v>
      </c>
      <c r="B2975" s="783" t="s">
        <v>41</v>
      </c>
      <c r="C2975" s="783" t="s">
        <v>4082</v>
      </c>
      <c r="D2975" s="783" t="s">
        <v>4009</v>
      </c>
      <c r="E2975" s="783" t="s">
        <v>4661</v>
      </c>
      <c r="F2975" s="783" t="s">
        <v>4011</v>
      </c>
      <c r="G2975" s="783" t="str">
        <f t="shared" ref="G2975:G2981" si="161">VLOOKUP(I2975,pacage,2,FALSE)</f>
        <v>Renewal (15% in 2020)</v>
      </c>
      <c r="H2975" s="783" t="s">
        <v>4662</v>
      </c>
      <c r="I2975" s="783" t="s">
        <v>4663</v>
      </c>
      <c r="J2975" s="783">
        <v>15</v>
      </c>
      <c r="K2975" s="783" t="s">
        <v>137</v>
      </c>
      <c r="L2975" s="783" t="s">
        <v>4014</v>
      </c>
      <c r="M2975" s="784">
        <v>28903.1</v>
      </c>
      <c r="N2975" s="784">
        <v>26.41</v>
      </c>
      <c r="O2975" s="784">
        <v>6.84</v>
      </c>
      <c r="P2975" s="783">
        <v>160</v>
      </c>
      <c r="Q2975" s="783">
        <v>2569.4899999999998</v>
      </c>
      <c r="R2975" s="783">
        <v>1130.1099999999999</v>
      </c>
      <c r="S2975" s="783">
        <v>213.88</v>
      </c>
      <c r="T2975" s="783">
        <v>1225.49</v>
      </c>
      <c r="U2975" s="785">
        <v>44699.473240740699</v>
      </c>
    </row>
    <row r="2976" spans="1:21">
      <c r="A2976" s="782">
        <v>44698</v>
      </c>
      <c r="B2976" s="783" t="s">
        <v>41</v>
      </c>
      <c r="C2976" s="783" t="s">
        <v>4071</v>
      </c>
      <c r="D2976" s="783" t="s">
        <v>4009</v>
      </c>
      <c r="E2976" s="783" t="s">
        <v>5803</v>
      </c>
      <c r="F2976" s="783" t="s">
        <v>4011</v>
      </c>
      <c r="G2976" s="783" t="str">
        <f t="shared" si="161"/>
        <v>Renewal (25% in 2020)</v>
      </c>
      <c r="H2976" s="783" t="s">
        <v>5804</v>
      </c>
      <c r="I2976" s="783" t="s">
        <v>5805</v>
      </c>
      <c r="J2976" s="783">
        <v>20</v>
      </c>
      <c r="K2976" s="783" t="s">
        <v>137</v>
      </c>
      <c r="L2976" s="783" t="s">
        <v>4014</v>
      </c>
      <c r="M2976" s="784">
        <v>2599.3000000000002</v>
      </c>
      <c r="N2976" s="784">
        <v>2.78</v>
      </c>
      <c r="O2976" s="784">
        <v>5.5</v>
      </c>
      <c r="P2976" s="783">
        <v>170</v>
      </c>
      <c r="Q2976" s="783">
        <v>175.71</v>
      </c>
      <c r="R2976" s="783">
        <v>106.57</v>
      </c>
      <c r="S2976" s="783">
        <v>17.16</v>
      </c>
      <c r="T2976" s="783">
        <v>51.99</v>
      </c>
      <c r="U2976" s="785">
        <v>44699.7496875</v>
      </c>
    </row>
    <row r="2977" spans="1:21">
      <c r="A2977" s="782">
        <v>44698</v>
      </c>
      <c r="B2977" s="783" t="s">
        <v>4025</v>
      </c>
      <c r="C2977" s="783" t="s">
        <v>4026</v>
      </c>
      <c r="D2977" s="783" t="s">
        <v>4021</v>
      </c>
      <c r="E2977" s="783" t="s">
        <v>5806</v>
      </c>
      <c r="F2977" s="783" t="s">
        <v>4011</v>
      </c>
      <c r="G2977" s="783" t="str">
        <f t="shared" si="161"/>
        <v>New Contract</v>
      </c>
      <c r="H2977" s="783" t="s">
        <v>5807</v>
      </c>
      <c r="I2977" s="783" t="s">
        <v>5808</v>
      </c>
      <c r="J2977" s="783">
        <v>20</v>
      </c>
      <c r="K2977" s="783" t="s">
        <v>137</v>
      </c>
      <c r="L2977" s="783" t="s">
        <v>4014</v>
      </c>
      <c r="M2977" s="784">
        <v>9376.48</v>
      </c>
      <c r="N2977" s="784">
        <v>8.8699999999999992</v>
      </c>
      <c r="O2977" s="784">
        <v>6.82</v>
      </c>
      <c r="P2977" s="783">
        <v>155</v>
      </c>
      <c r="Q2977" s="783">
        <v>410.69</v>
      </c>
      <c r="R2977" s="783">
        <v>237.22</v>
      </c>
      <c r="S2977" s="783">
        <v>39.380000000000003</v>
      </c>
      <c r="T2977" s="783">
        <v>134.08000000000001</v>
      </c>
      <c r="U2977" s="785">
        <v>44699.4816782407</v>
      </c>
    </row>
    <row r="2978" spans="1:21">
      <c r="A2978" s="782">
        <v>44708</v>
      </c>
      <c r="B2978" s="783" t="s">
        <v>4025</v>
      </c>
      <c r="C2978" s="783" t="s">
        <v>4026</v>
      </c>
      <c r="D2978" s="783" t="s">
        <v>4021</v>
      </c>
      <c r="E2978" s="783" t="s">
        <v>5809</v>
      </c>
      <c r="F2978" s="783" t="s">
        <v>4011</v>
      </c>
      <c r="G2978" s="783" t="str">
        <f t="shared" si="161"/>
        <v>New Contract</v>
      </c>
      <c r="H2978" s="783" t="s">
        <v>5810</v>
      </c>
      <c r="I2978" s="783" t="s">
        <v>5811</v>
      </c>
      <c r="J2978" s="783">
        <v>20</v>
      </c>
      <c r="K2978" s="783" t="s">
        <v>137</v>
      </c>
      <c r="L2978" s="783" t="s">
        <v>4014</v>
      </c>
      <c r="M2978" s="784">
        <v>6063.66</v>
      </c>
      <c r="N2978" s="784">
        <v>5.27</v>
      </c>
      <c r="O2978" s="784">
        <v>5.23</v>
      </c>
      <c r="P2978" s="783">
        <v>220</v>
      </c>
      <c r="Q2978" s="783">
        <v>265.58999999999997</v>
      </c>
      <c r="R2978" s="783">
        <v>118.54</v>
      </c>
      <c r="S2978" s="783">
        <v>60.33</v>
      </c>
      <c r="T2978" s="783">
        <v>86.71</v>
      </c>
      <c r="U2978" s="785">
        <v>44711.518043981501</v>
      </c>
    </row>
    <row r="2979" spans="1:21">
      <c r="A2979" s="782">
        <v>44705</v>
      </c>
      <c r="B2979" s="783" t="s">
        <v>51</v>
      </c>
      <c r="C2979" s="783" t="s">
        <v>4015</v>
      </c>
      <c r="D2979" s="783" t="s">
        <v>4016</v>
      </c>
      <c r="E2979" s="783" t="s">
        <v>5812</v>
      </c>
      <c r="F2979" s="783" t="s">
        <v>4011</v>
      </c>
      <c r="G2979" s="783" t="str">
        <f t="shared" si="161"/>
        <v>Renewal (20% in 2020)</v>
      </c>
      <c r="H2979" s="783" t="s">
        <v>5813</v>
      </c>
      <c r="I2979" s="783" t="s">
        <v>5814</v>
      </c>
      <c r="J2979" s="783">
        <v>20</v>
      </c>
      <c r="K2979" s="783" t="s">
        <v>137</v>
      </c>
      <c r="L2979" s="783" t="s">
        <v>4014</v>
      </c>
      <c r="M2979" s="784">
        <v>8012.48</v>
      </c>
      <c r="N2979" s="784">
        <v>9.8000000000000007</v>
      </c>
      <c r="O2979" s="784">
        <v>5.1100000000000003</v>
      </c>
      <c r="P2979" s="783">
        <v>160</v>
      </c>
      <c r="Q2979" s="783">
        <v>499.98</v>
      </c>
      <c r="R2979" s="783">
        <v>319.7</v>
      </c>
      <c r="S2979" s="783">
        <v>13.62</v>
      </c>
      <c r="T2979" s="783">
        <v>166.66</v>
      </c>
      <c r="U2979" s="785">
        <v>44708.703946759299</v>
      </c>
    </row>
    <row r="2980" spans="1:21">
      <c r="A2980" s="782">
        <v>44699</v>
      </c>
      <c r="B2980" s="783" t="s">
        <v>397</v>
      </c>
      <c r="C2980" s="783" t="s">
        <v>4511</v>
      </c>
      <c r="D2980" s="783" t="s">
        <v>4512</v>
      </c>
      <c r="E2980" s="783"/>
      <c r="F2980" s="783" t="s">
        <v>4011</v>
      </c>
      <c r="G2980" s="783" t="str">
        <f t="shared" si="161"/>
        <v>Renewal (15% in 2020)</v>
      </c>
      <c r="H2980" s="783" t="s">
        <v>4667</v>
      </c>
      <c r="I2980" s="783" t="s">
        <v>4668</v>
      </c>
      <c r="J2980" s="783">
        <v>25</v>
      </c>
      <c r="K2980" s="783" t="s">
        <v>137</v>
      </c>
      <c r="L2980" s="783" t="s">
        <v>4014</v>
      </c>
      <c r="M2980" s="784">
        <v>2920.68</v>
      </c>
      <c r="N2980" s="784">
        <v>3.99</v>
      </c>
      <c r="O2980" s="784">
        <v>3.66</v>
      </c>
      <c r="P2980" s="783">
        <v>200</v>
      </c>
      <c r="Q2980" s="783">
        <v>194.81</v>
      </c>
      <c r="R2980" s="783">
        <v>115.19</v>
      </c>
      <c r="S2980" s="783">
        <v>52.46</v>
      </c>
      <c r="T2980" s="783">
        <v>27.16</v>
      </c>
      <c r="U2980" s="785">
        <v>44699.471782407403</v>
      </c>
    </row>
    <row r="2981" spans="1:21">
      <c r="A2981" s="782">
        <v>44657</v>
      </c>
      <c r="B2981" s="783" t="s">
        <v>51</v>
      </c>
      <c r="C2981" s="783" t="s">
        <v>4042</v>
      </c>
      <c r="D2981" s="783" t="s">
        <v>4016</v>
      </c>
      <c r="E2981" s="783" t="s">
        <v>5833</v>
      </c>
      <c r="F2981" s="783" t="s">
        <v>4011</v>
      </c>
      <c r="G2981" s="783" t="str">
        <f t="shared" si="161"/>
        <v>New Contract</v>
      </c>
      <c r="H2981" s="783" t="s">
        <v>5834</v>
      </c>
      <c r="I2981" s="783" t="s">
        <v>5835</v>
      </c>
      <c r="J2981" s="783">
        <v>25</v>
      </c>
      <c r="K2981" s="783" t="s">
        <v>137</v>
      </c>
      <c r="L2981" s="783" t="s">
        <v>4014</v>
      </c>
      <c r="M2981" s="784">
        <v>27100.59</v>
      </c>
      <c r="N2981" s="784">
        <v>21.71</v>
      </c>
      <c r="O2981" s="784">
        <v>6.57</v>
      </c>
      <c r="P2981" s="783">
        <v>190</v>
      </c>
      <c r="Q2981" s="783">
        <v>1262.8900000000001</v>
      </c>
      <c r="R2981" s="783">
        <v>855.95</v>
      </c>
      <c r="S2981" s="783">
        <v>255.17</v>
      </c>
      <c r="T2981" s="783">
        <v>151.76</v>
      </c>
      <c r="U2981" s="785">
        <v>44657.620393518497</v>
      </c>
    </row>
    <row r="2982" spans="1:21">
      <c r="A2982" s="782">
        <v>44698</v>
      </c>
      <c r="B2982" s="783" t="s">
        <v>51</v>
      </c>
      <c r="C2982" s="783" t="s">
        <v>4015</v>
      </c>
      <c r="D2982" s="783" t="s">
        <v>4016</v>
      </c>
      <c r="E2982" s="783" t="s">
        <v>4062</v>
      </c>
      <c r="F2982" s="783" t="s">
        <v>4011</v>
      </c>
      <c r="G2982" s="783" t="s">
        <v>4028</v>
      </c>
      <c r="H2982" s="783" t="s">
        <v>4063</v>
      </c>
      <c r="I2982" s="783" t="s">
        <v>4064</v>
      </c>
      <c r="J2982" s="783">
        <v>25</v>
      </c>
      <c r="K2982" s="783" t="s">
        <v>137</v>
      </c>
      <c r="L2982" s="783" t="s">
        <v>4014</v>
      </c>
      <c r="M2982" s="784">
        <v>25462.5</v>
      </c>
      <c r="N2982" s="784">
        <v>26.25</v>
      </c>
      <c r="O2982" s="784">
        <v>4.8499999999999996</v>
      </c>
      <c r="P2982" s="783">
        <v>200</v>
      </c>
      <c r="Q2982" s="783">
        <v>1308.77</v>
      </c>
      <c r="R2982" s="783">
        <v>863.56</v>
      </c>
      <c r="S2982" s="783">
        <v>195.68</v>
      </c>
      <c r="T2982" s="783">
        <v>249.53</v>
      </c>
      <c r="U2982" s="785">
        <v>44699.493541666699</v>
      </c>
    </row>
    <row r="2983" spans="1:21">
      <c r="A2983" s="782">
        <v>44660</v>
      </c>
      <c r="B2983" s="783" t="s">
        <v>4025</v>
      </c>
      <c r="C2983" s="783" t="s">
        <v>4026</v>
      </c>
      <c r="D2983" s="783" t="s">
        <v>4021</v>
      </c>
      <c r="E2983" s="783" t="s">
        <v>5839</v>
      </c>
      <c r="F2983" s="783" t="s">
        <v>4066</v>
      </c>
      <c r="G2983" s="783" t="s">
        <v>4028</v>
      </c>
      <c r="H2983" s="783" t="s">
        <v>5840</v>
      </c>
      <c r="I2983" s="783" t="s">
        <v>5841</v>
      </c>
      <c r="J2983" s="783">
        <v>5</v>
      </c>
      <c r="K2983" s="783" t="s">
        <v>137</v>
      </c>
      <c r="L2983" s="783" t="s">
        <v>4014</v>
      </c>
      <c r="M2983" s="784">
        <v>27625</v>
      </c>
      <c r="N2983" s="784">
        <v>25</v>
      </c>
      <c r="O2983" s="784">
        <v>5</v>
      </c>
      <c r="P2983" s="783">
        <v>221</v>
      </c>
      <c r="Q2983" s="783">
        <v>395.04</v>
      </c>
      <c r="R2983" s="783">
        <v>0</v>
      </c>
      <c r="S2983" s="783">
        <v>0</v>
      </c>
      <c r="T2983" s="783">
        <v>395.04</v>
      </c>
      <c r="U2983" s="785">
        <v>44663.427326388897</v>
      </c>
    </row>
    <row r="2984" spans="1:21">
      <c r="A2984" s="782">
        <v>44700</v>
      </c>
      <c r="B2984" s="783" t="s">
        <v>30</v>
      </c>
      <c r="C2984" s="783" t="s">
        <v>4239</v>
      </c>
      <c r="D2984" s="783" t="s">
        <v>4021</v>
      </c>
      <c r="E2984" s="783" t="s">
        <v>2043</v>
      </c>
      <c r="F2984" s="783" t="s">
        <v>4011</v>
      </c>
      <c r="G2984" s="783" t="str">
        <f t="shared" ref="G2984:G3006" si="162">VLOOKUP(I2984,pacage,2,FALSE)</f>
        <v>Renewal (30% in 2020)</v>
      </c>
      <c r="H2984" s="783" t="s">
        <v>4240</v>
      </c>
      <c r="I2984" s="783" t="s">
        <v>4241</v>
      </c>
      <c r="J2984" s="783">
        <v>30</v>
      </c>
      <c r="K2984" s="783" t="s">
        <v>137</v>
      </c>
      <c r="L2984" s="783" t="s">
        <v>4014</v>
      </c>
      <c r="M2984" s="784">
        <v>4632.1400000000003</v>
      </c>
      <c r="N2984" s="784">
        <v>3.79</v>
      </c>
      <c r="O2984" s="784">
        <v>6.79</v>
      </c>
      <c r="P2984" s="783">
        <v>180</v>
      </c>
      <c r="Q2984" s="783">
        <v>167.68</v>
      </c>
      <c r="R2984" s="783">
        <v>135.18</v>
      </c>
      <c r="S2984" s="783">
        <v>7.95</v>
      </c>
      <c r="T2984" s="783">
        <v>24.55</v>
      </c>
      <c r="U2984" s="785">
        <v>44700.716527777797</v>
      </c>
    </row>
    <row r="2985" spans="1:21">
      <c r="A2985" s="782">
        <v>44710</v>
      </c>
      <c r="B2985" s="783" t="s">
        <v>4025</v>
      </c>
      <c r="C2985" s="783" t="s">
        <v>4026</v>
      </c>
      <c r="D2985" s="783" t="s">
        <v>4021</v>
      </c>
      <c r="E2985" s="783" t="s">
        <v>5858</v>
      </c>
      <c r="F2985" s="783" t="s">
        <v>4011</v>
      </c>
      <c r="G2985" s="783" t="str">
        <f t="shared" si="162"/>
        <v>New contract</v>
      </c>
      <c r="H2985" s="783" t="s">
        <v>5859</v>
      </c>
      <c r="I2985" s="783" t="s">
        <v>5860</v>
      </c>
      <c r="J2985" s="783">
        <v>25</v>
      </c>
      <c r="K2985" s="783" t="s">
        <v>137</v>
      </c>
      <c r="L2985" s="783" t="s">
        <v>4014</v>
      </c>
      <c r="M2985" s="784">
        <v>27182.880000000001</v>
      </c>
      <c r="N2985" s="784">
        <v>30.96</v>
      </c>
      <c r="O2985" s="784">
        <v>4.3899999999999997</v>
      </c>
      <c r="P2985" s="783">
        <v>200</v>
      </c>
      <c r="Q2985" s="783">
        <v>932.37</v>
      </c>
      <c r="R2985" s="783">
        <v>584.57000000000005</v>
      </c>
      <c r="S2985" s="783">
        <v>217.33</v>
      </c>
      <c r="T2985" s="783">
        <v>130.47999999999999</v>
      </c>
      <c r="U2985" s="785">
        <v>44712.613923611098</v>
      </c>
    </row>
    <row r="2986" spans="1:21">
      <c r="A2986" s="782">
        <v>44704</v>
      </c>
      <c r="B2986" s="783" t="s">
        <v>65</v>
      </c>
      <c r="C2986" s="783" t="s">
        <v>5861</v>
      </c>
      <c r="D2986" s="783" t="s">
        <v>4258</v>
      </c>
      <c r="E2986" s="783" t="s">
        <v>1072</v>
      </c>
      <c r="F2986" s="783" t="s">
        <v>4011</v>
      </c>
      <c r="G2986" s="783" t="str">
        <f t="shared" si="162"/>
        <v>Renewal (20% in 2020)</v>
      </c>
      <c r="H2986" s="783" t="s">
        <v>5862</v>
      </c>
      <c r="I2986" s="783" t="s">
        <v>5863</v>
      </c>
      <c r="J2986" s="783">
        <v>20</v>
      </c>
      <c r="K2986" s="783" t="s">
        <v>137</v>
      </c>
      <c r="L2986" s="783" t="s">
        <v>4014</v>
      </c>
      <c r="M2986" s="784">
        <v>9681.3799999999992</v>
      </c>
      <c r="N2986" s="784">
        <v>6.53</v>
      </c>
      <c r="O2986" s="784">
        <v>7.06</v>
      </c>
      <c r="P2986" s="783">
        <v>210</v>
      </c>
      <c r="Q2986" s="783">
        <v>621.54</v>
      </c>
      <c r="R2986" s="783">
        <v>297.02999999999997</v>
      </c>
      <c r="S2986" s="783">
        <v>130.88</v>
      </c>
      <c r="T2986" s="783">
        <v>193.63</v>
      </c>
      <c r="U2986" s="785">
        <v>44704.579918981501</v>
      </c>
    </row>
    <row r="2987" spans="1:21">
      <c r="A2987" s="782">
        <v>44709</v>
      </c>
      <c r="B2987" s="783" t="s">
        <v>51</v>
      </c>
      <c r="C2987" s="783" t="s">
        <v>4042</v>
      </c>
      <c r="D2987" s="783" t="s">
        <v>4016</v>
      </c>
      <c r="E2987" s="783" t="s">
        <v>5867</v>
      </c>
      <c r="F2987" s="783" t="s">
        <v>4011</v>
      </c>
      <c r="G2987" s="783" t="str">
        <f t="shared" si="162"/>
        <v>Renewal (25% in 2020)</v>
      </c>
      <c r="H2987" s="783" t="s">
        <v>5868</v>
      </c>
      <c r="I2987" s="783" t="s">
        <v>5869</v>
      </c>
      <c r="J2987" s="783">
        <v>25</v>
      </c>
      <c r="K2987" s="783" t="s">
        <v>137</v>
      </c>
      <c r="L2987" s="783" t="s">
        <v>4014</v>
      </c>
      <c r="M2987" s="784">
        <v>22400</v>
      </c>
      <c r="N2987" s="784">
        <v>25</v>
      </c>
      <c r="O2987" s="784">
        <v>5.6</v>
      </c>
      <c r="P2987" s="783">
        <v>160</v>
      </c>
      <c r="Q2987" s="783">
        <v>459.29</v>
      </c>
      <c r="R2987" s="783">
        <v>347.92</v>
      </c>
      <c r="S2987" s="783">
        <v>56.18</v>
      </c>
      <c r="T2987" s="783">
        <v>55.19</v>
      </c>
      <c r="U2987" s="785">
        <v>44711.659502314797</v>
      </c>
    </row>
    <row r="2988" spans="1:21">
      <c r="A2988" s="782">
        <v>44712</v>
      </c>
      <c r="B2988" s="783" t="s">
        <v>41</v>
      </c>
      <c r="C2988" s="783" t="s">
        <v>4092</v>
      </c>
      <c r="D2988" s="783" t="s">
        <v>4009</v>
      </c>
      <c r="E2988" s="783" t="s">
        <v>4672</v>
      </c>
      <c r="F2988" s="783" t="s">
        <v>4011</v>
      </c>
      <c r="G2988" s="783" t="str">
        <f t="shared" si="162"/>
        <v>Renewal (15% in 2020)</v>
      </c>
      <c r="H2988" s="783" t="s">
        <v>4673</v>
      </c>
      <c r="I2988" s="783" t="s">
        <v>4674</v>
      </c>
      <c r="J2988" s="783">
        <v>15</v>
      </c>
      <c r="K2988" s="783" t="s">
        <v>137</v>
      </c>
      <c r="L2988" s="783" t="s">
        <v>4014</v>
      </c>
      <c r="M2988" s="784">
        <v>8088.3</v>
      </c>
      <c r="N2988" s="784">
        <v>8.6</v>
      </c>
      <c r="O2988" s="784">
        <v>5.7</v>
      </c>
      <c r="P2988" s="783">
        <v>165</v>
      </c>
      <c r="Q2988" s="783">
        <v>702.87</v>
      </c>
      <c r="R2988" s="783">
        <v>308.16000000000003</v>
      </c>
      <c r="S2988" s="783">
        <v>59.04</v>
      </c>
      <c r="T2988" s="783">
        <v>335.66</v>
      </c>
      <c r="U2988" s="785">
        <v>44714.588981481502</v>
      </c>
    </row>
    <row r="2989" spans="1:21">
      <c r="A2989" s="782">
        <v>44686</v>
      </c>
      <c r="B2989" s="783" t="s">
        <v>51</v>
      </c>
      <c r="C2989" s="783" t="s">
        <v>4015</v>
      </c>
      <c r="D2989" s="783" t="s">
        <v>4016</v>
      </c>
      <c r="E2989" s="783" t="s">
        <v>2212</v>
      </c>
      <c r="F2989" s="783" t="s">
        <v>4011</v>
      </c>
      <c r="G2989" s="783" t="str">
        <f t="shared" si="162"/>
        <v>Renewal (20% in 2020)</v>
      </c>
      <c r="H2989" s="783" t="s">
        <v>5878</v>
      </c>
      <c r="I2989" s="783" t="s">
        <v>5879</v>
      </c>
      <c r="J2989" s="783">
        <v>20</v>
      </c>
      <c r="K2989" s="783" t="s">
        <v>137</v>
      </c>
      <c r="L2989" s="783" t="s">
        <v>4014</v>
      </c>
      <c r="M2989" s="784">
        <v>74215.16</v>
      </c>
      <c r="N2989" s="784">
        <v>81.87</v>
      </c>
      <c r="O2989" s="784">
        <v>4.9000000000000004</v>
      </c>
      <c r="P2989" s="783">
        <v>185</v>
      </c>
      <c r="Q2989" s="783">
        <v>4631.03</v>
      </c>
      <c r="R2989" s="783">
        <v>2721.09</v>
      </c>
      <c r="S2989" s="783">
        <v>366.26</v>
      </c>
      <c r="T2989" s="783">
        <v>1543.68</v>
      </c>
      <c r="U2989" s="785">
        <v>44708.806597222203</v>
      </c>
    </row>
    <row r="2990" spans="1:21">
      <c r="A2990" s="782">
        <v>44706</v>
      </c>
      <c r="B2990" s="783" t="s">
        <v>4025</v>
      </c>
      <c r="C2990" s="783" t="s">
        <v>4026</v>
      </c>
      <c r="D2990" s="783" t="s">
        <v>4021</v>
      </c>
      <c r="E2990" s="783" t="s">
        <v>5880</v>
      </c>
      <c r="F2990" s="783" t="s">
        <v>4011</v>
      </c>
      <c r="G2990" s="783" t="str">
        <f t="shared" si="162"/>
        <v>New Contract</v>
      </c>
      <c r="H2990" s="783" t="s">
        <v>5881</v>
      </c>
      <c r="I2990" s="783" t="s">
        <v>5882</v>
      </c>
      <c r="J2990" s="783">
        <v>25</v>
      </c>
      <c r="K2990" s="783" t="s">
        <v>137</v>
      </c>
      <c r="L2990" s="783" t="s">
        <v>4014</v>
      </c>
      <c r="M2990" s="784">
        <v>44349.98</v>
      </c>
      <c r="N2990" s="784">
        <v>41.12</v>
      </c>
      <c r="O2990" s="784">
        <v>5.83</v>
      </c>
      <c r="P2990" s="783">
        <v>185</v>
      </c>
      <c r="Q2990" s="783">
        <v>1521.2</v>
      </c>
      <c r="R2990" s="783">
        <v>1031.08</v>
      </c>
      <c r="S2990" s="783">
        <v>277.25</v>
      </c>
      <c r="T2990" s="783">
        <v>212.88</v>
      </c>
      <c r="U2990" s="785">
        <v>44706.460601851897</v>
      </c>
    </row>
    <row r="2991" spans="1:21">
      <c r="A2991" s="782">
        <v>44711</v>
      </c>
      <c r="B2991" s="783" t="s">
        <v>4025</v>
      </c>
      <c r="C2991" s="783" t="s">
        <v>4052</v>
      </c>
      <c r="D2991" s="783" t="s">
        <v>4021</v>
      </c>
      <c r="E2991" s="783" t="s">
        <v>4177</v>
      </c>
      <c r="F2991" s="783" t="s">
        <v>4011</v>
      </c>
      <c r="G2991" s="783" t="str">
        <f t="shared" si="162"/>
        <v>New Contract</v>
      </c>
      <c r="H2991" s="783" t="s">
        <v>4178</v>
      </c>
      <c r="I2991" s="783" t="s">
        <v>4179</v>
      </c>
      <c r="J2991" s="783">
        <v>25</v>
      </c>
      <c r="K2991" s="783" t="s">
        <v>137</v>
      </c>
      <c r="L2991" s="783" t="s">
        <v>4014</v>
      </c>
      <c r="M2991" s="784">
        <v>24372.86</v>
      </c>
      <c r="N2991" s="784">
        <v>18.3</v>
      </c>
      <c r="O2991" s="784">
        <v>6.83</v>
      </c>
      <c r="P2991" s="783">
        <v>195</v>
      </c>
      <c r="Q2991" s="783">
        <v>1157.71</v>
      </c>
      <c r="R2991" s="783">
        <v>777.68</v>
      </c>
      <c r="S2991" s="783">
        <v>260.60000000000002</v>
      </c>
      <c r="T2991" s="783">
        <v>119.43</v>
      </c>
      <c r="U2991" s="785">
        <v>44713.528946759303</v>
      </c>
    </row>
    <row r="2992" spans="1:21">
      <c r="A2992" s="782">
        <v>44706</v>
      </c>
      <c r="B2992" s="783" t="s">
        <v>74</v>
      </c>
      <c r="C2992" s="783" t="s">
        <v>4037</v>
      </c>
      <c r="D2992" s="783" t="s">
        <v>4038</v>
      </c>
      <c r="E2992" s="783" t="s">
        <v>4396</v>
      </c>
      <c r="F2992" s="783" t="s">
        <v>4011</v>
      </c>
      <c r="G2992" s="783" t="str">
        <f t="shared" si="162"/>
        <v>Renewal (15% in 2020)</v>
      </c>
      <c r="H2992" s="783" t="s">
        <v>4397</v>
      </c>
      <c r="I2992" s="783" t="s">
        <v>4398</v>
      </c>
      <c r="J2992" s="783">
        <v>20</v>
      </c>
      <c r="K2992" s="783" t="s">
        <v>137</v>
      </c>
      <c r="L2992" s="783" t="s">
        <v>4014</v>
      </c>
      <c r="M2992" s="784">
        <v>7934.4</v>
      </c>
      <c r="N2992" s="784">
        <v>5.8</v>
      </c>
      <c r="O2992" s="784">
        <v>4.5599999999999996</v>
      </c>
      <c r="P2992" s="783">
        <v>300</v>
      </c>
      <c r="Q2992" s="783">
        <v>868.82</v>
      </c>
      <c r="R2992" s="783">
        <v>266.62</v>
      </c>
      <c r="S2992" s="783">
        <v>280.85000000000002</v>
      </c>
      <c r="T2992" s="783">
        <v>321.33999999999997</v>
      </c>
      <c r="U2992" s="785">
        <v>44708.579479166699</v>
      </c>
    </row>
    <row r="2993" spans="1:21">
      <c r="A2993" s="782">
        <v>44657</v>
      </c>
      <c r="B2993" s="783" t="s">
        <v>51</v>
      </c>
      <c r="C2993" s="783" t="s">
        <v>4042</v>
      </c>
      <c r="D2993" s="783" t="s">
        <v>4016</v>
      </c>
      <c r="E2993" s="783" t="s">
        <v>5897</v>
      </c>
      <c r="F2993" s="783" t="s">
        <v>4011</v>
      </c>
      <c r="G2993" s="783" t="str">
        <f t="shared" si="162"/>
        <v>New Contract</v>
      </c>
      <c r="H2993" s="783" t="s">
        <v>5898</v>
      </c>
      <c r="I2993" s="783" t="s">
        <v>5899</v>
      </c>
      <c r="J2993" s="783">
        <v>25</v>
      </c>
      <c r="K2993" s="783" t="s">
        <v>137</v>
      </c>
      <c r="L2993" s="783" t="s">
        <v>4014</v>
      </c>
      <c r="M2993" s="784">
        <v>63371.31</v>
      </c>
      <c r="N2993" s="784">
        <v>37.24</v>
      </c>
      <c r="O2993" s="784">
        <v>7.7</v>
      </c>
      <c r="P2993" s="783">
        <v>221</v>
      </c>
      <c r="Q2993" s="783">
        <v>2953.1</v>
      </c>
      <c r="R2993" s="783">
        <v>1720.77</v>
      </c>
      <c r="S2993" s="783">
        <v>877.45</v>
      </c>
      <c r="T2993" s="783">
        <v>354.88</v>
      </c>
      <c r="U2993" s="785">
        <v>44657.617708333302</v>
      </c>
    </row>
    <row r="2994" spans="1:21">
      <c r="A2994" s="782">
        <v>44676</v>
      </c>
      <c r="B2994" s="783" t="s">
        <v>41</v>
      </c>
      <c r="C2994" s="783" t="s">
        <v>4082</v>
      </c>
      <c r="D2994" s="783" t="s">
        <v>4009</v>
      </c>
      <c r="E2994" s="783" t="s">
        <v>4679</v>
      </c>
      <c r="F2994" s="783" t="s">
        <v>4011</v>
      </c>
      <c r="G2994" s="783" t="str">
        <f t="shared" si="162"/>
        <v>Renewal (25% in 2020)</v>
      </c>
      <c r="H2994" s="783" t="s">
        <v>4680</v>
      </c>
      <c r="I2994" s="783" t="s">
        <v>4681</v>
      </c>
      <c r="J2994" s="783">
        <v>25</v>
      </c>
      <c r="K2994" s="783" t="s">
        <v>137</v>
      </c>
      <c r="L2994" s="783" t="s">
        <v>4014</v>
      </c>
      <c r="M2994" s="784">
        <v>11774.88</v>
      </c>
      <c r="N2994" s="784">
        <v>8.84</v>
      </c>
      <c r="O2994" s="784">
        <v>7.4</v>
      </c>
      <c r="P2994" s="783">
        <v>180</v>
      </c>
      <c r="Q2994" s="783">
        <v>599.34</v>
      </c>
      <c r="R2994" s="783">
        <v>434.82</v>
      </c>
      <c r="S2994" s="783">
        <v>112.71</v>
      </c>
      <c r="T2994" s="783">
        <v>51.81</v>
      </c>
      <c r="U2994" s="785">
        <v>44676.729212963</v>
      </c>
    </row>
    <row r="2995" spans="1:21">
      <c r="A2995" s="782">
        <v>44676</v>
      </c>
      <c r="B2995" s="783" t="s">
        <v>51</v>
      </c>
      <c r="C2995" s="783" t="s">
        <v>4042</v>
      </c>
      <c r="D2995" s="783" t="s">
        <v>4016</v>
      </c>
      <c r="E2995" s="783" t="s">
        <v>5912</v>
      </c>
      <c r="F2995" s="783" t="s">
        <v>4011</v>
      </c>
      <c r="G2995" s="783" t="str">
        <f t="shared" si="162"/>
        <v>New Contract</v>
      </c>
      <c r="H2995" s="783" t="s">
        <v>5913</v>
      </c>
      <c r="I2995" s="783" t="s">
        <v>5914</v>
      </c>
      <c r="J2995" s="783">
        <v>25</v>
      </c>
      <c r="K2995" s="783" t="s">
        <v>137</v>
      </c>
      <c r="L2995" s="783" t="s">
        <v>4014</v>
      </c>
      <c r="M2995" s="784">
        <v>45066.86</v>
      </c>
      <c r="N2995" s="784">
        <v>30.53</v>
      </c>
      <c r="O2995" s="784">
        <v>7.57</v>
      </c>
      <c r="P2995" s="783">
        <v>195</v>
      </c>
      <c r="Q2995" s="783">
        <v>2100.12</v>
      </c>
      <c r="R2995" s="783">
        <v>1386.9</v>
      </c>
      <c r="S2995" s="783">
        <v>460.84</v>
      </c>
      <c r="T2995" s="783">
        <v>252.37</v>
      </c>
      <c r="U2995" s="785">
        <v>44676.725682870398</v>
      </c>
    </row>
    <row r="2996" spans="1:21">
      <c r="A2996" s="782">
        <v>44671</v>
      </c>
      <c r="B2996" s="783" t="s">
        <v>41</v>
      </c>
      <c r="C2996" s="783" t="s">
        <v>4082</v>
      </c>
      <c r="D2996" s="783" t="s">
        <v>4009</v>
      </c>
      <c r="E2996" s="783" t="s">
        <v>4682</v>
      </c>
      <c r="F2996" s="783" t="s">
        <v>4011</v>
      </c>
      <c r="G2996" s="783" t="str">
        <f t="shared" si="162"/>
        <v>Renewal (25% in 2020)</v>
      </c>
      <c r="H2996" s="783" t="s">
        <v>4683</v>
      </c>
      <c r="I2996" s="783" t="s">
        <v>4684</v>
      </c>
      <c r="J2996" s="783">
        <v>25</v>
      </c>
      <c r="K2996" s="783" t="s">
        <v>137</v>
      </c>
      <c r="L2996" s="783" t="s">
        <v>4014</v>
      </c>
      <c r="M2996" s="784">
        <v>18352.22</v>
      </c>
      <c r="N2996" s="784">
        <v>19.309999999999999</v>
      </c>
      <c r="O2996" s="784">
        <v>5.94</v>
      </c>
      <c r="P2996" s="783">
        <v>160</v>
      </c>
      <c r="Q2996" s="783">
        <v>934.13</v>
      </c>
      <c r="R2996" s="783">
        <v>717.57</v>
      </c>
      <c r="S2996" s="783">
        <v>135.81</v>
      </c>
      <c r="T2996" s="783">
        <v>80.75</v>
      </c>
      <c r="U2996" s="785">
        <v>44673.370196759301</v>
      </c>
    </row>
    <row r="2997" spans="1:21">
      <c r="A2997" s="782">
        <v>44630</v>
      </c>
      <c r="B2997" s="783" t="s">
        <v>4025</v>
      </c>
      <c r="C2997" s="783" t="s">
        <v>4026</v>
      </c>
      <c r="D2997" s="783" t="s">
        <v>4021</v>
      </c>
      <c r="E2997" s="783" t="s">
        <v>5926</v>
      </c>
      <c r="F2997" s="783" t="s">
        <v>4011</v>
      </c>
      <c r="G2997" s="783" t="str">
        <f t="shared" si="162"/>
        <v>New Contract</v>
      </c>
      <c r="H2997" s="783" t="s">
        <v>5927</v>
      </c>
      <c r="I2997" s="783" t="s">
        <v>5928</v>
      </c>
      <c r="J2997" s="783">
        <v>25</v>
      </c>
      <c r="K2997" s="783" t="s">
        <v>137</v>
      </c>
      <c r="L2997" s="783" t="s">
        <v>4014</v>
      </c>
      <c r="M2997" s="784">
        <v>57410.400000000001</v>
      </c>
      <c r="N2997" s="784">
        <v>50.36</v>
      </c>
      <c r="O2997" s="784">
        <v>5.7</v>
      </c>
      <c r="P2997" s="783">
        <v>200</v>
      </c>
      <c r="Q2997" s="783">
        <v>1969.18</v>
      </c>
      <c r="R2997" s="783">
        <v>1234.6099999999999</v>
      </c>
      <c r="S2997" s="783">
        <v>459</v>
      </c>
      <c r="T2997" s="783">
        <v>275.57</v>
      </c>
      <c r="U2997" s="785">
        <v>44631.6343865741</v>
      </c>
    </row>
    <row r="2998" spans="1:21">
      <c r="A2998" s="782">
        <v>44695</v>
      </c>
      <c r="B2998" s="783" t="s">
        <v>51</v>
      </c>
      <c r="C2998" s="783" t="s">
        <v>4042</v>
      </c>
      <c r="D2998" s="783" t="s">
        <v>4016</v>
      </c>
      <c r="E2998" s="783" t="s">
        <v>5934</v>
      </c>
      <c r="F2998" s="783" t="s">
        <v>4011</v>
      </c>
      <c r="G2998" s="783" t="str">
        <f t="shared" si="162"/>
        <v>Renewal (20% in 2020)</v>
      </c>
      <c r="H2998" s="783" t="s">
        <v>5935</v>
      </c>
      <c r="I2998" s="783" t="s">
        <v>5936</v>
      </c>
      <c r="J2998" s="783">
        <v>20</v>
      </c>
      <c r="K2998" s="783" t="s">
        <v>137</v>
      </c>
      <c r="L2998" s="783" t="s">
        <v>4014</v>
      </c>
      <c r="M2998" s="784">
        <v>24780.799999999999</v>
      </c>
      <c r="N2998" s="784">
        <v>19.36</v>
      </c>
      <c r="O2998" s="784">
        <v>6.4</v>
      </c>
      <c r="P2998" s="783">
        <v>200</v>
      </c>
      <c r="Q2998" s="783">
        <v>1489.33</v>
      </c>
      <c r="R2998" s="783">
        <v>743.55</v>
      </c>
      <c r="S2998" s="783">
        <v>272.45999999999998</v>
      </c>
      <c r="T2998" s="783">
        <v>473.31</v>
      </c>
      <c r="U2998" s="785">
        <v>44697.682592592602</v>
      </c>
    </row>
    <row r="2999" spans="1:21">
      <c r="A2999" s="782">
        <v>44694</v>
      </c>
      <c r="B2999" s="783" t="s">
        <v>51</v>
      </c>
      <c r="C2999" s="783" t="s">
        <v>4042</v>
      </c>
      <c r="D2999" s="783" t="s">
        <v>4016</v>
      </c>
      <c r="E2999" s="783" t="s">
        <v>1694</v>
      </c>
      <c r="F2999" s="783" t="s">
        <v>4011</v>
      </c>
      <c r="G2999" s="783" t="str">
        <f t="shared" si="162"/>
        <v>Renewal (20% in 2020)</v>
      </c>
      <c r="H2999" s="783" t="s">
        <v>5937</v>
      </c>
      <c r="I2999" s="783" t="s">
        <v>5938</v>
      </c>
      <c r="J2999" s="783">
        <v>25</v>
      </c>
      <c r="K2999" s="783" t="s">
        <v>137</v>
      </c>
      <c r="L2999" s="783" t="s">
        <v>4014</v>
      </c>
      <c r="M2999" s="784">
        <v>60414.84</v>
      </c>
      <c r="N2999" s="784">
        <v>53.37</v>
      </c>
      <c r="O2999" s="784">
        <v>5.66</v>
      </c>
      <c r="P2999" s="783">
        <v>200</v>
      </c>
      <c r="Q2999" s="783">
        <v>2815.33</v>
      </c>
      <c r="R2999" s="783">
        <v>1812.75</v>
      </c>
      <c r="S2999" s="783">
        <v>664.26</v>
      </c>
      <c r="T2999" s="783">
        <v>338.32</v>
      </c>
      <c r="U2999" s="785">
        <v>44697.605740740699</v>
      </c>
    </row>
    <row r="3000" spans="1:21">
      <c r="A3000" s="782">
        <v>44652</v>
      </c>
      <c r="B3000" s="783" t="s">
        <v>51</v>
      </c>
      <c r="C3000" s="783" t="s">
        <v>4796</v>
      </c>
      <c r="D3000" s="783" t="s">
        <v>4016</v>
      </c>
      <c r="E3000" s="783" t="s">
        <v>1130</v>
      </c>
      <c r="F3000" s="783" t="s">
        <v>4011</v>
      </c>
      <c r="G3000" s="783" t="str">
        <f t="shared" si="162"/>
        <v>Renewal (25% in 2020)</v>
      </c>
      <c r="H3000" s="783" t="s">
        <v>5962</v>
      </c>
      <c r="I3000" s="783" t="s">
        <v>5963</v>
      </c>
      <c r="J3000" s="783">
        <v>25</v>
      </c>
      <c r="K3000" s="783" t="s">
        <v>137</v>
      </c>
      <c r="L3000" s="783" t="s">
        <v>4014</v>
      </c>
      <c r="M3000" s="784">
        <v>35754.25</v>
      </c>
      <c r="N3000" s="784">
        <v>32.31</v>
      </c>
      <c r="O3000" s="784">
        <v>5.03</v>
      </c>
      <c r="P3000" s="783">
        <v>220</v>
      </c>
      <c r="Q3000" s="783">
        <v>1530.28</v>
      </c>
      <c r="R3000" s="783">
        <v>897.92</v>
      </c>
      <c r="S3000" s="783">
        <v>457.17</v>
      </c>
      <c r="T3000" s="783">
        <v>175.2</v>
      </c>
      <c r="U3000" s="785">
        <v>44655.506458333301</v>
      </c>
    </row>
    <row r="3001" spans="1:21">
      <c r="A3001" s="782">
        <v>44652</v>
      </c>
      <c r="B3001" s="783" t="s">
        <v>34</v>
      </c>
      <c r="C3001" s="783" t="s">
        <v>4139</v>
      </c>
      <c r="D3001" s="783" t="s">
        <v>4009</v>
      </c>
      <c r="E3001" s="783" t="s">
        <v>456</v>
      </c>
      <c r="F3001" s="783" t="s">
        <v>4011</v>
      </c>
      <c r="G3001" s="783" t="str">
        <f t="shared" si="162"/>
        <v>Renewal (20% in 2020)</v>
      </c>
      <c r="H3001" s="783" t="s">
        <v>5967</v>
      </c>
      <c r="I3001" s="783" t="s">
        <v>5968</v>
      </c>
      <c r="J3001" s="783">
        <v>20</v>
      </c>
      <c r="K3001" s="783" t="s">
        <v>137</v>
      </c>
      <c r="L3001" s="783" t="s">
        <v>4014</v>
      </c>
      <c r="M3001" s="784">
        <v>7525.9</v>
      </c>
      <c r="N3001" s="784">
        <v>9.5</v>
      </c>
      <c r="O3001" s="784">
        <v>4.66</v>
      </c>
      <c r="P3001" s="783">
        <v>170</v>
      </c>
      <c r="Q3001" s="783">
        <v>577.99</v>
      </c>
      <c r="R3001" s="783">
        <v>350.71</v>
      </c>
      <c r="S3001" s="783">
        <v>55.69</v>
      </c>
      <c r="T3001" s="783">
        <v>171.59</v>
      </c>
      <c r="U3001" s="785">
        <v>44655.604004629597</v>
      </c>
    </row>
    <row r="3002" spans="1:21">
      <c r="A3002" s="782">
        <v>44652</v>
      </c>
      <c r="B3002" s="783" t="s">
        <v>47</v>
      </c>
      <c r="C3002" s="783" t="s">
        <v>4101</v>
      </c>
      <c r="D3002" s="783" t="s">
        <v>4102</v>
      </c>
      <c r="E3002" s="783" t="s">
        <v>5980</v>
      </c>
      <c r="F3002" s="783" t="s">
        <v>4011</v>
      </c>
      <c r="G3002" s="783" t="str">
        <f t="shared" si="162"/>
        <v>Renewal (25% in 2020)</v>
      </c>
      <c r="H3002" s="783" t="s">
        <v>5981</v>
      </c>
      <c r="I3002" s="783" t="s">
        <v>5982</v>
      </c>
      <c r="J3002" s="783">
        <v>25</v>
      </c>
      <c r="K3002" s="783" t="s">
        <v>137</v>
      </c>
      <c r="L3002" s="783" t="s">
        <v>4014</v>
      </c>
      <c r="M3002" s="784">
        <v>6851</v>
      </c>
      <c r="N3002" s="784">
        <v>6.5</v>
      </c>
      <c r="O3002" s="784">
        <v>6.2</v>
      </c>
      <c r="P3002" s="783">
        <v>170</v>
      </c>
      <c r="Q3002" s="783">
        <v>265.13</v>
      </c>
      <c r="R3002" s="783">
        <v>204.16</v>
      </c>
      <c r="S3002" s="783">
        <v>32.880000000000003</v>
      </c>
      <c r="T3002" s="783">
        <v>28.09</v>
      </c>
      <c r="U3002" s="785">
        <v>44655.504895833299</v>
      </c>
    </row>
    <row r="3003" spans="1:21">
      <c r="A3003" s="782">
        <v>44652</v>
      </c>
      <c r="B3003" s="783" t="s">
        <v>51</v>
      </c>
      <c r="C3003" s="783" t="s">
        <v>4042</v>
      </c>
      <c r="D3003" s="783" t="s">
        <v>4016</v>
      </c>
      <c r="E3003" s="783" t="s">
        <v>5986</v>
      </c>
      <c r="F3003" s="783" t="s">
        <v>4011</v>
      </c>
      <c r="G3003" s="783" t="str">
        <f t="shared" si="162"/>
        <v>New Contract</v>
      </c>
      <c r="H3003" s="783" t="s">
        <v>5987</v>
      </c>
      <c r="I3003" s="783" t="s">
        <v>5988</v>
      </c>
      <c r="J3003" s="783">
        <v>20</v>
      </c>
      <c r="K3003" s="783" t="s">
        <v>137</v>
      </c>
      <c r="L3003" s="783" t="s">
        <v>4014</v>
      </c>
      <c r="M3003" s="784">
        <v>40257.449999999997</v>
      </c>
      <c r="N3003" s="784">
        <v>34.25</v>
      </c>
      <c r="O3003" s="784">
        <v>6.53</v>
      </c>
      <c r="P3003" s="783">
        <v>180</v>
      </c>
      <c r="Q3003" s="783">
        <v>2419.4699999999998</v>
      </c>
      <c r="R3003" s="783">
        <v>1342.14</v>
      </c>
      <c r="S3003" s="783">
        <v>308.42</v>
      </c>
      <c r="T3003" s="783">
        <v>768.92</v>
      </c>
      <c r="U3003" s="785">
        <v>44655.498935185198</v>
      </c>
    </row>
    <row r="3004" spans="1:21">
      <c r="A3004" s="782">
        <v>44686</v>
      </c>
      <c r="B3004" s="783" t="s">
        <v>51</v>
      </c>
      <c r="C3004" s="783" t="s">
        <v>4015</v>
      </c>
      <c r="D3004" s="783" t="s">
        <v>4016</v>
      </c>
      <c r="E3004" s="783" t="s">
        <v>2227</v>
      </c>
      <c r="F3004" s="783" t="s">
        <v>4011</v>
      </c>
      <c r="G3004" s="783" t="str">
        <f t="shared" si="162"/>
        <v>Renewal (20% in 2020)</v>
      </c>
      <c r="H3004" s="783" t="s">
        <v>4069</v>
      </c>
      <c r="I3004" s="783" t="s">
        <v>4070</v>
      </c>
      <c r="J3004" s="783">
        <v>20</v>
      </c>
      <c r="K3004" s="783" t="s">
        <v>137</v>
      </c>
      <c r="L3004" s="783" t="s">
        <v>4014</v>
      </c>
      <c r="M3004" s="784">
        <v>24619.4</v>
      </c>
      <c r="N3004" s="784">
        <v>26</v>
      </c>
      <c r="O3004" s="784">
        <v>5.57</v>
      </c>
      <c r="P3004" s="783">
        <v>170</v>
      </c>
      <c r="Q3004" s="783">
        <v>1536.25</v>
      </c>
      <c r="R3004" s="783">
        <v>982.31</v>
      </c>
      <c r="S3004" s="783">
        <v>41.85</v>
      </c>
      <c r="T3004" s="783">
        <v>512.08000000000004</v>
      </c>
      <c r="U3004" s="785">
        <v>44687.664907407401</v>
      </c>
    </row>
    <row r="3005" spans="1:21">
      <c r="A3005" s="782">
        <v>44698</v>
      </c>
      <c r="B3005" s="783" t="s">
        <v>228</v>
      </c>
      <c r="C3005" s="783" t="s">
        <v>4417</v>
      </c>
      <c r="D3005" s="783" t="s">
        <v>4193</v>
      </c>
      <c r="E3005" s="783" t="s">
        <v>4418</v>
      </c>
      <c r="F3005" s="783" t="s">
        <v>4011</v>
      </c>
      <c r="G3005" s="783" t="str">
        <f t="shared" si="162"/>
        <v>Renewal (25% in 2020)</v>
      </c>
      <c r="H3005" s="783" t="s">
        <v>4419</v>
      </c>
      <c r="I3005" s="783" t="s">
        <v>4420</v>
      </c>
      <c r="J3005" s="783">
        <v>25</v>
      </c>
      <c r="K3005" s="783" t="s">
        <v>137</v>
      </c>
      <c r="L3005" s="783" t="s">
        <v>4014</v>
      </c>
      <c r="M3005" s="784">
        <v>26692.68</v>
      </c>
      <c r="N3005" s="784">
        <v>18.059999999999999</v>
      </c>
      <c r="O3005" s="784">
        <v>7.39</v>
      </c>
      <c r="P3005" s="783">
        <v>200</v>
      </c>
      <c r="Q3005" s="783">
        <v>1142.45</v>
      </c>
      <c r="R3005" s="783">
        <v>753.27</v>
      </c>
      <c r="S3005" s="783">
        <v>279.74</v>
      </c>
      <c r="T3005" s="783">
        <v>109.44</v>
      </c>
      <c r="U3005" s="785">
        <v>44699.714861111097</v>
      </c>
    </row>
    <row r="3006" spans="1:21">
      <c r="A3006" s="782">
        <v>44568</v>
      </c>
      <c r="B3006" s="783" t="s">
        <v>41</v>
      </c>
      <c r="C3006" s="783" t="s">
        <v>4092</v>
      </c>
      <c r="D3006" s="783" t="s">
        <v>4009</v>
      </c>
      <c r="E3006" s="783" t="s">
        <v>4696</v>
      </c>
      <c r="F3006" s="783" t="s">
        <v>4011</v>
      </c>
      <c r="G3006" s="783" t="str">
        <f t="shared" si="162"/>
        <v>Renewal (25% in 2020)</v>
      </c>
      <c r="H3006" s="783" t="s">
        <v>4697</v>
      </c>
      <c r="I3006" s="783" t="s">
        <v>4698</v>
      </c>
      <c r="J3006" s="783">
        <v>25</v>
      </c>
      <c r="K3006" s="783" t="s">
        <v>137</v>
      </c>
      <c r="L3006" s="783" t="s">
        <v>4014</v>
      </c>
      <c r="M3006" s="784">
        <v>11278.5</v>
      </c>
      <c r="N3006" s="784">
        <v>10.3</v>
      </c>
      <c r="O3006" s="784">
        <v>7.3</v>
      </c>
      <c r="P3006" s="783">
        <v>150</v>
      </c>
      <c r="Q3006" s="783">
        <v>561.66999999999996</v>
      </c>
      <c r="R3006" s="783">
        <v>429.71</v>
      </c>
      <c r="S3006" s="783">
        <v>82.33</v>
      </c>
      <c r="T3006" s="783">
        <v>49.63</v>
      </c>
      <c r="U3006" s="785">
        <v>44631.632789351897</v>
      </c>
    </row>
    <row r="3007" spans="1:21">
      <c r="A3007" s="782">
        <v>44565</v>
      </c>
      <c r="B3007" s="783" t="s">
        <v>74</v>
      </c>
      <c r="C3007" s="783" t="s">
        <v>4097</v>
      </c>
      <c r="D3007" s="783" t="s">
        <v>4038</v>
      </c>
      <c r="E3007" s="783" t="s">
        <v>4429</v>
      </c>
      <c r="F3007" s="783" t="s">
        <v>4011</v>
      </c>
      <c r="G3007" s="783" t="s">
        <v>4028</v>
      </c>
      <c r="H3007" s="783" t="s">
        <v>4430</v>
      </c>
      <c r="I3007" s="783" t="s">
        <v>4431</v>
      </c>
      <c r="J3007" s="783">
        <v>20</v>
      </c>
      <c r="K3007" s="783" t="s">
        <v>137</v>
      </c>
      <c r="L3007" s="783" t="s">
        <v>4014</v>
      </c>
      <c r="M3007" s="784">
        <v>25029</v>
      </c>
      <c r="N3007" s="784">
        <v>30.9</v>
      </c>
      <c r="O3007" s="784">
        <v>4.5</v>
      </c>
      <c r="P3007" s="783">
        <v>180</v>
      </c>
      <c r="Q3007" s="783">
        <v>2180.0300000000002</v>
      </c>
      <c r="R3007" s="783">
        <v>1163.01</v>
      </c>
      <c r="S3007" s="783">
        <v>266.14</v>
      </c>
      <c r="T3007" s="783">
        <v>750.87</v>
      </c>
      <c r="U3007" s="785">
        <v>44631.635138888902</v>
      </c>
    </row>
    <row r="3008" spans="1:21">
      <c r="A3008" s="782">
        <v>44564</v>
      </c>
      <c r="B3008" s="783" t="s">
        <v>30</v>
      </c>
      <c r="C3008" s="783" t="s">
        <v>4089</v>
      </c>
      <c r="D3008" s="783" t="s">
        <v>4021</v>
      </c>
      <c r="E3008" s="783" t="s">
        <v>6033</v>
      </c>
      <c r="F3008" s="783" t="s">
        <v>4011</v>
      </c>
      <c r="G3008" s="783" t="str">
        <f>VLOOKUP(I3008,pacage,2,FALSE)</f>
        <v>Renewal (25% in 2020)</v>
      </c>
      <c r="H3008" s="783" t="s">
        <v>6034</v>
      </c>
      <c r="I3008" s="783" t="s">
        <v>6035</v>
      </c>
      <c r="J3008" s="783">
        <v>25</v>
      </c>
      <c r="K3008" s="783" t="s">
        <v>137</v>
      </c>
      <c r="L3008" s="783" t="s">
        <v>4014</v>
      </c>
      <c r="M3008" s="784">
        <v>14264.18</v>
      </c>
      <c r="N3008" s="784">
        <v>9.73</v>
      </c>
      <c r="O3008" s="784">
        <v>7.33</v>
      </c>
      <c r="P3008" s="783">
        <v>200</v>
      </c>
      <c r="Q3008" s="783">
        <v>992.79</v>
      </c>
      <c r="R3008" s="783">
        <v>620.78</v>
      </c>
      <c r="S3008" s="783">
        <v>230.79</v>
      </c>
      <c r="T3008" s="783">
        <v>141.22</v>
      </c>
      <c r="U3008" s="785">
        <v>44631.6352430556</v>
      </c>
    </row>
    <row r="3009" spans="1:21">
      <c r="A3009" s="782">
        <v>44561</v>
      </c>
      <c r="B3009" s="783" t="s">
        <v>4025</v>
      </c>
      <c r="C3009" s="783" t="s">
        <v>4239</v>
      </c>
      <c r="D3009" s="783" t="s">
        <v>4021</v>
      </c>
      <c r="E3009" s="783" t="s">
        <v>6036</v>
      </c>
      <c r="F3009" s="783" t="s">
        <v>4011</v>
      </c>
      <c r="G3009" s="783" t="s">
        <v>4028</v>
      </c>
      <c r="H3009" s="783" t="s">
        <v>6037</v>
      </c>
      <c r="I3009" s="783" t="s">
        <v>6038</v>
      </c>
      <c r="J3009" s="783">
        <v>20</v>
      </c>
      <c r="K3009" s="783" t="s">
        <v>137</v>
      </c>
      <c r="L3009" s="783" t="s">
        <v>4014</v>
      </c>
      <c r="M3009" s="784">
        <v>21280</v>
      </c>
      <c r="N3009" s="784">
        <v>20</v>
      </c>
      <c r="O3009" s="784">
        <v>5.32</v>
      </c>
      <c r="P3009" s="783">
        <v>200</v>
      </c>
      <c r="Q3009" s="783">
        <v>1178.9100000000001</v>
      </c>
      <c r="R3009" s="783">
        <v>558.91999999999996</v>
      </c>
      <c r="S3009" s="783">
        <v>245.46</v>
      </c>
      <c r="T3009" s="783">
        <v>374.53</v>
      </c>
      <c r="U3009" s="785">
        <v>44631.632557870398</v>
      </c>
    </row>
    <row r="3010" spans="1:21">
      <c r="A3010" s="782">
        <v>44646</v>
      </c>
      <c r="B3010" s="783" t="s">
        <v>65</v>
      </c>
      <c r="C3010" s="783" t="s">
        <v>4916</v>
      </c>
      <c r="D3010" s="783" t="s">
        <v>4102</v>
      </c>
      <c r="E3010" s="783" t="s">
        <v>6044</v>
      </c>
      <c r="F3010" s="783" t="s">
        <v>4011</v>
      </c>
      <c r="G3010" s="783" t="str">
        <f t="shared" ref="G3010:G3025" si="163">VLOOKUP(I3010,pacage,2,FALSE)</f>
        <v>Renewal (20% in 2020)</v>
      </c>
      <c r="H3010" s="783" t="s">
        <v>6045</v>
      </c>
      <c r="I3010" s="783" t="s">
        <v>6046</v>
      </c>
      <c r="J3010" s="783">
        <v>20</v>
      </c>
      <c r="K3010" s="783" t="s">
        <v>137</v>
      </c>
      <c r="L3010" s="783" t="s">
        <v>4014</v>
      </c>
      <c r="M3010" s="784">
        <v>52192</v>
      </c>
      <c r="N3010" s="784">
        <v>56</v>
      </c>
      <c r="O3010" s="784">
        <v>4.66</v>
      </c>
      <c r="P3010" s="783">
        <v>200</v>
      </c>
      <c r="Q3010" s="783">
        <v>2907.09</v>
      </c>
      <c r="R3010" s="783">
        <v>1463.99</v>
      </c>
      <c r="S3010" s="783">
        <v>534.97</v>
      </c>
      <c r="T3010" s="783">
        <v>908.14</v>
      </c>
      <c r="U3010" s="785">
        <v>44649.394502314797</v>
      </c>
    </row>
    <row r="3011" spans="1:21">
      <c r="A3011" s="782">
        <v>44427</v>
      </c>
      <c r="B3011" s="783" t="s">
        <v>51</v>
      </c>
      <c r="C3011" s="783" t="s">
        <v>5489</v>
      </c>
      <c r="D3011" s="783" t="s">
        <v>4016</v>
      </c>
      <c r="E3011" s="783" t="s">
        <v>6058</v>
      </c>
      <c r="F3011" s="783" t="s">
        <v>4011</v>
      </c>
      <c r="G3011" s="783" t="str">
        <f t="shared" si="163"/>
        <v>Renewal (15% in 2020)</v>
      </c>
      <c r="H3011" s="783" t="s">
        <v>6059</v>
      </c>
      <c r="I3011" s="783" t="s">
        <v>6060</v>
      </c>
      <c r="J3011" s="783">
        <v>15</v>
      </c>
      <c r="K3011" s="783" t="s">
        <v>137</v>
      </c>
      <c r="L3011" s="783" t="s">
        <v>4014</v>
      </c>
      <c r="M3011" s="784">
        <v>6003.72</v>
      </c>
      <c r="N3011" s="784">
        <v>6.54</v>
      </c>
      <c r="O3011" s="784">
        <v>5.4</v>
      </c>
      <c r="P3011" s="783">
        <v>170</v>
      </c>
      <c r="Q3011" s="783">
        <v>454.48</v>
      </c>
      <c r="R3011" s="783">
        <v>199.92</v>
      </c>
      <c r="S3011" s="783">
        <v>33.020000000000003</v>
      </c>
      <c r="T3011" s="783">
        <v>221.54</v>
      </c>
      <c r="U3011" s="785">
        <v>44631.632627314801</v>
      </c>
    </row>
    <row r="3012" spans="1:21">
      <c r="A3012" s="782">
        <v>44525</v>
      </c>
      <c r="B3012" s="783" t="s">
        <v>41</v>
      </c>
      <c r="C3012" s="783" t="s">
        <v>4082</v>
      </c>
      <c r="D3012" s="783" t="s">
        <v>4009</v>
      </c>
      <c r="E3012" s="783" t="s">
        <v>774</v>
      </c>
      <c r="F3012" s="783" t="s">
        <v>4011</v>
      </c>
      <c r="G3012" s="783" t="str">
        <f t="shared" si="163"/>
        <v>Renewal (30% in 2020)</v>
      </c>
      <c r="H3012" s="783" t="s">
        <v>6075</v>
      </c>
      <c r="I3012" s="783" t="s">
        <v>6076</v>
      </c>
      <c r="J3012" s="783">
        <v>30</v>
      </c>
      <c r="K3012" s="783" t="s">
        <v>137</v>
      </c>
      <c r="L3012" s="783" t="s">
        <v>4014</v>
      </c>
      <c r="M3012" s="784">
        <v>4013.1</v>
      </c>
      <c r="N3012" s="784">
        <v>3</v>
      </c>
      <c r="O3012" s="784">
        <v>6.37</v>
      </c>
      <c r="P3012" s="783">
        <v>210</v>
      </c>
      <c r="Q3012" s="783">
        <v>174.57</v>
      </c>
      <c r="R3012" s="783">
        <v>127.02</v>
      </c>
      <c r="S3012" s="783">
        <v>29.89</v>
      </c>
      <c r="T3012" s="783">
        <v>17.66</v>
      </c>
      <c r="U3012" s="785">
        <v>44631.633125</v>
      </c>
    </row>
    <row r="3013" spans="1:21">
      <c r="A3013" s="782">
        <v>44533</v>
      </c>
      <c r="B3013" s="783" t="s">
        <v>4025</v>
      </c>
      <c r="C3013" s="783" t="s">
        <v>4026</v>
      </c>
      <c r="D3013" s="783" t="s">
        <v>4021</v>
      </c>
      <c r="E3013" s="783" t="s">
        <v>6083</v>
      </c>
      <c r="F3013" s="783" t="s">
        <v>4011</v>
      </c>
      <c r="G3013" s="783" t="str">
        <f t="shared" si="163"/>
        <v>New Contract</v>
      </c>
      <c r="H3013" s="783" t="s">
        <v>6084</v>
      </c>
      <c r="I3013" s="783" t="s">
        <v>6085</v>
      </c>
      <c r="J3013" s="783">
        <v>25</v>
      </c>
      <c r="K3013" s="783" t="s">
        <v>137</v>
      </c>
      <c r="L3013" s="783" t="s">
        <v>4014</v>
      </c>
      <c r="M3013" s="784">
        <v>17635.8</v>
      </c>
      <c r="N3013" s="784">
        <v>18.2</v>
      </c>
      <c r="O3013" s="784">
        <v>5.0999999999999996</v>
      </c>
      <c r="P3013" s="783">
        <v>190</v>
      </c>
      <c r="Q3013" s="783">
        <v>604.91</v>
      </c>
      <c r="R3013" s="783">
        <v>399.22</v>
      </c>
      <c r="S3013" s="783">
        <v>121.04</v>
      </c>
      <c r="T3013" s="783">
        <v>84.65</v>
      </c>
      <c r="U3013" s="785">
        <v>44631.6328587963</v>
      </c>
    </row>
    <row r="3014" spans="1:21">
      <c r="A3014" s="782">
        <v>44528</v>
      </c>
      <c r="B3014" s="783" t="s">
        <v>74</v>
      </c>
      <c r="C3014" s="783" t="s">
        <v>4097</v>
      </c>
      <c r="D3014" s="783" t="s">
        <v>4038</v>
      </c>
      <c r="E3014" s="783" t="s">
        <v>4443</v>
      </c>
      <c r="F3014" s="783" t="s">
        <v>4011</v>
      </c>
      <c r="G3014" s="783" t="str">
        <f t="shared" si="163"/>
        <v>Renewal (15% in 2020)</v>
      </c>
      <c r="H3014" s="783" t="s">
        <v>4444</v>
      </c>
      <c r="I3014" s="783" t="s">
        <v>4445</v>
      </c>
      <c r="J3014" s="783">
        <v>20</v>
      </c>
      <c r="K3014" s="783" t="s">
        <v>137</v>
      </c>
      <c r="L3014" s="783" t="s">
        <v>4014</v>
      </c>
      <c r="M3014" s="784">
        <v>10621.26</v>
      </c>
      <c r="N3014" s="784">
        <v>11.57</v>
      </c>
      <c r="O3014" s="784">
        <v>5.4</v>
      </c>
      <c r="P3014" s="783">
        <v>170</v>
      </c>
      <c r="Q3014" s="783">
        <v>925.11</v>
      </c>
      <c r="R3014" s="783">
        <v>522.57000000000005</v>
      </c>
      <c r="S3014" s="783">
        <v>83.91</v>
      </c>
      <c r="T3014" s="783">
        <v>318.64</v>
      </c>
      <c r="U3014" s="785">
        <v>44631.6329513889</v>
      </c>
    </row>
    <row r="3015" spans="1:21">
      <c r="A3015" s="782">
        <v>44522</v>
      </c>
      <c r="B3015" s="783" t="s">
        <v>51</v>
      </c>
      <c r="C3015" s="783" t="s">
        <v>4042</v>
      </c>
      <c r="D3015" s="783" t="s">
        <v>4016</v>
      </c>
      <c r="E3015" s="783" t="s">
        <v>6091</v>
      </c>
      <c r="F3015" s="783" t="s">
        <v>4011</v>
      </c>
      <c r="G3015" s="783" t="str">
        <f t="shared" si="163"/>
        <v>Renewal (25% in 2020)</v>
      </c>
      <c r="H3015" s="783" t="s">
        <v>6092</v>
      </c>
      <c r="I3015" s="783" t="s">
        <v>6093</v>
      </c>
      <c r="J3015" s="783">
        <v>25</v>
      </c>
      <c r="K3015" s="783" t="s">
        <v>137</v>
      </c>
      <c r="L3015" s="783" t="s">
        <v>4014</v>
      </c>
      <c r="M3015" s="784">
        <v>73430.86</v>
      </c>
      <c r="N3015" s="784">
        <v>66.61</v>
      </c>
      <c r="O3015" s="784">
        <v>6.89</v>
      </c>
      <c r="P3015" s="783">
        <v>160</v>
      </c>
      <c r="Q3015" s="783">
        <v>3421.88</v>
      </c>
      <c r="R3015" s="783">
        <v>2592.11</v>
      </c>
      <c r="S3015" s="783">
        <v>418.56</v>
      </c>
      <c r="T3015" s="783">
        <v>411.21</v>
      </c>
      <c r="U3015" s="785">
        <v>44631.635787036997</v>
      </c>
    </row>
    <row r="3016" spans="1:21">
      <c r="A3016" s="782">
        <v>44592</v>
      </c>
      <c r="B3016" s="783" t="s">
        <v>41</v>
      </c>
      <c r="C3016" s="783" t="s">
        <v>4071</v>
      </c>
      <c r="D3016" s="783" t="s">
        <v>4009</v>
      </c>
      <c r="E3016" s="783" t="s">
        <v>6110</v>
      </c>
      <c r="F3016" s="783" t="s">
        <v>4011</v>
      </c>
      <c r="G3016" s="783" t="str">
        <f t="shared" si="163"/>
        <v>Renewal (15% in 2020)</v>
      </c>
      <c r="H3016" s="783" t="s">
        <v>6111</v>
      </c>
      <c r="I3016" s="783" t="s">
        <v>6112</v>
      </c>
      <c r="J3016" s="783">
        <v>15</v>
      </c>
      <c r="K3016" s="783" t="s">
        <v>137</v>
      </c>
      <c r="L3016" s="783" t="s">
        <v>4014</v>
      </c>
      <c r="M3016" s="784">
        <v>3582</v>
      </c>
      <c r="N3016" s="784">
        <v>3</v>
      </c>
      <c r="O3016" s="784">
        <v>5.97</v>
      </c>
      <c r="P3016" s="783">
        <v>200</v>
      </c>
      <c r="Q3016" s="783">
        <v>325.25</v>
      </c>
      <c r="R3016" s="783">
        <v>124.83</v>
      </c>
      <c r="S3016" s="783">
        <v>45.67</v>
      </c>
      <c r="T3016" s="783">
        <v>154.74</v>
      </c>
      <c r="U3016" s="785">
        <v>44631.633333333302</v>
      </c>
    </row>
    <row r="3017" spans="1:21">
      <c r="A3017" s="782">
        <v>44527</v>
      </c>
      <c r="B3017" s="783" t="s">
        <v>41</v>
      </c>
      <c r="C3017" s="783" t="s">
        <v>4082</v>
      </c>
      <c r="D3017" s="783" t="s">
        <v>4009</v>
      </c>
      <c r="E3017" s="783" t="s">
        <v>6123</v>
      </c>
      <c r="F3017" s="783" t="s">
        <v>4011</v>
      </c>
      <c r="G3017" s="783" t="str">
        <f t="shared" si="163"/>
        <v>Renewal (30% in 2020)</v>
      </c>
      <c r="H3017" s="783" t="s">
        <v>6124</v>
      </c>
      <c r="I3017" s="783" t="s">
        <v>6125</v>
      </c>
      <c r="J3017" s="783">
        <v>30</v>
      </c>
      <c r="K3017" s="783" t="s">
        <v>137</v>
      </c>
      <c r="L3017" s="783" t="s">
        <v>4014</v>
      </c>
      <c r="M3017" s="784">
        <v>14014</v>
      </c>
      <c r="N3017" s="784">
        <v>10</v>
      </c>
      <c r="O3017" s="784">
        <v>6.37</v>
      </c>
      <c r="P3017" s="783">
        <v>220</v>
      </c>
      <c r="Q3017" s="783">
        <v>609.61</v>
      </c>
      <c r="R3017" s="783">
        <v>423.41</v>
      </c>
      <c r="S3017" s="783">
        <v>124.53</v>
      </c>
      <c r="T3017" s="783">
        <v>61.66</v>
      </c>
      <c r="U3017" s="785">
        <v>44631.636006944398</v>
      </c>
    </row>
    <row r="3018" spans="1:21">
      <c r="A3018" s="782">
        <v>44537</v>
      </c>
      <c r="B3018" s="783" t="s">
        <v>41</v>
      </c>
      <c r="C3018" s="783" t="s">
        <v>4082</v>
      </c>
      <c r="D3018" s="783" t="s">
        <v>4009</v>
      </c>
      <c r="E3018" s="783" t="s">
        <v>6132</v>
      </c>
      <c r="F3018" s="783" t="s">
        <v>4011</v>
      </c>
      <c r="G3018" s="783" t="str">
        <f t="shared" si="163"/>
        <v>New contract</v>
      </c>
      <c r="H3018" s="783" t="s">
        <v>6133</v>
      </c>
      <c r="I3018" s="783" t="s">
        <v>6134</v>
      </c>
      <c r="J3018" s="783">
        <v>20</v>
      </c>
      <c r="K3018" s="783" t="s">
        <v>137</v>
      </c>
      <c r="L3018" s="783" t="s">
        <v>4014</v>
      </c>
      <c r="M3018" s="784">
        <v>15821</v>
      </c>
      <c r="N3018" s="784">
        <v>12.17</v>
      </c>
      <c r="O3018" s="784">
        <v>6.5</v>
      </c>
      <c r="P3018" s="783">
        <v>200</v>
      </c>
      <c r="Q3018" s="783">
        <v>1047.3499999999999</v>
      </c>
      <c r="R3018" s="783">
        <v>525.80999999999995</v>
      </c>
      <c r="S3018" s="783">
        <v>209.87</v>
      </c>
      <c r="T3018" s="783">
        <v>311.67</v>
      </c>
      <c r="U3018" s="785">
        <v>44631.632916666698</v>
      </c>
    </row>
    <row r="3019" spans="1:21">
      <c r="A3019" s="782">
        <v>44531</v>
      </c>
      <c r="B3019" s="783" t="s">
        <v>51</v>
      </c>
      <c r="C3019" s="783" t="s">
        <v>4042</v>
      </c>
      <c r="D3019" s="783" t="s">
        <v>4016</v>
      </c>
      <c r="E3019" s="783" t="s">
        <v>1531</v>
      </c>
      <c r="F3019" s="783" t="s">
        <v>4011</v>
      </c>
      <c r="G3019" s="783" t="str">
        <f t="shared" si="163"/>
        <v>Renewal (20% in 2020)</v>
      </c>
      <c r="H3019" s="783" t="s">
        <v>6139</v>
      </c>
      <c r="I3019" s="783" t="s">
        <v>6140</v>
      </c>
      <c r="J3019" s="783">
        <v>20</v>
      </c>
      <c r="K3019" s="783" t="s">
        <v>137</v>
      </c>
      <c r="L3019" s="783" t="s">
        <v>4014</v>
      </c>
      <c r="M3019" s="784">
        <v>23385.599999999999</v>
      </c>
      <c r="N3019" s="784">
        <v>28</v>
      </c>
      <c r="O3019" s="784">
        <v>5.22</v>
      </c>
      <c r="P3019" s="783">
        <v>160</v>
      </c>
      <c r="Q3019" s="783">
        <v>1405.47</v>
      </c>
      <c r="R3019" s="783">
        <v>825.51</v>
      </c>
      <c r="S3019" s="783">
        <v>133.30000000000001</v>
      </c>
      <c r="T3019" s="783">
        <v>446.66</v>
      </c>
      <c r="U3019" s="785">
        <v>44631.633125</v>
      </c>
    </row>
    <row r="3020" spans="1:21">
      <c r="A3020" s="782">
        <v>44526</v>
      </c>
      <c r="B3020" s="783" t="s">
        <v>41</v>
      </c>
      <c r="C3020" s="783" t="s">
        <v>4082</v>
      </c>
      <c r="D3020" s="783" t="s">
        <v>4009</v>
      </c>
      <c r="E3020" s="783" t="s">
        <v>4714</v>
      </c>
      <c r="F3020" s="783" t="s">
        <v>4011</v>
      </c>
      <c r="G3020" s="783" t="str">
        <f t="shared" si="163"/>
        <v>Renewal (15% in 2020)</v>
      </c>
      <c r="H3020" s="783" t="s">
        <v>4715</v>
      </c>
      <c r="I3020" s="783" t="s">
        <v>4716</v>
      </c>
      <c r="J3020" s="783">
        <v>15</v>
      </c>
      <c r="K3020" s="783" t="s">
        <v>137</v>
      </c>
      <c r="L3020" s="783" t="s">
        <v>4014</v>
      </c>
      <c r="M3020" s="784">
        <v>1945.98</v>
      </c>
      <c r="N3020" s="784">
        <v>1.84</v>
      </c>
      <c r="O3020" s="784">
        <v>6.61</v>
      </c>
      <c r="P3020" s="783">
        <v>160</v>
      </c>
      <c r="Q3020" s="783">
        <v>173</v>
      </c>
      <c r="R3020" s="783">
        <v>76.09</v>
      </c>
      <c r="S3020" s="783">
        <v>14.4</v>
      </c>
      <c r="T3020" s="783">
        <v>82.51</v>
      </c>
      <c r="U3020" s="785">
        <v>44631.635636574101</v>
      </c>
    </row>
    <row r="3021" spans="1:21">
      <c r="A3021" s="782">
        <v>44434</v>
      </c>
      <c r="B3021" s="783" t="s">
        <v>41</v>
      </c>
      <c r="C3021" s="783" t="s">
        <v>4082</v>
      </c>
      <c r="D3021" s="783" t="s">
        <v>4009</v>
      </c>
      <c r="E3021" s="783" t="s">
        <v>4720</v>
      </c>
      <c r="F3021" s="783" t="s">
        <v>4011</v>
      </c>
      <c r="G3021" s="783" t="str">
        <f t="shared" si="163"/>
        <v>Renewal (30% in 2020)</v>
      </c>
      <c r="H3021" s="783" t="s">
        <v>4721</v>
      </c>
      <c r="I3021" s="783" t="s">
        <v>4722</v>
      </c>
      <c r="J3021" s="783">
        <v>30</v>
      </c>
      <c r="K3021" s="783" t="s">
        <v>137</v>
      </c>
      <c r="L3021" s="783" t="s">
        <v>4014</v>
      </c>
      <c r="M3021" s="784">
        <v>14819.2</v>
      </c>
      <c r="N3021" s="784">
        <v>16.84</v>
      </c>
      <c r="O3021" s="784">
        <v>5.5</v>
      </c>
      <c r="P3021" s="783">
        <v>160</v>
      </c>
      <c r="Q3021" s="783">
        <v>644.64</v>
      </c>
      <c r="R3021" s="783">
        <v>579.42999999999995</v>
      </c>
      <c r="S3021" s="783">
        <v>0</v>
      </c>
      <c r="T3021" s="783">
        <v>65.2</v>
      </c>
      <c r="U3021" s="785">
        <v>44631.633032407401</v>
      </c>
    </row>
    <row r="3022" spans="1:21">
      <c r="A3022" s="782">
        <v>44434</v>
      </c>
      <c r="B3022" s="783" t="s">
        <v>51</v>
      </c>
      <c r="C3022" s="783" t="s">
        <v>4042</v>
      </c>
      <c r="D3022" s="783" t="s">
        <v>4016</v>
      </c>
      <c r="E3022" s="783" t="s">
        <v>6155</v>
      </c>
      <c r="F3022" s="783" t="s">
        <v>4011</v>
      </c>
      <c r="G3022" s="783" t="str">
        <f t="shared" si="163"/>
        <v>Renewal (30% in 2020)</v>
      </c>
      <c r="H3022" s="783" t="s">
        <v>6156</v>
      </c>
      <c r="I3022" s="783" t="s">
        <v>6157</v>
      </c>
      <c r="J3022" s="783">
        <v>30</v>
      </c>
      <c r="K3022" s="783" t="s">
        <v>137</v>
      </c>
      <c r="L3022" s="783" t="s">
        <v>4014</v>
      </c>
      <c r="M3022" s="784">
        <v>30821</v>
      </c>
      <c r="N3022" s="784">
        <v>37</v>
      </c>
      <c r="O3022" s="784">
        <v>4.9000000000000004</v>
      </c>
      <c r="P3022" s="783">
        <v>170</v>
      </c>
      <c r="Q3022" s="783">
        <v>1260.58</v>
      </c>
      <c r="R3022" s="783">
        <v>1087.98</v>
      </c>
      <c r="S3022" s="783">
        <v>0</v>
      </c>
      <c r="T3022" s="783">
        <v>172.6</v>
      </c>
      <c r="U3022" s="785">
        <v>44631.636157407404</v>
      </c>
    </row>
    <row r="3023" spans="1:21">
      <c r="A3023" s="782">
        <v>44437</v>
      </c>
      <c r="B3023" s="783" t="s">
        <v>51</v>
      </c>
      <c r="C3023" s="783" t="s">
        <v>4796</v>
      </c>
      <c r="D3023" s="783" t="s">
        <v>4016</v>
      </c>
      <c r="E3023" s="783" t="s">
        <v>1435</v>
      </c>
      <c r="F3023" s="783" t="s">
        <v>4011</v>
      </c>
      <c r="G3023" s="783" t="str">
        <f t="shared" si="163"/>
        <v>Renewal (15% in 2020)</v>
      </c>
      <c r="H3023" s="783" t="s">
        <v>6163</v>
      </c>
      <c r="I3023" s="783" t="s">
        <v>6164</v>
      </c>
      <c r="J3023" s="783">
        <v>15</v>
      </c>
      <c r="K3023" s="783" t="s">
        <v>137</v>
      </c>
      <c r="L3023" s="783" t="s">
        <v>4014</v>
      </c>
      <c r="M3023" s="784">
        <v>18848</v>
      </c>
      <c r="N3023" s="784">
        <v>15.5</v>
      </c>
      <c r="O3023" s="784">
        <v>6.4</v>
      </c>
      <c r="P3023" s="783">
        <v>190</v>
      </c>
      <c r="Q3023" s="783">
        <v>1387.21</v>
      </c>
      <c r="R3023" s="783">
        <v>548.08000000000004</v>
      </c>
      <c r="S3023" s="783">
        <v>166.26</v>
      </c>
      <c r="T3023" s="783">
        <v>672.87</v>
      </c>
      <c r="U3023" s="785">
        <v>44631.633136574099</v>
      </c>
    </row>
    <row r="3024" spans="1:21">
      <c r="A3024" s="782">
        <v>44435</v>
      </c>
      <c r="B3024" s="783" t="s">
        <v>4025</v>
      </c>
      <c r="C3024" s="783" t="s">
        <v>4026</v>
      </c>
      <c r="D3024" s="783" t="s">
        <v>4021</v>
      </c>
      <c r="E3024" s="783" t="s">
        <v>6165</v>
      </c>
      <c r="F3024" s="783" t="s">
        <v>4011</v>
      </c>
      <c r="G3024" s="783" t="str">
        <f t="shared" si="163"/>
        <v>New Contract</v>
      </c>
      <c r="H3024" s="783" t="s">
        <v>6166</v>
      </c>
      <c r="I3024" s="783" t="s">
        <v>6167</v>
      </c>
      <c r="J3024" s="783">
        <v>20</v>
      </c>
      <c r="K3024" s="783" t="s">
        <v>137</v>
      </c>
      <c r="L3024" s="783" t="s">
        <v>4014</v>
      </c>
      <c r="M3024" s="784">
        <v>37767.599999999999</v>
      </c>
      <c r="N3024" s="784">
        <v>34.97</v>
      </c>
      <c r="O3024" s="784">
        <v>5.4</v>
      </c>
      <c r="P3024" s="783">
        <v>200</v>
      </c>
      <c r="Q3024" s="783">
        <v>1654.22</v>
      </c>
      <c r="R3024" s="783">
        <v>812.19</v>
      </c>
      <c r="S3024" s="783">
        <v>301.95</v>
      </c>
      <c r="T3024" s="783">
        <v>540.08000000000004</v>
      </c>
      <c r="U3024" s="785">
        <v>44631.636284722197</v>
      </c>
    </row>
    <row r="3025" spans="1:21">
      <c r="A3025" s="782">
        <v>44434</v>
      </c>
      <c r="B3025" s="783" t="s">
        <v>41</v>
      </c>
      <c r="C3025" s="783" t="s">
        <v>4092</v>
      </c>
      <c r="D3025" s="783" t="s">
        <v>4009</v>
      </c>
      <c r="E3025" s="783" t="s">
        <v>79</v>
      </c>
      <c r="F3025" s="783" t="s">
        <v>4011</v>
      </c>
      <c r="G3025" s="783" t="str">
        <f t="shared" si="163"/>
        <v>Renewal (20% in 2020)</v>
      </c>
      <c r="H3025" s="783" t="s">
        <v>6168</v>
      </c>
      <c r="I3025" s="783" t="s">
        <v>6169</v>
      </c>
      <c r="J3025" s="783">
        <v>20</v>
      </c>
      <c r="K3025" s="783" t="s">
        <v>137</v>
      </c>
      <c r="L3025" s="783" t="s">
        <v>4014</v>
      </c>
      <c r="M3025" s="784">
        <v>13836.06</v>
      </c>
      <c r="N3025" s="784">
        <v>12.51</v>
      </c>
      <c r="O3025" s="784">
        <v>5.53</v>
      </c>
      <c r="P3025" s="783">
        <v>200</v>
      </c>
      <c r="Q3025" s="783">
        <v>895.19</v>
      </c>
      <c r="R3025" s="783">
        <v>448.08</v>
      </c>
      <c r="S3025" s="783">
        <v>180.08</v>
      </c>
      <c r="T3025" s="783">
        <v>267.04000000000002</v>
      </c>
      <c r="U3025" s="785">
        <v>44631.6334837963</v>
      </c>
    </row>
    <row r="3026" spans="1:21">
      <c r="A3026" s="782">
        <v>44589</v>
      </c>
      <c r="B3026" s="783" t="s">
        <v>4025</v>
      </c>
      <c r="C3026" s="783" t="s">
        <v>4026</v>
      </c>
      <c r="D3026" s="783" t="s">
        <v>4021</v>
      </c>
      <c r="E3026" s="783" t="s">
        <v>6170</v>
      </c>
      <c r="F3026" s="783" t="s">
        <v>4011</v>
      </c>
      <c r="G3026" s="783" t="s">
        <v>4028</v>
      </c>
      <c r="H3026" s="783" t="s">
        <v>6171</v>
      </c>
      <c r="I3026" s="783" t="s">
        <v>6172</v>
      </c>
      <c r="J3026" s="783">
        <v>25</v>
      </c>
      <c r="K3026" s="783" t="s">
        <v>137</v>
      </c>
      <c r="L3026" s="783" t="s">
        <v>4014</v>
      </c>
      <c r="M3026" s="784">
        <v>28352.6</v>
      </c>
      <c r="N3026" s="784">
        <v>26.9</v>
      </c>
      <c r="O3026" s="784">
        <v>5.27</v>
      </c>
      <c r="P3026" s="783">
        <v>200</v>
      </c>
      <c r="Q3026" s="783">
        <v>972.49</v>
      </c>
      <c r="R3026" s="783">
        <v>609.72</v>
      </c>
      <c r="S3026" s="783">
        <v>226.68</v>
      </c>
      <c r="T3026" s="783">
        <v>136.09</v>
      </c>
      <c r="U3026" s="785">
        <v>44631.636053240698</v>
      </c>
    </row>
    <row r="3027" spans="1:21">
      <c r="A3027" s="782">
        <v>44587</v>
      </c>
      <c r="B3027" s="783" t="s">
        <v>41</v>
      </c>
      <c r="C3027" s="783" t="s">
        <v>4092</v>
      </c>
      <c r="D3027" s="783" t="s">
        <v>4009</v>
      </c>
      <c r="E3027" s="783" t="s">
        <v>6176</v>
      </c>
      <c r="F3027" s="783" t="s">
        <v>4011</v>
      </c>
      <c r="G3027" s="783" t="s">
        <v>4028</v>
      </c>
      <c r="H3027" s="783" t="s">
        <v>6177</v>
      </c>
      <c r="I3027" s="783" t="s">
        <v>6178</v>
      </c>
      <c r="J3027" s="783">
        <v>25</v>
      </c>
      <c r="K3027" s="783" t="s">
        <v>137</v>
      </c>
      <c r="L3027" s="783" t="s">
        <v>4014</v>
      </c>
      <c r="M3027" s="784">
        <v>3992.06</v>
      </c>
      <c r="N3027" s="784">
        <v>4.13</v>
      </c>
      <c r="O3027" s="784">
        <v>5.37</v>
      </c>
      <c r="P3027" s="783">
        <v>180</v>
      </c>
      <c r="Q3027" s="783">
        <v>198.8</v>
      </c>
      <c r="R3027" s="783">
        <v>143.65</v>
      </c>
      <c r="S3027" s="783">
        <v>37.590000000000003</v>
      </c>
      <c r="T3027" s="783">
        <v>17.57</v>
      </c>
      <c r="U3027" s="785">
        <v>44631.633472222202</v>
      </c>
    </row>
    <row r="3028" spans="1:21">
      <c r="A3028" s="782">
        <v>44462</v>
      </c>
      <c r="B3028" s="783" t="s">
        <v>51</v>
      </c>
      <c r="C3028" s="783" t="s">
        <v>4042</v>
      </c>
      <c r="D3028" s="783" t="s">
        <v>4016</v>
      </c>
      <c r="E3028" s="783" t="s">
        <v>6183</v>
      </c>
      <c r="F3028" s="783" t="s">
        <v>4011</v>
      </c>
      <c r="G3028" s="783" t="str">
        <f>VLOOKUP(I3028,pacage,2,FALSE)</f>
        <v>Renewal (30% in 2020)</v>
      </c>
      <c r="H3028" s="783" t="s">
        <v>6184</v>
      </c>
      <c r="I3028" s="783" t="s">
        <v>6185</v>
      </c>
      <c r="J3028" s="783">
        <v>30</v>
      </c>
      <c r="K3028" s="783" t="s">
        <v>137</v>
      </c>
      <c r="L3028" s="783" t="s">
        <v>4014</v>
      </c>
      <c r="M3028" s="784">
        <v>65664</v>
      </c>
      <c r="N3028" s="784">
        <v>68.400000000000006</v>
      </c>
      <c r="O3028" s="784">
        <v>6</v>
      </c>
      <c r="P3028" s="783">
        <v>160</v>
      </c>
      <c r="Q3028" s="783">
        <v>2685.66</v>
      </c>
      <c r="R3028" s="783">
        <v>2317.94</v>
      </c>
      <c r="S3028" s="783">
        <v>0</v>
      </c>
      <c r="T3028" s="783">
        <v>367.72</v>
      </c>
      <c r="U3028" s="785">
        <v>44631.636134259301</v>
      </c>
    </row>
    <row r="3029" spans="1:21">
      <c r="A3029" s="782">
        <v>44558</v>
      </c>
      <c r="B3029" s="783" t="s">
        <v>74</v>
      </c>
      <c r="C3029" s="783" t="s">
        <v>4037</v>
      </c>
      <c r="D3029" s="783" t="s">
        <v>4038</v>
      </c>
      <c r="E3029" s="783" t="s">
        <v>4723</v>
      </c>
      <c r="F3029" s="783" t="s">
        <v>4066</v>
      </c>
      <c r="G3029" s="783" t="s">
        <v>4028</v>
      </c>
      <c r="H3029" s="783" t="s">
        <v>4724</v>
      </c>
      <c r="I3029" s="783" t="s">
        <v>4725</v>
      </c>
      <c r="J3029" s="783">
        <v>10</v>
      </c>
      <c r="K3029" s="783" t="s">
        <v>137</v>
      </c>
      <c r="L3029" s="783" t="s">
        <v>4014</v>
      </c>
      <c r="M3029" s="784">
        <v>13018</v>
      </c>
      <c r="N3029" s="784">
        <v>23</v>
      </c>
      <c r="O3029" s="784">
        <v>2.83</v>
      </c>
      <c r="P3029" s="783">
        <v>200</v>
      </c>
      <c r="Q3029" s="783">
        <v>451.72</v>
      </c>
      <c r="R3029" s="783">
        <v>0</v>
      </c>
      <c r="S3029" s="783">
        <v>0</v>
      </c>
      <c r="T3029" s="783">
        <v>451.72</v>
      </c>
      <c r="U3029" s="785">
        <v>44631.636909722198</v>
      </c>
    </row>
    <row r="3030" spans="1:21">
      <c r="A3030" s="782">
        <v>44578</v>
      </c>
      <c r="B3030" s="783" t="s">
        <v>4025</v>
      </c>
      <c r="C3030" s="783" t="s">
        <v>4026</v>
      </c>
      <c r="D3030" s="783" t="s">
        <v>4021</v>
      </c>
      <c r="E3030" s="783" t="s">
        <v>6193</v>
      </c>
      <c r="F3030" s="783" t="s">
        <v>4011</v>
      </c>
      <c r="G3030" s="783" t="s">
        <v>4028</v>
      </c>
      <c r="H3030" s="783" t="s">
        <v>6194</v>
      </c>
      <c r="I3030" s="783" t="s">
        <v>6195</v>
      </c>
      <c r="J3030" s="783">
        <v>25</v>
      </c>
      <c r="K3030" s="783" t="s">
        <v>137</v>
      </c>
      <c r="L3030" s="783" t="s">
        <v>4014</v>
      </c>
      <c r="M3030" s="784">
        <v>98010</v>
      </c>
      <c r="N3030" s="784">
        <v>81</v>
      </c>
      <c r="O3030" s="784">
        <v>5.5</v>
      </c>
      <c r="P3030" s="783">
        <v>220</v>
      </c>
      <c r="Q3030" s="783">
        <v>3361.74</v>
      </c>
      <c r="R3030" s="783">
        <v>1916.1</v>
      </c>
      <c r="S3030" s="783">
        <v>975.2</v>
      </c>
      <c r="T3030" s="783">
        <v>470.45</v>
      </c>
      <c r="U3030" s="785">
        <v>44631.637013888903</v>
      </c>
    </row>
    <row r="3031" spans="1:21">
      <c r="A3031" s="782">
        <v>44551</v>
      </c>
      <c r="B3031" s="783" t="s">
        <v>41</v>
      </c>
      <c r="C3031" s="783" t="s">
        <v>4082</v>
      </c>
      <c r="D3031" s="783" t="s">
        <v>4009</v>
      </c>
      <c r="E3031" s="783" t="s">
        <v>6198</v>
      </c>
      <c r="F3031" s="783" t="s">
        <v>4011</v>
      </c>
      <c r="G3031" s="783" t="str">
        <f>VLOOKUP(I3031,pacage,2,FALSE)</f>
        <v>Renewal (25% in 2020)</v>
      </c>
      <c r="H3031" s="783" t="s">
        <v>6199</v>
      </c>
      <c r="I3031" s="783" t="s">
        <v>6200</v>
      </c>
      <c r="J3031" s="783">
        <v>25</v>
      </c>
      <c r="K3031" s="783" t="s">
        <v>137</v>
      </c>
      <c r="L3031" s="783" t="s">
        <v>4014</v>
      </c>
      <c r="M3031" s="784">
        <v>10250.24</v>
      </c>
      <c r="N3031" s="784">
        <v>10.4</v>
      </c>
      <c r="O3031" s="784">
        <v>6.16</v>
      </c>
      <c r="P3031" s="783">
        <v>160</v>
      </c>
      <c r="Q3031" s="783">
        <v>521.74</v>
      </c>
      <c r="R3031" s="783">
        <v>400.78</v>
      </c>
      <c r="S3031" s="783">
        <v>75.849999999999994</v>
      </c>
      <c r="T3031" s="783">
        <v>45.1</v>
      </c>
      <c r="U3031" s="785">
        <v>44631.637118055602</v>
      </c>
    </row>
    <row r="3032" spans="1:21">
      <c r="A3032" s="782">
        <v>44551</v>
      </c>
      <c r="B3032" s="783" t="s">
        <v>41</v>
      </c>
      <c r="C3032" s="783" t="s">
        <v>4082</v>
      </c>
      <c r="D3032" s="783" t="s">
        <v>4009</v>
      </c>
      <c r="E3032" s="783" t="s">
        <v>4729</v>
      </c>
      <c r="F3032" s="783" t="s">
        <v>4011</v>
      </c>
      <c r="G3032" s="783" t="str">
        <f>VLOOKUP(I3032,pacage,2,FALSE)</f>
        <v>New contract</v>
      </c>
      <c r="H3032" s="783" t="s">
        <v>4730</v>
      </c>
      <c r="I3032" s="783" t="s">
        <v>4731</v>
      </c>
      <c r="J3032" s="783">
        <v>25</v>
      </c>
      <c r="K3032" s="783" t="s">
        <v>137</v>
      </c>
      <c r="L3032" s="783" t="s">
        <v>4014</v>
      </c>
      <c r="M3032" s="784">
        <v>77002.61</v>
      </c>
      <c r="N3032" s="784">
        <v>47.43</v>
      </c>
      <c r="O3032" s="784">
        <v>9.5500000000000007</v>
      </c>
      <c r="P3032" s="783">
        <v>170</v>
      </c>
      <c r="Q3032" s="783">
        <v>3919.43</v>
      </c>
      <c r="R3032" s="783">
        <v>3010.8</v>
      </c>
      <c r="S3032" s="783">
        <v>569.82000000000005</v>
      </c>
      <c r="T3032" s="783">
        <v>338.81</v>
      </c>
      <c r="U3032" s="785">
        <v>44631.637164351901</v>
      </c>
    </row>
    <row r="3033" spans="1:21">
      <c r="A3033" s="782">
        <v>44552</v>
      </c>
      <c r="B3033" s="783" t="s">
        <v>41</v>
      </c>
      <c r="C3033" s="783" t="s">
        <v>4071</v>
      </c>
      <c r="D3033" s="783" t="s">
        <v>4009</v>
      </c>
      <c r="E3033" s="783" t="s">
        <v>6218</v>
      </c>
      <c r="F3033" s="783" t="s">
        <v>4011</v>
      </c>
      <c r="G3033" s="783" t="str">
        <f>VLOOKUP(I3033,pacage,2,FALSE)</f>
        <v>Renewal (30% in 2020)</v>
      </c>
      <c r="H3033" s="783" t="s">
        <v>6219</v>
      </c>
      <c r="I3033" s="783" t="s">
        <v>6220</v>
      </c>
      <c r="J3033" s="783">
        <v>25</v>
      </c>
      <c r="K3033" s="783" t="s">
        <v>137</v>
      </c>
      <c r="L3033" s="783" t="s">
        <v>4014</v>
      </c>
      <c r="M3033" s="784">
        <v>1135.2</v>
      </c>
      <c r="N3033" s="784">
        <v>1</v>
      </c>
      <c r="O3033" s="784">
        <v>5.16</v>
      </c>
      <c r="P3033" s="783">
        <v>220</v>
      </c>
      <c r="Q3033" s="783">
        <v>59.14</v>
      </c>
      <c r="R3033" s="783">
        <v>35.97</v>
      </c>
      <c r="S3033" s="783">
        <v>18.07</v>
      </c>
      <c r="T3033" s="783">
        <v>5.1100000000000003</v>
      </c>
      <c r="U3033" s="785">
        <v>44631.636874999997</v>
      </c>
    </row>
    <row r="3034" spans="1:21">
      <c r="A3034" s="782">
        <v>44560</v>
      </c>
      <c r="B3034" s="783" t="s">
        <v>74</v>
      </c>
      <c r="C3034" s="783" t="s">
        <v>4097</v>
      </c>
      <c r="D3034" s="783" t="s">
        <v>4038</v>
      </c>
      <c r="E3034" s="783" t="s">
        <v>6221</v>
      </c>
      <c r="F3034" s="783" t="s">
        <v>4066</v>
      </c>
      <c r="G3034" s="783" t="s">
        <v>4028</v>
      </c>
      <c r="H3034" s="783" t="s">
        <v>6222</v>
      </c>
      <c r="I3034" s="783" t="s">
        <v>6223</v>
      </c>
      <c r="J3034" s="783">
        <v>10</v>
      </c>
      <c r="K3034" s="783" t="s">
        <v>137</v>
      </c>
      <c r="L3034" s="783" t="s">
        <v>4014</v>
      </c>
      <c r="M3034" s="784">
        <v>3821.4</v>
      </c>
      <c r="N3034" s="784">
        <v>3.86</v>
      </c>
      <c r="O3034" s="784">
        <v>5.5</v>
      </c>
      <c r="P3034" s="783">
        <v>180</v>
      </c>
      <c r="Q3034" s="783">
        <v>104.32</v>
      </c>
      <c r="R3034" s="783">
        <v>0</v>
      </c>
      <c r="S3034" s="783">
        <v>0</v>
      </c>
      <c r="T3034" s="783">
        <v>104.32</v>
      </c>
      <c r="U3034" s="785">
        <v>44631.637048611097</v>
      </c>
    </row>
    <row r="3035" spans="1:21">
      <c r="A3035" s="782">
        <v>44553</v>
      </c>
      <c r="B3035" s="783" t="s">
        <v>41</v>
      </c>
      <c r="C3035" s="783" t="s">
        <v>4092</v>
      </c>
      <c r="D3035" s="783" t="s">
        <v>4009</v>
      </c>
      <c r="E3035" s="783" t="s">
        <v>6230</v>
      </c>
      <c r="F3035" s="783" t="s">
        <v>4011</v>
      </c>
      <c r="G3035" s="783" t="str">
        <f t="shared" ref="G3035:G3051" si="164">VLOOKUP(I3035,pacage,2,FALSE)</f>
        <v>Renewal (30% in 2020)</v>
      </c>
      <c r="H3035" s="783" t="s">
        <v>6231</v>
      </c>
      <c r="I3035" s="783" t="s">
        <v>6232</v>
      </c>
      <c r="J3035" s="783">
        <v>30</v>
      </c>
      <c r="K3035" s="783" t="s">
        <v>137</v>
      </c>
      <c r="L3035" s="783" t="s">
        <v>4014</v>
      </c>
      <c r="M3035" s="784">
        <v>33148.5</v>
      </c>
      <c r="N3035" s="784">
        <v>30.75</v>
      </c>
      <c r="O3035" s="784">
        <v>4.9000000000000004</v>
      </c>
      <c r="P3035" s="783">
        <v>220</v>
      </c>
      <c r="Q3035" s="783">
        <v>1408.81</v>
      </c>
      <c r="R3035" s="783">
        <v>975.92</v>
      </c>
      <c r="S3035" s="783">
        <v>287.04000000000002</v>
      </c>
      <c r="T3035" s="783">
        <v>145.85</v>
      </c>
      <c r="U3035" s="785">
        <v>44631.637083333299</v>
      </c>
    </row>
    <row r="3036" spans="1:21">
      <c r="A3036" s="782">
        <v>44452</v>
      </c>
      <c r="B3036" s="783" t="s">
        <v>228</v>
      </c>
      <c r="C3036" s="783" t="s">
        <v>4192</v>
      </c>
      <c r="D3036" s="783" t="s">
        <v>4193</v>
      </c>
      <c r="E3036" s="783" t="s">
        <v>6241</v>
      </c>
      <c r="F3036" s="783" t="s">
        <v>4011</v>
      </c>
      <c r="G3036" s="783" t="str">
        <f t="shared" si="164"/>
        <v>Renewal (20% in 2020)</v>
      </c>
      <c r="H3036" s="783" t="s">
        <v>6242</v>
      </c>
      <c r="I3036" s="783" t="s">
        <v>6243</v>
      </c>
      <c r="J3036" s="783">
        <v>20</v>
      </c>
      <c r="K3036" s="783" t="s">
        <v>137</v>
      </c>
      <c r="L3036" s="783" t="s">
        <v>4014</v>
      </c>
      <c r="M3036" s="784">
        <v>23122.94</v>
      </c>
      <c r="N3036" s="784">
        <v>30.88</v>
      </c>
      <c r="O3036" s="784">
        <v>4.68</v>
      </c>
      <c r="P3036" s="783">
        <v>160</v>
      </c>
      <c r="Q3036" s="783">
        <v>1486.81</v>
      </c>
      <c r="R3036" s="783">
        <v>880.98</v>
      </c>
      <c r="S3036" s="783">
        <v>145.66999999999999</v>
      </c>
      <c r="T3036" s="783">
        <v>460.15</v>
      </c>
      <c r="U3036" s="785">
        <v>44631.6335300926</v>
      </c>
    </row>
    <row r="3037" spans="1:21">
      <c r="A3037" s="782">
        <v>44455</v>
      </c>
      <c r="B3037" s="783" t="s">
        <v>51</v>
      </c>
      <c r="C3037" s="783" t="s">
        <v>4042</v>
      </c>
      <c r="D3037" s="783" t="s">
        <v>4016</v>
      </c>
      <c r="E3037" s="783" t="s">
        <v>6244</v>
      </c>
      <c r="F3037" s="783" t="s">
        <v>4011</v>
      </c>
      <c r="G3037" s="783" t="str">
        <f t="shared" si="164"/>
        <v>New Contract</v>
      </c>
      <c r="H3037" s="783" t="s">
        <v>6245</v>
      </c>
      <c r="I3037" s="783" t="s">
        <v>6246</v>
      </c>
      <c r="J3037" s="783">
        <v>30</v>
      </c>
      <c r="K3037" s="783" t="s">
        <v>137</v>
      </c>
      <c r="L3037" s="783" t="s">
        <v>4014</v>
      </c>
      <c r="M3037" s="784">
        <v>58206.5</v>
      </c>
      <c r="N3037" s="784">
        <v>55</v>
      </c>
      <c r="O3037" s="784">
        <v>5.57</v>
      </c>
      <c r="P3037" s="783">
        <v>190</v>
      </c>
      <c r="Q3037" s="783">
        <v>2380.65</v>
      </c>
      <c r="R3037" s="783">
        <v>1838.41</v>
      </c>
      <c r="S3037" s="783">
        <v>216.28</v>
      </c>
      <c r="T3037" s="783">
        <v>325.95999999999998</v>
      </c>
      <c r="U3037" s="785">
        <v>44631.636574074102</v>
      </c>
    </row>
    <row r="3038" spans="1:21">
      <c r="A3038" s="782">
        <v>44485</v>
      </c>
      <c r="B3038" s="783" t="s">
        <v>51</v>
      </c>
      <c r="C3038" s="783" t="s">
        <v>4796</v>
      </c>
      <c r="D3038" s="783" t="s">
        <v>4016</v>
      </c>
      <c r="E3038" s="783" t="s">
        <v>3366</v>
      </c>
      <c r="F3038" s="783" t="s">
        <v>4011</v>
      </c>
      <c r="G3038" s="783" t="str">
        <f t="shared" si="164"/>
        <v>Renewal (25% in 2020)</v>
      </c>
      <c r="H3038" s="783" t="s">
        <v>6279</v>
      </c>
      <c r="I3038" s="783" t="s">
        <v>6280</v>
      </c>
      <c r="J3038" s="783">
        <v>30</v>
      </c>
      <c r="K3038" s="783" t="s">
        <v>137</v>
      </c>
      <c r="L3038" s="783" t="s">
        <v>4014</v>
      </c>
      <c r="M3038" s="784">
        <v>10012.799999999999</v>
      </c>
      <c r="N3038" s="784">
        <v>14</v>
      </c>
      <c r="O3038" s="784">
        <v>4.47</v>
      </c>
      <c r="P3038" s="783">
        <v>160</v>
      </c>
      <c r="Q3038" s="783">
        <v>375.48</v>
      </c>
      <c r="R3038" s="783">
        <v>325.42</v>
      </c>
      <c r="S3038" s="783">
        <v>0</v>
      </c>
      <c r="T3038" s="783">
        <v>50.06</v>
      </c>
      <c r="U3038" s="785">
        <v>44631.637372685203</v>
      </c>
    </row>
    <row r="3039" spans="1:21">
      <c r="A3039" s="782">
        <v>44523</v>
      </c>
      <c r="B3039" s="783" t="s">
        <v>41</v>
      </c>
      <c r="C3039" s="783" t="s">
        <v>4071</v>
      </c>
      <c r="D3039" s="783" t="s">
        <v>4009</v>
      </c>
      <c r="E3039" s="783" t="s">
        <v>4072</v>
      </c>
      <c r="F3039" s="783" t="s">
        <v>4011</v>
      </c>
      <c r="G3039" s="783" t="str">
        <f t="shared" si="164"/>
        <v>Renewal (15% in 2020)</v>
      </c>
      <c r="H3039" s="783" t="s">
        <v>4073</v>
      </c>
      <c r="I3039" s="783" t="s">
        <v>4074</v>
      </c>
      <c r="J3039" s="783">
        <v>15</v>
      </c>
      <c r="K3039" s="783" t="s">
        <v>137</v>
      </c>
      <c r="L3039" s="783" t="s">
        <v>4014</v>
      </c>
      <c r="M3039" s="784">
        <v>5155.2</v>
      </c>
      <c r="N3039" s="784">
        <v>6</v>
      </c>
      <c r="O3039" s="784">
        <v>5.37</v>
      </c>
      <c r="P3039" s="783">
        <v>160</v>
      </c>
      <c r="Q3039" s="783">
        <v>468.09</v>
      </c>
      <c r="R3039" s="783">
        <v>211.36</v>
      </c>
      <c r="S3039" s="783">
        <v>34.020000000000003</v>
      </c>
      <c r="T3039" s="783">
        <v>222.7</v>
      </c>
      <c r="U3039" s="785">
        <v>44631.637430555602</v>
      </c>
    </row>
    <row r="3040" spans="1:21">
      <c r="A3040" s="782">
        <v>44510</v>
      </c>
      <c r="B3040" s="783" t="s">
        <v>4025</v>
      </c>
      <c r="C3040" s="783" t="s">
        <v>4026</v>
      </c>
      <c r="D3040" s="783" t="s">
        <v>4021</v>
      </c>
      <c r="E3040" s="783" t="s">
        <v>6296</v>
      </c>
      <c r="F3040" s="783" t="s">
        <v>4011</v>
      </c>
      <c r="G3040" s="783" t="str">
        <f t="shared" si="164"/>
        <v>New Contract</v>
      </c>
      <c r="H3040" s="783" t="s">
        <v>6297</v>
      </c>
      <c r="I3040" s="783" t="s">
        <v>6298</v>
      </c>
      <c r="J3040" s="783">
        <v>25</v>
      </c>
      <c r="K3040" s="783" t="s">
        <v>137</v>
      </c>
      <c r="L3040" s="783" t="s">
        <v>4014</v>
      </c>
      <c r="M3040" s="784">
        <v>16982.75</v>
      </c>
      <c r="N3040" s="784">
        <v>22.29</v>
      </c>
      <c r="O3040" s="784">
        <v>4.01</v>
      </c>
      <c r="P3040" s="783">
        <v>190</v>
      </c>
      <c r="Q3040" s="783">
        <v>582.51</v>
      </c>
      <c r="R3040" s="783">
        <v>384.44</v>
      </c>
      <c r="S3040" s="783">
        <v>116.56</v>
      </c>
      <c r="T3040" s="783">
        <v>81.52</v>
      </c>
      <c r="U3040" s="785">
        <v>44631.637349536999</v>
      </c>
    </row>
    <row r="3041" spans="1:21">
      <c r="A3041" s="782">
        <v>44505</v>
      </c>
      <c r="B3041" s="783" t="s">
        <v>4025</v>
      </c>
      <c r="C3041" s="783" t="s">
        <v>4026</v>
      </c>
      <c r="D3041" s="783" t="s">
        <v>4021</v>
      </c>
      <c r="E3041" s="783" t="s">
        <v>6299</v>
      </c>
      <c r="F3041" s="783" t="s">
        <v>4011</v>
      </c>
      <c r="G3041" s="783" t="str">
        <f t="shared" si="164"/>
        <v>New Contract</v>
      </c>
      <c r="H3041" s="783" t="s">
        <v>6300</v>
      </c>
      <c r="I3041" s="783" t="s">
        <v>6301</v>
      </c>
      <c r="J3041" s="783">
        <v>25</v>
      </c>
      <c r="K3041" s="783" t="s">
        <v>137</v>
      </c>
      <c r="L3041" s="783" t="s">
        <v>4014</v>
      </c>
      <c r="M3041" s="784">
        <v>27323.63</v>
      </c>
      <c r="N3041" s="784">
        <v>26.78</v>
      </c>
      <c r="O3041" s="784">
        <v>5.37</v>
      </c>
      <c r="P3041" s="783">
        <v>190</v>
      </c>
      <c r="Q3041" s="783">
        <v>937.2</v>
      </c>
      <c r="R3041" s="783">
        <v>618.52</v>
      </c>
      <c r="S3041" s="783">
        <v>187.53</v>
      </c>
      <c r="T3041" s="783">
        <v>131.15</v>
      </c>
      <c r="U3041" s="785">
        <v>44631.637650463003</v>
      </c>
    </row>
    <row r="3042" spans="1:21">
      <c r="A3042" s="782">
        <v>44476</v>
      </c>
      <c r="B3042" s="783" t="s">
        <v>41</v>
      </c>
      <c r="C3042" s="783" t="s">
        <v>4092</v>
      </c>
      <c r="D3042" s="783" t="s">
        <v>4009</v>
      </c>
      <c r="E3042" s="783" t="s">
        <v>6320</v>
      </c>
      <c r="F3042" s="783" t="s">
        <v>4011</v>
      </c>
      <c r="G3042" s="783" t="str">
        <f t="shared" si="164"/>
        <v>Renewal (30% in 2020)</v>
      </c>
      <c r="H3042" s="783" t="s">
        <v>6321</v>
      </c>
      <c r="I3042" s="783" t="s">
        <v>6322</v>
      </c>
      <c r="J3042" s="783">
        <v>30</v>
      </c>
      <c r="K3042" s="783" t="s">
        <v>137</v>
      </c>
      <c r="L3042" s="783" t="s">
        <v>4014</v>
      </c>
      <c r="M3042" s="784">
        <v>20365.830000000002</v>
      </c>
      <c r="N3042" s="784">
        <v>15.3</v>
      </c>
      <c r="O3042" s="784">
        <v>7.83</v>
      </c>
      <c r="P3042" s="783">
        <v>170</v>
      </c>
      <c r="Q3042" s="783">
        <v>865.55</v>
      </c>
      <c r="R3042" s="783">
        <v>775.94</v>
      </c>
      <c r="S3042" s="783">
        <v>0</v>
      </c>
      <c r="T3042" s="783">
        <v>89.61</v>
      </c>
      <c r="U3042" s="785">
        <v>44631.636666666702</v>
      </c>
    </row>
    <row r="3043" spans="1:21">
      <c r="A3043" s="782">
        <v>44468</v>
      </c>
      <c r="B3043" s="783" t="s">
        <v>51</v>
      </c>
      <c r="C3043" s="783" t="s">
        <v>4015</v>
      </c>
      <c r="D3043" s="783" t="s">
        <v>4016</v>
      </c>
      <c r="E3043" s="783" t="s">
        <v>6328</v>
      </c>
      <c r="F3043" s="783" t="s">
        <v>4011</v>
      </c>
      <c r="G3043" s="783" t="str">
        <f t="shared" si="164"/>
        <v>New Contract</v>
      </c>
      <c r="H3043" s="783" t="s">
        <v>6329</v>
      </c>
      <c r="I3043" s="783" t="s">
        <v>6330</v>
      </c>
      <c r="J3043" s="783">
        <v>15</v>
      </c>
      <c r="K3043" s="783" t="s">
        <v>137</v>
      </c>
      <c r="L3043" s="783" t="s">
        <v>4014</v>
      </c>
      <c r="M3043" s="784">
        <v>30690.7</v>
      </c>
      <c r="N3043" s="784">
        <v>29</v>
      </c>
      <c r="O3043" s="784">
        <v>5.57</v>
      </c>
      <c r="P3043" s="783">
        <v>190</v>
      </c>
      <c r="Q3043" s="783">
        <v>2489.02</v>
      </c>
      <c r="R3043" s="783">
        <v>1095.6600000000001</v>
      </c>
      <c r="S3043" s="783">
        <v>181.08</v>
      </c>
      <c r="T3043" s="783">
        <v>1212.28</v>
      </c>
      <c r="U3043" s="785">
        <v>44631.636666666702</v>
      </c>
    </row>
    <row r="3044" spans="1:21">
      <c r="A3044" s="782">
        <v>44466</v>
      </c>
      <c r="B3044" s="783" t="s">
        <v>51</v>
      </c>
      <c r="C3044" s="783" t="s">
        <v>4042</v>
      </c>
      <c r="D3044" s="783" t="s">
        <v>4016</v>
      </c>
      <c r="E3044" s="783" t="s">
        <v>6331</v>
      </c>
      <c r="F3044" s="783" t="s">
        <v>4011</v>
      </c>
      <c r="G3044" s="783" t="str">
        <f t="shared" si="164"/>
        <v>New Contract</v>
      </c>
      <c r="H3044" s="783" t="s">
        <v>6332</v>
      </c>
      <c r="I3044" s="783" t="s">
        <v>6333</v>
      </c>
      <c r="J3044" s="783">
        <v>30</v>
      </c>
      <c r="K3044" s="783" t="s">
        <v>137</v>
      </c>
      <c r="L3044" s="783" t="s">
        <v>4014</v>
      </c>
      <c r="M3044" s="784">
        <v>34546.5</v>
      </c>
      <c r="N3044" s="784">
        <v>25.59</v>
      </c>
      <c r="O3044" s="784">
        <v>7.5</v>
      </c>
      <c r="P3044" s="783">
        <v>180</v>
      </c>
      <c r="Q3044" s="783">
        <v>1412.95</v>
      </c>
      <c r="R3044" s="783">
        <v>1151.74</v>
      </c>
      <c r="S3044" s="783">
        <v>67.75</v>
      </c>
      <c r="T3044" s="783">
        <v>193.46</v>
      </c>
      <c r="U3044" s="785">
        <v>44631.636666666702</v>
      </c>
    </row>
    <row r="3045" spans="1:21">
      <c r="A3045" s="782">
        <v>44545</v>
      </c>
      <c r="B3045" s="783" t="s">
        <v>882</v>
      </c>
      <c r="C3045" s="783" t="s">
        <v>4052</v>
      </c>
      <c r="D3045" s="783" t="s">
        <v>4021</v>
      </c>
      <c r="E3045" s="783" t="s">
        <v>6340</v>
      </c>
      <c r="F3045" s="783" t="s">
        <v>4011</v>
      </c>
      <c r="G3045" s="783" t="str">
        <f t="shared" si="164"/>
        <v>Renewal (25% in 2020)</v>
      </c>
      <c r="H3045" s="783" t="s">
        <v>6341</v>
      </c>
      <c r="I3045" s="783" t="s">
        <v>6342</v>
      </c>
      <c r="J3045" s="783">
        <v>15</v>
      </c>
      <c r="K3045" s="783" t="s">
        <v>137</v>
      </c>
      <c r="L3045" s="783" t="s">
        <v>4014</v>
      </c>
      <c r="M3045" s="784">
        <v>32984</v>
      </c>
      <c r="N3045" s="784">
        <v>41.23</v>
      </c>
      <c r="O3045" s="784">
        <v>4</v>
      </c>
      <c r="P3045" s="783">
        <v>200</v>
      </c>
      <c r="Q3045" s="783">
        <v>2711.28</v>
      </c>
      <c r="R3045" s="783">
        <v>1026.1300000000001</v>
      </c>
      <c r="S3045" s="783">
        <v>378.99</v>
      </c>
      <c r="T3045" s="783">
        <v>1306.17</v>
      </c>
      <c r="U3045" s="785">
        <v>44631.637812499997</v>
      </c>
    </row>
    <row r="3046" spans="1:21">
      <c r="A3046" s="782">
        <v>44501</v>
      </c>
      <c r="B3046" s="783" t="s">
        <v>51</v>
      </c>
      <c r="C3046" s="783" t="s">
        <v>4042</v>
      </c>
      <c r="D3046" s="783" t="s">
        <v>4016</v>
      </c>
      <c r="E3046" s="783" t="s">
        <v>2871</v>
      </c>
      <c r="F3046" s="783" t="s">
        <v>4011</v>
      </c>
      <c r="G3046" s="783" t="str">
        <f t="shared" si="164"/>
        <v>Renewal (15% in 2020)</v>
      </c>
      <c r="H3046" s="783" t="s">
        <v>6351</v>
      </c>
      <c r="I3046" s="783" t="s">
        <v>6352</v>
      </c>
      <c r="J3046" s="783">
        <v>15</v>
      </c>
      <c r="K3046" s="783" t="s">
        <v>137</v>
      </c>
      <c r="L3046" s="783" t="s">
        <v>4014</v>
      </c>
      <c r="M3046" s="784">
        <v>36192.74</v>
      </c>
      <c r="N3046" s="784">
        <v>28.28</v>
      </c>
      <c r="O3046" s="784">
        <v>7.11</v>
      </c>
      <c r="P3046" s="783">
        <v>180</v>
      </c>
      <c r="Q3046" s="783">
        <v>2899.04</v>
      </c>
      <c r="R3046" s="783">
        <v>1206.6300000000001</v>
      </c>
      <c r="S3046" s="783">
        <v>277.27999999999997</v>
      </c>
      <c r="T3046" s="783">
        <v>1415.14</v>
      </c>
      <c r="U3046" s="785">
        <v>44631.638090277796</v>
      </c>
    </row>
    <row r="3047" spans="1:21">
      <c r="A3047" s="782">
        <v>44579</v>
      </c>
      <c r="B3047" s="783" t="s">
        <v>2041</v>
      </c>
      <c r="C3047" s="783" t="s">
        <v>4417</v>
      </c>
      <c r="D3047" s="783" t="s">
        <v>4193</v>
      </c>
      <c r="E3047" s="783" t="s">
        <v>6375</v>
      </c>
      <c r="F3047" s="783" t="s">
        <v>4011</v>
      </c>
      <c r="G3047" s="783" t="str">
        <f t="shared" si="164"/>
        <v>Renewal (15% in 2020)</v>
      </c>
      <c r="H3047" s="783" t="s">
        <v>6376</v>
      </c>
      <c r="I3047" s="783" t="s">
        <v>6377</v>
      </c>
      <c r="J3047" s="783">
        <v>25</v>
      </c>
      <c r="K3047" s="783" t="s">
        <v>137</v>
      </c>
      <c r="L3047" s="783" t="s">
        <v>4014</v>
      </c>
      <c r="M3047" s="784">
        <v>31350</v>
      </c>
      <c r="N3047" s="784">
        <v>19</v>
      </c>
      <c r="O3047" s="784">
        <v>7.5</v>
      </c>
      <c r="P3047" s="783">
        <v>220</v>
      </c>
      <c r="Q3047" s="783">
        <v>1341.78</v>
      </c>
      <c r="R3047" s="783">
        <v>804.27</v>
      </c>
      <c r="S3047" s="783">
        <v>408.98</v>
      </c>
      <c r="T3047" s="783">
        <v>128.54</v>
      </c>
      <c r="U3047" s="785">
        <v>44708.991851851897</v>
      </c>
    </row>
    <row r="3048" spans="1:21">
      <c r="A3048" s="782">
        <v>44579</v>
      </c>
      <c r="B3048" s="783" t="s">
        <v>715</v>
      </c>
      <c r="C3048" s="783" t="s">
        <v>4042</v>
      </c>
      <c r="D3048" s="783" t="s">
        <v>4016</v>
      </c>
      <c r="E3048" s="783" t="s">
        <v>714</v>
      </c>
      <c r="F3048" s="783" t="s">
        <v>4011</v>
      </c>
      <c r="G3048" s="783" t="str">
        <f t="shared" si="164"/>
        <v>Renewal (15% in 2020)</v>
      </c>
      <c r="H3048" s="783" t="s">
        <v>6378</v>
      </c>
      <c r="I3048" s="783" t="s">
        <v>6379</v>
      </c>
      <c r="J3048" s="783">
        <v>15</v>
      </c>
      <c r="K3048" s="783" t="s">
        <v>137</v>
      </c>
      <c r="L3048" s="783" t="s">
        <v>4014</v>
      </c>
      <c r="M3048" s="784">
        <v>27504</v>
      </c>
      <c r="N3048" s="784">
        <v>30</v>
      </c>
      <c r="O3048" s="784">
        <v>5.73</v>
      </c>
      <c r="P3048" s="783">
        <v>160</v>
      </c>
      <c r="Q3048" s="783">
        <v>2203.0700000000002</v>
      </c>
      <c r="R3048" s="783">
        <v>970.89</v>
      </c>
      <c r="S3048" s="783">
        <v>156.77000000000001</v>
      </c>
      <c r="T3048" s="783">
        <v>1075.4100000000001</v>
      </c>
      <c r="U3048" s="785">
        <v>44631.638425925899</v>
      </c>
    </row>
    <row r="3049" spans="1:21">
      <c r="A3049" s="782">
        <v>44622</v>
      </c>
      <c r="B3049" s="783" t="s">
        <v>41</v>
      </c>
      <c r="C3049" s="783" t="s">
        <v>4071</v>
      </c>
      <c r="D3049" s="783" t="s">
        <v>4009</v>
      </c>
      <c r="E3049" s="783" t="s">
        <v>6398</v>
      </c>
      <c r="F3049" s="783" t="s">
        <v>4011</v>
      </c>
      <c r="G3049" s="783" t="str">
        <f t="shared" si="164"/>
        <v>New Contract</v>
      </c>
      <c r="H3049" s="783" t="s">
        <v>6399</v>
      </c>
      <c r="I3049" s="783" t="s">
        <v>6400</v>
      </c>
      <c r="J3049" s="783">
        <v>30</v>
      </c>
      <c r="K3049" s="783" t="s">
        <v>137</v>
      </c>
      <c r="L3049" s="783" t="s">
        <v>4014</v>
      </c>
      <c r="M3049" s="784">
        <v>6315.84</v>
      </c>
      <c r="N3049" s="784">
        <v>6.88</v>
      </c>
      <c r="O3049" s="784">
        <v>5.4</v>
      </c>
      <c r="P3049" s="783">
        <v>170</v>
      </c>
      <c r="Q3049" s="783">
        <v>287.37</v>
      </c>
      <c r="R3049" s="783">
        <v>258.95</v>
      </c>
      <c r="S3049" s="783">
        <v>0</v>
      </c>
      <c r="T3049" s="783">
        <v>28.42</v>
      </c>
      <c r="U3049" s="785">
        <v>44631.638067129599</v>
      </c>
    </row>
    <row r="3050" spans="1:21">
      <c r="A3050" s="782">
        <v>44525</v>
      </c>
      <c r="B3050" s="783" t="s">
        <v>30</v>
      </c>
      <c r="C3050" s="783" t="s">
        <v>4089</v>
      </c>
      <c r="D3050" s="783" t="s">
        <v>4021</v>
      </c>
      <c r="E3050" s="783" t="s">
        <v>6545</v>
      </c>
      <c r="F3050" s="783" t="s">
        <v>4011</v>
      </c>
      <c r="G3050" s="783" t="str">
        <f t="shared" si="164"/>
        <v>New Contract</v>
      </c>
      <c r="H3050" s="783" t="s">
        <v>6546</v>
      </c>
      <c r="I3050" s="783" t="s">
        <v>6547</v>
      </c>
      <c r="J3050" s="783">
        <v>20</v>
      </c>
      <c r="K3050" s="783" t="s">
        <v>137</v>
      </c>
      <c r="L3050" s="783" t="s">
        <v>4014</v>
      </c>
      <c r="M3050" s="784">
        <v>6360.2</v>
      </c>
      <c r="N3050" s="784">
        <v>4.13</v>
      </c>
      <c r="O3050" s="784">
        <v>7</v>
      </c>
      <c r="P3050" s="783">
        <v>220</v>
      </c>
      <c r="Q3050" s="783">
        <v>566.69000000000005</v>
      </c>
      <c r="R3050" s="783">
        <v>251.63</v>
      </c>
      <c r="S3050" s="783">
        <v>128.07</v>
      </c>
      <c r="T3050" s="783">
        <v>186.99</v>
      </c>
      <c r="U3050" s="785">
        <v>44631.638032407398</v>
      </c>
    </row>
    <row r="3051" spans="1:21">
      <c r="A3051" s="782">
        <v>44494</v>
      </c>
      <c r="B3051" s="783" t="s">
        <v>4025</v>
      </c>
      <c r="C3051" s="783" t="s">
        <v>4052</v>
      </c>
      <c r="D3051" s="783" t="s">
        <v>4021</v>
      </c>
      <c r="E3051" s="783" t="s">
        <v>7081</v>
      </c>
      <c r="F3051" s="783" t="s">
        <v>4011</v>
      </c>
      <c r="G3051" s="783" t="str">
        <f t="shared" si="164"/>
        <v>New Contract</v>
      </c>
      <c r="H3051" s="783" t="s">
        <v>7082</v>
      </c>
      <c r="I3051" s="783" t="s">
        <v>7083</v>
      </c>
      <c r="J3051" s="783">
        <v>20</v>
      </c>
      <c r="K3051" s="783" t="s">
        <v>1052</v>
      </c>
      <c r="L3051" s="783" t="s">
        <v>4014</v>
      </c>
      <c r="M3051" s="784">
        <v>7315.27</v>
      </c>
      <c r="N3051" s="784">
        <v>7.1</v>
      </c>
      <c r="O3051" s="784">
        <v>3.18</v>
      </c>
      <c r="P3051" s="783">
        <v>324</v>
      </c>
      <c r="Q3051" s="783">
        <v>493.78</v>
      </c>
      <c r="R3051" s="783">
        <v>291.14999999999998</v>
      </c>
      <c r="S3051" s="783">
        <v>44.62</v>
      </c>
      <c r="T3051" s="783">
        <v>158.01</v>
      </c>
      <c r="U3051" s="785">
        <v>44631.503032407403</v>
      </c>
    </row>
    <row r="3052" spans="1:21">
      <c r="A3052" s="782">
        <v>44692</v>
      </c>
      <c r="B3052" s="783" t="s">
        <v>4025</v>
      </c>
      <c r="C3052" s="783" t="s">
        <v>4026</v>
      </c>
      <c r="D3052" s="783" t="s">
        <v>4021</v>
      </c>
      <c r="E3052" s="783" t="s">
        <v>4772</v>
      </c>
      <c r="F3052" s="783" t="s">
        <v>4066</v>
      </c>
      <c r="G3052" s="783" t="s">
        <v>4028</v>
      </c>
      <c r="H3052" s="783" t="s">
        <v>4773</v>
      </c>
      <c r="I3052" s="783" t="s">
        <v>4774</v>
      </c>
      <c r="J3052" s="783">
        <v>5</v>
      </c>
      <c r="K3052" s="783" t="s">
        <v>1052</v>
      </c>
      <c r="L3052" s="783" t="s">
        <v>4014</v>
      </c>
      <c r="M3052" s="784">
        <v>7200</v>
      </c>
      <c r="N3052" s="784">
        <v>16</v>
      </c>
      <c r="O3052" s="784">
        <v>1.5</v>
      </c>
      <c r="P3052" s="783">
        <v>300</v>
      </c>
      <c r="Q3052" s="783">
        <v>113.04</v>
      </c>
      <c r="R3052" s="783">
        <v>0</v>
      </c>
      <c r="S3052" s="783">
        <v>0</v>
      </c>
      <c r="T3052" s="783">
        <v>113.04</v>
      </c>
      <c r="U3052" s="785">
        <v>44692.740405092598</v>
      </c>
    </row>
    <row r="3053" spans="1:21">
      <c r="A3053" s="782">
        <v>44600</v>
      </c>
      <c r="B3053" s="783" t="s">
        <v>4025</v>
      </c>
      <c r="C3053" s="783" t="s">
        <v>4026</v>
      </c>
      <c r="D3053" s="783" t="s">
        <v>4021</v>
      </c>
      <c r="E3053" s="783" t="s">
        <v>4078</v>
      </c>
      <c r="F3053" s="783" t="s">
        <v>4011</v>
      </c>
      <c r="G3053" s="783" t="s">
        <v>4028</v>
      </c>
      <c r="H3053" s="783" t="s">
        <v>4079</v>
      </c>
      <c r="I3053" s="783" t="s">
        <v>4080</v>
      </c>
      <c r="J3053" s="783">
        <v>25</v>
      </c>
      <c r="K3053" s="783" t="s">
        <v>1052</v>
      </c>
      <c r="L3053" s="783" t="s">
        <v>4014</v>
      </c>
      <c r="M3053" s="784">
        <v>28839.63</v>
      </c>
      <c r="N3053" s="784">
        <v>34.770000000000003</v>
      </c>
      <c r="O3053" s="784">
        <v>2.56</v>
      </c>
      <c r="P3053" s="783">
        <v>324</v>
      </c>
      <c r="Q3053" s="783">
        <v>1087.25</v>
      </c>
      <c r="R3053" s="783">
        <v>784.44</v>
      </c>
      <c r="S3053" s="783">
        <v>126.89</v>
      </c>
      <c r="T3053" s="783">
        <v>175.92</v>
      </c>
      <c r="U3053" s="785">
        <v>44631.629027777803</v>
      </c>
    </row>
    <row r="3054" spans="1:21">
      <c r="A3054" s="782">
        <v>44622</v>
      </c>
      <c r="B3054" s="783" t="s">
        <v>74</v>
      </c>
      <c r="C3054" s="783" t="s">
        <v>4037</v>
      </c>
      <c r="D3054" s="783" t="s">
        <v>4038</v>
      </c>
      <c r="E3054" s="783" t="s">
        <v>6428</v>
      </c>
      <c r="F3054" s="783" t="s">
        <v>4011</v>
      </c>
      <c r="G3054" s="783" t="str">
        <f>VLOOKUP(I3054,pacage,2,FALSE)</f>
        <v>Renewal (15% in 2020)</v>
      </c>
      <c r="H3054" s="783" t="s">
        <v>6429</v>
      </c>
      <c r="I3054" s="783" t="s">
        <v>6430</v>
      </c>
      <c r="J3054" s="783">
        <v>15</v>
      </c>
      <c r="K3054" s="783" t="s">
        <v>1052</v>
      </c>
      <c r="L3054" s="783" t="s">
        <v>4014</v>
      </c>
      <c r="M3054" s="784">
        <v>11329.96</v>
      </c>
      <c r="N3054" s="784">
        <v>18.7</v>
      </c>
      <c r="O3054" s="784">
        <v>1.87</v>
      </c>
      <c r="P3054" s="783">
        <v>324</v>
      </c>
      <c r="Q3054" s="783">
        <v>1645.11</v>
      </c>
      <c r="R3054" s="783">
        <v>737.58</v>
      </c>
      <c r="S3054" s="783">
        <v>118.96</v>
      </c>
      <c r="T3054" s="783">
        <v>788.56</v>
      </c>
      <c r="U3054" s="785">
        <v>44631.630127314798</v>
      </c>
    </row>
    <row r="3055" spans="1:21">
      <c r="A3055" s="782">
        <v>44595</v>
      </c>
      <c r="B3055" s="783" t="s">
        <v>4025</v>
      </c>
      <c r="C3055" s="783" t="s">
        <v>4026</v>
      </c>
      <c r="D3055" s="783" t="s">
        <v>4021</v>
      </c>
      <c r="E3055" s="783" t="s">
        <v>6434</v>
      </c>
      <c r="F3055" s="783" t="s">
        <v>4011</v>
      </c>
      <c r="G3055" s="783" t="s">
        <v>4028</v>
      </c>
      <c r="H3055" s="783" t="s">
        <v>6435</v>
      </c>
      <c r="I3055" s="783" t="s">
        <v>6436</v>
      </c>
      <c r="J3055" s="783">
        <v>25</v>
      </c>
      <c r="K3055" s="783" t="s">
        <v>1052</v>
      </c>
      <c r="L3055" s="783" t="s">
        <v>4014</v>
      </c>
      <c r="M3055" s="784">
        <v>22304</v>
      </c>
      <c r="N3055" s="784">
        <v>27.88</v>
      </c>
      <c r="O3055" s="784">
        <v>2</v>
      </c>
      <c r="P3055" s="783">
        <v>400</v>
      </c>
      <c r="Q3055" s="783">
        <v>840.86</v>
      </c>
      <c r="R3055" s="783">
        <v>491.4</v>
      </c>
      <c r="S3055" s="783">
        <v>213.4</v>
      </c>
      <c r="T3055" s="783">
        <v>136.05000000000001</v>
      </c>
      <c r="U3055" s="785">
        <v>44631.626111111102</v>
      </c>
    </row>
    <row r="3056" spans="1:21">
      <c r="A3056" s="782">
        <v>44595</v>
      </c>
      <c r="B3056" s="783" t="s">
        <v>4025</v>
      </c>
      <c r="C3056" s="783" t="s">
        <v>4026</v>
      </c>
      <c r="D3056" s="783" t="s">
        <v>4021</v>
      </c>
      <c r="E3056" s="783" t="s">
        <v>7084</v>
      </c>
      <c r="F3056" s="783" t="s">
        <v>4011</v>
      </c>
      <c r="G3056" s="783" t="s">
        <v>4028</v>
      </c>
      <c r="H3056" s="783" t="s">
        <v>7085</v>
      </c>
      <c r="I3056" s="783" t="s">
        <v>7086</v>
      </c>
      <c r="J3056" s="783">
        <v>25</v>
      </c>
      <c r="K3056" s="783" t="s">
        <v>1052</v>
      </c>
      <c r="L3056" s="783" t="s">
        <v>4014</v>
      </c>
      <c r="M3056" s="784">
        <v>9864</v>
      </c>
      <c r="N3056" s="784">
        <v>12.33</v>
      </c>
      <c r="O3056" s="784">
        <v>2</v>
      </c>
      <c r="P3056" s="783">
        <v>400</v>
      </c>
      <c r="Q3056" s="783">
        <v>371.87</v>
      </c>
      <c r="R3056" s="783">
        <v>217.32</v>
      </c>
      <c r="S3056" s="783">
        <v>94.38</v>
      </c>
      <c r="T3056" s="783">
        <v>60.17</v>
      </c>
      <c r="U3056" s="785">
        <v>44631.626273148097</v>
      </c>
    </row>
    <row r="3057" spans="1:21">
      <c r="A3057" s="782">
        <v>44684</v>
      </c>
      <c r="B3057" s="783" t="s">
        <v>41</v>
      </c>
      <c r="C3057" s="783" t="s">
        <v>4092</v>
      </c>
      <c r="D3057" s="783" t="s">
        <v>4009</v>
      </c>
      <c r="E3057" s="783" t="s">
        <v>6446</v>
      </c>
      <c r="F3057" s="783" t="s">
        <v>4011</v>
      </c>
      <c r="G3057" s="783" t="str">
        <f t="shared" ref="G3057:G3093" si="165">VLOOKUP(I3057,pacage,2,FALSE)</f>
        <v>Renewal (20% in 2020)</v>
      </c>
      <c r="H3057" s="783" t="s">
        <v>6447</v>
      </c>
      <c r="I3057" s="783" t="s">
        <v>6448</v>
      </c>
      <c r="J3057" s="783">
        <v>20</v>
      </c>
      <c r="K3057" s="783" t="s">
        <v>1052</v>
      </c>
      <c r="L3057" s="783" t="s">
        <v>4014</v>
      </c>
      <c r="M3057" s="784">
        <v>15446.34</v>
      </c>
      <c r="N3057" s="784">
        <v>11.48</v>
      </c>
      <c r="O3057" s="784">
        <v>2.99</v>
      </c>
      <c r="P3057" s="783">
        <v>450</v>
      </c>
      <c r="Q3057" s="783">
        <v>1099.78</v>
      </c>
      <c r="R3057" s="783">
        <v>459.31</v>
      </c>
      <c r="S3057" s="783">
        <v>292.92</v>
      </c>
      <c r="T3057" s="783">
        <v>347.54</v>
      </c>
      <c r="U3057" s="785">
        <v>44685.404108796298</v>
      </c>
    </row>
    <row r="3058" spans="1:21">
      <c r="A3058" s="782">
        <v>44700</v>
      </c>
      <c r="B3058" s="783" t="s">
        <v>34</v>
      </c>
      <c r="C3058" s="783" t="s">
        <v>4139</v>
      </c>
      <c r="D3058" s="783" t="s">
        <v>4009</v>
      </c>
      <c r="E3058" s="783" t="s">
        <v>6452</v>
      </c>
      <c r="F3058" s="783" t="s">
        <v>4011</v>
      </c>
      <c r="G3058" s="783" t="str">
        <f t="shared" si="165"/>
        <v>Renewal (20% in 2020)</v>
      </c>
      <c r="H3058" s="783" t="s">
        <v>6453</v>
      </c>
      <c r="I3058" s="783" t="s">
        <v>6454</v>
      </c>
      <c r="J3058" s="783">
        <v>20</v>
      </c>
      <c r="K3058" s="783" t="s">
        <v>1052</v>
      </c>
      <c r="L3058" s="783" t="s">
        <v>4014</v>
      </c>
      <c r="M3058" s="784">
        <v>7027.02</v>
      </c>
      <c r="N3058" s="784">
        <v>7.02</v>
      </c>
      <c r="O3058" s="784">
        <v>2.86</v>
      </c>
      <c r="P3058" s="783">
        <v>350</v>
      </c>
      <c r="Q3058" s="783">
        <v>593.78</v>
      </c>
      <c r="R3058" s="783">
        <v>327.2</v>
      </c>
      <c r="S3058" s="783">
        <v>78.959999999999994</v>
      </c>
      <c r="T3058" s="783">
        <v>187.62</v>
      </c>
      <c r="U3058" s="785">
        <v>44701.678587962997</v>
      </c>
    </row>
    <row r="3059" spans="1:21">
      <c r="A3059" s="782">
        <v>44713</v>
      </c>
      <c r="B3059" s="783" t="s">
        <v>41</v>
      </c>
      <c r="C3059" s="783" t="s">
        <v>4092</v>
      </c>
      <c r="D3059" s="783" t="s">
        <v>4009</v>
      </c>
      <c r="E3059" s="783" t="s">
        <v>6492</v>
      </c>
      <c r="F3059" s="783" t="s">
        <v>4011</v>
      </c>
      <c r="G3059" s="783" t="str">
        <f t="shared" si="165"/>
        <v>New contract</v>
      </c>
      <c r="H3059" s="783" t="s">
        <v>6493</v>
      </c>
      <c r="I3059" s="783" t="s">
        <v>6494</v>
      </c>
      <c r="J3059" s="783">
        <v>25</v>
      </c>
      <c r="K3059" s="783" t="s">
        <v>1052</v>
      </c>
      <c r="L3059" s="783" t="s">
        <v>4014</v>
      </c>
      <c r="M3059" s="784">
        <v>4264.88</v>
      </c>
      <c r="N3059" s="784">
        <v>4.33</v>
      </c>
      <c r="O3059" s="784">
        <v>3.04</v>
      </c>
      <c r="P3059" s="783">
        <v>324</v>
      </c>
      <c r="Q3059" s="783">
        <v>233.72</v>
      </c>
      <c r="R3059" s="783">
        <v>176.14</v>
      </c>
      <c r="S3059" s="783">
        <v>31.56</v>
      </c>
      <c r="T3059" s="783">
        <v>26.02</v>
      </c>
      <c r="U3059" s="785">
        <v>44715.4397916667</v>
      </c>
    </row>
    <row r="3060" spans="1:21">
      <c r="A3060" s="782">
        <v>44712</v>
      </c>
      <c r="B3060" s="783" t="s">
        <v>74</v>
      </c>
      <c r="C3060" s="783" t="s">
        <v>4037</v>
      </c>
      <c r="D3060" s="783" t="s">
        <v>4038</v>
      </c>
      <c r="E3060" s="783" t="s">
        <v>7087</v>
      </c>
      <c r="F3060" s="783" t="s">
        <v>4011</v>
      </c>
      <c r="G3060" s="783" t="str">
        <f t="shared" si="165"/>
        <v>Renewal (25% in 2020)</v>
      </c>
      <c r="H3060" s="783" t="s">
        <v>7088</v>
      </c>
      <c r="I3060" s="783" t="s">
        <v>7089</v>
      </c>
      <c r="J3060" s="783">
        <v>30</v>
      </c>
      <c r="K3060" s="783" t="s">
        <v>1052</v>
      </c>
      <c r="L3060" s="783" t="s">
        <v>4014</v>
      </c>
      <c r="M3060" s="784">
        <v>22637.88</v>
      </c>
      <c r="N3060" s="784">
        <v>23.29</v>
      </c>
      <c r="O3060" s="784">
        <v>3</v>
      </c>
      <c r="P3060" s="783">
        <v>324</v>
      </c>
      <c r="Q3060" s="783">
        <v>1917.43</v>
      </c>
      <c r="R3060" s="783">
        <v>1473.73</v>
      </c>
      <c r="S3060" s="783">
        <v>0</v>
      </c>
      <c r="T3060" s="783">
        <v>443.7</v>
      </c>
      <c r="U3060" s="785">
        <v>44714.567337963003</v>
      </c>
    </row>
    <row r="3061" spans="1:21">
      <c r="A3061" s="782">
        <v>44704</v>
      </c>
      <c r="B3061" s="783" t="s">
        <v>41</v>
      </c>
      <c r="C3061" s="783" t="s">
        <v>4092</v>
      </c>
      <c r="D3061" s="783" t="s">
        <v>4009</v>
      </c>
      <c r="E3061" s="783" t="s">
        <v>4778</v>
      </c>
      <c r="F3061" s="783" t="s">
        <v>4011</v>
      </c>
      <c r="G3061" s="783" t="str">
        <f t="shared" si="165"/>
        <v>Renewal (25% in 2020)</v>
      </c>
      <c r="H3061" s="783" t="s">
        <v>4779</v>
      </c>
      <c r="I3061" s="783" t="s">
        <v>4780</v>
      </c>
      <c r="J3061" s="783">
        <v>25</v>
      </c>
      <c r="K3061" s="783" t="s">
        <v>1052</v>
      </c>
      <c r="L3061" s="783" t="s">
        <v>4014</v>
      </c>
      <c r="M3061" s="784">
        <v>1982.88</v>
      </c>
      <c r="N3061" s="784">
        <v>1.8</v>
      </c>
      <c r="O3061" s="784">
        <v>3.4</v>
      </c>
      <c r="P3061" s="783">
        <v>324</v>
      </c>
      <c r="Q3061" s="783">
        <v>108.66</v>
      </c>
      <c r="R3061" s="783">
        <v>81.89</v>
      </c>
      <c r="S3061" s="783">
        <v>14.67</v>
      </c>
      <c r="T3061" s="783">
        <v>12.1</v>
      </c>
      <c r="U3061" s="785">
        <v>44704.574444444399</v>
      </c>
    </row>
    <row r="3062" spans="1:21">
      <c r="A3062" s="782">
        <v>44630</v>
      </c>
      <c r="B3062" s="783" t="s">
        <v>41</v>
      </c>
      <c r="C3062" s="783" t="s">
        <v>4071</v>
      </c>
      <c r="D3062" s="783" t="s">
        <v>4009</v>
      </c>
      <c r="E3062" s="783" t="s">
        <v>6510</v>
      </c>
      <c r="F3062" s="783" t="s">
        <v>4011</v>
      </c>
      <c r="G3062" s="783" t="str">
        <f t="shared" si="165"/>
        <v>Renewal (30% in 2020)</v>
      </c>
      <c r="H3062" s="783" t="s">
        <v>6511</v>
      </c>
      <c r="I3062" s="783" t="s">
        <v>6512</v>
      </c>
      <c r="J3062" s="783">
        <v>25</v>
      </c>
      <c r="K3062" s="783" t="s">
        <v>1052</v>
      </c>
      <c r="L3062" s="783" t="s">
        <v>4014</v>
      </c>
      <c r="M3062" s="784">
        <v>8863.67</v>
      </c>
      <c r="N3062" s="784">
        <v>8.2899999999999991</v>
      </c>
      <c r="O3062" s="784">
        <v>3.3</v>
      </c>
      <c r="P3062" s="783">
        <v>324</v>
      </c>
      <c r="Q3062" s="783">
        <v>507.89</v>
      </c>
      <c r="R3062" s="783">
        <v>392.66</v>
      </c>
      <c r="S3062" s="783">
        <v>59.39</v>
      </c>
      <c r="T3062" s="783">
        <v>55.84</v>
      </c>
      <c r="U3062" s="785">
        <v>44631.631319444401</v>
      </c>
    </row>
    <row r="3063" spans="1:21">
      <c r="A3063" s="782">
        <v>44559</v>
      </c>
      <c r="B3063" s="783" t="s">
        <v>34</v>
      </c>
      <c r="C3063" s="783" t="s">
        <v>4139</v>
      </c>
      <c r="D3063" s="783" t="s">
        <v>4009</v>
      </c>
      <c r="E3063" s="783" t="s">
        <v>6000</v>
      </c>
      <c r="F3063" s="783" t="s">
        <v>4011</v>
      </c>
      <c r="G3063" s="783" t="str">
        <f t="shared" si="165"/>
        <v>Renewal (25% in 2020)</v>
      </c>
      <c r="H3063" s="783" t="s">
        <v>6001</v>
      </c>
      <c r="I3063" s="783" t="s">
        <v>6002</v>
      </c>
      <c r="J3063" s="783">
        <v>25</v>
      </c>
      <c r="K3063" s="783" t="s">
        <v>1052</v>
      </c>
      <c r="L3063" s="783" t="s">
        <v>4014</v>
      </c>
      <c r="M3063" s="784">
        <v>12898.71</v>
      </c>
      <c r="N3063" s="784">
        <v>14.19</v>
      </c>
      <c r="O3063" s="784">
        <v>3.03</v>
      </c>
      <c r="P3063" s="783">
        <v>300</v>
      </c>
      <c r="Q3063" s="783">
        <v>837.13</v>
      </c>
      <c r="R3063" s="783">
        <v>648.80999999999995</v>
      </c>
      <c r="S3063" s="783">
        <v>96.74</v>
      </c>
      <c r="T3063" s="783">
        <v>91.58</v>
      </c>
      <c r="U3063" s="785">
        <v>44631.635381944398</v>
      </c>
    </row>
    <row r="3064" spans="1:21">
      <c r="A3064" s="782">
        <v>44551</v>
      </c>
      <c r="B3064" s="783" t="s">
        <v>74</v>
      </c>
      <c r="C3064" s="783" t="s">
        <v>4097</v>
      </c>
      <c r="D3064" s="783" t="s">
        <v>4038</v>
      </c>
      <c r="E3064" s="783" t="s">
        <v>6522</v>
      </c>
      <c r="F3064" s="783" t="s">
        <v>4011</v>
      </c>
      <c r="G3064" s="783" t="str">
        <f t="shared" si="165"/>
        <v>New contract</v>
      </c>
      <c r="H3064" s="783" t="s">
        <v>6523</v>
      </c>
      <c r="I3064" s="783" t="s">
        <v>6524</v>
      </c>
      <c r="J3064" s="783">
        <v>20</v>
      </c>
      <c r="K3064" s="783" t="s">
        <v>1052</v>
      </c>
      <c r="L3064" s="783" t="s">
        <v>4014</v>
      </c>
      <c r="M3064" s="784">
        <v>6340</v>
      </c>
      <c r="N3064" s="784">
        <v>8</v>
      </c>
      <c r="O3064" s="784">
        <v>3.17</v>
      </c>
      <c r="P3064" s="783">
        <v>250</v>
      </c>
      <c r="Q3064" s="783">
        <v>607.37</v>
      </c>
      <c r="R3064" s="783">
        <v>341.09</v>
      </c>
      <c r="S3064" s="783">
        <v>52.62</v>
      </c>
      <c r="T3064" s="783">
        <v>213.66</v>
      </c>
      <c r="U3064" s="785">
        <v>44631.636874999997</v>
      </c>
    </row>
    <row r="3065" spans="1:21">
      <c r="A3065" s="782">
        <v>44561</v>
      </c>
      <c r="B3065" s="783" t="s">
        <v>41</v>
      </c>
      <c r="C3065" s="783" t="s">
        <v>4082</v>
      </c>
      <c r="D3065" s="783" t="s">
        <v>4009</v>
      </c>
      <c r="E3065" s="783" t="s">
        <v>6528</v>
      </c>
      <c r="F3065" s="783" t="s">
        <v>4011</v>
      </c>
      <c r="G3065" s="783" t="str">
        <f t="shared" si="165"/>
        <v>Renewal (25% in 2020)</v>
      </c>
      <c r="H3065" s="783" t="s">
        <v>6529</v>
      </c>
      <c r="I3065" s="783" t="s">
        <v>6530</v>
      </c>
      <c r="J3065" s="783">
        <v>25</v>
      </c>
      <c r="K3065" s="783" t="s">
        <v>1052</v>
      </c>
      <c r="L3065" s="783" t="s">
        <v>4014</v>
      </c>
      <c r="M3065" s="784">
        <v>11340</v>
      </c>
      <c r="N3065" s="784">
        <v>10</v>
      </c>
      <c r="O3065" s="784">
        <v>3.5</v>
      </c>
      <c r="P3065" s="783">
        <v>324</v>
      </c>
      <c r="Q3065" s="783">
        <v>635.04</v>
      </c>
      <c r="R3065" s="783">
        <v>480.82</v>
      </c>
      <c r="S3065" s="783">
        <v>86.18</v>
      </c>
      <c r="T3065" s="783">
        <v>68.040000000000006</v>
      </c>
      <c r="U3065" s="785">
        <v>44631.637152777803</v>
      </c>
    </row>
    <row r="3066" spans="1:21">
      <c r="A3066" s="782">
        <v>44504</v>
      </c>
      <c r="B3066" s="783" t="s">
        <v>4025</v>
      </c>
      <c r="C3066" s="783" t="s">
        <v>4026</v>
      </c>
      <c r="D3066" s="783" t="s">
        <v>4021</v>
      </c>
      <c r="E3066" s="783" t="s">
        <v>6534</v>
      </c>
      <c r="F3066" s="783" t="s">
        <v>4011</v>
      </c>
      <c r="G3066" s="783" t="str">
        <f t="shared" si="165"/>
        <v>New Contract</v>
      </c>
      <c r="H3066" s="783" t="s">
        <v>6535</v>
      </c>
      <c r="I3066" s="783" t="s">
        <v>6536</v>
      </c>
      <c r="J3066" s="783">
        <v>20</v>
      </c>
      <c r="K3066" s="783" t="s">
        <v>1052</v>
      </c>
      <c r="L3066" s="783" t="s">
        <v>4014</v>
      </c>
      <c r="M3066" s="784">
        <v>18093.349999999999</v>
      </c>
      <c r="N3066" s="784">
        <v>15.78</v>
      </c>
      <c r="O3066" s="784">
        <v>2.73</v>
      </c>
      <c r="P3066" s="783">
        <v>420</v>
      </c>
      <c r="Q3066" s="783">
        <v>872.1</v>
      </c>
      <c r="R3066" s="783">
        <v>379.65</v>
      </c>
      <c r="S3066" s="783">
        <v>192.1</v>
      </c>
      <c r="T3066" s="783">
        <v>300.35000000000002</v>
      </c>
      <c r="U3066" s="785">
        <v>44631.638078703698</v>
      </c>
    </row>
    <row r="3067" spans="1:21">
      <c r="A3067" s="782">
        <v>44684</v>
      </c>
      <c r="B3067" s="783" t="s">
        <v>30</v>
      </c>
      <c r="C3067" s="783" t="s">
        <v>4089</v>
      </c>
      <c r="D3067" s="783" t="s">
        <v>4021</v>
      </c>
      <c r="E3067" s="783" t="s">
        <v>5504</v>
      </c>
      <c r="F3067" s="783" t="s">
        <v>4011</v>
      </c>
      <c r="G3067" s="783" t="str">
        <f t="shared" si="165"/>
        <v>Renewal (20% in 2020)</v>
      </c>
      <c r="H3067" s="783" t="s">
        <v>5505</v>
      </c>
      <c r="I3067" s="783" t="s">
        <v>5506</v>
      </c>
      <c r="J3067" s="783">
        <v>30</v>
      </c>
      <c r="K3067" s="783" t="s">
        <v>7090</v>
      </c>
      <c r="L3067" s="783" t="s">
        <v>4014</v>
      </c>
      <c r="M3067" s="784">
        <v>19163.400000000001</v>
      </c>
      <c r="N3067" s="784">
        <v>16.809999999999999</v>
      </c>
      <c r="O3067" s="784">
        <v>5.7</v>
      </c>
      <c r="P3067" s="783">
        <v>200</v>
      </c>
      <c r="Q3067" s="783">
        <v>1170.8800000000001</v>
      </c>
      <c r="R3067" s="783">
        <v>830.73</v>
      </c>
      <c r="S3067" s="783">
        <v>146.6</v>
      </c>
      <c r="T3067" s="783">
        <v>193.55</v>
      </c>
      <c r="U3067" s="785">
        <v>44685.409479166701</v>
      </c>
    </row>
    <row r="3068" spans="1:21">
      <c r="A3068" s="782">
        <v>44449</v>
      </c>
      <c r="B3068" s="783" t="s">
        <v>41</v>
      </c>
      <c r="C3068" s="783" t="s">
        <v>4082</v>
      </c>
      <c r="D3068" s="783" t="s">
        <v>4009</v>
      </c>
      <c r="E3068" s="783" t="s">
        <v>4495</v>
      </c>
      <c r="F3068" s="783" t="s">
        <v>4011</v>
      </c>
      <c r="G3068" s="783" t="str">
        <f t="shared" si="165"/>
        <v>Renewal (15% in 2020)</v>
      </c>
      <c r="H3068" s="783" t="s">
        <v>4496</v>
      </c>
      <c r="I3068" s="783" t="s">
        <v>4497</v>
      </c>
      <c r="J3068" s="783">
        <v>15</v>
      </c>
      <c r="K3068" s="783" t="s">
        <v>183</v>
      </c>
      <c r="L3068" s="783" t="s">
        <v>4096</v>
      </c>
      <c r="M3068" s="784">
        <v>31026.93</v>
      </c>
      <c r="N3068" s="784">
        <v>33</v>
      </c>
      <c r="O3068" s="784">
        <v>5.63</v>
      </c>
      <c r="P3068" s="783">
        <v>167</v>
      </c>
      <c r="Q3068" s="783">
        <v>2423.1999999999998</v>
      </c>
      <c r="R3068" s="783">
        <v>1058.02</v>
      </c>
      <c r="S3068" s="783">
        <v>192.37</v>
      </c>
      <c r="T3068" s="783">
        <v>1172.82</v>
      </c>
      <c r="U3068" s="785">
        <v>44631.502824074101</v>
      </c>
    </row>
    <row r="3069" spans="1:21">
      <c r="A3069" s="782">
        <v>44448</v>
      </c>
      <c r="B3069" s="783" t="s">
        <v>228</v>
      </c>
      <c r="C3069" s="783" t="s">
        <v>4020</v>
      </c>
      <c r="D3069" s="783" t="s">
        <v>4021</v>
      </c>
      <c r="E3069" s="783" t="s">
        <v>4784</v>
      </c>
      <c r="F3069" s="783" t="s">
        <v>4011</v>
      </c>
      <c r="G3069" s="783" t="str">
        <f t="shared" si="165"/>
        <v>Renewal (30% in 2020)</v>
      </c>
      <c r="H3069" s="783" t="s">
        <v>4785</v>
      </c>
      <c r="I3069" s="783" t="s">
        <v>4786</v>
      </c>
      <c r="J3069" s="783">
        <v>30</v>
      </c>
      <c r="K3069" s="783" t="s">
        <v>183</v>
      </c>
      <c r="L3069" s="783" t="s">
        <v>4096</v>
      </c>
      <c r="M3069" s="784">
        <v>31925.39</v>
      </c>
      <c r="N3069" s="784">
        <v>27.31</v>
      </c>
      <c r="O3069" s="784">
        <v>7</v>
      </c>
      <c r="P3069" s="783">
        <v>167</v>
      </c>
      <c r="Q3069" s="783">
        <v>1264.25</v>
      </c>
      <c r="R3069" s="783">
        <v>1056.73</v>
      </c>
      <c r="S3069" s="783">
        <v>0</v>
      </c>
      <c r="T3069" s="783">
        <v>207.52</v>
      </c>
      <c r="U3069" s="785">
        <v>44631.502951388902</v>
      </c>
    </row>
    <row r="3070" spans="1:21">
      <c r="A3070" s="782">
        <v>44495</v>
      </c>
      <c r="B3070" s="783" t="s">
        <v>41</v>
      </c>
      <c r="C3070" s="783" t="s">
        <v>4092</v>
      </c>
      <c r="D3070" s="783" t="s">
        <v>4009</v>
      </c>
      <c r="E3070" s="783" t="s">
        <v>4787</v>
      </c>
      <c r="F3070" s="783" t="s">
        <v>4011</v>
      </c>
      <c r="G3070" s="783" t="str">
        <f t="shared" si="165"/>
        <v>New Contract</v>
      </c>
      <c r="H3070" s="783" t="s">
        <v>4788</v>
      </c>
      <c r="I3070" s="783" t="s">
        <v>4789</v>
      </c>
      <c r="J3070" s="783">
        <v>25</v>
      </c>
      <c r="K3070" s="783" t="s">
        <v>183</v>
      </c>
      <c r="L3070" s="783" t="s">
        <v>4096</v>
      </c>
      <c r="M3070" s="784">
        <v>10944</v>
      </c>
      <c r="N3070" s="784">
        <v>12</v>
      </c>
      <c r="O3070" s="784">
        <v>4.8</v>
      </c>
      <c r="P3070" s="783">
        <v>190</v>
      </c>
      <c r="Q3070" s="783">
        <v>512.17999999999995</v>
      </c>
      <c r="R3070" s="783">
        <v>339.56</v>
      </c>
      <c r="S3070" s="783">
        <v>117.9</v>
      </c>
      <c r="T3070" s="783">
        <v>54.72</v>
      </c>
      <c r="U3070" s="785">
        <v>44631.506666666697</v>
      </c>
    </row>
    <row r="3071" spans="1:21">
      <c r="A3071" s="782">
        <v>44525</v>
      </c>
      <c r="B3071" s="783" t="s">
        <v>347</v>
      </c>
      <c r="C3071" s="783" t="s">
        <v>4139</v>
      </c>
      <c r="D3071" s="783" t="s">
        <v>4009</v>
      </c>
      <c r="E3071" s="783" t="s">
        <v>4790</v>
      </c>
      <c r="F3071" s="783" t="s">
        <v>4011</v>
      </c>
      <c r="G3071" s="783" t="str">
        <f t="shared" si="165"/>
        <v>Renewal (15% in 2020)</v>
      </c>
      <c r="H3071" s="783" t="s">
        <v>4791</v>
      </c>
      <c r="I3071" s="783" t="s">
        <v>4792</v>
      </c>
      <c r="J3071" s="783">
        <v>15</v>
      </c>
      <c r="K3071" s="783" t="s">
        <v>183</v>
      </c>
      <c r="L3071" s="783" t="s">
        <v>4096</v>
      </c>
      <c r="M3071" s="784">
        <v>13463.47</v>
      </c>
      <c r="N3071" s="784">
        <v>14.19</v>
      </c>
      <c r="O3071" s="784">
        <v>5.93</v>
      </c>
      <c r="P3071" s="783">
        <v>160</v>
      </c>
      <c r="Q3071" s="783">
        <v>997.64</v>
      </c>
      <c r="R3071" s="783">
        <v>448.33</v>
      </c>
      <c r="S3071" s="783">
        <v>67.319999999999993</v>
      </c>
      <c r="T3071" s="783">
        <v>481.99</v>
      </c>
      <c r="U3071" s="785">
        <v>44631.503136574102</v>
      </c>
    </row>
    <row r="3072" spans="1:21">
      <c r="A3072" s="782">
        <v>44508</v>
      </c>
      <c r="B3072" s="783" t="s">
        <v>4025</v>
      </c>
      <c r="C3072" s="783" t="s">
        <v>4026</v>
      </c>
      <c r="D3072" s="783" t="s">
        <v>4021</v>
      </c>
      <c r="E3072" s="783" t="s">
        <v>4803</v>
      </c>
      <c r="F3072" s="783" t="s">
        <v>4011</v>
      </c>
      <c r="G3072" s="783" t="str">
        <f t="shared" si="165"/>
        <v>New Contract</v>
      </c>
      <c r="H3072" s="783" t="s">
        <v>4804</v>
      </c>
      <c r="I3072" s="783" t="s">
        <v>4805</v>
      </c>
      <c r="J3072" s="783">
        <v>25</v>
      </c>
      <c r="K3072" s="783" t="s">
        <v>183</v>
      </c>
      <c r="L3072" s="783" t="s">
        <v>4096</v>
      </c>
      <c r="M3072" s="784">
        <v>6662.7</v>
      </c>
      <c r="N3072" s="784">
        <v>5.5</v>
      </c>
      <c r="O3072" s="784">
        <v>6.73</v>
      </c>
      <c r="P3072" s="783">
        <v>180</v>
      </c>
      <c r="Q3072" s="783">
        <v>377.78</v>
      </c>
      <c r="R3072" s="783">
        <v>255.3</v>
      </c>
      <c r="S3072" s="783">
        <v>62.51</v>
      </c>
      <c r="T3072" s="783">
        <v>59.96</v>
      </c>
      <c r="U3072" s="785">
        <v>44631.506620370397</v>
      </c>
    </row>
    <row r="3073" spans="1:21">
      <c r="A3073" s="782">
        <v>44409</v>
      </c>
      <c r="B3073" s="783" t="s">
        <v>2866</v>
      </c>
      <c r="C3073" s="783" t="s">
        <v>4008</v>
      </c>
      <c r="D3073" s="783" t="s">
        <v>4009</v>
      </c>
      <c r="E3073" s="783" t="s">
        <v>4806</v>
      </c>
      <c r="F3073" s="783" t="s">
        <v>4011</v>
      </c>
      <c r="G3073" s="783" t="str">
        <f t="shared" si="165"/>
        <v>Renewal (15% in 2020)</v>
      </c>
      <c r="H3073" s="783" t="s">
        <v>4807</v>
      </c>
      <c r="I3073" s="783" t="s">
        <v>4808</v>
      </c>
      <c r="J3073" s="783">
        <v>15</v>
      </c>
      <c r="K3073" s="783" t="s">
        <v>183</v>
      </c>
      <c r="L3073" s="783" t="s">
        <v>4096</v>
      </c>
      <c r="M3073" s="784">
        <v>6253.2</v>
      </c>
      <c r="N3073" s="784">
        <v>6.75</v>
      </c>
      <c r="O3073" s="784">
        <v>5.79</v>
      </c>
      <c r="P3073" s="783">
        <v>160</v>
      </c>
      <c r="Q3073" s="783">
        <v>532.15</v>
      </c>
      <c r="R3073" s="783">
        <v>226.37</v>
      </c>
      <c r="S3073" s="783">
        <v>36.270000000000003</v>
      </c>
      <c r="T3073" s="783">
        <v>269.51</v>
      </c>
      <c r="U3073" s="785">
        <v>44631.504999999997</v>
      </c>
    </row>
    <row r="3074" spans="1:21">
      <c r="A3074" s="782">
        <v>44409</v>
      </c>
      <c r="B3074" s="783" t="s">
        <v>30</v>
      </c>
      <c r="C3074" s="783" t="s">
        <v>4089</v>
      </c>
      <c r="D3074" s="783" t="s">
        <v>4021</v>
      </c>
      <c r="E3074" s="783" t="s">
        <v>2560</v>
      </c>
      <c r="F3074" s="783" t="s">
        <v>4011</v>
      </c>
      <c r="G3074" s="783" t="str">
        <f t="shared" si="165"/>
        <v>Renewal (20% in 2020)</v>
      </c>
      <c r="H3074" s="783" t="s">
        <v>4809</v>
      </c>
      <c r="I3074" s="783" t="s">
        <v>4810</v>
      </c>
      <c r="J3074" s="783">
        <v>20</v>
      </c>
      <c r="K3074" s="783" t="s">
        <v>183</v>
      </c>
      <c r="L3074" s="783" t="s">
        <v>4096</v>
      </c>
      <c r="M3074" s="784">
        <v>26518.799999999999</v>
      </c>
      <c r="N3074" s="784">
        <v>28.7</v>
      </c>
      <c r="O3074" s="784">
        <v>6.6</v>
      </c>
      <c r="P3074" s="783">
        <v>140</v>
      </c>
      <c r="Q3074" s="783">
        <v>1869.58</v>
      </c>
      <c r="R3074" s="783">
        <v>1063.4000000000001</v>
      </c>
      <c r="S3074" s="783">
        <v>169.72</v>
      </c>
      <c r="T3074" s="783">
        <v>636.45000000000005</v>
      </c>
      <c r="U3074" s="785">
        <v>44631.507592592599</v>
      </c>
    </row>
    <row r="3075" spans="1:21">
      <c r="A3075" s="782">
        <v>44409</v>
      </c>
      <c r="B3075" s="783" t="s">
        <v>41</v>
      </c>
      <c r="C3075" s="783" t="s">
        <v>4082</v>
      </c>
      <c r="D3075" s="783" t="s">
        <v>4009</v>
      </c>
      <c r="E3075" s="783" t="s">
        <v>4814</v>
      </c>
      <c r="F3075" s="783" t="s">
        <v>4011</v>
      </c>
      <c r="G3075" s="783" t="str">
        <f t="shared" si="165"/>
        <v>Renewal (15% in 2020)</v>
      </c>
      <c r="H3075" s="783" t="s">
        <v>4815</v>
      </c>
      <c r="I3075" s="783" t="s">
        <v>4816</v>
      </c>
      <c r="J3075" s="783">
        <v>15</v>
      </c>
      <c r="K3075" s="783" t="s">
        <v>183</v>
      </c>
      <c r="L3075" s="783" t="s">
        <v>4096</v>
      </c>
      <c r="M3075" s="784">
        <v>12689.1</v>
      </c>
      <c r="N3075" s="784">
        <v>13.8</v>
      </c>
      <c r="O3075" s="784">
        <v>6.13</v>
      </c>
      <c r="P3075" s="783">
        <v>150</v>
      </c>
      <c r="Q3075" s="783">
        <v>991.02</v>
      </c>
      <c r="R3075" s="783">
        <v>432.7</v>
      </c>
      <c r="S3075" s="783">
        <v>78.67</v>
      </c>
      <c r="T3075" s="783">
        <v>479.65</v>
      </c>
      <c r="U3075" s="785">
        <v>44631.504641203697</v>
      </c>
    </row>
    <row r="3076" spans="1:21">
      <c r="A3076" s="782">
        <v>44409</v>
      </c>
      <c r="B3076" s="783" t="s">
        <v>30</v>
      </c>
      <c r="C3076" s="783" t="s">
        <v>4239</v>
      </c>
      <c r="D3076" s="783" t="s">
        <v>4021</v>
      </c>
      <c r="E3076" s="783" t="s">
        <v>6813</v>
      </c>
      <c r="F3076" s="783" t="s">
        <v>4011</v>
      </c>
      <c r="G3076" s="783" t="str">
        <f t="shared" si="165"/>
        <v>Renewal (15% in 2020)</v>
      </c>
      <c r="H3076" s="783" t="s">
        <v>6814</v>
      </c>
      <c r="I3076" s="783" t="s">
        <v>6815</v>
      </c>
      <c r="J3076" s="783">
        <v>15</v>
      </c>
      <c r="K3076" s="783" t="s">
        <v>183</v>
      </c>
      <c r="L3076" s="783" t="s">
        <v>4096</v>
      </c>
      <c r="M3076" s="784">
        <v>7458.8</v>
      </c>
      <c r="N3076" s="784">
        <v>7.25</v>
      </c>
      <c r="O3076" s="784">
        <v>6.43</v>
      </c>
      <c r="P3076" s="783">
        <v>160</v>
      </c>
      <c r="Q3076" s="783">
        <v>657.87</v>
      </c>
      <c r="R3076" s="783">
        <v>273.74</v>
      </c>
      <c r="S3076" s="783">
        <v>60.42</v>
      </c>
      <c r="T3076" s="783">
        <v>323.70999999999998</v>
      </c>
      <c r="U3076" s="785">
        <v>44631.504131944399</v>
      </c>
    </row>
    <row r="3077" spans="1:21">
      <c r="A3077" s="782">
        <v>44434</v>
      </c>
      <c r="B3077" s="783" t="s">
        <v>113</v>
      </c>
      <c r="C3077" s="783" t="s">
        <v>4606</v>
      </c>
      <c r="D3077" s="783" t="s">
        <v>4009</v>
      </c>
      <c r="E3077" s="783" t="s">
        <v>2370</v>
      </c>
      <c r="F3077" s="783" t="s">
        <v>4011</v>
      </c>
      <c r="G3077" s="783" t="str">
        <f t="shared" si="165"/>
        <v>Renewal (20% in 2020)</v>
      </c>
      <c r="H3077" s="783" t="s">
        <v>6693</v>
      </c>
      <c r="I3077" s="783" t="s">
        <v>6694</v>
      </c>
      <c r="J3077" s="783">
        <v>20</v>
      </c>
      <c r="K3077" s="783" t="s">
        <v>183</v>
      </c>
      <c r="L3077" s="783" t="s">
        <v>4096</v>
      </c>
      <c r="M3077" s="784">
        <v>3315.88</v>
      </c>
      <c r="N3077" s="784">
        <v>4.84</v>
      </c>
      <c r="O3077" s="784">
        <v>5.27</v>
      </c>
      <c r="P3077" s="783">
        <v>130</v>
      </c>
      <c r="Q3077" s="783">
        <v>277.20999999999998</v>
      </c>
      <c r="R3077" s="783">
        <v>150.54</v>
      </c>
      <c r="S3077" s="783">
        <v>23.54</v>
      </c>
      <c r="T3077" s="783">
        <v>103.12</v>
      </c>
      <c r="U3077" s="785">
        <v>44631.506620370397</v>
      </c>
    </row>
    <row r="3078" spans="1:21">
      <c r="A3078" s="782">
        <v>44409</v>
      </c>
      <c r="B3078" s="783" t="s">
        <v>3408</v>
      </c>
      <c r="C3078" s="783" t="s">
        <v>4008</v>
      </c>
      <c r="D3078" s="783" t="s">
        <v>4009</v>
      </c>
      <c r="E3078" s="783" t="s">
        <v>7091</v>
      </c>
      <c r="F3078" s="783" t="s">
        <v>4011</v>
      </c>
      <c r="G3078" s="783" t="str">
        <f t="shared" si="165"/>
        <v>Renewal (25% in 2020)</v>
      </c>
      <c r="H3078" s="783" t="s">
        <v>7092</v>
      </c>
      <c r="I3078" s="783" t="s">
        <v>7093</v>
      </c>
      <c r="J3078" s="783">
        <v>25</v>
      </c>
      <c r="K3078" s="783" t="s">
        <v>183</v>
      </c>
      <c r="L3078" s="783" t="s">
        <v>4096</v>
      </c>
      <c r="M3078" s="784">
        <v>12412.98</v>
      </c>
      <c r="N3078" s="784">
        <v>12.7</v>
      </c>
      <c r="O3078" s="784">
        <v>5.43</v>
      </c>
      <c r="P3078" s="783">
        <v>180</v>
      </c>
      <c r="Q3078" s="783">
        <v>631.82000000000005</v>
      </c>
      <c r="R3078" s="783">
        <v>416.9</v>
      </c>
      <c r="S3078" s="783">
        <v>104.45</v>
      </c>
      <c r="T3078" s="783">
        <v>110.48</v>
      </c>
      <c r="U3078" s="785">
        <v>44631.504479166702</v>
      </c>
    </row>
    <row r="3079" spans="1:21">
      <c r="A3079" s="782">
        <v>44409</v>
      </c>
      <c r="B3079" s="783" t="s">
        <v>41</v>
      </c>
      <c r="C3079" s="783" t="s">
        <v>4092</v>
      </c>
      <c r="D3079" s="783" t="s">
        <v>4009</v>
      </c>
      <c r="E3079" s="783" t="s">
        <v>4823</v>
      </c>
      <c r="F3079" s="783" t="s">
        <v>4011</v>
      </c>
      <c r="G3079" s="783" t="str">
        <f t="shared" si="165"/>
        <v>Renewal (15% in 2020)</v>
      </c>
      <c r="H3079" s="783" t="s">
        <v>4824</v>
      </c>
      <c r="I3079" s="783" t="s">
        <v>4825</v>
      </c>
      <c r="J3079" s="783">
        <v>15</v>
      </c>
      <c r="K3079" s="783" t="s">
        <v>183</v>
      </c>
      <c r="L3079" s="783" t="s">
        <v>4096</v>
      </c>
      <c r="M3079" s="784">
        <v>31465.98</v>
      </c>
      <c r="N3079" s="784">
        <v>33.22</v>
      </c>
      <c r="O3079" s="784">
        <v>5.92</v>
      </c>
      <c r="P3079" s="783">
        <v>160</v>
      </c>
      <c r="Q3079" s="783">
        <v>2548.7399999999998</v>
      </c>
      <c r="R3079" s="783">
        <v>1110.75</v>
      </c>
      <c r="S3079" s="783">
        <v>204.53</v>
      </c>
      <c r="T3079" s="783">
        <v>1233.47</v>
      </c>
      <c r="U3079" s="785">
        <v>44631.5082638889</v>
      </c>
    </row>
    <row r="3080" spans="1:21">
      <c r="A3080" s="782">
        <v>44409</v>
      </c>
      <c r="B3080" s="783" t="s">
        <v>41</v>
      </c>
      <c r="C3080" s="783" t="s">
        <v>4008</v>
      </c>
      <c r="D3080" s="783" t="s">
        <v>4009</v>
      </c>
      <c r="E3080" s="783" t="s">
        <v>4503</v>
      </c>
      <c r="F3080" s="783" t="s">
        <v>4011</v>
      </c>
      <c r="G3080" s="783" t="str">
        <f t="shared" si="165"/>
        <v>Renewal (20% in 2020)</v>
      </c>
      <c r="H3080" s="783" t="s">
        <v>4504</v>
      </c>
      <c r="I3080" s="783" t="s">
        <v>4505</v>
      </c>
      <c r="J3080" s="783">
        <v>20</v>
      </c>
      <c r="K3080" s="783" t="s">
        <v>183</v>
      </c>
      <c r="L3080" s="783" t="s">
        <v>4096</v>
      </c>
      <c r="M3080" s="784">
        <v>19623.79</v>
      </c>
      <c r="N3080" s="784">
        <v>26.49</v>
      </c>
      <c r="O3080" s="784">
        <v>4.63</v>
      </c>
      <c r="P3080" s="783">
        <v>160</v>
      </c>
      <c r="Q3080" s="783">
        <v>1265.73</v>
      </c>
      <c r="R3080" s="783">
        <v>710.38</v>
      </c>
      <c r="S3080" s="783">
        <v>113.82</v>
      </c>
      <c r="T3080" s="783">
        <v>441.54</v>
      </c>
      <c r="U3080" s="785">
        <v>44631.505243055602</v>
      </c>
    </row>
    <row r="3081" spans="1:21">
      <c r="A3081" s="782">
        <v>44415</v>
      </c>
      <c r="B3081" s="783" t="s">
        <v>228</v>
      </c>
      <c r="C3081" s="783" t="s">
        <v>4192</v>
      </c>
      <c r="D3081" s="783" t="s">
        <v>4193</v>
      </c>
      <c r="E3081" s="783" t="s">
        <v>4826</v>
      </c>
      <c r="F3081" s="783" t="s">
        <v>4011</v>
      </c>
      <c r="G3081" s="783" t="str">
        <f t="shared" si="165"/>
        <v>Renewal (15% in 2020)</v>
      </c>
      <c r="H3081" s="783" t="s">
        <v>4827</v>
      </c>
      <c r="I3081" s="783" t="s">
        <v>4828</v>
      </c>
      <c r="J3081" s="783">
        <v>15</v>
      </c>
      <c r="K3081" s="783" t="s">
        <v>183</v>
      </c>
      <c r="L3081" s="783" t="s">
        <v>4096</v>
      </c>
      <c r="M3081" s="784">
        <v>26533.26</v>
      </c>
      <c r="N3081" s="784">
        <v>33.35</v>
      </c>
      <c r="O3081" s="784">
        <v>4.68</v>
      </c>
      <c r="P3081" s="783">
        <v>170</v>
      </c>
      <c r="Q3081" s="783">
        <v>1968.77</v>
      </c>
      <c r="R3081" s="783">
        <v>852.33</v>
      </c>
      <c r="S3081" s="783">
        <v>147.97999999999999</v>
      </c>
      <c r="T3081" s="783">
        <v>968.46</v>
      </c>
      <c r="U3081" s="785">
        <v>44631.502858796302</v>
      </c>
    </row>
    <row r="3082" spans="1:21">
      <c r="A3082" s="782">
        <v>44409</v>
      </c>
      <c r="B3082" s="783" t="s">
        <v>1423</v>
      </c>
      <c r="C3082" s="783" t="s">
        <v>4097</v>
      </c>
      <c r="D3082" s="783" t="s">
        <v>4038</v>
      </c>
      <c r="E3082" s="783" t="s">
        <v>4831</v>
      </c>
      <c r="F3082" s="783" t="s">
        <v>4011</v>
      </c>
      <c r="G3082" s="783" t="str">
        <f t="shared" si="165"/>
        <v>Renewal (15% in 2020)</v>
      </c>
      <c r="H3082" s="783" t="s">
        <v>4832</v>
      </c>
      <c r="I3082" s="783" t="s">
        <v>4833</v>
      </c>
      <c r="J3082" s="783">
        <v>15</v>
      </c>
      <c r="K3082" s="783" t="s">
        <v>183</v>
      </c>
      <c r="L3082" s="783" t="s">
        <v>4096</v>
      </c>
      <c r="M3082" s="784">
        <v>11102.45</v>
      </c>
      <c r="N3082" s="784">
        <v>13.84</v>
      </c>
      <c r="O3082" s="784">
        <v>5.73</v>
      </c>
      <c r="P3082" s="783">
        <v>140</v>
      </c>
      <c r="Q3082" s="783">
        <v>975.91</v>
      </c>
      <c r="R3082" s="783">
        <v>413.01</v>
      </c>
      <c r="S3082" s="783">
        <v>64.39</v>
      </c>
      <c r="T3082" s="783">
        <v>498.5</v>
      </c>
      <c r="U3082" s="785">
        <v>44631.507222222201</v>
      </c>
    </row>
    <row r="3083" spans="1:21">
      <c r="A3083" s="782">
        <v>44409</v>
      </c>
      <c r="B3083" s="783" t="s">
        <v>41</v>
      </c>
      <c r="C3083" s="783" t="s">
        <v>4071</v>
      </c>
      <c r="D3083" s="783" t="s">
        <v>4009</v>
      </c>
      <c r="E3083" s="783" t="s">
        <v>4838</v>
      </c>
      <c r="F3083" s="783" t="s">
        <v>4011</v>
      </c>
      <c r="G3083" s="783" t="str">
        <f t="shared" si="165"/>
        <v>Renewal (30% in 2020)</v>
      </c>
      <c r="H3083" s="783" t="s">
        <v>4839</v>
      </c>
      <c r="I3083" s="783" t="s">
        <v>4840</v>
      </c>
      <c r="J3083" s="783">
        <v>30</v>
      </c>
      <c r="K3083" s="783" t="s">
        <v>183</v>
      </c>
      <c r="L3083" s="783" t="s">
        <v>4096</v>
      </c>
      <c r="M3083" s="784">
        <v>26620.799999999999</v>
      </c>
      <c r="N3083" s="784">
        <v>28.2</v>
      </c>
      <c r="O3083" s="784">
        <v>5.9</v>
      </c>
      <c r="P3083" s="783">
        <v>160</v>
      </c>
      <c r="Q3083" s="783">
        <v>817.26</v>
      </c>
      <c r="R3083" s="783">
        <v>718.76</v>
      </c>
      <c r="S3083" s="783">
        <v>0</v>
      </c>
      <c r="T3083" s="783">
        <v>98.5</v>
      </c>
      <c r="U3083" s="785">
        <v>44631.503854166702</v>
      </c>
    </row>
    <row r="3084" spans="1:21">
      <c r="A3084" s="782">
        <v>44409</v>
      </c>
      <c r="B3084" s="783" t="s">
        <v>228</v>
      </c>
      <c r="C3084" s="783" t="s">
        <v>4675</v>
      </c>
      <c r="D3084" s="783" t="s">
        <v>4193</v>
      </c>
      <c r="E3084" s="783" t="s">
        <v>4844</v>
      </c>
      <c r="F3084" s="783" t="s">
        <v>4011</v>
      </c>
      <c r="G3084" s="783" t="str">
        <f t="shared" si="165"/>
        <v>Renewal (20% in 2020)</v>
      </c>
      <c r="H3084" s="783" t="s">
        <v>4845</v>
      </c>
      <c r="I3084" s="783" t="s">
        <v>4846</v>
      </c>
      <c r="J3084" s="783">
        <v>20</v>
      </c>
      <c r="K3084" s="783" t="s">
        <v>183</v>
      </c>
      <c r="L3084" s="783" t="s">
        <v>4096</v>
      </c>
      <c r="M3084" s="784">
        <v>8800</v>
      </c>
      <c r="N3084" s="784">
        <v>10</v>
      </c>
      <c r="O3084" s="784">
        <v>5.5</v>
      </c>
      <c r="P3084" s="783">
        <v>160</v>
      </c>
      <c r="Q3084" s="783">
        <v>705.76</v>
      </c>
      <c r="R3084" s="783">
        <v>401.28</v>
      </c>
      <c r="S3084" s="783">
        <v>62.48</v>
      </c>
      <c r="T3084" s="783">
        <v>242</v>
      </c>
      <c r="U3084" s="785">
        <v>44631.507291666698</v>
      </c>
    </row>
    <row r="3085" spans="1:21">
      <c r="A3085" s="782">
        <v>44409</v>
      </c>
      <c r="B3085" s="783" t="s">
        <v>228</v>
      </c>
      <c r="C3085" s="783" t="s">
        <v>4847</v>
      </c>
      <c r="D3085" s="783" t="s">
        <v>4016</v>
      </c>
      <c r="E3085" s="783" t="s">
        <v>4848</v>
      </c>
      <c r="F3085" s="783" t="s">
        <v>4011</v>
      </c>
      <c r="G3085" s="783" t="str">
        <f t="shared" si="165"/>
        <v>Renewal (20% in 2020)</v>
      </c>
      <c r="H3085" s="783" t="s">
        <v>4849</v>
      </c>
      <c r="I3085" s="783" t="s">
        <v>4850</v>
      </c>
      <c r="J3085" s="783">
        <v>20</v>
      </c>
      <c r="K3085" s="783" t="s">
        <v>183</v>
      </c>
      <c r="L3085" s="783" t="s">
        <v>4096</v>
      </c>
      <c r="M3085" s="784">
        <v>22076.55</v>
      </c>
      <c r="N3085" s="784">
        <v>23.7</v>
      </c>
      <c r="O3085" s="784">
        <v>6.21</v>
      </c>
      <c r="P3085" s="783">
        <v>150</v>
      </c>
      <c r="Q3085" s="783">
        <v>1381.99</v>
      </c>
      <c r="R3085" s="783">
        <v>812.42</v>
      </c>
      <c r="S3085" s="783">
        <v>121.42</v>
      </c>
      <c r="T3085" s="783">
        <v>448.15</v>
      </c>
      <c r="U3085" s="785">
        <v>44631.503865740699</v>
      </c>
    </row>
    <row r="3086" spans="1:21">
      <c r="A3086" s="782">
        <v>44415</v>
      </c>
      <c r="B3086" s="783" t="s">
        <v>228</v>
      </c>
      <c r="C3086" s="783" t="s">
        <v>4192</v>
      </c>
      <c r="D3086" s="783" t="s">
        <v>4193</v>
      </c>
      <c r="E3086" s="783" t="s">
        <v>4851</v>
      </c>
      <c r="F3086" s="783" t="s">
        <v>4011</v>
      </c>
      <c r="G3086" s="783" t="str">
        <f t="shared" si="165"/>
        <v>Renewal (15% in 2020)</v>
      </c>
      <c r="H3086" s="783" t="s">
        <v>4852</v>
      </c>
      <c r="I3086" s="783" t="s">
        <v>4853</v>
      </c>
      <c r="J3086" s="783">
        <v>15</v>
      </c>
      <c r="K3086" s="783" t="s">
        <v>183</v>
      </c>
      <c r="L3086" s="783" t="s">
        <v>4096</v>
      </c>
      <c r="M3086" s="784">
        <v>18512.259999999998</v>
      </c>
      <c r="N3086" s="784">
        <v>17.04</v>
      </c>
      <c r="O3086" s="784">
        <v>6.79</v>
      </c>
      <c r="P3086" s="783">
        <v>160</v>
      </c>
      <c r="Q3086" s="783">
        <v>1373.61</v>
      </c>
      <c r="R3086" s="783">
        <v>605.35</v>
      </c>
      <c r="S3086" s="783">
        <v>92.56</v>
      </c>
      <c r="T3086" s="783">
        <v>675.7</v>
      </c>
      <c r="U3086" s="785">
        <v>44631.502951388902</v>
      </c>
    </row>
    <row r="3087" spans="1:21">
      <c r="A3087" s="782">
        <v>44497</v>
      </c>
      <c r="B3087" s="783" t="s">
        <v>41</v>
      </c>
      <c r="C3087" s="783" t="s">
        <v>4092</v>
      </c>
      <c r="D3087" s="783" t="s">
        <v>4009</v>
      </c>
      <c r="E3087" s="783" t="s">
        <v>4854</v>
      </c>
      <c r="F3087" s="783" t="s">
        <v>4011</v>
      </c>
      <c r="G3087" s="783" t="str">
        <f t="shared" si="165"/>
        <v>Renewal (25% in 2020)</v>
      </c>
      <c r="H3087" s="783" t="s">
        <v>4855</v>
      </c>
      <c r="I3087" s="783" t="s">
        <v>4856</v>
      </c>
      <c r="J3087" s="783">
        <v>25</v>
      </c>
      <c r="K3087" s="783" t="s">
        <v>183</v>
      </c>
      <c r="L3087" s="783" t="s">
        <v>4096</v>
      </c>
      <c r="M3087" s="784">
        <v>7312.45</v>
      </c>
      <c r="N3087" s="784">
        <v>7.19</v>
      </c>
      <c r="O3087" s="784">
        <v>6.09</v>
      </c>
      <c r="P3087" s="783">
        <v>167</v>
      </c>
      <c r="Q3087" s="783">
        <v>342.22</v>
      </c>
      <c r="R3087" s="783">
        <v>258.13</v>
      </c>
      <c r="S3087" s="783">
        <v>47.53</v>
      </c>
      <c r="T3087" s="783">
        <v>36.56</v>
      </c>
      <c r="U3087" s="785">
        <v>44631.509618055599</v>
      </c>
    </row>
    <row r="3088" spans="1:21">
      <c r="A3088" s="782">
        <v>44565</v>
      </c>
      <c r="B3088" s="783" t="s">
        <v>41</v>
      </c>
      <c r="C3088" s="783" t="s">
        <v>4139</v>
      </c>
      <c r="D3088" s="783" t="s">
        <v>4009</v>
      </c>
      <c r="E3088" s="783" t="s">
        <v>1109</v>
      </c>
      <c r="F3088" s="783" t="s">
        <v>4011</v>
      </c>
      <c r="G3088" s="783" t="str">
        <f t="shared" si="165"/>
        <v>Renewal (15% in 2020)</v>
      </c>
      <c r="H3088" s="783" t="s">
        <v>4857</v>
      </c>
      <c r="I3088" s="783" t="s">
        <v>4858</v>
      </c>
      <c r="J3088" s="783">
        <v>15</v>
      </c>
      <c r="K3088" s="783" t="s">
        <v>183</v>
      </c>
      <c r="L3088" s="783" t="s">
        <v>4096</v>
      </c>
      <c r="M3088" s="784">
        <v>36812.93</v>
      </c>
      <c r="N3088" s="784">
        <v>45.91</v>
      </c>
      <c r="O3088" s="784">
        <v>5.53</v>
      </c>
      <c r="P3088" s="783">
        <v>145</v>
      </c>
      <c r="Q3088" s="783">
        <v>2727.84</v>
      </c>
      <c r="R3088" s="783">
        <v>1225.8699999999999</v>
      </c>
      <c r="S3088" s="783">
        <v>184.06</v>
      </c>
      <c r="T3088" s="783">
        <v>1317.9</v>
      </c>
      <c r="U3088" s="785">
        <v>44631.503125000003</v>
      </c>
    </row>
    <row r="3089" spans="1:21">
      <c r="A3089" s="782">
        <v>44501</v>
      </c>
      <c r="B3089" s="783" t="s">
        <v>41</v>
      </c>
      <c r="C3089" s="783" t="s">
        <v>4071</v>
      </c>
      <c r="D3089" s="783" t="s">
        <v>4009</v>
      </c>
      <c r="E3089" s="783" t="s">
        <v>4862</v>
      </c>
      <c r="F3089" s="783" t="s">
        <v>4011</v>
      </c>
      <c r="G3089" s="783" t="str">
        <f t="shared" si="165"/>
        <v>Renewal (15% in 2020)</v>
      </c>
      <c r="H3089" s="783" t="s">
        <v>4863</v>
      </c>
      <c r="I3089" s="783" t="s">
        <v>4864</v>
      </c>
      <c r="J3089" s="783">
        <v>15</v>
      </c>
      <c r="K3089" s="783" t="s">
        <v>183</v>
      </c>
      <c r="L3089" s="783" t="s">
        <v>4096</v>
      </c>
      <c r="M3089" s="784">
        <v>5325.84</v>
      </c>
      <c r="N3089" s="784">
        <v>5.85</v>
      </c>
      <c r="O3089" s="784">
        <v>5.69</v>
      </c>
      <c r="P3089" s="783">
        <v>160</v>
      </c>
      <c r="Q3089" s="783">
        <v>319.55</v>
      </c>
      <c r="R3089" s="783">
        <v>143.80000000000001</v>
      </c>
      <c r="S3089" s="783">
        <v>21.3</v>
      </c>
      <c r="T3089" s="783">
        <v>154.44999999999999</v>
      </c>
      <c r="U3089" s="785">
        <v>44631.503043981502</v>
      </c>
    </row>
    <row r="3090" spans="1:21">
      <c r="A3090" s="782">
        <v>44419</v>
      </c>
      <c r="B3090" s="783" t="s">
        <v>51</v>
      </c>
      <c r="C3090" s="783" t="s">
        <v>4015</v>
      </c>
      <c r="D3090" s="783" t="s">
        <v>4016</v>
      </c>
      <c r="E3090" s="783" t="s">
        <v>3263</v>
      </c>
      <c r="F3090" s="783" t="s">
        <v>4011</v>
      </c>
      <c r="G3090" s="783" t="str">
        <f t="shared" si="165"/>
        <v>Renewal (20% in 2020)</v>
      </c>
      <c r="H3090" s="783" t="s">
        <v>4873</v>
      </c>
      <c r="I3090" s="783" t="s">
        <v>4874</v>
      </c>
      <c r="J3090" s="783">
        <v>20</v>
      </c>
      <c r="K3090" s="783" t="s">
        <v>183</v>
      </c>
      <c r="L3090" s="783" t="s">
        <v>4096</v>
      </c>
      <c r="M3090" s="784">
        <v>9590.2099999999991</v>
      </c>
      <c r="N3090" s="784">
        <v>10.039999999999999</v>
      </c>
      <c r="O3090" s="784">
        <v>5.97</v>
      </c>
      <c r="P3090" s="783">
        <v>160</v>
      </c>
      <c r="Q3090" s="783">
        <v>491.02</v>
      </c>
      <c r="R3090" s="783">
        <v>282.91000000000003</v>
      </c>
      <c r="S3090" s="783">
        <v>43.16</v>
      </c>
      <c r="T3090" s="783">
        <v>164.95</v>
      </c>
      <c r="U3090" s="785">
        <v>44631.511747685203</v>
      </c>
    </row>
    <row r="3091" spans="1:21">
      <c r="A3091" s="782">
        <v>44427</v>
      </c>
      <c r="B3091" s="783" t="s">
        <v>41</v>
      </c>
      <c r="C3091" s="783" t="s">
        <v>4082</v>
      </c>
      <c r="D3091" s="783" t="s">
        <v>4009</v>
      </c>
      <c r="E3091" s="783" t="s">
        <v>4518</v>
      </c>
      <c r="F3091" s="783" t="s">
        <v>4011</v>
      </c>
      <c r="G3091" s="783" t="str">
        <f t="shared" si="165"/>
        <v>Renewal (25% in 2020)</v>
      </c>
      <c r="H3091" s="783" t="s">
        <v>4519</v>
      </c>
      <c r="I3091" s="783" t="s">
        <v>4520</v>
      </c>
      <c r="J3091" s="783">
        <v>25</v>
      </c>
      <c r="K3091" s="783" t="s">
        <v>183</v>
      </c>
      <c r="L3091" s="783" t="s">
        <v>4096</v>
      </c>
      <c r="M3091" s="784">
        <v>13171.9</v>
      </c>
      <c r="N3091" s="784">
        <v>15.5</v>
      </c>
      <c r="O3091" s="784">
        <v>6.07</v>
      </c>
      <c r="P3091" s="783">
        <v>140</v>
      </c>
      <c r="Q3091" s="783">
        <v>594.04999999999995</v>
      </c>
      <c r="R3091" s="783">
        <v>449.16</v>
      </c>
      <c r="S3091" s="783">
        <v>81.67</v>
      </c>
      <c r="T3091" s="783">
        <v>63.23</v>
      </c>
      <c r="U3091" s="785">
        <v>44631.512199074103</v>
      </c>
    </row>
    <row r="3092" spans="1:21">
      <c r="A3092" s="782">
        <v>44422</v>
      </c>
      <c r="B3092" s="783" t="s">
        <v>51</v>
      </c>
      <c r="C3092" s="783" t="s">
        <v>4796</v>
      </c>
      <c r="D3092" s="783" t="s">
        <v>4016</v>
      </c>
      <c r="E3092" s="783" t="s">
        <v>67</v>
      </c>
      <c r="F3092" s="783" t="s">
        <v>4011</v>
      </c>
      <c r="G3092" s="783" t="str">
        <f t="shared" si="165"/>
        <v>Renewal (15% in 2020)</v>
      </c>
      <c r="H3092" s="783" t="s">
        <v>4875</v>
      </c>
      <c r="I3092" s="783" t="s">
        <v>4876</v>
      </c>
      <c r="J3092" s="783">
        <v>15</v>
      </c>
      <c r="K3092" s="783" t="s">
        <v>183</v>
      </c>
      <c r="L3092" s="783" t="s">
        <v>4096</v>
      </c>
      <c r="M3092" s="784">
        <v>41529.599999999999</v>
      </c>
      <c r="N3092" s="784">
        <v>42</v>
      </c>
      <c r="O3092" s="784">
        <v>6.18</v>
      </c>
      <c r="P3092" s="783">
        <v>160</v>
      </c>
      <c r="Q3092" s="783">
        <v>2853.08</v>
      </c>
      <c r="R3092" s="783">
        <v>1250.04</v>
      </c>
      <c r="S3092" s="783">
        <v>191.04</v>
      </c>
      <c r="T3092" s="783">
        <v>1412.01</v>
      </c>
      <c r="U3092" s="785">
        <v>44631.511990740699</v>
      </c>
    </row>
    <row r="3093" spans="1:21">
      <c r="A3093" s="782">
        <v>44435</v>
      </c>
      <c r="B3093" s="783" t="s">
        <v>41</v>
      </c>
      <c r="C3093" s="783" t="s">
        <v>4082</v>
      </c>
      <c r="D3093" s="783" t="s">
        <v>4009</v>
      </c>
      <c r="E3093" s="783" t="s">
        <v>1290</v>
      </c>
      <c r="F3093" s="783" t="s">
        <v>4011</v>
      </c>
      <c r="G3093" s="783" t="str">
        <f t="shared" si="165"/>
        <v>Renewal (20% in 2020)</v>
      </c>
      <c r="H3093" s="783" t="s">
        <v>4521</v>
      </c>
      <c r="I3093" s="783" t="s">
        <v>4522</v>
      </c>
      <c r="J3093" s="783">
        <v>20</v>
      </c>
      <c r="K3093" s="783" t="s">
        <v>183</v>
      </c>
      <c r="L3093" s="783" t="s">
        <v>4096</v>
      </c>
      <c r="M3093" s="784">
        <v>20851.599999999999</v>
      </c>
      <c r="N3093" s="784">
        <v>22</v>
      </c>
      <c r="O3093" s="784">
        <v>6.77</v>
      </c>
      <c r="P3093" s="783">
        <v>140</v>
      </c>
      <c r="Q3093" s="783">
        <v>1219.82</v>
      </c>
      <c r="R3093" s="783">
        <v>711.04</v>
      </c>
      <c r="S3093" s="783">
        <v>129.28</v>
      </c>
      <c r="T3093" s="783">
        <v>379.5</v>
      </c>
      <c r="U3093" s="785">
        <v>44631.512025463002</v>
      </c>
    </row>
    <row r="3094" spans="1:21">
      <c r="A3094" s="782">
        <v>44581</v>
      </c>
      <c r="B3094" s="783" t="s">
        <v>74</v>
      </c>
      <c r="C3094" s="783" t="s">
        <v>4037</v>
      </c>
      <c r="D3094" s="783" t="s">
        <v>4038</v>
      </c>
      <c r="E3094" s="783" t="s">
        <v>4278</v>
      </c>
      <c r="F3094" s="783" t="s">
        <v>4011</v>
      </c>
      <c r="G3094" s="783" t="s">
        <v>4028</v>
      </c>
      <c r="H3094" s="783" t="s">
        <v>4279</v>
      </c>
      <c r="I3094" s="783" t="s">
        <v>4280</v>
      </c>
      <c r="J3094" s="783">
        <v>25</v>
      </c>
      <c r="K3094" s="783" t="s">
        <v>183</v>
      </c>
      <c r="L3094" s="783" t="s">
        <v>4096</v>
      </c>
      <c r="M3094" s="784">
        <v>12751.2</v>
      </c>
      <c r="N3094" s="784">
        <v>15.4</v>
      </c>
      <c r="O3094" s="784">
        <v>4.5999999999999996</v>
      </c>
      <c r="P3094" s="783">
        <v>180</v>
      </c>
      <c r="Q3094" s="783">
        <v>914.26</v>
      </c>
      <c r="R3094" s="783">
        <v>569.04</v>
      </c>
      <c r="S3094" s="783">
        <v>143.76</v>
      </c>
      <c r="T3094" s="783">
        <v>201.47</v>
      </c>
      <c r="U3094" s="785">
        <v>44631.516180555598</v>
      </c>
    </row>
    <row r="3095" spans="1:21">
      <c r="A3095" s="782">
        <v>44574</v>
      </c>
      <c r="B3095" s="783" t="s">
        <v>41</v>
      </c>
      <c r="C3095" s="783" t="s">
        <v>4139</v>
      </c>
      <c r="D3095" s="783" t="s">
        <v>4009</v>
      </c>
      <c r="E3095" s="783" t="s">
        <v>3825</v>
      </c>
      <c r="F3095" s="783" t="s">
        <v>4011</v>
      </c>
      <c r="G3095" s="783" t="str">
        <f t="shared" ref="G3095:G3109" si="166">VLOOKUP(I3095,pacage,2,FALSE)</f>
        <v>Renewal (15% in 2020)</v>
      </c>
      <c r="H3095" s="783" t="s">
        <v>4879</v>
      </c>
      <c r="I3095" s="783" t="s">
        <v>4880</v>
      </c>
      <c r="J3095" s="783">
        <v>15</v>
      </c>
      <c r="K3095" s="783" t="s">
        <v>183</v>
      </c>
      <c r="L3095" s="783" t="s">
        <v>4096</v>
      </c>
      <c r="M3095" s="784">
        <v>21908.58</v>
      </c>
      <c r="N3095" s="784">
        <v>24.43</v>
      </c>
      <c r="O3095" s="784">
        <v>5.37</v>
      </c>
      <c r="P3095" s="783">
        <v>167</v>
      </c>
      <c r="Q3095" s="783">
        <v>1623.43</v>
      </c>
      <c r="R3095" s="783">
        <v>729.56</v>
      </c>
      <c r="S3095" s="783">
        <v>109.54</v>
      </c>
      <c r="T3095" s="783">
        <v>784.33</v>
      </c>
      <c r="U3095" s="785">
        <v>44701.658900463</v>
      </c>
    </row>
    <row r="3096" spans="1:21">
      <c r="A3096" s="782">
        <v>44690</v>
      </c>
      <c r="B3096" s="783" t="s">
        <v>4025</v>
      </c>
      <c r="C3096" s="783" t="s">
        <v>4026</v>
      </c>
      <c r="D3096" s="783" t="s">
        <v>4021</v>
      </c>
      <c r="E3096" s="783" t="s">
        <v>4881</v>
      </c>
      <c r="F3096" s="783" t="s">
        <v>4011</v>
      </c>
      <c r="G3096" s="783" t="str">
        <f t="shared" si="166"/>
        <v>New Contract</v>
      </c>
      <c r="H3096" s="783" t="s">
        <v>4882</v>
      </c>
      <c r="I3096" s="783" t="s">
        <v>4883</v>
      </c>
      <c r="J3096" s="783">
        <v>20</v>
      </c>
      <c r="K3096" s="783" t="s">
        <v>183</v>
      </c>
      <c r="L3096" s="783" t="s">
        <v>4096</v>
      </c>
      <c r="M3096" s="784">
        <v>58099.27</v>
      </c>
      <c r="N3096" s="784">
        <v>41.72</v>
      </c>
      <c r="O3096" s="784">
        <v>6.33</v>
      </c>
      <c r="P3096" s="783">
        <v>220</v>
      </c>
      <c r="Q3096" s="783">
        <v>4206.3900000000003</v>
      </c>
      <c r="R3096" s="783">
        <v>1821.44</v>
      </c>
      <c r="S3096" s="783">
        <v>949.9</v>
      </c>
      <c r="T3096" s="783">
        <v>1435.05</v>
      </c>
      <c r="U3096" s="785">
        <v>44690.6879513889</v>
      </c>
    </row>
    <row r="3097" spans="1:21">
      <c r="A3097" s="782">
        <v>44691</v>
      </c>
      <c r="B3097" s="783" t="s">
        <v>51</v>
      </c>
      <c r="C3097" s="783" t="s">
        <v>4015</v>
      </c>
      <c r="D3097" s="783" t="s">
        <v>4016</v>
      </c>
      <c r="E3097" s="783" t="s">
        <v>4017</v>
      </c>
      <c r="F3097" s="783" t="s">
        <v>4011</v>
      </c>
      <c r="G3097" s="783" t="str">
        <f t="shared" si="166"/>
        <v>New Contract</v>
      </c>
      <c r="H3097" s="783" t="s">
        <v>4018</v>
      </c>
      <c r="I3097" s="783" t="s">
        <v>4019</v>
      </c>
      <c r="J3097" s="783">
        <v>25</v>
      </c>
      <c r="K3097" s="783" t="s">
        <v>183</v>
      </c>
      <c r="L3097" s="783" t="s">
        <v>4096</v>
      </c>
      <c r="M3097" s="784">
        <v>10715.12</v>
      </c>
      <c r="N3097" s="784">
        <v>11.12</v>
      </c>
      <c r="O3097" s="784">
        <v>5.77</v>
      </c>
      <c r="P3097" s="783">
        <v>167</v>
      </c>
      <c r="Q3097" s="783">
        <v>427.53</v>
      </c>
      <c r="R3097" s="783">
        <v>316.10000000000002</v>
      </c>
      <c r="S3097" s="783">
        <v>48.22</v>
      </c>
      <c r="T3097" s="783">
        <v>63.22</v>
      </c>
      <c r="U3097" s="785">
        <v>44691.527569444399</v>
      </c>
    </row>
    <row r="3098" spans="1:21">
      <c r="A3098" s="782">
        <v>44690</v>
      </c>
      <c r="B3098" s="783" t="s">
        <v>4025</v>
      </c>
      <c r="C3098" s="783" t="s">
        <v>4026</v>
      </c>
      <c r="D3098" s="783" t="s">
        <v>4021</v>
      </c>
      <c r="E3098" s="783" t="s">
        <v>4884</v>
      </c>
      <c r="F3098" s="783" t="s">
        <v>4011</v>
      </c>
      <c r="G3098" s="783" t="str">
        <f t="shared" si="166"/>
        <v>New Contract</v>
      </c>
      <c r="H3098" s="783" t="s">
        <v>4885</v>
      </c>
      <c r="I3098" s="783" t="s">
        <v>4886</v>
      </c>
      <c r="J3098" s="783">
        <v>25</v>
      </c>
      <c r="K3098" s="783" t="s">
        <v>183</v>
      </c>
      <c r="L3098" s="783" t="s">
        <v>4096</v>
      </c>
      <c r="M3098" s="784">
        <v>41801.760000000002</v>
      </c>
      <c r="N3098" s="784">
        <v>31.2</v>
      </c>
      <c r="O3098" s="784">
        <v>6.09</v>
      </c>
      <c r="P3098" s="783">
        <v>220</v>
      </c>
      <c r="Q3098" s="783">
        <v>2370.16</v>
      </c>
      <c r="R3098" s="783">
        <v>1310.5</v>
      </c>
      <c r="S3098" s="783">
        <v>683.44</v>
      </c>
      <c r="T3098" s="783">
        <v>376.22</v>
      </c>
      <c r="U3098" s="785">
        <v>44694.444571759297</v>
      </c>
    </row>
    <row r="3099" spans="1:21">
      <c r="A3099" s="782">
        <v>44690</v>
      </c>
      <c r="B3099" s="783" t="s">
        <v>41</v>
      </c>
      <c r="C3099" s="783" t="s">
        <v>4071</v>
      </c>
      <c r="D3099" s="783" t="s">
        <v>4009</v>
      </c>
      <c r="E3099" s="783" t="s">
        <v>4887</v>
      </c>
      <c r="F3099" s="783" t="s">
        <v>4011</v>
      </c>
      <c r="G3099" s="783" t="str">
        <f t="shared" si="166"/>
        <v>Renewal (15% in 2020)</v>
      </c>
      <c r="H3099" s="783" t="s">
        <v>4888</v>
      </c>
      <c r="I3099" s="783" t="s">
        <v>4889</v>
      </c>
      <c r="J3099" s="783">
        <v>15</v>
      </c>
      <c r="K3099" s="783" t="s">
        <v>183</v>
      </c>
      <c r="L3099" s="783" t="s">
        <v>4096</v>
      </c>
      <c r="M3099" s="784">
        <v>8693.92</v>
      </c>
      <c r="N3099" s="784">
        <v>8.4600000000000009</v>
      </c>
      <c r="O3099" s="784">
        <v>6.63</v>
      </c>
      <c r="P3099" s="783">
        <v>155</v>
      </c>
      <c r="Q3099" s="783">
        <v>521.64</v>
      </c>
      <c r="R3099" s="783">
        <v>234.74</v>
      </c>
      <c r="S3099" s="783">
        <v>34.78</v>
      </c>
      <c r="T3099" s="783">
        <v>252.12</v>
      </c>
      <c r="U3099" s="785">
        <v>44691.5058333333</v>
      </c>
    </row>
    <row r="3100" spans="1:21">
      <c r="A3100" s="782">
        <v>44692</v>
      </c>
      <c r="B3100" s="783" t="s">
        <v>113</v>
      </c>
      <c r="C3100" s="783" t="s">
        <v>4606</v>
      </c>
      <c r="D3100" s="783" t="s">
        <v>4009</v>
      </c>
      <c r="E3100" s="783" t="s">
        <v>6549</v>
      </c>
      <c r="F3100" s="783" t="s">
        <v>4011</v>
      </c>
      <c r="G3100" s="783" t="str">
        <f t="shared" si="166"/>
        <v>Renewal (20% in 2020)</v>
      </c>
      <c r="H3100" s="783" t="s">
        <v>6550</v>
      </c>
      <c r="I3100" s="783" t="s">
        <v>6551</v>
      </c>
      <c r="J3100" s="783">
        <v>20</v>
      </c>
      <c r="K3100" s="783" t="s">
        <v>183</v>
      </c>
      <c r="L3100" s="783" t="s">
        <v>4096</v>
      </c>
      <c r="M3100" s="784">
        <v>619.88</v>
      </c>
      <c r="N3100" s="784">
        <v>0.75</v>
      </c>
      <c r="O3100" s="784">
        <v>5.7</v>
      </c>
      <c r="P3100" s="783">
        <v>145</v>
      </c>
      <c r="Q3100" s="783">
        <v>51.82</v>
      </c>
      <c r="R3100" s="783">
        <v>28.14</v>
      </c>
      <c r="S3100" s="783">
        <v>4.4000000000000004</v>
      </c>
      <c r="T3100" s="783">
        <v>19.28</v>
      </c>
      <c r="U3100" s="785">
        <v>44693.455740740697</v>
      </c>
    </row>
    <row r="3101" spans="1:21">
      <c r="A3101" s="782">
        <v>44693</v>
      </c>
      <c r="B3101" s="783" t="s">
        <v>4025</v>
      </c>
      <c r="C3101" s="783" t="s">
        <v>4026</v>
      </c>
      <c r="D3101" s="783" t="s">
        <v>4021</v>
      </c>
      <c r="E3101" s="783" t="s">
        <v>4890</v>
      </c>
      <c r="F3101" s="783" t="s">
        <v>4011</v>
      </c>
      <c r="G3101" s="783" t="str">
        <f t="shared" si="166"/>
        <v>New Contract</v>
      </c>
      <c r="H3101" s="783" t="s">
        <v>4891</v>
      </c>
      <c r="I3101" s="783" t="s">
        <v>4892</v>
      </c>
      <c r="J3101" s="783">
        <v>25</v>
      </c>
      <c r="K3101" s="783" t="s">
        <v>183</v>
      </c>
      <c r="L3101" s="783" t="s">
        <v>4096</v>
      </c>
      <c r="M3101" s="784">
        <v>22760.04</v>
      </c>
      <c r="N3101" s="784">
        <v>14.46</v>
      </c>
      <c r="O3101" s="784">
        <v>7.87</v>
      </c>
      <c r="P3101" s="783">
        <v>200</v>
      </c>
      <c r="Q3101" s="783">
        <v>1290.49</v>
      </c>
      <c r="R3101" s="783">
        <v>784.89</v>
      </c>
      <c r="S3101" s="783">
        <v>300.76</v>
      </c>
      <c r="T3101" s="783">
        <v>204.84</v>
      </c>
      <c r="U3101" s="785">
        <v>44693.699895833299</v>
      </c>
    </row>
    <row r="3102" spans="1:21">
      <c r="A3102" s="782">
        <v>44693</v>
      </c>
      <c r="B3102" s="783" t="s">
        <v>30</v>
      </c>
      <c r="C3102" s="783" t="s">
        <v>4239</v>
      </c>
      <c r="D3102" s="783" t="s">
        <v>4021</v>
      </c>
      <c r="E3102" s="783" t="s">
        <v>4894</v>
      </c>
      <c r="F3102" s="783" t="s">
        <v>4011</v>
      </c>
      <c r="G3102" s="783" t="str">
        <f t="shared" si="166"/>
        <v>New Contract</v>
      </c>
      <c r="H3102" s="783" t="s">
        <v>4895</v>
      </c>
      <c r="I3102" s="783" t="s">
        <v>4896</v>
      </c>
      <c r="J3102" s="783">
        <v>20</v>
      </c>
      <c r="K3102" s="783" t="s">
        <v>183</v>
      </c>
      <c r="L3102" s="783" t="s">
        <v>4096</v>
      </c>
      <c r="M3102" s="784">
        <v>5406.49</v>
      </c>
      <c r="N3102" s="784">
        <v>4.74</v>
      </c>
      <c r="O3102" s="784">
        <v>6.83</v>
      </c>
      <c r="P3102" s="783">
        <v>167</v>
      </c>
      <c r="Q3102" s="783">
        <v>358.99</v>
      </c>
      <c r="R3102" s="783">
        <v>198.42</v>
      </c>
      <c r="S3102" s="783">
        <v>43.79</v>
      </c>
      <c r="T3102" s="783">
        <v>116.78</v>
      </c>
      <c r="U3102" s="785">
        <v>44694.435486111099</v>
      </c>
    </row>
    <row r="3103" spans="1:21">
      <c r="A3103" s="782">
        <v>44690</v>
      </c>
      <c r="B3103" s="783" t="s">
        <v>74</v>
      </c>
      <c r="C3103" s="783" t="s">
        <v>4097</v>
      </c>
      <c r="D3103" s="783" t="s">
        <v>4038</v>
      </c>
      <c r="E3103" s="783" t="s">
        <v>4098</v>
      </c>
      <c r="F3103" s="783" t="s">
        <v>4011</v>
      </c>
      <c r="G3103" s="783" t="str">
        <f t="shared" si="166"/>
        <v>Renewal (15% in 2020)</v>
      </c>
      <c r="H3103" s="783" t="s">
        <v>4099</v>
      </c>
      <c r="I3103" s="783" t="s">
        <v>4100</v>
      </c>
      <c r="J3103" s="783">
        <v>20</v>
      </c>
      <c r="K3103" s="783" t="s">
        <v>183</v>
      </c>
      <c r="L3103" s="783" t="s">
        <v>4096</v>
      </c>
      <c r="M3103" s="784">
        <v>22222.11</v>
      </c>
      <c r="N3103" s="784">
        <v>20.010000000000002</v>
      </c>
      <c r="O3103" s="784">
        <v>6.65</v>
      </c>
      <c r="P3103" s="783">
        <v>167</v>
      </c>
      <c r="Q3103" s="783">
        <v>1484.44</v>
      </c>
      <c r="R3103" s="783">
        <v>826.66</v>
      </c>
      <c r="S3103" s="783">
        <v>128.88999999999999</v>
      </c>
      <c r="T3103" s="783">
        <v>528.89</v>
      </c>
      <c r="U3103" s="785">
        <v>44708.600972222201</v>
      </c>
    </row>
    <row r="3104" spans="1:21">
      <c r="A3104" s="782">
        <v>44690</v>
      </c>
      <c r="B3104" s="783" t="s">
        <v>51</v>
      </c>
      <c r="C3104" s="783" t="s">
        <v>4042</v>
      </c>
      <c r="D3104" s="783" t="s">
        <v>4016</v>
      </c>
      <c r="E3104" s="783" t="s">
        <v>4904</v>
      </c>
      <c r="F3104" s="783" t="s">
        <v>4011</v>
      </c>
      <c r="G3104" s="783" t="str">
        <f t="shared" si="166"/>
        <v>Renewal (30% in 2020)</v>
      </c>
      <c r="H3104" s="783" t="s">
        <v>4905</v>
      </c>
      <c r="I3104" s="783" t="s">
        <v>4906</v>
      </c>
      <c r="J3104" s="783">
        <v>30</v>
      </c>
      <c r="K3104" s="783" t="s">
        <v>183</v>
      </c>
      <c r="L3104" s="783" t="s">
        <v>4096</v>
      </c>
      <c r="M3104" s="784">
        <v>28919.79</v>
      </c>
      <c r="N3104" s="784">
        <v>30.97</v>
      </c>
      <c r="O3104" s="784">
        <v>6.67</v>
      </c>
      <c r="P3104" s="783">
        <v>140</v>
      </c>
      <c r="Q3104" s="783">
        <v>1116.3</v>
      </c>
      <c r="R3104" s="783">
        <v>945.68</v>
      </c>
      <c r="S3104" s="783">
        <v>0</v>
      </c>
      <c r="T3104" s="783">
        <v>170.63</v>
      </c>
      <c r="U3104" s="785">
        <v>44690.683958333299</v>
      </c>
    </row>
    <row r="3105" spans="1:21">
      <c r="A3105" s="782">
        <v>44690</v>
      </c>
      <c r="B3105" s="783" t="s">
        <v>41</v>
      </c>
      <c r="C3105" s="783" t="s">
        <v>4071</v>
      </c>
      <c r="D3105" s="783" t="s">
        <v>4009</v>
      </c>
      <c r="E3105" s="783" t="s">
        <v>4526</v>
      </c>
      <c r="F3105" s="783" t="s">
        <v>4011</v>
      </c>
      <c r="G3105" s="783" t="str">
        <f t="shared" si="166"/>
        <v>Renewal (25% in 2020)</v>
      </c>
      <c r="H3105" s="783" t="s">
        <v>4527</v>
      </c>
      <c r="I3105" s="783" t="s">
        <v>4528</v>
      </c>
      <c r="J3105" s="783">
        <v>25</v>
      </c>
      <c r="K3105" s="783" t="s">
        <v>183</v>
      </c>
      <c r="L3105" s="783" t="s">
        <v>4096</v>
      </c>
      <c r="M3105" s="784">
        <v>56566.06</v>
      </c>
      <c r="N3105" s="784">
        <v>41.41</v>
      </c>
      <c r="O3105" s="784">
        <v>6.83</v>
      </c>
      <c r="P3105" s="783">
        <v>200</v>
      </c>
      <c r="Q3105" s="783">
        <v>1962.84</v>
      </c>
      <c r="R3105" s="783">
        <v>1275.28</v>
      </c>
      <c r="S3105" s="783">
        <v>478.27</v>
      </c>
      <c r="T3105" s="783">
        <v>209.29</v>
      </c>
      <c r="U3105" s="785">
        <v>44690.691793981503</v>
      </c>
    </row>
    <row r="3106" spans="1:21">
      <c r="A3106" s="782">
        <v>44690</v>
      </c>
      <c r="B3106" s="783" t="s">
        <v>397</v>
      </c>
      <c r="C3106" s="783" t="s">
        <v>4192</v>
      </c>
      <c r="D3106" s="783" t="s">
        <v>4193</v>
      </c>
      <c r="E3106" s="783" t="s">
        <v>4907</v>
      </c>
      <c r="F3106" s="783" t="s">
        <v>4011</v>
      </c>
      <c r="G3106" s="783" t="str">
        <f t="shared" si="166"/>
        <v>Renewal (15% in 2020)</v>
      </c>
      <c r="H3106" s="783" t="s">
        <v>4908</v>
      </c>
      <c r="I3106" s="783" t="s">
        <v>4909</v>
      </c>
      <c r="J3106" s="783">
        <v>20</v>
      </c>
      <c r="K3106" s="783" t="s">
        <v>183</v>
      </c>
      <c r="L3106" s="783" t="s">
        <v>4096</v>
      </c>
      <c r="M3106" s="784">
        <v>37240.800000000003</v>
      </c>
      <c r="N3106" s="784">
        <v>42.08</v>
      </c>
      <c r="O3106" s="784">
        <v>5.9</v>
      </c>
      <c r="P3106" s="783">
        <v>150</v>
      </c>
      <c r="Q3106" s="783">
        <v>2078.04</v>
      </c>
      <c r="R3106" s="783">
        <v>1217.77</v>
      </c>
      <c r="S3106" s="783">
        <v>186.2</v>
      </c>
      <c r="T3106" s="783">
        <v>674.06</v>
      </c>
      <c r="U3106" s="785">
        <v>44691.480659722198</v>
      </c>
    </row>
    <row r="3107" spans="1:21">
      <c r="A3107" s="782">
        <v>44690</v>
      </c>
      <c r="B3107" s="783" t="s">
        <v>41</v>
      </c>
      <c r="C3107" s="783" t="s">
        <v>4092</v>
      </c>
      <c r="D3107" s="783" t="s">
        <v>4009</v>
      </c>
      <c r="E3107" s="783" t="s">
        <v>4529</v>
      </c>
      <c r="F3107" s="783" t="s">
        <v>4011</v>
      </c>
      <c r="G3107" s="783" t="str">
        <f t="shared" si="166"/>
        <v>Renewal (25% in 2020)</v>
      </c>
      <c r="H3107" s="783" t="s">
        <v>4530</v>
      </c>
      <c r="I3107" s="783" t="s">
        <v>4531</v>
      </c>
      <c r="J3107" s="783">
        <v>15</v>
      </c>
      <c r="K3107" s="783" t="s">
        <v>183</v>
      </c>
      <c r="L3107" s="783" t="s">
        <v>4096</v>
      </c>
      <c r="M3107" s="784">
        <v>16914.22</v>
      </c>
      <c r="N3107" s="784">
        <v>14.76</v>
      </c>
      <c r="O3107" s="784">
        <v>5.33</v>
      </c>
      <c r="P3107" s="783">
        <v>215</v>
      </c>
      <c r="Q3107" s="783">
        <v>1370.05</v>
      </c>
      <c r="R3107" s="783">
        <v>463.77</v>
      </c>
      <c r="S3107" s="783">
        <v>243.24</v>
      </c>
      <c r="T3107" s="783">
        <v>663.04</v>
      </c>
      <c r="U3107" s="785">
        <v>44706.435763888898</v>
      </c>
    </row>
    <row r="3108" spans="1:21">
      <c r="A3108" s="782">
        <v>44697</v>
      </c>
      <c r="B3108" s="783" t="s">
        <v>41</v>
      </c>
      <c r="C3108" s="783" t="s">
        <v>4139</v>
      </c>
      <c r="D3108" s="783" t="s">
        <v>4009</v>
      </c>
      <c r="E3108" s="783" t="s">
        <v>4532</v>
      </c>
      <c r="F3108" s="783" t="s">
        <v>4011</v>
      </c>
      <c r="G3108" s="783" t="str">
        <f t="shared" si="166"/>
        <v>Renewal (15% in 2020)</v>
      </c>
      <c r="H3108" s="783" t="s">
        <v>4533</v>
      </c>
      <c r="I3108" s="783" t="s">
        <v>4534</v>
      </c>
      <c r="J3108" s="783">
        <v>15</v>
      </c>
      <c r="K3108" s="783" t="s">
        <v>183</v>
      </c>
      <c r="L3108" s="783" t="s">
        <v>4096</v>
      </c>
      <c r="M3108" s="784">
        <v>19926.439999999999</v>
      </c>
      <c r="N3108" s="784">
        <v>19</v>
      </c>
      <c r="O3108" s="784">
        <v>6.28</v>
      </c>
      <c r="P3108" s="783">
        <v>167</v>
      </c>
      <c r="Q3108" s="783">
        <v>1476.55</v>
      </c>
      <c r="R3108" s="783">
        <v>663.55</v>
      </c>
      <c r="S3108" s="783">
        <v>99.63</v>
      </c>
      <c r="T3108" s="783">
        <v>713.37</v>
      </c>
      <c r="U3108" s="785">
        <v>44708.603842592602</v>
      </c>
    </row>
    <row r="3109" spans="1:21">
      <c r="A3109" s="782">
        <v>44693</v>
      </c>
      <c r="B3109" s="783" t="s">
        <v>4025</v>
      </c>
      <c r="C3109" s="783" t="s">
        <v>4026</v>
      </c>
      <c r="D3109" s="783" t="s">
        <v>4021</v>
      </c>
      <c r="E3109" s="783" t="s">
        <v>4917</v>
      </c>
      <c r="F3109" s="783" t="s">
        <v>4011</v>
      </c>
      <c r="G3109" s="783" t="str">
        <f t="shared" si="166"/>
        <v>New Contract</v>
      </c>
      <c r="H3109" s="783" t="s">
        <v>4918</v>
      </c>
      <c r="I3109" s="783" t="s">
        <v>4919</v>
      </c>
      <c r="J3109" s="783">
        <v>25</v>
      </c>
      <c r="K3109" s="783" t="s">
        <v>183</v>
      </c>
      <c r="L3109" s="783" t="s">
        <v>4096</v>
      </c>
      <c r="M3109" s="784">
        <v>27970.92</v>
      </c>
      <c r="N3109" s="784">
        <v>29.1</v>
      </c>
      <c r="O3109" s="784">
        <v>5.34</v>
      </c>
      <c r="P3109" s="783">
        <v>180</v>
      </c>
      <c r="Q3109" s="783">
        <v>1585.95</v>
      </c>
      <c r="R3109" s="783">
        <v>1071.77</v>
      </c>
      <c r="S3109" s="783">
        <v>262.44</v>
      </c>
      <c r="T3109" s="783">
        <v>251.74</v>
      </c>
      <c r="U3109" s="785">
        <v>44694.4207523148</v>
      </c>
    </row>
    <row r="3110" spans="1:21">
      <c r="A3110" s="782">
        <v>44693</v>
      </c>
      <c r="B3110" s="783" t="s">
        <v>397</v>
      </c>
      <c r="C3110" s="783" t="s">
        <v>4020</v>
      </c>
      <c r="D3110" s="783" t="s">
        <v>4021</v>
      </c>
      <c r="E3110" s="783" t="s">
        <v>3774</v>
      </c>
      <c r="F3110" s="783" t="s">
        <v>4011</v>
      </c>
      <c r="G3110" s="783" t="s">
        <v>4028</v>
      </c>
      <c r="H3110" s="783" t="s">
        <v>4920</v>
      </c>
      <c r="I3110" s="783" t="s">
        <v>4921</v>
      </c>
      <c r="J3110" s="783">
        <v>30</v>
      </c>
      <c r="K3110" s="783" t="s">
        <v>183</v>
      </c>
      <c r="L3110" s="783" t="s">
        <v>4096</v>
      </c>
      <c r="M3110" s="784">
        <v>14332.5</v>
      </c>
      <c r="N3110" s="784">
        <v>12.25</v>
      </c>
      <c r="O3110" s="784">
        <v>6.5</v>
      </c>
      <c r="P3110" s="783">
        <v>180</v>
      </c>
      <c r="Q3110" s="783">
        <v>567.57000000000005</v>
      </c>
      <c r="R3110" s="783">
        <v>440.14</v>
      </c>
      <c r="S3110" s="783">
        <v>34.26</v>
      </c>
      <c r="T3110" s="783">
        <v>93.16</v>
      </c>
      <c r="U3110" s="785">
        <v>44694.506215277797</v>
      </c>
    </row>
    <row r="3111" spans="1:21">
      <c r="A3111" s="782">
        <v>44694</v>
      </c>
      <c r="B3111" s="783" t="s">
        <v>47</v>
      </c>
      <c r="C3111" s="783" t="s">
        <v>4244</v>
      </c>
      <c r="D3111" s="783" t="s">
        <v>4102</v>
      </c>
      <c r="E3111" s="783" t="s">
        <v>4922</v>
      </c>
      <c r="F3111" s="783" t="s">
        <v>4011</v>
      </c>
      <c r="G3111" s="783" t="s">
        <v>4028</v>
      </c>
      <c r="H3111" s="783" t="s">
        <v>4923</v>
      </c>
      <c r="I3111" s="783" t="s">
        <v>4924</v>
      </c>
      <c r="J3111" s="783">
        <v>25</v>
      </c>
      <c r="K3111" s="783" t="s">
        <v>183</v>
      </c>
      <c r="L3111" s="783" t="s">
        <v>4096</v>
      </c>
      <c r="M3111" s="784">
        <v>46586.47</v>
      </c>
      <c r="N3111" s="784">
        <v>29.99</v>
      </c>
      <c r="O3111" s="784">
        <v>8.6300000000000008</v>
      </c>
      <c r="P3111" s="783">
        <v>180</v>
      </c>
      <c r="Q3111" s="783">
        <v>1826.19</v>
      </c>
      <c r="R3111" s="783">
        <v>1292.33</v>
      </c>
      <c r="S3111" s="783">
        <v>314.89999999999998</v>
      </c>
      <c r="T3111" s="783">
        <v>218.96</v>
      </c>
      <c r="U3111" s="785">
        <v>44694.509803240697</v>
      </c>
    </row>
    <row r="3112" spans="1:21">
      <c r="A3112" s="782">
        <v>44698</v>
      </c>
      <c r="B3112" s="783" t="s">
        <v>228</v>
      </c>
      <c r="C3112" s="783" t="s">
        <v>4675</v>
      </c>
      <c r="D3112" s="783" t="s">
        <v>4193</v>
      </c>
      <c r="E3112" s="783" t="s">
        <v>4928</v>
      </c>
      <c r="F3112" s="783" t="s">
        <v>4011</v>
      </c>
      <c r="G3112" s="783" t="str">
        <f t="shared" ref="G3112:G3133" si="167">VLOOKUP(I3112,pacage,2,FALSE)</f>
        <v>Renewal (25% in 2020)</v>
      </c>
      <c r="H3112" s="783" t="s">
        <v>4929</v>
      </c>
      <c r="I3112" s="783" t="s">
        <v>4930</v>
      </c>
      <c r="J3112" s="783">
        <v>25</v>
      </c>
      <c r="K3112" s="783" t="s">
        <v>183</v>
      </c>
      <c r="L3112" s="783" t="s">
        <v>4096</v>
      </c>
      <c r="M3112" s="784">
        <v>26628.799999999999</v>
      </c>
      <c r="N3112" s="784">
        <v>19.579999999999998</v>
      </c>
      <c r="O3112" s="784">
        <v>6.8</v>
      </c>
      <c r="P3112" s="783">
        <v>200</v>
      </c>
      <c r="Q3112" s="783">
        <v>1674.95</v>
      </c>
      <c r="R3112" s="783">
        <v>1013.92</v>
      </c>
      <c r="S3112" s="783">
        <v>389.42</v>
      </c>
      <c r="T3112" s="783">
        <v>271.61</v>
      </c>
      <c r="U3112" s="785">
        <v>44699.478576388901</v>
      </c>
    </row>
    <row r="3113" spans="1:21">
      <c r="A3113" s="782">
        <v>44690</v>
      </c>
      <c r="B3113" s="783" t="s">
        <v>41</v>
      </c>
      <c r="C3113" s="783" t="s">
        <v>4082</v>
      </c>
      <c r="D3113" s="783" t="s">
        <v>4009</v>
      </c>
      <c r="E3113" s="783" t="s">
        <v>635</v>
      </c>
      <c r="F3113" s="783" t="s">
        <v>4011</v>
      </c>
      <c r="G3113" s="783" t="str">
        <f t="shared" si="167"/>
        <v>Renewal (20% in 2020)</v>
      </c>
      <c r="H3113" s="783" t="s">
        <v>4538</v>
      </c>
      <c r="I3113" s="783" t="s">
        <v>4539</v>
      </c>
      <c r="J3113" s="783">
        <v>20</v>
      </c>
      <c r="K3113" s="783" t="s">
        <v>183</v>
      </c>
      <c r="L3113" s="783" t="s">
        <v>4096</v>
      </c>
      <c r="M3113" s="784">
        <v>7165.04</v>
      </c>
      <c r="N3113" s="784">
        <v>6.65</v>
      </c>
      <c r="O3113" s="784">
        <v>6.53</v>
      </c>
      <c r="P3113" s="783">
        <v>165</v>
      </c>
      <c r="Q3113" s="783">
        <v>419.15</v>
      </c>
      <c r="R3113" s="783">
        <v>244.33</v>
      </c>
      <c r="S3113" s="783">
        <v>44.42</v>
      </c>
      <c r="T3113" s="783">
        <v>130.4</v>
      </c>
      <c r="U3113" s="785">
        <v>44690.674062500002</v>
      </c>
    </row>
    <row r="3114" spans="1:21">
      <c r="A3114" s="782">
        <v>44693</v>
      </c>
      <c r="B3114" s="783" t="s">
        <v>30</v>
      </c>
      <c r="C3114" s="783" t="s">
        <v>4089</v>
      </c>
      <c r="D3114" s="783" t="s">
        <v>4021</v>
      </c>
      <c r="E3114" s="783" t="s">
        <v>4934</v>
      </c>
      <c r="F3114" s="783" t="s">
        <v>4011</v>
      </c>
      <c r="G3114" s="783" t="str">
        <f t="shared" si="167"/>
        <v>Renewal (15% in 2020)</v>
      </c>
      <c r="H3114" s="783" t="s">
        <v>4935</v>
      </c>
      <c r="I3114" s="783" t="s">
        <v>4936</v>
      </c>
      <c r="J3114" s="783">
        <v>15</v>
      </c>
      <c r="K3114" s="783" t="s">
        <v>183</v>
      </c>
      <c r="L3114" s="783" t="s">
        <v>4096</v>
      </c>
      <c r="M3114" s="784">
        <v>20763.12</v>
      </c>
      <c r="N3114" s="784">
        <v>19.04</v>
      </c>
      <c r="O3114" s="784">
        <v>7.27</v>
      </c>
      <c r="P3114" s="783">
        <v>150</v>
      </c>
      <c r="Q3114" s="783">
        <v>1935.12</v>
      </c>
      <c r="R3114" s="783">
        <v>832.6</v>
      </c>
      <c r="S3114" s="783">
        <v>132.88</v>
      </c>
      <c r="T3114" s="783">
        <v>969.64</v>
      </c>
      <c r="U3114" s="785">
        <v>44694.419212963003</v>
      </c>
    </row>
    <row r="3115" spans="1:21">
      <c r="A3115" s="782">
        <v>44692</v>
      </c>
      <c r="B3115" s="783" t="s">
        <v>113</v>
      </c>
      <c r="C3115" s="783" t="s">
        <v>4097</v>
      </c>
      <c r="D3115" s="783" t="s">
        <v>4038</v>
      </c>
      <c r="E3115" s="783" t="s">
        <v>7094</v>
      </c>
      <c r="F3115" s="783" t="s">
        <v>4011</v>
      </c>
      <c r="G3115" s="783" t="str">
        <f t="shared" si="167"/>
        <v>Renewal (20% in 2020)</v>
      </c>
      <c r="H3115" s="783" t="s">
        <v>7095</v>
      </c>
      <c r="I3115" s="783" t="s">
        <v>7096</v>
      </c>
      <c r="J3115" s="783">
        <v>15</v>
      </c>
      <c r="K3115" s="783" t="s">
        <v>183</v>
      </c>
      <c r="L3115" s="783" t="s">
        <v>4096</v>
      </c>
      <c r="M3115" s="784">
        <v>7874.62</v>
      </c>
      <c r="N3115" s="784">
        <v>9.77</v>
      </c>
      <c r="O3115" s="784">
        <v>4.03</v>
      </c>
      <c r="P3115" s="783">
        <v>200</v>
      </c>
      <c r="Q3115" s="783">
        <v>692.18</v>
      </c>
      <c r="R3115" s="783">
        <v>244.6</v>
      </c>
      <c r="S3115" s="783">
        <v>94.01</v>
      </c>
      <c r="T3115" s="783">
        <v>353.57</v>
      </c>
      <c r="U3115" s="785">
        <v>44692.473298611098</v>
      </c>
    </row>
    <row r="3116" spans="1:21">
      <c r="A3116" s="782">
        <v>44694</v>
      </c>
      <c r="B3116" s="783" t="s">
        <v>30</v>
      </c>
      <c r="C3116" s="783" t="s">
        <v>4939</v>
      </c>
      <c r="D3116" s="783" t="s">
        <v>4021</v>
      </c>
      <c r="E3116" s="783" t="s">
        <v>1792</v>
      </c>
      <c r="F3116" s="783" t="s">
        <v>4011</v>
      </c>
      <c r="G3116" s="783" t="str">
        <f t="shared" si="167"/>
        <v>Renewal (25% in 2020)</v>
      </c>
      <c r="H3116" s="783" t="s">
        <v>4937</v>
      </c>
      <c r="I3116" s="783" t="s">
        <v>4938</v>
      </c>
      <c r="J3116" s="783">
        <v>25</v>
      </c>
      <c r="K3116" s="783" t="s">
        <v>183</v>
      </c>
      <c r="L3116" s="783" t="s">
        <v>4096</v>
      </c>
      <c r="M3116" s="784">
        <v>25941.919999999998</v>
      </c>
      <c r="N3116" s="784">
        <v>14.3</v>
      </c>
      <c r="O3116" s="784">
        <v>8.36</v>
      </c>
      <c r="P3116" s="783">
        <v>217</v>
      </c>
      <c r="Q3116" s="783">
        <v>1634.34</v>
      </c>
      <c r="R3116" s="783">
        <v>904.39</v>
      </c>
      <c r="S3116" s="783">
        <v>517.22</v>
      </c>
      <c r="T3116" s="783">
        <v>212.72</v>
      </c>
      <c r="U3116" s="785">
        <v>44697.502337963</v>
      </c>
    </row>
    <row r="3117" spans="1:21">
      <c r="A3117" s="782">
        <v>44697</v>
      </c>
      <c r="B3117" s="783" t="s">
        <v>4025</v>
      </c>
      <c r="C3117" s="783" t="s">
        <v>4026</v>
      </c>
      <c r="D3117" s="783" t="s">
        <v>4021</v>
      </c>
      <c r="E3117" s="783" t="s">
        <v>4943</v>
      </c>
      <c r="F3117" s="783" t="s">
        <v>4011</v>
      </c>
      <c r="G3117" s="783" t="str">
        <f t="shared" si="167"/>
        <v>New Contract</v>
      </c>
      <c r="H3117" s="783" t="s">
        <v>4944</v>
      </c>
      <c r="I3117" s="783" t="s">
        <v>4945</v>
      </c>
      <c r="J3117" s="783">
        <v>20</v>
      </c>
      <c r="K3117" s="783" t="s">
        <v>183</v>
      </c>
      <c r="L3117" s="783" t="s">
        <v>4096</v>
      </c>
      <c r="M3117" s="784">
        <v>12211.06</v>
      </c>
      <c r="N3117" s="784">
        <v>11.86</v>
      </c>
      <c r="O3117" s="784">
        <v>5.72</v>
      </c>
      <c r="P3117" s="783">
        <v>180</v>
      </c>
      <c r="Q3117" s="783">
        <v>884.08</v>
      </c>
      <c r="R3117" s="783">
        <v>467.89</v>
      </c>
      <c r="S3117" s="783">
        <v>114.57</v>
      </c>
      <c r="T3117" s="783">
        <v>301.61</v>
      </c>
      <c r="U3117" s="785">
        <v>44699.416342592602</v>
      </c>
    </row>
    <row r="3118" spans="1:21">
      <c r="A3118" s="782">
        <v>44697</v>
      </c>
      <c r="B3118" s="783" t="s">
        <v>4025</v>
      </c>
      <c r="C3118" s="783" t="s">
        <v>4026</v>
      </c>
      <c r="D3118" s="783" t="s">
        <v>4021</v>
      </c>
      <c r="E3118" s="783" t="s">
        <v>3552</v>
      </c>
      <c r="F3118" s="783" t="s">
        <v>4011</v>
      </c>
      <c r="G3118" s="783" t="str">
        <f t="shared" si="167"/>
        <v>New Contract</v>
      </c>
      <c r="H3118" s="783" t="s">
        <v>4955</v>
      </c>
      <c r="I3118" s="783" t="s">
        <v>4956</v>
      </c>
      <c r="J3118" s="783">
        <v>20</v>
      </c>
      <c r="K3118" s="783" t="s">
        <v>183</v>
      </c>
      <c r="L3118" s="783" t="s">
        <v>4096</v>
      </c>
      <c r="M3118" s="784">
        <v>70170.5</v>
      </c>
      <c r="N3118" s="784">
        <v>37.840000000000003</v>
      </c>
      <c r="O3118" s="784">
        <v>4.88</v>
      </c>
      <c r="P3118" s="783">
        <v>380</v>
      </c>
      <c r="Q3118" s="783">
        <v>5080.34</v>
      </c>
      <c r="R3118" s="783">
        <v>1273.6099999999999</v>
      </c>
      <c r="S3118" s="783">
        <v>2073.52</v>
      </c>
      <c r="T3118" s="783">
        <v>1733.21</v>
      </c>
      <c r="U3118" s="785">
        <v>44708.607361111099</v>
      </c>
    </row>
    <row r="3119" spans="1:21">
      <c r="A3119" s="782">
        <v>44690</v>
      </c>
      <c r="B3119" s="783" t="s">
        <v>41</v>
      </c>
      <c r="C3119" s="783" t="s">
        <v>4139</v>
      </c>
      <c r="D3119" s="783" t="s">
        <v>4009</v>
      </c>
      <c r="E3119" s="783" t="s">
        <v>1386</v>
      </c>
      <c r="F3119" s="783" t="s">
        <v>4011</v>
      </c>
      <c r="G3119" s="783" t="str">
        <f t="shared" si="167"/>
        <v>Renewal (15% in 2020)</v>
      </c>
      <c r="H3119" s="783" t="s">
        <v>4957</v>
      </c>
      <c r="I3119" s="783" t="s">
        <v>4958</v>
      </c>
      <c r="J3119" s="783">
        <v>15</v>
      </c>
      <c r="K3119" s="783" t="s">
        <v>183</v>
      </c>
      <c r="L3119" s="783" t="s">
        <v>4096</v>
      </c>
      <c r="M3119" s="784">
        <v>11274.3</v>
      </c>
      <c r="N3119" s="784">
        <v>10.26</v>
      </c>
      <c r="O3119" s="784">
        <v>6.58</v>
      </c>
      <c r="P3119" s="783">
        <v>167</v>
      </c>
      <c r="Q3119" s="783">
        <v>835.43</v>
      </c>
      <c r="R3119" s="783">
        <v>375.43</v>
      </c>
      <c r="S3119" s="783">
        <v>56.37</v>
      </c>
      <c r="T3119" s="783">
        <v>403.62</v>
      </c>
      <c r="U3119" s="785">
        <v>44691.522037037001</v>
      </c>
    </row>
    <row r="3120" spans="1:21">
      <c r="A3120" s="782">
        <v>44691</v>
      </c>
      <c r="B3120" s="783" t="s">
        <v>4025</v>
      </c>
      <c r="C3120" s="783" t="s">
        <v>4015</v>
      </c>
      <c r="D3120" s="783" t="s">
        <v>4016</v>
      </c>
      <c r="E3120" s="783" t="s">
        <v>4964</v>
      </c>
      <c r="F3120" s="783" t="s">
        <v>4011</v>
      </c>
      <c r="G3120" s="783" t="str">
        <f t="shared" si="167"/>
        <v>New Contract</v>
      </c>
      <c r="H3120" s="783" t="s">
        <v>4965</v>
      </c>
      <c r="I3120" s="783" t="s">
        <v>4966</v>
      </c>
      <c r="J3120" s="783">
        <v>25</v>
      </c>
      <c r="K3120" s="783" t="s">
        <v>183</v>
      </c>
      <c r="L3120" s="783" t="s">
        <v>4096</v>
      </c>
      <c r="M3120" s="784">
        <v>38737.839999999997</v>
      </c>
      <c r="N3120" s="784">
        <v>34.729999999999997</v>
      </c>
      <c r="O3120" s="784">
        <v>5.07</v>
      </c>
      <c r="P3120" s="783">
        <v>220</v>
      </c>
      <c r="Q3120" s="783">
        <v>1545.64</v>
      </c>
      <c r="R3120" s="783">
        <v>867.46</v>
      </c>
      <c r="S3120" s="783">
        <v>449.62</v>
      </c>
      <c r="T3120" s="783">
        <v>228.55</v>
      </c>
      <c r="U3120" s="785">
        <v>44699.684953703698</v>
      </c>
    </row>
    <row r="3121" spans="1:21">
      <c r="A3121" s="782">
        <v>44697</v>
      </c>
      <c r="B3121" s="783" t="s">
        <v>65</v>
      </c>
      <c r="C3121" s="783" t="s">
        <v>4543</v>
      </c>
      <c r="D3121" s="783" t="s">
        <v>4038</v>
      </c>
      <c r="E3121" s="783" t="s">
        <v>1284</v>
      </c>
      <c r="F3121" s="783" t="s">
        <v>4011</v>
      </c>
      <c r="G3121" s="783" t="str">
        <f t="shared" si="167"/>
        <v>Renewal (25% in 2020)</v>
      </c>
      <c r="H3121" s="783" t="s">
        <v>4547</v>
      </c>
      <c r="I3121" s="783" t="s">
        <v>4548</v>
      </c>
      <c r="J3121" s="783">
        <v>20</v>
      </c>
      <c r="K3121" s="783" t="s">
        <v>183</v>
      </c>
      <c r="L3121" s="783" t="s">
        <v>4096</v>
      </c>
      <c r="M3121" s="784">
        <v>21529.24</v>
      </c>
      <c r="N3121" s="784">
        <v>23.46</v>
      </c>
      <c r="O3121" s="784">
        <v>4.83</v>
      </c>
      <c r="P3121" s="783">
        <v>190</v>
      </c>
      <c r="Q3121" s="783">
        <v>1308.98</v>
      </c>
      <c r="R3121" s="783">
        <v>622.57000000000005</v>
      </c>
      <c r="S3121" s="783">
        <v>245.06</v>
      </c>
      <c r="T3121" s="783">
        <v>441.35</v>
      </c>
      <c r="U3121" s="785">
        <v>44698.514212962997</v>
      </c>
    </row>
    <row r="3122" spans="1:21">
      <c r="A3122" s="782">
        <v>44700</v>
      </c>
      <c r="B3122" s="783" t="s">
        <v>4025</v>
      </c>
      <c r="C3122" s="783" t="s">
        <v>4026</v>
      </c>
      <c r="D3122" s="783" t="s">
        <v>4021</v>
      </c>
      <c r="E3122" s="783" t="s">
        <v>4973</v>
      </c>
      <c r="F3122" s="783" t="s">
        <v>4011</v>
      </c>
      <c r="G3122" s="783" t="str">
        <f t="shared" si="167"/>
        <v>New Contract</v>
      </c>
      <c r="H3122" s="783" t="s">
        <v>4974</v>
      </c>
      <c r="I3122" s="783" t="s">
        <v>4975</v>
      </c>
      <c r="J3122" s="783">
        <v>20</v>
      </c>
      <c r="K3122" s="783" t="s">
        <v>183</v>
      </c>
      <c r="L3122" s="783" t="s">
        <v>4096</v>
      </c>
      <c r="M3122" s="784">
        <v>17067.25</v>
      </c>
      <c r="N3122" s="784">
        <v>19.260000000000002</v>
      </c>
      <c r="O3122" s="784">
        <v>4.79</v>
      </c>
      <c r="P3122" s="783">
        <v>185</v>
      </c>
      <c r="Q3122" s="783">
        <v>1235.67</v>
      </c>
      <c r="R3122" s="783">
        <v>636.29</v>
      </c>
      <c r="S3122" s="783">
        <v>177.81</v>
      </c>
      <c r="T3122" s="783">
        <v>421.56</v>
      </c>
      <c r="U3122" s="785">
        <v>44700.633287037002</v>
      </c>
    </row>
    <row r="3123" spans="1:21">
      <c r="A3123" s="782">
        <v>44692</v>
      </c>
      <c r="B3123" s="783" t="s">
        <v>51</v>
      </c>
      <c r="C3123" s="783" t="s">
        <v>4042</v>
      </c>
      <c r="D3123" s="783" t="s">
        <v>4016</v>
      </c>
      <c r="E3123" s="783" t="s">
        <v>4976</v>
      </c>
      <c r="F3123" s="783" t="s">
        <v>4011</v>
      </c>
      <c r="G3123" s="783" t="str">
        <f t="shared" si="167"/>
        <v>New Contract</v>
      </c>
      <c r="H3123" s="783" t="s">
        <v>4977</v>
      </c>
      <c r="I3123" s="783" t="s">
        <v>4978</v>
      </c>
      <c r="J3123" s="783">
        <v>30</v>
      </c>
      <c r="K3123" s="783" t="s">
        <v>183</v>
      </c>
      <c r="L3123" s="783" t="s">
        <v>4096</v>
      </c>
      <c r="M3123" s="784">
        <v>16096.13</v>
      </c>
      <c r="N3123" s="784">
        <v>15.06</v>
      </c>
      <c r="O3123" s="784">
        <v>6.4</v>
      </c>
      <c r="P3123" s="783">
        <v>167</v>
      </c>
      <c r="Q3123" s="783">
        <v>621.30999999999995</v>
      </c>
      <c r="R3123" s="783">
        <v>526.34</v>
      </c>
      <c r="S3123" s="783">
        <v>0</v>
      </c>
      <c r="T3123" s="783">
        <v>94.97</v>
      </c>
      <c r="U3123" s="785">
        <v>44693.716122685197</v>
      </c>
    </row>
    <row r="3124" spans="1:21">
      <c r="A3124" s="782">
        <v>44695</v>
      </c>
      <c r="B3124" s="783" t="s">
        <v>47</v>
      </c>
      <c r="C3124" s="783" t="s">
        <v>4244</v>
      </c>
      <c r="D3124" s="783" t="s">
        <v>4102</v>
      </c>
      <c r="E3124" s="783" t="s">
        <v>4979</v>
      </c>
      <c r="F3124" s="783" t="s">
        <v>4011</v>
      </c>
      <c r="G3124" s="783" t="str">
        <f t="shared" si="167"/>
        <v>Renewal (25% in 2020)</v>
      </c>
      <c r="H3124" s="783" t="s">
        <v>4980</v>
      </c>
      <c r="I3124" s="783" t="s">
        <v>4981</v>
      </c>
      <c r="J3124" s="783">
        <v>25</v>
      </c>
      <c r="K3124" s="783" t="s">
        <v>183</v>
      </c>
      <c r="L3124" s="783" t="s">
        <v>4096</v>
      </c>
      <c r="M3124" s="784">
        <v>17894.060000000001</v>
      </c>
      <c r="N3124" s="784">
        <v>25.21</v>
      </c>
      <c r="O3124" s="784">
        <v>5.46</v>
      </c>
      <c r="P3124" s="783">
        <v>130</v>
      </c>
      <c r="Q3124" s="783">
        <v>701.45</v>
      </c>
      <c r="R3124" s="783">
        <v>535.03</v>
      </c>
      <c r="S3124" s="783">
        <v>82.31</v>
      </c>
      <c r="T3124" s="783">
        <v>84.1</v>
      </c>
      <c r="U3124" s="785">
        <v>44697.669027777803</v>
      </c>
    </row>
    <row r="3125" spans="1:21">
      <c r="A3125" s="782">
        <v>44698</v>
      </c>
      <c r="B3125" s="783" t="s">
        <v>41</v>
      </c>
      <c r="C3125" s="783" t="s">
        <v>4092</v>
      </c>
      <c r="D3125" s="783" t="s">
        <v>4009</v>
      </c>
      <c r="E3125" s="783" t="s">
        <v>1411</v>
      </c>
      <c r="F3125" s="783" t="s">
        <v>4011</v>
      </c>
      <c r="G3125" s="783" t="str">
        <f t="shared" si="167"/>
        <v>Renewal (20% in 2020)</v>
      </c>
      <c r="H3125" s="783" t="s">
        <v>4982</v>
      </c>
      <c r="I3125" s="783" t="s">
        <v>4983</v>
      </c>
      <c r="J3125" s="783">
        <v>20</v>
      </c>
      <c r="K3125" s="783" t="s">
        <v>183</v>
      </c>
      <c r="L3125" s="783" t="s">
        <v>4096</v>
      </c>
      <c r="M3125" s="784">
        <v>53952.19</v>
      </c>
      <c r="N3125" s="784">
        <v>57.18</v>
      </c>
      <c r="O3125" s="784">
        <v>5.65</v>
      </c>
      <c r="P3125" s="783">
        <v>167</v>
      </c>
      <c r="Q3125" s="783">
        <v>3264.11</v>
      </c>
      <c r="R3125" s="783">
        <v>1904.51</v>
      </c>
      <c r="S3125" s="783">
        <v>350.69</v>
      </c>
      <c r="T3125" s="783">
        <v>1008.91</v>
      </c>
      <c r="U3125" s="785">
        <v>44699.484398148103</v>
      </c>
    </row>
    <row r="3126" spans="1:21">
      <c r="A3126" s="782">
        <v>44448</v>
      </c>
      <c r="B3126" s="783" t="s">
        <v>4025</v>
      </c>
      <c r="C3126" s="783" t="s">
        <v>4026</v>
      </c>
      <c r="D3126" s="783" t="s">
        <v>4021</v>
      </c>
      <c r="E3126" s="783" t="s">
        <v>4984</v>
      </c>
      <c r="F3126" s="783" t="s">
        <v>4011</v>
      </c>
      <c r="G3126" s="783" t="str">
        <f t="shared" si="167"/>
        <v>New Contract</v>
      </c>
      <c r="H3126" s="783" t="s">
        <v>4985</v>
      </c>
      <c r="I3126" s="783" t="s">
        <v>4986</v>
      </c>
      <c r="J3126" s="783">
        <v>25</v>
      </c>
      <c r="K3126" s="783" t="s">
        <v>183</v>
      </c>
      <c r="L3126" s="783" t="s">
        <v>4096</v>
      </c>
      <c r="M3126" s="784">
        <v>113400</v>
      </c>
      <c r="N3126" s="784">
        <v>90</v>
      </c>
      <c r="O3126" s="784">
        <v>7.2</v>
      </c>
      <c r="P3126" s="783">
        <v>175</v>
      </c>
      <c r="Q3126" s="783">
        <v>6429.78</v>
      </c>
      <c r="R3126" s="783">
        <v>4469.32</v>
      </c>
      <c r="S3126" s="783">
        <v>939.86</v>
      </c>
      <c r="T3126" s="783">
        <v>1020.6</v>
      </c>
      <c r="U3126" s="785">
        <v>44631.516504629602</v>
      </c>
    </row>
    <row r="3127" spans="1:21">
      <c r="A3127" s="782">
        <v>44445</v>
      </c>
      <c r="B3127" s="783" t="s">
        <v>30</v>
      </c>
      <c r="C3127" s="783" t="s">
        <v>4089</v>
      </c>
      <c r="D3127" s="783" t="s">
        <v>4021</v>
      </c>
      <c r="E3127" s="783" t="s">
        <v>4987</v>
      </c>
      <c r="F3127" s="783" t="s">
        <v>4011</v>
      </c>
      <c r="G3127" s="783" t="str">
        <f t="shared" si="167"/>
        <v>Renewal (15% in 2020)</v>
      </c>
      <c r="H3127" s="783" t="s">
        <v>4988</v>
      </c>
      <c r="I3127" s="783" t="s">
        <v>4989</v>
      </c>
      <c r="J3127" s="783">
        <v>15</v>
      </c>
      <c r="K3127" s="783" t="s">
        <v>183</v>
      </c>
      <c r="L3127" s="783" t="s">
        <v>4096</v>
      </c>
      <c r="M3127" s="784">
        <v>40392</v>
      </c>
      <c r="N3127" s="784">
        <v>34</v>
      </c>
      <c r="O3127" s="784">
        <v>7.92</v>
      </c>
      <c r="P3127" s="783">
        <v>150</v>
      </c>
      <c r="Q3127" s="783">
        <v>2417.42</v>
      </c>
      <c r="R3127" s="783">
        <v>1040.1099999999999</v>
      </c>
      <c r="S3127" s="783">
        <v>166</v>
      </c>
      <c r="T3127" s="783">
        <v>1211.3</v>
      </c>
      <c r="U3127" s="785">
        <v>44631.513402777797</v>
      </c>
    </row>
    <row r="3128" spans="1:21">
      <c r="A3128" s="782">
        <v>44447</v>
      </c>
      <c r="B3128" s="783" t="s">
        <v>30</v>
      </c>
      <c r="C3128" s="783" t="s">
        <v>4089</v>
      </c>
      <c r="D3128" s="783" t="s">
        <v>4021</v>
      </c>
      <c r="E3128" s="783" t="s">
        <v>4990</v>
      </c>
      <c r="F3128" s="783" t="s">
        <v>4011</v>
      </c>
      <c r="G3128" s="783" t="str">
        <f t="shared" si="167"/>
        <v>Renewal (25% in 2020)</v>
      </c>
      <c r="H3128" s="783" t="s">
        <v>4991</v>
      </c>
      <c r="I3128" s="783" t="s">
        <v>4992</v>
      </c>
      <c r="J3128" s="783">
        <v>25</v>
      </c>
      <c r="K3128" s="783" t="s">
        <v>183</v>
      </c>
      <c r="L3128" s="783" t="s">
        <v>4096</v>
      </c>
      <c r="M3128" s="784">
        <v>17523.54</v>
      </c>
      <c r="N3128" s="784">
        <v>13.05</v>
      </c>
      <c r="O3128" s="784">
        <v>7.46</v>
      </c>
      <c r="P3128" s="783">
        <v>180</v>
      </c>
      <c r="Q3128" s="783">
        <v>967.3</v>
      </c>
      <c r="R3128" s="783">
        <v>651.94000000000005</v>
      </c>
      <c r="S3128" s="783">
        <v>162.9</v>
      </c>
      <c r="T3128" s="783">
        <v>152.44999999999999</v>
      </c>
      <c r="U3128" s="785">
        <v>44631.521134259303</v>
      </c>
    </row>
    <row r="3129" spans="1:21">
      <c r="A3129" s="782">
        <v>44447</v>
      </c>
      <c r="B3129" s="783" t="s">
        <v>41</v>
      </c>
      <c r="C3129" s="783" t="s">
        <v>4139</v>
      </c>
      <c r="D3129" s="783" t="s">
        <v>4009</v>
      </c>
      <c r="E3129" s="783" t="s">
        <v>4993</v>
      </c>
      <c r="F3129" s="783" t="s">
        <v>4011</v>
      </c>
      <c r="G3129" s="783" t="str">
        <f t="shared" si="167"/>
        <v>Renewal (15% in 2020)</v>
      </c>
      <c r="H3129" s="783" t="s">
        <v>4994</v>
      </c>
      <c r="I3129" s="783" t="s">
        <v>4995</v>
      </c>
      <c r="J3129" s="783">
        <v>15</v>
      </c>
      <c r="K3129" s="783" t="s">
        <v>183</v>
      </c>
      <c r="L3129" s="783" t="s">
        <v>4096</v>
      </c>
      <c r="M3129" s="784">
        <v>11568.95</v>
      </c>
      <c r="N3129" s="784">
        <v>17.41</v>
      </c>
      <c r="O3129" s="784">
        <v>4.43</v>
      </c>
      <c r="P3129" s="783">
        <v>150</v>
      </c>
      <c r="Q3129" s="783">
        <v>857.26</v>
      </c>
      <c r="R3129" s="783">
        <v>385.25</v>
      </c>
      <c r="S3129" s="783">
        <v>57.84</v>
      </c>
      <c r="T3129" s="783">
        <v>414.17</v>
      </c>
      <c r="U3129" s="785">
        <v>44708.987847222197</v>
      </c>
    </row>
    <row r="3130" spans="1:21">
      <c r="A3130" s="782">
        <v>44447</v>
      </c>
      <c r="B3130" s="783" t="s">
        <v>51</v>
      </c>
      <c r="C3130" s="783" t="s">
        <v>4796</v>
      </c>
      <c r="D3130" s="783" t="s">
        <v>4016</v>
      </c>
      <c r="E3130" s="783" t="s">
        <v>2934</v>
      </c>
      <c r="F3130" s="783" t="s">
        <v>4011</v>
      </c>
      <c r="G3130" s="783" t="str">
        <f t="shared" si="167"/>
        <v>Renewal (30% in 2020)</v>
      </c>
      <c r="H3130" s="783" t="s">
        <v>4996</v>
      </c>
      <c r="I3130" s="783" t="s">
        <v>4997</v>
      </c>
      <c r="J3130" s="783">
        <v>20</v>
      </c>
      <c r="K3130" s="783" t="s">
        <v>183</v>
      </c>
      <c r="L3130" s="783" t="s">
        <v>4096</v>
      </c>
      <c r="M3130" s="784">
        <v>22620</v>
      </c>
      <c r="N3130" s="784">
        <v>23.2</v>
      </c>
      <c r="O3130" s="784">
        <v>6.5</v>
      </c>
      <c r="P3130" s="783">
        <v>150</v>
      </c>
      <c r="Q3130" s="783">
        <v>1167.19</v>
      </c>
      <c r="R3130" s="783">
        <v>680.86</v>
      </c>
      <c r="S3130" s="783">
        <v>104.05</v>
      </c>
      <c r="T3130" s="783">
        <v>382.28</v>
      </c>
      <c r="U3130" s="785">
        <v>44631.513622685197</v>
      </c>
    </row>
    <row r="3131" spans="1:21">
      <c r="A3131" s="782">
        <v>44452</v>
      </c>
      <c r="B3131" s="783" t="s">
        <v>51</v>
      </c>
      <c r="C3131" s="783" t="s">
        <v>4015</v>
      </c>
      <c r="D3131" s="783" t="s">
        <v>4016</v>
      </c>
      <c r="E3131" s="783" t="s">
        <v>4998</v>
      </c>
      <c r="F3131" s="783" t="s">
        <v>4011</v>
      </c>
      <c r="G3131" s="783" t="str">
        <f t="shared" si="167"/>
        <v>New Contract</v>
      </c>
      <c r="H3131" s="783" t="s">
        <v>4999</v>
      </c>
      <c r="I3131" s="783" t="s">
        <v>5000</v>
      </c>
      <c r="J3131" s="783">
        <v>25</v>
      </c>
      <c r="K3131" s="783" t="s">
        <v>183</v>
      </c>
      <c r="L3131" s="783" t="s">
        <v>4096</v>
      </c>
      <c r="M3131" s="784">
        <v>17136</v>
      </c>
      <c r="N3131" s="784">
        <v>14</v>
      </c>
      <c r="O3131" s="784">
        <v>6.12</v>
      </c>
      <c r="P3131" s="783">
        <v>200</v>
      </c>
      <c r="Q3131" s="783">
        <v>683.73</v>
      </c>
      <c r="R3131" s="783">
        <v>422.1</v>
      </c>
      <c r="S3131" s="783">
        <v>160.52000000000001</v>
      </c>
      <c r="T3131" s="783">
        <v>101.1</v>
      </c>
      <c r="U3131" s="785">
        <v>44631.519826388903</v>
      </c>
    </row>
    <row r="3132" spans="1:21">
      <c r="A3132" s="782">
        <v>44638</v>
      </c>
      <c r="B3132" s="783" t="s">
        <v>30</v>
      </c>
      <c r="C3132" s="783" t="s">
        <v>4089</v>
      </c>
      <c r="D3132" s="783" t="s">
        <v>4021</v>
      </c>
      <c r="E3132" s="783" t="s">
        <v>2691</v>
      </c>
      <c r="F3132" s="783" t="s">
        <v>4011</v>
      </c>
      <c r="G3132" s="783" t="str">
        <f t="shared" si="167"/>
        <v>Renewal (15% in 2020)</v>
      </c>
      <c r="H3132" s="783" t="s">
        <v>5003</v>
      </c>
      <c r="I3132" s="783" t="s">
        <v>5004</v>
      </c>
      <c r="J3132" s="783">
        <v>15</v>
      </c>
      <c r="K3132" s="783" t="s">
        <v>183</v>
      </c>
      <c r="L3132" s="783" t="s">
        <v>4096</v>
      </c>
      <c r="M3132" s="784">
        <v>52611.1</v>
      </c>
      <c r="N3132" s="784">
        <v>43.43</v>
      </c>
      <c r="O3132" s="784">
        <v>6.73</v>
      </c>
      <c r="P3132" s="783">
        <v>180</v>
      </c>
      <c r="Q3132" s="783">
        <v>4903.3500000000004</v>
      </c>
      <c r="R3132" s="783">
        <v>1957.34</v>
      </c>
      <c r="S3132" s="783">
        <v>489.08</v>
      </c>
      <c r="T3132" s="783">
        <v>2456.94</v>
      </c>
      <c r="U3132" s="785">
        <v>44638.561354166697</v>
      </c>
    </row>
    <row r="3133" spans="1:21">
      <c r="A3133" s="782">
        <v>44606</v>
      </c>
      <c r="B3133" s="783" t="s">
        <v>41</v>
      </c>
      <c r="C3133" s="783" t="s">
        <v>4008</v>
      </c>
      <c r="D3133" s="783" t="s">
        <v>4009</v>
      </c>
      <c r="E3133" s="783" t="s">
        <v>5005</v>
      </c>
      <c r="F3133" s="783" t="s">
        <v>4011</v>
      </c>
      <c r="G3133" s="783" t="str">
        <f t="shared" si="167"/>
        <v>Renewal (15% in 2020)</v>
      </c>
      <c r="H3133" s="783" t="s">
        <v>5006</v>
      </c>
      <c r="I3133" s="783" t="s">
        <v>5007</v>
      </c>
      <c r="J3133" s="783">
        <v>20</v>
      </c>
      <c r="K3133" s="783" t="s">
        <v>183</v>
      </c>
      <c r="L3133" s="783" t="s">
        <v>4096</v>
      </c>
      <c r="M3133" s="784">
        <v>14234.99</v>
      </c>
      <c r="N3133" s="784">
        <v>15.29</v>
      </c>
      <c r="O3133" s="784">
        <v>4.9000000000000004</v>
      </c>
      <c r="P3133" s="783">
        <v>190</v>
      </c>
      <c r="Q3133" s="783">
        <v>918.16</v>
      </c>
      <c r="R3133" s="783">
        <v>452.93</v>
      </c>
      <c r="S3133" s="783">
        <v>144.94</v>
      </c>
      <c r="T3133" s="783">
        <v>320.29000000000002</v>
      </c>
      <c r="U3133" s="785">
        <v>44631.516909722202</v>
      </c>
    </row>
    <row r="3134" spans="1:21">
      <c r="A3134" s="782">
        <v>44592</v>
      </c>
      <c r="B3134" s="783" t="s">
        <v>4025</v>
      </c>
      <c r="C3134" s="783" t="s">
        <v>4026</v>
      </c>
      <c r="D3134" s="783" t="s">
        <v>4021</v>
      </c>
      <c r="E3134" s="783" t="s">
        <v>5008</v>
      </c>
      <c r="F3134" s="783" t="s">
        <v>4011</v>
      </c>
      <c r="G3134" s="783" t="s">
        <v>4028</v>
      </c>
      <c r="H3134" s="783" t="s">
        <v>5009</v>
      </c>
      <c r="I3134" s="783" t="s">
        <v>5010</v>
      </c>
      <c r="J3134" s="783">
        <v>25</v>
      </c>
      <c r="K3134" s="783" t="s">
        <v>183</v>
      </c>
      <c r="L3134" s="783" t="s">
        <v>4096</v>
      </c>
      <c r="M3134" s="784">
        <v>23398.799999999999</v>
      </c>
      <c r="N3134" s="784">
        <v>22.2</v>
      </c>
      <c r="O3134" s="784">
        <v>6.2</v>
      </c>
      <c r="P3134" s="783">
        <v>170</v>
      </c>
      <c r="Q3134" s="783">
        <v>1326.71</v>
      </c>
      <c r="R3134" s="783">
        <v>949.32</v>
      </c>
      <c r="S3134" s="783">
        <v>166.81</v>
      </c>
      <c r="T3134" s="783">
        <v>210.59</v>
      </c>
      <c r="U3134" s="785">
        <v>44631.5171527778</v>
      </c>
    </row>
    <row r="3135" spans="1:21">
      <c r="A3135" s="782">
        <v>44603</v>
      </c>
      <c r="B3135" s="783" t="s">
        <v>228</v>
      </c>
      <c r="C3135" s="783" t="s">
        <v>4251</v>
      </c>
      <c r="D3135" s="783" t="s">
        <v>4193</v>
      </c>
      <c r="E3135" s="783" t="s">
        <v>5011</v>
      </c>
      <c r="F3135" s="783" t="s">
        <v>4011</v>
      </c>
      <c r="G3135" s="783" t="s">
        <v>4028</v>
      </c>
      <c r="H3135" s="783" t="s">
        <v>5012</v>
      </c>
      <c r="I3135" s="783" t="s">
        <v>5013</v>
      </c>
      <c r="J3135" s="783">
        <v>25</v>
      </c>
      <c r="K3135" s="783" t="s">
        <v>183</v>
      </c>
      <c r="L3135" s="783" t="s">
        <v>4096</v>
      </c>
      <c r="M3135" s="784">
        <v>22597.3</v>
      </c>
      <c r="N3135" s="784">
        <v>18.09</v>
      </c>
      <c r="O3135" s="784">
        <v>7.48</v>
      </c>
      <c r="P3135" s="783">
        <v>167</v>
      </c>
      <c r="Q3135" s="783">
        <v>901.63</v>
      </c>
      <c r="R3135" s="783">
        <v>693.74</v>
      </c>
      <c r="S3135" s="783">
        <v>110.73</v>
      </c>
      <c r="T3135" s="783">
        <v>97.17</v>
      </c>
      <c r="U3135" s="785">
        <v>44631.513923611099</v>
      </c>
    </row>
    <row r="3136" spans="1:21">
      <c r="A3136" s="782">
        <v>44606</v>
      </c>
      <c r="B3136" s="783" t="s">
        <v>74</v>
      </c>
      <c r="C3136" s="783" t="s">
        <v>4037</v>
      </c>
      <c r="D3136" s="783" t="s">
        <v>4038</v>
      </c>
      <c r="E3136" s="783" t="s">
        <v>4549</v>
      </c>
      <c r="F3136" s="783" t="s">
        <v>4011</v>
      </c>
      <c r="G3136" s="783" t="s">
        <v>4028</v>
      </c>
      <c r="H3136" s="783" t="s">
        <v>4550</v>
      </c>
      <c r="I3136" s="783" t="s">
        <v>4551</v>
      </c>
      <c r="J3136" s="783">
        <v>25</v>
      </c>
      <c r="K3136" s="783" t="s">
        <v>183</v>
      </c>
      <c r="L3136" s="783" t="s">
        <v>4096</v>
      </c>
      <c r="M3136" s="784">
        <v>14587</v>
      </c>
      <c r="N3136" s="784">
        <v>14.5</v>
      </c>
      <c r="O3136" s="784">
        <v>5.03</v>
      </c>
      <c r="P3136" s="783">
        <v>200</v>
      </c>
      <c r="Q3136" s="783">
        <v>1045.8900000000001</v>
      </c>
      <c r="R3136" s="783">
        <v>585.86</v>
      </c>
      <c r="S3136" s="783">
        <v>229.55</v>
      </c>
      <c r="T3136" s="783">
        <v>230.47</v>
      </c>
      <c r="U3136" s="785">
        <v>44631.516898148097</v>
      </c>
    </row>
    <row r="3137" spans="1:21">
      <c r="A3137" s="782">
        <v>44586</v>
      </c>
      <c r="B3137" s="783" t="s">
        <v>41</v>
      </c>
      <c r="C3137" s="783" t="s">
        <v>4071</v>
      </c>
      <c r="D3137" s="783" t="s">
        <v>4009</v>
      </c>
      <c r="E3137" s="783" t="s">
        <v>4106</v>
      </c>
      <c r="F3137" s="783" t="s">
        <v>4011</v>
      </c>
      <c r="G3137" s="783" t="str">
        <f>VLOOKUP(I3137,pacage,2,FALSE)</f>
        <v>Renewal (15% in 2020)</v>
      </c>
      <c r="H3137" s="783" t="s">
        <v>4107</v>
      </c>
      <c r="I3137" s="783" t="s">
        <v>4108</v>
      </c>
      <c r="J3137" s="783">
        <v>15</v>
      </c>
      <c r="K3137" s="783" t="s">
        <v>183</v>
      </c>
      <c r="L3137" s="783" t="s">
        <v>4096</v>
      </c>
      <c r="M3137" s="784">
        <v>7014</v>
      </c>
      <c r="N3137" s="784">
        <v>7</v>
      </c>
      <c r="O3137" s="784">
        <v>6</v>
      </c>
      <c r="P3137" s="783">
        <v>167</v>
      </c>
      <c r="Q3137" s="783">
        <v>420.84</v>
      </c>
      <c r="R3137" s="783">
        <v>189.38</v>
      </c>
      <c r="S3137" s="783">
        <v>28.06</v>
      </c>
      <c r="T3137" s="783">
        <v>203.41</v>
      </c>
      <c r="U3137" s="785">
        <v>44631.635879629597</v>
      </c>
    </row>
    <row r="3138" spans="1:21">
      <c r="A3138" s="782">
        <v>44439</v>
      </c>
      <c r="B3138" s="783" t="s">
        <v>51</v>
      </c>
      <c r="C3138" s="783" t="s">
        <v>4042</v>
      </c>
      <c r="D3138" s="783" t="s">
        <v>4016</v>
      </c>
      <c r="E3138" s="783" t="s">
        <v>5014</v>
      </c>
      <c r="F3138" s="783" t="s">
        <v>4011</v>
      </c>
      <c r="G3138" s="783" t="str">
        <f>VLOOKUP(I3138,pacage,2,FALSE)</f>
        <v>New Contract</v>
      </c>
      <c r="H3138" s="783" t="s">
        <v>5015</v>
      </c>
      <c r="I3138" s="783" t="s">
        <v>5016</v>
      </c>
      <c r="J3138" s="783">
        <v>25</v>
      </c>
      <c r="K3138" s="783" t="s">
        <v>183</v>
      </c>
      <c r="L3138" s="783" t="s">
        <v>4096</v>
      </c>
      <c r="M3138" s="784">
        <v>22724.240000000002</v>
      </c>
      <c r="N3138" s="784">
        <v>19.600000000000001</v>
      </c>
      <c r="O3138" s="784">
        <v>6.82</v>
      </c>
      <c r="P3138" s="783">
        <v>170</v>
      </c>
      <c r="Q3138" s="783">
        <v>993.05</v>
      </c>
      <c r="R3138" s="783">
        <v>729.97</v>
      </c>
      <c r="S3138" s="783">
        <v>129.01</v>
      </c>
      <c r="T3138" s="783">
        <v>134.07</v>
      </c>
      <c r="U3138" s="785">
        <v>44631.518113425896</v>
      </c>
    </row>
    <row r="3139" spans="1:21">
      <c r="A3139" s="782">
        <v>44446</v>
      </c>
      <c r="B3139" s="783" t="s">
        <v>41</v>
      </c>
      <c r="C3139" s="783" t="s">
        <v>4071</v>
      </c>
      <c r="D3139" s="783" t="s">
        <v>4009</v>
      </c>
      <c r="E3139" s="783" t="s">
        <v>5017</v>
      </c>
      <c r="F3139" s="783" t="s">
        <v>4011</v>
      </c>
      <c r="G3139" s="783" t="str">
        <f>VLOOKUP(I3139,pacage,2,FALSE)</f>
        <v>Renewal (30% in 2020)</v>
      </c>
      <c r="H3139" s="783" t="s">
        <v>5018</v>
      </c>
      <c r="I3139" s="783" t="s">
        <v>5019</v>
      </c>
      <c r="J3139" s="783">
        <v>30</v>
      </c>
      <c r="K3139" s="783" t="s">
        <v>183</v>
      </c>
      <c r="L3139" s="783" t="s">
        <v>4096</v>
      </c>
      <c r="M3139" s="784">
        <v>89329.5</v>
      </c>
      <c r="N3139" s="784">
        <v>90</v>
      </c>
      <c r="O3139" s="784">
        <v>5.09</v>
      </c>
      <c r="P3139" s="783">
        <v>195</v>
      </c>
      <c r="Q3139" s="783">
        <v>2742.42</v>
      </c>
      <c r="R3139" s="783">
        <v>2065.5700000000002</v>
      </c>
      <c r="S3139" s="783">
        <v>346.32</v>
      </c>
      <c r="T3139" s="783">
        <v>330.52</v>
      </c>
      <c r="U3139" s="785">
        <v>44631.625983796301</v>
      </c>
    </row>
    <row r="3140" spans="1:21">
      <c r="A3140" s="782">
        <v>44456</v>
      </c>
      <c r="B3140" s="783" t="s">
        <v>51</v>
      </c>
      <c r="C3140" s="783" t="s">
        <v>4042</v>
      </c>
      <c r="D3140" s="783" t="s">
        <v>4016</v>
      </c>
      <c r="E3140" s="783" t="s">
        <v>525</v>
      </c>
      <c r="F3140" s="783" t="s">
        <v>4011</v>
      </c>
      <c r="G3140" s="783" t="str">
        <f>VLOOKUP(I3140,pacage,2,FALSE)</f>
        <v>Renewal (15% in 2020)</v>
      </c>
      <c r="H3140" s="783" t="s">
        <v>5020</v>
      </c>
      <c r="I3140" s="783" t="s">
        <v>5021</v>
      </c>
      <c r="J3140" s="783">
        <v>15</v>
      </c>
      <c r="K3140" s="783" t="s">
        <v>183</v>
      </c>
      <c r="L3140" s="783" t="s">
        <v>4096</v>
      </c>
      <c r="M3140" s="784">
        <v>17680</v>
      </c>
      <c r="N3140" s="784">
        <v>17</v>
      </c>
      <c r="O3140" s="784">
        <v>6.5</v>
      </c>
      <c r="P3140" s="783">
        <v>160</v>
      </c>
      <c r="Q3140" s="783">
        <v>1315.39</v>
      </c>
      <c r="R3140" s="783">
        <v>578.14</v>
      </c>
      <c r="S3140" s="783">
        <v>90.17</v>
      </c>
      <c r="T3140" s="783">
        <v>647.09</v>
      </c>
      <c r="U3140" s="785">
        <v>44631.629247685203</v>
      </c>
    </row>
    <row r="3141" spans="1:21">
      <c r="A3141" s="782">
        <v>44439</v>
      </c>
      <c r="B3141" s="783" t="s">
        <v>41</v>
      </c>
      <c r="C3141" s="783" t="s">
        <v>4008</v>
      </c>
      <c r="D3141" s="783" t="s">
        <v>4009</v>
      </c>
      <c r="E3141" s="783" t="s">
        <v>5022</v>
      </c>
      <c r="F3141" s="783" t="s">
        <v>4011</v>
      </c>
      <c r="G3141" s="783" t="str">
        <f>VLOOKUP(I3141,pacage,2,FALSE)</f>
        <v>Renewal (15% in 2020)</v>
      </c>
      <c r="H3141" s="783" t="s">
        <v>5023</v>
      </c>
      <c r="I3141" s="783" t="s">
        <v>5024</v>
      </c>
      <c r="J3141" s="783">
        <v>15</v>
      </c>
      <c r="K3141" s="783" t="s">
        <v>183</v>
      </c>
      <c r="L3141" s="783" t="s">
        <v>4096</v>
      </c>
      <c r="M3141" s="784">
        <v>4426.5600000000004</v>
      </c>
      <c r="N3141" s="784">
        <v>6.4</v>
      </c>
      <c r="O3141" s="784">
        <v>4.7699999999999996</v>
      </c>
      <c r="P3141" s="783">
        <v>145</v>
      </c>
      <c r="Q3141" s="783">
        <v>376.7</v>
      </c>
      <c r="R3141" s="783">
        <v>160.24</v>
      </c>
      <c r="S3141" s="783">
        <v>25.67</v>
      </c>
      <c r="T3141" s="783">
        <v>190.78</v>
      </c>
      <c r="U3141" s="785">
        <v>44631.625972222202</v>
      </c>
    </row>
    <row r="3142" spans="1:21">
      <c r="A3142" s="782">
        <v>44585</v>
      </c>
      <c r="B3142" s="783" t="s">
        <v>74</v>
      </c>
      <c r="C3142" s="783" t="s">
        <v>4097</v>
      </c>
      <c r="D3142" s="783" t="s">
        <v>4038</v>
      </c>
      <c r="E3142" s="783" t="s">
        <v>4281</v>
      </c>
      <c r="F3142" s="783" t="s">
        <v>4011</v>
      </c>
      <c r="G3142" s="783" t="s">
        <v>4028</v>
      </c>
      <c r="H3142" s="783" t="s">
        <v>4282</v>
      </c>
      <c r="I3142" s="783" t="s">
        <v>4283</v>
      </c>
      <c r="J3142" s="783">
        <v>25</v>
      </c>
      <c r="K3142" s="783" t="s">
        <v>183</v>
      </c>
      <c r="L3142" s="783" t="s">
        <v>4096</v>
      </c>
      <c r="M3142" s="784">
        <v>5116.8</v>
      </c>
      <c r="N3142" s="784">
        <v>6.4</v>
      </c>
      <c r="O3142" s="784">
        <v>5.33</v>
      </c>
      <c r="P3142" s="783">
        <v>150</v>
      </c>
      <c r="Q3142" s="783">
        <v>269.14</v>
      </c>
      <c r="R3142" s="783">
        <v>190.34</v>
      </c>
      <c r="S3142" s="783">
        <v>29.68</v>
      </c>
      <c r="T3142" s="783">
        <v>49.12</v>
      </c>
      <c r="U3142" s="785">
        <v>44631.633437500001</v>
      </c>
    </row>
    <row r="3143" spans="1:21">
      <c r="A3143" s="782">
        <v>44616</v>
      </c>
      <c r="B3143" s="783" t="s">
        <v>118</v>
      </c>
      <c r="C3143" s="783" t="s">
        <v>4139</v>
      </c>
      <c r="D3143" s="783" t="s">
        <v>4009</v>
      </c>
      <c r="E3143" s="783" t="s">
        <v>5029</v>
      </c>
      <c r="F3143" s="783" t="s">
        <v>4066</v>
      </c>
      <c r="G3143" s="783" t="s">
        <v>4028</v>
      </c>
      <c r="H3143" s="783" t="s">
        <v>5030</v>
      </c>
      <c r="I3143" s="783" t="s">
        <v>5031</v>
      </c>
      <c r="J3143" s="783">
        <v>10</v>
      </c>
      <c r="K3143" s="783" t="s">
        <v>183</v>
      </c>
      <c r="L3143" s="783" t="s">
        <v>4096</v>
      </c>
      <c r="M3143" s="784">
        <v>19890</v>
      </c>
      <c r="N3143" s="784">
        <v>18</v>
      </c>
      <c r="O3143" s="784">
        <v>6.5</v>
      </c>
      <c r="P3143" s="783">
        <v>170</v>
      </c>
      <c r="Q3143" s="783">
        <v>212.82</v>
      </c>
      <c r="R3143" s="783">
        <v>0</v>
      </c>
      <c r="S3143" s="783">
        <v>0</v>
      </c>
      <c r="T3143" s="783">
        <v>212.82</v>
      </c>
      <c r="U3143" s="785">
        <v>44631.626041666699</v>
      </c>
    </row>
    <row r="3144" spans="1:21">
      <c r="A3144" s="782">
        <v>44592</v>
      </c>
      <c r="B3144" s="783" t="s">
        <v>41</v>
      </c>
      <c r="C3144" s="783" t="s">
        <v>4139</v>
      </c>
      <c r="D3144" s="783" t="s">
        <v>4009</v>
      </c>
      <c r="E3144" s="783" t="s">
        <v>5035</v>
      </c>
      <c r="F3144" s="783" t="s">
        <v>4011</v>
      </c>
      <c r="G3144" s="783" t="str">
        <f>VLOOKUP(I3144,pacage,2,FALSE)</f>
        <v>Renewal (15% in 2020)</v>
      </c>
      <c r="H3144" s="783" t="s">
        <v>5036</v>
      </c>
      <c r="I3144" s="783" t="s">
        <v>5037</v>
      </c>
      <c r="J3144" s="783">
        <v>15</v>
      </c>
      <c r="K3144" s="783" t="s">
        <v>183</v>
      </c>
      <c r="L3144" s="783" t="s">
        <v>4096</v>
      </c>
      <c r="M3144" s="784">
        <v>2469.73</v>
      </c>
      <c r="N3144" s="784">
        <v>2.08</v>
      </c>
      <c r="O3144" s="784">
        <v>7.11</v>
      </c>
      <c r="P3144" s="783">
        <v>167</v>
      </c>
      <c r="Q3144" s="783">
        <v>183.01</v>
      </c>
      <c r="R3144" s="783">
        <v>82.24</v>
      </c>
      <c r="S3144" s="783">
        <v>12.35</v>
      </c>
      <c r="T3144" s="783">
        <v>88.42</v>
      </c>
      <c r="U3144" s="785">
        <v>44631.6260763889</v>
      </c>
    </row>
    <row r="3145" spans="1:21">
      <c r="A3145" s="782">
        <v>44594</v>
      </c>
      <c r="B3145" s="783" t="s">
        <v>47</v>
      </c>
      <c r="C3145" s="783" t="s">
        <v>4916</v>
      </c>
      <c r="D3145" s="783" t="s">
        <v>4102</v>
      </c>
      <c r="E3145" s="783" t="s">
        <v>5038</v>
      </c>
      <c r="F3145" s="783" t="s">
        <v>4066</v>
      </c>
      <c r="G3145" s="783" t="s">
        <v>4028</v>
      </c>
      <c r="H3145" s="783" t="s">
        <v>5039</v>
      </c>
      <c r="I3145" s="783" t="s">
        <v>5040</v>
      </c>
      <c r="J3145" s="783">
        <v>10</v>
      </c>
      <c r="K3145" s="783" t="s">
        <v>183</v>
      </c>
      <c r="L3145" s="783" t="s">
        <v>4096</v>
      </c>
      <c r="M3145" s="784">
        <v>37716</v>
      </c>
      <c r="N3145" s="784">
        <v>22.45</v>
      </c>
      <c r="O3145" s="784">
        <v>8</v>
      </c>
      <c r="P3145" s="783">
        <v>210</v>
      </c>
      <c r="Q3145" s="783">
        <v>290.41000000000003</v>
      </c>
      <c r="R3145" s="783">
        <v>0</v>
      </c>
      <c r="S3145" s="783">
        <v>0</v>
      </c>
      <c r="T3145" s="783">
        <v>290.41000000000003</v>
      </c>
      <c r="U3145" s="785">
        <v>44631.625995370399</v>
      </c>
    </row>
    <row r="3146" spans="1:21">
      <c r="A3146" s="782">
        <v>44615</v>
      </c>
      <c r="B3146" s="783" t="s">
        <v>30</v>
      </c>
      <c r="C3146" s="783" t="s">
        <v>4239</v>
      </c>
      <c r="D3146" s="783" t="s">
        <v>4021</v>
      </c>
      <c r="E3146" s="783" t="s">
        <v>5041</v>
      </c>
      <c r="F3146" s="783" t="s">
        <v>4066</v>
      </c>
      <c r="G3146" s="783" t="s">
        <v>4028</v>
      </c>
      <c r="H3146" s="783" t="s">
        <v>5042</v>
      </c>
      <c r="I3146" s="783" t="s">
        <v>5043</v>
      </c>
      <c r="J3146" s="783">
        <v>10</v>
      </c>
      <c r="K3146" s="783" t="s">
        <v>183</v>
      </c>
      <c r="L3146" s="783" t="s">
        <v>4096</v>
      </c>
      <c r="M3146" s="784">
        <v>20400</v>
      </c>
      <c r="N3146" s="784">
        <v>20</v>
      </c>
      <c r="O3146" s="784">
        <v>6</v>
      </c>
      <c r="P3146" s="783">
        <v>170</v>
      </c>
      <c r="Q3146" s="783">
        <v>352.92</v>
      </c>
      <c r="R3146" s="783">
        <v>0</v>
      </c>
      <c r="S3146" s="783">
        <v>0</v>
      </c>
      <c r="T3146" s="783">
        <v>352.92</v>
      </c>
      <c r="U3146" s="785">
        <v>44631.626284722202</v>
      </c>
    </row>
    <row r="3147" spans="1:21">
      <c r="A3147" s="782">
        <v>44601</v>
      </c>
      <c r="B3147" s="783" t="s">
        <v>113</v>
      </c>
      <c r="C3147" s="783" t="s">
        <v>4097</v>
      </c>
      <c r="D3147" s="783" t="s">
        <v>4038</v>
      </c>
      <c r="E3147" s="783" t="s">
        <v>5044</v>
      </c>
      <c r="F3147" s="783" t="s">
        <v>4066</v>
      </c>
      <c r="G3147" s="783" t="str">
        <f>VLOOKUP(I3147,pacage,2,FALSE)</f>
        <v>Renewal (15% in 2020)</v>
      </c>
      <c r="H3147" s="783" t="s">
        <v>5045</v>
      </c>
      <c r="I3147" s="783" t="s">
        <v>5046</v>
      </c>
      <c r="J3147" s="783">
        <v>5</v>
      </c>
      <c r="K3147" s="783" t="s">
        <v>183</v>
      </c>
      <c r="L3147" s="783" t="s">
        <v>4096</v>
      </c>
      <c r="M3147" s="784">
        <v>10992</v>
      </c>
      <c r="N3147" s="784">
        <v>6.87</v>
      </c>
      <c r="O3147" s="784">
        <v>8</v>
      </c>
      <c r="P3147" s="783">
        <v>200</v>
      </c>
      <c r="Q3147" s="783">
        <v>289.08999999999997</v>
      </c>
      <c r="R3147" s="783">
        <v>0</v>
      </c>
      <c r="S3147" s="783">
        <v>0</v>
      </c>
      <c r="T3147" s="783">
        <v>289.08999999999997</v>
      </c>
      <c r="U3147" s="785">
        <v>44631.626388888901</v>
      </c>
    </row>
    <row r="3148" spans="1:21">
      <c r="A3148" s="782">
        <v>44633</v>
      </c>
      <c r="B3148" s="783" t="s">
        <v>30</v>
      </c>
      <c r="C3148" s="783" t="s">
        <v>4089</v>
      </c>
      <c r="D3148" s="783" t="s">
        <v>4021</v>
      </c>
      <c r="E3148" s="783" t="s">
        <v>5047</v>
      </c>
      <c r="F3148" s="783" t="s">
        <v>4011</v>
      </c>
      <c r="G3148" s="783" t="str">
        <f>VLOOKUP(I3148,pacage,2,FALSE)</f>
        <v>Renewal (15% in 2020)</v>
      </c>
      <c r="H3148" s="783" t="s">
        <v>5048</v>
      </c>
      <c r="I3148" s="783" t="s">
        <v>5049</v>
      </c>
      <c r="J3148" s="783">
        <v>15</v>
      </c>
      <c r="K3148" s="783" t="s">
        <v>183</v>
      </c>
      <c r="L3148" s="783" t="s">
        <v>4096</v>
      </c>
      <c r="M3148" s="784">
        <v>38548.61</v>
      </c>
      <c r="N3148" s="784">
        <v>41</v>
      </c>
      <c r="O3148" s="784">
        <v>5.63</v>
      </c>
      <c r="P3148" s="783">
        <v>167</v>
      </c>
      <c r="Q3148" s="783">
        <v>3592.73</v>
      </c>
      <c r="R3148" s="783">
        <v>1545.8</v>
      </c>
      <c r="S3148" s="783">
        <v>246.71</v>
      </c>
      <c r="T3148" s="783">
        <v>1800.22</v>
      </c>
      <c r="U3148" s="785">
        <v>44634.389189814799</v>
      </c>
    </row>
    <row r="3149" spans="1:21">
      <c r="A3149" s="782">
        <v>44656</v>
      </c>
      <c r="B3149" s="783" t="s">
        <v>41</v>
      </c>
      <c r="C3149" s="783" t="s">
        <v>4071</v>
      </c>
      <c r="D3149" s="783" t="s">
        <v>4009</v>
      </c>
      <c r="E3149" s="783" t="s">
        <v>4287</v>
      </c>
      <c r="F3149" s="783" t="s">
        <v>4011</v>
      </c>
      <c r="G3149" s="783" t="str">
        <f>VLOOKUP(I3149,pacage,2,FALSE)</f>
        <v>Renewal (15% in 2020)</v>
      </c>
      <c r="H3149" s="783" t="s">
        <v>4288</v>
      </c>
      <c r="I3149" s="783" t="s">
        <v>4289</v>
      </c>
      <c r="J3149" s="783">
        <v>30</v>
      </c>
      <c r="K3149" s="783" t="s">
        <v>183</v>
      </c>
      <c r="L3149" s="783" t="s">
        <v>4096</v>
      </c>
      <c r="M3149" s="784">
        <v>11715.05</v>
      </c>
      <c r="N3149" s="784">
        <v>11.5</v>
      </c>
      <c r="O3149" s="784">
        <v>6.1</v>
      </c>
      <c r="P3149" s="783">
        <v>167</v>
      </c>
      <c r="Q3149" s="783">
        <v>359.65</v>
      </c>
      <c r="R3149" s="783">
        <v>316.31</v>
      </c>
      <c r="S3149" s="783">
        <v>0</v>
      </c>
      <c r="T3149" s="783">
        <v>43.35</v>
      </c>
      <c r="U3149" s="785">
        <v>44657.630127314798</v>
      </c>
    </row>
    <row r="3150" spans="1:21">
      <c r="A3150" s="782">
        <v>44693</v>
      </c>
      <c r="B3150" s="783" t="s">
        <v>51</v>
      </c>
      <c r="C3150" s="783" t="s">
        <v>4042</v>
      </c>
      <c r="D3150" s="783" t="s">
        <v>4016</v>
      </c>
      <c r="E3150" s="783" t="s">
        <v>1359</v>
      </c>
      <c r="F3150" s="783" t="s">
        <v>4011</v>
      </c>
      <c r="G3150" s="783" t="str">
        <f>VLOOKUP(I3150,pacage,2,FALSE)</f>
        <v>Renewal (20% in 2020)</v>
      </c>
      <c r="H3150" s="783" t="s">
        <v>5053</v>
      </c>
      <c r="I3150" s="783" t="s">
        <v>5054</v>
      </c>
      <c r="J3150" s="783">
        <v>20</v>
      </c>
      <c r="K3150" s="783" t="s">
        <v>183</v>
      </c>
      <c r="L3150" s="783" t="s">
        <v>4096</v>
      </c>
      <c r="M3150" s="784">
        <v>24336</v>
      </c>
      <c r="N3150" s="784">
        <v>23.4</v>
      </c>
      <c r="O3150" s="784">
        <v>6.5</v>
      </c>
      <c r="P3150" s="783">
        <v>160</v>
      </c>
      <c r="Q3150" s="783">
        <v>1362.82</v>
      </c>
      <c r="R3150" s="783">
        <v>795.79</v>
      </c>
      <c r="S3150" s="783">
        <v>124.11</v>
      </c>
      <c r="T3150" s="783">
        <v>442.92</v>
      </c>
      <c r="U3150" s="785">
        <v>44694.5081712963</v>
      </c>
    </row>
    <row r="3151" spans="1:21">
      <c r="A3151" s="782">
        <v>44694</v>
      </c>
      <c r="B3151" s="783" t="s">
        <v>228</v>
      </c>
      <c r="C3151" s="783" t="s">
        <v>4020</v>
      </c>
      <c r="D3151" s="783" t="s">
        <v>4021</v>
      </c>
      <c r="E3151" s="783" t="s">
        <v>5057</v>
      </c>
      <c r="F3151" s="783" t="s">
        <v>4011</v>
      </c>
      <c r="G3151" s="783" t="str">
        <f>VLOOKUP(I3151,pacage,2,FALSE)</f>
        <v>Renewal (25% in 2020)</v>
      </c>
      <c r="H3151" s="783" t="s">
        <v>5058</v>
      </c>
      <c r="I3151" s="783" t="s">
        <v>5059</v>
      </c>
      <c r="J3151" s="783">
        <v>25</v>
      </c>
      <c r="K3151" s="783" t="s">
        <v>183</v>
      </c>
      <c r="L3151" s="783" t="s">
        <v>4096</v>
      </c>
      <c r="M3151" s="784">
        <v>5014.66</v>
      </c>
      <c r="N3151" s="784">
        <v>5.43</v>
      </c>
      <c r="O3151" s="784">
        <v>5.53</v>
      </c>
      <c r="P3151" s="783">
        <v>167</v>
      </c>
      <c r="Q3151" s="783">
        <v>224.16</v>
      </c>
      <c r="R3151" s="783">
        <v>165.99</v>
      </c>
      <c r="S3151" s="783">
        <v>25.57</v>
      </c>
      <c r="T3151" s="783">
        <v>32.6</v>
      </c>
      <c r="U3151" s="785">
        <v>44694.624201388899</v>
      </c>
    </row>
    <row r="3152" spans="1:21">
      <c r="A3152" s="782">
        <v>44693</v>
      </c>
      <c r="B3152" s="783" t="s">
        <v>4025</v>
      </c>
      <c r="C3152" s="783" t="s">
        <v>4026</v>
      </c>
      <c r="D3152" s="783" t="s">
        <v>4021</v>
      </c>
      <c r="E3152" s="783" t="s">
        <v>5060</v>
      </c>
      <c r="F3152" s="783" t="s">
        <v>4011</v>
      </c>
      <c r="G3152" s="783" t="s">
        <v>4028</v>
      </c>
      <c r="H3152" s="783" t="s">
        <v>5061</v>
      </c>
      <c r="I3152" s="783" t="s">
        <v>5062</v>
      </c>
      <c r="J3152" s="783">
        <v>25</v>
      </c>
      <c r="K3152" s="783" t="s">
        <v>183</v>
      </c>
      <c r="L3152" s="783" t="s">
        <v>4096</v>
      </c>
      <c r="M3152" s="784">
        <v>51224.4</v>
      </c>
      <c r="N3152" s="784">
        <v>33.479999999999997</v>
      </c>
      <c r="O3152" s="784">
        <v>8.5</v>
      </c>
      <c r="P3152" s="783">
        <v>180</v>
      </c>
      <c r="Q3152" s="783">
        <v>2904.42</v>
      </c>
      <c r="R3152" s="783">
        <v>1962.78</v>
      </c>
      <c r="S3152" s="783">
        <v>480.63</v>
      </c>
      <c r="T3152" s="783">
        <v>461.02</v>
      </c>
      <c r="U3152" s="785">
        <v>44694.438854166699</v>
      </c>
    </row>
    <row r="3153" spans="1:21">
      <c r="A3153" s="782">
        <v>44694</v>
      </c>
      <c r="B3153" s="783" t="s">
        <v>41</v>
      </c>
      <c r="C3153" s="783" t="s">
        <v>4071</v>
      </c>
      <c r="D3153" s="783" t="s">
        <v>4009</v>
      </c>
      <c r="E3153" s="783" t="s">
        <v>7097</v>
      </c>
      <c r="F3153" s="783" t="s">
        <v>4066</v>
      </c>
      <c r="G3153" s="783" t="str">
        <f t="shared" ref="G3153:G3158" si="168">VLOOKUP(I3153,pacage,2,FALSE)</f>
        <v>Renewal (25% in 2020)</v>
      </c>
      <c r="H3153" s="783" t="s">
        <v>7098</v>
      </c>
      <c r="I3153" s="783" t="s">
        <v>7099</v>
      </c>
      <c r="J3153" s="783">
        <v>5</v>
      </c>
      <c r="K3153" s="783" t="s">
        <v>183</v>
      </c>
      <c r="L3153" s="783" t="s">
        <v>4096</v>
      </c>
      <c r="M3153" s="784">
        <v>12238.8</v>
      </c>
      <c r="N3153" s="784">
        <v>9.4</v>
      </c>
      <c r="O3153" s="784">
        <v>6</v>
      </c>
      <c r="P3153" s="783">
        <v>217</v>
      </c>
      <c r="Q3153" s="783">
        <v>132.18</v>
      </c>
      <c r="R3153" s="783">
        <v>0</v>
      </c>
      <c r="S3153" s="783">
        <v>0</v>
      </c>
      <c r="T3153" s="783">
        <v>132.18</v>
      </c>
      <c r="U3153" s="785">
        <v>44697.666678240697</v>
      </c>
    </row>
    <row r="3154" spans="1:21">
      <c r="A3154" s="782">
        <v>44698</v>
      </c>
      <c r="B3154" s="783" t="s">
        <v>41</v>
      </c>
      <c r="C3154" s="783" t="s">
        <v>4092</v>
      </c>
      <c r="D3154" s="783" t="s">
        <v>4009</v>
      </c>
      <c r="E3154" s="783" t="s">
        <v>5063</v>
      </c>
      <c r="F3154" s="783" t="s">
        <v>4011</v>
      </c>
      <c r="G3154" s="783" t="str">
        <f t="shared" si="168"/>
        <v>Renewal (15% in 2020)</v>
      </c>
      <c r="H3154" s="783" t="s">
        <v>5064</v>
      </c>
      <c r="I3154" s="783" t="s">
        <v>5065</v>
      </c>
      <c r="J3154" s="783">
        <v>15</v>
      </c>
      <c r="K3154" s="783" t="s">
        <v>183</v>
      </c>
      <c r="L3154" s="783" t="s">
        <v>4096</v>
      </c>
      <c r="M3154" s="784">
        <v>9675.18</v>
      </c>
      <c r="N3154" s="784">
        <v>14.76</v>
      </c>
      <c r="O3154" s="784">
        <v>4.37</v>
      </c>
      <c r="P3154" s="783">
        <v>150</v>
      </c>
      <c r="Q3154" s="783">
        <v>783.69</v>
      </c>
      <c r="R3154" s="783">
        <v>341.53</v>
      </c>
      <c r="S3154" s="783">
        <v>62.89</v>
      </c>
      <c r="T3154" s="783">
        <v>379.27</v>
      </c>
      <c r="U3154" s="785">
        <v>44699.508784722202</v>
      </c>
    </row>
    <row r="3155" spans="1:21">
      <c r="A3155" s="782">
        <v>44711</v>
      </c>
      <c r="B3155" s="783" t="s">
        <v>51</v>
      </c>
      <c r="C3155" s="783" t="s">
        <v>4042</v>
      </c>
      <c r="D3155" s="783" t="s">
        <v>4016</v>
      </c>
      <c r="E3155" s="783" t="s">
        <v>4760</v>
      </c>
      <c r="F3155" s="783" t="s">
        <v>4011</v>
      </c>
      <c r="G3155" s="783" t="str">
        <f t="shared" si="168"/>
        <v>New Contract</v>
      </c>
      <c r="H3155" s="783" t="s">
        <v>4761</v>
      </c>
      <c r="I3155" s="783" t="s">
        <v>4762</v>
      </c>
      <c r="J3155" s="783">
        <v>15</v>
      </c>
      <c r="K3155" s="783" t="s">
        <v>183</v>
      </c>
      <c r="L3155" s="783" t="s">
        <v>4096</v>
      </c>
      <c r="M3155" s="784">
        <v>24276.959999999999</v>
      </c>
      <c r="N3155" s="784">
        <v>21.99</v>
      </c>
      <c r="O3155" s="784">
        <v>6.9</v>
      </c>
      <c r="P3155" s="783">
        <v>160</v>
      </c>
      <c r="Q3155" s="783">
        <v>1806.21</v>
      </c>
      <c r="R3155" s="783">
        <v>793.86</v>
      </c>
      <c r="S3155" s="783">
        <v>123.81</v>
      </c>
      <c r="T3155" s="783">
        <v>888.54</v>
      </c>
      <c r="U3155" s="785">
        <v>44713.6401736111</v>
      </c>
    </row>
    <row r="3156" spans="1:21">
      <c r="A3156" s="782">
        <v>44700</v>
      </c>
      <c r="B3156" s="783" t="s">
        <v>51</v>
      </c>
      <c r="C3156" s="783" t="s">
        <v>4015</v>
      </c>
      <c r="D3156" s="783" t="s">
        <v>4016</v>
      </c>
      <c r="E3156" s="783" t="s">
        <v>5075</v>
      </c>
      <c r="F3156" s="783" t="s">
        <v>4011</v>
      </c>
      <c r="G3156" s="783" t="str">
        <f t="shared" si="168"/>
        <v>Renewal (25% in 2020)</v>
      </c>
      <c r="H3156" s="783" t="s">
        <v>5076</v>
      </c>
      <c r="I3156" s="783" t="s">
        <v>5077</v>
      </c>
      <c r="J3156" s="783">
        <v>25</v>
      </c>
      <c r="K3156" s="783" t="s">
        <v>183</v>
      </c>
      <c r="L3156" s="783" t="s">
        <v>4096</v>
      </c>
      <c r="M3156" s="784">
        <v>18901.400000000001</v>
      </c>
      <c r="N3156" s="784">
        <v>23.48</v>
      </c>
      <c r="O3156" s="784">
        <v>5.75</v>
      </c>
      <c r="P3156" s="783">
        <v>140</v>
      </c>
      <c r="Q3156" s="783">
        <v>754.17</v>
      </c>
      <c r="R3156" s="783">
        <v>557.59</v>
      </c>
      <c r="S3156" s="783">
        <v>85.06</v>
      </c>
      <c r="T3156" s="783">
        <v>111.52</v>
      </c>
      <c r="U3156" s="785">
        <v>44700.719907407401</v>
      </c>
    </row>
    <row r="3157" spans="1:21">
      <c r="A3157" s="782">
        <v>44701</v>
      </c>
      <c r="B3157" s="783" t="s">
        <v>41</v>
      </c>
      <c r="C3157" s="783" t="s">
        <v>4354</v>
      </c>
      <c r="D3157" s="783" t="s">
        <v>4009</v>
      </c>
      <c r="E3157" s="783" t="s">
        <v>6556</v>
      </c>
      <c r="F3157" s="783" t="s">
        <v>4011</v>
      </c>
      <c r="G3157" s="783" t="str">
        <f t="shared" si="168"/>
        <v>New Contract</v>
      </c>
      <c r="H3157" s="783" t="s">
        <v>6557</v>
      </c>
      <c r="I3157" s="783" t="s">
        <v>6558</v>
      </c>
      <c r="J3157" s="783">
        <v>30</v>
      </c>
      <c r="K3157" s="783" t="s">
        <v>183</v>
      </c>
      <c r="L3157" s="783" t="s">
        <v>4096</v>
      </c>
      <c r="M3157" s="784">
        <v>9537</v>
      </c>
      <c r="N3157" s="784">
        <v>9.35</v>
      </c>
      <c r="O3157" s="784">
        <v>6</v>
      </c>
      <c r="P3157" s="783">
        <v>170</v>
      </c>
      <c r="Q3157" s="783">
        <v>597.02</v>
      </c>
      <c r="R3157" s="783">
        <v>469.37</v>
      </c>
      <c r="S3157" s="783">
        <v>8.43</v>
      </c>
      <c r="T3157" s="783">
        <v>119.21</v>
      </c>
      <c r="U3157" s="785">
        <v>44701.568206018499</v>
      </c>
    </row>
    <row r="3158" spans="1:21">
      <c r="A3158" s="782">
        <v>44704</v>
      </c>
      <c r="B3158" s="783" t="s">
        <v>41</v>
      </c>
      <c r="C3158" s="783" t="s">
        <v>4071</v>
      </c>
      <c r="D3158" s="783" t="s">
        <v>4009</v>
      </c>
      <c r="E3158" s="783" t="s">
        <v>5084</v>
      </c>
      <c r="F3158" s="783" t="s">
        <v>4011</v>
      </c>
      <c r="G3158" s="783" t="str">
        <f t="shared" si="168"/>
        <v>Renewal (15% in 2020)</v>
      </c>
      <c r="H3158" s="783" t="s">
        <v>5085</v>
      </c>
      <c r="I3158" s="783" t="s">
        <v>5086</v>
      </c>
      <c r="J3158" s="783">
        <v>15</v>
      </c>
      <c r="K3158" s="783" t="s">
        <v>183</v>
      </c>
      <c r="L3158" s="783" t="s">
        <v>4096</v>
      </c>
      <c r="M3158" s="784">
        <v>19016.060000000001</v>
      </c>
      <c r="N3158" s="784">
        <v>19.420000000000002</v>
      </c>
      <c r="O3158" s="784">
        <v>5.76</v>
      </c>
      <c r="P3158" s="783">
        <v>170</v>
      </c>
      <c r="Q3158" s="783">
        <v>1140.96</v>
      </c>
      <c r="R3158" s="783">
        <v>504.37</v>
      </c>
      <c r="S3158" s="783">
        <v>85.12</v>
      </c>
      <c r="T3158" s="783">
        <v>551.47</v>
      </c>
      <c r="U3158" s="785">
        <v>44708.798425925903</v>
      </c>
    </row>
    <row r="3159" spans="1:21">
      <c r="A3159" s="782">
        <v>44712</v>
      </c>
      <c r="B3159" s="783" t="s">
        <v>4025</v>
      </c>
      <c r="C3159" s="783" t="s">
        <v>4026</v>
      </c>
      <c r="D3159" s="783" t="s">
        <v>4021</v>
      </c>
      <c r="E3159" s="783" t="s">
        <v>4027</v>
      </c>
      <c r="F3159" s="783" t="s">
        <v>4011</v>
      </c>
      <c r="G3159" s="783" t="s">
        <v>4028</v>
      </c>
      <c r="H3159" s="783" t="s">
        <v>4029</v>
      </c>
      <c r="I3159" s="783" t="s">
        <v>4030</v>
      </c>
      <c r="J3159" s="783">
        <v>25</v>
      </c>
      <c r="K3159" s="783" t="s">
        <v>183</v>
      </c>
      <c r="L3159" s="783" t="s">
        <v>4096</v>
      </c>
      <c r="M3159" s="784">
        <v>17216.330000000002</v>
      </c>
      <c r="N3159" s="784">
        <v>15.11</v>
      </c>
      <c r="O3159" s="784">
        <v>6.33</v>
      </c>
      <c r="P3159" s="783">
        <v>180</v>
      </c>
      <c r="Q3159" s="783">
        <v>976.17</v>
      </c>
      <c r="R3159" s="783">
        <v>659.68</v>
      </c>
      <c r="S3159" s="783">
        <v>161.54</v>
      </c>
      <c r="T3159" s="783">
        <v>154.94999999999999</v>
      </c>
      <c r="U3159" s="785">
        <v>44714.007592592599</v>
      </c>
    </row>
    <row r="3160" spans="1:21">
      <c r="A3160" s="782">
        <v>44712</v>
      </c>
      <c r="B3160" s="783" t="s">
        <v>4025</v>
      </c>
      <c r="C3160" s="783" t="s">
        <v>4026</v>
      </c>
      <c r="D3160" s="783" t="s">
        <v>4021</v>
      </c>
      <c r="E3160" s="783" t="s">
        <v>4031</v>
      </c>
      <c r="F3160" s="783" t="s">
        <v>4011</v>
      </c>
      <c r="G3160" s="783" t="s">
        <v>4028</v>
      </c>
      <c r="H3160" s="783" t="s">
        <v>4032</v>
      </c>
      <c r="I3160" s="783" t="s">
        <v>4033</v>
      </c>
      <c r="J3160" s="783">
        <v>25</v>
      </c>
      <c r="K3160" s="783" t="s">
        <v>183</v>
      </c>
      <c r="L3160" s="783" t="s">
        <v>4096</v>
      </c>
      <c r="M3160" s="784">
        <v>10004.57</v>
      </c>
      <c r="N3160" s="784">
        <v>13.56</v>
      </c>
      <c r="O3160" s="784">
        <v>4.34</v>
      </c>
      <c r="P3160" s="783">
        <v>170</v>
      </c>
      <c r="Q3160" s="783">
        <v>567.26</v>
      </c>
      <c r="R3160" s="783">
        <v>405.9</v>
      </c>
      <c r="S3160" s="783">
        <v>71.319999999999993</v>
      </c>
      <c r="T3160" s="783">
        <v>90.04</v>
      </c>
      <c r="U3160" s="785">
        <v>44714.019027777802</v>
      </c>
    </row>
    <row r="3161" spans="1:21">
      <c r="A3161" s="782">
        <v>44685</v>
      </c>
      <c r="B3161" s="783" t="s">
        <v>51</v>
      </c>
      <c r="C3161" s="783" t="s">
        <v>4796</v>
      </c>
      <c r="D3161" s="783" t="s">
        <v>4016</v>
      </c>
      <c r="E3161" s="783" t="s">
        <v>5105</v>
      </c>
      <c r="F3161" s="783" t="s">
        <v>4011</v>
      </c>
      <c r="G3161" s="783" t="str">
        <f t="shared" ref="G3161:G3166" si="169">VLOOKUP(I3161,pacage,2,FALSE)</f>
        <v>Renewal (20% in 2020)</v>
      </c>
      <c r="H3161" s="783" t="s">
        <v>5106</v>
      </c>
      <c r="I3161" s="783" t="s">
        <v>5107</v>
      </c>
      <c r="J3161" s="783">
        <v>20</v>
      </c>
      <c r="K3161" s="783" t="s">
        <v>183</v>
      </c>
      <c r="L3161" s="783" t="s">
        <v>4096</v>
      </c>
      <c r="M3161" s="784">
        <v>17984.16</v>
      </c>
      <c r="N3161" s="784">
        <v>16.29</v>
      </c>
      <c r="O3161" s="784">
        <v>6.9</v>
      </c>
      <c r="P3161" s="783">
        <v>160</v>
      </c>
      <c r="Q3161" s="783">
        <v>927.98</v>
      </c>
      <c r="R3161" s="783">
        <v>541.32000000000005</v>
      </c>
      <c r="S3161" s="783">
        <v>82.73</v>
      </c>
      <c r="T3161" s="783">
        <v>303.93</v>
      </c>
      <c r="U3161" s="785">
        <v>44685.660266203697</v>
      </c>
    </row>
    <row r="3162" spans="1:21">
      <c r="A3162" s="782">
        <v>44687</v>
      </c>
      <c r="B3162" s="783" t="s">
        <v>41</v>
      </c>
      <c r="C3162" s="783" t="s">
        <v>4082</v>
      </c>
      <c r="D3162" s="783" t="s">
        <v>4009</v>
      </c>
      <c r="E3162" s="783" t="s">
        <v>1515</v>
      </c>
      <c r="F3162" s="783" t="s">
        <v>4011</v>
      </c>
      <c r="G3162" s="783" t="str">
        <f t="shared" si="169"/>
        <v>Renewal (15% in 2020)</v>
      </c>
      <c r="H3162" s="783" t="s">
        <v>5108</v>
      </c>
      <c r="I3162" s="783" t="s">
        <v>5109</v>
      </c>
      <c r="J3162" s="783">
        <v>15</v>
      </c>
      <c r="K3162" s="783" t="s">
        <v>183</v>
      </c>
      <c r="L3162" s="783" t="s">
        <v>4096</v>
      </c>
      <c r="M3162" s="784">
        <v>11855.77</v>
      </c>
      <c r="N3162" s="784">
        <v>13.83</v>
      </c>
      <c r="O3162" s="784">
        <v>6.35</v>
      </c>
      <c r="P3162" s="783">
        <v>135</v>
      </c>
      <c r="Q3162" s="783">
        <v>925.94</v>
      </c>
      <c r="R3162" s="783">
        <v>404.28</v>
      </c>
      <c r="S3162" s="783">
        <v>73.510000000000005</v>
      </c>
      <c r="T3162" s="783">
        <v>448.15</v>
      </c>
      <c r="U3162" s="785">
        <v>44690.597314814797</v>
      </c>
    </row>
    <row r="3163" spans="1:21">
      <c r="A3163" s="782">
        <v>44686</v>
      </c>
      <c r="B3163" s="783" t="s">
        <v>41</v>
      </c>
      <c r="C3163" s="783" t="s">
        <v>4071</v>
      </c>
      <c r="D3163" s="783" t="s">
        <v>4009</v>
      </c>
      <c r="E3163" s="783" t="s">
        <v>505</v>
      </c>
      <c r="F3163" s="783" t="s">
        <v>4011</v>
      </c>
      <c r="G3163" s="783" t="str">
        <f t="shared" si="169"/>
        <v>Renewal (15% in 2020)</v>
      </c>
      <c r="H3163" s="783" t="s">
        <v>4112</v>
      </c>
      <c r="I3163" s="783" t="s">
        <v>4113</v>
      </c>
      <c r="J3163" s="783">
        <v>15</v>
      </c>
      <c r="K3163" s="783" t="s">
        <v>183</v>
      </c>
      <c r="L3163" s="783" t="s">
        <v>4096</v>
      </c>
      <c r="M3163" s="784">
        <v>12210</v>
      </c>
      <c r="N3163" s="784">
        <v>20</v>
      </c>
      <c r="O3163" s="784">
        <v>4.07</v>
      </c>
      <c r="P3163" s="783">
        <v>150</v>
      </c>
      <c r="Q3163" s="783">
        <v>732.6</v>
      </c>
      <c r="R3163" s="783">
        <v>329.67</v>
      </c>
      <c r="S3163" s="783">
        <v>48.84</v>
      </c>
      <c r="T3163" s="783">
        <v>354.09</v>
      </c>
      <c r="U3163" s="785">
        <v>44687.621053240699</v>
      </c>
    </row>
    <row r="3164" spans="1:21">
      <c r="A3164" s="782">
        <v>44687</v>
      </c>
      <c r="B3164" s="783" t="s">
        <v>51</v>
      </c>
      <c r="C3164" s="783" t="s">
        <v>4042</v>
      </c>
      <c r="D3164" s="783" t="s">
        <v>4016</v>
      </c>
      <c r="E3164" s="783" t="s">
        <v>908</v>
      </c>
      <c r="F3164" s="783" t="s">
        <v>4011</v>
      </c>
      <c r="G3164" s="783" t="str">
        <f t="shared" si="169"/>
        <v>Renewal (20% in 2020)</v>
      </c>
      <c r="H3164" s="783" t="s">
        <v>5110</v>
      </c>
      <c r="I3164" s="783" t="s">
        <v>5111</v>
      </c>
      <c r="J3164" s="783">
        <v>20</v>
      </c>
      <c r="K3164" s="783" t="s">
        <v>183</v>
      </c>
      <c r="L3164" s="783" t="s">
        <v>4096</v>
      </c>
      <c r="M3164" s="784">
        <v>35226.67</v>
      </c>
      <c r="N3164" s="784">
        <v>30.88</v>
      </c>
      <c r="O3164" s="784">
        <v>7.22</v>
      </c>
      <c r="P3164" s="783">
        <v>158</v>
      </c>
      <c r="Q3164" s="783">
        <v>1972.69</v>
      </c>
      <c r="R3164" s="783">
        <v>1151.9100000000001</v>
      </c>
      <c r="S3164" s="783">
        <v>179.66</v>
      </c>
      <c r="T3164" s="783">
        <v>641.13</v>
      </c>
      <c r="U3164" s="785">
        <v>44687.673564814802</v>
      </c>
    </row>
    <row r="3165" spans="1:21">
      <c r="A3165" s="782">
        <v>44696</v>
      </c>
      <c r="B3165" s="783" t="s">
        <v>47</v>
      </c>
      <c r="C3165" s="783" t="s">
        <v>4244</v>
      </c>
      <c r="D3165" s="783" t="s">
        <v>4102</v>
      </c>
      <c r="E3165" s="783" t="s">
        <v>1437</v>
      </c>
      <c r="F3165" s="783" t="s">
        <v>4011</v>
      </c>
      <c r="G3165" s="783" t="str">
        <f t="shared" si="169"/>
        <v>Renewal (30% in 2020)</v>
      </c>
      <c r="H3165" s="783" t="s">
        <v>5115</v>
      </c>
      <c r="I3165" s="783" t="s">
        <v>5116</v>
      </c>
      <c r="J3165" s="783">
        <v>30</v>
      </c>
      <c r="K3165" s="783" t="s">
        <v>183</v>
      </c>
      <c r="L3165" s="783" t="s">
        <v>4096</v>
      </c>
      <c r="M3165" s="784">
        <v>16458.29</v>
      </c>
      <c r="N3165" s="784">
        <v>12.37</v>
      </c>
      <c r="O3165" s="784">
        <v>8.8699999999999992</v>
      </c>
      <c r="P3165" s="783">
        <v>150</v>
      </c>
      <c r="Q3165" s="783">
        <v>569.46</v>
      </c>
      <c r="R3165" s="783">
        <v>492.1</v>
      </c>
      <c r="S3165" s="783">
        <v>0</v>
      </c>
      <c r="T3165" s="783">
        <v>77.349999999999994</v>
      </c>
      <c r="U3165" s="785">
        <v>44697.413182870398</v>
      </c>
    </row>
    <row r="3166" spans="1:21">
      <c r="A3166" s="782">
        <v>44685</v>
      </c>
      <c r="B3166" s="783" t="s">
        <v>47</v>
      </c>
      <c r="C3166" s="783" t="s">
        <v>4244</v>
      </c>
      <c r="D3166" s="783" t="s">
        <v>4102</v>
      </c>
      <c r="E3166" s="783" t="s">
        <v>425</v>
      </c>
      <c r="F3166" s="783" t="s">
        <v>4011</v>
      </c>
      <c r="G3166" s="783" t="str">
        <f t="shared" si="169"/>
        <v>Renewal (30% in 2020)</v>
      </c>
      <c r="H3166" s="783" t="s">
        <v>4245</v>
      </c>
      <c r="I3166" s="783" t="s">
        <v>4246</v>
      </c>
      <c r="J3166" s="783">
        <v>30</v>
      </c>
      <c r="K3166" s="783" t="s">
        <v>183</v>
      </c>
      <c r="L3166" s="783" t="s">
        <v>4096</v>
      </c>
      <c r="M3166" s="784">
        <v>15174.27</v>
      </c>
      <c r="N3166" s="784">
        <v>13.07</v>
      </c>
      <c r="O3166" s="784">
        <v>7.74</v>
      </c>
      <c r="P3166" s="783">
        <v>150</v>
      </c>
      <c r="Q3166" s="783">
        <v>525.03</v>
      </c>
      <c r="R3166" s="783">
        <v>453.71</v>
      </c>
      <c r="S3166" s="783">
        <v>0</v>
      </c>
      <c r="T3166" s="783">
        <v>71.319999999999993</v>
      </c>
      <c r="U3166" s="785">
        <v>44685.419155092597</v>
      </c>
    </row>
    <row r="3167" spans="1:21">
      <c r="A3167" s="782">
        <v>44685</v>
      </c>
      <c r="B3167" s="783" t="s">
        <v>4025</v>
      </c>
      <c r="C3167" s="783" t="s">
        <v>4026</v>
      </c>
      <c r="D3167" s="783" t="s">
        <v>4021</v>
      </c>
      <c r="E3167" s="783" t="s">
        <v>4114</v>
      </c>
      <c r="F3167" s="783" t="s">
        <v>4011</v>
      </c>
      <c r="G3167" s="783" t="s">
        <v>4028</v>
      </c>
      <c r="H3167" s="783" t="s">
        <v>4115</v>
      </c>
      <c r="I3167" s="783" t="s">
        <v>4116</v>
      </c>
      <c r="J3167" s="783">
        <v>25</v>
      </c>
      <c r="K3167" s="783" t="s">
        <v>183</v>
      </c>
      <c r="L3167" s="783" t="s">
        <v>4096</v>
      </c>
      <c r="M3167" s="784">
        <v>40884.1</v>
      </c>
      <c r="N3167" s="784">
        <v>41.57</v>
      </c>
      <c r="O3167" s="784">
        <v>5.62</v>
      </c>
      <c r="P3167" s="783">
        <v>175</v>
      </c>
      <c r="Q3167" s="783">
        <v>2318.13</v>
      </c>
      <c r="R3167" s="783">
        <v>1611.32</v>
      </c>
      <c r="S3167" s="783">
        <v>338.85</v>
      </c>
      <c r="T3167" s="783">
        <v>367.96</v>
      </c>
      <c r="U3167" s="785">
        <v>44685.413182870398</v>
      </c>
    </row>
    <row r="3168" spans="1:21">
      <c r="A3168" s="782">
        <v>44684</v>
      </c>
      <c r="B3168" s="783" t="s">
        <v>4025</v>
      </c>
      <c r="C3168" s="783" t="s">
        <v>4026</v>
      </c>
      <c r="D3168" s="783" t="s">
        <v>4021</v>
      </c>
      <c r="E3168" s="783" t="s">
        <v>5117</v>
      </c>
      <c r="F3168" s="783" t="s">
        <v>4011</v>
      </c>
      <c r="G3168" s="783" t="str">
        <f t="shared" ref="G3168:G3191" si="170">VLOOKUP(I3168,pacage,2,FALSE)</f>
        <v>New Contract</v>
      </c>
      <c r="H3168" s="783" t="s">
        <v>5118</v>
      </c>
      <c r="I3168" s="783" t="s">
        <v>5119</v>
      </c>
      <c r="J3168" s="783">
        <v>25</v>
      </c>
      <c r="K3168" s="783" t="s">
        <v>183</v>
      </c>
      <c r="L3168" s="783" t="s">
        <v>4096</v>
      </c>
      <c r="M3168" s="784">
        <v>16779.95</v>
      </c>
      <c r="N3168" s="784">
        <v>14.82</v>
      </c>
      <c r="O3168" s="784">
        <v>6.47</v>
      </c>
      <c r="P3168" s="783">
        <v>175</v>
      </c>
      <c r="Q3168" s="783">
        <v>951.42</v>
      </c>
      <c r="R3168" s="783">
        <v>661.33</v>
      </c>
      <c r="S3168" s="783">
        <v>139.07</v>
      </c>
      <c r="T3168" s="783">
        <v>151.02000000000001</v>
      </c>
      <c r="U3168" s="785">
        <v>44685.446539351899</v>
      </c>
    </row>
    <row r="3169" spans="1:21">
      <c r="A3169" s="782">
        <v>44684</v>
      </c>
      <c r="B3169" s="783" t="s">
        <v>113</v>
      </c>
      <c r="C3169" s="783" t="s">
        <v>4602</v>
      </c>
      <c r="D3169" s="783" t="s">
        <v>4038</v>
      </c>
      <c r="E3169" s="783" t="s">
        <v>5120</v>
      </c>
      <c r="F3169" s="783" t="s">
        <v>4011</v>
      </c>
      <c r="G3169" s="783" t="str">
        <f t="shared" si="170"/>
        <v>New contract</v>
      </c>
      <c r="H3169" s="783" t="s">
        <v>5121</v>
      </c>
      <c r="I3169" s="783" t="s">
        <v>5122</v>
      </c>
      <c r="J3169" s="783">
        <v>25</v>
      </c>
      <c r="K3169" s="783" t="s">
        <v>183</v>
      </c>
      <c r="L3169" s="783" t="s">
        <v>4096</v>
      </c>
      <c r="M3169" s="784">
        <v>46919.25</v>
      </c>
      <c r="N3169" s="784">
        <v>49.65</v>
      </c>
      <c r="O3169" s="784">
        <v>6.3</v>
      </c>
      <c r="P3169" s="783">
        <v>150</v>
      </c>
      <c r="Q3169" s="783">
        <v>1562.41</v>
      </c>
      <c r="R3169" s="783">
        <v>1130.75</v>
      </c>
      <c r="S3169" s="783">
        <v>225.21</v>
      </c>
      <c r="T3169" s="783">
        <v>206.44</v>
      </c>
      <c r="U3169" s="785">
        <v>44687.652731481503</v>
      </c>
    </row>
    <row r="3170" spans="1:21">
      <c r="A3170" s="782">
        <v>44683</v>
      </c>
      <c r="B3170" s="783" t="s">
        <v>34</v>
      </c>
      <c r="C3170" s="783" t="s">
        <v>4139</v>
      </c>
      <c r="D3170" s="783" t="s">
        <v>4009</v>
      </c>
      <c r="E3170" s="783" t="s">
        <v>1060</v>
      </c>
      <c r="F3170" s="783" t="s">
        <v>4011</v>
      </c>
      <c r="G3170" s="783" t="str">
        <f t="shared" si="170"/>
        <v>Renewal (15% in 2020)</v>
      </c>
      <c r="H3170" s="783" t="s">
        <v>7100</v>
      </c>
      <c r="I3170" s="783" t="s">
        <v>7101</v>
      </c>
      <c r="J3170" s="783">
        <v>15</v>
      </c>
      <c r="K3170" s="783" t="s">
        <v>183</v>
      </c>
      <c r="L3170" s="783" t="s">
        <v>4096</v>
      </c>
      <c r="M3170" s="784">
        <v>10266.89</v>
      </c>
      <c r="N3170" s="784">
        <v>10.67</v>
      </c>
      <c r="O3170" s="784">
        <v>5.53</v>
      </c>
      <c r="P3170" s="783">
        <v>174</v>
      </c>
      <c r="Q3170" s="783">
        <v>760.78</v>
      </c>
      <c r="R3170" s="783">
        <v>328.13</v>
      </c>
      <c r="S3170" s="783">
        <v>65.09</v>
      </c>
      <c r="T3170" s="783">
        <v>367.55</v>
      </c>
      <c r="U3170" s="785">
        <v>44684.394027777802</v>
      </c>
    </row>
    <row r="3171" spans="1:21">
      <c r="A3171" s="782">
        <v>44681</v>
      </c>
      <c r="B3171" s="783" t="s">
        <v>4025</v>
      </c>
      <c r="C3171" s="783" t="s">
        <v>4026</v>
      </c>
      <c r="D3171" s="783" t="s">
        <v>4021</v>
      </c>
      <c r="E3171" s="783" t="s">
        <v>5123</v>
      </c>
      <c r="F3171" s="783" t="s">
        <v>4011</v>
      </c>
      <c r="G3171" s="783" t="str">
        <f t="shared" si="170"/>
        <v>New Contract</v>
      </c>
      <c r="H3171" s="783" t="s">
        <v>5124</v>
      </c>
      <c r="I3171" s="783" t="s">
        <v>5125</v>
      </c>
      <c r="J3171" s="783">
        <v>20</v>
      </c>
      <c r="K3171" s="783" t="s">
        <v>183</v>
      </c>
      <c r="L3171" s="783" t="s">
        <v>4096</v>
      </c>
      <c r="M3171" s="784">
        <v>102456.55</v>
      </c>
      <c r="N3171" s="784">
        <v>67.45</v>
      </c>
      <c r="O3171" s="784">
        <v>7</v>
      </c>
      <c r="P3171" s="783">
        <v>217</v>
      </c>
      <c r="Q3171" s="783">
        <v>7417.85</v>
      </c>
      <c r="R3171" s="783">
        <v>3256.47</v>
      </c>
      <c r="S3171" s="783">
        <v>1630.71</v>
      </c>
      <c r="T3171" s="783">
        <v>2530.6799999999998</v>
      </c>
      <c r="U3171" s="785">
        <v>44701.992164351897</v>
      </c>
    </row>
    <row r="3172" spans="1:21">
      <c r="A3172" s="782">
        <v>44684</v>
      </c>
      <c r="B3172" s="783" t="s">
        <v>41</v>
      </c>
      <c r="C3172" s="783" t="s">
        <v>4092</v>
      </c>
      <c r="D3172" s="783" t="s">
        <v>4009</v>
      </c>
      <c r="E3172" s="783" t="s">
        <v>4569</v>
      </c>
      <c r="F3172" s="783" t="s">
        <v>4011</v>
      </c>
      <c r="G3172" s="783" t="str">
        <f t="shared" si="170"/>
        <v>Renewal (20% in 2020)</v>
      </c>
      <c r="H3172" s="783" t="s">
        <v>4570</v>
      </c>
      <c r="I3172" s="783" t="s">
        <v>4571</v>
      </c>
      <c r="J3172" s="783">
        <v>20</v>
      </c>
      <c r="K3172" s="783" t="s">
        <v>183</v>
      </c>
      <c r="L3172" s="783" t="s">
        <v>4096</v>
      </c>
      <c r="M3172" s="784">
        <v>61120.46</v>
      </c>
      <c r="N3172" s="784">
        <v>54.46</v>
      </c>
      <c r="O3172" s="784">
        <v>5.22</v>
      </c>
      <c r="P3172" s="783">
        <v>215</v>
      </c>
      <c r="Q3172" s="783">
        <v>3697.79</v>
      </c>
      <c r="R3172" s="783">
        <v>1675.87</v>
      </c>
      <c r="S3172" s="783">
        <v>878.97</v>
      </c>
      <c r="T3172" s="783">
        <v>1142.95</v>
      </c>
      <c r="U3172" s="785">
        <v>44685.412025463003</v>
      </c>
    </row>
    <row r="3173" spans="1:21">
      <c r="A3173" s="782">
        <v>44697</v>
      </c>
      <c r="B3173" s="783" t="s">
        <v>51</v>
      </c>
      <c r="C3173" s="783" t="s">
        <v>4042</v>
      </c>
      <c r="D3173" s="783" t="s">
        <v>4016</v>
      </c>
      <c r="E3173" s="783" t="s">
        <v>2427</v>
      </c>
      <c r="F3173" s="783" t="s">
        <v>4011</v>
      </c>
      <c r="G3173" s="783" t="str">
        <f t="shared" si="170"/>
        <v>Renewal (20% in 2020)</v>
      </c>
      <c r="H3173" s="783" t="s">
        <v>5126</v>
      </c>
      <c r="I3173" s="783" t="s">
        <v>5127</v>
      </c>
      <c r="J3173" s="783">
        <v>20</v>
      </c>
      <c r="K3173" s="783" t="s">
        <v>183</v>
      </c>
      <c r="L3173" s="783" t="s">
        <v>4096</v>
      </c>
      <c r="M3173" s="784">
        <v>12425.4</v>
      </c>
      <c r="N3173" s="784">
        <v>12</v>
      </c>
      <c r="O3173" s="784">
        <v>7.67</v>
      </c>
      <c r="P3173" s="783">
        <v>135</v>
      </c>
      <c r="Q3173" s="783">
        <v>695.82</v>
      </c>
      <c r="R3173" s="783">
        <v>406.31</v>
      </c>
      <c r="S3173" s="783">
        <v>63.37</v>
      </c>
      <c r="T3173" s="783">
        <v>226.14</v>
      </c>
      <c r="U3173" s="785">
        <v>44698.485787037003</v>
      </c>
    </row>
    <row r="3174" spans="1:21">
      <c r="A3174" s="782">
        <v>44690</v>
      </c>
      <c r="B3174" s="783" t="s">
        <v>41</v>
      </c>
      <c r="C3174" s="783" t="s">
        <v>4071</v>
      </c>
      <c r="D3174" s="783" t="s">
        <v>4009</v>
      </c>
      <c r="E3174" s="783" t="s">
        <v>1477</v>
      </c>
      <c r="F3174" s="783" t="s">
        <v>4011</v>
      </c>
      <c r="G3174" s="783" t="str">
        <f t="shared" si="170"/>
        <v>Renewal (15% in 2020)</v>
      </c>
      <c r="H3174" s="783" t="s">
        <v>5128</v>
      </c>
      <c r="I3174" s="783" t="s">
        <v>5129</v>
      </c>
      <c r="J3174" s="783">
        <v>15</v>
      </c>
      <c r="K3174" s="783" t="s">
        <v>183</v>
      </c>
      <c r="L3174" s="783" t="s">
        <v>4096</v>
      </c>
      <c r="M3174" s="784">
        <v>22988.39</v>
      </c>
      <c r="N3174" s="784">
        <v>21.85</v>
      </c>
      <c r="O3174" s="784">
        <v>6.3</v>
      </c>
      <c r="P3174" s="783">
        <v>167</v>
      </c>
      <c r="Q3174" s="783">
        <v>1379.3</v>
      </c>
      <c r="R3174" s="783">
        <v>620.69000000000005</v>
      </c>
      <c r="S3174" s="783">
        <v>91.95</v>
      </c>
      <c r="T3174" s="783">
        <v>666.66</v>
      </c>
      <c r="U3174" s="785">
        <v>44690.681192129603</v>
      </c>
    </row>
    <row r="3175" spans="1:21">
      <c r="A3175" s="782">
        <v>44692</v>
      </c>
      <c r="B3175" s="783" t="s">
        <v>74</v>
      </c>
      <c r="C3175" s="783" t="s">
        <v>4037</v>
      </c>
      <c r="D3175" s="783" t="s">
        <v>4038</v>
      </c>
      <c r="E3175" s="783" t="s">
        <v>4572</v>
      </c>
      <c r="F3175" s="783" t="s">
        <v>4011</v>
      </c>
      <c r="G3175" s="783" t="str">
        <f t="shared" si="170"/>
        <v>Renewal (15% in 2020)</v>
      </c>
      <c r="H3175" s="783" t="s">
        <v>4573</v>
      </c>
      <c r="I3175" s="783" t="s">
        <v>4574</v>
      </c>
      <c r="J3175" s="783">
        <v>25</v>
      </c>
      <c r="K3175" s="783" t="s">
        <v>183</v>
      </c>
      <c r="L3175" s="783" t="s">
        <v>4096</v>
      </c>
      <c r="M3175" s="784">
        <v>4348.26</v>
      </c>
      <c r="N3175" s="784">
        <v>4.93</v>
      </c>
      <c r="O3175" s="784">
        <v>4.9000000000000004</v>
      </c>
      <c r="P3175" s="783">
        <v>180</v>
      </c>
      <c r="Q3175" s="783">
        <v>311.77</v>
      </c>
      <c r="R3175" s="783">
        <v>194.05</v>
      </c>
      <c r="S3175" s="783">
        <v>49.02</v>
      </c>
      <c r="T3175" s="783">
        <v>68.7</v>
      </c>
      <c r="U3175" s="785">
        <v>44692.518634259301</v>
      </c>
    </row>
    <row r="3176" spans="1:21">
      <c r="A3176" s="782">
        <v>44687</v>
      </c>
      <c r="B3176" s="783" t="s">
        <v>41</v>
      </c>
      <c r="C3176" s="783" t="s">
        <v>4071</v>
      </c>
      <c r="D3176" s="783" t="s">
        <v>4009</v>
      </c>
      <c r="E3176" s="783" t="s">
        <v>404</v>
      </c>
      <c r="F3176" s="783" t="s">
        <v>4011</v>
      </c>
      <c r="G3176" s="783" t="str">
        <f t="shared" si="170"/>
        <v>Renewal (15% in 2020)</v>
      </c>
      <c r="H3176" s="783" t="s">
        <v>5135</v>
      </c>
      <c r="I3176" s="783" t="s">
        <v>5136</v>
      </c>
      <c r="J3176" s="783">
        <v>15</v>
      </c>
      <c r="K3176" s="783" t="s">
        <v>183</v>
      </c>
      <c r="L3176" s="783" t="s">
        <v>4096</v>
      </c>
      <c r="M3176" s="784">
        <v>5092.51</v>
      </c>
      <c r="N3176" s="784">
        <v>6.39</v>
      </c>
      <c r="O3176" s="784">
        <v>4.83</v>
      </c>
      <c r="P3176" s="783">
        <v>165</v>
      </c>
      <c r="Q3176" s="783">
        <v>305.55</v>
      </c>
      <c r="R3176" s="783">
        <v>137.5</v>
      </c>
      <c r="S3176" s="783">
        <v>20.37</v>
      </c>
      <c r="T3176" s="783">
        <v>147.68</v>
      </c>
      <c r="U3176" s="785">
        <v>44687.593981481499</v>
      </c>
    </row>
    <row r="3177" spans="1:21">
      <c r="A3177" s="782">
        <v>44687</v>
      </c>
      <c r="B3177" s="783" t="s">
        <v>41</v>
      </c>
      <c r="C3177" s="783" t="s">
        <v>4092</v>
      </c>
      <c r="D3177" s="783" t="s">
        <v>4009</v>
      </c>
      <c r="E3177" s="783" t="s">
        <v>404</v>
      </c>
      <c r="F3177" s="783" t="s">
        <v>4011</v>
      </c>
      <c r="G3177" s="783" t="str">
        <f t="shared" si="170"/>
        <v>Renewal (15% in 2020)</v>
      </c>
      <c r="H3177" s="783" t="s">
        <v>5135</v>
      </c>
      <c r="I3177" s="783" t="s">
        <v>5136</v>
      </c>
      <c r="J3177" s="783">
        <v>15</v>
      </c>
      <c r="K3177" s="783" t="s">
        <v>183</v>
      </c>
      <c r="L3177" s="783" t="s">
        <v>4096</v>
      </c>
      <c r="M3177" s="784">
        <v>3291.4</v>
      </c>
      <c r="N3177" s="784">
        <v>4.13</v>
      </c>
      <c r="O3177" s="784">
        <v>4.83</v>
      </c>
      <c r="P3177" s="783">
        <v>165</v>
      </c>
      <c r="Q3177" s="783">
        <v>266.60000000000002</v>
      </c>
      <c r="R3177" s="783">
        <v>116.19</v>
      </c>
      <c r="S3177" s="783">
        <v>21.39</v>
      </c>
      <c r="T3177" s="783">
        <v>129.02000000000001</v>
      </c>
      <c r="U3177" s="785">
        <v>44687.593981481499</v>
      </c>
    </row>
    <row r="3178" spans="1:21">
      <c r="A3178" s="782">
        <v>44687</v>
      </c>
      <c r="B3178" s="783" t="s">
        <v>228</v>
      </c>
      <c r="C3178" s="783" t="s">
        <v>4247</v>
      </c>
      <c r="D3178" s="783" t="s">
        <v>4248</v>
      </c>
      <c r="E3178" s="783" t="s">
        <v>3566</v>
      </c>
      <c r="F3178" s="783" t="s">
        <v>4011</v>
      </c>
      <c r="G3178" s="783" t="str">
        <f t="shared" si="170"/>
        <v>Renewal (25% in 2020)</v>
      </c>
      <c r="H3178" s="783" t="s">
        <v>4249</v>
      </c>
      <c r="I3178" s="783" t="s">
        <v>4250</v>
      </c>
      <c r="J3178" s="783">
        <v>25</v>
      </c>
      <c r="K3178" s="783" t="s">
        <v>183</v>
      </c>
      <c r="L3178" s="783" t="s">
        <v>4096</v>
      </c>
      <c r="M3178" s="784">
        <v>53877.919999999998</v>
      </c>
      <c r="N3178" s="784">
        <v>33.450000000000003</v>
      </c>
      <c r="O3178" s="784">
        <v>7.67</v>
      </c>
      <c r="P3178" s="783">
        <v>210</v>
      </c>
      <c r="Q3178" s="783">
        <v>2974.06</v>
      </c>
      <c r="R3178" s="783">
        <v>1812.38</v>
      </c>
      <c r="S3178" s="783">
        <v>811.48</v>
      </c>
      <c r="T3178" s="783">
        <v>350.21</v>
      </c>
      <c r="U3178" s="785">
        <v>44687.670960648102</v>
      </c>
    </row>
    <row r="3179" spans="1:21">
      <c r="A3179" s="782">
        <v>44691</v>
      </c>
      <c r="B3179" s="783" t="s">
        <v>30</v>
      </c>
      <c r="C3179" s="783" t="s">
        <v>4239</v>
      </c>
      <c r="D3179" s="783" t="s">
        <v>4021</v>
      </c>
      <c r="E3179" s="783" t="s">
        <v>5137</v>
      </c>
      <c r="F3179" s="783" t="s">
        <v>4011</v>
      </c>
      <c r="G3179" s="783" t="str">
        <f t="shared" si="170"/>
        <v>Renewal (30% in 2020)</v>
      </c>
      <c r="H3179" s="783" t="s">
        <v>5138</v>
      </c>
      <c r="I3179" s="783" t="s">
        <v>5139</v>
      </c>
      <c r="J3179" s="783">
        <v>30</v>
      </c>
      <c r="K3179" s="783" t="s">
        <v>183</v>
      </c>
      <c r="L3179" s="783" t="s">
        <v>4096</v>
      </c>
      <c r="M3179" s="784">
        <v>42332.13</v>
      </c>
      <c r="N3179" s="784">
        <v>32.909999999999997</v>
      </c>
      <c r="O3179" s="784">
        <v>6.77</v>
      </c>
      <c r="P3179" s="783">
        <v>190</v>
      </c>
      <c r="Q3179" s="783">
        <v>1858.38</v>
      </c>
      <c r="R3179" s="783">
        <v>1365.52</v>
      </c>
      <c r="S3179" s="783">
        <v>188.07</v>
      </c>
      <c r="T3179" s="783">
        <v>304.79000000000002</v>
      </c>
      <c r="U3179" s="785">
        <v>44692.462071759299</v>
      </c>
    </row>
    <row r="3180" spans="1:21">
      <c r="A3180" s="782">
        <v>44684</v>
      </c>
      <c r="B3180" s="783" t="s">
        <v>30</v>
      </c>
      <c r="C3180" s="783" t="s">
        <v>4239</v>
      </c>
      <c r="D3180" s="783" t="s">
        <v>4021</v>
      </c>
      <c r="E3180" s="783" t="s">
        <v>3496</v>
      </c>
      <c r="F3180" s="783" t="s">
        <v>4011</v>
      </c>
      <c r="G3180" s="783" t="str">
        <f t="shared" si="170"/>
        <v>Renewal (25% in 2020)</v>
      </c>
      <c r="H3180" s="783" t="s">
        <v>5142</v>
      </c>
      <c r="I3180" s="783" t="s">
        <v>5143</v>
      </c>
      <c r="J3180" s="783">
        <v>25</v>
      </c>
      <c r="K3180" s="783" t="s">
        <v>183</v>
      </c>
      <c r="L3180" s="783" t="s">
        <v>4096</v>
      </c>
      <c r="M3180" s="784">
        <v>8214.56</v>
      </c>
      <c r="N3180" s="784">
        <v>5.55</v>
      </c>
      <c r="O3180" s="784">
        <v>7.79</v>
      </c>
      <c r="P3180" s="783">
        <v>190</v>
      </c>
      <c r="Q3180" s="783">
        <v>426.34</v>
      </c>
      <c r="R3180" s="783">
        <v>264.98</v>
      </c>
      <c r="S3180" s="783">
        <v>103.03</v>
      </c>
      <c r="T3180" s="783">
        <v>58.32</v>
      </c>
      <c r="U3180" s="785">
        <v>44685.453159722201</v>
      </c>
    </row>
    <row r="3181" spans="1:21">
      <c r="A3181" s="782">
        <v>44685</v>
      </c>
      <c r="B3181" s="783" t="s">
        <v>30</v>
      </c>
      <c r="C3181" s="783" t="s">
        <v>4939</v>
      </c>
      <c r="D3181" s="783" t="s">
        <v>4021</v>
      </c>
      <c r="E3181" s="783" t="s">
        <v>5144</v>
      </c>
      <c r="F3181" s="783" t="s">
        <v>4011</v>
      </c>
      <c r="G3181" s="783" t="str">
        <f t="shared" si="170"/>
        <v>Renewal (20% in 2020)</v>
      </c>
      <c r="H3181" s="783" t="s">
        <v>5145</v>
      </c>
      <c r="I3181" s="783" t="s">
        <v>5146</v>
      </c>
      <c r="J3181" s="783">
        <v>20</v>
      </c>
      <c r="K3181" s="783" t="s">
        <v>183</v>
      </c>
      <c r="L3181" s="783" t="s">
        <v>4096</v>
      </c>
      <c r="M3181" s="784">
        <v>14798.16</v>
      </c>
      <c r="N3181" s="784">
        <v>13.95</v>
      </c>
      <c r="O3181" s="784">
        <v>6.63</v>
      </c>
      <c r="P3181" s="783">
        <v>160</v>
      </c>
      <c r="Q3181" s="783">
        <v>1200.1300000000001</v>
      </c>
      <c r="R3181" s="783">
        <v>670.36</v>
      </c>
      <c r="S3181" s="783">
        <v>140.58000000000001</v>
      </c>
      <c r="T3181" s="783">
        <v>389.19</v>
      </c>
      <c r="U3181" s="785">
        <v>44685.669039351902</v>
      </c>
    </row>
    <row r="3182" spans="1:21">
      <c r="A3182" s="782">
        <v>44683</v>
      </c>
      <c r="B3182" s="783" t="s">
        <v>41</v>
      </c>
      <c r="C3182" s="783" t="s">
        <v>4071</v>
      </c>
      <c r="D3182" s="783" t="s">
        <v>4009</v>
      </c>
      <c r="E3182" s="783" t="s">
        <v>5147</v>
      </c>
      <c r="F3182" s="783" t="s">
        <v>4011</v>
      </c>
      <c r="G3182" s="783" t="str">
        <f t="shared" si="170"/>
        <v>Renewal (15% in 2020)</v>
      </c>
      <c r="H3182" s="783" t="s">
        <v>5148</v>
      </c>
      <c r="I3182" s="783" t="s">
        <v>5149</v>
      </c>
      <c r="J3182" s="783">
        <v>15</v>
      </c>
      <c r="K3182" s="783" t="s">
        <v>183</v>
      </c>
      <c r="L3182" s="783" t="s">
        <v>4096</v>
      </c>
      <c r="M3182" s="784">
        <v>16352.49</v>
      </c>
      <c r="N3182" s="784">
        <v>20.03</v>
      </c>
      <c r="O3182" s="784">
        <v>6.28</v>
      </c>
      <c r="P3182" s="783">
        <v>130</v>
      </c>
      <c r="Q3182" s="783">
        <v>981.15</v>
      </c>
      <c r="R3182" s="783">
        <v>441.52</v>
      </c>
      <c r="S3182" s="783">
        <v>65.41</v>
      </c>
      <c r="T3182" s="783">
        <v>474.22</v>
      </c>
      <c r="U3182" s="785">
        <v>44684.411226851902</v>
      </c>
    </row>
    <row r="3183" spans="1:21">
      <c r="A3183" s="782">
        <v>44685</v>
      </c>
      <c r="B3183" s="783" t="s">
        <v>47</v>
      </c>
      <c r="C3183" s="783" t="s">
        <v>4251</v>
      </c>
      <c r="D3183" s="783" t="s">
        <v>4193</v>
      </c>
      <c r="E3183" s="783" t="s">
        <v>1933</v>
      </c>
      <c r="F3183" s="783" t="s">
        <v>4011</v>
      </c>
      <c r="G3183" s="783" t="str">
        <f t="shared" si="170"/>
        <v>Renewal (25% in 2020)</v>
      </c>
      <c r="H3183" s="783" t="s">
        <v>4252</v>
      </c>
      <c r="I3183" s="783" t="s">
        <v>4253</v>
      </c>
      <c r="J3183" s="783">
        <v>25</v>
      </c>
      <c r="K3183" s="783" t="s">
        <v>183</v>
      </c>
      <c r="L3183" s="783" t="s">
        <v>4096</v>
      </c>
      <c r="M3183" s="784">
        <v>47610.85</v>
      </c>
      <c r="N3183" s="784">
        <v>38.79</v>
      </c>
      <c r="O3183" s="784">
        <v>7.22</v>
      </c>
      <c r="P3183" s="783">
        <v>170</v>
      </c>
      <c r="Q3183" s="783">
        <v>1899.67</v>
      </c>
      <c r="R3183" s="783">
        <v>1435.86</v>
      </c>
      <c r="S3183" s="783">
        <v>259.08999999999997</v>
      </c>
      <c r="T3183" s="783">
        <v>204.73</v>
      </c>
      <c r="U3183" s="785">
        <v>44685.4144212963</v>
      </c>
    </row>
    <row r="3184" spans="1:21">
      <c r="A3184" s="782">
        <v>44686</v>
      </c>
      <c r="B3184" s="783" t="s">
        <v>51</v>
      </c>
      <c r="C3184" s="783" t="s">
        <v>4042</v>
      </c>
      <c r="D3184" s="783" t="s">
        <v>4016</v>
      </c>
      <c r="E3184" s="783" t="s">
        <v>120</v>
      </c>
      <c r="F3184" s="783" t="s">
        <v>4011</v>
      </c>
      <c r="G3184" s="783" t="str">
        <f t="shared" si="170"/>
        <v>Renewal (20% in 2020)</v>
      </c>
      <c r="H3184" s="783" t="s">
        <v>5150</v>
      </c>
      <c r="I3184" s="783" t="s">
        <v>5151</v>
      </c>
      <c r="J3184" s="783">
        <v>20</v>
      </c>
      <c r="K3184" s="783" t="s">
        <v>183</v>
      </c>
      <c r="L3184" s="783" t="s">
        <v>4096</v>
      </c>
      <c r="M3184" s="784">
        <v>16199.86</v>
      </c>
      <c r="N3184" s="784">
        <v>17.670000000000002</v>
      </c>
      <c r="O3184" s="784">
        <v>5.73</v>
      </c>
      <c r="P3184" s="783">
        <v>160</v>
      </c>
      <c r="Q3184" s="783">
        <v>907.19</v>
      </c>
      <c r="R3184" s="783">
        <v>529.74</v>
      </c>
      <c r="S3184" s="783">
        <v>82.62</v>
      </c>
      <c r="T3184" s="783">
        <v>294.83999999999997</v>
      </c>
      <c r="U3184" s="785">
        <v>44687.624166666697</v>
      </c>
    </row>
    <row r="3185" spans="1:21">
      <c r="A3185" s="782">
        <v>44685</v>
      </c>
      <c r="B3185" s="783" t="s">
        <v>47</v>
      </c>
      <c r="C3185" s="783" t="s">
        <v>4251</v>
      </c>
      <c r="D3185" s="783" t="s">
        <v>4193</v>
      </c>
      <c r="E3185" s="783" t="s">
        <v>4254</v>
      </c>
      <c r="F3185" s="783" t="s">
        <v>4011</v>
      </c>
      <c r="G3185" s="783" t="str">
        <f t="shared" si="170"/>
        <v>Renewal (25% in 2020)</v>
      </c>
      <c r="H3185" s="783" t="s">
        <v>4255</v>
      </c>
      <c r="I3185" s="783" t="s">
        <v>4256</v>
      </c>
      <c r="J3185" s="783">
        <v>25</v>
      </c>
      <c r="K3185" s="783" t="s">
        <v>183</v>
      </c>
      <c r="L3185" s="783" t="s">
        <v>4096</v>
      </c>
      <c r="M3185" s="784">
        <v>122789.84</v>
      </c>
      <c r="N3185" s="784">
        <v>99.08</v>
      </c>
      <c r="O3185" s="784">
        <v>7.29</v>
      </c>
      <c r="P3185" s="783">
        <v>170</v>
      </c>
      <c r="Q3185" s="783">
        <v>4899.3100000000004</v>
      </c>
      <c r="R3185" s="783">
        <v>3703.13</v>
      </c>
      <c r="S3185" s="783">
        <v>668.19</v>
      </c>
      <c r="T3185" s="783">
        <v>528</v>
      </c>
      <c r="U3185" s="785">
        <v>44685.416157407402</v>
      </c>
    </row>
    <row r="3186" spans="1:21">
      <c r="A3186" s="782">
        <v>44684</v>
      </c>
      <c r="B3186" s="783" t="s">
        <v>41</v>
      </c>
      <c r="C3186" s="783" t="s">
        <v>4092</v>
      </c>
      <c r="D3186" s="783" t="s">
        <v>4009</v>
      </c>
      <c r="E3186" s="783" t="s">
        <v>601</v>
      </c>
      <c r="F3186" s="783" t="s">
        <v>4011</v>
      </c>
      <c r="G3186" s="783" t="str">
        <f t="shared" si="170"/>
        <v>Renewal (20% in 2020)</v>
      </c>
      <c r="H3186" s="783" t="s">
        <v>5152</v>
      </c>
      <c r="I3186" s="783" t="s">
        <v>5153</v>
      </c>
      <c r="J3186" s="783">
        <v>20</v>
      </c>
      <c r="K3186" s="783" t="s">
        <v>183</v>
      </c>
      <c r="L3186" s="783" t="s">
        <v>4096</v>
      </c>
      <c r="M3186" s="784">
        <v>32930.339999999997</v>
      </c>
      <c r="N3186" s="784">
        <v>39.86</v>
      </c>
      <c r="O3186" s="784">
        <v>5.33</v>
      </c>
      <c r="P3186" s="783">
        <v>155</v>
      </c>
      <c r="Q3186" s="783">
        <v>1992.29</v>
      </c>
      <c r="R3186" s="783">
        <v>1162.44</v>
      </c>
      <c r="S3186" s="783">
        <v>214.05</v>
      </c>
      <c r="T3186" s="783">
        <v>615.79999999999995</v>
      </c>
      <c r="U3186" s="785">
        <v>44685.408287036997</v>
      </c>
    </row>
    <row r="3187" spans="1:21">
      <c r="A3187" s="782">
        <v>44686</v>
      </c>
      <c r="B3187" s="783" t="s">
        <v>41</v>
      </c>
      <c r="C3187" s="783" t="s">
        <v>4082</v>
      </c>
      <c r="D3187" s="783" t="s">
        <v>4009</v>
      </c>
      <c r="E3187" s="783" t="s">
        <v>5160</v>
      </c>
      <c r="F3187" s="783" t="s">
        <v>4011</v>
      </c>
      <c r="G3187" s="783" t="str">
        <f t="shared" si="170"/>
        <v>Renewal (25% in 2020)</v>
      </c>
      <c r="H3187" s="783" t="s">
        <v>5161</v>
      </c>
      <c r="I3187" s="783" t="s">
        <v>5162</v>
      </c>
      <c r="J3187" s="783">
        <v>25</v>
      </c>
      <c r="K3187" s="783" t="s">
        <v>183</v>
      </c>
      <c r="L3187" s="783" t="s">
        <v>4096</v>
      </c>
      <c r="M3187" s="784">
        <v>12874.75</v>
      </c>
      <c r="N3187" s="784">
        <v>10.220000000000001</v>
      </c>
      <c r="O3187" s="784">
        <v>6.96</v>
      </c>
      <c r="P3187" s="783">
        <v>181</v>
      </c>
      <c r="Q3187" s="783">
        <v>580.65</v>
      </c>
      <c r="R3187" s="783">
        <v>405.07</v>
      </c>
      <c r="S3187" s="783">
        <v>113.78</v>
      </c>
      <c r="T3187" s="783">
        <v>61.8</v>
      </c>
      <c r="U3187" s="785">
        <v>44687.634189814802</v>
      </c>
    </row>
    <row r="3188" spans="1:21">
      <c r="A3188" s="782">
        <v>44684</v>
      </c>
      <c r="B3188" s="783" t="s">
        <v>51</v>
      </c>
      <c r="C3188" s="783" t="s">
        <v>4796</v>
      </c>
      <c r="D3188" s="783" t="s">
        <v>4016</v>
      </c>
      <c r="E3188" s="783" t="s">
        <v>5163</v>
      </c>
      <c r="F3188" s="783" t="s">
        <v>4011</v>
      </c>
      <c r="G3188" s="783" t="str">
        <f t="shared" si="170"/>
        <v>New Contract</v>
      </c>
      <c r="H3188" s="783" t="s">
        <v>5164</v>
      </c>
      <c r="I3188" s="783" t="s">
        <v>5165</v>
      </c>
      <c r="J3188" s="783">
        <v>25</v>
      </c>
      <c r="K3188" s="783" t="s">
        <v>183</v>
      </c>
      <c r="L3188" s="783" t="s">
        <v>4096</v>
      </c>
      <c r="M3188" s="784">
        <v>16392.13</v>
      </c>
      <c r="N3188" s="784">
        <v>11.71</v>
      </c>
      <c r="O3188" s="784">
        <v>6.73</v>
      </c>
      <c r="P3188" s="783">
        <v>208</v>
      </c>
      <c r="Q3188" s="783">
        <v>657.32</v>
      </c>
      <c r="R3188" s="783">
        <v>396.15</v>
      </c>
      <c r="S3188" s="783">
        <v>172.66</v>
      </c>
      <c r="T3188" s="783">
        <v>88.52</v>
      </c>
      <c r="U3188" s="785">
        <v>44685.451851851903</v>
      </c>
    </row>
    <row r="3189" spans="1:21">
      <c r="A3189" s="782">
        <v>44709</v>
      </c>
      <c r="B3189" s="783" t="s">
        <v>228</v>
      </c>
      <c r="C3189" s="783" t="s">
        <v>4491</v>
      </c>
      <c r="D3189" s="783" t="s">
        <v>4193</v>
      </c>
      <c r="E3189" s="783" t="s">
        <v>5166</v>
      </c>
      <c r="F3189" s="783" t="s">
        <v>4011</v>
      </c>
      <c r="G3189" s="783" t="str">
        <f t="shared" si="170"/>
        <v>Renewal (25% in 2020)</v>
      </c>
      <c r="H3189" s="783" t="s">
        <v>5167</v>
      </c>
      <c r="I3189" s="783" t="s">
        <v>5168</v>
      </c>
      <c r="J3189" s="783">
        <v>25</v>
      </c>
      <c r="K3189" s="783" t="s">
        <v>183</v>
      </c>
      <c r="L3189" s="783" t="s">
        <v>4096</v>
      </c>
      <c r="M3189" s="784">
        <v>35299.5</v>
      </c>
      <c r="N3189" s="784">
        <v>25.25</v>
      </c>
      <c r="O3189" s="784">
        <v>6.99</v>
      </c>
      <c r="P3189" s="783">
        <v>200</v>
      </c>
      <c r="Q3189" s="783">
        <v>1387.27</v>
      </c>
      <c r="R3189" s="783">
        <v>896.04</v>
      </c>
      <c r="S3189" s="783">
        <v>339.44</v>
      </c>
      <c r="T3189" s="783">
        <v>151.79</v>
      </c>
      <c r="U3189" s="785">
        <v>44711.6583680556</v>
      </c>
    </row>
    <row r="3190" spans="1:21">
      <c r="A3190" s="782">
        <v>44688</v>
      </c>
      <c r="B3190" s="783" t="s">
        <v>150</v>
      </c>
      <c r="C3190" s="783" t="s">
        <v>4037</v>
      </c>
      <c r="D3190" s="783" t="s">
        <v>4038</v>
      </c>
      <c r="E3190" s="783" t="s">
        <v>5172</v>
      </c>
      <c r="F3190" s="783" t="s">
        <v>4011</v>
      </c>
      <c r="G3190" s="783" t="str">
        <f t="shared" si="170"/>
        <v>Renewal (20% in 2020)</v>
      </c>
      <c r="H3190" s="783" t="s">
        <v>5173</v>
      </c>
      <c r="I3190" s="783" t="s">
        <v>5174</v>
      </c>
      <c r="J3190" s="783">
        <v>20</v>
      </c>
      <c r="K3190" s="783" t="s">
        <v>183</v>
      </c>
      <c r="L3190" s="783" t="s">
        <v>4096</v>
      </c>
      <c r="M3190" s="784">
        <v>23740.5</v>
      </c>
      <c r="N3190" s="784">
        <v>22.61</v>
      </c>
      <c r="O3190" s="784">
        <v>5</v>
      </c>
      <c r="P3190" s="783">
        <v>210</v>
      </c>
      <c r="Q3190" s="783">
        <v>2134.27</v>
      </c>
      <c r="R3190" s="783">
        <v>908.1</v>
      </c>
      <c r="S3190" s="783">
        <v>419</v>
      </c>
      <c r="T3190" s="783">
        <v>807.18</v>
      </c>
      <c r="U3190" s="785">
        <v>44690.632638888899</v>
      </c>
    </row>
    <row r="3191" spans="1:21">
      <c r="A3191" s="782">
        <v>44688</v>
      </c>
      <c r="B3191" s="783" t="s">
        <v>150</v>
      </c>
      <c r="C3191" s="783" t="s">
        <v>4097</v>
      </c>
      <c r="D3191" s="783" t="s">
        <v>4038</v>
      </c>
      <c r="E3191" s="783" t="s">
        <v>5172</v>
      </c>
      <c r="F3191" s="783" t="s">
        <v>4011</v>
      </c>
      <c r="G3191" s="783" t="str">
        <f t="shared" si="170"/>
        <v>Renewal (20% in 2020)</v>
      </c>
      <c r="H3191" s="783" t="s">
        <v>5173</v>
      </c>
      <c r="I3191" s="783" t="s">
        <v>5174</v>
      </c>
      <c r="J3191" s="783">
        <v>20</v>
      </c>
      <c r="K3191" s="783" t="s">
        <v>183</v>
      </c>
      <c r="L3191" s="783" t="s">
        <v>4096</v>
      </c>
      <c r="M3191" s="784">
        <v>14697.21</v>
      </c>
      <c r="N3191" s="784">
        <v>14.49</v>
      </c>
      <c r="O3191" s="784">
        <v>4.83</v>
      </c>
      <c r="P3191" s="783">
        <v>210</v>
      </c>
      <c r="Q3191" s="783">
        <v>981.77</v>
      </c>
      <c r="R3191" s="783">
        <v>434.79</v>
      </c>
      <c r="S3191" s="783">
        <v>197.19</v>
      </c>
      <c r="T3191" s="783">
        <v>349.79</v>
      </c>
      <c r="U3191" s="785">
        <v>44690.632638888899</v>
      </c>
    </row>
    <row r="3192" spans="1:21">
      <c r="A3192" s="782">
        <v>44690</v>
      </c>
      <c r="B3192" s="783" t="s">
        <v>65</v>
      </c>
      <c r="C3192" s="783" t="s">
        <v>4491</v>
      </c>
      <c r="D3192" s="783" t="s">
        <v>4193</v>
      </c>
      <c r="E3192" s="783" t="s">
        <v>5175</v>
      </c>
      <c r="F3192" s="783" t="s">
        <v>4011</v>
      </c>
      <c r="G3192" s="783" t="s">
        <v>4028</v>
      </c>
      <c r="H3192" s="783" t="s">
        <v>5176</v>
      </c>
      <c r="I3192" s="783" t="s">
        <v>5177</v>
      </c>
      <c r="J3192" s="783">
        <v>25</v>
      </c>
      <c r="K3192" s="783" t="s">
        <v>183</v>
      </c>
      <c r="L3192" s="783" t="s">
        <v>4096</v>
      </c>
      <c r="M3192" s="784">
        <v>27763.040000000001</v>
      </c>
      <c r="N3192" s="784">
        <v>28.51</v>
      </c>
      <c r="O3192" s="784">
        <v>5.41</v>
      </c>
      <c r="P3192" s="783">
        <v>180</v>
      </c>
      <c r="Q3192" s="783">
        <v>1091.0899999999999</v>
      </c>
      <c r="R3192" s="783">
        <v>783.04</v>
      </c>
      <c r="S3192" s="783">
        <v>188.67</v>
      </c>
      <c r="T3192" s="783">
        <v>119.38</v>
      </c>
      <c r="U3192" s="785">
        <v>44690.663842592599</v>
      </c>
    </row>
    <row r="3193" spans="1:21">
      <c r="A3193" s="782">
        <v>44679</v>
      </c>
      <c r="B3193" s="783" t="s">
        <v>228</v>
      </c>
      <c r="C3193" s="783" t="s">
        <v>4675</v>
      </c>
      <c r="D3193" s="783" t="s">
        <v>4193</v>
      </c>
      <c r="E3193" s="783" t="s">
        <v>5184</v>
      </c>
      <c r="F3193" s="783" t="s">
        <v>4011</v>
      </c>
      <c r="G3193" s="783" t="s">
        <v>4028</v>
      </c>
      <c r="H3193" s="783" t="s">
        <v>5185</v>
      </c>
      <c r="I3193" s="783" t="s">
        <v>5186</v>
      </c>
      <c r="J3193" s="783">
        <v>25</v>
      </c>
      <c r="K3193" s="783" t="s">
        <v>183</v>
      </c>
      <c r="L3193" s="783" t="s">
        <v>4096</v>
      </c>
      <c r="M3193" s="784">
        <v>30747.599999999999</v>
      </c>
      <c r="N3193" s="784">
        <v>26</v>
      </c>
      <c r="O3193" s="784">
        <v>6.57</v>
      </c>
      <c r="P3193" s="783">
        <v>180</v>
      </c>
      <c r="Q3193" s="783">
        <v>1934.02</v>
      </c>
      <c r="R3193" s="783">
        <v>1300.83</v>
      </c>
      <c r="S3193" s="783">
        <v>319.57</v>
      </c>
      <c r="T3193" s="783">
        <v>313.63</v>
      </c>
      <c r="U3193" s="785">
        <v>44680.691585648201</v>
      </c>
    </row>
    <row r="3194" spans="1:21">
      <c r="A3194" s="782">
        <v>44679</v>
      </c>
      <c r="B3194" s="783" t="s">
        <v>41</v>
      </c>
      <c r="C3194" s="783" t="s">
        <v>4092</v>
      </c>
      <c r="D3194" s="783" t="s">
        <v>4009</v>
      </c>
      <c r="E3194" s="783" t="s">
        <v>608</v>
      </c>
      <c r="F3194" s="783" t="s">
        <v>4011</v>
      </c>
      <c r="G3194" s="783" t="str">
        <f t="shared" ref="G3194:G3224" si="171">VLOOKUP(I3194,pacage,2,FALSE)</f>
        <v>Renewal (15% in 2020)</v>
      </c>
      <c r="H3194" s="783" t="s">
        <v>4575</v>
      </c>
      <c r="I3194" s="783" t="s">
        <v>4576</v>
      </c>
      <c r="J3194" s="783">
        <v>15</v>
      </c>
      <c r="K3194" s="783" t="s">
        <v>183</v>
      </c>
      <c r="L3194" s="783" t="s">
        <v>4096</v>
      </c>
      <c r="M3194" s="784">
        <v>35491.620000000003</v>
      </c>
      <c r="N3194" s="784">
        <v>36.29</v>
      </c>
      <c r="O3194" s="784">
        <v>4.8899999999999997</v>
      </c>
      <c r="P3194" s="783">
        <v>200</v>
      </c>
      <c r="Q3194" s="783">
        <v>2874.82</v>
      </c>
      <c r="R3194" s="783">
        <v>1046.1300000000001</v>
      </c>
      <c r="S3194" s="783">
        <v>437.42</v>
      </c>
      <c r="T3194" s="783">
        <v>1391.27</v>
      </c>
      <c r="U3194" s="785">
        <v>44680.705127314803</v>
      </c>
    </row>
    <row r="3195" spans="1:21">
      <c r="A3195" s="782">
        <v>44710</v>
      </c>
      <c r="B3195" s="783" t="s">
        <v>51</v>
      </c>
      <c r="C3195" s="783" t="s">
        <v>4042</v>
      </c>
      <c r="D3195" s="783" t="s">
        <v>4016</v>
      </c>
      <c r="E3195" s="783" t="s">
        <v>5187</v>
      </c>
      <c r="F3195" s="783" t="s">
        <v>4011</v>
      </c>
      <c r="G3195" s="783" t="str">
        <f t="shared" si="171"/>
        <v>Renewal (15% in 2020)</v>
      </c>
      <c r="H3195" s="783" t="s">
        <v>5188</v>
      </c>
      <c r="I3195" s="783" t="s">
        <v>5189</v>
      </c>
      <c r="J3195" s="783">
        <v>15</v>
      </c>
      <c r="K3195" s="783" t="s">
        <v>183</v>
      </c>
      <c r="L3195" s="783" t="s">
        <v>4096</v>
      </c>
      <c r="M3195" s="784">
        <v>43658.85</v>
      </c>
      <c r="N3195" s="784">
        <v>41</v>
      </c>
      <c r="O3195" s="784">
        <v>6.87</v>
      </c>
      <c r="P3195" s="783">
        <v>155</v>
      </c>
      <c r="Q3195" s="783">
        <v>3248.22</v>
      </c>
      <c r="R3195" s="783">
        <v>1427.64</v>
      </c>
      <c r="S3195" s="783">
        <v>222.66</v>
      </c>
      <c r="T3195" s="783">
        <v>1597.91</v>
      </c>
      <c r="U3195" s="785">
        <v>44712.649722222202</v>
      </c>
    </row>
    <row r="3196" spans="1:21">
      <c r="A3196" s="782">
        <v>44680</v>
      </c>
      <c r="B3196" s="783" t="s">
        <v>51</v>
      </c>
      <c r="C3196" s="783" t="s">
        <v>4015</v>
      </c>
      <c r="D3196" s="783" t="s">
        <v>4016</v>
      </c>
      <c r="E3196" s="783" t="s">
        <v>89</v>
      </c>
      <c r="F3196" s="783" t="s">
        <v>4011</v>
      </c>
      <c r="G3196" s="783" t="str">
        <f t="shared" si="171"/>
        <v>Renewal (20% in 2020)</v>
      </c>
      <c r="H3196" s="783" t="s">
        <v>5190</v>
      </c>
      <c r="I3196" s="783" t="s">
        <v>5191</v>
      </c>
      <c r="J3196" s="783">
        <v>20</v>
      </c>
      <c r="K3196" s="783" t="s">
        <v>183</v>
      </c>
      <c r="L3196" s="783" t="s">
        <v>4096</v>
      </c>
      <c r="M3196" s="784">
        <v>19558.64</v>
      </c>
      <c r="N3196" s="784">
        <v>16.399999999999999</v>
      </c>
      <c r="O3196" s="784">
        <v>6.7</v>
      </c>
      <c r="P3196" s="783">
        <v>178</v>
      </c>
      <c r="Q3196" s="783">
        <v>1001.4</v>
      </c>
      <c r="R3196" s="783">
        <v>541.32000000000005</v>
      </c>
      <c r="S3196" s="783">
        <v>123.67</v>
      </c>
      <c r="T3196" s="783">
        <v>336.41</v>
      </c>
      <c r="U3196" s="785">
        <v>44680.747037036999</v>
      </c>
    </row>
    <row r="3197" spans="1:21">
      <c r="A3197" s="782">
        <v>44681</v>
      </c>
      <c r="B3197" s="783" t="s">
        <v>51</v>
      </c>
      <c r="C3197" s="783" t="s">
        <v>4042</v>
      </c>
      <c r="D3197" s="783" t="s">
        <v>4016</v>
      </c>
      <c r="E3197" s="783" t="s">
        <v>5192</v>
      </c>
      <c r="F3197" s="783" t="s">
        <v>4011</v>
      </c>
      <c r="G3197" s="783" t="str">
        <f t="shared" si="171"/>
        <v>Renewal (30% in 2020)</v>
      </c>
      <c r="H3197" s="783" t="s">
        <v>5193</v>
      </c>
      <c r="I3197" s="783" t="s">
        <v>5194</v>
      </c>
      <c r="J3197" s="783">
        <v>30</v>
      </c>
      <c r="K3197" s="783" t="s">
        <v>183</v>
      </c>
      <c r="L3197" s="783" t="s">
        <v>4096</v>
      </c>
      <c r="M3197" s="784">
        <v>22635.200000000001</v>
      </c>
      <c r="N3197" s="784">
        <v>21.5</v>
      </c>
      <c r="O3197" s="784">
        <v>7.52</v>
      </c>
      <c r="P3197" s="783">
        <v>140</v>
      </c>
      <c r="Q3197" s="783">
        <v>873.72</v>
      </c>
      <c r="R3197" s="783">
        <v>740.17</v>
      </c>
      <c r="S3197" s="783">
        <v>0</v>
      </c>
      <c r="T3197" s="783">
        <v>133.55000000000001</v>
      </c>
      <c r="U3197" s="785">
        <v>44683.456782407397</v>
      </c>
    </row>
    <row r="3198" spans="1:21">
      <c r="A3198" s="782">
        <v>44710</v>
      </c>
      <c r="B3198" s="783" t="s">
        <v>41</v>
      </c>
      <c r="C3198" s="783" t="s">
        <v>4092</v>
      </c>
      <c r="D3198" s="783" t="s">
        <v>4009</v>
      </c>
      <c r="E3198" s="783" t="s">
        <v>1795</v>
      </c>
      <c r="F3198" s="783" t="s">
        <v>4011</v>
      </c>
      <c r="G3198" s="783" t="str">
        <f t="shared" si="171"/>
        <v>Renewal (20% in 2020)</v>
      </c>
      <c r="H3198" s="783" t="s">
        <v>4117</v>
      </c>
      <c r="I3198" s="783" t="s">
        <v>4118</v>
      </c>
      <c r="J3198" s="783">
        <v>20</v>
      </c>
      <c r="K3198" s="783" t="s">
        <v>183</v>
      </c>
      <c r="L3198" s="783" t="s">
        <v>4096</v>
      </c>
      <c r="M3198" s="784">
        <v>30923.17</v>
      </c>
      <c r="N3198" s="784">
        <v>33.24</v>
      </c>
      <c r="O3198" s="784">
        <v>4.43</v>
      </c>
      <c r="P3198" s="783">
        <v>210</v>
      </c>
      <c r="Q3198" s="783">
        <v>1870.85</v>
      </c>
      <c r="R3198" s="783">
        <v>868.07</v>
      </c>
      <c r="S3198" s="783">
        <v>424.52</v>
      </c>
      <c r="T3198" s="783">
        <v>578.26</v>
      </c>
      <c r="U3198" s="785">
        <v>44712.585555555597</v>
      </c>
    </row>
    <row r="3199" spans="1:21">
      <c r="A3199" s="782">
        <v>44680</v>
      </c>
      <c r="B3199" s="783" t="s">
        <v>41</v>
      </c>
      <c r="C3199" s="783" t="s">
        <v>4092</v>
      </c>
      <c r="D3199" s="783" t="s">
        <v>4009</v>
      </c>
      <c r="E3199" s="783" t="s">
        <v>5195</v>
      </c>
      <c r="F3199" s="783" t="s">
        <v>4011</v>
      </c>
      <c r="G3199" s="783" t="str">
        <f t="shared" si="171"/>
        <v>Renewal (20% in 2020)</v>
      </c>
      <c r="H3199" s="783" t="s">
        <v>5196</v>
      </c>
      <c r="I3199" s="783" t="s">
        <v>5197</v>
      </c>
      <c r="J3199" s="783">
        <v>20</v>
      </c>
      <c r="K3199" s="783" t="s">
        <v>183</v>
      </c>
      <c r="L3199" s="783" t="s">
        <v>4096</v>
      </c>
      <c r="M3199" s="784">
        <v>18269.11</v>
      </c>
      <c r="N3199" s="784">
        <v>18.04</v>
      </c>
      <c r="O3199" s="784">
        <v>5.33</v>
      </c>
      <c r="P3199" s="783">
        <v>190</v>
      </c>
      <c r="Q3199" s="783">
        <v>1105.28</v>
      </c>
      <c r="R3199" s="783">
        <v>566.83000000000004</v>
      </c>
      <c r="S3199" s="783">
        <v>196.82</v>
      </c>
      <c r="T3199" s="783">
        <v>341.63</v>
      </c>
      <c r="U3199" s="785">
        <v>44680.7246759259</v>
      </c>
    </row>
    <row r="3200" spans="1:21">
      <c r="A3200" s="782">
        <v>44694</v>
      </c>
      <c r="B3200" s="783" t="s">
        <v>41</v>
      </c>
      <c r="C3200" s="783" t="s">
        <v>4008</v>
      </c>
      <c r="D3200" s="783" t="s">
        <v>4009</v>
      </c>
      <c r="E3200" s="783" t="s">
        <v>4577</v>
      </c>
      <c r="F3200" s="783" t="s">
        <v>4011</v>
      </c>
      <c r="G3200" s="783" t="str">
        <f t="shared" si="171"/>
        <v>Renewal (30% in 2020)</v>
      </c>
      <c r="H3200" s="783" t="s">
        <v>4578</v>
      </c>
      <c r="I3200" s="783" t="s">
        <v>4579</v>
      </c>
      <c r="J3200" s="783">
        <v>30</v>
      </c>
      <c r="K3200" s="783" t="s">
        <v>183</v>
      </c>
      <c r="L3200" s="783" t="s">
        <v>4096</v>
      </c>
      <c r="M3200" s="784">
        <v>43179.8</v>
      </c>
      <c r="N3200" s="784">
        <v>49.89</v>
      </c>
      <c r="O3200" s="784">
        <v>5.77</v>
      </c>
      <c r="P3200" s="783">
        <v>150</v>
      </c>
      <c r="Q3200" s="783">
        <v>1947.41</v>
      </c>
      <c r="R3200" s="783">
        <v>1563.11</v>
      </c>
      <c r="S3200" s="783">
        <v>0</v>
      </c>
      <c r="T3200" s="783">
        <v>384.3</v>
      </c>
      <c r="U3200" s="785">
        <v>44694.519189814797</v>
      </c>
    </row>
    <row r="3201" spans="1:21">
      <c r="A3201" s="782">
        <v>44681</v>
      </c>
      <c r="B3201" s="783" t="s">
        <v>41</v>
      </c>
      <c r="C3201" s="783" t="s">
        <v>4082</v>
      </c>
      <c r="D3201" s="783" t="s">
        <v>4009</v>
      </c>
      <c r="E3201" s="783" t="s">
        <v>4296</v>
      </c>
      <c r="F3201" s="783" t="s">
        <v>4011</v>
      </c>
      <c r="G3201" s="783" t="str">
        <f t="shared" si="171"/>
        <v>Renewal (30% in 2020)</v>
      </c>
      <c r="H3201" s="783" t="s">
        <v>4297</v>
      </c>
      <c r="I3201" s="783" t="s">
        <v>4298</v>
      </c>
      <c r="J3201" s="783">
        <v>30</v>
      </c>
      <c r="K3201" s="783" t="s">
        <v>183</v>
      </c>
      <c r="L3201" s="783" t="s">
        <v>4096</v>
      </c>
      <c r="M3201" s="784">
        <v>16213.27</v>
      </c>
      <c r="N3201" s="784">
        <v>16.940000000000001</v>
      </c>
      <c r="O3201" s="784">
        <v>5.63</v>
      </c>
      <c r="P3201" s="783">
        <v>170</v>
      </c>
      <c r="Q3201" s="783">
        <v>630.70000000000005</v>
      </c>
      <c r="R3201" s="783">
        <v>543.12</v>
      </c>
      <c r="S3201" s="783">
        <v>9.76</v>
      </c>
      <c r="T3201" s="783">
        <v>77.819999999999993</v>
      </c>
      <c r="U3201" s="785">
        <v>44683.422060185199</v>
      </c>
    </row>
    <row r="3202" spans="1:21">
      <c r="A3202" s="782">
        <v>44709</v>
      </c>
      <c r="B3202" s="783" t="s">
        <v>65</v>
      </c>
      <c r="C3202" s="783" t="s">
        <v>4101</v>
      </c>
      <c r="D3202" s="783" t="s">
        <v>4102</v>
      </c>
      <c r="E3202" s="783" t="s">
        <v>4259</v>
      </c>
      <c r="F3202" s="783" t="s">
        <v>4011</v>
      </c>
      <c r="G3202" s="783" t="str">
        <f t="shared" si="171"/>
        <v>Renewal (30% in 2020)</v>
      </c>
      <c r="H3202" s="783" t="s">
        <v>4260</v>
      </c>
      <c r="I3202" s="783" t="s">
        <v>4261</v>
      </c>
      <c r="J3202" s="783">
        <v>30</v>
      </c>
      <c r="K3202" s="783" t="s">
        <v>183</v>
      </c>
      <c r="L3202" s="783" t="s">
        <v>4096</v>
      </c>
      <c r="M3202" s="784">
        <v>21931.61</v>
      </c>
      <c r="N3202" s="784">
        <v>17.989999999999998</v>
      </c>
      <c r="O3202" s="784">
        <v>7.3</v>
      </c>
      <c r="P3202" s="783">
        <v>167</v>
      </c>
      <c r="Q3202" s="783">
        <v>686.46</v>
      </c>
      <c r="R3202" s="783">
        <v>592.15</v>
      </c>
      <c r="S3202" s="783">
        <v>0</v>
      </c>
      <c r="T3202" s="783">
        <v>94.31</v>
      </c>
      <c r="U3202" s="785">
        <v>44712.508101851898</v>
      </c>
    </row>
    <row r="3203" spans="1:21">
      <c r="A3203" s="782">
        <v>44699</v>
      </c>
      <c r="B3203" s="783" t="s">
        <v>41</v>
      </c>
      <c r="C3203" s="783" t="s">
        <v>4071</v>
      </c>
      <c r="D3203" s="783" t="s">
        <v>4009</v>
      </c>
      <c r="E3203" s="783" t="s">
        <v>5207</v>
      </c>
      <c r="F3203" s="783" t="s">
        <v>4011</v>
      </c>
      <c r="G3203" s="783" t="str">
        <f t="shared" si="171"/>
        <v>Renewal (15% in 2020)</v>
      </c>
      <c r="H3203" s="783" t="s">
        <v>5208</v>
      </c>
      <c r="I3203" s="783" t="s">
        <v>5209</v>
      </c>
      <c r="J3203" s="783">
        <v>15</v>
      </c>
      <c r="K3203" s="783" t="s">
        <v>183</v>
      </c>
      <c r="L3203" s="783" t="s">
        <v>4096</v>
      </c>
      <c r="M3203" s="784">
        <v>4576.66</v>
      </c>
      <c r="N3203" s="784">
        <v>7.74</v>
      </c>
      <c r="O3203" s="784">
        <v>4.38</v>
      </c>
      <c r="P3203" s="783">
        <v>135</v>
      </c>
      <c r="Q3203" s="783">
        <v>274.60000000000002</v>
      </c>
      <c r="R3203" s="783">
        <v>123.57</v>
      </c>
      <c r="S3203" s="783">
        <v>18.309999999999999</v>
      </c>
      <c r="T3203" s="783">
        <v>132.72</v>
      </c>
      <c r="U3203" s="785">
        <v>44705.458668981497</v>
      </c>
    </row>
    <row r="3204" spans="1:21">
      <c r="A3204" s="782">
        <v>44698</v>
      </c>
      <c r="B3204" s="783" t="s">
        <v>30</v>
      </c>
      <c r="C3204" s="783" t="s">
        <v>5213</v>
      </c>
      <c r="D3204" s="783" t="s">
        <v>4021</v>
      </c>
      <c r="E3204" s="783" t="s">
        <v>1513</v>
      </c>
      <c r="F3204" s="783" t="s">
        <v>4011</v>
      </c>
      <c r="G3204" s="783" t="str">
        <f t="shared" si="171"/>
        <v>Renewal (15% in 2020)</v>
      </c>
      <c r="H3204" s="783" t="s">
        <v>5214</v>
      </c>
      <c r="I3204" s="783" t="s">
        <v>5215</v>
      </c>
      <c r="J3204" s="783">
        <v>15</v>
      </c>
      <c r="K3204" s="783" t="s">
        <v>183</v>
      </c>
      <c r="L3204" s="783" t="s">
        <v>4096</v>
      </c>
      <c r="M3204" s="784">
        <v>54849.19</v>
      </c>
      <c r="N3204" s="784">
        <v>47.39</v>
      </c>
      <c r="O3204" s="784">
        <v>6.43</v>
      </c>
      <c r="P3204" s="783">
        <v>180</v>
      </c>
      <c r="Q3204" s="783">
        <v>6154.08</v>
      </c>
      <c r="R3204" s="783">
        <v>2483.33</v>
      </c>
      <c r="S3204" s="783">
        <v>604.67999999999995</v>
      </c>
      <c r="T3204" s="783">
        <v>3066.07</v>
      </c>
      <c r="U3204" s="785">
        <v>44699.511724536998</v>
      </c>
    </row>
    <row r="3205" spans="1:21">
      <c r="A3205" s="782">
        <v>44698</v>
      </c>
      <c r="B3205" s="783" t="s">
        <v>41</v>
      </c>
      <c r="C3205" s="783" t="s">
        <v>4082</v>
      </c>
      <c r="D3205" s="783" t="s">
        <v>4009</v>
      </c>
      <c r="E3205" s="783" t="s">
        <v>5216</v>
      </c>
      <c r="F3205" s="783" t="s">
        <v>4011</v>
      </c>
      <c r="G3205" s="783" t="str">
        <f t="shared" si="171"/>
        <v>Renewal (20% in 2020)</v>
      </c>
      <c r="H3205" s="783" t="s">
        <v>5217</v>
      </c>
      <c r="I3205" s="783" t="s">
        <v>5218</v>
      </c>
      <c r="J3205" s="783">
        <v>20</v>
      </c>
      <c r="K3205" s="783" t="s">
        <v>183</v>
      </c>
      <c r="L3205" s="783" t="s">
        <v>4096</v>
      </c>
      <c r="M3205" s="784">
        <v>5855.99</v>
      </c>
      <c r="N3205" s="784">
        <v>7.27</v>
      </c>
      <c r="O3205" s="784">
        <v>5.37</v>
      </c>
      <c r="P3205" s="783">
        <v>150</v>
      </c>
      <c r="Q3205" s="783">
        <v>342.58</v>
      </c>
      <c r="R3205" s="783">
        <v>199.69</v>
      </c>
      <c r="S3205" s="783">
        <v>36.31</v>
      </c>
      <c r="T3205" s="783">
        <v>106.58</v>
      </c>
      <c r="U3205" s="785">
        <v>44699.474409722199</v>
      </c>
    </row>
    <row r="3206" spans="1:21">
      <c r="A3206" s="782">
        <v>44698</v>
      </c>
      <c r="B3206" s="783" t="s">
        <v>41</v>
      </c>
      <c r="C3206" s="783" t="s">
        <v>4192</v>
      </c>
      <c r="D3206" s="783" t="s">
        <v>4193</v>
      </c>
      <c r="E3206" s="783" t="s">
        <v>5222</v>
      </c>
      <c r="F3206" s="783" t="s">
        <v>4011</v>
      </c>
      <c r="G3206" s="783" t="str">
        <f t="shared" si="171"/>
        <v>Renewal (20% in 2020)</v>
      </c>
      <c r="H3206" s="783" t="s">
        <v>5223</v>
      </c>
      <c r="I3206" s="783" t="s">
        <v>5224</v>
      </c>
      <c r="J3206" s="783">
        <v>20</v>
      </c>
      <c r="K3206" s="783" t="s">
        <v>183</v>
      </c>
      <c r="L3206" s="783" t="s">
        <v>4096</v>
      </c>
      <c r="M3206" s="784">
        <v>26482.21</v>
      </c>
      <c r="N3206" s="784">
        <v>29.53</v>
      </c>
      <c r="O3206" s="784">
        <v>5.37</v>
      </c>
      <c r="P3206" s="783">
        <v>167</v>
      </c>
      <c r="Q3206" s="783">
        <v>1477.71</v>
      </c>
      <c r="R3206" s="783">
        <v>865.97</v>
      </c>
      <c r="S3206" s="783">
        <v>132.41</v>
      </c>
      <c r="T3206" s="783">
        <v>479.33</v>
      </c>
      <c r="U3206" s="785">
        <v>44699.499062499999</v>
      </c>
    </row>
    <row r="3207" spans="1:21">
      <c r="A3207" s="782">
        <v>44700</v>
      </c>
      <c r="B3207" s="783" t="s">
        <v>51</v>
      </c>
      <c r="C3207" s="783" t="s">
        <v>4042</v>
      </c>
      <c r="D3207" s="783" t="s">
        <v>4016</v>
      </c>
      <c r="E3207" s="783" t="s">
        <v>5225</v>
      </c>
      <c r="F3207" s="783" t="s">
        <v>4011</v>
      </c>
      <c r="G3207" s="783" t="str">
        <f t="shared" si="171"/>
        <v>Renewal (30% in 2020)</v>
      </c>
      <c r="H3207" s="783" t="s">
        <v>5226</v>
      </c>
      <c r="I3207" s="783" t="s">
        <v>5227</v>
      </c>
      <c r="J3207" s="783">
        <v>30</v>
      </c>
      <c r="K3207" s="783" t="s">
        <v>183</v>
      </c>
      <c r="L3207" s="783" t="s">
        <v>4096</v>
      </c>
      <c r="M3207" s="784">
        <v>54324.06</v>
      </c>
      <c r="N3207" s="784">
        <v>59.08</v>
      </c>
      <c r="O3207" s="784">
        <v>6.13</v>
      </c>
      <c r="P3207" s="783">
        <v>150</v>
      </c>
      <c r="Q3207" s="783">
        <v>2096.91</v>
      </c>
      <c r="R3207" s="783">
        <v>1776.4</v>
      </c>
      <c r="S3207" s="783">
        <v>0</v>
      </c>
      <c r="T3207" s="783">
        <v>320.51</v>
      </c>
      <c r="U3207" s="785">
        <v>44708.688946759299</v>
      </c>
    </row>
    <row r="3208" spans="1:21">
      <c r="A3208" s="782">
        <v>44705</v>
      </c>
      <c r="B3208" s="783" t="s">
        <v>4025</v>
      </c>
      <c r="C3208" s="783" t="s">
        <v>4026</v>
      </c>
      <c r="D3208" s="783" t="s">
        <v>4021</v>
      </c>
      <c r="E3208" s="783" t="s">
        <v>5233</v>
      </c>
      <c r="F3208" s="783" t="s">
        <v>4011</v>
      </c>
      <c r="G3208" s="783" t="str">
        <f t="shared" si="171"/>
        <v>New Contract</v>
      </c>
      <c r="H3208" s="783" t="s">
        <v>5234</v>
      </c>
      <c r="I3208" s="783" t="s">
        <v>5235</v>
      </c>
      <c r="J3208" s="783">
        <v>20</v>
      </c>
      <c r="K3208" s="783" t="s">
        <v>183</v>
      </c>
      <c r="L3208" s="783" t="s">
        <v>4096</v>
      </c>
      <c r="M3208" s="784">
        <v>28129.119999999999</v>
      </c>
      <c r="N3208" s="784">
        <v>29.99</v>
      </c>
      <c r="O3208" s="784">
        <v>5.07</v>
      </c>
      <c r="P3208" s="783">
        <v>185</v>
      </c>
      <c r="Q3208" s="783">
        <v>2036.55</v>
      </c>
      <c r="R3208" s="783">
        <v>1048.7</v>
      </c>
      <c r="S3208" s="783">
        <v>293.06</v>
      </c>
      <c r="T3208" s="783">
        <v>694.79</v>
      </c>
      <c r="U3208" s="785">
        <v>44708.694351851896</v>
      </c>
    </row>
    <row r="3209" spans="1:21">
      <c r="A3209" s="782">
        <v>44701</v>
      </c>
      <c r="B3209" s="783" t="s">
        <v>228</v>
      </c>
      <c r="C3209" s="783" t="s">
        <v>4251</v>
      </c>
      <c r="D3209" s="783" t="s">
        <v>4193</v>
      </c>
      <c r="E3209" s="783" t="s">
        <v>5236</v>
      </c>
      <c r="F3209" s="783" t="s">
        <v>4011</v>
      </c>
      <c r="G3209" s="783" t="str">
        <f t="shared" si="171"/>
        <v>New contract</v>
      </c>
      <c r="H3209" s="783" t="s">
        <v>5237</v>
      </c>
      <c r="I3209" s="783" t="s">
        <v>5238</v>
      </c>
      <c r="J3209" s="783">
        <v>25</v>
      </c>
      <c r="K3209" s="783" t="s">
        <v>183</v>
      </c>
      <c r="L3209" s="783" t="s">
        <v>4096</v>
      </c>
      <c r="M3209" s="784">
        <v>14109.4</v>
      </c>
      <c r="N3209" s="784">
        <v>8.93</v>
      </c>
      <c r="O3209" s="784">
        <v>7.9</v>
      </c>
      <c r="P3209" s="783">
        <v>200</v>
      </c>
      <c r="Q3209" s="783">
        <v>562.97</v>
      </c>
      <c r="R3209" s="783">
        <v>361.69</v>
      </c>
      <c r="S3209" s="783">
        <v>140.61000000000001</v>
      </c>
      <c r="T3209" s="783">
        <v>60.67</v>
      </c>
      <c r="U3209" s="785">
        <v>44701.497337963003</v>
      </c>
    </row>
    <row r="3210" spans="1:21">
      <c r="A3210" s="782">
        <v>44708</v>
      </c>
      <c r="B3210" s="783" t="s">
        <v>4025</v>
      </c>
      <c r="C3210" s="783" t="s">
        <v>4026</v>
      </c>
      <c r="D3210" s="783" t="s">
        <v>4021</v>
      </c>
      <c r="E3210" s="783" t="s">
        <v>5239</v>
      </c>
      <c r="F3210" s="783" t="s">
        <v>4011</v>
      </c>
      <c r="G3210" s="783" t="str">
        <f t="shared" si="171"/>
        <v>New Contract</v>
      </c>
      <c r="H3210" s="783" t="s">
        <v>5240</v>
      </c>
      <c r="I3210" s="783" t="s">
        <v>5241</v>
      </c>
      <c r="J3210" s="783">
        <v>25</v>
      </c>
      <c r="K3210" s="783" t="s">
        <v>183</v>
      </c>
      <c r="L3210" s="783" t="s">
        <v>4096</v>
      </c>
      <c r="M3210" s="784">
        <v>37691.14</v>
      </c>
      <c r="N3210" s="784">
        <v>31.16</v>
      </c>
      <c r="O3210" s="784">
        <v>6.72</v>
      </c>
      <c r="P3210" s="783">
        <v>180</v>
      </c>
      <c r="Q3210" s="783">
        <v>2137.09</v>
      </c>
      <c r="R3210" s="783">
        <v>1444.22</v>
      </c>
      <c r="S3210" s="783">
        <v>353.65</v>
      </c>
      <c r="T3210" s="783">
        <v>339.22</v>
      </c>
      <c r="U3210" s="785">
        <v>44711.534571759301</v>
      </c>
    </row>
    <row r="3211" spans="1:21">
      <c r="A3211" s="782">
        <v>44657</v>
      </c>
      <c r="B3211" s="783" t="s">
        <v>41</v>
      </c>
      <c r="C3211" s="783" t="s">
        <v>4092</v>
      </c>
      <c r="D3211" s="783" t="s">
        <v>4009</v>
      </c>
      <c r="E3211" s="783" t="s">
        <v>338</v>
      </c>
      <c r="F3211" s="783" t="s">
        <v>4011</v>
      </c>
      <c r="G3211" s="783" t="str">
        <f t="shared" si="171"/>
        <v>New Contract</v>
      </c>
      <c r="H3211" s="783" t="s">
        <v>4589</v>
      </c>
      <c r="I3211" s="783" t="s">
        <v>4590</v>
      </c>
      <c r="J3211" s="783">
        <v>15</v>
      </c>
      <c r="K3211" s="783" t="s">
        <v>183</v>
      </c>
      <c r="L3211" s="783" t="s">
        <v>4096</v>
      </c>
      <c r="M3211" s="784">
        <v>2826.72</v>
      </c>
      <c r="N3211" s="784">
        <v>4.16</v>
      </c>
      <c r="O3211" s="784">
        <v>4.53</v>
      </c>
      <c r="P3211" s="783">
        <v>150</v>
      </c>
      <c r="Q3211" s="783">
        <v>228.96</v>
      </c>
      <c r="R3211" s="783">
        <v>99.78</v>
      </c>
      <c r="S3211" s="783">
        <v>18.37</v>
      </c>
      <c r="T3211" s="783">
        <v>110.81</v>
      </c>
      <c r="U3211" s="785">
        <v>44657.603819444397</v>
      </c>
    </row>
    <row r="3212" spans="1:21">
      <c r="A3212" s="782">
        <v>44655</v>
      </c>
      <c r="B3212" s="783" t="s">
        <v>41</v>
      </c>
      <c r="C3212" s="783" t="s">
        <v>4082</v>
      </c>
      <c r="D3212" s="783" t="s">
        <v>4009</v>
      </c>
      <c r="E3212" s="783" t="s">
        <v>245</v>
      </c>
      <c r="F3212" s="783" t="s">
        <v>4011</v>
      </c>
      <c r="G3212" s="783" t="str">
        <f t="shared" si="171"/>
        <v>Renewal (20% in 2020)</v>
      </c>
      <c r="H3212" s="783" t="s">
        <v>4591</v>
      </c>
      <c r="I3212" s="783" t="s">
        <v>4592</v>
      </c>
      <c r="J3212" s="783">
        <v>20</v>
      </c>
      <c r="K3212" s="783" t="s">
        <v>183</v>
      </c>
      <c r="L3212" s="783" t="s">
        <v>4096</v>
      </c>
      <c r="M3212" s="784">
        <v>40843.24</v>
      </c>
      <c r="N3212" s="784">
        <v>32.97</v>
      </c>
      <c r="O3212" s="784">
        <v>6.52</v>
      </c>
      <c r="P3212" s="783">
        <v>190</v>
      </c>
      <c r="Q3212" s="783">
        <v>2389.33</v>
      </c>
      <c r="R3212" s="783">
        <v>1224.1600000000001</v>
      </c>
      <c r="S3212" s="783">
        <v>421.82</v>
      </c>
      <c r="T3212" s="783">
        <v>743.35</v>
      </c>
      <c r="U3212" s="785">
        <v>44657.613634259302</v>
      </c>
    </row>
    <row r="3213" spans="1:21">
      <c r="A3213" s="782">
        <v>44657</v>
      </c>
      <c r="B3213" s="783" t="s">
        <v>41</v>
      </c>
      <c r="C3213" s="783" t="s">
        <v>4092</v>
      </c>
      <c r="D3213" s="783" t="s">
        <v>4009</v>
      </c>
      <c r="E3213" s="783" t="s">
        <v>5245</v>
      </c>
      <c r="F3213" s="783" t="s">
        <v>4011</v>
      </c>
      <c r="G3213" s="783" t="str">
        <f t="shared" si="171"/>
        <v>Renewal (30% in 2020)</v>
      </c>
      <c r="H3213" s="783" t="s">
        <v>5246</v>
      </c>
      <c r="I3213" s="783" t="s">
        <v>5247</v>
      </c>
      <c r="J3213" s="783">
        <v>30</v>
      </c>
      <c r="K3213" s="783" t="s">
        <v>183</v>
      </c>
      <c r="L3213" s="783" t="s">
        <v>4096</v>
      </c>
      <c r="M3213" s="784">
        <v>12362.22</v>
      </c>
      <c r="N3213" s="784">
        <v>14.04</v>
      </c>
      <c r="O3213" s="784">
        <v>5.87</v>
      </c>
      <c r="P3213" s="783">
        <v>150</v>
      </c>
      <c r="Q3213" s="783">
        <v>499.43</v>
      </c>
      <c r="R3213" s="783">
        <v>436.39</v>
      </c>
      <c r="S3213" s="783">
        <v>0</v>
      </c>
      <c r="T3213" s="783">
        <v>63.05</v>
      </c>
      <c r="U3213" s="785">
        <v>44657.628784722197</v>
      </c>
    </row>
    <row r="3214" spans="1:21">
      <c r="A3214" s="782">
        <v>44657</v>
      </c>
      <c r="B3214" s="783" t="s">
        <v>51</v>
      </c>
      <c r="C3214" s="783" t="s">
        <v>4042</v>
      </c>
      <c r="D3214" s="783" t="s">
        <v>4016</v>
      </c>
      <c r="E3214" s="783" t="s">
        <v>56</v>
      </c>
      <c r="F3214" s="783" t="s">
        <v>4011</v>
      </c>
      <c r="G3214" s="783" t="str">
        <f t="shared" si="171"/>
        <v>Renewal (25% in 2020)</v>
      </c>
      <c r="H3214" s="783" t="s">
        <v>5248</v>
      </c>
      <c r="I3214" s="783" t="s">
        <v>5249</v>
      </c>
      <c r="J3214" s="783">
        <v>25</v>
      </c>
      <c r="K3214" s="783" t="s">
        <v>183</v>
      </c>
      <c r="L3214" s="783" t="s">
        <v>4096</v>
      </c>
      <c r="M3214" s="784">
        <v>34385.33</v>
      </c>
      <c r="N3214" s="784">
        <v>26.83</v>
      </c>
      <c r="O3214" s="784">
        <v>8.01</v>
      </c>
      <c r="P3214" s="783">
        <v>160</v>
      </c>
      <c r="Q3214" s="783">
        <v>1502.64</v>
      </c>
      <c r="R3214" s="783">
        <v>1124.4000000000001</v>
      </c>
      <c r="S3214" s="783">
        <v>175.37</v>
      </c>
      <c r="T3214" s="783">
        <v>202.87</v>
      </c>
      <c r="U3214" s="785">
        <v>44657.616006944401</v>
      </c>
    </row>
    <row r="3215" spans="1:21">
      <c r="A3215" s="782">
        <v>44657</v>
      </c>
      <c r="B3215" s="783" t="s">
        <v>51</v>
      </c>
      <c r="C3215" s="783" t="s">
        <v>4042</v>
      </c>
      <c r="D3215" s="783" t="s">
        <v>4016</v>
      </c>
      <c r="E3215" s="783" t="s">
        <v>49</v>
      </c>
      <c r="F3215" s="783" t="s">
        <v>4011</v>
      </c>
      <c r="G3215" s="783" t="str">
        <f t="shared" si="171"/>
        <v>Renewal (20% in 2020)</v>
      </c>
      <c r="H3215" s="783" t="s">
        <v>5250</v>
      </c>
      <c r="I3215" s="783" t="s">
        <v>5251</v>
      </c>
      <c r="J3215" s="783">
        <v>20</v>
      </c>
      <c r="K3215" s="783" t="s">
        <v>183</v>
      </c>
      <c r="L3215" s="783" t="s">
        <v>4096</v>
      </c>
      <c r="M3215" s="784">
        <v>36144</v>
      </c>
      <c r="N3215" s="784">
        <v>30</v>
      </c>
      <c r="O3215" s="784">
        <v>7.53</v>
      </c>
      <c r="P3215" s="783">
        <v>160</v>
      </c>
      <c r="Q3215" s="783">
        <v>2024.06</v>
      </c>
      <c r="R3215" s="783">
        <v>1181.9100000000001</v>
      </c>
      <c r="S3215" s="783">
        <v>184.33</v>
      </c>
      <c r="T3215" s="783">
        <v>657.82</v>
      </c>
      <c r="U3215" s="785">
        <v>44657.614317129599</v>
      </c>
    </row>
    <row r="3216" spans="1:21">
      <c r="A3216" s="782">
        <v>44656</v>
      </c>
      <c r="B3216" s="783" t="s">
        <v>41</v>
      </c>
      <c r="C3216" s="783" t="s">
        <v>4092</v>
      </c>
      <c r="D3216" s="783" t="s">
        <v>4009</v>
      </c>
      <c r="E3216" s="783" t="s">
        <v>5254</v>
      </c>
      <c r="F3216" s="783" t="s">
        <v>4011</v>
      </c>
      <c r="G3216" s="783" t="str">
        <f t="shared" si="171"/>
        <v>Renewal (15% in 2020)</v>
      </c>
      <c r="H3216" s="783" t="s">
        <v>5255</v>
      </c>
      <c r="I3216" s="783" t="s">
        <v>5256</v>
      </c>
      <c r="J3216" s="783">
        <v>15</v>
      </c>
      <c r="K3216" s="783" t="s">
        <v>183</v>
      </c>
      <c r="L3216" s="783" t="s">
        <v>4096</v>
      </c>
      <c r="M3216" s="784">
        <v>20955.34</v>
      </c>
      <c r="N3216" s="784">
        <v>20.47</v>
      </c>
      <c r="O3216" s="784">
        <v>6.13</v>
      </c>
      <c r="P3216" s="783">
        <v>167</v>
      </c>
      <c r="Q3216" s="783">
        <v>1697.38</v>
      </c>
      <c r="R3216" s="783">
        <v>739.72</v>
      </c>
      <c r="S3216" s="783">
        <v>136.21</v>
      </c>
      <c r="T3216" s="783">
        <v>821.45</v>
      </c>
      <c r="U3216" s="785">
        <v>44657.6323148148</v>
      </c>
    </row>
    <row r="3217" spans="1:21">
      <c r="A3217" s="782">
        <v>44657</v>
      </c>
      <c r="B3217" s="783" t="s">
        <v>34</v>
      </c>
      <c r="C3217" s="783" t="s">
        <v>4082</v>
      </c>
      <c r="D3217" s="783" t="s">
        <v>4009</v>
      </c>
      <c r="E3217" s="783" t="s">
        <v>4593</v>
      </c>
      <c r="F3217" s="783" t="s">
        <v>4011</v>
      </c>
      <c r="G3217" s="783" t="str">
        <f t="shared" si="171"/>
        <v>Renewal (30% in 2020)</v>
      </c>
      <c r="H3217" s="783" t="s">
        <v>4594</v>
      </c>
      <c r="I3217" s="783" t="s">
        <v>4595</v>
      </c>
      <c r="J3217" s="783">
        <v>30</v>
      </c>
      <c r="K3217" s="783" t="s">
        <v>183</v>
      </c>
      <c r="L3217" s="783" t="s">
        <v>4096</v>
      </c>
      <c r="M3217" s="784">
        <v>3907.03</v>
      </c>
      <c r="N3217" s="784">
        <v>4.25</v>
      </c>
      <c r="O3217" s="784">
        <v>6.34</v>
      </c>
      <c r="P3217" s="783">
        <v>145</v>
      </c>
      <c r="Q3217" s="783">
        <v>151.97999999999999</v>
      </c>
      <c r="R3217" s="783">
        <v>133.22999999999999</v>
      </c>
      <c r="S3217" s="783">
        <v>0</v>
      </c>
      <c r="T3217" s="783">
        <v>18.75</v>
      </c>
      <c r="U3217" s="785">
        <v>44657.630636574097</v>
      </c>
    </row>
    <row r="3218" spans="1:21">
      <c r="A3218" s="782">
        <v>44659</v>
      </c>
      <c r="B3218" s="783" t="s">
        <v>34</v>
      </c>
      <c r="C3218" s="783" t="s">
        <v>4139</v>
      </c>
      <c r="D3218" s="783" t="s">
        <v>4009</v>
      </c>
      <c r="E3218" s="783" t="s">
        <v>1585</v>
      </c>
      <c r="F3218" s="783" t="s">
        <v>4011</v>
      </c>
      <c r="G3218" s="783" t="str">
        <f t="shared" si="171"/>
        <v>Renewal (20% in 2020)</v>
      </c>
      <c r="H3218" s="783" t="s">
        <v>4299</v>
      </c>
      <c r="I3218" s="783" t="s">
        <v>4300</v>
      </c>
      <c r="J3218" s="783">
        <v>20</v>
      </c>
      <c r="K3218" s="783" t="s">
        <v>183</v>
      </c>
      <c r="L3218" s="783" t="s">
        <v>4096</v>
      </c>
      <c r="M3218" s="784">
        <v>15769.86</v>
      </c>
      <c r="N3218" s="784">
        <v>12.99</v>
      </c>
      <c r="O3218" s="784">
        <v>6.07</v>
      </c>
      <c r="P3218" s="783">
        <v>200</v>
      </c>
      <c r="Q3218" s="783">
        <v>873.65</v>
      </c>
      <c r="R3218" s="783">
        <v>438.49</v>
      </c>
      <c r="S3218" s="783">
        <v>165.5</v>
      </c>
      <c r="T3218" s="783">
        <v>269.66000000000003</v>
      </c>
      <c r="U3218" s="785">
        <v>44663.407847222203</v>
      </c>
    </row>
    <row r="3219" spans="1:21">
      <c r="A3219" s="782">
        <v>44690</v>
      </c>
      <c r="B3219" s="783" t="s">
        <v>41</v>
      </c>
      <c r="C3219" s="783" t="s">
        <v>4121</v>
      </c>
      <c r="D3219" s="783" t="s">
        <v>4009</v>
      </c>
      <c r="E3219" s="783" t="s">
        <v>4122</v>
      </c>
      <c r="F3219" s="783" t="s">
        <v>4011</v>
      </c>
      <c r="G3219" s="783" t="str">
        <f t="shared" si="171"/>
        <v>Renewal (20% in 2020)</v>
      </c>
      <c r="H3219" s="783" t="s">
        <v>4123</v>
      </c>
      <c r="I3219" s="783" t="s">
        <v>4124</v>
      </c>
      <c r="J3219" s="783">
        <v>20</v>
      </c>
      <c r="K3219" s="783" t="s">
        <v>183</v>
      </c>
      <c r="L3219" s="783" t="s">
        <v>4096</v>
      </c>
      <c r="M3219" s="784">
        <v>23460</v>
      </c>
      <c r="N3219" s="784">
        <v>23</v>
      </c>
      <c r="O3219" s="784">
        <v>6</v>
      </c>
      <c r="P3219" s="783">
        <v>170</v>
      </c>
      <c r="Q3219" s="783">
        <v>1409.95</v>
      </c>
      <c r="R3219" s="783">
        <v>804.31</v>
      </c>
      <c r="S3219" s="783">
        <v>136.44</v>
      </c>
      <c r="T3219" s="783">
        <v>469.2</v>
      </c>
      <c r="U3219" s="785">
        <v>44690.676423611098</v>
      </c>
    </row>
    <row r="3220" spans="1:21">
      <c r="A3220" s="782">
        <v>44684</v>
      </c>
      <c r="B3220" s="783" t="s">
        <v>30</v>
      </c>
      <c r="C3220" s="783" t="s">
        <v>4239</v>
      </c>
      <c r="D3220" s="783" t="s">
        <v>4021</v>
      </c>
      <c r="E3220" s="783" t="s">
        <v>5264</v>
      </c>
      <c r="F3220" s="783" t="s">
        <v>4011</v>
      </c>
      <c r="G3220" s="783" t="str">
        <f t="shared" si="171"/>
        <v>Renewal (15% in 2020)</v>
      </c>
      <c r="H3220" s="783" t="s">
        <v>5265</v>
      </c>
      <c r="I3220" s="783" t="s">
        <v>5266</v>
      </c>
      <c r="J3220" s="783">
        <v>15</v>
      </c>
      <c r="K3220" s="783" t="s">
        <v>183</v>
      </c>
      <c r="L3220" s="783" t="s">
        <v>4096</v>
      </c>
      <c r="M3220" s="784">
        <v>10992.09</v>
      </c>
      <c r="N3220" s="784">
        <v>13.15</v>
      </c>
      <c r="O3220" s="784">
        <v>6.43</v>
      </c>
      <c r="P3220" s="783">
        <v>130</v>
      </c>
      <c r="Q3220" s="783">
        <v>969.5</v>
      </c>
      <c r="R3220" s="783">
        <v>403.41</v>
      </c>
      <c r="S3220" s="783">
        <v>89.04</v>
      </c>
      <c r="T3220" s="783">
        <v>477.06</v>
      </c>
      <c r="U3220" s="785">
        <v>44685.407048611101</v>
      </c>
    </row>
    <row r="3221" spans="1:21">
      <c r="A3221" s="782">
        <v>44684</v>
      </c>
      <c r="B3221" s="783" t="s">
        <v>41</v>
      </c>
      <c r="C3221" s="783" t="s">
        <v>4082</v>
      </c>
      <c r="D3221" s="783" t="s">
        <v>4009</v>
      </c>
      <c r="E3221" s="783" t="s">
        <v>5267</v>
      </c>
      <c r="F3221" s="783" t="s">
        <v>4011</v>
      </c>
      <c r="G3221" s="783" t="str">
        <f t="shared" si="171"/>
        <v>Renewal (20% in 2020)</v>
      </c>
      <c r="H3221" s="783" t="s">
        <v>5268</v>
      </c>
      <c r="I3221" s="783" t="s">
        <v>5269</v>
      </c>
      <c r="J3221" s="783">
        <v>20</v>
      </c>
      <c r="K3221" s="783" t="s">
        <v>183</v>
      </c>
      <c r="L3221" s="783" t="s">
        <v>4096</v>
      </c>
      <c r="M3221" s="784">
        <v>8937.92</v>
      </c>
      <c r="N3221" s="784">
        <v>9.01</v>
      </c>
      <c r="O3221" s="784">
        <v>6.2</v>
      </c>
      <c r="P3221" s="783">
        <v>160</v>
      </c>
      <c r="Q3221" s="783">
        <v>522.87</v>
      </c>
      <c r="R3221" s="783">
        <v>304.77999999999997</v>
      </c>
      <c r="S3221" s="783">
        <v>55.42</v>
      </c>
      <c r="T3221" s="783">
        <v>162.66999999999999</v>
      </c>
      <c r="U3221" s="785">
        <v>44685.454236111102</v>
      </c>
    </row>
    <row r="3222" spans="1:21">
      <c r="A3222" s="782">
        <v>44685</v>
      </c>
      <c r="B3222" s="783" t="s">
        <v>41</v>
      </c>
      <c r="C3222" s="783" t="s">
        <v>4092</v>
      </c>
      <c r="D3222" s="783" t="s">
        <v>4009</v>
      </c>
      <c r="E3222" s="783" t="s">
        <v>5270</v>
      </c>
      <c r="F3222" s="783" t="s">
        <v>4011</v>
      </c>
      <c r="G3222" s="783" t="str">
        <f t="shared" si="171"/>
        <v>Renewal (15% in 2020)</v>
      </c>
      <c r="H3222" s="783" t="s">
        <v>5271</v>
      </c>
      <c r="I3222" s="783" t="s">
        <v>5272</v>
      </c>
      <c r="J3222" s="783">
        <v>15</v>
      </c>
      <c r="K3222" s="783" t="s">
        <v>183</v>
      </c>
      <c r="L3222" s="783" t="s">
        <v>4096</v>
      </c>
      <c r="M3222" s="784">
        <v>19546.82</v>
      </c>
      <c r="N3222" s="784">
        <v>21.96</v>
      </c>
      <c r="O3222" s="784">
        <v>5.33</v>
      </c>
      <c r="P3222" s="783">
        <v>167</v>
      </c>
      <c r="Q3222" s="783">
        <v>1583.29</v>
      </c>
      <c r="R3222" s="783">
        <v>690</v>
      </c>
      <c r="S3222" s="783">
        <v>127.05</v>
      </c>
      <c r="T3222" s="783">
        <v>766.24</v>
      </c>
      <c r="U3222" s="785">
        <v>44685.625937500001</v>
      </c>
    </row>
    <row r="3223" spans="1:21">
      <c r="A3223" s="782">
        <v>44686</v>
      </c>
      <c r="B3223" s="783" t="s">
        <v>41</v>
      </c>
      <c r="C3223" s="783" t="s">
        <v>4092</v>
      </c>
      <c r="D3223" s="783" t="s">
        <v>4009</v>
      </c>
      <c r="E3223" s="783" t="s">
        <v>5273</v>
      </c>
      <c r="F3223" s="783" t="s">
        <v>4011</v>
      </c>
      <c r="G3223" s="783" t="str">
        <f t="shared" si="171"/>
        <v>New Contract</v>
      </c>
      <c r="H3223" s="783" t="s">
        <v>5274</v>
      </c>
      <c r="I3223" s="783" t="s">
        <v>5275</v>
      </c>
      <c r="J3223" s="783">
        <v>25</v>
      </c>
      <c r="K3223" s="783" t="s">
        <v>183</v>
      </c>
      <c r="L3223" s="783" t="s">
        <v>4096</v>
      </c>
      <c r="M3223" s="784">
        <v>6078.8</v>
      </c>
      <c r="N3223" s="784">
        <v>5.6</v>
      </c>
      <c r="O3223" s="784">
        <v>6.5</v>
      </c>
      <c r="P3223" s="783">
        <v>167</v>
      </c>
      <c r="Q3223" s="783">
        <v>284.49</v>
      </c>
      <c r="R3223" s="783">
        <v>214.58</v>
      </c>
      <c r="S3223" s="783">
        <v>39.51</v>
      </c>
      <c r="T3223" s="783">
        <v>30.39</v>
      </c>
      <c r="U3223" s="785">
        <v>44687.614872685197</v>
      </c>
    </row>
    <row r="3224" spans="1:21">
      <c r="A3224" s="782">
        <v>44691</v>
      </c>
      <c r="B3224" s="783" t="s">
        <v>41</v>
      </c>
      <c r="C3224" s="783" t="s">
        <v>4092</v>
      </c>
      <c r="D3224" s="783" t="s">
        <v>4009</v>
      </c>
      <c r="E3224" s="783" t="s">
        <v>5276</v>
      </c>
      <c r="F3224" s="783" t="s">
        <v>4011</v>
      </c>
      <c r="G3224" s="783" t="str">
        <f t="shared" si="171"/>
        <v>Renewal (20% in 2020)</v>
      </c>
      <c r="H3224" s="783" t="s">
        <v>5277</v>
      </c>
      <c r="I3224" s="783" t="s">
        <v>5278</v>
      </c>
      <c r="J3224" s="783">
        <v>20</v>
      </c>
      <c r="K3224" s="783" t="s">
        <v>183</v>
      </c>
      <c r="L3224" s="783" t="s">
        <v>4096</v>
      </c>
      <c r="M3224" s="784">
        <v>16957.3</v>
      </c>
      <c r="N3224" s="784">
        <v>23.13</v>
      </c>
      <c r="O3224" s="784">
        <v>4.3899999999999997</v>
      </c>
      <c r="P3224" s="783">
        <v>167</v>
      </c>
      <c r="Q3224" s="783">
        <v>1025.92</v>
      </c>
      <c r="R3224" s="783">
        <v>598.59</v>
      </c>
      <c r="S3224" s="783">
        <v>110.22</v>
      </c>
      <c r="T3224" s="783">
        <v>317.10000000000002</v>
      </c>
      <c r="U3224" s="785">
        <v>44708.6492939815</v>
      </c>
    </row>
    <row r="3225" spans="1:21">
      <c r="A3225" s="782">
        <v>44687</v>
      </c>
      <c r="B3225" s="783" t="s">
        <v>51</v>
      </c>
      <c r="C3225" s="783" t="s">
        <v>4042</v>
      </c>
      <c r="D3225" s="783" t="s">
        <v>4016</v>
      </c>
      <c r="E3225" s="783" t="s">
        <v>4043</v>
      </c>
      <c r="F3225" s="783" t="s">
        <v>4011</v>
      </c>
      <c r="G3225" s="783" t="s">
        <v>4028</v>
      </c>
      <c r="H3225" s="783" t="s">
        <v>4044</v>
      </c>
      <c r="I3225" s="783" t="s">
        <v>4045</v>
      </c>
      <c r="J3225" s="783">
        <v>25</v>
      </c>
      <c r="K3225" s="783" t="s">
        <v>183</v>
      </c>
      <c r="L3225" s="783" t="s">
        <v>4096</v>
      </c>
      <c r="M3225" s="784">
        <v>72565.440000000002</v>
      </c>
      <c r="N3225" s="784">
        <v>86.08</v>
      </c>
      <c r="O3225" s="784">
        <v>5.62</v>
      </c>
      <c r="P3225" s="783">
        <v>150</v>
      </c>
      <c r="Q3225" s="783">
        <v>3171.11</v>
      </c>
      <c r="R3225" s="783">
        <v>2372.89</v>
      </c>
      <c r="S3225" s="783">
        <v>370.08</v>
      </c>
      <c r="T3225" s="783">
        <v>428.14</v>
      </c>
      <c r="U3225" s="785">
        <v>44687.596307870401</v>
      </c>
    </row>
    <row r="3226" spans="1:21">
      <c r="A3226" s="782">
        <v>44687</v>
      </c>
      <c r="B3226" s="783" t="s">
        <v>118</v>
      </c>
      <c r="C3226" s="783" t="s">
        <v>4139</v>
      </c>
      <c r="D3226" s="783" t="s">
        <v>4009</v>
      </c>
      <c r="E3226" s="783" t="s">
        <v>5282</v>
      </c>
      <c r="F3226" s="783" t="s">
        <v>4011</v>
      </c>
      <c r="G3226" s="783" t="str">
        <f t="shared" ref="G3226:G3231" si="172">VLOOKUP(I3226,pacage,2,FALSE)</f>
        <v>Renewal (15% in 2020)</v>
      </c>
      <c r="H3226" s="783" t="s">
        <v>5283</v>
      </c>
      <c r="I3226" s="783" t="s">
        <v>5284</v>
      </c>
      <c r="J3226" s="783">
        <v>15</v>
      </c>
      <c r="K3226" s="783" t="s">
        <v>183</v>
      </c>
      <c r="L3226" s="783" t="s">
        <v>4096</v>
      </c>
      <c r="M3226" s="784">
        <v>5266.33</v>
      </c>
      <c r="N3226" s="784">
        <v>4.82</v>
      </c>
      <c r="O3226" s="784">
        <v>6.07</v>
      </c>
      <c r="P3226" s="783">
        <v>180</v>
      </c>
      <c r="Q3226" s="783">
        <v>390.24</v>
      </c>
      <c r="R3226" s="783">
        <v>162.69999999999999</v>
      </c>
      <c r="S3226" s="783">
        <v>39</v>
      </c>
      <c r="T3226" s="783">
        <v>188.53</v>
      </c>
      <c r="U3226" s="785">
        <v>44690.591203703698</v>
      </c>
    </row>
    <row r="3227" spans="1:21">
      <c r="A3227" s="782">
        <v>44501</v>
      </c>
      <c r="B3227" s="783" t="s">
        <v>51</v>
      </c>
      <c r="C3227" s="783" t="s">
        <v>4796</v>
      </c>
      <c r="D3227" s="783" t="s">
        <v>4016</v>
      </c>
      <c r="E3227" s="783" t="s">
        <v>7102</v>
      </c>
      <c r="F3227" s="783" t="s">
        <v>4066</v>
      </c>
      <c r="G3227" s="783" t="str">
        <f t="shared" si="172"/>
        <v>New Contract</v>
      </c>
      <c r="H3227" s="783" t="s">
        <v>7103</v>
      </c>
      <c r="I3227" s="783" t="s">
        <v>7104</v>
      </c>
      <c r="J3227" s="783">
        <v>10</v>
      </c>
      <c r="K3227" s="783" t="s">
        <v>183</v>
      </c>
      <c r="L3227" s="783" t="s">
        <v>4096</v>
      </c>
      <c r="M3227" s="784">
        <v>11447.8</v>
      </c>
      <c r="N3227" s="784">
        <v>10.36</v>
      </c>
      <c r="O3227" s="784">
        <v>6.5</v>
      </c>
      <c r="P3227" s="783">
        <v>170</v>
      </c>
      <c r="Q3227" s="783">
        <v>153.4</v>
      </c>
      <c r="R3227" s="783">
        <v>0</v>
      </c>
      <c r="S3227" s="783">
        <v>0</v>
      </c>
      <c r="T3227" s="783">
        <v>153.4</v>
      </c>
      <c r="U3227" s="785">
        <v>44687.666817129597</v>
      </c>
    </row>
    <row r="3228" spans="1:21">
      <c r="A3228" s="782">
        <v>44676</v>
      </c>
      <c r="B3228" s="783" t="s">
        <v>34</v>
      </c>
      <c r="C3228" s="783" t="s">
        <v>4139</v>
      </c>
      <c r="D3228" s="783" t="s">
        <v>4009</v>
      </c>
      <c r="E3228" s="783" t="s">
        <v>5288</v>
      </c>
      <c r="F3228" s="783" t="s">
        <v>4011</v>
      </c>
      <c r="G3228" s="783" t="str">
        <f t="shared" si="172"/>
        <v>Renewal (15% in 2020)</v>
      </c>
      <c r="H3228" s="783" t="s">
        <v>5289</v>
      </c>
      <c r="I3228" s="783" t="s">
        <v>5290</v>
      </c>
      <c r="J3228" s="783">
        <v>15</v>
      </c>
      <c r="K3228" s="783" t="s">
        <v>183</v>
      </c>
      <c r="L3228" s="783" t="s">
        <v>4096</v>
      </c>
      <c r="M3228" s="784">
        <v>10880.19</v>
      </c>
      <c r="N3228" s="784">
        <v>10.62</v>
      </c>
      <c r="O3228" s="784">
        <v>6.83</v>
      </c>
      <c r="P3228" s="783">
        <v>150</v>
      </c>
      <c r="Q3228" s="783">
        <v>806.22</v>
      </c>
      <c r="R3228" s="783">
        <v>362.31</v>
      </c>
      <c r="S3228" s="783">
        <v>54.4</v>
      </c>
      <c r="T3228" s="783">
        <v>389.51</v>
      </c>
      <c r="U3228" s="785">
        <v>44676.723749999997</v>
      </c>
    </row>
    <row r="3229" spans="1:21">
      <c r="A3229" s="782">
        <v>44663</v>
      </c>
      <c r="B3229" s="783" t="s">
        <v>41</v>
      </c>
      <c r="C3229" s="783" t="s">
        <v>4092</v>
      </c>
      <c r="D3229" s="783" t="s">
        <v>4009</v>
      </c>
      <c r="E3229" s="783" t="s">
        <v>4301</v>
      </c>
      <c r="F3229" s="783" t="s">
        <v>4011</v>
      </c>
      <c r="G3229" s="783" t="str">
        <f t="shared" si="172"/>
        <v>Renewal (15% in 2020)</v>
      </c>
      <c r="H3229" s="783" t="s">
        <v>4302</v>
      </c>
      <c r="I3229" s="783" t="s">
        <v>4303</v>
      </c>
      <c r="J3229" s="783">
        <v>15</v>
      </c>
      <c r="K3229" s="783" t="s">
        <v>183</v>
      </c>
      <c r="L3229" s="783" t="s">
        <v>4096</v>
      </c>
      <c r="M3229" s="784">
        <v>6693.12</v>
      </c>
      <c r="N3229" s="784">
        <v>8.4</v>
      </c>
      <c r="O3229" s="784">
        <v>4.9800000000000004</v>
      </c>
      <c r="P3229" s="783">
        <v>160</v>
      </c>
      <c r="Q3229" s="783">
        <v>542.14</v>
      </c>
      <c r="R3229" s="783">
        <v>236.27</v>
      </c>
      <c r="S3229" s="783">
        <v>43.51</v>
      </c>
      <c r="T3229" s="783">
        <v>262.37</v>
      </c>
      <c r="U3229" s="785">
        <v>44663.637013888903</v>
      </c>
    </row>
    <row r="3230" spans="1:21">
      <c r="A3230" s="782">
        <v>44665</v>
      </c>
      <c r="B3230" s="783" t="s">
        <v>74</v>
      </c>
      <c r="C3230" s="783" t="s">
        <v>4037</v>
      </c>
      <c r="D3230" s="783" t="s">
        <v>4038</v>
      </c>
      <c r="E3230" s="783" t="s">
        <v>4304</v>
      </c>
      <c r="F3230" s="783" t="s">
        <v>4011</v>
      </c>
      <c r="G3230" s="783" t="str">
        <f t="shared" si="172"/>
        <v>Renewal (15% in 2020)</v>
      </c>
      <c r="H3230" s="783" t="s">
        <v>4305</v>
      </c>
      <c r="I3230" s="783" t="s">
        <v>4306</v>
      </c>
      <c r="J3230" s="783">
        <v>30</v>
      </c>
      <c r="K3230" s="783" t="s">
        <v>183</v>
      </c>
      <c r="L3230" s="783" t="s">
        <v>4096</v>
      </c>
      <c r="M3230" s="784">
        <v>11439.39</v>
      </c>
      <c r="N3230" s="784">
        <v>16.43</v>
      </c>
      <c r="O3230" s="784">
        <v>5.57</v>
      </c>
      <c r="P3230" s="783">
        <v>125</v>
      </c>
      <c r="Q3230" s="783">
        <v>729.83</v>
      </c>
      <c r="R3230" s="783">
        <v>550.23</v>
      </c>
      <c r="S3230" s="783">
        <v>0</v>
      </c>
      <c r="T3230" s="783">
        <v>179.6</v>
      </c>
      <c r="U3230" s="785">
        <v>44666.389201388898</v>
      </c>
    </row>
    <row r="3231" spans="1:21">
      <c r="A3231" s="782">
        <v>44665</v>
      </c>
      <c r="B3231" s="783" t="s">
        <v>41</v>
      </c>
      <c r="C3231" s="783" t="s">
        <v>4092</v>
      </c>
      <c r="D3231" s="783" t="s">
        <v>4009</v>
      </c>
      <c r="E3231" s="783" t="s">
        <v>4310</v>
      </c>
      <c r="F3231" s="783" t="s">
        <v>4011</v>
      </c>
      <c r="G3231" s="783" t="str">
        <f t="shared" si="172"/>
        <v>New Contract</v>
      </c>
      <c r="H3231" s="783" t="s">
        <v>4311</v>
      </c>
      <c r="I3231" s="783" t="s">
        <v>4312</v>
      </c>
      <c r="J3231" s="783">
        <v>25</v>
      </c>
      <c r="K3231" s="783" t="s">
        <v>183</v>
      </c>
      <c r="L3231" s="783" t="s">
        <v>4096</v>
      </c>
      <c r="M3231" s="784">
        <v>6659.84</v>
      </c>
      <c r="N3231" s="784">
        <v>8.33</v>
      </c>
      <c r="O3231" s="784">
        <v>5.33</v>
      </c>
      <c r="P3231" s="783">
        <v>150</v>
      </c>
      <c r="Q3231" s="783">
        <v>311.68</v>
      </c>
      <c r="R3231" s="783">
        <v>235.09</v>
      </c>
      <c r="S3231" s="783">
        <v>43.29</v>
      </c>
      <c r="T3231" s="783">
        <v>33.299999999999997</v>
      </c>
      <c r="U3231" s="785">
        <v>44665.6621759259</v>
      </c>
    </row>
    <row r="3232" spans="1:21">
      <c r="A3232" s="782">
        <v>44668</v>
      </c>
      <c r="B3232" s="783" t="s">
        <v>4025</v>
      </c>
      <c r="C3232" s="783" t="s">
        <v>4026</v>
      </c>
      <c r="D3232" s="783" t="s">
        <v>4021</v>
      </c>
      <c r="E3232" s="783" t="s">
        <v>5291</v>
      </c>
      <c r="F3232" s="783" t="s">
        <v>4066</v>
      </c>
      <c r="G3232" s="783" t="s">
        <v>4028</v>
      </c>
      <c r="H3232" s="783" t="s">
        <v>5292</v>
      </c>
      <c r="I3232" s="783" t="s">
        <v>5293</v>
      </c>
      <c r="J3232" s="783">
        <v>5</v>
      </c>
      <c r="K3232" s="783" t="s">
        <v>183</v>
      </c>
      <c r="L3232" s="783" t="s">
        <v>4096</v>
      </c>
      <c r="M3232" s="784">
        <v>22050</v>
      </c>
      <c r="N3232" s="784">
        <v>17.5</v>
      </c>
      <c r="O3232" s="784">
        <v>7</v>
      </c>
      <c r="P3232" s="783">
        <v>180</v>
      </c>
      <c r="Q3232" s="783">
        <v>520.38</v>
      </c>
      <c r="R3232" s="783">
        <v>0</v>
      </c>
      <c r="S3232" s="783">
        <v>0</v>
      </c>
      <c r="T3232" s="783">
        <v>520.38</v>
      </c>
      <c r="U3232" s="785">
        <v>44671.489861111098</v>
      </c>
    </row>
    <row r="3233" spans="1:21">
      <c r="A3233" s="782">
        <v>44665</v>
      </c>
      <c r="B3233" s="783" t="s">
        <v>41</v>
      </c>
      <c r="C3233" s="783" t="s">
        <v>4092</v>
      </c>
      <c r="D3233" s="783" t="s">
        <v>4009</v>
      </c>
      <c r="E3233" s="783" t="s">
        <v>4125</v>
      </c>
      <c r="F3233" s="783" t="s">
        <v>4011</v>
      </c>
      <c r="G3233" s="783" t="str">
        <f t="shared" ref="G3233:G3263" si="173">VLOOKUP(I3233,pacage,2,FALSE)</f>
        <v>Renewal (20% in 2020)</v>
      </c>
      <c r="H3233" s="783" t="s">
        <v>4126</v>
      </c>
      <c r="I3233" s="783" t="s">
        <v>4127</v>
      </c>
      <c r="J3233" s="783">
        <v>20</v>
      </c>
      <c r="K3233" s="783" t="s">
        <v>183</v>
      </c>
      <c r="L3233" s="783" t="s">
        <v>4096</v>
      </c>
      <c r="M3233" s="784">
        <v>21817.18</v>
      </c>
      <c r="N3233" s="784">
        <v>22</v>
      </c>
      <c r="O3233" s="784">
        <v>4.57</v>
      </c>
      <c r="P3233" s="783">
        <v>217</v>
      </c>
      <c r="Q3233" s="783">
        <v>1319.94</v>
      </c>
      <c r="R3233" s="783">
        <v>592.69000000000005</v>
      </c>
      <c r="S3233" s="783">
        <v>319.26</v>
      </c>
      <c r="T3233" s="783">
        <v>407.98</v>
      </c>
      <c r="U3233" s="785">
        <v>44665.668240740699</v>
      </c>
    </row>
    <row r="3234" spans="1:21">
      <c r="A3234" s="782">
        <v>44712</v>
      </c>
      <c r="B3234" s="783" t="s">
        <v>715</v>
      </c>
      <c r="C3234" s="783" t="s">
        <v>4042</v>
      </c>
      <c r="D3234" s="783" t="s">
        <v>4016</v>
      </c>
      <c r="E3234" s="783" t="s">
        <v>1478</v>
      </c>
      <c r="F3234" s="783" t="s">
        <v>4011</v>
      </c>
      <c r="G3234" s="783" t="str">
        <f t="shared" si="173"/>
        <v>Renewal (20% in 2020)</v>
      </c>
      <c r="H3234" s="783" t="s">
        <v>5302</v>
      </c>
      <c r="I3234" s="783" t="s">
        <v>5303</v>
      </c>
      <c r="J3234" s="783">
        <v>20</v>
      </c>
      <c r="K3234" s="783" t="s">
        <v>183</v>
      </c>
      <c r="L3234" s="783" t="s">
        <v>4096</v>
      </c>
      <c r="M3234" s="784">
        <v>166277.39000000001</v>
      </c>
      <c r="N3234" s="784">
        <v>99.01</v>
      </c>
      <c r="O3234" s="784">
        <v>6.22</v>
      </c>
      <c r="P3234" s="783">
        <v>270</v>
      </c>
      <c r="Q3234" s="783">
        <v>9311.5300000000007</v>
      </c>
      <c r="R3234" s="783">
        <v>3363.05</v>
      </c>
      <c r="S3234" s="783">
        <v>2922.23</v>
      </c>
      <c r="T3234" s="783">
        <v>3026.25</v>
      </c>
      <c r="U3234" s="785">
        <v>44714.010312500002</v>
      </c>
    </row>
    <row r="3235" spans="1:21">
      <c r="A3235" s="782">
        <v>44712</v>
      </c>
      <c r="B3235" s="783" t="s">
        <v>30</v>
      </c>
      <c r="C3235" s="783" t="s">
        <v>4239</v>
      </c>
      <c r="D3235" s="783" t="s">
        <v>4021</v>
      </c>
      <c r="E3235" s="783" t="s">
        <v>787</v>
      </c>
      <c r="F3235" s="783" t="s">
        <v>4011</v>
      </c>
      <c r="G3235" s="783" t="str">
        <f t="shared" si="173"/>
        <v>Renewal (15% in 2020)</v>
      </c>
      <c r="H3235" s="783" t="s">
        <v>5304</v>
      </c>
      <c r="I3235" s="783" t="s">
        <v>5305</v>
      </c>
      <c r="J3235" s="783">
        <v>15</v>
      </c>
      <c r="K3235" s="783" t="s">
        <v>183</v>
      </c>
      <c r="L3235" s="783" t="s">
        <v>4096</v>
      </c>
      <c r="M3235" s="784">
        <v>25208.82</v>
      </c>
      <c r="N3235" s="784">
        <v>26.6</v>
      </c>
      <c r="O3235" s="784">
        <v>7.02</v>
      </c>
      <c r="P3235" s="783">
        <v>135</v>
      </c>
      <c r="Q3235" s="783">
        <v>2223.42</v>
      </c>
      <c r="R3235" s="783">
        <v>925.16</v>
      </c>
      <c r="S3235" s="783">
        <v>204.19</v>
      </c>
      <c r="T3235" s="783">
        <v>1094.06</v>
      </c>
      <c r="U3235" s="785">
        <v>44714.581064814804</v>
      </c>
    </row>
    <row r="3236" spans="1:21">
      <c r="A3236" s="782">
        <v>44697</v>
      </c>
      <c r="B3236" s="783" t="s">
        <v>41</v>
      </c>
      <c r="C3236" s="783" t="s">
        <v>4092</v>
      </c>
      <c r="D3236" s="783" t="s">
        <v>4009</v>
      </c>
      <c r="E3236" s="783" t="s">
        <v>4128</v>
      </c>
      <c r="F3236" s="783" t="s">
        <v>4011</v>
      </c>
      <c r="G3236" s="783" t="str">
        <f t="shared" si="173"/>
        <v>Renewal (20% in 2020)</v>
      </c>
      <c r="H3236" s="783" t="s">
        <v>4129</v>
      </c>
      <c r="I3236" s="783" t="s">
        <v>4130</v>
      </c>
      <c r="J3236" s="783">
        <v>20</v>
      </c>
      <c r="K3236" s="783" t="s">
        <v>183</v>
      </c>
      <c r="L3236" s="783" t="s">
        <v>4096</v>
      </c>
      <c r="M3236" s="784">
        <v>4439.04</v>
      </c>
      <c r="N3236" s="784">
        <v>5.44</v>
      </c>
      <c r="O3236" s="784">
        <v>4.08</v>
      </c>
      <c r="P3236" s="783">
        <v>200</v>
      </c>
      <c r="Q3236" s="783">
        <v>268.56</v>
      </c>
      <c r="R3236" s="783">
        <v>130.84</v>
      </c>
      <c r="S3236" s="783">
        <v>54.71</v>
      </c>
      <c r="T3236" s="783">
        <v>83.01</v>
      </c>
      <c r="U3236" s="785">
        <v>44699.507303240702</v>
      </c>
    </row>
    <row r="3237" spans="1:21">
      <c r="A3237" s="782">
        <v>44699</v>
      </c>
      <c r="B3237" s="783" t="s">
        <v>41</v>
      </c>
      <c r="C3237" s="783" t="s">
        <v>4008</v>
      </c>
      <c r="D3237" s="783" t="s">
        <v>4009</v>
      </c>
      <c r="E3237" s="783" t="s">
        <v>507</v>
      </c>
      <c r="F3237" s="783" t="s">
        <v>4011</v>
      </c>
      <c r="G3237" s="783" t="str">
        <f t="shared" si="173"/>
        <v>Renewal (15% in 2020)</v>
      </c>
      <c r="H3237" s="783" t="s">
        <v>4318</v>
      </c>
      <c r="I3237" s="783" t="s">
        <v>4319</v>
      </c>
      <c r="J3237" s="783">
        <v>15</v>
      </c>
      <c r="K3237" s="783" t="s">
        <v>183</v>
      </c>
      <c r="L3237" s="783" t="s">
        <v>4096</v>
      </c>
      <c r="M3237" s="784">
        <v>54877.68</v>
      </c>
      <c r="N3237" s="784">
        <v>54.12</v>
      </c>
      <c r="O3237" s="784">
        <v>6.76</v>
      </c>
      <c r="P3237" s="783">
        <v>150</v>
      </c>
      <c r="Q3237" s="783">
        <v>4670.09</v>
      </c>
      <c r="R3237" s="783">
        <v>1986.57</v>
      </c>
      <c r="S3237" s="783">
        <v>318.29000000000002</v>
      </c>
      <c r="T3237" s="783">
        <v>2365.23</v>
      </c>
      <c r="U3237" s="785">
        <v>44700.5155324074</v>
      </c>
    </row>
    <row r="3238" spans="1:21">
      <c r="A3238" s="782">
        <v>44699</v>
      </c>
      <c r="B3238" s="783" t="s">
        <v>2866</v>
      </c>
      <c r="C3238" s="783" t="s">
        <v>4414</v>
      </c>
      <c r="D3238" s="783" t="s">
        <v>4009</v>
      </c>
      <c r="E3238" s="783" t="s">
        <v>5324</v>
      </c>
      <c r="F3238" s="783" t="s">
        <v>4011</v>
      </c>
      <c r="G3238" s="783" t="str">
        <f t="shared" si="173"/>
        <v>Renewal (15% in 2020)</v>
      </c>
      <c r="H3238" s="783" t="s">
        <v>5325</v>
      </c>
      <c r="I3238" s="783" t="s">
        <v>5326</v>
      </c>
      <c r="J3238" s="783">
        <v>20</v>
      </c>
      <c r="K3238" s="783" t="s">
        <v>183</v>
      </c>
      <c r="L3238" s="783" t="s">
        <v>4096</v>
      </c>
      <c r="M3238" s="784">
        <v>1015.56</v>
      </c>
      <c r="N3238" s="784">
        <v>2.17</v>
      </c>
      <c r="O3238" s="784">
        <v>5.2</v>
      </c>
      <c r="P3238" s="783">
        <v>90</v>
      </c>
      <c r="Q3238" s="783">
        <v>84.9</v>
      </c>
      <c r="R3238" s="783">
        <v>45.19</v>
      </c>
      <c r="S3238" s="783">
        <v>7.21</v>
      </c>
      <c r="T3238" s="783">
        <v>32.5</v>
      </c>
      <c r="U3238" s="785">
        <v>44708.702685185199</v>
      </c>
    </row>
    <row r="3239" spans="1:21">
      <c r="A3239" s="782">
        <v>44693</v>
      </c>
      <c r="B3239" s="783" t="s">
        <v>51</v>
      </c>
      <c r="C3239" s="783" t="s">
        <v>4015</v>
      </c>
      <c r="D3239" s="783" t="s">
        <v>4016</v>
      </c>
      <c r="E3239" s="783" t="s">
        <v>1719</v>
      </c>
      <c r="F3239" s="783" t="s">
        <v>4011</v>
      </c>
      <c r="G3239" s="783" t="str">
        <f t="shared" si="173"/>
        <v>Renewal (20% in 2020)</v>
      </c>
      <c r="H3239" s="783" t="s">
        <v>5330</v>
      </c>
      <c r="I3239" s="783" t="s">
        <v>5331</v>
      </c>
      <c r="J3239" s="783">
        <v>20</v>
      </c>
      <c r="K3239" s="783" t="s">
        <v>183</v>
      </c>
      <c r="L3239" s="783" t="s">
        <v>4096</v>
      </c>
      <c r="M3239" s="784">
        <v>29647.3</v>
      </c>
      <c r="N3239" s="784">
        <v>25.92</v>
      </c>
      <c r="O3239" s="784">
        <v>6.02</v>
      </c>
      <c r="P3239" s="783">
        <v>190</v>
      </c>
      <c r="Q3239" s="783">
        <v>1517.94</v>
      </c>
      <c r="R3239" s="783">
        <v>768.72</v>
      </c>
      <c r="S3239" s="783">
        <v>239.28</v>
      </c>
      <c r="T3239" s="783">
        <v>509.93</v>
      </c>
      <c r="U3239" s="785">
        <v>44693.600937499999</v>
      </c>
    </row>
    <row r="3240" spans="1:21">
      <c r="A3240" s="782">
        <v>44694</v>
      </c>
      <c r="B3240" s="783" t="s">
        <v>150</v>
      </c>
      <c r="C3240" s="783" t="s">
        <v>4606</v>
      </c>
      <c r="D3240" s="783" t="s">
        <v>4009</v>
      </c>
      <c r="E3240" s="783" t="s">
        <v>2257</v>
      </c>
      <c r="F3240" s="783" t="s">
        <v>4011</v>
      </c>
      <c r="G3240" s="783" t="str">
        <f t="shared" si="173"/>
        <v>New Contract</v>
      </c>
      <c r="H3240" s="783" t="s">
        <v>6893</v>
      </c>
      <c r="I3240" s="783" t="s">
        <v>6894</v>
      </c>
      <c r="J3240" s="783">
        <v>20</v>
      </c>
      <c r="K3240" s="783" t="s">
        <v>183</v>
      </c>
      <c r="L3240" s="783" t="s">
        <v>4096</v>
      </c>
      <c r="M3240" s="784">
        <v>12198.63</v>
      </c>
      <c r="N3240" s="784">
        <v>10.26</v>
      </c>
      <c r="O3240" s="784">
        <v>5.53</v>
      </c>
      <c r="P3240" s="783">
        <v>215</v>
      </c>
      <c r="Q3240" s="783">
        <v>1019.81</v>
      </c>
      <c r="R3240" s="783">
        <v>430.17</v>
      </c>
      <c r="S3240" s="783">
        <v>210.25</v>
      </c>
      <c r="T3240" s="783">
        <v>379.38</v>
      </c>
      <c r="U3240" s="785">
        <v>44694.523217592599</v>
      </c>
    </row>
    <row r="3241" spans="1:21">
      <c r="A3241" s="782">
        <v>44694</v>
      </c>
      <c r="B3241" s="783" t="s">
        <v>41</v>
      </c>
      <c r="C3241" s="783" t="s">
        <v>4082</v>
      </c>
      <c r="D3241" s="783" t="s">
        <v>4009</v>
      </c>
      <c r="E3241" s="783" t="s">
        <v>5332</v>
      </c>
      <c r="F3241" s="783" t="s">
        <v>4011</v>
      </c>
      <c r="G3241" s="783" t="str">
        <f t="shared" si="173"/>
        <v>Renewal (15% in 2020)</v>
      </c>
      <c r="H3241" s="783" t="s">
        <v>5333</v>
      </c>
      <c r="I3241" s="783" t="s">
        <v>5334</v>
      </c>
      <c r="J3241" s="783">
        <v>15</v>
      </c>
      <c r="K3241" s="783" t="s">
        <v>183</v>
      </c>
      <c r="L3241" s="783" t="s">
        <v>4096</v>
      </c>
      <c r="M3241" s="784">
        <v>11445.67</v>
      </c>
      <c r="N3241" s="784">
        <v>9.59</v>
      </c>
      <c r="O3241" s="784">
        <v>5.5</v>
      </c>
      <c r="P3241" s="783">
        <v>217</v>
      </c>
      <c r="Q3241" s="783">
        <v>893.91</v>
      </c>
      <c r="R3241" s="783">
        <v>300.37</v>
      </c>
      <c r="S3241" s="783">
        <v>160.88999999999999</v>
      </c>
      <c r="T3241" s="783">
        <v>432.65</v>
      </c>
      <c r="U3241" s="785">
        <v>44697.506168981497</v>
      </c>
    </row>
    <row r="3242" spans="1:21">
      <c r="A3242" s="782">
        <v>44706</v>
      </c>
      <c r="B3242" s="783" t="s">
        <v>41</v>
      </c>
      <c r="C3242" s="783" t="s">
        <v>4071</v>
      </c>
      <c r="D3242" s="783" t="s">
        <v>4009</v>
      </c>
      <c r="E3242" s="783" t="s">
        <v>5335</v>
      </c>
      <c r="F3242" s="783" t="s">
        <v>4011</v>
      </c>
      <c r="G3242" s="783" t="str">
        <f t="shared" si="173"/>
        <v>Renewal (15% in 2020)</v>
      </c>
      <c r="H3242" s="783" t="s">
        <v>5336</v>
      </c>
      <c r="I3242" s="783" t="s">
        <v>5337</v>
      </c>
      <c r="J3242" s="783">
        <v>15</v>
      </c>
      <c r="K3242" s="783" t="s">
        <v>183</v>
      </c>
      <c r="L3242" s="783" t="s">
        <v>4096</v>
      </c>
      <c r="M3242" s="784">
        <v>16042.75</v>
      </c>
      <c r="N3242" s="784">
        <v>17.53</v>
      </c>
      <c r="O3242" s="784">
        <v>5.48</v>
      </c>
      <c r="P3242" s="783">
        <v>167</v>
      </c>
      <c r="Q3242" s="783">
        <v>962.57</v>
      </c>
      <c r="R3242" s="783">
        <v>433.15</v>
      </c>
      <c r="S3242" s="783">
        <v>64.17</v>
      </c>
      <c r="T3242" s="783">
        <v>465.24</v>
      </c>
      <c r="U3242" s="785">
        <v>44708.580891203703</v>
      </c>
    </row>
    <row r="3243" spans="1:21">
      <c r="A3243" s="782">
        <v>44698</v>
      </c>
      <c r="B3243" s="783" t="s">
        <v>41</v>
      </c>
      <c r="C3243" s="783" t="s">
        <v>4092</v>
      </c>
      <c r="D3243" s="783" t="s">
        <v>4009</v>
      </c>
      <c r="E3243" s="783" t="s">
        <v>5338</v>
      </c>
      <c r="F3243" s="783" t="s">
        <v>4011</v>
      </c>
      <c r="G3243" s="783" t="str">
        <f t="shared" si="173"/>
        <v>Renewal (15% in 2020)</v>
      </c>
      <c r="H3243" s="783" t="s">
        <v>5339</v>
      </c>
      <c r="I3243" s="783" t="s">
        <v>5340</v>
      </c>
      <c r="J3243" s="783">
        <v>15</v>
      </c>
      <c r="K3243" s="783" t="s">
        <v>183</v>
      </c>
      <c r="L3243" s="783" t="s">
        <v>4096</v>
      </c>
      <c r="M3243" s="784">
        <v>20550.3</v>
      </c>
      <c r="N3243" s="784">
        <v>30.27</v>
      </c>
      <c r="O3243" s="784">
        <v>4.38</v>
      </c>
      <c r="P3243" s="783">
        <v>155</v>
      </c>
      <c r="Q3243" s="783">
        <v>1664.57</v>
      </c>
      <c r="R3243" s="783">
        <v>725.43</v>
      </c>
      <c r="S3243" s="783">
        <v>133.58000000000001</v>
      </c>
      <c r="T3243" s="783">
        <v>805.57</v>
      </c>
      <c r="U3243" s="785">
        <v>44699.495023148098</v>
      </c>
    </row>
    <row r="3244" spans="1:21">
      <c r="A3244" s="782">
        <v>44540</v>
      </c>
      <c r="B3244" s="783" t="s">
        <v>4025</v>
      </c>
      <c r="C3244" s="783" t="s">
        <v>4026</v>
      </c>
      <c r="D3244" s="783" t="s">
        <v>4021</v>
      </c>
      <c r="E3244" s="783" t="s">
        <v>5341</v>
      </c>
      <c r="F3244" s="783" t="s">
        <v>4011</v>
      </c>
      <c r="G3244" s="783" t="str">
        <f t="shared" si="173"/>
        <v>New Contract</v>
      </c>
      <c r="H3244" s="783" t="s">
        <v>5342</v>
      </c>
      <c r="I3244" s="783" t="s">
        <v>5343</v>
      </c>
      <c r="J3244" s="783">
        <v>25</v>
      </c>
      <c r="K3244" s="783" t="s">
        <v>183</v>
      </c>
      <c r="L3244" s="783" t="s">
        <v>4096</v>
      </c>
      <c r="M3244" s="784">
        <v>17122.88</v>
      </c>
      <c r="N3244" s="784">
        <v>19.25</v>
      </c>
      <c r="O3244" s="784">
        <v>5.93</v>
      </c>
      <c r="P3244" s="783">
        <v>150</v>
      </c>
      <c r="Q3244" s="783">
        <v>970.87</v>
      </c>
      <c r="R3244" s="783">
        <v>707.17</v>
      </c>
      <c r="S3244" s="783">
        <v>109.59</v>
      </c>
      <c r="T3244" s="783">
        <v>154.11000000000001</v>
      </c>
      <c r="U3244" s="785">
        <v>44631.629675925898</v>
      </c>
    </row>
    <row r="3245" spans="1:21">
      <c r="A3245" s="782">
        <v>44548</v>
      </c>
      <c r="B3245" s="783" t="s">
        <v>47</v>
      </c>
      <c r="C3245" s="783" t="s">
        <v>4916</v>
      </c>
      <c r="D3245" s="783" t="s">
        <v>4102</v>
      </c>
      <c r="E3245" s="783" t="s">
        <v>5344</v>
      </c>
      <c r="F3245" s="783" t="s">
        <v>4011</v>
      </c>
      <c r="G3245" s="783" t="str">
        <f t="shared" si="173"/>
        <v>New contract</v>
      </c>
      <c r="H3245" s="783" t="s">
        <v>5345</v>
      </c>
      <c r="I3245" s="783" t="s">
        <v>5346</v>
      </c>
      <c r="J3245" s="783">
        <v>20</v>
      </c>
      <c r="K3245" s="783" t="s">
        <v>183</v>
      </c>
      <c r="L3245" s="783" t="s">
        <v>4096</v>
      </c>
      <c r="M3245" s="784">
        <v>45675.53</v>
      </c>
      <c r="N3245" s="784">
        <v>25.27</v>
      </c>
      <c r="O3245" s="784">
        <v>7.23</v>
      </c>
      <c r="P3245" s="783">
        <v>250</v>
      </c>
      <c r="Q3245" s="783">
        <v>2265.5100000000002</v>
      </c>
      <c r="R3245" s="783">
        <v>890.93</v>
      </c>
      <c r="S3245" s="783">
        <v>648.34</v>
      </c>
      <c r="T3245" s="783">
        <v>726.24</v>
      </c>
      <c r="U3245" s="785">
        <v>44631.626655092601</v>
      </c>
    </row>
    <row r="3246" spans="1:21">
      <c r="A3246" s="782">
        <v>44560</v>
      </c>
      <c r="B3246" s="783" t="s">
        <v>228</v>
      </c>
      <c r="C3246" s="783" t="s">
        <v>4251</v>
      </c>
      <c r="D3246" s="783" t="s">
        <v>4193</v>
      </c>
      <c r="E3246" s="783" t="s">
        <v>5350</v>
      </c>
      <c r="F3246" s="783" t="s">
        <v>4011</v>
      </c>
      <c r="G3246" s="783" t="str">
        <f t="shared" si="173"/>
        <v>Renewal (25% in 2020)</v>
      </c>
      <c r="H3246" s="783" t="s">
        <v>5351</v>
      </c>
      <c r="I3246" s="783" t="s">
        <v>5352</v>
      </c>
      <c r="J3246" s="783">
        <v>25</v>
      </c>
      <c r="K3246" s="783" t="s">
        <v>183</v>
      </c>
      <c r="L3246" s="783" t="s">
        <v>4096</v>
      </c>
      <c r="M3246" s="784">
        <v>16123.2</v>
      </c>
      <c r="N3246" s="784">
        <v>12.89</v>
      </c>
      <c r="O3246" s="784">
        <v>7.49</v>
      </c>
      <c r="P3246" s="783">
        <v>167</v>
      </c>
      <c r="Q3246" s="783">
        <v>643.32000000000005</v>
      </c>
      <c r="R3246" s="783">
        <v>494.98</v>
      </c>
      <c r="S3246" s="783">
        <v>79</v>
      </c>
      <c r="T3246" s="783">
        <v>69.33</v>
      </c>
      <c r="U3246" s="785">
        <v>44631.626678240696</v>
      </c>
    </row>
    <row r="3247" spans="1:21">
      <c r="A3247" s="782">
        <v>44543</v>
      </c>
      <c r="B3247" s="783" t="s">
        <v>41</v>
      </c>
      <c r="C3247" s="783" t="s">
        <v>4092</v>
      </c>
      <c r="D3247" s="783" t="s">
        <v>4009</v>
      </c>
      <c r="E3247" s="783" t="s">
        <v>4131</v>
      </c>
      <c r="F3247" s="783" t="s">
        <v>4011</v>
      </c>
      <c r="G3247" s="783" t="str">
        <f t="shared" si="173"/>
        <v>Renewal (20% in 2020)</v>
      </c>
      <c r="H3247" s="783" t="s">
        <v>4132</v>
      </c>
      <c r="I3247" s="783" t="s">
        <v>4133</v>
      </c>
      <c r="J3247" s="783">
        <v>20</v>
      </c>
      <c r="K3247" s="783" t="s">
        <v>183</v>
      </c>
      <c r="L3247" s="783" t="s">
        <v>4096</v>
      </c>
      <c r="M3247" s="784">
        <v>9625.9699999999993</v>
      </c>
      <c r="N3247" s="784">
        <v>11.33</v>
      </c>
      <c r="O3247" s="784">
        <v>4.72</v>
      </c>
      <c r="P3247" s="783">
        <v>180</v>
      </c>
      <c r="Q3247" s="783">
        <v>582.37</v>
      </c>
      <c r="R3247" s="783">
        <v>315.26</v>
      </c>
      <c r="S3247" s="783">
        <v>87.11</v>
      </c>
      <c r="T3247" s="783">
        <v>180.01</v>
      </c>
      <c r="U3247" s="785">
        <v>44631.6266203704</v>
      </c>
    </row>
    <row r="3248" spans="1:21">
      <c r="A3248" s="782">
        <v>44544</v>
      </c>
      <c r="B3248" s="783" t="s">
        <v>397</v>
      </c>
      <c r="C3248" s="783" t="s">
        <v>4511</v>
      </c>
      <c r="D3248" s="783" t="s">
        <v>4512</v>
      </c>
      <c r="E3248" s="783" t="s">
        <v>4610</v>
      </c>
      <c r="F3248" s="783" t="s">
        <v>4011</v>
      </c>
      <c r="G3248" s="783" t="str">
        <f t="shared" si="173"/>
        <v>Renewal (15% in 2020)</v>
      </c>
      <c r="H3248" s="783" t="s">
        <v>4611</v>
      </c>
      <c r="I3248" s="783" t="s">
        <v>4612</v>
      </c>
      <c r="J3248" s="783">
        <v>15</v>
      </c>
      <c r="K3248" s="783" t="s">
        <v>183</v>
      </c>
      <c r="L3248" s="783" t="s">
        <v>4096</v>
      </c>
      <c r="M3248" s="784">
        <v>24467.99</v>
      </c>
      <c r="N3248" s="784">
        <v>20.69</v>
      </c>
      <c r="O3248" s="784">
        <v>6.57</v>
      </c>
      <c r="P3248" s="783">
        <v>180</v>
      </c>
      <c r="Q3248" s="783">
        <v>1962.33</v>
      </c>
      <c r="R3248" s="783">
        <v>728.7</v>
      </c>
      <c r="S3248" s="783">
        <v>245.13</v>
      </c>
      <c r="T3248" s="783">
        <v>988.51</v>
      </c>
      <c r="U3248" s="785">
        <v>44631.626770833303</v>
      </c>
    </row>
    <row r="3249" spans="1:21">
      <c r="A3249" s="782">
        <v>44541</v>
      </c>
      <c r="B3249" s="783" t="s">
        <v>74</v>
      </c>
      <c r="C3249" s="783" t="s">
        <v>4097</v>
      </c>
      <c r="D3249" s="783" t="s">
        <v>4038</v>
      </c>
      <c r="E3249" s="783" t="s">
        <v>4613</v>
      </c>
      <c r="F3249" s="783" t="s">
        <v>4011</v>
      </c>
      <c r="G3249" s="783" t="str">
        <f t="shared" si="173"/>
        <v>New Contract</v>
      </c>
      <c r="H3249" s="783" t="s">
        <v>4614</v>
      </c>
      <c r="I3249" s="783" t="s">
        <v>4615</v>
      </c>
      <c r="J3249" s="783">
        <v>25</v>
      </c>
      <c r="K3249" s="783" t="s">
        <v>183</v>
      </c>
      <c r="L3249" s="783" t="s">
        <v>4096</v>
      </c>
      <c r="M3249" s="784">
        <v>3426.84</v>
      </c>
      <c r="N3249" s="784">
        <v>3.8</v>
      </c>
      <c r="O3249" s="784">
        <v>5.4</v>
      </c>
      <c r="P3249" s="783">
        <v>167</v>
      </c>
      <c r="Q3249" s="783">
        <v>180.25</v>
      </c>
      <c r="R3249" s="783">
        <v>127.48</v>
      </c>
      <c r="S3249" s="783">
        <v>19.88</v>
      </c>
      <c r="T3249" s="783">
        <v>32.9</v>
      </c>
      <c r="U3249" s="785">
        <v>44631.629675925898</v>
      </c>
    </row>
    <row r="3250" spans="1:21">
      <c r="A3250" s="782">
        <v>44641</v>
      </c>
      <c r="B3250" s="783" t="s">
        <v>30</v>
      </c>
      <c r="C3250" s="783" t="s">
        <v>4239</v>
      </c>
      <c r="D3250" s="783" t="s">
        <v>4021</v>
      </c>
      <c r="E3250" s="783" t="s">
        <v>5353</v>
      </c>
      <c r="F3250" s="783" t="s">
        <v>4011</v>
      </c>
      <c r="G3250" s="783" t="str">
        <f t="shared" si="173"/>
        <v>Renewal (20% in 2020)</v>
      </c>
      <c r="H3250" s="783" t="s">
        <v>5354</v>
      </c>
      <c r="I3250" s="783" t="s">
        <v>5355</v>
      </c>
      <c r="J3250" s="783">
        <v>20</v>
      </c>
      <c r="K3250" s="783" t="s">
        <v>183</v>
      </c>
      <c r="L3250" s="783" t="s">
        <v>4096</v>
      </c>
      <c r="M3250" s="784">
        <v>13293.25</v>
      </c>
      <c r="N3250" s="784">
        <v>9.86</v>
      </c>
      <c r="O3250" s="784">
        <v>7.49</v>
      </c>
      <c r="P3250" s="783">
        <v>180</v>
      </c>
      <c r="Q3250" s="783">
        <v>882.67</v>
      </c>
      <c r="R3250" s="783">
        <v>452.63</v>
      </c>
      <c r="S3250" s="783">
        <v>142.91</v>
      </c>
      <c r="T3250" s="783">
        <v>287.13</v>
      </c>
      <c r="U3250" s="785">
        <v>44641.473437499997</v>
      </c>
    </row>
    <row r="3251" spans="1:21">
      <c r="A3251" s="782">
        <v>44540</v>
      </c>
      <c r="B3251" s="783" t="s">
        <v>41</v>
      </c>
      <c r="C3251" s="783" t="s">
        <v>4071</v>
      </c>
      <c r="D3251" s="783" t="s">
        <v>4009</v>
      </c>
      <c r="E3251" s="783" t="s">
        <v>321</v>
      </c>
      <c r="F3251" s="783" t="s">
        <v>4011</v>
      </c>
      <c r="G3251" s="783" t="str">
        <f t="shared" si="173"/>
        <v>Renewal (25% in 2020)</v>
      </c>
      <c r="H3251" s="783" t="s">
        <v>5359</v>
      </c>
      <c r="I3251" s="783" t="s">
        <v>5360</v>
      </c>
      <c r="J3251" s="783">
        <v>25</v>
      </c>
      <c r="K3251" s="783" t="s">
        <v>183</v>
      </c>
      <c r="L3251" s="783" t="s">
        <v>4096</v>
      </c>
      <c r="M3251" s="784">
        <v>10878.34</v>
      </c>
      <c r="N3251" s="784">
        <v>10.64</v>
      </c>
      <c r="O3251" s="784">
        <v>6.39</v>
      </c>
      <c r="P3251" s="783">
        <v>160</v>
      </c>
      <c r="Q3251" s="783">
        <v>377.48</v>
      </c>
      <c r="R3251" s="783">
        <v>293.72000000000003</v>
      </c>
      <c r="S3251" s="783">
        <v>43.51</v>
      </c>
      <c r="T3251" s="783">
        <v>40.25</v>
      </c>
      <c r="U3251" s="785">
        <v>44631.626689814802</v>
      </c>
    </row>
    <row r="3252" spans="1:21">
      <c r="A3252" s="782">
        <v>44540</v>
      </c>
      <c r="B3252" s="783" t="s">
        <v>74</v>
      </c>
      <c r="C3252" s="783" t="s">
        <v>4037</v>
      </c>
      <c r="D3252" s="783" t="s">
        <v>4038</v>
      </c>
      <c r="E3252" s="783" t="s">
        <v>4325</v>
      </c>
      <c r="F3252" s="783" t="s">
        <v>4011</v>
      </c>
      <c r="G3252" s="783" t="str">
        <f t="shared" si="173"/>
        <v>Renewal (20% in 2020)</v>
      </c>
      <c r="H3252" s="783" t="s">
        <v>4326</v>
      </c>
      <c r="I3252" s="783" t="s">
        <v>4327</v>
      </c>
      <c r="J3252" s="783">
        <v>20</v>
      </c>
      <c r="K3252" s="783" t="s">
        <v>183</v>
      </c>
      <c r="L3252" s="783" t="s">
        <v>4096</v>
      </c>
      <c r="M3252" s="784">
        <v>7751.24</v>
      </c>
      <c r="N3252" s="784">
        <v>6.58</v>
      </c>
      <c r="O3252" s="784">
        <v>6.2</v>
      </c>
      <c r="P3252" s="783">
        <v>190</v>
      </c>
      <c r="Q3252" s="783">
        <v>696.84</v>
      </c>
      <c r="R3252" s="783">
        <v>327.7</v>
      </c>
      <c r="S3252" s="783">
        <v>105.59</v>
      </c>
      <c r="T3252" s="783">
        <v>263.54000000000002</v>
      </c>
      <c r="U3252" s="785">
        <v>44631.6268865741</v>
      </c>
    </row>
    <row r="3253" spans="1:21">
      <c r="A3253" s="782">
        <v>44536</v>
      </c>
      <c r="B3253" s="783" t="s">
        <v>41</v>
      </c>
      <c r="C3253" s="783" t="s">
        <v>4082</v>
      </c>
      <c r="D3253" s="783" t="s">
        <v>4009</v>
      </c>
      <c r="E3253" s="783" t="s">
        <v>5361</v>
      </c>
      <c r="F3253" s="783" t="s">
        <v>4011</v>
      </c>
      <c r="G3253" s="783" t="str">
        <f t="shared" si="173"/>
        <v>Renewal (15% in 2020)</v>
      </c>
      <c r="H3253" s="783" t="s">
        <v>5362</v>
      </c>
      <c r="I3253" s="783" t="s">
        <v>5363</v>
      </c>
      <c r="J3253" s="783">
        <v>15</v>
      </c>
      <c r="K3253" s="783" t="s">
        <v>183</v>
      </c>
      <c r="L3253" s="783" t="s">
        <v>4096</v>
      </c>
      <c r="M3253" s="784">
        <v>26818.85</v>
      </c>
      <c r="N3253" s="784">
        <v>30.12</v>
      </c>
      <c r="O3253" s="784">
        <v>4.24</v>
      </c>
      <c r="P3253" s="783">
        <v>210</v>
      </c>
      <c r="Q3253" s="783">
        <v>2094.5500000000002</v>
      </c>
      <c r="R3253" s="783">
        <v>727.26</v>
      </c>
      <c r="S3253" s="783">
        <v>353.54</v>
      </c>
      <c r="T3253" s="783">
        <v>1013.75</v>
      </c>
      <c r="U3253" s="785">
        <v>44631.629664351902</v>
      </c>
    </row>
    <row r="3254" spans="1:21">
      <c r="A3254" s="782">
        <v>44536</v>
      </c>
      <c r="B3254" s="783" t="s">
        <v>4025</v>
      </c>
      <c r="C3254" s="783" t="s">
        <v>4026</v>
      </c>
      <c r="D3254" s="783" t="s">
        <v>4021</v>
      </c>
      <c r="E3254" s="783" t="s">
        <v>5364</v>
      </c>
      <c r="F3254" s="783" t="s">
        <v>4011</v>
      </c>
      <c r="G3254" s="783" t="str">
        <f t="shared" si="173"/>
        <v>New contract</v>
      </c>
      <c r="H3254" s="783" t="s">
        <v>5365</v>
      </c>
      <c r="I3254" s="783" t="s">
        <v>5366</v>
      </c>
      <c r="J3254" s="783">
        <v>20</v>
      </c>
      <c r="K3254" s="783" t="s">
        <v>183</v>
      </c>
      <c r="L3254" s="783" t="s">
        <v>4096</v>
      </c>
      <c r="M3254" s="784">
        <v>37962</v>
      </c>
      <c r="N3254" s="784">
        <v>37</v>
      </c>
      <c r="O3254" s="784">
        <v>5.7</v>
      </c>
      <c r="P3254" s="783">
        <v>180</v>
      </c>
      <c r="Q3254" s="783">
        <v>2748.45</v>
      </c>
      <c r="R3254" s="783">
        <v>1454.6</v>
      </c>
      <c r="S3254" s="783">
        <v>356.19</v>
      </c>
      <c r="T3254" s="783">
        <v>937.66</v>
      </c>
      <c r="U3254" s="785">
        <v>44631.630104166703</v>
      </c>
    </row>
    <row r="3255" spans="1:21">
      <c r="A3255" s="782">
        <v>44539</v>
      </c>
      <c r="B3255" s="783" t="s">
        <v>228</v>
      </c>
      <c r="C3255" s="783" t="s">
        <v>4491</v>
      </c>
      <c r="D3255" s="783" t="s">
        <v>4193</v>
      </c>
      <c r="E3255" s="783" t="s">
        <v>5367</v>
      </c>
      <c r="F3255" s="783" t="s">
        <v>4011</v>
      </c>
      <c r="G3255" s="783" t="str">
        <f t="shared" si="173"/>
        <v>New contract</v>
      </c>
      <c r="H3255" s="783" t="s">
        <v>5368</v>
      </c>
      <c r="I3255" s="783" t="s">
        <v>5369</v>
      </c>
      <c r="J3255" s="783">
        <v>20</v>
      </c>
      <c r="K3255" s="783" t="s">
        <v>183</v>
      </c>
      <c r="L3255" s="783" t="s">
        <v>4096</v>
      </c>
      <c r="M3255" s="784">
        <v>16920</v>
      </c>
      <c r="N3255" s="784">
        <v>18.8</v>
      </c>
      <c r="O3255" s="784">
        <v>4.5</v>
      </c>
      <c r="P3255" s="783">
        <v>200</v>
      </c>
      <c r="Q3255" s="783">
        <v>859.54</v>
      </c>
      <c r="R3255" s="783">
        <v>429.5</v>
      </c>
      <c r="S3255" s="783">
        <v>162.69999999999999</v>
      </c>
      <c r="T3255" s="783">
        <v>267.33999999999997</v>
      </c>
      <c r="U3255" s="785">
        <v>44631.626770833303</v>
      </c>
    </row>
    <row r="3256" spans="1:21">
      <c r="A3256" s="782">
        <v>44544</v>
      </c>
      <c r="B3256" s="783" t="s">
        <v>74</v>
      </c>
      <c r="C3256" s="783" t="s">
        <v>4097</v>
      </c>
      <c r="D3256" s="783" t="s">
        <v>4038</v>
      </c>
      <c r="E3256" s="783" t="s">
        <v>2961</v>
      </c>
      <c r="F3256" s="783" t="s">
        <v>4011</v>
      </c>
      <c r="G3256" s="783" t="str">
        <f t="shared" si="173"/>
        <v>New Contract</v>
      </c>
      <c r="H3256" s="783" t="s">
        <v>5373</v>
      </c>
      <c r="I3256" s="783" t="s">
        <v>5374</v>
      </c>
      <c r="J3256" s="783">
        <v>25</v>
      </c>
      <c r="K3256" s="783" t="s">
        <v>183</v>
      </c>
      <c r="L3256" s="783" t="s">
        <v>4096</v>
      </c>
      <c r="M3256" s="784">
        <v>5409.6</v>
      </c>
      <c r="N3256" s="784">
        <v>8</v>
      </c>
      <c r="O3256" s="784">
        <v>4.83</v>
      </c>
      <c r="P3256" s="783">
        <v>140</v>
      </c>
      <c r="Q3256" s="783">
        <v>284.54000000000002</v>
      </c>
      <c r="R3256" s="783">
        <v>201.24</v>
      </c>
      <c r="S3256" s="783">
        <v>31.38</v>
      </c>
      <c r="T3256" s="783">
        <v>51.93</v>
      </c>
      <c r="U3256" s="785">
        <v>44631.630868055603</v>
      </c>
    </row>
    <row r="3257" spans="1:21">
      <c r="A3257" s="782">
        <v>44547</v>
      </c>
      <c r="B3257" s="783" t="s">
        <v>51</v>
      </c>
      <c r="C3257" s="783" t="s">
        <v>4042</v>
      </c>
      <c r="D3257" s="783" t="s">
        <v>4016</v>
      </c>
      <c r="E3257" s="783" t="s">
        <v>5375</v>
      </c>
      <c r="F3257" s="783" t="s">
        <v>4011</v>
      </c>
      <c r="G3257" s="783" t="str">
        <f t="shared" si="173"/>
        <v>Renewal (15% in 2020)</v>
      </c>
      <c r="H3257" s="783" t="s">
        <v>5376</v>
      </c>
      <c r="I3257" s="783" t="s">
        <v>5377</v>
      </c>
      <c r="J3257" s="783">
        <v>15</v>
      </c>
      <c r="K3257" s="783" t="s">
        <v>183</v>
      </c>
      <c r="L3257" s="783" t="s">
        <v>4096</v>
      </c>
      <c r="M3257" s="784">
        <v>49171.3</v>
      </c>
      <c r="N3257" s="784">
        <v>27.47</v>
      </c>
      <c r="O3257" s="784">
        <v>8.9499999999999993</v>
      </c>
      <c r="P3257" s="783">
        <v>200</v>
      </c>
      <c r="Q3257" s="783">
        <v>3658.34</v>
      </c>
      <c r="R3257" s="783">
        <v>1342.6</v>
      </c>
      <c r="S3257" s="783">
        <v>516.08000000000004</v>
      </c>
      <c r="T3257" s="783">
        <v>1799.67</v>
      </c>
      <c r="U3257" s="785">
        <v>44631.630960648101</v>
      </c>
    </row>
    <row r="3258" spans="1:21">
      <c r="A3258" s="782">
        <v>44606</v>
      </c>
      <c r="B3258" s="783" t="s">
        <v>30</v>
      </c>
      <c r="C3258" s="783" t="s">
        <v>4239</v>
      </c>
      <c r="D3258" s="783" t="s">
        <v>4021</v>
      </c>
      <c r="E3258" s="783" t="s">
        <v>5383</v>
      </c>
      <c r="F3258" s="783" t="s">
        <v>4011</v>
      </c>
      <c r="G3258" s="783" t="str">
        <f t="shared" si="173"/>
        <v>New Contract</v>
      </c>
      <c r="H3258" s="783" t="s">
        <v>5384</v>
      </c>
      <c r="I3258" s="783" t="s">
        <v>5385</v>
      </c>
      <c r="J3258" s="783">
        <v>20</v>
      </c>
      <c r="K3258" s="783" t="s">
        <v>183</v>
      </c>
      <c r="L3258" s="783" t="s">
        <v>4096</v>
      </c>
      <c r="M3258" s="784">
        <v>7312.68</v>
      </c>
      <c r="N3258" s="784">
        <v>6.66</v>
      </c>
      <c r="O3258" s="784">
        <v>6.1</v>
      </c>
      <c r="P3258" s="783">
        <v>180</v>
      </c>
      <c r="Q3258" s="783">
        <v>485.56</v>
      </c>
      <c r="R3258" s="783">
        <v>248.99</v>
      </c>
      <c r="S3258" s="783">
        <v>78.62</v>
      </c>
      <c r="T3258" s="783">
        <v>157.94999999999999</v>
      </c>
      <c r="U3258" s="785">
        <v>44631.511828703697</v>
      </c>
    </row>
    <row r="3259" spans="1:21">
      <c r="A3259" s="782">
        <v>44545</v>
      </c>
      <c r="B3259" s="783" t="s">
        <v>113</v>
      </c>
      <c r="C3259" s="783" t="s">
        <v>4606</v>
      </c>
      <c r="D3259" s="783" t="s">
        <v>4009</v>
      </c>
      <c r="E3259" s="783" t="s">
        <v>1116</v>
      </c>
      <c r="F3259" s="783" t="s">
        <v>4066</v>
      </c>
      <c r="G3259" s="783" t="str">
        <f t="shared" si="173"/>
        <v>Renewal (15% in 2020)</v>
      </c>
      <c r="H3259" s="783" t="s">
        <v>7105</v>
      </c>
      <c r="I3259" s="783" t="s">
        <v>6725</v>
      </c>
      <c r="J3259" s="783">
        <v>10</v>
      </c>
      <c r="K3259" s="783" t="s">
        <v>183</v>
      </c>
      <c r="L3259" s="783" t="s">
        <v>4096</v>
      </c>
      <c r="M3259" s="784">
        <v>9309.6</v>
      </c>
      <c r="N3259" s="784">
        <v>8.6199999999999992</v>
      </c>
      <c r="O3259" s="784">
        <v>6</v>
      </c>
      <c r="P3259" s="783">
        <v>180</v>
      </c>
      <c r="Q3259" s="783">
        <v>246.7</v>
      </c>
      <c r="R3259" s="783">
        <v>0</v>
      </c>
      <c r="S3259" s="783">
        <v>0</v>
      </c>
      <c r="T3259" s="783">
        <v>246.7</v>
      </c>
      <c r="U3259" s="785">
        <v>44631.630891203698</v>
      </c>
    </row>
    <row r="3260" spans="1:21">
      <c r="A3260" s="782">
        <v>44550</v>
      </c>
      <c r="B3260" s="783" t="s">
        <v>113</v>
      </c>
      <c r="C3260" s="783" t="s">
        <v>4097</v>
      </c>
      <c r="D3260" s="783" t="s">
        <v>4038</v>
      </c>
      <c r="E3260" s="783" t="s">
        <v>5389</v>
      </c>
      <c r="F3260" s="783" t="s">
        <v>4011</v>
      </c>
      <c r="G3260" s="783" t="str">
        <f t="shared" si="173"/>
        <v>Renewal (20% in 2020)</v>
      </c>
      <c r="H3260" s="783" t="s">
        <v>5390</v>
      </c>
      <c r="I3260" s="783" t="s">
        <v>5391</v>
      </c>
      <c r="J3260" s="783">
        <v>25</v>
      </c>
      <c r="K3260" s="783" t="s">
        <v>183</v>
      </c>
      <c r="L3260" s="783" t="s">
        <v>4096</v>
      </c>
      <c r="M3260" s="784">
        <v>31008.6</v>
      </c>
      <c r="N3260" s="784">
        <v>22.47</v>
      </c>
      <c r="O3260" s="784">
        <v>6.9</v>
      </c>
      <c r="P3260" s="783">
        <v>200</v>
      </c>
      <c r="Q3260" s="783">
        <v>1631.05</v>
      </c>
      <c r="R3260" s="783">
        <v>963.19</v>
      </c>
      <c r="S3260" s="783">
        <v>370.18</v>
      </c>
      <c r="T3260" s="783">
        <v>297.68</v>
      </c>
      <c r="U3260" s="785">
        <v>44631.630868055603</v>
      </c>
    </row>
    <row r="3261" spans="1:21">
      <c r="A3261" s="782">
        <v>44550</v>
      </c>
      <c r="B3261" s="783" t="s">
        <v>113</v>
      </c>
      <c r="C3261" s="783" t="s">
        <v>4097</v>
      </c>
      <c r="D3261" s="783" t="s">
        <v>4038</v>
      </c>
      <c r="E3261" s="783" t="s">
        <v>5392</v>
      </c>
      <c r="F3261" s="783" t="s">
        <v>4011</v>
      </c>
      <c r="G3261" s="783" t="str">
        <f t="shared" si="173"/>
        <v>Renewal (20% in 2020)</v>
      </c>
      <c r="H3261" s="783" t="s">
        <v>5393</v>
      </c>
      <c r="I3261" s="783" t="s">
        <v>5394</v>
      </c>
      <c r="J3261" s="783">
        <v>25</v>
      </c>
      <c r="K3261" s="783" t="s">
        <v>183</v>
      </c>
      <c r="L3261" s="783" t="s">
        <v>4096</v>
      </c>
      <c r="M3261" s="784">
        <v>23618.400000000001</v>
      </c>
      <c r="N3261" s="784">
        <v>15.6</v>
      </c>
      <c r="O3261" s="784">
        <v>7.57</v>
      </c>
      <c r="P3261" s="783">
        <v>200</v>
      </c>
      <c r="Q3261" s="783">
        <v>1242.33</v>
      </c>
      <c r="R3261" s="783">
        <v>733.63</v>
      </c>
      <c r="S3261" s="783">
        <v>281.95999999999998</v>
      </c>
      <c r="T3261" s="783">
        <v>226.74</v>
      </c>
      <c r="U3261" s="785">
        <v>44631.630844907399</v>
      </c>
    </row>
    <row r="3262" spans="1:21">
      <c r="A3262" s="782">
        <v>44543</v>
      </c>
      <c r="B3262" s="783" t="s">
        <v>65</v>
      </c>
      <c r="C3262" s="783" t="s">
        <v>4491</v>
      </c>
      <c r="D3262" s="783" t="s">
        <v>4193</v>
      </c>
      <c r="E3262" s="783" t="s">
        <v>5395</v>
      </c>
      <c r="F3262" s="783" t="s">
        <v>4011</v>
      </c>
      <c r="G3262" s="783" t="str">
        <f t="shared" si="173"/>
        <v>New Contract</v>
      </c>
      <c r="H3262" s="783" t="s">
        <v>5396</v>
      </c>
      <c r="I3262" s="783" t="s">
        <v>5397</v>
      </c>
      <c r="J3262" s="783">
        <v>25</v>
      </c>
      <c r="K3262" s="783" t="s">
        <v>183</v>
      </c>
      <c r="L3262" s="783" t="s">
        <v>4096</v>
      </c>
      <c r="M3262" s="784">
        <v>52082.8</v>
      </c>
      <c r="N3262" s="784">
        <v>44</v>
      </c>
      <c r="O3262" s="784">
        <v>6.23</v>
      </c>
      <c r="P3262" s="783">
        <v>190</v>
      </c>
      <c r="Q3262" s="783">
        <v>2046.85</v>
      </c>
      <c r="R3262" s="783">
        <v>1391.65</v>
      </c>
      <c r="S3262" s="783">
        <v>431.25</v>
      </c>
      <c r="T3262" s="783">
        <v>223.96</v>
      </c>
      <c r="U3262" s="785">
        <v>44631.631053240701</v>
      </c>
    </row>
    <row r="3263" spans="1:21">
      <c r="A3263" s="782">
        <v>44546</v>
      </c>
      <c r="B3263" s="783" t="s">
        <v>30</v>
      </c>
      <c r="C3263" s="783" t="s">
        <v>4089</v>
      </c>
      <c r="D3263" s="783" t="s">
        <v>4021</v>
      </c>
      <c r="E3263" s="783" t="s">
        <v>1942</v>
      </c>
      <c r="F3263" s="783" t="s">
        <v>4011</v>
      </c>
      <c r="G3263" s="783" t="str">
        <f t="shared" si="173"/>
        <v>Renewal (20% in 2020)</v>
      </c>
      <c r="H3263" s="783" t="s">
        <v>5401</v>
      </c>
      <c r="I3263" s="783" t="s">
        <v>5402</v>
      </c>
      <c r="J3263" s="783">
        <v>20</v>
      </c>
      <c r="K3263" s="783" t="s">
        <v>183</v>
      </c>
      <c r="L3263" s="783" t="s">
        <v>4096</v>
      </c>
      <c r="M3263" s="784">
        <v>18162.41</v>
      </c>
      <c r="N3263" s="784">
        <v>19.45</v>
      </c>
      <c r="O3263" s="784">
        <v>6.67</v>
      </c>
      <c r="P3263" s="783">
        <v>140</v>
      </c>
      <c r="Q3263" s="783">
        <v>1280.45</v>
      </c>
      <c r="R3263" s="783">
        <v>728.31</v>
      </c>
      <c r="S3263" s="783">
        <v>116.24</v>
      </c>
      <c r="T3263" s="783">
        <v>435.9</v>
      </c>
      <c r="U3263" s="785">
        <v>44631.630960648101</v>
      </c>
    </row>
    <row r="3264" spans="1:21">
      <c r="A3264" s="782">
        <v>44557</v>
      </c>
      <c r="B3264" s="783" t="s">
        <v>74</v>
      </c>
      <c r="C3264" s="783" t="s">
        <v>4097</v>
      </c>
      <c r="D3264" s="783" t="s">
        <v>4038</v>
      </c>
      <c r="E3264" s="783" t="s">
        <v>5412</v>
      </c>
      <c r="F3264" s="783" t="s">
        <v>4011</v>
      </c>
      <c r="G3264" s="783" t="s">
        <v>4028</v>
      </c>
      <c r="H3264" s="783" t="s">
        <v>5413</v>
      </c>
      <c r="I3264" s="783" t="s">
        <v>5414</v>
      </c>
      <c r="J3264" s="783">
        <v>25</v>
      </c>
      <c r="K3264" s="783" t="s">
        <v>183</v>
      </c>
      <c r="L3264" s="783" t="s">
        <v>4096</v>
      </c>
      <c r="M3264" s="784">
        <v>14539.77</v>
      </c>
      <c r="N3264" s="784">
        <v>14.13</v>
      </c>
      <c r="O3264" s="784">
        <v>4.9000000000000004</v>
      </c>
      <c r="P3264" s="783">
        <v>210</v>
      </c>
      <c r="Q3264" s="783">
        <v>764.79</v>
      </c>
      <c r="R3264" s="783">
        <v>430.13</v>
      </c>
      <c r="S3264" s="783">
        <v>195.08</v>
      </c>
      <c r="T3264" s="783">
        <v>139.58000000000001</v>
      </c>
      <c r="U3264" s="785">
        <v>44631.631180555603</v>
      </c>
    </row>
    <row r="3265" spans="1:21">
      <c r="A3265" s="782">
        <v>44555</v>
      </c>
      <c r="B3265" s="783" t="s">
        <v>74</v>
      </c>
      <c r="C3265" s="783" t="s">
        <v>4037</v>
      </c>
      <c r="D3265" s="783" t="s">
        <v>4038</v>
      </c>
      <c r="E3265" s="783" t="s">
        <v>4343</v>
      </c>
      <c r="F3265" s="783" t="s">
        <v>4011</v>
      </c>
      <c r="G3265" s="783" t="s">
        <v>4028</v>
      </c>
      <c r="H3265" s="783" t="s">
        <v>4344</v>
      </c>
      <c r="I3265" s="783" t="s">
        <v>4345</v>
      </c>
      <c r="J3265" s="783">
        <v>30</v>
      </c>
      <c r="K3265" s="783" t="s">
        <v>183</v>
      </c>
      <c r="L3265" s="783" t="s">
        <v>4096</v>
      </c>
      <c r="M3265" s="784">
        <v>8177.68</v>
      </c>
      <c r="N3265" s="784">
        <v>8.59</v>
      </c>
      <c r="O3265" s="784">
        <v>5.6</v>
      </c>
      <c r="P3265" s="783">
        <v>170</v>
      </c>
      <c r="Q3265" s="783">
        <v>521.74</v>
      </c>
      <c r="R3265" s="783">
        <v>386.41</v>
      </c>
      <c r="S3265" s="783">
        <v>6.94</v>
      </c>
      <c r="T3265" s="783">
        <v>128.38999999999999</v>
      </c>
      <c r="U3265" s="785">
        <v>44631.630752314799</v>
      </c>
    </row>
    <row r="3266" spans="1:21">
      <c r="A3266" s="782">
        <v>44544</v>
      </c>
      <c r="B3266" s="783" t="s">
        <v>41</v>
      </c>
      <c r="C3266" s="783" t="s">
        <v>4008</v>
      </c>
      <c r="D3266" s="783" t="s">
        <v>4009</v>
      </c>
      <c r="E3266" s="783" t="s">
        <v>4619</v>
      </c>
      <c r="F3266" s="783" t="s">
        <v>4011</v>
      </c>
      <c r="G3266" s="783" t="str">
        <f t="shared" ref="G3266:G3298" si="174">VLOOKUP(I3266,pacage,2,FALSE)</f>
        <v>Renewal (20% in 2020)</v>
      </c>
      <c r="H3266" s="783" t="s">
        <v>4620</v>
      </c>
      <c r="I3266" s="783" t="s">
        <v>4621</v>
      </c>
      <c r="J3266" s="783">
        <v>25</v>
      </c>
      <c r="K3266" s="783" t="s">
        <v>183</v>
      </c>
      <c r="L3266" s="783" t="s">
        <v>4096</v>
      </c>
      <c r="M3266" s="784">
        <v>9081.75</v>
      </c>
      <c r="N3266" s="784">
        <v>8.49</v>
      </c>
      <c r="O3266" s="784">
        <v>5.63</v>
      </c>
      <c r="P3266" s="783">
        <v>190</v>
      </c>
      <c r="Q3266" s="783">
        <v>462.26</v>
      </c>
      <c r="R3266" s="783">
        <v>288.95999999999998</v>
      </c>
      <c r="S3266" s="783">
        <v>92.47</v>
      </c>
      <c r="T3266" s="783">
        <v>80.83</v>
      </c>
      <c r="U3266" s="785">
        <v>44631.630798611099</v>
      </c>
    </row>
    <row r="3267" spans="1:21">
      <c r="A3267" s="782">
        <v>44546</v>
      </c>
      <c r="B3267" s="783" t="s">
        <v>113</v>
      </c>
      <c r="C3267" s="783" t="s">
        <v>4097</v>
      </c>
      <c r="D3267" s="783" t="s">
        <v>4038</v>
      </c>
      <c r="E3267" s="783" t="s">
        <v>5418</v>
      </c>
      <c r="F3267" s="783" t="s">
        <v>4011</v>
      </c>
      <c r="G3267" s="783" t="str">
        <f t="shared" si="174"/>
        <v>New contract</v>
      </c>
      <c r="H3267" s="783" t="s">
        <v>5419</v>
      </c>
      <c r="I3267" s="783" t="s">
        <v>5420</v>
      </c>
      <c r="J3267" s="783">
        <v>15</v>
      </c>
      <c r="K3267" s="783" t="s">
        <v>183</v>
      </c>
      <c r="L3267" s="783" t="s">
        <v>4096</v>
      </c>
      <c r="M3267" s="784">
        <v>10345.370000000001</v>
      </c>
      <c r="N3267" s="784">
        <v>8.59</v>
      </c>
      <c r="O3267" s="784">
        <v>5.55</v>
      </c>
      <c r="P3267" s="783">
        <v>217</v>
      </c>
      <c r="Q3267" s="783">
        <v>909.36</v>
      </c>
      <c r="R3267" s="783">
        <v>296.17</v>
      </c>
      <c r="S3267" s="783">
        <v>148.68</v>
      </c>
      <c r="T3267" s="783">
        <v>464.51</v>
      </c>
      <c r="U3267" s="785">
        <v>44631.6309259259</v>
      </c>
    </row>
    <row r="3268" spans="1:21">
      <c r="A3268" s="782">
        <v>44551</v>
      </c>
      <c r="B3268" s="783" t="s">
        <v>397</v>
      </c>
      <c r="C3268" s="783" t="s">
        <v>4511</v>
      </c>
      <c r="D3268" s="783" t="s">
        <v>4512</v>
      </c>
      <c r="E3268" s="783" t="s">
        <v>4622</v>
      </c>
      <c r="F3268" s="783" t="s">
        <v>4011</v>
      </c>
      <c r="G3268" s="783" t="str">
        <f t="shared" si="174"/>
        <v>Renewal (20% in 2020)</v>
      </c>
      <c r="H3268" s="783" t="s">
        <v>4623</v>
      </c>
      <c r="I3268" s="783" t="s">
        <v>4624</v>
      </c>
      <c r="J3268" s="783">
        <v>30</v>
      </c>
      <c r="K3268" s="783" t="s">
        <v>183</v>
      </c>
      <c r="L3268" s="783" t="s">
        <v>4096</v>
      </c>
      <c r="M3268" s="784">
        <v>22542</v>
      </c>
      <c r="N3268" s="784">
        <v>17</v>
      </c>
      <c r="O3268" s="784">
        <v>6.63</v>
      </c>
      <c r="P3268" s="783">
        <v>200</v>
      </c>
      <c r="Q3268" s="783">
        <v>897.17</v>
      </c>
      <c r="R3268" s="783">
        <v>604.20000000000005</v>
      </c>
      <c r="S3268" s="783">
        <v>119.39</v>
      </c>
      <c r="T3268" s="783">
        <v>173.57</v>
      </c>
      <c r="U3268" s="785">
        <v>44631.630891203698</v>
      </c>
    </row>
    <row r="3269" spans="1:21">
      <c r="A3269" s="782">
        <v>44622</v>
      </c>
      <c r="B3269" s="783" t="s">
        <v>41</v>
      </c>
      <c r="C3269" s="783" t="s">
        <v>4092</v>
      </c>
      <c r="D3269" s="783" t="s">
        <v>4009</v>
      </c>
      <c r="E3269" s="783" t="s">
        <v>5424</v>
      </c>
      <c r="F3269" s="783" t="s">
        <v>4011</v>
      </c>
      <c r="G3269" s="783" t="str">
        <f t="shared" si="174"/>
        <v>Renewal (15% in 2020)</v>
      </c>
      <c r="H3269" s="783" t="s">
        <v>5425</v>
      </c>
      <c r="I3269" s="783" t="s">
        <v>5426</v>
      </c>
      <c r="J3269" s="783">
        <v>25</v>
      </c>
      <c r="K3269" s="783" t="s">
        <v>183</v>
      </c>
      <c r="L3269" s="783" t="s">
        <v>4096</v>
      </c>
      <c r="M3269" s="784">
        <v>11051.99</v>
      </c>
      <c r="N3269" s="784">
        <v>11.63</v>
      </c>
      <c r="O3269" s="784">
        <v>5.59</v>
      </c>
      <c r="P3269" s="783">
        <v>170</v>
      </c>
      <c r="Q3269" s="783">
        <v>517.23</v>
      </c>
      <c r="R3269" s="783">
        <v>383.25</v>
      </c>
      <c r="S3269" s="783">
        <v>78.72</v>
      </c>
      <c r="T3269" s="783">
        <v>55.26</v>
      </c>
      <c r="U3269" s="785">
        <v>44631.631215277797</v>
      </c>
    </row>
    <row r="3270" spans="1:21">
      <c r="A3270" s="782">
        <v>44572</v>
      </c>
      <c r="B3270" s="783" t="s">
        <v>397</v>
      </c>
      <c r="C3270" s="783" t="s">
        <v>4020</v>
      </c>
      <c r="D3270" s="783" t="s">
        <v>4021</v>
      </c>
      <c r="E3270" s="783" t="s">
        <v>5430</v>
      </c>
      <c r="F3270" s="783" t="s">
        <v>4011</v>
      </c>
      <c r="G3270" s="783" t="str">
        <f t="shared" si="174"/>
        <v>Renewal (15% in 2020)</v>
      </c>
      <c r="H3270" s="783" t="s">
        <v>5431</v>
      </c>
      <c r="I3270" s="783" t="s">
        <v>5432</v>
      </c>
      <c r="J3270" s="783">
        <v>15</v>
      </c>
      <c r="K3270" s="783" t="s">
        <v>183</v>
      </c>
      <c r="L3270" s="783" t="s">
        <v>4096</v>
      </c>
      <c r="M3270" s="784">
        <v>46060</v>
      </c>
      <c r="N3270" s="784">
        <v>47</v>
      </c>
      <c r="O3270" s="784">
        <v>4.9000000000000004</v>
      </c>
      <c r="P3270" s="783">
        <v>200</v>
      </c>
      <c r="Q3270" s="783">
        <v>3500.56</v>
      </c>
      <c r="R3270" s="783">
        <v>1273.03</v>
      </c>
      <c r="S3270" s="783">
        <v>486.46</v>
      </c>
      <c r="T3270" s="783">
        <v>1741.07</v>
      </c>
      <c r="U3270" s="785">
        <v>44631.630995370397</v>
      </c>
    </row>
    <row r="3271" spans="1:21">
      <c r="A3271" s="782">
        <v>44553</v>
      </c>
      <c r="B3271" s="783" t="s">
        <v>74</v>
      </c>
      <c r="C3271" s="783" t="s">
        <v>4037</v>
      </c>
      <c r="D3271" s="783" t="s">
        <v>4038</v>
      </c>
      <c r="E3271" s="783" t="s">
        <v>4351</v>
      </c>
      <c r="F3271" s="783" t="s">
        <v>4011</v>
      </c>
      <c r="G3271" s="783" t="str">
        <f t="shared" si="174"/>
        <v>New contract</v>
      </c>
      <c r="H3271" s="783" t="s">
        <v>4352</v>
      </c>
      <c r="I3271" s="783" t="s">
        <v>4353</v>
      </c>
      <c r="J3271" s="783">
        <v>25</v>
      </c>
      <c r="K3271" s="783" t="s">
        <v>183</v>
      </c>
      <c r="L3271" s="783" t="s">
        <v>4096</v>
      </c>
      <c r="M3271" s="784">
        <v>12247.88</v>
      </c>
      <c r="N3271" s="784">
        <v>14.25</v>
      </c>
      <c r="O3271" s="784">
        <v>5.73</v>
      </c>
      <c r="P3271" s="783">
        <v>150</v>
      </c>
      <c r="Q3271" s="783">
        <v>878.17</v>
      </c>
      <c r="R3271" s="783">
        <v>589.12</v>
      </c>
      <c r="S3271" s="783">
        <v>95.53</v>
      </c>
      <c r="T3271" s="783">
        <v>193.52</v>
      </c>
      <c r="U3271" s="785">
        <v>44631.634351851899</v>
      </c>
    </row>
    <row r="3272" spans="1:21">
      <c r="A3272" s="782">
        <v>44657</v>
      </c>
      <c r="B3272" s="783" t="s">
        <v>74</v>
      </c>
      <c r="C3272" s="783" t="s">
        <v>4037</v>
      </c>
      <c r="D3272" s="783" t="s">
        <v>4038</v>
      </c>
      <c r="E3272" s="783" t="s">
        <v>3455</v>
      </c>
      <c r="F3272" s="783" t="s">
        <v>4011</v>
      </c>
      <c r="G3272" s="783" t="str">
        <f t="shared" si="174"/>
        <v>Renewal (15% in 2020)</v>
      </c>
      <c r="H3272" s="783" t="s">
        <v>5433</v>
      </c>
      <c r="I3272" s="783" t="s">
        <v>5434</v>
      </c>
      <c r="J3272" s="783">
        <v>15</v>
      </c>
      <c r="K3272" s="783" t="s">
        <v>183</v>
      </c>
      <c r="L3272" s="783" t="s">
        <v>4096</v>
      </c>
      <c r="M3272" s="784">
        <v>11331.18</v>
      </c>
      <c r="N3272" s="784">
        <v>14.49</v>
      </c>
      <c r="O3272" s="784">
        <v>4.5999999999999996</v>
      </c>
      <c r="P3272" s="783">
        <v>170</v>
      </c>
      <c r="Q3272" s="783">
        <v>1329.15</v>
      </c>
      <c r="R3272" s="783">
        <v>535.41</v>
      </c>
      <c r="S3272" s="783">
        <v>98</v>
      </c>
      <c r="T3272" s="783">
        <v>695.73</v>
      </c>
      <c r="U3272" s="785">
        <v>44657.633321759298</v>
      </c>
    </row>
    <row r="3273" spans="1:21">
      <c r="A3273" s="782">
        <v>44659</v>
      </c>
      <c r="B3273" s="783" t="s">
        <v>41</v>
      </c>
      <c r="C3273" s="783" t="s">
        <v>4008</v>
      </c>
      <c r="D3273" s="783" t="s">
        <v>4009</v>
      </c>
      <c r="E3273" s="783" t="s">
        <v>4046</v>
      </c>
      <c r="F3273" s="783" t="s">
        <v>4011</v>
      </c>
      <c r="G3273" s="783" t="str">
        <f t="shared" si="174"/>
        <v>Renewal (25% in 2020)</v>
      </c>
      <c r="H3273" s="783" t="s">
        <v>4047</v>
      </c>
      <c r="I3273" s="783" t="s">
        <v>4048</v>
      </c>
      <c r="J3273" s="783">
        <v>25</v>
      </c>
      <c r="K3273" s="783" t="s">
        <v>183</v>
      </c>
      <c r="L3273" s="783" t="s">
        <v>4096</v>
      </c>
      <c r="M3273" s="784">
        <v>6115.26</v>
      </c>
      <c r="N3273" s="784">
        <v>9.74</v>
      </c>
      <c r="O3273" s="784">
        <v>4.33</v>
      </c>
      <c r="P3273" s="783">
        <v>145</v>
      </c>
      <c r="Q3273" s="783">
        <v>311.27</v>
      </c>
      <c r="R3273" s="783">
        <v>221.37</v>
      </c>
      <c r="S3273" s="783">
        <v>35.47</v>
      </c>
      <c r="T3273" s="783">
        <v>54.43</v>
      </c>
      <c r="U3273" s="785">
        <v>44663.409270833297</v>
      </c>
    </row>
    <row r="3274" spans="1:21">
      <c r="A3274" s="782">
        <v>44663</v>
      </c>
      <c r="B3274" s="783" t="s">
        <v>41</v>
      </c>
      <c r="C3274" s="783" t="s">
        <v>4071</v>
      </c>
      <c r="D3274" s="783" t="s">
        <v>4009</v>
      </c>
      <c r="E3274" s="783" t="s">
        <v>169</v>
      </c>
      <c r="F3274" s="783" t="s">
        <v>4011</v>
      </c>
      <c r="G3274" s="783" t="str">
        <f t="shared" si="174"/>
        <v>Renewal (15% in 2020)</v>
      </c>
      <c r="H3274" s="783" t="s">
        <v>4137</v>
      </c>
      <c r="I3274" s="783" t="s">
        <v>4138</v>
      </c>
      <c r="J3274" s="783">
        <v>15</v>
      </c>
      <c r="K3274" s="783" t="s">
        <v>183</v>
      </c>
      <c r="L3274" s="783" t="s">
        <v>4096</v>
      </c>
      <c r="M3274" s="784">
        <v>56324.27</v>
      </c>
      <c r="N3274" s="784">
        <v>67.73</v>
      </c>
      <c r="O3274" s="784">
        <v>5.04</v>
      </c>
      <c r="P3274" s="783">
        <v>165</v>
      </c>
      <c r="Q3274" s="783">
        <v>3379.46</v>
      </c>
      <c r="R3274" s="783">
        <v>1520.76</v>
      </c>
      <c r="S3274" s="783">
        <v>225.3</v>
      </c>
      <c r="T3274" s="783">
        <v>1633.4</v>
      </c>
      <c r="U3274" s="785">
        <v>44663.427581018499</v>
      </c>
    </row>
    <row r="3275" spans="1:21">
      <c r="A3275" s="782">
        <v>44677</v>
      </c>
      <c r="B3275" s="783" t="s">
        <v>51</v>
      </c>
      <c r="C3275" s="783" t="s">
        <v>4015</v>
      </c>
      <c r="D3275" s="783" t="s">
        <v>4016</v>
      </c>
      <c r="E3275" s="783" t="s">
        <v>7078</v>
      </c>
      <c r="F3275" s="783" t="s">
        <v>4011</v>
      </c>
      <c r="G3275" s="783" t="str">
        <f t="shared" si="174"/>
        <v>Renewal (20% in 2020)</v>
      </c>
      <c r="H3275" s="783" t="s">
        <v>7079</v>
      </c>
      <c r="I3275" s="783" t="s">
        <v>7080</v>
      </c>
      <c r="J3275" s="783">
        <v>20</v>
      </c>
      <c r="K3275" s="783" t="s">
        <v>183</v>
      </c>
      <c r="L3275" s="783" t="s">
        <v>4096</v>
      </c>
      <c r="M3275" s="784">
        <v>94856.28</v>
      </c>
      <c r="N3275" s="784">
        <v>79.98</v>
      </c>
      <c r="O3275" s="784">
        <v>5.93</v>
      </c>
      <c r="P3275" s="783">
        <v>200</v>
      </c>
      <c r="Q3275" s="783">
        <v>4856.6400000000003</v>
      </c>
      <c r="R3275" s="783">
        <v>2336.5500000000002</v>
      </c>
      <c r="S3275" s="783">
        <v>888.57</v>
      </c>
      <c r="T3275" s="783">
        <v>1631.53</v>
      </c>
      <c r="U3275" s="785">
        <v>44678.777627314797</v>
      </c>
    </row>
    <row r="3276" spans="1:21">
      <c r="A3276" s="782">
        <v>44678</v>
      </c>
      <c r="B3276" s="783" t="s">
        <v>41</v>
      </c>
      <c r="C3276" s="783" t="s">
        <v>4139</v>
      </c>
      <c r="D3276" s="783" t="s">
        <v>4009</v>
      </c>
      <c r="E3276" s="783" t="s">
        <v>261</v>
      </c>
      <c r="F3276" s="783" t="s">
        <v>4011</v>
      </c>
      <c r="G3276" s="783" t="str">
        <f t="shared" si="174"/>
        <v>New Contract</v>
      </c>
      <c r="H3276" s="783" t="s">
        <v>4140</v>
      </c>
      <c r="I3276" s="783" t="s">
        <v>4141</v>
      </c>
      <c r="J3276" s="783">
        <v>15</v>
      </c>
      <c r="K3276" s="783" t="s">
        <v>183</v>
      </c>
      <c r="L3276" s="783" t="s">
        <v>4096</v>
      </c>
      <c r="M3276" s="784">
        <v>12567.33</v>
      </c>
      <c r="N3276" s="784">
        <v>12.94</v>
      </c>
      <c r="O3276" s="784">
        <v>6.07</v>
      </c>
      <c r="P3276" s="783">
        <v>160</v>
      </c>
      <c r="Q3276" s="783">
        <v>931.24</v>
      </c>
      <c r="R3276" s="783">
        <v>418.49</v>
      </c>
      <c r="S3276" s="783">
        <v>62.84</v>
      </c>
      <c r="T3276" s="783">
        <v>449.91</v>
      </c>
      <c r="U3276" s="785">
        <v>44680.488356481503</v>
      </c>
    </row>
    <row r="3277" spans="1:21">
      <c r="A3277" s="782">
        <v>44678</v>
      </c>
      <c r="B3277" s="783" t="s">
        <v>118</v>
      </c>
      <c r="C3277" s="783" t="s">
        <v>4139</v>
      </c>
      <c r="D3277" s="783" t="s">
        <v>4009</v>
      </c>
      <c r="E3277" s="783" t="s">
        <v>1097</v>
      </c>
      <c r="F3277" s="783" t="s">
        <v>4011</v>
      </c>
      <c r="G3277" s="783" t="str">
        <f t="shared" si="174"/>
        <v>New contract</v>
      </c>
      <c r="H3277" s="783" t="s">
        <v>4235</v>
      </c>
      <c r="I3277" s="783" t="s">
        <v>4236</v>
      </c>
      <c r="J3277" s="783">
        <v>25</v>
      </c>
      <c r="K3277" s="783" t="s">
        <v>183</v>
      </c>
      <c r="L3277" s="783" t="s">
        <v>4096</v>
      </c>
      <c r="M3277" s="784">
        <v>8055.2</v>
      </c>
      <c r="N3277" s="784">
        <v>10.19</v>
      </c>
      <c r="O3277" s="784">
        <v>5.27</v>
      </c>
      <c r="P3277" s="783">
        <v>150</v>
      </c>
      <c r="Q3277" s="783">
        <v>344.76</v>
      </c>
      <c r="R3277" s="783">
        <v>268.24</v>
      </c>
      <c r="S3277" s="783">
        <v>40.28</v>
      </c>
      <c r="T3277" s="783">
        <v>36.25</v>
      </c>
      <c r="U3277" s="785">
        <v>44680.660208333298</v>
      </c>
    </row>
    <row r="3278" spans="1:21">
      <c r="A3278" s="782">
        <v>44678</v>
      </c>
      <c r="B3278" s="783" t="s">
        <v>113</v>
      </c>
      <c r="C3278" s="783" t="s">
        <v>4097</v>
      </c>
      <c r="D3278" s="783" t="s">
        <v>4038</v>
      </c>
      <c r="E3278" s="783" t="s">
        <v>5449</v>
      </c>
      <c r="F3278" s="783" t="s">
        <v>4011</v>
      </c>
      <c r="G3278" s="783" t="str">
        <f t="shared" si="174"/>
        <v>Renewal (15% in 2020)</v>
      </c>
      <c r="H3278" s="783" t="s">
        <v>5450</v>
      </c>
      <c r="I3278" s="783" t="s">
        <v>5451</v>
      </c>
      <c r="J3278" s="783">
        <v>15</v>
      </c>
      <c r="K3278" s="783" t="s">
        <v>183</v>
      </c>
      <c r="L3278" s="783" t="s">
        <v>4096</v>
      </c>
      <c r="M3278" s="784">
        <v>26686.26</v>
      </c>
      <c r="N3278" s="784">
        <v>38.76</v>
      </c>
      <c r="O3278" s="784">
        <v>4.59</v>
      </c>
      <c r="P3278" s="783">
        <v>150</v>
      </c>
      <c r="Q3278" s="783">
        <v>2345.7199999999998</v>
      </c>
      <c r="R3278" s="783">
        <v>992.73</v>
      </c>
      <c r="S3278" s="783">
        <v>154.78</v>
      </c>
      <c r="T3278" s="783">
        <v>1198.21</v>
      </c>
      <c r="U3278" s="785">
        <v>44680.656597222202</v>
      </c>
    </row>
    <row r="3279" spans="1:21">
      <c r="A3279" s="782">
        <v>44678</v>
      </c>
      <c r="B3279" s="783" t="s">
        <v>41</v>
      </c>
      <c r="C3279" s="783" t="s">
        <v>4092</v>
      </c>
      <c r="D3279" s="783" t="s">
        <v>4009</v>
      </c>
      <c r="E3279" s="783" t="s">
        <v>5452</v>
      </c>
      <c r="F3279" s="783" t="s">
        <v>4011</v>
      </c>
      <c r="G3279" s="783" t="str">
        <f t="shared" si="174"/>
        <v>Renewal (20% in 2020)</v>
      </c>
      <c r="H3279" s="783" t="s">
        <v>5453</v>
      </c>
      <c r="I3279" s="783" t="s">
        <v>5454</v>
      </c>
      <c r="J3279" s="783">
        <v>20</v>
      </c>
      <c r="K3279" s="783" t="s">
        <v>183</v>
      </c>
      <c r="L3279" s="783" t="s">
        <v>4096</v>
      </c>
      <c r="M3279" s="784">
        <v>22210.35</v>
      </c>
      <c r="N3279" s="784">
        <v>28.15</v>
      </c>
      <c r="O3279" s="784">
        <v>5.26</v>
      </c>
      <c r="P3279" s="783">
        <v>150</v>
      </c>
      <c r="Q3279" s="783">
        <v>1343.73</v>
      </c>
      <c r="R3279" s="783">
        <v>784.03</v>
      </c>
      <c r="S3279" s="783">
        <v>144.37</v>
      </c>
      <c r="T3279" s="783">
        <v>415.33</v>
      </c>
      <c r="U3279" s="785">
        <v>44680.662523148101</v>
      </c>
    </row>
    <row r="3280" spans="1:21">
      <c r="A3280" s="782">
        <v>44680</v>
      </c>
      <c r="B3280" s="783" t="s">
        <v>41</v>
      </c>
      <c r="C3280" s="783" t="s">
        <v>4354</v>
      </c>
      <c r="D3280" s="783" t="s">
        <v>4009</v>
      </c>
      <c r="E3280" s="783" t="s">
        <v>4355</v>
      </c>
      <c r="F3280" s="783" t="s">
        <v>4011</v>
      </c>
      <c r="G3280" s="783" t="str">
        <f t="shared" si="174"/>
        <v>Renewal (30% in 2020)</v>
      </c>
      <c r="H3280" s="783" t="s">
        <v>4356</v>
      </c>
      <c r="I3280" s="783" t="s">
        <v>4357</v>
      </c>
      <c r="J3280" s="783">
        <v>30</v>
      </c>
      <c r="K3280" s="783" t="s">
        <v>183</v>
      </c>
      <c r="L3280" s="783" t="s">
        <v>4096</v>
      </c>
      <c r="M3280" s="784">
        <v>19845.11</v>
      </c>
      <c r="N3280" s="784">
        <v>19.86</v>
      </c>
      <c r="O3280" s="784">
        <v>5.71</v>
      </c>
      <c r="P3280" s="783">
        <v>175</v>
      </c>
      <c r="Q3280" s="783">
        <v>1242.3</v>
      </c>
      <c r="R3280" s="783">
        <v>948.79</v>
      </c>
      <c r="S3280" s="783">
        <v>45.45</v>
      </c>
      <c r="T3280" s="783">
        <v>248.06</v>
      </c>
      <c r="U3280" s="785">
        <v>44683.4914236111</v>
      </c>
    </row>
    <row r="3281" spans="1:21">
      <c r="A3281" s="782">
        <v>44681</v>
      </c>
      <c r="B3281" s="783" t="s">
        <v>34</v>
      </c>
      <c r="C3281" s="783" t="s">
        <v>4082</v>
      </c>
      <c r="D3281" s="783" t="s">
        <v>4009</v>
      </c>
      <c r="E3281" s="783" t="s">
        <v>4629</v>
      </c>
      <c r="F3281" s="783" t="s">
        <v>4011</v>
      </c>
      <c r="G3281" s="783" t="str">
        <f t="shared" si="174"/>
        <v>Renewal (20% in 2020)</v>
      </c>
      <c r="H3281" s="783" t="s">
        <v>4630</v>
      </c>
      <c r="I3281" s="783" t="s">
        <v>4631</v>
      </c>
      <c r="J3281" s="783">
        <v>20</v>
      </c>
      <c r="K3281" s="783" t="s">
        <v>183</v>
      </c>
      <c r="L3281" s="783" t="s">
        <v>4096</v>
      </c>
      <c r="M3281" s="784">
        <v>7970.4</v>
      </c>
      <c r="N3281" s="784">
        <v>8.64</v>
      </c>
      <c r="O3281" s="784">
        <v>6.15</v>
      </c>
      <c r="P3281" s="783">
        <v>150</v>
      </c>
      <c r="Q3281" s="783">
        <v>466.27</v>
      </c>
      <c r="R3281" s="783">
        <v>271.79000000000002</v>
      </c>
      <c r="S3281" s="783">
        <v>49.42</v>
      </c>
      <c r="T3281" s="783">
        <v>145.06</v>
      </c>
      <c r="U3281" s="785">
        <v>44683.4168055556</v>
      </c>
    </row>
    <row r="3282" spans="1:21">
      <c r="A3282" s="782">
        <v>44695</v>
      </c>
      <c r="B3282" s="783" t="s">
        <v>74</v>
      </c>
      <c r="C3282" s="783" t="s">
        <v>4037</v>
      </c>
      <c r="D3282" s="783" t="s">
        <v>4038</v>
      </c>
      <c r="E3282" s="783" t="s">
        <v>4358</v>
      </c>
      <c r="F3282" s="783" t="s">
        <v>4011</v>
      </c>
      <c r="G3282" s="783" t="str">
        <f t="shared" si="174"/>
        <v>Renewal (15% in 2020)</v>
      </c>
      <c r="H3282" s="783" t="s">
        <v>4359</v>
      </c>
      <c r="I3282" s="783" t="s">
        <v>4360</v>
      </c>
      <c r="J3282" s="783">
        <v>20</v>
      </c>
      <c r="K3282" s="783" t="s">
        <v>183</v>
      </c>
      <c r="L3282" s="783" t="s">
        <v>4096</v>
      </c>
      <c r="M3282" s="784">
        <v>13847.18</v>
      </c>
      <c r="N3282" s="784">
        <v>15.21</v>
      </c>
      <c r="O3282" s="784">
        <v>5.69</v>
      </c>
      <c r="P3282" s="783">
        <v>160</v>
      </c>
      <c r="Q3282" s="783">
        <v>1244.8599999999999</v>
      </c>
      <c r="R3282" s="783">
        <v>666.05</v>
      </c>
      <c r="S3282" s="783">
        <v>108.01</v>
      </c>
      <c r="T3282" s="783">
        <v>470.8</v>
      </c>
      <c r="U3282" s="785">
        <v>44697.687083333301</v>
      </c>
    </row>
    <row r="3283" spans="1:21">
      <c r="A3283" s="782">
        <v>44685</v>
      </c>
      <c r="B3283" s="783" t="s">
        <v>3078</v>
      </c>
      <c r="C3283" s="783" t="s">
        <v>4008</v>
      </c>
      <c r="D3283" s="783" t="s">
        <v>4009</v>
      </c>
      <c r="E3283" s="783" t="s">
        <v>5464</v>
      </c>
      <c r="F3283" s="783" t="s">
        <v>4011</v>
      </c>
      <c r="G3283" s="783" t="str">
        <f t="shared" si="174"/>
        <v>Renewal (20% in 2020)</v>
      </c>
      <c r="H3283" s="783" t="s">
        <v>5465</v>
      </c>
      <c r="I3283" s="783" t="s">
        <v>5466</v>
      </c>
      <c r="J3283" s="783">
        <v>20</v>
      </c>
      <c r="K3283" s="783" t="s">
        <v>183</v>
      </c>
      <c r="L3283" s="783" t="s">
        <v>4096</v>
      </c>
      <c r="M3283" s="784">
        <v>6086.7</v>
      </c>
      <c r="N3283" s="784">
        <v>5.27</v>
      </c>
      <c r="O3283" s="784">
        <v>5.32</v>
      </c>
      <c r="P3283" s="783">
        <v>217.1</v>
      </c>
      <c r="Q3283" s="783">
        <v>392.59</v>
      </c>
      <c r="R3283" s="783">
        <v>169.49</v>
      </c>
      <c r="S3283" s="783">
        <v>86.15</v>
      </c>
      <c r="T3283" s="783">
        <v>136.94999999999999</v>
      </c>
      <c r="U3283" s="785">
        <v>44685.634270833303</v>
      </c>
    </row>
    <row r="3284" spans="1:21">
      <c r="A3284" s="782">
        <v>44686</v>
      </c>
      <c r="B3284" s="783" t="s">
        <v>4025</v>
      </c>
      <c r="C3284" s="783" t="s">
        <v>4026</v>
      </c>
      <c r="D3284" s="783" t="s">
        <v>4021</v>
      </c>
      <c r="E3284" s="783" t="s">
        <v>4049</v>
      </c>
      <c r="F3284" s="783" t="s">
        <v>4011</v>
      </c>
      <c r="G3284" s="783" t="str">
        <f t="shared" si="174"/>
        <v>New contract</v>
      </c>
      <c r="H3284" s="783" t="s">
        <v>4050</v>
      </c>
      <c r="I3284" s="783" t="s">
        <v>4051</v>
      </c>
      <c r="J3284" s="783">
        <v>30</v>
      </c>
      <c r="K3284" s="783" t="s">
        <v>183</v>
      </c>
      <c r="L3284" s="783" t="s">
        <v>4096</v>
      </c>
      <c r="M3284" s="784">
        <v>8705.92</v>
      </c>
      <c r="N3284" s="784">
        <v>8.99</v>
      </c>
      <c r="O3284" s="784">
        <v>5.38</v>
      </c>
      <c r="P3284" s="783">
        <v>180</v>
      </c>
      <c r="Q3284" s="783">
        <v>438.78</v>
      </c>
      <c r="R3284" s="783">
        <v>333.59</v>
      </c>
      <c r="S3284" s="783">
        <v>25.97</v>
      </c>
      <c r="T3284" s="783">
        <v>79.22</v>
      </c>
      <c r="U3284" s="785">
        <v>44687.618229166699</v>
      </c>
    </row>
    <row r="3285" spans="1:21">
      <c r="A3285" s="782">
        <v>44685</v>
      </c>
      <c r="B3285" s="783" t="s">
        <v>41</v>
      </c>
      <c r="C3285" s="783" t="s">
        <v>4092</v>
      </c>
      <c r="D3285" s="783" t="s">
        <v>4009</v>
      </c>
      <c r="E3285" s="783" t="s">
        <v>726</v>
      </c>
      <c r="F3285" s="783" t="s">
        <v>4011</v>
      </c>
      <c r="G3285" s="783" t="str">
        <f t="shared" si="174"/>
        <v>Renewal (15% in 2020)</v>
      </c>
      <c r="H3285" s="783" t="s">
        <v>5467</v>
      </c>
      <c r="I3285" s="783" t="s">
        <v>5468</v>
      </c>
      <c r="J3285" s="783">
        <v>15</v>
      </c>
      <c r="K3285" s="783" t="s">
        <v>183</v>
      </c>
      <c r="L3285" s="783" t="s">
        <v>4096</v>
      </c>
      <c r="M3285" s="784">
        <v>16530.63</v>
      </c>
      <c r="N3285" s="784">
        <v>18.579999999999998</v>
      </c>
      <c r="O3285" s="784">
        <v>5.74</v>
      </c>
      <c r="P3285" s="783">
        <v>155</v>
      </c>
      <c r="Q3285" s="783">
        <v>1338.98</v>
      </c>
      <c r="R3285" s="783">
        <v>583.53</v>
      </c>
      <c r="S3285" s="783">
        <v>107.45</v>
      </c>
      <c r="T3285" s="783">
        <v>648</v>
      </c>
      <c r="U3285" s="785">
        <v>44687.647280092599</v>
      </c>
    </row>
    <row r="3286" spans="1:21">
      <c r="A3286" s="782">
        <v>44676</v>
      </c>
      <c r="B3286" s="783" t="s">
        <v>51</v>
      </c>
      <c r="C3286" s="783" t="s">
        <v>4042</v>
      </c>
      <c r="D3286" s="783" t="s">
        <v>4016</v>
      </c>
      <c r="E3286" s="783" t="s">
        <v>2246</v>
      </c>
      <c r="F3286" s="783" t="s">
        <v>4011</v>
      </c>
      <c r="G3286" s="783" t="str">
        <f t="shared" si="174"/>
        <v>Renewal (20% in 2020)</v>
      </c>
      <c r="H3286" s="783" t="s">
        <v>5469</v>
      </c>
      <c r="I3286" s="783" t="s">
        <v>5470</v>
      </c>
      <c r="J3286" s="783">
        <v>20</v>
      </c>
      <c r="K3286" s="783" t="s">
        <v>183</v>
      </c>
      <c r="L3286" s="783" t="s">
        <v>4096</v>
      </c>
      <c r="M3286" s="784">
        <v>23949</v>
      </c>
      <c r="N3286" s="784">
        <v>17.739999999999998</v>
      </c>
      <c r="O3286" s="784">
        <v>7.5</v>
      </c>
      <c r="P3286" s="783">
        <v>180</v>
      </c>
      <c r="Q3286" s="783">
        <v>1341.14</v>
      </c>
      <c r="R3286" s="783">
        <v>726.57</v>
      </c>
      <c r="S3286" s="783">
        <v>178.7</v>
      </c>
      <c r="T3286" s="783">
        <v>435.87</v>
      </c>
      <c r="U3286" s="785">
        <v>44678.769467592603</v>
      </c>
    </row>
    <row r="3287" spans="1:21">
      <c r="A3287" s="782">
        <v>44689</v>
      </c>
      <c r="B3287" s="783" t="s">
        <v>41</v>
      </c>
      <c r="C3287" s="783" t="s">
        <v>4092</v>
      </c>
      <c r="D3287" s="783" t="s">
        <v>4009</v>
      </c>
      <c r="E3287" s="783" t="s">
        <v>5474</v>
      </c>
      <c r="F3287" s="783" t="s">
        <v>4011</v>
      </c>
      <c r="G3287" s="783" t="str">
        <f t="shared" si="174"/>
        <v>Renewal (20% in 2020)</v>
      </c>
      <c r="H3287" s="783" t="s">
        <v>5475</v>
      </c>
      <c r="I3287" s="783" t="s">
        <v>5476</v>
      </c>
      <c r="J3287" s="783">
        <v>20</v>
      </c>
      <c r="K3287" s="783" t="s">
        <v>183</v>
      </c>
      <c r="L3287" s="783" t="s">
        <v>4096</v>
      </c>
      <c r="M3287" s="784">
        <v>27384</v>
      </c>
      <c r="N3287" s="784">
        <v>26.08</v>
      </c>
      <c r="O3287" s="784">
        <v>5</v>
      </c>
      <c r="P3287" s="783">
        <v>210</v>
      </c>
      <c r="Q3287" s="783">
        <v>1656.73</v>
      </c>
      <c r="R3287" s="783">
        <v>768.72</v>
      </c>
      <c r="S3287" s="783">
        <v>375.93</v>
      </c>
      <c r="T3287" s="783">
        <v>512.08000000000004</v>
      </c>
      <c r="U3287" s="785">
        <v>44690.659444444398</v>
      </c>
    </row>
    <row r="3288" spans="1:21">
      <c r="A3288" s="782">
        <v>44677</v>
      </c>
      <c r="B3288" s="783" t="s">
        <v>4025</v>
      </c>
      <c r="C3288" s="783" t="s">
        <v>4026</v>
      </c>
      <c r="D3288" s="783" t="s">
        <v>4021</v>
      </c>
      <c r="E3288" s="783" t="s">
        <v>5477</v>
      </c>
      <c r="F3288" s="783" t="s">
        <v>4011</v>
      </c>
      <c r="G3288" s="783" t="str">
        <f t="shared" si="174"/>
        <v>New Contract</v>
      </c>
      <c r="H3288" s="783" t="s">
        <v>5478</v>
      </c>
      <c r="I3288" s="783" t="s">
        <v>5479</v>
      </c>
      <c r="J3288" s="783">
        <v>20</v>
      </c>
      <c r="K3288" s="783" t="s">
        <v>183</v>
      </c>
      <c r="L3288" s="783" t="s">
        <v>4096</v>
      </c>
      <c r="M3288" s="784">
        <v>91713.05</v>
      </c>
      <c r="N3288" s="784">
        <v>72.37</v>
      </c>
      <c r="O3288" s="784">
        <v>5.84</v>
      </c>
      <c r="P3288" s="783">
        <v>217</v>
      </c>
      <c r="Q3288" s="783">
        <v>6640.03</v>
      </c>
      <c r="R3288" s="783">
        <v>2915</v>
      </c>
      <c r="S3288" s="783">
        <v>1459.72</v>
      </c>
      <c r="T3288" s="783">
        <v>2265.31</v>
      </c>
      <c r="U3288" s="785">
        <v>44678.783344907402</v>
      </c>
    </row>
    <row r="3289" spans="1:21">
      <c r="A3289" s="782">
        <v>44681</v>
      </c>
      <c r="B3289" s="783" t="s">
        <v>51</v>
      </c>
      <c r="C3289" s="783" t="s">
        <v>4042</v>
      </c>
      <c r="D3289" s="783" t="s">
        <v>4016</v>
      </c>
      <c r="E3289" s="783" t="s">
        <v>5486</v>
      </c>
      <c r="F3289" s="783" t="s">
        <v>4011</v>
      </c>
      <c r="G3289" s="783" t="str">
        <f t="shared" si="174"/>
        <v>Renewal (30% in 2020)</v>
      </c>
      <c r="H3289" s="783" t="s">
        <v>5487</v>
      </c>
      <c r="I3289" s="783" t="s">
        <v>5488</v>
      </c>
      <c r="J3289" s="783">
        <v>30</v>
      </c>
      <c r="K3289" s="783" t="s">
        <v>183</v>
      </c>
      <c r="L3289" s="783" t="s">
        <v>4096</v>
      </c>
      <c r="M3289" s="784">
        <v>33704</v>
      </c>
      <c r="N3289" s="784">
        <v>22</v>
      </c>
      <c r="O3289" s="784">
        <v>7.66</v>
      </c>
      <c r="P3289" s="783">
        <v>200</v>
      </c>
      <c r="Q3289" s="783">
        <v>1300.97</v>
      </c>
      <c r="R3289" s="783">
        <v>920.27</v>
      </c>
      <c r="S3289" s="783">
        <v>181.85</v>
      </c>
      <c r="T3289" s="783">
        <v>198.85</v>
      </c>
      <c r="U3289" s="785">
        <v>44683.458310185197</v>
      </c>
    </row>
    <row r="3290" spans="1:21">
      <c r="A3290" s="782">
        <v>44678</v>
      </c>
      <c r="B3290" s="783" t="s">
        <v>51</v>
      </c>
      <c r="C3290" s="783" t="s">
        <v>5489</v>
      </c>
      <c r="D3290" s="783" t="s">
        <v>4016</v>
      </c>
      <c r="E3290" s="783" t="s">
        <v>5490</v>
      </c>
      <c r="F3290" s="783" t="s">
        <v>4011</v>
      </c>
      <c r="G3290" s="783" t="str">
        <f t="shared" si="174"/>
        <v>Renewal (20% in 2020)</v>
      </c>
      <c r="H3290" s="783" t="s">
        <v>5491</v>
      </c>
      <c r="I3290" s="783" t="s">
        <v>5492</v>
      </c>
      <c r="J3290" s="783">
        <v>30</v>
      </c>
      <c r="K3290" s="783" t="s">
        <v>183</v>
      </c>
      <c r="L3290" s="783" t="s">
        <v>4096</v>
      </c>
      <c r="M3290" s="784">
        <v>18280.5</v>
      </c>
      <c r="N3290" s="784">
        <v>17.41</v>
      </c>
      <c r="O3290" s="784">
        <v>7</v>
      </c>
      <c r="P3290" s="783">
        <v>150</v>
      </c>
      <c r="Q3290" s="783">
        <v>616.04999999999995</v>
      </c>
      <c r="R3290" s="783">
        <v>520.99</v>
      </c>
      <c r="S3290" s="783">
        <v>0</v>
      </c>
      <c r="T3290" s="783">
        <v>95.06</v>
      </c>
      <c r="U3290" s="785">
        <v>44680.652615740699</v>
      </c>
    </row>
    <row r="3291" spans="1:21">
      <c r="A3291" s="782">
        <v>44679</v>
      </c>
      <c r="B3291" s="783" t="s">
        <v>41</v>
      </c>
      <c r="C3291" s="783" t="s">
        <v>4008</v>
      </c>
      <c r="D3291" s="783" t="s">
        <v>4009</v>
      </c>
      <c r="E3291" s="783" t="s">
        <v>5496</v>
      </c>
      <c r="F3291" s="783" t="s">
        <v>4011</v>
      </c>
      <c r="G3291" s="783" t="str">
        <f t="shared" si="174"/>
        <v>Renewal (15% in 2020)</v>
      </c>
      <c r="H3291" s="783" t="s">
        <v>5497</v>
      </c>
      <c r="I3291" s="783" t="s">
        <v>5498</v>
      </c>
      <c r="J3291" s="783">
        <v>15</v>
      </c>
      <c r="K3291" s="783" t="s">
        <v>183</v>
      </c>
      <c r="L3291" s="783" t="s">
        <v>4096</v>
      </c>
      <c r="M3291" s="784">
        <v>8689.85</v>
      </c>
      <c r="N3291" s="784">
        <v>13</v>
      </c>
      <c r="O3291" s="784">
        <v>4.6100000000000003</v>
      </c>
      <c r="P3291" s="783">
        <v>145</v>
      </c>
      <c r="Q3291" s="783">
        <v>739.51</v>
      </c>
      <c r="R3291" s="783">
        <v>314.57</v>
      </c>
      <c r="S3291" s="783">
        <v>50.4</v>
      </c>
      <c r="T3291" s="783">
        <v>374.53</v>
      </c>
      <c r="U3291" s="785">
        <v>44704.4525810185</v>
      </c>
    </row>
    <row r="3292" spans="1:21">
      <c r="A3292" s="782">
        <v>44681</v>
      </c>
      <c r="B3292" s="783" t="s">
        <v>51</v>
      </c>
      <c r="C3292" s="783" t="s">
        <v>4042</v>
      </c>
      <c r="D3292" s="783" t="s">
        <v>4016</v>
      </c>
      <c r="E3292" s="783" t="s">
        <v>96</v>
      </c>
      <c r="F3292" s="783" t="s">
        <v>4011</v>
      </c>
      <c r="G3292" s="783" t="str">
        <f t="shared" si="174"/>
        <v>Renewal (20% in 2020)</v>
      </c>
      <c r="H3292" s="783" t="s">
        <v>5499</v>
      </c>
      <c r="I3292" s="783" t="s">
        <v>5500</v>
      </c>
      <c r="J3292" s="783">
        <v>20</v>
      </c>
      <c r="K3292" s="783" t="s">
        <v>183</v>
      </c>
      <c r="L3292" s="783" t="s">
        <v>4096</v>
      </c>
      <c r="M3292" s="784">
        <v>49737.24</v>
      </c>
      <c r="N3292" s="784">
        <v>48.6</v>
      </c>
      <c r="O3292" s="784">
        <v>7.31</v>
      </c>
      <c r="P3292" s="783">
        <v>140</v>
      </c>
      <c r="Q3292" s="783">
        <v>2785.29</v>
      </c>
      <c r="R3292" s="783">
        <v>1626.41</v>
      </c>
      <c r="S3292" s="783">
        <v>253.66</v>
      </c>
      <c r="T3292" s="783">
        <v>905.22</v>
      </c>
      <c r="U3292" s="785">
        <v>44683.464166666701</v>
      </c>
    </row>
    <row r="3293" spans="1:21">
      <c r="A3293" s="782">
        <v>44680</v>
      </c>
      <c r="B3293" s="783" t="s">
        <v>51</v>
      </c>
      <c r="C3293" s="783" t="s">
        <v>4042</v>
      </c>
      <c r="D3293" s="783" t="s">
        <v>4016</v>
      </c>
      <c r="E3293" s="783" t="s">
        <v>5501</v>
      </c>
      <c r="F3293" s="783" t="s">
        <v>4011</v>
      </c>
      <c r="G3293" s="783" t="str">
        <f t="shared" si="174"/>
        <v>Renewal (15% in 2020)</v>
      </c>
      <c r="H3293" s="783" t="s">
        <v>5502</v>
      </c>
      <c r="I3293" s="783" t="s">
        <v>5503</v>
      </c>
      <c r="J3293" s="783">
        <v>15</v>
      </c>
      <c r="K3293" s="783" t="s">
        <v>183</v>
      </c>
      <c r="L3293" s="783" t="s">
        <v>4096</v>
      </c>
      <c r="M3293" s="784">
        <v>16601.009999999998</v>
      </c>
      <c r="N3293" s="784">
        <v>12.9</v>
      </c>
      <c r="O3293" s="784">
        <v>7.57</v>
      </c>
      <c r="P3293" s="783">
        <v>170</v>
      </c>
      <c r="Q3293" s="783">
        <v>1235.1199999999999</v>
      </c>
      <c r="R3293" s="783">
        <v>533.27</v>
      </c>
      <c r="S3293" s="783">
        <v>94.24</v>
      </c>
      <c r="T3293" s="783">
        <v>607.6</v>
      </c>
      <c r="U3293" s="785">
        <v>44680.741655092599</v>
      </c>
    </row>
    <row r="3294" spans="1:21">
      <c r="A3294" s="782">
        <v>44684</v>
      </c>
      <c r="B3294" s="783" t="s">
        <v>30</v>
      </c>
      <c r="C3294" s="783" t="s">
        <v>4089</v>
      </c>
      <c r="D3294" s="783" t="s">
        <v>4021</v>
      </c>
      <c r="E3294" s="783" t="s">
        <v>5504</v>
      </c>
      <c r="F3294" s="783" t="s">
        <v>4011</v>
      </c>
      <c r="G3294" s="783" t="str">
        <f t="shared" si="174"/>
        <v>Renewal (20% in 2020)</v>
      </c>
      <c r="H3294" s="783" t="s">
        <v>5505</v>
      </c>
      <c r="I3294" s="783" t="s">
        <v>5506</v>
      </c>
      <c r="J3294" s="783">
        <v>30</v>
      </c>
      <c r="K3294" s="783" t="s">
        <v>183</v>
      </c>
      <c r="L3294" s="783" t="s">
        <v>4096</v>
      </c>
      <c r="M3294" s="784">
        <v>32631.98</v>
      </c>
      <c r="N3294" s="784">
        <v>22.89</v>
      </c>
      <c r="O3294" s="784">
        <v>7.92</v>
      </c>
      <c r="P3294" s="783">
        <v>180</v>
      </c>
      <c r="Q3294" s="783">
        <v>1592.44</v>
      </c>
      <c r="R3294" s="783">
        <v>1214.04</v>
      </c>
      <c r="S3294" s="783">
        <v>94.51</v>
      </c>
      <c r="T3294" s="783">
        <v>283.89999999999998</v>
      </c>
      <c r="U3294" s="785">
        <v>44685.409467592603</v>
      </c>
    </row>
    <row r="3295" spans="1:21">
      <c r="A3295" s="782">
        <v>44684</v>
      </c>
      <c r="B3295" s="783" t="s">
        <v>118</v>
      </c>
      <c r="C3295" s="783" t="s">
        <v>4139</v>
      </c>
      <c r="D3295" s="783" t="s">
        <v>4009</v>
      </c>
      <c r="E3295" s="783" t="s">
        <v>1581</v>
      </c>
      <c r="F3295" s="783" t="s">
        <v>4011</v>
      </c>
      <c r="G3295" s="783" t="str">
        <f t="shared" si="174"/>
        <v>Renewal (15% in 2020)</v>
      </c>
      <c r="H3295" s="783" t="s">
        <v>5507</v>
      </c>
      <c r="I3295" s="783" t="s">
        <v>5508</v>
      </c>
      <c r="J3295" s="783">
        <v>15</v>
      </c>
      <c r="K3295" s="783" t="s">
        <v>183</v>
      </c>
      <c r="L3295" s="783" t="s">
        <v>4096</v>
      </c>
      <c r="M3295" s="784">
        <v>18387.46</v>
      </c>
      <c r="N3295" s="784">
        <v>14.73</v>
      </c>
      <c r="O3295" s="784">
        <v>6.57</v>
      </c>
      <c r="P3295" s="783">
        <v>190</v>
      </c>
      <c r="Q3295" s="783">
        <v>1362.51</v>
      </c>
      <c r="R3295" s="783">
        <v>538.17999999999995</v>
      </c>
      <c r="S3295" s="783">
        <v>166.06</v>
      </c>
      <c r="T3295" s="783">
        <v>658.27</v>
      </c>
      <c r="U3295" s="785">
        <v>44684.386493055601</v>
      </c>
    </row>
    <row r="3296" spans="1:21">
      <c r="A3296" s="782">
        <v>44680</v>
      </c>
      <c r="B3296" s="783" t="s">
        <v>41</v>
      </c>
      <c r="C3296" s="783" t="s">
        <v>4082</v>
      </c>
      <c r="D3296" s="783" t="s">
        <v>4009</v>
      </c>
      <c r="E3296" s="783" t="s">
        <v>5509</v>
      </c>
      <c r="F3296" s="783" t="s">
        <v>4011</v>
      </c>
      <c r="G3296" s="783" t="str">
        <f t="shared" si="174"/>
        <v>Renewal (15% in 2020)</v>
      </c>
      <c r="H3296" s="783" t="s">
        <v>5510</v>
      </c>
      <c r="I3296" s="783" t="s">
        <v>5511</v>
      </c>
      <c r="J3296" s="783">
        <v>15</v>
      </c>
      <c r="K3296" s="783" t="s">
        <v>183</v>
      </c>
      <c r="L3296" s="783" t="s">
        <v>4096</v>
      </c>
      <c r="M3296" s="784">
        <v>13178.75</v>
      </c>
      <c r="N3296" s="784">
        <v>13.82</v>
      </c>
      <c r="O3296" s="784">
        <v>5.96</v>
      </c>
      <c r="P3296" s="783">
        <v>160</v>
      </c>
      <c r="Q3296" s="783">
        <v>1029.26</v>
      </c>
      <c r="R3296" s="783">
        <v>449.4</v>
      </c>
      <c r="S3296" s="783">
        <v>81.709999999999994</v>
      </c>
      <c r="T3296" s="783">
        <v>498.16</v>
      </c>
      <c r="U3296" s="785">
        <v>44680.750289351898</v>
      </c>
    </row>
    <row r="3297" spans="1:21">
      <c r="A3297" s="782">
        <v>44680</v>
      </c>
      <c r="B3297" s="783" t="s">
        <v>51</v>
      </c>
      <c r="C3297" s="783" t="s">
        <v>4042</v>
      </c>
      <c r="D3297" s="783" t="s">
        <v>4016</v>
      </c>
      <c r="E3297" s="783" t="s">
        <v>106</v>
      </c>
      <c r="F3297" s="783" t="s">
        <v>4011</v>
      </c>
      <c r="G3297" s="783" t="str">
        <f t="shared" si="174"/>
        <v>Renewal (20% in 2020)</v>
      </c>
      <c r="H3297" s="783" t="s">
        <v>5512</v>
      </c>
      <c r="I3297" s="783" t="s">
        <v>5513</v>
      </c>
      <c r="J3297" s="783">
        <v>20</v>
      </c>
      <c r="K3297" s="783" t="s">
        <v>183</v>
      </c>
      <c r="L3297" s="783" t="s">
        <v>4096</v>
      </c>
      <c r="M3297" s="784">
        <v>54349.23</v>
      </c>
      <c r="N3297" s="784">
        <v>60.59</v>
      </c>
      <c r="O3297" s="784">
        <v>5.98</v>
      </c>
      <c r="P3297" s="783">
        <v>150</v>
      </c>
      <c r="Q3297" s="783">
        <v>3043.56</v>
      </c>
      <c r="R3297" s="783">
        <v>1777.22</v>
      </c>
      <c r="S3297" s="783">
        <v>277.18</v>
      </c>
      <c r="T3297" s="783">
        <v>989.16</v>
      </c>
      <c r="U3297" s="785">
        <v>44683.4868055556</v>
      </c>
    </row>
    <row r="3298" spans="1:21">
      <c r="A3298" s="782">
        <v>44699</v>
      </c>
      <c r="B3298" s="783" t="s">
        <v>41</v>
      </c>
      <c r="C3298" s="783" t="s">
        <v>4121</v>
      </c>
      <c r="D3298" s="783" t="s">
        <v>4009</v>
      </c>
      <c r="E3298" s="783" t="s">
        <v>5520</v>
      </c>
      <c r="F3298" s="783" t="s">
        <v>4011</v>
      </c>
      <c r="G3298" s="783" t="str">
        <f t="shared" si="174"/>
        <v>Renewal (25% in 2020)</v>
      </c>
      <c r="H3298" s="783" t="s">
        <v>5521</v>
      </c>
      <c r="I3298" s="783" t="s">
        <v>5522</v>
      </c>
      <c r="J3298" s="783">
        <v>25</v>
      </c>
      <c r="K3298" s="783" t="s">
        <v>183</v>
      </c>
      <c r="L3298" s="783" t="s">
        <v>4096</v>
      </c>
      <c r="M3298" s="784">
        <v>12758.53</v>
      </c>
      <c r="N3298" s="784">
        <v>13.71</v>
      </c>
      <c r="O3298" s="784">
        <v>5.17</v>
      </c>
      <c r="P3298" s="783">
        <v>180</v>
      </c>
      <c r="Q3298" s="783">
        <v>597.1</v>
      </c>
      <c r="R3298" s="783">
        <v>413.11</v>
      </c>
      <c r="S3298" s="783">
        <v>98.5</v>
      </c>
      <c r="T3298" s="783">
        <v>85.48</v>
      </c>
      <c r="U3298" s="785">
        <v>44700.597268518497</v>
      </c>
    </row>
    <row r="3299" spans="1:21">
      <c r="A3299" s="782">
        <v>44678</v>
      </c>
      <c r="B3299" s="783" t="s">
        <v>74</v>
      </c>
      <c r="C3299" s="783" t="s">
        <v>4097</v>
      </c>
      <c r="D3299" s="783" t="s">
        <v>4038</v>
      </c>
      <c r="E3299" s="783" t="s">
        <v>4361</v>
      </c>
      <c r="F3299" s="783" t="s">
        <v>4011</v>
      </c>
      <c r="G3299" s="783" t="s">
        <v>4028</v>
      </c>
      <c r="H3299" s="783" t="s">
        <v>4362</v>
      </c>
      <c r="I3299" s="783" t="s">
        <v>4363</v>
      </c>
      <c r="J3299" s="783">
        <v>15</v>
      </c>
      <c r="K3299" s="783" t="s">
        <v>183</v>
      </c>
      <c r="L3299" s="783" t="s">
        <v>4096</v>
      </c>
      <c r="M3299" s="784">
        <v>9366.06</v>
      </c>
      <c r="N3299" s="784">
        <v>12.65</v>
      </c>
      <c r="O3299" s="784">
        <v>6.17</v>
      </c>
      <c r="P3299" s="783">
        <v>120</v>
      </c>
      <c r="Q3299" s="783">
        <v>823.28</v>
      </c>
      <c r="R3299" s="783">
        <v>348.42</v>
      </c>
      <c r="S3299" s="783">
        <v>54.32</v>
      </c>
      <c r="T3299" s="783">
        <v>420.54</v>
      </c>
      <c r="U3299" s="785">
        <v>44680.483090277798</v>
      </c>
    </row>
    <row r="3300" spans="1:21">
      <c r="A3300" s="782">
        <v>44714</v>
      </c>
      <c r="B3300" s="783" t="s">
        <v>74</v>
      </c>
      <c r="C3300" s="783" t="s">
        <v>4097</v>
      </c>
      <c r="D3300" s="783" t="s">
        <v>4038</v>
      </c>
      <c r="E3300" s="783" t="s">
        <v>4364</v>
      </c>
      <c r="F3300" s="783" t="s">
        <v>4011</v>
      </c>
      <c r="G3300" s="783" t="str">
        <f t="shared" ref="G3300:G3311" si="175">VLOOKUP(I3300,pacage,2,FALSE)</f>
        <v>Renewal (20% in 2020)</v>
      </c>
      <c r="H3300" s="783" t="s">
        <v>4365</v>
      </c>
      <c r="I3300" s="783" t="s">
        <v>4366</v>
      </c>
      <c r="J3300" s="783">
        <v>20</v>
      </c>
      <c r="K3300" s="783" t="s">
        <v>183</v>
      </c>
      <c r="L3300" s="783" t="s">
        <v>4096</v>
      </c>
      <c r="M3300" s="784">
        <v>5241.6000000000004</v>
      </c>
      <c r="N3300" s="784">
        <v>4.68</v>
      </c>
      <c r="O3300" s="784">
        <v>5.6</v>
      </c>
      <c r="P3300" s="783">
        <v>200</v>
      </c>
      <c r="Q3300" s="783">
        <v>350.14</v>
      </c>
      <c r="R3300" s="783">
        <v>162.81</v>
      </c>
      <c r="S3300" s="783">
        <v>62.57</v>
      </c>
      <c r="T3300" s="783">
        <v>124.75</v>
      </c>
      <c r="U3300" s="785">
        <v>44715.463217592602</v>
      </c>
    </row>
    <row r="3301" spans="1:21">
      <c r="A3301" s="782">
        <v>44708</v>
      </c>
      <c r="B3301" s="783" t="s">
        <v>41</v>
      </c>
      <c r="C3301" s="783" t="s">
        <v>4008</v>
      </c>
      <c r="D3301" s="783" t="s">
        <v>4009</v>
      </c>
      <c r="E3301" s="783" t="s">
        <v>5529</v>
      </c>
      <c r="F3301" s="783" t="s">
        <v>4011</v>
      </c>
      <c r="G3301" s="783" t="str">
        <f t="shared" si="175"/>
        <v>Renewal (20% in 2020)</v>
      </c>
      <c r="H3301" s="783" t="s">
        <v>5530</v>
      </c>
      <c r="I3301" s="783" t="s">
        <v>5531</v>
      </c>
      <c r="J3301" s="783">
        <v>20</v>
      </c>
      <c r="K3301" s="783" t="s">
        <v>183</v>
      </c>
      <c r="L3301" s="783" t="s">
        <v>4096</v>
      </c>
      <c r="M3301" s="784">
        <v>13531.18</v>
      </c>
      <c r="N3301" s="784">
        <v>17.5</v>
      </c>
      <c r="O3301" s="784">
        <v>4.63</v>
      </c>
      <c r="P3301" s="783">
        <v>167</v>
      </c>
      <c r="Q3301" s="783">
        <v>872.76</v>
      </c>
      <c r="R3301" s="783">
        <v>489.83</v>
      </c>
      <c r="S3301" s="783">
        <v>78.48</v>
      </c>
      <c r="T3301" s="783">
        <v>304.45</v>
      </c>
      <c r="U3301" s="785">
        <v>44708.588553240697</v>
      </c>
    </row>
    <row r="3302" spans="1:21">
      <c r="A3302" s="782">
        <v>44678</v>
      </c>
      <c r="B3302" s="783" t="s">
        <v>41</v>
      </c>
      <c r="C3302" s="783" t="s">
        <v>4008</v>
      </c>
      <c r="D3302" s="783" t="s">
        <v>4009</v>
      </c>
      <c r="E3302" s="783" t="s">
        <v>5532</v>
      </c>
      <c r="F3302" s="783" t="s">
        <v>4011</v>
      </c>
      <c r="G3302" s="783" t="str">
        <f t="shared" si="175"/>
        <v>Renewal (15% in 2020)</v>
      </c>
      <c r="H3302" s="783" t="s">
        <v>5533</v>
      </c>
      <c r="I3302" s="783" t="s">
        <v>5534</v>
      </c>
      <c r="J3302" s="783">
        <v>15</v>
      </c>
      <c r="K3302" s="783" t="s">
        <v>183</v>
      </c>
      <c r="L3302" s="783" t="s">
        <v>4096</v>
      </c>
      <c r="M3302" s="784">
        <v>15819.3</v>
      </c>
      <c r="N3302" s="784">
        <v>19.53</v>
      </c>
      <c r="O3302" s="784">
        <v>5.4</v>
      </c>
      <c r="P3302" s="783">
        <v>150</v>
      </c>
      <c r="Q3302" s="783">
        <v>1346.22</v>
      </c>
      <c r="R3302" s="783">
        <v>572.66</v>
      </c>
      <c r="S3302" s="783">
        <v>91.75</v>
      </c>
      <c r="T3302" s="783">
        <v>681.81</v>
      </c>
      <c r="U3302" s="785">
        <v>44680.657766203702</v>
      </c>
    </row>
    <row r="3303" spans="1:21">
      <c r="A3303" s="782">
        <v>44680</v>
      </c>
      <c r="B3303" s="783" t="s">
        <v>228</v>
      </c>
      <c r="C3303" s="783" t="s">
        <v>4675</v>
      </c>
      <c r="D3303" s="783" t="s">
        <v>4193</v>
      </c>
      <c r="E3303" s="783" t="s">
        <v>5541</v>
      </c>
      <c r="F3303" s="783" t="s">
        <v>4011</v>
      </c>
      <c r="G3303" s="783" t="str">
        <f t="shared" si="175"/>
        <v>Renewal (20% in 2020)</v>
      </c>
      <c r="H3303" s="783" t="s">
        <v>5542</v>
      </c>
      <c r="I3303" s="783" t="s">
        <v>5543</v>
      </c>
      <c r="J3303" s="783">
        <v>25</v>
      </c>
      <c r="K3303" s="783" t="s">
        <v>183</v>
      </c>
      <c r="L3303" s="783" t="s">
        <v>4096</v>
      </c>
      <c r="M3303" s="784">
        <v>49637.279999999999</v>
      </c>
      <c r="N3303" s="784">
        <v>31.6</v>
      </c>
      <c r="O3303" s="784">
        <v>7.48</v>
      </c>
      <c r="P3303" s="783">
        <v>210</v>
      </c>
      <c r="Q3303" s="783">
        <v>3122.18</v>
      </c>
      <c r="R3303" s="783">
        <v>1799.99</v>
      </c>
      <c r="S3303" s="783">
        <v>815.9</v>
      </c>
      <c r="T3303" s="783">
        <v>506.3</v>
      </c>
      <c r="U3303" s="785">
        <v>44683.503043981502</v>
      </c>
    </row>
    <row r="3304" spans="1:21">
      <c r="A3304" s="782">
        <v>44680</v>
      </c>
      <c r="B3304" s="783" t="s">
        <v>47</v>
      </c>
      <c r="C3304" s="783" t="s">
        <v>4101</v>
      </c>
      <c r="D3304" s="783" t="s">
        <v>4102</v>
      </c>
      <c r="E3304" s="783" t="s">
        <v>4638</v>
      </c>
      <c r="F3304" s="783" t="s">
        <v>4011</v>
      </c>
      <c r="G3304" s="783" t="str">
        <f t="shared" si="175"/>
        <v>Renewal (15% in 2020)</v>
      </c>
      <c r="H3304" s="783" t="s">
        <v>4639</v>
      </c>
      <c r="I3304" s="783" t="s">
        <v>4640</v>
      </c>
      <c r="J3304" s="783">
        <v>15</v>
      </c>
      <c r="K3304" s="783" t="s">
        <v>183</v>
      </c>
      <c r="L3304" s="783" t="s">
        <v>4096</v>
      </c>
      <c r="M3304" s="784">
        <v>52517.52</v>
      </c>
      <c r="N3304" s="784">
        <v>41.88</v>
      </c>
      <c r="O3304" s="784">
        <v>6.27</v>
      </c>
      <c r="P3304" s="783">
        <v>200</v>
      </c>
      <c r="Q3304" s="783">
        <v>3187.81</v>
      </c>
      <c r="R3304" s="783">
        <v>1184.01</v>
      </c>
      <c r="S3304" s="783">
        <v>444.04</v>
      </c>
      <c r="T3304" s="783">
        <v>1559.77</v>
      </c>
      <c r="U3304" s="785">
        <v>44683.488113425898</v>
      </c>
    </row>
    <row r="3305" spans="1:21">
      <c r="A3305" s="782">
        <v>44680</v>
      </c>
      <c r="B3305" s="783" t="s">
        <v>41</v>
      </c>
      <c r="C3305" s="783" t="s">
        <v>4139</v>
      </c>
      <c r="D3305" s="783" t="s">
        <v>4009</v>
      </c>
      <c r="E3305" s="783" t="s">
        <v>4144</v>
      </c>
      <c r="F3305" s="783" t="s">
        <v>4011</v>
      </c>
      <c r="G3305" s="783" t="str">
        <f t="shared" si="175"/>
        <v>Renewal (15% in 2020)</v>
      </c>
      <c r="H3305" s="783" t="s">
        <v>4145</v>
      </c>
      <c r="I3305" s="783" t="s">
        <v>4146</v>
      </c>
      <c r="J3305" s="783">
        <v>15</v>
      </c>
      <c r="K3305" s="783" t="s">
        <v>183</v>
      </c>
      <c r="L3305" s="783" t="s">
        <v>4096</v>
      </c>
      <c r="M3305" s="784">
        <v>13397.06</v>
      </c>
      <c r="N3305" s="784">
        <v>14.12</v>
      </c>
      <c r="O3305" s="784">
        <v>5.93</v>
      </c>
      <c r="P3305" s="783">
        <v>160</v>
      </c>
      <c r="Q3305" s="783">
        <v>992.72</v>
      </c>
      <c r="R3305" s="783">
        <v>446.12</v>
      </c>
      <c r="S3305" s="783">
        <v>66.989999999999995</v>
      </c>
      <c r="T3305" s="783">
        <v>479.61</v>
      </c>
      <c r="U3305" s="785">
        <v>44680.748159722199</v>
      </c>
    </row>
    <row r="3306" spans="1:21">
      <c r="A3306" s="782">
        <v>44680</v>
      </c>
      <c r="B3306" s="783" t="s">
        <v>30</v>
      </c>
      <c r="C3306" s="783" t="s">
        <v>4089</v>
      </c>
      <c r="D3306" s="783" t="s">
        <v>4021</v>
      </c>
      <c r="E3306" s="783" t="s">
        <v>5544</v>
      </c>
      <c r="F3306" s="783" t="s">
        <v>4011</v>
      </c>
      <c r="G3306" s="783" t="str">
        <f t="shared" si="175"/>
        <v>Renewal (15% in 2020)</v>
      </c>
      <c r="H3306" s="783" t="s">
        <v>5545</v>
      </c>
      <c r="I3306" s="783" t="s">
        <v>5546</v>
      </c>
      <c r="J3306" s="783">
        <v>15</v>
      </c>
      <c r="K3306" s="783" t="s">
        <v>183</v>
      </c>
      <c r="L3306" s="783" t="s">
        <v>4096</v>
      </c>
      <c r="M3306" s="784">
        <v>13315.2</v>
      </c>
      <c r="N3306" s="784">
        <v>14.6</v>
      </c>
      <c r="O3306" s="784">
        <v>6.08</v>
      </c>
      <c r="P3306" s="783">
        <v>150</v>
      </c>
      <c r="Q3306" s="783">
        <v>1240.98</v>
      </c>
      <c r="R3306" s="783">
        <v>533.94000000000005</v>
      </c>
      <c r="S3306" s="783">
        <v>85.22</v>
      </c>
      <c r="T3306" s="783">
        <v>621.82000000000005</v>
      </c>
      <c r="U3306" s="785">
        <v>44683.468275462998</v>
      </c>
    </row>
    <row r="3307" spans="1:21">
      <c r="A3307" s="782">
        <v>44680</v>
      </c>
      <c r="B3307" s="783" t="s">
        <v>4025</v>
      </c>
      <c r="C3307" s="783" t="s">
        <v>4026</v>
      </c>
      <c r="D3307" s="783" t="s">
        <v>4021</v>
      </c>
      <c r="E3307" s="783" t="s">
        <v>5552</v>
      </c>
      <c r="F3307" s="783" t="s">
        <v>4011</v>
      </c>
      <c r="G3307" s="783" t="str">
        <f t="shared" si="175"/>
        <v>New Contract</v>
      </c>
      <c r="H3307" s="783" t="s">
        <v>5553</v>
      </c>
      <c r="I3307" s="783" t="s">
        <v>5554</v>
      </c>
      <c r="J3307" s="783">
        <v>25</v>
      </c>
      <c r="K3307" s="783" t="s">
        <v>183</v>
      </c>
      <c r="L3307" s="783" t="s">
        <v>4096</v>
      </c>
      <c r="M3307" s="784">
        <v>12434.04</v>
      </c>
      <c r="N3307" s="784">
        <v>11.91</v>
      </c>
      <c r="O3307" s="784">
        <v>5.8</v>
      </c>
      <c r="P3307" s="783">
        <v>180</v>
      </c>
      <c r="Q3307" s="783">
        <v>705.01</v>
      </c>
      <c r="R3307" s="783">
        <v>476.44</v>
      </c>
      <c r="S3307" s="783">
        <v>116.67</v>
      </c>
      <c r="T3307" s="783">
        <v>111.91</v>
      </c>
      <c r="U3307" s="785">
        <v>44684.390243055597</v>
      </c>
    </row>
    <row r="3308" spans="1:21">
      <c r="A3308" s="782">
        <v>44693</v>
      </c>
      <c r="B3308" s="783" t="s">
        <v>41</v>
      </c>
      <c r="C3308" s="783" t="s">
        <v>4008</v>
      </c>
      <c r="D3308" s="783" t="s">
        <v>4009</v>
      </c>
      <c r="E3308" s="783" t="s">
        <v>5555</v>
      </c>
      <c r="F3308" s="783" t="s">
        <v>4011</v>
      </c>
      <c r="G3308" s="783" t="str">
        <f t="shared" si="175"/>
        <v>Renewal (20% in 2020)</v>
      </c>
      <c r="H3308" s="783" t="s">
        <v>5556</v>
      </c>
      <c r="I3308" s="783" t="s">
        <v>5557</v>
      </c>
      <c r="J3308" s="783">
        <v>20</v>
      </c>
      <c r="K3308" s="783" t="s">
        <v>183</v>
      </c>
      <c r="L3308" s="783" t="s">
        <v>4096</v>
      </c>
      <c r="M3308" s="784">
        <v>2707.02</v>
      </c>
      <c r="N3308" s="784">
        <v>2.7</v>
      </c>
      <c r="O3308" s="784">
        <v>5.57</v>
      </c>
      <c r="P3308" s="783">
        <v>180</v>
      </c>
      <c r="Q3308" s="783">
        <v>174.6</v>
      </c>
      <c r="R3308" s="783">
        <v>90.92</v>
      </c>
      <c r="S3308" s="783">
        <v>22.78</v>
      </c>
      <c r="T3308" s="783">
        <v>60.91</v>
      </c>
      <c r="U3308" s="785">
        <v>44693.465833333299</v>
      </c>
    </row>
    <row r="3309" spans="1:21">
      <c r="A3309" s="782">
        <v>44681</v>
      </c>
      <c r="B3309" s="783" t="s">
        <v>41</v>
      </c>
      <c r="C3309" s="783" t="s">
        <v>4092</v>
      </c>
      <c r="D3309" s="783" t="s">
        <v>4009</v>
      </c>
      <c r="E3309" s="783" t="s">
        <v>5558</v>
      </c>
      <c r="F3309" s="783" t="s">
        <v>4011</v>
      </c>
      <c r="G3309" s="783" t="str">
        <f t="shared" si="175"/>
        <v>Renewal (25% in 2020)</v>
      </c>
      <c r="H3309" s="783" t="s">
        <v>5559</v>
      </c>
      <c r="I3309" s="783" t="s">
        <v>5560</v>
      </c>
      <c r="J3309" s="783">
        <v>25</v>
      </c>
      <c r="K3309" s="783" t="s">
        <v>183</v>
      </c>
      <c r="L3309" s="783" t="s">
        <v>4096</v>
      </c>
      <c r="M3309" s="784">
        <v>13152.92</v>
      </c>
      <c r="N3309" s="784">
        <v>14.32</v>
      </c>
      <c r="O3309" s="784">
        <v>5.5</v>
      </c>
      <c r="P3309" s="783">
        <v>167</v>
      </c>
      <c r="Q3309" s="783">
        <v>615.55999999999995</v>
      </c>
      <c r="R3309" s="783">
        <v>464.3</v>
      </c>
      <c r="S3309" s="783">
        <v>85.49</v>
      </c>
      <c r="T3309" s="783">
        <v>65.760000000000005</v>
      </c>
      <c r="U3309" s="785">
        <v>44683.418287036999</v>
      </c>
    </row>
    <row r="3310" spans="1:21">
      <c r="A3310" s="782">
        <v>44715</v>
      </c>
      <c r="B3310" s="783" t="s">
        <v>51</v>
      </c>
      <c r="C3310" s="783" t="s">
        <v>4042</v>
      </c>
      <c r="D3310" s="783" t="s">
        <v>4016</v>
      </c>
      <c r="E3310" s="783" t="s">
        <v>3849</v>
      </c>
      <c r="F3310" s="783" t="s">
        <v>4011</v>
      </c>
      <c r="G3310" s="783" t="str">
        <f t="shared" si="175"/>
        <v>Renewal (15% in 2020)</v>
      </c>
      <c r="H3310" s="783" t="s">
        <v>5561</v>
      </c>
      <c r="I3310" s="783" t="s">
        <v>5562</v>
      </c>
      <c r="J3310" s="783">
        <v>15</v>
      </c>
      <c r="K3310" s="783" t="s">
        <v>183</v>
      </c>
      <c r="L3310" s="783" t="s">
        <v>4096</v>
      </c>
      <c r="M3310" s="784">
        <v>42502.6</v>
      </c>
      <c r="N3310" s="784">
        <v>34.39</v>
      </c>
      <c r="O3310" s="784">
        <v>7.27</v>
      </c>
      <c r="P3310" s="783">
        <v>170</v>
      </c>
      <c r="Q3310" s="783">
        <v>3162.19</v>
      </c>
      <c r="R3310" s="783">
        <v>1365.31</v>
      </c>
      <c r="S3310" s="783">
        <v>241.29</v>
      </c>
      <c r="T3310" s="783">
        <v>1555.6</v>
      </c>
      <c r="U3310" s="785">
        <v>44715.466388888897</v>
      </c>
    </row>
    <row r="3311" spans="1:21">
      <c r="A3311" s="782">
        <v>44705</v>
      </c>
      <c r="B3311" s="783" t="s">
        <v>41</v>
      </c>
      <c r="C3311" s="783" t="s">
        <v>4082</v>
      </c>
      <c r="D3311" s="783" t="s">
        <v>4009</v>
      </c>
      <c r="E3311" s="783" t="s">
        <v>535</v>
      </c>
      <c r="F3311" s="783" t="s">
        <v>4011</v>
      </c>
      <c r="G3311" s="783" t="str">
        <f t="shared" si="175"/>
        <v>Renewal (20% in 2020)</v>
      </c>
      <c r="H3311" s="783" t="s">
        <v>5563</v>
      </c>
      <c r="I3311" s="783" t="s">
        <v>5564</v>
      </c>
      <c r="J3311" s="783">
        <v>20</v>
      </c>
      <c r="K3311" s="783" t="s">
        <v>183</v>
      </c>
      <c r="L3311" s="783" t="s">
        <v>4096</v>
      </c>
      <c r="M3311" s="784">
        <v>3833.81</v>
      </c>
      <c r="N3311" s="784">
        <v>4.1100000000000003</v>
      </c>
      <c r="O3311" s="784">
        <v>5.83</v>
      </c>
      <c r="P3311" s="783">
        <v>160</v>
      </c>
      <c r="Q3311" s="783">
        <v>224.28</v>
      </c>
      <c r="R3311" s="783">
        <v>130.72999999999999</v>
      </c>
      <c r="S3311" s="783">
        <v>23.77</v>
      </c>
      <c r="T3311" s="783">
        <v>69.78</v>
      </c>
      <c r="U3311" s="785">
        <v>44706.465775463003</v>
      </c>
    </row>
    <row r="3312" spans="1:21">
      <c r="A3312" s="782">
        <v>44700</v>
      </c>
      <c r="B3312" s="783" t="s">
        <v>41</v>
      </c>
      <c r="C3312" s="783" t="s">
        <v>4071</v>
      </c>
      <c r="D3312" s="783" t="s">
        <v>4009</v>
      </c>
      <c r="E3312" s="783" t="s">
        <v>5565</v>
      </c>
      <c r="F3312" s="783" t="s">
        <v>4011</v>
      </c>
      <c r="G3312" s="783" t="s">
        <v>4028</v>
      </c>
      <c r="H3312" s="783" t="s">
        <v>5566</v>
      </c>
      <c r="I3312" s="783" t="s">
        <v>5567</v>
      </c>
      <c r="J3312" s="783">
        <v>25</v>
      </c>
      <c r="K3312" s="783" t="s">
        <v>183</v>
      </c>
      <c r="L3312" s="783" t="s">
        <v>4096</v>
      </c>
      <c r="M3312" s="784">
        <v>15492.32</v>
      </c>
      <c r="N3312" s="784">
        <v>14.12</v>
      </c>
      <c r="O3312" s="784">
        <v>6.57</v>
      </c>
      <c r="P3312" s="783">
        <v>167</v>
      </c>
      <c r="Q3312" s="783">
        <v>537.58000000000004</v>
      </c>
      <c r="R3312" s="783">
        <v>418.29</v>
      </c>
      <c r="S3312" s="783">
        <v>61.97</v>
      </c>
      <c r="T3312" s="783">
        <v>57.32</v>
      </c>
      <c r="U3312" s="785">
        <v>44705.666585648098</v>
      </c>
    </row>
    <row r="3313" spans="1:21">
      <c r="A3313" s="782">
        <v>44701</v>
      </c>
      <c r="B3313" s="783" t="s">
        <v>1274</v>
      </c>
      <c r="C3313" s="783" t="s">
        <v>4139</v>
      </c>
      <c r="D3313" s="783" t="s">
        <v>4009</v>
      </c>
      <c r="E3313" s="783" t="s">
        <v>5568</v>
      </c>
      <c r="F3313" s="783" t="s">
        <v>4011</v>
      </c>
      <c r="G3313" s="783" t="s">
        <v>4028</v>
      </c>
      <c r="H3313" s="783" t="s">
        <v>5569</v>
      </c>
      <c r="I3313" s="783" t="s">
        <v>5570</v>
      </c>
      <c r="J3313" s="783">
        <v>25</v>
      </c>
      <c r="K3313" s="783" t="s">
        <v>183</v>
      </c>
      <c r="L3313" s="783" t="s">
        <v>4096</v>
      </c>
      <c r="M3313" s="784">
        <v>7390.97</v>
      </c>
      <c r="N3313" s="784">
        <v>7.21</v>
      </c>
      <c r="O3313" s="784">
        <v>6.03</v>
      </c>
      <c r="P3313" s="783">
        <v>170</v>
      </c>
      <c r="Q3313" s="783">
        <v>316.33</v>
      </c>
      <c r="R3313" s="783">
        <v>241.78</v>
      </c>
      <c r="S3313" s="783">
        <v>41.3</v>
      </c>
      <c r="T3313" s="783">
        <v>33.26</v>
      </c>
      <c r="U3313" s="785">
        <v>44704.417534722197</v>
      </c>
    </row>
    <row r="3314" spans="1:21">
      <c r="A3314" s="782">
        <v>44701</v>
      </c>
      <c r="B3314" s="783" t="s">
        <v>41</v>
      </c>
      <c r="C3314" s="783" t="s">
        <v>4071</v>
      </c>
      <c r="D3314" s="783" t="s">
        <v>4009</v>
      </c>
      <c r="E3314" s="783" t="s">
        <v>5571</v>
      </c>
      <c r="F3314" s="783" t="s">
        <v>4011</v>
      </c>
      <c r="G3314" s="783" t="str">
        <f t="shared" ref="G3314:G3320" si="176">VLOOKUP(I3314,pacage,2,FALSE)</f>
        <v>New Contract</v>
      </c>
      <c r="H3314" s="783" t="s">
        <v>5572</v>
      </c>
      <c r="I3314" s="783" t="s">
        <v>5573</v>
      </c>
      <c r="J3314" s="783">
        <v>25</v>
      </c>
      <c r="K3314" s="783" t="s">
        <v>183</v>
      </c>
      <c r="L3314" s="783" t="s">
        <v>4096</v>
      </c>
      <c r="M3314" s="784">
        <v>9908.2099999999991</v>
      </c>
      <c r="N3314" s="784">
        <v>8.2899999999999991</v>
      </c>
      <c r="O3314" s="784">
        <v>6.64</v>
      </c>
      <c r="P3314" s="783">
        <v>180</v>
      </c>
      <c r="Q3314" s="783">
        <v>343.81</v>
      </c>
      <c r="R3314" s="783">
        <v>248.2</v>
      </c>
      <c r="S3314" s="783">
        <v>58.95</v>
      </c>
      <c r="T3314" s="783">
        <v>36.659999999999997</v>
      </c>
      <c r="U3314" s="785">
        <v>44704.414976851898</v>
      </c>
    </row>
    <row r="3315" spans="1:21">
      <c r="A3315" s="782">
        <v>44704</v>
      </c>
      <c r="B3315" s="783" t="s">
        <v>228</v>
      </c>
      <c r="C3315" s="783" t="s">
        <v>4251</v>
      </c>
      <c r="D3315" s="783" t="s">
        <v>4193</v>
      </c>
      <c r="E3315" s="783" t="s">
        <v>5574</v>
      </c>
      <c r="F3315" s="783" t="s">
        <v>4011</v>
      </c>
      <c r="G3315" s="783" t="str">
        <f t="shared" si="176"/>
        <v>New contract</v>
      </c>
      <c r="H3315" s="783" t="s">
        <v>5575</v>
      </c>
      <c r="I3315" s="783" t="s">
        <v>5576</v>
      </c>
      <c r="J3315" s="783">
        <v>25</v>
      </c>
      <c r="K3315" s="783" t="s">
        <v>183</v>
      </c>
      <c r="L3315" s="783" t="s">
        <v>4096</v>
      </c>
      <c r="M3315" s="784">
        <v>41912.639999999999</v>
      </c>
      <c r="N3315" s="784">
        <v>24.64</v>
      </c>
      <c r="O3315" s="784">
        <v>8.1</v>
      </c>
      <c r="P3315" s="783">
        <v>210</v>
      </c>
      <c r="Q3315" s="783">
        <v>1672.31</v>
      </c>
      <c r="R3315" s="783">
        <v>1023.25</v>
      </c>
      <c r="S3315" s="783">
        <v>468.84</v>
      </c>
      <c r="T3315" s="783">
        <v>180.22</v>
      </c>
      <c r="U3315" s="785">
        <v>44704.5703587963</v>
      </c>
    </row>
    <row r="3316" spans="1:21">
      <c r="A3316" s="782">
        <v>44712</v>
      </c>
      <c r="B3316" s="783" t="s">
        <v>51</v>
      </c>
      <c r="C3316" s="783" t="s">
        <v>4042</v>
      </c>
      <c r="D3316" s="783" t="s">
        <v>4016</v>
      </c>
      <c r="E3316" s="783" t="s">
        <v>1353</v>
      </c>
      <c r="F3316" s="783" t="s">
        <v>4011</v>
      </c>
      <c r="G3316" s="783" t="str">
        <f t="shared" si="176"/>
        <v>Renewal (30% in 2020)</v>
      </c>
      <c r="H3316" s="783" t="s">
        <v>5582</v>
      </c>
      <c r="I3316" s="783" t="s">
        <v>5583</v>
      </c>
      <c r="J3316" s="783">
        <v>30</v>
      </c>
      <c r="K3316" s="783" t="s">
        <v>183</v>
      </c>
      <c r="L3316" s="783" t="s">
        <v>4096</v>
      </c>
      <c r="M3316" s="784">
        <v>37692.050000000003</v>
      </c>
      <c r="N3316" s="784">
        <v>32.770000000000003</v>
      </c>
      <c r="O3316" s="784">
        <v>6.39</v>
      </c>
      <c r="P3316" s="783">
        <v>180</v>
      </c>
      <c r="Q3316" s="783">
        <v>1454.91</v>
      </c>
      <c r="R3316" s="783">
        <v>1143.51</v>
      </c>
      <c r="S3316" s="783">
        <v>89.02</v>
      </c>
      <c r="T3316" s="783">
        <v>222.38</v>
      </c>
      <c r="U3316" s="785">
        <v>44714.001111111102</v>
      </c>
    </row>
    <row r="3317" spans="1:21">
      <c r="A3317" s="782">
        <v>44705</v>
      </c>
      <c r="B3317" s="783" t="s">
        <v>30</v>
      </c>
      <c r="C3317" s="783" t="s">
        <v>4239</v>
      </c>
      <c r="D3317" s="783" t="s">
        <v>4021</v>
      </c>
      <c r="E3317" s="783" t="s">
        <v>2576</v>
      </c>
      <c r="F3317" s="783" t="s">
        <v>4011</v>
      </c>
      <c r="G3317" s="783" t="str">
        <f t="shared" si="176"/>
        <v>Renewal (15% in 2020)</v>
      </c>
      <c r="H3317" s="783" t="s">
        <v>5584</v>
      </c>
      <c r="I3317" s="783" t="s">
        <v>5585</v>
      </c>
      <c r="J3317" s="783">
        <v>15</v>
      </c>
      <c r="K3317" s="783" t="s">
        <v>183</v>
      </c>
      <c r="L3317" s="783" t="s">
        <v>4096</v>
      </c>
      <c r="M3317" s="784">
        <v>16620.03</v>
      </c>
      <c r="N3317" s="784">
        <v>17.02</v>
      </c>
      <c r="O3317" s="784">
        <v>6.51</v>
      </c>
      <c r="P3317" s="783">
        <v>150</v>
      </c>
      <c r="Q3317" s="783">
        <v>1465.89</v>
      </c>
      <c r="R3317" s="783">
        <v>609.96</v>
      </c>
      <c r="S3317" s="783">
        <v>134.62</v>
      </c>
      <c r="T3317" s="783">
        <v>721.31</v>
      </c>
      <c r="U3317" s="785">
        <v>44705.529930555596</v>
      </c>
    </row>
    <row r="3318" spans="1:21">
      <c r="A3318" s="782">
        <v>44711</v>
      </c>
      <c r="B3318" s="783" t="s">
        <v>4025</v>
      </c>
      <c r="C3318" s="783" t="s">
        <v>4026</v>
      </c>
      <c r="D3318" s="783" t="s">
        <v>4021</v>
      </c>
      <c r="E3318" s="783" t="s">
        <v>5589</v>
      </c>
      <c r="F3318" s="783" t="s">
        <v>4011</v>
      </c>
      <c r="G3318" s="783" t="str">
        <f t="shared" si="176"/>
        <v>New Contract</v>
      </c>
      <c r="H3318" s="783" t="s">
        <v>5590</v>
      </c>
      <c r="I3318" s="783" t="s">
        <v>5591</v>
      </c>
      <c r="J3318" s="783">
        <v>25</v>
      </c>
      <c r="K3318" s="783" t="s">
        <v>183</v>
      </c>
      <c r="L3318" s="783" t="s">
        <v>4096</v>
      </c>
      <c r="M3318" s="784">
        <v>41418.94</v>
      </c>
      <c r="N3318" s="784">
        <v>32.880000000000003</v>
      </c>
      <c r="O3318" s="784">
        <v>6.46</v>
      </c>
      <c r="P3318" s="783">
        <v>195</v>
      </c>
      <c r="Q3318" s="783">
        <v>2348.4499999999998</v>
      </c>
      <c r="R3318" s="783">
        <v>1464.98</v>
      </c>
      <c r="S3318" s="783">
        <v>510.71</v>
      </c>
      <c r="T3318" s="783">
        <v>372.77</v>
      </c>
      <c r="U3318" s="785">
        <v>44713.639259259297</v>
      </c>
    </row>
    <row r="3319" spans="1:21">
      <c r="A3319" s="782">
        <v>44711</v>
      </c>
      <c r="B3319" s="783" t="s">
        <v>41</v>
      </c>
      <c r="C3319" s="783" t="s">
        <v>4092</v>
      </c>
      <c r="D3319" s="783" t="s">
        <v>4009</v>
      </c>
      <c r="E3319" s="783" t="s">
        <v>891</v>
      </c>
      <c r="F3319" s="783" t="s">
        <v>4011</v>
      </c>
      <c r="G3319" s="783" t="str">
        <f t="shared" si="176"/>
        <v>Renewal (15% in 2020)</v>
      </c>
      <c r="H3319" s="783" t="s">
        <v>5592</v>
      </c>
      <c r="I3319" s="783" t="s">
        <v>5593</v>
      </c>
      <c r="J3319" s="783">
        <v>15</v>
      </c>
      <c r="K3319" s="783" t="s">
        <v>183</v>
      </c>
      <c r="L3319" s="783" t="s">
        <v>4096</v>
      </c>
      <c r="M3319" s="784">
        <v>15803.47</v>
      </c>
      <c r="N3319" s="784">
        <v>17.12</v>
      </c>
      <c r="O3319" s="784">
        <v>5.43</v>
      </c>
      <c r="P3319" s="783">
        <v>170</v>
      </c>
      <c r="Q3319" s="783">
        <v>1280.08</v>
      </c>
      <c r="R3319" s="783">
        <v>548.02</v>
      </c>
      <c r="S3319" s="783">
        <v>112.57</v>
      </c>
      <c r="T3319" s="783">
        <v>619.5</v>
      </c>
      <c r="U3319" s="785">
        <v>44712.7203240741</v>
      </c>
    </row>
    <row r="3320" spans="1:21">
      <c r="A3320" s="782">
        <v>44705</v>
      </c>
      <c r="B3320" s="783" t="s">
        <v>41</v>
      </c>
      <c r="C3320" s="783" t="s">
        <v>4008</v>
      </c>
      <c r="D3320" s="783" t="s">
        <v>4009</v>
      </c>
      <c r="E3320" s="783" t="s">
        <v>1269</v>
      </c>
      <c r="F3320" s="783" t="s">
        <v>4011</v>
      </c>
      <c r="G3320" s="783" t="str">
        <f t="shared" si="176"/>
        <v>Renewal (15% in 2020)</v>
      </c>
      <c r="H3320" s="783" t="s">
        <v>6579</v>
      </c>
      <c r="I3320" s="783" t="s">
        <v>6580</v>
      </c>
      <c r="J3320" s="783">
        <v>15</v>
      </c>
      <c r="K3320" s="783" t="s">
        <v>183</v>
      </c>
      <c r="L3320" s="783" t="s">
        <v>4096</v>
      </c>
      <c r="M3320" s="784">
        <v>4347.53</v>
      </c>
      <c r="N3320" s="784">
        <v>4.55</v>
      </c>
      <c r="O3320" s="784">
        <v>6.37</v>
      </c>
      <c r="P3320" s="783">
        <v>150</v>
      </c>
      <c r="Q3320" s="783">
        <v>369.97</v>
      </c>
      <c r="R3320" s="783">
        <v>157.38</v>
      </c>
      <c r="S3320" s="783">
        <v>25.22</v>
      </c>
      <c r="T3320" s="783">
        <v>187.38</v>
      </c>
      <c r="U3320" s="785">
        <v>44708.833217592597</v>
      </c>
    </row>
    <row r="3321" spans="1:21">
      <c r="A3321" s="782">
        <v>44712</v>
      </c>
      <c r="B3321" s="783" t="s">
        <v>41</v>
      </c>
      <c r="C3321" s="783" t="s">
        <v>4092</v>
      </c>
      <c r="D3321" s="783" t="s">
        <v>4009</v>
      </c>
      <c r="E3321" s="783" t="s">
        <v>5597</v>
      </c>
      <c r="F3321" s="783" t="s">
        <v>4011</v>
      </c>
      <c r="G3321" s="783" t="s">
        <v>4028</v>
      </c>
      <c r="H3321" s="783" t="s">
        <v>5598</v>
      </c>
      <c r="I3321" s="783" t="s">
        <v>5599</v>
      </c>
      <c r="J3321" s="783">
        <v>25</v>
      </c>
      <c r="K3321" s="783" t="s">
        <v>183</v>
      </c>
      <c r="L3321" s="783" t="s">
        <v>4096</v>
      </c>
      <c r="M3321" s="784">
        <v>6807.48</v>
      </c>
      <c r="N3321" s="784">
        <v>8.52</v>
      </c>
      <c r="O3321" s="784">
        <v>4.7</v>
      </c>
      <c r="P3321" s="783">
        <v>170</v>
      </c>
      <c r="Q3321" s="783">
        <v>318.58999999999997</v>
      </c>
      <c r="R3321" s="783">
        <v>236.06</v>
      </c>
      <c r="S3321" s="783">
        <v>48.49</v>
      </c>
      <c r="T3321" s="783">
        <v>34.04</v>
      </c>
      <c r="U3321" s="785">
        <v>44715.397291666697</v>
      </c>
    </row>
    <row r="3322" spans="1:21">
      <c r="A3322" s="782">
        <v>44708</v>
      </c>
      <c r="B3322" s="783" t="s">
        <v>41</v>
      </c>
      <c r="C3322" s="783" t="s">
        <v>4082</v>
      </c>
      <c r="D3322" s="783" t="s">
        <v>4009</v>
      </c>
      <c r="E3322" s="783" t="s">
        <v>5600</v>
      </c>
      <c r="F3322" s="783" t="s">
        <v>4011</v>
      </c>
      <c r="G3322" s="783" t="str">
        <f t="shared" ref="G3322:G3351" si="177">VLOOKUP(I3322,pacage,2,FALSE)</f>
        <v>Renewal (15% in 2020)</v>
      </c>
      <c r="H3322" s="783" t="s">
        <v>5601</v>
      </c>
      <c r="I3322" s="783" t="s">
        <v>5602</v>
      </c>
      <c r="J3322" s="783">
        <v>15</v>
      </c>
      <c r="K3322" s="783" t="s">
        <v>183</v>
      </c>
      <c r="L3322" s="783" t="s">
        <v>4096</v>
      </c>
      <c r="M3322" s="784">
        <v>8153.6</v>
      </c>
      <c r="N3322" s="784">
        <v>9.8000000000000007</v>
      </c>
      <c r="O3322" s="784">
        <v>5.2</v>
      </c>
      <c r="P3322" s="783">
        <v>160</v>
      </c>
      <c r="Q3322" s="783">
        <v>636.79999999999995</v>
      </c>
      <c r="R3322" s="783">
        <v>278.04000000000002</v>
      </c>
      <c r="S3322" s="783">
        <v>50.55</v>
      </c>
      <c r="T3322" s="783">
        <v>308.20999999999998</v>
      </c>
      <c r="U3322" s="785">
        <v>44711.535879629599</v>
      </c>
    </row>
    <row r="3323" spans="1:21">
      <c r="A3323" s="782">
        <v>44709</v>
      </c>
      <c r="B3323" s="783" t="s">
        <v>41</v>
      </c>
      <c r="C3323" s="783" t="s">
        <v>4092</v>
      </c>
      <c r="D3323" s="783" t="s">
        <v>4009</v>
      </c>
      <c r="E3323" s="783" t="s">
        <v>5608</v>
      </c>
      <c r="F3323" s="783" t="s">
        <v>4011</v>
      </c>
      <c r="G3323" s="783" t="str">
        <f t="shared" si="177"/>
        <v>Renewal (15% in 2020)</v>
      </c>
      <c r="H3323" s="783" t="s">
        <v>5609</v>
      </c>
      <c r="I3323" s="783" t="s">
        <v>5610</v>
      </c>
      <c r="J3323" s="783">
        <v>15</v>
      </c>
      <c r="K3323" s="783" t="s">
        <v>183</v>
      </c>
      <c r="L3323" s="783" t="s">
        <v>4096</v>
      </c>
      <c r="M3323" s="784">
        <v>9456.35</v>
      </c>
      <c r="N3323" s="784">
        <v>11.61</v>
      </c>
      <c r="O3323" s="784">
        <v>5.43</v>
      </c>
      <c r="P3323" s="783">
        <v>150</v>
      </c>
      <c r="Q3323" s="783">
        <v>765.96</v>
      </c>
      <c r="R3323" s="783">
        <v>333.81</v>
      </c>
      <c r="S3323" s="783">
        <v>61.47</v>
      </c>
      <c r="T3323" s="783">
        <v>370.69</v>
      </c>
      <c r="U3323" s="785">
        <v>44711.647812499999</v>
      </c>
    </row>
    <row r="3324" spans="1:21">
      <c r="A3324" s="782">
        <v>44704</v>
      </c>
      <c r="B3324" s="783" t="s">
        <v>30</v>
      </c>
      <c r="C3324" s="783" t="s">
        <v>4239</v>
      </c>
      <c r="D3324" s="783" t="s">
        <v>4021</v>
      </c>
      <c r="E3324" s="783" t="s">
        <v>5611</v>
      </c>
      <c r="F3324" s="783" t="s">
        <v>4011</v>
      </c>
      <c r="G3324" s="783" t="str">
        <f t="shared" si="177"/>
        <v>Renewal (30% in 2020)</v>
      </c>
      <c r="H3324" s="783" t="s">
        <v>5612</v>
      </c>
      <c r="I3324" s="783" t="s">
        <v>5613</v>
      </c>
      <c r="J3324" s="783">
        <v>30</v>
      </c>
      <c r="K3324" s="783" t="s">
        <v>183</v>
      </c>
      <c r="L3324" s="783" t="s">
        <v>4096</v>
      </c>
      <c r="M3324" s="784">
        <v>87329.09</v>
      </c>
      <c r="N3324" s="784">
        <v>42.96</v>
      </c>
      <c r="O3324" s="784">
        <v>7.26</v>
      </c>
      <c r="P3324" s="783">
        <v>280</v>
      </c>
      <c r="Q3324" s="783">
        <v>3833.75</v>
      </c>
      <c r="R3324" s="783">
        <v>1911.54</v>
      </c>
      <c r="S3324" s="783">
        <v>1293.44</v>
      </c>
      <c r="T3324" s="783">
        <v>628.77</v>
      </c>
      <c r="U3324" s="785">
        <v>44704.427673611099</v>
      </c>
    </row>
    <row r="3325" spans="1:21">
      <c r="A3325" s="782">
        <v>44704</v>
      </c>
      <c r="B3325" s="783" t="s">
        <v>228</v>
      </c>
      <c r="C3325" s="783" t="s">
        <v>4675</v>
      </c>
      <c r="D3325" s="783" t="s">
        <v>4193</v>
      </c>
      <c r="E3325" s="783" t="s">
        <v>7106</v>
      </c>
      <c r="F3325" s="783" t="s">
        <v>4011</v>
      </c>
      <c r="G3325" s="783" t="str">
        <f t="shared" si="177"/>
        <v>Renewal (25% in 2020)</v>
      </c>
      <c r="H3325" s="783" t="s">
        <v>7107</v>
      </c>
      <c r="I3325" s="783" t="s">
        <v>7108</v>
      </c>
      <c r="J3325" s="783">
        <v>25</v>
      </c>
      <c r="K3325" s="783" t="s">
        <v>183</v>
      </c>
      <c r="L3325" s="783" t="s">
        <v>4096</v>
      </c>
      <c r="M3325" s="784">
        <v>5232</v>
      </c>
      <c r="N3325" s="784">
        <v>6</v>
      </c>
      <c r="O3325" s="784">
        <v>4.3600000000000003</v>
      </c>
      <c r="P3325" s="783">
        <v>200</v>
      </c>
      <c r="Q3325" s="783">
        <v>329.09</v>
      </c>
      <c r="R3325" s="783">
        <v>199.21</v>
      </c>
      <c r="S3325" s="783">
        <v>76.510000000000005</v>
      </c>
      <c r="T3325" s="783">
        <v>53.37</v>
      </c>
      <c r="U3325" s="785">
        <v>44708.8054976852</v>
      </c>
    </row>
    <row r="3326" spans="1:21">
      <c r="A3326" s="782">
        <v>44705</v>
      </c>
      <c r="B3326" s="783" t="s">
        <v>41</v>
      </c>
      <c r="C3326" s="783" t="s">
        <v>4082</v>
      </c>
      <c r="D3326" s="783" t="s">
        <v>4009</v>
      </c>
      <c r="E3326" s="783" t="s">
        <v>1024</v>
      </c>
      <c r="F3326" s="783" t="s">
        <v>4011</v>
      </c>
      <c r="G3326" s="783" t="str">
        <f t="shared" si="177"/>
        <v>Renewal (20% in 2020)</v>
      </c>
      <c r="H3326" s="783" t="s">
        <v>4150</v>
      </c>
      <c r="I3326" s="783" t="s">
        <v>4151</v>
      </c>
      <c r="J3326" s="783">
        <v>20</v>
      </c>
      <c r="K3326" s="783" t="s">
        <v>183</v>
      </c>
      <c r="L3326" s="783" t="s">
        <v>4096</v>
      </c>
      <c r="M3326" s="784">
        <v>17813.12</v>
      </c>
      <c r="N3326" s="784">
        <v>16.29</v>
      </c>
      <c r="O3326" s="784">
        <v>7.29</v>
      </c>
      <c r="P3326" s="783">
        <v>150</v>
      </c>
      <c r="Q3326" s="783">
        <v>1042.07</v>
      </c>
      <c r="R3326" s="783">
        <v>607.42999999999995</v>
      </c>
      <c r="S3326" s="783">
        <v>110.44</v>
      </c>
      <c r="T3326" s="783">
        <v>324.2</v>
      </c>
      <c r="U3326" s="785">
        <v>44705.577141203699</v>
      </c>
    </row>
    <row r="3327" spans="1:21">
      <c r="A3327" s="782">
        <v>44685</v>
      </c>
      <c r="B3327" s="783" t="s">
        <v>41</v>
      </c>
      <c r="C3327" s="783" t="s">
        <v>4092</v>
      </c>
      <c r="D3327" s="783" t="s">
        <v>4009</v>
      </c>
      <c r="E3327" s="783" t="s">
        <v>5617</v>
      </c>
      <c r="F3327" s="783" t="s">
        <v>4011</v>
      </c>
      <c r="G3327" s="783" t="str">
        <f t="shared" si="177"/>
        <v>Renewal (15% in 2020)</v>
      </c>
      <c r="H3327" s="783" t="s">
        <v>5618</v>
      </c>
      <c r="I3327" s="783" t="s">
        <v>5619</v>
      </c>
      <c r="J3327" s="783">
        <v>15</v>
      </c>
      <c r="K3327" s="783" t="s">
        <v>183</v>
      </c>
      <c r="L3327" s="783" t="s">
        <v>4096</v>
      </c>
      <c r="M3327" s="784">
        <v>4039.56</v>
      </c>
      <c r="N3327" s="784">
        <v>4.58</v>
      </c>
      <c r="O3327" s="784">
        <v>5.88</v>
      </c>
      <c r="P3327" s="783">
        <v>150</v>
      </c>
      <c r="Q3327" s="783">
        <v>327.2</v>
      </c>
      <c r="R3327" s="783">
        <v>142.6</v>
      </c>
      <c r="S3327" s="783">
        <v>26.26</v>
      </c>
      <c r="T3327" s="783">
        <v>158.35</v>
      </c>
      <c r="U3327" s="785">
        <v>44705.458449074104</v>
      </c>
    </row>
    <row r="3328" spans="1:21">
      <c r="A3328" s="782">
        <v>44707</v>
      </c>
      <c r="B3328" s="783" t="s">
        <v>51</v>
      </c>
      <c r="C3328" s="783" t="s">
        <v>4015</v>
      </c>
      <c r="D3328" s="783" t="s">
        <v>4016</v>
      </c>
      <c r="E3328" s="783" t="s">
        <v>5623</v>
      </c>
      <c r="F3328" s="783" t="s">
        <v>4011</v>
      </c>
      <c r="G3328" s="783" t="str">
        <f t="shared" si="177"/>
        <v>Renewal (25% in 2020)</v>
      </c>
      <c r="H3328" s="783" t="s">
        <v>5624</v>
      </c>
      <c r="I3328" s="783" t="s">
        <v>5625</v>
      </c>
      <c r="J3328" s="783">
        <v>25</v>
      </c>
      <c r="K3328" s="783" t="s">
        <v>183</v>
      </c>
      <c r="L3328" s="783" t="s">
        <v>4096</v>
      </c>
      <c r="M3328" s="784">
        <v>18258</v>
      </c>
      <c r="N3328" s="784">
        <v>17.899999999999999</v>
      </c>
      <c r="O3328" s="784">
        <v>6</v>
      </c>
      <c r="P3328" s="783">
        <v>170</v>
      </c>
      <c r="Q3328" s="783">
        <v>728.49</v>
      </c>
      <c r="R3328" s="783">
        <v>529.11</v>
      </c>
      <c r="S3328" s="783">
        <v>91.67</v>
      </c>
      <c r="T3328" s="783">
        <v>107.72</v>
      </c>
      <c r="U3328" s="785">
        <v>44708.5859837963</v>
      </c>
    </row>
    <row r="3329" spans="1:21">
      <c r="A3329" s="782">
        <v>44711</v>
      </c>
      <c r="B3329" s="783" t="s">
        <v>4025</v>
      </c>
      <c r="C3329" s="783" t="s">
        <v>4026</v>
      </c>
      <c r="D3329" s="783" t="s">
        <v>4021</v>
      </c>
      <c r="E3329" s="783" t="s">
        <v>4155</v>
      </c>
      <c r="F3329" s="783" t="s">
        <v>4011</v>
      </c>
      <c r="G3329" s="783" t="str">
        <f t="shared" si="177"/>
        <v>New contract</v>
      </c>
      <c r="H3329" s="783" t="s">
        <v>4156</v>
      </c>
      <c r="I3329" s="783" t="s">
        <v>4157</v>
      </c>
      <c r="J3329" s="783">
        <v>25</v>
      </c>
      <c r="K3329" s="783" t="s">
        <v>183</v>
      </c>
      <c r="L3329" s="783" t="s">
        <v>4096</v>
      </c>
      <c r="M3329" s="784">
        <v>24917.48</v>
      </c>
      <c r="N3329" s="784">
        <v>25.27</v>
      </c>
      <c r="O3329" s="784">
        <v>5.33</v>
      </c>
      <c r="P3329" s="783">
        <v>185</v>
      </c>
      <c r="Q3329" s="783">
        <v>1412.82</v>
      </c>
      <c r="R3329" s="783">
        <v>928.96</v>
      </c>
      <c r="S3329" s="783">
        <v>259.60000000000002</v>
      </c>
      <c r="T3329" s="783">
        <v>224.26</v>
      </c>
      <c r="U3329" s="785">
        <v>44713.9839236111</v>
      </c>
    </row>
    <row r="3330" spans="1:21">
      <c r="A3330" s="782">
        <v>44711</v>
      </c>
      <c r="B3330" s="783" t="s">
        <v>41</v>
      </c>
      <c r="C3330" s="783" t="s">
        <v>4071</v>
      </c>
      <c r="D3330" s="783" t="s">
        <v>4009</v>
      </c>
      <c r="E3330" s="783" t="s">
        <v>5628</v>
      </c>
      <c r="F3330" s="783" t="s">
        <v>4011</v>
      </c>
      <c r="G3330" s="783" t="str">
        <f t="shared" si="177"/>
        <v>Renewal (25% in 2020)</v>
      </c>
      <c r="H3330" s="783" t="s">
        <v>5629</v>
      </c>
      <c r="I3330" s="783" t="s">
        <v>5630</v>
      </c>
      <c r="J3330" s="783">
        <v>25</v>
      </c>
      <c r="K3330" s="783" t="s">
        <v>183</v>
      </c>
      <c r="L3330" s="783" t="s">
        <v>4096</v>
      </c>
      <c r="M3330" s="784">
        <v>4704.28</v>
      </c>
      <c r="N3330" s="784">
        <v>6.34</v>
      </c>
      <c r="O3330" s="784">
        <v>5.3</v>
      </c>
      <c r="P3330" s="783">
        <v>140</v>
      </c>
      <c r="Q3330" s="783">
        <v>163.24</v>
      </c>
      <c r="R3330" s="783">
        <v>127.02</v>
      </c>
      <c r="S3330" s="783">
        <v>18.82</v>
      </c>
      <c r="T3330" s="783">
        <v>17.41</v>
      </c>
      <c r="U3330" s="785">
        <v>44713.626805555599</v>
      </c>
    </row>
    <row r="3331" spans="1:21">
      <c r="A3331" s="782">
        <v>44715</v>
      </c>
      <c r="B3331" s="783" t="s">
        <v>228</v>
      </c>
      <c r="C3331" s="783" t="s">
        <v>4192</v>
      </c>
      <c r="D3331" s="783" t="s">
        <v>4193</v>
      </c>
      <c r="E3331" s="783" t="s">
        <v>3835</v>
      </c>
      <c r="F3331" s="783" t="s">
        <v>4011</v>
      </c>
      <c r="G3331" s="783" t="str">
        <f t="shared" si="177"/>
        <v>Renewal (25% in 2020)</v>
      </c>
      <c r="H3331" s="783" t="s">
        <v>5634</v>
      </c>
      <c r="I3331" s="783" t="s">
        <v>5635</v>
      </c>
      <c r="J3331" s="783">
        <v>25</v>
      </c>
      <c r="K3331" s="783" t="s">
        <v>183</v>
      </c>
      <c r="L3331" s="783" t="s">
        <v>4096</v>
      </c>
      <c r="M3331" s="784">
        <v>13257.22</v>
      </c>
      <c r="N3331" s="784">
        <v>16.440000000000001</v>
      </c>
      <c r="O3331" s="784">
        <v>5.76</v>
      </c>
      <c r="P3331" s="783">
        <v>140</v>
      </c>
      <c r="Q3331" s="783">
        <v>575.36</v>
      </c>
      <c r="R3331" s="783">
        <v>433.51</v>
      </c>
      <c r="S3331" s="783">
        <v>66.290000000000006</v>
      </c>
      <c r="T3331" s="783">
        <v>75.569999999999993</v>
      </c>
      <c r="U3331" s="785">
        <v>44715.461851851898</v>
      </c>
    </row>
    <row r="3332" spans="1:21">
      <c r="A3332" s="782">
        <v>44712</v>
      </c>
      <c r="B3332" s="783" t="s">
        <v>51</v>
      </c>
      <c r="C3332" s="783" t="s">
        <v>4042</v>
      </c>
      <c r="D3332" s="783" t="s">
        <v>4016</v>
      </c>
      <c r="E3332" s="783" t="s">
        <v>5636</v>
      </c>
      <c r="F3332" s="783" t="s">
        <v>4011</v>
      </c>
      <c r="G3332" s="783" t="str">
        <f t="shared" si="177"/>
        <v>Renewal (30% in 2020)</v>
      </c>
      <c r="H3332" s="783" t="s">
        <v>5637</v>
      </c>
      <c r="I3332" s="783" t="s">
        <v>5638</v>
      </c>
      <c r="J3332" s="783">
        <v>30</v>
      </c>
      <c r="K3332" s="783" t="s">
        <v>183</v>
      </c>
      <c r="L3332" s="783" t="s">
        <v>4096</v>
      </c>
      <c r="M3332" s="784">
        <v>18708.560000000001</v>
      </c>
      <c r="N3332" s="784">
        <v>16.98</v>
      </c>
      <c r="O3332" s="784">
        <v>7.87</v>
      </c>
      <c r="P3332" s="783">
        <v>140</v>
      </c>
      <c r="Q3332" s="783">
        <v>722.15</v>
      </c>
      <c r="R3332" s="783">
        <v>611.77</v>
      </c>
      <c r="S3332" s="783">
        <v>0</v>
      </c>
      <c r="T3332" s="783">
        <v>110.38</v>
      </c>
      <c r="U3332" s="785">
        <v>44714.579861111102</v>
      </c>
    </row>
    <row r="3333" spans="1:21">
      <c r="A3333" s="782">
        <v>44712</v>
      </c>
      <c r="B3333" s="783" t="s">
        <v>30</v>
      </c>
      <c r="C3333" s="783" t="s">
        <v>4239</v>
      </c>
      <c r="D3333" s="783" t="s">
        <v>4021</v>
      </c>
      <c r="E3333" s="783" t="s">
        <v>5639</v>
      </c>
      <c r="F3333" s="783" t="s">
        <v>4011</v>
      </c>
      <c r="G3333" s="783" t="str">
        <f t="shared" si="177"/>
        <v>Renewal (15% in 2020)</v>
      </c>
      <c r="H3333" s="783" t="s">
        <v>5640</v>
      </c>
      <c r="I3333" s="783" t="s">
        <v>5641</v>
      </c>
      <c r="J3333" s="783">
        <v>15</v>
      </c>
      <c r="K3333" s="783" t="s">
        <v>183</v>
      </c>
      <c r="L3333" s="783" t="s">
        <v>4096</v>
      </c>
      <c r="M3333" s="784">
        <v>15324.54</v>
      </c>
      <c r="N3333" s="784">
        <v>11.81</v>
      </c>
      <c r="O3333" s="784">
        <v>7.77</v>
      </c>
      <c r="P3333" s="783">
        <v>167</v>
      </c>
      <c r="Q3333" s="783">
        <v>1351.62</v>
      </c>
      <c r="R3333" s="783">
        <v>562.41</v>
      </c>
      <c r="S3333" s="783">
        <v>124.13</v>
      </c>
      <c r="T3333" s="783">
        <v>665.08</v>
      </c>
      <c r="U3333" s="785">
        <v>44714.577662037002</v>
      </c>
    </row>
    <row r="3334" spans="1:21">
      <c r="A3334" s="782">
        <v>44698</v>
      </c>
      <c r="B3334" s="783" t="s">
        <v>4025</v>
      </c>
      <c r="C3334" s="783" t="s">
        <v>4026</v>
      </c>
      <c r="D3334" s="783" t="s">
        <v>4021</v>
      </c>
      <c r="E3334" s="783" t="s">
        <v>5695</v>
      </c>
      <c r="F3334" s="783" t="s">
        <v>4066</v>
      </c>
      <c r="G3334" s="783" t="str">
        <f t="shared" si="177"/>
        <v>New contract</v>
      </c>
      <c r="H3334" s="783" t="s">
        <v>7109</v>
      </c>
      <c r="I3334" s="783" t="s">
        <v>5697</v>
      </c>
      <c r="J3334" s="783">
        <v>10</v>
      </c>
      <c r="K3334" s="783" t="s">
        <v>183</v>
      </c>
      <c r="L3334" s="783" t="s">
        <v>4096</v>
      </c>
      <c r="M3334" s="784">
        <v>3423.2</v>
      </c>
      <c r="N3334" s="784">
        <v>3.89</v>
      </c>
      <c r="O3334" s="784">
        <v>4.4000000000000004</v>
      </c>
      <c r="P3334" s="783">
        <v>200</v>
      </c>
      <c r="Q3334" s="783">
        <v>64.7</v>
      </c>
      <c r="R3334" s="783">
        <v>0</v>
      </c>
      <c r="S3334" s="783">
        <v>0</v>
      </c>
      <c r="T3334" s="783">
        <v>64.7</v>
      </c>
      <c r="U3334" s="785">
        <v>44712.625127314801</v>
      </c>
    </row>
    <row r="3335" spans="1:21">
      <c r="A3335" s="782">
        <v>44712</v>
      </c>
      <c r="B3335" s="783" t="s">
        <v>51</v>
      </c>
      <c r="C3335" s="783" t="s">
        <v>4042</v>
      </c>
      <c r="D3335" s="783" t="s">
        <v>4016</v>
      </c>
      <c r="E3335" s="783" t="s">
        <v>5642</v>
      </c>
      <c r="F3335" s="783" t="s">
        <v>4011</v>
      </c>
      <c r="G3335" s="783" t="str">
        <f t="shared" si="177"/>
        <v>Renewal (20% in 2020)</v>
      </c>
      <c r="H3335" s="783" t="s">
        <v>5643</v>
      </c>
      <c r="I3335" s="783" t="s">
        <v>5644</v>
      </c>
      <c r="J3335" s="783">
        <v>20</v>
      </c>
      <c r="K3335" s="783" t="s">
        <v>183</v>
      </c>
      <c r="L3335" s="783" t="s">
        <v>4096</v>
      </c>
      <c r="M3335" s="784">
        <v>27614.45</v>
      </c>
      <c r="N3335" s="784">
        <v>24.68</v>
      </c>
      <c r="O3335" s="784">
        <v>6.7</v>
      </c>
      <c r="P3335" s="783">
        <v>167</v>
      </c>
      <c r="Q3335" s="783">
        <v>1546.41</v>
      </c>
      <c r="R3335" s="783">
        <v>902.99</v>
      </c>
      <c r="S3335" s="783">
        <v>140.83000000000001</v>
      </c>
      <c r="T3335" s="783">
        <v>502.58</v>
      </c>
      <c r="U3335" s="785">
        <v>44714.585717592599</v>
      </c>
    </row>
    <row r="3336" spans="1:21">
      <c r="A3336" s="782">
        <v>44713</v>
      </c>
      <c r="B3336" s="783" t="s">
        <v>51</v>
      </c>
      <c r="C3336" s="783" t="s">
        <v>4042</v>
      </c>
      <c r="D3336" s="783" t="s">
        <v>4016</v>
      </c>
      <c r="E3336" s="783" t="s">
        <v>1417</v>
      </c>
      <c r="F3336" s="783" t="s">
        <v>4011</v>
      </c>
      <c r="G3336" s="783" t="str">
        <f t="shared" si="177"/>
        <v>Renewal (20% in 2020)</v>
      </c>
      <c r="H3336" s="783" t="s">
        <v>5648</v>
      </c>
      <c r="I3336" s="783" t="s">
        <v>5649</v>
      </c>
      <c r="J3336" s="783">
        <v>20</v>
      </c>
      <c r="K3336" s="783" t="s">
        <v>183</v>
      </c>
      <c r="L3336" s="783" t="s">
        <v>4096</v>
      </c>
      <c r="M3336" s="784">
        <v>66991.960000000006</v>
      </c>
      <c r="N3336" s="784">
        <v>71.42</v>
      </c>
      <c r="O3336" s="784">
        <v>6.7</v>
      </c>
      <c r="P3336" s="783">
        <v>140</v>
      </c>
      <c r="Q3336" s="783">
        <v>3751.55</v>
      </c>
      <c r="R3336" s="783">
        <v>2190.64</v>
      </c>
      <c r="S3336" s="783">
        <v>341.66</v>
      </c>
      <c r="T3336" s="783">
        <v>1219.25</v>
      </c>
      <c r="U3336" s="785">
        <v>44713.507650462998</v>
      </c>
    </row>
    <row r="3337" spans="1:21">
      <c r="A3337" s="782">
        <v>44715</v>
      </c>
      <c r="B3337" s="783" t="s">
        <v>74</v>
      </c>
      <c r="C3337" s="783" t="s">
        <v>4097</v>
      </c>
      <c r="D3337" s="783" t="s">
        <v>4038</v>
      </c>
      <c r="E3337" s="783" t="s">
        <v>4367</v>
      </c>
      <c r="F3337" s="783" t="s">
        <v>4011</v>
      </c>
      <c r="G3337" s="783" t="str">
        <f t="shared" si="177"/>
        <v>Renewal (15% in 2020)</v>
      </c>
      <c r="H3337" s="783" t="s">
        <v>4368</v>
      </c>
      <c r="I3337" s="783" t="s">
        <v>4369</v>
      </c>
      <c r="J3337" s="783">
        <v>20</v>
      </c>
      <c r="K3337" s="783" t="s">
        <v>183</v>
      </c>
      <c r="L3337" s="783" t="s">
        <v>4096</v>
      </c>
      <c r="M3337" s="784">
        <v>22839.19</v>
      </c>
      <c r="N3337" s="784">
        <v>24.59</v>
      </c>
      <c r="O3337" s="784">
        <v>5.16</v>
      </c>
      <c r="P3337" s="783">
        <v>180</v>
      </c>
      <c r="Q3337" s="783">
        <v>1525.66</v>
      </c>
      <c r="R3337" s="783">
        <v>788.26</v>
      </c>
      <c r="S3337" s="783">
        <v>193.83</v>
      </c>
      <c r="T3337" s="783">
        <v>543.57000000000005</v>
      </c>
      <c r="U3337" s="785">
        <v>44715.465138888903</v>
      </c>
    </row>
    <row r="3338" spans="1:21">
      <c r="A3338" s="782">
        <v>44713</v>
      </c>
      <c r="B3338" s="783" t="s">
        <v>41</v>
      </c>
      <c r="C3338" s="783" t="s">
        <v>4092</v>
      </c>
      <c r="D3338" s="783" t="s">
        <v>4009</v>
      </c>
      <c r="E3338" s="783" t="s">
        <v>5653</v>
      </c>
      <c r="F3338" s="783" t="s">
        <v>4011</v>
      </c>
      <c r="G3338" s="783" t="str">
        <f t="shared" si="177"/>
        <v>New contract</v>
      </c>
      <c r="H3338" s="783" t="s">
        <v>5654</v>
      </c>
      <c r="I3338" s="783" t="s">
        <v>5655</v>
      </c>
      <c r="J3338" s="783">
        <v>20</v>
      </c>
      <c r="K3338" s="783" t="s">
        <v>183</v>
      </c>
      <c r="L3338" s="783" t="s">
        <v>4096</v>
      </c>
      <c r="M3338" s="784">
        <v>12568.54</v>
      </c>
      <c r="N3338" s="784">
        <v>12.18</v>
      </c>
      <c r="O3338" s="784">
        <v>6.07</v>
      </c>
      <c r="P3338" s="783">
        <v>170</v>
      </c>
      <c r="Q3338" s="783">
        <v>760.4</v>
      </c>
      <c r="R3338" s="783">
        <v>435.84</v>
      </c>
      <c r="S3338" s="783">
        <v>89.52</v>
      </c>
      <c r="T3338" s="783">
        <v>235.03</v>
      </c>
      <c r="U3338" s="785">
        <v>44715.425567129598</v>
      </c>
    </row>
    <row r="3339" spans="1:21">
      <c r="A3339" s="782">
        <v>44712</v>
      </c>
      <c r="B3339" s="783" t="s">
        <v>4025</v>
      </c>
      <c r="C3339" s="783" t="s">
        <v>4026</v>
      </c>
      <c r="D3339" s="783" t="s">
        <v>4021</v>
      </c>
      <c r="E3339" s="783" t="s">
        <v>4158</v>
      </c>
      <c r="F3339" s="783" t="s">
        <v>4011</v>
      </c>
      <c r="G3339" s="783" t="str">
        <f t="shared" si="177"/>
        <v>New Contract</v>
      </c>
      <c r="H3339" s="783" t="s">
        <v>4159</v>
      </c>
      <c r="I3339" s="783" t="s">
        <v>4160</v>
      </c>
      <c r="J3339" s="783">
        <v>25</v>
      </c>
      <c r="K3339" s="783" t="s">
        <v>183</v>
      </c>
      <c r="L3339" s="783" t="s">
        <v>4096</v>
      </c>
      <c r="M3339" s="784">
        <v>20347.2</v>
      </c>
      <c r="N3339" s="784">
        <v>24</v>
      </c>
      <c r="O3339" s="784">
        <v>4.71</v>
      </c>
      <c r="P3339" s="783">
        <v>180</v>
      </c>
      <c r="Q3339" s="783">
        <v>1153.69</v>
      </c>
      <c r="R3339" s="783">
        <v>779.65</v>
      </c>
      <c r="S3339" s="783">
        <v>190.91</v>
      </c>
      <c r="T3339" s="783">
        <v>183.12</v>
      </c>
      <c r="U3339" s="785">
        <v>44714.012060185203</v>
      </c>
    </row>
    <row r="3340" spans="1:21">
      <c r="A3340" s="782">
        <v>44711</v>
      </c>
      <c r="B3340" s="783" t="s">
        <v>74</v>
      </c>
      <c r="C3340" s="783" t="s">
        <v>4037</v>
      </c>
      <c r="D3340" s="783" t="s">
        <v>4038</v>
      </c>
      <c r="E3340" s="783" t="s">
        <v>4370</v>
      </c>
      <c r="F3340" s="783" t="s">
        <v>4011</v>
      </c>
      <c r="G3340" s="783" t="str">
        <f t="shared" si="177"/>
        <v>Renewal (20% in 2020)</v>
      </c>
      <c r="H3340" s="783" t="s">
        <v>4371</v>
      </c>
      <c r="I3340" s="783" t="s">
        <v>4372</v>
      </c>
      <c r="J3340" s="783">
        <v>20</v>
      </c>
      <c r="K3340" s="783" t="s">
        <v>183</v>
      </c>
      <c r="L3340" s="783" t="s">
        <v>4096</v>
      </c>
      <c r="M3340" s="784">
        <v>11175.34</v>
      </c>
      <c r="N3340" s="784">
        <v>10.76</v>
      </c>
      <c r="O3340" s="784">
        <v>5.77</v>
      </c>
      <c r="P3340" s="783">
        <v>180</v>
      </c>
      <c r="Q3340" s="783">
        <v>1004.66</v>
      </c>
      <c r="R3340" s="783">
        <v>498.71</v>
      </c>
      <c r="S3340" s="783">
        <v>125.99</v>
      </c>
      <c r="T3340" s="783">
        <v>379.96</v>
      </c>
      <c r="U3340" s="785">
        <v>44713.987743055601</v>
      </c>
    </row>
    <row r="3341" spans="1:21">
      <c r="A3341" s="782">
        <v>44711</v>
      </c>
      <c r="B3341" s="783" t="s">
        <v>113</v>
      </c>
      <c r="C3341" s="783" t="s">
        <v>4097</v>
      </c>
      <c r="D3341" s="783" t="s">
        <v>4038</v>
      </c>
      <c r="E3341" s="783" t="s">
        <v>4373</v>
      </c>
      <c r="F3341" s="783" t="s">
        <v>4011</v>
      </c>
      <c r="G3341" s="783" t="str">
        <f t="shared" si="177"/>
        <v>Renewal (15% in 2020)</v>
      </c>
      <c r="H3341" s="783" t="s">
        <v>4374</v>
      </c>
      <c r="I3341" s="783" t="s">
        <v>4375</v>
      </c>
      <c r="J3341" s="783">
        <v>15</v>
      </c>
      <c r="K3341" s="783" t="s">
        <v>183</v>
      </c>
      <c r="L3341" s="783" t="s">
        <v>4096</v>
      </c>
      <c r="M3341" s="784">
        <v>13373.82</v>
      </c>
      <c r="N3341" s="784">
        <v>15.56</v>
      </c>
      <c r="O3341" s="784">
        <v>5.73</v>
      </c>
      <c r="P3341" s="783">
        <v>150</v>
      </c>
      <c r="Q3341" s="783">
        <v>1175.56</v>
      </c>
      <c r="R3341" s="783">
        <v>497.51</v>
      </c>
      <c r="S3341" s="783">
        <v>77.569999999999993</v>
      </c>
      <c r="T3341" s="783">
        <v>600.48</v>
      </c>
      <c r="U3341" s="785">
        <v>44713.979664351798</v>
      </c>
    </row>
    <row r="3342" spans="1:21">
      <c r="A3342" s="782">
        <v>44711</v>
      </c>
      <c r="B3342" s="783" t="s">
        <v>113</v>
      </c>
      <c r="C3342" s="783" t="s">
        <v>4097</v>
      </c>
      <c r="D3342" s="783" t="s">
        <v>4038</v>
      </c>
      <c r="E3342" s="783" t="s">
        <v>5665</v>
      </c>
      <c r="F3342" s="783" t="s">
        <v>4011</v>
      </c>
      <c r="G3342" s="783" t="str">
        <f t="shared" si="177"/>
        <v>Renewal (15% in 2020)</v>
      </c>
      <c r="H3342" s="783" t="s">
        <v>5666</v>
      </c>
      <c r="I3342" s="783" t="s">
        <v>5667</v>
      </c>
      <c r="J3342" s="783">
        <v>15</v>
      </c>
      <c r="K3342" s="783" t="s">
        <v>183</v>
      </c>
      <c r="L3342" s="783" t="s">
        <v>4096</v>
      </c>
      <c r="M3342" s="784">
        <v>15619.83</v>
      </c>
      <c r="N3342" s="784">
        <v>17.77</v>
      </c>
      <c r="O3342" s="784">
        <v>5.86</v>
      </c>
      <c r="P3342" s="783">
        <v>150</v>
      </c>
      <c r="Q3342" s="783">
        <v>1372.98</v>
      </c>
      <c r="R3342" s="783">
        <v>581.05999999999995</v>
      </c>
      <c r="S3342" s="783">
        <v>90.6</v>
      </c>
      <c r="T3342" s="783">
        <v>701.33</v>
      </c>
      <c r="U3342" s="785">
        <v>44713.627766203703</v>
      </c>
    </row>
    <row r="3343" spans="1:21">
      <c r="A3343" s="782">
        <v>44712</v>
      </c>
      <c r="B3343" s="783" t="s">
        <v>41</v>
      </c>
      <c r="C3343" s="783" t="s">
        <v>4092</v>
      </c>
      <c r="D3343" s="783" t="s">
        <v>4009</v>
      </c>
      <c r="E3343" s="783" t="s">
        <v>1194</v>
      </c>
      <c r="F3343" s="783" t="s">
        <v>4011</v>
      </c>
      <c r="G3343" s="783" t="str">
        <f t="shared" si="177"/>
        <v>Renewal (15% in 2020)</v>
      </c>
      <c r="H3343" s="783" t="s">
        <v>5668</v>
      </c>
      <c r="I3343" s="783" t="s">
        <v>5669</v>
      </c>
      <c r="J3343" s="783">
        <v>20</v>
      </c>
      <c r="K3343" s="783" t="s">
        <v>183</v>
      </c>
      <c r="L3343" s="783" t="s">
        <v>4096</v>
      </c>
      <c r="M3343" s="784">
        <v>32633.22</v>
      </c>
      <c r="N3343" s="784">
        <v>42.14</v>
      </c>
      <c r="O3343" s="784">
        <v>4.84</v>
      </c>
      <c r="P3343" s="783">
        <v>160</v>
      </c>
      <c r="Q3343" s="783">
        <v>1974.31</v>
      </c>
      <c r="R3343" s="783">
        <v>1151.95</v>
      </c>
      <c r="S3343" s="783">
        <v>212.12</v>
      </c>
      <c r="T3343" s="783">
        <v>610.24</v>
      </c>
      <c r="U3343" s="785">
        <v>44714.578819444403</v>
      </c>
    </row>
    <row r="3344" spans="1:21">
      <c r="A3344" s="782">
        <v>44712</v>
      </c>
      <c r="B3344" s="783" t="s">
        <v>41</v>
      </c>
      <c r="C3344" s="783" t="s">
        <v>4092</v>
      </c>
      <c r="D3344" s="783" t="s">
        <v>4009</v>
      </c>
      <c r="E3344" s="783" t="s">
        <v>4650</v>
      </c>
      <c r="F3344" s="783" t="s">
        <v>4011</v>
      </c>
      <c r="G3344" s="783" t="str">
        <f t="shared" si="177"/>
        <v>Renewal (20% in 2020)</v>
      </c>
      <c r="H3344" s="783" t="s">
        <v>4651</v>
      </c>
      <c r="I3344" s="783" t="s">
        <v>4652</v>
      </c>
      <c r="J3344" s="783">
        <v>20</v>
      </c>
      <c r="K3344" s="783" t="s">
        <v>183</v>
      </c>
      <c r="L3344" s="783" t="s">
        <v>4096</v>
      </c>
      <c r="M3344" s="784">
        <v>3429.45</v>
      </c>
      <c r="N3344" s="784">
        <v>3.27</v>
      </c>
      <c r="O3344" s="784">
        <v>6.28</v>
      </c>
      <c r="P3344" s="783">
        <v>167</v>
      </c>
      <c r="Q3344" s="783">
        <v>207.48</v>
      </c>
      <c r="R3344" s="783">
        <v>121.06</v>
      </c>
      <c r="S3344" s="783">
        <v>22.29</v>
      </c>
      <c r="T3344" s="783">
        <v>64.13</v>
      </c>
      <c r="U3344" s="785">
        <v>44714.5765509259</v>
      </c>
    </row>
    <row r="3345" spans="1:21">
      <c r="A3345" s="782">
        <v>44712</v>
      </c>
      <c r="B3345" s="783" t="s">
        <v>41</v>
      </c>
      <c r="C3345" s="783" t="s">
        <v>4082</v>
      </c>
      <c r="D3345" s="783" t="s">
        <v>4009</v>
      </c>
      <c r="E3345" s="783" t="s">
        <v>4650</v>
      </c>
      <c r="F3345" s="783" t="s">
        <v>4011</v>
      </c>
      <c r="G3345" s="783" t="str">
        <f t="shared" si="177"/>
        <v>Renewal (20% in 2020)</v>
      </c>
      <c r="H3345" s="783" t="s">
        <v>4651</v>
      </c>
      <c r="I3345" s="783" t="s">
        <v>4652</v>
      </c>
      <c r="J3345" s="783">
        <v>20</v>
      </c>
      <c r="K3345" s="783" t="s">
        <v>183</v>
      </c>
      <c r="L3345" s="783" t="s">
        <v>4096</v>
      </c>
      <c r="M3345" s="784">
        <v>8582.7800000000007</v>
      </c>
      <c r="N3345" s="784">
        <v>8.24</v>
      </c>
      <c r="O3345" s="784">
        <v>6.51</v>
      </c>
      <c r="P3345" s="783">
        <v>160</v>
      </c>
      <c r="Q3345" s="783">
        <v>502.09</v>
      </c>
      <c r="R3345" s="783">
        <v>292.67</v>
      </c>
      <c r="S3345" s="783">
        <v>53.21</v>
      </c>
      <c r="T3345" s="783">
        <v>156.21</v>
      </c>
      <c r="U3345" s="785">
        <v>44714.5765509259</v>
      </c>
    </row>
    <row r="3346" spans="1:21">
      <c r="A3346" s="782">
        <v>44712</v>
      </c>
      <c r="B3346" s="783" t="s">
        <v>41</v>
      </c>
      <c r="C3346" s="783" t="s">
        <v>4139</v>
      </c>
      <c r="D3346" s="783" t="s">
        <v>4009</v>
      </c>
      <c r="E3346" s="783" t="s">
        <v>4650</v>
      </c>
      <c r="F3346" s="783" t="s">
        <v>4011</v>
      </c>
      <c r="G3346" s="783" t="str">
        <f t="shared" si="177"/>
        <v>Renewal (20% in 2020)</v>
      </c>
      <c r="H3346" s="783" t="s">
        <v>4651</v>
      </c>
      <c r="I3346" s="783" t="s">
        <v>4652</v>
      </c>
      <c r="J3346" s="783">
        <v>20</v>
      </c>
      <c r="K3346" s="783" t="s">
        <v>183</v>
      </c>
      <c r="L3346" s="783" t="s">
        <v>4096</v>
      </c>
      <c r="M3346" s="784">
        <v>8884.85</v>
      </c>
      <c r="N3346" s="784">
        <v>8.5299999999999994</v>
      </c>
      <c r="O3346" s="784">
        <v>6.51</v>
      </c>
      <c r="P3346" s="783">
        <v>160</v>
      </c>
      <c r="Q3346" s="783">
        <v>492.22</v>
      </c>
      <c r="R3346" s="783">
        <v>295.87</v>
      </c>
      <c r="S3346" s="783">
        <v>44.42</v>
      </c>
      <c r="T3346" s="783">
        <v>151.93</v>
      </c>
      <c r="U3346" s="785">
        <v>44714.576562499999</v>
      </c>
    </row>
    <row r="3347" spans="1:21">
      <c r="A3347" s="782">
        <v>44712</v>
      </c>
      <c r="B3347" s="783" t="s">
        <v>47</v>
      </c>
      <c r="C3347" s="783" t="s">
        <v>4244</v>
      </c>
      <c r="D3347" s="783" t="s">
        <v>4102</v>
      </c>
      <c r="E3347" s="783" t="s">
        <v>5673</v>
      </c>
      <c r="F3347" s="783" t="s">
        <v>4011</v>
      </c>
      <c r="G3347" s="783" t="str">
        <f t="shared" si="177"/>
        <v>Renewal (15% in 2020)</v>
      </c>
      <c r="H3347" s="783" t="s">
        <v>5674</v>
      </c>
      <c r="I3347" s="783" t="s">
        <v>5675</v>
      </c>
      <c r="J3347" s="783">
        <v>15</v>
      </c>
      <c r="K3347" s="783" t="s">
        <v>183</v>
      </c>
      <c r="L3347" s="783" t="s">
        <v>4096</v>
      </c>
      <c r="M3347" s="784">
        <v>73629.5</v>
      </c>
      <c r="N3347" s="784">
        <v>54.5</v>
      </c>
      <c r="O3347" s="784">
        <v>7.72</v>
      </c>
      <c r="P3347" s="783">
        <v>175</v>
      </c>
      <c r="Q3347" s="783">
        <v>4947.8999999999996</v>
      </c>
      <c r="R3347" s="783">
        <v>2100.88</v>
      </c>
      <c r="S3347" s="783">
        <v>439.34</v>
      </c>
      <c r="T3347" s="783">
        <v>2407.6799999999998</v>
      </c>
      <c r="U3347" s="785">
        <v>44714.674097222203</v>
      </c>
    </row>
    <row r="3348" spans="1:21">
      <c r="A3348" s="782">
        <v>44712</v>
      </c>
      <c r="B3348" s="783" t="s">
        <v>41</v>
      </c>
      <c r="C3348" s="783" t="s">
        <v>4092</v>
      </c>
      <c r="D3348" s="783" t="s">
        <v>4009</v>
      </c>
      <c r="E3348" s="783" t="s">
        <v>605</v>
      </c>
      <c r="F3348" s="783" t="s">
        <v>4011</v>
      </c>
      <c r="G3348" s="783" t="str">
        <f t="shared" si="177"/>
        <v>Renewal (15% in 2020)</v>
      </c>
      <c r="H3348" s="783" t="s">
        <v>4161</v>
      </c>
      <c r="I3348" s="783" t="s">
        <v>4162</v>
      </c>
      <c r="J3348" s="783">
        <v>15</v>
      </c>
      <c r="K3348" s="783" t="s">
        <v>183</v>
      </c>
      <c r="L3348" s="783" t="s">
        <v>4096</v>
      </c>
      <c r="M3348" s="784">
        <v>8749.44</v>
      </c>
      <c r="N3348" s="784">
        <v>12.4</v>
      </c>
      <c r="O3348" s="784">
        <v>4.41</v>
      </c>
      <c r="P3348" s="783">
        <v>160</v>
      </c>
      <c r="Q3348" s="783">
        <v>708.7</v>
      </c>
      <c r="R3348" s="783">
        <v>308.86</v>
      </c>
      <c r="S3348" s="783">
        <v>56.87</v>
      </c>
      <c r="T3348" s="783">
        <v>342.98</v>
      </c>
      <c r="U3348" s="785">
        <v>44714.667326388902</v>
      </c>
    </row>
    <row r="3349" spans="1:21">
      <c r="A3349" s="782">
        <v>44711</v>
      </c>
      <c r="B3349" s="783" t="s">
        <v>51</v>
      </c>
      <c r="C3349" s="783" t="s">
        <v>4042</v>
      </c>
      <c r="D3349" s="783" t="s">
        <v>4016</v>
      </c>
      <c r="E3349" s="783" t="s">
        <v>1315</v>
      </c>
      <c r="F3349" s="783" t="s">
        <v>4011</v>
      </c>
      <c r="G3349" s="783" t="str">
        <f t="shared" si="177"/>
        <v>Renewal (25% in 2020)</v>
      </c>
      <c r="H3349" s="783" t="s">
        <v>5676</v>
      </c>
      <c r="I3349" s="783" t="s">
        <v>5677</v>
      </c>
      <c r="J3349" s="783">
        <v>25</v>
      </c>
      <c r="K3349" s="783" t="s">
        <v>183</v>
      </c>
      <c r="L3349" s="783" t="s">
        <v>4096</v>
      </c>
      <c r="M3349" s="784">
        <v>32180.07</v>
      </c>
      <c r="N3349" s="784">
        <v>28.34</v>
      </c>
      <c r="O3349" s="784">
        <v>7.57</v>
      </c>
      <c r="P3349" s="783">
        <v>150</v>
      </c>
      <c r="Q3349" s="783">
        <v>1406.27</v>
      </c>
      <c r="R3349" s="783">
        <v>1052.29</v>
      </c>
      <c r="S3349" s="783">
        <v>164.12</v>
      </c>
      <c r="T3349" s="783">
        <v>189.86</v>
      </c>
      <c r="U3349" s="785">
        <v>44713.995000000003</v>
      </c>
    </row>
    <row r="3350" spans="1:21">
      <c r="A3350" s="782">
        <v>44710</v>
      </c>
      <c r="B3350" s="783" t="s">
        <v>41</v>
      </c>
      <c r="C3350" s="783" t="s">
        <v>4008</v>
      </c>
      <c r="D3350" s="783" t="s">
        <v>4009</v>
      </c>
      <c r="E3350" s="783" t="s">
        <v>5678</v>
      </c>
      <c r="F3350" s="783" t="s">
        <v>4011</v>
      </c>
      <c r="G3350" s="783" t="str">
        <f t="shared" si="177"/>
        <v>Renewal (20% in 2020)</v>
      </c>
      <c r="H3350" s="783" t="s">
        <v>5679</v>
      </c>
      <c r="I3350" s="783" t="s">
        <v>5680</v>
      </c>
      <c r="J3350" s="783">
        <v>20</v>
      </c>
      <c r="K3350" s="783" t="s">
        <v>183</v>
      </c>
      <c r="L3350" s="783" t="s">
        <v>4096</v>
      </c>
      <c r="M3350" s="784">
        <v>3373.33</v>
      </c>
      <c r="N3350" s="784">
        <v>3.62</v>
      </c>
      <c r="O3350" s="784">
        <v>5.58</v>
      </c>
      <c r="P3350" s="783">
        <v>167</v>
      </c>
      <c r="Q3350" s="783">
        <v>217.58</v>
      </c>
      <c r="R3350" s="783">
        <v>122.11</v>
      </c>
      <c r="S3350" s="783">
        <v>19.57</v>
      </c>
      <c r="T3350" s="783">
        <v>75.900000000000006</v>
      </c>
      <c r="U3350" s="785">
        <v>44712.637372685203</v>
      </c>
    </row>
    <row r="3351" spans="1:21">
      <c r="A3351" s="782">
        <v>44712</v>
      </c>
      <c r="B3351" s="783" t="s">
        <v>41</v>
      </c>
      <c r="C3351" s="783" t="s">
        <v>4071</v>
      </c>
      <c r="D3351" s="783" t="s">
        <v>4009</v>
      </c>
      <c r="E3351" s="783" t="s">
        <v>5683</v>
      </c>
      <c r="F3351" s="783" t="s">
        <v>4011</v>
      </c>
      <c r="G3351" s="783" t="str">
        <f t="shared" si="177"/>
        <v>Renewal (15% in 2020)</v>
      </c>
      <c r="H3351" s="783" t="s">
        <v>5684</v>
      </c>
      <c r="I3351" s="783" t="s">
        <v>5685</v>
      </c>
      <c r="J3351" s="783">
        <v>15</v>
      </c>
      <c r="K3351" s="783" t="s">
        <v>183</v>
      </c>
      <c r="L3351" s="783" t="s">
        <v>4096</v>
      </c>
      <c r="M3351" s="784">
        <v>21366.31</v>
      </c>
      <c r="N3351" s="784">
        <v>24.14</v>
      </c>
      <c r="O3351" s="784">
        <v>5.3</v>
      </c>
      <c r="P3351" s="783">
        <v>167</v>
      </c>
      <c r="Q3351" s="783">
        <v>1281.98</v>
      </c>
      <c r="R3351" s="783">
        <v>576.89</v>
      </c>
      <c r="S3351" s="783">
        <v>85.47</v>
      </c>
      <c r="T3351" s="783">
        <v>619.62</v>
      </c>
      <c r="U3351" s="785">
        <v>44715.475497685198</v>
      </c>
    </row>
    <row r="3352" spans="1:21">
      <c r="A3352" s="782">
        <v>44712</v>
      </c>
      <c r="B3352" s="783" t="s">
        <v>4025</v>
      </c>
      <c r="C3352" s="783" t="s">
        <v>4026</v>
      </c>
      <c r="D3352" s="783" t="s">
        <v>4021</v>
      </c>
      <c r="E3352" s="783" t="s">
        <v>4056</v>
      </c>
      <c r="F3352" s="783" t="s">
        <v>4011</v>
      </c>
      <c r="G3352" s="783" t="s">
        <v>4028</v>
      </c>
      <c r="H3352" s="783" t="s">
        <v>4057</v>
      </c>
      <c r="I3352" s="783" t="s">
        <v>4058</v>
      </c>
      <c r="J3352" s="783">
        <v>25</v>
      </c>
      <c r="K3352" s="783" t="s">
        <v>183</v>
      </c>
      <c r="L3352" s="783" t="s">
        <v>4096</v>
      </c>
      <c r="M3352" s="784">
        <v>9201.15</v>
      </c>
      <c r="N3352" s="784">
        <v>11.43</v>
      </c>
      <c r="O3352" s="784">
        <v>4.5999999999999996</v>
      </c>
      <c r="P3352" s="783">
        <v>175</v>
      </c>
      <c r="Q3352" s="783">
        <v>521.71</v>
      </c>
      <c r="R3352" s="783">
        <v>362.64</v>
      </c>
      <c r="S3352" s="783">
        <v>76.260000000000005</v>
      </c>
      <c r="T3352" s="783">
        <v>82.81</v>
      </c>
      <c r="U3352" s="785">
        <v>44714.465833333299</v>
      </c>
    </row>
    <row r="3353" spans="1:21">
      <c r="A3353" s="782">
        <v>44712</v>
      </c>
      <c r="B3353" s="783" t="s">
        <v>228</v>
      </c>
      <c r="C3353" s="783" t="s">
        <v>4020</v>
      </c>
      <c r="D3353" s="783" t="s">
        <v>4021</v>
      </c>
      <c r="E3353" s="783" t="s">
        <v>4163</v>
      </c>
      <c r="F3353" s="783" t="s">
        <v>4011</v>
      </c>
      <c r="G3353" s="783" t="str">
        <f t="shared" ref="G3353:G3368" si="178">VLOOKUP(I3353,pacage,2,FALSE)</f>
        <v>Renewal (15% in 2020)</v>
      </c>
      <c r="H3353" s="783" t="s">
        <v>4164</v>
      </c>
      <c r="I3353" s="783" t="s">
        <v>4165</v>
      </c>
      <c r="J3353" s="783">
        <v>25</v>
      </c>
      <c r="K3353" s="783" t="s">
        <v>183</v>
      </c>
      <c r="L3353" s="783" t="s">
        <v>4096</v>
      </c>
      <c r="M3353" s="784">
        <v>20531.53</v>
      </c>
      <c r="N3353" s="784">
        <v>21.23</v>
      </c>
      <c r="O3353" s="784">
        <v>5.09</v>
      </c>
      <c r="P3353" s="783">
        <v>190</v>
      </c>
      <c r="Q3353" s="783">
        <v>917.76</v>
      </c>
      <c r="R3353" s="783">
        <v>597.33000000000004</v>
      </c>
      <c r="S3353" s="783">
        <v>186.98</v>
      </c>
      <c r="T3353" s="783">
        <v>133.44999999999999</v>
      </c>
      <c r="U3353" s="785">
        <v>44714.582372685203</v>
      </c>
    </row>
    <row r="3354" spans="1:21">
      <c r="A3354" s="782">
        <v>44712</v>
      </c>
      <c r="B3354" s="783" t="s">
        <v>34</v>
      </c>
      <c r="C3354" s="783" t="s">
        <v>4139</v>
      </c>
      <c r="D3354" s="783" t="s">
        <v>4009</v>
      </c>
      <c r="E3354" s="783" t="s">
        <v>5698</v>
      </c>
      <c r="F3354" s="783" t="s">
        <v>4011</v>
      </c>
      <c r="G3354" s="783" t="str">
        <f t="shared" si="178"/>
        <v>Renewal (20% in 2020)</v>
      </c>
      <c r="H3354" s="783" t="s">
        <v>5699</v>
      </c>
      <c r="I3354" s="783" t="s">
        <v>5700</v>
      </c>
      <c r="J3354" s="783">
        <v>20</v>
      </c>
      <c r="K3354" s="783" t="s">
        <v>183</v>
      </c>
      <c r="L3354" s="783" t="s">
        <v>4096</v>
      </c>
      <c r="M3354" s="784">
        <v>15262.6</v>
      </c>
      <c r="N3354" s="784">
        <v>13.4</v>
      </c>
      <c r="O3354" s="784">
        <v>6.7</v>
      </c>
      <c r="P3354" s="783">
        <v>170</v>
      </c>
      <c r="Q3354" s="783">
        <v>845.55</v>
      </c>
      <c r="R3354" s="783">
        <v>499.28</v>
      </c>
      <c r="S3354" s="783">
        <v>85.28</v>
      </c>
      <c r="T3354" s="783">
        <v>260.99</v>
      </c>
      <c r="U3354" s="785">
        <v>44714.0089814815</v>
      </c>
    </row>
    <row r="3355" spans="1:21">
      <c r="A3355" s="782">
        <v>44713</v>
      </c>
      <c r="B3355" s="783" t="s">
        <v>65</v>
      </c>
      <c r="C3355" s="783" t="s">
        <v>4264</v>
      </c>
      <c r="D3355" s="783" t="s">
        <v>4016</v>
      </c>
      <c r="E3355" s="783" t="s">
        <v>4265</v>
      </c>
      <c r="F3355" s="783" t="s">
        <v>4011</v>
      </c>
      <c r="G3355" s="783" t="str">
        <f t="shared" si="178"/>
        <v>New Contract</v>
      </c>
      <c r="H3355" s="783" t="s">
        <v>4266</v>
      </c>
      <c r="I3355" s="783" t="s">
        <v>4267</v>
      </c>
      <c r="J3355" s="783">
        <v>20</v>
      </c>
      <c r="K3355" s="783" t="s">
        <v>183</v>
      </c>
      <c r="L3355" s="783" t="s">
        <v>4096</v>
      </c>
      <c r="M3355" s="784">
        <v>36658.44</v>
      </c>
      <c r="N3355" s="784">
        <v>26.11</v>
      </c>
      <c r="O3355" s="784">
        <v>7.8</v>
      </c>
      <c r="P3355" s="783">
        <v>180</v>
      </c>
      <c r="Q3355" s="783">
        <v>1895.24</v>
      </c>
      <c r="R3355" s="783">
        <v>1044.1300000000001</v>
      </c>
      <c r="S3355" s="783">
        <v>249.91</v>
      </c>
      <c r="T3355" s="783">
        <v>601.20000000000005</v>
      </c>
      <c r="U3355" s="785">
        <v>44715.435578703698</v>
      </c>
    </row>
    <row r="3356" spans="1:21">
      <c r="A3356" s="782">
        <v>44711</v>
      </c>
      <c r="B3356" s="783" t="s">
        <v>41</v>
      </c>
      <c r="C3356" s="783" t="s">
        <v>4008</v>
      </c>
      <c r="D3356" s="783" t="s">
        <v>4009</v>
      </c>
      <c r="E3356" s="783" t="s">
        <v>5704</v>
      </c>
      <c r="F3356" s="783" t="s">
        <v>4011</v>
      </c>
      <c r="G3356" s="783" t="str">
        <f t="shared" si="178"/>
        <v>New Contract</v>
      </c>
      <c r="H3356" s="783" t="s">
        <v>5705</v>
      </c>
      <c r="I3356" s="783" t="s">
        <v>5706</v>
      </c>
      <c r="J3356" s="783">
        <v>25</v>
      </c>
      <c r="K3356" s="783" t="s">
        <v>183</v>
      </c>
      <c r="L3356" s="783" t="s">
        <v>4096</v>
      </c>
      <c r="M3356" s="784">
        <v>8019.34</v>
      </c>
      <c r="N3356" s="784">
        <v>9.8000000000000007</v>
      </c>
      <c r="O3356" s="784">
        <v>4.9000000000000004</v>
      </c>
      <c r="P3356" s="783">
        <v>167</v>
      </c>
      <c r="Q3356" s="783">
        <v>408.18</v>
      </c>
      <c r="R3356" s="783">
        <v>290.3</v>
      </c>
      <c r="S3356" s="783">
        <v>46.51</v>
      </c>
      <c r="T3356" s="783">
        <v>71.37</v>
      </c>
      <c r="U3356" s="785">
        <v>44713.5255092593</v>
      </c>
    </row>
    <row r="3357" spans="1:21">
      <c r="A3357" s="782">
        <v>44714</v>
      </c>
      <c r="B3357" s="783" t="s">
        <v>41</v>
      </c>
      <c r="C3357" s="783" t="s">
        <v>4071</v>
      </c>
      <c r="D3357" s="783" t="s">
        <v>4009</v>
      </c>
      <c r="E3357" s="783" t="s">
        <v>3805</v>
      </c>
      <c r="F3357" s="783" t="s">
        <v>4011</v>
      </c>
      <c r="G3357" s="783" t="str">
        <f t="shared" si="178"/>
        <v>Renewal (15% in 2020)</v>
      </c>
      <c r="H3357" s="783" t="s">
        <v>5707</v>
      </c>
      <c r="I3357" s="783" t="s">
        <v>5708</v>
      </c>
      <c r="J3357" s="783">
        <v>15</v>
      </c>
      <c r="K3357" s="783" t="s">
        <v>183</v>
      </c>
      <c r="L3357" s="783" t="s">
        <v>4096</v>
      </c>
      <c r="M3357" s="784">
        <v>31921.97</v>
      </c>
      <c r="N3357" s="784">
        <v>39.630000000000003</v>
      </c>
      <c r="O3357" s="784">
        <v>5.37</v>
      </c>
      <c r="P3357" s="783">
        <v>150</v>
      </c>
      <c r="Q3357" s="783">
        <v>1915.32</v>
      </c>
      <c r="R3357" s="783">
        <v>861.89</v>
      </c>
      <c r="S3357" s="783">
        <v>127.69</v>
      </c>
      <c r="T3357" s="783">
        <v>925.74</v>
      </c>
      <c r="U3357" s="785">
        <v>44715.447175925903</v>
      </c>
    </row>
    <row r="3358" spans="1:21">
      <c r="A3358" s="782">
        <v>44715</v>
      </c>
      <c r="B3358" s="783" t="s">
        <v>41</v>
      </c>
      <c r="C3358" s="783" t="s">
        <v>4071</v>
      </c>
      <c r="D3358" s="783" t="s">
        <v>4009</v>
      </c>
      <c r="E3358" s="783" t="s">
        <v>3851</v>
      </c>
      <c r="F3358" s="783" t="s">
        <v>4011</v>
      </c>
      <c r="G3358" s="783" t="str">
        <f t="shared" si="178"/>
        <v>Renewal (25% in 2020)</v>
      </c>
      <c r="H3358" s="783" t="s">
        <v>4166</v>
      </c>
      <c r="I3358" s="783" t="s">
        <v>4167</v>
      </c>
      <c r="J3358" s="783">
        <v>25</v>
      </c>
      <c r="K3358" s="783" t="s">
        <v>183</v>
      </c>
      <c r="L3358" s="783" t="s">
        <v>4096</v>
      </c>
      <c r="M3358" s="784">
        <v>1720.32</v>
      </c>
      <c r="N3358" s="784">
        <v>2.8</v>
      </c>
      <c r="O3358" s="784">
        <v>3.84</v>
      </c>
      <c r="P3358" s="783">
        <v>160</v>
      </c>
      <c r="Q3358" s="783">
        <v>59.7</v>
      </c>
      <c r="R3358" s="783">
        <v>46.45</v>
      </c>
      <c r="S3358" s="783">
        <v>6.88</v>
      </c>
      <c r="T3358" s="783">
        <v>6.37</v>
      </c>
      <c r="U3358" s="785">
        <v>44715.467962962997</v>
      </c>
    </row>
    <row r="3359" spans="1:21">
      <c r="A3359" s="782">
        <v>44712</v>
      </c>
      <c r="B3359" s="783" t="s">
        <v>51</v>
      </c>
      <c r="C3359" s="783" t="s">
        <v>4042</v>
      </c>
      <c r="D3359" s="783" t="s">
        <v>4016</v>
      </c>
      <c r="E3359" s="783" t="s">
        <v>5709</v>
      </c>
      <c r="F3359" s="783" t="s">
        <v>4011</v>
      </c>
      <c r="G3359" s="783" t="str">
        <f t="shared" si="178"/>
        <v>Renewal (15% in 2020)</v>
      </c>
      <c r="H3359" s="783" t="s">
        <v>5710</v>
      </c>
      <c r="I3359" s="783" t="s">
        <v>5711</v>
      </c>
      <c r="J3359" s="783">
        <v>15</v>
      </c>
      <c r="K3359" s="783" t="s">
        <v>183</v>
      </c>
      <c r="L3359" s="783" t="s">
        <v>4096</v>
      </c>
      <c r="M3359" s="784">
        <v>26226.05</v>
      </c>
      <c r="N3359" s="784">
        <v>19.46</v>
      </c>
      <c r="O3359" s="784">
        <v>8.07</v>
      </c>
      <c r="P3359" s="783">
        <v>167</v>
      </c>
      <c r="Q3359" s="783">
        <v>1951.22</v>
      </c>
      <c r="R3359" s="783">
        <v>857.59</v>
      </c>
      <c r="S3359" s="783">
        <v>133.75</v>
      </c>
      <c r="T3359" s="783">
        <v>959.87</v>
      </c>
      <c r="U3359" s="785">
        <v>44714.575671296298</v>
      </c>
    </row>
    <row r="3360" spans="1:21">
      <c r="A3360" s="782">
        <v>44713</v>
      </c>
      <c r="B3360" s="783" t="s">
        <v>34</v>
      </c>
      <c r="C3360" s="783" t="s">
        <v>4082</v>
      </c>
      <c r="D3360" s="783" t="s">
        <v>4009</v>
      </c>
      <c r="E3360" s="783" t="s">
        <v>4656</v>
      </c>
      <c r="F3360" s="783" t="s">
        <v>4011</v>
      </c>
      <c r="G3360" s="783" t="str">
        <f t="shared" si="178"/>
        <v>Renewal (30% in 2020)</v>
      </c>
      <c r="H3360" s="783" t="s">
        <v>4657</v>
      </c>
      <c r="I3360" s="783" t="s">
        <v>4658</v>
      </c>
      <c r="J3360" s="783">
        <v>30</v>
      </c>
      <c r="K3360" s="783" t="s">
        <v>183</v>
      </c>
      <c r="L3360" s="783" t="s">
        <v>4096</v>
      </c>
      <c r="M3360" s="784">
        <v>20941.2</v>
      </c>
      <c r="N3360" s="784">
        <v>16.62</v>
      </c>
      <c r="O3360" s="784">
        <v>6.3</v>
      </c>
      <c r="P3360" s="783">
        <v>200</v>
      </c>
      <c r="Q3360" s="783">
        <v>814.61</v>
      </c>
      <c r="R3360" s="783">
        <v>596.27</v>
      </c>
      <c r="S3360" s="783">
        <v>117.83</v>
      </c>
      <c r="T3360" s="783">
        <v>100.52</v>
      </c>
      <c r="U3360" s="785">
        <v>44715.432256944398</v>
      </c>
    </row>
    <row r="3361" spans="1:21">
      <c r="A3361" s="782">
        <v>44713</v>
      </c>
      <c r="B3361" s="783" t="s">
        <v>2866</v>
      </c>
      <c r="C3361" s="783" t="s">
        <v>4008</v>
      </c>
      <c r="D3361" s="783" t="s">
        <v>4009</v>
      </c>
      <c r="E3361" s="783" t="s">
        <v>5712</v>
      </c>
      <c r="F3361" s="783" t="s">
        <v>4011</v>
      </c>
      <c r="G3361" s="783" t="str">
        <f t="shared" si="178"/>
        <v>Renewal (30% in 2020)</v>
      </c>
      <c r="H3361" s="783" t="s">
        <v>5713</v>
      </c>
      <c r="I3361" s="783" t="s">
        <v>5714</v>
      </c>
      <c r="J3361" s="783">
        <v>25</v>
      </c>
      <c r="K3361" s="783" t="s">
        <v>183</v>
      </c>
      <c r="L3361" s="783" t="s">
        <v>4096</v>
      </c>
      <c r="M3361" s="784">
        <v>9110.4</v>
      </c>
      <c r="N3361" s="784">
        <v>9.49</v>
      </c>
      <c r="O3361" s="784">
        <v>4.8</v>
      </c>
      <c r="P3361" s="783">
        <v>200</v>
      </c>
      <c r="Q3361" s="783">
        <v>463.72</v>
      </c>
      <c r="R3361" s="783">
        <v>275.38</v>
      </c>
      <c r="S3361" s="783">
        <v>107.26</v>
      </c>
      <c r="T3361" s="783">
        <v>81.08</v>
      </c>
      <c r="U3361" s="785">
        <v>44715.438368055598</v>
      </c>
    </row>
    <row r="3362" spans="1:21">
      <c r="A3362" s="782">
        <v>44713</v>
      </c>
      <c r="B3362" s="783" t="s">
        <v>228</v>
      </c>
      <c r="C3362" s="783" t="s">
        <v>4582</v>
      </c>
      <c r="D3362" s="783" t="s">
        <v>4193</v>
      </c>
      <c r="E3362" s="783" t="s">
        <v>5715</v>
      </c>
      <c r="F3362" s="783" t="s">
        <v>4011</v>
      </c>
      <c r="G3362" s="783" t="str">
        <f t="shared" si="178"/>
        <v>Renewal (25% in 2020)</v>
      </c>
      <c r="H3362" s="783" t="s">
        <v>5716</v>
      </c>
      <c r="I3362" s="783" t="s">
        <v>5717</v>
      </c>
      <c r="J3362" s="783">
        <v>25</v>
      </c>
      <c r="K3362" s="783" t="s">
        <v>183</v>
      </c>
      <c r="L3362" s="783" t="s">
        <v>4096</v>
      </c>
      <c r="M3362" s="784">
        <v>25910.3</v>
      </c>
      <c r="N3362" s="784">
        <v>20.98</v>
      </c>
      <c r="O3362" s="784">
        <v>6.5</v>
      </c>
      <c r="P3362" s="783">
        <v>190</v>
      </c>
      <c r="Q3362" s="783">
        <v>1349.93</v>
      </c>
      <c r="R3362" s="783">
        <v>917.78</v>
      </c>
      <c r="S3362" s="783">
        <v>284.45</v>
      </c>
      <c r="T3362" s="783">
        <v>147.69</v>
      </c>
      <c r="U3362" s="785">
        <v>44715.434895833299</v>
      </c>
    </row>
    <row r="3363" spans="1:21">
      <c r="A3363" s="782">
        <v>44698</v>
      </c>
      <c r="B3363" s="783" t="s">
        <v>41</v>
      </c>
      <c r="C3363" s="783" t="s">
        <v>4139</v>
      </c>
      <c r="D3363" s="783" t="s">
        <v>4009</v>
      </c>
      <c r="E3363" s="783" t="s">
        <v>1156</v>
      </c>
      <c r="F3363" s="783" t="s">
        <v>4011</v>
      </c>
      <c r="G3363" s="783" t="str">
        <f t="shared" si="178"/>
        <v>New Contract</v>
      </c>
      <c r="H3363" s="783" t="s">
        <v>4237</v>
      </c>
      <c r="I3363" s="783" t="s">
        <v>4238</v>
      </c>
      <c r="J3363" s="783">
        <v>20</v>
      </c>
      <c r="K3363" s="783" t="s">
        <v>183</v>
      </c>
      <c r="L3363" s="783" t="s">
        <v>4096</v>
      </c>
      <c r="M3363" s="784">
        <v>14631.89</v>
      </c>
      <c r="N3363" s="784">
        <v>15.73</v>
      </c>
      <c r="O3363" s="784">
        <v>5.57</v>
      </c>
      <c r="P3363" s="783">
        <v>167</v>
      </c>
      <c r="Q3363" s="783">
        <v>810.61</v>
      </c>
      <c r="R3363" s="783">
        <v>487.24</v>
      </c>
      <c r="S3363" s="783">
        <v>73.16</v>
      </c>
      <c r="T3363" s="783">
        <v>250.21</v>
      </c>
      <c r="U3363" s="785">
        <v>44699.5009027778</v>
      </c>
    </row>
    <row r="3364" spans="1:21">
      <c r="A3364" s="782">
        <v>44701</v>
      </c>
      <c r="B3364" s="783" t="s">
        <v>41</v>
      </c>
      <c r="C3364" s="783" t="s">
        <v>4082</v>
      </c>
      <c r="D3364" s="783" t="s">
        <v>4009</v>
      </c>
      <c r="E3364" s="783" t="s">
        <v>5729</v>
      </c>
      <c r="F3364" s="783" t="s">
        <v>4011</v>
      </c>
      <c r="G3364" s="783" t="str">
        <f t="shared" si="178"/>
        <v>Renewal (15% in 2020)</v>
      </c>
      <c r="H3364" s="783" t="s">
        <v>5730</v>
      </c>
      <c r="I3364" s="783" t="s">
        <v>5731</v>
      </c>
      <c r="J3364" s="783">
        <v>15</v>
      </c>
      <c r="K3364" s="783" t="s">
        <v>183</v>
      </c>
      <c r="L3364" s="783" t="s">
        <v>4096</v>
      </c>
      <c r="M3364" s="784">
        <v>16347.63</v>
      </c>
      <c r="N3364" s="784">
        <v>15.06</v>
      </c>
      <c r="O3364" s="784">
        <v>6.5</v>
      </c>
      <c r="P3364" s="783">
        <v>167</v>
      </c>
      <c r="Q3364" s="783">
        <v>1276.75</v>
      </c>
      <c r="R3364" s="783">
        <v>557.45000000000005</v>
      </c>
      <c r="S3364" s="783">
        <v>101.36</v>
      </c>
      <c r="T3364" s="783">
        <v>617.94000000000005</v>
      </c>
      <c r="U3364" s="785">
        <v>44708.667638888903</v>
      </c>
    </row>
    <row r="3365" spans="1:21">
      <c r="A3365" s="782">
        <v>44697</v>
      </c>
      <c r="B3365" s="783" t="s">
        <v>30</v>
      </c>
      <c r="C3365" s="783" t="s">
        <v>4239</v>
      </c>
      <c r="D3365" s="783" t="s">
        <v>4021</v>
      </c>
      <c r="E3365" s="783" t="s">
        <v>5732</v>
      </c>
      <c r="F3365" s="783" t="s">
        <v>4011</v>
      </c>
      <c r="G3365" s="783" t="str">
        <f t="shared" si="178"/>
        <v>Renewal (20% in 2020)</v>
      </c>
      <c r="H3365" s="783" t="s">
        <v>5733</v>
      </c>
      <c r="I3365" s="783" t="s">
        <v>5734</v>
      </c>
      <c r="J3365" s="783">
        <v>20</v>
      </c>
      <c r="K3365" s="783" t="s">
        <v>183</v>
      </c>
      <c r="L3365" s="783" t="s">
        <v>4096</v>
      </c>
      <c r="M3365" s="784">
        <v>15644.99</v>
      </c>
      <c r="N3365" s="784">
        <v>18.23</v>
      </c>
      <c r="O3365" s="784">
        <v>6.13</v>
      </c>
      <c r="P3365" s="783">
        <v>140</v>
      </c>
      <c r="Q3365" s="783">
        <v>1038.83</v>
      </c>
      <c r="R3365" s="783">
        <v>574.16999999999996</v>
      </c>
      <c r="S3365" s="783">
        <v>126.72</v>
      </c>
      <c r="T3365" s="783">
        <v>337.93</v>
      </c>
      <c r="U3365" s="785">
        <v>44699.495277777802</v>
      </c>
    </row>
    <row r="3366" spans="1:21">
      <c r="A3366" s="782">
        <v>44703</v>
      </c>
      <c r="B3366" s="783" t="s">
        <v>4025</v>
      </c>
      <c r="C3366" s="783" t="s">
        <v>4026</v>
      </c>
      <c r="D3366" s="783" t="s">
        <v>4021</v>
      </c>
      <c r="E3366" s="783" t="s">
        <v>5738</v>
      </c>
      <c r="F3366" s="783" t="s">
        <v>4011</v>
      </c>
      <c r="G3366" s="783" t="str">
        <f t="shared" si="178"/>
        <v>New Contract</v>
      </c>
      <c r="H3366" s="783" t="s">
        <v>5739</v>
      </c>
      <c r="I3366" s="783" t="s">
        <v>5740</v>
      </c>
      <c r="J3366" s="783">
        <v>25</v>
      </c>
      <c r="K3366" s="783" t="s">
        <v>183</v>
      </c>
      <c r="L3366" s="783" t="s">
        <v>4096</v>
      </c>
      <c r="M3366" s="784">
        <v>42001.19</v>
      </c>
      <c r="N3366" s="784">
        <v>37.590000000000003</v>
      </c>
      <c r="O3366" s="784">
        <v>5.73</v>
      </c>
      <c r="P3366" s="783">
        <v>195</v>
      </c>
      <c r="Q3366" s="783">
        <v>2381.4699999999998</v>
      </c>
      <c r="R3366" s="783">
        <v>1485.57</v>
      </c>
      <c r="S3366" s="783">
        <v>517.89</v>
      </c>
      <c r="T3366" s="783">
        <v>378.01</v>
      </c>
      <c r="U3366" s="785">
        <v>44704.4062962963</v>
      </c>
    </row>
    <row r="3367" spans="1:21">
      <c r="A3367" s="782">
        <v>44701</v>
      </c>
      <c r="B3367" s="783" t="s">
        <v>4025</v>
      </c>
      <c r="C3367" s="783" t="s">
        <v>4026</v>
      </c>
      <c r="D3367" s="783" t="s">
        <v>4021</v>
      </c>
      <c r="E3367" s="783" t="s">
        <v>5741</v>
      </c>
      <c r="F3367" s="783" t="s">
        <v>4011</v>
      </c>
      <c r="G3367" s="783" t="str">
        <f t="shared" si="178"/>
        <v>New Contract</v>
      </c>
      <c r="H3367" s="783" t="s">
        <v>5742</v>
      </c>
      <c r="I3367" s="783" t="s">
        <v>5743</v>
      </c>
      <c r="J3367" s="783">
        <v>25</v>
      </c>
      <c r="K3367" s="783" t="s">
        <v>183</v>
      </c>
      <c r="L3367" s="783" t="s">
        <v>4096</v>
      </c>
      <c r="M3367" s="784">
        <v>37860.35</v>
      </c>
      <c r="N3367" s="784">
        <v>36.229999999999997</v>
      </c>
      <c r="O3367" s="784">
        <v>5.5</v>
      </c>
      <c r="P3367" s="783">
        <v>190</v>
      </c>
      <c r="Q3367" s="783">
        <v>2146.6799999999998</v>
      </c>
      <c r="R3367" s="783">
        <v>1374.35</v>
      </c>
      <c r="S3367" s="783">
        <v>431.59</v>
      </c>
      <c r="T3367" s="783">
        <v>340.74</v>
      </c>
      <c r="U3367" s="785">
        <v>44701.496296296304</v>
      </c>
    </row>
    <row r="3368" spans="1:21">
      <c r="A3368" s="782">
        <v>44704</v>
      </c>
      <c r="B3368" s="783" t="s">
        <v>4025</v>
      </c>
      <c r="C3368" s="783" t="s">
        <v>4026</v>
      </c>
      <c r="D3368" s="783" t="s">
        <v>4021</v>
      </c>
      <c r="E3368" s="783" t="s">
        <v>5744</v>
      </c>
      <c r="F3368" s="783" t="s">
        <v>4011</v>
      </c>
      <c r="G3368" s="783" t="str">
        <f t="shared" si="178"/>
        <v>New Contract</v>
      </c>
      <c r="H3368" s="783" t="s">
        <v>5745</v>
      </c>
      <c r="I3368" s="783" t="s">
        <v>5746</v>
      </c>
      <c r="J3368" s="783">
        <v>25</v>
      </c>
      <c r="K3368" s="783" t="s">
        <v>183</v>
      </c>
      <c r="L3368" s="783" t="s">
        <v>4096</v>
      </c>
      <c r="M3368" s="784">
        <v>36039.279999999999</v>
      </c>
      <c r="N3368" s="784">
        <v>25.09</v>
      </c>
      <c r="O3368" s="784">
        <v>7.98</v>
      </c>
      <c r="P3368" s="783">
        <v>180</v>
      </c>
      <c r="Q3368" s="783">
        <v>2043.43</v>
      </c>
      <c r="R3368" s="783">
        <v>1380.92</v>
      </c>
      <c r="S3368" s="783">
        <v>338.15</v>
      </c>
      <c r="T3368" s="783">
        <v>324.35000000000002</v>
      </c>
      <c r="U3368" s="785">
        <v>44704.4219212963</v>
      </c>
    </row>
    <row r="3369" spans="1:21">
      <c r="A3369" s="782">
        <v>44701</v>
      </c>
      <c r="B3369" s="783" t="s">
        <v>4025</v>
      </c>
      <c r="C3369" s="783" t="s">
        <v>4026</v>
      </c>
      <c r="D3369" s="783" t="s">
        <v>4021</v>
      </c>
      <c r="E3369" s="783" t="s">
        <v>4168</v>
      </c>
      <c r="F3369" s="783" t="s">
        <v>4066</v>
      </c>
      <c r="G3369" s="783" t="s">
        <v>4028</v>
      </c>
      <c r="H3369" s="783" t="s">
        <v>4169</v>
      </c>
      <c r="I3369" s="783" t="s">
        <v>4170</v>
      </c>
      <c r="J3369" s="783">
        <v>10</v>
      </c>
      <c r="K3369" s="783" t="s">
        <v>183</v>
      </c>
      <c r="L3369" s="783" t="s">
        <v>4096</v>
      </c>
      <c r="M3369" s="784">
        <v>10926.9</v>
      </c>
      <c r="N3369" s="784">
        <v>13.49</v>
      </c>
      <c r="O3369" s="784">
        <v>4.5</v>
      </c>
      <c r="P3369" s="783">
        <v>180</v>
      </c>
      <c r="Q3369" s="783">
        <v>206.52</v>
      </c>
      <c r="R3369" s="783">
        <v>0</v>
      </c>
      <c r="S3369" s="783">
        <v>0</v>
      </c>
      <c r="T3369" s="783">
        <v>206.52</v>
      </c>
      <c r="U3369" s="785">
        <v>44701.608680555597</v>
      </c>
    </row>
    <row r="3370" spans="1:21">
      <c r="A3370" s="782">
        <v>44699</v>
      </c>
      <c r="B3370" s="783" t="s">
        <v>4025</v>
      </c>
      <c r="C3370" s="783" t="s">
        <v>4026</v>
      </c>
      <c r="D3370" s="783" t="s">
        <v>4021</v>
      </c>
      <c r="E3370" s="783" t="s">
        <v>5750</v>
      </c>
      <c r="F3370" s="783" t="s">
        <v>4011</v>
      </c>
      <c r="G3370" s="783" t="str">
        <f>VLOOKUP(I3370,pacage,2,FALSE)</f>
        <v>New contract</v>
      </c>
      <c r="H3370" s="783" t="s">
        <v>5751</v>
      </c>
      <c r="I3370" s="783" t="s">
        <v>5752</v>
      </c>
      <c r="J3370" s="783">
        <v>25</v>
      </c>
      <c r="K3370" s="783" t="s">
        <v>183</v>
      </c>
      <c r="L3370" s="783" t="s">
        <v>4096</v>
      </c>
      <c r="M3370" s="784">
        <v>45962.04</v>
      </c>
      <c r="N3370" s="784">
        <v>37.86</v>
      </c>
      <c r="O3370" s="784">
        <v>6.07</v>
      </c>
      <c r="P3370" s="783">
        <v>200</v>
      </c>
      <c r="Q3370" s="783">
        <v>2606.0500000000002</v>
      </c>
      <c r="R3370" s="783">
        <v>1585.02</v>
      </c>
      <c r="S3370" s="783">
        <v>607.37</v>
      </c>
      <c r="T3370" s="783">
        <v>413.66</v>
      </c>
      <c r="U3370" s="785">
        <v>44700.539583333302</v>
      </c>
    </row>
    <row r="3371" spans="1:21">
      <c r="A3371" s="782">
        <v>44704</v>
      </c>
      <c r="B3371" s="783" t="s">
        <v>41</v>
      </c>
      <c r="C3371" s="783" t="s">
        <v>4092</v>
      </c>
      <c r="D3371" s="783" t="s">
        <v>4009</v>
      </c>
      <c r="E3371" s="783" t="s">
        <v>901</v>
      </c>
      <c r="F3371" s="783" t="s">
        <v>4011</v>
      </c>
      <c r="G3371" s="783" t="str">
        <f>VLOOKUP(I3371,pacage,2,FALSE)</f>
        <v>Renewal (15% in 2020)</v>
      </c>
      <c r="H3371" s="783" t="s">
        <v>4659</v>
      </c>
      <c r="I3371" s="783" t="s">
        <v>4660</v>
      </c>
      <c r="J3371" s="783">
        <v>15</v>
      </c>
      <c r="K3371" s="783" t="s">
        <v>183</v>
      </c>
      <c r="L3371" s="783" t="s">
        <v>4096</v>
      </c>
      <c r="M3371" s="784">
        <v>31641.599999999999</v>
      </c>
      <c r="N3371" s="784">
        <v>32.96</v>
      </c>
      <c r="O3371" s="784">
        <v>6</v>
      </c>
      <c r="P3371" s="783">
        <v>160</v>
      </c>
      <c r="Q3371" s="783">
        <v>2562.9699999999998</v>
      </c>
      <c r="R3371" s="783">
        <v>1116.95</v>
      </c>
      <c r="S3371" s="783">
        <v>205.67</v>
      </c>
      <c r="T3371" s="783">
        <v>1240.3499999999999</v>
      </c>
      <c r="U3371" s="785">
        <v>44708.961261574099</v>
      </c>
    </row>
    <row r="3372" spans="1:21">
      <c r="A3372" s="782">
        <v>44698</v>
      </c>
      <c r="B3372" s="783" t="s">
        <v>4025</v>
      </c>
      <c r="C3372" s="783" t="s">
        <v>4052</v>
      </c>
      <c r="D3372" s="783" t="s">
        <v>4021</v>
      </c>
      <c r="E3372" s="783" t="s">
        <v>5756</v>
      </c>
      <c r="F3372" s="783" t="s">
        <v>4011</v>
      </c>
      <c r="G3372" s="783" t="str">
        <f>VLOOKUP(I3372,pacage,2,FALSE)</f>
        <v>New Contract</v>
      </c>
      <c r="H3372" s="783" t="s">
        <v>5757</v>
      </c>
      <c r="I3372" s="783" t="s">
        <v>5758</v>
      </c>
      <c r="J3372" s="783">
        <v>25</v>
      </c>
      <c r="K3372" s="783" t="s">
        <v>183</v>
      </c>
      <c r="L3372" s="783" t="s">
        <v>4096</v>
      </c>
      <c r="M3372" s="784">
        <v>35285.22</v>
      </c>
      <c r="N3372" s="784">
        <v>28.41</v>
      </c>
      <c r="O3372" s="784">
        <v>6.9</v>
      </c>
      <c r="P3372" s="783">
        <v>180</v>
      </c>
      <c r="Q3372" s="783">
        <v>1210.28</v>
      </c>
      <c r="R3372" s="783">
        <v>854.43</v>
      </c>
      <c r="S3372" s="783">
        <v>207.65</v>
      </c>
      <c r="T3372" s="783">
        <v>148.19999999999999</v>
      </c>
      <c r="U3372" s="785">
        <v>44699.597326388903</v>
      </c>
    </row>
    <row r="3373" spans="1:21">
      <c r="A3373" s="782">
        <v>44693</v>
      </c>
      <c r="B3373" s="783" t="s">
        <v>41</v>
      </c>
      <c r="C3373" s="783" t="s">
        <v>4092</v>
      </c>
      <c r="D3373" s="783" t="s">
        <v>4009</v>
      </c>
      <c r="E3373" s="783" t="s">
        <v>5759</v>
      </c>
      <c r="F3373" s="783" t="s">
        <v>4011</v>
      </c>
      <c r="G3373" s="783" t="str">
        <f>VLOOKUP(I3373,pacage,2,FALSE)</f>
        <v>Renewal (30% in 2020)</v>
      </c>
      <c r="H3373" s="783" t="s">
        <v>5760</v>
      </c>
      <c r="I3373" s="783" t="s">
        <v>5761</v>
      </c>
      <c r="J3373" s="783">
        <v>30</v>
      </c>
      <c r="K3373" s="783" t="s">
        <v>183</v>
      </c>
      <c r="L3373" s="783" t="s">
        <v>4096</v>
      </c>
      <c r="M3373" s="784">
        <v>20523.78</v>
      </c>
      <c r="N3373" s="784">
        <v>22.14</v>
      </c>
      <c r="O3373" s="784">
        <v>6.18</v>
      </c>
      <c r="P3373" s="783">
        <v>150</v>
      </c>
      <c r="Q3373" s="783">
        <v>829.16</v>
      </c>
      <c r="R3373" s="783">
        <v>724.49</v>
      </c>
      <c r="S3373" s="783">
        <v>0</v>
      </c>
      <c r="T3373" s="783">
        <v>104.67</v>
      </c>
      <c r="U3373" s="785">
        <v>44694.415046296301</v>
      </c>
    </row>
    <row r="3374" spans="1:21">
      <c r="A3374" s="782">
        <v>44694</v>
      </c>
      <c r="B3374" s="783" t="s">
        <v>41</v>
      </c>
      <c r="C3374" s="783" t="s">
        <v>4139</v>
      </c>
      <c r="D3374" s="783" t="s">
        <v>4009</v>
      </c>
      <c r="E3374" s="783" t="s">
        <v>6587</v>
      </c>
      <c r="F3374" s="783" t="s">
        <v>4011</v>
      </c>
      <c r="G3374" s="783" t="str">
        <f>VLOOKUP(I3374,pacage,2,FALSE)</f>
        <v>New Contract</v>
      </c>
      <c r="H3374" s="783" t="s">
        <v>6588</v>
      </c>
      <c r="I3374" s="783" t="s">
        <v>6589</v>
      </c>
      <c r="J3374" s="783">
        <v>15</v>
      </c>
      <c r="K3374" s="783" t="s">
        <v>183</v>
      </c>
      <c r="L3374" s="783" t="s">
        <v>4096</v>
      </c>
      <c r="M3374" s="784">
        <v>14675.5</v>
      </c>
      <c r="N3374" s="784">
        <v>12.25</v>
      </c>
      <c r="O3374" s="784">
        <v>5.99</v>
      </c>
      <c r="P3374" s="783">
        <v>200</v>
      </c>
      <c r="Q3374" s="783">
        <v>1087.45</v>
      </c>
      <c r="R3374" s="783">
        <v>408.06</v>
      </c>
      <c r="S3374" s="783">
        <v>154.01</v>
      </c>
      <c r="T3374" s="783">
        <v>525.38</v>
      </c>
      <c r="U3374" s="785">
        <v>44694.5305324074</v>
      </c>
    </row>
    <row r="3375" spans="1:21">
      <c r="A3375" s="782">
        <v>44694</v>
      </c>
      <c r="B3375" s="783" t="s">
        <v>4025</v>
      </c>
      <c r="C3375" s="783" t="s">
        <v>4026</v>
      </c>
      <c r="D3375" s="783" t="s">
        <v>4021</v>
      </c>
      <c r="E3375" s="783" t="s">
        <v>5765</v>
      </c>
      <c r="F3375" s="783" t="s">
        <v>4011</v>
      </c>
      <c r="G3375" s="783" t="s">
        <v>4028</v>
      </c>
      <c r="H3375" s="783" t="s">
        <v>5766</v>
      </c>
      <c r="I3375" s="783" t="s">
        <v>5767</v>
      </c>
      <c r="J3375" s="783">
        <v>20</v>
      </c>
      <c r="K3375" s="783" t="s">
        <v>183</v>
      </c>
      <c r="L3375" s="783" t="s">
        <v>4096</v>
      </c>
      <c r="M3375" s="784">
        <v>60977.36</v>
      </c>
      <c r="N3375" s="784">
        <v>49.42</v>
      </c>
      <c r="O3375" s="784">
        <v>6.46</v>
      </c>
      <c r="P3375" s="783">
        <v>191</v>
      </c>
      <c r="Q3375" s="783">
        <v>4414.76</v>
      </c>
      <c r="R3375" s="783">
        <v>2201.92</v>
      </c>
      <c r="S3375" s="783">
        <v>706.7</v>
      </c>
      <c r="T3375" s="783">
        <v>1506.14</v>
      </c>
      <c r="U3375" s="785">
        <v>44694.733784722201</v>
      </c>
    </row>
    <row r="3376" spans="1:21">
      <c r="A3376" s="782">
        <v>44694</v>
      </c>
      <c r="B3376" s="783" t="s">
        <v>41</v>
      </c>
      <c r="C3376" s="783" t="s">
        <v>4071</v>
      </c>
      <c r="D3376" s="783" t="s">
        <v>4009</v>
      </c>
      <c r="E3376" s="783" t="s">
        <v>5768</v>
      </c>
      <c r="F3376" s="783" t="s">
        <v>4011</v>
      </c>
      <c r="G3376" s="783" t="str">
        <f>VLOOKUP(I3376,pacage,2,FALSE)</f>
        <v>Renewal (30% in 2020)</v>
      </c>
      <c r="H3376" s="783" t="s">
        <v>5769</v>
      </c>
      <c r="I3376" s="783" t="s">
        <v>5770</v>
      </c>
      <c r="J3376" s="783">
        <v>30</v>
      </c>
      <c r="K3376" s="783" t="s">
        <v>183</v>
      </c>
      <c r="L3376" s="783" t="s">
        <v>4096</v>
      </c>
      <c r="M3376" s="784">
        <v>27900</v>
      </c>
      <c r="N3376" s="784">
        <v>22.5</v>
      </c>
      <c r="O3376" s="784">
        <v>6.2</v>
      </c>
      <c r="P3376" s="783">
        <v>200</v>
      </c>
      <c r="Q3376" s="783">
        <v>856.53</v>
      </c>
      <c r="R3376" s="783">
        <v>629.01</v>
      </c>
      <c r="S3376" s="783">
        <v>124.29</v>
      </c>
      <c r="T3376" s="783">
        <v>103.23</v>
      </c>
      <c r="U3376" s="785">
        <v>44694.527847222198</v>
      </c>
    </row>
    <row r="3377" spans="1:21">
      <c r="A3377" s="782">
        <v>44696</v>
      </c>
      <c r="B3377" s="783" t="s">
        <v>41</v>
      </c>
      <c r="C3377" s="783" t="s">
        <v>4092</v>
      </c>
      <c r="D3377" s="783" t="s">
        <v>4009</v>
      </c>
      <c r="E3377" s="783" t="s">
        <v>2249</v>
      </c>
      <c r="F3377" s="783" t="s">
        <v>4011</v>
      </c>
      <c r="G3377" s="783" t="str">
        <f>VLOOKUP(I3377,pacage,2,FALSE)</f>
        <v>Renewal (30% in 2020)</v>
      </c>
      <c r="H3377" s="783" t="s">
        <v>5771</v>
      </c>
      <c r="I3377" s="783" t="s">
        <v>5772</v>
      </c>
      <c r="J3377" s="783">
        <v>30</v>
      </c>
      <c r="K3377" s="783" t="s">
        <v>183</v>
      </c>
      <c r="L3377" s="783" t="s">
        <v>4096</v>
      </c>
      <c r="M3377" s="784">
        <v>18428.14</v>
      </c>
      <c r="N3377" s="784">
        <v>24.02</v>
      </c>
      <c r="O3377" s="784">
        <v>5.48</v>
      </c>
      <c r="P3377" s="783">
        <v>140</v>
      </c>
      <c r="Q3377" s="783">
        <v>744.5</v>
      </c>
      <c r="R3377" s="783">
        <v>650.51</v>
      </c>
      <c r="S3377" s="783">
        <v>0</v>
      </c>
      <c r="T3377" s="783">
        <v>93.98</v>
      </c>
      <c r="U3377" s="785">
        <v>44697.411840277797</v>
      </c>
    </row>
    <row r="3378" spans="1:21">
      <c r="A3378" s="782">
        <v>44694</v>
      </c>
      <c r="B3378" s="783" t="s">
        <v>74</v>
      </c>
      <c r="C3378" s="783" t="s">
        <v>4037</v>
      </c>
      <c r="D3378" s="783" t="s">
        <v>4038</v>
      </c>
      <c r="E3378" s="783" t="s">
        <v>4385</v>
      </c>
      <c r="F3378" s="783" t="s">
        <v>4011</v>
      </c>
      <c r="G3378" s="783" t="str">
        <f>VLOOKUP(I3378,pacage,2,FALSE)</f>
        <v>Renewal (15% in 2020)</v>
      </c>
      <c r="H3378" s="783" t="s">
        <v>4386</v>
      </c>
      <c r="I3378" s="783" t="s">
        <v>4387</v>
      </c>
      <c r="J3378" s="783">
        <v>15</v>
      </c>
      <c r="K3378" s="783" t="s">
        <v>183</v>
      </c>
      <c r="L3378" s="783" t="s">
        <v>4096</v>
      </c>
      <c r="M3378" s="784">
        <v>9066.82</v>
      </c>
      <c r="N3378" s="784">
        <v>8.91</v>
      </c>
      <c r="O3378" s="784">
        <v>6.36</v>
      </c>
      <c r="P3378" s="783">
        <v>160</v>
      </c>
      <c r="Q3378" s="783">
        <v>1063.54</v>
      </c>
      <c r="R3378" s="783">
        <v>436.11</v>
      </c>
      <c r="S3378" s="783">
        <v>70.72</v>
      </c>
      <c r="T3378" s="783">
        <v>556.70000000000005</v>
      </c>
      <c r="U3378" s="785">
        <v>44697.657094907401</v>
      </c>
    </row>
    <row r="3379" spans="1:21">
      <c r="A3379" s="782">
        <v>44709</v>
      </c>
      <c r="B3379" s="783" t="s">
        <v>347</v>
      </c>
      <c r="C3379" s="783" t="s">
        <v>4139</v>
      </c>
      <c r="D3379" s="783" t="s">
        <v>4009</v>
      </c>
      <c r="E3379" s="783" t="s">
        <v>5779</v>
      </c>
      <c r="F3379" s="783" t="s">
        <v>4011</v>
      </c>
      <c r="G3379" s="783" t="str">
        <f>VLOOKUP(I3379,pacage,2,FALSE)</f>
        <v>Renewal (20% in 2020)</v>
      </c>
      <c r="H3379" s="783" t="s">
        <v>5780</v>
      </c>
      <c r="I3379" s="783" t="s">
        <v>5781</v>
      </c>
      <c r="J3379" s="783">
        <v>20</v>
      </c>
      <c r="K3379" s="783" t="s">
        <v>183</v>
      </c>
      <c r="L3379" s="783" t="s">
        <v>4096</v>
      </c>
      <c r="M3379" s="784">
        <v>5857.22</v>
      </c>
      <c r="N3379" s="784">
        <v>6.37</v>
      </c>
      <c r="O3379" s="784">
        <v>6.13</v>
      </c>
      <c r="P3379" s="783">
        <v>150</v>
      </c>
      <c r="Q3379" s="783">
        <v>324.49</v>
      </c>
      <c r="R3379" s="783">
        <v>195.05</v>
      </c>
      <c r="S3379" s="783">
        <v>29.29</v>
      </c>
      <c r="T3379" s="783">
        <v>100.16</v>
      </c>
      <c r="U3379" s="785">
        <v>44711.539895833303</v>
      </c>
    </row>
    <row r="3380" spans="1:21">
      <c r="A3380" s="782">
        <v>44697</v>
      </c>
      <c r="B3380" s="783" t="s">
        <v>41</v>
      </c>
      <c r="C3380" s="783" t="s">
        <v>4071</v>
      </c>
      <c r="D3380" s="783" t="s">
        <v>4009</v>
      </c>
      <c r="E3380" s="783" t="s">
        <v>2366</v>
      </c>
      <c r="F3380" s="783" t="s">
        <v>4011</v>
      </c>
      <c r="G3380" s="783" t="str">
        <f>VLOOKUP(I3380,pacage,2,FALSE)</f>
        <v>Renewal (25% in 2020)</v>
      </c>
      <c r="H3380" s="783" t="s">
        <v>5782</v>
      </c>
      <c r="I3380" s="783" t="s">
        <v>5783</v>
      </c>
      <c r="J3380" s="783">
        <v>25</v>
      </c>
      <c r="K3380" s="783" t="s">
        <v>183</v>
      </c>
      <c r="L3380" s="783" t="s">
        <v>4096</v>
      </c>
      <c r="M3380" s="784">
        <v>6124.8</v>
      </c>
      <c r="N3380" s="784">
        <v>7.04</v>
      </c>
      <c r="O3380" s="784">
        <v>5.8</v>
      </c>
      <c r="P3380" s="783">
        <v>150</v>
      </c>
      <c r="Q3380" s="783">
        <v>212.53</v>
      </c>
      <c r="R3380" s="783">
        <v>165.37</v>
      </c>
      <c r="S3380" s="783">
        <v>24.5</v>
      </c>
      <c r="T3380" s="783">
        <v>22.66</v>
      </c>
      <c r="U3380" s="785">
        <v>44698.709548611099</v>
      </c>
    </row>
    <row r="3381" spans="1:21">
      <c r="A3381" s="782">
        <v>44697</v>
      </c>
      <c r="B3381" s="783" t="s">
        <v>41</v>
      </c>
      <c r="C3381" s="783" t="s">
        <v>4071</v>
      </c>
      <c r="D3381" s="783" t="s">
        <v>4009</v>
      </c>
      <c r="E3381" s="783" t="s">
        <v>5790</v>
      </c>
      <c r="F3381" s="783" t="s">
        <v>4011</v>
      </c>
      <c r="G3381" s="783" t="s">
        <v>4028</v>
      </c>
      <c r="H3381" s="783" t="s">
        <v>5791</v>
      </c>
      <c r="I3381" s="783" t="s">
        <v>5792</v>
      </c>
      <c r="J3381" s="783">
        <v>25</v>
      </c>
      <c r="K3381" s="783" t="s">
        <v>183</v>
      </c>
      <c r="L3381" s="783" t="s">
        <v>4096</v>
      </c>
      <c r="M3381" s="784">
        <v>8205.33</v>
      </c>
      <c r="N3381" s="784">
        <v>7.09</v>
      </c>
      <c r="O3381" s="784">
        <v>6.93</v>
      </c>
      <c r="P3381" s="783">
        <v>167</v>
      </c>
      <c r="Q3381" s="783">
        <v>284.72000000000003</v>
      </c>
      <c r="R3381" s="783">
        <v>221.54</v>
      </c>
      <c r="S3381" s="783">
        <v>32.82</v>
      </c>
      <c r="T3381" s="783">
        <v>30.36</v>
      </c>
      <c r="U3381" s="785">
        <v>44699.412476851903</v>
      </c>
    </row>
    <row r="3382" spans="1:21">
      <c r="A3382" s="782">
        <v>44698</v>
      </c>
      <c r="B3382" s="783" t="s">
        <v>41</v>
      </c>
      <c r="C3382" s="783" t="s">
        <v>4092</v>
      </c>
      <c r="D3382" s="783" t="s">
        <v>4009</v>
      </c>
      <c r="E3382" s="783" t="s">
        <v>597</v>
      </c>
      <c r="F3382" s="783" t="s">
        <v>4011</v>
      </c>
      <c r="G3382" s="783" t="str">
        <f t="shared" ref="G3382:G3389" si="179">VLOOKUP(I3382,pacage,2,FALSE)</f>
        <v>Renewal (15% in 2020)</v>
      </c>
      <c r="H3382" s="783" t="s">
        <v>5793</v>
      </c>
      <c r="I3382" s="783" t="s">
        <v>5794</v>
      </c>
      <c r="J3382" s="783">
        <v>15</v>
      </c>
      <c r="K3382" s="783" t="s">
        <v>183</v>
      </c>
      <c r="L3382" s="783" t="s">
        <v>4096</v>
      </c>
      <c r="M3382" s="784">
        <v>27307.88</v>
      </c>
      <c r="N3382" s="784">
        <v>36.049999999999997</v>
      </c>
      <c r="O3382" s="784">
        <v>5.05</v>
      </c>
      <c r="P3382" s="783">
        <v>150</v>
      </c>
      <c r="Q3382" s="783">
        <v>2211.94</v>
      </c>
      <c r="R3382" s="783">
        <v>963.97</v>
      </c>
      <c r="S3382" s="783">
        <v>177.5</v>
      </c>
      <c r="T3382" s="783">
        <v>1070.47</v>
      </c>
      <c r="U3382" s="785">
        <v>44699.496608796297</v>
      </c>
    </row>
    <row r="3383" spans="1:21">
      <c r="A3383" s="782">
        <v>44707</v>
      </c>
      <c r="B3383" s="783" t="s">
        <v>41</v>
      </c>
      <c r="C3383" s="783" t="s">
        <v>4082</v>
      </c>
      <c r="D3383" s="783" t="s">
        <v>4009</v>
      </c>
      <c r="E3383" s="783" t="s">
        <v>4664</v>
      </c>
      <c r="F3383" s="783" t="s">
        <v>4011</v>
      </c>
      <c r="G3383" s="783" t="str">
        <f t="shared" si="179"/>
        <v>Renewal (30% in 2020)</v>
      </c>
      <c r="H3383" s="783" t="s">
        <v>4665</v>
      </c>
      <c r="I3383" s="783" t="s">
        <v>4666</v>
      </c>
      <c r="J3383" s="783">
        <v>30</v>
      </c>
      <c r="K3383" s="783" t="s">
        <v>183</v>
      </c>
      <c r="L3383" s="783" t="s">
        <v>4096</v>
      </c>
      <c r="M3383" s="784">
        <v>14087.16</v>
      </c>
      <c r="N3383" s="784">
        <v>14.36</v>
      </c>
      <c r="O3383" s="784">
        <v>6.54</v>
      </c>
      <c r="P3383" s="783">
        <v>150</v>
      </c>
      <c r="Q3383" s="783">
        <v>547.99</v>
      </c>
      <c r="R3383" s="783">
        <v>480.37</v>
      </c>
      <c r="S3383" s="783">
        <v>0</v>
      </c>
      <c r="T3383" s="783">
        <v>67.62</v>
      </c>
      <c r="U3383" s="785">
        <v>44708.584884259297</v>
      </c>
    </row>
    <row r="3384" spans="1:21">
      <c r="A3384" s="782">
        <v>44698</v>
      </c>
      <c r="B3384" s="783" t="s">
        <v>30</v>
      </c>
      <c r="C3384" s="783" t="s">
        <v>4239</v>
      </c>
      <c r="D3384" s="783" t="s">
        <v>4021</v>
      </c>
      <c r="E3384" s="783" t="s">
        <v>5800</v>
      </c>
      <c r="F3384" s="783" t="s">
        <v>4011</v>
      </c>
      <c r="G3384" s="783" t="str">
        <f t="shared" si="179"/>
        <v>Renewal (20% in 2020)</v>
      </c>
      <c r="H3384" s="783" t="s">
        <v>5801</v>
      </c>
      <c r="I3384" s="783" t="s">
        <v>5802</v>
      </c>
      <c r="J3384" s="783">
        <v>20</v>
      </c>
      <c r="K3384" s="783" t="s">
        <v>183</v>
      </c>
      <c r="L3384" s="783" t="s">
        <v>4096</v>
      </c>
      <c r="M3384" s="784">
        <v>16173.78</v>
      </c>
      <c r="N3384" s="784">
        <v>15.3</v>
      </c>
      <c r="O3384" s="784">
        <v>6.33</v>
      </c>
      <c r="P3384" s="783">
        <v>167</v>
      </c>
      <c r="Q3384" s="783">
        <v>1073.94</v>
      </c>
      <c r="R3384" s="783">
        <v>593.58000000000004</v>
      </c>
      <c r="S3384" s="783">
        <v>131.01</v>
      </c>
      <c r="T3384" s="783">
        <v>349.35</v>
      </c>
      <c r="U3384" s="785">
        <v>44699.487800925897</v>
      </c>
    </row>
    <row r="3385" spans="1:21">
      <c r="A3385" s="782">
        <v>44698</v>
      </c>
      <c r="B3385" s="783" t="s">
        <v>41</v>
      </c>
      <c r="C3385" s="783" t="s">
        <v>4071</v>
      </c>
      <c r="D3385" s="783" t="s">
        <v>4009</v>
      </c>
      <c r="E3385" s="783" t="s">
        <v>5803</v>
      </c>
      <c r="F3385" s="783" t="s">
        <v>4011</v>
      </c>
      <c r="G3385" s="783" t="str">
        <f t="shared" si="179"/>
        <v>Renewal (25% in 2020)</v>
      </c>
      <c r="H3385" s="783" t="s">
        <v>5804</v>
      </c>
      <c r="I3385" s="783" t="s">
        <v>5805</v>
      </c>
      <c r="J3385" s="783">
        <v>20</v>
      </c>
      <c r="K3385" s="783" t="s">
        <v>183</v>
      </c>
      <c r="L3385" s="783" t="s">
        <v>4096</v>
      </c>
      <c r="M3385" s="784">
        <v>6091.39</v>
      </c>
      <c r="N3385" s="784">
        <v>6.96</v>
      </c>
      <c r="O3385" s="784">
        <v>5.47</v>
      </c>
      <c r="P3385" s="783">
        <v>160</v>
      </c>
      <c r="Q3385" s="783">
        <v>273.5</v>
      </c>
      <c r="R3385" s="783">
        <v>164.47</v>
      </c>
      <c r="S3385" s="783">
        <v>24.37</v>
      </c>
      <c r="T3385" s="783">
        <v>84.67</v>
      </c>
      <c r="U3385" s="785">
        <v>44699.7496875</v>
      </c>
    </row>
    <row r="3386" spans="1:21">
      <c r="A3386" s="782">
        <v>44698</v>
      </c>
      <c r="B3386" s="783" t="s">
        <v>4025</v>
      </c>
      <c r="C3386" s="783" t="s">
        <v>4026</v>
      </c>
      <c r="D3386" s="783" t="s">
        <v>4021</v>
      </c>
      <c r="E3386" s="783" t="s">
        <v>5806</v>
      </c>
      <c r="F3386" s="783" t="s">
        <v>4011</v>
      </c>
      <c r="G3386" s="783" t="str">
        <f t="shared" si="179"/>
        <v>New Contract</v>
      </c>
      <c r="H3386" s="783" t="s">
        <v>5807</v>
      </c>
      <c r="I3386" s="783" t="s">
        <v>5808</v>
      </c>
      <c r="J3386" s="783">
        <v>20</v>
      </c>
      <c r="K3386" s="783" t="s">
        <v>183</v>
      </c>
      <c r="L3386" s="783" t="s">
        <v>4096</v>
      </c>
      <c r="M3386" s="784">
        <v>48147.54</v>
      </c>
      <c r="N3386" s="784">
        <v>40.200000000000003</v>
      </c>
      <c r="O3386" s="784">
        <v>8.26</v>
      </c>
      <c r="P3386" s="783">
        <v>145</v>
      </c>
      <c r="Q3386" s="783">
        <v>3485.88</v>
      </c>
      <c r="R3386" s="783">
        <v>1988.49</v>
      </c>
      <c r="S3386" s="783">
        <v>308.14</v>
      </c>
      <c r="T3386" s="783">
        <v>1189.24</v>
      </c>
      <c r="U3386" s="785">
        <v>44699.481666666703</v>
      </c>
    </row>
    <row r="3387" spans="1:21">
      <c r="A3387" s="782">
        <v>44708</v>
      </c>
      <c r="B3387" s="783" t="s">
        <v>4025</v>
      </c>
      <c r="C3387" s="783" t="s">
        <v>4026</v>
      </c>
      <c r="D3387" s="783" t="s">
        <v>4021</v>
      </c>
      <c r="E3387" s="783" t="s">
        <v>5809</v>
      </c>
      <c r="F3387" s="783" t="s">
        <v>4011</v>
      </c>
      <c r="G3387" s="783" t="str">
        <f t="shared" si="179"/>
        <v>New Contract</v>
      </c>
      <c r="H3387" s="783" t="s">
        <v>5810</v>
      </c>
      <c r="I3387" s="783" t="s">
        <v>5811</v>
      </c>
      <c r="J3387" s="783">
        <v>20</v>
      </c>
      <c r="K3387" s="783" t="s">
        <v>183</v>
      </c>
      <c r="L3387" s="783" t="s">
        <v>4096</v>
      </c>
      <c r="M3387" s="784">
        <v>23810.19</v>
      </c>
      <c r="N3387" s="784">
        <v>21.02</v>
      </c>
      <c r="O3387" s="784">
        <v>5.22</v>
      </c>
      <c r="P3387" s="783">
        <v>217</v>
      </c>
      <c r="Q3387" s="783">
        <v>1723.86</v>
      </c>
      <c r="R3387" s="783">
        <v>756.78</v>
      </c>
      <c r="S3387" s="783">
        <v>378.97</v>
      </c>
      <c r="T3387" s="783">
        <v>588.11</v>
      </c>
      <c r="U3387" s="785">
        <v>44711.518043981501</v>
      </c>
    </row>
    <row r="3388" spans="1:21">
      <c r="A3388" s="782">
        <v>44700</v>
      </c>
      <c r="B3388" s="783" t="s">
        <v>228</v>
      </c>
      <c r="C3388" s="783" t="s">
        <v>4511</v>
      </c>
      <c r="D3388" s="783" t="s">
        <v>4512</v>
      </c>
      <c r="E3388" s="783" t="s">
        <v>5815</v>
      </c>
      <c r="F3388" s="783" t="s">
        <v>4011</v>
      </c>
      <c r="G3388" s="783" t="str">
        <f t="shared" si="179"/>
        <v>Renewal (25% in 2020)</v>
      </c>
      <c r="H3388" s="783" t="s">
        <v>5816</v>
      </c>
      <c r="I3388" s="783" t="s">
        <v>5817</v>
      </c>
      <c r="J3388" s="783">
        <v>25</v>
      </c>
      <c r="K3388" s="783" t="s">
        <v>183</v>
      </c>
      <c r="L3388" s="783" t="s">
        <v>4096</v>
      </c>
      <c r="M3388" s="784">
        <v>5318.95</v>
      </c>
      <c r="N3388" s="784">
        <v>6.5</v>
      </c>
      <c r="O3388" s="784">
        <v>4.9000000000000004</v>
      </c>
      <c r="P3388" s="783">
        <v>167</v>
      </c>
      <c r="Q3388" s="783">
        <v>252.65</v>
      </c>
      <c r="R3388" s="783">
        <v>170.74</v>
      </c>
      <c r="S3388" s="783">
        <v>40.96</v>
      </c>
      <c r="T3388" s="783">
        <v>40.96</v>
      </c>
      <c r="U3388" s="785">
        <v>44700.717754629601</v>
      </c>
    </row>
    <row r="3389" spans="1:21">
      <c r="A3389" s="782">
        <v>44700</v>
      </c>
      <c r="B3389" s="783" t="s">
        <v>228</v>
      </c>
      <c r="C3389" s="783" t="s">
        <v>4020</v>
      </c>
      <c r="D3389" s="783" t="s">
        <v>4021</v>
      </c>
      <c r="E3389" s="783" t="s">
        <v>5815</v>
      </c>
      <c r="F3389" s="783" t="s">
        <v>4011</v>
      </c>
      <c r="G3389" s="783" t="str">
        <f t="shared" si="179"/>
        <v>Renewal (25% in 2020)</v>
      </c>
      <c r="H3389" s="783" t="s">
        <v>5816</v>
      </c>
      <c r="I3389" s="783" t="s">
        <v>5817</v>
      </c>
      <c r="J3389" s="783">
        <v>25</v>
      </c>
      <c r="K3389" s="783" t="s">
        <v>183</v>
      </c>
      <c r="L3389" s="783" t="s">
        <v>4096</v>
      </c>
      <c r="M3389" s="784">
        <v>11848.98</v>
      </c>
      <c r="N3389" s="784">
        <v>14.48</v>
      </c>
      <c r="O3389" s="784">
        <v>4.9000000000000004</v>
      </c>
      <c r="P3389" s="783">
        <v>167</v>
      </c>
      <c r="Q3389" s="783">
        <v>529.65</v>
      </c>
      <c r="R3389" s="783">
        <v>392.2</v>
      </c>
      <c r="S3389" s="783">
        <v>60.43</v>
      </c>
      <c r="T3389" s="783">
        <v>77.02</v>
      </c>
      <c r="U3389" s="785">
        <v>44700.717766203699</v>
      </c>
    </row>
    <row r="3390" spans="1:21">
      <c r="A3390" s="782">
        <v>44699</v>
      </c>
      <c r="B3390" s="783" t="s">
        <v>34</v>
      </c>
      <c r="C3390" s="783" t="s">
        <v>4139</v>
      </c>
      <c r="D3390" s="783" t="s">
        <v>4009</v>
      </c>
      <c r="E3390" s="783" t="s">
        <v>4669</v>
      </c>
      <c r="F3390" s="783" t="s">
        <v>4011</v>
      </c>
      <c r="G3390" s="783" t="s">
        <v>4028</v>
      </c>
      <c r="H3390" s="783" t="s">
        <v>4670</v>
      </c>
      <c r="I3390" s="783" t="s">
        <v>4671</v>
      </c>
      <c r="J3390" s="783">
        <v>25</v>
      </c>
      <c r="K3390" s="783" t="s">
        <v>183</v>
      </c>
      <c r="L3390" s="783" t="s">
        <v>4096</v>
      </c>
      <c r="M3390" s="784">
        <v>6722.32</v>
      </c>
      <c r="N3390" s="784">
        <v>6.42</v>
      </c>
      <c r="O3390" s="784">
        <v>6.27</v>
      </c>
      <c r="P3390" s="783">
        <v>167</v>
      </c>
      <c r="Q3390" s="783">
        <v>287.72000000000003</v>
      </c>
      <c r="R3390" s="783">
        <v>223.85</v>
      </c>
      <c r="S3390" s="783">
        <v>33.61</v>
      </c>
      <c r="T3390" s="783">
        <v>30.25</v>
      </c>
      <c r="U3390" s="785">
        <v>44699.470520833303</v>
      </c>
    </row>
    <row r="3391" spans="1:21">
      <c r="A3391" s="782">
        <v>44704</v>
      </c>
      <c r="B3391" s="783" t="s">
        <v>41</v>
      </c>
      <c r="C3391" s="783" t="s">
        <v>4139</v>
      </c>
      <c r="D3391" s="783" t="s">
        <v>4009</v>
      </c>
      <c r="E3391" s="783" t="s">
        <v>5818</v>
      </c>
      <c r="F3391" s="783" t="s">
        <v>4011</v>
      </c>
      <c r="G3391" s="783" t="str">
        <f>VLOOKUP(I3391,pacage,2,FALSE)</f>
        <v>New Contract</v>
      </c>
      <c r="H3391" s="783" t="s">
        <v>5819</v>
      </c>
      <c r="I3391" s="783" t="s">
        <v>5820</v>
      </c>
      <c r="J3391" s="783">
        <v>20</v>
      </c>
      <c r="K3391" s="783" t="s">
        <v>183</v>
      </c>
      <c r="L3391" s="783" t="s">
        <v>4096</v>
      </c>
      <c r="M3391" s="784">
        <v>6559.76</v>
      </c>
      <c r="N3391" s="784">
        <v>4.91</v>
      </c>
      <c r="O3391" s="784">
        <v>8</v>
      </c>
      <c r="P3391" s="783">
        <v>167</v>
      </c>
      <c r="Q3391" s="783">
        <v>363.41</v>
      </c>
      <c r="R3391" s="783">
        <v>218.44</v>
      </c>
      <c r="S3391" s="783">
        <v>32.799999999999997</v>
      </c>
      <c r="T3391" s="783">
        <v>112.17</v>
      </c>
      <c r="U3391" s="785">
        <v>44708.677199074104</v>
      </c>
    </row>
    <row r="3392" spans="1:21">
      <c r="A3392" s="782">
        <v>44699</v>
      </c>
      <c r="B3392" s="783" t="s">
        <v>41</v>
      </c>
      <c r="C3392" s="783" t="s">
        <v>4139</v>
      </c>
      <c r="D3392" s="783" t="s">
        <v>4009</v>
      </c>
      <c r="E3392" s="783" t="s">
        <v>5821</v>
      </c>
      <c r="F3392" s="783" t="s">
        <v>4011</v>
      </c>
      <c r="G3392" s="783" t="str">
        <f>VLOOKUP(I3392,pacage,2,FALSE)</f>
        <v>Renewal (15% in 2020)</v>
      </c>
      <c r="H3392" s="783" t="s">
        <v>5822</v>
      </c>
      <c r="I3392" s="783" t="s">
        <v>5823</v>
      </c>
      <c r="J3392" s="783">
        <v>15</v>
      </c>
      <c r="K3392" s="783" t="s">
        <v>183</v>
      </c>
      <c r="L3392" s="783" t="s">
        <v>4096</v>
      </c>
      <c r="M3392" s="784">
        <v>19928.5</v>
      </c>
      <c r="N3392" s="784">
        <v>18.13</v>
      </c>
      <c r="O3392" s="784">
        <v>6.87</v>
      </c>
      <c r="P3392" s="783">
        <v>160</v>
      </c>
      <c r="Q3392" s="783">
        <v>1476.7</v>
      </c>
      <c r="R3392" s="783">
        <v>663.62</v>
      </c>
      <c r="S3392" s="783">
        <v>99.64</v>
      </c>
      <c r="T3392" s="783">
        <v>713.44</v>
      </c>
      <c r="U3392" s="785">
        <v>44700.527256944399</v>
      </c>
    </row>
    <row r="3393" spans="1:21">
      <c r="A3393" s="782">
        <v>44655</v>
      </c>
      <c r="B3393" s="783" t="s">
        <v>30</v>
      </c>
      <c r="C3393" s="783" t="s">
        <v>5213</v>
      </c>
      <c r="D3393" s="783" t="s">
        <v>4021</v>
      </c>
      <c r="E3393" s="783" t="s">
        <v>2583</v>
      </c>
      <c r="F3393" s="783" t="s">
        <v>4011</v>
      </c>
      <c r="G3393" s="783" t="str">
        <f>VLOOKUP(I3393,pacage,2,FALSE)</f>
        <v>Renewal (25% in 2020)</v>
      </c>
      <c r="H3393" s="783" t="s">
        <v>5827</v>
      </c>
      <c r="I3393" s="783" t="s">
        <v>5828</v>
      </c>
      <c r="J3393" s="783">
        <v>25</v>
      </c>
      <c r="K3393" s="783" t="s">
        <v>183</v>
      </c>
      <c r="L3393" s="783" t="s">
        <v>4096</v>
      </c>
      <c r="M3393" s="784">
        <v>10758.57</v>
      </c>
      <c r="N3393" s="784">
        <v>9.4600000000000009</v>
      </c>
      <c r="O3393" s="784">
        <v>6.81</v>
      </c>
      <c r="P3393" s="783">
        <v>167</v>
      </c>
      <c r="Q3393" s="783">
        <v>712.22</v>
      </c>
      <c r="R3393" s="783">
        <v>525.02</v>
      </c>
      <c r="S3393" s="783">
        <v>80.69</v>
      </c>
      <c r="T3393" s="783">
        <v>106.51</v>
      </c>
      <c r="U3393" s="785">
        <v>44655.680069444403</v>
      </c>
    </row>
    <row r="3394" spans="1:21">
      <c r="A3394" s="782">
        <v>44698</v>
      </c>
      <c r="B3394" s="783" t="s">
        <v>51</v>
      </c>
      <c r="C3394" s="783" t="s">
        <v>4015</v>
      </c>
      <c r="D3394" s="783" t="s">
        <v>4016</v>
      </c>
      <c r="E3394" s="783" t="s">
        <v>4062</v>
      </c>
      <c r="F3394" s="783" t="s">
        <v>4011</v>
      </c>
      <c r="G3394" s="783" t="s">
        <v>4028</v>
      </c>
      <c r="H3394" s="783" t="s">
        <v>4063</v>
      </c>
      <c r="I3394" s="783" t="s">
        <v>4064</v>
      </c>
      <c r="J3394" s="783">
        <v>25</v>
      </c>
      <c r="K3394" s="783" t="s">
        <v>183</v>
      </c>
      <c r="L3394" s="783" t="s">
        <v>4096</v>
      </c>
      <c r="M3394" s="784">
        <v>15605.46</v>
      </c>
      <c r="N3394" s="784">
        <v>14.82</v>
      </c>
      <c r="O3394" s="784">
        <v>5.85</v>
      </c>
      <c r="P3394" s="783">
        <v>180</v>
      </c>
      <c r="Q3394" s="783">
        <v>622.66</v>
      </c>
      <c r="R3394" s="783">
        <v>427.11</v>
      </c>
      <c r="S3394" s="783">
        <v>103.47</v>
      </c>
      <c r="T3394" s="783">
        <v>92.07</v>
      </c>
      <c r="U3394" s="785">
        <v>44699.493541666699</v>
      </c>
    </row>
    <row r="3395" spans="1:21">
      <c r="A3395" s="782">
        <v>44660</v>
      </c>
      <c r="B3395" s="783" t="s">
        <v>4025</v>
      </c>
      <c r="C3395" s="783" t="s">
        <v>4026</v>
      </c>
      <c r="D3395" s="783" t="s">
        <v>4021</v>
      </c>
      <c r="E3395" s="783" t="s">
        <v>5839</v>
      </c>
      <c r="F3395" s="783" t="s">
        <v>4066</v>
      </c>
      <c r="G3395" s="783" t="s">
        <v>4028</v>
      </c>
      <c r="H3395" s="783" t="s">
        <v>5840</v>
      </c>
      <c r="I3395" s="783" t="s">
        <v>5841</v>
      </c>
      <c r="J3395" s="783">
        <v>5</v>
      </c>
      <c r="K3395" s="783" t="s">
        <v>183</v>
      </c>
      <c r="L3395" s="783" t="s">
        <v>4096</v>
      </c>
      <c r="M3395" s="784">
        <v>21700</v>
      </c>
      <c r="N3395" s="784">
        <v>20</v>
      </c>
      <c r="O3395" s="784">
        <v>5</v>
      </c>
      <c r="P3395" s="783">
        <v>217</v>
      </c>
      <c r="Q3395" s="783">
        <v>512.12</v>
      </c>
      <c r="R3395" s="783">
        <v>0</v>
      </c>
      <c r="S3395" s="783">
        <v>0</v>
      </c>
      <c r="T3395" s="783">
        <v>512.12</v>
      </c>
      <c r="U3395" s="785">
        <v>44663.427326388897</v>
      </c>
    </row>
    <row r="3396" spans="1:21">
      <c r="A3396" s="782">
        <v>44660</v>
      </c>
      <c r="B3396" s="783" t="s">
        <v>30</v>
      </c>
      <c r="C3396" s="783" t="s">
        <v>4089</v>
      </c>
      <c r="D3396" s="783" t="s">
        <v>4021</v>
      </c>
      <c r="E3396" s="783" t="s">
        <v>5845</v>
      </c>
      <c r="F3396" s="783" t="s">
        <v>4011</v>
      </c>
      <c r="G3396" s="783" t="str">
        <f>VLOOKUP(I3396,pacage,2,FALSE)</f>
        <v>Renewal (30% in 2020)</v>
      </c>
      <c r="H3396" s="783" t="s">
        <v>5846</v>
      </c>
      <c r="I3396" s="783" t="s">
        <v>5847</v>
      </c>
      <c r="J3396" s="783">
        <v>30</v>
      </c>
      <c r="K3396" s="783" t="s">
        <v>183</v>
      </c>
      <c r="L3396" s="783" t="s">
        <v>4096</v>
      </c>
      <c r="M3396" s="784">
        <v>10641.14</v>
      </c>
      <c r="N3396" s="784">
        <v>8.1999999999999993</v>
      </c>
      <c r="O3396" s="784">
        <v>6.83</v>
      </c>
      <c r="P3396" s="783">
        <v>190</v>
      </c>
      <c r="Q3396" s="783">
        <v>519.29</v>
      </c>
      <c r="R3396" s="783">
        <v>375.06</v>
      </c>
      <c r="S3396" s="783">
        <v>51.65</v>
      </c>
      <c r="T3396" s="783">
        <v>92.58</v>
      </c>
      <c r="U3396" s="785">
        <v>44663.426203703697</v>
      </c>
    </row>
    <row r="3397" spans="1:21">
      <c r="A3397" s="782">
        <v>44700</v>
      </c>
      <c r="B3397" s="783" t="s">
        <v>30</v>
      </c>
      <c r="C3397" s="783" t="s">
        <v>4239</v>
      </c>
      <c r="D3397" s="783" t="s">
        <v>4021</v>
      </c>
      <c r="E3397" s="783" t="s">
        <v>2043</v>
      </c>
      <c r="F3397" s="783" t="s">
        <v>4011</v>
      </c>
      <c r="G3397" s="783" t="str">
        <f>VLOOKUP(I3397,pacage,2,FALSE)</f>
        <v>Renewal (30% in 2020)</v>
      </c>
      <c r="H3397" s="783" t="s">
        <v>4240</v>
      </c>
      <c r="I3397" s="783" t="s">
        <v>4241</v>
      </c>
      <c r="J3397" s="783">
        <v>30</v>
      </c>
      <c r="K3397" s="783" t="s">
        <v>183</v>
      </c>
      <c r="L3397" s="783" t="s">
        <v>4096</v>
      </c>
      <c r="M3397" s="784">
        <v>15844.01</v>
      </c>
      <c r="N3397" s="784">
        <v>13.49</v>
      </c>
      <c r="O3397" s="784">
        <v>7.83</v>
      </c>
      <c r="P3397" s="783">
        <v>150</v>
      </c>
      <c r="Q3397" s="783">
        <v>695.55</v>
      </c>
      <c r="R3397" s="783">
        <v>581.47</v>
      </c>
      <c r="S3397" s="783">
        <v>0</v>
      </c>
      <c r="T3397" s="783">
        <v>114.08</v>
      </c>
      <c r="U3397" s="785">
        <v>44700.716516203698</v>
      </c>
    </row>
    <row r="3398" spans="1:21">
      <c r="A3398" s="782">
        <v>44705</v>
      </c>
      <c r="B3398" s="783" t="s">
        <v>4025</v>
      </c>
      <c r="C3398" s="783" t="s">
        <v>4026</v>
      </c>
      <c r="D3398" s="783" t="s">
        <v>4021</v>
      </c>
      <c r="E3398" s="783" t="s">
        <v>1298</v>
      </c>
      <c r="F3398" s="783" t="s">
        <v>4011</v>
      </c>
      <c r="G3398" s="783" t="str">
        <f>VLOOKUP(I3398,pacage,2,FALSE)</f>
        <v>New Contract</v>
      </c>
      <c r="H3398" s="783" t="s">
        <v>5851</v>
      </c>
      <c r="I3398" s="783" t="s">
        <v>5852</v>
      </c>
      <c r="J3398" s="783">
        <v>20</v>
      </c>
      <c r="K3398" s="783" t="s">
        <v>183</v>
      </c>
      <c r="L3398" s="783" t="s">
        <v>4096</v>
      </c>
      <c r="M3398" s="784">
        <v>11004.96</v>
      </c>
      <c r="N3398" s="784">
        <v>12.12</v>
      </c>
      <c r="O3398" s="784">
        <v>4.54</v>
      </c>
      <c r="P3398" s="783">
        <v>200</v>
      </c>
      <c r="Q3398" s="783">
        <v>796.76</v>
      </c>
      <c r="R3398" s="783">
        <v>379.51</v>
      </c>
      <c r="S3398" s="783">
        <v>145.43</v>
      </c>
      <c r="T3398" s="783">
        <v>271.82</v>
      </c>
      <c r="U3398" s="785">
        <v>44708.834178240701</v>
      </c>
    </row>
    <row r="3399" spans="1:21">
      <c r="A3399" s="782">
        <v>44710</v>
      </c>
      <c r="B3399" s="783" t="s">
        <v>4025</v>
      </c>
      <c r="C3399" s="783" t="s">
        <v>4026</v>
      </c>
      <c r="D3399" s="783" t="s">
        <v>4021</v>
      </c>
      <c r="E3399" s="783" t="s">
        <v>5858</v>
      </c>
      <c r="F3399" s="783" t="s">
        <v>4011</v>
      </c>
      <c r="G3399" s="783" t="str">
        <f>VLOOKUP(I3399,pacage,2,FALSE)</f>
        <v>New contract</v>
      </c>
      <c r="H3399" s="783" t="s">
        <v>5859</v>
      </c>
      <c r="I3399" s="783" t="s">
        <v>5860</v>
      </c>
      <c r="J3399" s="783">
        <v>25</v>
      </c>
      <c r="K3399" s="783" t="s">
        <v>183</v>
      </c>
      <c r="L3399" s="783" t="s">
        <v>4096</v>
      </c>
      <c r="M3399" s="784">
        <v>50895</v>
      </c>
      <c r="N3399" s="784">
        <v>56.55</v>
      </c>
      <c r="O3399" s="784">
        <v>4.5</v>
      </c>
      <c r="P3399" s="783">
        <v>200</v>
      </c>
      <c r="Q3399" s="783">
        <v>2885.75</v>
      </c>
      <c r="R3399" s="783">
        <v>1755.14</v>
      </c>
      <c r="S3399" s="783">
        <v>672.55</v>
      </c>
      <c r="T3399" s="783">
        <v>458.06</v>
      </c>
      <c r="U3399" s="785">
        <v>44712.613923611098</v>
      </c>
    </row>
    <row r="3400" spans="1:21">
      <c r="A3400" s="782">
        <v>44712</v>
      </c>
      <c r="B3400" s="783" t="s">
        <v>41</v>
      </c>
      <c r="C3400" s="783" t="s">
        <v>4092</v>
      </c>
      <c r="D3400" s="783" t="s">
        <v>4009</v>
      </c>
      <c r="E3400" s="783" t="s">
        <v>4672</v>
      </c>
      <c r="F3400" s="783" t="s">
        <v>4011</v>
      </c>
      <c r="G3400" s="783" t="str">
        <f>VLOOKUP(I3400,pacage,2,FALSE)</f>
        <v>Renewal (15% in 2020)</v>
      </c>
      <c r="H3400" s="783" t="s">
        <v>4673</v>
      </c>
      <c r="I3400" s="783" t="s">
        <v>4674</v>
      </c>
      <c r="J3400" s="783">
        <v>15</v>
      </c>
      <c r="K3400" s="783" t="s">
        <v>183</v>
      </c>
      <c r="L3400" s="783" t="s">
        <v>4096</v>
      </c>
      <c r="M3400" s="784">
        <v>3096.05</v>
      </c>
      <c r="N3400" s="784">
        <v>3.21</v>
      </c>
      <c r="O3400" s="784">
        <v>6.43</v>
      </c>
      <c r="P3400" s="783">
        <v>150</v>
      </c>
      <c r="Q3400" s="783">
        <v>250.78</v>
      </c>
      <c r="R3400" s="783">
        <v>109.29</v>
      </c>
      <c r="S3400" s="783">
        <v>20.12</v>
      </c>
      <c r="T3400" s="783">
        <v>121.36</v>
      </c>
      <c r="U3400" s="785">
        <v>44714.588981481502</v>
      </c>
    </row>
    <row r="3401" spans="1:21">
      <c r="A3401" s="782">
        <v>44705</v>
      </c>
      <c r="B3401" s="783" t="s">
        <v>74</v>
      </c>
      <c r="C3401" s="783" t="s">
        <v>4097</v>
      </c>
      <c r="D3401" s="783" t="s">
        <v>4038</v>
      </c>
      <c r="E3401" s="783" t="s">
        <v>4390</v>
      </c>
      <c r="F3401" s="783" t="s">
        <v>4066</v>
      </c>
      <c r="G3401" s="783" t="s">
        <v>4028</v>
      </c>
      <c r="H3401" s="783" t="s">
        <v>4391</v>
      </c>
      <c r="I3401" s="783" t="s">
        <v>4392</v>
      </c>
      <c r="J3401" s="783">
        <v>10</v>
      </c>
      <c r="K3401" s="783" t="s">
        <v>183</v>
      </c>
      <c r="L3401" s="783" t="s">
        <v>4096</v>
      </c>
      <c r="M3401" s="784">
        <v>31776</v>
      </c>
      <c r="N3401" s="784">
        <v>26.48</v>
      </c>
      <c r="O3401" s="784">
        <v>6</v>
      </c>
      <c r="P3401" s="783">
        <v>200</v>
      </c>
      <c r="Q3401" s="783">
        <v>667.3</v>
      </c>
      <c r="R3401" s="783">
        <v>0</v>
      </c>
      <c r="S3401" s="783">
        <v>0</v>
      </c>
      <c r="T3401" s="783">
        <v>667.3</v>
      </c>
      <c r="U3401" s="785">
        <v>44706.523495370398</v>
      </c>
    </row>
    <row r="3402" spans="1:21">
      <c r="A3402" s="782">
        <v>44686</v>
      </c>
      <c r="B3402" s="783" t="s">
        <v>51</v>
      </c>
      <c r="C3402" s="783" t="s">
        <v>4015</v>
      </c>
      <c r="D3402" s="783" t="s">
        <v>4016</v>
      </c>
      <c r="E3402" s="783" t="s">
        <v>2212</v>
      </c>
      <c r="F3402" s="783" t="s">
        <v>4011</v>
      </c>
      <c r="G3402" s="783" t="str">
        <f>VLOOKUP(I3402,pacage,2,FALSE)</f>
        <v>Renewal (20% in 2020)</v>
      </c>
      <c r="H3402" s="783" t="s">
        <v>5878</v>
      </c>
      <c r="I3402" s="783" t="s">
        <v>5879</v>
      </c>
      <c r="J3402" s="783">
        <v>20</v>
      </c>
      <c r="K3402" s="783" t="s">
        <v>183</v>
      </c>
      <c r="L3402" s="783" t="s">
        <v>4096</v>
      </c>
      <c r="M3402" s="784">
        <v>75529.25</v>
      </c>
      <c r="N3402" s="784">
        <v>70.099999999999994</v>
      </c>
      <c r="O3402" s="784">
        <v>6.53</v>
      </c>
      <c r="P3402" s="783">
        <v>165</v>
      </c>
      <c r="Q3402" s="783">
        <v>3867.1</v>
      </c>
      <c r="R3402" s="783">
        <v>2228.11</v>
      </c>
      <c r="S3402" s="783">
        <v>339.88</v>
      </c>
      <c r="T3402" s="783">
        <v>1299.0999999999999</v>
      </c>
      <c r="U3402" s="785">
        <v>44708.806597222203</v>
      </c>
    </row>
    <row r="3403" spans="1:21">
      <c r="A3403" s="782">
        <v>44707</v>
      </c>
      <c r="B3403" s="783" t="s">
        <v>30</v>
      </c>
      <c r="C3403" s="783" t="s">
        <v>4939</v>
      </c>
      <c r="D3403" s="783" t="s">
        <v>4021</v>
      </c>
      <c r="E3403" s="783" t="s">
        <v>5883</v>
      </c>
      <c r="F3403" s="783" t="s">
        <v>4011</v>
      </c>
      <c r="G3403" s="783" t="str">
        <f>VLOOKUP(I3403,pacage,2,FALSE)</f>
        <v>Renewal (25% in 2020)</v>
      </c>
      <c r="H3403" s="783" t="s">
        <v>5884</v>
      </c>
      <c r="I3403" s="783" t="s">
        <v>5885</v>
      </c>
      <c r="J3403" s="783">
        <v>25</v>
      </c>
      <c r="K3403" s="783" t="s">
        <v>183</v>
      </c>
      <c r="L3403" s="783" t="s">
        <v>4096</v>
      </c>
      <c r="M3403" s="784">
        <v>10974.4</v>
      </c>
      <c r="N3403" s="784">
        <v>9.5</v>
      </c>
      <c r="O3403" s="784">
        <v>7.22</v>
      </c>
      <c r="P3403" s="783">
        <v>160</v>
      </c>
      <c r="Q3403" s="783">
        <v>691.39</v>
      </c>
      <c r="R3403" s="783">
        <v>497.14</v>
      </c>
      <c r="S3403" s="783">
        <v>104.26</v>
      </c>
      <c r="T3403" s="783">
        <v>89.99</v>
      </c>
      <c r="U3403" s="785">
        <v>44708.582476851901</v>
      </c>
    </row>
    <row r="3404" spans="1:21">
      <c r="A3404" s="782">
        <v>44711</v>
      </c>
      <c r="B3404" s="783" t="s">
        <v>4025</v>
      </c>
      <c r="C3404" s="783" t="s">
        <v>4052</v>
      </c>
      <c r="D3404" s="783" t="s">
        <v>4021</v>
      </c>
      <c r="E3404" s="783" t="s">
        <v>4177</v>
      </c>
      <c r="F3404" s="783" t="s">
        <v>4011</v>
      </c>
      <c r="G3404" s="783" t="str">
        <f>VLOOKUP(I3404,pacage,2,FALSE)</f>
        <v>New Contract</v>
      </c>
      <c r="H3404" s="783" t="s">
        <v>4178</v>
      </c>
      <c r="I3404" s="783" t="s">
        <v>4179</v>
      </c>
      <c r="J3404" s="783">
        <v>25</v>
      </c>
      <c r="K3404" s="783" t="s">
        <v>183</v>
      </c>
      <c r="L3404" s="783" t="s">
        <v>4096</v>
      </c>
      <c r="M3404" s="784">
        <v>22221.48</v>
      </c>
      <c r="N3404" s="784">
        <v>16.21</v>
      </c>
      <c r="O3404" s="784">
        <v>7.03</v>
      </c>
      <c r="P3404" s="783">
        <v>195</v>
      </c>
      <c r="Q3404" s="783">
        <v>762.2</v>
      </c>
      <c r="R3404" s="783">
        <v>496.7</v>
      </c>
      <c r="S3404" s="783">
        <v>172.17</v>
      </c>
      <c r="T3404" s="783">
        <v>93.33</v>
      </c>
      <c r="U3404" s="785">
        <v>44713.528946759303</v>
      </c>
    </row>
    <row r="3405" spans="1:21">
      <c r="A3405" s="782">
        <v>44706</v>
      </c>
      <c r="B3405" s="783" t="s">
        <v>47</v>
      </c>
      <c r="C3405" s="783" t="s">
        <v>4244</v>
      </c>
      <c r="D3405" s="783" t="s">
        <v>4102</v>
      </c>
      <c r="E3405" s="783" t="s">
        <v>5886</v>
      </c>
      <c r="F3405" s="783" t="s">
        <v>4066</v>
      </c>
      <c r="G3405" s="783" t="s">
        <v>4028</v>
      </c>
      <c r="H3405" s="783" t="s">
        <v>5887</v>
      </c>
      <c r="I3405" s="783" t="s">
        <v>5888</v>
      </c>
      <c r="J3405" s="783">
        <v>5</v>
      </c>
      <c r="K3405" s="783" t="s">
        <v>183</v>
      </c>
      <c r="L3405" s="783" t="s">
        <v>4096</v>
      </c>
      <c r="M3405" s="784">
        <v>16830</v>
      </c>
      <c r="N3405" s="784">
        <v>10.199999999999999</v>
      </c>
      <c r="O3405" s="784">
        <v>7.5</v>
      </c>
      <c r="P3405" s="783">
        <v>220</v>
      </c>
      <c r="Q3405" s="783">
        <v>164.93</v>
      </c>
      <c r="R3405" s="783">
        <v>0</v>
      </c>
      <c r="S3405" s="783">
        <v>0</v>
      </c>
      <c r="T3405" s="783">
        <v>164.93</v>
      </c>
      <c r="U3405" s="785">
        <v>44706.720266203702</v>
      </c>
    </row>
    <row r="3406" spans="1:21">
      <c r="A3406" s="782">
        <v>44711</v>
      </c>
      <c r="B3406" s="783" t="s">
        <v>4025</v>
      </c>
      <c r="C3406" s="783" t="s">
        <v>4052</v>
      </c>
      <c r="D3406" s="783" t="s">
        <v>4021</v>
      </c>
      <c r="E3406" s="783" t="s">
        <v>5889</v>
      </c>
      <c r="F3406" s="783" t="s">
        <v>4011</v>
      </c>
      <c r="G3406" s="783" t="str">
        <f t="shared" ref="G3406:G3419" si="180">VLOOKUP(I3406,pacage,2,FALSE)</f>
        <v>New contract</v>
      </c>
      <c r="H3406" s="783" t="s">
        <v>5890</v>
      </c>
      <c r="I3406" s="783" t="s">
        <v>5891</v>
      </c>
      <c r="J3406" s="783">
        <v>25</v>
      </c>
      <c r="K3406" s="783" t="s">
        <v>183</v>
      </c>
      <c r="L3406" s="783" t="s">
        <v>4096</v>
      </c>
      <c r="M3406" s="784">
        <v>32250.6</v>
      </c>
      <c r="N3406" s="784">
        <v>23</v>
      </c>
      <c r="O3406" s="784">
        <v>7.38</v>
      </c>
      <c r="P3406" s="783">
        <v>190</v>
      </c>
      <c r="Q3406" s="783">
        <v>1106.2</v>
      </c>
      <c r="R3406" s="783">
        <v>739.85</v>
      </c>
      <c r="S3406" s="783">
        <v>230.9</v>
      </c>
      <c r="T3406" s="783">
        <v>135.44999999999999</v>
      </c>
      <c r="U3406" s="785">
        <v>44713.996527777803</v>
      </c>
    </row>
    <row r="3407" spans="1:21">
      <c r="A3407" s="782">
        <v>44658</v>
      </c>
      <c r="B3407" s="783" t="s">
        <v>30</v>
      </c>
      <c r="C3407" s="783" t="s">
        <v>4015</v>
      </c>
      <c r="D3407" s="783" t="s">
        <v>4016</v>
      </c>
      <c r="E3407" s="783" t="s">
        <v>5894</v>
      </c>
      <c r="F3407" s="783" t="s">
        <v>4011</v>
      </c>
      <c r="G3407" s="783" t="str">
        <f t="shared" si="180"/>
        <v>Renewal (15% in 2020)</v>
      </c>
      <c r="H3407" s="783" t="s">
        <v>5895</v>
      </c>
      <c r="I3407" s="783" t="s">
        <v>5896</v>
      </c>
      <c r="J3407" s="783">
        <v>15</v>
      </c>
      <c r="K3407" s="783" t="s">
        <v>183</v>
      </c>
      <c r="L3407" s="783" t="s">
        <v>4096</v>
      </c>
      <c r="M3407" s="784">
        <v>8946.08</v>
      </c>
      <c r="N3407" s="784">
        <v>9.35</v>
      </c>
      <c r="O3407" s="784">
        <v>5.98</v>
      </c>
      <c r="P3407" s="783">
        <v>160</v>
      </c>
      <c r="Q3407" s="783">
        <v>606.54</v>
      </c>
      <c r="R3407" s="783">
        <v>263.91000000000003</v>
      </c>
      <c r="S3407" s="783">
        <v>40.26</v>
      </c>
      <c r="T3407" s="783">
        <v>302.38</v>
      </c>
      <c r="U3407" s="785">
        <v>44659.405497685198</v>
      </c>
    </row>
    <row r="3408" spans="1:21">
      <c r="A3408" s="782">
        <v>44657</v>
      </c>
      <c r="B3408" s="783" t="s">
        <v>51</v>
      </c>
      <c r="C3408" s="783" t="s">
        <v>4042</v>
      </c>
      <c r="D3408" s="783" t="s">
        <v>4016</v>
      </c>
      <c r="E3408" s="783" t="s">
        <v>5897</v>
      </c>
      <c r="F3408" s="783" t="s">
        <v>4011</v>
      </c>
      <c r="G3408" s="783" t="str">
        <f t="shared" si="180"/>
        <v>New Contract</v>
      </c>
      <c r="H3408" s="783" t="s">
        <v>5898</v>
      </c>
      <c r="I3408" s="783" t="s">
        <v>5899</v>
      </c>
      <c r="J3408" s="783">
        <v>25</v>
      </c>
      <c r="K3408" s="783" t="s">
        <v>183</v>
      </c>
      <c r="L3408" s="783" t="s">
        <v>4096</v>
      </c>
      <c r="M3408" s="784">
        <v>48272.71</v>
      </c>
      <c r="N3408" s="784">
        <v>36.5</v>
      </c>
      <c r="O3408" s="784">
        <v>7.43</v>
      </c>
      <c r="P3408" s="783">
        <v>178</v>
      </c>
      <c r="Q3408" s="783">
        <v>2109.52</v>
      </c>
      <c r="R3408" s="783">
        <v>1480.97</v>
      </c>
      <c r="S3408" s="783">
        <v>343.74</v>
      </c>
      <c r="T3408" s="783">
        <v>284.81</v>
      </c>
      <c r="U3408" s="785">
        <v>44657.617708333302</v>
      </c>
    </row>
    <row r="3409" spans="1:21">
      <c r="A3409" s="782">
        <v>44687</v>
      </c>
      <c r="B3409" s="783" t="s">
        <v>228</v>
      </c>
      <c r="C3409" s="783" t="s">
        <v>4675</v>
      </c>
      <c r="D3409" s="783" t="s">
        <v>4193</v>
      </c>
      <c r="E3409" s="783" t="s">
        <v>4676</v>
      </c>
      <c r="F3409" s="783" t="s">
        <v>4011</v>
      </c>
      <c r="G3409" s="783" t="str">
        <f t="shared" si="180"/>
        <v>Renewal (25% in 2020)</v>
      </c>
      <c r="H3409" s="783" t="s">
        <v>4677</v>
      </c>
      <c r="I3409" s="783" t="s">
        <v>4678</v>
      </c>
      <c r="J3409" s="783">
        <v>25</v>
      </c>
      <c r="K3409" s="783" t="s">
        <v>183</v>
      </c>
      <c r="L3409" s="783" t="s">
        <v>4096</v>
      </c>
      <c r="M3409" s="784">
        <v>10521</v>
      </c>
      <c r="N3409" s="784">
        <v>21</v>
      </c>
      <c r="O3409" s="784">
        <v>3</v>
      </c>
      <c r="P3409" s="783">
        <v>167</v>
      </c>
      <c r="Q3409" s="783">
        <v>661.77</v>
      </c>
      <c r="R3409" s="783">
        <v>479.76</v>
      </c>
      <c r="S3409" s="783">
        <v>74.7</v>
      </c>
      <c r="T3409" s="783">
        <v>107.31</v>
      </c>
      <c r="U3409" s="785">
        <v>44704.413402777798</v>
      </c>
    </row>
    <row r="3410" spans="1:21">
      <c r="A3410" s="782">
        <v>44662</v>
      </c>
      <c r="B3410" s="783" t="s">
        <v>41</v>
      </c>
      <c r="C3410" s="783" t="s">
        <v>4139</v>
      </c>
      <c r="D3410" s="783" t="s">
        <v>4009</v>
      </c>
      <c r="E3410" s="783" t="s">
        <v>5900</v>
      </c>
      <c r="F3410" s="783" t="s">
        <v>4011</v>
      </c>
      <c r="G3410" s="783" t="str">
        <f t="shared" si="180"/>
        <v>Renewal (15% in 2020)</v>
      </c>
      <c r="H3410" s="783" t="s">
        <v>5901</v>
      </c>
      <c r="I3410" s="783" t="s">
        <v>5902</v>
      </c>
      <c r="J3410" s="783">
        <v>15</v>
      </c>
      <c r="K3410" s="783" t="s">
        <v>183</v>
      </c>
      <c r="L3410" s="783" t="s">
        <v>4096</v>
      </c>
      <c r="M3410" s="784">
        <v>13521.66</v>
      </c>
      <c r="N3410" s="784">
        <v>13.96</v>
      </c>
      <c r="O3410" s="784">
        <v>5.8</v>
      </c>
      <c r="P3410" s="783">
        <v>167</v>
      </c>
      <c r="Q3410" s="783">
        <v>1001.95</v>
      </c>
      <c r="R3410" s="783">
        <v>450.27</v>
      </c>
      <c r="S3410" s="783">
        <v>67.61</v>
      </c>
      <c r="T3410" s="783">
        <v>484.08</v>
      </c>
      <c r="U3410" s="785">
        <v>44663.4300462963</v>
      </c>
    </row>
    <row r="3411" spans="1:21">
      <c r="A3411" s="782">
        <v>44671</v>
      </c>
      <c r="B3411" s="783" t="s">
        <v>41</v>
      </c>
      <c r="C3411" s="783" t="s">
        <v>4071</v>
      </c>
      <c r="D3411" s="783" t="s">
        <v>4009</v>
      </c>
      <c r="E3411" s="783" t="s">
        <v>5903</v>
      </c>
      <c r="F3411" s="783" t="s">
        <v>4011</v>
      </c>
      <c r="G3411" s="783" t="str">
        <f t="shared" si="180"/>
        <v>Renewal (15% in 2020)</v>
      </c>
      <c r="H3411" s="783" t="s">
        <v>5904</v>
      </c>
      <c r="I3411" s="783" t="s">
        <v>5905</v>
      </c>
      <c r="J3411" s="783">
        <v>20</v>
      </c>
      <c r="K3411" s="783" t="s">
        <v>183</v>
      </c>
      <c r="L3411" s="783" t="s">
        <v>4096</v>
      </c>
      <c r="M3411" s="784">
        <v>11847.48</v>
      </c>
      <c r="N3411" s="784">
        <v>11.63</v>
      </c>
      <c r="O3411" s="784">
        <v>6.1</v>
      </c>
      <c r="P3411" s="783">
        <v>167</v>
      </c>
      <c r="Q3411" s="783">
        <v>531.95000000000005</v>
      </c>
      <c r="R3411" s="783">
        <v>319.88</v>
      </c>
      <c r="S3411" s="783">
        <v>47.39</v>
      </c>
      <c r="T3411" s="783">
        <v>164.68</v>
      </c>
      <c r="U3411" s="785">
        <v>44673.372372685197</v>
      </c>
    </row>
    <row r="3412" spans="1:21">
      <c r="A3412" s="782">
        <v>44671</v>
      </c>
      <c r="B3412" s="783" t="s">
        <v>74</v>
      </c>
      <c r="C3412" s="783" t="s">
        <v>4097</v>
      </c>
      <c r="D3412" s="783" t="s">
        <v>4038</v>
      </c>
      <c r="E3412" s="783" t="s">
        <v>4399</v>
      </c>
      <c r="F3412" s="783" t="s">
        <v>4011</v>
      </c>
      <c r="G3412" s="783" t="str">
        <f t="shared" si="180"/>
        <v>New Contract</v>
      </c>
      <c r="H3412" s="783" t="s">
        <v>4400</v>
      </c>
      <c r="I3412" s="783" t="s">
        <v>4401</v>
      </c>
      <c r="J3412" s="783">
        <v>15</v>
      </c>
      <c r="K3412" s="783" t="s">
        <v>183</v>
      </c>
      <c r="L3412" s="783" t="s">
        <v>4096</v>
      </c>
      <c r="M3412" s="784">
        <v>3526.22</v>
      </c>
      <c r="N3412" s="784">
        <v>4.7300000000000004</v>
      </c>
      <c r="O3412" s="784">
        <v>4.97</v>
      </c>
      <c r="P3412" s="783">
        <v>150</v>
      </c>
      <c r="Q3412" s="783">
        <v>309.95</v>
      </c>
      <c r="R3412" s="783">
        <v>131.18</v>
      </c>
      <c r="S3412" s="783">
        <v>20.45</v>
      </c>
      <c r="T3412" s="783">
        <v>158.33000000000001</v>
      </c>
      <c r="U3412" s="785">
        <v>44673.363425925898</v>
      </c>
    </row>
    <row r="3413" spans="1:21">
      <c r="A3413" s="782">
        <v>44673</v>
      </c>
      <c r="B3413" s="783" t="s">
        <v>41</v>
      </c>
      <c r="C3413" s="783" t="s">
        <v>4071</v>
      </c>
      <c r="D3413" s="783" t="s">
        <v>4009</v>
      </c>
      <c r="E3413" s="783" t="s">
        <v>5909</v>
      </c>
      <c r="F3413" s="783" t="s">
        <v>4011</v>
      </c>
      <c r="G3413" s="783" t="str">
        <f t="shared" si="180"/>
        <v>New Contract</v>
      </c>
      <c r="H3413" s="783" t="s">
        <v>5910</v>
      </c>
      <c r="I3413" s="783" t="s">
        <v>5911</v>
      </c>
      <c r="J3413" s="783">
        <v>20</v>
      </c>
      <c r="K3413" s="783" t="s">
        <v>183</v>
      </c>
      <c r="L3413" s="783" t="s">
        <v>4096</v>
      </c>
      <c r="M3413" s="784">
        <v>27433.14</v>
      </c>
      <c r="N3413" s="784">
        <v>21.07</v>
      </c>
      <c r="O3413" s="784">
        <v>6</v>
      </c>
      <c r="P3413" s="783">
        <v>217</v>
      </c>
      <c r="Q3413" s="783">
        <v>1231.75</v>
      </c>
      <c r="R3413" s="783">
        <v>570.03</v>
      </c>
      <c r="S3413" s="783">
        <v>280.39999999999998</v>
      </c>
      <c r="T3413" s="783">
        <v>381.32</v>
      </c>
      <c r="U3413" s="785">
        <v>44673.709930555597</v>
      </c>
    </row>
    <row r="3414" spans="1:21">
      <c r="A3414" s="782">
        <v>44670</v>
      </c>
      <c r="B3414" s="783" t="s">
        <v>74</v>
      </c>
      <c r="C3414" s="783" t="s">
        <v>4097</v>
      </c>
      <c r="D3414" s="783" t="s">
        <v>4038</v>
      </c>
      <c r="E3414" s="783" t="s">
        <v>4402</v>
      </c>
      <c r="F3414" s="783" t="s">
        <v>4011</v>
      </c>
      <c r="G3414" s="783" t="str">
        <f t="shared" si="180"/>
        <v>Renewal (15% in 2020)</v>
      </c>
      <c r="H3414" s="783" t="s">
        <v>4403</v>
      </c>
      <c r="I3414" s="783" t="s">
        <v>4404</v>
      </c>
      <c r="J3414" s="783">
        <v>15</v>
      </c>
      <c r="K3414" s="783" t="s">
        <v>183</v>
      </c>
      <c r="L3414" s="783" t="s">
        <v>4096</v>
      </c>
      <c r="M3414" s="784">
        <v>5935.38</v>
      </c>
      <c r="N3414" s="784">
        <v>6.6</v>
      </c>
      <c r="O3414" s="784">
        <v>5.29</v>
      </c>
      <c r="P3414" s="783">
        <v>170</v>
      </c>
      <c r="Q3414" s="783">
        <v>521.72</v>
      </c>
      <c r="R3414" s="783">
        <v>216.9</v>
      </c>
      <c r="S3414" s="783">
        <v>38.32</v>
      </c>
      <c r="T3414" s="783">
        <v>266.5</v>
      </c>
      <c r="U3414" s="785">
        <v>44671.492812500001</v>
      </c>
    </row>
    <row r="3415" spans="1:21">
      <c r="A3415" s="782">
        <v>44704</v>
      </c>
      <c r="B3415" s="783" t="s">
        <v>41</v>
      </c>
      <c r="C3415" s="783" t="s">
        <v>4082</v>
      </c>
      <c r="D3415" s="783" t="s">
        <v>4009</v>
      </c>
      <c r="E3415" s="783" t="s">
        <v>94</v>
      </c>
      <c r="F3415" s="783" t="s">
        <v>4011</v>
      </c>
      <c r="G3415" s="783" t="str">
        <f t="shared" si="180"/>
        <v>Renewal (25% in 2020)</v>
      </c>
      <c r="H3415" s="783" t="s">
        <v>4685</v>
      </c>
      <c r="I3415" s="783" t="s">
        <v>4686</v>
      </c>
      <c r="J3415" s="783">
        <v>25</v>
      </c>
      <c r="K3415" s="783" t="s">
        <v>183</v>
      </c>
      <c r="L3415" s="783" t="s">
        <v>4096</v>
      </c>
      <c r="M3415" s="784">
        <v>11929.5</v>
      </c>
      <c r="N3415" s="784">
        <v>14.46</v>
      </c>
      <c r="O3415" s="784">
        <v>5.5</v>
      </c>
      <c r="P3415" s="783">
        <v>150</v>
      </c>
      <c r="Q3415" s="783">
        <v>538.02</v>
      </c>
      <c r="R3415" s="783">
        <v>406.8</v>
      </c>
      <c r="S3415" s="783">
        <v>73.959999999999994</v>
      </c>
      <c r="T3415" s="783">
        <v>57.26</v>
      </c>
      <c r="U3415" s="785">
        <v>44704.568576388898</v>
      </c>
    </row>
    <row r="3416" spans="1:21">
      <c r="A3416" s="782">
        <v>44671</v>
      </c>
      <c r="B3416" s="783" t="s">
        <v>34</v>
      </c>
      <c r="C3416" s="783" t="s">
        <v>4082</v>
      </c>
      <c r="D3416" s="783" t="s">
        <v>4009</v>
      </c>
      <c r="E3416" s="783" t="s">
        <v>5918</v>
      </c>
      <c r="F3416" s="783" t="s">
        <v>4011</v>
      </c>
      <c r="G3416" s="783" t="str">
        <f t="shared" si="180"/>
        <v>Renewal (20% in 2020)</v>
      </c>
      <c r="H3416" s="783" t="s">
        <v>5919</v>
      </c>
      <c r="I3416" s="783" t="s">
        <v>5920</v>
      </c>
      <c r="J3416" s="783">
        <v>20</v>
      </c>
      <c r="K3416" s="783" t="s">
        <v>183</v>
      </c>
      <c r="L3416" s="783" t="s">
        <v>4096</v>
      </c>
      <c r="M3416" s="784">
        <v>23560.22</v>
      </c>
      <c r="N3416" s="784">
        <v>22.78</v>
      </c>
      <c r="O3416" s="784">
        <v>5.91</v>
      </c>
      <c r="P3416" s="783">
        <v>175</v>
      </c>
      <c r="Q3416" s="783">
        <v>1378.27</v>
      </c>
      <c r="R3416" s="783">
        <v>766.68</v>
      </c>
      <c r="S3416" s="783">
        <v>182.8</v>
      </c>
      <c r="T3416" s="783">
        <v>428.8</v>
      </c>
      <c r="U3416" s="785">
        <v>44673.357094907398</v>
      </c>
    </row>
    <row r="3417" spans="1:21">
      <c r="A3417" s="782">
        <v>44680</v>
      </c>
      <c r="B3417" s="783" t="s">
        <v>41</v>
      </c>
      <c r="C3417" s="783" t="s">
        <v>4008</v>
      </c>
      <c r="D3417" s="783" t="s">
        <v>4009</v>
      </c>
      <c r="E3417" s="783" t="s">
        <v>4183</v>
      </c>
      <c r="F3417" s="783" t="s">
        <v>4011</v>
      </c>
      <c r="G3417" s="783" t="str">
        <f t="shared" si="180"/>
        <v>Renewal (15% in 2020)</v>
      </c>
      <c r="H3417" s="783" t="s">
        <v>4184</v>
      </c>
      <c r="I3417" s="783" t="s">
        <v>4185</v>
      </c>
      <c r="J3417" s="783">
        <v>15</v>
      </c>
      <c r="K3417" s="783" t="s">
        <v>183</v>
      </c>
      <c r="L3417" s="783" t="s">
        <v>4096</v>
      </c>
      <c r="M3417" s="784">
        <v>12037.19</v>
      </c>
      <c r="N3417" s="784">
        <v>14.71</v>
      </c>
      <c r="O3417" s="784">
        <v>4.9000000000000004</v>
      </c>
      <c r="P3417" s="783">
        <v>167</v>
      </c>
      <c r="Q3417" s="783">
        <v>1024.3699999999999</v>
      </c>
      <c r="R3417" s="783">
        <v>435.75</v>
      </c>
      <c r="S3417" s="783">
        <v>69.819999999999993</v>
      </c>
      <c r="T3417" s="783">
        <v>518.79999999999995</v>
      </c>
      <c r="U3417" s="785">
        <v>44683.4709953704</v>
      </c>
    </row>
    <row r="3418" spans="1:21">
      <c r="A3418" s="782">
        <v>44672</v>
      </c>
      <c r="B3418" s="783" t="s">
        <v>41</v>
      </c>
      <c r="C3418" s="783" t="s">
        <v>4082</v>
      </c>
      <c r="D3418" s="783" t="s">
        <v>4009</v>
      </c>
      <c r="E3418" s="783" t="s">
        <v>4687</v>
      </c>
      <c r="F3418" s="783" t="s">
        <v>4011</v>
      </c>
      <c r="G3418" s="783" t="str">
        <f t="shared" si="180"/>
        <v>Renewal (20% in 2020)</v>
      </c>
      <c r="H3418" s="783" t="s">
        <v>4688</v>
      </c>
      <c r="I3418" s="783" t="s">
        <v>4689</v>
      </c>
      <c r="J3418" s="783">
        <v>20</v>
      </c>
      <c r="K3418" s="783" t="s">
        <v>183</v>
      </c>
      <c r="L3418" s="783" t="s">
        <v>4096</v>
      </c>
      <c r="M3418" s="784">
        <v>15707.85</v>
      </c>
      <c r="N3418" s="784">
        <v>15.7</v>
      </c>
      <c r="O3418" s="784">
        <v>6.67</v>
      </c>
      <c r="P3418" s="783">
        <v>150</v>
      </c>
      <c r="Q3418" s="783">
        <v>918.91</v>
      </c>
      <c r="R3418" s="783">
        <v>535.64</v>
      </c>
      <c r="S3418" s="783">
        <v>97.39</v>
      </c>
      <c r="T3418" s="783">
        <v>285.88</v>
      </c>
      <c r="U3418" s="785">
        <v>44673.380335648202</v>
      </c>
    </row>
    <row r="3419" spans="1:21">
      <c r="A3419" s="782">
        <v>44630</v>
      </c>
      <c r="B3419" s="783" t="s">
        <v>41</v>
      </c>
      <c r="C3419" s="783" t="s">
        <v>4139</v>
      </c>
      <c r="D3419" s="783" t="s">
        <v>4009</v>
      </c>
      <c r="E3419" s="783" t="s">
        <v>672</v>
      </c>
      <c r="F3419" s="783" t="s">
        <v>4011</v>
      </c>
      <c r="G3419" s="783" t="str">
        <f t="shared" si="180"/>
        <v>Renewal (15% in 2020)</v>
      </c>
      <c r="H3419" s="783" t="s">
        <v>5924</v>
      </c>
      <c r="I3419" s="783" t="s">
        <v>5925</v>
      </c>
      <c r="J3419" s="783">
        <v>20</v>
      </c>
      <c r="K3419" s="783" t="s">
        <v>183</v>
      </c>
      <c r="L3419" s="783" t="s">
        <v>4096</v>
      </c>
      <c r="M3419" s="784">
        <v>20185.57</v>
      </c>
      <c r="N3419" s="784">
        <v>16.489999999999998</v>
      </c>
      <c r="O3419" s="784">
        <v>7.33</v>
      </c>
      <c r="P3419" s="783">
        <v>167</v>
      </c>
      <c r="Q3419" s="783">
        <v>1118.28</v>
      </c>
      <c r="R3419" s="783">
        <v>672.18</v>
      </c>
      <c r="S3419" s="783">
        <v>100.93</v>
      </c>
      <c r="T3419" s="783">
        <v>345.17</v>
      </c>
      <c r="U3419" s="785">
        <v>44631.634502314802</v>
      </c>
    </row>
    <row r="3420" spans="1:21">
      <c r="A3420" s="782">
        <v>44634</v>
      </c>
      <c r="B3420" s="783" t="s">
        <v>4025</v>
      </c>
      <c r="C3420" s="783" t="s">
        <v>4026</v>
      </c>
      <c r="D3420" s="783" t="s">
        <v>4021</v>
      </c>
      <c r="E3420" s="783" t="s">
        <v>4065</v>
      </c>
      <c r="F3420" s="783" t="s">
        <v>4066</v>
      </c>
      <c r="G3420" s="783" t="s">
        <v>4028</v>
      </c>
      <c r="H3420" s="783" t="s">
        <v>4067</v>
      </c>
      <c r="I3420" s="783" t="s">
        <v>4068</v>
      </c>
      <c r="J3420" s="783">
        <v>5</v>
      </c>
      <c r="K3420" s="783" t="s">
        <v>183</v>
      </c>
      <c r="L3420" s="783" t="s">
        <v>4096</v>
      </c>
      <c r="M3420" s="784">
        <v>9700</v>
      </c>
      <c r="N3420" s="784">
        <v>9.6999999999999993</v>
      </c>
      <c r="O3420" s="784">
        <v>5</v>
      </c>
      <c r="P3420" s="783">
        <v>200</v>
      </c>
      <c r="Q3420" s="783">
        <v>228.92</v>
      </c>
      <c r="R3420" s="783">
        <v>0</v>
      </c>
      <c r="S3420" s="783">
        <v>0</v>
      </c>
      <c r="T3420" s="783">
        <v>228.92</v>
      </c>
      <c r="U3420" s="785">
        <v>44634.627465277801</v>
      </c>
    </row>
    <row r="3421" spans="1:21">
      <c r="A3421" s="782">
        <v>44630</v>
      </c>
      <c r="B3421" s="783" t="s">
        <v>4025</v>
      </c>
      <c r="C3421" s="783" t="s">
        <v>4026</v>
      </c>
      <c r="D3421" s="783" t="s">
        <v>4021</v>
      </c>
      <c r="E3421" s="783" t="s">
        <v>5926</v>
      </c>
      <c r="F3421" s="783" t="s">
        <v>4011</v>
      </c>
      <c r="G3421" s="783" t="str">
        <f t="shared" ref="G3421:G3428" si="181">VLOOKUP(I3421,pacage,2,FALSE)</f>
        <v>New Contract</v>
      </c>
      <c r="H3421" s="783" t="s">
        <v>5927</v>
      </c>
      <c r="I3421" s="783" t="s">
        <v>5928</v>
      </c>
      <c r="J3421" s="783">
        <v>25</v>
      </c>
      <c r="K3421" s="783" t="s">
        <v>183</v>
      </c>
      <c r="L3421" s="783" t="s">
        <v>4096</v>
      </c>
      <c r="M3421" s="784">
        <v>48212.14</v>
      </c>
      <c r="N3421" s="784">
        <v>37.49</v>
      </c>
      <c r="O3421" s="784">
        <v>6.43</v>
      </c>
      <c r="P3421" s="783">
        <v>200</v>
      </c>
      <c r="Q3421" s="783">
        <v>2733.63</v>
      </c>
      <c r="R3421" s="783">
        <v>1662.62</v>
      </c>
      <c r="S3421" s="783">
        <v>637.1</v>
      </c>
      <c r="T3421" s="783">
        <v>433.91</v>
      </c>
      <c r="U3421" s="785">
        <v>44631.6343865741</v>
      </c>
    </row>
    <row r="3422" spans="1:21">
      <c r="A3422" s="782">
        <v>44634</v>
      </c>
      <c r="B3422" s="783" t="s">
        <v>41</v>
      </c>
      <c r="C3422" s="783" t="s">
        <v>4082</v>
      </c>
      <c r="D3422" s="783" t="s">
        <v>4009</v>
      </c>
      <c r="E3422" s="783" t="s">
        <v>5929</v>
      </c>
      <c r="F3422" s="783" t="s">
        <v>4011</v>
      </c>
      <c r="G3422" s="783" t="str">
        <f t="shared" si="181"/>
        <v>Renewal (15% in 2020)</v>
      </c>
      <c r="H3422" s="783" t="s">
        <v>5930</v>
      </c>
      <c r="I3422" s="783" t="s">
        <v>5931</v>
      </c>
      <c r="J3422" s="783">
        <v>15</v>
      </c>
      <c r="K3422" s="783" t="s">
        <v>183</v>
      </c>
      <c r="L3422" s="783" t="s">
        <v>4096</v>
      </c>
      <c r="M3422" s="784">
        <v>12120</v>
      </c>
      <c r="N3422" s="784">
        <v>10</v>
      </c>
      <c r="O3422" s="784">
        <v>6.06</v>
      </c>
      <c r="P3422" s="783">
        <v>200</v>
      </c>
      <c r="Q3422" s="783">
        <v>658.38</v>
      </c>
      <c r="R3422" s="783">
        <v>287.45999999999998</v>
      </c>
      <c r="S3422" s="783">
        <v>52.27</v>
      </c>
      <c r="T3422" s="783">
        <v>318.64999999999998</v>
      </c>
      <c r="U3422" s="785">
        <v>44634.625659722202</v>
      </c>
    </row>
    <row r="3423" spans="1:21">
      <c r="A3423" s="782">
        <v>44693</v>
      </c>
      <c r="B3423" s="783" t="s">
        <v>34</v>
      </c>
      <c r="C3423" s="783" t="s">
        <v>4139</v>
      </c>
      <c r="D3423" s="783" t="s">
        <v>4009</v>
      </c>
      <c r="E3423" s="783" t="s">
        <v>4405</v>
      </c>
      <c r="F3423" s="783" t="s">
        <v>4011</v>
      </c>
      <c r="G3423" s="783" t="str">
        <f t="shared" si="181"/>
        <v>Renewal (30% in 2020)</v>
      </c>
      <c r="H3423" s="783" t="s">
        <v>4406</v>
      </c>
      <c r="I3423" s="783" t="s">
        <v>4407</v>
      </c>
      <c r="J3423" s="783">
        <v>30</v>
      </c>
      <c r="K3423" s="783" t="s">
        <v>183</v>
      </c>
      <c r="L3423" s="783" t="s">
        <v>4096</v>
      </c>
      <c r="M3423" s="784">
        <v>13208.03</v>
      </c>
      <c r="N3423" s="784">
        <v>14.38</v>
      </c>
      <c r="O3423" s="784">
        <v>5.5</v>
      </c>
      <c r="P3423" s="783">
        <v>167</v>
      </c>
      <c r="Q3423" s="783">
        <v>499.26</v>
      </c>
      <c r="R3423" s="783">
        <v>439.83</v>
      </c>
      <c r="S3423" s="783">
        <v>0</v>
      </c>
      <c r="T3423" s="783">
        <v>59.44</v>
      </c>
      <c r="U3423" s="785">
        <v>44694.433263888903</v>
      </c>
    </row>
    <row r="3424" spans="1:21">
      <c r="A3424" s="782">
        <v>44694</v>
      </c>
      <c r="B3424" s="783" t="s">
        <v>51</v>
      </c>
      <c r="C3424" s="783" t="s">
        <v>4042</v>
      </c>
      <c r="D3424" s="783" t="s">
        <v>4016</v>
      </c>
      <c r="E3424" s="783" t="s">
        <v>1694</v>
      </c>
      <c r="F3424" s="783" t="s">
        <v>4011</v>
      </c>
      <c r="G3424" s="783" t="str">
        <f t="shared" si="181"/>
        <v>Renewal (20% in 2020)</v>
      </c>
      <c r="H3424" s="783" t="s">
        <v>5937</v>
      </c>
      <c r="I3424" s="783" t="s">
        <v>5938</v>
      </c>
      <c r="J3424" s="783">
        <v>25</v>
      </c>
      <c r="K3424" s="783" t="s">
        <v>183</v>
      </c>
      <c r="L3424" s="783" t="s">
        <v>4096</v>
      </c>
      <c r="M3424" s="784">
        <v>44311.67</v>
      </c>
      <c r="N3424" s="784">
        <v>39.32</v>
      </c>
      <c r="O3424" s="784">
        <v>6.83</v>
      </c>
      <c r="P3424" s="783">
        <v>165</v>
      </c>
      <c r="Q3424" s="783">
        <v>1936.42</v>
      </c>
      <c r="R3424" s="783">
        <v>1448.99</v>
      </c>
      <c r="S3424" s="783">
        <v>225.99</v>
      </c>
      <c r="T3424" s="783">
        <v>261.44</v>
      </c>
      <c r="U3424" s="785">
        <v>44697.605740740699</v>
      </c>
    </row>
    <row r="3425" spans="1:21">
      <c r="A3425" s="782">
        <v>44712</v>
      </c>
      <c r="B3425" s="783" t="s">
        <v>41</v>
      </c>
      <c r="C3425" s="783" t="s">
        <v>4082</v>
      </c>
      <c r="D3425" s="783" t="s">
        <v>4009</v>
      </c>
      <c r="E3425" s="783" t="s">
        <v>5939</v>
      </c>
      <c r="F3425" s="783" t="s">
        <v>4011</v>
      </c>
      <c r="G3425" s="783" t="str">
        <f t="shared" si="181"/>
        <v>New Contract</v>
      </c>
      <c r="H3425" s="783" t="s">
        <v>5940</v>
      </c>
      <c r="I3425" s="783" t="s">
        <v>5941</v>
      </c>
      <c r="J3425" s="783">
        <v>20</v>
      </c>
      <c r="K3425" s="783" t="s">
        <v>183</v>
      </c>
      <c r="L3425" s="783" t="s">
        <v>4096</v>
      </c>
      <c r="M3425" s="784">
        <v>12516.78</v>
      </c>
      <c r="N3425" s="784">
        <v>12.09</v>
      </c>
      <c r="O3425" s="784">
        <v>6.09</v>
      </c>
      <c r="P3425" s="783">
        <v>170</v>
      </c>
      <c r="Q3425" s="783">
        <v>732.23</v>
      </c>
      <c r="R3425" s="783">
        <v>419.29</v>
      </c>
      <c r="S3425" s="783">
        <v>85.14</v>
      </c>
      <c r="T3425" s="783">
        <v>227.81</v>
      </c>
      <c r="U3425" s="785">
        <v>44715.3992939815</v>
      </c>
    </row>
    <row r="3426" spans="1:21">
      <c r="A3426" s="782">
        <v>44698</v>
      </c>
      <c r="B3426" s="783" t="s">
        <v>41</v>
      </c>
      <c r="C3426" s="783" t="s">
        <v>4008</v>
      </c>
      <c r="D3426" s="783" t="s">
        <v>4009</v>
      </c>
      <c r="E3426" s="783" t="s">
        <v>5942</v>
      </c>
      <c r="F3426" s="783" t="s">
        <v>4011</v>
      </c>
      <c r="G3426" s="783" t="str">
        <f t="shared" si="181"/>
        <v>Renewal (15% in 2020)</v>
      </c>
      <c r="H3426" s="783" t="s">
        <v>5943</v>
      </c>
      <c r="I3426" s="783" t="s">
        <v>5944</v>
      </c>
      <c r="J3426" s="783">
        <v>15</v>
      </c>
      <c r="K3426" s="783" t="s">
        <v>183</v>
      </c>
      <c r="L3426" s="783" t="s">
        <v>4096</v>
      </c>
      <c r="M3426" s="784">
        <v>3982.95</v>
      </c>
      <c r="N3426" s="784">
        <v>5</v>
      </c>
      <c r="O3426" s="784">
        <v>4.7699999999999996</v>
      </c>
      <c r="P3426" s="783">
        <v>167</v>
      </c>
      <c r="Q3426" s="783">
        <v>338.95</v>
      </c>
      <c r="R3426" s="783">
        <v>144.18</v>
      </c>
      <c r="S3426" s="783">
        <v>23.1</v>
      </c>
      <c r="T3426" s="783">
        <v>171.67</v>
      </c>
      <c r="U3426" s="785">
        <v>44699.4757986111</v>
      </c>
    </row>
    <row r="3427" spans="1:21">
      <c r="A3427" s="782">
        <v>44709</v>
      </c>
      <c r="B3427" s="783" t="s">
        <v>41</v>
      </c>
      <c r="C3427" s="783" t="s">
        <v>4092</v>
      </c>
      <c r="D3427" s="783" t="s">
        <v>4009</v>
      </c>
      <c r="E3427" s="783" t="s">
        <v>4186</v>
      </c>
      <c r="F3427" s="783" t="s">
        <v>4011</v>
      </c>
      <c r="G3427" s="783" t="str">
        <f t="shared" si="181"/>
        <v>Renewal (20% in 2020)</v>
      </c>
      <c r="H3427" s="783" t="s">
        <v>4187</v>
      </c>
      <c r="I3427" s="783" t="s">
        <v>4188</v>
      </c>
      <c r="J3427" s="783">
        <v>20</v>
      </c>
      <c r="K3427" s="783" t="s">
        <v>183</v>
      </c>
      <c r="L3427" s="783" t="s">
        <v>4096</v>
      </c>
      <c r="M3427" s="784">
        <v>84579.14</v>
      </c>
      <c r="N3427" s="784">
        <v>81.17</v>
      </c>
      <c r="O3427" s="784">
        <v>5.21</v>
      </c>
      <c r="P3427" s="783">
        <v>200</v>
      </c>
      <c r="Q3427" s="783">
        <v>5117.04</v>
      </c>
      <c r="R3427" s="783">
        <v>2493.0100000000002</v>
      </c>
      <c r="S3427" s="783">
        <v>1042.4000000000001</v>
      </c>
      <c r="T3427" s="783">
        <v>1581.63</v>
      </c>
      <c r="U3427" s="785">
        <v>44711.649282407401</v>
      </c>
    </row>
    <row r="3428" spans="1:21">
      <c r="A3428" s="782">
        <v>44709</v>
      </c>
      <c r="B3428" s="783" t="s">
        <v>41</v>
      </c>
      <c r="C3428" s="783" t="s">
        <v>4082</v>
      </c>
      <c r="D3428" s="783" t="s">
        <v>4009</v>
      </c>
      <c r="E3428" s="783" t="s">
        <v>4186</v>
      </c>
      <c r="F3428" s="783" t="s">
        <v>4011</v>
      </c>
      <c r="G3428" s="783" t="str">
        <f t="shared" si="181"/>
        <v>Renewal (20% in 2020)</v>
      </c>
      <c r="H3428" s="783" t="s">
        <v>4187</v>
      </c>
      <c r="I3428" s="783" t="s">
        <v>4188</v>
      </c>
      <c r="J3428" s="783">
        <v>20</v>
      </c>
      <c r="K3428" s="783" t="s">
        <v>183</v>
      </c>
      <c r="L3428" s="783" t="s">
        <v>4096</v>
      </c>
      <c r="M3428" s="784">
        <v>8440.2000000000007</v>
      </c>
      <c r="N3428" s="784">
        <v>8.1</v>
      </c>
      <c r="O3428" s="784">
        <v>5.21</v>
      </c>
      <c r="P3428" s="783">
        <v>200</v>
      </c>
      <c r="Q3428" s="783">
        <v>493.75</v>
      </c>
      <c r="R3428" s="783">
        <v>240.32</v>
      </c>
      <c r="S3428" s="783">
        <v>99.82</v>
      </c>
      <c r="T3428" s="783">
        <v>153.61000000000001</v>
      </c>
      <c r="U3428" s="785">
        <v>44711.649282407401</v>
      </c>
    </row>
    <row r="3429" spans="1:21">
      <c r="A3429" s="782">
        <v>44638</v>
      </c>
      <c r="B3429" s="783" t="s">
        <v>41</v>
      </c>
      <c r="C3429" s="783" t="s">
        <v>4071</v>
      </c>
      <c r="D3429" s="783" t="s">
        <v>4009</v>
      </c>
      <c r="E3429" s="783" t="s">
        <v>5945</v>
      </c>
      <c r="F3429" s="783" t="s">
        <v>4066</v>
      </c>
      <c r="G3429" s="783" t="s">
        <v>4028</v>
      </c>
      <c r="H3429" s="783" t="s">
        <v>5946</v>
      </c>
      <c r="I3429" s="783" t="s">
        <v>5947</v>
      </c>
      <c r="J3429" s="783">
        <v>10</v>
      </c>
      <c r="K3429" s="783" t="s">
        <v>183</v>
      </c>
      <c r="L3429" s="783" t="s">
        <v>4096</v>
      </c>
      <c r="M3429" s="784">
        <v>12344.64</v>
      </c>
      <c r="N3429" s="784">
        <v>9.24</v>
      </c>
      <c r="O3429" s="784">
        <v>8</v>
      </c>
      <c r="P3429" s="783">
        <v>167</v>
      </c>
      <c r="Q3429" s="783">
        <v>107.4</v>
      </c>
      <c r="R3429" s="783">
        <v>0</v>
      </c>
      <c r="S3429" s="783">
        <v>0</v>
      </c>
      <c r="T3429" s="783">
        <v>107.4</v>
      </c>
      <c r="U3429" s="785">
        <v>44638.562222222201</v>
      </c>
    </row>
    <row r="3430" spans="1:21">
      <c r="A3430" s="782">
        <v>44638</v>
      </c>
      <c r="B3430" s="783" t="s">
        <v>41</v>
      </c>
      <c r="C3430" s="783" t="s">
        <v>4092</v>
      </c>
      <c r="D3430" s="783" t="s">
        <v>4009</v>
      </c>
      <c r="E3430" s="783" t="s">
        <v>7110</v>
      </c>
      <c r="F3430" s="783" t="s">
        <v>4011</v>
      </c>
      <c r="G3430" s="783" t="s">
        <v>4028</v>
      </c>
      <c r="H3430" s="783" t="s">
        <v>7111</v>
      </c>
      <c r="I3430" s="783" t="s">
        <v>7112</v>
      </c>
      <c r="J3430" s="783">
        <v>25</v>
      </c>
      <c r="K3430" s="783" t="s">
        <v>183</v>
      </c>
      <c r="L3430" s="783" t="s">
        <v>4096</v>
      </c>
      <c r="M3430" s="784">
        <v>3195.49</v>
      </c>
      <c r="N3430" s="784">
        <v>3.59</v>
      </c>
      <c r="O3430" s="784">
        <v>5.33</v>
      </c>
      <c r="P3430" s="783">
        <v>167</v>
      </c>
      <c r="Q3430" s="783">
        <v>149.55000000000001</v>
      </c>
      <c r="R3430" s="783">
        <v>112.8</v>
      </c>
      <c r="S3430" s="783">
        <v>20.77</v>
      </c>
      <c r="T3430" s="783">
        <v>15.98</v>
      </c>
      <c r="U3430" s="785">
        <v>44638.458460648202</v>
      </c>
    </row>
    <row r="3431" spans="1:21">
      <c r="A3431" s="782">
        <v>44642</v>
      </c>
      <c r="B3431" s="783" t="s">
        <v>30</v>
      </c>
      <c r="C3431" s="783" t="s">
        <v>4239</v>
      </c>
      <c r="D3431" s="783" t="s">
        <v>4021</v>
      </c>
      <c r="E3431" s="783" t="s">
        <v>5957</v>
      </c>
      <c r="F3431" s="783" t="s">
        <v>4011</v>
      </c>
      <c r="G3431" s="783" t="str">
        <f>VLOOKUP(I3431,pacage,2,FALSE)</f>
        <v>Renewal (30% in 2020)</v>
      </c>
      <c r="H3431" s="783" t="s">
        <v>5958</v>
      </c>
      <c r="I3431" s="783" t="s">
        <v>5959</v>
      </c>
      <c r="J3431" s="783">
        <v>30</v>
      </c>
      <c r="K3431" s="783" t="s">
        <v>183</v>
      </c>
      <c r="L3431" s="783" t="s">
        <v>4096</v>
      </c>
      <c r="M3431" s="784">
        <v>13359.96</v>
      </c>
      <c r="N3431" s="784">
        <v>10.029999999999999</v>
      </c>
      <c r="O3431" s="784">
        <v>7.4</v>
      </c>
      <c r="P3431" s="783">
        <v>180</v>
      </c>
      <c r="Q3431" s="783">
        <v>594.42999999999995</v>
      </c>
      <c r="R3431" s="783">
        <v>461.05</v>
      </c>
      <c r="S3431" s="783">
        <v>35.89</v>
      </c>
      <c r="T3431" s="783">
        <v>97.49</v>
      </c>
      <c r="U3431" s="785">
        <v>44643.370752314797</v>
      </c>
    </row>
    <row r="3432" spans="1:21">
      <c r="A3432" s="782">
        <v>44672</v>
      </c>
      <c r="B3432" s="783" t="s">
        <v>74</v>
      </c>
      <c r="C3432" s="783" t="s">
        <v>4097</v>
      </c>
      <c r="D3432" s="783" t="s">
        <v>4038</v>
      </c>
      <c r="E3432" s="783" t="s">
        <v>4408</v>
      </c>
      <c r="F3432" s="783" t="s">
        <v>4011</v>
      </c>
      <c r="G3432" s="783" t="str">
        <f>VLOOKUP(I3432,pacage,2,FALSE)</f>
        <v>Renewal (20% in 2020)</v>
      </c>
      <c r="H3432" s="783" t="s">
        <v>4409</v>
      </c>
      <c r="I3432" s="783" t="s">
        <v>4410</v>
      </c>
      <c r="J3432" s="783">
        <v>20</v>
      </c>
      <c r="K3432" s="783" t="s">
        <v>183</v>
      </c>
      <c r="L3432" s="783" t="s">
        <v>4096</v>
      </c>
      <c r="M3432" s="784">
        <v>7522.5</v>
      </c>
      <c r="N3432" s="784">
        <v>8.5</v>
      </c>
      <c r="O3432" s="784">
        <v>5.9</v>
      </c>
      <c r="P3432" s="783">
        <v>150</v>
      </c>
      <c r="Q3432" s="783">
        <v>502.5</v>
      </c>
      <c r="R3432" s="783">
        <v>279.83999999999997</v>
      </c>
      <c r="S3432" s="783">
        <v>43.63</v>
      </c>
      <c r="T3432" s="783">
        <v>179.04</v>
      </c>
      <c r="U3432" s="785">
        <v>44673.376631944397</v>
      </c>
    </row>
    <row r="3433" spans="1:21">
      <c r="A3433" s="782">
        <v>44642</v>
      </c>
      <c r="B3433" s="783" t="s">
        <v>41</v>
      </c>
      <c r="C3433" s="783" t="s">
        <v>4092</v>
      </c>
      <c r="D3433" s="783" t="s">
        <v>4009</v>
      </c>
      <c r="E3433" s="783" t="s">
        <v>2332</v>
      </c>
      <c r="F3433" s="783" t="s">
        <v>4011</v>
      </c>
      <c r="G3433" s="783" t="str">
        <f>VLOOKUP(I3433,pacage,2,FALSE)</f>
        <v>Renewal (25% in 2020)</v>
      </c>
      <c r="H3433" s="783" t="s">
        <v>5960</v>
      </c>
      <c r="I3433" s="783" t="s">
        <v>5961</v>
      </c>
      <c r="J3433" s="783">
        <v>25</v>
      </c>
      <c r="K3433" s="783" t="s">
        <v>183</v>
      </c>
      <c r="L3433" s="783" t="s">
        <v>4096</v>
      </c>
      <c r="M3433" s="784">
        <v>6566.01</v>
      </c>
      <c r="N3433" s="784">
        <v>8.09</v>
      </c>
      <c r="O3433" s="784">
        <v>4.8600000000000003</v>
      </c>
      <c r="P3433" s="783">
        <v>167</v>
      </c>
      <c r="Q3433" s="783">
        <v>307.29000000000002</v>
      </c>
      <c r="R3433" s="783">
        <v>231.78</v>
      </c>
      <c r="S3433" s="783">
        <v>42.68</v>
      </c>
      <c r="T3433" s="783">
        <v>32.83</v>
      </c>
      <c r="U3433" s="785">
        <v>44643.372835648202</v>
      </c>
    </row>
    <row r="3434" spans="1:21">
      <c r="A3434" s="782">
        <v>44652</v>
      </c>
      <c r="B3434" s="783" t="s">
        <v>51</v>
      </c>
      <c r="C3434" s="783" t="s">
        <v>4796</v>
      </c>
      <c r="D3434" s="783" t="s">
        <v>4016</v>
      </c>
      <c r="E3434" s="783" t="s">
        <v>1130</v>
      </c>
      <c r="F3434" s="783" t="s">
        <v>4011</v>
      </c>
      <c r="G3434" s="783" t="str">
        <f>VLOOKUP(I3434,pacage,2,FALSE)</f>
        <v>Renewal (25% in 2020)</v>
      </c>
      <c r="H3434" s="783" t="s">
        <v>5962</v>
      </c>
      <c r="I3434" s="783" t="s">
        <v>5963</v>
      </c>
      <c r="J3434" s="783">
        <v>25</v>
      </c>
      <c r="K3434" s="783" t="s">
        <v>183</v>
      </c>
      <c r="L3434" s="783" t="s">
        <v>4096</v>
      </c>
      <c r="M3434" s="784">
        <v>13345.99</v>
      </c>
      <c r="N3434" s="784">
        <v>11.15</v>
      </c>
      <c r="O3434" s="784">
        <v>6.47</v>
      </c>
      <c r="P3434" s="783">
        <v>185</v>
      </c>
      <c r="Q3434" s="783">
        <v>535.16999999999996</v>
      </c>
      <c r="R3434" s="783">
        <v>362.63</v>
      </c>
      <c r="S3434" s="783">
        <v>100.48</v>
      </c>
      <c r="T3434" s="783">
        <v>72.069999999999993</v>
      </c>
      <c r="U3434" s="785">
        <v>44655.506458333301</v>
      </c>
    </row>
    <row r="3435" spans="1:21">
      <c r="A3435" s="782">
        <v>44652</v>
      </c>
      <c r="B3435" s="783" t="s">
        <v>2866</v>
      </c>
      <c r="C3435" s="783" t="s">
        <v>4008</v>
      </c>
      <c r="D3435" s="783" t="s">
        <v>4009</v>
      </c>
      <c r="E3435" s="783" t="s">
        <v>5964</v>
      </c>
      <c r="F3435" s="783" t="s">
        <v>4011</v>
      </c>
      <c r="G3435" s="783" t="str">
        <f>VLOOKUP(I3435,pacage,2,FALSE)</f>
        <v>Renewal (25% in 2020)</v>
      </c>
      <c r="H3435" s="783" t="s">
        <v>5965</v>
      </c>
      <c r="I3435" s="783" t="s">
        <v>5966</v>
      </c>
      <c r="J3435" s="783">
        <v>25</v>
      </c>
      <c r="K3435" s="783" t="s">
        <v>183</v>
      </c>
      <c r="L3435" s="783" t="s">
        <v>4096</v>
      </c>
      <c r="M3435" s="784">
        <v>13771.15</v>
      </c>
      <c r="N3435" s="784">
        <v>15.77</v>
      </c>
      <c r="O3435" s="784">
        <v>4.99</v>
      </c>
      <c r="P3435" s="783">
        <v>175</v>
      </c>
      <c r="Q3435" s="783">
        <v>700.95</v>
      </c>
      <c r="R3435" s="783">
        <v>475.73</v>
      </c>
      <c r="S3435" s="783">
        <v>102.66</v>
      </c>
      <c r="T3435" s="783">
        <v>122.56</v>
      </c>
      <c r="U3435" s="785">
        <v>44655.503194444398</v>
      </c>
    </row>
    <row r="3436" spans="1:21">
      <c r="A3436" s="782">
        <v>44656</v>
      </c>
      <c r="B3436" s="783" t="s">
        <v>74</v>
      </c>
      <c r="C3436" s="783" t="s">
        <v>4097</v>
      </c>
      <c r="D3436" s="783" t="s">
        <v>4038</v>
      </c>
      <c r="E3436" s="783" t="s">
        <v>4411</v>
      </c>
      <c r="F3436" s="783" t="s">
        <v>4011</v>
      </c>
      <c r="G3436" s="783" t="s">
        <v>4028</v>
      </c>
      <c r="H3436" s="783" t="s">
        <v>4412</v>
      </c>
      <c r="I3436" s="783" t="s">
        <v>4413</v>
      </c>
      <c r="J3436" s="783">
        <v>15</v>
      </c>
      <c r="K3436" s="783" t="s">
        <v>183</v>
      </c>
      <c r="L3436" s="783" t="s">
        <v>4096</v>
      </c>
      <c r="M3436" s="784">
        <v>11832</v>
      </c>
      <c r="N3436" s="784">
        <v>12</v>
      </c>
      <c r="O3436" s="784">
        <v>5.8</v>
      </c>
      <c r="P3436" s="783">
        <v>170</v>
      </c>
      <c r="Q3436" s="783">
        <v>1040.03</v>
      </c>
      <c r="R3436" s="783">
        <v>432.38</v>
      </c>
      <c r="S3436" s="783">
        <v>76.39</v>
      </c>
      <c r="T3436" s="783">
        <v>531.26</v>
      </c>
      <c r="U3436" s="785">
        <v>44657.628009259301</v>
      </c>
    </row>
    <row r="3437" spans="1:21">
      <c r="A3437" s="782">
        <v>44652</v>
      </c>
      <c r="B3437" s="783" t="s">
        <v>34</v>
      </c>
      <c r="C3437" s="783" t="s">
        <v>4139</v>
      </c>
      <c r="D3437" s="783" t="s">
        <v>4009</v>
      </c>
      <c r="E3437" s="783" t="s">
        <v>456</v>
      </c>
      <c r="F3437" s="783" t="s">
        <v>4011</v>
      </c>
      <c r="G3437" s="783" t="str">
        <f t="shared" ref="G3437:G3446" si="182">VLOOKUP(I3437,pacage,2,FALSE)</f>
        <v>Renewal (20% in 2020)</v>
      </c>
      <c r="H3437" s="783" t="s">
        <v>5967</v>
      </c>
      <c r="I3437" s="783" t="s">
        <v>5968</v>
      </c>
      <c r="J3437" s="783">
        <v>20</v>
      </c>
      <c r="K3437" s="783" t="s">
        <v>183</v>
      </c>
      <c r="L3437" s="783" t="s">
        <v>4096</v>
      </c>
      <c r="M3437" s="784">
        <v>4582.8</v>
      </c>
      <c r="N3437" s="784">
        <v>4.0199999999999996</v>
      </c>
      <c r="O3437" s="784">
        <v>5.7</v>
      </c>
      <c r="P3437" s="783">
        <v>200</v>
      </c>
      <c r="Q3437" s="783">
        <v>253.89</v>
      </c>
      <c r="R3437" s="783">
        <v>127.43</v>
      </c>
      <c r="S3437" s="783">
        <v>48.09</v>
      </c>
      <c r="T3437" s="783">
        <v>78.37</v>
      </c>
      <c r="U3437" s="785">
        <v>44655.604004629597</v>
      </c>
    </row>
    <row r="3438" spans="1:21">
      <c r="A3438" s="782">
        <v>44665</v>
      </c>
      <c r="B3438" s="783" t="s">
        <v>41</v>
      </c>
      <c r="C3438" s="783" t="s">
        <v>4139</v>
      </c>
      <c r="D3438" s="783" t="s">
        <v>4009</v>
      </c>
      <c r="E3438" s="783" t="s">
        <v>5969</v>
      </c>
      <c r="F3438" s="783" t="s">
        <v>4011</v>
      </c>
      <c r="G3438" s="783" t="str">
        <f t="shared" si="182"/>
        <v>Renewal (20% in 2020)</v>
      </c>
      <c r="H3438" s="783" t="s">
        <v>5970</v>
      </c>
      <c r="I3438" s="783" t="s">
        <v>5971</v>
      </c>
      <c r="J3438" s="783">
        <v>30</v>
      </c>
      <c r="K3438" s="783" t="s">
        <v>183</v>
      </c>
      <c r="L3438" s="783" t="s">
        <v>4096</v>
      </c>
      <c r="M3438" s="784">
        <v>1800</v>
      </c>
      <c r="N3438" s="784">
        <v>1.5</v>
      </c>
      <c r="O3438" s="784">
        <v>6</v>
      </c>
      <c r="P3438" s="783">
        <v>200</v>
      </c>
      <c r="Q3438" s="783">
        <v>68.040000000000006</v>
      </c>
      <c r="R3438" s="783">
        <v>50.05</v>
      </c>
      <c r="S3438" s="783">
        <v>9.89</v>
      </c>
      <c r="T3438" s="783">
        <v>8.1</v>
      </c>
      <c r="U3438" s="785">
        <v>44665.6721412037</v>
      </c>
    </row>
    <row r="3439" spans="1:21">
      <c r="A3439" s="782">
        <v>44665</v>
      </c>
      <c r="B3439" s="783" t="s">
        <v>41</v>
      </c>
      <c r="C3439" s="783" t="s">
        <v>4071</v>
      </c>
      <c r="D3439" s="783" t="s">
        <v>4009</v>
      </c>
      <c r="E3439" s="783" t="s">
        <v>5969</v>
      </c>
      <c r="F3439" s="783" t="s">
        <v>4011</v>
      </c>
      <c r="G3439" s="783" t="str">
        <f t="shared" si="182"/>
        <v>Renewal (20% in 2020)</v>
      </c>
      <c r="H3439" s="783" t="s">
        <v>5970</v>
      </c>
      <c r="I3439" s="783" t="s">
        <v>5971</v>
      </c>
      <c r="J3439" s="783">
        <v>30</v>
      </c>
      <c r="K3439" s="783" t="s">
        <v>183</v>
      </c>
      <c r="L3439" s="783" t="s">
        <v>4096</v>
      </c>
      <c r="M3439" s="784">
        <v>32724</v>
      </c>
      <c r="N3439" s="784">
        <v>27.27</v>
      </c>
      <c r="O3439" s="784">
        <v>6</v>
      </c>
      <c r="P3439" s="783">
        <v>200</v>
      </c>
      <c r="Q3439" s="783">
        <v>1004.63</v>
      </c>
      <c r="R3439" s="783">
        <v>737.76</v>
      </c>
      <c r="S3439" s="783">
        <v>145.79</v>
      </c>
      <c r="T3439" s="783">
        <v>121.08</v>
      </c>
      <c r="U3439" s="785">
        <v>44665.6721412037</v>
      </c>
    </row>
    <row r="3440" spans="1:21">
      <c r="A3440" s="782">
        <v>44699</v>
      </c>
      <c r="B3440" s="783" t="s">
        <v>30</v>
      </c>
      <c r="C3440" s="783" t="s">
        <v>5974</v>
      </c>
      <c r="D3440" s="783" t="s">
        <v>4021</v>
      </c>
      <c r="E3440" s="783" t="s">
        <v>5975</v>
      </c>
      <c r="F3440" s="783" t="s">
        <v>4011</v>
      </c>
      <c r="G3440" s="783" t="str">
        <f t="shared" si="182"/>
        <v>Renewal (20% in 2020)</v>
      </c>
      <c r="H3440" s="783" t="s">
        <v>5976</v>
      </c>
      <c r="I3440" s="783" t="s">
        <v>5977</v>
      </c>
      <c r="J3440" s="783">
        <v>20</v>
      </c>
      <c r="K3440" s="783" t="s">
        <v>183</v>
      </c>
      <c r="L3440" s="783" t="s">
        <v>4096</v>
      </c>
      <c r="M3440" s="784">
        <v>19843.25</v>
      </c>
      <c r="N3440" s="784">
        <v>17</v>
      </c>
      <c r="O3440" s="784">
        <v>6.67</v>
      </c>
      <c r="P3440" s="783">
        <v>175</v>
      </c>
      <c r="Q3440" s="783">
        <v>1262.03</v>
      </c>
      <c r="R3440" s="783">
        <v>647.62</v>
      </c>
      <c r="S3440" s="783">
        <v>187.79</v>
      </c>
      <c r="T3440" s="783">
        <v>426.63</v>
      </c>
      <c r="U3440" s="785">
        <v>44700.511585648099</v>
      </c>
    </row>
    <row r="3441" spans="1:21">
      <c r="A3441" s="782">
        <v>44652</v>
      </c>
      <c r="B3441" s="783" t="s">
        <v>47</v>
      </c>
      <c r="C3441" s="783" t="s">
        <v>4101</v>
      </c>
      <c r="D3441" s="783" t="s">
        <v>4102</v>
      </c>
      <c r="E3441" s="783" t="s">
        <v>5980</v>
      </c>
      <c r="F3441" s="783" t="s">
        <v>4011</v>
      </c>
      <c r="G3441" s="783" t="str">
        <f t="shared" si="182"/>
        <v>Renewal (25% in 2020)</v>
      </c>
      <c r="H3441" s="783" t="s">
        <v>5981</v>
      </c>
      <c r="I3441" s="783" t="s">
        <v>5982</v>
      </c>
      <c r="J3441" s="783">
        <v>25</v>
      </c>
      <c r="K3441" s="783" t="s">
        <v>183</v>
      </c>
      <c r="L3441" s="783" t="s">
        <v>4096</v>
      </c>
      <c r="M3441" s="784">
        <v>51765</v>
      </c>
      <c r="N3441" s="784">
        <v>43.5</v>
      </c>
      <c r="O3441" s="784">
        <v>7</v>
      </c>
      <c r="P3441" s="783">
        <v>170</v>
      </c>
      <c r="Q3441" s="783">
        <v>1827.3</v>
      </c>
      <c r="R3441" s="783">
        <v>1372.99</v>
      </c>
      <c r="S3441" s="783">
        <v>231.72</v>
      </c>
      <c r="T3441" s="783">
        <v>222.59</v>
      </c>
      <c r="U3441" s="785">
        <v>44655.504895833299</v>
      </c>
    </row>
    <row r="3442" spans="1:21">
      <c r="A3442" s="782">
        <v>44655</v>
      </c>
      <c r="B3442" s="783" t="s">
        <v>113</v>
      </c>
      <c r="C3442" s="783" t="s">
        <v>4097</v>
      </c>
      <c r="D3442" s="783" t="s">
        <v>4038</v>
      </c>
      <c r="E3442" s="783" t="s">
        <v>5983</v>
      </c>
      <c r="F3442" s="783" t="s">
        <v>4066</v>
      </c>
      <c r="G3442" s="783" t="str">
        <f t="shared" si="182"/>
        <v>Renewal (15% in 2020)</v>
      </c>
      <c r="H3442" s="783" t="s">
        <v>5984</v>
      </c>
      <c r="I3442" s="783" t="s">
        <v>5985</v>
      </c>
      <c r="J3442" s="783">
        <v>10</v>
      </c>
      <c r="K3442" s="783" t="s">
        <v>183</v>
      </c>
      <c r="L3442" s="783" t="s">
        <v>4096</v>
      </c>
      <c r="M3442" s="784">
        <v>17535</v>
      </c>
      <c r="N3442" s="784">
        <v>15</v>
      </c>
      <c r="O3442" s="784">
        <v>7</v>
      </c>
      <c r="P3442" s="783">
        <v>167</v>
      </c>
      <c r="Q3442" s="783">
        <v>368.24</v>
      </c>
      <c r="R3442" s="783">
        <v>0</v>
      </c>
      <c r="S3442" s="783">
        <v>0</v>
      </c>
      <c r="T3442" s="783">
        <v>368.24</v>
      </c>
      <c r="U3442" s="785">
        <v>44657.619456018503</v>
      </c>
    </row>
    <row r="3443" spans="1:21">
      <c r="A3443" s="782">
        <v>44686</v>
      </c>
      <c r="B3443" s="783" t="s">
        <v>51</v>
      </c>
      <c r="C3443" s="783" t="s">
        <v>4015</v>
      </c>
      <c r="D3443" s="783" t="s">
        <v>4016</v>
      </c>
      <c r="E3443" s="783" t="s">
        <v>2227</v>
      </c>
      <c r="F3443" s="783" t="s">
        <v>4011</v>
      </c>
      <c r="G3443" s="783" t="str">
        <f t="shared" si="182"/>
        <v>Renewal (20% in 2020)</v>
      </c>
      <c r="H3443" s="783" t="s">
        <v>4069</v>
      </c>
      <c r="I3443" s="783" t="s">
        <v>4070</v>
      </c>
      <c r="J3443" s="783">
        <v>20</v>
      </c>
      <c r="K3443" s="783" t="s">
        <v>183</v>
      </c>
      <c r="L3443" s="783" t="s">
        <v>4096</v>
      </c>
      <c r="M3443" s="784">
        <v>2721.6</v>
      </c>
      <c r="N3443" s="784">
        <v>3</v>
      </c>
      <c r="O3443" s="784">
        <v>5.67</v>
      </c>
      <c r="P3443" s="783">
        <v>160</v>
      </c>
      <c r="Q3443" s="783">
        <v>139.35</v>
      </c>
      <c r="R3443" s="783">
        <v>80.290000000000006</v>
      </c>
      <c r="S3443" s="783">
        <v>12.25</v>
      </c>
      <c r="T3443" s="783">
        <v>46.81</v>
      </c>
      <c r="U3443" s="785">
        <v>44687.664907407401</v>
      </c>
    </row>
    <row r="3444" spans="1:21">
      <c r="A3444" s="782">
        <v>44615</v>
      </c>
      <c r="B3444" s="783" t="s">
        <v>41</v>
      </c>
      <c r="C3444" s="783" t="s">
        <v>4139</v>
      </c>
      <c r="D3444" s="783" t="s">
        <v>4009</v>
      </c>
      <c r="E3444" s="783" t="s">
        <v>1583</v>
      </c>
      <c r="F3444" s="783" t="s">
        <v>4011</v>
      </c>
      <c r="G3444" s="783" t="str">
        <f t="shared" si="182"/>
        <v>Renewal (20% in 2020)</v>
      </c>
      <c r="H3444" s="783" t="s">
        <v>5998</v>
      </c>
      <c r="I3444" s="783" t="s">
        <v>5999</v>
      </c>
      <c r="J3444" s="783">
        <v>20</v>
      </c>
      <c r="K3444" s="783" t="s">
        <v>183</v>
      </c>
      <c r="L3444" s="783" t="s">
        <v>4096</v>
      </c>
      <c r="M3444" s="784">
        <v>6780.2</v>
      </c>
      <c r="N3444" s="784">
        <v>7</v>
      </c>
      <c r="O3444" s="784">
        <v>5.8</v>
      </c>
      <c r="P3444" s="783">
        <v>167</v>
      </c>
      <c r="Q3444" s="783">
        <v>375.62</v>
      </c>
      <c r="R3444" s="783">
        <v>225.78</v>
      </c>
      <c r="S3444" s="783">
        <v>33.9</v>
      </c>
      <c r="T3444" s="783">
        <v>115.94</v>
      </c>
      <c r="U3444" s="785">
        <v>44631.511909722198</v>
      </c>
    </row>
    <row r="3445" spans="1:21">
      <c r="A3445" s="782">
        <v>44652</v>
      </c>
      <c r="B3445" s="783" t="s">
        <v>74</v>
      </c>
      <c r="C3445" s="783" t="s">
        <v>4037</v>
      </c>
      <c r="D3445" s="783" t="s">
        <v>4038</v>
      </c>
      <c r="E3445" s="783" t="s">
        <v>4693</v>
      </c>
      <c r="F3445" s="783" t="s">
        <v>4011</v>
      </c>
      <c r="G3445" s="783" t="str">
        <f t="shared" si="182"/>
        <v>Renewal (25% in 2020)</v>
      </c>
      <c r="H3445" s="783" t="s">
        <v>4694</v>
      </c>
      <c r="I3445" s="783" t="s">
        <v>4695</v>
      </c>
      <c r="J3445" s="783">
        <v>25</v>
      </c>
      <c r="K3445" s="783" t="s">
        <v>183</v>
      </c>
      <c r="L3445" s="783" t="s">
        <v>4096</v>
      </c>
      <c r="M3445" s="784">
        <v>25760</v>
      </c>
      <c r="N3445" s="784">
        <v>28</v>
      </c>
      <c r="O3445" s="784">
        <v>4.5999999999999996</v>
      </c>
      <c r="P3445" s="783">
        <v>200</v>
      </c>
      <c r="Q3445" s="783">
        <v>1846.99</v>
      </c>
      <c r="R3445" s="783">
        <v>1034.6099999999999</v>
      </c>
      <c r="S3445" s="783">
        <v>405.37</v>
      </c>
      <c r="T3445" s="783">
        <v>407.01</v>
      </c>
      <c r="U3445" s="785">
        <v>44662.739421296297</v>
      </c>
    </row>
    <row r="3446" spans="1:21">
      <c r="A3446" s="782">
        <v>44564</v>
      </c>
      <c r="B3446" s="783" t="s">
        <v>41</v>
      </c>
      <c r="C3446" s="783" t="s">
        <v>4139</v>
      </c>
      <c r="D3446" s="783" t="s">
        <v>4009</v>
      </c>
      <c r="E3446" s="783" t="s">
        <v>6003</v>
      </c>
      <c r="F3446" s="783" t="s">
        <v>4011</v>
      </c>
      <c r="G3446" s="783" t="str">
        <f t="shared" si="182"/>
        <v>Renewal (25% in 2020)</v>
      </c>
      <c r="H3446" s="783" t="s">
        <v>6004</v>
      </c>
      <c r="I3446" s="783" t="s">
        <v>6005</v>
      </c>
      <c r="J3446" s="783">
        <v>30</v>
      </c>
      <c r="K3446" s="783" t="s">
        <v>183</v>
      </c>
      <c r="L3446" s="783" t="s">
        <v>4096</v>
      </c>
      <c r="M3446" s="784">
        <v>15205.44</v>
      </c>
      <c r="N3446" s="784">
        <v>14.1</v>
      </c>
      <c r="O3446" s="784">
        <v>6.74</v>
      </c>
      <c r="P3446" s="783">
        <v>160</v>
      </c>
      <c r="Q3446" s="783">
        <v>574.77</v>
      </c>
      <c r="R3446" s="783">
        <v>506.34</v>
      </c>
      <c r="S3446" s="783">
        <v>0</v>
      </c>
      <c r="T3446" s="783">
        <v>68.42</v>
      </c>
      <c r="U3446" s="785">
        <v>44631.635127314803</v>
      </c>
    </row>
    <row r="3447" spans="1:21">
      <c r="A3447" s="782">
        <v>44564</v>
      </c>
      <c r="B3447" s="783" t="s">
        <v>30</v>
      </c>
      <c r="C3447" s="783" t="s">
        <v>4239</v>
      </c>
      <c r="D3447" s="783" t="s">
        <v>4021</v>
      </c>
      <c r="E3447" s="783" t="s">
        <v>6006</v>
      </c>
      <c r="F3447" s="783" t="s">
        <v>4066</v>
      </c>
      <c r="G3447" s="783" t="s">
        <v>4028</v>
      </c>
      <c r="H3447" s="783" t="s">
        <v>6007</v>
      </c>
      <c r="I3447" s="783" t="s">
        <v>6008</v>
      </c>
      <c r="J3447" s="783">
        <v>5</v>
      </c>
      <c r="K3447" s="783" t="s">
        <v>183</v>
      </c>
      <c r="L3447" s="783" t="s">
        <v>4096</v>
      </c>
      <c r="M3447" s="784">
        <v>15512</v>
      </c>
      <c r="N3447" s="784">
        <v>13.85</v>
      </c>
      <c r="O3447" s="784">
        <v>7</v>
      </c>
      <c r="P3447" s="783">
        <v>160</v>
      </c>
      <c r="Q3447" s="783">
        <v>335.06</v>
      </c>
      <c r="R3447" s="783">
        <v>0</v>
      </c>
      <c r="S3447" s="783">
        <v>0</v>
      </c>
      <c r="T3447" s="783">
        <v>335.06</v>
      </c>
      <c r="U3447" s="785">
        <v>44631.632187499999</v>
      </c>
    </row>
    <row r="3448" spans="1:21">
      <c r="A3448" s="782">
        <v>44566</v>
      </c>
      <c r="B3448" s="783" t="s">
        <v>113</v>
      </c>
      <c r="C3448" s="783" t="s">
        <v>4606</v>
      </c>
      <c r="D3448" s="783" t="s">
        <v>4009</v>
      </c>
      <c r="E3448" s="783" t="s">
        <v>6009</v>
      </c>
      <c r="F3448" s="783" t="s">
        <v>4011</v>
      </c>
      <c r="G3448" s="783" t="str">
        <f>VLOOKUP(I3448,pacage,2,FALSE)</f>
        <v>Renewal (20% in 2020)</v>
      </c>
      <c r="H3448" s="783" t="s">
        <v>6010</v>
      </c>
      <c r="I3448" s="783" t="s">
        <v>6011</v>
      </c>
      <c r="J3448" s="783">
        <v>25</v>
      </c>
      <c r="K3448" s="783" t="s">
        <v>183</v>
      </c>
      <c r="L3448" s="783" t="s">
        <v>4096</v>
      </c>
      <c r="M3448" s="784">
        <v>1019.54</v>
      </c>
      <c r="N3448" s="784">
        <v>1.5</v>
      </c>
      <c r="O3448" s="784">
        <v>4.07</v>
      </c>
      <c r="P3448" s="783">
        <v>167</v>
      </c>
      <c r="Q3448" s="783">
        <v>67.489999999999995</v>
      </c>
      <c r="R3448" s="783">
        <v>46.29</v>
      </c>
      <c r="S3448" s="783">
        <v>7.24</v>
      </c>
      <c r="T3448" s="783">
        <v>13.97</v>
      </c>
      <c r="U3448" s="785">
        <v>44631.635416666701</v>
      </c>
    </row>
    <row r="3449" spans="1:21">
      <c r="A3449" s="782">
        <v>44560</v>
      </c>
      <c r="B3449" s="783" t="s">
        <v>228</v>
      </c>
      <c r="C3449" s="783" t="s">
        <v>4192</v>
      </c>
      <c r="D3449" s="783" t="s">
        <v>4193</v>
      </c>
      <c r="E3449" s="783" t="s">
        <v>6015</v>
      </c>
      <c r="F3449" s="783" t="s">
        <v>4011</v>
      </c>
      <c r="G3449" s="783" t="s">
        <v>4028</v>
      </c>
      <c r="H3449" s="783" t="s">
        <v>6016</v>
      </c>
      <c r="I3449" s="783" t="s">
        <v>6017</v>
      </c>
      <c r="J3449" s="783">
        <v>25</v>
      </c>
      <c r="K3449" s="783" t="s">
        <v>183</v>
      </c>
      <c r="L3449" s="783" t="s">
        <v>4096</v>
      </c>
      <c r="M3449" s="784">
        <v>28907.42</v>
      </c>
      <c r="N3449" s="784">
        <v>22.06</v>
      </c>
      <c r="O3449" s="784">
        <v>6.24</v>
      </c>
      <c r="P3449" s="783">
        <v>210</v>
      </c>
      <c r="Q3449" s="783">
        <v>1254.58</v>
      </c>
      <c r="R3449" s="783">
        <v>751.72</v>
      </c>
      <c r="S3449" s="783">
        <v>338.09</v>
      </c>
      <c r="T3449" s="783">
        <v>164.77</v>
      </c>
      <c r="U3449" s="785">
        <v>44631.635324074101</v>
      </c>
    </row>
    <row r="3450" spans="1:21">
      <c r="A3450" s="782">
        <v>44568</v>
      </c>
      <c r="B3450" s="783" t="s">
        <v>41</v>
      </c>
      <c r="C3450" s="783" t="s">
        <v>4092</v>
      </c>
      <c r="D3450" s="783" t="s">
        <v>4009</v>
      </c>
      <c r="E3450" s="783" t="s">
        <v>4696</v>
      </c>
      <c r="F3450" s="783" t="s">
        <v>4011</v>
      </c>
      <c r="G3450" s="783" t="str">
        <f>VLOOKUP(I3450,pacage,2,FALSE)</f>
        <v>Renewal (25% in 2020)</v>
      </c>
      <c r="H3450" s="783" t="s">
        <v>4697</v>
      </c>
      <c r="I3450" s="783" t="s">
        <v>4698</v>
      </c>
      <c r="J3450" s="783">
        <v>25</v>
      </c>
      <c r="K3450" s="783" t="s">
        <v>183</v>
      </c>
      <c r="L3450" s="783" t="s">
        <v>4096</v>
      </c>
      <c r="M3450" s="784">
        <v>979.5</v>
      </c>
      <c r="N3450" s="784">
        <v>1</v>
      </c>
      <c r="O3450" s="784">
        <v>6.53</v>
      </c>
      <c r="P3450" s="783">
        <v>150</v>
      </c>
      <c r="Q3450" s="783">
        <v>45.84</v>
      </c>
      <c r="R3450" s="783">
        <v>34.58</v>
      </c>
      <c r="S3450" s="783">
        <v>6.37</v>
      </c>
      <c r="T3450" s="783">
        <v>4.9000000000000004</v>
      </c>
      <c r="U3450" s="785">
        <v>44631.632789351897</v>
      </c>
    </row>
    <row r="3451" spans="1:21">
      <c r="A3451" s="782">
        <v>44559</v>
      </c>
      <c r="B3451" s="783" t="s">
        <v>74</v>
      </c>
      <c r="C3451" s="783" t="s">
        <v>4414</v>
      </c>
      <c r="D3451" s="783" t="s">
        <v>4009</v>
      </c>
      <c r="E3451" s="783" t="s">
        <v>4426</v>
      </c>
      <c r="F3451" s="783" t="s">
        <v>4011</v>
      </c>
      <c r="G3451" s="783" t="s">
        <v>4028</v>
      </c>
      <c r="H3451" s="783" t="s">
        <v>4427</v>
      </c>
      <c r="I3451" s="783" t="s">
        <v>4428</v>
      </c>
      <c r="J3451" s="783">
        <v>20</v>
      </c>
      <c r="K3451" s="783" t="s">
        <v>183</v>
      </c>
      <c r="L3451" s="783" t="s">
        <v>4096</v>
      </c>
      <c r="M3451" s="784">
        <v>11252.8</v>
      </c>
      <c r="N3451" s="784">
        <v>10.82</v>
      </c>
      <c r="O3451" s="784">
        <v>5.2</v>
      </c>
      <c r="P3451" s="783">
        <v>200</v>
      </c>
      <c r="Q3451" s="783">
        <v>940.73</v>
      </c>
      <c r="R3451" s="783">
        <v>418.13</v>
      </c>
      <c r="S3451" s="783">
        <v>162.52000000000001</v>
      </c>
      <c r="T3451" s="783">
        <v>360.09</v>
      </c>
      <c r="U3451" s="785">
        <v>44631.635625000003</v>
      </c>
    </row>
    <row r="3452" spans="1:21">
      <c r="A3452" s="782">
        <v>44560</v>
      </c>
      <c r="B3452" s="783" t="s">
        <v>228</v>
      </c>
      <c r="C3452" s="783" t="s">
        <v>4020</v>
      </c>
      <c r="D3452" s="783" t="s">
        <v>4021</v>
      </c>
      <c r="E3452" s="783" t="s">
        <v>6027</v>
      </c>
      <c r="F3452" s="783" t="s">
        <v>4011</v>
      </c>
      <c r="G3452" s="783" t="s">
        <v>4028</v>
      </c>
      <c r="H3452" s="783" t="s">
        <v>6028</v>
      </c>
      <c r="I3452" s="783" t="s">
        <v>6029</v>
      </c>
      <c r="J3452" s="783">
        <v>30</v>
      </c>
      <c r="K3452" s="783" t="s">
        <v>183</v>
      </c>
      <c r="L3452" s="783" t="s">
        <v>4096</v>
      </c>
      <c r="M3452" s="784">
        <v>4408.8</v>
      </c>
      <c r="N3452" s="784">
        <v>4</v>
      </c>
      <c r="O3452" s="784">
        <v>6.6</v>
      </c>
      <c r="P3452" s="783">
        <v>167</v>
      </c>
      <c r="Q3452" s="783">
        <v>174.59</v>
      </c>
      <c r="R3452" s="783">
        <v>145.93</v>
      </c>
      <c r="S3452" s="783">
        <v>0</v>
      </c>
      <c r="T3452" s="783">
        <v>28.66</v>
      </c>
      <c r="U3452" s="785">
        <v>44631.635833333297</v>
      </c>
    </row>
    <row r="3453" spans="1:21">
      <c r="A3453" s="782">
        <v>44678</v>
      </c>
      <c r="B3453" s="783" t="s">
        <v>47</v>
      </c>
      <c r="C3453" s="783" t="s">
        <v>4101</v>
      </c>
      <c r="D3453" s="783" t="s">
        <v>4102</v>
      </c>
      <c r="E3453" s="783" t="s">
        <v>4702</v>
      </c>
      <c r="F3453" s="783" t="s">
        <v>4011</v>
      </c>
      <c r="G3453" s="783" t="str">
        <f>VLOOKUP(I3453,pacage,2,FALSE)</f>
        <v>Renewal (30% in 2020)</v>
      </c>
      <c r="H3453" s="783" t="s">
        <v>4703</v>
      </c>
      <c r="I3453" s="783" t="s">
        <v>4704</v>
      </c>
      <c r="J3453" s="783">
        <v>30</v>
      </c>
      <c r="K3453" s="783" t="s">
        <v>183</v>
      </c>
      <c r="L3453" s="783" t="s">
        <v>4096</v>
      </c>
      <c r="M3453" s="784">
        <v>21600</v>
      </c>
      <c r="N3453" s="784">
        <v>15</v>
      </c>
      <c r="O3453" s="784">
        <v>8</v>
      </c>
      <c r="P3453" s="783">
        <v>180</v>
      </c>
      <c r="Q3453" s="783">
        <v>676.08</v>
      </c>
      <c r="R3453" s="783">
        <v>541.08000000000004</v>
      </c>
      <c r="S3453" s="783">
        <v>42.12</v>
      </c>
      <c r="T3453" s="783">
        <v>92.88</v>
      </c>
      <c r="U3453" s="785">
        <v>44679.479791666701</v>
      </c>
    </row>
    <row r="3454" spans="1:21">
      <c r="A3454" s="782">
        <v>44564</v>
      </c>
      <c r="B3454" s="783" t="s">
        <v>30</v>
      </c>
      <c r="C3454" s="783" t="s">
        <v>4089</v>
      </c>
      <c r="D3454" s="783" t="s">
        <v>4021</v>
      </c>
      <c r="E3454" s="783" t="s">
        <v>6033</v>
      </c>
      <c r="F3454" s="783" t="s">
        <v>4011</v>
      </c>
      <c r="G3454" s="783" t="str">
        <f>VLOOKUP(I3454,pacage,2,FALSE)</f>
        <v>Renewal (25% in 2020)</v>
      </c>
      <c r="H3454" s="783" t="s">
        <v>6034</v>
      </c>
      <c r="I3454" s="783" t="s">
        <v>6035</v>
      </c>
      <c r="J3454" s="783">
        <v>25</v>
      </c>
      <c r="K3454" s="783" t="s">
        <v>183</v>
      </c>
      <c r="L3454" s="783" t="s">
        <v>4096</v>
      </c>
      <c r="M3454" s="784">
        <v>15136.16</v>
      </c>
      <c r="N3454" s="784">
        <v>9.8800000000000008</v>
      </c>
      <c r="O3454" s="784">
        <v>7.66</v>
      </c>
      <c r="P3454" s="783">
        <v>200</v>
      </c>
      <c r="Q3454" s="783">
        <v>835.52</v>
      </c>
      <c r="R3454" s="783">
        <v>506.81</v>
      </c>
      <c r="S3454" s="783">
        <v>197.02</v>
      </c>
      <c r="T3454" s="783">
        <v>131.68</v>
      </c>
      <c r="U3454" s="785">
        <v>44631.635254629597</v>
      </c>
    </row>
    <row r="3455" spans="1:21">
      <c r="A3455" s="782">
        <v>44561</v>
      </c>
      <c r="B3455" s="783" t="s">
        <v>74</v>
      </c>
      <c r="C3455" s="783" t="s">
        <v>4097</v>
      </c>
      <c r="D3455" s="783" t="s">
        <v>4038</v>
      </c>
      <c r="E3455" s="783" t="s">
        <v>4432</v>
      </c>
      <c r="F3455" s="783" t="s">
        <v>4011</v>
      </c>
      <c r="G3455" s="783" t="s">
        <v>4028</v>
      </c>
      <c r="H3455" s="783" t="s">
        <v>4433</v>
      </c>
      <c r="I3455" s="783" t="s">
        <v>4434</v>
      </c>
      <c r="J3455" s="783">
        <v>20</v>
      </c>
      <c r="K3455" s="783" t="s">
        <v>183</v>
      </c>
      <c r="L3455" s="783" t="s">
        <v>4096</v>
      </c>
      <c r="M3455" s="784">
        <v>5112</v>
      </c>
      <c r="N3455" s="784">
        <v>5.68</v>
      </c>
      <c r="O3455" s="784">
        <v>6</v>
      </c>
      <c r="P3455" s="783">
        <v>150</v>
      </c>
      <c r="Q3455" s="783">
        <v>341.48</v>
      </c>
      <c r="R3455" s="783">
        <v>190.17</v>
      </c>
      <c r="S3455" s="783">
        <v>29.65</v>
      </c>
      <c r="T3455" s="783">
        <v>121.67</v>
      </c>
      <c r="U3455" s="785">
        <v>44631.632303240702</v>
      </c>
    </row>
    <row r="3456" spans="1:21">
      <c r="A3456" s="782">
        <v>44566</v>
      </c>
      <c r="B3456" s="783" t="s">
        <v>74</v>
      </c>
      <c r="C3456" s="783" t="s">
        <v>4037</v>
      </c>
      <c r="D3456" s="783" t="s">
        <v>4038</v>
      </c>
      <c r="E3456" s="783" t="s">
        <v>4197</v>
      </c>
      <c r="F3456" s="783" t="s">
        <v>4011</v>
      </c>
      <c r="G3456" s="783" t="str">
        <f>VLOOKUP(I3456,pacage,2,FALSE)</f>
        <v>Renewal (25% in 2020)</v>
      </c>
      <c r="H3456" s="783" t="s">
        <v>4198</v>
      </c>
      <c r="I3456" s="783" t="s">
        <v>4199</v>
      </c>
      <c r="J3456" s="783">
        <v>25</v>
      </c>
      <c r="K3456" s="783" t="s">
        <v>183</v>
      </c>
      <c r="L3456" s="783" t="s">
        <v>4096</v>
      </c>
      <c r="M3456" s="784">
        <v>12500.81</v>
      </c>
      <c r="N3456" s="784">
        <v>13.75</v>
      </c>
      <c r="O3456" s="784">
        <v>5.51</v>
      </c>
      <c r="P3456" s="783">
        <v>165</v>
      </c>
      <c r="Q3456" s="783">
        <v>896.31</v>
      </c>
      <c r="R3456" s="783">
        <v>601.29</v>
      </c>
      <c r="S3456" s="783">
        <v>97.51</v>
      </c>
      <c r="T3456" s="783">
        <v>197.51</v>
      </c>
      <c r="U3456" s="785">
        <v>44631.632430555597</v>
      </c>
    </row>
    <row r="3457" spans="1:21">
      <c r="A3457" s="782">
        <v>44564</v>
      </c>
      <c r="B3457" s="783" t="s">
        <v>41</v>
      </c>
      <c r="C3457" s="783" t="s">
        <v>4071</v>
      </c>
      <c r="D3457" s="783" t="s">
        <v>4009</v>
      </c>
      <c r="E3457" s="783" t="s">
        <v>6041</v>
      </c>
      <c r="F3457" s="783" t="s">
        <v>4011</v>
      </c>
      <c r="G3457" s="783" t="str">
        <f>VLOOKUP(I3457,pacage,2,FALSE)</f>
        <v>Renewal (20% in 2020)</v>
      </c>
      <c r="H3457" s="783" t="s">
        <v>6042</v>
      </c>
      <c r="I3457" s="783" t="s">
        <v>6043</v>
      </c>
      <c r="J3457" s="783">
        <v>20</v>
      </c>
      <c r="K3457" s="783" t="s">
        <v>183</v>
      </c>
      <c r="L3457" s="783" t="s">
        <v>4096</v>
      </c>
      <c r="M3457" s="784">
        <v>59677.17</v>
      </c>
      <c r="N3457" s="784">
        <v>44.5</v>
      </c>
      <c r="O3457" s="784">
        <v>6.18</v>
      </c>
      <c r="P3457" s="783">
        <v>217</v>
      </c>
      <c r="Q3457" s="783">
        <v>2679.5</v>
      </c>
      <c r="R3457" s="783">
        <v>1240.02</v>
      </c>
      <c r="S3457" s="783">
        <v>609.97</v>
      </c>
      <c r="T3457" s="783">
        <v>829.51</v>
      </c>
      <c r="U3457" s="785">
        <v>44631.632662037002</v>
      </c>
    </row>
    <row r="3458" spans="1:21">
      <c r="A3458" s="782">
        <v>44561</v>
      </c>
      <c r="B3458" s="783" t="s">
        <v>41</v>
      </c>
      <c r="C3458" s="783" t="s">
        <v>4071</v>
      </c>
      <c r="D3458" s="783" t="s">
        <v>4009</v>
      </c>
      <c r="E3458" s="783" t="s">
        <v>6047</v>
      </c>
      <c r="F3458" s="783" t="s">
        <v>4011</v>
      </c>
      <c r="G3458" s="783" t="s">
        <v>4028</v>
      </c>
      <c r="H3458" s="783" t="s">
        <v>6048</v>
      </c>
      <c r="I3458" s="783" t="s">
        <v>6049</v>
      </c>
      <c r="J3458" s="783">
        <v>20</v>
      </c>
      <c r="K3458" s="783" t="s">
        <v>183</v>
      </c>
      <c r="L3458" s="783" t="s">
        <v>4096</v>
      </c>
      <c r="M3458" s="784">
        <v>11776.17</v>
      </c>
      <c r="N3458" s="784">
        <v>11.56</v>
      </c>
      <c r="O3458" s="784">
        <v>6.1</v>
      </c>
      <c r="P3458" s="783">
        <v>167</v>
      </c>
      <c r="Q3458" s="783">
        <v>528.75</v>
      </c>
      <c r="R3458" s="783">
        <v>317.95999999999998</v>
      </c>
      <c r="S3458" s="783">
        <v>47.1</v>
      </c>
      <c r="T3458" s="783">
        <v>163.69</v>
      </c>
      <c r="U3458" s="785">
        <v>44631.635428240697</v>
      </c>
    </row>
    <row r="3459" spans="1:21">
      <c r="A3459" s="782">
        <v>44426</v>
      </c>
      <c r="B3459" s="783" t="s">
        <v>41</v>
      </c>
      <c r="C3459" s="783" t="s">
        <v>4139</v>
      </c>
      <c r="D3459" s="783" t="s">
        <v>4009</v>
      </c>
      <c r="E3459" s="783" t="s">
        <v>40</v>
      </c>
      <c r="F3459" s="783" t="s">
        <v>4011</v>
      </c>
      <c r="G3459" s="783" t="str">
        <f t="shared" ref="G3459:G3485" si="183">VLOOKUP(I3459,pacage,2,FALSE)</f>
        <v>Renewal (15% in 2020)</v>
      </c>
      <c r="H3459" s="783" t="s">
        <v>6056</v>
      </c>
      <c r="I3459" s="783" t="s">
        <v>6057</v>
      </c>
      <c r="J3459" s="783">
        <v>15</v>
      </c>
      <c r="K3459" s="783" t="s">
        <v>183</v>
      </c>
      <c r="L3459" s="783" t="s">
        <v>4096</v>
      </c>
      <c r="M3459" s="784">
        <v>22535.24</v>
      </c>
      <c r="N3459" s="784">
        <v>22.96</v>
      </c>
      <c r="O3459" s="784">
        <v>7.55</v>
      </c>
      <c r="P3459" s="783">
        <v>130</v>
      </c>
      <c r="Q3459" s="783">
        <v>1669.86</v>
      </c>
      <c r="R3459" s="783">
        <v>750.42</v>
      </c>
      <c r="S3459" s="783">
        <v>112.68</v>
      </c>
      <c r="T3459" s="783">
        <v>806.76</v>
      </c>
      <c r="U3459" s="785">
        <v>44631.635393518503</v>
      </c>
    </row>
    <row r="3460" spans="1:21">
      <c r="A3460" s="782">
        <v>44428</v>
      </c>
      <c r="B3460" s="783" t="s">
        <v>30</v>
      </c>
      <c r="C3460" s="783" t="s">
        <v>4089</v>
      </c>
      <c r="D3460" s="783" t="s">
        <v>4021</v>
      </c>
      <c r="E3460" s="783" t="s">
        <v>6064</v>
      </c>
      <c r="F3460" s="783" t="s">
        <v>4011</v>
      </c>
      <c r="G3460" s="783" t="str">
        <f t="shared" si="183"/>
        <v>Renewal (20% in 2020)</v>
      </c>
      <c r="H3460" s="783" t="s">
        <v>6065</v>
      </c>
      <c r="I3460" s="783" t="s">
        <v>6066</v>
      </c>
      <c r="J3460" s="783">
        <v>20</v>
      </c>
      <c r="K3460" s="783" t="s">
        <v>183</v>
      </c>
      <c r="L3460" s="783" t="s">
        <v>4096</v>
      </c>
      <c r="M3460" s="784">
        <v>8704.3799999999992</v>
      </c>
      <c r="N3460" s="784">
        <v>9.5</v>
      </c>
      <c r="O3460" s="784">
        <v>7.33</v>
      </c>
      <c r="P3460" s="783">
        <v>125</v>
      </c>
      <c r="Q3460" s="783">
        <v>613.66</v>
      </c>
      <c r="R3460" s="783">
        <v>349.05</v>
      </c>
      <c r="S3460" s="783">
        <v>55.71</v>
      </c>
      <c r="T3460" s="783">
        <v>208.9</v>
      </c>
      <c r="U3460" s="785">
        <v>44631.635717592602</v>
      </c>
    </row>
    <row r="3461" spans="1:21">
      <c r="A3461" s="782">
        <v>44426</v>
      </c>
      <c r="B3461" s="783" t="s">
        <v>51</v>
      </c>
      <c r="C3461" s="783" t="s">
        <v>4042</v>
      </c>
      <c r="D3461" s="783" t="s">
        <v>4016</v>
      </c>
      <c r="E3461" s="783" t="s">
        <v>6067</v>
      </c>
      <c r="F3461" s="783" t="s">
        <v>4011</v>
      </c>
      <c r="G3461" s="783" t="str">
        <f t="shared" si="183"/>
        <v>Renewal (25% in 2020)</v>
      </c>
      <c r="H3461" s="783" t="s">
        <v>6068</v>
      </c>
      <c r="I3461" s="783" t="s">
        <v>6069</v>
      </c>
      <c r="J3461" s="783">
        <v>25</v>
      </c>
      <c r="K3461" s="783" t="s">
        <v>183</v>
      </c>
      <c r="L3461" s="783" t="s">
        <v>4096</v>
      </c>
      <c r="M3461" s="784">
        <v>33201.43</v>
      </c>
      <c r="N3461" s="784">
        <v>35.03</v>
      </c>
      <c r="O3461" s="784">
        <v>6.77</v>
      </c>
      <c r="P3461" s="783">
        <v>140</v>
      </c>
      <c r="Q3461" s="783">
        <v>1450.9</v>
      </c>
      <c r="R3461" s="783">
        <v>1085.69</v>
      </c>
      <c r="S3461" s="783">
        <v>169.33</v>
      </c>
      <c r="T3461" s="783">
        <v>195.89</v>
      </c>
      <c r="U3461" s="785">
        <v>44631.635752314804</v>
      </c>
    </row>
    <row r="3462" spans="1:21">
      <c r="A3462" s="782">
        <v>44424</v>
      </c>
      <c r="B3462" s="783" t="s">
        <v>228</v>
      </c>
      <c r="C3462" s="783" t="s">
        <v>4020</v>
      </c>
      <c r="D3462" s="783" t="s">
        <v>4021</v>
      </c>
      <c r="E3462" s="783" t="s">
        <v>1026</v>
      </c>
      <c r="F3462" s="783" t="s">
        <v>4011</v>
      </c>
      <c r="G3462" s="783" t="str">
        <f t="shared" si="183"/>
        <v>Renewal (20% in 2020)</v>
      </c>
      <c r="H3462" s="783" t="s">
        <v>4242</v>
      </c>
      <c r="I3462" s="783" t="s">
        <v>4243</v>
      </c>
      <c r="J3462" s="783">
        <v>20</v>
      </c>
      <c r="K3462" s="783" t="s">
        <v>183</v>
      </c>
      <c r="L3462" s="783" t="s">
        <v>4096</v>
      </c>
      <c r="M3462" s="784">
        <v>42195.96</v>
      </c>
      <c r="N3462" s="784">
        <v>35.340000000000003</v>
      </c>
      <c r="O3462" s="784">
        <v>5.97</v>
      </c>
      <c r="P3462" s="783">
        <v>200</v>
      </c>
      <c r="Q3462" s="783">
        <v>2417.83</v>
      </c>
      <c r="R3462" s="783">
        <v>1166.23</v>
      </c>
      <c r="S3462" s="783">
        <v>445.65</v>
      </c>
      <c r="T3462" s="783">
        <v>805.94</v>
      </c>
      <c r="U3462" s="785">
        <v>44631.632581018501</v>
      </c>
    </row>
    <row r="3463" spans="1:21">
      <c r="A3463" s="782">
        <v>44447</v>
      </c>
      <c r="B3463" s="783" t="s">
        <v>118</v>
      </c>
      <c r="C3463" s="783" t="s">
        <v>4139</v>
      </c>
      <c r="D3463" s="783" t="s">
        <v>4009</v>
      </c>
      <c r="E3463" s="783" t="s">
        <v>117</v>
      </c>
      <c r="F3463" s="783" t="s">
        <v>4011</v>
      </c>
      <c r="G3463" s="783" t="str">
        <f t="shared" si="183"/>
        <v>Renewal (15% in 2020)</v>
      </c>
      <c r="H3463" s="783" t="s">
        <v>4200</v>
      </c>
      <c r="I3463" s="783" t="s">
        <v>4201</v>
      </c>
      <c r="J3463" s="783">
        <v>15</v>
      </c>
      <c r="K3463" s="783" t="s">
        <v>183</v>
      </c>
      <c r="L3463" s="783" t="s">
        <v>4096</v>
      </c>
      <c r="M3463" s="784">
        <v>29206.45</v>
      </c>
      <c r="N3463" s="784">
        <v>32.75</v>
      </c>
      <c r="O3463" s="784">
        <v>6.37</v>
      </c>
      <c r="P3463" s="783">
        <v>140</v>
      </c>
      <c r="Q3463" s="783">
        <v>2164.1999999999998</v>
      </c>
      <c r="R3463" s="783">
        <v>972.57</v>
      </c>
      <c r="S3463" s="783">
        <v>146.03</v>
      </c>
      <c r="T3463" s="783">
        <v>1045.5899999999999</v>
      </c>
      <c r="U3463" s="785">
        <v>44631.632511574098</v>
      </c>
    </row>
    <row r="3464" spans="1:21">
      <c r="A3464" s="782">
        <v>44525</v>
      </c>
      <c r="B3464" s="783" t="s">
        <v>41</v>
      </c>
      <c r="C3464" s="783" t="s">
        <v>4082</v>
      </c>
      <c r="D3464" s="783" t="s">
        <v>4009</v>
      </c>
      <c r="E3464" s="783" t="s">
        <v>774</v>
      </c>
      <c r="F3464" s="783" t="s">
        <v>4011</v>
      </c>
      <c r="G3464" s="783" t="str">
        <f t="shared" si="183"/>
        <v>Renewal (30% in 2020)</v>
      </c>
      <c r="H3464" s="783" t="s">
        <v>6075</v>
      </c>
      <c r="I3464" s="783" t="s">
        <v>6076</v>
      </c>
      <c r="J3464" s="783">
        <v>30</v>
      </c>
      <c r="K3464" s="783" t="s">
        <v>183</v>
      </c>
      <c r="L3464" s="783" t="s">
        <v>4096</v>
      </c>
      <c r="M3464" s="784">
        <v>29138.080000000002</v>
      </c>
      <c r="N3464" s="784">
        <v>21.52</v>
      </c>
      <c r="O3464" s="784">
        <v>6.77</v>
      </c>
      <c r="P3464" s="783">
        <v>200</v>
      </c>
      <c r="Q3464" s="783">
        <v>1133.47</v>
      </c>
      <c r="R3464" s="783">
        <v>829.66</v>
      </c>
      <c r="S3464" s="783">
        <v>163.95</v>
      </c>
      <c r="T3464" s="783">
        <v>139.86000000000001</v>
      </c>
      <c r="U3464" s="785">
        <v>44631.633125</v>
      </c>
    </row>
    <row r="3465" spans="1:21">
      <c r="A3465" s="782">
        <v>44531</v>
      </c>
      <c r="B3465" s="783" t="s">
        <v>65</v>
      </c>
      <c r="C3465" s="783" t="s">
        <v>6077</v>
      </c>
      <c r="D3465" s="783" t="s">
        <v>6078</v>
      </c>
      <c r="E3465" s="783" t="s">
        <v>2427</v>
      </c>
      <c r="F3465" s="783" t="s">
        <v>4011</v>
      </c>
      <c r="G3465" s="783" t="str">
        <f t="shared" si="183"/>
        <v>Renewal (20% in 2020)</v>
      </c>
      <c r="H3465" s="783" t="s">
        <v>6079</v>
      </c>
      <c r="I3465" s="783" t="s">
        <v>6080</v>
      </c>
      <c r="J3465" s="783">
        <v>20</v>
      </c>
      <c r="K3465" s="783" t="s">
        <v>183</v>
      </c>
      <c r="L3465" s="783" t="s">
        <v>4096</v>
      </c>
      <c r="M3465" s="784">
        <v>5583.06</v>
      </c>
      <c r="N3465" s="784">
        <v>4.9000000000000004</v>
      </c>
      <c r="O3465" s="784">
        <v>6.33</v>
      </c>
      <c r="P3465" s="783">
        <v>180</v>
      </c>
      <c r="Q3465" s="783">
        <v>250.12</v>
      </c>
      <c r="R3465" s="783">
        <v>132.6</v>
      </c>
      <c r="S3465" s="783">
        <v>38.24</v>
      </c>
      <c r="T3465" s="783">
        <v>79.28</v>
      </c>
      <c r="U3465" s="785">
        <v>44631.633020833302</v>
      </c>
    </row>
    <row r="3466" spans="1:21">
      <c r="A3466" s="782">
        <v>44523</v>
      </c>
      <c r="B3466" s="783" t="s">
        <v>41</v>
      </c>
      <c r="C3466" s="783" t="s">
        <v>4071</v>
      </c>
      <c r="D3466" s="783" t="s">
        <v>4009</v>
      </c>
      <c r="E3466" s="783" t="s">
        <v>303</v>
      </c>
      <c r="F3466" s="783" t="s">
        <v>4011</v>
      </c>
      <c r="G3466" s="783" t="str">
        <f t="shared" si="183"/>
        <v>Renewal (15% in 2020)</v>
      </c>
      <c r="H3466" s="783" t="s">
        <v>6081</v>
      </c>
      <c r="I3466" s="783" t="s">
        <v>6082</v>
      </c>
      <c r="J3466" s="783">
        <v>15</v>
      </c>
      <c r="K3466" s="783" t="s">
        <v>183</v>
      </c>
      <c r="L3466" s="783" t="s">
        <v>4096</v>
      </c>
      <c r="M3466" s="784">
        <v>16787.59</v>
      </c>
      <c r="N3466" s="784">
        <v>13.85</v>
      </c>
      <c r="O3466" s="784">
        <v>7.13</v>
      </c>
      <c r="P3466" s="783">
        <v>170</v>
      </c>
      <c r="Q3466" s="783">
        <v>1007.26</v>
      </c>
      <c r="R3466" s="783">
        <v>445.27</v>
      </c>
      <c r="S3466" s="783">
        <v>75.150000000000006</v>
      </c>
      <c r="T3466" s="783">
        <v>486.84</v>
      </c>
      <c r="U3466" s="785">
        <v>44631.635451388902</v>
      </c>
    </row>
    <row r="3467" spans="1:21">
      <c r="A3467" s="782">
        <v>44533</v>
      </c>
      <c r="B3467" s="783" t="s">
        <v>4025</v>
      </c>
      <c r="C3467" s="783" t="s">
        <v>4026</v>
      </c>
      <c r="D3467" s="783" t="s">
        <v>4021</v>
      </c>
      <c r="E3467" s="783" t="s">
        <v>6083</v>
      </c>
      <c r="F3467" s="783" t="s">
        <v>4011</v>
      </c>
      <c r="G3467" s="783" t="str">
        <f t="shared" si="183"/>
        <v>New Contract</v>
      </c>
      <c r="H3467" s="783" t="s">
        <v>6084</v>
      </c>
      <c r="I3467" s="783" t="s">
        <v>6085</v>
      </c>
      <c r="J3467" s="783">
        <v>25</v>
      </c>
      <c r="K3467" s="783" t="s">
        <v>183</v>
      </c>
      <c r="L3467" s="783" t="s">
        <v>4096</v>
      </c>
      <c r="M3467" s="784">
        <v>27880.6</v>
      </c>
      <c r="N3467" s="784">
        <v>22</v>
      </c>
      <c r="O3467" s="784">
        <v>6.67</v>
      </c>
      <c r="P3467" s="783">
        <v>190</v>
      </c>
      <c r="Q3467" s="783">
        <v>1580.83</v>
      </c>
      <c r="R3467" s="783">
        <v>1012.08</v>
      </c>
      <c r="S3467" s="783">
        <v>317.82</v>
      </c>
      <c r="T3467" s="783">
        <v>250.93</v>
      </c>
      <c r="U3467" s="785">
        <v>44631.6328587963</v>
      </c>
    </row>
    <row r="3468" spans="1:21">
      <c r="A3468" s="782">
        <v>44526</v>
      </c>
      <c r="B3468" s="783" t="s">
        <v>971</v>
      </c>
      <c r="C3468" s="783" t="s">
        <v>4082</v>
      </c>
      <c r="D3468" s="783" t="s">
        <v>4009</v>
      </c>
      <c r="E3468" s="783" t="s">
        <v>6088</v>
      </c>
      <c r="F3468" s="783" t="s">
        <v>4011</v>
      </c>
      <c r="G3468" s="783" t="str">
        <f t="shared" si="183"/>
        <v>Renewal (20% in 2020)</v>
      </c>
      <c r="H3468" s="783" t="s">
        <v>6089</v>
      </c>
      <c r="I3468" s="783" t="s">
        <v>6090</v>
      </c>
      <c r="J3468" s="783">
        <v>20</v>
      </c>
      <c r="K3468" s="783" t="s">
        <v>183</v>
      </c>
      <c r="L3468" s="783" t="s">
        <v>4096</v>
      </c>
      <c r="M3468" s="784">
        <v>24805.24</v>
      </c>
      <c r="N3468" s="784">
        <v>17.059999999999999</v>
      </c>
      <c r="O3468" s="784">
        <v>7.27</v>
      </c>
      <c r="P3468" s="783">
        <v>200</v>
      </c>
      <c r="Q3468" s="783">
        <v>1451.11</v>
      </c>
      <c r="R3468" s="783">
        <v>706.29</v>
      </c>
      <c r="S3468" s="783">
        <v>293.36</v>
      </c>
      <c r="T3468" s="783">
        <v>451.46</v>
      </c>
      <c r="U3468" s="785">
        <v>44631.635567129597</v>
      </c>
    </row>
    <row r="3469" spans="1:21">
      <c r="A3469" s="782">
        <v>44522</v>
      </c>
      <c r="B3469" s="783" t="s">
        <v>51</v>
      </c>
      <c r="C3469" s="783" t="s">
        <v>4042</v>
      </c>
      <c r="D3469" s="783" t="s">
        <v>4016</v>
      </c>
      <c r="E3469" s="783" t="s">
        <v>6091</v>
      </c>
      <c r="F3469" s="783" t="s">
        <v>4011</v>
      </c>
      <c r="G3469" s="783" t="str">
        <f t="shared" si="183"/>
        <v>Renewal (25% in 2020)</v>
      </c>
      <c r="H3469" s="783" t="s">
        <v>6092</v>
      </c>
      <c r="I3469" s="783" t="s">
        <v>6093</v>
      </c>
      <c r="J3469" s="783">
        <v>25</v>
      </c>
      <c r="K3469" s="783" t="s">
        <v>183</v>
      </c>
      <c r="L3469" s="783" t="s">
        <v>4096</v>
      </c>
      <c r="M3469" s="784">
        <v>69385.81</v>
      </c>
      <c r="N3469" s="784">
        <v>54.17</v>
      </c>
      <c r="O3469" s="784">
        <v>7.67</v>
      </c>
      <c r="P3469" s="783">
        <v>167</v>
      </c>
      <c r="Q3469" s="783">
        <v>3032.16</v>
      </c>
      <c r="R3469" s="783">
        <v>2268.92</v>
      </c>
      <c r="S3469" s="783">
        <v>353.87</v>
      </c>
      <c r="T3469" s="783">
        <v>409.38</v>
      </c>
      <c r="U3469" s="785">
        <v>44631.635787036997</v>
      </c>
    </row>
    <row r="3470" spans="1:21">
      <c r="A3470" s="782">
        <v>44527</v>
      </c>
      <c r="B3470" s="783" t="s">
        <v>3078</v>
      </c>
      <c r="C3470" s="783" t="s">
        <v>4414</v>
      </c>
      <c r="D3470" s="783" t="s">
        <v>4009</v>
      </c>
      <c r="E3470" s="783" t="s">
        <v>1029</v>
      </c>
      <c r="F3470" s="783" t="s">
        <v>4011</v>
      </c>
      <c r="G3470" s="783" t="str">
        <f t="shared" si="183"/>
        <v>Renewal (15% in 2020)</v>
      </c>
      <c r="H3470" s="783" t="s">
        <v>6094</v>
      </c>
      <c r="I3470" s="783" t="s">
        <v>6095</v>
      </c>
      <c r="J3470" s="783">
        <v>15</v>
      </c>
      <c r="K3470" s="783" t="s">
        <v>183</v>
      </c>
      <c r="L3470" s="783" t="s">
        <v>4096</v>
      </c>
      <c r="M3470" s="784">
        <v>12394.14</v>
      </c>
      <c r="N3470" s="784">
        <v>9.7899999999999991</v>
      </c>
      <c r="O3470" s="784">
        <v>6.33</v>
      </c>
      <c r="P3470" s="783">
        <v>200</v>
      </c>
      <c r="Q3470" s="783">
        <v>1349.72</v>
      </c>
      <c r="R3470" s="783">
        <v>460.54</v>
      </c>
      <c r="S3470" s="783">
        <v>179</v>
      </c>
      <c r="T3470" s="783">
        <v>710.18</v>
      </c>
      <c r="U3470" s="785">
        <v>44631.6330787037</v>
      </c>
    </row>
    <row r="3471" spans="1:21">
      <c r="A3471" s="782">
        <v>44529</v>
      </c>
      <c r="B3471" s="783" t="s">
        <v>3078</v>
      </c>
      <c r="C3471" s="783" t="s">
        <v>4414</v>
      </c>
      <c r="D3471" s="783" t="s">
        <v>4009</v>
      </c>
      <c r="E3471" s="783" t="s">
        <v>1032</v>
      </c>
      <c r="F3471" s="783" t="s">
        <v>4011</v>
      </c>
      <c r="G3471" s="783" t="str">
        <f t="shared" si="183"/>
        <v>Renewal (15% in 2020)</v>
      </c>
      <c r="H3471" s="783" t="s">
        <v>6096</v>
      </c>
      <c r="I3471" s="783" t="s">
        <v>6097</v>
      </c>
      <c r="J3471" s="783">
        <v>15</v>
      </c>
      <c r="K3471" s="783" t="s">
        <v>183</v>
      </c>
      <c r="L3471" s="783" t="s">
        <v>4096</v>
      </c>
      <c r="M3471" s="784">
        <v>7081.2</v>
      </c>
      <c r="N3471" s="784">
        <v>5.62</v>
      </c>
      <c r="O3471" s="784">
        <v>6.3</v>
      </c>
      <c r="P3471" s="783">
        <v>200</v>
      </c>
      <c r="Q3471" s="783">
        <v>771.14</v>
      </c>
      <c r="R3471" s="783">
        <v>263.12</v>
      </c>
      <c r="S3471" s="783">
        <v>102.27</v>
      </c>
      <c r="T3471" s="783">
        <v>405.75</v>
      </c>
      <c r="U3471" s="785">
        <v>44631.632696759298</v>
      </c>
    </row>
    <row r="3472" spans="1:21">
      <c r="A3472" s="782">
        <v>44533</v>
      </c>
      <c r="B3472" s="783" t="s">
        <v>4025</v>
      </c>
      <c r="C3472" s="783" t="s">
        <v>4026</v>
      </c>
      <c r="D3472" s="783" t="s">
        <v>4021</v>
      </c>
      <c r="E3472" s="783" t="s">
        <v>6104</v>
      </c>
      <c r="F3472" s="783" t="s">
        <v>4011</v>
      </c>
      <c r="G3472" s="783" t="str">
        <f t="shared" si="183"/>
        <v>New Contract</v>
      </c>
      <c r="H3472" s="783" t="s">
        <v>6105</v>
      </c>
      <c r="I3472" s="783" t="s">
        <v>6106</v>
      </c>
      <c r="J3472" s="783">
        <v>25</v>
      </c>
      <c r="K3472" s="783" t="s">
        <v>183</v>
      </c>
      <c r="L3472" s="783" t="s">
        <v>4096</v>
      </c>
      <c r="M3472" s="784">
        <v>99931.85</v>
      </c>
      <c r="N3472" s="784">
        <v>64.3</v>
      </c>
      <c r="O3472" s="784">
        <v>7.97</v>
      </c>
      <c r="P3472" s="783">
        <v>195</v>
      </c>
      <c r="Q3472" s="783">
        <v>5666.14</v>
      </c>
      <c r="R3472" s="783">
        <v>3534.56</v>
      </c>
      <c r="S3472" s="783">
        <v>1232.19</v>
      </c>
      <c r="T3472" s="783">
        <v>899.39</v>
      </c>
      <c r="U3472" s="785">
        <v>44631.635833333297</v>
      </c>
    </row>
    <row r="3473" spans="1:21">
      <c r="A3473" s="782">
        <v>44531</v>
      </c>
      <c r="B3473" s="783" t="s">
        <v>41</v>
      </c>
      <c r="C3473" s="783" t="s">
        <v>4139</v>
      </c>
      <c r="D3473" s="783" t="s">
        <v>4009</v>
      </c>
      <c r="E3473" s="783" t="s">
        <v>6107</v>
      </c>
      <c r="F3473" s="783" t="s">
        <v>4011</v>
      </c>
      <c r="G3473" s="783" t="str">
        <f t="shared" si="183"/>
        <v>Renewal (25% in 2020)</v>
      </c>
      <c r="H3473" s="783" t="s">
        <v>6108</v>
      </c>
      <c r="I3473" s="783" t="s">
        <v>6109</v>
      </c>
      <c r="J3473" s="783">
        <v>25</v>
      </c>
      <c r="K3473" s="783" t="s">
        <v>183</v>
      </c>
      <c r="L3473" s="783" t="s">
        <v>4096</v>
      </c>
      <c r="M3473" s="784">
        <v>17947.8</v>
      </c>
      <c r="N3473" s="784">
        <v>15.34</v>
      </c>
      <c r="O3473" s="784">
        <v>6.5</v>
      </c>
      <c r="P3473" s="783">
        <v>180</v>
      </c>
      <c r="Q3473" s="783">
        <v>768.17</v>
      </c>
      <c r="R3473" s="783">
        <v>554.5</v>
      </c>
      <c r="S3473" s="783">
        <v>132.9</v>
      </c>
      <c r="T3473" s="783">
        <v>80.77</v>
      </c>
      <c r="U3473" s="785">
        <v>44631.632986111101</v>
      </c>
    </row>
    <row r="3474" spans="1:21">
      <c r="A3474" s="782">
        <v>44540</v>
      </c>
      <c r="B3474" s="783" t="s">
        <v>74</v>
      </c>
      <c r="C3474" s="783" t="s">
        <v>4097</v>
      </c>
      <c r="D3474" s="783" t="s">
        <v>4038</v>
      </c>
      <c r="E3474" s="783" t="s">
        <v>4446</v>
      </c>
      <c r="F3474" s="783" t="s">
        <v>4011</v>
      </c>
      <c r="G3474" s="783" t="str">
        <f t="shared" si="183"/>
        <v>New Contract</v>
      </c>
      <c r="H3474" s="783" t="s">
        <v>4447</v>
      </c>
      <c r="I3474" s="783" t="s">
        <v>4448</v>
      </c>
      <c r="J3474" s="783">
        <v>25</v>
      </c>
      <c r="K3474" s="783" t="s">
        <v>183</v>
      </c>
      <c r="L3474" s="783" t="s">
        <v>4096</v>
      </c>
      <c r="M3474" s="784">
        <v>5092.28</v>
      </c>
      <c r="N3474" s="784">
        <v>5.62</v>
      </c>
      <c r="O3474" s="784">
        <v>5.33</v>
      </c>
      <c r="P3474" s="783">
        <v>170</v>
      </c>
      <c r="Q3474" s="783">
        <v>267.85000000000002</v>
      </c>
      <c r="R3474" s="783">
        <v>186.09</v>
      </c>
      <c r="S3474" s="783">
        <v>32.880000000000003</v>
      </c>
      <c r="T3474" s="783">
        <v>48.89</v>
      </c>
      <c r="U3474" s="785">
        <v>44631.633125</v>
      </c>
    </row>
    <row r="3475" spans="1:21">
      <c r="A3475" s="782">
        <v>44524</v>
      </c>
      <c r="B3475" s="783" t="s">
        <v>41</v>
      </c>
      <c r="C3475" s="783" t="s">
        <v>4008</v>
      </c>
      <c r="D3475" s="783" t="s">
        <v>4009</v>
      </c>
      <c r="E3475" s="783" t="s">
        <v>7068</v>
      </c>
      <c r="F3475" s="783" t="s">
        <v>4011</v>
      </c>
      <c r="G3475" s="783" t="str">
        <f t="shared" si="183"/>
        <v>Renewal (25% in 2020)</v>
      </c>
      <c r="H3475" s="783" t="s">
        <v>7069</v>
      </c>
      <c r="I3475" s="783" t="s">
        <v>7070</v>
      </c>
      <c r="J3475" s="783">
        <v>30</v>
      </c>
      <c r="K3475" s="783" t="s">
        <v>183</v>
      </c>
      <c r="L3475" s="783" t="s">
        <v>4096</v>
      </c>
      <c r="M3475" s="784">
        <v>5583.76</v>
      </c>
      <c r="N3475" s="784">
        <v>7.67</v>
      </c>
      <c r="O3475" s="784">
        <v>5.2</v>
      </c>
      <c r="P3475" s="783">
        <v>140</v>
      </c>
      <c r="Q3475" s="783">
        <v>251.83</v>
      </c>
      <c r="R3475" s="783">
        <v>202.13</v>
      </c>
      <c r="S3475" s="783">
        <v>0</v>
      </c>
      <c r="T3475" s="783">
        <v>49.7</v>
      </c>
      <c r="U3475" s="785">
        <v>44631.6333101852</v>
      </c>
    </row>
    <row r="3476" spans="1:21">
      <c r="A3476" s="782">
        <v>44529</v>
      </c>
      <c r="B3476" s="783" t="s">
        <v>41</v>
      </c>
      <c r="C3476" s="783" t="s">
        <v>4139</v>
      </c>
      <c r="D3476" s="783" t="s">
        <v>4009</v>
      </c>
      <c r="E3476" s="783" t="s">
        <v>4202</v>
      </c>
      <c r="F3476" s="783" t="s">
        <v>4011</v>
      </c>
      <c r="G3476" s="783" t="str">
        <f t="shared" si="183"/>
        <v>Renewal (15% in 2020)</v>
      </c>
      <c r="H3476" s="783" t="s">
        <v>4203</v>
      </c>
      <c r="I3476" s="783" t="s">
        <v>4204</v>
      </c>
      <c r="J3476" s="783">
        <v>15</v>
      </c>
      <c r="K3476" s="783" t="s">
        <v>183</v>
      </c>
      <c r="L3476" s="783" t="s">
        <v>4096</v>
      </c>
      <c r="M3476" s="784">
        <v>13264.46</v>
      </c>
      <c r="N3476" s="784">
        <v>11.66</v>
      </c>
      <c r="O3476" s="784">
        <v>5.24</v>
      </c>
      <c r="P3476" s="783">
        <v>217.1</v>
      </c>
      <c r="Q3476" s="783">
        <v>982.9</v>
      </c>
      <c r="R3476" s="783">
        <v>339.77</v>
      </c>
      <c r="S3476" s="783">
        <v>168.25</v>
      </c>
      <c r="T3476" s="783">
        <v>474.87</v>
      </c>
      <c r="U3476" s="785">
        <v>44631.632881944402</v>
      </c>
    </row>
    <row r="3477" spans="1:21">
      <c r="A3477" s="782">
        <v>44524</v>
      </c>
      <c r="B3477" s="783" t="s">
        <v>113</v>
      </c>
      <c r="C3477" s="783" t="s">
        <v>4602</v>
      </c>
      <c r="D3477" s="783" t="s">
        <v>4038</v>
      </c>
      <c r="E3477" s="783" t="s">
        <v>364</v>
      </c>
      <c r="F3477" s="783" t="s">
        <v>4011</v>
      </c>
      <c r="G3477" s="783" t="str">
        <f t="shared" si="183"/>
        <v>Renewal (20% in 2020)</v>
      </c>
      <c r="H3477" s="783" t="s">
        <v>6121</v>
      </c>
      <c r="I3477" s="783" t="s">
        <v>6122</v>
      </c>
      <c r="J3477" s="783">
        <v>20</v>
      </c>
      <c r="K3477" s="783" t="s">
        <v>183</v>
      </c>
      <c r="L3477" s="783" t="s">
        <v>4096</v>
      </c>
      <c r="M3477" s="784">
        <v>88061.74</v>
      </c>
      <c r="N3477" s="784">
        <v>75.010000000000005</v>
      </c>
      <c r="O3477" s="784">
        <v>5.87</v>
      </c>
      <c r="P3477" s="783">
        <v>200</v>
      </c>
      <c r="Q3477" s="783">
        <v>3777.85</v>
      </c>
      <c r="R3477" s="783">
        <v>1772.11</v>
      </c>
      <c r="S3477" s="783">
        <v>772.87</v>
      </c>
      <c r="T3477" s="783">
        <v>1232.8599999999999</v>
      </c>
      <c r="U3477" s="785">
        <v>44655.399363425902</v>
      </c>
    </row>
    <row r="3478" spans="1:21">
      <c r="A3478" s="782">
        <v>44527</v>
      </c>
      <c r="B3478" s="783" t="s">
        <v>41</v>
      </c>
      <c r="C3478" s="783" t="s">
        <v>4082</v>
      </c>
      <c r="D3478" s="783" t="s">
        <v>4009</v>
      </c>
      <c r="E3478" s="783" t="s">
        <v>6123</v>
      </c>
      <c r="F3478" s="783" t="s">
        <v>4011</v>
      </c>
      <c r="G3478" s="783" t="str">
        <f t="shared" si="183"/>
        <v>Renewal (30% in 2020)</v>
      </c>
      <c r="H3478" s="783" t="s">
        <v>6124</v>
      </c>
      <c r="I3478" s="783" t="s">
        <v>6125</v>
      </c>
      <c r="J3478" s="783">
        <v>30</v>
      </c>
      <c r="K3478" s="783" t="s">
        <v>183</v>
      </c>
      <c r="L3478" s="783" t="s">
        <v>4096</v>
      </c>
      <c r="M3478" s="784">
        <v>3554.25</v>
      </c>
      <c r="N3478" s="784">
        <v>2.5</v>
      </c>
      <c r="O3478" s="784">
        <v>6.77</v>
      </c>
      <c r="P3478" s="783">
        <v>210</v>
      </c>
      <c r="Q3478" s="783">
        <v>138.26</v>
      </c>
      <c r="R3478" s="783">
        <v>96.38</v>
      </c>
      <c r="S3478" s="783">
        <v>24.82</v>
      </c>
      <c r="T3478" s="783">
        <v>17.059999999999999</v>
      </c>
      <c r="U3478" s="785">
        <v>44631.636006944398</v>
      </c>
    </row>
    <row r="3479" spans="1:21">
      <c r="A3479" s="782">
        <v>44532</v>
      </c>
      <c r="B3479" s="783" t="s">
        <v>47</v>
      </c>
      <c r="C3479" s="783" t="s">
        <v>4244</v>
      </c>
      <c r="D3479" s="783" t="s">
        <v>4102</v>
      </c>
      <c r="E3479" s="783" t="s">
        <v>6126</v>
      </c>
      <c r="F3479" s="783" t="s">
        <v>4011</v>
      </c>
      <c r="G3479" s="783" t="str">
        <f t="shared" si="183"/>
        <v>Renewal (20% in 2020)</v>
      </c>
      <c r="H3479" s="783" t="s">
        <v>6127</v>
      </c>
      <c r="I3479" s="783" t="s">
        <v>6128</v>
      </c>
      <c r="J3479" s="783">
        <v>20</v>
      </c>
      <c r="K3479" s="783" t="s">
        <v>183</v>
      </c>
      <c r="L3479" s="783" t="s">
        <v>4096</v>
      </c>
      <c r="M3479" s="784">
        <v>23533.65</v>
      </c>
      <c r="N3479" s="784">
        <v>15.5</v>
      </c>
      <c r="O3479" s="784">
        <v>7.23</v>
      </c>
      <c r="P3479" s="783">
        <v>210</v>
      </c>
      <c r="Q3479" s="783">
        <v>1186.0999999999999</v>
      </c>
      <c r="R3479" s="783">
        <v>559.57000000000005</v>
      </c>
      <c r="S3479" s="783">
        <v>252.34</v>
      </c>
      <c r="T3479" s="783">
        <v>374.19</v>
      </c>
      <c r="U3479" s="785">
        <v>44631.633067129602</v>
      </c>
    </row>
    <row r="3480" spans="1:21">
      <c r="A3480" s="782">
        <v>44536</v>
      </c>
      <c r="B3480" s="783" t="s">
        <v>4025</v>
      </c>
      <c r="C3480" s="783" t="s">
        <v>4026</v>
      </c>
      <c r="D3480" s="783" t="s">
        <v>4021</v>
      </c>
      <c r="E3480" s="783" t="s">
        <v>4205</v>
      </c>
      <c r="F3480" s="783" t="s">
        <v>4011</v>
      </c>
      <c r="G3480" s="783" t="str">
        <f t="shared" si="183"/>
        <v>New contract</v>
      </c>
      <c r="H3480" s="783" t="s">
        <v>4206</v>
      </c>
      <c r="I3480" s="783" t="s">
        <v>4207</v>
      </c>
      <c r="J3480" s="783">
        <v>25</v>
      </c>
      <c r="K3480" s="783" t="s">
        <v>183</v>
      </c>
      <c r="L3480" s="783" t="s">
        <v>4096</v>
      </c>
      <c r="M3480" s="784">
        <v>9963</v>
      </c>
      <c r="N3480" s="784">
        <v>11.07</v>
      </c>
      <c r="O3480" s="784">
        <v>5</v>
      </c>
      <c r="P3480" s="783">
        <v>180</v>
      </c>
      <c r="Q3480" s="783">
        <v>564.9</v>
      </c>
      <c r="R3480" s="783">
        <v>381.75</v>
      </c>
      <c r="S3480" s="783">
        <v>93.48</v>
      </c>
      <c r="T3480" s="783">
        <v>89.67</v>
      </c>
      <c r="U3480" s="785">
        <v>44631.633067129602</v>
      </c>
    </row>
    <row r="3481" spans="1:21">
      <c r="A3481" s="782">
        <v>44606</v>
      </c>
      <c r="B3481" s="783" t="s">
        <v>47</v>
      </c>
      <c r="C3481" s="783" t="s">
        <v>4244</v>
      </c>
      <c r="D3481" s="783" t="s">
        <v>4102</v>
      </c>
      <c r="E3481" s="783" t="s">
        <v>3013</v>
      </c>
      <c r="F3481" s="783" t="s">
        <v>4011</v>
      </c>
      <c r="G3481" s="783" t="str">
        <f t="shared" si="183"/>
        <v>Renewal (25% in 2020)</v>
      </c>
      <c r="H3481" s="783" t="s">
        <v>6135</v>
      </c>
      <c r="I3481" s="783" t="s">
        <v>6136</v>
      </c>
      <c r="J3481" s="783">
        <v>25</v>
      </c>
      <c r="K3481" s="783" t="s">
        <v>183</v>
      </c>
      <c r="L3481" s="783" t="s">
        <v>4096</v>
      </c>
      <c r="M3481" s="784">
        <v>72025.2</v>
      </c>
      <c r="N3481" s="784">
        <v>46.17</v>
      </c>
      <c r="O3481" s="784">
        <v>7.8</v>
      </c>
      <c r="P3481" s="783">
        <v>200</v>
      </c>
      <c r="Q3481" s="783">
        <v>2823.39</v>
      </c>
      <c r="R3481" s="783">
        <v>1798.22</v>
      </c>
      <c r="S3481" s="783">
        <v>686.65</v>
      </c>
      <c r="T3481" s="783">
        <v>338.52</v>
      </c>
      <c r="U3481" s="785">
        <v>44631.6358680556</v>
      </c>
    </row>
    <row r="3482" spans="1:21">
      <c r="A3482" s="782">
        <v>44531</v>
      </c>
      <c r="B3482" s="783" t="s">
        <v>51</v>
      </c>
      <c r="C3482" s="783" t="s">
        <v>4042</v>
      </c>
      <c r="D3482" s="783" t="s">
        <v>4016</v>
      </c>
      <c r="E3482" s="783" t="s">
        <v>1531</v>
      </c>
      <c r="F3482" s="783" t="s">
        <v>4011</v>
      </c>
      <c r="G3482" s="783" t="str">
        <f t="shared" si="183"/>
        <v>Renewal (20% in 2020)</v>
      </c>
      <c r="H3482" s="783" t="s">
        <v>6139</v>
      </c>
      <c r="I3482" s="783" t="s">
        <v>6140</v>
      </c>
      <c r="J3482" s="783">
        <v>20</v>
      </c>
      <c r="K3482" s="783" t="s">
        <v>183</v>
      </c>
      <c r="L3482" s="783" t="s">
        <v>4096</v>
      </c>
      <c r="M3482" s="784">
        <v>22386</v>
      </c>
      <c r="N3482" s="784">
        <v>26</v>
      </c>
      <c r="O3482" s="784">
        <v>6.15</v>
      </c>
      <c r="P3482" s="783">
        <v>140</v>
      </c>
      <c r="Q3482" s="783">
        <v>1253.6199999999999</v>
      </c>
      <c r="R3482" s="783">
        <v>732.02</v>
      </c>
      <c r="S3482" s="783">
        <v>114.17</v>
      </c>
      <c r="T3482" s="783">
        <v>407.43</v>
      </c>
      <c r="U3482" s="785">
        <v>44631.633125</v>
      </c>
    </row>
    <row r="3483" spans="1:21">
      <c r="A3483" s="782">
        <v>44533</v>
      </c>
      <c r="B3483" s="783" t="s">
        <v>47</v>
      </c>
      <c r="C3483" s="783" t="s">
        <v>4244</v>
      </c>
      <c r="D3483" s="783" t="s">
        <v>4102</v>
      </c>
      <c r="E3483" s="783" t="s">
        <v>6141</v>
      </c>
      <c r="F3483" s="783" t="s">
        <v>4011</v>
      </c>
      <c r="G3483" s="783" t="str">
        <f t="shared" si="183"/>
        <v>Renewal (20% in 2020)</v>
      </c>
      <c r="H3483" s="783" t="s">
        <v>6142</v>
      </c>
      <c r="I3483" s="783" t="s">
        <v>6143</v>
      </c>
      <c r="J3483" s="783">
        <v>20</v>
      </c>
      <c r="K3483" s="783" t="s">
        <v>183</v>
      </c>
      <c r="L3483" s="783" t="s">
        <v>4096</v>
      </c>
      <c r="M3483" s="784">
        <v>20830.82</v>
      </c>
      <c r="N3483" s="784">
        <v>11.98</v>
      </c>
      <c r="O3483" s="784">
        <v>8.2799999999999994</v>
      </c>
      <c r="P3483" s="783">
        <v>210</v>
      </c>
      <c r="Q3483" s="783">
        <v>1049.8699999999999</v>
      </c>
      <c r="R3483" s="783">
        <v>495.31</v>
      </c>
      <c r="S3483" s="783">
        <v>223.36</v>
      </c>
      <c r="T3483" s="783">
        <v>331.21</v>
      </c>
      <c r="U3483" s="785">
        <v>44631.635543981502</v>
      </c>
    </row>
    <row r="3484" spans="1:21">
      <c r="A3484" s="782">
        <v>44524</v>
      </c>
      <c r="B3484" s="783" t="s">
        <v>30</v>
      </c>
      <c r="C3484" s="783" t="s">
        <v>5213</v>
      </c>
      <c r="D3484" s="783" t="s">
        <v>4021</v>
      </c>
      <c r="E3484" s="783" t="s">
        <v>4769</v>
      </c>
      <c r="F3484" s="783" t="s">
        <v>4011</v>
      </c>
      <c r="G3484" s="783" t="str">
        <f t="shared" si="183"/>
        <v>Renewal (30% in 2020)</v>
      </c>
      <c r="H3484" s="783" t="s">
        <v>4770</v>
      </c>
      <c r="I3484" s="783" t="s">
        <v>4771</v>
      </c>
      <c r="J3484" s="783">
        <v>30</v>
      </c>
      <c r="K3484" s="783" t="s">
        <v>183</v>
      </c>
      <c r="L3484" s="783" t="s">
        <v>4096</v>
      </c>
      <c r="M3484" s="784">
        <v>12505.73</v>
      </c>
      <c r="N3484" s="784">
        <v>14.55</v>
      </c>
      <c r="O3484" s="784">
        <v>5.73</v>
      </c>
      <c r="P3484" s="783">
        <v>150</v>
      </c>
      <c r="Q3484" s="783">
        <v>734.09</v>
      </c>
      <c r="R3484" s="783">
        <v>610.28</v>
      </c>
      <c r="S3484" s="783">
        <v>0</v>
      </c>
      <c r="T3484" s="783">
        <v>123.81</v>
      </c>
      <c r="U3484" s="785">
        <v>44631.635775463001</v>
      </c>
    </row>
    <row r="3485" spans="1:21">
      <c r="A3485" s="782">
        <v>44540</v>
      </c>
      <c r="B3485" s="783" t="s">
        <v>113</v>
      </c>
      <c r="C3485" s="783" t="s">
        <v>4376</v>
      </c>
      <c r="D3485" s="783" t="s">
        <v>4038</v>
      </c>
      <c r="E3485" s="783" t="s">
        <v>4717</v>
      </c>
      <c r="F3485" s="783" t="s">
        <v>4011</v>
      </c>
      <c r="G3485" s="783" t="str">
        <f t="shared" si="183"/>
        <v>New Contract</v>
      </c>
      <c r="H3485" s="783" t="s">
        <v>4718</v>
      </c>
      <c r="I3485" s="783" t="s">
        <v>4719</v>
      </c>
      <c r="J3485" s="783">
        <v>20</v>
      </c>
      <c r="K3485" s="783" t="s">
        <v>183</v>
      </c>
      <c r="L3485" s="783" t="s">
        <v>4096</v>
      </c>
      <c r="M3485" s="784">
        <v>19488</v>
      </c>
      <c r="N3485" s="784">
        <v>16</v>
      </c>
      <c r="O3485" s="784">
        <v>6.09</v>
      </c>
      <c r="P3485" s="783">
        <v>200</v>
      </c>
      <c r="Q3485" s="783">
        <v>1769.51</v>
      </c>
      <c r="R3485" s="783">
        <v>812</v>
      </c>
      <c r="S3485" s="783">
        <v>316.36</v>
      </c>
      <c r="T3485" s="783">
        <v>641.16</v>
      </c>
      <c r="U3485" s="785">
        <v>44631.636122685202</v>
      </c>
    </row>
    <row r="3486" spans="1:21">
      <c r="A3486" s="782">
        <v>44536</v>
      </c>
      <c r="B3486" s="783" t="s">
        <v>41</v>
      </c>
      <c r="C3486" s="783" t="s">
        <v>4092</v>
      </c>
      <c r="D3486" s="783" t="s">
        <v>4009</v>
      </c>
      <c r="E3486" s="783" t="s">
        <v>4211</v>
      </c>
      <c r="F3486" s="783" t="s">
        <v>4011</v>
      </c>
      <c r="G3486" s="783" t="s">
        <v>4028</v>
      </c>
      <c r="H3486" s="783" t="s">
        <v>4212</v>
      </c>
      <c r="I3486" s="783" t="s">
        <v>4213</v>
      </c>
      <c r="J3486" s="783">
        <v>20</v>
      </c>
      <c r="K3486" s="783" t="s">
        <v>183</v>
      </c>
      <c r="L3486" s="783" t="s">
        <v>4096</v>
      </c>
      <c r="M3486" s="784">
        <v>8487.1200000000008</v>
      </c>
      <c r="N3486" s="784">
        <v>9.83</v>
      </c>
      <c r="O3486" s="784">
        <v>5.17</v>
      </c>
      <c r="P3486" s="783">
        <v>167</v>
      </c>
      <c r="Q3486" s="783">
        <v>513.47</v>
      </c>
      <c r="R3486" s="783">
        <v>299.60000000000002</v>
      </c>
      <c r="S3486" s="783">
        <v>55.17</v>
      </c>
      <c r="T3486" s="783">
        <v>158.71</v>
      </c>
      <c r="U3486" s="785">
        <v>44631.636064814797</v>
      </c>
    </row>
    <row r="3487" spans="1:21">
      <c r="A3487" s="782">
        <v>44533</v>
      </c>
      <c r="B3487" s="783" t="s">
        <v>41</v>
      </c>
      <c r="C3487" s="783" t="s">
        <v>4071</v>
      </c>
      <c r="D3487" s="783" t="s">
        <v>4009</v>
      </c>
      <c r="E3487" s="783" t="s">
        <v>2811</v>
      </c>
      <c r="F3487" s="783" t="s">
        <v>4011</v>
      </c>
      <c r="G3487" s="783" t="str">
        <f t="shared" ref="G3487:G3495" si="184">VLOOKUP(I3487,pacage,2,FALSE)</f>
        <v>Renewal (15% in 2020)</v>
      </c>
      <c r="H3487" s="783" t="s">
        <v>6144</v>
      </c>
      <c r="I3487" s="783" t="s">
        <v>6145</v>
      </c>
      <c r="J3487" s="783">
        <v>15</v>
      </c>
      <c r="K3487" s="783" t="s">
        <v>183</v>
      </c>
      <c r="L3487" s="783" t="s">
        <v>4096</v>
      </c>
      <c r="M3487" s="784">
        <v>6672.12</v>
      </c>
      <c r="N3487" s="784">
        <v>7.05</v>
      </c>
      <c r="O3487" s="784">
        <v>6.76</v>
      </c>
      <c r="P3487" s="783">
        <v>140</v>
      </c>
      <c r="Q3487" s="783">
        <v>400.33</v>
      </c>
      <c r="R3487" s="783">
        <v>180.15</v>
      </c>
      <c r="S3487" s="783">
        <v>26.69</v>
      </c>
      <c r="T3487" s="783">
        <v>193.49</v>
      </c>
      <c r="U3487" s="785">
        <v>44631.636145833298</v>
      </c>
    </row>
    <row r="3488" spans="1:21">
      <c r="A3488" s="782">
        <v>44532</v>
      </c>
      <c r="B3488" s="783" t="s">
        <v>41</v>
      </c>
      <c r="C3488" s="783" t="s">
        <v>4092</v>
      </c>
      <c r="D3488" s="783" t="s">
        <v>4009</v>
      </c>
      <c r="E3488" s="783" t="s">
        <v>6149</v>
      </c>
      <c r="F3488" s="783" t="s">
        <v>4011</v>
      </c>
      <c r="G3488" s="783" t="str">
        <f t="shared" si="184"/>
        <v>Renewal (25% in 2020)</v>
      </c>
      <c r="H3488" s="783" t="s">
        <v>6150</v>
      </c>
      <c r="I3488" s="783" t="s">
        <v>6151</v>
      </c>
      <c r="J3488" s="783">
        <v>25</v>
      </c>
      <c r="K3488" s="783" t="s">
        <v>183</v>
      </c>
      <c r="L3488" s="783" t="s">
        <v>4096</v>
      </c>
      <c r="M3488" s="784">
        <v>25034.94</v>
      </c>
      <c r="N3488" s="784">
        <v>23.31</v>
      </c>
      <c r="O3488" s="784">
        <v>5.37</v>
      </c>
      <c r="P3488" s="783">
        <v>200</v>
      </c>
      <c r="Q3488" s="783">
        <v>1171.6400000000001</v>
      </c>
      <c r="R3488" s="783">
        <v>737.92</v>
      </c>
      <c r="S3488" s="783">
        <v>308.54000000000002</v>
      </c>
      <c r="T3488" s="783">
        <v>125.17</v>
      </c>
      <c r="U3488" s="785">
        <v>44672.6337152778</v>
      </c>
    </row>
    <row r="3489" spans="1:21">
      <c r="A3489" s="782">
        <v>44434</v>
      </c>
      <c r="B3489" s="783" t="s">
        <v>51</v>
      </c>
      <c r="C3489" s="783" t="s">
        <v>4042</v>
      </c>
      <c r="D3489" s="783" t="s">
        <v>4016</v>
      </c>
      <c r="E3489" s="783" t="s">
        <v>6155</v>
      </c>
      <c r="F3489" s="783" t="s">
        <v>4011</v>
      </c>
      <c r="G3489" s="783" t="str">
        <f t="shared" si="184"/>
        <v>Renewal (30% in 2020)</v>
      </c>
      <c r="H3489" s="783" t="s">
        <v>6156</v>
      </c>
      <c r="I3489" s="783" t="s">
        <v>6157</v>
      </c>
      <c r="J3489" s="783">
        <v>30</v>
      </c>
      <c r="K3489" s="783" t="s">
        <v>183</v>
      </c>
      <c r="L3489" s="783" t="s">
        <v>4096</v>
      </c>
      <c r="M3489" s="784">
        <v>22542.720000000001</v>
      </c>
      <c r="N3489" s="784">
        <v>23.6</v>
      </c>
      <c r="O3489" s="784">
        <v>5.97</v>
      </c>
      <c r="P3489" s="783">
        <v>160</v>
      </c>
      <c r="Q3489" s="783">
        <v>870.15</v>
      </c>
      <c r="R3489" s="783">
        <v>737.15</v>
      </c>
      <c r="S3489" s="783">
        <v>0</v>
      </c>
      <c r="T3489" s="783">
        <v>133</v>
      </c>
      <c r="U3489" s="785">
        <v>44631.636157407404</v>
      </c>
    </row>
    <row r="3490" spans="1:21">
      <c r="A3490" s="782">
        <v>44456</v>
      </c>
      <c r="B3490" s="783" t="s">
        <v>30</v>
      </c>
      <c r="C3490" s="783" t="s">
        <v>5974</v>
      </c>
      <c r="D3490" s="783" t="s">
        <v>4021</v>
      </c>
      <c r="E3490" s="783" t="s">
        <v>6158</v>
      </c>
      <c r="F3490" s="783" t="s">
        <v>4011</v>
      </c>
      <c r="G3490" s="783" t="str">
        <f t="shared" si="184"/>
        <v>Renewal (15% in 2020)</v>
      </c>
      <c r="H3490" s="783" t="s">
        <v>6159</v>
      </c>
      <c r="I3490" s="783" t="s">
        <v>6160</v>
      </c>
      <c r="J3490" s="783">
        <v>15</v>
      </c>
      <c r="K3490" s="783" t="s">
        <v>183</v>
      </c>
      <c r="L3490" s="783" t="s">
        <v>4096</v>
      </c>
      <c r="M3490" s="784">
        <v>9524.25</v>
      </c>
      <c r="N3490" s="784">
        <v>8.5</v>
      </c>
      <c r="O3490" s="784">
        <v>7.47</v>
      </c>
      <c r="P3490" s="783">
        <v>150</v>
      </c>
      <c r="Q3490" s="783">
        <v>801.94</v>
      </c>
      <c r="R3490" s="783">
        <v>325.73</v>
      </c>
      <c r="S3490" s="783">
        <v>75.239999999999995</v>
      </c>
      <c r="T3490" s="783">
        <v>400.97</v>
      </c>
      <c r="U3490" s="785">
        <v>44631.636354166701</v>
      </c>
    </row>
    <row r="3491" spans="1:21">
      <c r="A3491" s="782">
        <v>44456</v>
      </c>
      <c r="B3491" s="783" t="s">
        <v>30</v>
      </c>
      <c r="C3491" s="783" t="s">
        <v>7113</v>
      </c>
      <c r="D3491" s="783" t="s">
        <v>4016</v>
      </c>
      <c r="E3491" s="783" t="s">
        <v>6158</v>
      </c>
      <c r="F3491" s="783" t="s">
        <v>4011</v>
      </c>
      <c r="G3491" s="783" t="str">
        <f t="shared" si="184"/>
        <v>Renewal (15% in 2020)</v>
      </c>
      <c r="H3491" s="783" t="s">
        <v>6159</v>
      </c>
      <c r="I3491" s="783" t="s">
        <v>6160</v>
      </c>
      <c r="J3491" s="783">
        <v>15</v>
      </c>
      <c r="K3491" s="783" t="s">
        <v>183</v>
      </c>
      <c r="L3491" s="783" t="s">
        <v>4096</v>
      </c>
      <c r="M3491" s="784">
        <v>6882</v>
      </c>
      <c r="N3491" s="784">
        <v>6.2</v>
      </c>
      <c r="O3491" s="784">
        <v>7.4</v>
      </c>
      <c r="P3491" s="783">
        <v>150</v>
      </c>
      <c r="Q3491" s="783">
        <v>526.47</v>
      </c>
      <c r="R3491" s="783">
        <v>229.17</v>
      </c>
      <c r="S3491" s="783">
        <v>35.79</v>
      </c>
      <c r="T3491" s="783">
        <v>261.52</v>
      </c>
      <c r="U3491" s="785">
        <v>44631.636354166701</v>
      </c>
    </row>
    <row r="3492" spans="1:21">
      <c r="A3492" s="782">
        <v>44435</v>
      </c>
      <c r="B3492" s="783" t="s">
        <v>41</v>
      </c>
      <c r="C3492" s="783" t="s">
        <v>4092</v>
      </c>
      <c r="D3492" s="783" t="s">
        <v>4009</v>
      </c>
      <c r="E3492" s="783" t="s">
        <v>927</v>
      </c>
      <c r="F3492" s="783" t="s">
        <v>4011</v>
      </c>
      <c r="G3492" s="783" t="str">
        <f t="shared" si="184"/>
        <v>Renewal (15% in 2020)</v>
      </c>
      <c r="H3492" s="783" t="s">
        <v>6161</v>
      </c>
      <c r="I3492" s="783" t="s">
        <v>6162</v>
      </c>
      <c r="J3492" s="783">
        <v>15</v>
      </c>
      <c r="K3492" s="783" t="s">
        <v>183</v>
      </c>
      <c r="L3492" s="783" t="s">
        <v>4096</v>
      </c>
      <c r="M3492" s="784">
        <v>35926.5</v>
      </c>
      <c r="N3492" s="784">
        <v>43</v>
      </c>
      <c r="O3492" s="784">
        <v>5.57</v>
      </c>
      <c r="P3492" s="783">
        <v>150</v>
      </c>
      <c r="Q3492" s="783">
        <v>2910.05</v>
      </c>
      <c r="R3492" s="783">
        <v>1268.21</v>
      </c>
      <c r="S3492" s="783">
        <v>233.52</v>
      </c>
      <c r="T3492" s="783">
        <v>1408.32</v>
      </c>
      <c r="U3492" s="785">
        <v>44631.635891203703</v>
      </c>
    </row>
    <row r="3493" spans="1:21">
      <c r="A3493" s="782">
        <v>44437</v>
      </c>
      <c r="B3493" s="783" t="s">
        <v>51</v>
      </c>
      <c r="C3493" s="783" t="s">
        <v>4796</v>
      </c>
      <c r="D3493" s="783" t="s">
        <v>4016</v>
      </c>
      <c r="E3493" s="783" t="s">
        <v>1435</v>
      </c>
      <c r="F3493" s="783" t="s">
        <v>4011</v>
      </c>
      <c r="G3493" s="783" t="str">
        <f t="shared" si="184"/>
        <v>Renewal (15% in 2020)</v>
      </c>
      <c r="H3493" s="783" t="s">
        <v>6163</v>
      </c>
      <c r="I3493" s="783" t="s">
        <v>6164</v>
      </c>
      <c r="J3493" s="783">
        <v>15</v>
      </c>
      <c r="K3493" s="783" t="s">
        <v>183</v>
      </c>
      <c r="L3493" s="783" t="s">
        <v>4096</v>
      </c>
      <c r="M3493" s="784">
        <v>39989.46</v>
      </c>
      <c r="N3493" s="784">
        <v>30.51</v>
      </c>
      <c r="O3493" s="784">
        <v>7.71</v>
      </c>
      <c r="P3493" s="783">
        <v>170</v>
      </c>
      <c r="Q3493" s="783">
        <v>2747.28</v>
      </c>
      <c r="R3493" s="783">
        <v>1182.44</v>
      </c>
      <c r="S3493" s="783">
        <v>205.19</v>
      </c>
      <c r="T3493" s="783">
        <v>1359.64</v>
      </c>
      <c r="U3493" s="785">
        <v>44631.633125</v>
      </c>
    </row>
    <row r="3494" spans="1:21">
      <c r="A3494" s="782">
        <v>44435</v>
      </c>
      <c r="B3494" s="783" t="s">
        <v>4025</v>
      </c>
      <c r="C3494" s="783" t="s">
        <v>4026</v>
      </c>
      <c r="D3494" s="783" t="s">
        <v>4021</v>
      </c>
      <c r="E3494" s="783" t="s">
        <v>6165</v>
      </c>
      <c r="F3494" s="783" t="s">
        <v>4011</v>
      </c>
      <c r="G3494" s="783" t="str">
        <f t="shared" si="184"/>
        <v>New Contract</v>
      </c>
      <c r="H3494" s="783" t="s">
        <v>6166</v>
      </c>
      <c r="I3494" s="783" t="s">
        <v>6167</v>
      </c>
      <c r="J3494" s="783">
        <v>20</v>
      </c>
      <c r="K3494" s="783" t="s">
        <v>183</v>
      </c>
      <c r="L3494" s="783" t="s">
        <v>4096</v>
      </c>
      <c r="M3494" s="784">
        <v>33189.120000000003</v>
      </c>
      <c r="N3494" s="784">
        <v>28.81</v>
      </c>
      <c r="O3494" s="784">
        <v>6.4</v>
      </c>
      <c r="P3494" s="783">
        <v>180</v>
      </c>
      <c r="Q3494" s="783">
        <v>2402.89</v>
      </c>
      <c r="R3494" s="783">
        <v>1271.71</v>
      </c>
      <c r="S3494" s="783">
        <v>311.41000000000003</v>
      </c>
      <c r="T3494" s="783">
        <v>819.77</v>
      </c>
      <c r="U3494" s="785">
        <v>44631.636284722197</v>
      </c>
    </row>
    <row r="3495" spans="1:21">
      <c r="A3495" s="782">
        <v>44434</v>
      </c>
      <c r="B3495" s="783" t="s">
        <v>41</v>
      </c>
      <c r="C3495" s="783" t="s">
        <v>4092</v>
      </c>
      <c r="D3495" s="783" t="s">
        <v>4009</v>
      </c>
      <c r="E3495" s="783" t="s">
        <v>79</v>
      </c>
      <c r="F3495" s="783" t="s">
        <v>4011</v>
      </c>
      <c r="G3495" s="783" t="str">
        <f t="shared" si="184"/>
        <v>Renewal (20% in 2020)</v>
      </c>
      <c r="H3495" s="783" t="s">
        <v>6168</v>
      </c>
      <c r="I3495" s="783" t="s">
        <v>6169</v>
      </c>
      <c r="J3495" s="783">
        <v>20</v>
      </c>
      <c r="K3495" s="783" t="s">
        <v>183</v>
      </c>
      <c r="L3495" s="783" t="s">
        <v>4096</v>
      </c>
      <c r="M3495" s="784">
        <v>33405.9</v>
      </c>
      <c r="N3495" s="784">
        <v>42.02</v>
      </c>
      <c r="O3495" s="784">
        <v>5.3</v>
      </c>
      <c r="P3495" s="783">
        <v>150</v>
      </c>
      <c r="Q3495" s="783">
        <v>2021.06</v>
      </c>
      <c r="R3495" s="783">
        <v>1179.23</v>
      </c>
      <c r="S3495" s="783">
        <v>217.14</v>
      </c>
      <c r="T3495" s="783">
        <v>624.69000000000005</v>
      </c>
      <c r="U3495" s="785">
        <v>44631.6334837963</v>
      </c>
    </row>
    <row r="3496" spans="1:21">
      <c r="A3496" s="782">
        <v>44589</v>
      </c>
      <c r="B3496" s="783" t="s">
        <v>4025</v>
      </c>
      <c r="C3496" s="783" t="s">
        <v>4026</v>
      </c>
      <c r="D3496" s="783" t="s">
        <v>4021</v>
      </c>
      <c r="E3496" s="783" t="s">
        <v>6170</v>
      </c>
      <c r="F3496" s="783" t="s">
        <v>4011</v>
      </c>
      <c r="G3496" s="783" t="s">
        <v>4028</v>
      </c>
      <c r="H3496" s="783" t="s">
        <v>6171</v>
      </c>
      <c r="I3496" s="783" t="s">
        <v>6172</v>
      </c>
      <c r="J3496" s="783">
        <v>25</v>
      </c>
      <c r="K3496" s="783" t="s">
        <v>183</v>
      </c>
      <c r="L3496" s="783" t="s">
        <v>4096</v>
      </c>
      <c r="M3496" s="784">
        <v>33919.199999999997</v>
      </c>
      <c r="N3496" s="784">
        <v>28</v>
      </c>
      <c r="O3496" s="784">
        <v>6.73</v>
      </c>
      <c r="P3496" s="783">
        <v>180</v>
      </c>
      <c r="Q3496" s="783">
        <v>1923.22</v>
      </c>
      <c r="R3496" s="783">
        <v>1299.69</v>
      </c>
      <c r="S3496" s="783">
        <v>318.26</v>
      </c>
      <c r="T3496" s="783">
        <v>305.27</v>
      </c>
      <c r="U3496" s="785">
        <v>44631.636053240698</v>
      </c>
    </row>
    <row r="3497" spans="1:21">
      <c r="A3497" s="782">
        <v>44587</v>
      </c>
      <c r="B3497" s="783" t="s">
        <v>41</v>
      </c>
      <c r="C3497" s="783" t="s">
        <v>4092</v>
      </c>
      <c r="D3497" s="783" t="s">
        <v>4009</v>
      </c>
      <c r="E3497" s="783" t="s">
        <v>6176</v>
      </c>
      <c r="F3497" s="783" t="s">
        <v>4011</v>
      </c>
      <c r="G3497" s="783" t="s">
        <v>4028</v>
      </c>
      <c r="H3497" s="783" t="s">
        <v>6177</v>
      </c>
      <c r="I3497" s="783" t="s">
        <v>6178</v>
      </c>
      <c r="J3497" s="783">
        <v>25</v>
      </c>
      <c r="K3497" s="783" t="s">
        <v>183</v>
      </c>
      <c r="L3497" s="783" t="s">
        <v>4096</v>
      </c>
      <c r="M3497" s="784">
        <v>5564.52</v>
      </c>
      <c r="N3497" s="784">
        <v>5.8</v>
      </c>
      <c r="O3497" s="784">
        <v>5.33</v>
      </c>
      <c r="P3497" s="783">
        <v>180</v>
      </c>
      <c r="Q3497" s="783">
        <v>260.42</v>
      </c>
      <c r="R3497" s="783">
        <v>182.24</v>
      </c>
      <c r="S3497" s="783">
        <v>50.36</v>
      </c>
      <c r="T3497" s="783">
        <v>27.82</v>
      </c>
      <c r="U3497" s="785">
        <v>44631.633472222202</v>
      </c>
    </row>
    <row r="3498" spans="1:21">
      <c r="A3498" s="782">
        <v>44462</v>
      </c>
      <c r="B3498" s="783" t="s">
        <v>51</v>
      </c>
      <c r="C3498" s="783" t="s">
        <v>4042</v>
      </c>
      <c r="D3498" s="783" t="s">
        <v>4016</v>
      </c>
      <c r="E3498" s="783" t="s">
        <v>6183</v>
      </c>
      <c r="F3498" s="783" t="s">
        <v>4011</v>
      </c>
      <c r="G3498" s="783" t="str">
        <f>VLOOKUP(I3498,pacage,2,FALSE)</f>
        <v>Renewal (30% in 2020)</v>
      </c>
      <c r="H3498" s="783" t="s">
        <v>6184</v>
      </c>
      <c r="I3498" s="783" t="s">
        <v>6185</v>
      </c>
      <c r="J3498" s="783">
        <v>30</v>
      </c>
      <c r="K3498" s="783" t="s">
        <v>183</v>
      </c>
      <c r="L3498" s="783" t="s">
        <v>4096</v>
      </c>
      <c r="M3498" s="784">
        <v>24384.36</v>
      </c>
      <c r="N3498" s="784">
        <v>29.4</v>
      </c>
      <c r="O3498" s="784">
        <v>6.38</v>
      </c>
      <c r="P3498" s="783">
        <v>130</v>
      </c>
      <c r="Q3498" s="783">
        <v>941.24</v>
      </c>
      <c r="R3498" s="783">
        <v>797.37</v>
      </c>
      <c r="S3498" s="783">
        <v>0</v>
      </c>
      <c r="T3498" s="783">
        <v>143.87</v>
      </c>
      <c r="U3498" s="785">
        <v>44631.636134259301</v>
      </c>
    </row>
    <row r="3499" spans="1:21">
      <c r="A3499" s="782">
        <v>44624</v>
      </c>
      <c r="B3499" s="783" t="s">
        <v>41</v>
      </c>
      <c r="C3499" s="783" t="s">
        <v>4008</v>
      </c>
      <c r="D3499" s="783" t="s">
        <v>4009</v>
      </c>
      <c r="E3499" s="783" t="s">
        <v>6188</v>
      </c>
      <c r="F3499" s="783" t="s">
        <v>4011</v>
      </c>
      <c r="G3499" s="783" t="str">
        <f>VLOOKUP(I3499,pacage,2,FALSE)</f>
        <v>Renewal (20% in 2020)</v>
      </c>
      <c r="H3499" s="783" t="s">
        <v>6189</v>
      </c>
      <c r="I3499" s="783" t="s">
        <v>6190</v>
      </c>
      <c r="J3499" s="783">
        <v>20</v>
      </c>
      <c r="K3499" s="783" t="s">
        <v>183</v>
      </c>
      <c r="L3499" s="783" t="s">
        <v>4096</v>
      </c>
      <c r="M3499" s="784">
        <v>22817.86</v>
      </c>
      <c r="N3499" s="784">
        <v>28.31</v>
      </c>
      <c r="O3499" s="784">
        <v>5.2</v>
      </c>
      <c r="P3499" s="783">
        <v>155</v>
      </c>
      <c r="Q3499" s="783">
        <v>1471.75</v>
      </c>
      <c r="R3499" s="783">
        <v>826.01</v>
      </c>
      <c r="S3499" s="783">
        <v>132.34</v>
      </c>
      <c r="T3499" s="783">
        <v>513.4</v>
      </c>
      <c r="U3499" s="785">
        <v>44631.638449074097</v>
      </c>
    </row>
    <row r="3500" spans="1:21">
      <c r="A3500" s="782">
        <v>44578</v>
      </c>
      <c r="B3500" s="783" t="s">
        <v>4025</v>
      </c>
      <c r="C3500" s="783" t="s">
        <v>4026</v>
      </c>
      <c r="D3500" s="783" t="s">
        <v>4021</v>
      </c>
      <c r="E3500" s="783" t="s">
        <v>6193</v>
      </c>
      <c r="F3500" s="783" t="s">
        <v>4011</v>
      </c>
      <c r="G3500" s="783" t="s">
        <v>4028</v>
      </c>
      <c r="H3500" s="783" t="s">
        <v>6194</v>
      </c>
      <c r="I3500" s="783" t="s">
        <v>6195</v>
      </c>
      <c r="J3500" s="783">
        <v>25</v>
      </c>
      <c r="K3500" s="783" t="s">
        <v>183</v>
      </c>
      <c r="L3500" s="783" t="s">
        <v>4096</v>
      </c>
      <c r="M3500" s="784">
        <v>32986.800000000003</v>
      </c>
      <c r="N3500" s="784">
        <v>32.340000000000003</v>
      </c>
      <c r="O3500" s="784">
        <v>5.0999999999999996</v>
      </c>
      <c r="P3500" s="783">
        <v>200</v>
      </c>
      <c r="Q3500" s="783">
        <v>1870.35</v>
      </c>
      <c r="R3500" s="783">
        <v>1137.57</v>
      </c>
      <c r="S3500" s="783">
        <v>435.9</v>
      </c>
      <c r="T3500" s="783">
        <v>296.88</v>
      </c>
      <c r="U3500" s="785">
        <v>44631.637013888903</v>
      </c>
    </row>
    <row r="3501" spans="1:21">
      <c r="A3501" s="782">
        <v>44582</v>
      </c>
      <c r="B3501" s="783" t="s">
        <v>113</v>
      </c>
      <c r="C3501" s="783" t="s">
        <v>4097</v>
      </c>
      <c r="D3501" s="783" t="s">
        <v>4038</v>
      </c>
      <c r="E3501" s="783" t="s">
        <v>1381</v>
      </c>
      <c r="F3501" s="783" t="s">
        <v>4011</v>
      </c>
      <c r="G3501" s="783" t="str">
        <f>VLOOKUP(I3501,pacage,2,FALSE)</f>
        <v>Renewal (20% in 2020)</v>
      </c>
      <c r="H3501" s="783" t="s">
        <v>6196</v>
      </c>
      <c r="I3501" s="783" t="s">
        <v>6197</v>
      </c>
      <c r="J3501" s="783">
        <v>20</v>
      </c>
      <c r="K3501" s="783" t="s">
        <v>183</v>
      </c>
      <c r="L3501" s="783" t="s">
        <v>4096</v>
      </c>
      <c r="M3501" s="784">
        <v>6957.82</v>
      </c>
      <c r="N3501" s="784">
        <v>7.48</v>
      </c>
      <c r="O3501" s="784">
        <v>5.57</v>
      </c>
      <c r="P3501" s="783">
        <v>167</v>
      </c>
      <c r="Q3501" s="783">
        <v>464.78</v>
      </c>
      <c r="R3501" s="783">
        <v>258.83</v>
      </c>
      <c r="S3501" s="783">
        <v>40.36</v>
      </c>
      <c r="T3501" s="783">
        <v>165.6</v>
      </c>
      <c r="U3501" s="785">
        <v>44631.637268518498</v>
      </c>
    </row>
    <row r="3502" spans="1:21">
      <c r="A3502" s="782">
        <v>44551</v>
      </c>
      <c r="B3502" s="783" t="s">
        <v>113</v>
      </c>
      <c r="C3502" s="783" t="s">
        <v>4097</v>
      </c>
      <c r="D3502" s="783" t="s">
        <v>4038</v>
      </c>
      <c r="E3502" s="783" t="s">
        <v>6607</v>
      </c>
      <c r="F3502" s="783" t="s">
        <v>4011</v>
      </c>
      <c r="G3502" s="783" t="str">
        <f>VLOOKUP(I3502,pacage,2,FALSE)</f>
        <v>New contract</v>
      </c>
      <c r="H3502" s="783" t="s">
        <v>6608</v>
      </c>
      <c r="I3502" s="783" t="s">
        <v>6609</v>
      </c>
      <c r="J3502" s="783">
        <v>25</v>
      </c>
      <c r="K3502" s="783" t="s">
        <v>183</v>
      </c>
      <c r="L3502" s="783" t="s">
        <v>4096</v>
      </c>
      <c r="M3502" s="784">
        <v>13553.46</v>
      </c>
      <c r="N3502" s="784">
        <v>13.21</v>
      </c>
      <c r="O3502" s="784">
        <v>5.13</v>
      </c>
      <c r="P3502" s="783">
        <v>200</v>
      </c>
      <c r="Q3502" s="783">
        <v>712.91</v>
      </c>
      <c r="R3502" s="783">
        <v>421</v>
      </c>
      <c r="S3502" s="783">
        <v>161.80000000000001</v>
      </c>
      <c r="T3502" s="783">
        <v>130.11000000000001</v>
      </c>
      <c r="U3502" s="785">
        <v>44631.637187499997</v>
      </c>
    </row>
    <row r="3503" spans="1:21">
      <c r="A3503" s="782">
        <v>44553</v>
      </c>
      <c r="B3503" s="783" t="s">
        <v>177</v>
      </c>
      <c r="C3503" s="783" t="s">
        <v>4274</v>
      </c>
      <c r="D3503" s="783" t="s">
        <v>4038</v>
      </c>
      <c r="E3503" s="783" t="s">
        <v>6204</v>
      </c>
      <c r="F3503" s="783" t="s">
        <v>4011</v>
      </c>
      <c r="G3503" s="783" t="str">
        <f>VLOOKUP(I3503,pacage,2,FALSE)</f>
        <v>Renewal (25% in 2020)</v>
      </c>
      <c r="H3503" s="783" t="s">
        <v>6205</v>
      </c>
      <c r="I3503" s="783" t="s">
        <v>6206</v>
      </c>
      <c r="J3503" s="783">
        <v>25</v>
      </c>
      <c r="K3503" s="783" t="s">
        <v>183</v>
      </c>
      <c r="L3503" s="783" t="s">
        <v>4096</v>
      </c>
      <c r="M3503" s="784">
        <v>6414.1</v>
      </c>
      <c r="N3503" s="784">
        <v>11.9</v>
      </c>
      <c r="O3503" s="784">
        <v>3.85</v>
      </c>
      <c r="P3503" s="783">
        <v>140</v>
      </c>
      <c r="Q3503" s="783">
        <v>385.49</v>
      </c>
      <c r="R3503" s="783">
        <v>241.17</v>
      </c>
      <c r="S3503" s="783">
        <v>68.63</v>
      </c>
      <c r="T3503" s="783">
        <v>75.69</v>
      </c>
      <c r="U3503" s="785">
        <v>44701.675810185203</v>
      </c>
    </row>
    <row r="3504" spans="1:21">
      <c r="A3504" s="782">
        <v>44558</v>
      </c>
      <c r="B3504" s="783" t="s">
        <v>34</v>
      </c>
      <c r="C3504" s="783" t="s">
        <v>4139</v>
      </c>
      <c r="D3504" s="783" t="s">
        <v>4009</v>
      </c>
      <c r="E3504" s="783" t="s">
        <v>6210</v>
      </c>
      <c r="F3504" s="783" t="s">
        <v>4011</v>
      </c>
      <c r="G3504" s="783" t="s">
        <v>4028</v>
      </c>
      <c r="H3504" s="783" t="s">
        <v>6211</v>
      </c>
      <c r="I3504" s="783" t="s">
        <v>6212</v>
      </c>
      <c r="J3504" s="783">
        <v>20</v>
      </c>
      <c r="K3504" s="783" t="s">
        <v>183</v>
      </c>
      <c r="L3504" s="783" t="s">
        <v>4096</v>
      </c>
      <c r="M3504" s="784">
        <v>16551</v>
      </c>
      <c r="N3504" s="784">
        <v>15</v>
      </c>
      <c r="O3504" s="784">
        <v>6.13</v>
      </c>
      <c r="P3504" s="783">
        <v>180</v>
      </c>
      <c r="Q3504" s="783">
        <v>916.93</v>
      </c>
      <c r="R3504" s="783">
        <v>511.34</v>
      </c>
      <c r="S3504" s="783">
        <v>122.56</v>
      </c>
      <c r="T3504" s="783">
        <v>283.02</v>
      </c>
      <c r="U3504" s="785">
        <v>44631.636956018498</v>
      </c>
    </row>
    <row r="3505" spans="1:21">
      <c r="A3505" s="782">
        <v>44558</v>
      </c>
      <c r="B3505" s="783" t="s">
        <v>74</v>
      </c>
      <c r="C3505" s="783" t="s">
        <v>4037</v>
      </c>
      <c r="D3505" s="783" t="s">
        <v>4038</v>
      </c>
      <c r="E3505" s="783" t="s">
        <v>4452</v>
      </c>
      <c r="F3505" s="783" t="s">
        <v>4011</v>
      </c>
      <c r="G3505" s="783" t="str">
        <f>VLOOKUP(I3505,pacage,2,FALSE)</f>
        <v>Renewal (20% in 2020)</v>
      </c>
      <c r="H3505" s="783" t="s">
        <v>4453</v>
      </c>
      <c r="I3505" s="783" t="s">
        <v>4454</v>
      </c>
      <c r="J3505" s="783">
        <v>25</v>
      </c>
      <c r="K3505" s="783" t="s">
        <v>183</v>
      </c>
      <c r="L3505" s="783" t="s">
        <v>4096</v>
      </c>
      <c r="M3505" s="784">
        <v>10680.93</v>
      </c>
      <c r="N3505" s="784">
        <v>10.74</v>
      </c>
      <c r="O3505" s="784">
        <v>5.85</v>
      </c>
      <c r="P3505" s="783">
        <v>170</v>
      </c>
      <c r="Q3505" s="783">
        <v>765.82</v>
      </c>
      <c r="R3505" s="783">
        <v>504.69</v>
      </c>
      <c r="S3505" s="783">
        <v>92.38</v>
      </c>
      <c r="T3505" s="783">
        <v>168.76</v>
      </c>
      <c r="U3505" s="785">
        <v>44631.637071759302</v>
      </c>
    </row>
    <row r="3506" spans="1:21">
      <c r="A3506" s="782">
        <v>44560</v>
      </c>
      <c r="B3506" s="783" t="s">
        <v>4025</v>
      </c>
      <c r="C3506" s="783" t="s">
        <v>4026</v>
      </c>
      <c r="D3506" s="783" t="s">
        <v>4021</v>
      </c>
      <c r="E3506" s="783" t="s">
        <v>6213</v>
      </c>
      <c r="F3506" s="783" t="s">
        <v>4011</v>
      </c>
      <c r="G3506" s="783" t="s">
        <v>4028</v>
      </c>
      <c r="H3506" s="783" t="s">
        <v>6214</v>
      </c>
      <c r="I3506" s="783" t="s">
        <v>6215</v>
      </c>
      <c r="J3506" s="783">
        <v>25</v>
      </c>
      <c r="K3506" s="783" t="s">
        <v>183</v>
      </c>
      <c r="L3506" s="783" t="s">
        <v>4096</v>
      </c>
      <c r="M3506" s="784">
        <v>15886.5</v>
      </c>
      <c r="N3506" s="784">
        <v>15</v>
      </c>
      <c r="O3506" s="784">
        <v>6.23</v>
      </c>
      <c r="P3506" s="783">
        <v>170</v>
      </c>
      <c r="Q3506" s="783">
        <v>900.76</v>
      </c>
      <c r="R3506" s="783">
        <v>644.53</v>
      </c>
      <c r="S3506" s="783">
        <v>113.25</v>
      </c>
      <c r="T3506" s="783">
        <v>142.97999999999999</v>
      </c>
      <c r="U3506" s="785">
        <v>44631.637280092596</v>
      </c>
    </row>
    <row r="3507" spans="1:21">
      <c r="A3507" s="782">
        <v>44561</v>
      </c>
      <c r="B3507" s="783" t="s">
        <v>74</v>
      </c>
      <c r="C3507" s="783" t="s">
        <v>4037</v>
      </c>
      <c r="D3507" s="783" t="s">
        <v>4038</v>
      </c>
      <c r="E3507" s="783" t="s">
        <v>4455</v>
      </c>
      <c r="F3507" s="783" t="s">
        <v>4011</v>
      </c>
      <c r="G3507" s="783" t="str">
        <f>VLOOKUP(I3507,pacage,2,FALSE)</f>
        <v>Renewal (20% in 2020)</v>
      </c>
      <c r="H3507" s="783" t="s">
        <v>4456</v>
      </c>
      <c r="I3507" s="783" t="s">
        <v>4457</v>
      </c>
      <c r="J3507" s="783">
        <v>25</v>
      </c>
      <c r="K3507" s="783" t="s">
        <v>183</v>
      </c>
      <c r="L3507" s="783" t="s">
        <v>4096</v>
      </c>
      <c r="M3507" s="784">
        <v>3628.91</v>
      </c>
      <c r="N3507" s="784">
        <v>4.0999999999999996</v>
      </c>
      <c r="O3507" s="784">
        <v>5.3</v>
      </c>
      <c r="P3507" s="783">
        <v>167</v>
      </c>
      <c r="Q3507" s="783">
        <v>260.19</v>
      </c>
      <c r="R3507" s="783">
        <v>174.55</v>
      </c>
      <c r="S3507" s="783">
        <v>28.31</v>
      </c>
      <c r="T3507" s="783">
        <v>57.34</v>
      </c>
      <c r="U3507" s="785">
        <v>44631.636990740699</v>
      </c>
    </row>
    <row r="3508" spans="1:21">
      <c r="A3508" s="782">
        <v>44554</v>
      </c>
      <c r="B3508" s="783" t="s">
        <v>113</v>
      </c>
      <c r="C3508" s="783" t="s">
        <v>4606</v>
      </c>
      <c r="D3508" s="783" t="s">
        <v>4009</v>
      </c>
      <c r="E3508" s="783" t="s">
        <v>1127</v>
      </c>
      <c r="F3508" s="783" t="s">
        <v>4066</v>
      </c>
      <c r="G3508" s="783" t="s">
        <v>4028</v>
      </c>
      <c r="H3508" s="783" t="s">
        <v>7043</v>
      </c>
      <c r="I3508" s="783" t="s">
        <v>7044</v>
      </c>
      <c r="J3508" s="783">
        <v>10</v>
      </c>
      <c r="K3508" s="783" t="s">
        <v>183</v>
      </c>
      <c r="L3508" s="783" t="s">
        <v>4096</v>
      </c>
      <c r="M3508" s="784">
        <v>6651.61</v>
      </c>
      <c r="N3508" s="784">
        <v>5.69</v>
      </c>
      <c r="O3508" s="784">
        <v>7</v>
      </c>
      <c r="P3508" s="783">
        <v>167</v>
      </c>
      <c r="Q3508" s="783">
        <v>176.27</v>
      </c>
      <c r="R3508" s="783">
        <v>0</v>
      </c>
      <c r="S3508" s="783">
        <v>0</v>
      </c>
      <c r="T3508" s="783">
        <v>176.27</v>
      </c>
      <c r="U3508" s="785">
        <v>44631.636944444399</v>
      </c>
    </row>
    <row r="3509" spans="1:21">
      <c r="A3509" s="782">
        <v>44551</v>
      </c>
      <c r="B3509" s="783" t="s">
        <v>41</v>
      </c>
      <c r="C3509" s="783" t="s">
        <v>4082</v>
      </c>
      <c r="D3509" s="783" t="s">
        <v>4009</v>
      </c>
      <c r="E3509" s="783" t="s">
        <v>7045</v>
      </c>
      <c r="F3509" s="783" t="s">
        <v>4011</v>
      </c>
      <c r="G3509" s="783" t="str">
        <f>VLOOKUP(I3509,pacage,2,FALSE)</f>
        <v>New contract</v>
      </c>
      <c r="H3509" s="783" t="s">
        <v>7046</v>
      </c>
      <c r="I3509" s="783" t="s">
        <v>7047</v>
      </c>
      <c r="J3509" s="783">
        <v>20</v>
      </c>
      <c r="K3509" s="783" t="s">
        <v>183</v>
      </c>
      <c r="L3509" s="783" t="s">
        <v>4096</v>
      </c>
      <c r="M3509" s="784">
        <v>14078</v>
      </c>
      <c r="N3509" s="784">
        <v>13.98</v>
      </c>
      <c r="O3509" s="784">
        <v>6.03</v>
      </c>
      <c r="P3509" s="783">
        <v>167</v>
      </c>
      <c r="Q3509" s="783">
        <v>823.56</v>
      </c>
      <c r="R3509" s="783">
        <v>480.06</v>
      </c>
      <c r="S3509" s="783">
        <v>87.28</v>
      </c>
      <c r="T3509" s="783">
        <v>256.22000000000003</v>
      </c>
      <c r="U3509" s="785">
        <v>44631.636643518497</v>
      </c>
    </row>
    <row r="3510" spans="1:21">
      <c r="A3510" s="782">
        <v>44559</v>
      </c>
      <c r="B3510" s="783" t="s">
        <v>74</v>
      </c>
      <c r="C3510" s="783" t="s">
        <v>4097</v>
      </c>
      <c r="D3510" s="783" t="s">
        <v>4038</v>
      </c>
      <c r="E3510" s="783" t="s">
        <v>4461</v>
      </c>
      <c r="F3510" s="783" t="s">
        <v>4011</v>
      </c>
      <c r="G3510" s="783" t="s">
        <v>4028</v>
      </c>
      <c r="H3510" s="783" t="s">
        <v>4462</v>
      </c>
      <c r="I3510" s="783" t="s">
        <v>4463</v>
      </c>
      <c r="J3510" s="783">
        <v>20</v>
      </c>
      <c r="K3510" s="783" t="s">
        <v>183</v>
      </c>
      <c r="L3510" s="783" t="s">
        <v>4096</v>
      </c>
      <c r="M3510" s="784">
        <v>14605.92</v>
      </c>
      <c r="N3510" s="784">
        <v>16.8</v>
      </c>
      <c r="O3510" s="784">
        <v>4.83</v>
      </c>
      <c r="P3510" s="783">
        <v>180</v>
      </c>
      <c r="Q3510" s="783">
        <v>975.68</v>
      </c>
      <c r="R3510" s="783">
        <v>504.1</v>
      </c>
      <c r="S3510" s="783">
        <v>123.96</v>
      </c>
      <c r="T3510" s="783">
        <v>347.62</v>
      </c>
      <c r="U3510" s="785">
        <v>44631.637037036999</v>
      </c>
    </row>
    <row r="3511" spans="1:21">
      <c r="A3511" s="782">
        <v>44557</v>
      </c>
      <c r="B3511" s="783" t="s">
        <v>30</v>
      </c>
      <c r="C3511" s="783" t="s">
        <v>4089</v>
      </c>
      <c r="D3511" s="783" t="s">
        <v>4021</v>
      </c>
      <c r="E3511" s="783" t="s">
        <v>6233</v>
      </c>
      <c r="F3511" s="783" t="s">
        <v>4011</v>
      </c>
      <c r="G3511" s="783" t="str">
        <f t="shared" ref="G3511:G3548" si="185">VLOOKUP(I3511,pacage,2,FALSE)</f>
        <v>Renewal (20% in 2020)</v>
      </c>
      <c r="H3511" s="783" t="s">
        <v>6234</v>
      </c>
      <c r="I3511" s="783" t="s">
        <v>6235</v>
      </c>
      <c r="J3511" s="783">
        <v>20</v>
      </c>
      <c r="K3511" s="783" t="s">
        <v>183</v>
      </c>
      <c r="L3511" s="783" t="s">
        <v>4096</v>
      </c>
      <c r="M3511" s="784">
        <v>4831.3999999999996</v>
      </c>
      <c r="N3511" s="784">
        <v>7</v>
      </c>
      <c r="O3511" s="784">
        <v>4.93</v>
      </c>
      <c r="P3511" s="783">
        <v>140</v>
      </c>
      <c r="Q3511" s="783">
        <v>340.61</v>
      </c>
      <c r="R3511" s="783">
        <v>193.74</v>
      </c>
      <c r="S3511" s="783">
        <v>30.92</v>
      </c>
      <c r="T3511" s="783">
        <v>115.95</v>
      </c>
      <c r="U3511" s="785">
        <v>44631.637071759302</v>
      </c>
    </row>
    <row r="3512" spans="1:21">
      <c r="A3512" s="782">
        <v>44588</v>
      </c>
      <c r="B3512" s="783" t="s">
        <v>113</v>
      </c>
      <c r="C3512" s="783" t="s">
        <v>4097</v>
      </c>
      <c r="D3512" s="783" t="s">
        <v>4038</v>
      </c>
      <c r="E3512" s="783" t="s">
        <v>1403</v>
      </c>
      <c r="F3512" s="783" t="s">
        <v>4011</v>
      </c>
      <c r="G3512" s="783" t="str">
        <f t="shared" si="185"/>
        <v>Renewal (20% in 2020)</v>
      </c>
      <c r="H3512" s="783" t="s">
        <v>6236</v>
      </c>
      <c r="I3512" s="783" t="s">
        <v>6237</v>
      </c>
      <c r="J3512" s="783">
        <v>20</v>
      </c>
      <c r="K3512" s="783" t="s">
        <v>183</v>
      </c>
      <c r="L3512" s="783" t="s">
        <v>4096</v>
      </c>
      <c r="M3512" s="784">
        <v>20540.12</v>
      </c>
      <c r="N3512" s="784">
        <v>20.97</v>
      </c>
      <c r="O3512" s="784">
        <v>6.53</v>
      </c>
      <c r="P3512" s="783">
        <v>150</v>
      </c>
      <c r="Q3512" s="783">
        <v>1372.08</v>
      </c>
      <c r="R3512" s="783">
        <v>764.09</v>
      </c>
      <c r="S3512" s="783">
        <v>119.13</v>
      </c>
      <c r="T3512" s="783">
        <v>488.85</v>
      </c>
      <c r="U3512" s="785">
        <v>44631.637187499997</v>
      </c>
    </row>
    <row r="3513" spans="1:21">
      <c r="A3513" s="782">
        <v>44452</v>
      </c>
      <c r="B3513" s="783" t="s">
        <v>228</v>
      </c>
      <c r="C3513" s="783" t="s">
        <v>4192</v>
      </c>
      <c r="D3513" s="783" t="s">
        <v>4193</v>
      </c>
      <c r="E3513" s="783" t="s">
        <v>6241</v>
      </c>
      <c r="F3513" s="783" t="s">
        <v>4011</v>
      </c>
      <c r="G3513" s="783" t="str">
        <f t="shared" si="185"/>
        <v>Renewal (20% in 2020)</v>
      </c>
      <c r="H3513" s="783" t="s">
        <v>6242</v>
      </c>
      <c r="I3513" s="783" t="s">
        <v>6243</v>
      </c>
      <c r="J3513" s="783">
        <v>20</v>
      </c>
      <c r="K3513" s="783" t="s">
        <v>183</v>
      </c>
      <c r="L3513" s="783" t="s">
        <v>4096</v>
      </c>
      <c r="M3513" s="784">
        <v>33768</v>
      </c>
      <c r="N3513" s="784">
        <v>37.520000000000003</v>
      </c>
      <c r="O3513" s="784">
        <v>6</v>
      </c>
      <c r="P3513" s="783">
        <v>150</v>
      </c>
      <c r="Q3513" s="783">
        <v>1884.25</v>
      </c>
      <c r="R3513" s="783">
        <v>1104.21</v>
      </c>
      <c r="S3513" s="783">
        <v>168.84</v>
      </c>
      <c r="T3513" s="783">
        <v>611.20000000000005</v>
      </c>
      <c r="U3513" s="785">
        <v>44631.6335300926</v>
      </c>
    </row>
    <row r="3514" spans="1:21">
      <c r="A3514" s="782">
        <v>44518</v>
      </c>
      <c r="B3514" s="783" t="s">
        <v>4025</v>
      </c>
      <c r="C3514" s="783" t="s">
        <v>4026</v>
      </c>
      <c r="D3514" s="783" t="s">
        <v>4021</v>
      </c>
      <c r="E3514" s="783" t="s">
        <v>4217</v>
      </c>
      <c r="F3514" s="783" t="s">
        <v>4011</v>
      </c>
      <c r="G3514" s="783" t="str">
        <f t="shared" si="185"/>
        <v>New Contract</v>
      </c>
      <c r="H3514" s="783" t="s">
        <v>4218</v>
      </c>
      <c r="I3514" s="783" t="s">
        <v>4219</v>
      </c>
      <c r="J3514" s="783">
        <v>20</v>
      </c>
      <c r="K3514" s="783" t="s">
        <v>183</v>
      </c>
      <c r="L3514" s="783" t="s">
        <v>4096</v>
      </c>
      <c r="M3514" s="784">
        <v>19950</v>
      </c>
      <c r="N3514" s="784">
        <v>20</v>
      </c>
      <c r="O3514" s="784">
        <v>5.7</v>
      </c>
      <c r="P3514" s="783">
        <v>175</v>
      </c>
      <c r="Q3514" s="783">
        <v>1444.38</v>
      </c>
      <c r="R3514" s="783">
        <v>786.27</v>
      </c>
      <c r="S3514" s="783">
        <v>165.35</v>
      </c>
      <c r="T3514" s="783">
        <v>492.77</v>
      </c>
      <c r="U3514" s="785">
        <v>44631.633611111101</v>
      </c>
    </row>
    <row r="3515" spans="1:21">
      <c r="A3515" s="782">
        <v>44455</v>
      </c>
      <c r="B3515" s="783" t="s">
        <v>51</v>
      </c>
      <c r="C3515" s="783" t="s">
        <v>4042</v>
      </c>
      <c r="D3515" s="783" t="s">
        <v>4016</v>
      </c>
      <c r="E3515" s="783" t="s">
        <v>6244</v>
      </c>
      <c r="F3515" s="783" t="s">
        <v>4011</v>
      </c>
      <c r="G3515" s="783" t="str">
        <f t="shared" si="185"/>
        <v>New Contract</v>
      </c>
      <c r="H3515" s="783" t="s">
        <v>6245</v>
      </c>
      <c r="I3515" s="783" t="s">
        <v>6246</v>
      </c>
      <c r="J3515" s="783">
        <v>30</v>
      </c>
      <c r="K3515" s="783" t="s">
        <v>183</v>
      </c>
      <c r="L3515" s="783" t="s">
        <v>4096</v>
      </c>
      <c r="M3515" s="784">
        <v>23868</v>
      </c>
      <c r="N3515" s="784">
        <v>20</v>
      </c>
      <c r="O3515" s="784">
        <v>6.63</v>
      </c>
      <c r="P3515" s="783">
        <v>180</v>
      </c>
      <c r="Q3515" s="783">
        <v>921.3</v>
      </c>
      <c r="R3515" s="783">
        <v>724.12</v>
      </c>
      <c r="S3515" s="783">
        <v>56.37</v>
      </c>
      <c r="T3515" s="783">
        <v>140.82</v>
      </c>
      <c r="U3515" s="785">
        <v>44631.636574074102</v>
      </c>
    </row>
    <row r="3516" spans="1:21">
      <c r="A3516" s="782">
        <v>44515</v>
      </c>
      <c r="B3516" s="783" t="s">
        <v>113</v>
      </c>
      <c r="C3516" s="783" t="s">
        <v>4097</v>
      </c>
      <c r="D3516" s="783" t="s">
        <v>4038</v>
      </c>
      <c r="E3516" s="783" t="s">
        <v>198</v>
      </c>
      <c r="F3516" s="783" t="s">
        <v>4011</v>
      </c>
      <c r="G3516" s="783" t="str">
        <f t="shared" si="185"/>
        <v>Renewal (15% in 2020)</v>
      </c>
      <c r="H3516" s="783" t="s">
        <v>6247</v>
      </c>
      <c r="I3516" s="783" t="s">
        <v>6248</v>
      </c>
      <c r="J3516" s="783">
        <v>15</v>
      </c>
      <c r="K3516" s="783" t="s">
        <v>183</v>
      </c>
      <c r="L3516" s="783" t="s">
        <v>4096</v>
      </c>
      <c r="M3516" s="784">
        <v>4937.9799999999996</v>
      </c>
      <c r="N3516" s="784">
        <v>4.04</v>
      </c>
      <c r="O3516" s="784">
        <v>5.63</v>
      </c>
      <c r="P3516" s="783">
        <v>217.1</v>
      </c>
      <c r="Q3516" s="783">
        <v>434.05</v>
      </c>
      <c r="R3516" s="783">
        <v>141.30000000000001</v>
      </c>
      <c r="S3516" s="783">
        <v>71.03</v>
      </c>
      <c r="T3516" s="783">
        <v>221.72</v>
      </c>
      <c r="U3516" s="785">
        <v>44631.638020833299</v>
      </c>
    </row>
    <row r="3517" spans="1:21">
      <c r="A3517" s="782">
        <v>44518</v>
      </c>
      <c r="B3517" s="783" t="s">
        <v>74</v>
      </c>
      <c r="C3517" s="783" t="s">
        <v>4097</v>
      </c>
      <c r="D3517" s="783" t="s">
        <v>4038</v>
      </c>
      <c r="E3517" s="783" t="s">
        <v>6249</v>
      </c>
      <c r="F3517" s="783" t="s">
        <v>4011</v>
      </c>
      <c r="G3517" s="783" t="str">
        <f t="shared" si="185"/>
        <v>New Contract</v>
      </c>
      <c r="H3517" s="783" t="s">
        <v>6250</v>
      </c>
      <c r="I3517" s="783" t="s">
        <v>6251</v>
      </c>
      <c r="J3517" s="783">
        <v>20</v>
      </c>
      <c r="K3517" s="783" t="s">
        <v>183</v>
      </c>
      <c r="L3517" s="783" t="s">
        <v>4096</v>
      </c>
      <c r="M3517" s="784">
        <v>1999.2</v>
      </c>
      <c r="N3517" s="784">
        <v>2.5499999999999998</v>
      </c>
      <c r="O3517" s="784">
        <v>4.9000000000000004</v>
      </c>
      <c r="P3517" s="783">
        <v>160</v>
      </c>
      <c r="Q3517" s="783">
        <v>133.55000000000001</v>
      </c>
      <c r="R3517" s="783">
        <v>74.37</v>
      </c>
      <c r="S3517" s="783">
        <v>11.6</v>
      </c>
      <c r="T3517" s="783">
        <v>47.58</v>
      </c>
      <c r="U3517" s="785">
        <v>44631.6378819444</v>
      </c>
    </row>
    <row r="3518" spans="1:21">
      <c r="A3518" s="782">
        <v>44518</v>
      </c>
      <c r="B3518" s="783" t="s">
        <v>74</v>
      </c>
      <c r="C3518" s="783" t="s">
        <v>4097</v>
      </c>
      <c r="D3518" s="783" t="s">
        <v>4038</v>
      </c>
      <c r="E3518" s="783" t="s">
        <v>6252</v>
      </c>
      <c r="F3518" s="783" t="s">
        <v>4011</v>
      </c>
      <c r="G3518" s="783" t="str">
        <f t="shared" si="185"/>
        <v>New Contract</v>
      </c>
      <c r="H3518" s="783" t="s">
        <v>6253</v>
      </c>
      <c r="I3518" s="783" t="s">
        <v>6254</v>
      </c>
      <c r="J3518" s="783">
        <v>20</v>
      </c>
      <c r="K3518" s="783" t="s">
        <v>183</v>
      </c>
      <c r="L3518" s="783" t="s">
        <v>4096</v>
      </c>
      <c r="M3518" s="784">
        <v>794.88</v>
      </c>
      <c r="N3518" s="784">
        <v>1.08</v>
      </c>
      <c r="O3518" s="784">
        <v>4.5999999999999996</v>
      </c>
      <c r="P3518" s="783">
        <v>160</v>
      </c>
      <c r="Q3518" s="783">
        <v>53.1</v>
      </c>
      <c r="R3518" s="783">
        <v>29.57</v>
      </c>
      <c r="S3518" s="783">
        <v>4.6100000000000003</v>
      </c>
      <c r="T3518" s="783">
        <v>18.920000000000002</v>
      </c>
      <c r="U3518" s="785">
        <v>44631.637719907398</v>
      </c>
    </row>
    <row r="3519" spans="1:21">
      <c r="A3519" s="782">
        <v>44477</v>
      </c>
      <c r="B3519" s="783" t="s">
        <v>41</v>
      </c>
      <c r="C3519" s="783" t="s">
        <v>4092</v>
      </c>
      <c r="D3519" s="783" t="s">
        <v>4009</v>
      </c>
      <c r="E3519" s="783" t="s">
        <v>1343</v>
      </c>
      <c r="F3519" s="783" t="s">
        <v>4011</v>
      </c>
      <c r="G3519" s="783" t="str">
        <f t="shared" si="185"/>
        <v>Renewal (25% in 2020)</v>
      </c>
      <c r="H3519" s="783" t="s">
        <v>4223</v>
      </c>
      <c r="I3519" s="783" t="s">
        <v>4224</v>
      </c>
      <c r="J3519" s="783">
        <v>25</v>
      </c>
      <c r="K3519" s="783" t="s">
        <v>183</v>
      </c>
      <c r="L3519" s="783" t="s">
        <v>4096</v>
      </c>
      <c r="M3519" s="784">
        <v>11816.09</v>
      </c>
      <c r="N3519" s="784">
        <v>13.25</v>
      </c>
      <c r="O3519" s="784">
        <v>5.34</v>
      </c>
      <c r="P3519" s="783">
        <v>167</v>
      </c>
      <c r="Q3519" s="783">
        <v>552.99</v>
      </c>
      <c r="R3519" s="783">
        <v>417.11</v>
      </c>
      <c r="S3519" s="783">
        <v>76.8</v>
      </c>
      <c r="T3519" s="783">
        <v>59.08</v>
      </c>
      <c r="U3519" s="785">
        <v>44631.637418981503</v>
      </c>
    </row>
    <row r="3520" spans="1:21">
      <c r="A3520" s="782">
        <v>44508</v>
      </c>
      <c r="B3520" s="783" t="s">
        <v>228</v>
      </c>
      <c r="C3520" s="783" t="s">
        <v>4417</v>
      </c>
      <c r="D3520" s="783" t="s">
        <v>4193</v>
      </c>
      <c r="E3520" s="783" t="s">
        <v>6261</v>
      </c>
      <c r="F3520" s="783" t="s">
        <v>4011</v>
      </c>
      <c r="G3520" s="783" t="str">
        <f t="shared" si="185"/>
        <v>Renewal (25% in 2020)</v>
      </c>
      <c r="H3520" s="783" t="s">
        <v>6262</v>
      </c>
      <c r="I3520" s="783" t="s">
        <v>6263</v>
      </c>
      <c r="J3520" s="783">
        <v>20</v>
      </c>
      <c r="K3520" s="783" t="s">
        <v>183</v>
      </c>
      <c r="L3520" s="783" t="s">
        <v>4096</v>
      </c>
      <c r="M3520" s="784">
        <v>27448.61</v>
      </c>
      <c r="N3520" s="784">
        <v>33.36</v>
      </c>
      <c r="O3520" s="784">
        <v>4.84</v>
      </c>
      <c r="P3520" s="783">
        <v>170</v>
      </c>
      <c r="Q3520" s="783">
        <v>1619.47</v>
      </c>
      <c r="R3520" s="783">
        <v>943.75</v>
      </c>
      <c r="S3520" s="783">
        <v>162.43</v>
      </c>
      <c r="T3520" s="783">
        <v>513.29</v>
      </c>
      <c r="U3520" s="785">
        <v>44631.637280092596</v>
      </c>
    </row>
    <row r="3521" spans="1:21">
      <c r="A3521" s="782">
        <v>44474</v>
      </c>
      <c r="B3521" s="783" t="s">
        <v>65</v>
      </c>
      <c r="C3521" s="783" t="s">
        <v>5861</v>
      </c>
      <c r="D3521" s="783" t="s">
        <v>4258</v>
      </c>
      <c r="E3521" s="783" t="s">
        <v>82</v>
      </c>
      <c r="F3521" s="783" t="s">
        <v>4011</v>
      </c>
      <c r="G3521" s="783" t="str">
        <f t="shared" si="185"/>
        <v>Renewal (20% in 2020)</v>
      </c>
      <c r="H3521" s="783" t="s">
        <v>6264</v>
      </c>
      <c r="I3521" s="783" t="s">
        <v>6265</v>
      </c>
      <c r="J3521" s="783">
        <v>20</v>
      </c>
      <c r="K3521" s="783" t="s">
        <v>183</v>
      </c>
      <c r="L3521" s="783" t="s">
        <v>4096</v>
      </c>
      <c r="M3521" s="784">
        <v>21736.26</v>
      </c>
      <c r="N3521" s="784">
        <v>13.27</v>
      </c>
      <c r="O3521" s="784">
        <v>7.8</v>
      </c>
      <c r="P3521" s="783">
        <v>210</v>
      </c>
      <c r="Q3521" s="783">
        <v>1117.24</v>
      </c>
      <c r="R3521" s="783">
        <v>523.75</v>
      </c>
      <c r="S3521" s="783">
        <v>232.67</v>
      </c>
      <c r="T3521" s="783">
        <v>360.82</v>
      </c>
      <c r="U3521" s="785">
        <v>44631.637245370403</v>
      </c>
    </row>
    <row r="3522" spans="1:21">
      <c r="A3522" s="782">
        <v>44525</v>
      </c>
      <c r="B3522" s="783" t="s">
        <v>41</v>
      </c>
      <c r="C3522" s="783" t="s">
        <v>4008</v>
      </c>
      <c r="D3522" s="783" t="s">
        <v>4009</v>
      </c>
      <c r="E3522" s="783" t="s">
        <v>6266</v>
      </c>
      <c r="F3522" s="783" t="s">
        <v>4011</v>
      </c>
      <c r="G3522" s="783" t="str">
        <f t="shared" si="185"/>
        <v>Renewal (15% in 2020)</v>
      </c>
      <c r="H3522" s="783" t="s">
        <v>6267</v>
      </c>
      <c r="I3522" s="783" t="s">
        <v>6268</v>
      </c>
      <c r="J3522" s="783">
        <v>15</v>
      </c>
      <c r="K3522" s="783" t="s">
        <v>183</v>
      </c>
      <c r="L3522" s="783" t="s">
        <v>4096</v>
      </c>
      <c r="M3522" s="784">
        <v>4559.3999999999996</v>
      </c>
      <c r="N3522" s="784">
        <v>6</v>
      </c>
      <c r="O3522" s="784">
        <v>4.47</v>
      </c>
      <c r="P3522" s="783">
        <v>170</v>
      </c>
      <c r="Q3522" s="783">
        <v>388</v>
      </c>
      <c r="R3522" s="783">
        <v>162.13999999999999</v>
      </c>
      <c r="S3522" s="783">
        <v>29.36</v>
      </c>
      <c r="T3522" s="783">
        <v>196.51</v>
      </c>
      <c r="U3522" s="785">
        <v>44631.637256944399</v>
      </c>
    </row>
    <row r="3523" spans="1:21">
      <c r="A3523" s="782">
        <v>44483</v>
      </c>
      <c r="B3523" s="783" t="s">
        <v>228</v>
      </c>
      <c r="C3523" s="783" t="s">
        <v>4020</v>
      </c>
      <c r="D3523" s="783" t="s">
        <v>4021</v>
      </c>
      <c r="E3523" s="783" t="s">
        <v>6269</v>
      </c>
      <c r="F3523" s="783" t="s">
        <v>4011</v>
      </c>
      <c r="G3523" s="783" t="str">
        <f t="shared" si="185"/>
        <v>Renewal (25% in 2020)</v>
      </c>
      <c r="H3523" s="783" t="s">
        <v>6270</v>
      </c>
      <c r="I3523" s="783" t="s">
        <v>6271</v>
      </c>
      <c r="J3523" s="783">
        <v>25</v>
      </c>
      <c r="K3523" s="783" t="s">
        <v>183</v>
      </c>
      <c r="L3523" s="783" t="s">
        <v>4096</v>
      </c>
      <c r="M3523" s="784">
        <v>12259.8</v>
      </c>
      <c r="N3523" s="784">
        <v>13.9</v>
      </c>
      <c r="O3523" s="784">
        <v>6.3</v>
      </c>
      <c r="P3523" s="783">
        <v>140</v>
      </c>
      <c r="Q3523" s="783">
        <v>548.01</v>
      </c>
      <c r="R3523" s="783">
        <v>405.8</v>
      </c>
      <c r="S3523" s="783">
        <v>62.52</v>
      </c>
      <c r="T3523" s="783">
        <v>79.69</v>
      </c>
      <c r="U3523" s="785">
        <v>44631.637534722198</v>
      </c>
    </row>
    <row r="3524" spans="1:21">
      <c r="A3524" s="782">
        <v>44474</v>
      </c>
      <c r="B3524" s="783" t="s">
        <v>4025</v>
      </c>
      <c r="C3524" s="783" t="s">
        <v>4052</v>
      </c>
      <c r="D3524" s="783" t="s">
        <v>4021</v>
      </c>
      <c r="E3524" s="783" t="s">
        <v>6272</v>
      </c>
      <c r="F3524" s="783" t="s">
        <v>4011</v>
      </c>
      <c r="G3524" s="783" t="str">
        <f t="shared" si="185"/>
        <v>New Contract</v>
      </c>
      <c r="H3524" s="783" t="s">
        <v>6273</v>
      </c>
      <c r="I3524" s="783" t="s">
        <v>6274</v>
      </c>
      <c r="J3524" s="783">
        <v>25</v>
      </c>
      <c r="K3524" s="783" t="s">
        <v>183</v>
      </c>
      <c r="L3524" s="783" t="s">
        <v>4096</v>
      </c>
      <c r="M3524" s="784">
        <v>11066.33</v>
      </c>
      <c r="N3524" s="784">
        <v>10.92</v>
      </c>
      <c r="O3524" s="784">
        <v>5.63</v>
      </c>
      <c r="P3524" s="783">
        <v>180</v>
      </c>
      <c r="Q3524" s="783">
        <v>379.58</v>
      </c>
      <c r="R3524" s="783">
        <v>267.97000000000003</v>
      </c>
      <c r="S3524" s="783">
        <v>65.13</v>
      </c>
      <c r="T3524" s="783">
        <v>46.48</v>
      </c>
      <c r="U3524" s="785">
        <v>44631.637349536999</v>
      </c>
    </row>
    <row r="3525" spans="1:21">
      <c r="A3525" s="782">
        <v>44476</v>
      </c>
      <c r="B3525" s="783" t="s">
        <v>65</v>
      </c>
      <c r="C3525" s="783" t="s">
        <v>6275</v>
      </c>
      <c r="D3525" s="783" t="s">
        <v>4258</v>
      </c>
      <c r="E3525" s="783" t="s">
        <v>6276</v>
      </c>
      <c r="F3525" s="783" t="s">
        <v>4011</v>
      </c>
      <c r="G3525" s="783" t="str">
        <f t="shared" si="185"/>
        <v>Renewal (20% in 2020)</v>
      </c>
      <c r="H3525" s="783" t="s">
        <v>6277</v>
      </c>
      <c r="I3525" s="783" t="s">
        <v>6278</v>
      </c>
      <c r="J3525" s="783">
        <v>25</v>
      </c>
      <c r="K3525" s="783" t="s">
        <v>183</v>
      </c>
      <c r="L3525" s="783" t="s">
        <v>4096</v>
      </c>
      <c r="M3525" s="784">
        <v>12989.97</v>
      </c>
      <c r="N3525" s="784">
        <v>7.9</v>
      </c>
      <c r="O3525" s="784">
        <v>7.83</v>
      </c>
      <c r="P3525" s="783">
        <v>210</v>
      </c>
      <c r="Q3525" s="783">
        <v>544.28</v>
      </c>
      <c r="R3525" s="783">
        <v>332.63</v>
      </c>
      <c r="S3525" s="783">
        <v>148</v>
      </c>
      <c r="T3525" s="783">
        <v>63.65</v>
      </c>
      <c r="U3525" s="785">
        <v>44631.637256944399</v>
      </c>
    </row>
    <row r="3526" spans="1:21">
      <c r="A3526" s="782">
        <v>44473</v>
      </c>
      <c r="B3526" s="783" t="s">
        <v>51</v>
      </c>
      <c r="C3526" s="783" t="s">
        <v>4042</v>
      </c>
      <c r="D3526" s="783" t="s">
        <v>4016</v>
      </c>
      <c r="E3526" s="783" t="s">
        <v>6281</v>
      </c>
      <c r="F3526" s="783" t="s">
        <v>4011</v>
      </c>
      <c r="G3526" s="783" t="str">
        <f t="shared" si="185"/>
        <v>New Contract</v>
      </c>
      <c r="H3526" s="783" t="s">
        <v>6282</v>
      </c>
      <c r="I3526" s="783" t="s">
        <v>6283</v>
      </c>
      <c r="J3526" s="783">
        <v>25</v>
      </c>
      <c r="K3526" s="783" t="s">
        <v>183</v>
      </c>
      <c r="L3526" s="783" t="s">
        <v>4096</v>
      </c>
      <c r="M3526" s="784">
        <v>6039</v>
      </c>
      <c r="N3526" s="784">
        <v>6</v>
      </c>
      <c r="O3526" s="784">
        <v>6.1</v>
      </c>
      <c r="P3526" s="783">
        <v>165</v>
      </c>
      <c r="Q3526" s="783">
        <v>263.89999999999998</v>
      </c>
      <c r="R3526" s="783">
        <v>197.48</v>
      </c>
      <c r="S3526" s="783">
        <v>30.8</v>
      </c>
      <c r="T3526" s="783">
        <v>35.630000000000003</v>
      </c>
      <c r="U3526" s="785">
        <v>44631.637314814798</v>
      </c>
    </row>
    <row r="3527" spans="1:21">
      <c r="A3527" s="782">
        <v>44486</v>
      </c>
      <c r="B3527" s="783" t="s">
        <v>30</v>
      </c>
      <c r="C3527" s="783" t="s">
        <v>4239</v>
      </c>
      <c r="D3527" s="783" t="s">
        <v>4021</v>
      </c>
      <c r="E3527" s="783" t="s">
        <v>1216</v>
      </c>
      <c r="F3527" s="783" t="s">
        <v>4011</v>
      </c>
      <c r="G3527" s="783" t="str">
        <f t="shared" si="185"/>
        <v>Renewal (15% in 2020)</v>
      </c>
      <c r="H3527" s="783" t="s">
        <v>4467</v>
      </c>
      <c r="I3527" s="783" t="s">
        <v>4468</v>
      </c>
      <c r="J3527" s="783">
        <v>15</v>
      </c>
      <c r="K3527" s="783" t="s">
        <v>183</v>
      </c>
      <c r="L3527" s="783" t="s">
        <v>4096</v>
      </c>
      <c r="M3527" s="784">
        <v>11303.57</v>
      </c>
      <c r="N3527" s="784">
        <v>11.83</v>
      </c>
      <c r="O3527" s="784">
        <v>6.37</v>
      </c>
      <c r="P3527" s="783">
        <v>150</v>
      </c>
      <c r="Q3527" s="783">
        <v>996.97</v>
      </c>
      <c r="R3527" s="783">
        <v>414.84</v>
      </c>
      <c r="S3527" s="783">
        <v>91.56</v>
      </c>
      <c r="T3527" s="783">
        <v>490.57</v>
      </c>
      <c r="U3527" s="785">
        <v>44631.637407407397</v>
      </c>
    </row>
    <row r="3528" spans="1:21">
      <c r="A3528" s="782">
        <v>44523</v>
      </c>
      <c r="B3528" s="783" t="s">
        <v>41</v>
      </c>
      <c r="C3528" s="783" t="s">
        <v>4071</v>
      </c>
      <c r="D3528" s="783" t="s">
        <v>4009</v>
      </c>
      <c r="E3528" s="783" t="s">
        <v>4072</v>
      </c>
      <c r="F3528" s="783" t="s">
        <v>4011</v>
      </c>
      <c r="G3528" s="783" t="str">
        <f t="shared" si="185"/>
        <v>Renewal (15% in 2020)</v>
      </c>
      <c r="H3528" s="783" t="s">
        <v>4073</v>
      </c>
      <c r="I3528" s="783" t="s">
        <v>4074</v>
      </c>
      <c r="J3528" s="783">
        <v>15</v>
      </c>
      <c r="K3528" s="783" t="s">
        <v>183</v>
      </c>
      <c r="L3528" s="783" t="s">
        <v>4096</v>
      </c>
      <c r="M3528" s="784">
        <v>13765.5</v>
      </c>
      <c r="N3528" s="784">
        <v>19</v>
      </c>
      <c r="O3528" s="784">
        <v>4.83</v>
      </c>
      <c r="P3528" s="783">
        <v>150</v>
      </c>
      <c r="Q3528" s="783">
        <v>825.93</v>
      </c>
      <c r="R3528" s="783">
        <v>371.67</v>
      </c>
      <c r="S3528" s="783">
        <v>55.06</v>
      </c>
      <c r="T3528" s="783">
        <v>399.2</v>
      </c>
      <c r="U3528" s="785">
        <v>44631.637430555602</v>
      </c>
    </row>
    <row r="3529" spans="1:21">
      <c r="A3529" s="782">
        <v>44522</v>
      </c>
      <c r="B3529" s="783" t="s">
        <v>41</v>
      </c>
      <c r="C3529" s="783" t="s">
        <v>4008</v>
      </c>
      <c r="D3529" s="783" t="s">
        <v>4009</v>
      </c>
      <c r="E3529" s="783" t="s">
        <v>6287</v>
      </c>
      <c r="F3529" s="783" t="s">
        <v>4011</v>
      </c>
      <c r="G3529" s="783" t="str">
        <f t="shared" si="185"/>
        <v>Renewal (15% in 2020)</v>
      </c>
      <c r="H3529" s="783" t="s">
        <v>6288</v>
      </c>
      <c r="I3529" s="783" t="s">
        <v>6289</v>
      </c>
      <c r="J3529" s="783">
        <v>15</v>
      </c>
      <c r="K3529" s="783" t="s">
        <v>183</v>
      </c>
      <c r="L3529" s="783" t="s">
        <v>4096</v>
      </c>
      <c r="M3529" s="784">
        <v>5000.9399999999996</v>
      </c>
      <c r="N3529" s="784">
        <v>4.9000000000000004</v>
      </c>
      <c r="O3529" s="784">
        <v>5.67</v>
      </c>
      <c r="P3529" s="783">
        <v>180</v>
      </c>
      <c r="Q3529" s="783">
        <v>425.58</v>
      </c>
      <c r="R3529" s="783">
        <v>167.96</v>
      </c>
      <c r="S3529" s="783">
        <v>42.08</v>
      </c>
      <c r="T3529" s="783">
        <v>215.54</v>
      </c>
      <c r="U3529" s="785">
        <v>44631.637546296297</v>
      </c>
    </row>
    <row r="3530" spans="1:21">
      <c r="A3530" s="782">
        <v>44487</v>
      </c>
      <c r="B3530" s="783" t="s">
        <v>74</v>
      </c>
      <c r="C3530" s="783" t="s">
        <v>4097</v>
      </c>
      <c r="D3530" s="783" t="s">
        <v>4038</v>
      </c>
      <c r="E3530" s="783" t="s">
        <v>6293</v>
      </c>
      <c r="F3530" s="783" t="s">
        <v>4011</v>
      </c>
      <c r="G3530" s="783" t="str">
        <f t="shared" si="185"/>
        <v>Renewal (25% in 2020)</v>
      </c>
      <c r="H3530" s="783" t="s">
        <v>6294</v>
      </c>
      <c r="I3530" s="783" t="s">
        <v>6295</v>
      </c>
      <c r="J3530" s="783">
        <v>25</v>
      </c>
      <c r="K3530" s="783" t="s">
        <v>183</v>
      </c>
      <c r="L3530" s="783" t="s">
        <v>4096</v>
      </c>
      <c r="M3530" s="784">
        <v>19275.04</v>
      </c>
      <c r="N3530" s="784">
        <v>22.73</v>
      </c>
      <c r="O3530" s="784">
        <v>5.3</v>
      </c>
      <c r="P3530" s="783">
        <v>160</v>
      </c>
      <c r="Q3530" s="783">
        <v>1013.87</v>
      </c>
      <c r="R3530" s="783">
        <v>717.03</v>
      </c>
      <c r="S3530" s="783">
        <v>111.8</v>
      </c>
      <c r="T3530" s="783">
        <v>185.04</v>
      </c>
      <c r="U3530" s="785">
        <v>44631.637638888897</v>
      </c>
    </row>
    <row r="3531" spans="1:21">
      <c r="A3531" s="782">
        <v>44510</v>
      </c>
      <c r="B3531" s="783" t="s">
        <v>4025</v>
      </c>
      <c r="C3531" s="783" t="s">
        <v>4026</v>
      </c>
      <c r="D3531" s="783" t="s">
        <v>4021</v>
      </c>
      <c r="E3531" s="783" t="s">
        <v>6296</v>
      </c>
      <c r="F3531" s="783" t="s">
        <v>4011</v>
      </c>
      <c r="G3531" s="783" t="str">
        <f t="shared" si="185"/>
        <v>New Contract</v>
      </c>
      <c r="H3531" s="783" t="s">
        <v>6297</v>
      </c>
      <c r="I3531" s="783" t="s">
        <v>6298</v>
      </c>
      <c r="J3531" s="783">
        <v>25</v>
      </c>
      <c r="K3531" s="783" t="s">
        <v>183</v>
      </c>
      <c r="L3531" s="783" t="s">
        <v>4096</v>
      </c>
      <c r="M3531" s="784">
        <v>7464.75</v>
      </c>
      <c r="N3531" s="784">
        <v>7.5</v>
      </c>
      <c r="O3531" s="784">
        <v>5.38</v>
      </c>
      <c r="P3531" s="783">
        <v>185</v>
      </c>
      <c r="Q3531" s="783">
        <v>423.25</v>
      </c>
      <c r="R3531" s="783">
        <v>278.3</v>
      </c>
      <c r="S3531" s="783">
        <v>77.77</v>
      </c>
      <c r="T3531" s="783">
        <v>67.180000000000007</v>
      </c>
      <c r="U3531" s="785">
        <v>44631.637349536999</v>
      </c>
    </row>
    <row r="3532" spans="1:21">
      <c r="A3532" s="782">
        <v>44505</v>
      </c>
      <c r="B3532" s="783" t="s">
        <v>4025</v>
      </c>
      <c r="C3532" s="783" t="s">
        <v>4026</v>
      </c>
      <c r="D3532" s="783" t="s">
        <v>4021</v>
      </c>
      <c r="E3532" s="783" t="s">
        <v>6299</v>
      </c>
      <c r="F3532" s="783" t="s">
        <v>4011</v>
      </c>
      <c r="G3532" s="783" t="str">
        <f t="shared" si="185"/>
        <v>New Contract</v>
      </c>
      <c r="H3532" s="783" t="s">
        <v>6300</v>
      </c>
      <c r="I3532" s="783" t="s">
        <v>6301</v>
      </c>
      <c r="J3532" s="783">
        <v>25</v>
      </c>
      <c r="K3532" s="783" t="s">
        <v>183</v>
      </c>
      <c r="L3532" s="783" t="s">
        <v>4096</v>
      </c>
      <c r="M3532" s="784">
        <v>9451.73</v>
      </c>
      <c r="N3532" s="784">
        <v>9.36</v>
      </c>
      <c r="O3532" s="784">
        <v>5.61</v>
      </c>
      <c r="P3532" s="783">
        <v>180</v>
      </c>
      <c r="Q3532" s="783">
        <v>535.91</v>
      </c>
      <c r="R3532" s="783">
        <v>362.16</v>
      </c>
      <c r="S3532" s="783">
        <v>88.68</v>
      </c>
      <c r="T3532" s="783">
        <v>85.07</v>
      </c>
      <c r="U3532" s="785">
        <v>44631.637650463003</v>
      </c>
    </row>
    <row r="3533" spans="1:21">
      <c r="A3533" s="782">
        <v>44511</v>
      </c>
      <c r="B3533" s="783" t="s">
        <v>30</v>
      </c>
      <c r="C3533" s="783" t="s">
        <v>4089</v>
      </c>
      <c r="D3533" s="783" t="s">
        <v>4021</v>
      </c>
      <c r="E3533" s="783" t="s">
        <v>6302</v>
      </c>
      <c r="F3533" s="783" t="s">
        <v>4011</v>
      </c>
      <c r="G3533" s="783" t="str">
        <f t="shared" si="185"/>
        <v>New Contract</v>
      </c>
      <c r="H3533" s="783" t="s">
        <v>6303</v>
      </c>
      <c r="I3533" s="783" t="s">
        <v>6304</v>
      </c>
      <c r="J3533" s="783">
        <v>30</v>
      </c>
      <c r="K3533" s="783" t="s">
        <v>183</v>
      </c>
      <c r="L3533" s="783" t="s">
        <v>4096</v>
      </c>
      <c r="M3533" s="784">
        <v>4672.5600000000004</v>
      </c>
      <c r="N3533" s="784">
        <v>3.98</v>
      </c>
      <c r="O3533" s="784">
        <v>7.03</v>
      </c>
      <c r="P3533" s="783">
        <v>167</v>
      </c>
      <c r="Q3533" s="783">
        <v>228.02</v>
      </c>
      <c r="R3533" s="783">
        <v>187.37</v>
      </c>
      <c r="S3533" s="783">
        <v>0</v>
      </c>
      <c r="T3533" s="783">
        <v>40.65</v>
      </c>
      <c r="U3533" s="785">
        <v>44631.637523148202</v>
      </c>
    </row>
    <row r="3534" spans="1:21">
      <c r="A3534" s="782">
        <v>44469</v>
      </c>
      <c r="B3534" s="783" t="s">
        <v>30</v>
      </c>
      <c r="C3534" s="783" t="s">
        <v>4089</v>
      </c>
      <c r="D3534" s="783" t="s">
        <v>4021</v>
      </c>
      <c r="E3534" s="783" t="s">
        <v>125</v>
      </c>
      <c r="F3534" s="783" t="s">
        <v>4011</v>
      </c>
      <c r="G3534" s="783" t="str">
        <f t="shared" si="185"/>
        <v>Renewal (15% in 2020)</v>
      </c>
      <c r="H3534" s="783" t="s">
        <v>6323</v>
      </c>
      <c r="I3534" s="783" t="s">
        <v>6324</v>
      </c>
      <c r="J3534" s="783">
        <v>15</v>
      </c>
      <c r="K3534" s="783" t="s">
        <v>183</v>
      </c>
      <c r="L3534" s="783" t="s">
        <v>4096</v>
      </c>
      <c r="M3534" s="784">
        <v>52568.99</v>
      </c>
      <c r="N3534" s="784">
        <v>49.57</v>
      </c>
      <c r="O3534" s="784">
        <v>7.07</v>
      </c>
      <c r="P3534" s="783">
        <v>150</v>
      </c>
      <c r="Q3534" s="783">
        <v>4899.43</v>
      </c>
      <c r="R3534" s="783">
        <v>2108.02</v>
      </c>
      <c r="S3534" s="783">
        <v>336.44</v>
      </c>
      <c r="T3534" s="783">
        <v>2454.9699999999998</v>
      </c>
      <c r="U3534" s="785">
        <v>44631.636736111097</v>
      </c>
    </row>
    <row r="3535" spans="1:21">
      <c r="A3535" s="782">
        <v>44466</v>
      </c>
      <c r="B3535" s="783" t="s">
        <v>51</v>
      </c>
      <c r="C3535" s="783" t="s">
        <v>4042</v>
      </c>
      <c r="D3535" s="783" t="s">
        <v>4016</v>
      </c>
      <c r="E3535" s="783" t="s">
        <v>6331</v>
      </c>
      <c r="F3535" s="783" t="s">
        <v>4011</v>
      </c>
      <c r="G3535" s="783" t="str">
        <f t="shared" si="185"/>
        <v>New Contract</v>
      </c>
      <c r="H3535" s="783" t="s">
        <v>6332</v>
      </c>
      <c r="I3535" s="783" t="s">
        <v>6333</v>
      </c>
      <c r="J3535" s="783">
        <v>30</v>
      </c>
      <c r="K3535" s="783" t="s">
        <v>183</v>
      </c>
      <c r="L3535" s="783" t="s">
        <v>4096</v>
      </c>
      <c r="M3535" s="784">
        <v>47567.91</v>
      </c>
      <c r="N3535" s="784">
        <v>30.86</v>
      </c>
      <c r="O3535" s="784">
        <v>9.23</v>
      </c>
      <c r="P3535" s="783">
        <v>167</v>
      </c>
      <c r="Q3535" s="783">
        <v>1836.12</v>
      </c>
      <c r="R3535" s="783">
        <v>1555.47</v>
      </c>
      <c r="S3535" s="783">
        <v>0</v>
      </c>
      <c r="T3535" s="783">
        <v>280.64999999999998</v>
      </c>
      <c r="U3535" s="785">
        <v>44631.636666666702</v>
      </c>
    </row>
    <row r="3536" spans="1:21">
      <c r="A3536" s="782">
        <v>44468</v>
      </c>
      <c r="B3536" s="783" t="s">
        <v>41</v>
      </c>
      <c r="C3536" s="783" t="s">
        <v>4139</v>
      </c>
      <c r="D3536" s="783" t="s">
        <v>4009</v>
      </c>
      <c r="E3536" s="783" t="s">
        <v>6334</v>
      </c>
      <c r="F3536" s="783" t="s">
        <v>4011</v>
      </c>
      <c r="G3536" s="783" t="str">
        <f t="shared" si="185"/>
        <v>Renewal (30% in 2020)</v>
      </c>
      <c r="H3536" s="783" t="s">
        <v>6335</v>
      </c>
      <c r="I3536" s="783" t="s">
        <v>6336</v>
      </c>
      <c r="J3536" s="783">
        <v>30</v>
      </c>
      <c r="K3536" s="783" t="s">
        <v>183</v>
      </c>
      <c r="L3536" s="783" t="s">
        <v>4096</v>
      </c>
      <c r="M3536" s="784">
        <v>32973.42</v>
      </c>
      <c r="N3536" s="784">
        <v>33.24</v>
      </c>
      <c r="O3536" s="784">
        <v>5.94</v>
      </c>
      <c r="P3536" s="783">
        <v>167</v>
      </c>
      <c r="Q3536" s="783">
        <v>1246.4000000000001</v>
      </c>
      <c r="R3536" s="783">
        <v>1098.01</v>
      </c>
      <c r="S3536" s="783">
        <v>0</v>
      </c>
      <c r="T3536" s="783">
        <v>148.38</v>
      </c>
      <c r="U3536" s="785">
        <v>44631.636724536998</v>
      </c>
    </row>
    <row r="3537" spans="1:21">
      <c r="A3537" s="782">
        <v>44519</v>
      </c>
      <c r="B3537" s="783" t="s">
        <v>41</v>
      </c>
      <c r="C3537" s="783" t="s">
        <v>4139</v>
      </c>
      <c r="D3537" s="783" t="s">
        <v>4009</v>
      </c>
      <c r="E3537" s="783" t="s">
        <v>6337</v>
      </c>
      <c r="F3537" s="783" t="s">
        <v>4011</v>
      </c>
      <c r="G3537" s="783" t="str">
        <f t="shared" si="185"/>
        <v>Renewal (20% in 2020)</v>
      </c>
      <c r="H3537" s="783" t="s">
        <v>6338</v>
      </c>
      <c r="I3537" s="783" t="s">
        <v>6339</v>
      </c>
      <c r="J3537" s="783">
        <v>20</v>
      </c>
      <c r="K3537" s="783" t="s">
        <v>183</v>
      </c>
      <c r="L3537" s="783" t="s">
        <v>4096</v>
      </c>
      <c r="M3537" s="784">
        <v>19114.14</v>
      </c>
      <c r="N3537" s="784">
        <v>19.829999999999998</v>
      </c>
      <c r="O3537" s="784">
        <v>5.67</v>
      </c>
      <c r="P3537" s="783">
        <v>170</v>
      </c>
      <c r="Q3537" s="783">
        <v>1058.92</v>
      </c>
      <c r="R3537" s="783">
        <v>625.27</v>
      </c>
      <c r="S3537" s="783">
        <v>106.8</v>
      </c>
      <c r="T3537" s="783">
        <v>326.85000000000002</v>
      </c>
      <c r="U3537" s="785">
        <v>44631.6378819444</v>
      </c>
    </row>
    <row r="3538" spans="1:21">
      <c r="A3538" s="782">
        <v>44525</v>
      </c>
      <c r="B3538" s="783" t="s">
        <v>41</v>
      </c>
      <c r="C3538" s="783" t="s">
        <v>4092</v>
      </c>
      <c r="D3538" s="783" t="s">
        <v>4009</v>
      </c>
      <c r="E3538" s="783" t="s">
        <v>6343</v>
      </c>
      <c r="F3538" s="783" t="s">
        <v>4011</v>
      </c>
      <c r="G3538" s="783" t="str">
        <f t="shared" si="185"/>
        <v>Renewal (25% in 2020)</v>
      </c>
      <c r="H3538" s="783" t="s">
        <v>6344</v>
      </c>
      <c r="I3538" s="783" t="s">
        <v>6345</v>
      </c>
      <c r="J3538" s="783">
        <v>25</v>
      </c>
      <c r="K3538" s="783" t="s">
        <v>183</v>
      </c>
      <c r="L3538" s="783" t="s">
        <v>4096</v>
      </c>
      <c r="M3538" s="784">
        <v>8765.93</v>
      </c>
      <c r="N3538" s="784">
        <v>14.15</v>
      </c>
      <c r="O3538" s="784">
        <v>4.13</v>
      </c>
      <c r="P3538" s="783">
        <v>150</v>
      </c>
      <c r="Q3538" s="783">
        <v>410.25</v>
      </c>
      <c r="R3538" s="783">
        <v>309.44</v>
      </c>
      <c r="S3538" s="783">
        <v>56.98</v>
      </c>
      <c r="T3538" s="783">
        <v>43.83</v>
      </c>
      <c r="U3538" s="785">
        <v>44631.637858796297</v>
      </c>
    </row>
    <row r="3539" spans="1:21">
      <c r="A3539" s="782">
        <v>44525</v>
      </c>
      <c r="B3539" s="783" t="s">
        <v>74</v>
      </c>
      <c r="C3539" s="783" t="s">
        <v>4097</v>
      </c>
      <c r="D3539" s="783" t="s">
        <v>4038</v>
      </c>
      <c r="E3539" s="783" t="s">
        <v>4476</v>
      </c>
      <c r="F3539" s="783" t="s">
        <v>4011</v>
      </c>
      <c r="G3539" s="783" t="str">
        <f t="shared" si="185"/>
        <v>New Contract</v>
      </c>
      <c r="H3539" s="783" t="s">
        <v>4477</v>
      </c>
      <c r="I3539" s="783" t="s">
        <v>4478</v>
      </c>
      <c r="J3539" s="783">
        <v>20</v>
      </c>
      <c r="K3539" s="783" t="s">
        <v>183</v>
      </c>
      <c r="L3539" s="783" t="s">
        <v>4096</v>
      </c>
      <c r="M3539" s="784">
        <v>2170.9</v>
      </c>
      <c r="N3539" s="784">
        <v>2.73</v>
      </c>
      <c r="O3539" s="784">
        <v>4.97</v>
      </c>
      <c r="P3539" s="783">
        <v>160</v>
      </c>
      <c r="Q3539" s="783">
        <v>145.02000000000001</v>
      </c>
      <c r="R3539" s="783">
        <v>80.760000000000005</v>
      </c>
      <c r="S3539" s="783">
        <v>12.59</v>
      </c>
      <c r="T3539" s="783">
        <v>51.67</v>
      </c>
      <c r="U3539" s="785">
        <v>44631.637777777803</v>
      </c>
    </row>
    <row r="3540" spans="1:21">
      <c r="A3540" s="782">
        <v>44483</v>
      </c>
      <c r="B3540" s="783" t="s">
        <v>4025</v>
      </c>
      <c r="C3540" s="783" t="s">
        <v>4026</v>
      </c>
      <c r="D3540" s="783" t="s">
        <v>4021</v>
      </c>
      <c r="E3540" s="783" t="s">
        <v>4075</v>
      </c>
      <c r="F3540" s="783" t="s">
        <v>4011</v>
      </c>
      <c r="G3540" s="783" t="str">
        <f t="shared" si="185"/>
        <v>New Contract</v>
      </c>
      <c r="H3540" s="783" t="s">
        <v>4076</v>
      </c>
      <c r="I3540" s="783" t="s">
        <v>4077</v>
      </c>
      <c r="J3540" s="783">
        <v>25</v>
      </c>
      <c r="K3540" s="783" t="s">
        <v>183</v>
      </c>
      <c r="L3540" s="783" t="s">
        <v>4096</v>
      </c>
      <c r="M3540" s="784">
        <v>24607.439999999999</v>
      </c>
      <c r="N3540" s="784">
        <v>23.9</v>
      </c>
      <c r="O3540" s="784">
        <v>5.72</v>
      </c>
      <c r="P3540" s="783">
        <v>180</v>
      </c>
      <c r="Q3540" s="783">
        <v>1395.24</v>
      </c>
      <c r="R3540" s="783">
        <v>942.89</v>
      </c>
      <c r="S3540" s="783">
        <v>230.89</v>
      </c>
      <c r="T3540" s="783">
        <v>221.47</v>
      </c>
      <c r="U3540" s="785">
        <v>44631.638078703698</v>
      </c>
    </row>
    <row r="3541" spans="1:21">
      <c r="A3541" s="782">
        <v>44494</v>
      </c>
      <c r="B3541" s="783" t="s">
        <v>4025</v>
      </c>
      <c r="C3541" s="783" t="s">
        <v>4026</v>
      </c>
      <c r="D3541" s="783" t="s">
        <v>4021</v>
      </c>
      <c r="E3541" s="783" t="s">
        <v>4225</v>
      </c>
      <c r="F3541" s="783" t="s">
        <v>4011</v>
      </c>
      <c r="G3541" s="783" t="str">
        <f t="shared" si="185"/>
        <v>New Contract</v>
      </c>
      <c r="H3541" s="783" t="s">
        <v>4226</v>
      </c>
      <c r="I3541" s="783" t="s">
        <v>4227</v>
      </c>
      <c r="J3541" s="783">
        <v>25</v>
      </c>
      <c r="K3541" s="783" t="s">
        <v>183</v>
      </c>
      <c r="L3541" s="783" t="s">
        <v>4096</v>
      </c>
      <c r="M3541" s="784">
        <v>16070.89</v>
      </c>
      <c r="N3541" s="784">
        <v>15.21</v>
      </c>
      <c r="O3541" s="784">
        <v>5.87</v>
      </c>
      <c r="P3541" s="783">
        <v>180</v>
      </c>
      <c r="Q3541" s="783">
        <v>911.22</v>
      </c>
      <c r="R3541" s="783">
        <v>615.79</v>
      </c>
      <c r="S3541" s="783">
        <v>150.79</v>
      </c>
      <c r="T3541" s="783">
        <v>144.63999999999999</v>
      </c>
      <c r="U3541" s="785">
        <v>44631.638310185197</v>
      </c>
    </row>
    <row r="3542" spans="1:21">
      <c r="A3542" s="782">
        <v>44582</v>
      </c>
      <c r="B3542" s="783" t="s">
        <v>30</v>
      </c>
      <c r="C3542" s="783" t="s">
        <v>4239</v>
      </c>
      <c r="D3542" s="783" t="s">
        <v>4021</v>
      </c>
      <c r="E3542" s="783" t="s">
        <v>6353</v>
      </c>
      <c r="F3542" s="783" t="s">
        <v>4011</v>
      </c>
      <c r="G3542" s="783" t="str">
        <f t="shared" si="185"/>
        <v>Renewal (15% in 2020)</v>
      </c>
      <c r="H3542" s="783" t="s">
        <v>6354</v>
      </c>
      <c r="I3542" s="783" t="s">
        <v>6355</v>
      </c>
      <c r="J3542" s="783">
        <v>15</v>
      </c>
      <c r="K3542" s="783" t="s">
        <v>183</v>
      </c>
      <c r="L3542" s="783" t="s">
        <v>4096</v>
      </c>
      <c r="M3542" s="784">
        <v>22815.31</v>
      </c>
      <c r="N3542" s="784">
        <v>22.11</v>
      </c>
      <c r="O3542" s="784">
        <v>6.07</v>
      </c>
      <c r="P3542" s="783">
        <v>170</v>
      </c>
      <c r="Q3542" s="783">
        <v>2012.31</v>
      </c>
      <c r="R3542" s="783">
        <v>822.55</v>
      </c>
      <c r="S3542" s="783">
        <v>199.58</v>
      </c>
      <c r="T3542" s="783">
        <v>990.18</v>
      </c>
      <c r="U3542" s="785">
        <v>44631.638124999998</v>
      </c>
    </row>
    <row r="3543" spans="1:21">
      <c r="A3543" s="782">
        <v>44490</v>
      </c>
      <c r="B3543" s="783" t="s">
        <v>41</v>
      </c>
      <c r="C3543" s="783" t="s">
        <v>4139</v>
      </c>
      <c r="D3543" s="783" t="s">
        <v>4009</v>
      </c>
      <c r="E3543" s="783" t="s">
        <v>6359</v>
      </c>
      <c r="F3543" s="783" t="s">
        <v>4011</v>
      </c>
      <c r="G3543" s="783" t="str">
        <f t="shared" si="185"/>
        <v>Renewal (15% in 2020)</v>
      </c>
      <c r="H3543" s="783" t="s">
        <v>6360</v>
      </c>
      <c r="I3543" s="783" t="s">
        <v>6361</v>
      </c>
      <c r="J3543" s="783">
        <v>15</v>
      </c>
      <c r="K3543" s="783" t="s">
        <v>183</v>
      </c>
      <c r="L3543" s="783" t="s">
        <v>4096</v>
      </c>
      <c r="M3543" s="784">
        <v>27672.3</v>
      </c>
      <c r="N3543" s="784">
        <v>27.7</v>
      </c>
      <c r="O3543" s="784">
        <v>5.55</v>
      </c>
      <c r="P3543" s="783">
        <v>180</v>
      </c>
      <c r="Q3543" s="783">
        <v>2050.52</v>
      </c>
      <c r="R3543" s="783">
        <v>854.94</v>
      </c>
      <c r="S3543" s="783">
        <v>204.91</v>
      </c>
      <c r="T3543" s="783">
        <v>990.67</v>
      </c>
      <c r="U3543" s="785">
        <v>44631.6383333333</v>
      </c>
    </row>
    <row r="3544" spans="1:21">
      <c r="A3544" s="782">
        <v>44488</v>
      </c>
      <c r="B3544" s="783" t="s">
        <v>74</v>
      </c>
      <c r="C3544" s="783" t="s">
        <v>4097</v>
      </c>
      <c r="D3544" s="783" t="s">
        <v>4038</v>
      </c>
      <c r="E3544" s="783" t="s">
        <v>6362</v>
      </c>
      <c r="F3544" s="783" t="s">
        <v>4066</v>
      </c>
      <c r="G3544" s="783" t="str">
        <f t="shared" si="185"/>
        <v>New Contract</v>
      </c>
      <c r="H3544" s="783" t="s">
        <v>6363</v>
      </c>
      <c r="I3544" s="783" t="s">
        <v>6364</v>
      </c>
      <c r="J3544" s="783">
        <v>10</v>
      </c>
      <c r="K3544" s="783" t="s">
        <v>183</v>
      </c>
      <c r="L3544" s="783" t="s">
        <v>4096</v>
      </c>
      <c r="M3544" s="784">
        <v>3240</v>
      </c>
      <c r="N3544" s="784">
        <v>3</v>
      </c>
      <c r="O3544" s="784">
        <v>6</v>
      </c>
      <c r="P3544" s="783">
        <v>180</v>
      </c>
      <c r="Q3544" s="783">
        <v>68.040000000000006</v>
      </c>
      <c r="R3544" s="783">
        <v>0</v>
      </c>
      <c r="S3544" s="783">
        <v>0</v>
      </c>
      <c r="T3544" s="783">
        <v>68.040000000000006</v>
      </c>
      <c r="U3544" s="785">
        <v>44631.637777777803</v>
      </c>
    </row>
    <row r="3545" spans="1:21">
      <c r="A3545" s="782">
        <v>44508</v>
      </c>
      <c r="B3545" s="783" t="s">
        <v>74</v>
      </c>
      <c r="C3545" s="783" t="s">
        <v>4097</v>
      </c>
      <c r="D3545" s="783" t="s">
        <v>4038</v>
      </c>
      <c r="E3545" s="783" t="s">
        <v>4482</v>
      </c>
      <c r="F3545" s="783" t="s">
        <v>4011</v>
      </c>
      <c r="G3545" s="783" t="str">
        <f t="shared" si="185"/>
        <v>Renewal (15% in 2020)</v>
      </c>
      <c r="H3545" s="783" t="s">
        <v>4483</v>
      </c>
      <c r="I3545" s="783" t="s">
        <v>4484</v>
      </c>
      <c r="J3545" s="783">
        <v>20</v>
      </c>
      <c r="K3545" s="783" t="s">
        <v>183</v>
      </c>
      <c r="L3545" s="783" t="s">
        <v>4096</v>
      </c>
      <c r="M3545" s="784">
        <v>9318.5499999999993</v>
      </c>
      <c r="N3545" s="784">
        <v>9.5</v>
      </c>
      <c r="O3545" s="784">
        <v>5.77</v>
      </c>
      <c r="P3545" s="783">
        <v>170</v>
      </c>
      <c r="Q3545" s="783">
        <v>622.48</v>
      </c>
      <c r="R3545" s="783">
        <v>340.53</v>
      </c>
      <c r="S3545" s="783">
        <v>60.16</v>
      </c>
      <c r="T3545" s="783">
        <v>221.78</v>
      </c>
      <c r="U3545" s="785">
        <v>44631.637986111098</v>
      </c>
    </row>
    <row r="3546" spans="1:21">
      <c r="A3546" s="782">
        <v>44494</v>
      </c>
      <c r="B3546" s="783" t="s">
        <v>4025</v>
      </c>
      <c r="C3546" s="783" t="s">
        <v>4026</v>
      </c>
      <c r="D3546" s="783" t="s">
        <v>4021</v>
      </c>
      <c r="E3546" s="783" t="s">
        <v>4228</v>
      </c>
      <c r="F3546" s="783" t="s">
        <v>4011</v>
      </c>
      <c r="G3546" s="783" t="str">
        <f t="shared" si="185"/>
        <v>New Contract</v>
      </c>
      <c r="H3546" s="783" t="s">
        <v>4229</v>
      </c>
      <c r="I3546" s="783" t="s">
        <v>4230</v>
      </c>
      <c r="J3546" s="783">
        <v>20</v>
      </c>
      <c r="K3546" s="783" t="s">
        <v>183</v>
      </c>
      <c r="L3546" s="783" t="s">
        <v>4096</v>
      </c>
      <c r="M3546" s="784">
        <v>6514.33</v>
      </c>
      <c r="N3546" s="784">
        <v>6.79</v>
      </c>
      <c r="O3546" s="784">
        <v>5.33</v>
      </c>
      <c r="P3546" s="783">
        <v>180</v>
      </c>
      <c r="Q3546" s="783">
        <v>471.64</v>
      </c>
      <c r="R3546" s="783">
        <v>249.61</v>
      </c>
      <c r="S3546" s="783">
        <v>61.12</v>
      </c>
      <c r="T3546" s="783">
        <v>160.9</v>
      </c>
      <c r="U3546" s="785">
        <v>44631.638229166703</v>
      </c>
    </row>
    <row r="3547" spans="1:21">
      <c r="A3547" s="782">
        <v>44497</v>
      </c>
      <c r="B3547" s="783" t="s">
        <v>113</v>
      </c>
      <c r="C3547" s="783" t="s">
        <v>4606</v>
      </c>
      <c r="D3547" s="783" t="s">
        <v>4009</v>
      </c>
      <c r="E3547" s="783" t="s">
        <v>3329</v>
      </c>
      <c r="F3547" s="783" t="s">
        <v>4011</v>
      </c>
      <c r="G3547" s="783" t="str">
        <f t="shared" si="185"/>
        <v>Renewal (20% in 2020)</v>
      </c>
      <c r="H3547" s="783" t="s">
        <v>6789</v>
      </c>
      <c r="I3547" s="783" t="s">
        <v>6790</v>
      </c>
      <c r="J3547" s="783">
        <v>20</v>
      </c>
      <c r="K3547" s="783" t="s">
        <v>183</v>
      </c>
      <c r="L3547" s="783" t="s">
        <v>4096</v>
      </c>
      <c r="M3547" s="784">
        <v>2166.0300000000002</v>
      </c>
      <c r="N3547" s="784">
        <v>2.0499999999999998</v>
      </c>
      <c r="O3547" s="784">
        <v>5.87</v>
      </c>
      <c r="P3547" s="783">
        <v>180</v>
      </c>
      <c r="Q3547" s="783">
        <v>181.08</v>
      </c>
      <c r="R3547" s="783">
        <v>91.24</v>
      </c>
      <c r="S3547" s="783">
        <v>22.48</v>
      </c>
      <c r="T3547" s="783">
        <v>67.36</v>
      </c>
      <c r="U3547" s="785">
        <v>44631.637800925899</v>
      </c>
    </row>
    <row r="3548" spans="1:21">
      <c r="A3548" s="782">
        <v>44507</v>
      </c>
      <c r="B3548" s="783" t="s">
        <v>74</v>
      </c>
      <c r="C3548" s="783" t="s">
        <v>4097</v>
      </c>
      <c r="D3548" s="783" t="s">
        <v>4038</v>
      </c>
      <c r="E3548" s="783" t="s">
        <v>4488</v>
      </c>
      <c r="F3548" s="783" t="s">
        <v>4066</v>
      </c>
      <c r="G3548" s="783" t="str">
        <f t="shared" si="185"/>
        <v>New Contract</v>
      </c>
      <c r="H3548" s="783" t="s">
        <v>4489</v>
      </c>
      <c r="I3548" s="783" t="s">
        <v>4490</v>
      </c>
      <c r="J3548" s="783">
        <v>5</v>
      </c>
      <c r="K3548" s="783" t="s">
        <v>183</v>
      </c>
      <c r="L3548" s="783" t="s">
        <v>4096</v>
      </c>
      <c r="M3548" s="784">
        <v>10427.200000000001</v>
      </c>
      <c r="N3548" s="784">
        <v>7.84</v>
      </c>
      <c r="O3548" s="784">
        <v>7</v>
      </c>
      <c r="P3548" s="783">
        <v>190</v>
      </c>
      <c r="Q3548" s="783">
        <v>274.24</v>
      </c>
      <c r="R3548" s="783">
        <v>0</v>
      </c>
      <c r="S3548" s="783">
        <v>0</v>
      </c>
      <c r="T3548" s="783">
        <v>274.24</v>
      </c>
      <c r="U3548" s="785">
        <v>44631.638124999998</v>
      </c>
    </row>
    <row r="3549" spans="1:21">
      <c r="A3549" s="782">
        <v>44581</v>
      </c>
      <c r="B3549" s="783" t="s">
        <v>41</v>
      </c>
      <c r="C3549" s="783" t="s">
        <v>4139</v>
      </c>
      <c r="D3549" s="783" t="s">
        <v>4009</v>
      </c>
      <c r="E3549" s="783" t="s">
        <v>734</v>
      </c>
      <c r="F3549" s="783" t="s">
        <v>4066</v>
      </c>
      <c r="G3549" s="783" t="s">
        <v>4028</v>
      </c>
      <c r="H3549" s="783" t="s">
        <v>6370</v>
      </c>
      <c r="I3549" s="783" t="s">
        <v>6371</v>
      </c>
      <c r="J3549" s="783">
        <v>10</v>
      </c>
      <c r="K3549" s="783" t="s">
        <v>183</v>
      </c>
      <c r="L3549" s="783" t="s">
        <v>4096</v>
      </c>
      <c r="M3549" s="784">
        <v>53655</v>
      </c>
      <c r="N3549" s="784">
        <v>35.770000000000003</v>
      </c>
      <c r="O3549" s="784">
        <v>7.5</v>
      </c>
      <c r="P3549" s="783">
        <v>200</v>
      </c>
      <c r="Q3549" s="783">
        <v>574.11</v>
      </c>
      <c r="R3549" s="783">
        <v>0</v>
      </c>
      <c r="S3549" s="783">
        <v>0</v>
      </c>
      <c r="T3549" s="783">
        <v>574.11</v>
      </c>
      <c r="U3549" s="785">
        <v>44631.638518518499</v>
      </c>
    </row>
    <row r="3550" spans="1:21">
      <c r="A3550" s="782">
        <v>44581</v>
      </c>
      <c r="B3550" s="783" t="s">
        <v>2866</v>
      </c>
      <c r="C3550" s="783" t="s">
        <v>4008</v>
      </c>
      <c r="D3550" s="783" t="s">
        <v>4009</v>
      </c>
      <c r="E3550" s="783" t="s">
        <v>6372</v>
      </c>
      <c r="F3550" s="783" t="s">
        <v>4011</v>
      </c>
      <c r="G3550" s="783" t="str">
        <f t="shared" ref="G3550:G3563" si="186">VLOOKUP(I3550,pacage,2,FALSE)</f>
        <v>Renewal (25% in 2020)</v>
      </c>
      <c r="H3550" s="783" t="s">
        <v>6373</v>
      </c>
      <c r="I3550" s="783" t="s">
        <v>6374</v>
      </c>
      <c r="J3550" s="783">
        <v>20</v>
      </c>
      <c r="K3550" s="783" t="s">
        <v>183</v>
      </c>
      <c r="L3550" s="783" t="s">
        <v>4096</v>
      </c>
      <c r="M3550" s="784">
        <v>11868.16</v>
      </c>
      <c r="N3550" s="784">
        <v>11.3</v>
      </c>
      <c r="O3550" s="784">
        <v>4.84</v>
      </c>
      <c r="P3550" s="783">
        <v>217</v>
      </c>
      <c r="Q3550" s="783">
        <v>765.5</v>
      </c>
      <c r="R3550" s="783">
        <v>330.64</v>
      </c>
      <c r="S3550" s="783">
        <v>167.83</v>
      </c>
      <c r="T3550" s="783">
        <v>267.02999999999997</v>
      </c>
      <c r="U3550" s="785">
        <v>44631.638298611098</v>
      </c>
    </row>
    <row r="3551" spans="1:21">
      <c r="A3551" s="782">
        <v>44579</v>
      </c>
      <c r="B3551" s="783" t="s">
        <v>2041</v>
      </c>
      <c r="C3551" s="783" t="s">
        <v>4417</v>
      </c>
      <c r="D3551" s="783" t="s">
        <v>4193</v>
      </c>
      <c r="E3551" s="783" t="s">
        <v>6375</v>
      </c>
      <c r="F3551" s="783" t="s">
        <v>4011</v>
      </c>
      <c r="G3551" s="783" t="str">
        <f t="shared" si="186"/>
        <v>Renewal (15% in 2020)</v>
      </c>
      <c r="H3551" s="783" t="s">
        <v>6376</v>
      </c>
      <c r="I3551" s="783" t="s">
        <v>6377</v>
      </c>
      <c r="J3551" s="783">
        <v>25</v>
      </c>
      <c r="K3551" s="783" t="s">
        <v>183</v>
      </c>
      <c r="L3551" s="783" t="s">
        <v>4096</v>
      </c>
      <c r="M3551" s="784">
        <v>19920</v>
      </c>
      <c r="N3551" s="784">
        <v>12</v>
      </c>
      <c r="O3551" s="784">
        <v>8.3000000000000007</v>
      </c>
      <c r="P3551" s="783">
        <v>200</v>
      </c>
      <c r="Q3551" s="783">
        <v>910.34</v>
      </c>
      <c r="R3551" s="783">
        <v>582.16</v>
      </c>
      <c r="S3551" s="783">
        <v>220.61</v>
      </c>
      <c r="T3551" s="783">
        <v>107.57</v>
      </c>
      <c r="U3551" s="785">
        <v>44708.991851851897</v>
      </c>
    </row>
    <row r="3552" spans="1:21">
      <c r="A3552" s="782">
        <v>44581</v>
      </c>
      <c r="B3552" s="783" t="s">
        <v>30</v>
      </c>
      <c r="C3552" s="783" t="s">
        <v>4239</v>
      </c>
      <c r="D3552" s="783" t="s">
        <v>4021</v>
      </c>
      <c r="E3552" s="783" t="s">
        <v>6380</v>
      </c>
      <c r="F3552" s="783" t="s">
        <v>4011</v>
      </c>
      <c r="G3552" s="783" t="str">
        <f t="shared" si="186"/>
        <v>Renewal (15% in 2020)</v>
      </c>
      <c r="H3552" s="783" t="s">
        <v>6381</v>
      </c>
      <c r="I3552" s="783" t="s">
        <v>6382</v>
      </c>
      <c r="J3552" s="783">
        <v>15</v>
      </c>
      <c r="K3552" s="783" t="s">
        <v>183</v>
      </c>
      <c r="L3552" s="783" t="s">
        <v>4096</v>
      </c>
      <c r="M3552" s="784">
        <v>23908.5</v>
      </c>
      <c r="N3552" s="784">
        <v>14.85</v>
      </c>
      <c r="O3552" s="784">
        <v>7</v>
      </c>
      <c r="P3552" s="783">
        <v>230</v>
      </c>
      <c r="Q3552" s="783">
        <v>2108.73</v>
      </c>
      <c r="R3552" s="783">
        <v>637.1</v>
      </c>
      <c r="S3552" s="783">
        <v>434</v>
      </c>
      <c r="T3552" s="783">
        <v>1037.6300000000001</v>
      </c>
      <c r="U3552" s="785">
        <v>44631.6385532407</v>
      </c>
    </row>
    <row r="3553" spans="1:21">
      <c r="A3553" s="782">
        <v>44623</v>
      </c>
      <c r="B3553" s="783" t="s">
        <v>41</v>
      </c>
      <c r="C3553" s="783" t="s">
        <v>4071</v>
      </c>
      <c r="D3553" s="783" t="s">
        <v>4009</v>
      </c>
      <c r="E3553" s="783" t="s">
        <v>6392</v>
      </c>
      <c r="F3553" s="783" t="s">
        <v>4011</v>
      </c>
      <c r="G3553" s="783" t="str">
        <f t="shared" si="186"/>
        <v>Renewal (25% in 2020)</v>
      </c>
      <c r="H3553" s="783" t="s">
        <v>6393</v>
      </c>
      <c r="I3553" s="783" t="s">
        <v>6394</v>
      </c>
      <c r="J3553" s="783">
        <v>25</v>
      </c>
      <c r="K3553" s="783" t="s">
        <v>183</v>
      </c>
      <c r="L3553" s="783" t="s">
        <v>4096</v>
      </c>
      <c r="M3553" s="784">
        <v>24440.26</v>
      </c>
      <c r="N3553" s="784">
        <v>17.420000000000002</v>
      </c>
      <c r="O3553" s="784">
        <v>6.1</v>
      </c>
      <c r="P3553" s="783">
        <v>230</v>
      </c>
      <c r="Q3553" s="783">
        <v>848.08</v>
      </c>
      <c r="R3553" s="783">
        <v>479.14</v>
      </c>
      <c r="S3553" s="783">
        <v>278.51</v>
      </c>
      <c r="T3553" s="783">
        <v>90.43</v>
      </c>
      <c r="U3553" s="785">
        <v>44631.6382407407</v>
      </c>
    </row>
    <row r="3554" spans="1:21">
      <c r="A3554" s="782">
        <v>44622</v>
      </c>
      <c r="B3554" s="783" t="s">
        <v>34</v>
      </c>
      <c r="C3554" s="783" t="s">
        <v>4082</v>
      </c>
      <c r="D3554" s="783" t="s">
        <v>4009</v>
      </c>
      <c r="E3554" s="783" t="s">
        <v>6395</v>
      </c>
      <c r="F3554" s="783" t="s">
        <v>4011</v>
      </c>
      <c r="G3554" s="783" t="str">
        <f t="shared" si="186"/>
        <v>Renewal (30% in 2020)</v>
      </c>
      <c r="H3554" s="783" t="s">
        <v>6396</v>
      </c>
      <c r="I3554" s="783" t="s">
        <v>6397</v>
      </c>
      <c r="J3554" s="783">
        <v>30</v>
      </c>
      <c r="K3554" s="783" t="s">
        <v>183</v>
      </c>
      <c r="L3554" s="783" t="s">
        <v>4096</v>
      </c>
      <c r="M3554" s="784">
        <v>10128</v>
      </c>
      <c r="N3554" s="784">
        <v>10</v>
      </c>
      <c r="O3554" s="784">
        <v>6.33</v>
      </c>
      <c r="P3554" s="783">
        <v>160</v>
      </c>
      <c r="Q3554" s="783">
        <v>393.98</v>
      </c>
      <c r="R3554" s="783">
        <v>345.36</v>
      </c>
      <c r="S3554" s="783">
        <v>0</v>
      </c>
      <c r="T3554" s="783">
        <v>48.61</v>
      </c>
      <c r="U3554" s="785">
        <v>44631.638483796298</v>
      </c>
    </row>
    <row r="3555" spans="1:21">
      <c r="A3555" s="782">
        <v>44519</v>
      </c>
      <c r="B3555" s="783" t="s">
        <v>74</v>
      </c>
      <c r="C3555" s="783" t="s">
        <v>4037</v>
      </c>
      <c r="D3555" s="783" t="s">
        <v>4038</v>
      </c>
      <c r="E3555" s="783" t="s">
        <v>4753</v>
      </c>
      <c r="F3555" s="783" t="s">
        <v>4011</v>
      </c>
      <c r="G3555" s="783" t="str">
        <f t="shared" si="186"/>
        <v>Renewal (25% in 2020)</v>
      </c>
      <c r="H3555" s="783" t="s">
        <v>4754</v>
      </c>
      <c r="I3555" s="783" t="s">
        <v>4755</v>
      </c>
      <c r="J3555" s="783">
        <v>30</v>
      </c>
      <c r="K3555" s="783" t="s">
        <v>183</v>
      </c>
      <c r="L3555" s="783" t="s">
        <v>4096</v>
      </c>
      <c r="M3555" s="784">
        <v>8062.59</v>
      </c>
      <c r="N3555" s="784">
        <v>7.7</v>
      </c>
      <c r="O3555" s="784">
        <v>6.27</v>
      </c>
      <c r="P3555" s="783">
        <v>167</v>
      </c>
      <c r="Q3555" s="783">
        <v>514.39</v>
      </c>
      <c r="R3555" s="783">
        <v>387.81</v>
      </c>
      <c r="S3555" s="783">
        <v>0</v>
      </c>
      <c r="T3555" s="783">
        <v>126.58</v>
      </c>
      <c r="U3555" s="785">
        <v>44631.637962963003</v>
      </c>
    </row>
    <row r="3556" spans="1:21">
      <c r="A3556" s="782">
        <v>44560</v>
      </c>
      <c r="B3556" s="783" t="s">
        <v>41</v>
      </c>
      <c r="C3556" s="783" t="s">
        <v>4121</v>
      </c>
      <c r="D3556" s="783" t="s">
        <v>4009</v>
      </c>
      <c r="E3556" s="783" t="s">
        <v>6406</v>
      </c>
      <c r="F3556" s="783" t="s">
        <v>4011</v>
      </c>
      <c r="G3556" s="783" t="str">
        <f t="shared" si="186"/>
        <v>Renewal (20% in 2020)</v>
      </c>
      <c r="H3556" s="783" t="s">
        <v>6407</v>
      </c>
      <c r="I3556" s="783" t="s">
        <v>6408</v>
      </c>
      <c r="J3556" s="783">
        <v>20</v>
      </c>
      <c r="K3556" s="783" t="s">
        <v>183</v>
      </c>
      <c r="L3556" s="783" t="s">
        <v>4096</v>
      </c>
      <c r="M3556" s="784">
        <v>2087.5</v>
      </c>
      <c r="N3556" s="784">
        <v>2.5</v>
      </c>
      <c r="O3556" s="784">
        <v>5</v>
      </c>
      <c r="P3556" s="783">
        <v>167</v>
      </c>
      <c r="Q3556" s="783">
        <v>125.46</v>
      </c>
      <c r="R3556" s="783">
        <v>72.849999999999994</v>
      </c>
      <c r="S3556" s="783">
        <v>10.86</v>
      </c>
      <c r="T3556" s="783">
        <v>41.75</v>
      </c>
      <c r="U3556" s="785">
        <v>44631.637673611098</v>
      </c>
    </row>
    <row r="3557" spans="1:21">
      <c r="A3557" s="782">
        <v>44519</v>
      </c>
      <c r="B3557" s="783" t="s">
        <v>41</v>
      </c>
      <c r="C3557" s="783" t="s">
        <v>4082</v>
      </c>
      <c r="D3557" s="783" t="s">
        <v>4009</v>
      </c>
      <c r="E3557" s="783" t="s">
        <v>6409</v>
      </c>
      <c r="F3557" s="783" t="s">
        <v>4011</v>
      </c>
      <c r="G3557" s="783" t="str">
        <f t="shared" si="186"/>
        <v>Renewal (15% in 2020)</v>
      </c>
      <c r="H3557" s="783" t="s">
        <v>6410</v>
      </c>
      <c r="I3557" s="783" t="s">
        <v>6411</v>
      </c>
      <c r="J3557" s="783">
        <v>15</v>
      </c>
      <c r="K3557" s="783" t="s">
        <v>183</v>
      </c>
      <c r="L3557" s="783" t="s">
        <v>4096</v>
      </c>
      <c r="M3557" s="784">
        <v>8390.5400000000009</v>
      </c>
      <c r="N3557" s="784">
        <v>10.28</v>
      </c>
      <c r="O3557" s="784">
        <v>5.83</v>
      </c>
      <c r="P3557" s="783">
        <v>140</v>
      </c>
      <c r="Q3557" s="783">
        <v>655.29999999999995</v>
      </c>
      <c r="R3557" s="783">
        <v>286.12</v>
      </c>
      <c r="S3557" s="783">
        <v>52.02</v>
      </c>
      <c r="T3557" s="783">
        <v>317.16000000000003</v>
      </c>
      <c r="U3557" s="785">
        <v>44631.6379282407</v>
      </c>
    </row>
    <row r="3558" spans="1:21">
      <c r="A3558" s="782">
        <v>44559</v>
      </c>
      <c r="B3558" s="783" t="s">
        <v>41</v>
      </c>
      <c r="C3558" s="783" t="s">
        <v>4139</v>
      </c>
      <c r="D3558" s="783" t="s">
        <v>4009</v>
      </c>
      <c r="E3558" s="783" t="s">
        <v>6412</v>
      </c>
      <c r="F3558" s="783" t="s">
        <v>4011</v>
      </c>
      <c r="G3558" s="783" t="str">
        <f t="shared" si="186"/>
        <v>Renewal (20% in 2020)</v>
      </c>
      <c r="H3558" s="783" t="s">
        <v>6413</v>
      </c>
      <c r="I3558" s="783" t="s">
        <v>6414</v>
      </c>
      <c r="J3558" s="783">
        <v>20</v>
      </c>
      <c r="K3558" s="783" t="s">
        <v>183</v>
      </c>
      <c r="L3558" s="783" t="s">
        <v>4096</v>
      </c>
      <c r="M3558" s="784">
        <v>15583.85</v>
      </c>
      <c r="N3558" s="784">
        <v>12.9</v>
      </c>
      <c r="O3558" s="784">
        <v>6.53</v>
      </c>
      <c r="P3558" s="783">
        <v>185</v>
      </c>
      <c r="Q3558" s="783">
        <v>863.35</v>
      </c>
      <c r="R3558" s="783">
        <v>468.45</v>
      </c>
      <c r="S3558" s="783">
        <v>128.41</v>
      </c>
      <c r="T3558" s="783">
        <v>266.48</v>
      </c>
      <c r="U3558" s="785">
        <v>44631.638437499998</v>
      </c>
    </row>
    <row r="3559" spans="1:21">
      <c r="A3559" s="782">
        <v>44409</v>
      </c>
      <c r="B3559" s="783" t="s">
        <v>1423</v>
      </c>
      <c r="C3559" s="783" t="s">
        <v>4097</v>
      </c>
      <c r="D3559" s="783" t="s">
        <v>4038</v>
      </c>
      <c r="E3559" s="783" t="s">
        <v>4744</v>
      </c>
      <c r="F3559" s="783" t="s">
        <v>4011</v>
      </c>
      <c r="G3559" s="783" t="str">
        <f t="shared" si="186"/>
        <v>Renewal (25% in 2020)</v>
      </c>
      <c r="H3559" s="783" t="s">
        <v>4745</v>
      </c>
      <c r="I3559" s="783" t="s">
        <v>4746</v>
      </c>
      <c r="J3559" s="783">
        <v>25</v>
      </c>
      <c r="K3559" s="783" t="s">
        <v>386</v>
      </c>
      <c r="L3559" s="783" t="s">
        <v>4096</v>
      </c>
      <c r="M3559" s="784">
        <v>12181.4</v>
      </c>
      <c r="N3559" s="784">
        <v>11.3</v>
      </c>
      <c r="O3559" s="784">
        <v>3.08</v>
      </c>
      <c r="P3559" s="783">
        <v>350</v>
      </c>
      <c r="Q3559" s="783">
        <v>705.3</v>
      </c>
      <c r="R3559" s="783">
        <v>336.71</v>
      </c>
      <c r="S3559" s="783">
        <v>250.44</v>
      </c>
      <c r="T3559" s="783">
        <v>118.16</v>
      </c>
      <c r="U3559" s="785">
        <v>44631.504155092603</v>
      </c>
    </row>
    <row r="3560" spans="1:21">
      <c r="A3560" s="782">
        <v>44606</v>
      </c>
      <c r="B3560" s="783" t="s">
        <v>3078</v>
      </c>
      <c r="C3560" s="783" t="s">
        <v>4414</v>
      </c>
      <c r="D3560" s="783" t="s">
        <v>4009</v>
      </c>
      <c r="E3560" s="783" t="s">
        <v>6425</v>
      </c>
      <c r="F3560" s="783" t="s">
        <v>4011</v>
      </c>
      <c r="G3560" s="783" t="str">
        <f t="shared" si="186"/>
        <v>New Contract</v>
      </c>
      <c r="H3560" s="783" t="s">
        <v>6426</v>
      </c>
      <c r="I3560" s="783" t="s">
        <v>6427</v>
      </c>
      <c r="J3560" s="783">
        <v>20</v>
      </c>
      <c r="K3560" s="783" t="s">
        <v>386</v>
      </c>
      <c r="L3560" s="783" t="s">
        <v>4096</v>
      </c>
      <c r="M3560" s="784">
        <v>50625</v>
      </c>
      <c r="N3560" s="784">
        <v>27</v>
      </c>
      <c r="O3560" s="784">
        <v>2.5</v>
      </c>
      <c r="P3560" s="783">
        <v>750</v>
      </c>
      <c r="Q3560" s="783">
        <v>4657.5</v>
      </c>
      <c r="R3560" s="783">
        <v>784.57</v>
      </c>
      <c r="S3560" s="783">
        <v>2156.75</v>
      </c>
      <c r="T3560" s="783">
        <v>1716.19</v>
      </c>
      <c r="U3560" s="785">
        <v>44631.626273148097</v>
      </c>
    </row>
    <row r="3561" spans="1:21">
      <c r="A3561" s="782">
        <v>44685</v>
      </c>
      <c r="B3561" s="783" t="s">
        <v>4025</v>
      </c>
      <c r="C3561" s="783" t="s">
        <v>4026</v>
      </c>
      <c r="D3561" s="783" t="s">
        <v>4021</v>
      </c>
      <c r="E3561" s="783" t="s">
        <v>6457</v>
      </c>
      <c r="F3561" s="783" t="s">
        <v>4011</v>
      </c>
      <c r="G3561" s="783" t="str">
        <f t="shared" si="186"/>
        <v>New Contract</v>
      </c>
      <c r="H3561" s="783" t="s">
        <v>6458</v>
      </c>
      <c r="I3561" s="783" t="s">
        <v>6459</v>
      </c>
      <c r="J3561" s="783">
        <v>20</v>
      </c>
      <c r="K3561" s="783" t="s">
        <v>386</v>
      </c>
      <c r="L3561" s="783" t="s">
        <v>4096</v>
      </c>
      <c r="M3561" s="784">
        <v>1122</v>
      </c>
      <c r="N3561" s="784">
        <v>3.74</v>
      </c>
      <c r="O3561" s="784">
        <v>1.5</v>
      </c>
      <c r="P3561" s="783">
        <v>200</v>
      </c>
      <c r="Q3561" s="783">
        <v>89.31</v>
      </c>
      <c r="R3561" s="783">
        <v>51.05</v>
      </c>
      <c r="S3561" s="783">
        <v>8.19</v>
      </c>
      <c r="T3561" s="783">
        <v>30.07</v>
      </c>
      <c r="U3561" s="785">
        <v>44687.638854166697</v>
      </c>
    </row>
    <row r="3562" spans="1:21">
      <c r="A3562" s="782">
        <v>44697</v>
      </c>
      <c r="B3562" s="783" t="s">
        <v>74</v>
      </c>
      <c r="C3562" s="783" t="s">
        <v>4097</v>
      </c>
      <c r="D3562" s="783" t="s">
        <v>4038</v>
      </c>
      <c r="E3562" s="783" t="s">
        <v>6469</v>
      </c>
      <c r="F3562" s="783" t="s">
        <v>4011</v>
      </c>
      <c r="G3562" s="783" t="str">
        <f t="shared" si="186"/>
        <v>New Contract</v>
      </c>
      <c r="H3562" s="783" t="s">
        <v>6470</v>
      </c>
      <c r="I3562" s="783" t="s">
        <v>6471</v>
      </c>
      <c r="J3562" s="783">
        <v>20</v>
      </c>
      <c r="K3562" s="783" t="s">
        <v>386</v>
      </c>
      <c r="L3562" s="783" t="s">
        <v>4096</v>
      </c>
      <c r="M3562" s="784">
        <v>18876</v>
      </c>
      <c r="N3562" s="784">
        <v>15.73</v>
      </c>
      <c r="O3562" s="784">
        <v>1.5</v>
      </c>
      <c r="P3562" s="783">
        <v>800</v>
      </c>
      <c r="Q3562" s="783">
        <v>1387.39</v>
      </c>
      <c r="R3562" s="783">
        <v>228.27</v>
      </c>
      <c r="S3562" s="783">
        <v>681.56</v>
      </c>
      <c r="T3562" s="783">
        <v>477.56</v>
      </c>
      <c r="U3562" s="785">
        <v>44698.591261574104</v>
      </c>
    </row>
    <row r="3563" spans="1:21">
      <c r="A3563" s="782">
        <v>44679</v>
      </c>
      <c r="B3563" s="783" t="s">
        <v>74</v>
      </c>
      <c r="C3563" s="783" t="s">
        <v>4097</v>
      </c>
      <c r="D3563" s="783" t="s">
        <v>4038</v>
      </c>
      <c r="E3563" s="783" t="s">
        <v>6483</v>
      </c>
      <c r="F3563" s="783" t="s">
        <v>4011</v>
      </c>
      <c r="G3563" s="783" t="str">
        <f t="shared" si="186"/>
        <v>Renewal (25% in 2020)</v>
      </c>
      <c r="H3563" s="783" t="s">
        <v>6484</v>
      </c>
      <c r="I3563" s="783" t="s">
        <v>6485</v>
      </c>
      <c r="J3563" s="783">
        <v>25</v>
      </c>
      <c r="K3563" s="783" t="s">
        <v>386</v>
      </c>
      <c r="L3563" s="783" t="s">
        <v>4096</v>
      </c>
      <c r="M3563" s="784">
        <v>6613.75</v>
      </c>
      <c r="N3563" s="784">
        <v>6.5</v>
      </c>
      <c r="O3563" s="784">
        <v>4.07</v>
      </c>
      <c r="P3563" s="783">
        <v>250</v>
      </c>
      <c r="Q3563" s="783">
        <v>382.94</v>
      </c>
      <c r="R3563" s="783">
        <v>255.94</v>
      </c>
      <c r="S3563" s="783">
        <v>62.85</v>
      </c>
      <c r="T3563" s="783">
        <v>64.150000000000006</v>
      </c>
      <c r="U3563" s="785">
        <v>44680.720347222203</v>
      </c>
    </row>
    <row r="3564" spans="1:21">
      <c r="A3564" s="782">
        <v>44712</v>
      </c>
      <c r="B3564" s="783" t="s">
        <v>34</v>
      </c>
      <c r="C3564" s="783" t="s">
        <v>4082</v>
      </c>
      <c r="D3564" s="783" t="s">
        <v>4009</v>
      </c>
      <c r="E3564" s="783" t="s">
        <v>4083</v>
      </c>
      <c r="F3564" s="783" t="s">
        <v>4011</v>
      </c>
      <c r="G3564" s="783" t="s">
        <v>4028</v>
      </c>
      <c r="H3564" s="783" t="s">
        <v>4084</v>
      </c>
      <c r="I3564" s="783" t="s">
        <v>4085</v>
      </c>
      <c r="J3564" s="783">
        <v>25</v>
      </c>
      <c r="K3564" s="783" t="s">
        <v>386</v>
      </c>
      <c r="L3564" s="783" t="s">
        <v>4096</v>
      </c>
      <c r="M3564" s="784">
        <v>35058.82</v>
      </c>
      <c r="N3564" s="784">
        <v>23.41</v>
      </c>
      <c r="O3564" s="784">
        <v>2.88</v>
      </c>
      <c r="P3564" s="783">
        <v>520</v>
      </c>
      <c r="Q3564" s="783">
        <v>1738.92</v>
      </c>
      <c r="R3564" s="783">
        <v>592.82000000000005</v>
      </c>
      <c r="S3564" s="783">
        <v>970.81</v>
      </c>
      <c r="T3564" s="783">
        <v>175.29</v>
      </c>
      <c r="U3564" s="785">
        <v>44714.003958333298</v>
      </c>
    </row>
    <row r="3565" spans="1:21">
      <c r="A3565" s="782">
        <v>44698</v>
      </c>
      <c r="B3565" s="783" t="s">
        <v>41</v>
      </c>
      <c r="C3565" s="783" t="s">
        <v>4071</v>
      </c>
      <c r="D3565" s="783" t="s">
        <v>4009</v>
      </c>
      <c r="E3565" s="783" t="s">
        <v>6495</v>
      </c>
      <c r="F3565" s="783" t="s">
        <v>4011</v>
      </c>
      <c r="G3565" s="783" t="str">
        <f>VLOOKUP(I3565,pacage,2,FALSE)</f>
        <v>Renewal (20% in 2020)</v>
      </c>
      <c r="H3565" s="783" t="s">
        <v>6496</v>
      </c>
      <c r="I3565" s="783" t="s">
        <v>6497</v>
      </c>
      <c r="J3565" s="783">
        <v>20</v>
      </c>
      <c r="K3565" s="783" t="s">
        <v>386</v>
      </c>
      <c r="L3565" s="783" t="s">
        <v>4096</v>
      </c>
      <c r="M3565" s="784">
        <v>12015.47</v>
      </c>
      <c r="N3565" s="784">
        <v>11.33</v>
      </c>
      <c r="O3565" s="784">
        <v>3.03</v>
      </c>
      <c r="P3565" s="783">
        <v>350</v>
      </c>
      <c r="Q3565" s="783">
        <v>593.55999999999995</v>
      </c>
      <c r="R3565" s="783">
        <v>238.14</v>
      </c>
      <c r="S3565" s="783">
        <v>173.99</v>
      </c>
      <c r="T3565" s="783">
        <v>181.43</v>
      </c>
      <c r="U3565" s="785">
        <v>44699.4859027778</v>
      </c>
    </row>
    <row r="3566" spans="1:21">
      <c r="A3566" s="782">
        <v>44698</v>
      </c>
      <c r="B3566" s="783" t="s">
        <v>74</v>
      </c>
      <c r="C3566" s="783" t="s">
        <v>4097</v>
      </c>
      <c r="D3566" s="783" t="s">
        <v>4038</v>
      </c>
      <c r="E3566" s="783" t="s">
        <v>6513</v>
      </c>
      <c r="F3566" s="783" t="s">
        <v>4011</v>
      </c>
      <c r="G3566" s="783" t="str">
        <f>VLOOKUP(I3566,pacage,2,FALSE)</f>
        <v>New contract</v>
      </c>
      <c r="H3566" s="783" t="s">
        <v>6514</v>
      </c>
      <c r="I3566" s="783" t="s">
        <v>6515</v>
      </c>
      <c r="J3566" s="783">
        <v>25</v>
      </c>
      <c r="K3566" s="783" t="s">
        <v>386</v>
      </c>
      <c r="L3566" s="783" t="s">
        <v>4096</v>
      </c>
      <c r="M3566" s="784">
        <v>10661.5</v>
      </c>
      <c r="N3566" s="784">
        <v>11.68</v>
      </c>
      <c r="O3566" s="784">
        <v>3.26</v>
      </c>
      <c r="P3566" s="783">
        <v>280</v>
      </c>
      <c r="Q3566" s="783">
        <v>617.29999999999995</v>
      </c>
      <c r="R3566" s="783">
        <v>368.37</v>
      </c>
      <c r="S3566" s="783">
        <v>145.51</v>
      </c>
      <c r="T3566" s="783">
        <v>103.42</v>
      </c>
      <c r="U3566" s="785">
        <v>44708.971863425897</v>
      </c>
    </row>
    <row r="3567" spans="1:21">
      <c r="A3567" s="782">
        <v>44524</v>
      </c>
      <c r="B3567" s="783" t="s">
        <v>347</v>
      </c>
      <c r="C3567" s="783" t="s">
        <v>4139</v>
      </c>
      <c r="D3567" s="783" t="s">
        <v>4009</v>
      </c>
      <c r="E3567" s="783" t="s">
        <v>6115</v>
      </c>
      <c r="F3567" s="783" t="s">
        <v>4011</v>
      </c>
      <c r="G3567" s="783" t="str">
        <f>VLOOKUP(I3567,pacage,2,FALSE)</f>
        <v>Renewal (25% in 2020)</v>
      </c>
      <c r="H3567" s="783" t="s">
        <v>6116</v>
      </c>
      <c r="I3567" s="783" t="s">
        <v>6117</v>
      </c>
      <c r="J3567" s="783">
        <v>25</v>
      </c>
      <c r="K3567" s="783" t="s">
        <v>386</v>
      </c>
      <c r="L3567" s="783" t="s">
        <v>4096</v>
      </c>
      <c r="M3567" s="784">
        <v>18588.53</v>
      </c>
      <c r="N3567" s="784">
        <v>17.010000000000002</v>
      </c>
      <c r="O3567" s="784">
        <v>6.83</v>
      </c>
      <c r="P3567" s="783">
        <v>160</v>
      </c>
      <c r="Q3567" s="783">
        <v>875.52</v>
      </c>
      <c r="R3567" s="783">
        <v>684.06</v>
      </c>
      <c r="S3567" s="783">
        <v>98.52</v>
      </c>
      <c r="T3567" s="783">
        <v>92.94</v>
      </c>
      <c r="U3567" s="785">
        <v>44631.636018518497</v>
      </c>
    </row>
    <row r="3568" spans="1:21">
      <c r="A3568" s="782">
        <v>44525</v>
      </c>
      <c r="B3568" s="783" t="s">
        <v>74</v>
      </c>
      <c r="C3568" s="783" t="s">
        <v>4037</v>
      </c>
      <c r="D3568" s="783" t="s">
        <v>4038</v>
      </c>
      <c r="E3568" s="783" t="s">
        <v>6519</v>
      </c>
      <c r="F3568" s="783" t="s">
        <v>4011</v>
      </c>
      <c r="G3568" s="783" t="str">
        <f>VLOOKUP(I3568,pacage,2,FALSE)</f>
        <v>Renewal (25% in 2020)</v>
      </c>
      <c r="H3568" s="783" t="s">
        <v>6520</v>
      </c>
      <c r="I3568" s="783" t="s">
        <v>6521</v>
      </c>
      <c r="J3568" s="783">
        <v>20</v>
      </c>
      <c r="K3568" s="783" t="s">
        <v>386</v>
      </c>
      <c r="L3568" s="783" t="s">
        <v>4096</v>
      </c>
      <c r="M3568" s="784">
        <v>2271.33</v>
      </c>
      <c r="N3568" s="784">
        <v>3.33</v>
      </c>
      <c r="O3568" s="784">
        <v>2.94</v>
      </c>
      <c r="P3568" s="783">
        <v>232</v>
      </c>
      <c r="Q3568" s="783">
        <v>224.63</v>
      </c>
      <c r="R3568" s="783">
        <v>122.65</v>
      </c>
      <c r="S3568" s="783">
        <v>19.53</v>
      </c>
      <c r="T3568" s="783">
        <v>82.45</v>
      </c>
      <c r="U3568" s="785">
        <v>44631.636157407404</v>
      </c>
    </row>
    <row r="3569" spans="1:21">
      <c r="A3569" s="782">
        <v>44557</v>
      </c>
      <c r="B3569" s="783" t="s">
        <v>30</v>
      </c>
      <c r="C3569" s="783" t="s">
        <v>4089</v>
      </c>
      <c r="D3569" s="783" t="s">
        <v>4021</v>
      </c>
      <c r="E3569" s="783" t="s">
        <v>3187</v>
      </c>
      <c r="F3569" s="783" t="s">
        <v>4011</v>
      </c>
      <c r="G3569" s="783" t="s">
        <v>4028</v>
      </c>
      <c r="H3569" s="783" t="s">
        <v>4090</v>
      </c>
      <c r="I3569" s="783" t="s">
        <v>4091</v>
      </c>
      <c r="J3569" s="783">
        <v>20</v>
      </c>
      <c r="K3569" s="783" t="s">
        <v>386</v>
      </c>
      <c r="L3569" s="783" t="s">
        <v>4096</v>
      </c>
      <c r="M3569" s="784">
        <v>20201.400000000001</v>
      </c>
      <c r="N3569" s="784">
        <v>13.05</v>
      </c>
      <c r="O3569" s="784">
        <v>3.87</v>
      </c>
      <c r="P3569" s="783">
        <v>400</v>
      </c>
      <c r="Q3569" s="783">
        <v>1567.63</v>
      </c>
      <c r="R3569" s="783">
        <v>524.91</v>
      </c>
      <c r="S3569" s="783">
        <v>519.5</v>
      </c>
      <c r="T3569" s="783">
        <v>523.22</v>
      </c>
      <c r="U3569" s="785">
        <v>44631.637013888903</v>
      </c>
    </row>
    <row r="3570" spans="1:21">
      <c r="A3570" s="782">
        <v>44409</v>
      </c>
      <c r="B3570" s="783" t="s">
        <v>228</v>
      </c>
      <c r="C3570" s="783" t="s">
        <v>4675</v>
      </c>
      <c r="D3570" s="783" t="s">
        <v>4193</v>
      </c>
      <c r="E3570" s="783" t="s">
        <v>4841</v>
      </c>
      <c r="F3570" s="783" t="s">
        <v>4011</v>
      </c>
      <c r="G3570" s="783" t="str">
        <f t="shared" ref="G3570:G3576" si="187">VLOOKUP(I3570,pacage,2,FALSE)</f>
        <v>Renewal (25% in 2020)</v>
      </c>
      <c r="H3570" s="783" t="s">
        <v>4842</v>
      </c>
      <c r="I3570" s="783" t="s">
        <v>4843</v>
      </c>
      <c r="J3570" s="783">
        <v>25</v>
      </c>
      <c r="K3570" s="783" t="s">
        <v>7114</v>
      </c>
      <c r="L3570" s="783" t="s">
        <v>4096</v>
      </c>
      <c r="M3570" s="784">
        <v>13062.4</v>
      </c>
      <c r="N3570" s="784">
        <v>13</v>
      </c>
      <c r="O3570" s="784">
        <v>6.28</v>
      </c>
      <c r="P3570" s="783">
        <v>160</v>
      </c>
      <c r="Q3570" s="783">
        <v>821.62</v>
      </c>
      <c r="R3570" s="783">
        <v>604.79</v>
      </c>
      <c r="S3570" s="783">
        <v>91.44</v>
      </c>
      <c r="T3570" s="783">
        <v>125.4</v>
      </c>
      <c r="U3570" s="785">
        <v>44631.504456018498</v>
      </c>
    </row>
    <row r="3571" spans="1:21">
      <c r="A3571" s="782">
        <v>44592</v>
      </c>
      <c r="B3571" s="783" t="s">
        <v>41</v>
      </c>
      <c r="C3571" s="783" t="s">
        <v>4139</v>
      </c>
      <c r="D3571" s="783" t="s">
        <v>4009</v>
      </c>
      <c r="E3571" s="783" t="s">
        <v>5035</v>
      </c>
      <c r="F3571" s="783" t="s">
        <v>4011</v>
      </c>
      <c r="G3571" s="783" t="str">
        <f t="shared" si="187"/>
        <v>Renewal (15% in 2020)</v>
      </c>
      <c r="H3571" s="783" t="s">
        <v>5036</v>
      </c>
      <c r="I3571" s="783" t="s">
        <v>5037</v>
      </c>
      <c r="J3571" s="783">
        <v>15</v>
      </c>
      <c r="K3571" s="783" t="s">
        <v>7114</v>
      </c>
      <c r="L3571" s="783" t="s">
        <v>4096</v>
      </c>
      <c r="M3571" s="784">
        <v>9705.86</v>
      </c>
      <c r="N3571" s="784">
        <v>8.0299999999999994</v>
      </c>
      <c r="O3571" s="784">
        <v>7.11</v>
      </c>
      <c r="P3571" s="783">
        <v>170</v>
      </c>
      <c r="Q3571" s="783">
        <v>719.2</v>
      </c>
      <c r="R3571" s="783">
        <v>325.14999999999998</v>
      </c>
      <c r="S3571" s="783">
        <v>47.56</v>
      </c>
      <c r="T3571" s="783">
        <v>346.5</v>
      </c>
      <c r="U3571" s="785">
        <v>44631.626087962999</v>
      </c>
    </row>
    <row r="3572" spans="1:21">
      <c r="A3572" s="782">
        <v>44641</v>
      </c>
      <c r="B3572" s="783" t="s">
        <v>30</v>
      </c>
      <c r="C3572" s="783" t="s">
        <v>4239</v>
      </c>
      <c r="D3572" s="783" t="s">
        <v>4021</v>
      </c>
      <c r="E3572" s="783" t="s">
        <v>5353</v>
      </c>
      <c r="F3572" s="783" t="s">
        <v>4011</v>
      </c>
      <c r="G3572" s="783" t="str">
        <f t="shared" si="187"/>
        <v>Renewal (20% in 2020)</v>
      </c>
      <c r="H3572" s="783" t="s">
        <v>5354</v>
      </c>
      <c r="I3572" s="783" t="s">
        <v>5355</v>
      </c>
      <c r="J3572" s="783">
        <v>20</v>
      </c>
      <c r="K3572" s="783" t="s">
        <v>7114</v>
      </c>
      <c r="L3572" s="783" t="s">
        <v>4096</v>
      </c>
      <c r="M3572" s="784">
        <v>14231</v>
      </c>
      <c r="N3572" s="784">
        <v>10</v>
      </c>
      <c r="O3572" s="784">
        <v>7.49</v>
      </c>
      <c r="P3572" s="783">
        <v>190</v>
      </c>
      <c r="Q3572" s="783">
        <v>944.94</v>
      </c>
      <c r="R3572" s="783">
        <v>472.39</v>
      </c>
      <c r="S3572" s="783">
        <v>162.31</v>
      </c>
      <c r="T3572" s="783">
        <v>310.24</v>
      </c>
      <c r="U3572" s="785">
        <v>44641.473437499997</v>
      </c>
    </row>
    <row r="3573" spans="1:21">
      <c r="A3573" s="782">
        <v>44684</v>
      </c>
      <c r="B3573" s="783" t="s">
        <v>30</v>
      </c>
      <c r="C3573" s="783" t="s">
        <v>4089</v>
      </c>
      <c r="D3573" s="783" t="s">
        <v>4021</v>
      </c>
      <c r="E3573" s="783" t="s">
        <v>5504</v>
      </c>
      <c r="F3573" s="783" t="s">
        <v>4011</v>
      </c>
      <c r="G3573" s="783" t="str">
        <f t="shared" si="187"/>
        <v>Renewal (20% in 2020)</v>
      </c>
      <c r="H3573" s="783" t="s">
        <v>5505</v>
      </c>
      <c r="I3573" s="783" t="s">
        <v>5506</v>
      </c>
      <c r="J3573" s="783">
        <v>30</v>
      </c>
      <c r="K3573" s="783" t="s">
        <v>7114</v>
      </c>
      <c r="L3573" s="783" t="s">
        <v>4096</v>
      </c>
      <c r="M3573" s="784">
        <v>43475.07</v>
      </c>
      <c r="N3573" s="784">
        <v>26.51</v>
      </c>
      <c r="O3573" s="784">
        <v>8.41</v>
      </c>
      <c r="P3573" s="783">
        <v>195</v>
      </c>
      <c r="Q3573" s="783">
        <v>2121.58</v>
      </c>
      <c r="R3573" s="783">
        <v>1542.58</v>
      </c>
      <c r="S3573" s="783">
        <v>226.85</v>
      </c>
      <c r="T3573" s="783">
        <v>352.15</v>
      </c>
      <c r="U3573" s="785">
        <v>44685.409467592603</v>
      </c>
    </row>
    <row r="3574" spans="1:21">
      <c r="A3574" s="782">
        <v>44711</v>
      </c>
      <c r="B3574" s="783" t="s">
        <v>41</v>
      </c>
      <c r="C3574" s="783" t="s">
        <v>4139</v>
      </c>
      <c r="D3574" s="783" t="s">
        <v>4009</v>
      </c>
      <c r="E3574" s="783" t="s">
        <v>549</v>
      </c>
      <c r="F3574" s="783" t="s">
        <v>4011</v>
      </c>
      <c r="G3574" s="783" t="str">
        <f t="shared" si="187"/>
        <v>Renewal (25% in 2020)</v>
      </c>
      <c r="H3574" s="783" t="s">
        <v>5626</v>
      </c>
      <c r="I3574" s="783" t="s">
        <v>5627</v>
      </c>
      <c r="J3574" s="783">
        <v>25</v>
      </c>
      <c r="K3574" s="783" t="s">
        <v>7114</v>
      </c>
      <c r="L3574" s="783" t="s">
        <v>4096</v>
      </c>
      <c r="M3574" s="784">
        <v>10715.6</v>
      </c>
      <c r="N3574" s="784">
        <v>10.75</v>
      </c>
      <c r="O3574" s="784">
        <v>6.23</v>
      </c>
      <c r="P3574" s="783">
        <v>160</v>
      </c>
      <c r="Q3574" s="783">
        <v>458.63</v>
      </c>
      <c r="R3574" s="783">
        <v>358.97</v>
      </c>
      <c r="S3574" s="783">
        <v>52.51</v>
      </c>
      <c r="T3574" s="783">
        <v>47.15</v>
      </c>
      <c r="U3574" s="785">
        <v>44712.724351851903</v>
      </c>
    </row>
    <row r="3575" spans="1:21">
      <c r="A3575" s="782">
        <v>44700</v>
      </c>
      <c r="B3575" s="783" t="s">
        <v>30</v>
      </c>
      <c r="C3575" s="783" t="s">
        <v>4239</v>
      </c>
      <c r="D3575" s="783" t="s">
        <v>4021</v>
      </c>
      <c r="E3575" s="783" t="s">
        <v>2043</v>
      </c>
      <c r="F3575" s="783" t="s">
        <v>4011</v>
      </c>
      <c r="G3575" s="783" t="str">
        <f t="shared" si="187"/>
        <v>Renewal (30% in 2020)</v>
      </c>
      <c r="H3575" s="783" t="s">
        <v>4240</v>
      </c>
      <c r="I3575" s="783" t="s">
        <v>4241</v>
      </c>
      <c r="J3575" s="783">
        <v>30</v>
      </c>
      <c r="K3575" s="783" t="s">
        <v>7114</v>
      </c>
      <c r="L3575" s="783" t="s">
        <v>4096</v>
      </c>
      <c r="M3575" s="784">
        <v>11949.7</v>
      </c>
      <c r="N3575" s="784">
        <v>7.94</v>
      </c>
      <c r="O3575" s="784">
        <v>8.6</v>
      </c>
      <c r="P3575" s="783">
        <v>175</v>
      </c>
      <c r="Q3575" s="783">
        <v>524.59</v>
      </c>
      <c r="R3575" s="783">
        <v>430.67</v>
      </c>
      <c r="S3575" s="783">
        <v>12.67</v>
      </c>
      <c r="T3575" s="783">
        <v>81.260000000000005</v>
      </c>
      <c r="U3575" s="785">
        <v>44700.716516203698</v>
      </c>
    </row>
    <row r="3576" spans="1:21">
      <c r="A3576" s="782">
        <v>44704</v>
      </c>
      <c r="B3576" s="783" t="s">
        <v>30</v>
      </c>
      <c r="C3576" s="783" t="s">
        <v>4239</v>
      </c>
      <c r="D3576" s="783" t="s">
        <v>4021</v>
      </c>
      <c r="E3576" s="783" t="s">
        <v>5864</v>
      </c>
      <c r="F3576" s="783" t="s">
        <v>4011</v>
      </c>
      <c r="G3576" s="783" t="str">
        <f t="shared" si="187"/>
        <v>New Contract</v>
      </c>
      <c r="H3576" s="783" t="s">
        <v>5865</v>
      </c>
      <c r="I3576" s="783" t="s">
        <v>5866</v>
      </c>
      <c r="J3576" s="783">
        <v>30</v>
      </c>
      <c r="K3576" s="783" t="s">
        <v>7114</v>
      </c>
      <c r="L3576" s="783" t="s">
        <v>4096</v>
      </c>
      <c r="M3576" s="784">
        <v>7893.61</v>
      </c>
      <c r="N3576" s="784">
        <v>5.9</v>
      </c>
      <c r="O3576" s="784">
        <v>7.87</v>
      </c>
      <c r="P3576" s="783">
        <v>170</v>
      </c>
      <c r="Q3576" s="783">
        <v>346.53</v>
      </c>
      <c r="R3576" s="783">
        <v>292.85000000000002</v>
      </c>
      <c r="S3576" s="783">
        <v>0</v>
      </c>
      <c r="T3576" s="783">
        <v>53.68</v>
      </c>
      <c r="U3576" s="785">
        <v>44708.799456018503</v>
      </c>
    </row>
    <row r="3577" spans="1:21">
      <c r="A3577" s="782">
        <v>44564</v>
      </c>
      <c r="B3577" s="783" t="s">
        <v>30</v>
      </c>
      <c r="C3577" s="783" t="s">
        <v>4239</v>
      </c>
      <c r="D3577" s="783" t="s">
        <v>4021</v>
      </c>
      <c r="E3577" s="783" t="s">
        <v>6006</v>
      </c>
      <c r="F3577" s="783" t="s">
        <v>4066</v>
      </c>
      <c r="G3577" s="783" t="s">
        <v>4028</v>
      </c>
      <c r="H3577" s="783" t="s">
        <v>6007</v>
      </c>
      <c r="I3577" s="783" t="s">
        <v>6008</v>
      </c>
      <c r="J3577" s="783">
        <v>5</v>
      </c>
      <c r="K3577" s="783" t="s">
        <v>7114</v>
      </c>
      <c r="L3577" s="783" t="s">
        <v>4096</v>
      </c>
      <c r="M3577" s="784">
        <v>21700</v>
      </c>
      <c r="N3577" s="784">
        <v>15.5</v>
      </c>
      <c r="O3577" s="784">
        <v>8</v>
      </c>
      <c r="P3577" s="783">
        <v>175</v>
      </c>
      <c r="Q3577" s="783">
        <v>468.72</v>
      </c>
      <c r="R3577" s="783">
        <v>0</v>
      </c>
      <c r="S3577" s="783">
        <v>0</v>
      </c>
      <c r="T3577" s="783">
        <v>468.72</v>
      </c>
      <c r="U3577" s="785">
        <v>44631.632187499999</v>
      </c>
    </row>
    <row r="3578" spans="1:21">
      <c r="A3578" s="782">
        <v>44488</v>
      </c>
      <c r="B3578" s="783" t="s">
        <v>41</v>
      </c>
      <c r="C3578" s="783" t="s">
        <v>4082</v>
      </c>
      <c r="D3578" s="783" t="s">
        <v>4009</v>
      </c>
      <c r="E3578" s="783" t="s">
        <v>6346</v>
      </c>
      <c r="F3578" s="783" t="s">
        <v>4011</v>
      </c>
      <c r="G3578" s="783" t="str">
        <f t="shared" ref="G3578:G3609" si="188">VLOOKUP(I3578,pacage,2,FALSE)</f>
        <v>Renewal (25% in 2020)</v>
      </c>
      <c r="H3578" s="783" t="s">
        <v>6347</v>
      </c>
      <c r="I3578" s="783" t="s">
        <v>6348</v>
      </c>
      <c r="J3578" s="783">
        <v>25</v>
      </c>
      <c r="K3578" s="783" t="s">
        <v>7114</v>
      </c>
      <c r="L3578" s="783" t="s">
        <v>4096</v>
      </c>
      <c r="M3578" s="784">
        <v>8597.66</v>
      </c>
      <c r="N3578" s="784">
        <v>9.6300000000000008</v>
      </c>
      <c r="O3578" s="784">
        <v>5.58</v>
      </c>
      <c r="P3578" s="783">
        <v>160</v>
      </c>
      <c r="Q3578" s="783">
        <v>387.75</v>
      </c>
      <c r="R3578" s="783">
        <v>296.62</v>
      </c>
      <c r="S3578" s="783">
        <v>52.45</v>
      </c>
      <c r="T3578" s="783">
        <v>38.69</v>
      </c>
      <c r="U3578" s="785">
        <v>44631.637870370403</v>
      </c>
    </row>
    <row r="3579" spans="1:21">
      <c r="A3579" s="782">
        <v>44488</v>
      </c>
      <c r="B3579" s="783" t="s">
        <v>41</v>
      </c>
      <c r="C3579" s="783" t="s">
        <v>4139</v>
      </c>
      <c r="D3579" s="783" t="s">
        <v>4009</v>
      </c>
      <c r="E3579" s="783" t="s">
        <v>721</v>
      </c>
      <c r="F3579" s="783" t="s">
        <v>4011</v>
      </c>
      <c r="G3579" s="783" t="str">
        <f t="shared" si="188"/>
        <v>Renewal (20% in 2020)</v>
      </c>
      <c r="H3579" s="783" t="s">
        <v>6349</v>
      </c>
      <c r="I3579" s="783" t="s">
        <v>6350</v>
      </c>
      <c r="J3579" s="783">
        <v>20</v>
      </c>
      <c r="K3579" s="783" t="s">
        <v>7114</v>
      </c>
      <c r="L3579" s="783" t="s">
        <v>4096</v>
      </c>
      <c r="M3579" s="784">
        <v>14428.8</v>
      </c>
      <c r="N3579" s="784">
        <v>15.03</v>
      </c>
      <c r="O3579" s="784">
        <v>6.4</v>
      </c>
      <c r="P3579" s="783">
        <v>150</v>
      </c>
      <c r="Q3579" s="783">
        <v>799.36</v>
      </c>
      <c r="R3579" s="783">
        <v>483.36</v>
      </c>
      <c r="S3579" s="783">
        <v>70.7</v>
      </c>
      <c r="T3579" s="783">
        <v>245.29</v>
      </c>
      <c r="U3579" s="785">
        <v>44631.637997685197</v>
      </c>
    </row>
    <row r="3580" spans="1:21">
      <c r="A3580" s="782">
        <v>44525</v>
      </c>
      <c r="B3580" s="783" t="s">
        <v>30</v>
      </c>
      <c r="C3580" s="783" t="s">
        <v>4089</v>
      </c>
      <c r="D3580" s="783" t="s">
        <v>4021</v>
      </c>
      <c r="E3580" s="783" t="s">
        <v>6545</v>
      </c>
      <c r="F3580" s="783" t="s">
        <v>4011</v>
      </c>
      <c r="G3580" s="783" t="str">
        <f t="shared" si="188"/>
        <v>New Contract</v>
      </c>
      <c r="H3580" s="783" t="s">
        <v>6546</v>
      </c>
      <c r="I3580" s="783" t="s">
        <v>6547</v>
      </c>
      <c r="J3580" s="783">
        <v>20</v>
      </c>
      <c r="K3580" s="783" t="s">
        <v>7114</v>
      </c>
      <c r="L3580" s="783" t="s">
        <v>4096</v>
      </c>
      <c r="M3580" s="784">
        <v>52860.639999999999</v>
      </c>
      <c r="N3580" s="784">
        <v>34.64</v>
      </c>
      <c r="O3580" s="784">
        <v>7.63</v>
      </c>
      <c r="P3580" s="783">
        <v>200</v>
      </c>
      <c r="Q3580" s="783">
        <v>3726.68</v>
      </c>
      <c r="R3580" s="783">
        <v>1828.71</v>
      </c>
      <c r="S3580" s="783">
        <v>661.02</v>
      </c>
      <c r="T3580" s="783">
        <v>1236.94</v>
      </c>
      <c r="U3580" s="785">
        <v>44631.638032407398</v>
      </c>
    </row>
    <row r="3581" spans="1:21">
      <c r="A3581" s="782">
        <v>44525</v>
      </c>
      <c r="B3581" s="783" t="s">
        <v>347</v>
      </c>
      <c r="C3581" s="783" t="s">
        <v>4139</v>
      </c>
      <c r="D3581" s="783" t="s">
        <v>4009</v>
      </c>
      <c r="E3581" s="783" t="s">
        <v>4790</v>
      </c>
      <c r="F3581" s="783" t="s">
        <v>4011</v>
      </c>
      <c r="G3581" s="783" t="str">
        <f t="shared" si="188"/>
        <v>Renewal (15% in 2020)</v>
      </c>
      <c r="H3581" s="783" t="s">
        <v>4791</v>
      </c>
      <c r="I3581" s="783" t="s">
        <v>4792</v>
      </c>
      <c r="J3581" s="783">
        <v>15</v>
      </c>
      <c r="K3581" s="783" t="s">
        <v>310</v>
      </c>
      <c r="L3581" s="783" t="s">
        <v>4014</v>
      </c>
      <c r="M3581" s="784">
        <v>1963.5</v>
      </c>
      <c r="N3581" s="784">
        <v>3.5</v>
      </c>
      <c r="O3581" s="784">
        <v>3.3</v>
      </c>
      <c r="P3581" s="783">
        <v>170</v>
      </c>
      <c r="Q3581" s="783">
        <v>194.98</v>
      </c>
      <c r="R3581" s="783">
        <v>87.77</v>
      </c>
      <c r="S3581" s="783">
        <v>14.14</v>
      </c>
      <c r="T3581" s="783">
        <v>93.07</v>
      </c>
      <c r="U3581" s="785">
        <v>44631.503136574102</v>
      </c>
    </row>
    <row r="3582" spans="1:21">
      <c r="A3582" s="782">
        <v>44418</v>
      </c>
      <c r="B3582" s="783" t="s">
        <v>41</v>
      </c>
      <c r="C3582" s="783" t="s">
        <v>4082</v>
      </c>
      <c r="D3582" s="783" t="s">
        <v>4009</v>
      </c>
      <c r="E3582" s="783" t="s">
        <v>509</v>
      </c>
      <c r="F3582" s="783" t="s">
        <v>4011</v>
      </c>
      <c r="G3582" s="783" t="str">
        <f t="shared" si="188"/>
        <v>Renewal (15% in 2020)</v>
      </c>
      <c r="H3582" s="783" t="s">
        <v>4498</v>
      </c>
      <c r="I3582" s="783" t="s">
        <v>4499</v>
      </c>
      <c r="J3582" s="783">
        <v>15</v>
      </c>
      <c r="K3582" s="783" t="s">
        <v>310</v>
      </c>
      <c r="L3582" s="783" t="s">
        <v>4014</v>
      </c>
      <c r="M3582" s="784">
        <v>6141.96</v>
      </c>
      <c r="N3582" s="784">
        <v>8.4600000000000009</v>
      </c>
      <c r="O3582" s="784">
        <v>3.63</v>
      </c>
      <c r="P3582" s="783">
        <v>200</v>
      </c>
      <c r="Q3582" s="783">
        <v>798.45</v>
      </c>
      <c r="R3582" s="783">
        <v>349.48</v>
      </c>
      <c r="S3582" s="783">
        <v>66.95</v>
      </c>
      <c r="T3582" s="783">
        <v>382.03</v>
      </c>
      <c r="U3582" s="785">
        <v>44631.503194444398</v>
      </c>
    </row>
    <row r="3583" spans="1:21">
      <c r="A3583" s="782">
        <v>44409</v>
      </c>
      <c r="B3583" s="783" t="s">
        <v>41</v>
      </c>
      <c r="C3583" s="783" t="s">
        <v>4092</v>
      </c>
      <c r="D3583" s="783" t="s">
        <v>4009</v>
      </c>
      <c r="E3583" s="783" t="s">
        <v>4823</v>
      </c>
      <c r="F3583" s="783" t="s">
        <v>4011</v>
      </c>
      <c r="G3583" s="783" t="str">
        <f t="shared" si="188"/>
        <v>Renewal (15% in 2020)</v>
      </c>
      <c r="H3583" s="783" t="s">
        <v>4824</v>
      </c>
      <c r="I3583" s="783" t="s">
        <v>4825</v>
      </c>
      <c r="J3583" s="783">
        <v>15</v>
      </c>
      <c r="K3583" s="783" t="s">
        <v>310</v>
      </c>
      <c r="L3583" s="783" t="s">
        <v>4014</v>
      </c>
      <c r="M3583" s="784">
        <v>7725.24</v>
      </c>
      <c r="N3583" s="784">
        <v>9.33</v>
      </c>
      <c r="O3583" s="784">
        <v>3.6</v>
      </c>
      <c r="P3583" s="783">
        <v>230</v>
      </c>
      <c r="Q3583" s="783">
        <v>893.81</v>
      </c>
      <c r="R3583" s="783">
        <v>390.9</v>
      </c>
      <c r="S3583" s="783">
        <v>74.16</v>
      </c>
      <c r="T3583" s="783">
        <v>428.75</v>
      </c>
      <c r="U3583" s="785">
        <v>44631.5082638889</v>
      </c>
    </row>
    <row r="3584" spans="1:21">
      <c r="A3584" s="782">
        <v>44497</v>
      </c>
      <c r="B3584" s="783" t="s">
        <v>41</v>
      </c>
      <c r="C3584" s="783" t="s">
        <v>4092</v>
      </c>
      <c r="D3584" s="783" t="s">
        <v>4009</v>
      </c>
      <c r="E3584" s="783" t="s">
        <v>4854</v>
      </c>
      <c r="F3584" s="783" t="s">
        <v>4011</v>
      </c>
      <c r="G3584" s="783" t="str">
        <f t="shared" si="188"/>
        <v>Renewal (25% in 2020)</v>
      </c>
      <c r="H3584" s="783" t="s">
        <v>4855</v>
      </c>
      <c r="I3584" s="783" t="s">
        <v>4856</v>
      </c>
      <c r="J3584" s="783">
        <v>25</v>
      </c>
      <c r="K3584" s="783" t="s">
        <v>310</v>
      </c>
      <c r="L3584" s="783" t="s">
        <v>4014</v>
      </c>
      <c r="M3584" s="784">
        <v>12389.46</v>
      </c>
      <c r="N3584" s="784">
        <v>14.66</v>
      </c>
      <c r="O3584" s="784">
        <v>3.04</v>
      </c>
      <c r="P3584" s="783">
        <v>278</v>
      </c>
      <c r="Q3584" s="783">
        <v>820.18</v>
      </c>
      <c r="R3584" s="783">
        <v>626.91</v>
      </c>
      <c r="S3584" s="783">
        <v>118.94</v>
      </c>
      <c r="T3584" s="783">
        <v>74.34</v>
      </c>
      <c r="U3584" s="785">
        <v>44631.509629629603</v>
      </c>
    </row>
    <row r="3585" spans="1:21">
      <c r="A3585" s="782">
        <v>44581</v>
      </c>
      <c r="B3585" s="783" t="s">
        <v>41</v>
      </c>
      <c r="C3585" s="783" t="s">
        <v>4092</v>
      </c>
      <c r="D3585" s="783" t="s">
        <v>4009</v>
      </c>
      <c r="E3585" s="783" t="s">
        <v>4865</v>
      </c>
      <c r="F3585" s="783" t="s">
        <v>4011</v>
      </c>
      <c r="G3585" s="783" t="str">
        <f t="shared" si="188"/>
        <v>New Contract</v>
      </c>
      <c r="H3585" s="783" t="s">
        <v>4866</v>
      </c>
      <c r="I3585" s="783" t="s">
        <v>4867</v>
      </c>
      <c r="J3585" s="783">
        <v>25</v>
      </c>
      <c r="K3585" s="783" t="s">
        <v>310</v>
      </c>
      <c r="L3585" s="783" t="s">
        <v>4014</v>
      </c>
      <c r="M3585" s="784">
        <v>4983.93</v>
      </c>
      <c r="N3585" s="784">
        <v>5.62</v>
      </c>
      <c r="O3585" s="784">
        <v>3.19</v>
      </c>
      <c r="P3585" s="783">
        <v>278</v>
      </c>
      <c r="Q3585" s="783">
        <v>329.94</v>
      </c>
      <c r="R3585" s="783">
        <v>252.19</v>
      </c>
      <c r="S3585" s="783">
        <v>47.85</v>
      </c>
      <c r="T3585" s="783">
        <v>29.9</v>
      </c>
      <c r="U3585" s="785">
        <v>44631.516516203701</v>
      </c>
    </row>
    <row r="3586" spans="1:21">
      <c r="A3586" s="782">
        <v>44574</v>
      </c>
      <c r="B3586" s="783" t="s">
        <v>41</v>
      </c>
      <c r="C3586" s="783" t="s">
        <v>4082</v>
      </c>
      <c r="D3586" s="783" t="s">
        <v>4009</v>
      </c>
      <c r="E3586" s="783" t="s">
        <v>3825</v>
      </c>
      <c r="F3586" s="783" t="s">
        <v>4011</v>
      </c>
      <c r="G3586" s="783" t="str">
        <f t="shared" si="188"/>
        <v>Renewal (15% in 2020)</v>
      </c>
      <c r="H3586" s="783" t="s">
        <v>4879</v>
      </c>
      <c r="I3586" s="783" t="s">
        <v>4880</v>
      </c>
      <c r="J3586" s="783">
        <v>15</v>
      </c>
      <c r="K3586" s="783" t="s">
        <v>310</v>
      </c>
      <c r="L3586" s="783" t="s">
        <v>4014</v>
      </c>
      <c r="M3586" s="784">
        <v>4351.16</v>
      </c>
      <c r="N3586" s="784">
        <v>8.99</v>
      </c>
      <c r="O3586" s="784">
        <v>2.42</v>
      </c>
      <c r="P3586" s="783">
        <v>200</v>
      </c>
      <c r="Q3586" s="783">
        <v>565.65</v>
      </c>
      <c r="R3586" s="783">
        <v>247.58</v>
      </c>
      <c r="S3586" s="783">
        <v>47.43</v>
      </c>
      <c r="T3586" s="783">
        <v>270.64</v>
      </c>
      <c r="U3586" s="785">
        <v>44701.658900463</v>
      </c>
    </row>
    <row r="3587" spans="1:21">
      <c r="A3587" s="782">
        <v>44691</v>
      </c>
      <c r="B3587" s="783" t="s">
        <v>51</v>
      </c>
      <c r="C3587" s="783" t="s">
        <v>4015</v>
      </c>
      <c r="D3587" s="783" t="s">
        <v>4016</v>
      </c>
      <c r="E3587" s="783" t="s">
        <v>4017</v>
      </c>
      <c r="F3587" s="783" t="s">
        <v>4011</v>
      </c>
      <c r="G3587" s="783" t="str">
        <f t="shared" si="188"/>
        <v>New Contract</v>
      </c>
      <c r="H3587" s="783" t="s">
        <v>4018</v>
      </c>
      <c r="I3587" s="783" t="s">
        <v>4019</v>
      </c>
      <c r="J3587" s="783">
        <v>25</v>
      </c>
      <c r="K3587" s="783" t="s">
        <v>310</v>
      </c>
      <c r="L3587" s="783" t="s">
        <v>4014</v>
      </c>
      <c r="M3587" s="784">
        <v>889.83</v>
      </c>
      <c r="N3587" s="784">
        <v>2.0099999999999998</v>
      </c>
      <c r="O3587" s="784">
        <v>2.33</v>
      </c>
      <c r="P3587" s="783">
        <v>190</v>
      </c>
      <c r="Q3587" s="783">
        <v>79.19</v>
      </c>
      <c r="R3587" s="783">
        <v>59.08</v>
      </c>
      <c r="S3587" s="783">
        <v>9.6999999999999993</v>
      </c>
      <c r="T3587" s="783">
        <v>10.41</v>
      </c>
      <c r="U3587" s="785">
        <v>44691.527569444399</v>
      </c>
    </row>
    <row r="3588" spans="1:21">
      <c r="A3588" s="782">
        <v>44692</v>
      </c>
      <c r="B3588" s="783" t="s">
        <v>41</v>
      </c>
      <c r="C3588" s="783" t="s">
        <v>4071</v>
      </c>
      <c r="D3588" s="783" t="s">
        <v>4009</v>
      </c>
      <c r="E3588" s="783" t="s">
        <v>4925</v>
      </c>
      <c r="F3588" s="783" t="s">
        <v>4011</v>
      </c>
      <c r="G3588" s="783" t="str">
        <f t="shared" si="188"/>
        <v>Renewal (15% in 2020)</v>
      </c>
      <c r="H3588" s="783" t="s">
        <v>4926</v>
      </c>
      <c r="I3588" s="783" t="s">
        <v>4927</v>
      </c>
      <c r="J3588" s="783">
        <v>15</v>
      </c>
      <c r="K3588" s="783" t="s">
        <v>310</v>
      </c>
      <c r="L3588" s="783" t="s">
        <v>4014</v>
      </c>
      <c r="M3588" s="784">
        <v>4987.71</v>
      </c>
      <c r="N3588" s="784">
        <v>3.78</v>
      </c>
      <c r="O3588" s="784">
        <v>3.77</v>
      </c>
      <c r="P3588" s="783">
        <v>350</v>
      </c>
      <c r="Q3588" s="783">
        <v>438.92</v>
      </c>
      <c r="R3588" s="783">
        <v>157.28</v>
      </c>
      <c r="S3588" s="783">
        <v>73.150000000000006</v>
      </c>
      <c r="T3588" s="783">
        <v>208.49</v>
      </c>
      <c r="U3588" s="785">
        <v>44693.459652777798</v>
      </c>
    </row>
    <row r="3589" spans="1:21">
      <c r="A3589" s="782">
        <v>44698</v>
      </c>
      <c r="B3589" s="783" t="s">
        <v>228</v>
      </c>
      <c r="C3589" s="783" t="s">
        <v>4675</v>
      </c>
      <c r="D3589" s="783" t="s">
        <v>4193</v>
      </c>
      <c r="E3589" s="783" t="s">
        <v>4928</v>
      </c>
      <c r="F3589" s="783" t="s">
        <v>4011</v>
      </c>
      <c r="G3589" s="783" t="str">
        <f t="shared" si="188"/>
        <v>Renewal (25% in 2020)</v>
      </c>
      <c r="H3589" s="783" t="s">
        <v>4929</v>
      </c>
      <c r="I3589" s="783" t="s">
        <v>4930</v>
      </c>
      <c r="J3589" s="783">
        <v>25</v>
      </c>
      <c r="K3589" s="783" t="s">
        <v>310</v>
      </c>
      <c r="L3589" s="783" t="s">
        <v>4014</v>
      </c>
      <c r="M3589" s="784">
        <v>14864.63</v>
      </c>
      <c r="N3589" s="784">
        <v>14.73</v>
      </c>
      <c r="O3589" s="784">
        <v>3.63</v>
      </c>
      <c r="P3589" s="783">
        <v>278</v>
      </c>
      <c r="Q3589" s="783">
        <v>1328.9</v>
      </c>
      <c r="R3589" s="783">
        <v>979.58</v>
      </c>
      <c r="S3589" s="783">
        <v>159.05000000000001</v>
      </c>
      <c r="T3589" s="783">
        <v>190.27</v>
      </c>
      <c r="U3589" s="785">
        <v>44699.478576388901</v>
      </c>
    </row>
    <row r="3590" spans="1:21">
      <c r="A3590" s="782">
        <v>44697</v>
      </c>
      <c r="B3590" s="783" t="s">
        <v>4025</v>
      </c>
      <c r="C3590" s="783" t="s">
        <v>4026</v>
      </c>
      <c r="D3590" s="783" t="s">
        <v>4021</v>
      </c>
      <c r="E3590" s="783" t="s">
        <v>3552</v>
      </c>
      <c r="F3590" s="783" t="s">
        <v>4011</v>
      </c>
      <c r="G3590" s="783" t="str">
        <f t="shared" si="188"/>
        <v>New Contract</v>
      </c>
      <c r="H3590" s="783" t="s">
        <v>4955</v>
      </c>
      <c r="I3590" s="783" t="s">
        <v>4956</v>
      </c>
      <c r="J3590" s="783">
        <v>20</v>
      </c>
      <c r="K3590" s="783" t="s">
        <v>310</v>
      </c>
      <c r="L3590" s="783" t="s">
        <v>4014</v>
      </c>
      <c r="M3590" s="784">
        <v>11094.56</v>
      </c>
      <c r="N3590" s="784">
        <v>11.54</v>
      </c>
      <c r="O3590" s="784">
        <v>2.5299999999999998</v>
      </c>
      <c r="P3590" s="783">
        <v>380</v>
      </c>
      <c r="Q3590" s="783">
        <v>920.85</v>
      </c>
      <c r="R3590" s="783">
        <v>381.48</v>
      </c>
      <c r="S3590" s="783">
        <v>224.29</v>
      </c>
      <c r="T3590" s="783">
        <v>315.08999999999997</v>
      </c>
      <c r="U3590" s="785">
        <v>44708.607361111099</v>
      </c>
    </row>
    <row r="3591" spans="1:21">
      <c r="A3591" s="782">
        <v>44693</v>
      </c>
      <c r="B3591" s="783" t="s">
        <v>34</v>
      </c>
      <c r="C3591" s="783" t="s">
        <v>4139</v>
      </c>
      <c r="D3591" s="783" t="s">
        <v>4009</v>
      </c>
      <c r="E3591" s="783" t="s">
        <v>4544</v>
      </c>
      <c r="F3591" s="783" t="s">
        <v>4011</v>
      </c>
      <c r="G3591" s="783" t="str">
        <f t="shared" si="188"/>
        <v>Renewal (30% in 2020)</v>
      </c>
      <c r="H3591" s="783" t="s">
        <v>4545</v>
      </c>
      <c r="I3591" s="783" t="s">
        <v>4546</v>
      </c>
      <c r="J3591" s="783">
        <v>30</v>
      </c>
      <c r="K3591" s="783" t="s">
        <v>310</v>
      </c>
      <c r="L3591" s="783" t="s">
        <v>4014</v>
      </c>
      <c r="M3591" s="784">
        <v>4048.81</v>
      </c>
      <c r="N3591" s="784">
        <v>5.45</v>
      </c>
      <c r="O3591" s="784">
        <v>3.23</v>
      </c>
      <c r="P3591" s="783">
        <v>230</v>
      </c>
      <c r="Q3591" s="783">
        <v>200.82</v>
      </c>
      <c r="R3591" s="783">
        <v>180.98</v>
      </c>
      <c r="S3591" s="783">
        <v>0</v>
      </c>
      <c r="T3591" s="783">
        <v>19.84</v>
      </c>
      <c r="U3591" s="785">
        <v>44693.603553240697</v>
      </c>
    </row>
    <row r="3592" spans="1:21">
      <c r="A3592" s="782">
        <v>44690</v>
      </c>
      <c r="B3592" s="783" t="s">
        <v>65</v>
      </c>
      <c r="C3592" s="783" t="s">
        <v>4244</v>
      </c>
      <c r="D3592" s="783" t="s">
        <v>4102</v>
      </c>
      <c r="E3592" s="783" t="s">
        <v>1389</v>
      </c>
      <c r="F3592" s="783" t="s">
        <v>4011</v>
      </c>
      <c r="G3592" s="783" t="str">
        <f t="shared" si="188"/>
        <v>Renewal (25% in 2020)</v>
      </c>
      <c r="H3592" s="783" t="s">
        <v>4959</v>
      </c>
      <c r="I3592" s="783" t="s">
        <v>4960</v>
      </c>
      <c r="J3592" s="783">
        <v>25</v>
      </c>
      <c r="K3592" s="783" t="s">
        <v>310</v>
      </c>
      <c r="L3592" s="783" t="s">
        <v>4014</v>
      </c>
      <c r="M3592" s="784">
        <v>16632.07</v>
      </c>
      <c r="N3592" s="784">
        <v>12.74</v>
      </c>
      <c r="O3592" s="784">
        <v>3.73</v>
      </c>
      <c r="P3592" s="783">
        <v>350</v>
      </c>
      <c r="Q3592" s="783">
        <v>753.43</v>
      </c>
      <c r="R3592" s="783">
        <v>461.05</v>
      </c>
      <c r="S3592" s="783">
        <v>214.21</v>
      </c>
      <c r="T3592" s="783">
        <v>78.17</v>
      </c>
      <c r="U3592" s="785">
        <v>44690.690034722204</v>
      </c>
    </row>
    <row r="3593" spans="1:21">
      <c r="A3593" s="782">
        <v>44700</v>
      </c>
      <c r="B3593" s="783" t="s">
        <v>4025</v>
      </c>
      <c r="C3593" s="783" t="s">
        <v>4026</v>
      </c>
      <c r="D3593" s="783" t="s">
        <v>4021</v>
      </c>
      <c r="E3593" s="783" t="s">
        <v>4973</v>
      </c>
      <c r="F3593" s="783" t="s">
        <v>4011</v>
      </c>
      <c r="G3593" s="783" t="str">
        <f t="shared" si="188"/>
        <v>New Contract</v>
      </c>
      <c r="H3593" s="783" t="s">
        <v>4974</v>
      </c>
      <c r="I3593" s="783" t="s">
        <v>4975</v>
      </c>
      <c r="J3593" s="783">
        <v>20</v>
      </c>
      <c r="K3593" s="783" t="s">
        <v>310</v>
      </c>
      <c r="L3593" s="783" t="s">
        <v>4014</v>
      </c>
      <c r="M3593" s="784">
        <v>9675.23</v>
      </c>
      <c r="N3593" s="784">
        <v>12.89</v>
      </c>
      <c r="O3593" s="784">
        <v>2.7</v>
      </c>
      <c r="P3593" s="783">
        <v>278</v>
      </c>
      <c r="Q3593" s="783">
        <v>803.04</v>
      </c>
      <c r="R3593" s="783">
        <v>454.74</v>
      </c>
      <c r="S3593" s="783">
        <v>73.53</v>
      </c>
      <c r="T3593" s="783">
        <v>274.77999999999997</v>
      </c>
      <c r="U3593" s="785">
        <v>44700.633287037002</v>
      </c>
    </row>
    <row r="3594" spans="1:21">
      <c r="A3594" s="782">
        <v>44695</v>
      </c>
      <c r="B3594" s="783" t="s">
        <v>47</v>
      </c>
      <c r="C3594" s="783" t="s">
        <v>4244</v>
      </c>
      <c r="D3594" s="783" t="s">
        <v>4102</v>
      </c>
      <c r="E3594" s="783" t="s">
        <v>4979</v>
      </c>
      <c r="F3594" s="783" t="s">
        <v>4011</v>
      </c>
      <c r="G3594" s="783" t="str">
        <f t="shared" si="188"/>
        <v>Renewal (25% in 2020)</v>
      </c>
      <c r="H3594" s="783" t="s">
        <v>4980</v>
      </c>
      <c r="I3594" s="783" t="s">
        <v>4981</v>
      </c>
      <c r="J3594" s="783">
        <v>25</v>
      </c>
      <c r="K3594" s="783" t="s">
        <v>310</v>
      </c>
      <c r="L3594" s="783" t="s">
        <v>4014</v>
      </c>
      <c r="M3594" s="784">
        <v>15561</v>
      </c>
      <c r="N3594" s="784">
        <v>24.7</v>
      </c>
      <c r="O3594" s="784">
        <v>3.5</v>
      </c>
      <c r="P3594" s="783">
        <v>180</v>
      </c>
      <c r="Q3594" s="783">
        <v>704.91</v>
      </c>
      <c r="R3594" s="783">
        <v>543.08000000000004</v>
      </c>
      <c r="S3594" s="783">
        <v>88.7</v>
      </c>
      <c r="T3594" s="783">
        <v>73.14</v>
      </c>
      <c r="U3594" s="785">
        <v>44697.669027777803</v>
      </c>
    </row>
    <row r="3595" spans="1:21">
      <c r="A3595" s="782">
        <v>44698</v>
      </c>
      <c r="B3595" s="783" t="s">
        <v>41</v>
      </c>
      <c r="C3595" s="783" t="s">
        <v>4092</v>
      </c>
      <c r="D3595" s="783" t="s">
        <v>4009</v>
      </c>
      <c r="E3595" s="783" t="s">
        <v>1411</v>
      </c>
      <c r="F3595" s="783" t="s">
        <v>4011</v>
      </c>
      <c r="G3595" s="783" t="str">
        <f t="shared" si="188"/>
        <v>Renewal (20% in 2020)</v>
      </c>
      <c r="H3595" s="783" t="s">
        <v>4982</v>
      </c>
      <c r="I3595" s="783" t="s">
        <v>4983</v>
      </c>
      <c r="J3595" s="783">
        <v>20</v>
      </c>
      <c r="K3595" s="783" t="s">
        <v>310</v>
      </c>
      <c r="L3595" s="783" t="s">
        <v>4014</v>
      </c>
      <c r="M3595" s="784">
        <v>17540.830000000002</v>
      </c>
      <c r="N3595" s="784">
        <v>23.81</v>
      </c>
      <c r="O3595" s="784">
        <v>2.65</v>
      </c>
      <c r="P3595" s="783">
        <v>278</v>
      </c>
      <c r="Q3595" s="783">
        <v>1512.02</v>
      </c>
      <c r="R3595" s="783">
        <v>887.57</v>
      </c>
      <c r="S3595" s="783">
        <v>168.39</v>
      </c>
      <c r="T3595" s="783">
        <v>456.06</v>
      </c>
      <c r="U3595" s="785">
        <v>44699.484398148103</v>
      </c>
    </row>
    <row r="3596" spans="1:21">
      <c r="A3596" s="782">
        <v>44447</v>
      </c>
      <c r="B3596" s="783" t="s">
        <v>51</v>
      </c>
      <c r="C3596" s="783" t="s">
        <v>4796</v>
      </c>
      <c r="D3596" s="783" t="s">
        <v>4016</v>
      </c>
      <c r="E3596" s="783" t="s">
        <v>2934</v>
      </c>
      <c r="F3596" s="783" t="s">
        <v>4011</v>
      </c>
      <c r="G3596" s="783" t="str">
        <f t="shared" si="188"/>
        <v>Renewal (30% in 2020)</v>
      </c>
      <c r="H3596" s="783" t="s">
        <v>4996</v>
      </c>
      <c r="I3596" s="783" t="s">
        <v>4997</v>
      </c>
      <c r="J3596" s="783">
        <v>20</v>
      </c>
      <c r="K3596" s="783" t="s">
        <v>310</v>
      </c>
      <c r="L3596" s="783" t="s">
        <v>4014</v>
      </c>
      <c r="M3596" s="784">
        <v>881.26</v>
      </c>
      <c r="N3596" s="784">
        <v>1</v>
      </c>
      <c r="O3596" s="784">
        <v>3.17</v>
      </c>
      <c r="P3596" s="783">
        <v>278</v>
      </c>
      <c r="Q3596" s="783">
        <v>78.7</v>
      </c>
      <c r="R3596" s="783">
        <v>46</v>
      </c>
      <c r="S3596" s="783">
        <v>7.58</v>
      </c>
      <c r="T3596" s="783">
        <v>25.12</v>
      </c>
      <c r="U3596" s="785">
        <v>44631.513611111099</v>
      </c>
    </row>
    <row r="3597" spans="1:21">
      <c r="A3597" s="782">
        <v>44439</v>
      </c>
      <c r="B3597" s="783" t="s">
        <v>51</v>
      </c>
      <c r="C3597" s="783" t="s">
        <v>4042</v>
      </c>
      <c r="D3597" s="783" t="s">
        <v>4016</v>
      </c>
      <c r="E3597" s="783" t="s">
        <v>5014</v>
      </c>
      <c r="F3597" s="783" t="s">
        <v>4011</v>
      </c>
      <c r="G3597" s="783" t="str">
        <f t="shared" si="188"/>
        <v>New Contract</v>
      </c>
      <c r="H3597" s="783" t="s">
        <v>5015</v>
      </c>
      <c r="I3597" s="783" t="s">
        <v>5016</v>
      </c>
      <c r="J3597" s="783">
        <v>25</v>
      </c>
      <c r="K3597" s="783" t="s">
        <v>310</v>
      </c>
      <c r="L3597" s="783" t="s">
        <v>4014</v>
      </c>
      <c r="M3597" s="784">
        <v>4459</v>
      </c>
      <c r="N3597" s="784">
        <v>6.5</v>
      </c>
      <c r="O3597" s="784">
        <v>3.43</v>
      </c>
      <c r="P3597" s="783">
        <v>200</v>
      </c>
      <c r="Q3597" s="783">
        <v>335.32</v>
      </c>
      <c r="R3597" s="783">
        <v>251.04</v>
      </c>
      <c r="S3597" s="783">
        <v>41.02</v>
      </c>
      <c r="T3597" s="783">
        <v>43.25</v>
      </c>
      <c r="U3597" s="785">
        <v>44631.518113425896</v>
      </c>
    </row>
    <row r="3598" spans="1:21">
      <c r="A3598" s="782">
        <v>44446</v>
      </c>
      <c r="B3598" s="783" t="s">
        <v>41</v>
      </c>
      <c r="C3598" s="783" t="s">
        <v>4082</v>
      </c>
      <c r="D3598" s="783" t="s">
        <v>4009</v>
      </c>
      <c r="E3598" s="783" t="s">
        <v>4552</v>
      </c>
      <c r="F3598" s="783" t="s">
        <v>4011</v>
      </c>
      <c r="G3598" s="783" t="str">
        <f t="shared" si="188"/>
        <v>Renewal (20% in 2020)</v>
      </c>
      <c r="H3598" s="783" t="s">
        <v>4553</v>
      </c>
      <c r="I3598" s="783" t="s">
        <v>4554</v>
      </c>
      <c r="J3598" s="783">
        <v>20</v>
      </c>
      <c r="K3598" s="783" t="s">
        <v>310</v>
      </c>
      <c r="L3598" s="783" t="s">
        <v>4014</v>
      </c>
      <c r="M3598" s="784">
        <v>8715.2800000000007</v>
      </c>
      <c r="N3598" s="784">
        <v>13.79</v>
      </c>
      <c r="O3598" s="784">
        <v>3.16</v>
      </c>
      <c r="P3598" s="783">
        <v>200</v>
      </c>
      <c r="Q3598" s="783">
        <v>843.64</v>
      </c>
      <c r="R3598" s="783">
        <v>495.9</v>
      </c>
      <c r="S3598" s="783">
        <v>95</v>
      </c>
      <c r="T3598" s="783">
        <v>252.74</v>
      </c>
      <c r="U3598" s="785">
        <v>44631.630150463003</v>
      </c>
    </row>
    <row r="3599" spans="1:21">
      <c r="A3599" s="782">
        <v>44592</v>
      </c>
      <c r="B3599" s="783" t="s">
        <v>41</v>
      </c>
      <c r="C3599" s="783" t="s">
        <v>4139</v>
      </c>
      <c r="D3599" s="783" t="s">
        <v>4009</v>
      </c>
      <c r="E3599" s="783" t="s">
        <v>5035</v>
      </c>
      <c r="F3599" s="783" t="s">
        <v>4011</v>
      </c>
      <c r="G3599" s="783" t="str">
        <f t="shared" si="188"/>
        <v>Renewal (15% in 2020)</v>
      </c>
      <c r="H3599" s="783" t="s">
        <v>5036</v>
      </c>
      <c r="I3599" s="783" t="s">
        <v>5037</v>
      </c>
      <c r="J3599" s="783">
        <v>15</v>
      </c>
      <c r="K3599" s="783" t="s">
        <v>310</v>
      </c>
      <c r="L3599" s="783" t="s">
        <v>4014</v>
      </c>
      <c r="M3599" s="784">
        <v>11942.6</v>
      </c>
      <c r="N3599" s="784">
        <v>13.3</v>
      </c>
      <c r="O3599" s="784">
        <v>3.23</v>
      </c>
      <c r="P3599" s="783">
        <v>278</v>
      </c>
      <c r="Q3599" s="783">
        <v>1185.9000000000001</v>
      </c>
      <c r="R3599" s="783">
        <v>533.83000000000004</v>
      </c>
      <c r="S3599" s="783">
        <v>85.99</v>
      </c>
      <c r="T3599" s="783">
        <v>566.08000000000004</v>
      </c>
      <c r="U3599" s="785">
        <v>44631.626087962999</v>
      </c>
    </row>
    <row r="3600" spans="1:21">
      <c r="A3600" s="782">
        <v>44700</v>
      </c>
      <c r="B3600" s="783" t="s">
        <v>51</v>
      </c>
      <c r="C3600" s="783" t="s">
        <v>4015</v>
      </c>
      <c r="D3600" s="783" t="s">
        <v>4016</v>
      </c>
      <c r="E3600" s="783" t="s">
        <v>5075</v>
      </c>
      <c r="F3600" s="783" t="s">
        <v>4011</v>
      </c>
      <c r="G3600" s="783" t="str">
        <f t="shared" si="188"/>
        <v>Renewal (25% in 2020)</v>
      </c>
      <c r="H3600" s="783" t="s">
        <v>5076</v>
      </c>
      <c r="I3600" s="783" t="s">
        <v>5077</v>
      </c>
      <c r="J3600" s="783">
        <v>25</v>
      </c>
      <c r="K3600" s="783" t="s">
        <v>310</v>
      </c>
      <c r="L3600" s="783" t="s">
        <v>4014</v>
      </c>
      <c r="M3600" s="784">
        <v>4668.6400000000003</v>
      </c>
      <c r="N3600" s="784">
        <v>8.0299999999999994</v>
      </c>
      <c r="O3600" s="784">
        <v>3.23</v>
      </c>
      <c r="P3600" s="783">
        <v>180</v>
      </c>
      <c r="Q3600" s="783">
        <v>415.51</v>
      </c>
      <c r="R3600" s="783">
        <v>310</v>
      </c>
      <c r="S3600" s="783">
        <v>50.89</v>
      </c>
      <c r="T3600" s="783">
        <v>54.62</v>
      </c>
      <c r="U3600" s="785">
        <v>44700.719907407401</v>
      </c>
    </row>
    <row r="3601" spans="1:21">
      <c r="A3601" s="782">
        <v>44702</v>
      </c>
      <c r="B3601" s="783" t="s">
        <v>41</v>
      </c>
      <c r="C3601" s="783" t="s">
        <v>4092</v>
      </c>
      <c r="D3601" s="783" t="s">
        <v>4009</v>
      </c>
      <c r="E3601" s="783" t="s">
        <v>5078</v>
      </c>
      <c r="F3601" s="783" t="s">
        <v>4011</v>
      </c>
      <c r="G3601" s="783" t="str">
        <f t="shared" si="188"/>
        <v>New Contract</v>
      </c>
      <c r="H3601" s="783" t="s">
        <v>5079</v>
      </c>
      <c r="I3601" s="783" t="s">
        <v>5080</v>
      </c>
      <c r="J3601" s="783">
        <v>25</v>
      </c>
      <c r="K3601" s="783" t="s">
        <v>310</v>
      </c>
      <c r="L3601" s="783" t="s">
        <v>4014</v>
      </c>
      <c r="M3601" s="784">
        <v>5710.4</v>
      </c>
      <c r="N3601" s="784">
        <v>5.01</v>
      </c>
      <c r="O3601" s="784">
        <v>4.0999999999999996</v>
      </c>
      <c r="P3601" s="783">
        <v>278</v>
      </c>
      <c r="Q3601" s="783">
        <v>378.03</v>
      </c>
      <c r="R3601" s="783">
        <v>288.95</v>
      </c>
      <c r="S3601" s="783">
        <v>54.82</v>
      </c>
      <c r="T3601" s="783">
        <v>34.26</v>
      </c>
      <c r="U3601" s="785">
        <v>44708.596215277801</v>
      </c>
    </row>
    <row r="3602" spans="1:21">
      <c r="A3602" s="782">
        <v>44704</v>
      </c>
      <c r="B3602" s="783" t="s">
        <v>41</v>
      </c>
      <c r="C3602" s="783" t="s">
        <v>4139</v>
      </c>
      <c r="D3602" s="783" t="s">
        <v>4009</v>
      </c>
      <c r="E3602" s="783" t="s">
        <v>5081</v>
      </c>
      <c r="F3602" s="783" t="s">
        <v>4011</v>
      </c>
      <c r="G3602" s="783" t="str">
        <f t="shared" si="188"/>
        <v>Renewal (30% in 2020)</v>
      </c>
      <c r="H3602" s="783" t="s">
        <v>5082</v>
      </c>
      <c r="I3602" s="783" t="s">
        <v>5083</v>
      </c>
      <c r="J3602" s="783">
        <v>30</v>
      </c>
      <c r="K3602" s="783" t="s">
        <v>310</v>
      </c>
      <c r="L3602" s="783" t="s">
        <v>4014</v>
      </c>
      <c r="M3602" s="784">
        <v>3901.08</v>
      </c>
      <c r="N3602" s="784">
        <v>6.96</v>
      </c>
      <c r="O3602" s="784">
        <v>2.95</v>
      </c>
      <c r="P3602" s="783">
        <v>190</v>
      </c>
      <c r="Q3602" s="783">
        <v>193.49</v>
      </c>
      <c r="R3602" s="783">
        <v>174.38</v>
      </c>
      <c r="S3602" s="783">
        <v>0</v>
      </c>
      <c r="T3602" s="783">
        <v>19.12</v>
      </c>
      <c r="U3602" s="785">
        <v>44704.632754629602</v>
      </c>
    </row>
    <row r="3603" spans="1:21">
      <c r="A3603" s="782">
        <v>44705</v>
      </c>
      <c r="B3603" s="783" t="s">
        <v>41</v>
      </c>
      <c r="C3603" s="783" t="s">
        <v>4139</v>
      </c>
      <c r="D3603" s="783" t="s">
        <v>4009</v>
      </c>
      <c r="E3603" s="783" t="s">
        <v>5090</v>
      </c>
      <c r="F3603" s="783" t="s">
        <v>4011</v>
      </c>
      <c r="G3603" s="783" t="str">
        <f t="shared" si="188"/>
        <v>Renewal (30% in 2020)</v>
      </c>
      <c r="H3603" s="783" t="s">
        <v>5091</v>
      </c>
      <c r="I3603" s="783" t="s">
        <v>5092</v>
      </c>
      <c r="J3603" s="783">
        <v>30</v>
      </c>
      <c r="K3603" s="783" t="s">
        <v>310</v>
      </c>
      <c r="L3603" s="783" t="s">
        <v>4014</v>
      </c>
      <c r="M3603" s="784">
        <v>6282.27</v>
      </c>
      <c r="N3603" s="784">
        <v>6.33</v>
      </c>
      <c r="O3603" s="784">
        <v>3.57</v>
      </c>
      <c r="P3603" s="783">
        <v>278</v>
      </c>
      <c r="Q3603" s="783">
        <v>311.60000000000002</v>
      </c>
      <c r="R3603" s="783">
        <v>280.82</v>
      </c>
      <c r="S3603" s="783">
        <v>0</v>
      </c>
      <c r="T3603" s="783">
        <v>30.78</v>
      </c>
      <c r="U3603" s="785">
        <v>44708.953414351898</v>
      </c>
    </row>
    <row r="3604" spans="1:21">
      <c r="A3604" s="782">
        <v>44685</v>
      </c>
      <c r="B3604" s="783" t="s">
        <v>41</v>
      </c>
      <c r="C3604" s="783" t="s">
        <v>4139</v>
      </c>
      <c r="D3604" s="783" t="s">
        <v>4009</v>
      </c>
      <c r="E3604" s="783" t="s">
        <v>4563</v>
      </c>
      <c r="F3604" s="783" t="s">
        <v>4011</v>
      </c>
      <c r="G3604" s="783" t="str">
        <f t="shared" si="188"/>
        <v>Renewal (30% in 2020)</v>
      </c>
      <c r="H3604" s="783" t="s">
        <v>4564</v>
      </c>
      <c r="I3604" s="783" t="s">
        <v>4565</v>
      </c>
      <c r="J3604" s="783">
        <v>30</v>
      </c>
      <c r="K3604" s="783" t="s">
        <v>310</v>
      </c>
      <c r="L3604" s="783" t="s">
        <v>4014</v>
      </c>
      <c r="M3604" s="784">
        <v>25379.82</v>
      </c>
      <c r="N3604" s="784">
        <v>23.37</v>
      </c>
      <c r="O3604" s="784">
        <v>5.43</v>
      </c>
      <c r="P3604" s="783">
        <v>200</v>
      </c>
      <c r="Q3604" s="783">
        <v>1258.8399999999999</v>
      </c>
      <c r="R3604" s="783">
        <v>1134.48</v>
      </c>
      <c r="S3604" s="783">
        <v>0</v>
      </c>
      <c r="T3604" s="783">
        <v>124.36</v>
      </c>
      <c r="U3604" s="785">
        <v>44685.417777777802</v>
      </c>
    </row>
    <row r="3605" spans="1:21">
      <c r="A3605" s="782">
        <v>44685</v>
      </c>
      <c r="B3605" s="783" t="s">
        <v>51</v>
      </c>
      <c r="C3605" s="783" t="s">
        <v>4796</v>
      </c>
      <c r="D3605" s="783" t="s">
        <v>4016</v>
      </c>
      <c r="E3605" s="783" t="s">
        <v>5105</v>
      </c>
      <c r="F3605" s="783" t="s">
        <v>4011</v>
      </c>
      <c r="G3605" s="783" t="str">
        <f t="shared" si="188"/>
        <v>Renewal (20% in 2020)</v>
      </c>
      <c r="H3605" s="783" t="s">
        <v>5106</v>
      </c>
      <c r="I3605" s="783" t="s">
        <v>5107</v>
      </c>
      <c r="J3605" s="783">
        <v>20</v>
      </c>
      <c r="K3605" s="783" t="s">
        <v>310</v>
      </c>
      <c r="L3605" s="783" t="s">
        <v>4014</v>
      </c>
      <c r="M3605" s="784">
        <v>18254.59</v>
      </c>
      <c r="N3605" s="784">
        <v>17.28</v>
      </c>
      <c r="O3605" s="784">
        <v>3.8</v>
      </c>
      <c r="P3605" s="783">
        <v>278</v>
      </c>
      <c r="Q3605" s="783">
        <v>1630.14</v>
      </c>
      <c r="R3605" s="783">
        <v>952.89</v>
      </c>
      <c r="S3605" s="783">
        <v>156.99</v>
      </c>
      <c r="T3605" s="783">
        <v>520.26</v>
      </c>
      <c r="U3605" s="785">
        <v>44685.660266203697</v>
      </c>
    </row>
    <row r="3606" spans="1:21">
      <c r="A3606" s="782">
        <v>44686</v>
      </c>
      <c r="B3606" s="783" t="s">
        <v>41</v>
      </c>
      <c r="C3606" s="783" t="s">
        <v>4082</v>
      </c>
      <c r="D3606" s="783" t="s">
        <v>4009</v>
      </c>
      <c r="E3606" s="783" t="s">
        <v>4566</v>
      </c>
      <c r="F3606" s="783" t="s">
        <v>4011</v>
      </c>
      <c r="G3606" s="783" t="str">
        <f t="shared" si="188"/>
        <v>Renewal (25% in 2020)</v>
      </c>
      <c r="H3606" s="783" t="s">
        <v>4567</v>
      </c>
      <c r="I3606" s="783" t="s">
        <v>4568</v>
      </c>
      <c r="J3606" s="783">
        <v>25</v>
      </c>
      <c r="K3606" s="783" t="s">
        <v>310</v>
      </c>
      <c r="L3606" s="783" t="s">
        <v>4014</v>
      </c>
      <c r="M3606" s="784">
        <v>2098.5700000000002</v>
      </c>
      <c r="N3606" s="784">
        <v>2.2400000000000002</v>
      </c>
      <c r="O3606" s="784">
        <v>3.37</v>
      </c>
      <c r="P3606" s="783">
        <v>278</v>
      </c>
      <c r="Q3606" s="783">
        <v>156.13</v>
      </c>
      <c r="R3606" s="783">
        <v>119.41</v>
      </c>
      <c r="S3606" s="783">
        <v>22.87</v>
      </c>
      <c r="T3606" s="783">
        <v>13.85</v>
      </c>
      <c r="U3606" s="785">
        <v>44687.616493055597</v>
      </c>
    </row>
    <row r="3607" spans="1:21">
      <c r="A3607" s="782">
        <v>44686</v>
      </c>
      <c r="B3607" s="783" t="s">
        <v>41</v>
      </c>
      <c r="C3607" s="783" t="s">
        <v>4071</v>
      </c>
      <c r="D3607" s="783" t="s">
        <v>4009</v>
      </c>
      <c r="E3607" s="783" t="s">
        <v>505</v>
      </c>
      <c r="F3607" s="783" t="s">
        <v>4011</v>
      </c>
      <c r="G3607" s="783" t="str">
        <f t="shared" si="188"/>
        <v>Renewal (15% in 2020)</v>
      </c>
      <c r="H3607" s="783" t="s">
        <v>4112</v>
      </c>
      <c r="I3607" s="783" t="s">
        <v>4113</v>
      </c>
      <c r="J3607" s="783">
        <v>15</v>
      </c>
      <c r="K3607" s="783" t="s">
        <v>310</v>
      </c>
      <c r="L3607" s="783" t="s">
        <v>4014</v>
      </c>
      <c r="M3607" s="784">
        <v>658.86</v>
      </c>
      <c r="N3607" s="784">
        <v>1</v>
      </c>
      <c r="O3607" s="784">
        <v>2.37</v>
      </c>
      <c r="P3607" s="783">
        <v>278</v>
      </c>
      <c r="Q3607" s="783">
        <v>57.98</v>
      </c>
      <c r="R3607" s="783">
        <v>26.16</v>
      </c>
      <c r="S3607" s="783">
        <v>4.28</v>
      </c>
      <c r="T3607" s="783">
        <v>27.54</v>
      </c>
      <c r="U3607" s="785">
        <v>44687.621053240699</v>
      </c>
    </row>
    <row r="3608" spans="1:21">
      <c r="A3608" s="782">
        <v>44683</v>
      </c>
      <c r="B3608" s="783" t="s">
        <v>34</v>
      </c>
      <c r="C3608" s="783" t="s">
        <v>4139</v>
      </c>
      <c r="D3608" s="783" t="s">
        <v>4009</v>
      </c>
      <c r="E3608" s="783" t="s">
        <v>1060</v>
      </c>
      <c r="F3608" s="783" t="s">
        <v>4011</v>
      </c>
      <c r="G3608" s="783" t="str">
        <f t="shared" si="188"/>
        <v>Renewal (15% in 2020)</v>
      </c>
      <c r="H3608" s="783" t="s">
        <v>7100</v>
      </c>
      <c r="I3608" s="783" t="s">
        <v>7101</v>
      </c>
      <c r="J3608" s="783">
        <v>15</v>
      </c>
      <c r="K3608" s="783" t="s">
        <v>310</v>
      </c>
      <c r="L3608" s="783" t="s">
        <v>4014</v>
      </c>
      <c r="M3608" s="784">
        <v>7737.13</v>
      </c>
      <c r="N3608" s="784">
        <v>9.35</v>
      </c>
      <c r="O3608" s="784">
        <v>3.31</v>
      </c>
      <c r="P3608" s="783">
        <v>250</v>
      </c>
      <c r="Q3608" s="783">
        <v>768.3</v>
      </c>
      <c r="R3608" s="783">
        <v>345.85</v>
      </c>
      <c r="S3608" s="783">
        <v>55.71</v>
      </c>
      <c r="T3608" s="783">
        <v>366.74</v>
      </c>
      <c r="U3608" s="785">
        <v>44684.394027777802</v>
      </c>
    </row>
    <row r="3609" spans="1:21">
      <c r="A3609" s="782">
        <v>44681</v>
      </c>
      <c r="B3609" s="783" t="s">
        <v>4025</v>
      </c>
      <c r="C3609" s="783" t="s">
        <v>4026</v>
      </c>
      <c r="D3609" s="783" t="s">
        <v>4021</v>
      </c>
      <c r="E3609" s="783" t="s">
        <v>5123</v>
      </c>
      <c r="F3609" s="783" t="s">
        <v>4011</v>
      </c>
      <c r="G3609" s="783" t="str">
        <f t="shared" si="188"/>
        <v>New Contract</v>
      </c>
      <c r="H3609" s="783" t="s">
        <v>5124</v>
      </c>
      <c r="I3609" s="783" t="s">
        <v>5125</v>
      </c>
      <c r="J3609" s="783">
        <v>20</v>
      </c>
      <c r="K3609" s="783" t="s">
        <v>310</v>
      </c>
      <c r="L3609" s="783" t="s">
        <v>4014</v>
      </c>
      <c r="M3609" s="784">
        <v>28474.42</v>
      </c>
      <c r="N3609" s="784">
        <v>22.86</v>
      </c>
      <c r="O3609" s="784">
        <v>3.46</v>
      </c>
      <c r="P3609" s="783">
        <v>360</v>
      </c>
      <c r="Q3609" s="783">
        <v>2363.38</v>
      </c>
      <c r="R3609" s="783">
        <v>1033.46</v>
      </c>
      <c r="S3609" s="783">
        <v>521.24</v>
      </c>
      <c r="T3609" s="783">
        <v>808.67</v>
      </c>
      <c r="U3609" s="785">
        <v>44701.992152777799</v>
      </c>
    </row>
    <row r="3610" spans="1:21">
      <c r="A3610" s="782">
        <v>44690</v>
      </c>
      <c r="B3610" s="783" t="s">
        <v>41</v>
      </c>
      <c r="C3610" s="783" t="s">
        <v>4092</v>
      </c>
      <c r="D3610" s="783" t="s">
        <v>4009</v>
      </c>
      <c r="E3610" s="783" t="s">
        <v>1570</v>
      </c>
      <c r="F3610" s="783" t="s">
        <v>4011</v>
      </c>
      <c r="G3610" s="783" t="str">
        <f t="shared" ref="G3610:G3645" si="189">VLOOKUP(I3610,pacage,2,FALSE)</f>
        <v>Renewal (30% in 2020)</v>
      </c>
      <c r="H3610" s="783" t="s">
        <v>5140</v>
      </c>
      <c r="I3610" s="783" t="s">
        <v>5141</v>
      </c>
      <c r="J3610" s="783">
        <v>30</v>
      </c>
      <c r="K3610" s="783" t="s">
        <v>310</v>
      </c>
      <c r="L3610" s="783" t="s">
        <v>4014</v>
      </c>
      <c r="M3610" s="784">
        <v>6092.56</v>
      </c>
      <c r="N3610" s="784">
        <v>7.42</v>
      </c>
      <c r="O3610" s="784">
        <v>3.57</v>
      </c>
      <c r="P3610" s="783">
        <v>230</v>
      </c>
      <c r="Q3610" s="783">
        <v>344.84</v>
      </c>
      <c r="R3610" s="783">
        <v>308.27999999999997</v>
      </c>
      <c r="S3610" s="783">
        <v>0</v>
      </c>
      <c r="T3610" s="783">
        <v>36.56</v>
      </c>
      <c r="U3610" s="785">
        <v>44691.507754629602</v>
      </c>
    </row>
    <row r="3611" spans="1:21">
      <c r="A3611" s="782">
        <v>44694</v>
      </c>
      <c r="B3611" s="783" t="s">
        <v>2866</v>
      </c>
      <c r="C3611" s="783" t="s">
        <v>4008</v>
      </c>
      <c r="D3611" s="783" t="s">
        <v>4009</v>
      </c>
      <c r="E3611" s="783" t="s">
        <v>5157</v>
      </c>
      <c r="F3611" s="783" t="s">
        <v>4011</v>
      </c>
      <c r="G3611" s="783" t="str">
        <f t="shared" si="189"/>
        <v>Renewal (15% in 2020)</v>
      </c>
      <c r="H3611" s="783" t="s">
        <v>5158</v>
      </c>
      <c r="I3611" s="783" t="s">
        <v>5159</v>
      </c>
      <c r="J3611" s="783">
        <v>15</v>
      </c>
      <c r="K3611" s="783" t="s">
        <v>310</v>
      </c>
      <c r="L3611" s="783" t="s">
        <v>4014</v>
      </c>
      <c r="M3611" s="784">
        <v>2617.02</v>
      </c>
      <c r="N3611" s="784">
        <v>6.03</v>
      </c>
      <c r="O3611" s="784">
        <v>2.17</v>
      </c>
      <c r="P3611" s="783">
        <v>200</v>
      </c>
      <c r="Q3611" s="783">
        <v>417.68</v>
      </c>
      <c r="R3611" s="783">
        <v>178.74</v>
      </c>
      <c r="S3611" s="783">
        <v>29.05</v>
      </c>
      <c r="T3611" s="783">
        <v>209.89</v>
      </c>
      <c r="U3611" s="785">
        <v>44694.529247685197</v>
      </c>
    </row>
    <row r="3612" spans="1:21">
      <c r="A3612" s="782">
        <v>44678</v>
      </c>
      <c r="B3612" s="783" t="s">
        <v>41</v>
      </c>
      <c r="C3612" s="783" t="s">
        <v>4139</v>
      </c>
      <c r="D3612" s="783" t="s">
        <v>4009</v>
      </c>
      <c r="E3612" s="783" t="s">
        <v>5181</v>
      </c>
      <c r="F3612" s="783" t="s">
        <v>4011</v>
      </c>
      <c r="G3612" s="783" t="str">
        <f t="shared" si="189"/>
        <v>Renewal (25% in 2020)</v>
      </c>
      <c r="H3612" s="783" t="s">
        <v>5182</v>
      </c>
      <c r="I3612" s="783" t="s">
        <v>5183</v>
      </c>
      <c r="J3612" s="783">
        <v>25</v>
      </c>
      <c r="K3612" s="783" t="s">
        <v>310</v>
      </c>
      <c r="L3612" s="783" t="s">
        <v>4014</v>
      </c>
      <c r="M3612" s="784">
        <v>11716.02</v>
      </c>
      <c r="N3612" s="784">
        <v>16.12</v>
      </c>
      <c r="O3612" s="784">
        <v>3.16</v>
      </c>
      <c r="P3612" s="783">
        <v>230</v>
      </c>
      <c r="Q3612" s="783">
        <v>665.47</v>
      </c>
      <c r="R3612" s="783">
        <v>523.71</v>
      </c>
      <c r="S3612" s="783">
        <v>84.36</v>
      </c>
      <c r="T3612" s="783">
        <v>57.41</v>
      </c>
      <c r="U3612" s="785">
        <v>44680.658981481502</v>
      </c>
    </row>
    <row r="3613" spans="1:21">
      <c r="A3613" s="782">
        <v>44679</v>
      </c>
      <c r="B3613" s="783" t="s">
        <v>41</v>
      </c>
      <c r="C3613" s="783" t="s">
        <v>4092</v>
      </c>
      <c r="D3613" s="783" t="s">
        <v>4009</v>
      </c>
      <c r="E3613" s="783" t="s">
        <v>608</v>
      </c>
      <c r="F3613" s="783" t="s">
        <v>4011</v>
      </c>
      <c r="G3613" s="783" t="str">
        <f t="shared" si="189"/>
        <v>Renewal (15% in 2020)</v>
      </c>
      <c r="H3613" s="783" t="s">
        <v>4575</v>
      </c>
      <c r="I3613" s="783" t="s">
        <v>4576</v>
      </c>
      <c r="J3613" s="783">
        <v>15</v>
      </c>
      <c r="K3613" s="783" t="s">
        <v>310</v>
      </c>
      <c r="L3613" s="783" t="s">
        <v>4014</v>
      </c>
      <c r="M3613" s="784">
        <v>4888.2299999999996</v>
      </c>
      <c r="N3613" s="784">
        <v>7.79</v>
      </c>
      <c r="O3613" s="784">
        <v>2.5099999999999998</v>
      </c>
      <c r="P3613" s="783">
        <v>250</v>
      </c>
      <c r="Q3613" s="783">
        <v>565.57000000000005</v>
      </c>
      <c r="R3613" s="783">
        <v>247.34</v>
      </c>
      <c r="S3613" s="783">
        <v>46.93</v>
      </c>
      <c r="T3613" s="783">
        <v>271.3</v>
      </c>
      <c r="U3613" s="785">
        <v>44680.705127314803</v>
      </c>
    </row>
    <row r="3614" spans="1:21">
      <c r="A3614" s="782">
        <v>44680</v>
      </c>
      <c r="B3614" s="783" t="s">
        <v>51</v>
      </c>
      <c r="C3614" s="783" t="s">
        <v>4015</v>
      </c>
      <c r="D3614" s="783" t="s">
        <v>4016</v>
      </c>
      <c r="E3614" s="783" t="s">
        <v>89</v>
      </c>
      <c r="F3614" s="783" t="s">
        <v>4011</v>
      </c>
      <c r="G3614" s="783" t="str">
        <f t="shared" si="189"/>
        <v>Renewal (20% in 2020)</v>
      </c>
      <c r="H3614" s="783" t="s">
        <v>5190</v>
      </c>
      <c r="I3614" s="783" t="s">
        <v>5191</v>
      </c>
      <c r="J3614" s="783">
        <v>20</v>
      </c>
      <c r="K3614" s="783" t="s">
        <v>310</v>
      </c>
      <c r="L3614" s="783" t="s">
        <v>4014</v>
      </c>
      <c r="M3614" s="784">
        <v>8207.67</v>
      </c>
      <c r="N3614" s="784">
        <v>12.2</v>
      </c>
      <c r="O3614" s="784">
        <v>2.42</v>
      </c>
      <c r="P3614" s="783">
        <v>278</v>
      </c>
      <c r="Q3614" s="783">
        <v>938.96</v>
      </c>
      <c r="R3614" s="783">
        <v>544.99</v>
      </c>
      <c r="S3614" s="783">
        <v>89.46</v>
      </c>
      <c r="T3614" s="783">
        <v>304.5</v>
      </c>
      <c r="U3614" s="785">
        <v>44680.747037036999</v>
      </c>
    </row>
    <row r="3615" spans="1:21">
      <c r="A3615" s="782">
        <v>44681</v>
      </c>
      <c r="B3615" s="783" t="s">
        <v>51</v>
      </c>
      <c r="C3615" s="783" t="s">
        <v>4042</v>
      </c>
      <c r="D3615" s="783" t="s">
        <v>4016</v>
      </c>
      <c r="E3615" s="783" t="s">
        <v>5192</v>
      </c>
      <c r="F3615" s="783" t="s">
        <v>4011</v>
      </c>
      <c r="G3615" s="783" t="str">
        <f t="shared" si="189"/>
        <v>Renewal (30% in 2020)</v>
      </c>
      <c r="H3615" s="783" t="s">
        <v>5193</v>
      </c>
      <c r="I3615" s="783" t="s">
        <v>5194</v>
      </c>
      <c r="J3615" s="783">
        <v>30</v>
      </c>
      <c r="K3615" s="783" t="s">
        <v>310</v>
      </c>
      <c r="L3615" s="783" t="s">
        <v>4014</v>
      </c>
      <c r="M3615" s="784">
        <v>1285.2</v>
      </c>
      <c r="N3615" s="784">
        <v>2.1</v>
      </c>
      <c r="O3615" s="784">
        <v>3.4</v>
      </c>
      <c r="P3615" s="783">
        <v>180</v>
      </c>
      <c r="Q3615" s="783">
        <v>84.82</v>
      </c>
      <c r="R3615" s="783">
        <v>72.36</v>
      </c>
      <c r="S3615" s="783">
        <v>0</v>
      </c>
      <c r="T3615" s="783">
        <v>12.47</v>
      </c>
      <c r="U3615" s="785">
        <v>44683.456782407397</v>
      </c>
    </row>
    <row r="3616" spans="1:21">
      <c r="A3616" s="782">
        <v>44710</v>
      </c>
      <c r="B3616" s="783" t="s">
        <v>41</v>
      </c>
      <c r="C3616" s="783" t="s">
        <v>4092</v>
      </c>
      <c r="D3616" s="783" t="s">
        <v>4009</v>
      </c>
      <c r="E3616" s="783" t="s">
        <v>1795</v>
      </c>
      <c r="F3616" s="783" t="s">
        <v>4011</v>
      </c>
      <c r="G3616" s="783" t="str">
        <f t="shared" si="189"/>
        <v>Renewal (20% in 2020)</v>
      </c>
      <c r="H3616" s="783" t="s">
        <v>4117</v>
      </c>
      <c r="I3616" s="783" t="s">
        <v>4118</v>
      </c>
      <c r="J3616" s="783">
        <v>20</v>
      </c>
      <c r="K3616" s="783" t="s">
        <v>310</v>
      </c>
      <c r="L3616" s="783" t="s">
        <v>4014</v>
      </c>
      <c r="M3616" s="784">
        <v>12181.02</v>
      </c>
      <c r="N3616" s="784">
        <v>10.91</v>
      </c>
      <c r="O3616" s="784">
        <v>3.19</v>
      </c>
      <c r="P3616" s="783">
        <v>350</v>
      </c>
      <c r="Q3616" s="783">
        <v>1050</v>
      </c>
      <c r="R3616" s="783">
        <v>489.57</v>
      </c>
      <c r="S3616" s="783">
        <v>243.73</v>
      </c>
      <c r="T3616" s="783">
        <v>316.70999999999998</v>
      </c>
      <c r="U3616" s="785">
        <v>44712.585543981499</v>
      </c>
    </row>
    <row r="3617" spans="1:21">
      <c r="A3617" s="782">
        <v>44680</v>
      </c>
      <c r="B3617" s="783" t="s">
        <v>41</v>
      </c>
      <c r="C3617" s="783" t="s">
        <v>4092</v>
      </c>
      <c r="D3617" s="783" t="s">
        <v>4009</v>
      </c>
      <c r="E3617" s="783" t="s">
        <v>5195</v>
      </c>
      <c r="F3617" s="783" t="s">
        <v>4011</v>
      </c>
      <c r="G3617" s="783" t="str">
        <f t="shared" si="189"/>
        <v>Renewal (20% in 2020)</v>
      </c>
      <c r="H3617" s="783" t="s">
        <v>5196</v>
      </c>
      <c r="I3617" s="783" t="s">
        <v>5197</v>
      </c>
      <c r="J3617" s="783">
        <v>20</v>
      </c>
      <c r="K3617" s="783" t="s">
        <v>310</v>
      </c>
      <c r="L3617" s="783" t="s">
        <v>4014</v>
      </c>
      <c r="M3617" s="784">
        <v>30488.87</v>
      </c>
      <c r="N3617" s="784">
        <v>34.380000000000003</v>
      </c>
      <c r="O3617" s="784">
        <v>3.19</v>
      </c>
      <c r="P3617" s="783">
        <v>278</v>
      </c>
      <c r="Q3617" s="783">
        <v>2628.14</v>
      </c>
      <c r="R3617" s="783">
        <v>1542.74</v>
      </c>
      <c r="S3617" s="783">
        <v>292.69</v>
      </c>
      <c r="T3617" s="783">
        <v>792.71</v>
      </c>
      <c r="U3617" s="785">
        <v>44680.724687499998</v>
      </c>
    </row>
    <row r="3618" spans="1:21">
      <c r="A3618" s="782">
        <v>44705</v>
      </c>
      <c r="B3618" s="783" t="s">
        <v>4025</v>
      </c>
      <c r="C3618" s="783" t="s">
        <v>4026</v>
      </c>
      <c r="D3618" s="783" t="s">
        <v>4021</v>
      </c>
      <c r="E3618" s="783" t="s">
        <v>5233</v>
      </c>
      <c r="F3618" s="783" t="s">
        <v>4011</v>
      </c>
      <c r="G3618" s="783" t="str">
        <f t="shared" si="189"/>
        <v>New Contract</v>
      </c>
      <c r="H3618" s="783" t="s">
        <v>5234</v>
      </c>
      <c r="I3618" s="783" t="s">
        <v>5235</v>
      </c>
      <c r="J3618" s="783">
        <v>20</v>
      </c>
      <c r="K3618" s="783" t="s">
        <v>310</v>
      </c>
      <c r="L3618" s="783" t="s">
        <v>4014</v>
      </c>
      <c r="M3618" s="784">
        <v>13160.52</v>
      </c>
      <c r="N3618" s="784">
        <v>18</v>
      </c>
      <c r="O3618" s="784">
        <v>2.63</v>
      </c>
      <c r="P3618" s="783">
        <v>278</v>
      </c>
      <c r="Q3618" s="783">
        <v>1092.32</v>
      </c>
      <c r="R3618" s="783">
        <v>618.54</v>
      </c>
      <c r="S3618" s="783">
        <v>100.02</v>
      </c>
      <c r="T3618" s="783">
        <v>373.76</v>
      </c>
      <c r="U3618" s="785">
        <v>44708.694351851896</v>
      </c>
    </row>
    <row r="3619" spans="1:21">
      <c r="A3619" s="782">
        <v>44659</v>
      </c>
      <c r="B3619" s="783" t="s">
        <v>34</v>
      </c>
      <c r="C3619" s="783" t="s">
        <v>4139</v>
      </c>
      <c r="D3619" s="783" t="s">
        <v>4009</v>
      </c>
      <c r="E3619" s="783" t="s">
        <v>1585</v>
      </c>
      <c r="F3619" s="783" t="s">
        <v>4011</v>
      </c>
      <c r="G3619" s="783" t="str">
        <f t="shared" si="189"/>
        <v>Renewal (20% in 2020)</v>
      </c>
      <c r="H3619" s="783" t="s">
        <v>4299</v>
      </c>
      <c r="I3619" s="783" t="s">
        <v>4300</v>
      </c>
      <c r="J3619" s="783">
        <v>20</v>
      </c>
      <c r="K3619" s="783" t="s">
        <v>310</v>
      </c>
      <c r="L3619" s="783" t="s">
        <v>4014</v>
      </c>
      <c r="M3619" s="784">
        <v>6902.88</v>
      </c>
      <c r="N3619" s="784">
        <v>8.0500000000000007</v>
      </c>
      <c r="O3619" s="784">
        <v>3.43</v>
      </c>
      <c r="P3619" s="783">
        <v>250</v>
      </c>
      <c r="Q3619" s="783">
        <v>510.81</v>
      </c>
      <c r="R3619" s="783">
        <v>308.56</v>
      </c>
      <c r="S3619" s="783">
        <v>49.7</v>
      </c>
      <c r="T3619" s="783">
        <v>152.55000000000001</v>
      </c>
      <c r="U3619" s="785">
        <v>44663.407847222203</v>
      </c>
    </row>
    <row r="3620" spans="1:21">
      <c r="A3620" s="782">
        <v>44676</v>
      </c>
      <c r="B3620" s="783" t="s">
        <v>34</v>
      </c>
      <c r="C3620" s="783" t="s">
        <v>4139</v>
      </c>
      <c r="D3620" s="783" t="s">
        <v>4009</v>
      </c>
      <c r="E3620" s="783" t="s">
        <v>5288</v>
      </c>
      <c r="F3620" s="783" t="s">
        <v>4011</v>
      </c>
      <c r="G3620" s="783" t="str">
        <f t="shared" si="189"/>
        <v>Renewal (15% in 2020)</v>
      </c>
      <c r="H3620" s="783" t="s">
        <v>5289</v>
      </c>
      <c r="I3620" s="783" t="s">
        <v>5290</v>
      </c>
      <c r="J3620" s="783">
        <v>15</v>
      </c>
      <c r="K3620" s="783" t="s">
        <v>310</v>
      </c>
      <c r="L3620" s="783" t="s">
        <v>4014</v>
      </c>
      <c r="M3620" s="784">
        <v>3786.92</v>
      </c>
      <c r="N3620" s="784">
        <v>4.9000000000000004</v>
      </c>
      <c r="O3620" s="784">
        <v>2.78</v>
      </c>
      <c r="P3620" s="783">
        <v>278</v>
      </c>
      <c r="Q3620" s="783">
        <v>376.04</v>
      </c>
      <c r="R3620" s="783">
        <v>169.28</v>
      </c>
      <c r="S3620" s="783">
        <v>27.27</v>
      </c>
      <c r="T3620" s="783">
        <v>179.5</v>
      </c>
      <c r="U3620" s="785">
        <v>44676.723749999997</v>
      </c>
    </row>
    <row r="3621" spans="1:21">
      <c r="A3621" s="782">
        <v>44666</v>
      </c>
      <c r="B3621" s="783" t="s">
        <v>41</v>
      </c>
      <c r="C3621" s="783" t="s">
        <v>4092</v>
      </c>
      <c r="D3621" s="783" t="s">
        <v>4009</v>
      </c>
      <c r="E3621" s="783" t="s">
        <v>5299</v>
      </c>
      <c r="F3621" s="783" t="s">
        <v>4011</v>
      </c>
      <c r="G3621" s="783" t="str">
        <f t="shared" si="189"/>
        <v>Renewal (20% in 2020)</v>
      </c>
      <c r="H3621" s="783" t="s">
        <v>5300</v>
      </c>
      <c r="I3621" s="783" t="s">
        <v>5301</v>
      </c>
      <c r="J3621" s="783">
        <v>20</v>
      </c>
      <c r="K3621" s="783" t="s">
        <v>310</v>
      </c>
      <c r="L3621" s="783" t="s">
        <v>4014</v>
      </c>
      <c r="M3621" s="784">
        <v>6514.2</v>
      </c>
      <c r="N3621" s="784">
        <v>5.64</v>
      </c>
      <c r="O3621" s="784">
        <v>3.85</v>
      </c>
      <c r="P3621" s="783">
        <v>300</v>
      </c>
      <c r="Q3621" s="783">
        <v>561.52</v>
      </c>
      <c r="R3621" s="783">
        <v>305.45</v>
      </c>
      <c r="S3621" s="783">
        <v>86.71</v>
      </c>
      <c r="T3621" s="783">
        <v>169.37</v>
      </c>
      <c r="U3621" s="785">
        <v>44671.484583333302</v>
      </c>
    </row>
    <row r="3622" spans="1:21">
      <c r="A3622" s="782">
        <v>44699</v>
      </c>
      <c r="B3622" s="783" t="s">
        <v>41</v>
      </c>
      <c r="C3622" s="783" t="s">
        <v>4092</v>
      </c>
      <c r="D3622" s="783" t="s">
        <v>4009</v>
      </c>
      <c r="E3622" s="783" t="s">
        <v>507</v>
      </c>
      <c r="F3622" s="783" t="s">
        <v>4011</v>
      </c>
      <c r="G3622" s="783" t="str">
        <f t="shared" si="189"/>
        <v>Renewal (15% in 2020)</v>
      </c>
      <c r="H3622" s="783" t="s">
        <v>4318</v>
      </c>
      <c r="I3622" s="783" t="s">
        <v>4319</v>
      </c>
      <c r="J3622" s="783">
        <v>15</v>
      </c>
      <c r="K3622" s="783" t="s">
        <v>310</v>
      </c>
      <c r="L3622" s="783" t="s">
        <v>4014</v>
      </c>
      <c r="M3622" s="784">
        <v>14710.29</v>
      </c>
      <c r="N3622" s="784">
        <v>14.99</v>
      </c>
      <c r="O3622" s="784">
        <v>3.53</v>
      </c>
      <c r="P3622" s="783">
        <v>278</v>
      </c>
      <c r="Q3622" s="783">
        <v>1701.98</v>
      </c>
      <c r="R3622" s="783">
        <v>744.34</v>
      </c>
      <c r="S3622" s="783">
        <v>141.22</v>
      </c>
      <c r="T3622" s="783">
        <v>816.42</v>
      </c>
      <c r="U3622" s="785">
        <v>44700.5155324074</v>
      </c>
    </row>
    <row r="3623" spans="1:21">
      <c r="A3623" s="782">
        <v>44693</v>
      </c>
      <c r="B3623" s="783" t="s">
        <v>51</v>
      </c>
      <c r="C3623" s="783" t="s">
        <v>4015</v>
      </c>
      <c r="D3623" s="783" t="s">
        <v>4016</v>
      </c>
      <c r="E3623" s="783" t="s">
        <v>1719</v>
      </c>
      <c r="F3623" s="783" t="s">
        <v>4011</v>
      </c>
      <c r="G3623" s="783" t="str">
        <f t="shared" si="189"/>
        <v>Renewal (20% in 2020)</v>
      </c>
      <c r="H3623" s="783" t="s">
        <v>5330</v>
      </c>
      <c r="I3623" s="783" t="s">
        <v>5331</v>
      </c>
      <c r="J3623" s="783">
        <v>20</v>
      </c>
      <c r="K3623" s="783" t="s">
        <v>310</v>
      </c>
      <c r="L3623" s="783" t="s">
        <v>4014</v>
      </c>
      <c r="M3623" s="784">
        <v>5600.84</v>
      </c>
      <c r="N3623" s="784">
        <v>4.82</v>
      </c>
      <c r="O3623" s="784">
        <v>3.32</v>
      </c>
      <c r="P3623" s="783">
        <v>350</v>
      </c>
      <c r="Q3623" s="783">
        <v>640.74</v>
      </c>
      <c r="R3623" s="783">
        <v>295.39</v>
      </c>
      <c r="S3623" s="783">
        <v>137.55000000000001</v>
      </c>
      <c r="T3623" s="783">
        <v>207.79</v>
      </c>
      <c r="U3623" s="785">
        <v>44693.600937499999</v>
      </c>
    </row>
    <row r="3624" spans="1:21">
      <c r="A3624" s="782">
        <v>44540</v>
      </c>
      <c r="B3624" s="783" t="s">
        <v>74</v>
      </c>
      <c r="C3624" s="783" t="s">
        <v>4037</v>
      </c>
      <c r="D3624" s="783" t="s">
        <v>4038</v>
      </c>
      <c r="E3624" s="783" t="s">
        <v>4325</v>
      </c>
      <c r="F3624" s="783" t="s">
        <v>4011</v>
      </c>
      <c r="G3624" s="783" t="str">
        <f t="shared" si="189"/>
        <v>Renewal (20% in 2020)</v>
      </c>
      <c r="H3624" s="783" t="s">
        <v>4326</v>
      </c>
      <c r="I3624" s="783" t="s">
        <v>4327</v>
      </c>
      <c r="J3624" s="783">
        <v>20</v>
      </c>
      <c r="K3624" s="783" t="s">
        <v>310</v>
      </c>
      <c r="L3624" s="783" t="s">
        <v>4014</v>
      </c>
      <c r="M3624" s="784">
        <v>3418.52</v>
      </c>
      <c r="N3624" s="784">
        <v>5.73</v>
      </c>
      <c r="O3624" s="784">
        <v>3.14</v>
      </c>
      <c r="P3624" s="783">
        <v>190</v>
      </c>
      <c r="Q3624" s="783">
        <v>386.29</v>
      </c>
      <c r="R3624" s="783">
        <v>208.53</v>
      </c>
      <c r="S3624" s="783">
        <v>34.19</v>
      </c>
      <c r="T3624" s="783">
        <v>143.58000000000001</v>
      </c>
      <c r="U3624" s="785">
        <v>44631.626898148097</v>
      </c>
    </row>
    <row r="3625" spans="1:21">
      <c r="A3625" s="782">
        <v>44539</v>
      </c>
      <c r="B3625" s="783" t="s">
        <v>228</v>
      </c>
      <c r="C3625" s="783" t="s">
        <v>4491</v>
      </c>
      <c r="D3625" s="783" t="s">
        <v>4193</v>
      </c>
      <c r="E3625" s="783" t="s">
        <v>5367</v>
      </c>
      <c r="F3625" s="783" t="s">
        <v>4011</v>
      </c>
      <c r="G3625" s="783" t="str">
        <f t="shared" si="189"/>
        <v>New contract</v>
      </c>
      <c r="H3625" s="783" t="s">
        <v>5368</v>
      </c>
      <c r="I3625" s="783" t="s">
        <v>5369</v>
      </c>
      <c r="J3625" s="783">
        <v>20</v>
      </c>
      <c r="K3625" s="783" t="s">
        <v>310</v>
      </c>
      <c r="L3625" s="783" t="s">
        <v>4014</v>
      </c>
      <c r="M3625" s="784">
        <v>4770</v>
      </c>
      <c r="N3625" s="784">
        <v>10.6</v>
      </c>
      <c r="O3625" s="784">
        <v>2.5</v>
      </c>
      <c r="P3625" s="783">
        <v>180</v>
      </c>
      <c r="Q3625" s="783">
        <v>487.02</v>
      </c>
      <c r="R3625" s="783">
        <v>294.31</v>
      </c>
      <c r="S3625" s="783">
        <v>47.7</v>
      </c>
      <c r="T3625" s="783">
        <v>145.01</v>
      </c>
      <c r="U3625" s="785">
        <v>44631.626770833303</v>
      </c>
    </row>
    <row r="3626" spans="1:21">
      <c r="A3626" s="782">
        <v>44546</v>
      </c>
      <c r="B3626" s="783" t="s">
        <v>41</v>
      </c>
      <c r="C3626" s="783" t="s">
        <v>4071</v>
      </c>
      <c r="D3626" s="783" t="s">
        <v>4009</v>
      </c>
      <c r="E3626" s="783" t="s">
        <v>5406</v>
      </c>
      <c r="F3626" s="783" t="s">
        <v>4011</v>
      </c>
      <c r="G3626" s="783" t="str">
        <f t="shared" si="189"/>
        <v>New Contract</v>
      </c>
      <c r="H3626" s="783" t="s">
        <v>5407</v>
      </c>
      <c r="I3626" s="783" t="s">
        <v>5408</v>
      </c>
      <c r="J3626" s="783">
        <v>20</v>
      </c>
      <c r="K3626" s="783" t="s">
        <v>310</v>
      </c>
      <c r="L3626" s="783" t="s">
        <v>4014</v>
      </c>
      <c r="M3626" s="784">
        <v>5932.21</v>
      </c>
      <c r="N3626" s="784">
        <v>8.01</v>
      </c>
      <c r="O3626" s="784">
        <v>3.22</v>
      </c>
      <c r="P3626" s="783">
        <v>230</v>
      </c>
      <c r="Q3626" s="783">
        <v>387.97</v>
      </c>
      <c r="R3626" s="783">
        <v>235.51</v>
      </c>
      <c r="S3626" s="783">
        <v>38.56</v>
      </c>
      <c r="T3626" s="783">
        <v>113.9</v>
      </c>
      <c r="U3626" s="785">
        <v>44631.634375000001</v>
      </c>
    </row>
    <row r="3627" spans="1:21">
      <c r="A3627" s="782">
        <v>44666</v>
      </c>
      <c r="B3627" s="783" t="s">
        <v>41</v>
      </c>
      <c r="C3627" s="783" t="s">
        <v>4082</v>
      </c>
      <c r="D3627" s="783" t="s">
        <v>4009</v>
      </c>
      <c r="E3627" s="783" t="s">
        <v>5435</v>
      </c>
      <c r="F3627" s="783" t="s">
        <v>4011</v>
      </c>
      <c r="G3627" s="783" t="str">
        <f t="shared" si="189"/>
        <v>Renewal (20% in 2020)</v>
      </c>
      <c r="H3627" s="783" t="s">
        <v>5436</v>
      </c>
      <c r="I3627" s="783" t="s">
        <v>5437</v>
      </c>
      <c r="J3627" s="783">
        <v>25</v>
      </c>
      <c r="K3627" s="783" t="s">
        <v>310</v>
      </c>
      <c r="L3627" s="783" t="s">
        <v>4014</v>
      </c>
      <c r="M3627" s="784">
        <v>19824</v>
      </c>
      <c r="N3627" s="784">
        <v>15</v>
      </c>
      <c r="O3627" s="784">
        <v>4.13</v>
      </c>
      <c r="P3627" s="783">
        <v>320</v>
      </c>
      <c r="Q3627" s="783">
        <v>1474.91</v>
      </c>
      <c r="R3627" s="783">
        <v>979.94</v>
      </c>
      <c r="S3627" s="783">
        <v>364.13</v>
      </c>
      <c r="T3627" s="783">
        <v>130.84</v>
      </c>
      <c r="U3627" s="785">
        <v>44671.479236111103</v>
      </c>
    </row>
    <row r="3628" spans="1:21">
      <c r="A3628" s="782">
        <v>44678</v>
      </c>
      <c r="B3628" s="783" t="s">
        <v>41</v>
      </c>
      <c r="C3628" s="783" t="s">
        <v>4082</v>
      </c>
      <c r="D3628" s="783" t="s">
        <v>4009</v>
      </c>
      <c r="E3628" s="783" t="s">
        <v>261</v>
      </c>
      <c r="F3628" s="783" t="s">
        <v>4011</v>
      </c>
      <c r="G3628" s="783" t="str">
        <f t="shared" si="189"/>
        <v>New Contract</v>
      </c>
      <c r="H3628" s="783" t="s">
        <v>4140</v>
      </c>
      <c r="I3628" s="783" t="s">
        <v>4141</v>
      </c>
      <c r="J3628" s="783">
        <v>15</v>
      </c>
      <c r="K3628" s="783" t="s">
        <v>310</v>
      </c>
      <c r="L3628" s="783" t="s">
        <v>4014</v>
      </c>
      <c r="M3628" s="784">
        <v>5964</v>
      </c>
      <c r="N3628" s="784">
        <v>10.65</v>
      </c>
      <c r="O3628" s="784">
        <v>2.8</v>
      </c>
      <c r="P3628" s="783">
        <v>200</v>
      </c>
      <c r="Q3628" s="783">
        <v>775.32</v>
      </c>
      <c r="R3628" s="783">
        <v>339.35</v>
      </c>
      <c r="S3628" s="783">
        <v>65.010000000000005</v>
      </c>
      <c r="T3628" s="783">
        <v>370.96</v>
      </c>
      <c r="U3628" s="785">
        <v>44680.488356481503</v>
      </c>
    </row>
    <row r="3629" spans="1:21">
      <c r="A3629" s="782">
        <v>44681</v>
      </c>
      <c r="B3629" s="783" t="s">
        <v>34</v>
      </c>
      <c r="C3629" s="783" t="s">
        <v>4082</v>
      </c>
      <c r="D3629" s="783" t="s">
        <v>4009</v>
      </c>
      <c r="E3629" s="783" t="s">
        <v>4629</v>
      </c>
      <c r="F3629" s="783" t="s">
        <v>4011</v>
      </c>
      <c r="G3629" s="783" t="str">
        <f t="shared" si="189"/>
        <v>Renewal (20% in 2020)</v>
      </c>
      <c r="H3629" s="783" t="s">
        <v>4630</v>
      </c>
      <c r="I3629" s="783" t="s">
        <v>4631</v>
      </c>
      <c r="J3629" s="783">
        <v>20</v>
      </c>
      <c r="K3629" s="783" t="s">
        <v>310</v>
      </c>
      <c r="L3629" s="783" t="s">
        <v>4014</v>
      </c>
      <c r="M3629" s="784">
        <v>1595.88</v>
      </c>
      <c r="N3629" s="784">
        <v>2.34</v>
      </c>
      <c r="O3629" s="784">
        <v>3.41</v>
      </c>
      <c r="P3629" s="783">
        <v>200</v>
      </c>
      <c r="Q3629" s="783">
        <v>154.47999999999999</v>
      </c>
      <c r="R3629" s="783">
        <v>90.81</v>
      </c>
      <c r="S3629" s="783">
        <v>17.399999999999999</v>
      </c>
      <c r="T3629" s="783">
        <v>46.28</v>
      </c>
      <c r="U3629" s="785">
        <v>44683.416793981502</v>
      </c>
    </row>
    <row r="3630" spans="1:21">
      <c r="A3630" s="782">
        <v>44680</v>
      </c>
      <c r="B3630" s="783" t="s">
        <v>41</v>
      </c>
      <c r="C3630" s="783" t="s">
        <v>4082</v>
      </c>
      <c r="D3630" s="783" t="s">
        <v>4009</v>
      </c>
      <c r="E3630" s="783" t="s">
        <v>5455</v>
      </c>
      <c r="F3630" s="783" t="s">
        <v>4011</v>
      </c>
      <c r="G3630" s="783" t="str">
        <f t="shared" si="189"/>
        <v>Renewal (25% in 2020)</v>
      </c>
      <c r="H3630" s="783" t="s">
        <v>5456</v>
      </c>
      <c r="I3630" s="783" t="s">
        <v>5457</v>
      </c>
      <c r="J3630" s="783">
        <v>25</v>
      </c>
      <c r="K3630" s="783" t="s">
        <v>310</v>
      </c>
      <c r="L3630" s="783" t="s">
        <v>4014</v>
      </c>
      <c r="M3630" s="784">
        <v>8603.2000000000007</v>
      </c>
      <c r="N3630" s="784">
        <v>11.32</v>
      </c>
      <c r="O3630" s="784">
        <v>4</v>
      </c>
      <c r="P3630" s="783">
        <v>190</v>
      </c>
      <c r="Q3630" s="783">
        <v>640.08000000000004</v>
      </c>
      <c r="R3630" s="783">
        <v>489.52</v>
      </c>
      <c r="S3630" s="783">
        <v>93.77</v>
      </c>
      <c r="T3630" s="783">
        <v>56.78</v>
      </c>
      <c r="U3630" s="785">
        <v>44683.476840277799</v>
      </c>
    </row>
    <row r="3631" spans="1:21">
      <c r="A3631" s="782">
        <v>44686</v>
      </c>
      <c r="B3631" s="783" t="s">
        <v>41</v>
      </c>
      <c r="C3631" s="783" t="s">
        <v>4139</v>
      </c>
      <c r="D3631" s="783" t="s">
        <v>4009</v>
      </c>
      <c r="E3631" s="783" t="s">
        <v>5461</v>
      </c>
      <c r="F3631" s="783" t="s">
        <v>4011</v>
      </c>
      <c r="G3631" s="783" t="str">
        <f t="shared" si="189"/>
        <v>Renewal (20% in 2020)</v>
      </c>
      <c r="H3631" s="783" t="s">
        <v>5462</v>
      </c>
      <c r="I3631" s="783" t="s">
        <v>5463</v>
      </c>
      <c r="J3631" s="783">
        <v>20</v>
      </c>
      <c r="K3631" s="783" t="s">
        <v>310</v>
      </c>
      <c r="L3631" s="783" t="s">
        <v>4014</v>
      </c>
      <c r="M3631" s="784">
        <v>10867.86</v>
      </c>
      <c r="N3631" s="784">
        <v>12.74</v>
      </c>
      <c r="O3631" s="784">
        <v>3.63</v>
      </c>
      <c r="P3631" s="783">
        <v>235</v>
      </c>
      <c r="Q3631" s="783">
        <v>804.22</v>
      </c>
      <c r="R3631" s="783">
        <v>485.79</v>
      </c>
      <c r="S3631" s="783">
        <v>78.25</v>
      </c>
      <c r="T3631" s="783">
        <v>240.18</v>
      </c>
      <c r="U3631" s="785">
        <v>44687.632581018501</v>
      </c>
    </row>
    <row r="3632" spans="1:21">
      <c r="A3632" s="782">
        <v>44681</v>
      </c>
      <c r="B3632" s="783" t="s">
        <v>51</v>
      </c>
      <c r="C3632" s="783" t="s">
        <v>4042</v>
      </c>
      <c r="D3632" s="783" t="s">
        <v>4016</v>
      </c>
      <c r="E3632" s="783" t="s">
        <v>5486</v>
      </c>
      <c r="F3632" s="783" t="s">
        <v>4011</v>
      </c>
      <c r="G3632" s="783" t="str">
        <f t="shared" si="189"/>
        <v>Renewal (30% in 2020)</v>
      </c>
      <c r="H3632" s="783" t="s">
        <v>5487</v>
      </c>
      <c r="I3632" s="783" t="s">
        <v>5488</v>
      </c>
      <c r="J3632" s="783">
        <v>30</v>
      </c>
      <c r="K3632" s="783" t="s">
        <v>310</v>
      </c>
      <c r="L3632" s="783" t="s">
        <v>4014</v>
      </c>
      <c r="M3632" s="784">
        <v>7183.52</v>
      </c>
      <c r="N3632" s="784">
        <v>8</v>
      </c>
      <c r="O3632" s="784">
        <v>3.23</v>
      </c>
      <c r="P3632" s="783">
        <v>278</v>
      </c>
      <c r="Q3632" s="783">
        <v>474.11</v>
      </c>
      <c r="R3632" s="783">
        <v>404.43</v>
      </c>
      <c r="S3632" s="783">
        <v>0</v>
      </c>
      <c r="T3632" s="783">
        <v>69.680000000000007</v>
      </c>
      <c r="U3632" s="785">
        <v>44683.458310185197</v>
      </c>
    </row>
    <row r="3633" spans="1:21">
      <c r="A3633" s="782">
        <v>44708</v>
      </c>
      <c r="B3633" s="783" t="s">
        <v>41</v>
      </c>
      <c r="C3633" s="783" t="s">
        <v>4082</v>
      </c>
      <c r="D3633" s="783" t="s">
        <v>4009</v>
      </c>
      <c r="E3633" s="783" t="s">
        <v>4632</v>
      </c>
      <c r="F3633" s="783" t="s">
        <v>4011</v>
      </c>
      <c r="G3633" s="783" t="str">
        <f t="shared" si="189"/>
        <v>Renewal (15% in 2020)</v>
      </c>
      <c r="H3633" s="783" t="s">
        <v>4633</v>
      </c>
      <c r="I3633" s="783" t="s">
        <v>4634</v>
      </c>
      <c r="J3633" s="783">
        <v>15</v>
      </c>
      <c r="K3633" s="783" t="s">
        <v>310</v>
      </c>
      <c r="L3633" s="783" t="s">
        <v>4014</v>
      </c>
      <c r="M3633" s="784">
        <v>12719.06</v>
      </c>
      <c r="N3633" s="784">
        <v>13.3</v>
      </c>
      <c r="O3633" s="784">
        <v>3.44</v>
      </c>
      <c r="P3633" s="783">
        <v>278</v>
      </c>
      <c r="Q3633" s="783">
        <v>1653.48</v>
      </c>
      <c r="R3633" s="783">
        <v>723.71</v>
      </c>
      <c r="S3633" s="783">
        <v>138.63999999999999</v>
      </c>
      <c r="T3633" s="783">
        <v>791.13</v>
      </c>
      <c r="U3633" s="785">
        <v>44711.537094907399</v>
      </c>
    </row>
    <row r="3634" spans="1:21">
      <c r="A3634" s="782">
        <v>44684</v>
      </c>
      <c r="B3634" s="783" t="s">
        <v>4025</v>
      </c>
      <c r="C3634" s="783" t="s">
        <v>4052</v>
      </c>
      <c r="D3634" s="783" t="s">
        <v>4021</v>
      </c>
      <c r="E3634" s="783" t="s">
        <v>4053</v>
      </c>
      <c r="F3634" s="783" t="s">
        <v>4011</v>
      </c>
      <c r="G3634" s="783" t="str">
        <f t="shared" si="189"/>
        <v>New contract</v>
      </c>
      <c r="H3634" s="783" t="s">
        <v>4054</v>
      </c>
      <c r="I3634" s="783" t="s">
        <v>4055</v>
      </c>
      <c r="J3634" s="783">
        <v>25</v>
      </c>
      <c r="K3634" s="783" t="s">
        <v>310</v>
      </c>
      <c r="L3634" s="783" t="s">
        <v>4014</v>
      </c>
      <c r="M3634" s="784">
        <v>19226.48</v>
      </c>
      <c r="N3634" s="784">
        <v>28</v>
      </c>
      <c r="O3634" s="784">
        <v>2.4700000000000002</v>
      </c>
      <c r="P3634" s="783">
        <v>278</v>
      </c>
      <c r="Q3634" s="783">
        <v>847.89</v>
      </c>
      <c r="R3634" s="783">
        <v>655.62</v>
      </c>
      <c r="S3634" s="783">
        <v>107.67</v>
      </c>
      <c r="T3634" s="783">
        <v>84.6</v>
      </c>
      <c r="U3634" s="785">
        <v>44685.4058912037</v>
      </c>
    </row>
    <row r="3635" spans="1:21">
      <c r="A3635" s="782">
        <v>44680</v>
      </c>
      <c r="B3635" s="783" t="s">
        <v>41</v>
      </c>
      <c r="C3635" s="783" t="s">
        <v>4139</v>
      </c>
      <c r="D3635" s="783" t="s">
        <v>4009</v>
      </c>
      <c r="E3635" s="783" t="s">
        <v>4144</v>
      </c>
      <c r="F3635" s="783" t="s">
        <v>4011</v>
      </c>
      <c r="G3635" s="783" t="str">
        <f t="shared" si="189"/>
        <v>Renewal (15% in 2020)</v>
      </c>
      <c r="H3635" s="783" t="s">
        <v>4145</v>
      </c>
      <c r="I3635" s="783" t="s">
        <v>4146</v>
      </c>
      <c r="J3635" s="783">
        <v>15</v>
      </c>
      <c r="K3635" s="783" t="s">
        <v>310</v>
      </c>
      <c r="L3635" s="783" t="s">
        <v>4014</v>
      </c>
      <c r="M3635" s="784">
        <v>10303.200000000001</v>
      </c>
      <c r="N3635" s="784">
        <v>14.31</v>
      </c>
      <c r="O3635" s="784">
        <v>4</v>
      </c>
      <c r="P3635" s="783">
        <v>180</v>
      </c>
      <c r="Q3635" s="783">
        <v>1023.11</v>
      </c>
      <c r="R3635" s="783">
        <v>460.55</v>
      </c>
      <c r="S3635" s="783">
        <v>74.180000000000007</v>
      </c>
      <c r="T3635" s="783">
        <v>488.37</v>
      </c>
      <c r="U3635" s="785">
        <v>44680.748159722199</v>
      </c>
    </row>
    <row r="3636" spans="1:21">
      <c r="A3636" s="782">
        <v>44705</v>
      </c>
      <c r="B3636" s="783" t="s">
        <v>118</v>
      </c>
      <c r="C3636" s="783" t="s">
        <v>4139</v>
      </c>
      <c r="D3636" s="783" t="s">
        <v>4009</v>
      </c>
      <c r="E3636" s="783" t="s">
        <v>5586</v>
      </c>
      <c r="F3636" s="783" t="s">
        <v>4011</v>
      </c>
      <c r="G3636" s="783" t="str">
        <f t="shared" si="189"/>
        <v>Renewal (15% in 2020)</v>
      </c>
      <c r="H3636" s="783" t="s">
        <v>5587</v>
      </c>
      <c r="I3636" s="783" t="s">
        <v>5588</v>
      </c>
      <c r="J3636" s="783">
        <v>15</v>
      </c>
      <c r="K3636" s="783" t="s">
        <v>310</v>
      </c>
      <c r="L3636" s="783" t="s">
        <v>4014</v>
      </c>
      <c r="M3636" s="784">
        <v>2948.04</v>
      </c>
      <c r="N3636" s="784">
        <v>4.3099999999999996</v>
      </c>
      <c r="O3636" s="784">
        <v>3.6</v>
      </c>
      <c r="P3636" s="783">
        <v>190</v>
      </c>
      <c r="Q3636" s="783">
        <v>292.74</v>
      </c>
      <c r="R3636" s="783">
        <v>131.78</v>
      </c>
      <c r="S3636" s="783">
        <v>21.23</v>
      </c>
      <c r="T3636" s="783">
        <v>139.74</v>
      </c>
      <c r="U3636" s="785">
        <v>44706.462708333303</v>
      </c>
    </row>
    <row r="3637" spans="1:21">
      <c r="A3637" s="782">
        <v>44701</v>
      </c>
      <c r="B3637" s="783" t="s">
        <v>51</v>
      </c>
      <c r="C3637" s="783" t="s">
        <v>4042</v>
      </c>
      <c r="D3637" s="783" t="s">
        <v>4016</v>
      </c>
      <c r="E3637" s="783" t="s">
        <v>5603</v>
      </c>
      <c r="F3637" s="783" t="s">
        <v>4011</v>
      </c>
      <c r="G3637" s="783" t="str">
        <f t="shared" si="189"/>
        <v>Renewal (15% in 2020)</v>
      </c>
      <c r="H3637" s="783" t="s">
        <v>5604</v>
      </c>
      <c r="I3637" s="783" t="s">
        <v>5605</v>
      </c>
      <c r="J3637" s="783">
        <v>15</v>
      </c>
      <c r="K3637" s="783" t="s">
        <v>310</v>
      </c>
      <c r="L3637" s="783" t="s">
        <v>4014</v>
      </c>
      <c r="M3637" s="784">
        <v>5163.16</v>
      </c>
      <c r="N3637" s="784">
        <v>5.75</v>
      </c>
      <c r="O3637" s="784">
        <v>3.23</v>
      </c>
      <c r="P3637" s="783">
        <v>278</v>
      </c>
      <c r="Q3637" s="783">
        <v>665.53</v>
      </c>
      <c r="R3637" s="783">
        <v>290.69</v>
      </c>
      <c r="S3637" s="783">
        <v>47.5</v>
      </c>
      <c r="T3637" s="783">
        <v>327.33999999999997</v>
      </c>
      <c r="U3637" s="785">
        <v>44704.418981481504</v>
      </c>
    </row>
    <row r="3638" spans="1:21">
      <c r="A3638" s="782">
        <v>44705</v>
      </c>
      <c r="B3638" s="783" t="s">
        <v>41</v>
      </c>
      <c r="C3638" s="783" t="s">
        <v>4082</v>
      </c>
      <c r="D3638" s="783" t="s">
        <v>4009</v>
      </c>
      <c r="E3638" s="783" t="s">
        <v>1024</v>
      </c>
      <c r="F3638" s="783" t="s">
        <v>4011</v>
      </c>
      <c r="G3638" s="783" t="str">
        <f t="shared" si="189"/>
        <v>Renewal (20% in 2020)</v>
      </c>
      <c r="H3638" s="783" t="s">
        <v>4150</v>
      </c>
      <c r="I3638" s="783" t="s">
        <v>4151</v>
      </c>
      <c r="J3638" s="783">
        <v>20</v>
      </c>
      <c r="K3638" s="783" t="s">
        <v>310</v>
      </c>
      <c r="L3638" s="783" t="s">
        <v>4014</v>
      </c>
      <c r="M3638" s="784">
        <v>4302.6000000000004</v>
      </c>
      <c r="N3638" s="784">
        <v>7.1</v>
      </c>
      <c r="O3638" s="784">
        <v>3.03</v>
      </c>
      <c r="P3638" s="783">
        <v>200</v>
      </c>
      <c r="Q3638" s="783">
        <v>416.49</v>
      </c>
      <c r="R3638" s="783">
        <v>244.82</v>
      </c>
      <c r="S3638" s="783">
        <v>46.9</v>
      </c>
      <c r="T3638" s="783">
        <v>124.78</v>
      </c>
      <c r="U3638" s="785">
        <v>44705.577141203699</v>
      </c>
    </row>
    <row r="3639" spans="1:21">
      <c r="A3639" s="782">
        <v>44711</v>
      </c>
      <c r="B3639" s="783" t="s">
        <v>41</v>
      </c>
      <c r="C3639" s="783" t="s">
        <v>4139</v>
      </c>
      <c r="D3639" s="783" t="s">
        <v>4009</v>
      </c>
      <c r="E3639" s="783" t="s">
        <v>549</v>
      </c>
      <c r="F3639" s="783" t="s">
        <v>4011</v>
      </c>
      <c r="G3639" s="783" t="str">
        <f t="shared" si="189"/>
        <v>Renewal (25% in 2020)</v>
      </c>
      <c r="H3639" s="783" t="s">
        <v>5626</v>
      </c>
      <c r="I3639" s="783" t="s">
        <v>5627</v>
      </c>
      <c r="J3639" s="783">
        <v>25</v>
      </c>
      <c r="K3639" s="783" t="s">
        <v>310</v>
      </c>
      <c r="L3639" s="783" t="s">
        <v>4014</v>
      </c>
      <c r="M3639" s="784">
        <v>7577.37</v>
      </c>
      <c r="N3639" s="784">
        <v>14.27</v>
      </c>
      <c r="O3639" s="784">
        <v>2.95</v>
      </c>
      <c r="P3639" s="783">
        <v>180</v>
      </c>
      <c r="Q3639" s="783">
        <v>430.39</v>
      </c>
      <c r="R3639" s="783">
        <v>338.71</v>
      </c>
      <c r="S3639" s="783">
        <v>54.56</v>
      </c>
      <c r="T3639" s="783">
        <v>37.130000000000003</v>
      </c>
      <c r="U3639" s="785">
        <v>44712.724351851903</v>
      </c>
    </row>
    <row r="3640" spans="1:21">
      <c r="A3640" s="782">
        <v>44715</v>
      </c>
      <c r="B3640" s="783" t="s">
        <v>228</v>
      </c>
      <c r="C3640" s="783" t="s">
        <v>4192</v>
      </c>
      <c r="D3640" s="783" t="s">
        <v>4193</v>
      </c>
      <c r="E3640" s="783" t="s">
        <v>3835</v>
      </c>
      <c r="F3640" s="783" t="s">
        <v>4011</v>
      </c>
      <c r="G3640" s="783" t="str">
        <f t="shared" si="189"/>
        <v>Renewal (25% in 2020)</v>
      </c>
      <c r="H3640" s="783" t="s">
        <v>5634</v>
      </c>
      <c r="I3640" s="783" t="s">
        <v>5635</v>
      </c>
      <c r="J3640" s="783">
        <v>25</v>
      </c>
      <c r="K3640" s="783" t="s">
        <v>310</v>
      </c>
      <c r="L3640" s="783" t="s">
        <v>4014</v>
      </c>
      <c r="M3640" s="784">
        <v>3563.6</v>
      </c>
      <c r="N3640" s="784">
        <v>5.9</v>
      </c>
      <c r="O3640" s="784">
        <v>3.02</v>
      </c>
      <c r="P3640" s="783">
        <v>200</v>
      </c>
      <c r="Q3640" s="783">
        <v>193.86</v>
      </c>
      <c r="R3640" s="783">
        <v>148.6</v>
      </c>
      <c r="S3640" s="783">
        <v>24.23</v>
      </c>
      <c r="T3640" s="783">
        <v>21.03</v>
      </c>
      <c r="U3640" s="785">
        <v>44715.461851851898</v>
      </c>
    </row>
    <row r="3641" spans="1:21">
      <c r="A3641" s="782">
        <v>44713</v>
      </c>
      <c r="B3641" s="783" t="s">
        <v>51</v>
      </c>
      <c r="C3641" s="783" t="s">
        <v>4042</v>
      </c>
      <c r="D3641" s="783" t="s">
        <v>4016</v>
      </c>
      <c r="E3641" s="783" t="s">
        <v>1417</v>
      </c>
      <c r="F3641" s="783" t="s">
        <v>4011</v>
      </c>
      <c r="G3641" s="783" t="str">
        <f t="shared" si="189"/>
        <v>Renewal (20% in 2020)</v>
      </c>
      <c r="H3641" s="783" t="s">
        <v>5648</v>
      </c>
      <c r="I3641" s="783" t="s">
        <v>5649</v>
      </c>
      <c r="J3641" s="783">
        <v>20</v>
      </c>
      <c r="K3641" s="783" t="s">
        <v>310</v>
      </c>
      <c r="L3641" s="783" t="s">
        <v>4014</v>
      </c>
      <c r="M3641" s="784">
        <v>3053.7</v>
      </c>
      <c r="N3641" s="784">
        <v>5.85</v>
      </c>
      <c r="O3641" s="784">
        <v>2.9</v>
      </c>
      <c r="P3641" s="783">
        <v>180</v>
      </c>
      <c r="Q3641" s="783">
        <v>295.29000000000002</v>
      </c>
      <c r="R3641" s="783">
        <v>171.92</v>
      </c>
      <c r="S3641" s="783">
        <v>28.09</v>
      </c>
      <c r="T3641" s="783">
        <v>95.28</v>
      </c>
      <c r="U3641" s="785">
        <v>44713.507650462998</v>
      </c>
    </row>
    <row r="3642" spans="1:21">
      <c r="A3642" s="782">
        <v>44715</v>
      </c>
      <c r="B3642" s="783" t="s">
        <v>882</v>
      </c>
      <c r="C3642" s="783" t="s">
        <v>5656</v>
      </c>
      <c r="D3642" s="783" t="s">
        <v>4248</v>
      </c>
      <c r="E3642" s="783" t="s">
        <v>5657</v>
      </c>
      <c r="F3642" s="783" t="s">
        <v>4011</v>
      </c>
      <c r="G3642" s="783" t="str">
        <f t="shared" si="189"/>
        <v>New Contract</v>
      </c>
      <c r="H3642" s="783" t="s">
        <v>5658</v>
      </c>
      <c r="I3642" s="783" t="s">
        <v>5659</v>
      </c>
      <c r="J3642" s="783">
        <v>25</v>
      </c>
      <c r="K3642" s="783" t="s">
        <v>310</v>
      </c>
      <c r="L3642" s="783" t="s">
        <v>4014</v>
      </c>
      <c r="M3642" s="784">
        <v>13572.74</v>
      </c>
      <c r="N3642" s="784">
        <v>10.66</v>
      </c>
      <c r="O3642" s="784">
        <v>4.58</v>
      </c>
      <c r="P3642" s="783">
        <v>278</v>
      </c>
      <c r="Q3642" s="783">
        <v>898.52</v>
      </c>
      <c r="R3642" s="783">
        <v>693.57</v>
      </c>
      <c r="S3642" s="783">
        <v>112.65</v>
      </c>
      <c r="T3642" s="783">
        <v>92.29</v>
      </c>
      <c r="U3642" s="785">
        <v>44715.469027777799</v>
      </c>
    </row>
    <row r="3643" spans="1:21">
      <c r="A3643" s="782">
        <v>44712</v>
      </c>
      <c r="B3643" s="783" t="s">
        <v>47</v>
      </c>
      <c r="C3643" s="783" t="s">
        <v>4244</v>
      </c>
      <c r="D3643" s="783" t="s">
        <v>4102</v>
      </c>
      <c r="E3643" s="783" t="s">
        <v>5673</v>
      </c>
      <c r="F3643" s="783" t="s">
        <v>4011</v>
      </c>
      <c r="G3643" s="783" t="str">
        <f t="shared" si="189"/>
        <v>Renewal (15% in 2020)</v>
      </c>
      <c r="H3643" s="783" t="s">
        <v>5674</v>
      </c>
      <c r="I3643" s="783" t="s">
        <v>5675</v>
      </c>
      <c r="J3643" s="783">
        <v>15</v>
      </c>
      <c r="K3643" s="783" t="s">
        <v>310</v>
      </c>
      <c r="L3643" s="783" t="s">
        <v>4014</v>
      </c>
      <c r="M3643" s="784">
        <v>11096.25</v>
      </c>
      <c r="N3643" s="784">
        <v>13.45</v>
      </c>
      <c r="O3643" s="784">
        <v>3.3</v>
      </c>
      <c r="P3643" s="783">
        <v>250</v>
      </c>
      <c r="Q3643" s="783">
        <v>871.06</v>
      </c>
      <c r="R3643" s="783">
        <v>387.26</v>
      </c>
      <c r="S3643" s="783">
        <v>63.25</v>
      </c>
      <c r="T3643" s="783">
        <v>420.55</v>
      </c>
      <c r="U3643" s="785">
        <v>44714.674097222203</v>
      </c>
    </row>
    <row r="3644" spans="1:21">
      <c r="A3644" s="782">
        <v>44698</v>
      </c>
      <c r="B3644" s="783" t="s">
        <v>4025</v>
      </c>
      <c r="C3644" s="783" t="s">
        <v>4026</v>
      </c>
      <c r="D3644" s="783" t="s">
        <v>4021</v>
      </c>
      <c r="E3644" s="783" t="s">
        <v>5695</v>
      </c>
      <c r="F3644" s="783" t="s">
        <v>4011</v>
      </c>
      <c r="G3644" s="783" t="str">
        <f t="shared" si="189"/>
        <v>New contract</v>
      </c>
      <c r="H3644" s="783" t="s">
        <v>5696</v>
      </c>
      <c r="I3644" s="783" t="s">
        <v>5697</v>
      </c>
      <c r="J3644" s="783">
        <v>20</v>
      </c>
      <c r="K3644" s="783" t="s">
        <v>310</v>
      </c>
      <c r="L3644" s="783" t="s">
        <v>4014</v>
      </c>
      <c r="M3644" s="784">
        <v>8068.68</v>
      </c>
      <c r="N3644" s="784">
        <v>11.16</v>
      </c>
      <c r="O3644" s="784">
        <v>2.41</v>
      </c>
      <c r="P3644" s="783">
        <v>300</v>
      </c>
      <c r="Q3644" s="783">
        <v>669.7</v>
      </c>
      <c r="R3644" s="783">
        <v>351.42</v>
      </c>
      <c r="S3644" s="783">
        <v>89.13</v>
      </c>
      <c r="T3644" s="783">
        <v>229.15</v>
      </c>
      <c r="U3644" s="785">
        <v>44712.625069444402</v>
      </c>
    </row>
    <row r="3645" spans="1:21">
      <c r="A3645" s="782">
        <v>44713</v>
      </c>
      <c r="B3645" s="783" t="s">
        <v>34</v>
      </c>
      <c r="C3645" s="783" t="s">
        <v>4082</v>
      </c>
      <c r="D3645" s="783" t="s">
        <v>4009</v>
      </c>
      <c r="E3645" s="783" t="s">
        <v>4656</v>
      </c>
      <c r="F3645" s="783" t="s">
        <v>4011</v>
      </c>
      <c r="G3645" s="783" t="str">
        <f t="shared" si="189"/>
        <v>Renewal (30% in 2020)</v>
      </c>
      <c r="H3645" s="783" t="s">
        <v>4657</v>
      </c>
      <c r="I3645" s="783" t="s">
        <v>4658</v>
      </c>
      <c r="J3645" s="783">
        <v>30</v>
      </c>
      <c r="K3645" s="783" t="s">
        <v>310</v>
      </c>
      <c r="L3645" s="783" t="s">
        <v>4014</v>
      </c>
      <c r="M3645" s="784">
        <v>8603.1</v>
      </c>
      <c r="N3645" s="784">
        <v>11.85</v>
      </c>
      <c r="O3645" s="784">
        <v>3.63</v>
      </c>
      <c r="P3645" s="783">
        <v>200</v>
      </c>
      <c r="Q3645" s="783">
        <v>546.29999999999995</v>
      </c>
      <c r="R3645" s="783">
        <v>489.52</v>
      </c>
      <c r="S3645" s="783">
        <v>0</v>
      </c>
      <c r="T3645" s="783">
        <v>56.78</v>
      </c>
      <c r="U3645" s="785">
        <v>44715.432245370401</v>
      </c>
    </row>
    <row r="3646" spans="1:21">
      <c r="A3646" s="782">
        <v>44715</v>
      </c>
      <c r="B3646" s="783" t="s">
        <v>41</v>
      </c>
      <c r="C3646" s="783" t="s">
        <v>4082</v>
      </c>
      <c r="D3646" s="783" t="s">
        <v>4009</v>
      </c>
      <c r="E3646" s="783" t="s">
        <v>5718</v>
      </c>
      <c r="F3646" s="783" t="s">
        <v>4011</v>
      </c>
      <c r="G3646" s="783" t="s">
        <v>4028</v>
      </c>
      <c r="H3646" s="783" t="s">
        <v>5719</v>
      </c>
      <c r="I3646" s="783" t="s">
        <v>5720</v>
      </c>
      <c r="J3646" s="783">
        <v>20</v>
      </c>
      <c r="K3646" s="783" t="s">
        <v>310</v>
      </c>
      <c r="L3646" s="783" t="s">
        <v>4014</v>
      </c>
      <c r="M3646" s="784">
        <v>9402.4599999999991</v>
      </c>
      <c r="N3646" s="784">
        <v>12.86</v>
      </c>
      <c r="O3646" s="784">
        <v>2.63</v>
      </c>
      <c r="P3646" s="783">
        <v>278</v>
      </c>
      <c r="Q3646" s="783">
        <v>910.16</v>
      </c>
      <c r="R3646" s="783">
        <v>535</v>
      </c>
      <c r="S3646" s="783">
        <v>102.49</v>
      </c>
      <c r="T3646" s="783">
        <v>272.67</v>
      </c>
      <c r="U3646" s="785">
        <v>44715.469942129603</v>
      </c>
    </row>
    <row r="3647" spans="1:21">
      <c r="A3647" s="782">
        <v>44701</v>
      </c>
      <c r="B3647" s="783" t="s">
        <v>4025</v>
      </c>
      <c r="C3647" s="783" t="s">
        <v>4026</v>
      </c>
      <c r="D3647" s="783" t="s">
        <v>4021</v>
      </c>
      <c r="E3647" s="783" t="s">
        <v>5741</v>
      </c>
      <c r="F3647" s="783" t="s">
        <v>4011</v>
      </c>
      <c r="G3647" s="783" t="str">
        <f t="shared" ref="G3647:G3654" si="190">VLOOKUP(I3647,pacage,2,FALSE)</f>
        <v>New Contract</v>
      </c>
      <c r="H3647" s="783" t="s">
        <v>5742</v>
      </c>
      <c r="I3647" s="783" t="s">
        <v>5743</v>
      </c>
      <c r="J3647" s="783">
        <v>25</v>
      </c>
      <c r="K3647" s="783" t="s">
        <v>310</v>
      </c>
      <c r="L3647" s="783" t="s">
        <v>4014</v>
      </c>
      <c r="M3647" s="784">
        <v>9087.6200000000008</v>
      </c>
      <c r="N3647" s="784">
        <v>13.14</v>
      </c>
      <c r="O3647" s="784">
        <v>2.66</v>
      </c>
      <c r="P3647" s="783">
        <v>260</v>
      </c>
      <c r="Q3647" s="783">
        <v>589.79</v>
      </c>
      <c r="R3647" s="783">
        <v>427.12</v>
      </c>
      <c r="S3647" s="783">
        <v>69.069999999999993</v>
      </c>
      <c r="T3647" s="783">
        <v>93.6</v>
      </c>
      <c r="U3647" s="785">
        <v>44701.496296296304</v>
      </c>
    </row>
    <row r="3648" spans="1:21">
      <c r="A3648" s="782">
        <v>44699</v>
      </c>
      <c r="B3648" s="783" t="s">
        <v>4025</v>
      </c>
      <c r="C3648" s="783" t="s">
        <v>4026</v>
      </c>
      <c r="D3648" s="783" t="s">
        <v>4021</v>
      </c>
      <c r="E3648" s="783" t="s">
        <v>5750</v>
      </c>
      <c r="F3648" s="783" t="s">
        <v>4011</v>
      </c>
      <c r="G3648" s="783" t="str">
        <f t="shared" si="190"/>
        <v>New contract</v>
      </c>
      <c r="H3648" s="783" t="s">
        <v>5751</v>
      </c>
      <c r="I3648" s="783" t="s">
        <v>5752</v>
      </c>
      <c r="J3648" s="783">
        <v>25</v>
      </c>
      <c r="K3648" s="783" t="s">
        <v>310</v>
      </c>
      <c r="L3648" s="783" t="s">
        <v>4014</v>
      </c>
      <c r="M3648" s="784">
        <v>11057.31</v>
      </c>
      <c r="N3648" s="784">
        <v>12.41</v>
      </c>
      <c r="O3648" s="784">
        <v>2.97</v>
      </c>
      <c r="P3648" s="783">
        <v>300</v>
      </c>
      <c r="Q3648" s="783">
        <v>717.62</v>
      </c>
      <c r="R3648" s="783">
        <v>481.58</v>
      </c>
      <c r="S3648" s="783">
        <v>122.15</v>
      </c>
      <c r="T3648" s="783">
        <v>113.89</v>
      </c>
      <c r="U3648" s="785">
        <v>44700.539583333302</v>
      </c>
    </row>
    <row r="3649" spans="1:21">
      <c r="A3649" s="782">
        <v>44693</v>
      </c>
      <c r="B3649" s="783" t="s">
        <v>41</v>
      </c>
      <c r="C3649" s="783" t="s">
        <v>4092</v>
      </c>
      <c r="D3649" s="783" t="s">
        <v>4009</v>
      </c>
      <c r="E3649" s="783" t="s">
        <v>5759</v>
      </c>
      <c r="F3649" s="783" t="s">
        <v>4011</v>
      </c>
      <c r="G3649" s="783" t="str">
        <f t="shared" si="190"/>
        <v>Renewal (30% in 2020)</v>
      </c>
      <c r="H3649" s="783" t="s">
        <v>5760</v>
      </c>
      <c r="I3649" s="783" t="s">
        <v>5761</v>
      </c>
      <c r="J3649" s="783">
        <v>30</v>
      </c>
      <c r="K3649" s="783" t="s">
        <v>310</v>
      </c>
      <c r="L3649" s="783" t="s">
        <v>4014</v>
      </c>
      <c r="M3649" s="784">
        <v>7835.76</v>
      </c>
      <c r="N3649" s="784">
        <v>12.14</v>
      </c>
      <c r="O3649" s="784">
        <v>3.31</v>
      </c>
      <c r="P3649" s="783">
        <v>195</v>
      </c>
      <c r="Q3649" s="783">
        <v>443.5</v>
      </c>
      <c r="R3649" s="783">
        <v>396.49</v>
      </c>
      <c r="S3649" s="783">
        <v>0</v>
      </c>
      <c r="T3649" s="783">
        <v>47.01</v>
      </c>
      <c r="U3649" s="785">
        <v>44694.415046296301</v>
      </c>
    </row>
    <row r="3650" spans="1:21">
      <c r="A3650" s="782">
        <v>44694</v>
      </c>
      <c r="B3650" s="783" t="s">
        <v>41</v>
      </c>
      <c r="C3650" s="783" t="s">
        <v>4139</v>
      </c>
      <c r="D3650" s="783" t="s">
        <v>4009</v>
      </c>
      <c r="E3650" s="783" t="s">
        <v>6587</v>
      </c>
      <c r="F3650" s="783" t="s">
        <v>4011</v>
      </c>
      <c r="G3650" s="783" t="str">
        <f t="shared" si="190"/>
        <v>New Contract</v>
      </c>
      <c r="H3650" s="783" t="s">
        <v>6588</v>
      </c>
      <c r="I3650" s="783" t="s">
        <v>6589</v>
      </c>
      <c r="J3650" s="783">
        <v>15</v>
      </c>
      <c r="K3650" s="783" t="s">
        <v>310</v>
      </c>
      <c r="L3650" s="783" t="s">
        <v>4014</v>
      </c>
      <c r="M3650" s="784">
        <v>8851.41</v>
      </c>
      <c r="N3650" s="784">
        <v>10.14</v>
      </c>
      <c r="O3650" s="784">
        <v>3.14</v>
      </c>
      <c r="P3650" s="783">
        <v>278</v>
      </c>
      <c r="Q3650" s="783">
        <v>878.94</v>
      </c>
      <c r="R3650" s="783">
        <v>395.66</v>
      </c>
      <c r="S3650" s="783">
        <v>63.73</v>
      </c>
      <c r="T3650" s="783">
        <v>419.56</v>
      </c>
      <c r="U3650" s="785">
        <v>44694.5305324074</v>
      </c>
    </row>
    <row r="3651" spans="1:21">
      <c r="A3651" s="782">
        <v>44694</v>
      </c>
      <c r="B3651" s="783" t="s">
        <v>41</v>
      </c>
      <c r="C3651" s="783" t="s">
        <v>4139</v>
      </c>
      <c r="D3651" s="783" t="s">
        <v>4009</v>
      </c>
      <c r="E3651" s="783" t="s">
        <v>5762</v>
      </c>
      <c r="F3651" s="783" t="s">
        <v>4011</v>
      </c>
      <c r="G3651" s="783" t="str">
        <f t="shared" si="190"/>
        <v>Renewal (25% in 2020)</v>
      </c>
      <c r="H3651" s="783" t="s">
        <v>5763</v>
      </c>
      <c r="I3651" s="783" t="s">
        <v>5764</v>
      </c>
      <c r="J3651" s="783">
        <v>25</v>
      </c>
      <c r="K3651" s="783" t="s">
        <v>310</v>
      </c>
      <c r="L3651" s="783" t="s">
        <v>4014</v>
      </c>
      <c r="M3651" s="784">
        <v>9319.68</v>
      </c>
      <c r="N3651" s="784">
        <v>8.09</v>
      </c>
      <c r="O3651" s="784">
        <v>3.2</v>
      </c>
      <c r="P3651" s="783">
        <v>360</v>
      </c>
      <c r="Q3651" s="783">
        <v>529.36</v>
      </c>
      <c r="R3651" s="783">
        <v>321.7</v>
      </c>
      <c r="S3651" s="783">
        <v>161.99</v>
      </c>
      <c r="T3651" s="783">
        <v>45.67</v>
      </c>
      <c r="U3651" s="785">
        <v>44697.504097222198</v>
      </c>
    </row>
    <row r="3652" spans="1:21">
      <c r="A3652" s="782">
        <v>44694</v>
      </c>
      <c r="B3652" s="783" t="s">
        <v>41</v>
      </c>
      <c r="C3652" s="783" t="s">
        <v>4082</v>
      </c>
      <c r="D3652" s="783" t="s">
        <v>4009</v>
      </c>
      <c r="E3652" s="783" t="s">
        <v>5773</v>
      </c>
      <c r="F3652" s="783" t="s">
        <v>4011</v>
      </c>
      <c r="G3652" s="783" t="str">
        <f t="shared" si="190"/>
        <v>Renewal (15% in 2020)</v>
      </c>
      <c r="H3652" s="783" t="s">
        <v>5774</v>
      </c>
      <c r="I3652" s="783" t="s">
        <v>5775</v>
      </c>
      <c r="J3652" s="783">
        <v>15</v>
      </c>
      <c r="K3652" s="783" t="s">
        <v>310</v>
      </c>
      <c r="L3652" s="783" t="s">
        <v>4014</v>
      </c>
      <c r="M3652" s="784">
        <v>7624.76</v>
      </c>
      <c r="N3652" s="784">
        <v>11.18</v>
      </c>
      <c r="O3652" s="784">
        <v>3.1</v>
      </c>
      <c r="P3652" s="783">
        <v>220</v>
      </c>
      <c r="Q3652" s="783">
        <v>991.22</v>
      </c>
      <c r="R3652" s="783">
        <v>433.85</v>
      </c>
      <c r="S3652" s="783">
        <v>83.11</v>
      </c>
      <c r="T3652" s="783">
        <v>474.26</v>
      </c>
      <c r="U3652" s="785">
        <v>44694.730231481502</v>
      </c>
    </row>
    <row r="3653" spans="1:21">
      <c r="A3653" s="782">
        <v>44698</v>
      </c>
      <c r="B3653" s="783" t="s">
        <v>41</v>
      </c>
      <c r="C3653" s="783" t="s">
        <v>4071</v>
      </c>
      <c r="D3653" s="783" t="s">
        <v>4009</v>
      </c>
      <c r="E3653" s="783" t="s">
        <v>5803</v>
      </c>
      <c r="F3653" s="783" t="s">
        <v>4011</v>
      </c>
      <c r="G3653" s="783" t="str">
        <f t="shared" si="190"/>
        <v>Renewal (25% in 2020)</v>
      </c>
      <c r="H3653" s="783" t="s">
        <v>5804</v>
      </c>
      <c r="I3653" s="783" t="s">
        <v>5805</v>
      </c>
      <c r="J3653" s="783">
        <v>20</v>
      </c>
      <c r="K3653" s="783" t="s">
        <v>310</v>
      </c>
      <c r="L3653" s="783" t="s">
        <v>4014</v>
      </c>
      <c r="M3653" s="784">
        <v>9386.14</v>
      </c>
      <c r="N3653" s="784">
        <v>9.73</v>
      </c>
      <c r="O3653" s="784">
        <v>3.47</v>
      </c>
      <c r="P3653" s="783">
        <v>278</v>
      </c>
      <c r="Q3653" s="783">
        <v>613.85</v>
      </c>
      <c r="R3653" s="783">
        <v>372.63</v>
      </c>
      <c r="S3653" s="783">
        <v>61.01</v>
      </c>
      <c r="T3653" s="783">
        <v>180.21</v>
      </c>
      <c r="U3653" s="785">
        <v>44699.7496875</v>
      </c>
    </row>
    <row r="3654" spans="1:21">
      <c r="A3654" s="782">
        <v>44698</v>
      </c>
      <c r="B3654" s="783" t="s">
        <v>4025</v>
      </c>
      <c r="C3654" s="783" t="s">
        <v>4026</v>
      </c>
      <c r="D3654" s="783" t="s">
        <v>4021</v>
      </c>
      <c r="E3654" s="783" t="s">
        <v>5806</v>
      </c>
      <c r="F3654" s="783" t="s">
        <v>4011</v>
      </c>
      <c r="G3654" s="783" t="str">
        <f t="shared" si="190"/>
        <v>New Contract</v>
      </c>
      <c r="H3654" s="783" t="s">
        <v>5807</v>
      </c>
      <c r="I3654" s="783" t="s">
        <v>5808</v>
      </c>
      <c r="J3654" s="783">
        <v>20</v>
      </c>
      <c r="K3654" s="783" t="s">
        <v>310</v>
      </c>
      <c r="L3654" s="783" t="s">
        <v>4014</v>
      </c>
      <c r="M3654" s="784">
        <v>8295.89</v>
      </c>
      <c r="N3654" s="784">
        <v>11.43</v>
      </c>
      <c r="O3654" s="784">
        <v>3.82</v>
      </c>
      <c r="P3654" s="783">
        <v>190</v>
      </c>
      <c r="Q3654" s="783">
        <v>688.56</v>
      </c>
      <c r="R3654" s="783">
        <v>389.91</v>
      </c>
      <c r="S3654" s="783">
        <v>63.05</v>
      </c>
      <c r="T3654" s="783">
        <v>235.6</v>
      </c>
      <c r="U3654" s="785">
        <v>44699.4816782407</v>
      </c>
    </row>
    <row r="3655" spans="1:21">
      <c r="A3655" s="782">
        <v>44699</v>
      </c>
      <c r="B3655" s="783" t="s">
        <v>34</v>
      </c>
      <c r="C3655" s="783" t="s">
        <v>4139</v>
      </c>
      <c r="D3655" s="783" t="s">
        <v>4009</v>
      </c>
      <c r="E3655" s="783" t="s">
        <v>4669</v>
      </c>
      <c r="F3655" s="783" t="s">
        <v>4011</v>
      </c>
      <c r="G3655" s="783" t="s">
        <v>4028</v>
      </c>
      <c r="H3655" s="783" t="s">
        <v>4670</v>
      </c>
      <c r="I3655" s="783" t="s">
        <v>4671</v>
      </c>
      <c r="J3655" s="783">
        <v>25</v>
      </c>
      <c r="K3655" s="783" t="s">
        <v>310</v>
      </c>
      <c r="L3655" s="783" t="s">
        <v>4014</v>
      </c>
      <c r="M3655" s="784">
        <v>5872.75</v>
      </c>
      <c r="N3655" s="784">
        <v>6.25</v>
      </c>
      <c r="O3655" s="784">
        <v>3.38</v>
      </c>
      <c r="P3655" s="783">
        <v>278</v>
      </c>
      <c r="Q3655" s="783">
        <v>333.57</v>
      </c>
      <c r="R3655" s="783">
        <v>262.51</v>
      </c>
      <c r="S3655" s="783">
        <v>42.28</v>
      </c>
      <c r="T3655" s="783">
        <v>28.78</v>
      </c>
      <c r="U3655" s="785">
        <v>44699.470520833303</v>
      </c>
    </row>
    <row r="3656" spans="1:21">
      <c r="A3656" s="782">
        <v>44699</v>
      </c>
      <c r="B3656" s="783" t="s">
        <v>41</v>
      </c>
      <c r="C3656" s="783" t="s">
        <v>4139</v>
      </c>
      <c r="D3656" s="783" t="s">
        <v>4009</v>
      </c>
      <c r="E3656" s="783" t="s">
        <v>5821</v>
      </c>
      <c r="F3656" s="783" t="s">
        <v>4011</v>
      </c>
      <c r="G3656" s="783" t="str">
        <f>VLOOKUP(I3656,pacage,2,FALSE)</f>
        <v>Renewal (15% in 2020)</v>
      </c>
      <c r="H3656" s="783" t="s">
        <v>5822</v>
      </c>
      <c r="I3656" s="783" t="s">
        <v>5823</v>
      </c>
      <c r="J3656" s="783">
        <v>15</v>
      </c>
      <c r="K3656" s="783" t="s">
        <v>310</v>
      </c>
      <c r="L3656" s="783" t="s">
        <v>4014</v>
      </c>
      <c r="M3656" s="784">
        <v>7900.14</v>
      </c>
      <c r="N3656" s="784">
        <v>7.06</v>
      </c>
      <c r="O3656" s="784">
        <v>3.73</v>
      </c>
      <c r="P3656" s="783">
        <v>300</v>
      </c>
      <c r="Q3656" s="783">
        <v>784.48</v>
      </c>
      <c r="R3656" s="783">
        <v>327.24</v>
      </c>
      <c r="S3656" s="783">
        <v>82.78</v>
      </c>
      <c r="T3656" s="783">
        <v>374.47</v>
      </c>
      <c r="U3656" s="785">
        <v>44700.527256944399</v>
      </c>
    </row>
    <row r="3657" spans="1:21">
      <c r="A3657" s="782">
        <v>44655</v>
      </c>
      <c r="B3657" s="783" t="s">
        <v>41</v>
      </c>
      <c r="C3657" s="783" t="s">
        <v>4139</v>
      </c>
      <c r="D3657" s="783" t="s">
        <v>4009</v>
      </c>
      <c r="E3657" s="783" t="s">
        <v>5824</v>
      </c>
      <c r="F3657" s="783" t="s">
        <v>4011</v>
      </c>
      <c r="G3657" s="783" t="str">
        <f>VLOOKUP(I3657,pacage,2,FALSE)</f>
        <v>Renewal (25% in 2020)</v>
      </c>
      <c r="H3657" s="783" t="s">
        <v>5825</v>
      </c>
      <c r="I3657" s="783" t="s">
        <v>5826</v>
      </c>
      <c r="J3657" s="783">
        <v>25</v>
      </c>
      <c r="K3657" s="783" t="s">
        <v>310</v>
      </c>
      <c r="L3657" s="783" t="s">
        <v>4014</v>
      </c>
      <c r="M3657" s="784">
        <v>20830.18</v>
      </c>
      <c r="N3657" s="784">
        <v>18.41</v>
      </c>
      <c r="O3657" s="784">
        <v>4.07</v>
      </c>
      <c r="P3657" s="783">
        <v>278</v>
      </c>
      <c r="Q3657" s="783">
        <v>1183.1500000000001</v>
      </c>
      <c r="R3657" s="783">
        <v>931.11</v>
      </c>
      <c r="S3657" s="783">
        <v>149.97999999999999</v>
      </c>
      <c r="T3657" s="783">
        <v>102.07</v>
      </c>
      <c r="U3657" s="785">
        <v>44657.6264814815</v>
      </c>
    </row>
    <row r="3658" spans="1:21">
      <c r="A3658" s="782">
        <v>44698</v>
      </c>
      <c r="B3658" s="783" t="s">
        <v>51</v>
      </c>
      <c r="C3658" s="783" t="s">
        <v>4015</v>
      </c>
      <c r="D3658" s="783" t="s">
        <v>4016</v>
      </c>
      <c r="E3658" s="783" t="s">
        <v>4062</v>
      </c>
      <c r="F3658" s="783" t="s">
        <v>4011</v>
      </c>
      <c r="G3658" s="783" t="s">
        <v>4028</v>
      </c>
      <c r="H3658" s="783" t="s">
        <v>4063</v>
      </c>
      <c r="I3658" s="783" t="s">
        <v>4064</v>
      </c>
      <c r="J3658" s="783">
        <v>25</v>
      </c>
      <c r="K3658" s="783" t="s">
        <v>310</v>
      </c>
      <c r="L3658" s="783" t="s">
        <v>4014</v>
      </c>
      <c r="M3658" s="784">
        <v>5107.1499999999996</v>
      </c>
      <c r="N3658" s="784">
        <v>6.69</v>
      </c>
      <c r="O3658" s="784">
        <v>3.47</v>
      </c>
      <c r="P3658" s="783">
        <v>220</v>
      </c>
      <c r="Q3658" s="783">
        <v>454.54</v>
      </c>
      <c r="R3658" s="783">
        <v>339.11</v>
      </c>
      <c r="S3658" s="783">
        <v>55.67</v>
      </c>
      <c r="T3658" s="783">
        <v>59.75</v>
      </c>
      <c r="U3658" s="785">
        <v>44699.493541666699</v>
      </c>
    </row>
    <row r="3659" spans="1:21">
      <c r="A3659" s="782">
        <v>44658</v>
      </c>
      <c r="B3659" s="783" t="s">
        <v>41</v>
      </c>
      <c r="C3659" s="783" t="s">
        <v>4139</v>
      </c>
      <c r="D3659" s="783" t="s">
        <v>4009</v>
      </c>
      <c r="E3659" s="783" t="s">
        <v>5842</v>
      </c>
      <c r="F3659" s="783" t="s">
        <v>4011</v>
      </c>
      <c r="G3659" s="783" t="str">
        <f t="shared" ref="G3659:G3671" si="191">VLOOKUP(I3659,pacage,2,FALSE)</f>
        <v>Renewal (30% in 2020)</v>
      </c>
      <c r="H3659" s="783" t="s">
        <v>5843</v>
      </c>
      <c r="I3659" s="783" t="s">
        <v>5844</v>
      </c>
      <c r="J3659" s="783">
        <v>30</v>
      </c>
      <c r="K3659" s="783" t="s">
        <v>310</v>
      </c>
      <c r="L3659" s="783" t="s">
        <v>4014</v>
      </c>
      <c r="M3659" s="784">
        <v>3736.32</v>
      </c>
      <c r="N3659" s="784">
        <v>4</v>
      </c>
      <c r="O3659" s="784">
        <v>3.36</v>
      </c>
      <c r="P3659" s="783">
        <v>278</v>
      </c>
      <c r="Q3659" s="783">
        <v>185.32</v>
      </c>
      <c r="R3659" s="783">
        <v>167.01</v>
      </c>
      <c r="S3659" s="783">
        <v>0</v>
      </c>
      <c r="T3659" s="783">
        <v>18.309999999999999</v>
      </c>
      <c r="U3659" s="785">
        <v>44659.409884259301</v>
      </c>
    </row>
    <row r="3660" spans="1:21">
      <c r="A3660" s="782">
        <v>44704</v>
      </c>
      <c r="B3660" s="783" t="s">
        <v>41</v>
      </c>
      <c r="C3660" s="783" t="s">
        <v>4071</v>
      </c>
      <c r="D3660" s="783" t="s">
        <v>4009</v>
      </c>
      <c r="E3660" s="783" t="s">
        <v>5853</v>
      </c>
      <c r="F3660" s="783" t="s">
        <v>4011</v>
      </c>
      <c r="G3660" s="783" t="str">
        <f t="shared" si="191"/>
        <v>Renewal (20% in 2020)</v>
      </c>
      <c r="H3660" s="783" t="s">
        <v>5854</v>
      </c>
      <c r="I3660" s="783" t="s">
        <v>5855</v>
      </c>
      <c r="J3660" s="783">
        <v>25</v>
      </c>
      <c r="K3660" s="783" t="s">
        <v>310</v>
      </c>
      <c r="L3660" s="783" t="s">
        <v>4014</v>
      </c>
      <c r="M3660" s="784">
        <v>7669.01</v>
      </c>
      <c r="N3660" s="784">
        <v>10.63</v>
      </c>
      <c r="O3660" s="784">
        <v>3.07</v>
      </c>
      <c r="P3660" s="783">
        <v>235</v>
      </c>
      <c r="Q3660" s="783">
        <v>386.52</v>
      </c>
      <c r="R3660" s="783">
        <v>304.45999999999998</v>
      </c>
      <c r="S3660" s="783">
        <v>49.85</v>
      </c>
      <c r="T3660" s="783">
        <v>32.21</v>
      </c>
      <c r="U3660" s="785">
        <v>44704.577442129601</v>
      </c>
    </row>
    <row r="3661" spans="1:21">
      <c r="A3661" s="782">
        <v>44686</v>
      </c>
      <c r="B3661" s="783" t="s">
        <v>51</v>
      </c>
      <c r="C3661" s="783" t="s">
        <v>4015</v>
      </c>
      <c r="D3661" s="783" t="s">
        <v>4016</v>
      </c>
      <c r="E3661" s="783" t="s">
        <v>2212</v>
      </c>
      <c r="F3661" s="783" t="s">
        <v>4011</v>
      </c>
      <c r="G3661" s="783" t="str">
        <f t="shared" si="191"/>
        <v>Renewal (20% in 2020)</v>
      </c>
      <c r="H3661" s="783" t="s">
        <v>5878</v>
      </c>
      <c r="I3661" s="783" t="s">
        <v>5879</v>
      </c>
      <c r="J3661" s="783">
        <v>20</v>
      </c>
      <c r="K3661" s="783" t="s">
        <v>310</v>
      </c>
      <c r="L3661" s="783" t="s">
        <v>4014</v>
      </c>
      <c r="M3661" s="784">
        <v>18018</v>
      </c>
      <c r="N3661" s="784">
        <v>21.45</v>
      </c>
      <c r="O3661" s="784">
        <v>3.5</v>
      </c>
      <c r="P3661" s="783">
        <v>240</v>
      </c>
      <c r="Q3661" s="783">
        <v>2061.2600000000002</v>
      </c>
      <c r="R3661" s="783">
        <v>1196.4000000000001</v>
      </c>
      <c r="S3661" s="783">
        <v>196.4</v>
      </c>
      <c r="T3661" s="783">
        <v>668.47</v>
      </c>
      <c r="U3661" s="785">
        <v>44708.806597222203</v>
      </c>
    </row>
    <row r="3662" spans="1:21">
      <c r="A3662" s="782">
        <v>44657</v>
      </c>
      <c r="B3662" s="783" t="s">
        <v>51</v>
      </c>
      <c r="C3662" s="783" t="s">
        <v>4042</v>
      </c>
      <c r="D3662" s="783" t="s">
        <v>4016</v>
      </c>
      <c r="E3662" s="783" t="s">
        <v>5897</v>
      </c>
      <c r="F3662" s="783" t="s">
        <v>4011</v>
      </c>
      <c r="G3662" s="783" t="str">
        <f t="shared" si="191"/>
        <v>New Contract</v>
      </c>
      <c r="H3662" s="783" t="s">
        <v>5898</v>
      </c>
      <c r="I3662" s="783" t="s">
        <v>5899</v>
      </c>
      <c r="J3662" s="783">
        <v>25</v>
      </c>
      <c r="K3662" s="783" t="s">
        <v>310</v>
      </c>
      <c r="L3662" s="783" t="s">
        <v>4014</v>
      </c>
      <c r="M3662" s="784">
        <v>3185.56</v>
      </c>
      <c r="N3662" s="784">
        <v>3.1</v>
      </c>
      <c r="O3662" s="784">
        <v>3.67</v>
      </c>
      <c r="P3662" s="783">
        <v>280</v>
      </c>
      <c r="Q3662" s="783">
        <v>239.55</v>
      </c>
      <c r="R3662" s="783">
        <v>178.07</v>
      </c>
      <c r="S3662" s="783">
        <v>30.59</v>
      </c>
      <c r="T3662" s="783">
        <v>30.9</v>
      </c>
      <c r="U3662" s="785">
        <v>44657.617708333302</v>
      </c>
    </row>
    <row r="3663" spans="1:21">
      <c r="A3663" s="782">
        <v>44704</v>
      </c>
      <c r="B3663" s="783" t="s">
        <v>41</v>
      </c>
      <c r="C3663" s="783" t="s">
        <v>4082</v>
      </c>
      <c r="D3663" s="783" t="s">
        <v>4009</v>
      </c>
      <c r="E3663" s="783" t="s">
        <v>94</v>
      </c>
      <c r="F3663" s="783" t="s">
        <v>4011</v>
      </c>
      <c r="G3663" s="783" t="str">
        <f t="shared" si="191"/>
        <v>Renewal (25% in 2020)</v>
      </c>
      <c r="H3663" s="783" t="s">
        <v>4685</v>
      </c>
      <c r="I3663" s="783" t="s">
        <v>4686</v>
      </c>
      <c r="J3663" s="783">
        <v>25</v>
      </c>
      <c r="K3663" s="783" t="s">
        <v>310</v>
      </c>
      <c r="L3663" s="783" t="s">
        <v>4014</v>
      </c>
      <c r="M3663" s="784">
        <v>3453.98</v>
      </c>
      <c r="N3663" s="784">
        <v>4.63</v>
      </c>
      <c r="O3663" s="784">
        <v>3.73</v>
      </c>
      <c r="P3663" s="783">
        <v>200</v>
      </c>
      <c r="Q3663" s="783">
        <v>256.98</v>
      </c>
      <c r="R3663" s="783">
        <v>196.53</v>
      </c>
      <c r="S3663" s="783">
        <v>37.65</v>
      </c>
      <c r="T3663" s="783">
        <v>22.8</v>
      </c>
      <c r="U3663" s="785">
        <v>44704.568576388898</v>
      </c>
    </row>
    <row r="3664" spans="1:21">
      <c r="A3664" s="782">
        <v>44630</v>
      </c>
      <c r="B3664" s="783" t="s">
        <v>41</v>
      </c>
      <c r="C3664" s="783" t="s">
        <v>4139</v>
      </c>
      <c r="D3664" s="783" t="s">
        <v>4009</v>
      </c>
      <c r="E3664" s="783" t="s">
        <v>672</v>
      </c>
      <c r="F3664" s="783" t="s">
        <v>4011</v>
      </c>
      <c r="G3664" s="783" t="str">
        <f t="shared" si="191"/>
        <v>Renewal (15% in 2020)</v>
      </c>
      <c r="H3664" s="783" t="s">
        <v>5924</v>
      </c>
      <c r="I3664" s="783" t="s">
        <v>5925</v>
      </c>
      <c r="J3664" s="783">
        <v>20</v>
      </c>
      <c r="K3664" s="783" t="s">
        <v>310</v>
      </c>
      <c r="L3664" s="783" t="s">
        <v>4014</v>
      </c>
      <c r="M3664" s="784">
        <v>5619.22</v>
      </c>
      <c r="N3664" s="784">
        <v>8.31</v>
      </c>
      <c r="O3664" s="784">
        <v>2.94</v>
      </c>
      <c r="P3664" s="783">
        <v>230</v>
      </c>
      <c r="Q3664" s="783">
        <v>415.82</v>
      </c>
      <c r="R3664" s="783">
        <v>251.18</v>
      </c>
      <c r="S3664" s="783">
        <v>40.46</v>
      </c>
      <c r="T3664" s="783">
        <v>124.18</v>
      </c>
      <c r="U3664" s="785">
        <v>44631.634502314802</v>
      </c>
    </row>
    <row r="3665" spans="1:21">
      <c r="A3665" s="782">
        <v>44695</v>
      </c>
      <c r="B3665" s="783" t="s">
        <v>51</v>
      </c>
      <c r="C3665" s="783" t="s">
        <v>4042</v>
      </c>
      <c r="D3665" s="783" t="s">
        <v>4016</v>
      </c>
      <c r="E3665" s="783" t="s">
        <v>5934</v>
      </c>
      <c r="F3665" s="783" t="s">
        <v>4011</v>
      </c>
      <c r="G3665" s="783" t="str">
        <f t="shared" si="191"/>
        <v>Renewal (20% in 2020)</v>
      </c>
      <c r="H3665" s="783" t="s">
        <v>5935</v>
      </c>
      <c r="I3665" s="783" t="s">
        <v>5936</v>
      </c>
      <c r="J3665" s="783">
        <v>20</v>
      </c>
      <c r="K3665" s="783" t="s">
        <v>310</v>
      </c>
      <c r="L3665" s="783" t="s">
        <v>4014</v>
      </c>
      <c r="M3665" s="784">
        <v>4511.0200000000004</v>
      </c>
      <c r="N3665" s="784">
        <v>7.97</v>
      </c>
      <c r="O3665" s="784">
        <v>2.83</v>
      </c>
      <c r="P3665" s="783">
        <v>200</v>
      </c>
      <c r="Q3665" s="783">
        <v>436.22</v>
      </c>
      <c r="R3665" s="783">
        <v>253.97</v>
      </c>
      <c r="S3665" s="783">
        <v>41.5</v>
      </c>
      <c r="T3665" s="783">
        <v>140.74</v>
      </c>
      <c r="U3665" s="785">
        <v>44697.682592592602</v>
      </c>
    </row>
    <row r="3666" spans="1:21">
      <c r="A3666" s="782">
        <v>44658</v>
      </c>
      <c r="B3666" s="783" t="s">
        <v>34</v>
      </c>
      <c r="C3666" s="783" t="s">
        <v>4082</v>
      </c>
      <c r="D3666" s="783" t="s">
        <v>4009</v>
      </c>
      <c r="E3666" s="783" t="s">
        <v>4690</v>
      </c>
      <c r="F3666" s="783" t="s">
        <v>4011</v>
      </c>
      <c r="G3666" s="783" t="str">
        <f t="shared" si="191"/>
        <v>Renewal (30% in 2020)</v>
      </c>
      <c r="H3666" s="783" t="s">
        <v>4691</v>
      </c>
      <c r="I3666" s="783" t="s">
        <v>4692</v>
      </c>
      <c r="J3666" s="783">
        <v>30</v>
      </c>
      <c r="K3666" s="783" t="s">
        <v>310</v>
      </c>
      <c r="L3666" s="783" t="s">
        <v>4014</v>
      </c>
      <c r="M3666" s="784">
        <v>26086.9</v>
      </c>
      <c r="N3666" s="784">
        <v>29.05</v>
      </c>
      <c r="O3666" s="784">
        <v>4.49</v>
      </c>
      <c r="P3666" s="783">
        <v>200</v>
      </c>
      <c r="Q3666" s="783">
        <v>2219.34</v>
      </c>
      <c r="R3666" s="783">
        <v>1988.66</v>
      </c>
      <c r="S3666" s="783">
        <v>0</v>
      </c>
      <c r="T3666" s="783">
        <v>230.67</v>
      </c>
      <c r="U3666" s="785">
        <v>44659.413680555597</v>
      </c>
    </row>
    <row r="3667" spans="1:21">
      <c r="A3667" s="782">
        <v>44652</v>
      </c>
      <c r="B3667" s="783" t="s">
        <v>34</v>
      </c>
      <c r="C3667" s="783" t="s">
        <v>4139</v>
      </c>
      <c r="D3667" s="783" t="s">
        <v>4009</v>
      </c>
      <c r="E3667" s="783" t="s">
        <v>456</v>
      </c>
      <c r="F3667" s="783" t="s">
        <v>4011</v>
      </c>
      <c r="G3667" s="783" t="str">
        <f t="shared" si="191"/>
        <v>Renewal (20% in 2020)</v>
      </c>
      <c r="H3667" s="783" t="s">
        <v>5967</v>
      </c>
      <c r="I3667" s="783" t="s">
        <v>5968</v>
      </c>
      <c r="J3667" s="783">
        <v>20</v>
      </c>
      <c r="K3667" s="783" t="s">
        <v>310</v>
      </c>
      <c r="L3667" s="783" t="s">
        <v>4014</v>
      </c>
      <c r="M3667" s="784">
        <v>8379.5</v>
      </c>
      <c r="N3667" s="784">
        <v>12.24</v>
      </c>
      <c r="O3667" s="784">
        <v>3.26</v>
      </c>
      <c r="P3667" s="783">
        <v>210</v>
      </c>
      <c r="Q3667" s="783">
        <v>620.08000000000004</v>
      </c>
      <c r="R3667" s="783">
        <v>374.56</v>
      </c>
      <c r="S3667" s="783">
        <v>60.33</v>
      </c>
      <c r="T3667" s="783">
        <v>185.19</v>
      </c>
      <c r="U3667" s="785">
        <v>44655.604004629597</v>
      </c>
    </row>
    <row r="3668" spans="1:21">
      <c r="A3668" s="782">
        <v>44714</v>
      </c>
      <c r="B3668" s="783" t="s">
        <v>34</v>
      </c>
      <c r="C3668" s="783" t="s">
        <v>4082</v>
      </c>
      <c r="D3668" s="783" t="s">
        <v>4009</v>
      </c>
      <c r="E3668" s="783" t="s">
        <v>309</v>
      </c>
      <c r="F3668" s="783" t="s">
        <v>4011</v>
      </c>
      <c r="G3668" s="783" t="str">
        <f t="shared" si="191"/>
        <v>Renewal (30% in 2020)</v>
      </c>
      <c r="H3668" s="783" t="s">
        <v>5978</v>
      </c>
      <c r="I3668" s="783" t="s">
        <v>5979</v>
      </c>
      <c r="J3668" s="783">
        <v>30</v>
      </c>
      <c r="K3668" s="783" t="s">
        <v>310</v>
      </c>
      <c r="L3668" s="783" t="s">
        <v>4014</v>
      </c>
      <c r="M3668" s="784">
        <v>14051.44</v>
      </c>
      <c r="N3668" s="784">
        <v>15.34</v>
      </c>
      <c r="O3668" s="784">
        <v>4.58</v>
      </c>
      <c r="P3668" s="783">
        <v>200</v>
      </c>
      <c r="Q3668" s="783">
        <v>892.27</v>
      </c>
      <c r="R3668" s="783">
        <v>799.53</v>
      </c>
      <c r="S3668" s="783">
        <v>0</v>
      </c>
      <c r="T3668" s="783">
        <v>92.74</v>
      </c>
      <c r="U3668" s="785">
        <v>44715.442395833299</v>
      </c>
    </row>
    <row r="3669" spans="1:21">
      <c r="A3669" s="782">
        <v>44615</v>
      </c>
      <c r="B3669" s="783" t="s">
        <v>41</v>
      </c>
      <c r="C3669" s="783" t="s">
        <v>4139</v>
      </c>
      <c r="D3669" s="783" t="s">
        <v>4009</v>
      </c>
      <c r="E3669" s="783" t="s">
        <v>1583</v>
      </c>
      <c r="F3669" s="783" t="s">
        <v>4011</v>
      </c>
      <c r="G3669" s="783" t="str">
        <f t="shared" si="191"/>
        <v>Renewal (20% in 2020)</v>
      </c>
      <c r="H3669" s="783" t="s">
        <v>5998</v>
      </c>
      <c r="I3669" s="783" t="s">
        <v>5999</v>
      </c>
      <c r="J3669" s="783">
        <v>20</v>
      </c>
      <c r="K3669" s="783" t="s">
        <v>310</v>
      </c>
      <c r="L3669" s="783" t="s">
        <v>4014</v>
      </c>
      <c r="M3669" s="784">
        <v>12887.22</v>
      </c>
      <c r="N3669" s="784">
        <v>18.21</v>
      </c>
      <c r="O3669" s="784">
        <v>3.37</v>
      </c>
      <c r="P3669" s="783">
        <v>210</v>
      </c>
      <c r="Q3669" s="783">
        <v>953.65</v>
      </c>
      <c r="R3669" s="783">
        <v>576.05999999999995</v>
      </c>
      <c r="S3669" s="783">
        <v>92.79</v>
      </c>
      <c r="T3669" s="783">
        <v>284.81</v>
      </c>
      <c r="U3669" s="785">
        <v>44631.511909722198</v>
      </c>
    </row>
    <row r="3670" spans="1:21">
      <c r="A3670" s="782">
        <v>44559</v>
      </c>
      <c r="B3670" s="783" t="s">
        <v>34</v>
      </c>
      <c r="C3670" s="783" t="s">
        <v>4139</v>
      </c>
      <c r="D3670" s="783" t="s">
        <v>4009</v>
      </c>
      <c r="E3670" s="783" t="s">
        <v>6000</v>
      </c>
      <c r="F3670" s="783" t="s">
        <v>4011</v>
      </c>
      <c r="G3670" s="783" t="str">
        <f t="shared" si="191"/>
        <v>Renewal (25% in 2020)</v>
      </c>
      <c r="H3670" s="783" t="s">
        <v>6001</v>
      </c>
      <c r="I3670" s="783" t="s">
        <v>6002</v>
      </c>
      <c r="J3670" s="783">
        <v>25</v>
      </c>
      <c r="K3670" s="783" t="s">
        <v>310</v>
      </c>
      <c r="L3670" s="783" t="s">
        <v>4014</v>
      </c>
      <c r="M3670" s="784">
        <v>12637.8</v>
      </c>
      <c r="N3670" s="784">
        <v>15.3</v>
      </c>
      <c r="O3670" s="784">
        <v>2.95</v>
      </c>
      <c r="P3670" s="783">
        <v>280</v>
      </c>
      <c r="Q3670" s="783">
        <v>717.83</v>
      </c>
      <c r="R3670" s="783">
        <v>560.87</v>
      </c>
      <c r="S3670" s="783">
        <v>95.03</v>
      </c>
      <c r="T3670" s="783">
        <v>61.93</v>
      </c>
      <c r="U3670" s="785">
        <v>44631.635381944398</v>
      </c>
    </row>
    <row r="3671" spans="1:21">
      <c r="A3671" s="782">
        <v>44564</v>
      </c>
      <c r="B3671" s="783" t="s">
        <v>41</v>
      </c>
      <c r="C3671" s="783" t="s">
        <v>4139</v>
      </c>
      <c r="D3671" s="783" t="s">
        <v>4009</v>
      </c>
      <c r="E3671" s="783" t="s">
        <v>6003</v>
      </c>
      <c r="F3671" s="783" t="s">
        <v>4011</v>
      </c>
      <c r="G3671" s="783" t="str">
        <f t="shared" si="191"/>
        <v>Renewal (25% in 2020)</v>
      </c>
      <c r="H3671" s="783" t="s">
        <v>6004</v>
      </c>
      <c r="I3671" s="783" t="s">
        <v>6005</v>
      </c>
      <c r="J3671" s="783">
        <v>30</v>
      </c>
      <c r="K3671" s="783" t="s">
        <v>310</v>
      </c>
      <c r="L3671" s="783" t="s">
        <v>4014</v>
      </c>
      <c r="M3671" s="784">
        <v>9643.92</v>
      </c>
      <c r="N3671" s="784">
        <v>14.05</v>
      </c>
      <c r="O3671" s="784">
        <v>3.12</v>
      </c>
      <c r="P3671" s="783">
        <v>220</v>
      </c>
      <c r="Q3671" s="783">
        <v>478.34</v>
      </c>
      <c r="R3671" s="783">
        <v>431.08</v>
      </c>
      <c r="S3671" s="783">
        <v>0</v>
      </c>
      <c r="T3671" s="783">
        <v>47.26</v>
      </c>
      <c r="U3671" s="785">
        <v>44631.635127314803</v>
      </c>
    </row>
    <row r="3672" spans="1:21">
      <c r="A3672" s="782">
        <v>44572</v>
      </c>
      <c r="B3672" s="783" t="s">
        <v>41</v>
      </c>
      <c r="C3672" s="783" t="s">
        <v>4092</v>
      </c>
      <c r="D3672" s="783" t="s">
        <v>4009</v>
      </c>
      <c r="E3672" s="783" t="s">
        <v>6012</v>
      </c>
      <c r="F3672" s="783" t="s">
        <v>4011</v>
      </c>
      <c r="G3672" s="783" t="s">
        <v>4028</v>
      </c>
      <c r="H3672" s="783" t="s">
        <v>6013</v>
      </c>
      <c r="I3672" s="783" t="s">
        <v>6014</v>
      </c>
      <c r="J3672" s="783">
        <v>25</v>
      </c>
      <c r="K3672" s="783" t="s">
        <v>310</v>
      </c>
      <c r="L3672" s="783" t="s">
        <v>4014</v>
      </c>
      <c r="M3672" s="784">
        <v>8581.86</v>
      </c>
      <c r="N3672" s="784">
        <v>8.82</v>
      </c>
      <c r="O3672" s="784">
        <v>3.5</v>
      </c>
      <c r="P3672" s="783">
        <v>278</v>
      </c>
      <c r="Q3672" s="783">
        <v>568.12</v>
      </c>
      <c r="R3672" s="783">
        <v>434.24</v>
      </c>
      <c r="S3672" s="783">
        <v>82.39</v>
      </c>
      <c r="T3672" s="783">
        <v>51.49</v>
      </c>
      <c r="U3672" s="785">
        <v>44631.632615740702</v>
      </c>
    </row>
    <row r="3673" spans="1:21">
      <c r="A3673" s="782">
        <v>44678</v>
      </c>
      <c r="B3673" s="783" t="s">
        <v>47</v>
      </c>
      <c r="C3673" s="783" t="s">
        <v>4101</v>
      </c>
      <c r="D3673" s="783" t="s">
        <v>4102</v>
      </c>
      <c r="E3673" s="783" t="s">
        <v>4702</v>
      </c>
      <c r="F3673" s="783" t="s">
        <v>4011</v>
      </c>
      <c r="G3673" s="783" t="str">
        <f>VLOOKUP(I3673,pacage,2,FALSE)</f>
        <v>Renewal (30% in 2020)</v>
      </c>
      <c r="H3673" s="783" t="s">
        <v>4703</v>
      </c>
      <c r="I3673" s="783" t="s">
        <v>4704</v>
      </c>
      <c r="J3673" s="783">
        <v>30</v>
      </c>
      <c r="K3673" s="783" t="s">
        <v>310</v>
      </c>
      <c r="L3673" s="783" t="s">
        <v>4014</v>
      </c>
      <c r="M3673" s="784">
        <v>9086</v>
      </c>
      <c r="N3673" s="784">
        <v>11</v>
      </c>
      <c r="O3673" s="784">
        <v>4.13</v>
      </c>
      <c r="P3673" s="783">
        <v>200</v>
      </c>
      <c r="Q3673" s="783">
        <v>421.59</v>
      </c>
      <c r="R3673" s="783">
        <v>370.71</v>
      </c>
      <c r="S3673" s="783">
        <v>0</v>
      </c>
      <c r="T3673" s="783">
        <v>50.88</v>
      </c>
      <c r="U3673" s="785">
        <v>44679.479791666701</v>
      </c>
    </row>
    <row r="3674" spans="1:21">
      <c r="A3674" s="782">
        <v>44646</v>
      </c>
      <c r="B3674" s="783" t="s">
        <v>65</v>
      </c>
      <c r="C3674" s="783" t="s">
        <v>4916</v>
      </c>
      <c r="D3674" s="783" t="s">
        <v>4102</v>
      </c>
      <c r="E3674" s="783" t="s">
        <v>6044</v>
      </c>
      <c r="F3674" s="783" t="s">
        <v>4011</v>
      </c>
      <c r="G3674" s="783" t="str">
        <f>VLOOKUP(I3674,pacage,2,FALSE)</f>
        <v>Renewal (20% in 2020)</v>
      </c>
      <c r="H3674" s="783" t="s">
        <v>6045</v>
      </c>
      <c r="I3674" s="783" t="s">
        <v>6046</v>
      </c>
      <c r="J3674" s="783">
        <v>20</v>
      </c>
      <c r="K3674" s="783" t="s">
        <v>310</v>
      </c>
      <c r="L3674" s="783" t="s">
        <v>4014</v>
      </c>
      <c r="M3674" s="784">
        <v>46620</v>
      </c>
      <c r="N3674" s="784">
        <v>40</v>
      </c>
      <c r="O3674" s="784">
        <v>3.33</v>
      </c>
      <c r="P3674" s="783">
        <v>350</v>
      </c>
      <c r="Q3674" s="783">
        <v>3193.47</v>
      </c>
      <c r="R3674" s="783">
        <v>1499.7</v>
      </c>
      <c r="S3674" s="783">
        <v>691.44</v>
      </c>
      <c r="T3674" s="783">
        <v>1002.33</v>
      </c>
      <c r="U3674" s="785">
        <v>44649.394490740699</v>
      </c>
    </row>
    <row r="3675" spans="1:21">
      <c r="A3675" s="782">
        <v>44572</v>
      </c>
      <c r="B3675" s="783" t="s">
        <v>41</v>
      </c>
      <c r="C3675" s="783" t="s">
        <v>4092</v>
      </c>
      <c r="D3675" s="783" t="s">
        <v>4009</v>
      </c>
      <c r="E3675" s="783" t="s">
        <v>4756</v>
      </c>
      <c r="F3675" s="783" t="s">
        <v>4011</v>
      </c>
      <c r="G3675" s="783" t="s">
        <v>4028</v>
      </c>
      <c r="H3675" s="783" t="s">
        <v>4757</v>
      </c>
      <c r="I3675" s="783" t="s">
        <v>4758</v>
      </c>
      <c r="J3675" s="783">
        <v>25</v>
      </c>
      <c r="K3675" s="783" t="s">
        <v>310</v>
      </c>
      <c r="L3675" s="783" t="s">
        <v>4014</v>
      </c>
      <c r="M3675" s="784">
        <v>4550.3</v>
      </c>
      <c r="N3675" s="784">
        <v>4.96</v>
      </c>
      <c r="O3675" s="784">
        <v>3.3</v>
      </c>
      <c r="P3675" s="783">
        <v>278</v>
      </c>
      <c r="Q3675" s="783">
        <v>301.23</v>
      </c>
      <c r="R3675" s="783">
        <v>230.25</v>
      </c>
      <c r="S3675" s="783">
        <v>43.68</v>
      </c>
      <c r="T3675" s="783">
        <v>27.3</v>
      </c>
      <c r="U3675" s="785">
        <v>44631.635659722197</v>
      </c>
    </row>
    <row r="3676" spans="1:21">
      <c r="A3676" s="782">
        <v>44424</v>
      </c>
      <c r="B3676" s="783" t="s">
        <v>228</v>
      </c>
      <c r="C3676" s="783" t="s">
        <v>4020</v>
      </c>
      <c r="D3676" s="783" t="s">
        <v>4021</v>
      </c>
      <c r="E3676" s="783" t="s">
        <v>1026</v>
      </c>
      <c r="F3676" s="783" t="s">
        <v>4011</v>
      </c>
      <c r="G3676" s="783" t="str">
        <f t="shared" ref="G3676:G3682" si="192">VLOOKUP(I3676,pacage,2,FALSE)</f>
        <v>Renewal (20% in 2020)</v>
      </c>
      <c r="H3676" s="783" t="s">
        <v>4242</v>
      </c>
      <c r="I3676" s="783" t="s">
        <v>4243</v>
      </c>
      <c r="J3676" s="783">
        <v>20</v>
      </c>
      <c r="K3676" s="783" t="s">
        <v>310</v>
      </c>
      <c r="L3676" s="783" t="s">
        <v>4014</v>
      </c>
      <c r="M3676" s="784">
        <v>16087.76</v>
      </c>
      <c r="N3676" s="784">
        <v>19.96</v>
      </c>
      <c r="O3676" s="784">
        <v>3.1</v>
      </c>
      <c r="P3676" s="783">
        <v>260</v>
      </c>
      <c r="Q3676" s="783">
        <v>1578.21</v>
      </c>
      <c r="R3676" s="783">
        <v>920.22</v>
      </c>
      <c r="S3676" s="783">
        <v>151.22</v>
      </c>
      <c r="T3676" s="783">
        <v>506.76</v>
      </c>
      <c r="U3676" s="785">
        <v>44631.632581018501</v>
      </c>
    </row>
    <row r="3677" spans="1:21">
      <c r="A3677" s="782">
        <v>44533</v>
      </c>
      <c r="B3677" s="783" t="s">
        <v>41</v>
      </c>
      <c r="C3677" s="783" t="s">
        <v>4071</v>
      </c>
      <c r="D3677" s="783" t="s">
        <v>4009</v>
      </c>
      <c r="E3677" s="783" t="s">
        <v>353</v>
      </c>
      <c r="F3677" s="783" t="s">
        <v>4011</v>
      </c>
      <c r="G3677" s="783" t="str">
        <f t="shared" si="192"/>
        <v>Renewal (15% in 2020)</v>
      </c>
      <c r="H3677" s="783" t="s">
        <v>6086</v>
      </c>
      <c r="I3677" s="783" t="s">
        <v>6087</v>
      </c>
      <c r="J3677" s="783">
        <v>15</v>
      </c>
      <c r="K3677" s="783" t="s">
        <v>310</v>
      </c>
      <c r="L3677" s="783" t="s">
        <v>4014</v>
      </c>
      <c r="M3677" s="784">
        <v>12185.12</v>
      </c>
      <c r="N3677" s="784">
        <v>17.38</v>
      </c>
      <c r="O3677" s="784">
        <v>3.69</v>
      </c>
      <c r="P3677" s="783">
        <v>190</v>
      </c>
      <c r="Q3677" s="783">
        <v>1072.29</v>
      </c>
      <c r="R3677" s="783">
        <v>483.75</v>
      </c>
      <c r="S3677" s="783">
        <v>79.2</v>
      </c>
      <c r="T3677" s="783">
        <v>509.34</v>
      </c>
      <c r="U3677" s="785">
        <v>44631.635625000003</v>
      </c>
    </row>
    <row r="3678" spans="1:21">
      <c r="A3678" s="782">
        <v>44526</v>
      </c>
      <c r="B3678" s="783" t="s">
        <v>971</v>
      </c>
      <c r="C3678" s="783" t="s">
        <v>4082</v>
      </c>
      <c r="D3678" s="783" t="s">
        <v>4009</v>
      </c>
      <c r="E3678" s="783" t="s">
        <v>6088</v>
      </c>
      <c r="F3678" s="783" t="s">
        <v>4011</v>
      </c>
      <c r="G3678" s="783" t="str">
        <f t="shared" si="192"/>
        <v>Renewal (20% in 2020)</v>
      </c>
      <c r="H3678" s="783" t="s">
        <v>6089</v>
      </c>
      <c r="I3678" s="783" t="s">
        <v>6090</v>
      </c>
      <c r="J3678" s="783">
        <v>20</v>
      </c>
      <c r="K3678" s="783" t="s">
        <v>310</v>
      </c>
      <c r="L3678" s="783" t="s">
        <v>4014</v>
      </c>
      <c r="M3678" s="784">
        <v>5727.12</v>
      </c>
      <c r="N3678" s="784">
        <v>4.82</v>
      </c>
      <c r="O3678" s="784">
        <v>4.57</v>
      </c>
      <c r="P3678" s="783">
        <v>260</v>
      </c>
      <c r="Q3678" s="783">
        <v>554.39</v>
      </c>
      <c r="R3678" s="783">
        <v>325.87</v>
      </c>
      <c r="S3678" s="783">
        <v>62.43</v>
      </c>
      <c r="T3678" s="783">
        <v>166.09</v>
      </c>
      <c r="U3678" s="785">
        <v>44631.635567129597</v>
      </c>
    </row>
    <row r="3679" spans="1:21">
      <c r="A3679" s="782">
        <v>44525</v>
      </c>
      <c r="B3679" s="783" t="s">
        <v>34</v>
      </c>
      <c r="C3679" s="783" t="s">
        <v>4139</v>
      </c>
      <c r="D3679" s="783" t="s">
        <v>4009</v>
      </c>
      <c r="E3679" s="783" t="s">
        <v>4708</v>
      </c>
      <c r="F3679" s="783" t="s">
        <v>4011</v>
      </c>
      <c r="G3679" s="783" t="str">
        <f t="shared" si="192"/>
        <v>New Contract</v>
      </c>
      <c r="H3679" s="783" t="s">
        <v>4709</v>
      </c>
      <c r="I3679" s="783" t="s">
        <v>4710</v>
      </c>
      <c r="J3679" s="783">
        <v>25</v>
      </c>
      <c r="K3679" s="783" t="s">
        <v>310</v>
      </c>
      <c r="L3679" s="783" t="s">
        <v>4014</v>
      </c>
      <c r="M3679" s="784">
        <v>12883.91</v>
      </c>
      <c r="N3679" s="784">
        <v>11.5</v>
      </c>
      <c r="O3679" s="784">
        <v>4.03</v>
      </c>
      <c r="P3679" s="783">
        <v>278</v>
      </c>
      <c r="Q3679" s="783">
        <v>731.81</v>
      </c>
      <c r="R3679" s="783">
        <v>575.91</v>
      </c>
      <c r="S3679" s="783">
        <v>92.76</v>
      </c>
      <c r="T3679" s="783">
        <v>63.13</v>
      </c>
      <c r="U3679" s="785">
        <v>44631.636064814797</v>
      </c>
    </row>
    <row r="3680" spans="1:21">
      <c r="A3680" s="782">
        <v>44529</v>
      </c>
      <c r="B3680" s="783" t="s">
        <v>41</v>
      </c>
      <c r="C3680" s="783" t="s">
        <v>4139</v>
      </c>
      <c r="D3680" s="783" t="s">
        <v>4009</v>
      </c>
      <c r="E3680" s="783" t="s">
        <v>4202</v>
      </c>
      <c r="F3680" s="783" t="s">
        <v>4011</v>
      </c>
      <c r="G3680" s="783" t="str">
        <f t="shared" si="192"/>
        <v>Renewal (15% in 2020)</v>
      </c>
      <c r="H3680" s="783" t="s">
        <v>4203</v>
      </c>
      <c r="I3680" s="783" t="s">
        <v>4204</v>
      </c>
      <c r="J3680" s="783">
        <v>15</v>
      </c>
      <c r="K3680" s="783" t="s">
        <v>310</v>
      </c>
      <c r="L3680" s="783" t="s">
        <v>4014</v>
      </c>
      <c r="M3680" s="784">
        <v>23275.17</v>
      </c>
      <c r="N3680" s="784">
        <v>18.04</v>
      </c>
      <c r="O3680" s="784">
        <v>3.57</v>
      </c>
      <c r="P3680" s="783">
        <v>361.4</v>
      </c>
      <c r="Q3680" s="783">
        <v>2311.2199999999998</v>
      </c>
      <c r="R3680" s="783">
        <v>800.31</v>
      </c>
      <c r="S3680" s="783">
        <v>407.67</v>
      </c>
      <c r="T3680" s="783">
        <v>1103.24</v>
      </c>
      <c r="U3680" s="785">
        <v>44631.632881944402</v>
      </c>
    </row>
    <row r="3681" spans="1:21">
      <c r="A3681" s="782">
        <v>44532</v>
      </c>
      <c r="B3681" s="783" t="s">
        <v>47</v>
      </c>
      <c r="C3681" s="783" t="s">
        <v>4244</v>
      </c>
      <c r="D3681" s="783" t="s">
        <v>4102</v>
      </c>
      <c r="E3681" s="783" t="s">
        <v>6126</v>
      </c>
      <c r="F3681" s="783" t="s">
        <v>4011</v>
      </c>
      <c r="G3681" s="783" t="str">
        <f t="shared" si="192"/>
        <v>Renewal (20% in 2020)</v>
      </c>
      <c r="H3681" s="783" t="s">
        <v>6127</v>
      </c>
      <c r="I3681" s="783" t="s">
        <v>6128</v>
      </c>
      <c r="J3681" s="783">
        <v>20</v>
      </c>
      <c r="K3681" s="783" t="s">
        <v>310</v>
      </c>
      <c r="L3681" s="783" t="s">
        <v>4014</v>
      </c>
      <c r="M3681" s="784">
        <v>6135</v>
      </c>
      <c r="N3681" s="784">
        <v>8.18</v>
      </c>
      <c r="O3681" s="784">
        <v>3</v>
      </c>
      <c r="P3681" s="783">
        <v>250</v>
      </c>
      <c r="Q3681" s="783">
        <v>359.51</v>
      </c>
      <c r="R3681" s="783">
        <v>214.11</v>
      </c>
      <c r="S3681" s="783">
        <v>34.97</v>
      </c>
      <c r="T3681" s="783">
        <v>110.43</v>
      </c>
      <c r="U3681" s="785">
        <v>44631.633067129602</v>
      </c>
    </row>
    <row r="3682" spans="1:21">
      <c r="A3682" s="782">
        <v>44435</v>
      </c>
      <c r="B3682" s="783" t="s">
        <v>4025</v>
      </c>
      <c r="C3682" s="783" t="s">
        <v>4026</v>
      </c>
      <c r="D3682" s="783" t="s">
        <v>4021</v>
      </c>
      <c r="E3682" s="783" t="s">
        <v>6165</v>
      </c>
      <c r="F3682" s="783" t="s">
        <v>4011</v>
      </c>
      <c r="G3682" s="783" t="str">
        <f t="shared" si="192"/>
        <v>New Contract</v>
      </c>
      <c r="H3682" s="783" t="s">
        <v>6166</v>
      </c>
      <c r="I3682" s="783" t="s">
        <v>6167</v>
      </c>
      <c r="J3682" s="783">
        <v>20</v>
      </c>
      <c r="K3682" s="783" t="s">
        <v>310</v>
      </c>
      <c r="L3682" s="783" t="s">
        <v>4014</v>
      </c>
      <c r="M3682" s="784">
        <v>31919.1</v>
      </c>
      <c r="N3682" s="784">
        <v>31.63</v>
      </c>
      <c r="O3682" s="784">
        <v>3.63</v>
      </c>
      <c r="P3682" s="783">
        <v>278</v>
      </c>
      <c r="Q3682" s="783">
        <v>2649.29</v>
      </c>
      <c r="R3682" s="783">
        <v>1500.2</v>
      </c>
      <c r="S3682" s="783">
        <v>242.59</v>
      </c>
      <c r="T3682" s="783">
        <v>906.5</v>
      </c>
      <c r="U3682" s="785">
        <v>44631.636284722197</v>
      </c>
    </row>
    <row r="3683" spans="1:21">
      <c r="A3683" s="782">
        <v>44578</v>
      </c>
      <c r="B3683" s="783" t="s">
        <v>4025</v>
      </c>
      <c r="C3683" s="783" t="s">
        <v>4026</v>
      </c>
      <c r="D3683" s="783" t="s">
        <v>4021</v>
      </c>
      <c r="E3683" s="783" t="s">
        <v>6193</v>
      </c>
      <c r="F3683" s="783" t="s">
        <v>4011</v>
      </c>
      <c r="G3683" s="783" t="s">
        <v>4028</v>
      </c>
      <c r="H3683" s="783" t="s">
        <v>6194</v>
      </c>
      <c r="I3683" s="783" t="s">
        <v>6195</v>
      </c>
      <c r="J3683" s="783">
        <v>25</v>
      </c>
      <c r="K3683" s="783" t="s">
        <v>310</v>
      </c>
      <c r="L3683" s="783" t="s">
        <v>4014</v>
      </c>
      <c r="M3683" s="784">
        <v>3400</v>
      </c>
      <c r="N3683" s="784">
        <v>4</v>
      </c>
      <c r="O3683" s="784">
        <v>3.4</v>
      </c>
      <c r="P3683" s="783">
        <v>250</v>
      </c>
      <c r="Q3683" s="783">
        <v>220.66</v>
      </c>
      <c r="R3683" s="783">
        <v>159.80000000000001</v>
      </c>
      <c r="S3683" s="783">
        <v>25.84</v>
      </c>
      <c r="T3683" s="783">
        <v>35.020000000000003</v>
      </c>
      <c r="U3683" s="785">
        <v>44631.637013888903</v>
      </c>
    </row>
    <row r="3684" spans="1:21">
      <c r="A3684" s="782">
        <v>44553</v>
      </c>
      <c r="B3684" s="783" t="s">
        <v>177</v>
      </c>
      <c r="C3684" s="783" t="s">
        <v>4274</v>
      </c>
      <c r="D3684" s="783" t="s">
        <v>4038</v>
      </c>
      <c r="E3684" s="783" t="s">
        <v>6204</v>
      </c>
      <c r="F3684" s="783" t="s">
        <v>4011</v>
      </c>
      <c r="G3684" s="783" t="str">
        <f t="shared" ref="G3684:G3701" si="193">VLOOKUP(I3684,pacage,2,FALSE)</f>
        <v>Renewal (25% in 2020)</v>
      </c>
      <c r="H3684" s="783" t="s">
        <v>6205</v>
      </c>
      <c r="I3684" s="783" t="s">
        <v>6206</v>
      </c>
      <c r="J3684" s="783">
        <v>25</v>
      </c>
      <c r="K3684" s="783" t="s">
        <v>310</v>
      </c>
      <c r="L3684" s="783" t="s">
        <v>4014</v>
      </c>
      <c r="M3684" s="784">
        <v>3732.75</v>
      </c>
      <c r="N3684" s="784">
        <v>5.53</v>
      </c>
      <c r="O3684" s="784">
        <v>2.7</v>
      </c>
      <c r="P3684" s="783">
        <v>250</v>
      </c>
      <c r="Q3684" s="783">
        <v>423.29</v>
      </c>
      <c r="R3684" s="783">
        <v>269.88</v>
      </c>
      <c r="S3684" s="783">
        <v>76.52</v>
      </c>
      <c r="T3684" s="783">
        <v>76.89</v>
      </c>
      <c r="U3684" s="785">
        <v>44701.675810185203</v>
      </c>
    </row>
    <row r="3685" spans="1:21">
      <c r="A3685" s="782">
        <v>44552</v>
      </c>
      <c r="B3685" s="783" t="s">
        <v>41</v>
      </c>
      <c r="C3685" s="783" t="s">
        <v>4071</v>
      </c>
      <c r="D3685" s="783" t="s">
        <v>4009</v>
      </c>
      <c r="E3685" s="783" t="s">
        <v>6218</v>
      </c>
      <c r="F3685" s="783" t="s">
        <v>4011</v>
      </c>
      <c r="G3685" s="783" t="str">
        <f t="shared" si="193"/>
        <v>Renewal (30% in 2020)</v>
      </c>
      <c r="H3685" s="783" t="s">
        <v>6219</v>
      </c>
      <c r="I3685" s="783" t="s">
        <v>6220</v>
      </c>
      <c r="J3685" s="783">
        <v>25</v>
      </c>
      <c r="K3685" s="783" t="s">
        <v>310</v>
      </c>
      <c r="L3685" s="783" t="s">
        <v>4014</v>
      </c>
      <c r="M3685" s="784">
        <v>865</v>
      </c>
      <c r="N3685" s="784">
        <v>1</v>
      </c>
      <c r="O3685" s="784">
        <v>3.46</v>
      </c>
      <c r="P3685" s="783">
        <v>250</v>
      </c>
      <c r="Q3685" s="783">
        <v>43.6</v>
      </c>
      <c r="R3685" s="783">
        <v>34.340000000000003</v>
      </c>
      <c r="S3685" s="783">
        <v>5.62</v>
      </c>
      <c r="T3685" s="783">
        <v>3.63</v>
      </c>
      <c r="U3685" s="785">
        <v>44631.636886574102</v>
      </c>
    </row>
    <row r="3686" spans="1:21">
      <c r="A3686" s="782">
        <v>44564</v>
      </c>
      <c r="B3686" s="783" t="s">
        <v>41</v>
      </c>
      <c r="C3686" s="783" t="s">
        <v>4071</v>
      </c>
      <c r="D3686" s="783" t="s">
        <v>4009</v>
      </c>
      <c r="E3686" s="783" t="s">
        <v>6227</v>
      </c>
      <c r="F3686" s="783" t="s">
        <v>4011</v>
      </c>
      <c r="G3686" s="783" t="str">
        <f t="shared" si="193"/>
        <v>Renewal (25% in 2020)</v>
      </c>
      <c r="H3686" s="783" t="s">
        <v>6228</v>
      </c>
      <c r="I3686" s="783" t="s">
        <v>6229</v>
      </c>
      <c r="J3686" s="783">
        <v>20</v>
      </c>
      <c r="K3686" s="783" t="s">
        <v>310</v>
      </c>
      <c r="L3686" s="783" t="s">
        <v>4014</v>
      </c>
      <c r="M3686" s="784">
        <v>22161.15</v>
      </c>
      <c r="N3686" s="784">
        <v>21.78</v>
      </c>
      <c r="O3686" s="784">
        <v>4.07</v>
      </c>
      <c r="P3686" s="783">
        <v>250</v>
      </c>
      <c r="Q3686" s="783">
        <v>1449.34</v>
      </c>
      <c r="R3686" s="783">
        <v>879.8</v>
      </c>
      <c r="S3686" s="783">
        <v>144.05000000000001</v>
      </c>
      <c r="T3686" s="783">
        <v>425.49</v>
      </c>
      <c r="U3686" s="785">
        <v>44631.636944444399</v>
      </c>
    </row>
    <row r="3687" spans="1:21">
      <c r="A3687" s="782">
        <v>44553</v>
      </c>
      <c r="B3687" s="783" t="s">
        <v>41</v>
      </c>
      <c r="C3687" s="783" t="s">
        <v>4092</v>
      </c>
      <c r="D3687" s="783" t="s">
        <v>4009</v>
      </c>
      <c r="E3687" s="783" t="s">
        <v>6230</v>
      </c>
      <c r="F3687" s="783" t="s">
        <v>4011</v>
      </c>
      <c r="G3687" s="783" t="str">
        <f t="shared" si="193"/>
        <v>Renewal (30% in 2020)</v>
      </c>
      <c r="H3687" s="783" t="s">
        <v>6231</v>
      </c>
      <c r="I3687" s="783" t="s">
        <v>6232</v>
      </c>
      <c r="J3687" s="783">
        <v>30</v>
      </c>
      <c r="K3687" s="783" t="s">
        <v>310</v>
      </c>
      <c r="L3687" s="783" t="s">
        <v>4014</v>
      </c>
      <c r="M3687" s="784">
        <v>3799.29</v>
      </c>
      <c r="N3687" s="784">
        <v>3.97</v>
      </c>
      <c r="O3687" s="784">
        <v>3.19</v>
      </c>
      <c r="P3687" s="783">
        <v>300</v>
      </c>
      <c r="Q3687" s="783">
        <v>215.04</v>
      </c>
      <c r="R3687" s="783">
        <v>178.15</v>
      </c>
      <c r="S3687" s="783">
        <v>14.1</v>
      </c>
      <c r="T3687" s="783">
        <v>22.8</v>
      </c>
      <c r="U3687" s="785">
        <v>44631.637083333299</v>
      </c>
    </row>
    <row r="3688" spans="1:21">
      <c r="A3688" s="782">
        <v>44452</v>
      </c>
      <c r="B3688" s="783" t="s">
        <v>228</v>
      </c>
      <c r="C3688" s="783" t="s">
        <v>4192</v>
      </c>
      <c r="D3688" s="783" t="s">
        <v>4193</v>
      </c>
      <c r="E3688" s="783" t="s">
        <v>6241</v>
      </c>
      <c r="F3688" s="783" t="s">
        <v>4011</v>
      </c>
      <c r="G3688" s="783" t="str">
        <f t="shared" si="193"/>
        <v>Renewal (20% in 2020)</v>
      </c>
      <c r="H3688" s="783" t="s">
        <v>6242</v>
      </c>
      <c r="I3688" s="783" t="s">
        <v>6243</v>
      </c>
      <c r="J3688" s="783">
        <v>20</v>
      </c>
      <c r="K3688" s="783" t="s">
        <v>310</v>
      </c>
      <c r="L3688" s="783" t="s">
        <v>4014</v>
      </c>
      <c r="M3688" s="784">
        <v>13212.4</v>
      </c>
      <c r="N3688" s="784">
        <v>29</v>
      </c>
      <c r="O3688" s="784">
        <v>2.68</v>
      </c>
      <c r="P3688" s="783">
        <v>170</v>
      </c>
      <c r="Q3688" s="783">
        <v>927.51</v>
      </c>
      <c r="R3688" s="783">
        <v>550.96</v>
      </c>
      <c r="S3688" s="783">
        <v>89.84</v>
      </c>
      <c r="T3688" s="783">
        <v>286.70999999999998</v>
      </c>
      <c r="U3688" s="785">
        <v>44631.6335300926</v>
      </c>
    </row>
    <row r="3689" spans="1:21">
      <c r="A3689" s="782">
        <v>44474</v>
      </c>
      <c r="B3689" s="783" t="s">
        <v>65</v>
      </c>
      <c r="C3689" s="783" t="s">
        <v>5861</v>
      </c>
      <c r="D3689" s="783" t="s">
        <v>4258</v>
      </c>
      <c r="E3689" s="783" t="s">
        <v>82</v>
      </c>
      <c r="F3689" s="783" t="s">
        <v>4011</v>
      </c>
      <c r="G3689" s="783" t="str">
        <f t="shared" si="193"/>
        <v>Renewal (20% in 2020)</v>
      </c>
      <c r="H3689" s="783" t="s">
        <v>6264</v>
      </c>
      <c r="I3689" s="783" t="s">
        <v>6265</v>
      </c>
      <c r="J3689" s="783">
        <v>20</v>
      </c>
      <c r="K3689" s="783" t="s">
        <v>310</v>
      </c>
      <c r="L3689" s="783" t="s">
        <v>4014</v>
      </c>
      <c r="M3689" s="784">
        <v>18170.2</v>
      </c>
      <c r="N3689" s="784">
        <v>19.329999999999998</v>
      </c>
      <c r="O3689" s="784">
        <v>3.76</v>
      </c>
      <c r="P3689" s="783">
        <v>250</v>
      </c>
      <c r="Q3689" s="783">
        <v>1580.81</v>
      </c>
      <c r="R3689" s="783">
        <v>939.4</v>
      </c>
      <c r="S3689" s="783">
        <v>152.63</v>
      </c>
      <c r="T3689" s="783">
        <v>488.78</v>
      </c>
      <c r="U3689" s="785">
        <v>44631.637245370403</v>
      </c>
    </row>
    <row r="3690" spans="1:21">
      <c r="A3690" s="782">
        <v>44510</v>
      </c>
      <c r="B3690" s="783" t="s">
        <v>4025</v>
      </c>
      <c r="C3690" s="783" t="s">
        <v>4026</v>
      </c>
      <c r="D3690" s="783" t="s">
        <v>4021</v>
      </c>
      <c r="E3690" s="783" t="s">
        <v>6296</v>
      </c>
      <c r="F3690" s="783" t="s">
        <v>4011</v>
      </c>
      <c r="G3690" s="783" t="str">
        <f t="shared" si="193"/>
        <v>New Contract</v>
      </c>
      <c r="H3690" s="783" t="s">
        <v>6297</v>
      </c>
      <c r="I3690" s="783" t="s">
        <v>6298</v>
      </c>
      <c r="J3690" s="783">
        <v>25</v>
      </c>
      <c r="K3690" s="783" t="s">
        <v>310</v>
      </c>
      <c r="L3690" s="783" t="s">
        <v>4014</v>
      </c>
      <c r="M3690" s="784">
        <v>8363.91</v>
      </c>
      <c r="N3690" s="784">
        <v>9.8000000000000007</v>
      </c>
      <c r="O3690" s="784">
        <v>3.07</v>
      </c>
      <c r="P3690" s="783">
        <v>278</v>
      </c>
      <c r="Q3690" s="783">
        <v>542.82000000000005</v>
      </c>
      <c r="R3690" s="783">
        <v>393.1</v>
      </c>
      <c r="S3690" s="783">
        <v>63.57</v>
      </c>
      <c r="T3690" s="783">
        <v>86.15</v>
      </c>
      <c r="U3690" s="785">
        <v>44631.637349536999</v>
      </c>
    </row>
    <row r="3691" spans="1:21">
      <c r="A3691" s="782">
        <v>44468</v>
      </c>
      <c r="B3691" s="783" t="s">
        <v>51</v>
      </c>
      <c r="C3691" s="783" t="s">
        <v>4015</v>
      </c>
      <c r="D3691" s="783" t="s">
        <v>4016</v>
      </c>
      <c r="E3691" s="783" t="s">
        <v>6328</v>
      </c>
      <c r="F3691" s="783" t="s">
        <v>4011</v>
      </c>
      <c r="G3691" s="783" t="str">
        <f t="shared" si="193"/>
        <v>New Contract</v>
      </c>
      <c r="H3691" s="783" t="s">
        <v>6329</v>
      </c>
      <c r="I3691" s="783" t="s">
        <v>6330</v>
      </c>
      <c r="J3691" s="783">
        <v>15</v>
      </c>
      <c r="K3691" s="783" t="s">
        <v>310</v>
      </c>
      <c r="L3691" s="783" t="s">
        <v>4014</v>
      </c>
      <c r="M3691" s="784">
        <v>10758.4</v>
      </c>
      <c r="N3691" s="784">
        <v>13.12</v>
      </c>
      <c r="O3691" s="784">
        <v>4.0999999999999996</v>
      </c>
      <c r="P3691" s="783">
        <v>200</v>
      </c>
      <c r="Q3691" s="783">
        <v>1420.11</v>
      </c>
      <c r="R3691" s="783">
        <v>714.36</v>
      </c>
      <c r="S3691" s="783">
        <v>117.27</v>
      </c>
      <c r="T3691" s="783">
        <v>588.48</v>
      </c>
      <c r="U3691" s="785">
        <v>44631.636666666702</v>
      </c>
    </row>
    <row r="3692" spans="1:21">
      <c r="A3692" s="782">
        <v>44468</v>
      </c>
      <c r="B3692" s="783" t="s">
        <v>41</v>
      </c>
      <c r="C3692" s="783" t="s">
        <v>4139</v>
      </c>
      <c r="D3692" s="783" t="s">
        <v>4009</v>
      </c>
      <c r="E3692" s="783" t="s">
        <v>6334</v>
      </c>
      <c r="F3692" s="783" t="s">
        <v>4011</v>
      </c>
      <c r="G3692" s="783" t="str">
        <f t="shared" si="193"/>
        <v>Renewal (30% in 2020)</v>
      </c>
      <c r="H3692" s="783" t="s">
        <v>6335</v>
      </c>
      <c r="I3692" s="783" t="s">
        <v>6336</v>
      </c>
      <c r="J3692" s="783">
        <v>30</v>
      </c>
      <c r="K3692" s="783" t="s">
        <v>310</v>
      </c>
      <c r="L3692" s="783" t="s">
        <v>4014</v>
      </c>
      <c r="M3692" s="784">
        <v>14197.35</v>
      </c>
      <c r="N3692" s="784">
        <v>13.84</v>
      </c>
      <c r="O3692" s="784">
        <v>3.69</v>
      </c>
      <c r="P3692" s="783">
        <v>278</v>
      </c>
      <c r="Q3692" s="783">
        <v>704.19</v>
      </c>
      <c r="R3692" s="783">
        <v>634.62</v>
      </c>
      <c r="S3692" s="783">
        <v>0</v>
      </c>
      <c r="T3692" s="783">
        <v>69.569999999999993</v>
      </c>
      <c r="U3692" s="785">
        <v>44631.636724536998</v>
      </c>
    </row>
    <row r="3693" spans="1:21">
      <c r="A3693" s="782">
        <v>44519</v>
      </c>
      <c r="B3693" s="783" t="s">
        <v>41</v>
      </c>
      <c r="C3693" s="783" t="s">
        <v>4139</v>
      </c>
      <c r="D3693" s="783" t="s">
        <v>4009</v>
      </c>
      <c r="E3693" s="783" t="s">
        <v>6337</v>
      </c>
      <c r="F3693" s="783" t="s">
        <v>4011</v>
      </c>
      <c r="G3693" s="783" t="str">
        <f t="shared" si="193"/>
        <v>Renewal (20% in 2020)</v>
      </c>
      <c r="H3693" s="783" t="s">
        <v>6338</v>
      </c>
      <c r="I3693" s="783" t="s">
        <v>6339</v>
      </c>
      <c r="J3693" s="783">
        <v>20</v>
      </c>
      <c r="K3693" s="783" t="s">
        <v>310</v>
      </c>
      <c r="L3693" s="783" t="s">
        <v>4014</v>
      </c>
      <c r="M3693" s="784">
        <v>3432</v>
      </c>
      <c r="N3693" s="784">
        <v>6.5</v>
      </c>
      <c r="O3693" s="784">
        <v>2.64</v>
      </c>
      <c r="P3693" s="783">
        <v>200</v>
      </c>
      <c r="Q3693" s="783">
        <v>253.97</v>
      </c>
      <c r="R3693" s="783">
        <v>153.41</v>
      </c>
      <c r="S3693" s="783">
        <v>24.71</v>
      </c>
      <c r="T3693" s="783">
        <v>75.849999999999994</v>
      </c>
      <c r="U3693" s="785">
        <v>44631.6378819444</v>
      </c>
    </row>
    <row r="3694" spans="1:21">
      <c r="A3694" s="782">
        <v>44545</v>
      </c>
      <c r="B3694" s="783" t="s">
        <v>882</v>
      </c>
      <c r="C3694" s="783" t="s">
        <v>4052</v>
      </c>
      <c r="D3694" s="783" t="s">
        <v>4021</v>
      </c>
      <c r="E3694" s="783" t="s">
        <v>6340</v>
      </c>
      <c r="F3694" s="783" t="s">
        <v>4011</v>
      </c>
      <c r="G3694" s="783" t="str">
        <f t="shared" si="193"/>
        <v>Renewal (25% in 2020)</v>
      </c>
      <c r="H3694" s="783" t="s">
        <v>6341</v>
      </c>
      <c r="I3694" s="783" t="s">
        <v>6342</v>
      </c>
      <c r="J3694" s="783">
        <v>15</v>
      </c>
      <c r="K3694" s="783" t="s">
        <v>310</v>
      </c>
      <c r="L3694" s="783" t="s">
        <v>4014</v>
      </c>
      <c r="M3694" s="784">
        <v>31412.48</v>
      </c>
      <c r="N3694" s="784">
        <v>62.08</v>
      </c>
      <c r="O3694" s="784">
        <v>2.5299999999999998</v>
      </c>
      <c r="P3694" s="783">
        <v>200</v>
      </c>
      <c r="Q3694" s="783">
        <v>2399.91</v>
      </c>
      <c r="R3694" s="783">
        <v>1071.17</v>
      </c>
      <c r="S3694" s="783">
        <v>175.91</v>
      </c>
      <c r="T3694" s="783">
        <v>1152.8399999999999</v>
      </c>
      <c r="U3694" s="785">
        <v>44631.637812499997</v>
      </c>
    </row>
    <row r="3695" spans="1:21">
      <c r="A3695" s="782">
        <v>44494</v>
      </c>
      <c r="B3695" s="783" t="s">
        <v>41</v>
      </c>
      <c r="C3695" s="783" t="s">
        <v>4082</v>
      </c>
      <c r="D3695" s="783" t="s">
        <v>4009</v>
      </c>
      <c r="E3695" s="783" t="s">
        <v>6356</v>
      </c>
      <c r="F3695" s="783" t="s">
        <v>4011</v>
      </c>
      <c r="G3695" s="783" t="str">
        <f t="shared" si="193"/>
        <v>Renewal (30% in 2020)</v>
      </c>
      <c r="H3695" s="783" t="s">
        <v>6357</v>
      </c>
      <c r="I3695" s="783" t="s">
        <v>6358</v>
      </c>
      <c r="J3695" s="783">
        <v>30</v>
      </c>
      <c r="K3695" s="783" t="s">
        <v>310</v>
      </c>
      <c r="L3695" s="783" t="s">
        <v>4014</v>
      </c>
      <c r="M3695" s="784">
        <v>5355.35</v>
      </c>
      <c r="N3695" s="784">
        <v>7.49</v>
      </c>
      <c r="O3695" s="784">
        <v>3.25</v>
      </c>
      <c r="P3695" s="783">
        <v>220</v>
      </c>
      <c r="Q3695" s="783">
        <v>340.06</v>
      </c>
      <c r="R3695" s="783">
        <v>304.72000000000003</v>
      </c>
      <c r="S3695" s="783">
        <v>0</v>
      </c>
      <c r="T3695" s="783">
        <v>35.35</v>
      </c>
      <c r="U3695" s="785">
        <v>44631.638287037</v>
      </c>
    </row>
    <row r="3696" spans="1:21">
      <c r="A3696" s="782">
        <v>44490</v>
      </c>
      <c r="B3696" s="783" t="s">
        <v>41</v>
      </c>
      <c r="C3696" s="783" t="s">
        <v>4139</v>
      </c>
      <c r="D3696" s="783" t="s">
        <v>4009</v>
      </c>
      <c r="E3696" s="783" t="s">
        <v>6359</v>
      </c>
      <c r="F3696" s="783" t="s">
        <v>4011</v>
      </c>
      <c r="G3696" s="783" t="str">
        <f t="shared" si="193"/>
        <v>Renewal (15% in 2020)</v>
      </c>
      <c r="H3696" s="783" t="s">
        <v>6360</v>
      </c>
      <c r="I3696" s="783" t="s">
        <v>6361</v>
      </c>
      <c r="J3696" s="783">
        <v>15</v>
      </c>
      <c r="K3696" s="783" t="s">
        <v>310</v>
      </c>
      <c r="L3696" s="783" t="s">
        <v>4014</v>
      </c>
      <c r="M3696" s="784">
        <v>9887.15</v>
      </c>
      <c r="N3696" s="784">
        <v>9.19</v>
      </c>
      <c r="O3696" s="784">
        <v>3.87</v>
      </c>
      <c r="P3696" s="783">
        <v>278</v>
      </c>
      <c r="Q3696" s="783">
        <v>981.79</v>
      </c>
      <c r="R3696" s="783">
        <v>441.96</v>
      </c>
      <c r="S3696" s="783">
        <v>71.19</v>
      </c>
      <c r="T3696" s="783">
        <v>468.65</v>
      </c>
      <c r="U3696" s="785">
        <v>44631.6383333333</v>
      </c>
    </row>
    <row r="3697" spans="1:21">
      <c r="A3697" s="782">
        <v>44621</v>
      </c>
      <c r="B3697" s="783" t="s">
        <v>41</v>
      </c>
      <c r="C3697" s="783" t="s">
        <v>4082</v>
      </c>
      <c r="D3697" s="783" t="s">
        <v>4009</v>
      </c>
      <c r="E3697" s="783" t="s">
        <v>763</v>
      </c>
      <c r="F3697" s="783" t="s">
        <v>4011</v>
      </c>
      <c r="G3697" s="783" t="str">
        <f t="shared" si="193"/>
        <v>Renewal (20% in 2020)</v>
      </c>
      <c r="H3697" s="783" t="s">
        <v>6401</v>
      </c>
      <c r="I3697" s="783" t="s">
        <v>6402</v>
      </c>
      <c r="J3697" s="783">
        <v>20</v>
      </c>
      <c r="K3697" s="783" t="s">
        <v>310</v>
      </c>
      <c r="L3697" s="783" t="s">
        <v>4014</v>
      </c>
      <c r="M3697" s="784">
        <v>12207.78</v>
      </c>
      <c r="N3697" s="784">
        <v>21.15</v>
      </c>
      <c r="O3697" s="784">
        <v>3.12</v>
      </c>
      <c r="P3697" s="783">
        <v>185</v>
      </c>
      <c r="Q3697" s="783">
        <v>1181.71</v>
      </c>
      <c r="R3697" s="783">
        <v>694.62</v>
      </c>
      <c r="S3697" s="783">
        <v>133.06</v>
      </c>
      <c r="T3697" s="783">
        <v>354.03</v>
      </c>
      <c r="U3697" s="785">
        <v>44631.638206018499</v>
      </c>
    </row>
    <row r="3698" spans="1:21">
      <c r="A3698" s="782">
        <v>44692</v>
      </c>
      <c r="B3698" s="783" t="s">
        <v>47</v>
      </c>
      <c r="C3698" s="783" t="s">
        <v>4101</v>
      </c>
      <c r="D3698" s="783" t="s">
        <v>4102</v>
      </c>
      <c r="E3698" s="783" t="s">
        <v>4103</v>
      </c>
      <c r="F3698" s="783" t="s">
        <v>4011</v>
      </c>
      <c r="G3698" s="783" t="str">
        <f t="shared" si="193"/>
        <v>Renewal (15% in 2020)</v>
      </c>
      <c r="H3698" s="783" t="s">
        <v>4104</v>
      </c>
      <c r="I3698" s="783" t="s">
        <v>4105</v>
      </c>
      <c r="J3698" s="783">
        <v>20</v>
      </c>
      <c r="K3698" s="783" t="s">
        <v>444</v>
      </c>
      <c r="L3698" s="783" t="s">
        <v>4014</v>
      </c>
      <c r="M3698" s="784">
        <v>3807.19</v>
      </c>
      <c r="N3698" s="784">
        <v>5.17</v>
      </c>
      <c r="O3698" s="784">
        <v>2.63</v>
      </c>
      <c r="P3698" s="783">
        <v>280</v>
      </c>
      <c r="Q3698" s="783">
        <v>287.44</v>
      </c>
      <c r="R3698" s="783">
        <v>169.42</v>
      </c>
      <c r="S3698" s="783">
        <v>25.51</v>
      </c>
      <c r="T3698" s="783">
        <v>92.51</v>
      </c>
      <c r="U3698" s="785">
        <v>44692.516574074099</v>
      </c>
    </row>
    <row r="3699" spans="1:21">
      <c r="A3699" s="782">
        <v>44704</v>
      </c>
      <c r="B3699" s="783" t="s">
        <v>41</v>
      </c>
      <c r="C3699" s="783" t="s">
        <v>4071</v>
      </c>
      <c r="D3699" s="783" t="s">
        <v>4009</v>
      </c>
      <c r="E3699" s="783" t="s">
        <v>5084</v>
      </c>
      <c r="F3699" s="783" t="s">
        <v>4011</v>
      </c>
      <c r="G3699" s="783" t="str">
        <f t="shared" si="193"/>
        <v>Renewal (15% in 2020)</v>
      </c>
      <c r="H3699" s="783" t="s">
        <v>5085</v>
      </c>
      <c r="I3699" s="783" t="s">
        <v>5086</v>
      </c>
      <c r="J3699" s="783">
        <v>15</v>
      </c>
      <c r="K3699" s="783" t="s">
        <v>444</v>
      </c>
      <c r="L3699" s="783" t="s">
        <v>4014</v>
      </c>
      <c r="M3699" s="784">
        <v>16885.919999999998</v>
      </c>
      <c r="N3699" s="784">
        <v>20.32</v>
      </c>
      <c r="O3699" s="784">
        <v>2.77</v>
      </c>
      <c r="P3699" s="783">
        <v>300</v>
      </c>
      <c r="Q3699" s="783">
        <v>1634.56</v>
      </c>
      <c r="R3699" s="783">
        <v>724.41</v>
      </c>
      <c r="S3699" s="783">
        <v>109.76</v>
      </c>
      <c r="T3699" s="783">
        <v>800.39</v>
      </c>
      <c r="U3699" s="785">
        <v>44708.798425925903</v>
      </c>
    </row>
    <row r="3700" spans="1:21">
      <c r="A3700" s="782">
        <v>44711</v>
      </c>
      <c r="B3700" s="783" t="s">
        <v>347</v>
      </c>
      <c r="C3700" s="783" t="s">
        <v>4139</v>
      </c>
      <c r="D3700" s="783" t="s">
        <v>4009</v>
      </c>
      <c r="E3700" s="783" t="s">
        <v>355</v>
      </c>
      <c r="F3700" s="783" t="s">
        <v>4011</v>
      </c>
      <c r="G3700" s="783" t="str">
        <f t="shared" si="193"/>
        <v>Renewal (15% in 2020)</v>
      </c>
      <c r="H3700" s="783" t="s">
        <v>6455</v>
      </c>
      <c r="I3700" s="783" t="s">
        <v>6456</v>
      </c>
      <c r="J3700" s="783">
        <v>15</v>
      </c>
      <c r="K3700" s="783" t="s">
        <v>444</v>
      </c>
      <c r="L3700" s="783" t="s">
        <v>4014</v>
      </c>
      <c r="M3700" s="784">
        <v>3496.45</v>
      </c>
      <c r="N3700" s="784">
        <v>3.85</v>
      </c>
      <c r="O3700" s="784">
        <v>1.97</v>
      </c>
      <c r="P3700" s="783">
        <v>461</v>
      </c>
      <c r="Q3700" s="783">
        <v>381.81</v>
      </c>
      <c r="R3700" s="783">
        <v>168.88</v>
      </c>
      <c r="S3700" s="783">
        <v>25.17</v>
      </c>
      <c r="T3700" s="783">
        <v>187.76</v>
      </c>
      <c r="U3700" s="785">
        <v>44713.611053240696</v>
      </c>
    </row>
    <row r="3701" spans="1:21">
      <c r="A3701" s="782">
        <v>44685</v>
      </c>
      <c r="B3701" s="783" t="s">
        <v>4025</v>
      </c>
      <c r="C3701" s="783" t="s">
        <v>4026</v>
      </c>
      <c r="D3701" s="783" t="s">
        <v>4021</v>
      </c>
      <c r="E3701" s="783" t="s">
        <v>6457</v>
      </c>
      <c r="F3701" s="783" t="s">
        <v>4011</v>
      </c>
      <c r="G3701" s="783" t="str">
        <f t="shared" si="193"/>
        <v>New Contract</v>
      </c>
      <c r="H3701" s="783" t="s">
        <v>6458</v>
      </c>
      <c r="I3701" s="783" t="s">
        <v>6459</v>
      </c>
      <c r="J3701" s="783">
        <v>20</v>
      </c>
      <c r="K3701" s="783" t="s">
        <v>444</v>
      </c>
      <c r="L3701" s="783" t="s">
        <v>4014</v>
      </c>
      <c r="M3701" s="784">
        <v>8043</v>
      </c>
      <c r="N3701" s="784">
        <v>15.32</v>
      </c>
      <c r="O3701" s="784">
        <v>2.1</v>
      </c>
      <c r="P3701" s="783">
        <v>250</v>
      </c>
      <c r="Q3701" s="783">
        <v>734.33</v>
      </c>
      <c r="R3701" s="783">
        <v>416.63</v>
      </c>
      <c r="S3701" s="783">
        <v>67.56</v>
      </c>
      <c r="T3701" s="783">
        <v>250.14</v>
      </c>
      <c r="U3701" s="785">
        <v>44687.638854166697</v>
      </c>
    </row>
    <row r="3702" spans="1:21">
      <c r="A3702" s="782">
        <v>44712</v>
      </c>
      <c r="B3702" s="783" t="s">
        <v>34</v>
      </c>
      <c r="C3702" s="783" t="s">
        <v>4082</v>
      </c>
      <c r="D3702" s="783" t="s">
        <v>4009</v>
      </c>
      <c r="E3702" s="783" t="s">
        <v>4083</v>
      </c>
      <c r="F3702" s="783" t="s">
        <v>4011</v>
      </c>
      <c r="G3702" s="783" t="s">
        <v>4028</v>
      </c>
      <c r="H3702" s="783" t="s">
        <v>4084</v>
      </c>
      <c r="I3702" s="783" t="s">
        <v>4085</v>
      </c>
      <c r="J3702" s="783">
        <v>25</v>
      </c>
      <c r="K3702" s="783" t="s">
        <v>444</v>
      </c>
      <c r="L3702" s="783" t="s">
        <v>4014</v>
      </c>
      <c r="M3702" s="784">
        <v>16847.55</v>
      </c>
      <c r="N3702" s="784">
        <v>12.91</v>
      </c>
      <c r="O3702" s="784">
        <v>2.61</v>
      </c>
      <c r="P3702" s="783">
        <v>500</v>
      </c>
      <c r="Q3702" s="783">
        <v>1378.13</v>
      </c>
      <c r="R3702" s="783">
        <v>961.52</v>
      </c>
      <c r="S3702" s="783">
        <v>266.67</v>
      </c>
      <c r="T3702" s="783">
        <v>149.94</v>
      </c>
      <c r="U3702" s="785">
        <v>44714.003958333298</v>
      </c>
    </row>
    <row r="3703" spans="1:21">
      <c r="A3703" s="782">
        <v>44713</v>
      </c>
      <c r="B3703" s="783" t="s">
        <v>65</v>
      </c>
      <c r="C3703" s="783" t="s">
        <v>4071</v>
      </c>
      <c r="D3703" s="783" t="s">
        <v>4009</v>
      </c>
      <c r="E3703" s="783" t="s">
        <v>6618</v>
      </c>
      <c r="F3703" s="783" t="s">
        <v>4011</v>
      </c>
      <c r="G3703" s="783" t="str">
        <f>VLOOKUP(I3703,pacage,2,FALSE)</f>
        <v>New contract</v>
      </c>
      <c r="H3703" s="783" t="s">
        <v>6619</v>
      </c>
      <c r="I3703" s="783" t="s">
        <v>6620</v>
      </c>
      <c r="J3703" s="783">
        <v>25</v>
      </c>
      <c r="K3703" s="783" t="s">
        <v>444</v>
      </c>
      <c r="L3703" s="783" t="s">
        <v>4014</v>
      </c>
      <c r="M3703" s="784">
        <v>108150.47</v>
      </c>
      <c r="N3703" s="784">
        <v>62.91</v>
      </c>
      <c r="O3703" s="784">
        <v>2.87</v>
      </c>
      <c r="P3703" s="783">
        <v>599</v>
      </c>
      <c r="Q3703" s="783">
        <v>5991.54</v>
      </c>
      <c r="R3703" s="783">
        <v>3570.75</v>
      </c>
      <c r="S3703" s="783">
        <v>1771.88</v>
      </c>
      <c r="T3703" s="783">
        <v>648.9</v>
      </c>
      <c r="U3703" s="785">
        <v>44715.429756944402</v>
      </c>
    </row>
    <row r="3704" spans="1:21">
      <c r="A3704" s="782">
        <v>44644</v>
      </c>
      <c r="B3704" s="783" t="s">
        <v>65</v>
      </c>
      <c r="C3704" s="783" t="s">
        <v>4139</v>
      </c>
      <c r="D3704" s="783" t="s">
        <v>4009</v>
      </c>
      <c r="E3704" s="783" t="s">
        <v>6622</v>
      </c>
      <c r="F3704" s="783" t="s">
        <v>4011</v>
      </c>
      <c r="G3704" s="783" t="s">
        <v>4028</v>
      </c>
      <c r="H3704" s="783" t="s">
        <v>6623</v>
      </c>
      <c r="I3704" s="783" t="s">
        <v>6624</v>
      </c>
      <c r="J3704" s="783">
        <v>25</v>
      </c>
      <c r="K3704" s="783" t="s">
        <v>444</v>
      </c>
      <c r="L3704" s="783" t="s">
        <v>4014</v>
      </c>
      <c r="M3704" s="784">
        <v>19347.7</v>
      </c>
      <c r="N3704" s="784">
        <v>19</v>
      </c>
      <c r="O3704" s="784">
        <v>1.7</v>
      </c>
      <c r="P3704" s="783">
        <v>599</v>
      </c>
      <c r="Q3704" s="783">
        <v>1209.23</v>
      </c>
      <c r="R3704" s="783">
        <v>719.2</v>
      </c>
      <c r="S3704" s="783">
        <v>354.6</v>
      </c>
      <c r="T3704" s="783">
        <v>135.43</v>
      </c>
      <c r="U3704" s="785">
        <v>44644.640833333302</v>
      </c>
    </row>
    <row r="3705" spans="1:21">
      <c r="A3705" s="782">
        <v>44644</v>
      </c>
      <c r="B3705" s="783" t="s">
        <v>65</v>
      </c>
      <c r="C3705" s="783" t="s">
        <v>4071</v>
      </c>
      <c r="D3705" s="783" t="s">
        <v>4009</v>
      </c>
      <c r="E3705" s="783" t="s">
        <v>6622</v>
      </c>
      <c r="F3705" s="783" t="s">
        <v>4011</v>
      </c>
      <c r="G3705" s="783" t="s">
        <v>4028</v>
      </c>
      <c r="H3705" s="783" t="s">
        <v>6623</v>
      </c>
      <c r="I3705" s="783" t="s">
        <v>6624</v>
      </c>
      <c r="J3705" s="783">
        <v>25</v>
      </c>
      <c r="K3705" s="783" t="s">
        <v>444</v>
      </c>
      <c r="L3705" s="783" t="s">
        <v>4014</v>
      </c>
      <c r="M3705" s="784">
        <v>11201.3</v>
      </c>
      <c r="N3705" s="784">
        <v>11</v>
      </c>
      <c r="O3705" s="784">
        <v>1.7</v>
      </c>
      <c r="P3705" s="783">
        <v>599</v>
      </c>
      <c r="Q3705" s="783">
        <v>620.54999999999995</v>
      </c>
      <c r="R3705" s="783">
        <v>369.83</v>
      </c>
      <c r="S3705" s="783">
        <v>183.52</v>
      </c>
      <c r="T3705" s="783">
        <v>67.209999999999994</v>
      </c>
      <c r="U3705" s="785">
        <v>44644.640833333302</v>
      </c>
    </row>
    <row r="3706" spans="1:21">
      <c r="A3706" s="782">
        <v>44559</v>
      </c>
      <c r="B3706" s="783" t="s">
        <v>34</v>
      </c>
      <c r="C3706" s="783" t="s">
        <v>4139</v>
      </c>
      <c r="D3706" s="783" t="s">
        <v>4009</v>
      </c>
      <c r="E3706" s="783" t="s">
        <v>6000</v>
      </c>
      <c r="F3706" s="783" t="s">
        <v>4011</v>
      </c>
      <c r="G3706" s="783" t="str">
        <f t="shared" ref="G3706:G3717" si="194">VLOOKUP(I3706,pacage,2,FALSE)</f>
        <v>Renewal (25% in 2020)</v>
      </c>
      <c r="H3706" s="783" t="s">
        <v>6001</v>
      </c>
      <c r="I3706" s="783" t="s">
        <v>6002</v>
      </c>
      <c r="J3706" s="783">
        <v>25</v>
      </c>
      <c r="K3706" s="783" t="s">
        <v>444</v>
      </c>
      <c r="L3706" s="783" t="s">
        <v>4014</v>
      </c>
      <c r="M3706" s="784">
        <v>9232.5</v>
      </c>
      <c r="N3706" s="784">
        <v>12.31</v>
      </c>
      <c r="O3706" s="784">
        <v>1.5</v>
      </c>
      <c r="P3706" s="783">
        <v>500</v>
      </c>
      <c r="Q3706" s="783">
        <v>577.03</v>
      </c>
      <c r="R3706" s="783">
        <v>411.15</v>
      </c>
      <c r="S3706" s="783">
        <v>101.26</v>
      </c>
      <c r="T3706" s="783">
        <v>64.63</v>
      </c>
      <c r="U3706" s="785">
        <v>44631.635381944398</v>
      </c>
    </row>
    <row r="3707" spans="1:21">
      <c r="A3707" s="782">
        <v>44551</v>
      </c>
      <c r="B3707" s="783" t="s">
        <v>74</v>
      </c>
      <c r="C3707" s="783" t="s">
        <v>4097</v>
      </c>
      <c r="D3707" s="783" t="s">
        <v>4038</v>
      </c>
      <c r="E3707" s="783" t="s">
        <v>6522</v>
      </c>
      <c r="F3707" s="783" t="s">
        <v>4011</v>
      </c>
      <c r="G3707" s="783" t="str">
        <f t="shared" si="194"/>
        <v>New contract</v>
      </c>
      <c r="H3707" s="783" t="s">
        <v>6523</v>
      </c>
      <c r="I3707" s="783" t="s">
        <v>6524</v>
      </c>
      <c r="J3707" s="783">
        <v>20</v>
      </c>
      <c r="K3707" s="783" t="s">
        <v>444</v>
      </c>
      <c r="L3707" s="783" t="s">
        <v>4014</v>
      </c>
      <c r="M3707" s="784">
        <v>5207.2</v>
      </c>
      <c r="N3707" s="784">
        <v>8</v>
      </c>
      <c r="O3707" s="784">
        <v>2.83</v>
      </c>
      <c r="P3707" s="783">
        <v>230</v>
      </c>
      <c r="Q3707" s="783">
        <v>553.53</v>
      </c>
      <c r="R3707" s="783">
        <v>310.35000000000002</v>
      </c>
      <c r="S3707" s="783">
        <v>47.91</v>
      </c>
      <c r="T3707" s="783">
        <v>195.27</v>
      </c>
      <c r="U3707" s="785">
        <v>44631.636874999997</v>
      </c>
    </row>
    <row r="3708" spans="1:21">
      <c r="A3708" s="782">
        <v>44698</v>
      </c>
      <c r="B3708" s="783" t="s">
        <v>41</v>
      </c>
      <c r="C3708" s="783" t="s">
        <v>4082</v>
      </c>
      <c r="D3708" s="783" t="s">
        <v>4009</v>
      </c>
      <c r="E3708" s="783" t="s">
        <v>6537</v>
      </c>
      <c r="F3708" s="783" t="s">
        <v>4011</v>
      </c>
      <c r="G3708" s="783" t="str">
        <f t="shared" si="194"/>
        <v>New contract</v>
      </c>
      <c r="H3708" s="783" t="s">
        <v>6538</v>
      </c>
      <c r="I3708" s="783" t="s">
        <v>6539</v>
      </c>
      <c r="J3708" s="783">
        <v>25</v>
      </c>
      <c r="K3708" s="783" t="s">
        <v>7115</v>
      </c>
      <c r="L3708" s="783" t="s">
        <v>4014</v>
      </c>
      <c r="M3708" s="784">
        <v>3933.7</v>
      </c>
      <c r="N3708" s="784">
        <v>5.66</v>
      </c>
      <c r="O3708" s="784">
        <v>2.5</v>
      </c>
      <c r="P3708" s="783">
        <v>278</v>
      </c>
      <c r="Q3708" s="783">
        <v>292.67</v>
      </c>
      <c r="R3708" s="783">
        <v>221.07</v>
      </c>
      <c r="S3708" s="783">
        <v>39.340000000000003</v>
      </c>
      <c r="T3708" s="783">
        <v>32.26</v>
      </c>
      <c r="U3708" s="785">
        <v>44699.4924537037</v>
      </c>
    </row>
    <row r="3709" spans="1:21">
      <c r="A3709" s="782">
        <v>44686</v>
      </c>
      <c r="B3709" s="783" t="s">
        <v>3078</v>
      </c>
      <c r="C3709" s="783" t="s">
        <v>4414</v>
      </c>
      <c r="D3709" s="783" t="s">
        <v>4009</v>
      </c>
      <c r="E3709" s="783" t="s">
        <v>3179</v>
      </c>
      <c r="F3709" s="783" t="s">
        <v>4011</v>
      </c>
      <c r="G3709" s="783" t="str">
        <f t="shared" si="194"/>
        <v>Renewal (25% in 2020)</v>
      </c>
      <c r="H3709" s="783" t="s">
        <v>6540</v>
      </c>
      <c r="I3709" s="783" t="s">
        <v>6541</v>
      </c>
      <c r="J3709" s="783">
        <v>25</v>
      </c>
      <c r="K3709" s="783" t="s">
        <v>7115</v>
      </c>
      <c r="L3709" s="783" t="s">
        <v>4014</v>
      </c>
      <c r="M3709" s="784">
        <v>7893.18</v>
      </c>
      <c r="N3709" s="784">
        <v>9.4</v>
      </c>
      <c r="O3709" s="784">
        <v>3.11</v>
      </c>
      <c r="P3709" s="783">
        <v>270</v>
      </c>
      <c r="Q3709" s="783">
        <v>795.63</v>
      </c>
      <c r="R3709" s="783">
        <v>541.47</v>
      </c>
      <c r="S3709" s="783">
        <v>86.04</v>
      </c>
      <c r="T3709" s="783">
        <v>168.12</v>
      </c>
      <c r="U3709" s="785">
        <v>44687.668344907397</v>
      </c>
    </row>
    <row r="3710" spans="1:21">
      <c r="A3710" s="782">
        <v>44678</v>
      </c>
      <c r="B3710" s="783" t="s">
        <v>118</v>
      </c>
      <c r="C3710" s="783" t="s">
        <v>4139</v>
      </c>
      <c r="D3710" s="783" t="s">
        <v>4009</v>
      </c>
      <c r="E3710" s="783" t="s">
        <v>1097</v>
      </c>
      <c r="F3710" s="783" t="s">
        <v>4011</v>
      </c>
      <c r="G3710" s="783" t="str">
        <f t="shared" si="194"/>
        <v>New contract</v>
      </c>
      <c r="H3710" s="783" t="s">
        <v>4235</v>
      </c>
      <c r="I3710" s="783" t="s">
        <v>4236</v>
      </c>
      <c r="J3710" s="783">
        <v>25</v>
      </c>
      <c r="K3710" s="783" t="s">
        <v>7115</v>
      </c>
      <c r="L3710" s="783" t="s">
        <v>4014</v>
      </c>
      <c r="M3710" s="784">
        <v>12412.4</v>
      </c>
      <c r="N3710" s="784">
        <v>16.12</v>
      </c>
      <c r="O3710" s="784">
        <v>3.5</v>
      </c>
      <c r="P3710" s="783">
        <v>220</v>
      </c>
      <c r="Q3710" s="783">
        <v>705.02</v>
      </c>
      <c r="R3710" s="783">
        <v>546.15</v>
      </c>
      <c r="S3710" s="783">
        <v>80.680000000000007</v>
      </c>
      <c r="T3710" s="783">
        <v>78.2</v>
      </c>
      <c r="U3710" s="785">
        <v>44680.660208333298</v>
      </c>
    </row>
    <row r="3711" spans="1:21">
      <c r="A3711" s="782">
        <v>44680</v>
      </c>
      <c r="B3711" s="783" t="s">
        <v>47</v>
      </c>
      <c r="C3711" s="783" t="s">
        <v>4101</v>
      </c>
      <c r="D3711" s="783" t="s">
        <v>4102</v>
      </c>
      <c r="E3711" s="783" t="s">
        <v>4638</v>
      </c>
      <c r="F3711" s="783" t="s">
        <v>4011</v>
      </c>
      <c r="G3711" s="783" t="str">
        <f t="shared" si="194"/>
        <v>Renewal (15% in 2020)</v>
      </c>
      <c r="H3711" s="783" t="s">
        <v>4639</v>
      </c>
      <c r="I3711" s="783" t="s">
        <v>4640</v>
      </c>
      <c r="J3711" s="783">
        <v>15</v>
      </c>
      <c r="K3711" s="783" t="s">
        <v>7115</v>
      </c>
      <c r="L3711" s="783" t="s">
        <v>4014</v>
      </c>
      <c r="M3711" s="784">
        <v>19957.28</v>
      </c>
      <c r="N3711" s="784">
        <v>14.42</v>
      </c>
      <c r="O3711" s="784">
        <v>3.46</v>
      </c>
      <c r="P3711" s="783">
        <v>400</v>
      </c>
      <c r="Q3711" s="783">
        <v>1832.08</v>
      </c>
      <c r="R3711" s="783">
        <v>560.36</v>
      </c>
      <c r="S3711" s="783">
        <v>367.65</v>
      </c>
      <c r="T3711" s="783">
        <v>904.06</v>
      </c>
      <c r="U3711" s="785">
        <v>44683.488113425898</v>
      </c>
    </row>
    <row r="3712" spans="1:21">
      <c r="A3712" s="782">
        <v>44693</v>
      </c>
      <c r="B3712" s="783" t="s">
        <v>41</v>
      </c>
      <c r="C3712" s="783" t="s">
        <v>4139</v>
      </c>
      <c r="D3712" s="783" t="s">
        <v>4009</v>
      </c>
      <c r="E3712" s="783" t="s">
        <v>60</v>
      </c>
      <c r="F3712" s="783" t="s">
        <v>4011</v>
      </c>
      <c r="G3712" s="783" t="str">
        <f t="shared" si="194"/>
        <v>Renewal (15% in 2020)</v>
      </c>
      <c r="H3712" s="783" t="s">
        <v>5932</v>
      </c>
      <c r="I3712" s="783" t="s">
        <v>5933</v>
      </c>
      <c r="J3712" s="783">
        <v>15</v>
      </c>
      <c r="K3712" s="783" t="s">
        <v>7115</v>
      </c>
      <c r="L3712" s="783" t="s">
        <v>4014</v>
      </c>
      <c r="M3712" s="784">
        <v>19296.45</v>
      </c>
      <c r="N3712" s="784">
        <v>12.33</v>
      </c>
      <c r="O3712" s="784">
        <v>3.13</v>
      </c>
      <c r="P3712" s="783">
        <v>500</v>
      </c>
      <c r="Q3712" s="783">
        <v>1916.14</v>
      </c>
      <c r="R3712" s="783">
        <v>472.07</v>
      </c>
      <c r="S3712" s="783">
        <v>502.4</v>
      </c>
      <c r="T3712" s="783">
        <v>941.67</v>
      </c>
      <c r="U3712" s="785">
        <v>44694.417210648098</v>
      </c>
    </row>
    <row r="3713" spans="1:21">
      <c r="A3713" s="782">
        <v>44488</v>
      </c>
      <c r="B3713" s="783" t="s">
        <v>41</v>
      </c>
      <c r="C3713" s="783" t="s">
        <v>4082</v>
      </c>
      <c r="D3713" s="783" t="s">
        <v>4009</v>
      </c>
      <c r="E3713" s="783" t="s">
        <v>6346</v>
      </c>
      <c r="F3713" s="783" t="s">
        <v>4011</v>
      </c>
      <c r="G3713" s="783" t="str">
        <f t="shared" si="194"/>
        <v>Renewal (25% in 2020)</v>
      </c>
      <c r="H3713" s="783" t="s">
        <v>6347</v>
      </c>
      <c r="I3713" s="783" t="s">
        <v>6348</v>
      </c>
      <c r="J3713" s="783">
        <v>25</v>
      </c>
      <c r="K3713" s="783" t="s">
        <v>7115</v>
      </c>
      <c r="L3713" s="783" t="s">
        <v>4014</v>
      </c>
      <c r="M3713" s="784">
        <v>6586.65</v>
      </c>
      <c r="N3713" s="784">
        <v>10.25</v>
      </c>
      <c r="O3713" s="784">
        <v>3.06</v>
      </c>
      <c r="P3713" s="783">
        <v>210</v>
      </c>
      <c r="Q3713" s="783">
        <v>490.05</v>
      </c>
      <c r="R3713" s="783">
        <v>370.17</v>
      </c>
      <c r="S3713" s="783">
        <v>65.87</v>
      </c>
      <c r="T3713" s="783">
        <v>54.01</v>
      </c>
      <c r="U3713" s="785">
        <v>44631.637870370403</v>
      </c>
    </row>
    <row r="3714" spans="1:21">
      <c r="A3714" s="782">
        <v>44490</v>
      </c>
      <c r="B3714" s="783" t="s">
        <v>41</v>
      </c>
      <c r="C3714" s="783" t="s">
        <v>4139</v>
      </c>
      <c r="D3714" s="783" t="s">
        <v>4009</v>
      </c>
      <c r="E3714" s="783" t="s">
        <v>6359</v>
      </c>
      <c r="F3714" s="783" t="s">
        <v>4011</v>
      </c>
      <c r="G3714" s="783" t="str">
        <f t="shared" si="194"/>
        <v>Renewal (15% in 2020)</v>
      </c>
      <c r="H3714" s="783" t="s">
        <v>6360</v>
      </c>
      <c r="I3714" s="783" t="s">
        <v>6361</v>
      </c>
      <c r="J3714" s="783">
        <v>15</v>
      </c>
      <c r="K3714" s="783" t="s">
        <v>7115</v>
      </c>
      <c r="L3714" s="783" t="s">
        <v>4014</v>
      </c>
      <c r="M3714" s="784">
        <v>16124.1</v>
      </c>
      <c r="N3714" s="784">
        <v>14.27</v>
      </c>
      <c r="O3714" s="784">
        <v>3.13</v>
      </c>
      <c r="P3714" s="783">
        <v>361</v>
      </c>
      <c r="Q3714" s="783">
        <v>1601.12</v>
      </c>
      <c r="R3714" s="783">
        <v>546.34</v>
      </c>
      <c r="S3714" s="783">
        <v>267.92</v>
      </c>
      <c r="T3714" s="783">
        <v>786.86</v>
      </c>
      <c r="U3714" s="785">
        <v>44631.6383333333</v>
      </c>
    </row>
    <row r="3715" spans="1:21">
      <c r="A3715" s="782">
        <v>44497</v>
      </c>
      <c r="B3715" s="783" t="s">
        <v>41</v>
      </c>
      <c r="C3715" s="783" t="s">
        <v>4092</v>
      </c>
      <c r="D3715" s="783" t="s">
        <v>4009</v>
      </c>
      <c r="E3715" s="783" t="s">
        <v>4854</v>
      </c>
      <c r="F3715" s="783" t="s">
        <v>4011</v>
      </c>
      <c r="G3715" s="783" t="str">
        <f t="shared" si="194"/>
        <v>Renewal (25% in 2020)</v>
      </c>
      <c r="H3715" s="783" t="s">
        <v>4855</v>
      </c>
      <c r="I3715" s="783" t="s">
        <v>4856</v>
      </c>
      <c r="J3715" s="783">
        <v>25</v>
      </c>
      <c r="K3715" s="783" t="s">
        <v>912</v>
      </c>
      <c r="L3715" s="783" t="s">
        <v>4014</v>
      </c>
      <c r="M3715" s="784">
        <v>3852.2</v>
      </c>
      <c r="N3715" s="784">
        <v>5.15</v>
      </c>
      <c r="O3715" s="784">
        <v>1.36</v>
      </c>
      <c r="P3715" s="783">
        <v>550</v>
      </c>
      <c r="Q3715" s="783">
        <v>424.9</v>
      </c>
      <c r="R3715" s="783">
        <v>325.13</v>
      </c>
      <c r="S3715" s="783">
        <v>56.63</v>
      </c>
      <c r="T3715" s="783">
        <v>43.14</v>
      </c>
      <c r="U3715" s="785">
        <v>44631.509618055599</v>
      </c>
    </row>
    <row r="3716" spans="1:21">
      <c r="A3716" s="782">
        <v>44697</v>
      </c>
      <c r="B3716" s="783" t="s">
        <v>41</v>
      </c>
      <c r="C3716" s="783" t="s">
        <v>4092</v>
      </c>
      <c r="D3716" s="783" t="s">
        <v>4009</v>
      </c>
      <c r="E3716" s="783" t="s">
        <v>4535</v>
      </c>
      <c r="F3716" s="783" t="s">
        <v>4011</v>
      </c>
      <c r="G3716" s="783" t="str">
        <f t="shared" si="194"/>
        <v>Renewal (25% in 2020)</v>
      </c>
      <c r="H3716" s="783" t="s">
        <v>4536</v>
      </c>
      <c r="I3716" s="783" t="s">
        <v>4537</v>
      </c>
      <c r="J3716" s="783">
        <v>25</v>
      </c>
      <c r="K3716" s="783" t="s">
        <v>912</v>
      </c>
      <c r="L3716" s="783" t="s">
        <v>4014</v>
      </c>
      <c r="M3716" s="784">
        <v>43131.83</v>
      </c>
      <c r="N3716" s="784">
        <v>23.55</v>
      </c>
      <c r="O3716" s="784">
        <v>3.33</v>
      </c>
      <c r="P3716" s="783">
        <v>550</v>
      </c>
      <c r="Q3716" s="783">
        <v>4757.4399999999996</v>
      </c>
      <c r="R3716" s="783">
        <v>3640.33</v>
      </c>
      <c r="S3716" s="783">
        <v>634.04</v>
      </c>
      <c r="T3716" s="783">
        <v>483.08</v>
      </c>
      <c r="U3716" s="785">
        <v>44699.505486111098</v>
      </c>
    </row>
    <row r="3717" spans="1:21">
      <c r="A3717" s="782">
        <v>44712</v>
      </c>
      <c r="B3717" s="783" t="s">
        <v>41</v>
      </c>
      <c r="C3717" s="783" t="s">
        <v>4092</v>
      </c>
      <c r="D3717" s="783" t="s">
        <v>4009</v>
      </c>
      <c r="E3717" s="783" t="s">
        <v>605</v>
      </c>
      <c r="F3717" s="783" t="s">
        <v>4011</v>
      </c>
      <c r="G3717" s="783" t="str">
        <f t="shared" si="194"/>
        <v>Renewal (15% in 2020)</v>
      </c>
      <c r="H3717" s="783" t="s">
        <v>4161</v>
      </c>
      <c r="I3717" s="783" t="s">
        <v>4162</v>
      </c>
      <c r="J3717" s="783">
        <v>15</v>
      </c>
      <c r="K3717" s="783" t="s">
        <v>912</v>
      </c>
      <c r="L3717" s="783" t="s">
        <v>4014</v>
      </c>
      <c r="M3717" s="784">
        <v>40821</v>
      </c>
      <c r="N3717" s="784">
        <v>24.74</v>
      </c>
      <c r="O3717" s="784">
        <v>3</v>
      </c>
      <c r="P3717" s="783">
        <v>550</v>
      </c>
      <c r="Q3717" s="783">
        <v>7821.3</v>
      </c>
      <c r="R3717" s="783">
        <v>3445.29</v>
      </c>
      <c r="S3717" s="783">
        <v>600.07000000000005</v>
      </c>
      <c r="T3717" s="783">
        <v>3775.94</v>
      </c>
      <c r="U3717" s="785">
        <v>44714.667314814797</v>
      </c>
    </row>
    <row r="3718" spans="1:21">
      <c r="A3718" s="782">
        <v>44572</v>
      </c>
      <c r="B3718" s="783" t="s">
        <v>41</v>
      </c>
      <c r="C3718" s="783" t="s">
        <v>4092</v>
      </c>
      <c r="D3718" s="783" t="s">
        <v>4009</v>
      </c>
      <c r="E3718" s="783" t="s">
        <v>6012</v>
      </c>
      <c r="F3718" s="783" t="s">
        <v>4011</v>
      </c>
      <c r="G3718" s="783" t="s">
        <v>4028</v>
      </c>
      <c r="H3718" s="783" t="s">
        <v>6013</v>
      </c>
      <c r="I3718" s="783" t="s">
        <v>6014</v>
      </c>
      <c r="J3718" s="783">
        <v>25</v>
      </c>
      <c r="K3718" s="783" t="s">
        <v>912</v>
      </c>
      <c r="L3718" s="783" t="s">
        <v>4014</v>
      </c>
      <c r="M3718" s="784">
        <v>17388.8</v>
      </c>
      <c r="N3718" s="784">
        <v>12.8</v>
      </c>
      <c r="O3718" s="784">
        <v>2.4700000000000002</v>
      </c>
      <c r="P3718" s="783">
        <v>550</v>
      </c>
      <c r="Q3718" s="783">
        <v>1917.98</v>
      </c>
      <c r="R3718" s="783">
        <v>1467.61</v>
      </c>
      <c r="S3718" s="783">
        <v>255.62</v>
      </c>
      <c r="T3718" s="783">
        <v>194.75</v>
      </c>
      <c r="U3718" s="785">
        <v>44631.632615740702</v>
      </c>
    </row>
    <row r="3719" spans="1:21">
      <c r="A3719" s="782">
        <v>44537</v>
      </c>
      <c r="B3719" s="783" t="s">
        <v>41</v>
      </c>
      <c r="C3719" s="783" t="s">
        <v>4082</v>
      </c>
      <c r="D3719" s="783" t="s">
        <v>4009</v>
      </c>
      <c r="E3719" s="783" t="s">
        <v>6132</v>
      </c>
      <c r="F3719" s="783" t="s">
        <v>4011</v>
      </c>
      <c r="G3719" s="783" t="str">
        <f t="shared" ref="G3719:G3730" si="195">VLOOKUP(I3719,pacage,2,FALSE)</f>
        <v>New contract</v>
      </c>
      <c r="H3719" s="783" t="s">
        <v>6133</v>
      </c>
      <c r="I3719" s="783" t="s">
        <v>6134</v>
      </c>
      <c r="J3719" s="783">
        <v>20</v>
      </c>
      <c r="K3719" s="783" t="s">
        <v>912</v>
      </c>
      <c r="L3719" s="783" t="s">
        <v>4014</v>
      </c>
      <c r="M3719" s="784">
        <v>860</v>
      </c>
      <c r="N3719" s="784">
        <v>1</v>
      </c>
      <c r="O3719" s="784">
        <v>2</v>
      </c>
      <c r="P3719" s="783">
        <v>430</v>
      </c>
      <c r="Q3719" s="783">
        <v>115.93</v>
      </c>
      <c r="R3719" s="783">
        <v>68.540000000000006</v>
      </c>
      <c r="S3719" s="783">
        <v>12.04</v>
      </c>
      <c r="T3719" s="783">
        <v>35.35</v>
      </c>
      <c r="U3719" s="785">
        <v>44631.632916666698</v>
      </c>
    </row>
    <row r="3720" spans="1:21">
      <c r="A3720" s="782">
        <v>44409</v>
      </c>
      <c r="B3720" s="783" t="s">
        <v>1423</v>
      </c>
      <c r="C3720" s="783" t="s">
        <v>4097</v>
      </c>
      <c r="D3720" s="783" t="s">
        <v>4038</v>
      </c>
      <c r="E3720" s="783" t="s">
        <v>4744</v>
      </c>
      <c r="F3720" s="783" t="s">
        <v>4011</v>
      </c>
      <c r="G3720" s="783" t="str">
        <f t="shared" si="195"/>
        <v>Renewal (25% in 2020)</v>
      </c>
      <c r="H3720" s="783" t="s">
        <v>4745</v>
      </c>
      <c r="I3720" s="783" t="s">
        <v>4746</v>
      </c>
      <c r="J3720" s="783">
        <v>25</v>
      </c>
      <c r="K3720" s="783" t="s">
        <v>685</v>
      </c>
      <c r="L3720" s="783" t="s">
        <v>4014</v>
      </c>
      <c r="M3720" s="784">
        <v>8356.7000000000007</v>
      </c>
      <c r="N3720" s="784">
        <v>7.1</v>
      </c>
      <c r="O3720" s="784">
        <v>1.07</v>
      </c>
      <c r="P3720" s="783">
        <v>1100</v>
      </c>
      <c r="Q3720" s="783">
        <v>985.25</v>
      </c>
      <c r="R3720" s="783">
        <v>588.87</v>
      </c>
      <c r="S3720" s="783">
        <v>230.92</v>
      </c>
      <c r="T3720" s="783">
        <v>165.46</v>
      </c>
      <c r="U3720" s="785">
        <v>44631.504155092603</v>
      </c>
    </row>
    <row r="3721" spans="1:21">
      <c r="A3721" s="782">
        <v>44409</v>
      </c>
      <c r="B3721" s="783" t="s">
        <v>74</v>
      </c>
      <c r="C3721" s="783" t="s">
        <v>4037</v>
      </c>
      <c r="D3721" s="783" t="s">
        <v>4038</v>
      </c>
      <c r="E3721" s="783" t="s">
        <v>6643</v>
      </c>
      <c r="F3721" s="783" t="s">
        <v>4011</v>
      </c>
      <c r="G3721" s="783" t="str">
        <f t="shared" si="195"/>
        <v>Renewal (15% in 2020)</v>
      </c>
      <c r="H3721" s="783" t="s">
        <v>6644</v>
      </c>
      <c r="I3721" s="783" t="s">
        <v>6645</v>
      </c>
      <c r="J3721" s="783">
        <v>15</v>
      </c>
      <c r="K3721" s="783" t="s">
        <v>685</v>
      </c>
      <c r="L3721" s="783" t="s">
        <v>4014</v>
      </c>
      <c r="M3721" s="784">
        <v>58410</v>
      </c>
      <c r="N3721" s="784">
        <v>38.94</v>
      </c>
      <c r="O3721" s="784">
        <v>1.5</v>
      </c>
      <c r="P3721" s="783">
        <v>1000</v>
      </c>
      <c r="Q3721" s="783">
        <v>9252.14</v>
      </c>
      <c r="R3721" s="783">
        <v>5658.14</v>
      </c>
      <c r="S3721" s="783">
        <v>1561.34</v>
      </c>
      <c r="T3721" s="783">
        <v>2032.67</v>
      </c>
      <c r="U3721" s="785">
        <v>44631.504837963003</v>
      </c>
    </row>
    <row r="3722" spans="1:21">
      <c r="A3722" s="782">
        <v>44540</v>
      </c>
      <c r="B3722" s="783" t="s">
        <v>74</v>
      </c>
      <c r="C3722" s="783" t="s">
        <v>4037</v>
      </c>
      <c r="D3722" s="783" t="s">
        <v>4038</v>
      </c>
      <c r="E3722" s="783" t="s">
        <v>6420</v>
      </c>
      <c r="F3722" s="783" t="s">
        <v>4011</v>
      </c>
      <c r="G3722" s="783" t="str">
        <f t="shared" si="195"/>
        <v>New Contract</v>
      </c>
      <c r="H3722" s="783" t="s">
        <v>6421</v>
      </c>
      <c r="I3722" s="783" t="s">
        <v>6422</v>
      </c>
      <c r="J3722" s="783">
        <v>20</v>
      </c>
      <c r="K3722" s="783" t="s">
        <v>685</v>
      </c>
      <c r="L3722" s="783" t="s">
        <v>4014</v>
      </c>
      <c r="M3722" s="784">
        <v>15300</v>
      </c>
      <c r="N3722" s="784">
        <v>12.5</v>
      </c>
      <c r="O3722" s="784">
        <v>1.44</v>
      </c>
      <c r="P3722" s="783">
        <v>850</v>
      </c>
      <c r="Q3722" s="783">
        <v>2423.52</v>
      </c>
      <c r="R3722" s="783">
        <v>1623.33</v>
      </c>
      <c r="S3722" s="783">
        <v>267.75</v>
      </c>
      <c r="T3722" s="783">
        <v>532.44000000000005</v>
      </c>
      <c r="U3722" s="785">
        <v>44631.5156712963</v>
      </c>
    </row>
    <row r="3723" spans="1:21">
      <c r="A3723" s="782">
        <v>44684</v>
      </c>
      <c r="B3723" s="783" t="s">
        <v>74</v>
      </c>
      <c r="C3723" s="783" t="s">
        <v>4037</v>
      </c>
      <c r="D3723" s="783" t="s">
        <v>4038</v>
      </c>
      <c r="E3723" s="783" t="s">
        <v>6443</v>
      </c>
      <c r="F3723" s="783" t="s">
        <v>4011</v>
      </c>
      <c r="G3723" s="783" t="str">
        <f t="shared" si="195"/>
        <v>New contract</v>
      </c>
      <c r="H3723" s="783" t="s">
        <v>6444</v>
      </c>
      <c r="I3723" s="783" t="s">
        <v>6445</v>
      </c>
      <c r="J3723" s="783">
        <v>20</v>
      </c>
      <c r="K3723" s="783" t="s">
        <v>685</v>
      </c>
      <c r="L3723" s="783" t="s">
        <v>4014</v>
      </c>
      <c r="M3723" s="784">
        <v>30667.45</v>
      </c>
      <c r="N3723" s="784">
        <v>20.350000000000001</v>
      </c>
      <c r="O3723" s="784">
        <v>1.37</v>
      </c>
      <c r="P3723" s="783">
        <v>1100</v>
      </c>
      <c r="Q3723" s="783">
        <v>4857.72</v>
      </c>
      <c r="R3723" s="783">
        <v>2700.67</v>
      </c>
      <c r="S3723" s="783">
        <v>1089.83</v>
      </c>
      <c r="T3723" s="783">
        <v>1067.23</v>
      </c>
      <c r="U3723" s="785">
        <v>44685.461122685199</v>
      </c>
    </row>
    <row r="3724" spans="1:21">
      <c r="A3724" s="782">
        <v>44700</v>
      </c>
      <c r="B3724" s="783" t="s">
        <v>34</v>
      </c>
      <c r="C3724" s="783" t="s">
        <v>4139</v>
      </c>
      <c r="D3724" s="783" t="s">
        <v>4009</v>
      </c>
      <c r="E3724" s="783" t="s">
        <v>6449</v>
      </c>
      <c r="F3724" s="783" t="s">
        <v>4011</v>
      </c>
      <c r="G3724" s="783" t="str">
        <f t="shared" si="195"/>
        <v>Renewal (20% in 2020)</v>
      </c>
      <c r="H3724" s="783" t="s">
        <v>6450</v>
      </c>
      <c r="I3724" s="783" t="s">
        <v>6451</v>
      </c>
      <c r="J3724" s="783">
        <v>20</v>
      </c>
      <c r="K3724" s="783" t="s">
        <v>685</v>
      </c>
      <c r="L3724" s="783" t="s">
        <v>4014</v>
      </c>
      <c r="M3724" s="784">
        <v>19008</v>
      </c>
      <c r="N3724" s="784">
        <v>11.88</v>
      </c>
      <c r="O3724" s="784">
        <v>1.6</v>
      </c>
      <c r="P3724" s="783">
        <v>1000</v>
      </c>
      <c r="Q3724" s="783">
        <v>2220.13</v>
      </c>
      <c r="R3724" s="783">
        <v>1223.48</v>
      </c>
      <c r="S3724" s="783">
        <v>312.37</v>
      </c>
      <c r="T3724" s="783">
        <v>684.29</v>
      </c>
      <c r="U3724" s="785">
        <v>44700.619351851798</v>
      </c>
    </row>
    <row r="3725" spans="1:21">
      <c r="A3725" s="782">
        <v>44700</v>
      </c>
      <c r="B3725" s="783" t="s">
        <v>34</v>
      </c>
      <c r="C3725" s="783" t="s">
        <v>4139</v>
      </c>
      <c r="D3725" s="783" t="s">
        <v>4009</v>
      </c>
      <c r="E3725" s="783" t="s">
        <v>6452</v>
      </c>
      <c r="F3725" s="783" t="s">
        <v>4011</v>
      </c>
      <c r="G3725" s="783" t="str">
        <f t="shared" si="195"/>
        <v>Renewal (20% in 2020)</v>
      </c>
      <c r="H3725" s="783" t="s">
        <v>6453</v>
      </c>
      <c r="I3725" s="783" t="s">
        <v>6454</v>
      </c>
      <c r="J3725" s="783">
        <v>20</v>
      </c>
      <c r="K3725" s="783" t="s">
        <v>685</v>
      </c>
      <c r="L3725" s="783" t="s">
        <v>4014</v>
      </c>
      <c r="M3725" s="784">
        <v>19138.8</v>
      </c>
      <c r="N3725" s="784">
        <v>15.56</v>
      </c>
      <c r="O3725" s="784">
        <v>1.23</v>
      </c>
      <c r="P3725" s="783">
        <v>1000</v>
      </c>
      <c r="Q3725" s="783">
        <v>2235.41</v>
      </c>
      <c r="R3725" s="783">
        <v>1231.9000000000001</v>
      </c>
      <c r="S3725" s="783">
        <v>314.52</v>
      </c>
      <c r="T3725" s="783">
        <v>689</v>
      </c>
      <c r="U3725" s="785">
        <v>44701.678587962997</v>
      </c>
    </row>
    <row r="3726" spans="1:21">
      <c r="A3726" s="782">
        <v>44685</v>
      </c>
      <c r="B3726" s="783" t="s">
        <v>4025</v>
      </c>
      <c r="C3726" s="783" t="s">
        <v>4026</v>
      </c>
      <c r="D3726" s="783" t="s">
        <v>4021</v>
      </c>
      <c r="E3726" s="783" t="s">
        <v>6457</v>
      </c>
      <c r="F3726" s="783" t="s">
        <v>4011</v>
      </c>
      <c r="G3726" s="783" t="str">
        <f t="shared" si="195"/>
        <v>New Contract</v>
      </c>
      <c r="H3726" s="783" t="s">
        <v>6458</v>
      </c>
      <c r="I3726" s="783" t="s">
        <v>6459</v>
      </c>
      <c r="J3726" s="783">
        <v>20</v>
      </c>
      <c r="K3726" s="783" t="s">
        <v>685</v>
      </c>
      <c r="L3726" s="783" t="s">
        <v>4014</v>
      </c>
      <c r="M3726" s="784">
        <v>3580.2</v>
      </c>
      <c r="N3726" s="784">
        <v>3.6</v>
      </c>
      <c r="O3726" s="784">
        <v>1.53</v>
      </c>
      <c r="P3726" s="783">
        <v>650</v>
      </c>
      <c r="Q3726" s="783">
        <v>496.22</v>
      </c>
      <c r="R3726" s="783">
        <v>326.87</v>
      </c>
      <c r="S3726" s="783">
        <v>52.63</v>
      </c>
      <c r="T3726" s="783">
        <v>116.71</v>
      </c>
      <c r="U3726" s="785">
        <v>44687.638854166697</v>
      </c>
    </row>
    <row r="3727" spans="1:21">
      <c r="A3727" s="782">
        <v>44665</v>
      </c>
      <c r="B3727" s="783" t="s">
        <v>65</v>
      </c>
      <c r="C3727" s="783" t="s">
        <v>4376</v>
      </c>
      <c r="D3727" s="783" t="s">
        <v>4038</v>
      </c>
      <c r="E3727" s="783" t="s">
        <v>6463</v>
      </c>
      <c r="F3727" s="783" t="s">
        <v>4011</v>
      </c>
      <c r="G3727" s="783" t="str">
        <f t="shared" si="195"/>
        <v>New Contract</v>
      </c>
      <c r="H3727" s="783" t="s">
        <v>6464</v>
      </c>
      <c r="I3727" s="783" t="s">
        <v>6465</v>
      </c>
      <c r="J3727" s="783">
        <v>20</v>
      </c>
      <c r="K3727" s="783" t="s">
        <v>685</v>
      </c>
      <c r="L3727" s="783" t="s">
        <v>4014</v>
      </c>
      <c r="M3727" s="784">
        <v>27000</v>
      </c>
      <c r="N3727" s="784">
        <v>15</v>
      </c>
      <c r="O3727" s="784">
        <v>1.8</v>
      </c>
      <c r="P3727" s="783">
        <v>1000</v>
      </c>
      <c r="Q3727" s="783">
        <v>4276.8</v>
      </c>
      <c r="R3727" s="783">
        <v>2716.54</v>
      </c>
      <c r="S3727" s="783">
        <v>728.66</v>
      </c>
      <c r="T3727" s="783">
        <v>831.6</v>
      </c>
      <c r="U3727" s="785">
        <v>44666.387280092596</v>
      </c>
    </row>
    <row r="3728" spans="1:21">
      <c r="A3728" s="782">
        <v>44681</v>
      </c>
      <c r="B3728" s="783" t="s">
        <v>34</v>
      </c>
      <c r="C3728" s="783" t="s">
        <v>4082</v>
      </c>
      <c r="D3728" s="783" t="s">
        <v>4009</v>
      </c>
      <c r="E3728" s="783" t="s">
        <v>4629</v>
      </c>
      <c r="F3728" s="783" t="s">
        <v>4011</v>
      </c>
      <c r="G3728" s="783" t="str">
        <f t="shared" si="195"/>
        <v>Renewal (20% in 2020)</v>
      </c>
      <c r="H3728" s="783" t="s">
        <v>4630</v>
      </c>
      <c r="I3728" s="783" t="s">
        <v>4631</v>
      </c>
      <c r="J3728" s="783">
        <v>20</v>
      </c>
      <c r="K3728" s="783" t="s">
        <v>685</v>
      </c>
      <c r="L3728" s="783" t="s">
        <v>4014</v>
      </c>
      <c r="M3728" s="784">
        <v>30210</v>
      </c>
      <c r="N3728" s="784">
        <v>20.14</v>
      </c>
      <c r="O3728" s="784">
        <v>1.5</v>
      </c>
      <c r="P3728" s="783">
        <v>1000</v>
      </c>
      <c r="Q3728" s="783">
        <v>4480.1400000000003</v>
      </c>
      <c r="R3728" s="783">
        <v>2418.92</v>
      </c>
      <c r="S3728" s="783">
        <v>695.73</v>
      </c>
      <c r="T3728" s="783">
        <v>1365.49</v>
      </c>
      <c r="U3728" s="785">
        <v>44683.4168055556</v>
      </c>
    </row>
    <row r="3729" spans="1:21">
      <c r="A3729" s="782">
        <v>44699</v>
      </c>
      <c r="B3729" s="783" t="s">
        <v>34</v>
      </c>
      <c r="C3729" s="783" t="s">
        <v>4139</v>
      </c>
      <c r="D3729" s="783" t="s">
        <v>4009</v>
      </c>
      <c r="E3729" s="783" t="s">
        <v>6486</v>
      </c>
      <c r="F3729" s="783" t="s">
        <v>4011</v>
      </c>
      <c r="G3729" s="783" t="str">
        <f t="shared" si="195"/>
        <v>Renewal (20% in 2020)</v>
      </c>
      <c r="H3729" s="783" t="s">
        <v>6487</v>
      </c>
      <c r="I3729" s="783" t="s">
        <v>6488</v>
      </c>
      <c r="J3729" s="783">
        <v>20</v>
      </c>
      <c r="K3729" s="783" t="s">
        <v>685</v>
      </c>
      <c r="L3729" s="783" t="s">
        <v>4014</v>
      </c>
      <c r="M3729" s="784">
        <v>14080</v>
      </c>
      <c r="N3729" s="784">
        <v>8.8000000000000007</v>
      </c>
      <c r="O3729" s="784">
        <v>1.6</v>
      </c>
      <c r="P3729" s="783">
        <v>1000</v>
      </c>
      <c r="Q3729" s="783">
        <v>1644.54</v>
      </c>
      <c r="R3729" s="783">
        <v>906.28</v>
      </c>
      <c r="S3729" s="783">
        <v>231.38</v>
      </c>
      <c r="T3729" s="783">
        <v>506.88</v>
      </c>
      <c r="U3729" s="785">
        <v>44700.617939814802</v>
      </c>
    </row>
    <row r="3730" spans="1:21">
      <c r="A3730" s="782">
        <v>44713</v>
      </c>
      <c r="B3730" s="783" t="s">
        <v>41</v>
      </c>
      <c r="C3730" s="783" t="s">
        <v>4092</v>
      </c>
      <c r="D3730" s="783" t="s">
        <v>4009</v>
      </c>
      <c r="E3730" s="783" t="s">
        <v>6492</v>
      </c>
      <c r="F3730" s="783" t="s">
        <v>4011</v>
      </c>
      <c r="G3730" s="783" t="str">
        <f t="shared" si="195"/>
        <v>New contract</v>
      </c>
      <c r="H3730" s="783" t="s">
        <v>6493</v>
      </c>
      <c r="I3730" s="783" t="s">
        <v>6494</v>
      </c>
      <c r="J3730" s="783">
        <v>25</v>
      </c>
      <c r="K3730" s="783" t="s">
        <v>685</v>
      </c>
      <c r="L3730" s="783" t="s">
        <v>4014</v>
      </c>
      <c r="M3730" s="784">
        <v>5313.66</v>
      </c>
      <c r="N3730" s="784">
        <v>3</v>
      </c>
      <c r="O3730" s="784">
        <v>1.94</v>
      </c>
      <c r="P3730" s="783">
        <v>913</v>
      </c>
      <c r="Q3730" s="783">
        <v>644.54999999999995</v>
      </c>
      <c r="R3730" s="783">
        <v>493.11</v>
      </c>
      <c r="S3730" s="783">
        <v>86.08</v>
      </c>
      <c r="T3730" s="783">
        <v>65.36</v>
      </c>
      <c r="U3730" s="785">
        <v>44715.4397916667</v>
      </c>
    </row>
    <row r="3731" spans="1:21">
      <c r="A3731" s="782">
        <v>44712</v>
      </c>
      <c r="B3731" s="783" t="s">
        <v>34</v>
      </c>
      <c r="C3731" s="783" t="s">
        <v>4082</v>
      </c>
      <c r="D3731" s="783" t="s">
        <v>4009</v>
      </c>
      <c r="E3731" s="783" t="s">
        <v>4083</v>
      </c>
      <c r="F3731" s="783" t="s">
        <v>4011</v>
      </c>
      <c r="G3731" s="783" t="s">
        <v>4028</v>
      </c>
      <c r="H3731" s="783" t="s">
        <v>4084</v>
      </c>
      <c r="I3731" s="783" t="s">
        <v>4085</v>
      </c>
      <c r="J3731" s="783">
        <v>25</v>
      </c>
      <c r="K3731" s="783" t="s">
        <v>685</v>
      </c>
      <c r="L3731" s="783" t="s">
        <v>4014</v>
      </c>
      <c r="M3731" s="784">
        <v>28248.44</v>
      </c>
      <c r="N3731" s="784">
        <v>13.64</v>
      </c>
      <c r="O3731" s="784">
        <v>2.1800000000000002</v>
      </c>
      <c r="P3731" s="783">
        <v>950</v>
      </c>
      <c r="Q3731" s="783">
        <v>3231.62</v>
      </c>
      <c r="R3731" s="783">
        <v>2380.9</v>
      </c>
      <c r="S3731" s="783">
        <v>531.51</v>
      </c>
      <c r="T3731" s="783">
        <v>319.20999999999998</v>
      </c>
      <c r="U3731" s="785">
        <v>44714.003958333298</v>
      </c>
    </row>
    <row r="3732" spans="1:21">
      <c r="A3732" s="782">
        <v>44559</v>
      </c>
      <c r="B3732" s="783" t="s">
        <v>34</v>
      </c>
      <c r="C3732" s="783" t="s">
        <v>4139</v>
      </c>
      <c r="D3732" s="783" t="s">
        <v>4009</v>
      </c>
      <c r="E3732" s="783" t="s">
        <v>6000</v>
      </c>
      <c r="F3732" s="783" t="s">
        <v>4011</v>
      </c>
      <c r="G3732" s="783" t="str">
        <f t="shared" ref="G3732:G3754" si="196">VLOOKUP(I3732,pacage,2,FALSE)</f>
        <v>Renewal (25% in 2020)</v>
      </c>
      <c r="H3732" s="783" t="s">
        <v>6001</v>
      </c>
      <c r="I3732" s="783" t="s">
        <v>6002</v>
      </c>
      <c r="J3732" s="783">
        <v>25</v>
      </c>
      <c r="K3732" s="783" t="s">
        <v>685</v>
      </c>
      <c r="L3732" s="783" t="s">
        <v>4014</v>
      </c>
      <c r="M3732" s="784">
        <v>17316</v>
      </c>
      <c r="N3732" s="784">
        <v>14.43</v>
      </c>
      <c r="O3732" s="784">
        <v>1.2</v>
      </c>
      <c r="P3732" s="783">
        <v>1000</v>
      </c>
      <c r="Q3732" s="783">
        <v>1561.9</v>
      </c>
      <c r="R3732" s="783">
        <v>1114.57</v>
      </c>
      <c r="S3732" s="783">
        <v>284.56</v>
      </c>
      <c r="T3732" s="783">
        <v>162.77000000000001</v>
      </c>
      <c r="U3732" s="785">
        <v>44631.635381944398</v>
      </c>
    </row>
    <row r="3733" spans="1:21">
      <c r="A3733" s="782">
        <v>44690</v>
      </c>
      <c r="B3733" s="783" t="s">
        <v>51</v>
      </c>
      <c r="C3733" s="783" t="s">
        <v>4042</v>
      </c>
      <c r="D3733" s="783" t="s">
        <v>4016</v>
      </c>
      <c r="E3733" s="783" t="s">
        <v>1468</v>
      </c>
      <c r="F3733" s="783" t="s">
        <v>4011</v>
      </c>
      <c r="G3733" s="783" t="str">
        <f t="shared" si="196"/>
        <v>Renewal (15% in 2020)</v>
      </c>
      <c r="H3733" s="783" t="s">
        <v>4902</v>
      </c>
      <c r="I3733" s="783" t="s">
        <v>4903</v>
      </c>
      <c r="J3733" s="783">
        <v>30</v>
      </c>
      <c r="K3733" s="783" t="s">
        <v>2696</v>
      </c>
      <c r="L3733" s="783" t="s">
        <v>4014</v>
      </c>
      <c r="M3733" s="784">
        <v>28446.43</v>
      </c>
      <c r="N3733" s="784">
        <v>5</v>
      </c>
      <c r="O3733" s="784">
        <v>30.67</v>
      </c>
      <c r="P3733" s="783">
        <v>185.5</v>
      </c>
      <c r="Q3733" s="783">
        <v>944.42</v>
      </c>
      <c r="R3733" s="783">
        <v>802.19</v>
      </c>
      <c r="S3733" s="783">
        <v>0</v>
      </c>
      <c r="T3733" s="783">
        <v>142.22999999999999</v>
      </c>
      <c r="U3733" s="785">
        <v>44690.678333333301</v>
      </c>
    </row>
    <row r="3734" spans="1:21">
      <c r="A3734" s="782">
        <v>44711</v>
      </c>
      <c r="B3734" s="783" t="s">
        <v>65</v>
      </c>
      <c r="C3734" s="783" t="s">
        <v>4152</v>
      </c>
      <c r="D3734" s="783" t="s">
        <v>4102</v>
      </c>
      <c r="E3734" s="783" t="s">
        <v>1769</v>
      </c>
      <c r="F3734" s="783" t="s">
        <v>4011</v>
      </c>
      <c r="G3734" s="783" t="str">
        <f t="shared" si="196"/>
        <v>Renewal (20% in 2020)</v>
      </c>
      <c r="H3734" s="783" t="s">
        <v>4153</v>
      </c>
      <c r="I3734" s="783" t="s">
        <v>4154</v>
      </c>
      <c r="J3734" s="783">
        <v>20</v>
      </c>
      <c r="K3734" s="783" t="s">
        <v>2696</v>
      </c>
      <c r="L3734" s="783" t="s">
        <v>4014</v>
      </c>
      <c r="M3734" s="784">
        <v>150040.49</v>
      </c>
      <c r="N3734" s="784">
        <v>16.11</v>
      </c>
      <c r="O3734" s="784">
        <v>26.61</v>
      </c>
      <c r="P3734" s="783">
        <v>350</v>
      </c>
      <c r="Q3734" s="783">
        <v>6421.73</v>
      </c>
      <c r="R3734" s="783">
        <v>3766.02</v>
      </c>
      <c r="S3734" s="783">
        <v>615.16999999999996</v>
      </c>
      <c r="T3734" s="783">
        <v>2040.55</v>
      </c>
      <c r="U3734" s="785">
        <v>44713.613599536999</v>
      </c>
    </row>
    <row r="3735" spans="1:21">
      <c r="A3735" s="782">
        <v>44712</v>
      </c>
      <c r="B3735" s="783" t="s">
        <v>47</v>
      </c>
      <c r="C3735" s="783" t="s">
        <v>4101</v>
      </c>
      <c r="D3735" s="783" t="s">
        <v>4102</v>
      </c>
      <c r="E3735" s="783" t="s">
        <v>406</v>
      </c>
      <c r="F3735" s="783" t="s">
        <v>4011</v>
      </c>
      <c r="G3735" s="783" t="str">
        <f t="shared" si="196"/>
        <v>Renewal (20% in 2020)</v>
      </c>
      <c r="H3735" s="783" t="s">
        <v>4262</v>
      </c>
      <c r="I3735" s="783" t="s">
        <v>4263</v>
      </c>
      <c r="J3735" s="783">
        <v>20</v>
      </c>
      <c r="K3735" s="783" t="s">
        <v>2696</v>
      </c>
      <c r="L3735" s="783" t="s">
        <v>4014</v>
      </c>
      <c r="M3735" s="784">
        <v>47866.25</v>
      </c>
      <c r="N3735" s="784">
        <v>7.45</v>
      </c>
      <c r="O3735" s="784">
        <v>25.7</v>
      </c>
      <c r="P3735" s="783">
        <v>250</v>
      </c>
      <c r="Q3735" s="783">
        <v>2862.4</v>
      </c>
      <c r="R3735" s="783">
        <v>1684.89</v>
      </c>
      <c r="S3735" s="783">
        <v>272.83999999999997</v>
      </c>
      <c r="T3735" s="783">
        <v>904.67</v>
      </c>
      <c r="U3735" s="785">
        <v>44714.4746296296</v>
      </c>
    </row>
    <row r="3736" spans="1:21">
      <c r="A3736" s="782">
        <v>44712</v>
      </c>
      <c r="B3736" s="783" t="s">
        <v>47</v>
      </c>
      <c r="C3736" s="783" t="s">
        <v>4101</v>
      </c>
      <c r="D3736" s="783" t="s">
        <v>4102</v>
      </c>
      <c r="E3736" s="783" t="s">
        <v>406</v>
      </c>
      <c r="F3736" s="783" t="s">
        <v>4011</v>
      </c>
      <c r="G3736" s="783" t="str">
        <f t="shared" si="196"/>
        <v>Renewal (20% in 2020)</v>
      </c>
      <c r="H3736" s="783" t="s">
        <v>7116</v>
      </c>
      <c r="I3736" s="783" t="s">
        <v>7117</v>
      </c>
      <c r="J3736" s="783">
        <v>20</v>
      </c>
      <c r="K3736" s="783" t="s">
        <v>2696</v>
      </c>
      <c r="L3736" s="783" t="s">
        <v>4014</v>
      </c>
      <c r="M3736" s="784">
        <v>38954.230000000003</v>
      </c>
      <c r="N3736" s="784">
        <v>6.07</v>
      </c>
      <c r="O3736" s="784">
        <v>25.67</v>
      </c>
      <c r="P3736" s="783">
        <v>250</v>
      </c>
      <c r="Q3736" s="783">
        <v>2329.46</v>
      </c>
      <c r="R3736" s="783">
        <v>1371.19</v>
      </c>
      <c r="S3736" s="783">
        <v>222.04</v>
      </c>
      <c r="T3736" s="783">
        <v>736.23</v>
      </c>
      <c r="U3736" s="785">
        <v>44714.468761574099</v>
      </c>
    </row>
    <row r="3737" spans="1:21">
      <c r="A3737" s="782">
        <v>44698</v>
      </c>
      <c r="B3737" s="783" t="s">
        <v>65</v>
      </c>
      <c r="C3737" s="783" t="s">
        <v>4244</v>
      </c>
      <c r="D3737" s="783" t="s">
        <v>4102</v>
      </c>
      <c r="E3737" s="783" t="s">
        <v>3778</v>
      </c>
      <c r="F3737" s="783" t="s">
        <v>4011</v>
      </c>
      <c r="G3737" s="783" t="str">
        <f t="shared" si="196"/>
        <v>Renewal (20% in 2020)</v>
      </c>
      <c r="H3737" s="783" t="s">
        <v>5795</v>
      </c>
      <c r="I3737" s="783" t="s">
        <v>5796</v>
      </c>
      <c r="J3737" s="783">
        <v>20</v>
      </c>
      <c r="K3737" s="783" t="s">
        <v>2696</v>
      </c>
      <c r="L3737" s="783" t="s">
        <v>4014</v>
      </c>
      <c r="M3737" s="784">
        <v>159724.79999999999</v>
      </c>
      <c r="N3737" s="784">
        <v>16.920000000000002</v>
      </c>
      <c r="O3737" s="784">
        <v>59</v>
      </c>
      <c r="P3737" s="783">
        <v>160</v>
      </c>
      <c r="Q3737" s="783">
        <v>6612.61</v>
      </c>
      <c r="R3737" s="783">
        <v>3881.31</v>
      </c>
      <c r="S3737" s="783">
        <v>622.92999999999995</v>
      </c>
      <c r="T3737" s="783">
        <v>2108.37</v>
      </c>
      <c r="U3737" s="785">
        <v>44699.596053240697</v>
      </c>
    </row>
    <row r="3738" spans="1:21">
      <c r="A3738" s="782">
        <v>44505</v>
      </c>
      <c r="B3738" s="783" t="s">
        <v>4025</v>
      </c>
      <c r="C3738" s="783" t="s">
        <v>4026</v>
      </c>
      <c r="D3738" s="783" t="s">
        <v>4021</v>
      </c>
      <c r="E3738" s="783" t="s">
        <v>6299</v>
      </c>
      <c r="F3738" s="783" t="s">
        <v>4011</v>
      </c>
      <c r="G3738" s="783" t="str">
        <f t="shared" si="196"/>
        <v>New Contract</v>
      </c>
      <c r="H3738" s="783" t="s">
        <v>6300</v>
      </c>
      <c r="I3738" s="783" t="s">
        <v>6301</v>
      </c>
      <c r="J3738" s="783">
        <v>25</v>
      </c>
      <c r="K3738" s="783" t="s">
        <v>2696</v>
      </c>
      <c r="L3738" s="783" t="s">
        <v>4014</v>
      </c>
      <c r="M3738" s="784">
        <v>36776.019999999997</v>
      </c>
      <c r="N3738" s="784">
        <v>2.36</v>
      </c>
      <c r="O3738" s="784">
        <v>32.33</v>
      </c>
      <c r="P3738" s="783">
        <v>482</v>
      </c>
      <c r="Q3738" s="783">
        <v>1706.41</v>
      </c>
      <c r="R3738" s="783">
        <v>948.28</v>
      </c>
      <c r="S3738" s="783">
        <v>478.63</v>
      </c>
      <c r="T3738" s="783">
        <v>279.5</v>
      </c>
      <c r="U3738" s="785">
        <v>44631.637650463003</v>
      </c>
    </row>
    <row r="3739" spans="1:21">
      <c r="A3739" s="782">
        <v>44409</v>
      </c>
      <c r="B3739" s="783" t="s">
        <v>47</v>
      </c>
      <c r="C3739" s="783" t="s">
        <v>4834</v>
      </c>
      <c r="D3739" s="783" t="s">
        <v>4258</v>
      </c>
      <c r="E3739" s="783" t="s">
        <v>4835</v>
      </c>
      <c r="F3739" s="783" t="s">
        <v>4011</v>
      </c>
      <c r="G3739" s="783" t="str">
        <f t="shared" si="196"/>
        <v>Renewal (25% in 2020)</v>
      </c>
      <c r="H3739" s="783" t="s">
        <v>4836</v>
      </c>
      <c r="I3739" s="783" t="s">
        <v>4837</v>
      </c>
      <c r="J3739" s="783">
        <v>25</v>
      </c>
      <c r="K3739" s="783" t="s">
        <v>2092</v>
      </c>
      <c r="L3739" s="783" t="s">
        <v>4014</v>
      </c>
      <c r="M3739" s="784">
        <v>108315</v>
      </c>
      <c r="N3739" s="784">
        <v>29</v>
      </c>
      <c r="O3739" s="784">
        <v>45</v>
      </c>
      <c r="P3739" s="783">
        <v>83</v>
      </c>
      <c r="Q3739" s="783">
        <v>3065.31</v>
      </c>
      <c r="R3739" s="783">
        <v>1888.6</v>
      </c>
      <c r="S3739" s="783">
        <v>808.45</v>
      </c>
      <c r="T3739" s="783">
        <v>368.27</v>
      </c>
      <c r="U3739" s="785">
        <v>44631.503240740698</v>
      </c>
    </row>
    <row r="3740" spans="1:21">
      <c r="A3740" s="782">
        <v>44712</v>
      </c>
      <c r="B3740" s="783" t="s">
        <v>47</v>
      </c>
      <c r="C3740" s="783" t="s">
        <v>4101</v>
      </c>
      <c r="D3740" s="783" t="s">
        <v>4102</v>
      </c>
      <c r="E3740" s="783" t="s">
        <v>406</v>
      </c>
      <c r="F3740" s="783" t="s">
        <v>4011</v>
      </c>
      <c r="G3740" s="783" t="str">
        <f t="shared" si="196"/>
        <v>Renewal (20% in 2020)</v>
      </c>
      <c r="H3740" s="783" t="s">
        <v>4262</v>
      </c>
      <c r="I3740" s="783" t="s">
        <v>4263</v>
      </c>
      <c r="J3740" s="783">
        <v>20</v>
      </c>
      <c r="K3740" s="783" t="s">
        <v>2092</v>
      </c>
      <c r="L3740" s="783" t="s">
        <v>4014</v>
      </c>
      <c r="M3740" s="784">
        <v>101613.6</v>
      </c>
      <c r="N3740" s="784">
        <v>15.84</v>
      </c>
      <c r="O3740" s="784">
        <v>25.66</v>
      </c>
      <c r="P3740" s="783">
        <v>250</v>
      </c>
      <c r="Q3740" s="783">
        <v>5466.81</v>
      </c>
      <c r="R3740" s="783">
        <v>868.71</v>
      </c>
      <c r="S3740" s="783">
        <v>2860.5</v>
      </c>
      <c r="T3740" s="783">
        <v>1737.59</v>
      </c>
      <c r="U3740" s="785">
        <v>44714.4746296296</v>
      </c>
    </row>
    <row r="3741" spans="1:21">
      <c r="A3741" s="782">
        <v>44532</v>
      </c>
      <c r="B3741" s="783" t="s">
        <v>47</v>
      </c>
      <c r="C3741" s="783" t="s">
        <v>4244</v>
      </c>
      <c r="D3741" s="783" t="s">
        <v>4102</v>
      </c>
      <c r="E3741" s="783" t="s">
        <v>6126</v>
      </c>
      <c r="F3741" s="783" t="s">
        <v>4011</v>
      </c>
      <c r="G3741" s="783" t="str">
        <f t="shared" si="196"/>
        <v>Renewal (20% in 2020)</v>
      </c>
      <c r="H3741" s="783" t="s">
        <v>6127</v>
      </c>
      <c r="I3741" s="783" t="s">
        <v>6128</v>
      </c>
      <c r="J3741" s="783">
        <v>20</v>
      </c>
      <c r="K3741" s="783" t="s">
        <v>2092</v>
      </c>
      <c r="L3741" s="783" t="s">
        <v>4014</v>
      </c>
      <c r="M3741" s="784">
        <v>30101.4</v>
      </c>
      <c r="N3741" s="784">
        <v>10.5</v>
      </c>
      <c r="O3741" s="784">
        <v>47.78</v>
      </c>
      <c r="P3741" s="783">
        <v>60</v>
      </c>
      <c r="Q3741" s="783">
        <v>1122.78</v>
      </c>
      <c r="R3741" s="783">
        <v>665.24</v>
      </c>
      <c r="S3741" s="783">
        <v>102.34</v>
      </c>
      <c r="T3741" s="783">
        <v>355.2</v>
      </c>
      <c r="U3741" s="785">
        <v>44631.633067129602</v>
      </c>
    </row>
    <row r="3742" spans="1:21">
      <c r="A3742" s="782">
        <v>44712</v>
      </c>
      <c r="B3742" s="783" t="s">
        <v>47</v>
      </c>
      <c r="C3742" s="783" t="s">
        <v>4101</v>
      </c>
      <c r="D3742" s="783" t="s">
        <v>4102</v>
      </c>
      <c r="E3742" s="783" t="s">
        <v>406</v>
      </c>
      <c r="F3742" s="783" t="s">
        <v>4011</v>
      </c>
      <c r="G3742" s="783" t="str">
        <f t="shared" si="196"/>
        <v>Renewal (20% in 2020)</v>
      </c>
      <c r="H3742" s="783" t="s">
        <v>4262</v>
      </c>
      <c r="I3742" s="783" t="s">
        <v>4263</v>
      </c>
      <c r="J3742" s="783">
        <v>20</v>
      </c>
      <c r="K3742" s="783" t="s">
        <v>2090</v>
      </c>
      <c r="L3742" s="783" t="s">
        <v>4014</v>
      </c>
      <c r="M3742" s="784">
        <v>145688.57999999999</v>
      </c>
      <c r="N3742" s="784">
        <v>18.559999999999999</v>
      </c>
      <c r="O3742" s="784">
        <v>24.53</v>
      </c>
      <c r="P3742" s="783">
        <v>320</v>
      </c>
      <c r="Q3742" s="783">
        <v>5230.22</v>
      </c>
      <c r="R3742" s="783">
        <v>1212.17</v>
      </c>
      <c r="S3742" s="783">
        <v>2357.1999999999998</v>
      </c>
      <c r="T3742" s="783">
        <v>1660.85</v>
      </c>
      <c r="U3742" s="785">
        <v>44714.4746296296</v>
      </c>
    </row>
    <row r="3743" spans="1:21">
      <c r="A3743" s="782">
        <v>44712</v>
      </c>
      <c r="B3743" s="783" t="s">
        <v>47</v>
      </c>
      <c r="C3743" s="783" t="s">
        <v>4101</v>
      </c>
      <c r="D3743" s="783" t="s">
        <v>4102</v>
      </c>
      <c r="E3743" s="783" t="s">
        <v>406</v>
      </c>
      <c r="F3743" s="783" t="s">
        <v>4011</v>
      </c>
      <c r="G3743" s="783" t="str">
        <f t="shared" si="196"/>
        <v>Renewal (20% in 2020)</v>
      </c>
      <c r="H3743" s="783" t="s">
        <v>7116</v>
      </c>
      <c r="I3743" s="783" t="s">
        <v>7117</v>
      </c>
      <c r="J3743" s="783">
        <v>20</v>
      </c>
      <c r="K3743" s="783" t="s">
        <v>2090</v>
      </c>
      <c r="L3743" s="783" t="s">
        <v>4014</v>
      </c>
      <c r="M3743" s="784">
        <v>76931.199999999997</v>
      </c>
      <c r="N3743" s="784">
        <v>8.2899999999999991</v>
      </c>
      <c r="O3743" s="784">
        <v>29</v>
      </c>
      <c r="P3743" s="783">
        <v>320</v>
      </c>
      <c r="Q3743" s="783">
        <v>2761.83</v>
      </c>
      <c r="R3743" s="783">
        <v>640.09</v>
      </c>
      <c r="S3743" s="783">
        <v>1244.72</v>
      </c>
      <c r="T3743" s="783">
        <v>877.02</v>
      </c>
      <c r="U3743" s="785">
        <v>44714.468761574099</v>
      </c>
    </row>
    <row r="3744" spans="1:21">
      <c r="A3744" s="782">
        <v>44531</v>
      </c>
      <c r="B3744" s="783" t="s">
        <v>65</v>
      </c>
      <c r="C3744" s="783" t="s">
        <v>6077</v>
      </c>
      <c r="D3744" s="783" t="s">
        <v>6078</v>
      </c>
      <c r="E3744" s="783" t="s">
        <v>2427</v>
      </c>
      <c r="F3744" s="783" t="s">
        <v>4011</v>
      </c>
      <c r="G3744" s="783" t="str">
        <f t="shared" si="196"/>
        <v>Renewal (20% in 2020)</v>
      </c>
      <c r="H3744" s="783" t="s">
        <v>6079</v>
      </c>
      <c r="I3744" s="783" t="s">
        <v>6080</v>
      </c>
      <c r="J3744" s="783">
        <v>20</v>
      </c>
      <c r="K3744" s="783" t="s">
        <v>1231</v>
      </c>
      <c r="L3744" s="783" t="s">
        <v>4014</v>
      </c>
      <c r="M3744" s="784">
        <v>14946</v>
      </c>
      <c r="N3744" s="784">
        <v>5.3</v>
      </c>
      <c r="O3744" s="784">
        <v>2.82</v>
      </c>
      <c r="P3744" s="783">
        <v>1000</v>
      </c>
      <c r="Q3744" s="783">
        <v>1007.36</v>
      </c>
      <c r="R3744" s="783">
        <v>584.39</v>
      </c>
      <c r="S3744" s="783">
        <v>107.61</v>
      </c>
      <c r="T3744" s="783">
        <v>315.36</v>
      </c>
      <c r="U3744" s="785">
        <v>44631.633020833302</v>
      </c>
    </row>
    <row r="3745" spans="1:21">
      <c r="A3745" s="782">
        <v>44452</v>
      </c>
      <c r="B3745" s="783" t="s">
        <v>228</v>
      </c>
      <c r="C3745" s="783" t="s">
        <v>4020</v>
      </c>
      <c r="D3745" s="783" t="s">
        <v>4021</v>
      </c>
      <c r="E3745" s="783" t="s">
        <v>4022</v>
      </c>
      <c r="F3745" s="783" t="s">
        <v>4011</v>
      </c>
      <c r="G3745" s="783" t="str">
        <f t="shared" si="196"/>
        <v>Renewal (25% in 2020)</v>
      </c>
      <c r="H3745" s="783" t="s">
        <v>4023</v>
      </c>
      <c r="I3745" s="783" t="s">
        <v>4024</v>
      </c>
      <c r="J3745" s="783">
        <v>25</v>
      </c>
      <c r="K3745" s="783" t="s">
        <v>207</v>
      </c>
      <c r="L3745" s="783" t="s">
        <v>4096</v>
      </c>
      <c r="M3745" s="784">
        <v>9515.52</v>
      </c>
      <c r="N3745" s="784">
        <v>14.16</v>
      </c>
      <c r="O3745" s="784">
        <v>4.2</v>
      </c>
      <c r="P3745" s="783">
        <v>160</v>
      </c>
      <c r="Q3745" s="783">
        <v>692.73</v>
      </c>
      <c r="R3745" s="783">
        <v>441.62</v>
      </c>
      <c r="S3745" s="783">
        <v>156.91</v>
      </c>
      <c r="T3745" s="783">
        <v>94.2</v>
      </c>
      <c r="U3745" s="785">
        <v>44631.513854166697</v>
      </c>
    </row>
    <row r="3746" spans="1:21">
      <c r="A3746" s="782">
        <v>44681</v>
      </c>
      <c r="B3746" s="783" t="s">
        <v>4025</v>
      </c>
      <c r="C3746" s="783" t="s">
        <v>4026</v>
      </c>
      <c r="D3746" s="783" t="s">
        <v>4021</v>
      </c>
      <c r="E3746" s="783" t="s">
        <v>5123</v>
      </c>
      <c r="F3746" s="783" t="s">
        <v>4011</v>
      </c>
      <c r="G3746" s="783" t="str">
        <f t="shared" si="196"/>
        <v>New Contract</v>
      </c>
      <c r="H3746" s="783" t="s">
        <v>5124</v>
      </c>
      <c r="I3746" s="783" t="s">
        <v>5125</v>
      </c>
      <c r="J3746" s="783">
        <v>20</v>
      </c>
      <c r="K3746" s="783" t="s">
        <v>207</v>
      </c>
      <c r="L3746" s="783" t="s">
        <v>4096</v>
      </c>
      <c r="M3746" s="784">
        <v>2244</v>
      </c>
      <c r="N3746" s="784">
        <v>2.5499999999999998</v>
      </c>
      <c r="O3746" s="784">
        <v>5</v>
      </c>
      <c r="P3746" s="783">
        <v>176</v>
      </c>
      <c r="Q3746" s="783">
        <v>196.57</v>
      </c>
      <c r="R3746" s="783">
        <v>86.18</v>
      </c>
      <c r="S3746" s="783">
        <v>43.3</v>
      </c>
      <c r="T3746" s="783">
        <v>67.099999999999994</v>
      </c>
      <c r="U3746" s="785">
        <v>44701.992164351897</v>
      </c>
    </row>
    <row r="3747" spans="1:21">
      <c r="A3747" s="782">
        <v>44698</v>
      </c>
      <c r="B3747" s="783" t="s">
        <v>41</v>
      </c>
      <c r="C3747" s="783" t="s">
        <v>4192</v>
      </c>
      <c r="D3747" s="783" t="s">
        <v>4193</v>
      </c>
      <c r="E3747" s="783" t="s">
        <v>5222</v>
      </c>
      <c r="F3747" s="783" t="s">
        <v>4011</v>
      </c>
      <c r="G3747" s="783" t="str">
        <f t="shared" si="196"/>
        <v>Renewal (20% in 2020)</v>
      </c>
      <c r="H3747" s="783" t="s">
        <v>5223</v>
      </c>
      <c r="I3747" s="783" t="s">
        <v>5224</v>
      </c>
      <c r="J3747" s="783">
        <v>20</v>
      </c>
      <c r="K3747" s="783" t="s">
        <v>207</v>
      </c>
      <c r="L3747" s="783" t="s">
        <v>4096</v>
      </c>
      <c r="M3747" s="784">
        <v>3651.75</v>
      </c>
      <c r="N3747" s="784">
        <v>5.41</v>
      </c>
      <c r="O3747" s="784">
        <v>5</v>
      </c>
      <c r="P3747" s="783">
        <v>135</v>
      </c>
      <c r="Q3747" s="783">
        <v>261.10000000000002</v>
      </c>
      <c r="R3747" s="783">
        <v>154.47</v>
      </c>
      <c r="S3747" s="783">
        <v>23.74</v>
      </c>
      <c r="T3747" s="783">
        <v>82.89</v>
      </c>
      <c r="U3747" s="785">
        <v>44699.499062499999</v>
      </c>
    </row>
    <row r="3748" spans="1:21">
      <c r="A3748" s="782">
        <v>44543</v>
      </c>
      <c r="B3748" s="783" t="s">
        <v>65</v>
      </c>
      <c r="C3748" s="783" t="s">
        <v>4491</v>
      </c>
      <c r="D3748" s="783" t="s">
        <v>4193</v>
      </c>
      <c r="E3748" s="783" t="s">
        <v>5395</v>
      </c>
      <c r="F3748" s="783" t="s">
        <v>4011</v>
      </c>
      <c r="G3748" s="783" t="str">
        <f t="shared" si="196"/>
        <v>New Contract</v>
      </c>
      <c r="H3748" s="783" t="s">
        <v>5396</v>
      </c>
      <c r="I3748" s="783" t="s">
        <v>5397</v>
      </c>
      <c r="J3748" s="783">
        <v>25</v>
      </c>
      <c r="K3748" s="783" t="s">
        <v>207</v>
      </c>
      <c r="L3748" s="783" t="s">
        <v>4096</v>
      </c>
      <c r="M3748" s="784">
        <v>4200</v>
      </c>
      <c r="N3748" s="784">
        <v>4</v>
      </c>
      <c r="O3748" s="784">
        <v>4.2</v>
      </c>
      <c r="P3748" s="783">
        <v>250</v>
      </c>
      <c r="Q3748" s="783">
        <v>196.56</v>
      </c>
      <c r="R3748" s="783">
        <v>83.62</v>
      </c>
      <c r="S3748" s="783">
        <v>93.2</v>
      </c>
      <c r="T3748" s="783">
        <v>19.739999999999998</v>
      </c>
      <c r="U3748" s="785">
        <v>44631.631053240701</v>
      </c>
    </row>
    <row r="3749" spans="1:21">
      <c r="A3749" s="782">
        <v>44695</v>
      </c>
      <c r="B3749" s="783" t="s">
        <v>74</v>
      </c>
      <c r="C3749" s="783" t="s">
        <v>4037</v>
      </c>
      <c r="D3749" s="783" t="s">
        <v>4038</v>
      </c>
      <c r="E3749" s="783" t="s">
        <v>4358</v>
      </c>
      <c r="F3749" s="783" t="s">
        <v>4011</v>
      </c>
      <c r="G3749" s="783" t="str">
        <f t="shared" si="196"/>
        <v>Renewal (15% in 2020)</v>
      </c>
      <c r="H3749" s="783" t="s">
        <v>4359</v>
      </c>
      <c r="I3749" s="783" t="s">
        <v>4360</v>
      </c>
      <c r="J3749" s="783">
        <v>20</v>
      </c>
      <c r="K3749" s="783" t="s">
        <v>207</v>
      </c>
      <c r="L3749" s="783" t="s">
        <v>4096</v>
      </c>
      <c r="M3749" s="784">
        <v>3244.61</v>
      </c>
      <c r="N3749" s="784">
        <v>5.16</v>
      </c>
      <c r="O3749" s="784">
        <v>3.93</v>
      </c>
      <c r="P3749" s="783">
        <v>160</v>
      </c>
      <c r="Q3749" s="783">
        <v>388.06</v>
      </c>
      <c r="R3749" s="783">
        <v>178.71</v>
      </c>
      <c r="S3749" s="783">
        <v>64.959999999999994</v>
      </c>
      <c r="T3749" s="783">
        <v>144.38999999999999</v>
      </c>
      <c r="U3749" s="785">
        <v>44697.687083333301</v>
      </c>
    </row>
    <row r="3750" spans="1:21">
      <c r="A3750" s="782">
        <v>44686</v>
      </c>
      <c r="B3750" s="783" t="s">
        <v>41</v>
      </c>
      <c r="C3750" s="783" t="s">
        <v>4092</v>
      </c>
      <c r="D3750" s="783" t="s">
        <v>4009</v>
      </c>
      <c r="E3750" s="783" t="s">
        <v>4763</v>
      </c>
      <c r="F3750" s="783" t="s">
        <v>4011</v>
      </c>
      <c r="G3750" s="783" t="str">
        <f t="shared" si="196"/>
        <v>Renewal (15% in 2020)</v>
      </c>
      <c r="H3750" s="783" t="s">
        <v>4764</v>
      </c>
      <c r="I3750" s="783" t="s">
        <v>4765</v>
      </c>
      <c r="J3750" s="783">
        <v>15</v>
      </c>
      <c r="K3750" s="783" t="s">
        <v>207</v>
      </c>
      <c r="L3750" s="783" t="s">
        <v>4096</v>
      </c>
      <c r="M3750" s="784">
        <v>793.65</v>
      </c>
      <c r="N3750" s="784">
        <v>1.3</v>
      </c>
      <c r="O3750" s="784">
        <v>3.7</v>
      </c>
      <c r="P3750" s="783">
        <v>165</v>
      </c>
      <c r="Q3750" s="783">
        <v>91.11</v>
      </c>
      <c r="R3750" s="783">
        <v>33.1</v>
      </c>
      <c r="S3750" s="783">
        <v>14.2</v>
      </c>
      <c r="T3750" s="783">
        <v>43.81</v>
      </c>
      <c r="U3750" s="785">
        <v>44687.613275463002</v>
      </c>
    </row>
    <row r="3751" spans="1:21">
      <c r="A3751" s="782">
        <v>44699</v>
      </c>
      <c r="B3751" s="783" t="s">
        <v>74</v>
      </c>
      <c r="C3751" s="783" t="s">
        <v>4097</v>
      </c>
      <c r="D3751" s="783" t="s">
        <v>4038</v>
      </c>
      <c r="E3751" s="783" t="s">
        <v>5797</v>
      </c>
      <c r="F3751" s="783" t="s">
        <v>4011</v>
      </c>
      <c r="G3751" s="783" t="str">
        <f t="shared" si="196"/>
        <v>Renewal (15% in 2020)</v>
      </c>
      <c r="H3751" s="783" t="s">
        <v>5798</v>
      </c>
      <c r="I3751" s="783" t="s">
        <v>5799</v>
      </c>
      <c r="J3751" s="783">
        <v>15</v>
      </c>
      <c r="K3751" s="783" t="s">
        <v>207</v>
      </c>
      <c r="L3751" s="783" t="s">
        <v>4096</v>
      </c>
      <c r="M3751" s="784">
        <v>6408</v>
      </c>
      <c r="N3751" s="784">
        <v>13.35</v>
      </c>
      <c r="O3751" s="784">
        <v>1.92</v>
      </c>
      <c r="P3751" s="783">
        <v>250</v>
      </c>
      <c r="Q3751" s="783">
        <v>693.99</v>
      </c>
      <c r="R3751" s="783">
        <v>161.75</v>
      </c>
      <c r="S3751" s="783">
        <v>181.72</v>
      </c>
      <c r="T3751" s="783">
        <v>350.52</v>
      </c>
      <c r="U3751" s="785">
        <v>44700.537696759297</v>
      </c>
    </row>
    <row r="3752" spans="1:21">
      <c r="A3752" s="782">
        <v>44705</v>
      </c>
      <c r="B3752" s="783" t="s">
        <v>113</v>
      </c>
      <c r="C3752" s="783" t="s">
        <v>4606</v>
      </c>
      <c r="D3752" s="783" t="s">
        <v>4009</v>
      </c>
      <c r="E3752" s="783" t="s">
        <v>6960</v>
      </c>
      <c r="F3752" s="783" t="s">
        <v>4011</v>
      </c>
      <c r="G3752" s="783" t="str">
        <f t="shared" si="196"/>
        <v>Renewal (20% in 2020)</v>
      </c>
      <c r="H3752" s="783" t="s">
        <v>6961</v>
      </c>
      <c r="I3752" s="783" t="s">
        <v>6962</v>
      </c>
      <c r="J3752" s="783">
        <v>20</v>
      </c>
      <c r="K3752" s="783" t="s">
        <v>207</v>
      </c>
      <c r="L3752" s="783" t="s">
        <v>4096</v>
      </c>
      <c r="M3752" s="784">
        <v>6507.6</v>
      </c>
      <c r="N3752" s="784">
        <v>6.6</v>
      </c>
      <c r="O3752" s="784">
        <v>4.93</v>
      </c>
      <c r="P3752" s="783">
        <v>200</v>
      </c>
      <c r="Q3752" s="783">
        <v>599.35</v>
      </c>
      <c r="R3752" s="783">
        <v>224.8</v>
      </c>
      <c r="S3752" s="783">
        <v>158.5</v>
      </c>
      <c r="T3752" s="783">
        <v>216.05</v>
      </c>
      <c r="U3752" s="785">
        <v>44705.531284722201</v>
      </c>
    </row>
    <row r="3753" spans="1:21">
      <c r="A3753" s="782">
        <v>44705</v>
      </c>
      <c r="B3753" s="783" t="s">
        <v>113</v>
      </c>
      <c r="C3753" s="783" t="s">
        <v>4598</v>
      </c>
      <c r="D3753" s="783" t="s">
        <v>4009</v>
      </c>
      <c r="E3753" s="783" t="s">
        <v>6960</v>
      </c>
      <c r="F3753" s="783" t="s">
        <v>4011</v>
      </c>
      <c r="G3753" s="783" t="str">
        <f t="shared" si="196"/>
        <v>Renewal (20% in 2020)</v>
      </c>
      <c r="H3753" s="783" t="s">
        <v>6961</v>
      </c>
      <c r="I3753" s="783" t="s">
        <v>6962</v>
      </c>
      <c r="J3753" s="783">
        <v>20</v>
      </c>
      <c r="K3753" s="783" t="s">
        <v>207</v>
      </c>
      <c r="L3753" s="783" t="s">
        <v>4096</v>
      </c>
      <c r="M3753" s="784">
        <v>5423</v>
      </c>
      <c r="N3753" s="784">
        <v>5.5</v>
      </c>
      <c r="O3753" s="784">
        <v>4.93</v>
      </c>
      <c r="P3753" s="783">
        <v>200</v>
      </c>
      <c r="Q3753" s="783">
        <v>414.86</v>
      </c>
      <c r="R3753" s="783">
        <v>149.72</v>
      </c>
      <c r="S3753" s="783">
        <v>122.52</v>
      </c>
      <c r="T3753" s="783">
        <v>142.62</v>
      </c>
      <c r="U3753" s="785">
        <v>44705.531284722201</v>
      </c>
    </row>
    <row r="3754" spans="1:21">
      <c r="A3754" s="782">
        <v>44678</v>
      </c>
      <c r="B3754" s="783" t="s">
        <v>41</v>
      </c>
      <c r="C3754" s="783" t="s">
        <v>4082</v>
      </c>
      <c r="D3754" s="783" t="s">
        <v>4009</v>
      </c>
      <c r="E3754" s="783" t="s">
        <v>4180</v>
      </c>
      <c r="F3754" s="783" t="s">
        <v>4011</v>
      </c>
      <c r="G3754" s="783" t="str">
        <f t="shared" si="196"/>
        <v>Renewal (20% in 2020)</v>
      </c>
      <c r="H3754" s="783" t="s">
        <v>4181</v>
      </c>
      <c r="I3754" s="783" t="s">
        <v>4182</v>
      </c>
      <c r="J3754" s="783">
        <v>20</v>
      </c>
      <c r="K3754" s="783" t="s">
        <v>207</v>
      </c>
      <c r="L3754" s="783" t="s">
        <v>4096</v>
      </c>
      <c r="M3754" s="784">
        <v>2729.76</v>
      </c>
      <c r="N3754" s="784">
        <v>3.52</v>
      </c>
      <c r="O3754" s="784">
        <v>5.17</v>
      </c>
      <c r="P3754" s="783">
        <v>150</v>
      </c>
      <c r="Q3754" s="783">
        <v>220.84</v>
      </c>
      <c r="R3754" s="783">
        <v>118.55</v>
      </c>
      <c r="S3754" s="783">
        <v>35.130000000000003</v>
      </c>
      <c r="T3754" s="783">
        <v>67.150000000000006</v>
      </c>
      <c r="U3754" s="785">
        <v>44680.654074074097</v>
      </c>
    </row>
    <row r="3755" spans="1:21">
      <c r="A3755" s="782">
        <v>44561</v>
      </c>
      <c r="B3755" s="783" t="s">
        <v>74</v>
      </c>
      <c r="C3755" s="783" t="s">
        <v>4097</v>
      </c>
      <c r="D3755" s="783" t="s">
        <v>4038</v>
      </c>
      <c r="E3755" s="783" t="s">
        <v>4432</v>
      </c>
      <c r="F3755" s="783" t="s">
        <v>4011</v>
      </c>
      <c r="G3755" s="783" t="s">
        <v>4028</v>
      </c>
      <c r="H3755" s="783" t="s">
        <v>4433</v>
      </c>
      <c r="I3755" s="783" t="s">
        <v>4434</v>
      </c>
      <c r="J3755" s="783">
        <v>20</v>
      </c>
      <c r="K3755" s="783" t="s">
        <v>207</v>
      </c>
      <c r="L3755" s="783" t="s">
        <v>4096</v>
      </c>
      <c r="M3755" s="784">
        <v>6685.2</v>
      </c>
      <c r="N3755" s="784">
        <v>12.38</v>
      </c>
      <c r="O3755" s="784">
        <v>4</v>
      </c>
      <c r="P3755" s="783">
        <v>135</v>
      </c>
      <c r="Q3755" s="783">
        <v>548.19000000000005</v>
      </c>
      <c r="R3755" s="783">
        <v>310.19</v>
      </c>
      <c r="S3755" s="783">
        <v>48.13</v>
      </c>
      <c r="T3755" s="783">
        <v>189.86</v>
      </c>
      <c r="U3755" s="785">
        <v>44631.632303240702</v>
      </c>
    </row>
    <row r="3756" spans="1:21">
      <c r="A3756" s="782">
        <v>44620</v>
      </c>
      <c r="B3756" s="783" t="s">
        <v>41</v>
      </c>
      <c r="C3756" s="783" t="s">
        <v>4139</v>
      </c>
      <c r="D3756" s="783" t="s">
        <v>4009</v>
      </c>
      <c r="E3756" s="783" t="s">
        <v>6687</v>
      </c>
      <c r="F3756" s="783" t="s">
        <v>4011</v>
      </c>
      <c r="G3756" s="783" t="s">
        <v>4028</v>
      </c>
      <c r="H3756" s="783" t="s">
        <v>6688</v>
      </c>
      <c r="I3756" s="783" t="s">
        <v>6689</v>
      </c>
      <c r="J3756" s="783">
        <v>25</v>
      </c>
      <c r="K3756" s="783" t="s">
        <v>207</v>
      </c>
      <c r="L3756" s="783" t="s">
        <v>4096</v>
      </c>
      <c r="M3756" s="784">
        <v>5086.3999999999996</v>
      </c>
      <c r="N3756" s="784">
        <v>5.78</v>
      </c>
      <c r="O3756" s="784">
        <v>5</v>
      </c>
      <c r="P3756" s="783">
        <v>176</v>
      </c>
      <c r="Q3756" s="783">
        <v>250.25</v>
      </c>
      <c r="R3756" s="783">
        <v>152.11000000000001</v>
      </c>
      <c r="S3756" s="783">
        <v>73.73</v>
      </c>
      <c r="T3756" s="783">
        <v>24.41</v>
      </c>
      <c r="U3756" s="785">
        <v>44631.636990740699</v>
      </c>
    </row>
    <row r="3757" spans="1:21">
      <c r="A3757" s="782">
        <v>44578</v>
      </c>
      <c r="B3757" s="783" t="s">
        <v>4025</v>
      </c>
      <c r="C3757" s="783" t="s">
        <v>4026</v>
      </c>
      <c r="D3757" s="783" t="s">
        <v>4021</v>
      </c>
      <c r="E3757" s="783" t="s">
        <v>6193</v>
      </c>
      <c r="F3757" s="783" t="s">
        <v>4011</v>
      </c>
      <c r="G3757" s="783" t="s">
        <v>4028</v>
      </c>
      <c r="H3757" s="783" t="s">
        <v>6194</v>
      </c>
      <c r="I3757" s="783" t="s">
        <v>6195</v>
      </c>
      <c r="J3757" s="783">
        <v>25</v>
      </c>
      <c r="K3757" s="783" t="s">
        <v>207</v>
      </c>
      <c r="L3757" s="783" t="s">
        <v>4096</v>
      </c>
      <c r="M3757" s="784">
        <v>2252.8000000000002</v>
      </c>
      <c r="N3757" s="784">
        <v>3.2</v>
      </c>
      <c r="O3757" s="784">
        <v>4.4000000000000004</v>
      </c>
      <c r="P3757" s="783">
        <v>160</v>
      </c>
      <c r="Q3757" s="783">
        <v>154.54</v>
      </c>
      <c r="R3757" s="783">
        <v>95.17</v>
      </c>
      <c r="S3757" s="783">
        <v>34.82</v>
      </c>
      <c r="T3757" s="783">
        <v>24.56</v>
      </c>
      <c r="U3757" s="785">
        <v>44631.637013888903</v>
      </c>
    </row>
    <row r="3758" spans="1:21">
      <c r="A3758" s="782">
        <v>44485</v>
      </c>
      <c r="B3758" s="783" t="s">
        <v>51</v>
      </c>
      <c r="C3758" s="783" t="s">
        <v>4796</v>
      </c>
      <c r="D3758" s="783" t="s">
        <v>4016</v>
      </c>
      <c r="E3758" s="783" t="s">
        <v>3366</v>
      </c>
      <c r="F3758" s="783" t="s">
        <v>4011</v>
      </c>
      <c r="G3758" s="783" t="str">
        <f t="shared" ref="G3758:G3764" si="197">VLOOKUP(I3758,pacage,2,FALSE)</f>
        <v>Renewal (25% in 2020)</v>
      </c>
      <c r="H3758" s="783" t="s">
        <v>6279</v>
      </c>
      <c r="I3758" s="783" t="s">
        <v>6280</v>
      </c>
      <c r="J3758" s="783">
        <v>30</v>
      </c>
      <c r="K3758" s="783" t="s">
        <v>207</v>
      </c>
      <c r="L3758" s="783" t="s">
        <v>4096</v>
      </c>
      <c r="M3758" s="784">
        <v>61650</v>
      </c>
      <c r="N3758" s="784">
        <v>68.5</v>
      </c>
      <c r="O3758" s="784">
        <v>9</v>
      </c>
      <c r="P3758" s="783">
        <v>100</v>
      </c>
      <c r="Q3758" s="783">
        <v>4543.6099999999997</v>
      </c>
      <c r="R3758" s="783">
        <v>3896.28</v>
      </c>
      <c r="S3758" s="783">
        <v>0</v>
      </c>
      <c r="T3758" s="783">
        <v>647.33000000000004</v>
      </c>
      <c r="U3758" s="785">
        <v>44631.637384259302</v>
      </c>
    </row>
    <row r="3759" spans="1:21">
      <c r="A3759" s="782">
        <v>44510</v>
      </c>
      <c r="B3759" s="783" t="s">
        <v>4025</v>
      </c>
      <c r="C3759" s="783" t="s">
        <v>4026</v>
      </c>
      <c r="D3759" s="783" t="s">
        <v>4021</v>
      </c>
      <c r="E3759" s="783" t="s">
        <v>6296</v>
      </c>
      <c r="F3759" s="783" t="s">
        <v>4011</v>
      </c>
      <c r="G3759" s="783" t="str">
        <f t="shared" si="197"/>
        <v>New Contract</v>
      </c>
      <c r="H3759" s="783" t="s">
        <v>6297</v>
      </c>
      <c r="I3759" s="783" t="s">
        <v>6298</v>
      </c>
      <c r="J3759" s="783">
        <v>25</v>
      </c>
      <c r="K3759" s="783" t="s">
        <v>207</v>
      </c>
      <c r="L3759" s="783" t="s">
        <v>4096</v>
      </c>
      <c r="M3759" s="784">
        <v>19640.46</v>
      </c>
      <c r="N3759" s="784">
        <v>28.28</v>
      </c>
      <c r="O3759" s="784">
        <v>4.63</v>
      </c>
      <c r="P3759" s="783">
        <v>150</v>
      </c>
      <c r="Q3759" s="783">
        <v>1347.34</v>
      </c>
      <c r="R3759" s="783">
        <v>885.03</v>
      </c>
      <c r="S3759" s="783">
        <v>248.23</v>
      </c>
      <c r="T3759" s="783">
        <v>214.08</v>
      </c>
      <c r="U3759" s="785">
        <v>44631.637349536999</v>
      </c>
    </row>
    <row r="3760" spans="1:21">
      <c r="A3760" s="782">
        <v>44623</v>
      </c>
      <c r="B3760" s="783" t="s">
        <v>41</v>
      </c>
      <c r="C3760" s="783" t="s">
        <v>4192</v>
      </c>
      <c r="D3760" s="783" t="s">
        <v>4193</v>
      </c>
      <c r="E3760" s="783" t="s">
        <v>6392</v>
      </c>
      <c r="F3760" s="783" t="s">
        <v>4011</v>
      </c>
      <c r="G3760" s="783" t="str">
        <f t="shared" si="197"/>
        <v>Renewal (25% in 2020)</v>
      </c>
      <c r="H3760" s="783" t="s">
        <v>6393</v>
      </c>
      <c r="I3760" s="783" t="s">
        <v>6394</v>
      </c>
      <c r="J3760" s="783">
        <v>25</v>
      </c>
      <c r="K3760" s="783" t="s">
        <v>207</v>
      </c>
      <c r="L3760" s="783" t="s">
        <v>4096</v>
      </c>
      <c r="M3760" s="784">
        <v>6293.3</v>
      </c>
      <c r="N3760" s="784">
        <v>12.07</v>
      </c>
      <c r="O3760" s="784">
        <v>2.37</v>
      </c>
      <c r="P3760" s="783">
        <v>220</v>
      </c>
      <c r="Q3760" s="783">
        <v>349.28</v>
      </c>
      <c r="R3760" s="783">
        <v>164.56</v>
      </c>
      <c r="S3760" s="783">
        <v>142.55000000000001</v>
      </c>
      <c r="T3760" s="783">
        <v>42.17</v>
      </c>
      <c r="U3760" s="785">
        <v>44631.6382407407</v>
      </c>
    </row>
    <row r="3761" spans="1:21">
      <c r="A3761" s="782">
        <v>44623</v>
      </c>
      <c r="B3761" s="783" t="s">
        <v>41</v>
      </c>
      <c r="C3761" s="783" t="s">
        <v>4071</v>
      </c>
      <c r="D3761" s="783" t="s">
        <v>4009</v>
      </c>
      <c r="E3761" s="783" t="s">
        <v>6392</v>
      </c>
      <c r="F3761" s="783" t="s">
        <v>4011</v>
      </c>
      <c r="G3761" s="783" t="str">
        <f t="shared" si="197"/>
        <v>Renewal (25% in 2020)</v>
      </c>
      <c r="H3761" s="783" t="s">
        <v>6393</v>
      </c>
      <c r="I3761" s="783" t="s">
        <v>6394</v>
      </c>
      <c r="J3761" s="783">
        <v>25</v>
      </c>
      <c r="K3761" s="783" t="s">
        <v>207</v>
      </c>
      <c r="L3761" s="783" t="s">
        <v>4096</v>
      </c>
      <c r="M3761" s="784">
        <v>3050.19</v>
      </c>
      <c r="N3761" s="784">
        <v>8.58</v>
      </c>
      <c r="O3761" s="784">
        <v>2.37</v>
      </c>
      <c r="P3761" s="783">
        <v>150</v>
      </c>
      <c r="Q3761" s="783">
        <v>144.27000000000001</v>
      </c>
      <c r="R3761" s="783">
        <v>102.6</v>
      </c>
      <c r="S3761" s="783">
        <v>27.34</v>
      </c>
      <c r="T3761" s="783">
        <v>14.34</v>
      </c>
      <c r="U3761" s="785">
        <v>44631.6382407407</v>
      </c>
    </row>
    <row r="3762" spans="1:21">
      <c r="A3762" s="782">
        <v>44494</v>
      </c>
      <c r="B3762" s="783" t="s">
        <v>4025</v>
      </c>
      <c r="C3762" s="783" t="s">
        <v>4026</v>
      </c>
      <c r="D3762" s="783" t="s">
        <v>4021</v>
      </c>
      <c r="E3762" s="783" t="s">
        <v>2831</v>
      </c>
      <c r="F3762" s="783" t="s">
        <v>4011</v>
      </c>
      <c r="G3762" s="783" t="str">
        <f t="shared" si="197"/>
        <v>New Contract</v>
      </c>
      <c r="H3762" s="783" t="s">
        <v>6415</v>
      </c>
      <c r="I3762" s="783" t="s">
        <v>6416</v>
      </c>
      <c r="J3762" s="783">
        <v>25</v>
      </c>
      <c r="K3762" s="783" t="s">
        <v>157</v>
      </c>
      <c r="L3762" s="783" t="s">
        <v>4096</v>
      </c>
      <c r="M3762" s="784">
        <v>30136.47</v>
      </c>
      <c r="N3762" s="784">
        <v>47.5</v>
      </c>
      <c r="O3762" s="784">
        <v>2.94</v>
      </c>
      <c r="P3762" s="783">
        <v>215.8</v>
      </c>
      <c r="Q3762" s="783">
        <v>2169.83</v>
      </c>
      <c r="R3762" s="783">
        <v>1212.4100000000001</v>
      </c>
      <c r="S3762" s="783">
        <v>616.87</v>
      </c>
      <c r="T3762" s="783">
        <v>340.54</v>
      </c>
      <c r="U3762" s="785">
        <v>44631.503101851798</v>
      </c>
    </row>
    <row r="3763" spans="1:21">
      <c r="A3763" s="782">
        <v>44565</v>
      </c>
      <c r="B3763" s="783" t="s">
        <v>41</v>
      </c>
      <c r="C3763" s="783" t="s">
        <v>4139</v>
      </c>
      <c r="D3763" s="783" t="s">
        <v>4009</v>
      </c>
      <c r="E3763" s="783" t="s">
        <v>1109</v>
      </c>
      <c r="F3763" s="783" t="s">
        <v>4011</v>
      </c>
      <c r="G3763" s="783" t="str">
        <f t="shared" si="197"/>
        <v>Renewal (15% in 2020)</v>
      </c>
      <c r="H3763" s="783" t="s">
        <v>4857</v>
      </c>
      <c r="I3763" s="783" t="s">
        <v>4858</v>
      </c>
      <c r="J3763" s="783">
        <v>15</v>
      </c>
      <c r="K3763" s="783" t="s">
        <v>157</v>
      </c>
      <c r="L3763" s="783" t="s">
        <v>4096</v>
      </c>
      <c r="M3763" s="784">
        <v>23754.6</v>
      </c>
      <c r="N3763" s="784">
        <v>30</v>
      </c>
      <c r="O3763" s="784">
        <v>4.7699999999999996</v>
      </c>
      <c r="P3763" s="783">
        <v>166</v>
      </c>
      <c r="Q3763" s="783">
        <v>2135.54</v>
      </c>
      <c r="R3763" s="783">
        <v>964.44</v>
      </c>
      <c r="S3763" s="783">
        <v>142.53</v>
      </c>
      <c r="T3763" s="783">
        <v>1028.57</v>
      </c>
      <c r="U3763" s="785">
        <v>44631.503125000003</v>
      </c>
    </row>
    <row r="3764" spans="1:21">
      <c r="A3764" s="782">
        <v>44494</v>
      </c>
      <c r="B3764" s="783" t="s">
        <v>4025</v>
      </c>
      <c r="C3764" s="783" t="s">
        <v>4052</v>
      </c>
      <c r="D3764" s="783" t="s">
        <v>4021</v>
      </c>
      <c r="E3764" s="783" t="s">
        <v>7081</v>
      </c>
      <c r="F3764" s="783" t="s">
        <v>4011</v>
      </c>
      <c r="G3764" s="783" t="str">
        <f t="shared" si="197"/>
        <v>New Contract</v>
      </c>
      <c r="H3764" s="783" t="s">
        <v>7082</v>
      </c>
      <c r="I3764" s="783" t="s">
        <v>7083</v>
      </c>
      <c r="J3764" s="783">
        <v>20</v>
      </c>
      <c r="K3764" s="783" t="s">
        <v>157</v>
      </c>
      <c r="L3764" s="783" t="s">
        <v>4096</v>
      </c>
      <c r="M3764" s="784">
        <v>7541.1</v>
      </c>
      <c r="N3764" s="784">
        <v>15</v>
      </c>
      <c r="O3764" s="784">
        <v>2.94</v>
      </c>
      <c r="P3764" s="783">
        <v>171</v>
      </c>
      <c r="Q3764" s="783">
        <v>576.14</v>
      </c>
      <c r="R3764" s="783">
        <v>333.82</v>
      </c>
      <c r="S3764" s="783">
        <v>62.09</v>
      </c>
      <c r="T3764" s="783">
        <v>180.23</v>
      </c>
      <c r="U3764" s="785">
        <v>44631.503032407403</v>
      </c>
    </row>
    <row r="3765" spans="1:21">
      <c r="A3765" s="782">
        <v>44692</v>
      </c>
      <c r="B3765" s="783" t="s">
        <v>4025</v>
      </c>
      <c r="C3765" s="783" t="s">
        <v>4026</v>
      </c>
      <c r="D3765" s="783" t="s">
        <v>4021</v>
      </c>
      <c r="E3765" s="783" t="s">
        <v>4772</v>
      </c>
      <c r="F3765" s="783" t="s">
        <v>4066</v>
      </c>
      <c r="G3765" s="783" t="s">
        <v>4028</v>
      </c>
      <c r="H3765" s="783" t="s">
        <v>4773</v>
      </c>
      <c r="I3765" s="783" t="s">
        <v>4774</v>
      </c>
      <c r="J3765" s="783">
        <v>5</v>
      </c>
      <c r="K3765" s="783" t="s">
        <v>157</v>
      </c>
      <c r="L3765" s="783" t="s">
        <v>4096</v>
      </c>
      <c r="M3765" s="784">
        <v>3990</v>
      </c>
      <c r="N3765" s="784">
        <v>7</v>
      </c>
      <c r="O3765" s="784">
        <v>1.5</v>
      </c>
      <c r="P3765" s="783">
        <v>380</v>
      </c>
      <c r="Q3765" s="783">
        <v>119.7</v>
      </c>
      <c r="R3765" s="783">
        <v>0</v>
      </c>
      <c r="S3765" s="783">
        <v>0</v>
      </c>
      <c r="T3765" s="783">
        <v>119.7</v>
      </c>
      <c r="U3765" s="785">
        <v>44692.740416666697</v>
      </c>
    </row>
    <row r="3766" spans="1:21">
      <c r="A3766" s="782">
        <v>44600</v>
      </c>
      <c r="B3766" s="783" t="s">
        <v>4025</v>
      </c>
      <c r="C3766" s="783" t="s">
        <v>4026</v>
      </c>
      <c r="D3766" s="783" t="s">
        <v>4021</v>
      </c>
      <c r="E3766" s="783" t="s">
        <v>4078</v>
      </c>
      <c r="F3766" s="783" t="s">
        <v>4011</v>
      </c>
      <c r="G3766" s="783" t="s">
        <v>4028</v>
      </c>
      <c r="H3766" s="783" t="s">
        <v>4079</v>
      </c>
      <c r="I3766" s="783" t="s">
        <v>4080</v>
      </c>
      <c r="J3766" s="783">
        <v>25</v>
      </c>
      <c r="K3766" s="783" t="s">
        <v>157</v>
      </c>
      <c r="L3766" s="783" t="s">
        <v>4096</v>
      </c>
      <c r="M3766" s="784">
        <v>3697.2</v>
      </c>
      <c r="N3766" s="784">
        <v>10.27</v>
      </c>
      <c r="O3766" s="784">
        <v>1.8</v>
      </c>
      <c r="P3766" s="783">
        <v>200</v>
      </c>
      <c r="Q3766" s="783">
        <v>266.2</v>
      </c>
      <c r="R3766" s="783">
        <v>160.49</v>
      </c>
      <c r="S3766" s="783">
        <v>63.93</v>
      </c>
      <c r="T3766" s="783">
        <v>41.78</v>
      </c>
      <c r="U3766" s="785">
        <v>44631.629027777803</v>
      </c>
    </row>
    <row r="3767" spans="1:21">
      <c r="A3767" s="782">
        <v>44698</v>
      </c>
      <c r="B3767" s="783" t="s">
        <v>347</v>
      </c>
      <c r="C3767" s="783" t="s">
        <v>4139</v>
      </c>
      <c r="D3767" s="783" t="s">
        <v>4009</v>
      </c>
      <c r="E3767" s="783" t="s">
        <v>6437</v>
      </c>
      <c r="F3767" s="783" t="s">
        <v>4011</v>
      </c>
      <c r="G3767" s="783" t="s">
        <v>4028</v>
      </c>
      <c r="H3767" s="783" t="s">
        <v>6438</v>
      </c>
      <c r="I3767" s="783" t="s">
        <v>6439</v>
      </c>
      <c r="J3767" s="783">
        <v>15</v>
      </c>
      <c r="K3767" s="783" t="s">
        <v>157</v>
      </c>
      <c r="L3767" s="783" t="s">
        <v>4096</v>
      </c>
      <c r="M3767" s="784">
        <v>8388.7999999999993</v>
      </c>
      <c r="N3767" s="784">
        <v>7.49</v>
      </c>
      <c r="O3767" s="784">
        <v>4</v>
      </c>
      <c r="P3767" s="783">
        <v>280</v>
      </c>
      <c r="Q3767" s="783">
        <v>754.15</v>
      </c>
      <c r="R3767" s="783">
        <v>201.92</v>
      </c>
      <c r="S3767" s="783">
        <v>189</v>
      </c>
      <c r="T3767" s="783">
        <v>363.24</v>
      </c>
      <c r="U3767" s="785">
        <v>44699.593020833301</v>
      </c>
    </row>
    <row r="3768" spans="1:21">
      <c r="A3768" s="782">
        <v>44698</v>
      </c>
      <c r="B3768" s="783" t="s">
        <v>347</v>
      </c>
      <c r="C3768" s="783" t="s">
        <v>4139</v>
      </c>
      <c r="D3768" s="783" t="s">
        <v>4009</v>
      </c>
      <c r="E3768" s="783" t="s">
        <v>6437</v>
      </c>
      <c r="F3768" s="783" t="s">
        <v>4011</v>
      </c>
      <c r="G3768" s="783" t="s">
        <v>4028</v>
      </c>
      <c r="H3768" s="783" t="s">
        <v>6438</v>
      </c>
      <c r="I3768" s="783" t="s">
        <v>6439</v>
      </c>
      <c r="J3768" s="783">
        <v>15</v>
      </c>
      <c r="K3768" s="783" t="s">
        <v>157</v>
      </c>
      <c r="L3768" s="783" t="s">
        <v>4096</v>
      </c>
      <c r="M3768" s="784">
        <v>11670.4</v>
      </c>
      <c r="N3768" s="784">
        <v>10.42</v>
      </c>
      <c r="O3768" s="784">
        <v>4</v>
      </c>
      <c r="P3768" s="783">
        <v>280</v>
      </c>
      <c r="Q3768" s="783">
        <v>1049.17</v>
      </c>
      <c r="R3768" s="783">
        <v>280.91000000000003</v>
      </c>
      <c r="S3768" s="783">
        <v>262.93</v>
      </c>
      <c r="T3768" s="783">
        <v>505.33</v>
      </c>
      <c r="U3768" s="785">
        <v>44699.593020833301</v>
      </c>
    </row>
    <row r="3769" spans="1:21">
      <c r="A3769" s="782">
        <v>44712</v>
      </c>
      <c r="B3769" s="783" t="s">
        <v>4025</v>
      </c>
      <c r="C3769" s="783" t="s">
        <v>4026</v>
      </c>
      <c r="D3769" s="783" t="s">
        <v>4021</v>
      </c>
      <c r="E3769" s="783" t="s">
        <v>7118</v>
      </c>
      <c r="F3769" s="783" t="s">
        <v>4011</v>
      </c>
      <c r="G3769" s="783" t="s">
        <v>4028</v>
      </c>
      <c r="H3769" s="783" t="s">
        <v>7119</v>
      </c>
      <c r="I3769" s="783" t="s">
        <v>7120</v>
      </c>
      <c r="J3769" s="783">
        <v>25</v>
      </c>
      <c r="K3769" s="783" t="s">
        <v>157</v>
      </c>
      <c r="L3769" s="783" t="s">
        <v>4096</v>
      </c>
      <c r="M3769" s="784">
        <v>40569.93</v>
      </c>
      <c r="N3769" s="784">
        <v>65.33</v>
      </c>
      <c r="O3769" s="784">
        <v>3.45</v>
      </c>
      <c r="P3769" s="783">
        <v>180</v>
      </c>
      <c r="Q3769" s="783">
        <v>2921.03</v>
      </c>
      <c r="R3769" s="783">
        <v>1956.78</v>
      </c>
      <c r="S3769" s="783">
        <v>505.82</v>
      </c>
      <c r="T3769" s="783">
        <v>458.44</v>
      </c>
      <c r="U3769" s="785">
        <v>44714.594386574099</v>
      </c>
    </row>
    <row r="3770" spans="1:21">
      <c r="A3770" s="782">
        <v>44704</v>
      </c>
      <c r="B3770" s="783" t="s">
        <v>41</v>
      </c>
      <c r="C3770" s="783" t="s">
        <v>4071</v>
      </c>
      <c r="D3770" s="783" t="s">
        <v>4009</v>
      </c>
      <c r="E3770" s="783" t="s">
        <v>5084</v>
      </c>
      <c r="F3770" s="783" t="s">
        <v>4011</v>
      </c>
      <c r="G3770" s="783" t="str">
        <f t="shared" ref="G3770:G3792" si="198">VLOOKUP(I3770,pacage,2,FALSE)</f>
        <v>Renewal (15% in 2020)</v>
      </c>
      <c r="H3770" s="783" t="s">
        <v>5085</v>
      </c>
      <c r="I3770" s="783" t="s">
        <v>5086</v>
      </c>
      <c r="J3770" s="783">
        <v>15</v>
      </c>
      <c r="K3770" s="783" t="s">
        <v>157</v>
      </c>
      <c r="L3770" s="783" t="s">
        <v>4096</v>
      </c>
      <c r="M3770" s="784">
        <v>7539.12</v>
      </c>
      <c r="N3770" s="784">
        <v>8.49</v>
      </c>
      <c r="O3770" s="784">
        <v>2.96</v>
      </c>
      <c r="P3770" s="783">
        <v>300</v>
      </c>
      <c r="Q3770" s="783">
        <v>649.87</v>
      </c>
      <c r="R3770" s="783">
        <v>162.28</v>
      </c>
      <c r="S3770" s="783">
        <v>174.72</v>
      </c>
      <c r="T3770" s="783">
        <v>312.87</v>
      </c>
      <c r="U3770" s="785">
        <v>44708.798425925903</v>
      </c>
    </row>
    <row r="3771" spans="1:21">
      <c r="A3771" s="782">
        <v>44687</v>
      </c>
      <c r="B3771" s="783" t="s">
        <v>228</v>
      </c>
      <c r="C3771" s="783" t="s">
        <v>4247</v>
      </c>
      <c r="D3771" s="783" t="s">
        <v>4248</v>
      </c>
      <c r="E3771" s="783" t="s">
        <v>3566</v>
      </c>
      <c r="F3771" s="783" t="s">
        <v>4011</v>
      </c>
      <c r="G3771" s="783" t="str">
        <f t="shared" si="198"/>
        <v>Renewal (25% in 2020)</v>
      </c>
      <c r="H3771" s="783" t="s">
        <v>4249</v>
      </c>
      <c r="I3771" s="783" t="s">
        <v>4250</v>
      </c>
      <c r="J3771" s="783">
        <v>25</v>
      </c>
      <c r="K3771" s="783" t="s">
        <v>157</v>
      </c>
      <c r="L3771" s="783" t="s">
        <v>4096</v>
      </c>
      <c r="M3771" s="784">
        <v>16506.84</v>
      </c>
      <c r="N3771" s="784">
        <v>22.85</v>
      </c>
      <c r="O3771" s="784">
        <v>3.44</v>
      </c>
      <c r="P3771" s="783">
        <v>210</v>
      </c>
      <c r="Q3771" s="783">
        <v>1155.48</v>
      </c>
      <c r="R3771" s="783">
        <v>704.61</v>
      </c>
      <c r="S3771" s="783">
        <v>318.82</v>
      </c>
      <c r="T3771" s="783">
        <v>132.05000000000001</v>
      </c>
      <c r="U3771" s="785">
        <v>44687.6709722222</v>
      </c>
    </row>
    <row r="3772" spans="1:21">
      <c r="A3772" s="782">
        <v>44685</v>
      </c>
      <c r="B3772" s="783" t="s">
        <v>4025</v>
      </c>
      <c r="C3772" s="783" t="s">
        <v>4026</v>
      </c>
      <c r="D3772" s="783" t="s">
        <v>4021</v>
      </c>
      <c r="E3772" s="783" t="s">
        <v>6457</v>
      </c>
      <c r="F3772" s="783" t="s">
        <v>4011</v>
      </c>
      <c r="G3772" s="783" t="str">
        <f t="shared" si="198"/>
        <v>New Contract</v>
      </c>
      <c r="H3772" s="783" t="s">
        <v>6458</v>
      </c>
      <c r="I3772" s="783" t="s">
        <v>6459</v>
      </c>
      <c r="J3772" s="783">
        <v>20</v>
      </c>
      <c r="K3772" s="783" t="s">
        <v>157</v>
      </c>
      <c r="L3772" s="783" t="s">
        <v>4096</v>
      </c>
      <c r="M3772" s="784">
        <v>2703.82</v>
      </c>
      <c r="N3772" s="784">
        <v>7.12</v>
      </c>
      <c r="O3772" s="784">
        <v>2.17</v>
      </c>
      <c r="P3772" s="783">
        <v>175</v>
      </c>
      <c r="Q3772" s="783">
        <v>248.75</v>
      </c>
      <c r="R3772" s="783">
        <v>134.13999999999999</v>
      </c>
      <c r="S3772" s="783">
        <v>29.98</v>
      </c>
      <c r="T3772" s="783">
        <v>84.63</v>
      </c>
      <c r="U3772" s="785">
        <v>44687.638854166697</v>
      </c>
    </row>
    <row r="3773" spans="1:21">
      <c r="A3773" s="782">
        <v>44681</v>
      </c>
      <c r="B3773" s="783" t="s">
        <v>4025</v>
      </c>
      <c r="C3773" s="783" t="s">
        <v>4026</v>
      </c>
      <c r="D3773" s="783" t="s">
        <v>4021</v>
      </c>
      <c r="E3773" s="783" t="s">
        <v>4231</v>
      </c>
      <c r="F3773" s="783" t="s">
        <v>4011</v>
      </c>
      <c r="G3773" s="783" t="str">
        <f t="shared" si="198"/>
        <v>New Contract</v>
      </c>
      <c r="H3773" s="783" t="s">
        <v>4232</v>
      </c>
      <c r="I3773" s="783" t="s">
        <v>4233</v>
      </c>
      <c r="J3773" s="783">
        <v>25</v>
      </c>
      <c r="K3773" s="783" t="s">
        <v>157</v>
      </c>
      <c r="L3773" s="783" t="s">
        <v>4096</v>
      </c>
      <c r="M3773" s="784">
        <v>8269.4500000000007</v>
      </c>
      <c r="N3773" s="784">
        <v>8.67</v>
      </c>
      <c r="O3773" s="784">
        <v>2.5099999999999998</v>
      </c>
      <c r="P3773" s="783">
        <v>380</v>
      </c>
      <c r="Q3773" s="783">
        <v>595.4</v>
      </c>
      <c r="R3773" s="783">
        <v>188.93</v>
      </c>
      <c r="S3773" s="783">
        <v>313.02</v>
      </c>
      <c r="T3773" s="783">
        <v>93.44</v>
      </c>
      <c r="U3773" s="785">
        <v>44713.630902777797</v>
      </c>
    </row>
    <row r="3774" spans="1:21">
      <c r="A3774" s="782">
        <v>44713</v>
      </c>
      <c r="B3774" s="783" t="s">
        <v>41</v>
      </c>
      <c r="C3774" s="783" t="s">
        <v>4071</v>
      </c>
      <c r="D3774" s="783" t="s">
        <v>4009</v>
      </c>
      <c r="E3774" s="783" t="s">
        <v>6492</v>
      </c>
      <c r="F3774" s="783" t="s">
        <v>4011</v>
      </c>
      <c r="G3774" s="783" t="str">
        <f t="shared" si="198"/>
        <v>New contract</v>
      </c>
      <c r="H3774" s="783" t="s">
        <v>6493</v>
      </c>
      <c r="I3774" s="783" t="s">
        <v>6494</v>
      </c>
      <c r="J3774" s="783">
        <v>25</v>
      </c>
      <c r="K3774" s="783" t="s">
        <v>157</v>
      </c>
      <c r="L3774" s="783" t="s">
        <v>4096</v>
      </c>
      <c r="M3774" s="784">
        <v>3573.65</v>
      </c>
      <c r="N3774" s="784">
        <v>8.2799999999999994</v>
      </c>
      <c r="O3774" s="784">
        <v>2.6</v>
      </c>
      <c r="P3774" s="783">
        <v>166</v>
      </c>
      <c r="Q3774" s="783">
        <v>177.61</v>
      </c>
      <c r="R3774" s="783">
        <v>139.01</v>
      </c>
      <c r="S3774" s="783">
        <v>20.73</v>
      </c>
      <c r="T3774" s="783">
        <v>17.87</v>
      </c>
      <c r="U3774" s="785">
        <v>44715.4397916667</v>
      </c>
    </row>
    <row r="3775" spans="1:21">
      <c r="A3775" s="782">
        <v>44698</v>
      </c>
      <c r="B3775" s="783" t="s">
        <v>41</v>
      </c>
      <c r="C3775" s="783" t="s">
        <v>4071</v>
      </c>
      <c r="D3775" s="783" t="s">
        <v>4009</v>
      </c>
      <c r="E3775" s="783" t="s">
        <v>6495</v>
      </c>
      <c r="F3775" s="783" t="s">
        <v>4011</v>
      </c>
      <c r="G3775" s="783" t="str">
        <f t="shared" si="198"/>
        <v>Renewal (20% in 2020)</v>
      </c>
      <c r="H3775" s="783" t="s">
        <v>6496</v>
      </c>
      <c r="I3775" s="783" t="s">
        <v>6497</v>
      </c>
      <c r="J3775" s="783">
        <v>20</v>
      </c>
      <c r="K3775" s="783" t="s">
        <v>157</v>
      </c>
      <c r="L3775" s="783" t="s">
        <v>4096</v>
      </c>
      <c r="M3775" s="784">
        <v>13224.44</v>
      </c>
      <c r="N3775" s="784">
        <v>12.47</v>
      </c>
      <c r="O3775" s="784">
        <v>3.03</v>
      </c>
      <c r="P3775" s="783">
        <v>350</v>
      </c>
      <c r="Q3775" s="783">
        <v>852.98</v>
      </c>
      <c r="R3775" s="783">
        <v>243.99</v>
      </c>
      <c r="S3775" s="783">
        <v>347.15</v>
      </c>
      <c r="T3775" s="783">
        <v>261.83999999999997</v>
      </c>
      <c r="U3775" s="785">
        <v>44699.4859027778</v>
      </c>
    </row>
    <row r="3776" spans="1:21">
      <c r="A3776" s="782">
        <v>44522</v>
      </c>
      <c r="B3776" s="783" t="s">
        <v>1258</v>
      </c>
      <c r="C3776" s="783" t="s">
        <v>4192</v>
      </c>
      <c r="D3776" s="783" t="s">
        <v>4193</v>
      </c>
      <c r="E3776" s="783" t="s">
        <v>6635</v>
      </c>
      <c r="F3776" s="783" t="s">
        <v>4011</v>
      </c>
      <c r="G3776" s="783" t="str">
        <f t="shared" si="198"/>
        <v>New Contract</v>
      </c>
      <c r="H3776" s="783" t="s">
        <v>6636</v>
      </c>
      <c r="I3776" s="783" t="s">
        <v>6637</v>
      </c>
      <c r="J3776" s="783">
        <v>15</v>
      </c>
      <c r="K3776" s="783" t="s">
        <v>157</v>
      </c>
      <c r="L3776" s="783" t="s">
        <v>4096</v>
      </c>
      <c r="M3776" s="784">
        <v>27654.9</v>
      </c>
      <c r="N3776" s="784">
        <v>20.260000000000002</v>
      </c>
      <c r="O3776" s="784">
        <v>4.55</v>
      </c>
      <c r="P3776" s="783">
        <v>300</v>
      </c>
      <c r="Q3776" s="783">
        <v>2771.02</v>
      </c>
      <c r="R3776" s="783">
        <v>677.9</v>
      </c>
      <c r="S3776" s="783">
        <v>732.5</v>
      </c>
      <c r="T3776" s="783">
        <v>1360.62</v>
      </c>
      <c r="U3776" s="785">
        <v>44631.633043981499</v>
      </c>
    </row>
    <row r="3777" spans="1:21">
      <c r="A3777" s="782">
        <v>44483</v>
      </c>
      <c r="B3777" s="783" t="s">
        <v>4025</v>
      </c>
      <c r="C3777" s="783" t="s">
        <v>4026</v>
      </c>
      <c r="D3777" s="783" t="s">
        <v>4021</v>
      </c>
      <c r="E3777" s="783" t="s">
        <v>6531</v>
      </c>
      <c r="F3777" s="783" t="s">
        <v>4011</v>
      </c>
      <c r="G3777" s="783" t="str">
        <f t="shared" si="198"/>
        <v>New Contract</v>
      </c>
      <c r="H3777" s="783" t="s">
        <v>6532</v>
      </c>
      <c r="I3777" s="783" t="s">
        <v>6533</v>
      </c>
      <c r="J3777" s="783">
        <v>20</v>
      </c>
      <c r="K3777" s="783" t="s">
        <v>157</v>
      </c>
      <c r="L3777" s="783" t="s">
        <v>4096</v>
      </c>
      <c r="M3777" s="784">
        <v>7154.66</v>
      </c>
      <c r="N3777" s="784">
        <v>13.05</v>
      </c>
      <c r="O3777" s="784">
        <v>2.5499999999999998</v>
      </c>
      <c r="P3777" s="783">
        <v>215</v>
      </c>
      <c r="Q3777" s="783">
        <v>658.23</v>
      </c>
      <c r="R3777" s="783">
        <v>288.91000000000003</v>
      </c>
      <c r="S3777" s="783">
        <v>145.38</v>
      </c>
      <c r="T3777" s="783">
        <v>223.94</v>
      </c>
      <c r="U3777" s="785">
        <v>44631.636736111097</v>
      </c>
    </row>
    <row r="3778" spans="1:21">
      <c r="A3778" s="782">
        <v>44463</v>
      </c>
      <c r="B3778" s="783" t="s">
        <v>113</v>
      </c>
      <c r="C3778" s="783" t="s">
        <v>4606</v>
      </c>
      <c r="D3778" s="783" t="s">
        <v>4009</v>
      </c>
      <c r="E3778" s="783" t="s">
        <v>6625</v>
      </c>
      <c r="F3778" s="783" t="s">
        <v>4066</v>
      </c>
      <c r="G3778" s="783" t="str">
        <f t="shared" si="198"/>
        <v>New Contract</v>
      </c>
      <c r="H3778" s="783" t="s">
        <v>6626</v>
      </c>
      <c r="I3778" s="783" t="s">
        <v>6627</v>
      </c>
      <c r="J3778" s="783">
        <v>5</v>
      </c>
      <c r="K3778" s="783" t="s">
        <v>157</v>
      </c>
      <c r="L3778" s="783" t="s">
        <v>4096</v>
      </c>
      <c r="M3778" s="784">
        <v>16032</v>
      </c>
      <c r="N3778" s="784">
        <v>13.36</v>
      </c>
      <c r="O3778" s="784">
        <v>3</v>
      </c>
      <c r="P3778" s="783">
        <v>400</v>
      </c>
      <c r="Q3778" s="783">
        <v>612.41999999999996</v>
      </c>
      <c r="R3778" s="783">
        <v>0</v>
      </c>
      <c r="S3778" s="783">
        <v>0</v>
      </c>
      <c r="T3778" s="783">
        <v>612.41999999999996</v>
      </c>
      <c r="U3778" s="785">
        <v>44631.637731481504</v>
      </c>
    </row>
    <row r="3779" spans="1:21">
      <c r="A3779" s="782">
        <v>44690</v>
      </c>
      <c r="B3779" s="783" t="s">
        <v>41</v>
      </c>
      <c r="C3779" s="783" t="s">
        <v>4121</v>
      </c>
      <c r="D3779" s="783" t="s">
        <v>4009</v>
      </c>
      <c r="E3779" s="783" t="s">
        <v>4122</v>
      </c>
      <c r="F3779" s="783" t="s">
        <v>4011</v>
      </c>
      <c r="G3779" s="783" t="str">
        <f t="shared" si="198"/>
        <v>Renewal (20% in 2020)</v>
      </c>
      <c r="H3779" s="783" t="s">
        <v>4123</v>
      </c>
      <c r="I3779" s="783" t="s">
        <v>4124</v>
      </c>
      <c r="J3779" s="783">
        <v>20</v>
      </c>
      <c r="K3779" s="783" t="s">
        <v>1179</v>
      </c>
      <c r="L3779" s="783" t="s">
        <v>4096</v>
      </c>
      <c r="M3779" s="784">
        <v>3027.36</v>
      </c>
      <c r="N3779" s="784">
        <v>5.3</v>
      </c>
      <c r="O3779" s="784">
        <v>3.57</v>
      </c>
      <c r="P3779" s="783">
        <v>160</v>
      </c>
      <c r="Q3779" s="783">
        <v>221</v>
      </c>
      <c r="R3779" s="783">
        <v>123.9</v>
      </c>
      <c r="S3779" s="783">
        <v>25.04</v>
      </c>
      <c r="T3779" s="783">
        <v>72.05</v>
      </c>
      <c r="U3779" s="785">
        <v>44690.676423611098</v>
      </c>
    </row>
    <row r="3780" spans="1:21">
      <c r="A3780" s="782">
        <v>44409</v>
      </c>
      <c r="B3780" s="783" t="s">
        <v>113</v>
      </c>
      <c r="C3780" s="783" t="s">
        <v>4606</v>
      </c>
      <c r="D3780" s="783" t="s">
        <v>4009</v>
      </c>
      <c r="E3780" s="783" t="s">
        <v>6690</v>
      </c>
      <c r="F3780" s="783" t="s">
        <v>4011</v>
      </c>
      <c r="G3780" s="783" t="str">
        <f t="shared" si="198"/>
        <v>Renewal (30% in 2020)</v>
      </c>
      <c r="H3780" s="783" t="s">
        <v>6691</v>
      </c>
      <c r="I3780" s="783" t="s">
        <v>6692</v>
      </c>
      <c r="J3780" s="783">
        <v>30</v>
      </c>
      <c r="K3780" s="783" t="s">
        <v>814</v>
      </c>
      <c r="L3780" s="783" t="s">
        <v>4014</v>
      </c>
      <c r="M3780" s="784">
        <v>10423.64</v>
      </c>
      <c r="N3780" s="784">
        <v>7.78</v>
      </c>
      <c r="O3780" s="784">
        <v>4.2</v>
      </c>
      <c r="P3780" s="783">
        <v>319</v>
      </c>
      <c r="Q3780" s="783">
        <v>564.96</v>
      </c>
      <c r="R3780" s="783">
        <v>406.52</v>
      </c>
      <c r="S3780" s="783">
        <v>0</v>
      </c>
      <c r="T3780" s="783">
        <v>158.44</v>
      </c>
      <c r="U3780" s="785">
        <v>44631.510300925896</v>
      </c>
    </row>
    <row r="3781" spans="1:21">
      <c r="A3781" s="782">
        <v>44409</v>
      </c>
      <c r="B3781" s="783" t="s">
        <v>113</v>
      </c>
      <c r="C3781" s="783" t="s">
        <v>4606</v>
      </c>
      <c r="D3781" s="783" t="s">
        <v>4009</v>
      </c>
      <c r="E3781" s="783" t="s">
        <v>2282</v>
      </c>
      <c r="F3781" s="783" t="s">
        <v>4011</v>
      </c>
      <c r="G3781" s="783" t="str">
        <f t="shared" si="198"/>
        <v>Renewal (15% in 2020)</v>
      </c>
      <c r="H3781" s="783" t="s">
        <v>7051</v>
      </c>
      <c r="I3781" s="783" t="s">
        <v>7052</v>
      </c>
      <c r="J3781" s="783">
        <v>15</v>
      </c>
      <c r="K3781" s="783" t="s">
        <v>814</v>
      </c>
      <c r="L3781" s="783" t="s">
        <v>4014</v>
      </c>
      <c r="M3781" s="784">
        <v>15015</v>
      </c>
      <c r="N3781" s="784">
        <v>13</v>
      </c>
      <c r="O3781" s="784">
        <v>3.3</v>
      </c>
      <c r="P3781" s="783">
        <v>350</v>
      </c>
      <c r="Q3781" s="783">
        <v>1468.47</v>
      </c>
      <c r="R3781" s="783">
        <v>533.72</v>
      </c>
      <c r="S3781" s="783">
        <v>149.46</v>
      </c>
      <c r="T3781" s="783">
        <v>785.28</v>
      </c>
      <c r="U3781" s="785">
        <v>44631.503935185203</v>
      </c>
    </row>
    <row r="3782" spans="1:21">
      <c r="A3782" s="782">
        <v>44409</v>
      </c>
      <c r="B3782" s="783" t="s">
        <v>74</v>
      </c>
      <c r="C3782" s="783" t="s">
        <v>4097</v>
      </c>
      <c r="D3782" s="783" t="s">
        <v>4038</v>
      </c>
      <c r="E3782" s="783" t="s">
        <v>4508</v>
      </c>
      <c r="F3782" s="783" t="s">
        <v>4011</v>
      </c>
      <c r="G3782" s="783" t="str">
        <f t="shared" si="198"/>
        <v>Renewal (20% in 2020)</v>
      </c>
      <c r="H3782" s="783" t="s">
        <v>4509</v>
      </c>
      <c r="I3782" s="783" t="s">
        <v>4510</v>
      </c>
      <c r="J3782" s="783">
        <v>20</v>
      </c>
      <c r="K3782" s="783" t="s">
        <v>814</v>
      </c>
      <c r="L3782" s="783" t="s">
        <v>4014</v>
      </c>
      <c r="M3782" s="784">
        <v>7993.5</v>
      </c>
      <c r="N3782" s="784">
        <v>7.37</v>
      </c>
      <c r="O3782" s="784">
        <v>3.4</v>
      </c>
      <c r="P3782" s="783">
        <v>319</v>
      </c>
      <c r="Q3782" s="783">
        <v>443.64</v>
      </c>
      <c r="R3782" s="783">
        <v>235.01</v>
      </c>
      <c r="S3782" s="783">
        <v>38.369999999999997</v>
      </c>
      <c r="T3782" s="783">
        <v>170.26</v>
      </c>
      <c r="U3782" s="785">
        <v>44631.503564814797</v>
      </c>
    </row>
    <row r="3783" spans="1:21">
      <c r="A3783" s="782">
        <v>44650</v>
      </c>
      <c r="B3783" s="783" t="s">
        <v>113</v>
      </c>
      <c r="C3783" s="783" t="s">
        <v>4606</v>
      </c>
      <c r="D3783" s="783" t="s">
        <v>4009</v>
      </c>
      <c r="E3783" s="783" t="s">
        <v>3271</v>
      </c>
      <c r="F3783" s="783" t="s">
        <v>4011</v>
      </c>
      <c r="G3783" s="783" t="str">
        <f t="shared" si="198"/>
        <v>Renewal (25% in 2020)</v>
      </c>
      <c r="H3783" s="783" t="s">
        <v>4871</v>
      </c>
      <c r="I3783" s="783" t="s">
        <v>4872</v>
      </c>
      <c r="J3783" s="783">
        <v>25</v>
      </c>
      <c r="K3783" s="783" t="s">
        <v>814</v>
      </c>
      <c r="L3783" s="783" t="s">
        <v>4014</v>
      </c>
      <c r="M3783" s="784">
        <v>14175</v>
      </c>
      <c r="N3783" s="784">
        <v>15</v>
      </c>
      <c r="O3783" s="784">
        <v>2.7</v>
      </c>
      <c r="P3783" s="783">
        <v>350</v>
      </c>
      <c r="Q3783" s="783">
        <v>860.42</v>
      </c>
      <c r="R3783" s="783">
        <v>503.86</v>
      </c>
      <c r="S3783" s="783">
        <v>141.1</v>
      </c>
      <c r="T3783" s="783">
        <v>215.46</v>
      </c>
      <c r="U3783" s="785">
        <v>44652.396921296298</v>
      </c>
    </row>
    <row r="3784" spans="1:21">
      <c r="A3784" s="782">
        <v>44572</v>
      </c>
      <c r="B3784" s="783" t="s">
        <v>177</v>
      </c>
      <c r="C3784" s="783" t="s">
        <v>4274</v>
      </c>
      <c r="D3784" s="783" t="s">
        <v>4038</v>
      </c>
      <c r="E3784" s="783" t="s">
        <v>4275</v>
      </c>
      <c r="F3784" s="783" t="s">
        <v>4011</v>
      </c>
      <c r="G3784" s="783" t="str">
        <f t="shared" si="198"/>
        <v>Renewal (20% in 2020)</v>
      </c>
      <c r="H3784" s="783" t="s">
        <v>4276</v>
      </c>
      <c r="I3784" s="783" t="s">
        <v>4277</v>
      </c>
      <c r="J3784" s="783">
        <v>20</v>
      </c>
      <c r="K3784" s="783" t="s">
        <v>814</v>
      </c>
      <c r="L3784" s="783" t="s">
        <v>4014</v>
      </c>
      <c r="M3784" s="784">
        <v>7512</v>
      </c>
      <c r="N3784" s="784">
        <v>6</v>
      </c>
      <c r="O3784" s="784">
        <v>3.13</v>
      </c>
      <c r="P3784" s="783">
        <v>400</v>
      </c>
      <c r="Q3784" s="783">
        <v>710.64</v>
      </c>
      <c r="R3784" s="783">
        <v>258.2</v>
      </c>
      <c r="S3784" s="783">
        <v>178.24</v>
      </c>
      <c r="T3784" s="783">
        <v>274.19</v>
      </c>
      <c r="U3784" s="785">
        <v>44631.512395833299</v>
      </c>
    </row>
    <row r="3785" spans="1:21">
      <c r="A3785" s="782">
        <v>44690</v>
      </c>
      <c r="B3785" s="783" t="s">
        <v>113</v>
      </c>
      <c r="C3785" s="783" t="s">
        <v>4606</v>
      </c>
      <c r="D3785" s="783" t="s">
        <v>4009</v>
      </c>
      <c r="E3785" s="783" t="s">
        <v>6825</v>
      </c>
      <c r="F3785" s="783" t="s">
        <v>4011</v>
      </c>
      <c r="G3785" s="783" t="str">
        <f t="shared" si="198"/>
        <v>Renewal (20% in 2020)</v>
      </c>
      <c r="H3785" s="783" t="s">
        <v>6826</v>
      </c>
      <c r="I3785" s="783" t="s">
        <v>6827</v>
      </c>
      <c r="J3785" s="783">
        <v>25</v>
      </c>
      <c r="K3785" s="783" t="s">
        <v>814</v>
      </c>
      <c r="L3785" s="783" t="s">
        <v>4014</v>
      </c>
      <c r="M3785" s="784">
        <v>13840</v>
      </c>
      <c r="N3785" s="784">
        <v>10</v>
      </c>
      <c r="O3785" s="784">
        <v>3.46</v>
      </c>
      <c r="P3785" s="783">
        <v>400</v>
      </c>
      <c r="Q3785" s="783">
        <v>840.09</v>
      </c>
      <c r="R3785" s="783">
        <v>430.46</v>
      </c>
      <c r="S3785" s="783">
        <v>199.26</v>
      </c>
      <c r="T3785" s="783">
        <v>210.37</v>
      </c>
      <c r="U3785" s="785">
        <v>44690.497442129599</v>
      </c>
    </row>
    <row r="3786" spans="1:21">
      <c r="A3786" s="782">
        <v>44692</v>
      </c>
      <c r="B3786" s="783" t="s">
        <v>113</v>
      </c>
      <c r="C3786" s="783" t="s">
        <v>4606</v>
      </c>
      <c r="D3786" s="783" t="s">
        <v>4009</v>
      </c>
      <c r="E3786" s="783" t="s">
        <v>6549</v>
      </c>
      <c r="F3786" s="783" t="s">
        <v>4011</v>
      </c>
      <c r="G3786" s="783" t="str">
        <f t="shared" si="198"/>
        <v>Renewal (20% in 2020)</v>
      </c>
      <c r="H3786" s="783" t="s">
        <v>6550</v>
      </c>
      <c r="I3786" s="783" t="s">
        <v>6551</v>
      </c>
      <c r="J3786" s="783">
        <v>20</v>
      </c>
      <c r="K3786" s="783" t="s">
        <v>814</v>
      </c>
      <c r="L3786" s="783" t="s">
        <v>4014</v>
      </c>
      <c r="M3786" s="784">
        <v>3935.75</v>
      </c>
      <c r="N3786" s="784">
        <v>3.25</v>
      </c>
      <c r="O3786" s="784">
        <v>3.46</v>
      </c>
      <c r="P3786" s="783">
        <v>350</v>
      </c>
      <c r="Q3786" s="783">
        <v>297.54000000000002</v>
      </c>
      <c r="R3786" s="783">
        <v>139.9</v>
      </c>
      <c r="S3786" s="783">
        <v>39.18</v>
      </c>
      <c r="T3786" s="783">
        <v>118.47</v>
      </c>
      <c r="U3786" s="785">
        <v>44693.455740740697</v>
      </c>
    </row>
    <row r="3787" spans="1:21">
      <c r="A3787" s="782">
        <v>44693</v>
      </c>
      <c r="B3787" s="783" t="s">
        <v>4025</v>
      </c>
      <c r="C3787" s="783" t="s">
        <v>4026</v>
      </c>
      <c r="D3787" s="783" t="s">
        <v>4021</v>
      </c>
      <c r="E3787" s="783" t="s">
        <v>4890</v>
      </c>
      <c r="F3787" s="783" t="s">
        <v>4011</v>
      </c>
      <c r="G3787" s="783" t="str">
        <f t="shared" si="198"/>
        <v>New Contract</v>
      </c>
      <c r="H3787" s="783" t="s">
        <v>4891</v>
      </c>
      <c r="I3787" s="783" t="s">
        <v>4892</v>
      </c>
      <c r="J3787" s="783">
        <v>25</v>
      </c>
      <c r="K3787" s="783" t="s">
        <v>814</v>
      </c>
      <c r="L3787" s="783" t="s">
        <v>4014</v>
      </c>
      <c r="M3787" s="784">
        <v>10641.46</v>
      </c>
      <c r="N3787" s="784">
        <v>10.71</v>
      </c>
      <c r="O3787" s="784">
        <v>2.4</v>
      </c>
      <c r="P3787" s="783">
        <v>414</v>
      </c>
      <c r="Q3787" s="783">
        <v>585.28</v>
      </c>
      <c r="R3787" s="783">
        <v>309.12</v>
      </c>
      <c r="S3787" s="783">
        <v>158.04</v>
      </c>
      <c r="T3787" s="783">
        <v>118.12</v>
      </c>
      <c r="U3787" s="785">
        <v>44693.699895833299</v>
      </c>
    </row>
    <row r="3788" spans="1:21">
      <c r="A3788" s="782">
        <v>44693</v>
      </c>
      <c r="B3788" s="783" t="s">
        <v>30</v>
      </c>
      <c r="C3788" s="783" t="s">
        <v>4893</v>
      </c>
      <c r="D3788" s="783" t="s">
        <v>4512</v>
      </c>
      <c r="E3788" s="783" t="s">
        <v>4894</v>
      </c>
      <c r="F3788" s="783" t="s">
        <v>4011</v>
      </c>
      <c r="G3788" s="783" t="str">
        <f t="shared" si="198"/>
        <v>New Contract</v>
      </c>
      <c r="H3788" s="783" t="s">
        <v>4895</v>
      </c>
      <c r="I3788" s="783" t="s">
        <v>4896</v>
      </c>
      <c r="J3788" s="783">
        <v>20</v>
      </c>
      <c r="K3788" s="783" t="s">
        <v>814</v>
      </c>
      <c r="L3788" s="783" t="s">
        <v>4014</v>
      </c>
      <c r="M3788" s="784">
        <v>13341.52</v>
      </c>
      <c r="N3788" s="784">
        <v>7.51</v>
      </c>
      <c r="O3788" s="784">
        <v>3.23</v>
      </c>
      <c r="P3788" s="783">
        <v>550</v>
      </c>
      <c r="Q3788" s="783">
        <v>720.44</v>
      </c>
      <c r="R3788" s="783">
        <v>205.06</v>
      </c>
      <c r="S3788" s="783">
        <v>253.89</v>
      </c>
      <c r="T3788" s="783">
        <v>261.49</v>
      </c>
      <c r="U3788" s="785">
        <v>44694.435486111099</v>
      </c>
    </row>
    <row r="3789" spans="1:21">
      <c r="A3789" s="782">
        <v>44693</v>
      </c>
      <c r="B3789" s="783" t="s">
        <v>30</v>
      </c>
      <c r="C3789" s="783" t="s">
        <v>4239</v>
      </c>
      <c r="D3789" s="783" t="s">
        <v>4021</v>
      </c>
      <c r="E3789" s="783" t="s">
        <v>4894</v>
      </c>
      <c r="F3789" s="783" t="s">
        <v>4011</v>
      </c>
      <c r="G3789" s="783" t="str">
        <f t="shared" si="198"/>
        <v>New Contract</v>
      </c>
      <c r="H3789" s="783" t="s">
        <v>4895</v>
      </c>
      <c r="I3789" s="783" t="s">
        <v>4896</v>
      </c>
      <c r="J3789" s="783">
        <v>20</v>
      </c>
      <c r="K3789" s="783" t="s">
        <v>814</v>
      </c>
      <c r="L3789" s="783" t="s">
        <v>4014</v>
      </c>
      <c r="M3789" s="784">
        <v>22970.15</v>
      </c>
      <c r="N3789" s="784">
        <v>12.93</v>
      </c>
      <c r="O3789" s="784">
        <v>3.23</v>
      </c>
      <c r="P3789" s="783">
        <v>550</v>
      </c>
      <c r="Q3789" s="783">
        <v>1369.02</v>
      </c>
      <c r="R3789" s="783">
        <v>405.01</v>
      </c>
      <c r="S3789" s="783">
        <v>483.94</v>
      </c>
      <c r="T3789" s="783">
        <v>480.08</v>
      </c>
      <c r="U3789" s="785">
        <v>44694.435486111099</v>
      </c>
    </row>
    <row r="3790" spans="1:21">
      <c r="A3790" s="782">
        <v>44700</v>
      </c>
      <c r="B3790" s="783" t="s">
        <v>41</v>
      </c>
      <c r="C3790" s="783" t="s">
        <v>4071</v>
      </c>
      <c r="D3790" s="783" t="s">
        <v>4009</v>
      </c>
      <c r="E3790" s="783" t="s">
        <v>678</v>
      </c>
      <c r="F3790" s="783" t="s">
        <v>4011</v>
      </c>
      <c r="G3790" s="783" t="str">
        <f t="shared" si="198"/>
        <v>Renewal (15% in 2020)</v>
      </c>
      <c r="H3790" s="783" t="s">
        <v>4897</v>
      </c>
      <c r="I3790" s="783" t="s">
        <v>4898</v>
      </c>
      <c r="J3790" s="783">
        <v>15</v>
      </c>
      <c r="K3790" s="783" t="s">
        <v>814</v>
      </c>
      <c r="L3790" s="783" t="s">
        <v>4014</v>
      </c>
      <c r="M3790" s="784">
        <v>27470.400000000001</v>
      </c>
      <c r="N3790" s="784">
        <v>19.399999999999999</v>
      </c>
      <c r="O3790" s="784">
        <v>2.36</v>
      </c>
      <c r="P3790" s="783">
        <v>600</v>
      </c>
      <c r="Q3790" s="783">
        <v>2675.62</v>
      </c>
      <c r="R3790" s="783">
        <v>625.1</v>
      </c>
      <c r="S3790" s="783">
        <v>742.93</v>
      </c>
      <c r="T3790" s="783">
        <v>1307.5899999999999</v>
      </c>
      <c r="U3790" s="785">
        <v>44700.595925925903</v>
      </c>
    </row>
    <row r="3791" spans="1:21">
      <c r="A3791" s="782">
        <v>44697</v>
      </c>
      <c r="B3791" s="783" t="s">
        <v>41</v>
      </c>
      <c r="C3791" s="783" t="s">
        <v>4139</v>
      </c>
      <c r="D3791" s="783" t="s">
        <v>4009</v>
      </c>
      <c r="E3791" s="783" t="s">
        <v>4532</v>
      </c>
      <c r="F3791" s="783" t="s">
        <v>4011</v>
      </c>
      <c r="G3791" s="783" t="str">
        <f t="shared" si="198"/>
        <v>Renewal (15% in 2020)</v>
      </c>
      <c r="H3791" s="783" t="s">
        <v>4533</v>
      </c>
      <c r="I3791" s="783" t="s">
        <v>4534</v>
      </c>
      <c r="J3791" s="783">
        <v>15</v>
      </c>
      <c r="K3791" s="783" t="s">
        <v>814</v>
      </c>
      <c r="L3791" s="783" t="s">
        <v>4014</v>
      </c>
      <c r="M3791" s="784">
        <v>2100.71</v>
      </c>
      <c r="N3791" s="784">
        <v>2.71</v>
      </c>
      <c r="O3791" s="784">
        <v>2.4300000000000002</v>
      </c>
      <c r="P3791" s="783">
        <v>319</v>
      </c>
      <c r="Q3791" s="783">
        <v>182.34</v>
      </c>
      <c r="R3791" s="783">
        <v>80.25</v>
      </c>
      <c r="S3791" s="783">
        <v>13.02</v>
      </c>
      <c r="T3791" s="783">
        <v>89.07</v>
      </c>
      <c r="U3791" s="785">
        <v>44708.6038541667</v>
      </c>
    </row>
    <row r="3792" spans="1:21">
      <c r="A3792" s="782">
        <v>44693</v>
      </c>
      <c r="B3792" s="783" t="s">
        <v>4025</v>
      </c>
      <c r="C3792" s="783" t="s">
        <v>4026</v>
      </c>
      <c r="D3792" s="783" t="s">
        <v>4021</v>
      </c>
      <c r="E3792" s="783" t="s">
        <v>4917</v>
      </c>
      <c r="F3792" s="783" t="s">
        <v>4011</v>
      </c>
      <c r="G3792" s="783" t="str">
        <f t="shared" si="198"/>
        <v>New Contract</v>
      </c>
      <c r="H3792" s="783" t="s">
        <v>4918</v>
      </c>
      <c r="I3792" s="783" t="s">
        <v>4919</v>
      </c>
      <c r="J3792" s="783">
        <v>25</v>
      </c>
      <c r="K3792" s="783" t="s">
        <v>814</v>
      </c>
      <c r="L3792" s="783" t="s">
        <v>4014</v>
      </c>
      <c r="M3792" s="784">
        <v>49473.5</v>
      </c>
      <c r="N3792" s="784">
        <v>44.59</v>
      </c>
      <c r="O3792" s="784">
        <v>2.68</v>
      </c>
      <c r="P3792" s="783">
        <v>414</v>
      </c>
      <c r="Q3792" s="783">
        <v>2721.04</v>
      </c>
      <c r="R3792" s="783">
        <v>1437.16</v>
      </c>
      <c r="S3792" s="783">
        <v>734.73</v>
      </c>
      <c r="T3792" s="783">
        <v>549.16</v>
      </c>
      <c r="U3792" s="785">
        <v>44694.4207523148</v>
      </c>
    </row>
    <row r="3793" spans="1:21">
      <c r="A3793" s="782">
        <v>44693</v>
      </c>
      <c r="B3793" s="783" t="s">
        <v>397</v>
      </c>
      <c r="C3793" s="783" t="s">
        <v>4020</v>
      </c>
      <c r="D3793" s="783" t="s">
        <v>4021</v>
      </c>
      <c r="E3793" s="783" t="s">
        <v>3774</v>
      </c>
      <c r="F3793" s="783" t="s">
        <v>4011</v>
      </c>
      <c r="G3793" s="783" t="s">
        <v>4028</v>
      </c>
      <c r="H3793" s="783" t="s">
        <v>4920</v>
      </c>
      <c r="I3793" s="783" t="s">
        <v>4921</v>
      </c>
      <c r="J3793" s="783">
        <v>30</v>
      </c>
      <c r="K3793" s="783" t="s">
        <v>814</v>
      </c>
      <c r="L3793" s="783" t="s">
        <v>4014</v>
      </c>
      <c r="M3793" s="784">
        <v>8657.2800000000007</v>
      </c>
      <c r="N3793" s="784">
        <v>6.68</v>
      </c>
      <c r="O3793" s="784">
        <v>3.6</v>
      </c>
      <c r="P3793" s="783">
        <v>360</v>
      </c>
      <c r="Q3793" s="783">
        <v>421.61</v>
      </c>
      <c r="R3793" s="783">
        <v>296.88</v>
      </c>
      <c r="S3793" s="783">
        <v>38.159999999999997</v>
      </c>
      <c r="T3793" s="783">
        <v>86.57</v>
      </c>
      <c r="U3793" s="785">
        <v>44694.506215277797</v>
      </c>
    </row>
    <row r="3794" spans="1:21">
      <c r="A3794" s="782">
        <v>44691</v>
      </c>
      <c r="B3794" s="783" t="s">
        <v>30</v>
      </c>
      <c r="C3794" s="783" t="s">
        <v>4239</v>
      </c>
      <c r="D3794" s="783" t="s">
        <v>4021</v>
      </c>
      <c r="E3794" s="783" t="s">
        <v>4931</v>
      </c>
      <c r="F3794" s="783" t="s">
        <v>4011</v>
      </c>
      <c r="G3794" s="783" t="str">
        <f t="shared" ref="G3794:G3800" si="199">VLOOKUP(I3794,pacage,2,FALSE)</f>
        <v>Renewal (20% in 2020)</v>
      </c>
      <c r="H3794" s="783" t="s">
        <v>4932</v>
      </c>
      <c r="I3794" s="783" t="s">
        <v>4933</v>
      </c>
      <c r="J3794" s="783">
        <v>20</v>
      </c>
      <c r="K3794" s="783" t="s">
        <v>814</v>
      </c>
      <c r="L3794" s="783" t="s">
        <v>4014</v>
      </c>
      <c r="M3794" s="784">
        <v>16906.96</v>
      </c>
      <c r="N3794" s="784">
        <v>18.16</v>
      </c>
      <c r="O3794" s="784">
        <v>2.66</v>
      </c>
      <c r="P3794" s="783">
        <v>350</v>
      </c>
      <c r="Q3794" s="783">
        <v>1007.65</v>
      </c>
      <c r="R3794" s="783">
        <v>468.45</v>
      </c>
      <c r="S3794" s="783">
        <v>185.85</v>
      </c>
      <c r="T3794" s="783">
        <v>353.36</v>
      </c>
      <c r="U3794" s="785">
        <v>44692.438055555598</v>
      </c>
    </row>
    <row r="3795" spans="1:21">
      <c r="A3795" s="782">
        <v>44690</v>
      </c>
      <c r="B3795" s="783" t="s">
        <v>41</v>
      </c>
      <c r="C3795" s="783" t="s">
        <v>4082</v>
      </c>
      <c r="D3795" s="783" t="s">
        <v>4009</v>
      </c>
      <c r="E3795" s="783" t="s">
        <v>635</v>
      </c>
      <c r="F3795" s="783" t="s">
        <v>4011</v>
      </c>
      <c r="G3795" s="783" t="str">
        <f t="shared" si="199"/>
        <v>Renewal (20% in 2020)</v>
      </c>
      <c r="H3795" s="783" t="s">
        <v>4538</v>
      </c>
      <c r="I3795" s="783" t="s">
        <v>4539</v>
      </c>
      <c r="J3795" s="783">
        <v>20</v>
      </c>
      <c r="K3795" s="783" t="s">
        <v>814</v>
      </c>
      <c r="L3795" s="783" t="s">
        <v>4014</v>
      </c>
      <c r="M3795" s="784">
        <v>16250</v>
      </c>
      <c r="N3795" s="784">
        <v>10</v>
      </c>
      <c r="O3795" s="784">
        <v>2.5</v>
      </c>
      <c r="P3795" s="783">
        <v>650</v>
      </c>
      <c r="Q3795" s="783">
        <v>1330.88</v>
      </c>
      <c r="R3795" s="783">
        <v>365.26</v>
      </c>
      <c r="S3795" s="783">
        <v>543.12</v>
      </c>
      <c r="T3795" s="783">
        <v>422.5</v>
      </c>
      <c r="U3795" s="785">
        <v>44690.674062500002</v>
      </c>
    </row>
    <row r="3796" spans="1:21">
      <c r="A3796" s="782">
        <v>44697</v>
      </c>
      <c r="B3796" s="783" t="s">
        <v>65</v>
      </c>
      <c r="C3796" s="783" t="s">
        <v>4274</v>
      </c>
      <c r="D3796" s="783" t="s">
        <v>4038</v>
      </c>
      <c r="E3796" s="783" t="s">
        <v>4540</v>
      </c>
      <c r="F3796" s="783" t="s">
        <v>4011</v>
      </c>
      <c r="G3796" s="783" t="str">
        <f t="shared" si="199"/>
        <v>Renewal (20% in 2020)</v>
      </c>
      <c r="H3796" s="783" t="s">
        <v>4541</v>
      </c>
      <c r="I3796" s="783" t="s">
        <v>4542</v>
      </c>
      <c r="J3796" s="783">
        <v>20</v>
      </c>
      <c r="K3796" s="783" t="s">
        <v>814</v>
      </c>
      <c r="L3796" s="783" t="s">
        <v>4014</v>
      </c>
      <c r="M3796" s="784">
        <v>45368.19</v>
      </c>
      <c r="N3796" s="784">
        <v>31.31</v>
      </c>
      <c r="O3796" s="784">
        <v>3.5</v>
      </c>
      <c r="P3796" s="783">
        <v>414</v>
      </c>
      <c r="Q3796" s="783">
        <v>4291.83</v>
      </c>
      <c r="R3796" s="783">
        <v>1506.67</v>
      </c>
      <c r="S3796" s="783">
        <v>1129.22</v>
      </c>
      <c r="T3796" s="783">
        <v>1655.94</v>
      </c>
      <c r="U3796" s="785">
        <v>44698.687418981499</v>
      </c>
    </row>
    <row r="3797" spans="1:21">
      <c r="A3797" s="782">
        <v>44694</v>
      </c>
      <c r="B3797" s="783" t="s">
        <v>30</v>
      </c>
      <c r="C3797" s="783" t="s">
        <v>4239</v>
      </c>
      <c r="D3797" s="783" t="s">
        <v>4021</v>
      </c>
      <c r="E3797" s="783" t="s">
        <v>1792</v>
      </c>
      <c r="F3797" s="783" t="s">
        <v>4011</v>
      </c>
      <c r="G3797" s="783" t="str">
        <f t="shared" si="199"/>
        <v>Renewal (25% in 2020)</v>
      </c>
      <c r="H3797" s="783" t="s">
        <v>4937</v>
      </c>
      <c r="I3797" s="783" t="s">
        <v>4938</v>
      </c>
      <c r="J3797" s="783">
        <v>25</v>
      </c>
      <c r="K3797" s="783" t="s">
        <v>814</v>
      </c>
      <c r="L3797" s="783" t="s">
        <v>4014</v>
      </c>
      <c r="M3797" s="784">
        <v>9461.56</v>
      </c>
      <c r="N3797" s="784">
        <v>7.8</v>
      </c>
      <c r="O3797" s="784">
        <v>2.93</v>
      </c>
      <c r="P3797" s="783">
        <v>414</v>
      </c>
      <c r="Q3797" s="783">
        <v>443.75</v>
      </c>
      <c r="R3797" s="783">
        <v>221.63</v>
      </c>
      <c r="S3797" s="783">
        <v>144.53</v>
      </c>
      <c r="T3797" s="783">
        <v>77.58</v>
      </c>
      <c r="U3797" s="785">
        <v>44697.502337963</v>
      </c>
    </row>
    <row r="3798" spans="1:21">
      <c r="A3798" s="782">
        <v>44694</v>
      </c>
      <c r="B3798" s="783" t="s">
        <v>30</v>
      </c>
      <c r="C3798" s="783" t="s">
        <v>4939</v>
      </c>
      <c r="D3798" s="783" t="s">
        <v>4021</v>
      </c>
      <c r="E3798" s="783" t="s">
        <v>1792</v>
      </c>
      <c r="F3798" s="783" t="s">
        <v>4011</v>
      </c>
      <c r="G3798" s="783" t="str">
        <f t="shared" si="199"/>
        <v>Renewal (25% in 2020)</v>
      </c>
      <c r="H3798" s="783" t="s">
        <v>4937</v>
      </c>
      <c r="I3798" s="783" t="s">
        <v>4938</v>
      </c>
      <c r="J3798" s="783">
        <v>25</v>
      </c>
      <c r="K3798" s="783" t="s">
        <v>814</v>
      </c>
      <c r="L3798" s="783" t="s">
        <v>4014</v>
      </c>
      <c r="M3798" s="784">
        <v>28814.400000000001</v>
      </c>
      <c r="N3798" s="784">
        <v>23.2</v>
      </c>
      <c r="O3798" s="784">
        <v>3</v>
      </c>
      <c r="P3798" s="783">
        <v>414</v>
      </c>
      <c r="Q3798" s="783">
        <v>1760.56</v>
      </c>
      <c r="R3798" s="783">
        <v>910.3</v>
      </c>
      <c r="S3798" s="783">
        <v>570.76</v>
      </c>
      <c r="T3798" s="783">
        <v>279.5</v>
      </c>
      <c r="U3798" s="785">
        <v>44697.502337963</v>
      </c>
    </row>
    <row r="3799" spans="1:21">
      <c r="A3799" s="782">
        <v>44697</v>
      </c>
      <c r="B3799" s="783" t="s">
        <v>65</v>
      </c>
      <c r="C3799" s="783" t="s">
        <v>4625</v>
      </c>
      <c r="D3799" s="783" t="s">
        <v>4248</v>
      </c>
      <c r="E3799" s="783" t="s">
        <v>1077</v>
      </c>
      <c r="F3799" s="783" t="s">
        <v>4011</v>
      </c>
      <c r="G3799" s="783" t="str">
        <f t="shared" si="199"/>
        <v>Renewal (20% in 2020)</v>
      </c>
      <c r="H3799" s="783" t="s">
        <v>6423</v>
      </c>
      <c r="I3799" s="783" t="s">
        <v>6424</v>
      </c>
      <c r="J3799" s="783">
        <v>20</v>
      </c>
      <c r="K3799" s="783" t="s">
        <v>814</v>
      </c>
      <c r="L3799" s="783" t="s">
        <v>4014</v>
      </c>
      <c r="M3799" s="784">
        <v>10560.75</v>
      </c>
      <c r="N3799" s="784">
        <v>18.190000000000001</v>
      </c>
      <c r="O3799" s="784">
        <v>1.4</v>
      </c>
      <c r="P3799" s="783">
        <v>414.7</v>
      </c>
      <c r="Q3799" s="783">
        <v>746.65</v>
      </c>
      <c r="R3799" s="783">
        <v>331.45</v>
      </c>
      <c r="S3799" s="783">
        <v>171.25</v>
      </c>
      <c r="T3799" s="783">
        <v>243.95</v>
      </c>
      <c r="U3799" s="785">
        <v>44698.4692476852</v>
      </c>
    </row>
    <row r="3800" spans="1:21">
      <c r="A3800" s="782">
        <v>44697</v>
      </c>
      <c r="B3800" s="783" t="s">
        <v>65</v>
      </c>
      <c r="C3800" s="783" t="s">
        <v>4247</v>
      </c>
      <c r="D3800" s="783" t="s">
        <v>4248</v>
      </c>
      <c r="E3800" s="783" t="s">
        <v>1077</v>
      </c>
      <c r="F3800" s="783" t="s">
        <v>4011</v>
      </c>
      <c r="G3800" s="783" t="str">
        <f t="shared" si="199"/>
        <v>Renewal (20% in 2020)</v>
      </c>
      <c r="H3800" s="783" t="s">
        <v>6423</v>
      </c>
      <c r="I3800" s="783" t="s">
        <v>6424</v>
      </c>
      <c r="J3800" s="783">
        <v>20</v>
      </c>
      <c r="K3800" s="783" t="s">
        <v>814</v>
      </c>
      <c r="L3800" s="783" t="s">
        <v>4014</v>
      </c>
      <c r="M3800" s="784">
        <v>4290.49</v>
      </c>
      <c r="N3800" s="784">
        <v>7.39</v>
      </c>
      <c r="O3800" s="784">
        <v>1.4</v>
      </c>
      <c r="P3800" s="783">
        <v>414.7</v>
      </c>
      <c r="Q3800" s="783">
        <v>294.33</v>
      </c>
      <c r="R3800" s="783">
        <v>129.37</v>
      </c>
      <c r="S3800" s="783">
        <v>66.27</v>
      </c>
      <c r="T3800" s="783">
        <v>98.68</v>
      </c>
      <c r="U3800" s="785">
        <v>44698.4692476852</v>
      </c>
    </row>
    <row r="3801" spans="1:21">
      <c r="A3801" s="782">
        <v>44694</v>
      </c>
      <c r="B3801" s="783" t="s">
        <v>2866</v>
      </c>
      <c r="C3801" s="783" t="s">
        <v>4414</v>
      </c>
      <c r="D3801" s="783" t="s">
        <v>4009</v>
      </c>
      <c r="E3801" s="783" t="s">
        <v>4940</v>
      </c>
      <c r="F3801" s="783" t="s">
        <v>4066</v>
      </c>
      <c r="G3801" s="783" t="s">
        <v>4028</v>
      </c>
      <c r="H3801" s="783" t="s">
        <v>4941</v>
      </c>
      <c r="I3801" s="783" t="s">
        <v>4942</v>
      </c>
      <c r="J3801" s="783">
        <v>10</v>
      </c>
      <c r="K3801" s="783" t="s">
        <v>814</v>
      </c>
      <c r="L3801" s="783" t="s">
        <v>4014</v>
      </c>
      <c r="M3801" s="784">
        <v>23925</v>
      </c>
      <c r="N3801" s="784">
        <v>25</v>
      </c>
      <c r="O3801" s="784">
        <v>3</v>
      </c>
      <c r="P3801" s="783">
        <v>319</v>
      </c>
      <c r="Q3801" s="783">
        <v>650.76</v>
      </c>
      <c r="R3801" s="783">
        <v>0</v>
      </c>
      <c r="S3801" s="783">
        <v>0</v>
      </c>
      <c r="T3801" s="783">
        <v>650.76</v>
      </c>
      <c r="U3801" s="785">
        <v>44694.520810185197</v>
      </c>
    </row>
    <row r="3802" spans="1:21">
      <c r="A3802" s="782">
        <v>44697</v>
      </c>
      <c r="B3802" s="783" t="s">
        <v>4025</v>
      </c>
      <c r="C3802" s="783" t="s">
        <v>4026</v>
      </c>
      <c r="D3802" s="783" t="s">
        <v>4021</v>
      </c>
      <c r="E3802" s="783" t="s">
        <v>4943</v>
      </c>
      <c r="F3802" s="783" t="s">
        <v>4011</v>
      </c>
      <c r="G3802" s="783" t="str">
        <f>VLOOKUP(I3802,pacage,2,FALSE)</f>
        <v>New Contract</v>
      </c>
      <c r="H3802" s="783" t="s">
        <v>4944</v>
      </c>
      <c r="I3802" s="783" t="s">
        <v>4945</v>
      </c>
      <c r="J3802" s="783">
        <v>20</v>
      </c>
      <c r="K3802" s="783" t="s">
        <v>814</v>
      </c>
      <c r="L3802" s="783" t="s">
        <v>4014</v>
      </c>
      <c r="M3802" s="784">
        <v>9769.32</v>
      </c>
      <c r="N3802" s="784">
        <v>11.74</v>
      </c>
      <c r="O3802" s="784">
        <v>2.0099999999999998</v>
      </c>
      <c r="P3802" s="783">
        <v>414</v>
      </c>
      <c r="Q3802" s="783">
        <v>677.01</v>
      </c>
      <c r="R3802" s="783">
        <v>283.79000000000002</v>
      </c>
      <c r="S3802" s="783">
        <v>145.08000000000001</v>
      </c>
      <c r="T3802" s="783">
        <v>248.14</v>
      </c>
      <c r="U3802" s="785">
        <v>44699.416342592602</v>
      </c>
    </row>
    <row r="3803" spans="1:21">
      <c r="A3803" s="782">
        <v>44691</v>
      </c>
      <c r="B3803" s="783" t="s">
        <v>113</v>
      </c>
      <c r="C3803" s="783" t="s">
        <v>4606</v>
      </c>
      <c r="D3803" s="783" t="s">
        <v>4009</v>
      </c>
      <c r="E3803" s="783" t="s">
        <v>6678</v>
      </c>
      <c r="F3803" s="783" t="s">
        <v>4011</v>
      </c>
      <c r="G3803" s="783" t="str">
        <f>VLOOKUP(I3803,pacage,2,FALSE)</f>
        <v>Renewal (20% in 2020)</v>
      </c>
      <c r="H3803" s="783" t="s">
        <v>6679</v>
      </c>
      <c r="I3803" s="783" t="s">
        <v>6680</v>
      </c>
      <c r="J3803" s="783">
        <v>20</v>
      </c>
      <c r="K3803" s="783" t="s">
        <v>814</v>
      </c>
      <c r="L3803" s="783" t="s">
        <v>4014</v>
      </c>
      <c r="M3803" s="784">
        <v>18324.25</v>
      </c>
      <c r="N3803" s="784">
        <v>9.25</v>
      </c>
      <c r="O3803" s="784">
        <v>2.83</v>
      </c>
      <c r="P3803" s="783">
        <v>700</v>
      </c>
      <c r="Q3803" s="783">
        <v>1385.31</v>
      </c>
      <c r="R3803" s="783">
        <v>325.67</v>
      </c>
      <c r="S3803" s="783">
        <v>508.08</v>
      </c>
      <c r="T3803" s="783">
        <v>551.55999999999995</v>
      </c>
      <c r="U3803" s="785">
        <v>44692.419282407398</v>
      </c>
    </row>
    <row r="3804" spans="1:21">
      <c r="A3804" s="782">
        <v>44692</v>
      </c>
      <c r="B3804" s="783" t="s">
        <v>113</v>
      </c>
      <c r="C3804" s="783" t="s">
        <v>4606</v>
      </c>
      <c r="D3804" s="783" t="s">
        <v>4009</v>
      </c>
      <c r="E3804" s="783" t="s">
        <v>3632</v>
      </c>
      <c r="F3804" s="783" t="s">
        <v>4011</v>
      </c>
      <c r="G3804" s="783" t="str">
        <f>VLOOKUP(I3804,pacage,2,FALSE)</f>
        <v>Renewal (20% in 2020)</v>
      </c>
      <c r="H3804" s="783" t="s">
        <v>6701</v>
      </c>
      <c r="I3804" s="783" t="s">
        <v>6702</v>
      </c>
      <c r="J3804" s="783">
        <v>25</v>
      </c>
      <c r="K3804" s="783" t="s">
        <v>814</v>
      </c>
      <c r="L3804" s="783" t="s">
        <v>4014</v>
      </c>
      <c r="M3804" s="784">
        <v>5552.28</v>
      </c>
      <c r="N3804" s="784">
        <v>3.91</v>
      </c>
      <c r="O3804" s="784">
        <v>3.43</v>
      </c>
      <c r="P3804" s="783">
        <v>414</v>
      </c>
      <c r="Q3804" s="783">
        <v>337.02</v>
      </c>
      <c r="R3804" s="783">
        <v>166.85</v>
      </c>
      <c r="S3804" s="783">
        <v>85.78</v>
      </c>
      <c r="T3804" s="783">
        <v>84.39</v>
      </c>
      <c r="U3804" s="785">
        <v>44693.712407407402</v>
      </c>
    </row>
    <row r="3805" spans="1:21">
      <c r="A3805" s="782">
        <v>44586</v>
      </c>
      <c r="B3805" s="783" t="s">
        <v>41</v>
      </c>
      <c r="C3805" s="783" t="s">
        <v>4071</v>
      </c>
      <c r="D3805" s="783" t="s">
        <v>4009</v>
      </c>
      <c r="E3805" s="783" t="s">
        <v>4106</v>
      </c>
      <c r="F3805" s="783" t="s">
        <v>4011</v>
      </c>
      <c r="G3805" s="783" t="str">
        <f>VLOOKUP(I3805,pacage,2,FALSE)</f>
        <v>Renewal (15% in 2020)</v>
      </c>
      <c r="H3805" s="783" t="s">
        <v>4107</v>
      </c>
      <c r="I3805" s="783" t="s">
        <v>4108</v>
      </c>
      <c r="J3805" s="783">
        <v>15</v>
      </c>
      <c r="K3805" s="783" t="s">
        <v>814</v>
      </c>
      <c r="L3805" s="783" t="s">
        <v>4014</v>
      </c>
      <c r="M3805" s="784">
        <v>7337</v>
      </c>
      <c r="N3805" s="784">
        <v>10</v>
      </c>
      <c r="O3805" s="784">
        <v>2.2999999999999998</v>
      </c>
      <c r="P3805" s="783">
        <v>319</v>
      </c>
      <c r="Q3805" s="783">
        <v>714.62</v>
      </c>
      <c r="R3805" s="783">
        <v>314.02</v>
      </c>
      <c r="S3805" s="783">
        <v>51.36</v>
      </c>
      <c r="T3805" s="783">
        <v>349.24</v>
      </c>
      <c r="U3805" s="785">
        <v>44631.635891203703</v>
      </c>
    </row>
    <row r="3806" spans="1:21">
      <c r="A3806" s="782">
        <v>44585</v>
      </c>
      <c r="B3806" s="783" t="s">
        <v>74</v>
      </c>
      <c r="C3806" s="783" t="s">
        <v>4097</v>
      </c>
      <c r="D3806" s="783" t="s">
        <v>4038</v>
      </c>
      <c r="E3806" s="783" t="s">
        <v>4281</v>
      </c>
      <c r="F3806" s="783" t="s">
        <v>4011</v>
      </c>
      <c r="G3806" s="783" t="s">
        <v>4028</v>
      </c>
      <c r="H3806" s="783" t="s">
        <v>4282</v>
      </c>
      <c r="I3806" s="783" t="s">
        <v>4283</v>
      </c>
      <c r="J3806" s="783">
        <v>25</v>
      </c>
      <c r="K3806" s="783" t="s">
        <v>814</v>
      </c>
      <c r="L3806" s="783" t="s">
        <v>4014</v>
      </c>
      <c r="M3806" s="784">
        <v>8800</v>
      </c>
      <c r="N3806" s="784">
        <v>11</v>
      </c>
      <c r="O3806" s="784">
        <v>2</v>
      </c>
      <c r="P3806" s="783">
        <v>400</v>
      </c>
      <c r="Q3806" s="783">
        <v>388.96</v>
      </c>
      <c r="R3806" s="783">
        <v>206.33</v>
      </c>
      <c r="S3806" s="783">
        <v>94.63</v>
      </c>
      <c r="T3806" s="783">
        <v>88</v>
      </c>
      <c r="U3806" s="785">
        <v>44631.633425925902</v>
      </c>
    </row>
    <row r="3807" spans="1:21">
      <c r="A3807" s="782">
        <v>44588</v>
      </c>
      <c r="B3807" s="783" t="s">
        <v>74</v>
      </c>
      <c r="C3807" s="783" t="s">
        <v>6308</v>
      </c>
      <c r="D3807" s="783" t="s">
        <v>4038</v>
      </c>
      <c r="E3807" s="783" t="s">
        <v>2504</v>
      </c>
      <c r="F3807" s="783" t="s">
        <v>4011</v>
      </c>
      <c r="G3807" s="783" t="str">
        <f>VLOOKUP(I3807,pacage,2,FALSE)</f>
        <v>Renewal (15% in 2020)</v>
      </c>
      <c r="H3807" s="783" t="s">
        <v>5027</v>
      </c>
      <c r="I3807" s="783" t="s">
        <v>5028</v>
      </c>
      <c r="J3807" s="783">
        <v>15</v>
      </c>
      <c r="K3807" s="783" t="s">
        <v>814</v>
      </c>
      <c r="L3807" s="783" t="s">
        <v>4014</v>
      </c>
      <c r="M3807" s="784">
        <v>35672</v>
      </c>
      <c r="N3807" s="784">
        <v>26</v>
      </c>
      <c r="O3807" s="784">
        <v>3.43</v>
      </c>
      <c r="P3807" s="783">
        <v>400</v>
      </c>
      <c r="Q3807" s="783">
        <v>4344.8500000000004</v>
      </c>
      <c r="R3807" s="783">
        <v>1368.37</v>
      </c>
      <c r="S3807" s="783">
        <v>629.26</v>
      </c>
      <c r="T3807" s="783">
        <v>2347.2199999999998</v>
      </c>
      <c r="U3807" s="785">
        <v>44631.636319444398</v>
      </c>
    </row>
    <row r="3808" spans="1:21">
      <c r="A3808" s="782">
        <v>44585</v>
      </c>
      <c r="B3808" s="783" t="s">
        <v>74</v>
      </c>
      <c r="C3808" s="783" t="s">
        <v>4037</v>
      </c>
      <c r="D3808" s="783" t="s">
        <v>4038</v>
      </c>
      <c r="E3808" s="783" t="s">
        <v>1918</v>
      </c>
      <c r="F3808" s="783" t="s">
        <v>4011</v>
      </c>
      <c r="G3808" s="783" t="str">
        <f>VLOOKUP(I3808,pacage,2,FALSE)</f>
        <v>Renewal (30% in 2020)</v>
      </c>
      <c r="H3808" s="783" t="s">
        <v>4561</v>
      </c>
      <c r="I3808" s="783" t="s">
        <v>4562</v>
      </c>
      <c r="J3808" s="783">
        <v>30</v>
      </c>
      <c r="K3808" s="783" t="s">
        <v>814</v>
      </c>
      <c r="L3808" s="783" t="s">
        <v>4014</v>
      </c>
      <c r="M3808" s="784">
        <v>22502.400000000001</v>
      </c>
      <c r="N3808" s="784">
        <v>23.44</v>
      </c>
      <c r="O3808" s="784">
        <v>3.2</v>
      </c>
      <c r="P3808" s="783">
        <v>300</v>
      </c>
      <c r="Q3808" s="783">
        <v>1523.41</v>
      </c>
      <c r="R3808" s="783">
        <v>1068.8599999999999</v>
      </c>
      <c r="S3808" s="783">
        <v>0</v>
      </c>
      <c r="T3808" s="783">
        <v>454.55</v>
      </c>
      <c r="U3808" s="785">
        <v>44631.625960648104</v>
      </c>
    </row>
    <row r="3809" spans="1:21">
      <c r="A3809" s="782">
        <v>44615</v>
      </c>
      <c r="B3809" s="783" t="s">
        <v>30</v>
      </c>
      <c r="C3809" s="783" t="s">
        <v>4239</v>
      </c>
      <c r="D3809" s="783" t="s">
        <v>4021</v>
      </c>
      <c r="E3809" s="783" t="s">
        <v>5041</v>
      </c>
      <c r="F3809" s="783" t="s">
        <v>4066</v>
      </c>
      <c r="G3809" s="783" t="s">
        <v>4028</v>
      </c>
      <c r="H3809" s="783" t="s">
        <v>5042</v>
      </c>
      <c r="I3809" s="783" t="s">
        <v>5043</v>
      </c>
      <c r="J3809" s="783">
        <v>10</v>
      </c>
      <c r="K3809" s="783" t="s">
        <v>814</v>
      </c>
      <c r="L3809" s="783" t="s">
        <v>4014</v>
      </c>
      <c r="M3809" s="784">
        <v>18484.009999999998</v>
      </c>
      <c r="N3809" s="784">
        <v>20.260000000000002</v>
      </c>
      <c r="O3809" s="784">
        <v>2.2000000000000002</v>
      </c>
      <c r="P3809" s="783">
        <v>414.7</v>
      </c>
      <c r="Q3809" s="783">
        <v>288.35000000000002</v>
      </c>
      <c r="R3809" s="783">
        <v>0</v>
      </c>
      <c r="S3809" s="783">
        <v>0</v>
      </c>
      <c r="T3809" s="783">
        <v>288.35000000000002</v>
      </c>
      <c r="U3809" s="785">
        <v>44631.626284722202</v>
      </c>
    </row>
    <row r="3810" spans="1:21">
      <c r="A3810" s="782">
        <v>44699</v>
      </c>
      <c r="B3810" s="783" t="s">
        <v>113</v>
      </c>
      <c r="C3810" s="783" t="s">
        <v>4606</v>
      </c>
      <c r="D3810" s="783" t="s">
        <v>4009</v>
      </c>
      <c r="E3810" s="783" t="s">
        <v>159</v>
      </c>
      <c r="F3810" s="783" t="s">
        <v>4011</v>
      </c>
      <c r="G3810" s="783" t="str">
        <f>VLOOKUP(I3810,pacage,2,FALSE)</f>
        <v>Renewal (15% in 2020)</v>
      </c>
      <c r="H3810" s="783" t="s">
        <v>5055</v>
      </c>
      <c r="I3810" s="783" t="s">
        <v>5056</v>
      </c>
      <c r="J3810" s="783">
        <v>15</v>
      </c>
      <c r="K3810" s="783" t="s">
        <v>814</v>
      </c>
      <c r="L3810" s="783" t="s">
        <v>4014</v>
      </c>
      <c r="M3810" s="784">
        <v>9310.56</v>
      </c>
      <c r="N3810" s="784">
        <v>8.16</v>
      </c>
      <c r="O3810" s="784">
        <v>3.26</v>
      </c>
      <c r="P3810" s="783">
        <v>350</v>
      </c>
      <c r="Q3810" s="783">
        <v>910.57</v>
      </c>
      <c r="R3810" s="783">
        <v>330.95</v>
      </c>
      <c r="S3810" s="783">
        <v>92.68</v>
      </c>
      <c r="T3810" s="783">
        <v>486.94</v>
      </c>
      <c r="U3810" s="785">
        <v>44700.505393518499</v>
      </c>
    </row>
    <row r="3811" spans="1:21">
      <c r="A3811" s="782">
        <v>44693</v>
      </c>
      <c r="B3811" s="783" t="s">
        <v>4025</v>
      </c>
      <c r="C3811" s="783" t="s">
        <v>4026</v>
      </c>
      <c r="D3811" s="783" t="s">
        <v>4021</v>
      </c>
      <c r="E3811" s="783" t="s">
        <v>5060</v>
      </c>
      <c r="F3811" s="783" t="s">
        <v>4011</v>
      </c>
      <c r="G3811" s="783" t="s">
        <v>4028</v>
      </c>
      <c r="H3811" s="783" t="s">
        <v>5061</v>
      </c>
      <c r="I3811" s="783" t="s">
        <v>5062</v>
      </c>
      <c r="J3811" s="783">
        <v>25</v>
      </c>
      <c r="K3811" s="783" t="s">
        <v>814</v>
      </c>
      <c r="L3811" s="783" t="s">
        <v>4014</v>
      </c>
      <c r="M3811" s="784">
        <v>35796.199999999997</v>
      </c>
      <c r="N3811" s="784">
        <v>23.32</v>
      </c>
      <c r="O3811" s="784">
        <v>3.07</v>
      </c>
      <c r="P3811" s="783">
        <v>500</v>
      </c>
      <c r="Q3811" s="783">
        <v>1968.79</v>
      </c>
      <c r="R3811" s="783">
        <v>860.99</v>
      </c>
      <c r="S3811" s="783">
        <v>710.46</v>
      </c>
      <c r="T3811" s="783">
        <v>397.34</v>
      </c>
      <c r="U3811" s="785">
        <v>44694.438854166699</v>
      </c>
    </row>
    <row r="3812" spans="1:21">
      <c r="A3812" s="782">
        <v>44706</v>
      </c>
      <c r="B3812" s="783" t="s">
        <v>74</v>
      </c>
      <c r="C3812" s="783" t="s">
        <v>4097</v>
      </c>
      <c r="D3812" s="783" t="s">
        <v>4038</v>
      </c>
      <c r="E3812" s="783" t="s">
        <v>4290</v>
      </c>
      <c r="F3812" s="783" t="s">
        <v>4011</v>
      </c>
      <c r="G3812" s="783" t="str">
        <f>VLOOKUP(I3812,pacage,2,FALSE)</f>
        <v>Renewal (15% in 2020)</v>
      </c>
      <c r="H3812" s="783" t="s">
        <v>4291</v>
      </c>
      <c r="I3812" s="783" t="s">
        <v>4292</v>
      </c>
      <c r="J3812" s="783">
        <v>15</v>
      </c>
      <c r="K3812" s="783" t="s">
        <v>814</v>
      </c>
      <c r="L3812" s="783" t="s">
        <v>4014</v>
      </c>
      <c r="M3812" s="784">
        <v>1856.8</v>
      </c>
      <c r="N3812" s="784">
        <v>2.2000000000000002</v>
      </c>
      <c r="O3812" s="784">
        <v>2.11</v>
      </c>
      <c r="P3812" s="783">
        <v>400</v>
      </c>
      <c r="Q3812" s="783">
        <v>134.25</v>
      </c>
      <c r="R3812" s="783">
        <v>43.54</v>
      </c>
      <c r="S3812" s="783">
        <v>19.97</v>
      </c>
      <c r="T3812" s="783">
        <v>70.739999999999995</v>
      </c>
      <c r="U3812" s="785">
        <v>44706.615312499998</v>
      </c>
    </row>
    <row r="3813" spans="1:21">
      <c r="A3813" s="782">
        <v>44706</v>
      </c>
      <c r="B3813" s="783" t="s">
        <v>74</v>
      </c>
      <c r="C3813" s="783" t="s">
        <v>4037</v>
      </c>
      <c r="D3813" s="783" t="s">
        <v>4038</v>
      </c>
      <c r="E3813" s="783" t="s">
        <v>4290</v>
      </c>
      <c r="F3813" s="783" t="s">
        <v>4011</v>
      </c>
      <c r="G3813" s="783" t="str">
        <f>VLOOKUP(I3813,pacage,2,FALSE)</f>
        <v>Renewal (15% in 2020)</v>
      </c>
      <c r="H3813" s="783" t="s">
        <v>4291</v>
      </c>
      <c r="I3813" s="783" t="s">
        <v>4292</v>
      </c>
      <c r="J3813" s="783">
        <v>15</v>
      </c>
      <c r="K3813" s="783" t="s">
        <v>814</v>
      </c>
      <c r="L3813" s="783" t="s">
        <v>4014</v>
      </c>
      <c r="M3813" s="784">
        <v>8819.7999999999993</v>
      </c>
      <c r="N3813" s="784">
        <v>10.45</v>
      </c>
      <c r="O3813" s="784">
        <v>2.11</v>
      </c>
      <c r="P3813" s="783">
        <v>400</v>
      </c>
      <c r="Q3813" s="783">
        <v>1068.08</v>
      </c>
      <c r="R3813" s="783">
        <v>334.11</v>
      </c>
      <c r="S3813" s="783">
        <v>154.51</v>
      </c>
      <c r="T3813" s="783">
        <v>579.46</v>
      </c>
      <c r="U3813" s="785">
        <v>44706.615324074097</v>
      </c>
    </row>
    <row r="3814" spans="1:21">
      <c r="A3814" s="782">
        <v>44687</v>
      </c>
      <c r="B3814" s="783" t="s">
        <v>113</v>
      </c>
      <c r="C3814" s="783" t="s">
        <v>4606</v>
      </c>
      <c r="D3814" s="783" t="s">
        <v>4009</v>
      </c>
      <c r="E3814" s="783" t="s">
        <v>6843</v>
      </c>
      <c r="F3814" s="783" t="s">
        <v>4011</v>
      </c>
      <c r="G3814" s="783" t="s">
        <v>4028</v>
      </c>
      <c r="H3814" s="783" t="s">
        <v>6844</v>
      </c>
      <c r="I3814" s="783" t="s">
        <v>6845</v>
      </c>
      <c r="J3814" s="783">
        <v>20</v>
      </c>
      <c r="K3814" s="783" t="s">
        <v>814</v>
      </c>
      <c r="L3814" s="783" t="s">
        <v>4014</v>
      </c>
      <c r="M3814" s="784">
        <v>7380</v>
      </c>
      <c r="N3814" s="784">
        <v>6</v>
      </c>
      <c r="O3814" s="784">
        <v>3</v>
      </c>
      <c r="P3814" s="783">
        <v>410</v>
      </c>
      <c r="Q3814" s="783">
        <v>557.92999999999995</v>
      </c>
      <c r="R3814" s="783">
        <v>223.94</v>
      </c>
      <c r="S3814" s="783">
        <v>111.85</v>
      </c>
      <c r="T3814" s="783">
        <v>222.14</v>
      </c>
      <c r="U3814" s="785">
        <v>44690.604062500002</v>
      </c>
    </row>
    <row r="3815" spans="1:21">
      <c r="A3815" s="782">
        <v>44687</v>
      </c>
      <c r="B3815" s="783" t="s">
        <v>113</v>
      </c>
      <c r="C3815" s="783" t="s">
        <v>4606</v>
      </c>
      <c r="D3815" s="783" t="s">
        <v>4009</v>
      </c>
      <c r="E3815" s="783" t="s">
        <v>3571</v>
      </c>
      <c r="F3815" s="783" t="s">
        <v>4011</v>
      </c>
      <c r="G3815" s="783" t="str">
        <f t="shared" ref="G3815:G3827" si="200">VLOOKUP(I3815,pacage,2,FALSE)</f>
        <v>Renewal (25% in 2020)</v>
      </c>
      <c r="H3815" s="783" t="s">
        <v>6849</v>
      </c>
      <c r="I3815" s="783" t="s">
        <v>6850</v>
      </c>
      <c r="J3815" s="783">
        <v>25</v>
      </c>
      <c r="K3815" s="783" t="s">
        <v>814</v>
      </c>
      <c r="L3815" s="783" t="s">
        <v>4014</v>
      </c>
      <c r="M3815" s="784">
        <v>7306.6</v>
      </c>
      <c r="N3815" s="784">
        <v>6.8</v>
      </c>
      <c r="O3815" s="784">
        <v>3.07</v>
      </c>
      <c r="P3815" s="783">
        <v>350</v>
      </c>
      <c r="Q3815" s="783">
        <v>443.51</v>
      </c>
      <c r="R3815" s="783">
        <v>259.72000000000003</v>
      </c>
      <c r="S3815" s="783">
        <v>72.73</v>
      </c>
      <c r="T3815" s="783">
        <v>111.06</v>
      </c>
      <c r="U3815" s="785">
        <v>44690.627534722204</v>
      </c>
    </row>
    <row r="3816" spans="1:21">
      <c r="A3816" s="782">
        <v>44684</v>
      </c>
      <c r="B3816" s="783" t="s">
        <v>30</v>
      </c>
      <c r="C3816" s="783" t="s">
        <v>4239</v>
      </c>
      <c r="D3816" s="783" t="s">
        <v>4021</v>
      </c>
      <c r="E3816" s="783" t="s">
        <v>3496</v>
      </c>
      <c r="F3816" s="783" t="s">
        <v>4011</v>
      </c>
      <c r="G3816" s="783" t="str">
        <f t="shared" si="200"/>
        <v>Renewal (25% in 2020)</v>
      </c>
      <c r="H3816" s="783" t="s">
        <v>5142</v>
      </c>
      <c r="I3816" s="783" t="s">
        <v>5143</v>
      </c>
      <c r="J3816" s="783">
        <v>25</v>
      </c>
      <c r="K3816" s="783" t="s">
        <v>814</v>
      </c>
      <c r="L3816" s="783" t="s">
        <v>4014</v>
      </c>
      <c r="M3816" s="784">
        <v>7300.8</v>
      </c>
      <c r="N3816" s="784">
        <v>5.4</v>
      </c>
      <c r="O3816" s="784">
        <v>2.6</v>
      </c>
      <c r="P3816" s="783">
        <v>520</v>
      </c>
      <c r="Q3816" s="783">
        <v>342.41</v>
      </c>
      <c r="R3816" s="783">
        <v>136.15</v>
      </c>
      <c r="S3816" s="783">
        <v>146.38999999999999</v>
      </c>
      <c r="T3816" s="783">
        <v>59.87</v>
      </c>
      <c r="U3816" s="785">
        <v>44685.453159722201</v>
      </c>
    </row>
    <row r="3817" spans="1:21">
      <c r="A3817" s="782">
        <v>44685</v>
      </c>
      <c r="B3817" s="783" t="s">
        <v>30</v>
      </c>
      <c r="C3817" s="783" t="s">
        <v>4939</v>
      </c>
      <c r="D3817" s="783" t="s">
        <v>4021</v>
      </c>
      <c r="E3817" s="783" t="s">
        <v>5144</v>
      </c>
      <c r="F3817" s="783" t="s">
        <v>4011</v>
      </c>
      <c r="G3817" s="783" t="str">
        <f t="shared" si="200"/>
        <v>Renewal (20% in 2020)</v>
      </c>
      <c r="H3817" s="783" t="s">
        <v>5145</v>
      </c>
      <c r="I3817" s="783" t="s">
        <v>5146</v>
      </c>
      <c r="J3817" s="783">
        <v>20</v>
      </c>
      <c r="K3817" s="783" t="s">
        <v>814</v>
      </c>
      <c r="L3817" s="783" t="s">
        <v>4014</v>
      </c>
      <c r="M3817" s="784">
        <v>12345.06</v>
      </c>
      <c r="N3817" s="784">
        <v>15.47</v>
      </c>
      <c r="O3817" s="784">
        <v>2.1</v>
      </c>
      <c r="P3817" s="783">
        <v>380</v>
      </c>
      <c r="Q3817" s="783">
        <v>965.38</v>
      </c>
      <c r="R3817" s="783">
        <v>424.9</v>
      </c>
      <c r="S3817" s="783">
        <v>209.64</v>
      </c>
      <c r="T3817" s="783">
        <v>330.85</v>
      </c>
      <c r="U3817" s="785">
        <v>44685.669039351902</v>
      </c>
    </row>
    <row r="3818" spans="1:21">
      <c r="A3818" s="782">
        <v>44683</v>
      </c>
      <c r="B3818" s="783" t="s">
        <v>51</v>
      </c>
      <c r="C3818" s="783" t="s">
        <v>4042</v>
      </c>
      <c r="D3818" s="783" t="s">
        <v>4016</v>
      </c>
      <c r="E3818" s="783" t="s">
        <v>5154</v>
      </c>
      <c r="F3818" s="783" t="s">
        <v>4011</v>
      </c>
      <c r="G3818" s="783" t="str">
        <f t="shared" si="200"/>
        <v>New Contract</v>
      </c>
      <c r="H3818" s="783" t="s">
        <v>5155</v>
      </c>
      <c r="I3818" s="783" t="s">
        <v>5156</v>
      </c>
      <c r="J3818" s="783">
        <v>25</v>
      </c>
      <c r="K3818" s="783" t="s">
        <v>814</v>
      </c>
      <c r="L3818" s="783" t="s">
        <v>4014</v>
      </c>
      <c r="M3818" s="784">
        <v>9622.08</v>
      </c>
      <c r="N3818" s="784">
        <v>9.36</v>
      </c>
      <c r="O3818" s="784">
        <v>2.57</v>
      </c>
      <c r="P3818" s="783">
        <v>400</v>
      </c>
      <c r="Q3818" s="783">
        <v>578.29</v>
      </c>
      <c r="R3818" s="783">
        <v>321.52</v>
      </c>
      <c r="S3818" s="783">
        <v>149.96</v>
      </c>
      <c r="T3818" s="783">
        <v>106.81</v>
      </c>
      <c r="U3818" s="785">
        <v>44684.405162037001</v>
      </c>
    </row>
    <row r="3819" spans="1:21">
      <c r="A3819" s="782">
        <v>44694</v>
      </c>
      <c r="B3819" s="783" t="s">
        <v>2866</v>
      </c>
      <c r="C3819" s="783" t="s">
        <v>4008</v>
      </c>
      <c r="D3819" s="783" t="s">
        <v>4009</v>
      </c>
      <c r="E3819" s="783" t="s">
        <v>5157</v>
      </c>
      <c r="F3819" s="783" t="s">
        <v>4011</v>
      </c>
      <c r="G3819" s="783" t="str">
        <f t="shared" si="200"/>
        <v>Renewal (15% in 2020)</v>
      </c>
      <c r="H3819" s="783" t="s">
        <v>5158</v>
      </c>
      <c r="I3819" s="783" t="s">
        <v>5159</v>
      </c>
      <c r="J3819" s="783">
        <v>15</v>
      </c>
      <c r="K3819" s="783" t="s">
        <v>814</v>
      </c>
      <c r="L3819" s="783" t="s">
        <v>4014</v>
      </c>
      <c r="M3819" s="784">
        <v>17875.2</v>
      </c>
      <c r="N3819" s="784">
        <v>21.28</v>
      </c>
      <c r="O3819" s="784">
        <v>2.4</v>
      </c>
      <c r="P3819" s="783">
        <v>350</v>
      </c>
      <c r="Q3819" s="783">
        <v>1111.8399999999999</v>
      </c>
      <c r="R3819" s="783">
        <v>415.45</v>
      </c>
      <c r="S3819" s="783">
        <v>115.45</v>
      </c>
      <c r="T3819" s="783">
        <v>580.94000000000005</v>
      </c>
      <c r="U3819" s="785">
        <v>44694.529247685197</v>
      </c>
    </row>
    <row r="3820" spans="1:21">
      <c r="A3820" s="782">
        <v>44681</v>
      </c>
      <c r="B3820" s="783" t="s">
        <v>74</v>
      </c>
      <c r="C3820" s="783" t="s">
        <v>4097</v>
      </c>
      <c r="D3820" s="783" t="s">
        <v>4038</v>
      </c>
      <c r="E3820" s="783" t="s">
        <v>4293</v>
      </c>
      <c r="F3820" s="783" t="s">
        <v>4011</v>
      </c>
      <c r="G3820" s="783" t="str">
        <f t="shared" si="200"/>
        <v>Renewal (20% in 2020)</v>
      </c>
      <c r="H3820" s="783" t="s">
        <v>4294</v>
      </c>
      <c r="I3820" s="783" t="s">
        <v>4295</v>
      </c>
      <c r="J3820" s="783">
        <v>20</v>
      </c>
      <c r="K3820" s="783" t="s">
        <v>814</v>
      </c>
      <c r="L3820" s="783" t="s">
        <v>4014</v>
      </c>
      <c r="M3820" s="784">
        <v>76618.559999999998</v>
      </c>
      <c r="N3820" s="784">
        <v>49.54</v>
      </c>
      <c r="O3820" s="784">
        <v>4.07</v>
      </c>
      <c r="P3820" s="783">
        <v>380</v>
      </c>
      <c r="Q3820" s="783">
        <v>4252.33</v>
      </c>
      <c r="R3820" s="783">
        <v>1890.99</v>
      </c>
      <c r="S3820" s="783">
        <v>729.37</v>
      </c>
      <c r="T3820" s="783">
        <v>1631.98</v>
      </c>
      <c r="U3820" s="785">
        <v>44683.449317129598</v>
      </c>
    </row>
    <row r="3821" spans="1:21">
      <c r="A3821" s="782">
        <v>44678</v>
      </c>
      <c r="B3821" s="783" t="s">
        <v>41</v>
      </c>
      <c r="C3821" s="783" t="s">
        <v>4092</v>
      </c>
      <c r="D3821" s="783" t="s">
        <v>4009</v>
      </c>
      <c r="E3821" s="783" t="s">
        <v>5178</v>
      </c>
      <c r="F3821" s="783" t="s">
        <v>4011</v>
      </c>
      <c r="G3821" s="783" t="str">
        <f t="shared" si="200"/>
        <v>Renewal (20% in 2020)</v>
      </c>
      <c r="H3821" s="783" t="s">
        <v>5179</v>
      </c>
      <c r="I3821" s="783" t="s">
        <v>5180</v>
      </c>
      <c r="J3821" s="783">
        <v>20</v>
      </c>
      <c r="K3821" s="783" t="s">
        <v>814</v>
      </c>
      <c r="L3821" s="783" t="s">
        <v>4014</v>
      </c>
      <c r="M3821" s="784">
        <v>7641.35</v>
      </c>
      <c r="N3821" s="784">
        <v>7.46</v>
      </c>
      <c r="O3821" s="784">
        <v>2.4700000000000002</v>
      </c>
      <c r="P3821" s="783">
        <v>414.7</v>
      </c>
      <c r="Q3821" s="783">
        <v>639.58000000000004</v>
      </c>
      <c r="R3821" s="783">
        <v>273.91000000000003</v>
      </c>
      <c r="S3821" s="783">
        <v>161.63999999999999</v>
      </c>
      <c r="T3821" s="783">
        <v>204.02</v>
      </c>
      <c r="U3821" s="785">
        <v>44680.490312499998</v>
      </c>
    </row>
    <row r="3822" spans="1:21">
      <c r="A3822" s="782">
        <v>44679</v>
      </c>
      <c r="B3822" s="783" t="s">
        <v>113</v>
      </c>
      <c r="C3822" s="783" t="s">
        <v>4606</v>
      </c>
      <c r="D3822" s="783" t="s">
        <v>4009</v>
      </c>
      <c r="E3822" s="783" t="s">
        <v>3600</v>
      </c>
      <c r="F3822" s="783" t="s">
        <v>4011</v>
      </c>
      <c r="G3822" s="783" t="str">
        <f t="shared" si="200"/>
        <v>Renewal (25% in 2020)</v>
      </c>
      <c r="H3822" s="783" t="s">
        <v>6709</v>
      </c>
      <c r="I3822" s="783" t="s">
        <v>6710</v>
      </c>
      <c r="J3822" s="783">
        <v>25</v>
      </c>
      <c r="K3822" s="783" t="s">
        <v>814</v>
      </c>
      <c r="L3822" s="783" t="s">
        <v>4014</v>
      </c>
      <c r="M3822" s="784">
        <v>14760</v>
      </c>
      <c r="N3822" s="784">
        <v>12.3</v>
      </c>
      <c r="O3822" s="784">
        <v>4</v>
      </c>
      <c r="P3822" s="783">
        <v>300</v>
      </c>
      <c r="Q3822" s="783">
        <v>895.93</v>
      </c>
      <c r="R3822" s="783">
        <v>575.64</v>
      </c>
      <c r="S3822" s="783">
        <v>95.94</v>
      </c>
      <c r="T3822" s="783">
        <v>224.35</v>
      </c>
      <c r="U3822" s="785">
        <v>44680.694178240701</v>
      </c>
    </row>
    <row r="3823" spans="1:21">
      <c r="A3823" s="782">
        <v>44678</v>
      </c>
      <c r="B3823" s="783" t="s">
        <v>113</v>
      </c>
      <c r="C3823" s="783" t="s">
        <v>4598</v>
      </c>
      <c r="D3823" s="783" t="s">
        <v>4009</v>
      </c>
      <c r="E3823" s="783" t="s">
        <v>6562</v>
      </c>
      <c r="F3823" s="783" t="s">
        <v>4011</v>
      </c>
      <c r="G3823" s="783" t="str">
        <f t="shared" si="200"/>
        <v>Renewal (20% in 2020)</v>
      </c>
      <c r="H3823" s="783" t="s">
        <v>6563</v>
      </c>
      <c r="I3823" s="783" t="s">
        <v>6564</v>
      </c>
      <c r="J3823" s="783">
        <v>20</v>
      </c>
      <c r="K3823" s="783" t="s">
        <v>814</v>
      </c>
      <c r="L3823" s="783" t="s">
        <v>4014</v>
      </c>
      <c r="M3823" s="784">
        <v>25179</v>
      </c>
      <c r="N3823" s="784">
        <v>14</v>
      </c>
      <c r="O3823" s="784">
        <v>3.3</v>
      </c>
      <c r="P3823" s="783">
        <v>545</v>
      </c>
      <c r="Q3823" s="783">
        <v>1540.95</v>
      </c>
      <c r="R3823" s="783">
        <v>427.4</v>
      </c>
      <c r="S3823" s="783">
        <v>536.96</v>
      </c>
      <c r="T3823" s="783">
        <v>576.6</v>
      </c>
      <c r="U3823" s="785">
        <v>44680.661435185197</v>
      </c>
    </row>
    <row r="3824" spans="1:21">
      <c r="A3824" s="782">
        <v>44679</v>
      </c>
      <c r="B3824" s="783" t="s">
        <v>41</v>
      </c>
      <c r="C3824" s="783" t="s">
        <v>4008</v>
      </c>
      <c r="D3824" s="783" t="s">
        <v>4009</v>
      </c>
      <c r="E3824" s="783" t="s">
        <v>4034</v>
      </c>
      <c r="F3824" s="783" t="s">
        <v>4011</v>
      </c>
      <c r="G3824" s="783" t="str">
        <f t="shared" si="200"/>
        <v>Renewal (25% in 2020)</v>
      </c>
      <c r="H3824" s="783" t="s">
        <v>4035</v>
      </c>
      <c r="I3824" s="783" t="s">
        <v>4036</v>
      </c>
      <c r="J3824" s="783">
        <v>25</v>
      </c>
      <c r="K3824" s="783" t="s">
        <v>814</v>
      </c>
      <c r="L3824" s="783" t="s">
        <v>4014</v>
      </c>
      <c r="M3824" s="784">
        <v>2838.24</v>
      </c>
      <c r="N3824" s="784">
        <v>2.92</v>
      </c>
      <c r="O3824" s="784">
        <v>2.4300000000000002</v>
      </c>
      <c r="P3824" s="783">
        <v>400</v>
      </c>
      <c r="Q3824" s="783">
        <v>107.29</v>
      </c>
      <c r="R3824" s="783">
        <v>57.72</v>
      </c>
      <c r="S3824" s="783">
        <v>26.58</v>
      </c>
      <c r="T3824" s="783">
        <v>22.99</v>
      </c>
      <c r="U3824" s="785">
        <v>44680.690590277802</v>
      </c>
    </row>
    <row r="3825" spans="1:21">
      <c r="A3825" s="782">
        <v>44682</v>
      </c>
      <c r="B3825" s="783" t="s">
        <v>113</v>
      </c>
      <c r="C3825" s="783" t="s">
        <v>4606</v>
      </c>
      <c r="D3825" s="783" t="s">
        <v>4009</v>
      </c>
      <c r="E3825" s="783" t="s">
        <v>6657</v>
      </c>
      <c r="F3825" s="783" t="s">
        <v>4011</v>
      </c>
      <c r="G3825" s="783" t="str">
        <f t="shared" si="200"/>
        <v>Renewal (15% in 2020)</v>
      </c>
      <c r="H3825" s="783" t="s">
        <v>6658</v>
      </c>
      <c r="I3825" s="783" t="s">
        <v>6659</v>
      </c>
      <c r="J3825" s="783">
        <v>20</v>
      </c>
      <c r="K3825" s="783" t="s">
        <v>814</v>
      </c>
      <c r="L3825" s="783" t="s">
        <v>4014</v>
      </c>
      <c r="M3825" s="784">
        <v>3152.68</v>
      </c>
      <c r="N3825" s="784">
        <v>2.69</v>
      </c>
      <c r="O3825" s="784">
        <v>2.93</v>
      </c>
      <c r="P3825" s="783">
        <v>400</v>
      </c>
      <c r="Q3825" s="783">
        <v>238.34</v>
      </c>
      <c r="R3825" s="783">
        <v>98.06</v>
      </c>
      <c r="S3825" s="783">
        <v>45.39</v>
      </c>
      <c r="T3825" s="783">
        <v>94.9</v>
      </c>
      <c r="U3825" s="785">
        <v>44683.415057870399</v>
      </c>
    </row>
    <row r="3826" spans="1:21">
      <c r="A3826" s="782">
        <v>44680</v>
      </c>
      <c r="B3826" s="783" t="s">
        <v>41</v>
      </c>
      <c r="C3826" s="783" t="s">
        <v>4092</v>
      </c>
      <c r="D3826" s="783" t="s">
        <v>4009</v>
      </c>
      <c r="E3826" s="783" t="s">
        <v>5195</v>
      </c>
      <c r="F3826" s="783" t="s">
        <v>4011</v>
      </c>
      <c r="G3826" s="783" t="str">
        <f t="shared" si="200"/>
        <v>Renewal (20% in 2020)</v>
      </c>
      <c r="H3826" s="783" t="s">
        <v>5196</v>
      </c>
      <c r="I3826" s="783" t="s">
        <v>5197</v>
      </c>
      <c r="J3826" s="783">
        <v>20</v>
      </c>
      <c r="K3826" s="783" t="s">
        <v>814</v>
      </c>
      <c r="L3826" s="783" t="s">
        <v>4014</v>
      </c>
      <c r="M3826" s="784">
        <v>7713.83</v>
      </c>
      <c r="N3826" s="784">
        <v>9.7899999999999991</v>
      </c>
      <c r="O3826" s="784">
        <v>2.4700000000000002</v>
      </c>
      <c r="P3826" s="783">
        <v>319</v>
      </c>
      <c r="Q3826" s="783">
        <v>645.65</v>
      </c>
      <c r="R3826" s="783">
        <v>359.46</v>
      </c>
      <c r="S3826" s="783">
        <v>80.22</v>
      </c>
      <c r="T3826" s="783">
        <v>205.96</v>
      </c>
      <c r="U3826" s="785">
        <v>44680.7246759259</v>
      </c>
    </row>
    <row r="3827" spans="1:21">
      <c r="A3827" s="782">
        <v>44680</v>
      </c>
      <c r="B3827" s="783" t="s">
        <v>113</v>
      </c>
      <c r="C3827" s="783" t="s">
        <v>4606</v>
      </c>
      <c r="D3827" s="783" t="s">
        <v>4009</v>
      </c>
      <c r="E3827" s="783" t="s">
        <v>7053</v>
      </c>
      <c r="F3827" s="783" t="s">
        <v>4011</v>
      </c>
      <c r="G3827" s="783" t="str">
        <f t="shared" si="200"/>
        <v>Renewal (15% in 2020)</v>
      </c>
      <c r="H3827" s="783" t="s">
        <v>7054</v>
      </c>
      <c r="I3827" s="783" t="s">
        <v>7055</v>
      </c>
      <c r="J3827" s="783">
        <v>15</v>
      </c>
      <c r="K3827" s="783" t="s">
        <v>814</v>
      </c>
      <c r="L3827" s="783" t="s">
        <v>4014</v>
      </c>
      <c r="M3827" s="784">
        <v>20054.89</v>
      </c>
      <c r="N3827" s="784">
        <v>12</v>
      </c>
      <c r="O3827" s="784">
        <v>4.03</v>
      </c>
      <c r="P3827" s="783">
        <v>414.7</v>
      </c>
      <c r="Q3827" s="783">
        <v>1961.37</v>
      </c>
      <c r="R3827" s="783">
        <v>601.65</v>
      </c>
      <c r="S3827" s="783">
        <v>310.85000000000002</v>
      </c>
      <c r="T3827" s="783">
        <v>1048.8699999999999</v>
      </c>
      <c r="U3827" s="785">
        <v>44683.489618055602</v>
      </c>
    </row>
    <row r="3828" spans="1:21">
      <c r="A3828" s="782">
        <v>44680</v>
      </c>
      <c r="B3828" s="783" t="s">
        <v>113</v>
      </c>
      <c r="C3828" s="783" t="s">
        <v>4606</v>
      </c>
      <c r="D3828" s="783" t="s">
        <v>4009</v>
      </c>
      <c r="E3828" s="783" t="s">
        <v>6711</v>
      </c>
      <c r="F3828" s="783" t="s">
        <v>4011</v>
      </c>
      <c r="G3828" s="783" t="s">
        <v>4028</v>
      </c>
      <c r="H3828" s="783" t="s">
        <v>6712</v>
      </c>
      <c r="I3828" s="783" t="s">
        <v>6713</v>
      </c>
      <c r="J3828" s="783">
        <v>25</v>
      </c>
      <c r="K3828" s="783" t="s">
        <v>814</v>
      </c>
      <c r="L3828" s="783" t="s">
        <v>4014</v>
      </c>
      <c r="M3828" s="784">
        <v>13250.04</v>
      </c>
      <c r="N3828" s="784">
        <v>10.130000000000001</v>
      </c>
      <c r="O3828" s="784">
        <v>3.27</v>
      </c>
      <c r="P3828" s="783">
        <v>400</v>
      </c>
      <c r="Q3828" s="783">
        <v>804.28</v>
      </c>
      <c r="R3828" s="783">
        <v>412.11</v>
      </c>
      <c r="S3828" s="783">
        <v>190.77</v>
      </c>
      <c r="T3828" s="783">
        <v>201.4</v>
      </c>
      <c r="U3828" s="785">
        <v>44680.749166666697</v>
      </c>
    </row>
    <row r="3829" spans="1:21">
      <c r="A3829" s="782">
        <v>44711</v>
      </c>
      <c r="B3829" s="783" t="s">
        <v>74</v>
      </c>
      <c r="C3829" s="783" t="s">
        <v>4097</v>
      </c>
      <c r="D3829" s="783" t="s">
        <v>4038</v>
      </c>
      <c r="E3829" s="783" t="s">
        <v>5210</v>
      </c>
      <c r="F3829" s="783" t="s">
        <v>4011</v>
      </c>
      <c r="G3829" s="783" t="s">
        <v>4028</v>
      </c>
      <c r="H3829" s="783" t="s">
        <v>5211</v>
      </c>
      <c r="I3829" s="783" t="s">
        <v>5212</v>
      </c>
      <c r="J3829" s="783">
        <v>20</v>
      </c>
      <c r="K3829" s="783" t="s">
        <v>814</v>
      </c>
      <c r="L3829" s="783" t="s">
        <v>4014</v>
      </c>
      <c r="M3829" s="784">
        <v>3933.04</v>
      </c>
      <c r="N3829" s="784">
        <v>4.22</v>
      </c>
      <c r="O3829" s="784">
        <v>2.33</v>
      </c>
      <c r="P3829" s="783">
        <v>400</v>
      </c>
      <c r="Q3829" s="783">
        <v>218.28</v>
      </c>
      <c r="R3829" s="783">
        <v>92.22</v>
      </c>
      <c r="S3829" s="783">
        <v>42.29</v>
      </c>
      <c r="T3829" s="783">
        <v>83.77</v>
      </c>
      <c r="U3829" s="785">
        <v>44713.993634259299</v>
      </c>
    </row>
    <row r="3830" spans="1:21">
      <c r="A3830" s="782">
        <v>44698</v>
      </c>
      <c r="B3830" s="783" t="s">
        <v>30</v>
      </c>
      <c r="C3830" s="783" t="s">
        <v>5213</v>
      </c>
      <c r="D3830" s="783" t="s">
        <v>4021</v>
      </c>
      <c r="E3830" s="783" t="s">
        <v>1513</v>
      </c>
      <c r="F3830" s="783" t="s">
        <v>4011</v>
      </c>
      <c r="G3830" s="783" t="str">
        <f>VLOOKUP(I3830,pacage,2,FALSE)</f>
        <v>Renewal (15% in 2020)</v>
      </c>
      <c r="H3830" s="783" t="s">
        <v>5214</v>
      </c>
      <c r="I3830" s="783" t="s">
        <v>5215</v>
      </c>
      <c r="J3830" s="783">
        <v>15</v>
      </c>
      <c r="K3830" s="783" t="s">
        <v>814</v>
      </c>
      <c r="L3830" s="783" t="s">
        <v>4014</v>
      </c>
      <c r="M3830" s="784">
        <v>33695.5</v>
      </c>
      <c r="N3830" s="784">
        <v>32.17</v>
      </c>
      <c r="O3830" s="784">
        <v>2.5299999999999998</v>
      </c>
      <c r="P3830" s="783">
        <v>414</v>
      </c>
      <c r="Q3830" s="783">
        <v>3153.9</v>
      </c>
      <c r="R3830" s="783">
        <v>1015.17</v>
      </c>
      <c r="S3830" s="783">
        <v>517.97</v>
      </c>
      <c r="T3830" s="783">
        <v>1620.75</v>
      </c>
      <c r="U3830" s="785">
        <v>44699.511724536998</v>
      </c>
    </row>
    <row r="3831" spans="1:21">
      <c r="A3831" s="782">
        <v>44698</v>
      </c>
      <c r="B3831" s="783" t="s">
        <v>3078</v>
      </c>
      <c r="C3831" s="783" t="s">
        <v>4414</v>
      </c>
      <c r="D3831" s="783" t="s">
        <v>4009</v>
      </c>
      <c r="E3831" s="783" t="s">
        <v>5219</v>
      </c>
      <c r="F3831" s="783" t="s">
        <v>4011</v>
      </c>
      <c r="G3831" s="783" t="s">
        <v>4028</v>
      </c>
      <c r="H3831" s="783" t="s">
        <v>5220</v>
      </c>
      <c r="I3831" s="783" t="s">
        <v>5221</v>
      </c>
      <c r="J3831" s="783">
        <v>20</v>
      </c>
      <c r="K3831" s="783" t="s">
        <v>814</v>
      </c>
      <c r="L3831" s="783" t="s">
        <v>4014</v>
      </c>
      <c r="M3831" s="784">
        <v>15177.6</v>
      </c>
      <c r="N3831" s="784">
        <v>17</v>
      </c>
      <c r="O3831" s="784">
        <v>2.48</v>
      </c>
      <c r="P3831" s="783">
        <v>360</v>
      </c>
      <c r="Q3831" s="783">
        <v>1284.02</v>
      </c>
      <c r="R3831" s="783">
        <v>578.30999999999995</v>
      </c>
      <c r="S3831" s="783">
        <v>182.09</v>
      </c>
      <c r="T3831" s="783">
        <v>523.63</v>
      </c>
      <c r="U3831" s="785">
        <v>44708.685127314799</v>
      </c>
    </row>
    <row r="3832" spans="1:21">
      <c r="A3832" s="782">
        <v>44655</v>
      </c>
      <c r="B3832" s="783" t="s">
        <v>2866</v>
      </c>
      <c r="C3832" s="783" t="s">
        <v>4414</v>
      </c>
      <c r="D3832" s="783" t="s">
        <v>4009</v>
      </c>
      <c r="E3832" s="783" t="s">
        <v>5242</v>
      </c>
      <c r="F3832" s="783" t="s">
        <v>4011</v>
      </c>
      <c r="G3832" s="783" t="str">
        <f t="shared" ref="G3832:G3839" si="201">VLOOKUP(I3832,pacage,2,FALSE)</f>
        <v>Renewal (30% in 2020)</v>
      </c>
      <c r="H3832" s="783" t="s">
        <v>5243</v>
      </c>
      <c r="I3832" s="783" t="s">
        <v>5244</v>
      </c>
      <c r="J3832" s="783">
        <v>30</v>
      </c>
      <c r="K3832" s="783" t="s">
        <v>814</v>
      </c>
      <c r="L3832" s="783" t="s">
        <v>4014</v>
      </c>
      <c r="M3832" s="784">
        <v>30924.38</v>
      </c>
      <c r="N3832" s="784">
        <v>24.59</v>
      </c>
      <c r="O3832" s="784">
        <v>3.93</v>
      </c>
      <c r="P3832" s="783">
        <v>320</v>
      </c>
      <c r="Q3832" s="783">
        <v>1886.39</v>
      </c>
      <c r="R3832" s="783">
        <v>1325.59</v>
      </c>
      <c r="S3832" s="783">
        <v>4.16</v>
      </c>
      <c r="T3832" s="783">
        <v>556.64</v>
      </c>
      <c r="U3832" s="785">
        <v>44657.6155671296</v>
      </c>
    </row>
    <row r="3833" spans="1:21">
      <c r="A3833" s="782">
        <v>44683</v>
      </c>
      <c r="B3833" s="783" t="s">
        <v>113</v>
      </c>
      <c r="C3833" s="783" t="s">
        <v>4606</v>
      </c>
      <c r="D3833" s="783" t="s">
        <v>4009</v>
      </c>
      <c r="E3833" s="783" t="s">
        <v>3858</v>
      </c>
      <c r="F3833" s="783" t="s">
        <v>4011</v>
      </c>
      <c r="G3833" s="783" t="str">
        <f t="shared" si="201"/>
        <v>Renewal (25% in 2020)</v>
      </c>
      <c r="H3833" s="783" t="s">
        <v>6717</v>
      </c>
      <c r="I3833" s="783" t="s">
        <v>6718</v>
      </c>
      <c r="J3833" s="783">
        <v>25</v>
      </c>
      <c r="K3833" s="783" t="s">
        <v>814</v>
      </c>
      <c r="L3833" s="783" t="s">
        <v>4014</v>
      </c>
      <c r="M3833" s="784">
        <v>14620</v>
      </c>
      <c r="N3833" s="784">
        <v>10.75</v>
      </c>
      <c r="O3833" s="784">
        <v>3.4</v>
      </c>
      <c r="P3833" s="783">
        <v>400</v>
      </c>
      <c r="Q3833" s="783">
        <v>887.43</v>
      </c>
      <c r="R3833" s="783">
        <v>454.72</v>
      </c>
      <c r="S3833" s="783">
        <v>210.49</v>
      </c>
      <c r="T3833" s="783">
        <v>222.22</v>
      </c>
      <c r="U3833" s="785">
        <v>44684.399803240703</v>
      </c>
    </row>
    <row r="3834" spans="1:21">
      <c r="A3834" s="782">
        <v>44696</v>
      </c>
      <c r="B3834" s="783" t="s">
        <v>113</v>
      </c>
      <c r="C3834" s="783" t="s">
        <v>4606</v>
      </c>
      <c r="D3834" s="783" t="s">
        <v>4009</v>
      </c>
      <c r="E3834" s="783" t="s">
        <v>6651</v>
      </c>
      <c r="F3834" s="783" t="s">
        <v>4011</v>
      </c>
      <c r="G3834" s="783" t="str">
        <f t="shared" si="201"/>
        <v>Renewal (15% in 2020)</v>
      </c>
      <c r="H3834" s="783" t="s">
        <v>6652</v>
      </c>
      <c r="I3834" s="783" t="s">
        <v>6653</v>
      </c>
      <c r="J3834" s="783">
        <v>15</v>
      </c>
      <c r="K3834" s="783" t="s">
        <v>814</v>
      </c>
      <c r="L3834" s="783" t="s">
        <v>4014</v>
      </c>
      <c r="M3834" s="784">
        <v>13125.87</v>
      </c>
      <c r="N3834" s="784">
        <v>8.5</v>
      </c>
      <c r="O3834" s="784">
        <v>3.73</v>
      </c>
      <c r="P3834" s="783">
        <v>414</v>
      </c>
      <c r="Q3834" s="783">
        <v>1283.71</v>
      </c>
      <c r="R3834" s="783">
        <v>394.44</v>
      </c>
      <c r="S3834" s="783">
        <v>202.79</v>
      </c>
      <c r="T3834" s="783">
        <v>686.48</v>
      </c>
      <c r="U3834" s="785">
        <v>44697.410104166702</v>
      </c>
    </row>
    <row r="3835" spans="1:21">
      <c r="A3835" s="782">
        <v>44687</v>
      </c>
      <c r="B3835" s="783" t="s">
        <v>74</v>
      </c>
      <c r="C3835" s="783" t="s">
        <v>4097</v>
      </c>
      <c r="D3835" s="783" t="s">
        <v>4038</v>
      </c>
      <c r="E3835" s="783" t="s">
        <v>5285</v>
      </c>
      <c r="F3835" s="783" t="s">
        <v>4011</v>
      </c>
      <c r="G3835" s="783" t="str">
        <f t="shared" si="201"/>
        <v>New Contract</v>
      </c>
      <c r="H3835" s="783" t="s">
        <v>5286</v>
      </c>
      <c r="I3835" s="783" t="s">
        <v>5287</v>
      </c>
      <c r="J3835" s="783">
        <v>25</v>
      </c>
      <c r="K3835" s="783" t="s">
        <v>814</v>
      </c>
      <c r="L3835" s="783" t="s">
        <v>4014</v>
      </c>
      <c r="M3835" s="784">
        <v>2009.22</v>
      </c>
      <c r="N3835" s="784">
        <v>2.85</v>
      </c>
      <c r="O3835" s="784">
        <v>2.21</v>
      </c>
      <c r="P3835" s="783">
        <v>319</v>
      </c>
      <c r="Q3835" s="783">
        <v>88.81</v>
      </c>
      <c r="R3835" s="783">
        <v>59.07</v>
      </c>
      <c r="S3835" s="783">
        <v>9.64</v>
      </c>
      <c r="T3835" s="783">
        <v>20.09</v>
      </c>
      <c r="U3835" s="785">
        <v>44690.611793981501</v>
      </c>
    </row>
    <row r="3836" spans="1:21">
      <c r="A3836" s="782">
        <v>44676</v>
      </c>
      <c r="B3836" s="783" t="s">
        <v>34</v>
      </c>
      <c r="C3836" s="783" t="s">
        <v>4139</v>
      </c>
      <c r="D3836" s="783" t="s">
        <v>4009</v>
      </c>
      <c r="E3836" s="783" t="s">
        <v>5288</v>
      </c>
      <c r="F3836" s="783" t="s">
        <v>4011</v>
      </c>
      <c r="G3836" s="783" t="str">
        <f t="shared" si="201"/>
        <v>Renewal (15% in 2020)</v>
      </c>
      <c r="H3836" s="783" t="s">
        <v>5289</v>
      </c>
      <c r="I3836" s="783" t="s">
        <v>5290</v>
      </c>
      <c r="J3836" s="783">
        <v>15</v>
      </c>
      <c r="K3836" s="783" t="s">
        <v>814</v>
      </c>
      <c r="L3836" s="783" t="s">
        <v>4014</v>
      </c>
      <c r="M3836" s="784">
        <v>1232.52</v>
      </c>
      <c r="N3836" s="784">
        <v>1.59</v>
      </c>
      <c r="O3836" s="784">
        <v>2.4300000000000002</v>
      </c>
      <c r="P3836" s="783">
        <v>319</v>
      </c>
      <c r="Q3836" s="783">
        <v>106.98</v>
      </c>
      <c r="R3836" s="783">
        <v>47.08</v>
      </c>
      <c r="S3836" s="783">
        <v>7.64</v>
      </c>
      <c r="T3836" s="783">
        <v>52.26</v>
      </c>
      <c r="U3836" s="785">
        <v>44676.723749999997</v>
      </c>
    </row>
    <row r="3837" spans="1:21">
      <c r="A3837" s="782">
        <v>44666</v>
      </c>
      <c r="B3837" s="783" t="s">
        <v>74</v>
      </c>
      <c r="C3837" s="783" t="s">
        <v>4037</v>
      </c>
      <c r="D3837" s="783" t="s">
        <v>4038</v>
      </c>
      <c r="E3837" s="783" t="s">
        <v>6542</v>
      </c>
      <c r="F3837" s="783" t="s">
        <v>4011</v>
      </c>
      <c r="G3837" s="783" t="str">
        <f t="shared" si="201"/>
        <v>Renewal (15% in 2020)</v>
      </c>
      <c r="H3837" s="783" t="s">
        <v>6543</v>
      </c>
      <c r="I3837" s="783" t="s">
        <v>6544</v>
      </c>
      <c r="J3837" s="783">
        <v>20</v>
      </c>
      <c r="K3837" s="783" t="s">
        <v>814</v>
      </c>
      <c r="L3837" s="783" t="s">
        <v>4014</v>
      </c>
      <c r="M3837" s="784">
        <v>12087</v>
      </c>
      <c r="N3837" s="784">
        <v>13.43</v>
      </c>
      <c r="O3837" s="784">
        <v>2</v>
      </c>
      <c r="P3837" s="783">
        <v>450</v>
      </c>
      <c r="Q3837" s="783">
        <v>1134.97</v>
      </c>
      <c r="R3837" s="783">
        <v>407</v>
      </c>
      <c r="S3837" s="783">
        <v>262.62</v>
      </c>
      <c r="T3837" s="783">
        <v>465.35</v>
      </c>
      <c r="U3837" s="785">
        <v>44671.485821759299</v>
      </c>
    </row>
    <row r="3838" spans="1:21">
      <c r="A3838" s="782">
        <v>44665</v>
      </c>
      <c r="B3838" s="783" t="s">
        <v>113</v>
      </c>
      <c r="C3838" s="783" t="s">
        <v>4606</v>
      </c>
      <c r="D3838" s="783" t="s">
        <v>4009</v>
      </c>
      <c r="E3838" s="783" t="s">
        <v>6639</v>
      </c>
      <c r="F3838" s="783" t="s">
        <v>4011</v>
      </c>
      <c r="G3838" s="783" t="str">
        <f t="shared" si="201"/>
        <v>Renewal (25% in 2020)</v>
      </c>
      <c r="H3838" s="783" t="s">
        <v>6640</v>
      </c>
      <c r="I3838" s="783" t="s">
        <v>6641</v>
      </c>
      <c r="J3838" s="783">
        <v>25</v>
      </c>
      <c r="K3838" s="783" t="s">
        <v>814</v>
      </c>
      <c r="L3838" s="783" t="s">
        <v>4014</v>
      </c>
      <c r="M3838" s="784">
        <v>33994.370000000003</v>
      </c>
      <c r="N3838" s="784">
        <v>25.66</v>
      </c>
      <c r="O3838" s="784">
        <v>3.2</v>
      </c>
      <c r="P3838" s="783">
        <v>414</v>
      </c>
      <c r="Q3838" s="783">
        <v>2063.46</v>
      </c>
      <c r="R3838" s="783">
        <v>1021.56</v>
      </c>
      <c r="S3838" s="783">
        <v>525.19000000000005</v>
      </c>
      <c r="T3838" s="783">
        <v>516.71</v>
      </c>
      <c r="U3838" s="785">
        <v>44665.673333333303</v>
      </c>
    </row>
    <row r="3839" spans="1:21">
      <c r="A3839" s="782">
        <v>44665</v>
      </c>
      <c r="B3839" s="783" t="s">
        <v>113</v>
      </c>
      <c r="C3839" s="783" t="s">
        <v>4606</v>
      </c>
      <c r="D3839" s="783" t="s">
        <v>4009</v>
      </c>
      <c r="E3839" s="783" t="s">
        <v>6681</v>
      </c>
      <c r="F3839" s="783" t="s">
        <v>4011</v>
      </c>
      <c r="G3839" s="783" t="str">
        <f t="shared" si="201"/>
        <v>Renewal (25% in 2020)</v>
      </c>
      <c r="H3839" s="783" t="s">
        <v>6682</v>
      </c>
      <c r="I3839" s="783" t="s">
        <v>6683</v>
      </c>
      <c r="J3839" s="783">
        <v>30</v>
      </c>
      <c r="K3839" s="783" t="s">
        <v>814</v>
      </c>
      <c r="L3839" s="783" t="s">
        <v>4014</v>
      </c>
      <c r="M3839" s="784">
        <v>10026.24</v>
      </c>
      <c r="N3839" s="784">
        <v>8.4</v>
      </c>
      <c r="O3839" s="784">
        <v>3.73</v>
      </c>
      <c r="P3839" s="783">
        <v>320</v>
      </c>
      <c r="Q3839" s="783">
        <v>543.41999999999996</v>
      </c>
      <c r="R3839" s="783">
        <v>389.8</v>
      </c>
      <c r="S3839" s="783">
        <v>1.22</v>
      </c>
      <c r="T3839" s="783">
        <v>152.4</v>
      </c>
      <c r="U3839" s="785">
        <v>44666.397430555597</v>
      </c>
    </row>
    <row r="3840" spans="1:21">
      <c r="A3840" s="782">
        <v>44665</v>
      </c>
      <c r="B3840" s="783" t="s">
        <v>113</v>
      </c>
      <c r="C3840" s="783" t="s">
        <v>4606</v>
      </c>
      <c r="D3840" s="783" t="s">
        <v>4009</v>
      </c>
      <c r="E3840" s="783" t="s">
        <v>7071</v>
      </c>
      <c r="F3840" s="783" t="s">
        <v>4011</v>
      </c>
      <c r="G3840" s="783" t="s">
        <v>4028</v>
      </c>
      <c r="H3840" s="783" t="s">
        <v>7072</v>
      </c>
      <c r="I3840" s="783" t="s">
        <v>7073</v>
      </c>
      <c r="J3840" s="783">
        <v>30</v>
      </c>
      <c r="K3840" s="783" t="s">
        <v>814</v>
      </c>
      <c r="L3840" s="783" t="s">
        <v>4014</v>
      </c>
      <c r="M3840" s="784">
        <v>7482.47</v>
      </c>
      <c r="N3840" s="784">
        <v>5.12</v>
      </c>
      <c r="O3840" s="784">
        <v>3.53</v>
      </c>
      <c r="P3840" s="783">
        <v>414</v>
      </c>
      <c r="Q3840" s="783">
        <v>405.55</v>
      </c>
      <c r="R3840" s="783">
        <v>224.85</v>
      </c>
      <c r="S3840" s="783">
        <v>66.959999999999994</v>
      </c>
      <c r="T3840" s="783">
        <v>113.73</v>
      </c>
      <c r="U3840" s="785">
        <v>44666.385671296302</v>
      </c>
    </row>
    <row r="3841" spans="1:21">
      <c r="A3841" s="782">
        <v>44668</v>
      </c>
      <c r="B3841" s="783" t="s">
        <v>113</v>
      </c>
      <c r="C3841" s="783" t="s">
        <v>4598</v>
      </c>
      <c r="D3841" s="783" t="s">
        <v>4009</v>
      </c>
      <c r="E3841" s="783" t="s">
        <v>7056</v>
      </c>
      <c r="F3841" s="783" t="s">
        <v>4011</v>
      </c>
      <c r="G3841" s="783" t="str">
        <f>VLOOKUP(I3841,pacage,2,FALSE)</f>
        <v>Renewal (20% in 2020)</v>
      </c>
      <c r="H3841" s="783" t="s">
        <v>7057</v>
      </c>
      <c r="I3841" s="783" t="s">
        <v>7058</v>
      </c>
      <c r="J3841" s="783">
        <v>15</v>
      </c>
      <c r="K3841" s="783" t="s">
        <v>814</v>
      </c>
      <c r="L3841" s="783" t="s">
        <v>4014</v>
      </c>
      <c r="M3841" s="784">
        <v>2950.81</v>
      </c>
      <c r="N3841" s="784">
        <v>6.32</v>
      </c>
      <c r="O3841" s="784">
        <v>2.9</v>
      </c>
      <c r="P3841" s="783">
        <v>161</v>
      </c>
      <c r="Q3841" s="783">
        <v>235.47</v>
      </c>
      <c r="R3841" s="783">
        <v>85.57</v>
      </c>
      <c r="S3841" s="783">
        <v>27.44</v>
      </c>
      <c r="T3841" s="783">
        <v>122.46</v>
      </c>
      <c r="U3841" s="785">
        <v>44671.488622685203</v>
      </c>
    </row>
    <row r="3842" spans="1:21">
      <c r="A3842" s="782">
        <v>44666</v>
      </c>
      <c r="B3842" s="783" t="s">
        <v>113</v>
      </c>
      <c r="C3842" s="783" t="s">
        <v>4606</v>
      </c>
      <c r="D3842" s="783" t="s">
        <v>4009</v>
      </c>
      <c r="E3842" s="783" t="s">
        <v>7074</v>
      </c>
      <c r="F3842" s="783" t="s">
        <v>4011</v>
      </c>
      <c r="G3842" s="783" t="s">
        <v>4028</v>
      </c>
      <c r="H3842" s="783" t="s">
        <v>7075</v>
      </c>
      <c r="I3842" s="783" t="s">
        <v>7076</v>
      </c>
      <c r="J3842" s="783">
        <v>25</v>
      </c>
      <c r="K3842" s="783" t="s">
        <v>814</v>
      </c>
      <c r="L3842" s="783" t="s">
        <v>4014</v>
      </c>
      <c r="M3842" s="784">
        <v>4390.47</v>
      </c>
      <c r="N3842" s="784">
        <v>3.5</v>
      </c>
      <c r="O3842" s="784">
        <v>3.03</v>
      </c>
      <c r="P3842" s="783">
        <v>414</v>
      </c>
      <c r="Q3842" s="783">
        <v>266.5</v>
      </c>
      <c r="R3842" s="783">
        <v>131.94</v>
      </c>
      <c r="S3842" s="783">
        <v>67.83</v>
      </c>
      <c r="T3842" s="783">
        <v>66.739999999999995</v>
      </c>
      <c r="U3842" s="785">
        <v>44671.481087963002</v>
      </c>
    </row>
    <row r="3843" spans="1:21">
      <c r="A3843" s="782">
        <v>44665</v>
      </c>
      <c r="B3843" s="783" t="s">
        <v>41</v>
      </c>
      <c r="C3843" s="783" t="s">
        <v>4092</v>
      </c>
      <c r="D3843" s="783" t="s">
        <v>4009</v>
      </c>
      <c r="E3843" s="783" t="s">
        <v>4125</v>
      </c>
      <c r="F3843" s="783" t="s">
        <v>4011</v>
      </c>
      <c r="G3843" s="783" t="str">
        <f t="shared" ref="G3843:G3859" si="202">VLOOKUP(I3843,pacage,2,FALSE)</f>
        <v>Renewal (20% in 2020)</v>
      </c>
      <c r="H3843" s="783" t="s">
        <v>4126</v>
      </c>
      <c r="I3843" s="783" t="s">
        <v>4127</v>
      </c>
      <c r="J3843" s="783">
        <v>20</v>
      </c>
      <c r="K3843" s="783" t="s">
        <v>814</v>
      </c>
      <c r="L3843" s="783" t="s">
        <v>4014</v>
      </c>
      <c r="M3843" s="784">
        <v>8892</v>
      </c>
      <c r="N3843" s="784">
        <v>9</v>
      </c>
      <c r="O3843" s="784">
        <v>2.4700000000000002</v>
      </c>
      <c r="P3843" s="783">
        <v>400</v>
      </c>
      <c r="Q3843" s="783">
        <v>744.26</v>
      </c>
      <c r="R3843" s="783">
        <v>330.46</v>
      </c>
      <c r="S3843" s="783">
        <v>176.39</v>
      </c>
      <c r="T3843" s="783">
        <v>237.42</v>
      </c>
      <c r="U3843" s="785">
        <v>44665.668240740699</v>
      </c>
    </row>
    <row r="3844" spans="1:21">
      <c r="A3844" s="782">
        <v>44711</v>
      </c>
      <c r="B3844" s="783" t="s">
        <v>113</v>
      </c>
      <c r="C3844" s="783" t="s">
        <v>4606</v>
      </c>
      <c r="D3844" s="783" t="s">
        <v>4009</v>
      </c>
      <c r="E3844" s="783" t="s">
        <v>659</v>
      </c>
      <c r="F3844" s="783" t="s">
        <v>4011</v>
      </c>
      <c r="G3844" s="783" t="str">
        <f t="shared" si="202"/>
        <v>Renewal (20% in 2020)</v>
      </c>
      <c r="H3844" s="783" t="s">
        <v>6565</v>
      </c>
      <c r="I3844" s="783" t="s">
        <v>6566</v>
      </c>
      <c r="J3844" s="783">
        <v>20</v>
      </c>
      <c r="K3844" s="783" t="s">
        <v>814</v>
      </c>
      <c r="L3844" s="783" t="s">
        <v>4014</v>
      </c>
      <c r="M3844" s="784">
        <v>8723.44</v>
      </c>
      <c r="N3844" s="784">
        <v>7.66</v>
      </c>
      <c r="O3844" s="784">
        <v>3.57</v>
      </c>
      <c r="P3844" s="783">
        <v>319</v>
      </c>
      <c r="Q3844" s="783">
        <v>659.49</v>
      </c>
      <c r="R3844" s="783">
        <v>340.21</v>
      </c>
      <c r="S3844" s="783">
        <v>56.7</v>
      </c>
      <c r="T3844" s="783">
        <v>262.58</v>
      </c>
      <c r="U3844" s="785">
        <v>44713.629039351901</v>
      </c>
    </row>
    <row r="3845" spans="1:21">
      <c r="A3845" s="782">
        <v>44712</v>
      </c>
      <c r="B3845" s="783" t="s">
        <v>30</v>
      </c>
      <c r="C3845" s="783" t="s">
        <v>4239</v>
      </c>
      <c r="D3845" s="783" t="s">
        <v>4021</v>
      </c>
      <c r="E3845" s="783" t="s">
        <v>787</v>
      </c>
      <c r="F3845" s="783" t="s">
        <v>4011</v>
      </c>
      <c r="G3845" s="783" t="str">
        <f t="shared" si="202"/>
        <v>Renewal (15% in 2020)</v>
      </c>
      <c r="H3845" s="783" t="s">
        <v>5304</v>
      </c>
      <c r="I3845" s="783" t="s">
        <v>5305</v>
      </c>
      <c r="J3845" s="783">
        <v>15</v>
      </c>
      <c r="K3845" s="783" t="s">
        <v>814</v>
      </c>
      <c r="L3845" s="783" t="s">
        <v>4014</v>
      </c>
      <c r="M3845" s="784">
        <v>19368</v>
      </c>
      <c r="N3845" s="784">
        <v>16.14</v>
      </c>
      <c r="O3845" s="784">
        <v>2.4</v>
      </c>
      <c r="P3845" s="783">
        <v>500</v>
      </c>
      <c r="Q3845" s="783">
        <v>1522.32</v>
      </c>
      <c r="R3845" s="783">
        <v>375.65</v>
      </c>
      <c r="S3845" s="783">
        <v>373.9</v>
      </c>
      <c r="T3845" s="783">
        <v>772.78</v>
      </c>
      <c r="U3845" s="785">
        <v>44714.581064814804</v>
      </c>
    </row>
    <row r="3846" spans="1:21">
      <c r="A3846" s="782">
        <v>44712</v>
      </c>
      <c r="B3846" s="783" t="s">
        <v>74</v>
      </c>
      <c r="C3846" s="783" t="s">
        <v>4037</v>
      </c>
      <c r="D3846" s="783" t="s">
        <v>4038</v>
      </c>
      <c r="E3846" s="783" t="s">
        <v>1916</v>
      </c>
      <c r="F3846" s="783" t="s">
        <v>4011</v>
      </c>
      <c r="G3846" s="783" t="str">
        <f t="shared" si="202"/>
        <v>Renewal (25% in 2020)</v>
      </c>
      <c r="H3846" s="783" t="s">
        <v>5308</v>
      </c>
      <c r="I3846" s="783" t="s">
        <v>5309</v>
      </c>
      <c r="J3846" s="783">
        <v>30</v>
      </c>
      <c r="K3846" s="783" t="s">
        <v>814</v>
      </c>
      <c r="L3846" s="783" t="s">
        <v>4014</v>
      </c>
      <c r="M3846" s="784">
        <v>34172.6</v>
      </c>
      <c r="N3846" s="784">
        <v>26.95</v>
      </c>
      <c r="O3846" s="784">
        <v>3.17</v>
      </c>
      <c r="P3846" s="783">
        <v>400</v>
      </c>
      <c r="Q3846" s="783">
        <v>2313.4899999999998</v>
      </c>
      <c r="R3846" s="783">
        <v>1294.5</v>
      </c>
      <c r="S3846" s="783">
        <v>328.7</v>
      </c>
      <c r="T3846" s="783">
        <v>690.29</v>
      </c>
      <c r="U3846" s="785">
        <v>44714.023819444403</v>
      </c>
    </row>
    <row r="3847" spans="1:21">
      <c r="A3847" s="782">
        <v>44697</v>
      </c>
      <c r="B3847" s="783" t="s">
        <v>113</v>
      </c>
      <c r="C3847" s="783" t="s">
        <v>4606</v>
      </c>
      <c r="D3847" s="783" t="s">
        <v>4009</v>
      </c>
      <c r="E3847" s="783" t="s">
        <v>2436</v>
      </c>
      <c r="F3847" s="783" t="s">
        <v>4011</v>
      </c>
      <c r="G3847" s="783" t="str">
        <f t="shared" si="202"/>
        <v>Renewal (25% in 2020)</v>
      </c>
      <c r="H3847" s="783" t="s">
        <v>6889</v>
      </c>
      <c r="I3847" s="783" t="s">
        <v>6890</v>
      </c>
      <c r="J3847" s="783">
        <v>25</v>
      </c>
      <c r="K3847" s="783" t="s">
        <v>814</v>
      </c>
      <c r="L3847" s="783" t="s">
        <v>4014</v>
      </c>
      <c r="M3847" s="784">
        <v>4844.96</v>
      </c>
      <c r="N3847" s="784">
        <v>5.35</v>
      </c>
      <c r="O3847" s="784">
        <v>2.83</v>
      </c>
      <c r="P3847" s="783">
        <v>320</v>
      </c>
      <c r="Q3847" s="783">
        <v>294.08999999999997</v>
      </c>
      <c r="R3847" s="783">
        <v>188.36</v>
      </c>
      <c r="S3847" s="783">
        <v>32.08</v>
      </c>
      <c r="T3847" s="783">
        <v>73.64</v>
      </c>
      <c r="U3847" s="785">
        <v>44708.666527777801</v>
      </c>
    </row>
    <row r="3848" spans="1:21">
      <c r="A3848" s="782">
        <v>44699</v>
      </c>
      <c r="B3848" s="783" t="s">
        <v>41</v>
      </c>
      <c r="C3848" s="783" t="s">
        <v>4092</v>
      </c>
      <c r="D3848" s="783" t="s">
        <v>4009</v>
      </c>
      <c r="E3848" s="783" t="s">
        <v>507</v>
      </c>
      <c r="F3848" s="783" t="s">
        <v>4011</v>
      </c>
      <c r="G3848" s="783" t="str">
        <f t="shared" si="202"/>
        <v>Renewal (15% in 2020)</v>
      </c>
      <c r="H3848" s="783" t="s">
        <v>4318</v>
      </c>
      <c r="I3848" s="783" t="s">
        <v>4319</v>
      </c>
      <c r="J3848" s="783">
        <v>15</v>
      </c>
      <c r="K3848" s="783" t="s">
        <v>814</v>
      </c>
      <c r="L3848" s="783" t="s">
        <v>4014</v>
      </c>
      <c r="M3848" s="784">
        <v>2757.76</v>
      </c>
      <c r="N3848" s="784">
        <v>3.5</v>
      </c>
      <c r="O3848" s="784">
        <v>2.4700000000000002</v>
      </c>
      <c r="P3848" s="783">
        <v>319</v>
      </c>
      <c r="Q3848" s="783">
        <v>307.77</v>
      </c>
      <c r="R3848" s="783">
        <v>128.51</v>
      </c>
      <c r="S3848" s="783">
        <v>28.68</v>
      </c>
      <c r="T3848" s="783">
        <v>150.57</v>
      </c>
      <c r="U3848" s="785">
        <v>44700.5155324074</v>
      </c>
    </row>
    <row r="3849" spans="1:21">
      <c r="A3849" s="782">
        <v>44699</v>
      </c>
      <c r="B3849" s="783" t="s">
        <v>2866</v>
      </c>
      <c r="C3849" s="783" t="s">
        <v>4414</v>
      </c>
      <c r="D3849" s="783" t="s">
        <v>4009</v>
      </c>
      <c r="E3849" s="783" t="s">
        <v>5324</v>
      </c>
      <c r="F3849" s="783" t="s">
        <v>4011</v>
      </c>
      <c r="G3849" s="783" t="str">
        <f t="shared" si="202"/>
        <v>Renewal (15% in 2020)</v>
      </c>
      <c r="H3849" s="783" t="s">
        <v>5325</v>
      </c>
      <c r="I3849" s="783" t="s">
        <v>5326</v>
      </c>
      <c r="J3849" s="783">
        <v>20</v>
      </c>
      <c r="K3849" s="783" t="s">
        <v>814</v>
      </c>
      <c r="L3849" s="783" t="s">
        <v>4014</v>
      </c>
      <c r="M3849" s="784">
        <v>111160.68</v>
      </c>
      <c r="N3849" s="784">
        <v>102.34</v>
      </c>
      <c r="O3849" s="784">
        <v>2.63</v>
      </c>
      <c r="P3849" s="783">
        <v>413</v>
      </c>
      <c r="Q3849" s="783">
        <v>9404.19</v>
      </c>
      <c r="R3849" s="783">
        <v>3691.99</v>
      </c>
      <c r="S3849" s="783">
        <v>1877.16</v>
      </c>
      <c r="T3849" s="783">
        <v>3835.04</v>
      </c>
      <c r="U3849" s="785">
        <v>44708.702685185199</v>
      </c>
    </row>
    <row r="3850" spans="1:21">
      <c r="A3850" s="782">
        <v>44693</v>
      </c>
      <c r="B3850" s="783" t="s">
        <v>51</v>
      </c>
      <c r="C3850" s="783" t="s">
        <v>4015</v>
      </c>
      <c r="D3850" s="783" t="s">
        <v>4016</v>
      </c>
      <c r="E3850" s="783" t="s">
        <v>1719</v>
      </c>
      <c r="F3850" s="783" t="s">
        <v>4011</v>
      </c>
      <c r="G3850" s="783" t="str">
        <f t="shared" si="202"/>
        <v>Renewal (20% in 2020)</v>
      </c>
      <c r="H3850" s="783" t="s">
        <v>5330</v>
      </c>
      <c r="I3850" s="783" t="s">
        <v>5331</v>
      </c>
      <c r="J3850" s="783">
        <v>20</v>
      </c>
      <c r="K3850" s="783" t="s">
        <v>814</v>
      </c>
      <c r="L3850" s="783" t="s">
        <v>4014</v>
      </c>
      <c r="M3850" s="784">
        <v>14653.99</v>
      </c>
      <c r="N3850" s="784">
        <v>13.34</v>
      </c>
      <c r="O3850" s="784">
        <v>1.69</v>
      </c>
      <c r="P3850" s="783">
        <v>650</v>
      </c>
      <c r="Q3850" s="783">
        <v>1228</v>
      </c>
      <c r="R3850" s="783">
        <v>330.1</v>
      </c>
      <c r="S3850" s="783">
        <v>456.82</v>
      </c>
      <c r="T3850" s="783">
        <v>441.09</v>
      </c>
      <c r="U3850" s="785">
        <v>44693.600937499999</v>
      </c>
    </row>
    <row r="3851" spans="1:21">
      <c r="A3851" s="782">
        <v>44694</v>
      </c>
      <c r="B3851" s="783" t="s">
        <v>150</v>
      </c>
      <c r="C3851" s="783" t="s">
        <v>4606</v>
      </c>
      <c r="D3851" s="783" t="s">
        <v>4009</v>
      </c>
      <c r="E3851" s="783" t="s">
        <v>2257</v>
      </c>
      <c r="F3851" s="783" t="s">
        <v>4011</v>
      </c>
      <c r="G3851" s="783" t="str">
        <f t="shared" si="202"/>
        <v>New Contract</v>
      </c>
      <c r="H3851" s="783" t="s">
        <v>6893</v>
      </c>
      <c r="I3851" s="783" t="s">
        <v>6894</v>
      </c>
      <c r="J3851" s="783">
        <v>20</v>
      </c>
      <c r="K3851" s="783" t="s">
        <v>814</v>
      </c>
      <c r="L3851" s="783" t="s">
        <v>4014</v>
      </c>
      <c r="M3851" s="784">
        <v>18795.2</v>
      </c>
      <c r="N3851" s="784">
        <v>14.48</v>
      </c>
      <c r="O3851" s="784">
        <v>3.13</v>
      </c>
      <c r="P3851" s="783">
        <v>414.7</v>
      </c>
      <c r="Q3851" s="783">
        <v>1420.92</v>
      </c>
      <c r="R3851" s="783">
        <v>563.86</v>
      </c>
      <c r="S3851" s="783">
        <v>291.33</v>
      </c>
      <c r="T3851" s="783">
        <v>565.74</v>
      </c>
      <c r="U3851" s="785">
        <v>44694.523217592599</v>
      </c>
    </row>
    <row r="3852" spans="1:21">
      <c r="A3852" s="782">
        <v>44641</v>
      </c>
      <c r="B3852" s="783" t="s">
        <v>30</v>
      </c>
      <c r="C3852" s="783" t="s">
        <v>4239</v>
      </c>
      <c r="D3852" s="783" t="s">
        <v>4021</v>
      </c>
      <c r="E3852" s="783" t="s">
        <v>5353</v>
      </c>
      <c r="F3852" s="783" t="s">
        <v>4011</v>
      </c>
      <c r="G3852" s="783" t="str">
        <f t="shared" si="202"/>
        <v>Renewal (20% in 2020)</v>
      </c>
      <c r="H3852" s="783" t="s">
        <v>5354</v>
      </c>
      <c r="I3852" s="783" t="s">
        <v>5355</v>
      </c>
      <c r="J3852" s="783">
        <v>20</v>
      </c>
      <c r="K3852" s="783" t="s">
        <v>814</v>
      </c>
      <c r="L3852" s="783" t="s">
        <v>4014</v>
      </c>
      <c r="M3852" s="784">
        <v>29025</v>
      </c>
      <c r="N3852" s="784">
        <v>25</v>
      </c>
      <c r="O3852" s="784">
        <v>2.58</v>
      </c>
      <c r="P3852" s="783">
        <v>450</v>
      </c>
      <c r="Q3852" s="783">
        <v>1729.89</v>
      </c>
      <c r="R3852" s="783">
        <v>625.5</v>
      </c>
      <c r="S3852" s="783">
        <v>497.77</v>
      </c>
      <c r="T3852" s="783">
        <v>606.62</v>
      </c>
      <c r="U3852" s="785">
        <v>44641.473437499997</v>
      </c>
    </row>
    <row r="3853" spans="1:21">
      <c r="A3853" s="782">
        <v>44539</v>
      </c>
      <c r="B3853" s="783" t="s">
        <v>30</v>
      </c>
      <c r="C3853" s="783" t="s">
        <v>4239</v>
      </c>
      <c r="D3853" s="783" t="s">
        <v>4021</v>
      </c>
      <c r="E3853" s="783" t="s">
        <v>5356</v>
      </c>
      <c r="F3853" s="783" t="s">
        <v>4011</v>
      </c>
      <c r="G3853" s="783" t="str">
        <f t="shared" si="202"/>
        <v>New contract</v>
      </c>
      <c r="H3853" s="783" t="s">
        <v>5357</v>
      </c>
      <c r="I3853" s="783" t="s">
        <v>5358</v>
      </c>
      <c r="J3853" s="783">
        <v>25</v>
      </c>
      <c r="K3853" s="783" t="s">
        <v>814</v>
      </c>
      <c r="L3853" s="783" t="s">
        <v>4014</v>
      </c>
      <c r="M3853" s="784">
        <v>18908.41</v>
      </c>
      <c r="N3853" s="784">
        <v>17.8</v>
      </c>
      <c r="O3853" s="784">
        <v>3.33</v>
      </c>
      <c r="P3853" s="783">
        <v>319</v>
      </c>
      <c r="Q3853" s="783">
        <v>886.8</v>
      </c>
      <c r="R3853" s="783">
        <v>574.82000000000005</v>
      </c>
      <c r="S3853" s="783">
        <v>156.94</v>
      </c>
      <c r="T3853" s="783">
        <v>155.05000000000001</v>
      </c>
      <c r="U3853" s="785">
        <v>44631.630416666703</v>
      </c>
    </row>
    <row r="3854" spans="1:21">
      <c r="A3854" s="782">
        <v>44540</v>
      </c>
      <c r="B3854" s="783" t="s">
        <v>74</v>
      </c>
      <c r="C3854" s="783" t="s">
        <v>4037</v>
      </c>
      <c r="D3854" s="783" t="s">
        <v>4038</v>
      </c>
      <c r="E3854" s="783" t="s">
        <v>4325</v>
      </c>
      <c r="F3854" s="783" t="s">
        <v>4011</v>
      </c>
      <c r="G3854" s="783" t="str">
        <f t="shared" si="202"/>
        <v>Renewal (20% in 2020)</v>
      </c>
      <c r="H3854" s="783" t="s">
        <v>4326</v>
      </c>
      <c r="I3854" s="783" t="s">
        <v>4327</v>
      </c>
      <c r="J3854" s="783">
        <v>20</v>
      </c>
      <c r="K3854" s="783" t="s">
        <v>814</v>
      </c>
      <c r="L3854" s="783" t="s">
        <v>4014</v>
      </c>
      <c r="M3854" s="784">
        <v>13518.46</v>
      </c>
      <c r="N3854" s="784">
        <v>12.01</v>
      </c>
      <c r="O3854" s="784">
        <v>2.68</v>
      </c>
      <c r="P3854" s="783">
        <v>420</v>
      </c>
      <c r="Q3854" s="783">
        <v>1269.3800000000001</v>
      </c>
      <c r="R3854" s="783">
        <v>487.71</v>
      </c>
      <c r="S3854" s="783">
        <v>261.20999999999998</v>
      </c>
      <c r="T3854" s="783">
        <v>520.46</v>
      </c>
      <c r="U3854" s="785">
        <v>44631.626898148097</v>
      </c>
    </row>
    <row r="3855" spans="1:21">
      <c r="A3855" s="782">
        <v>44598</v>
      </c>
      <c r="B3855" s="783" t="s">
        <v>74</v>
      </c>
      <c r="C3855" s="783" t="s">
        <v>4097</v>
      </c>
      <c r="D3855" s="783" t="s">
        <v>4038</v>
      </c>
      <c r="E3855" s="783" t="s">
        <v>4328</v>
      </c>
      <c r="F3855" s="783" t="s">
        <v>4011</v>
      </c>
      <c r="G3855" s="783" t="str">
        <f t="shared" si="202"/>
        <v>Renewal (20% in 2020)</v>
      </c>
      <c r="H3855" s="783" t="s">
        <v>4329</v>
      </c>
      <c r="I3855" s="783" t="s">
        <v>4330</v>
      </c>
      <c r="J3855" s="783">
        <v>25</v>
      </c>
      <c r="K3855" s="783" t="s">
        <v>814</v>
      </c>
      <c r="L3855" s="783" t="s">
        <v>4014</v>
      </c>
      <c r="M3855" s="784">
        <v>9916.48</v>
      </c>
      <c r="N3855" s="784">
        <v>9.32</v>
      </c>
      <c r="O3855" s="784">
        <v>2.66</v>
      </c>
      <c r="P3855" s="783">
        <v>400</v>
      </c>
      <c r="Q3855" s="783">
        <v>438.31</v>
      </c>
      <c r="R3855" s="783">
        <v>232.51</v>
      </c>
      <c r="S3855" s="783">
        <v>106.64</v>
      </c>
      <c r="T3855" s="783">
        <v>99.16</v>
      </c>
      <c r="U3855" s="785">
        <v>44631.626909722203</v>
      </c>
    </row>
    <row r="3856" spans="1:21">
      <c r="A3856" s="782">
        <v>44606</v>
      </c>
      <c r="B3856" s="783" t="s">
        <v>30</v>
      </c>
      <c r="C3856" s="783" t="s">
        <v>4239</v>
      </c>
      <c r="D3856" s="783" t="s">
        <v>4021</v>
      </c>
      <c r="E3856" s="783" t="s">
        <v>5383</v>
      </c>
      <c r="F3856" s="783" t="s">
        <v>4011</v>
      </c>
      <c r="G3856" s="783" t="str">
        <f t="shared" si="202"/>
        <v>New Contract</v>
      </c>
      <c r="H3856" s="783" t="s">
        <v>5384</v>
      </c>
      <c r="I3856" s="783" t="s">
        <v>5385</v>
      </c>
      <c r="J3856" s="783">
        <v>20</v>
      </c>
      <c r="K3856" s="783" t="s">
        <v>814</v>
      </c>
      <c r="L3856" s="783" t="s">
        <v>4014</v>
      </c>
      <c r="M3856" s="784">
        <v>38061.75</v>
      </c>
      <c r="N3856" s="784">
        <v>36.86</v>
      </c>
      <c r="O3856" s="784">
        <v>2.4900000000000002</v>
      </c>
      <c r="P3856" s="783">
        <v>414.7</v>
      </c>
      <c r="Q3856" s="783">
        <v>2268.48</v>
      </c>
      <c r="R3856" s="783">
        <v>890.06</v>
      </c>
      <c r="S3856" s="783">
        <v>582.92999999999995</v>
      </c>
      <c r="T3856" s="783">
        <v>795.49</v>
      </c>
      <c r="U3856" s="785">
        <v>44631.511828703697</v>
      </c>
    </row>
    <row r="3857" spans="1:21">
      <c r="A3857" s="782">
        <v>44637</v>
      </c>
      <c r="B3857" s="783" t="s">
        <v>74</v>
      </c>
      <c r="C3857" s="783" t="s">
        <v>4037</v>
      </c>
      <c r="D3857" s="783" t="s">
        <v>4038</v>
      </c>
      <c r="E3857" s="783" t="s">
        <v>4331</v>
      </c>
      <c r="F3857" s="783" t="s">
        <v>4066</v>
      </c>
      <c r="G3857" s="783" t="str">
        <f t="shared" si="202"/>
        <v>Renewal (25% in 2020)</v>
      </c>
      <c r="H3857" s="783" t="s">
        <v>4332</v>
      </c>
      <c r="I3857" s="783" t="s">
        <v>4333</v>
      </c>
      <c r="J3857" s="783">
        <v>10</v>
      </c>
      <c r="K3857" s="783" t="s">
        <v>814</v>
      </c>
      <c r="L3857" s="783" t="s">
        <v>4014</v>
      </c>
      <c r="M3857" s="784">
        <v>15045.32</v>
      </c>
      <c r="N3857" s="784">
        <v>18.14</v>
      </c>
      <c r="O3857" s="784">
        <v>2.6</v>
      </c>
      <c r="P3857" s="783">
        <v>319</v>
      </c>
      <c r="Q3857" s="783">
        <v>454.37</v>
      </c>
      <c r="R3857" s="783">
        <v>0</v>
      </c>
      <c r="S3857" s="783">
        <v>0</v>
      </c>
      <c r="T3857" s="783">
        <v>454.37</v>
      </c>
      <c r="U3857" s="785">
        <v>44638.389479166697</v>
      </c>
    </row>
    <row r="3858" spans="1:21">
      <c r="A3858" s="782">
        <v>44546</v>
      </c>
      <c r="B3858" s="783" t="s">
        <v>30</v>
      </c>
      <c r="C3858" s="783" t="s">
        <v>4089</v>
      </c>
      <c r="D3858" s="783" t="s">
        <v>4021</v>
      </c>
      <c r="E3858" s="783" t="s">
        <v>1942</v>
      </c>
      <c r="F3858" s="783" t="s">
        <v>4011</v>
      </c>
      <c r="G3858" s="783" t="str">
        <f t="shared" si="202"/>
        <v>Renewal (20% in 2020)</v>
      </c>
      <c r="H3858" s="783" t="s">
        <v>5401</v>
      </c>
      <c r="I3858" s="783" t="s">
        <v>5402</v>
      </c>
      <c r="J3858" s="783">
        <v>20</v>
      </c>
      <c r="K3858" s="783" t="s">
        <v>814</v>
      </c>
      <c r="L3858" s="783" t="s">
        <v>4014</v>
      </c>
      <c r="M3858" s="784">
        <v>11848.32</v>
      </c>
      <c r="N3858" s="784">
        <v>14.52</v>
      </c>
      <c r="O3858" s="784">
        <v>2.4</v>
      </c>
      <c r="P3858" s="783">
        <v>340</v>
      </c>
      <c r="Q3858" s="783">
        <v>883.88</v>
      </c>
      <c r="R3858" s="783">
        <v>448</v>
      </c>
      <c r="S3858" s="783">
        <v>111.25</v>
      </c>
      <c r="T3858" s="783">
        <v>324.64</v>
      </c>
      <c r="U3858" s="785">
        <v>44631.630960648101</v>
      </c>
    </row>
    <row r="3859" spans="1:21">
      <c r="A3859" s="782">
        <v>44545</v>
      </c>
      <c r="B3859" s="783" t="s">
        <v>113</v>
      </c>
      <c r="C3859" s="783" t="s">
        <v>4606</v>
      </c>
      <c r="D3859" s="783" t="s">
        <v>4009</v>
      </c>
      <c r="E3859" s="783" t="s">
        <v>1116</v>
      </c>
      <c r="F3859" s="783" t="s">
        <v>4011</v>
      </c>
      <c r="G3859" s="783" t="str">
        <f t="shared" si="202"/>
        <v>Renewal (15% in 2020)</v>
      </c>
      <c r="H3859" s="783" t="s">
        <v>6724</v>
      </c>
      <c r="I3859" s="783" t="s">
        <v>6725</v>
      </c>
      <c r="J3859" s="783">
        <v>15</v>
      </c>
      <c r="K3859" s="783" t="s">
        <v>814</v>
      </c>
      <c r="L3859" s="783" t="s">
        <v>4014</v>
      </c>
      <c r="M3859" s="784">
        <v>13044.15</v>
      </c>
      <c r="N3859" s="784">
        <v>12.3</v>
      </c>
      <c r="O3859" s="784">
        <v>3.03</v>
      </c>
      <c r="P3859" s="783">
        <v>350</v>
      </c>
      <c r="Q3859" s="783">
        <v>1275.72</v>
      </c>
      <c r="R3859" s="783">
        <v>463.66</v>
      </c>
      <c r="S3859" s="783">
        <v>129.85</v>
      </c>
      <c r="T3859" s="783">
        <v>682.21</v>
      </c>
      <c r="U3859" s="785">
        <v>44631.630972222199</v>
      </c>
    </row>
    <row r="3860" spans="1:21">
      <c r="A3860" s="782">
        <v>44555</v>
      </c>
      <c r="B3860" s="783" t="s">
        <v>74</v>
      </c>
      <c r="C3860" s="783" t="s">
        <v>4037</v>
      </c>
      <c r="D3860" s="783" t="s">
        <v>4038</v>
      </c>
      <c r="E3860" s="783" t="s">
        <v>4343</v>
      </c>
      <c r="F3860" s="783" t="s">
        <v>4011</v>
      </c>
      <c r="G3860" s="783" t="s">
        <v>4028</v>
      </c>
      <c r="H3860" s="783" t="s">
        <v>4344</v>
      </c>
      <c r="I3860" s="783" t="s">
        <v>4345</v>
      </c>
      <c r="J3860" s="783">
        <v>30</v>
      </c>
      <c r="K3860" s="783" t="s">
        <v>814</v>
      </c>
      <c r="L3860" s="783" t="s">
        <v>4014</v>
      </c>
      <c r="M3860" s="784">
        <v>23155.79</v>
      </c>
      <c r="N3860" s="784">
        <v>22.58</v>
      </c>
      <c r="O3860" s="784">
        <v>2.93</v>
      </c>
      <c r="P3860" s="783">
        <v>350</v>
      </c>
      <c r="Q3860" s="783">
        <v>1567.65</v>
      </c>
      <c r="R3860" s="783">
        <v>1002.48</v>
      </c>
      <c r="S3860" s="783">
        <v>97.42</v>
      </c>
      <c r="T3860" s="783">
        <v>467.75</v>
      </c>
      <c r="U3860" s="785">
        <v>44631.630752314799</v>
      </c>
    </row>
    <row r="3861" spans="1:21">
      <c r="A3861" s="782">
        <v>44545</v>
      </c>
      <c r="B3861" s="783" t="s">
        <v>74</v>
      </c>
      <c r="C3861" s="783" t="s">
        <v>4097</v>
      </c>
      <c r="D3861" s="783" t="s">
        <v>4038</v>
      </c>
      <c r="E3861" s="783" t="s">
        <v>4134</v>
      </c>
      <c r="F3861" s="783" t="s">
        <v>4011</v>
      </c>
      <c r="G3861" s="783" t="str">
        <f t="shared" ref="G3861:G3867" si="203">VLOOKUP(I3861,pacage,2,FALSE)</f>
        <v>New Contract</v>
      </c>
      <c r="H3861" s="783" t="s">
        <v>4135</v>
      </c>
      <c r="I3861" s="783" t="s">
        <v>4136</v>
      </c>
      <c r="J3861" s="783">
        <v>25</v>
      </c>
      <c r="K3861" s="783" t="s">
        <v>814</v>
      </c>
      <c r="L3861" s="783" t="s">
        <v>4014</v>
      </c>
      <c r="M3861" s="784">
        <v>5329.32</v>
      </c>
      <c r="N3861" s="784">
        <v>4.99</v>
      </c>
      <c r="O3861" s="784">
        <v>2.67</v>
      </c>
      <c r="P3861" s="783">
        <v>400</v>
      </c>
      <c r="Q3861" s="783">
        <v>235.56</v>
      </c>
      <c r="R3861" s="783">
        <v>124.95</v>
      </c>
      <c r="S3861" s="783">
        <v>57.31</v>
      </c>
      <c r="T3861" s="783">
        <v>53.29</v>
      </c>
      <c r="U3861" s="785">
        <v>44631.630752314799</v>
      </c>
    </row>
    <row r="3862" spans="1:21">
      <c r="A3862" s="782">
        <v>44544</v>
      </c>
      <c r="B3862" s="783" t="s">
        <v>74</v>
      </c>
      <c r="C3862" s="783" t="s">
        <v>4097</v>
      </c>
      <c r="D3862" s="783" t="s">
        <v>4038</v>
      </c>
      <c r="E3862" s="783" t="s">
        <v>4348</v>
      </c>
      <c r="F3862" s="783" t="s">
        <v>4011</v>
      </c>
      <c r="G3862" s="783" t="str">
        <f t="shared" si="203"/>
        <v>New Contract</v>
      </c>
      <c r="H3862" s="783" t="s">
        <v>4349</v>
      </c>
      <c r="I3862" s="783" t="s">
        <v>4350</v>
      </c>
      <c r="J3862" s="783">
        <v>20</v>
      </c>
      <c r="K3862" s="783" t="s">
        <v>814</v>
      </c>
      <c r="L3862" s="783" t="s">
        <v>4014</v>
      </c>
      <c r="M3862" s="784">
        <v>8417.52</v>
      </c>
      <c r="N3862" s="784">
        <v>8.66</v>
      </c>
      <c r="O3862" s="784">
        <v>2.4300000000000002</v>
      </c>
      <c r="P3862" s="783">
        <v>400</v>
      </c>
      <c r="Q3862" s="783">
        <v>467.17</v>
      </c>
      <c r="R3862" s="783">
        <v>197.36</v>
      </c>
      <c r="S3862" s="783">
        <v>90.52</v>
      </c>
      <c r="T3862" s="783">
        <v>179.29</v>
      </c>
      <c r="U3862" s="785">
        <v>44631.630787037</v>
      </c>
    </row>
    <row r="3863" spans="1:21">
      <c r="A3863" s="782">
        <v>44551</v>
      </c>
      <c r="B3863" s="783" t="s">
        <v>74</v>
      </c>
      <c r="C3863" s="783" t="s">
        <v>4037</v>
      </c>
      <c r="D3863" s="783" t="s">
        <v>4038</v>
      </c>
      <c r="E3863" s="783" t="s">
        <v>5421</v>
      </c>
      <c r="F3863" s="783" t="s">
        <v>4011</v>
      </c>
      <c r="G3863" s="783" t="str">
        <f t="shared" si="203"/>
        <v>New contract</v>
      </c>
      <c r="H3863" s="783" t="s">
        <v>5422</v>
      </c>
      <c r="I3863" s="783" t="s">
        <v>5423</v>
      </c>
      <c r="J3863" s="783">
        <v>20</v>
      </c>
      <c r="K3863" s="783" t="s">
        <v>814</v>
      </c>
      <c r="L3863" s="783" t="s">
        <v>4014</v>
      </c>
      <c r="M3863" s="784">
        <v>6455.6</v>
      </c>
      <c r="N3863" s="784">
        <v>5.9</v>
      </c>
      <c r="O3863" s="784">
        <v>3.43</v>
      </c>
      <c r="P3863" s="783">
        <v>319</v>
      </c>
      <c r="Q3863" s="783">
        <v>606.17999999999995</v>
      </c>
      <c r="R3863" s="783">
        <v>306.64</v>
      </c>
      <c r="S3863" s="783">
        <v>51</v>
      </c>
      <c r="T3863" s="783">
        <v>248.54</v>
      </c>
      <c r="U3863" s="785">
        <v>44631.631018518499</v>
      </c>
    </row>
    <row r="3864" spans="1:21">
      <c r="A3864" s="782">
        <v>44553</v>
      </c>
      <c r="B3864" s="783" t="s">
        <v>74</v>
      </c>
      <c r="C3864" s="783" t="s">
        <v>4037</v>
      </c>
      <c r="D3864" s="783" t="s">
        <v>4038</v>
      </c>
      <c r="E3864" s="783" t="s">
        <v>4351</v>
      </c>
      <c r="F3864" s="783" t="s">
        <v>4011</v>
      </c>
      <c r="G3864" s="783" t="str">
        <f t="shared" si="203"/>
        <v>New contract</v>
      </c>
      <c r="H3864" s="783" t="s">
        <v>4352</v>
      </c>
      <c r="I3864" s="783" t="s">
        <v>4353</v>
      </c>
      <c r="J3864" s="783">
        <v>25</v>
      </c>
      <c r="K3864" s="783" t="s">
        <v>814</v>
      </c>
      <c r="L3864" s="783" t="s">
        <v>4014</v>
      </c>
      <c r="M3864" s="784">
        <v>18816</v>
      </c>
      <c r="N3864" s="784">
        <v>13.44</v>
      </c>
      <c r="O3864" s="784">
        <v>3.5</v>
      </c>
      <c r="P3864" s="783">
        <v>400</v>
      </c>
      <c r="Q3864" s="783">
        <v>1422.49</v>
      </c>
      <c r="R3864" s="783">
        <v>712.77</v>
      </c>
      <c r="S3864" s="783">
        <v>329.63</v>
      </c>
      <c r="T3864" s="783">
        <v>380.08</v>
      </c>
      <c r="U3864" s="785">
        <v>44631.634351851899</v>
      </c>
    </row>
    <row r="3865" spans="1:21">
      <c r="A3865" s="782">
        <v>44659</v>
      </c>
      <c r="B3865" s="783" t="s">
        <v>30</v>
      </c>
      <c r="C3865" s="783" t="s">
        <v>4939</v>
      </c>
      <c r="D3865" s="783" t="s">
        <v>4021</v>
      </c>
      <c r="E3865" s="783" t="s">
        <v>3763</v>
      </c>
      <c r="F3865" s="783" t="s">
        <v>4011</v>
      </c>
      <c r="G3865" s="783" t="str">
        <f t="shared" si="203"/>
        <v>Renewal (25% in 2020)</v>
      </c>
      <c r="H3865" s="783" t="s">
        <v>5438</v>
      </c>
      <c r="I3865" s="783" t="s">
        <v>5439</v>
      </c>
      <c r="J3865" s="783">
        <v>20</v>
      </c>
      <c r="K3865" s="783" t="s">
        <v>814</v>
      </c>
      <c r="L3865" s="783" t="s">
        <v>4014</v>
      </c>
      <c r="M3865" s="784">
        <v>14856.7</v>
      </c>
      <c r="N3865" s="784">
        <v>18.18</v>
      </c>
      <c r="O3865" s="784">
        <v>2.27</v>
      </c>
      <c r="P3865" s="783">
        <v>360</v>
      </c>
      <c r="Q3865" s="783">
        <v>1161.79</v>
      </c>
      <c r="R3865" s="783">
        <v>539.75</v>
      </c>
      <c r="S3865" s="783">
        <v>223.88</v>
      </c>
      <c r="T3865" s="783">
        <v>398.16</v>
      </c>
      <c r="U3865" s="785">
        <v>44663.405995370398</v>
      </c>
    </row>
    <row r="3866" spans="1:21">
      <c r="A3866" s="782">
        <v>44659</v>
      </c>
      <c r="B3866" s="783" t="s">
        <v>30</v>
      </c>
      <c r="C3866" s="783" t="s">
        <v>4239</v>
      </c>
      <c r="D3866" s="783" t="s">
        <v>4021</v>
      </c>
      <c r="E3866" s="783" t="s">
        <v>3763</v>
      </c>
      <c r="F3866" s="783" t="s">
        <v>4011</v>
      </c>
      <c r="G3866" s="783" t="str">
        <f t="shared" si="203"/>
        <v>Renewal (25% in 2020)</v>
      </c>
      <c r="H3866" s="783" t="s">
        <v>5438</v>
      </c>
      <c r="I3866" s="783" t="s">
        <v>5439</v>
      </c>
      <c r="J3866" s="783">
        <v>20</v>
      </c>
      <c r="K3866" s="783" t="s">
        <v>814</v>
      </c>
      <c r="L3866" s="783" t="s">
        <v>4014</v>
      </c>
      <c r="M3866" s="784">
        <v>4543.63</v>
      </c>
      <c r="N3866" s="784">
        <v>4.54</v>
      </c>
      <c r="O3866" s="784">
        <v>2.78</v>
      </c>
      <c r="P3866" s="783">
        <v>360</v>
      </c>
      <c r="Q3866" s="783">
        <v>270.8</v>
      </c>
      <c r="R3866" s="783">
        <v>122.4</v>
      </c>
      <c r="S3866" s="783">
        <v>53.44</v>
      </c>
      <c r="T3866" s="783">
        <v>94.96</v>
      </c>
      <c r="U3866" s="785">
        <v>44663.405995370398</v>
      </c>
    </row>
    <row r="3867" spans="1:21">
      <c r="A3867" s="782">
        <v>44678</v>
      </c>
      <c r="B3867" s="783" t="s">
        <v>113</v>
      </c>
      <c r="C3867" s="783" t="s">
        <v>4606</v>
      </c>
      <c r="D3867" s="783" t="s">
        <v>4009</v>
      </c>
      <c r="E3867" s="783" t="s">
        <v>6729</v>
      </c>
      <c r="F3867" s="783" t="s">
        <v>4011</v>
      </c>
      <c r="G3867" s="783" t="str">
        <f t="shared" si="203"/>
        <v>Renewal (20% in 2020)</v>
      </c>
      <c r="H3867" s="783" t="s">
        <v>6730</v>
      </c>
      <c r="I3867" s="783" t="s">
        <v>6731</v>
      </c>
      <c r="J3867" s="783">
        <v>20</v>
      </c>
      <c r="K3867" s="783" t="s">
        <v>814</v>
      </c>
      <c r="L3867" s="783" t="s">
        <v>4014</v>
      </c>
      <c r="M3867" s="784">
        <v>7545.28</v>
      </c>
      <c r="N3867" s="784">
        <v>7.3</v>
      </c>
      <c r="O3867" s="784">
        <v>3.23</v>
      </c>
      <c r="P3867" s="783">
        <v>320</v>
      </c>
      <c r="Q3867" s="783">
        <v>570.41999999999996</v>
      </c>
      <c r="R3867" s="783">
        <v>293.35000000000002</v>
      </c>
      <c r="S3867" s="783">
        <v>49.96</v>
      </c>
      <c r="T3867" s="783">
        <v>227.11</v>
      </c>
      <c r="U3867" s="785">
        <v>44680.667962963002</v>
      </c>
    </row>
    <row r="3868" spans="1:21">
      <c r="A3868" s="782">
        <v>44685</v>
      </c>
      <c r="B3868" s="783" t="s">
        <v>113</v>
      </c>
      <c r="C3868" s="783" t="s">
        <v>4606</v>
      </c>
      <c r="D3868" s="783" t="s">
        <v>4009</v>
      </c>
      <c r="E3868" s="783" t="s">
        <v>6906</v>
      </c>
      <c r="F3868" s="783" t="s">
        <v>4011</v>
      </c>
      <c r="G3868" s="783" t="s">
        <v>4028</v>
      </c>
      <c r="H3868" s="783" t="s">
        <v>6907</v>
      </c>
      <c r="I3868" s="783" t="s">
        <v>6908</v>
      </c>
      <c r="J3868" s="783">
        <v>30</v>
      </c>
      <c r="K3868" s="783" t="s">
        <v>814</v>
      </c>
      <c r="L3868" s="783" t="s">
        <v>4014</v>
      </c>
      <c r="M3868" s="784">
        <v>11364</v>
      </c>
      <c r="N3868" s="784">
        <v>9.4700000000000006</v>
      </c>
      <c r="O3868" s="784">
        <v>3</v>
      </c>
      <c r="P3868" s="783">
        <v>400</v>
      </c>
      <c r="Q3868" s="783">
        <v>615.92999999999995</v>
      </c>
      <c r="R3868" s="783">
        <v>353.45</v>
      </c>
      <c r="S3868" s="783">
        <v>89.75</v>
      </c>
      <c r="T3868" s="783">
        <v>172.73</v>
      </c>
      <c r="U3868" s="785">
        <v>44687.636111111096</v>
      </c>
    </row>
    <row r="3869" spans="1:21">
      <c r="A3869" s="782">
        <v>44678</v>
      </c>
      <c r="B3869" s="783" t="s">
        <v>228</v>
      </c>
      <c r="C3869" s="783" t="s">
        <v>4020</v>
      </c>
      <c r="D3869" s="783" t="s">
        <v>4021</v>
      </c>
      <c r="E3869" s="783" t="s">
        <v>5483</v>
      </c>
      <c r="F3869" s="783" t="s">
        <v>4011</v>
      </c>
      <c r="G3869" s="783" t="str">
        <f t="shared" ref="G3869:G3878" si="204">VLOOKUP(I3869,pacage,2,FALSE)</f>
        <v>Renewal (25% in 2020)</v>
      </c>
      <c r="H3869" s="783" t="s">
        <v>5484</v>
      </c>
      <c r="I3869" s="783" t="s">
        <v>5485</v>
      </c>
      <c r="J3869" s="783">
        <v>25</v>
      </c>
      <c r="K3869" s="783" t="s">
        <v>814</v>
      </c>
      <c r="L3869" s="783" t="s">
        <v>4014</v>
      </c>
      <c r="M3869" s="784">
        <v>38499.620000000003</v>
      </c>
      <c r="N3869" s="784">
        <v>29.81</v>
      </c>
      <c r="O3869" s="784">
        <v>2.87</v>
      </c>
      <c r="P3869" s="783">
        <v>450</v>
      </c>
      <c r="Q3869" s="783">
        <v>2125.1799999999998</v>
      </c>
      <c r="R3869" s="783">
        <v>1056.2</v>
      </c>
      <c r="S3869" s="783">
        <v>683.98</v>
      </c>
      <c r="T3869" s="783">
        <v>385</v>
      </c>
      <c r="U3869" s="785">
        <v>44680.643935185202</v>
      </c>
    </row>
    <row r="3870" spans="1:21">
      <c r="A3870" s="782">
        <v>44681</v>
      </c>
      <c r="B3870" s="783" t="s">
        <v>74</v>
      </c>
      <c r="C3870" s="783" t="s">
        <v>4097</v>
      </c>
      <c r="D3870" s="783" t="s">
        <v>4038</v>
      </c>
      <c r="E3870" s="783" t="s">
        <v>4635</v>
      </c>
      <c r="F3870" s="783" t="s">
        <v>4011</v>
      </c>
      <c r="G3870" s="783" t="str">
        <f t="shared" si="204"/>
        <v>Renewal (25% in 2020)</v>
      </c>
      <c r="H3870" s="783" t="s">
        <v>4636</v>
      </c>
      <c r="I3870" s="783" t="s">
        <v>4637</v>
      </c>
      <c r="J3870" s="783">
        <v>25</v>
      </c>
      <c r="K3870" s="783" t="s">
        <v>814</v>
      </c>
      <c r="L3870" s="783" t="s">
        <v>4014</v>
      </c>
      <c r="M3870" s="784">
        <v>12383.81</v>
      </c>
      <c r="N3870" s="784">
        <v>18.670000000000002</v>
      </c>
      <c r="O3870" s="784">
        <v>2.0099999999999998</v>
      </c>
      <c r="P3870" s="783">
        <v>330</v>
      </c>
      <c r="Q3870" s="783">
        <v>547.36</v>
      </c>
      <c r="R3870" s="783">
        <v>351.95</v>
      </c>
      <c r="S3870" s="783">
        <v>71.58</v>
      </c>
      <c r="T3870" s="783">
        <v>123.84</v>
      </c>
      <c r="U3870" s="785">
        <v>44683.46</v>
      </c>
    </row>
    <row r="3871" spans="1:21">
      <c r="A3871" s="782">
        <v>44690</v>
      </c>
      <c r="B3871" s="783" t="s">
        <v>113</v>
      </c>
      <c r="C3871" s="783" t="s">
        <v>4606</v>
      </c>
      <c r="D3871" s="783" t="s">
        <v>4009</v>
      </c>
      <c r="E3871" s="783" t="s">
        <v>6732</v>
      </c>
      <c r="F3871" s="783" t="s">
        <v>4011</v>
      </c>
      <c r="G3871" s="783" t="str">
        <f t="shared" si="204"/>
        <v>Renewal (20% in 2020)</v>
      </c>
      <c r="H3871" s="783" t="s">
        <v>6733</v>
      </c>
      <c r="I3871" s="783" t="s">
        <v>6734</v>
      </c>
      <c r="J3871" s="783">
        <v>15</v>
      </c>
      <c r="K3871" s="783" t="s">
        <v>814</v>
      </c>
      <c r="L3871" s="783" t="s">
        <v>4014</v>
      </c>
      <c r="M3871" s="784">
        <v>19918.66</v>
      </c>
      <c r="N3871" s="784">
        <v>10.65</v>
      </c>
      <c r="O3871" s="784">
        <v>4.51</v>
      </c>
      <c r="P3871" s="783">
        <v>414.7</v>
      </c>
      <c r="Q3871" s="783">
        <v>1948.05</v>
      </c>
      <c r="R3871" s="783">
        <v>597.55999999999995</v>
      </c>
      <c r="S3871" s="783">
        <v>308.74</v>
      </c>
      <c r="T3871" s="783">
        <v>1041.75</v>
      </c>
      <c r="U3871" s="785">
        <v>44690.670509259297</v>
      </c>
    </row>
    <row r="3872" spans="1:21">
      <c r="A3872" s="782">
        <v>44685</v>
      </c>
      <c r="B3872" s="783" t="s">
        <v>113</v>
      </c>
      <c r="C3872" s="783" t="s">
        <v>4097</v>
      </c>
      <c r="D3872" s="783" t="s">
        <v>4038</v>
      </c>
      <c r="E3872" s="783" t="s">
        <v>5517</v>
      </c>
      <c r="F3872" s="783" t="s">
        <v>4011</v>
      </c>
      <c r="G3872" s="783" t="str">
        <f t="shared" si="204"/>
        <v>Renewal (15% in 2020)</v>
      </c>
      <c r="H3872" s="783" t="s">
        <v>5518</v>
      </c>
      <c r="I3872" s="783" t="s">
        <v>5519</v>
      </c>
      <c r="J3872" s="783">
        <v>15</v>
      </c>
      <c r="K3872" s="783" t="s">
        <v>814</v>
      </c>
      <c r="L3872" s="783" t="s">
        <v>4014</v>
      </c>
      <c r="M3872" s="784">
        <v>42025.2</v>
      </c>
      <c r="N3872" s="784">
        <v>50.03</v>
      </c>
      <c r="O3872" s="784">
        <v>2.1</v>
      </c>
      <c r="P3872" s="783">
        <v>400</v>
      </c>
      <c r="Q3872" s="783">
        <v>3038.42</v>
      </c>
      <c r="R3872" s="783">
        <v>985.34</v>
      </c>
      <c r="S3872" s="783">
        <v>451.92</v>
      </c>
      <c r="T3872" s="783">
        <v>1601.16</v>
      </c>
      <c r="U3872" s="785">
        <v>44687.659293981502</v>
      </c>
    </row>
    <row r="3873" spans="1:21">
      <c r="A3873" s="782">
        <v>44686</v>
      </c>
      <c r="B3873" s="783" t="s">
        <v>41</v>
      </c>
      <c r="C3873" s="783" t="s">
        <v>4071</v>
      </c>
      <c r="D3873" s="783" t="s">
        <v>4009</v>
      </c>
      <c r="E3873" s="783" t="s">
        <v>5523</v>
      </c>
      <c r="F3873" s="783" t="s">
        <v>4011</v>
      </c>
      <c r="G3873" s="783" t="str">
        <f t="shared" si="204"/>
        <v>Renewal (20% in 2020)</v>
      </c>
      <c r="H3873" s="783" t="s">
        <v>5524</v>
      </c>
      <c r="I3873" s="783" t="s">
        <v>5525</v>
      </c>
      <c r="J3873" s="783">
        <v>20</v>
      </c>
      <c r="K3873" s="783" t="s">
        <v>814</v>
      </c>
      <c r="L3873" s="783" t="s">
        <v>4014</v>
      </c>
      <c r="M3873" s="784">
        <v>6133.12</v>
      </c>
      <c r="N3873" s="784">
        <v>5.92</v>
      </c>
      <c r="O3873" s="784">
        <v>2.59</v>
      </c>
      <c r="P3873" s="783">
        <v>400</v>
      </c>
      <c r="Q3873" s="783">
        <v>448.33</v>
      </c>
      <c r="R3873" s="783">
        <v>209.34</v>
      </c>
      <c r="S3873" s="783">
        <v>96.09</v>
      </c>
      <c r="T3873" s="783">
        <v>142.9</v>
      </c>
      <c r="U3873" s="785">
        <v>44687.626284722202</v>
      </c>
    </row>
    <row r="3874" spans="1:21">
      <c r="A3874" s="782">
        <v>44714</v>
      </c>
      <c r="B3874" s="783" t="s">
        <v>74</v>
      </c>
      <c r="C3874" s="783" t="s">
        <v>4097</v>
      </c>
      <c r="D3874" s="783" t="s">
        <v>4038</v>
      </c>
      <c r="E3874" s="783" t="s">
        <v>4364</v>
      </c>
      <c r="F3874" s="783" t="s">
        <v>4011</v>
      </c>
      <c r="G3874" s="783" t="str">
        <f t="shared" si="204"/>
        <v>Renewal (20% in 2020)</v>
      </c>
      <c r="H3874" s="783" t="s">
        <v>4365</v>
      </c>
      <c r="I3874" s="783" t="s">
        <v>4366</v>
      </c>
      <c r="J3874" s="783">
        <v>20</v>
      </c>
      <c r="K3874" s="783" t="s">
        <v>814</v>
      </c>
      <c r="L3874" s="783" t="s">
        <v>4014</v>
      </c>
      <c r="M3874" s="784">
        <v>34072.28</v>
      </c>
      <c r="N3874" s="784">
        <v>23.21</v>
      </c>
      <c r="O3874" s="784">
        <v>3.67</v>
      </c>
      <c r="P3874" s="783">
        <v>400</v>
      </c>
      <c r="Q3874" s="783">
        <v>1891.01</v>
      </c>
      <c r="R3874" s="783">
        <v>798.88</v>
      </c>
      <c r="S3874" s="783">
        <v>366.4</v>
      </c>
      <c r="T3874" s="783">
        <v>725.74</v>
      </c>
      <c r="U3874" s="785">
        <v>44715.4632291667</v>
      </c>
    </row>
    <row r="3875" spans="1:21">
      <c r="A3875" s="782">
        <v>44677</v>
      </c>
      <c r="B3875" s="783" t="s">
        <v>30</v>
      </c>
      <c r="C3875" s="783" t="s">
        <v>4239</v>
      </c>
      <c r="D3875" s="783" t="s">
        <v>4021</v>
      </c>
      <c r="E3875" s="783" t="s">
        <v>5526</v>
      </c>
      <c r="F3875" s="783" t="s">
        <v>4011</v>
      </c>
      <c r="G3875" s="783" t="str">
        <f t="shared" si="204"/>
        <v>Renewal (25% in 2020)</v>
      </c>
      <c r="H3875" s="783" t="s">
        <v>5527</v>
      </c>
      <c r="I3875" s="783" t="s">
        <v>5528</v>
      </c>
      <c r="J3875" s="783">
        <v>25</v>
      </c>
      <c r="K3875" s="783" t="s">
        <v>814</v>
      </c>
      <c r="L3875" s="783" t="s">
        <v>4014</v>
      </c>
      <c r="M3875" s="784">
        <v>24908.799999999999</v>
      </c>
      <c r="N3875" s="784">
        <v>16</v>
      </c>
      <c r="O3875" s="784">
        <v>2.8</v>
      </c>
      <c r="P3875" s="783">
        <v>556</v>
      </c>
      <c r="Q3875" s="783">
        <v>1168.22</v>
      </c>
      <c r="R3875" s="783">
        <v>434.45</v>
      </c>
      <c r="S3875" s="783">
        <v>529.52</v>
      </c>
      <c r="T3875" s="783">
        <v>204.25</v>
      </c>
      <c r="U3875" s="785">
        <v>44678.781539351898</v>
      </c>
    </row>
    <row r="3876" spans="1:21">
      <c r="A3876" s="782">
        <v>44713</v>
      </c>
      <c r="B3876" s="783" t="s">
        <v>113</v>
      </c>
      <c r="C3876" s="783" t="s">
        <v>4606</v>
      </c>
      <c r="D3876" s="783" t="s">
        <v>4009</v>
      </c>
      <c r="E3876" s="783" t="s">
        <v>6914</v>
      </c>
      <c r="F3876" s="783" t="s">
        <v>4011</v>
      </c>
      <c r="G3876" s="783" t="str">
        <f t="shared" si="204"/>
        <v>Renewal (25% in 2020)</v>
      </c>
      <c r="H3876" s="783" t="s">
        <v>6915</v>
      </c>
      <c r="I3876" s="783" t="s">
        <v>6916</v>
      </c>
      <c r="J3876" s="783">
        <v>25</v>
      </c>
      <c r="K3876" s="783" t="s">
        <v>814</v>
      </c>
      <c r="L3876" s="783" t="s">
        <v>4014</v>
      </c>
      <c r="M3876" s="784">
        <v>5220</v>
      </c>
      <c r="N3876" s="784">
        <v>4</v>
      </c>
      <c r="O3876" s="784">
        <v>2.9</v>
      </c>
      <c r="P3876" s="783">
        <v>450</v>
      </c>
      <c r="Q3876" s="783">
        <v>316.85000000000002</v>
      </c>
      <c r="R3876" s="783">
        <v>144.32</v>
      </c>
      <c r="S3876" s="783">
        <v>93.19</v>
      </c>
      <c r="T3876" s="783">
        <v>79.34</v>
      </c>
      <c r="U3876" s="785">
        <v>44715.437256944402</v>
      </c>
    </row>
    <row r="3877" spans="1:21">
      <c r="A3877" s="782">
        <v>44679</v>
      </c>
      <c r="B3877" s="783" t="s">
        <v>113</v>
      </c>
      <c r="C3877" s="783" t="s">
        <v>4606</v>
      </c>
      <c r="D3877" s="783" t="s">
        <v>4009</v>
      </c>
      <c r="E3877" s="783" t="s">
        <v>6917</v>
      </c>
      <c r="F3877" s="783" t="s">
        <v>4011</v>
      </c>
      <c r="G3877" s="783" t="str">
        <f t="shared" si="204"/>
        <v>Renewal (15% in 2020)</v>
      </c>
      <c r="H3877" s="783" t="s">
        <v>6918</v>
      </c>
      <c r="I3877" s="783" t="s">
        <v>6919</v>
      </c>
      <c r="J3877" s="783">
        <v>25</v>
      </c>
      <c r="K3877" s="783" t="s">
        <v>814</v>
      </c>
      <c r="L3877" s="783" t="s">
        <v>4014</v>
      </c>
      <c r="M3877" s="784">
        <v>9324</v>
      </c>
      <c r="N3877" s="784">
        <v>7</v>
      </c>
      <c r="O3877" s="784">
        <v>3.33</v>
      </c>
      <c r="P3877" s="783">
        <v>400</v>
      </c>
      <c r="Q3877" s="783">
        <v>565.97</v>
      </c>
      <c r="R3877" s="783">
        <v>290</v>
      </c>
      <c r="S3877" s="783">
        <v>134.24</v>
      </c>
      <c r="T3877" s="783">
        <v>141.72</v>
      </c>
      <c r="U3877" s="785">
        <v>44680.696921296301</v>
      </c>
    </row>
    <row r="3878" spans="1:21">
      <c r="A3878" s="782">
        <v>44679</v>
      </c>
      <c r="B3878" s="783" t="s">
        <v>113</v>
      </c>
      <c r="C3878" s="783" t="s">
        <v>4606</v>
      </c>
      <c r="D3878" s="783" t="s">
        <v>4009</v>
      </c>
      <c r="E3878" s="783" t="s">
        <v>6920</v>
      </c>
      <c r="F3878" s="783" t="s">
        <v>4011</v>
      </c>
      <c r="G3878" s="783" t="str">
        <f t="shared" si="204"/>
        <v>Renewal (20% in 2020)</v>
      </c>
      <c r="H3878" s="783" t="s">
        <v>6921</v>
      </c>
      <c r="I3878" s="783" t="s">
        <v>6922</v>
      </c>
      <c r="J3878" s="783">
        <v>15</v>
      </c>
      <c r="K3878" s="783" t="s">
        <v>814</v>
      </c>
      <c r="L3878" s="783" t="s">
        <v>4014</v>
      </c>
      <c r="M3878" s="784">
        <v>16604.560000000001</v>
      </c>
      <c r="N3878" s="784">
        <v>16.63</v>
      </c>
      <c r="O3878" s="784">
        <v>3.13</v>
      </c>
      <c r="P3878" s="783">
        <v>319</v>
      </c>
      <c r="Q3878" s="783">
        <v>1623.93</v>
      </c>
      <c r="R3878" s="783">
        <v>647.58000000000004</v>
      </c>
      <c r="S3878" s="783">
        <v>107.93</v>
      </c>
      <c r="T3878" s="783">
        <v>868.42</v>
      </c>
      <c r="U3878" s="785">
        <v>44680.693136574097</v>
      </c>
    </row>
    <row r="3879" spans="1:21">
      <c r="A3879" s="782">
        <v>44680</v>
      </c>
      <c r="B3879" s="783" t="s">
        <v>113</v>
      </c>
      <c r="C3879" s="783" t="s">
        <v>4606</v>
      </c>
      <c r="D3879" s="783" t="s">
        <v>4009</v>
      </c>
      <c r="E3879" s="783" t="s">
        <v>2717</v>
      </c>
      <c r="F3879" s="783" t="s">
        <v>4011</v>
      </c>
      <c r="G3879" s="783" t="s">
        <v>4028</v>
      </c>
      <c r="H3879" s="783" t="s">
        <v>5550</v>
      </c>
      <c r="I3879" s="783" t="s">
        <v>5551</v>
      </c>
      <c r="J3879" s="783">
        <v>25</v>
      </c>
      <c r="K3879" s="783" t="s">
        <v>814</v>
      </c>
      <c r="L3879" s="783" t="s">
        <v>4014</v>
      </c>
      <c r="M3879" s="784">
        <v>11587.32</v>
      </c>
      <c r="N3879" s="784">
        <v>9.89</v>
      </c>
      <c r="O3879" s="784">
        <v>2.83</v>
      </c>
      <c r="P3879" s="783">
        <v>414</v>
      </c>
      <c r="Q3879" s="783">
        <v>703.35</v>
      </c>
      <c r="R3879" s="783">
        <v>348.21</v>
      </c>
      <c r="S3879" s="783">
        <v>179.02</v>
      </c>
      <c r="T3879" s="783">
        <v>176.13</v>
      </c>
      <c r="U3879" s="785">
        <v>44683.484479166698</v>
      </c>
    </row>
    <row r="3880" spans="1:21">
      <c r="A3880" s="782">
        <v>44693</v>
      </c>
      <c r="B3880" s="783" t="s">
        <v>41</v>
      </c>
      <c r="C3880" s="783" t="s">
        <v>4008</v>
      </c>
      <c r="D3880" s="783" t="s">
        <v>4009</v>
      </c>
      <c r="E3880" s="783" t="s">
        <v>5555</v>
      </c>
      <c r="F3880" s="783" t="s">
        <v>4011</v>
      </c>
      <c r="G3880" s="783" t="str">
        <f t="shared" ref="G3880:G3885" si="205">VLOOKUP(I3880,pacage,2,FALSE)</f>
        <v>Renewal (20% in 2020)</v>
      </c>
      <c r="H3880" s="783" t="s">
        <v>5556</v>
      </c>
      <c r="I3880" s="783" t="s">
        <v>5557</v>
      </c>
      <c r="J3880" s="783">
        <v>20</v>
      </c>
      <c r="K3880" s="783" t="s">
        <v>814</v>
      </c>
      <c r="L3880" s="783" t="s">
        <v>4014</v>
      </c>
      <c r="M3880" s="784">
        <v>4576.5</v>
      </c>
      <c r="N3880" s="784">
        <v>6.32</v>
      </c>
      <c r="O3880" s="784">
        <v>2.27</v>
      </c>
      <c r="P3880" s="783">
        <v>319</v>
      </c>
      <c r="Q3880" s="783">
        <v>218.3</v>
      </c>
      <c r="R3880" s="783">
        <v>116.7</v>
      </c>
      <c r="S3880" s="783">
        <v>19.22</v>
      </c>
      <c r="T3880" s="783">
        <v>82.38</v>
      </c>
      <c r="U3880" s="785">
        <v>44693.465833333299</v>
      </c>
    </row>
    <row r="3881" spans="1:21">
      <c r="A3881" s="782">
        <v>44705</v>
      </c>
      <c r="B3881" s="783" t="s">
        <v>30</v>
      </c>
      <c r="C3881" s="783" t="s">
        <v>4239</v>
      </c>
      <c r="D3881" s="783" t="s">
        <v>4021</v>
      </c>
      <c r="E3881" s="783" t="s">
        <v>2576</v>
      </c>
      <c r="F3881" s="783" t="s">
        <v>4011</v>
      </c>
      <c r="G3881" s="783" t="str">
        <f t="shared" si="205"/>
        <v>Renewal (15% in 2020)</v>
      </c>
      <c r="H3881" s="783" t="s">
        <v>5584</v>
      </c>
      <c r="I3881" s="783" t="s">
        <v>5585</v>
      </c>
      <c r="J3881" s="783">
        <v>15</v>
      </c>
      <c r="K3881" s="783" t="s">
        <v>814</v>
      </c>
      <c r="L3881" s="783" t="s">
        <v>4014</v>
      </c>
      <c r="M3881" s="784">
        <v>10348.36</v>
      </c>
      <c r="N3881" s="784">
        <v>16.22</v>
      </c>
      <c r="O3881" s="784">
        <v>2</v>
      </c>
      <c r="P3881" s="783">
        <v>319</v>
      </c>
      <c r="Q3881" s="783">
        <v>813.38</v>
      </c>
      <c r="R3881" s="783">
        <v>314.58999999999997</v>
      </c>
      <c r="S3881" s="783">
        <v>85.89</v>
      </c>
      <c r="T3881" s="783">
        <v>412.9</v>
      </c>
      <c r="U3881" s="785">
        <v>44705.529930555596</v>
      </c>
    </row>
    <row r="3882" spans="1:21">
      <c r="A3882" s="782">
        <v>44701</v>
      </c>
      <c r="B3882" s="783" t="s">
        <v>113</v>
      </c>
      <c r="C3882" s="783" t="s">
        <v>4606</v>
      </c>
      <c r="D3882" s="783" t="s">
        <v>4009</v>
      </c>
      <c r="E3882" s="783" t="s">
        <v>6581</v>
      </c>
      <c r="F3882" s="783" t="s">
        <v>4011</v>
      </c>
      <c r="G3882" s="783" t="str">
        <f t="shared" si="205"/>
        <v>Renewal (20% in 2020)</v>
      </c>
      <c r="H3882" s="783" t="s">
        <v>6582</v>
      </c>
      <c r="I3882" s="783" t="s">
        <v>6583</v>
      </c>
      <c r="J3882" s="783">
        <v>20</v>
      </c>
      <c r="K3882" s="783" t="s">
        <v>814</v>
      </c>
      <c r="L3882" s="783" t="s">
        <v>4014</v>
      </c>
      <c r="M3882" s="784">
        <v>13044.93</v>
      </c>
      <c r="N3882" s="784">
        <v>9.35</v>
      </c>
      <c r="O3882" s="784">
        <v>3.37</v>
      </c>
      <c r="P3882" s="783">
        <v>414</v>
      </c>
      <c r="Q3882" s="783">
        <v>986.2</v>
      </c>
      <c r="R3882" s="783">
        <v>392.01</v>
      </c>
      <c r="S3882" s="783">
        <v>201.53</v>
      </c>
      <c r="T3882" s="783">
        <v>392.65</v>
      </c>
      <c r="U3882" s="785">
        <v>44701.644189814797</v>
      </c>
    </row>
    <row r="3883" spans="1:21">
      <c r="A3883" s="782">
        <v>44704</v>
      </c>
      <c r="B3883" s="783" t="s">
        <v>30</v>
      </c>
      <c r="C3883" s="783" t="s">
        <v>4239</v>
      </c>
      <c r="D3883" s="783" t="s">
        <v>4021</v>
      </c>
      <c r="E3883" s="783" t="s">
        <v>5611</v>
      </c>
      <c r="F3883" s="783" t="s">
        <v>4011</v>
      </c>
      <c r="G3883" s="783" t="str">
        <f t="shared" si="205"/>
        <v>Renewal (30% in 2020)</v>
      </c>
      <c r="H3883" s="783" t="s">
        <v>5612</v>
      </c>
      <c r="I3883" s="783" t="s">
        <v>5613</v>
      </c>
      <c r="J3883" s="783">
        <v>30</v>
      </c>
      <c r="K3883" s="783" t="s">
        <v>814</v>
      </c>
      <c r="L3883" s="783" t="s">
        <v>4014</v>
      </c>
      <c r="M3883" s="784">
        <v>30564.240000000002</v>
      </c>
      <c r="N3883" s="784">
        <v>15.82</v>
      </c>
      <c r="O3883" s="784">
        <v>3.45</v>
      </c>
      <c r="P3883" s="783">
        <v>560</v>
      </c>
      <c r="Q3883" s="783">
        <v>1179.78</v>
      </c>
      <c r="R3883" s="783">
        <v>529.29</v>
      </c>
      <c r="S3883" s="783">
        <v>399.87</v>
      </c>
      <c r="T3883" s="783">
        <v>250.63</v>
      </c>
      <c r="U3883" s="785">
        <v>44704.427673611099</v>
      </c>
    </row>
    <row r="3884" spans="1:21">
      <c r="A3884" s="782">
        <v>44712</v>
      </c>
      <c r="B3884" s="783" t="s">
        <v>30</v>
      </c>
      <c r="C3884" s="783" t="s">
        <v>4239</v>
      </c>
      <c r="D3884" s="783" t="s">
        <v>4021</v>
      </c>
      <c r="E3884" s="783" t="s">
        <v>5639</v>
      </c>
      <c r="F3884" s="783" t="s">
        <v>4011</v>
      </c>
      <c r="G3884" s="783" t="str">
        <f t="shared" si="205"/>
        <v>Renewal (15% in 2020)</v>
      </c>
      <c r="H3884" s="783" t="s">
        <v>5640</v>
      </c>
      <c r="I3884" s="783" t="s">
        <v>5641</v>
      </c>
      <c r="J3884" s="783">
        <v>15</v>
      </c>
      <c r="K3884" s="783" t="s">
        <v>814</v>
      </c>
      <c r="L3884" s="783" t="s">
        <v>4014</v>
      </c>
      <c r="M3884" s="784">
        <v>8122.24</v>
      </c>
      <c r="N3884" s="784">
        <v>7.84</v>
      </c>
      <c r="O3884" s="784">
        <v>2.59</v>
      </c>
      <c r="P3884" s="783">
        <v>400</v>
      </c>
      <c r="Q3884" s="783">
        <v>638.41</v>
      </c>
      <c r="R3884" s="783">
        <v>196.92</v>
      </c>
      <c r="S3884" s="783">
        <v>117.42</v>
      </c>
      <c r="T3884" s="783">
        <v>324.08</v>
      </c>
      <c r="U3884" s="785">
        <v>44714.5776736111</v>
      </c>
    </row>
    <row r="3885" spans="1:21">
      <c r="A3885" s="782">
        <v>44715</v>
      </c>
      <c r="B3885" s="783" t="s">
        <v>74</v>
      </c>
      <c r="C3885" s="783" t="s">
        <v>4097</v>
      </c>
      <c r="D3885" s="783" t="s">
        <v>4038</v>
      </c>
      <c r="E3885" s="783" t="s">
        <v>4367</v>
      </c>
      <c r="F3885" s="783" t="s">
        <v>4011</v>
      </c>
      <c r="G3885" s="783" t="str">
        <f t="shared" si="205"/>
        <v>Renewal (15% in 2020)</v>
      </c>
      <c r="H3885" s="783" t="s">
        <v>4368</v>
      </c>
      <c r="I3885" s="783" t="s">
        <v>4369</v>
      </c>
      <c r="J3885" s="783">
        <v>20</v>
      </c>
      <c r="K3885" s="783" t="s">
        <v>814</v>
      </c>
      <c r="L3885" s="783" t="s">
        <v>4014</v>
      </c>
      <c r="M3885" s="784">
        <v>11715.55</v>
      </c>
      <c r="N3885" s="784">
        <v>9.35</v>
      </c>
      <c r="O3885" s="784">
        <v>3.58</v>
      </c>
      <c r="P3885" s="783">
        <v>350</v>
      </c>
      <c r="Q3885" s="783">
        <v>650.21</v>
      </c>
      <c r="R3885" s="783">
        <v>313.93</v>
      </c>
      <c r="S3885" s="783">
        <v>86.74</v>
      </c>
      <c r="T3885" s="783">
        <v>249.54</v>
      </c>
      <c r="U3885" s="785">
        <v>44715.465138888903</v>
      </c>
    </row>
    <row r="3886" spans="1:21">
      <c r="A3886" s="782">
        <v>44713</v>
      </c>
      <c r="B3886" s="783" t="s">
        <v>3078</v>
      </c>
      <c r="C3886" s="783" t="s">
        <v>4008</v>
      </c>
      <c r="D3886" s="783" t="s">
        <v>4009</v>
      </c>
      <c r="E3886" s="783" t="s">
        <v>5650</v>
      </c>
      <c r="F3886" s="783" t="s">
        <v>4066</v>
      </c>
      <c r="G3886" s="783" t="s">
        <v>4028</v>
      </c>
      <c r="H3886" s="783" t="s">
        <v>5651</v>
      </c>
      <c r="I3886" s="783" t="s">
        <v>5652</v>
      </c>
      <c r="J3886" s="783">
        <v>10</v>
      </c>
      <c r="K3886" s="783" t="s">
        <v>814</v>
      </c>
      <c r="L3886" s="783" t="s">
        <v>4014</v>
      </c>
      <c r="M3886" s="784">
        <v>32189.01</v>
      </c>
      <c r="N3886" s="784">
        <v>38.81</v>
      </c>
      <c r="O3886" s="784">
        <v>2</v>
      </c>
      <c r="P3886" s="783">
        <v>414.7</v>
      </c>
      <c r="Q3886" s="783">
        <v>486.05</v>
      </c>
      <c r="R3886" s="783">
        <v>0</v>
      </c>
      <c r="S3886" s="783">
        <v>0</v>
      </c>
      <c r="T3886" s="783">
        <v>486.05</v>
      </c>
      <c r="U3886" s="785">
        <v>44715.418124999997</v>
      </c>
    </row>
    <row r="3887" spans="1:21">
      <c r="A3887" s="782">
        <v>44711</v>
      </c>
      <c r="B3887" s="783" t="s">
        <v>74</v>
      </c>
      <c r="C3887" s="783" t="s">
        <v>4097</v>
      </c>
      <c r="D3887" s="783" t="s">
        <v>4038</v>
      </c>
      <c r="E3887" s="783" t="s">
        <v>4370</v>
      </c>
      <c r="F3887" s="783" t="s">
        <v>4011</v>
      </c>
      <c r="G3887" s="783" t="str">
        <f t="shared" ref="G3887:G3894" si="206">VLOOKUP(I3887,pacage,2,FALSE)</f>
        <v>Renewal (20% in 2020)</v>
      </c>
      <c r="H3887" s="783" t="s">
        <v>4371</v>
      </c>
      <c r="I3887" s="783" t="s">
        <v>4372</v>
      </c>
      <c r="J3887" s="783">
        <v>20</v>
      </c>
      <c r="K3887" s="783" t="s">
        <v>814</v>
      </c>
      <c r="L3887" s="783" t="s">
        <v>4014</v>
      </c>
      <c r="M3887" s="784">
        <v>16513.48</v>
      </c>
      <c r="N3887" s="784">
        <v>14.09</v>
      </c>
      <c r="O3887" s="784">
        <v>2.93</v>
      </c>
      <c r="P3887" s="783">
        <v>400</v>
      </c>
      <c r="Q3887" s="783">
        <v>916.5</v>
      </c>
      <c r="R3887" s="783">
        <v>387.18</v>
      </c>
      <c r="S3887" s="783">
        <v>177.58</v>
      </c>
      <c r="T3887" s="783">
        <v>351.74</v>
      </c>
      <c r="U3887" s="785">
        <v>44713.987743055601</v>
      </c>
    </row>
    <row r="3888" spans="1:21">
      <c r="A3888" s="782">
        <v>44710</v>
      </c>
      <c r="B3888" s="783" t="s">
        <v>113</v>
      </c>
      <c r="C3888" s="783" t="s">
        <v>4606</v>
      </c>
      <c r="D3888" s="783" t="s">
        <v>4009</v>
      </c>
      <c r="E3888" s="783" t="s">
        <v>6932</v>
      </c>
      <c r="F3888" s="783" t="s">
        <v>4011</v>
      </c>
      <c r="G3888" s="783" t="str">
        <f t="shared" si="206"/>
        <v>Renewal (20% in 2020)</v>
      </c>
      <c r="H3888" s="783" t="s">
        <v>6933</v>
      </c>
      <c r="I3888" s="783" t="s">
        <v>6934</v>
      </c>
      <c r="J3888" s="783">
        <v>25</v>
      </c>
      <c r="K3888" s="783" t="s">
        <v>814</v>
      </c>
      <c r="L3888" s="783" t="s">
        <v>4014</v>
      </c>
      <c r="M3888" s="784">
        <v>6588.24</v>
      </c>
      <c r="N3888" s="784">
        <v>5.82</v>
      </c>
      <c r="O3888" s="784">
        <v>2.83</v>
      </c>
      <c r="P3888" s="783">
        <v>400</v>
      </c>
      <c r="Q3888" s="783">
        <v>399.91</v>
      </c>
      <c r="R3888" s="783">
        <v>204.91</v>
      </c>
      <c r="S3888" s="783">
        <v>94.85</v>
      </c>
      <c r="T3888" s="783">
        <v>100.14</v>
      </c>
      <c r="U3888" s="785">
        <v>44712.668854166703</v>
      </c>
    </row>
    <row r="3889" spans="1:21">
      <c r="A3889" s="782">
        <v>44711</v>
      </c>
      <c r="B3889" s="783" t="s">
        <v>113</v>
      </c>
      <c r="C3889" s="783" t="s">
        <v>4606</v>
      </c>
      <c r="D3889" s="783" t="s">
        <v>4009</v>
      </c>
      <c r="E3889" s="783" t="s">
        <v>6935</v>
      </c>
      <c r="F3889" s="783" t="s">
        <v>4011</v>
      </c>
      <c r="G3889" s="783" t="str">
        <f t="shared" si="206"/>
        <v>Renewal (30% in 2020)</v>
      </c>
      <c r="H3889" s="783" t="s">
        <v>6936</v>
      </c>
      <c r="I3889" s="783" t="s">
        <v>6937</v>
      </c>
      <c r="J3889" s="783">
        <v>25</v>
      </c>
      <c r="K3889" s="783" t="s">
        <v>814</v>
      </c>
      <c r="L3889" s="783" t="s">
        <v>4014</v>
      </c>
      <c r="M3889" s="784">
        <v>4335.5600000000004</v>
      </c>
      <c r="N3889" s="784">
        <v>3.83</v>
      </c>
      <c r="O3889" s="784">
        <v>2.83</v>
      </c>
      <c r="P3889" s="783">
        <v>400</v>
      </c>
      <c r="Q3889" s="783">
        <v>263.17</v>
      </c>
      <c r="R3889" s="783">
        <v>134.85</v>
      </c>
      <c r="S3889" s="783">
        <v>62.42</v>
      </c>
      <c r="T3889" s="783">
        <v>65.900000000000006</v>
      </c>
      <c r="U3889" s="785">
        <v>44713.977349537003</v>
      </c>
    </row>
    <row r="3890" spans="1:21">
      <c r="A3890" s="782">
        <v>44711</v>
      </c>
      <c r="B3890" s="783" t="s">
        <v>113</v>
      </c>
      <c r="C3890" s="783" t="s">
        <v>4376</v>
      </c>
      <c r="D3890" s="783" t="s">
        <v>4038</v>
      </c>
      <c r="E3890" s="783" t="s">
        <v>4377</v>
      </c>
      <c r="F3890" s="783" t="s">
        <v>4011</v>
      </c>
      <c r="G3890" s="783" t="str">
        <f t="shared" si="206"/>
        <v>Renewal (15% in 2020)</v>
      </c>
      <c r="H3890" s="783" t="s">
        <v>4378</v>
      </c>
      <c r="I3890" s="783" t="s">
        <v>4379</v>
      </c>
      <c r="J3890" s="783">
        <v>15</v>
      </c>
      <c r="K3890" s="783" t="s">
        <v>814</v>
      </c>
      <c r="L3890" s="783" t="s">
        <v>4014</v>
      </c>
      <c r="M3890" s="784">
        <v>7917.92</v>
      </c>
      <c r="N3890" s="784">
        <v>12.07</v>
      </c>
      <c r="O3890" s="784">
        <v>2.0499999999999998</v>
      </c>
      <c r="P3890" s="783">
        <v>320</v>
      </c>
      <c r="Q3890" s="783">
        <v>973.11</v>
      </c>
      <c r="R3890" s="783">
        <v>391.5</v>
      </c>
      <c r="S3890" s="783">
        <v>66.150000000000006</v>
      </c>
      <c r="T3890" s="783">
        <v>515.46</v>
      </c>
      <c r="U3890" s="785">
        <v>44713.5222222222</v>
      </c>
    </row>
    <row r="3891" spans="1:21">
      <c r="A3891" s="782">
        <v>44714</v>
      </c>
      <c r="B3891" s="783" t="s">
        <v>113</v>
      </c>
      <c r="C3891" s="783" t="s">
        <v>4606</v>
      </c>
      <c r="D3891" s="783" t="s">
        <v>4009</v>
      </c>
      <c r="E3891" s="783" t="s">
        <v>6743</v>
      </c>
      <c r="F3891" s="783" t="s">
        <v>4011</v>
      </c>
      <c r="G3891" s="783" t="str">
        <f t="shared" si="206"/>
        <v>Renewal (25% in 2020)</v>
      </c>
      <c r="H3891" s="783" t="s">
        <v>6744</v>
      </c>
      <c r="I3891" s="783" t="s">
        <v>6745</v>
      </c>
      <c r="J3891" s="783">
        <v>25</v>
      </c>
      <c r="K3891" s="783" t="s">
        <v>814</v>
      </c>
      <c r="L3891" s="783" t="s">
        <v>4014</v>
      </c>
      <c r="M3891" s="784">
        <v>9614</v>
      </c>
      <c r="N3891" s="784">
        <v>9.5</v>
      </c>
      <c r="O3891" s="784">
        <v>2.5299999999999998</v>
      </c>
      <c r="P3891" s="783">
        <v>400</v>
      </c>
      <c r="Q3891" s="783">
        <v>583.57000000000005</v>
      </c>
      <c r="R3891" s="783">
        <v>299.02</v>
      </c>
      <c r="S3891" s="783">
        <v>138.41999999999999</v>
      </c>
      <c r="T3891" s="783">
        <v>146.13</v>
      </c>
      <c r="U3891" s="785">
        <v>44715.456770833298</v>
      </c>
    </row>
    <row r="3892" spans="1:21">
      <c r="A3892" s="782">
        <v>44697</v>
      </c>
      <c r="B3892" s="783" t="s">
        <v>30</v>
      </c>
      <c r="C3892" s="783" t="s">
        <v>4239</v>
      </c>
      <c r="D3892" s="783" t="s">
        <v>4021</v>
      </c>
      <c r="E3892" s="783" t="s">
        <v>5732</v>
      </c>
      <c r="F3892" s="783" t="s">
        <v>4011</v>
      </c>
      <c r="G3892" s="783" t="str">
        <f t="shared" si="206"/>
        <v>Renewal (20% in 2020)</v>
      </c>
      <c r="H3892" s="783" t="s">
        <v>5733</v>
      </c>
      <c r="I3892" s="783" t="s">
        <v>5734</v>
      </c>
      <c r="J3892" s="783">
        <v>20</v>
      </c>
      <c r="K3892" s="783" t="s">
        <v>814</v>
      </c>
      <c r="L3892" s="783" t="s">
        <v>4014</v>
      </c>
      <c r="M3892" s="784">
        <v>5791.2</v>
      </c>
      <c r="N3892" s="784">
        <v>6</v>
      </c>
      <c r="O3892" s="784">
        <v>2.54</v>
      </c>
      <c r="P3892" s="783">
        <v>380</v>
      </c>
      <c r="Q3892" s="783">
        <v>345.16</v>
      </c>
      <c r="R3892" s="783">
        <v>147.79</v>
      </c>
      <c r="S3892" s="783">
        <v>76.33</v>
      </c>
      <c r="T3892" s="783">
        <v>121.04</v>
      </c>
      <c r="U3892" s="785">
        <v>44699.495277777802</v>
      </c>
    </row>
    <row r="3893" spans="1:21">
      <c r="A3893" s="782">
        <v>44704</v>
      </c>
      <c r="B3893" s="783" t="s">
        <v>4025</v>
      </c>
      <c r="C3893" s="783" t="s">
        <v>4026</v>
      </c>
      <c r="D3893" s="783" t="s">
        <v>4021</v>
      </c>
      <c r="E3893" s="783" t="s">
        <v>5744</v>
      </c>
      <c r="F3893" s="783" t="s">
        <v>4011</v>
      </c>
      <c r="G3893" s="783" t="str">
        <f t="shared" si="206"/>
        <v>New Contract</v>
      </c>
      <c r="H3893" s="783" t="s">
        <v>5745</v>
      </c>
      <c r="I3893" s="783" t="s">
        <v>5746</v>
      </c>
      <c r="J3893" s="783">
        <v>25</v>
      </c>
      <c r="K3893" s="783" t="s">
        <v>814</v>
      </c>
      <c r="L3893" s="783" t="s">
        <v>4014</v>
      </c>
      <c r="M3893" s="784">
        <v>34533.31</v>
      </c>
      <c r="N3893" s="784">
        <v>30.78</v>
      </c>
      <c r="O3893" s="784">
        <v>2.71</v>
      </c>
      <c r="P3893" s="783">
        <v>414</v>
      </c>
      <c r="Q3893" s="783">
        <v>1899.33</v>
      </c>
      <c r="R3893" s="783">
        <v>1003.16</v>
      </c>
      <c r="S3893" s="783">
        <v>512.85</v>
      </c>
      <c r="T3893" s="783">
        <v>383.32</v>
      </c>
      <c r="U3893" s="785">
        <v>44704.4219212963</v>
      </c>
    </row>
    <row r="3894" spans="1:21">
      <c r="A3894" s="782">
        <v>44693</v>
      </c>
      <c r="B3894" s="783" t="s">
        <v>30</v>
      </c>
      <c r="C3894" s="783" t="s">
        <v>4239</v>
      </c>
      <c r="D3894" s="783" t="s">
        <v>4021</v>
      </c>
      <c r="E3894" s="783" t="s">
        <v>5753</v>
      </c>
      <c r="F3894" s="783" t="s">
        <v>4011</v>
      </c>
      <c r="G3894" s="783" t="str">
        <f t="shared" si="206"/>
        <v>Renewal (30% in 2020)</v>
      </c>
      <c r="H3894" s="783" t="s">
        <v>5754</v>
      </c>
      <c r="I3894" s="783" t="s">
        <v>5755</v>
      </c>
      <c r="J3894" s="783">
        <v>30</v>
      </c>
      <c r="K3894" s="783" t="s">
        <v>814</v>
      </c>
      <c r="L3894" s="783" t="s">
        <v>4014</v>
      </c>
      <c r="M3894" s="784">
        <v>4772.2</v>
      </c>
      <c r="N3894" s="784">
        <v>5.35</v>
      </c>
      <c r="O3894" s="784">
        <v>2.23</v>
      </c>
      <c r="P3894" s="783">
        <v>400</v>
      </c>
      <c r="Q3894" s="783">
        <v>184.21</v>
      </c>
      <c r="R3894" s="783">
        <v>115.7</v>
      </c>
      <c r="S3894" s="783">
        <v>29.38</v>
      </c>
      <c r="T3894" s="783">
        <v>39.130000000000003</v>
      </c>
      <c r="U3894" s="785">
        <v>44693.597974536999</v>
      </c>
    </row>
    <row r="3895" spans="1:21">
      <c r="A3895" s="782">
        <v>44697</v>
      </c>
      <c r="B3895" s="783" t="s">
        <v>113</v>
      </c>
      <c r="C3895" s="783" t="s">
        <v>4606</v>
      </c>
      <c r="D3895" s="783" t="s">
        <v>4009</v>
      </c>
      <c r="E3895" s="783" t="s">
        <v>2334</v>
      </c>
      <c r="F3895" s="783" t="s">
        <v>4011</v>
      </c>
      <c r="G3895" s="783" t="s">
        <v>4028</v>
      </c>
      <c r="H3895" s="783" t="s">
        <v>6749</v>
      </c>
      <c r="I3895" s="783" t="s">
        <v>6750</v>
      </c>
      <c r="J3895" s="783">
        <v>25</v>
      </c>
      <c r="K3895" s="783" t="s">
        <v>814</v>
      </c>
      <c r="L3895" s="783" t="s">
        <v>4014</v>
      </c>
      <c r="M3895" s="784">
        <v>23251.9</v>
      </c>
      <c r="N3895" s="784">
        <v>14.78</v>
      </c>
      <c r="O3895" s="784">
        <v>3.8</v>
      </c>
      <c r="P3895" s="783">
        <v>414</v>
      </c>
      <c r="Q3895" s="783">
        <v>1411.39</v>
      </c>
      <c r="R3895" s="783">
        <v>698.74</v>
      </c>
      <c r="S3895" s="783">
        <v>359.22</v>
      </c>
      <c r="T3895" s="783">
        <v>353.43</v>
      </c>
      <c r="U3895" s="785">
        <v>44698.4711342593</v>
      </c>
    </row>
    <row r="3896" spans="1:21">
      <c r="A3896" s="782">
        <v>44694</v>
      </c>
      <c r="B3896" s="783" t="s">
        <v>74</v>
      </c>
      <c r="C3896" s="783" t="s">
        <v>4097</v>
      </c>
      <c r="D3896" s="783" t="s">
        <v>4038</v>
      </c>
      <c r="E3896" s="783" t="s">
        <v>4385</v>
      </c>
      <c r="F3896" s="783" t="s">
        <v>4011</v>
      </c>
      <c r="G3896" s="783" t="str">
        <f t="shared" ref="G3896:G3901" si="207">VLOOKUP(I3896,pacage,2,FALSE)</f>
        <v>Renewal (15% in 2020)</v>
      </c>
      <c r="H3896" s="783" t="s">
        <v>4386</v>
      </c>
      <c r="I3896" s="783" t="s">
        <v>4387</v>
      </c>
      <c r="J3896" s="783">
        <v>15</v>
      </c>
      <c r="K3896" s="783" t="s">
        <v>814</v>
      </c>
      <c r="L3896" s="783" t="s">
        <v>4014</v>
      </c>
      <c r="M3896" s="784">
        <v>19787.16</v>
      </c>
      <c r="N3896" s="784">
        <v>12.91</v>
      </c>
      <c r="O3896" s="784">
        <v>3.93</v>
      </c>
      <c r="P3896" s="783">
        <v>390</v>
      </c>
      <c r="Q3896" s="783">
        <v>1430.61</v>
      </c>
      <c r="R3896" s="783">
        <v>475.84</v>
      </c>
      <c r="S3896" s="783">
        <v>200.89</v>
      </c>
      <c r="T3896" s="783">
        <v>753.89</v>
      </c>
      <c r="U3896" s="785">
        <v>44697.657094907401</v>
      </c>
    </row>
    <row r="3897" spans="1:21">
      <c r="A3897" s="782">
        <v>44701</v>
      </c>
      <c r="B3897" s="783" t="s">
        <v>65</v>
      </c>
      <c r="C3897" s="783" t="s">
        <v>4606</v>
      </c>
      <c r="D3897" s="783" t="s">
        <v>4009</v>
      </c>
      <c r="E3897" s="783" t="s">
        <v>6947</v>
      </c>
      <c r="F3897" s="783" t="s">
        <v>4011</v>
      </c>
      <c r="G3897" s="783" t="str">
        <f t="shared" si="207"/>
        <v>New contract</v>
      </c>
      <c r="H3897" s="783" t="s">
        <v>6948</v>
      </c>
      <c r="I3897" s="783" t="s">
        <v>6949</v>
      </c>
      <c r="J3897" s="783">
        <v>20</v>
      </c>
      <c r="K3897" s="783" t="s">
        <v>814</v>
      </c>
      <c r="L3897" s="783" t="s">
        <v>4014</v>
      </c>
      <c r="M3897" s="784">
        <v>16083.9</v>
      </c>
      <c r="N3897" s="784">
        <v>11.1</v>
      </c>
      <c r="O3897" s="784">
        <v>3.5</v>
      </c>
      <c r="P3897" s="783">
        <v>414</v>
      </c>
      <c r="Q3897" s="783">
        <v>1215.94</v>
      </c>
      <c r="R3897" s="783">
        <v>483.33</v>
      </c>
      <c r="S3897" s="783">
        <v>248.48</v>
      </c>
      <c r="T3897" s="783">
        <v>484.13</v>
      </c>
      <c r="U3897" s="785">
        <v>44701.653599537</v>
      </c>
    </row>
    <row r="3898" spans="1:21">
      <c r="A3898" s="782">
        <v>44697</v>
      </c>
      <c r="B3898" s="783" t="s">
        <v>113</v>
      </c>
      <c r="C3898" s="783" t="s">
        <v>4606</v>
      </c>
      <c r="D3898" s="783" t="s">
        <v>4009</v>
      </c>
      <c r="E3898" s="783" t="s">
        <v>6950</v>
      </c>
      <c r="F3898" s="783" t="s">
        <v>4011</v>
      </c>
      <c r="G3898" s="783" t="str">
        <f t="shared" si="207"/>
        <v>Renewal (15% in 2020)</v>
      </c>
      <c r="H3898" s="783" t="s">
        <v>6951</v>
      </c>
      <c r="I3898" s="783" t="s">
        <v>6952</v>
      </c>
      <c r="J3898" s="783">
        <v>15</v>
      </c>
      <c r="K3898" s="783" t="s">
        <v>814</v>
      </c>
      <c r="L3898" s="783" t="s">
        <v>4014</v>
      </c>
      <c r="M3898" s="784">
        <v>21910</v>
      </c>
      <c r="N3898" s="784">
        <v>20</v>
      </c>
      <c r="O3898" s="784">
        <v>3.13</v>
      </c>
      <c r="P3898" s="783">
        <v>350</v>
      </c>
      <c r="Q3898" s="783">
        <v>2142.8000000000002</v>
      </c>
      <c r="R3898" s="783">
        <v>778.81</v>
      </c>
      <c r="S3898" s="783">
        <v>218.1</v>
      </c>
      <c r="T3898" s="783">
        <v>1145.8900000000001</v>
      </c>
      <c r="U3898" s="785">
        <v>44699.413773148102</v>
      </c>
    </row>
    <row r="3899" spans="1:21">
      <c r="A3899" s="782">
        <v>44699</v>
      </c>
      <c r="B3899" s="783" t="s">
        <v>74</v>
      </c>
      <c r="C3899" s="783" t="s">
        <v>4097</v>
      </c>
      <c r="D3899" s="783" t="s">
        <v>4038</v>
      </c>
      <c r="E3899" s="783" t="s">
        <v>5797</v>
      </c>
      <c r="F3899" s="783" t="s">
        <v>4011</v>
      </c>
      <c r="G3899" s="783" t="str">
        <f t="shared" si="207"/>
        <v>Renewal (15% in 2020)</v>
      </c>
      <c r="H3899" s="783" t="s">
        <v>5798</v>
      </c>
      <c r="I3899" s="783" t="s">
        <v>5799</v>
      </c>
      <c r="J3899" s="783">
        <v>15</v>
      </c>
      <c r="K3899" s="783" t="s">
        <v>814</v>
      </c>
      <c r="L3899" s="783" t="s">
        <v>4014</v>
      </c>
      <c r="M3899" s="784">
        <v>17328.88</v>
      </c>
      <c r="N3899" s="784">
        <v>13.59</v>
      </c>
      <c r="O3899" s="784">
        <v>3.08</v>
      </c>
      <c r="P3899" s="783">
        <v>414</v>
      </c>
      <c r="Q3899" s="783">
        <v>1252.8800000000001</v>
      </c>
      <c r="R3899" s="783">
        <v>392.56</v>
      </c>
      <c r="S3899" s="783">
        <v>200.09</v>
      </c>
      <c r="T3899" s="783">
        <v>660.23</v>
      </c>
      <c r="U3899" s="785">
        <v>44700.537696759297</v>
      </c>
    </row>
    <row r="3900" spans="1:21">
      <c r="A3900" s="782">
        <v>44698</v>
      </c>
      <c r="B3900" s="783" t="s">
        <v>41</v>
      </c>
      <c r="C3900" s="783" t="s">
        <v>4071</v>
      </c>
      <c r="D3900" s="783" t="s">
        <v>4009</v>
      </c>
      <c r="E3900" s="783" t="s">
        <v>5803</v>
      </c>
      <c r="F3900" s="783" t="s">
        <v>4011</v>
      </c>
      <c r="G3900" s="783" t="str">
        <f t="shared" si="207"/>
        <v>Renewal (25% in 2020)</v>
      </c>
      <c r="H3900" s="783" t="s">
        <v>5804</v>
      </c>
      <c r="I3900" s="783" t="s">
        <v>5805</v>
      </c>
      <c r="J3900" s="783">
        <v>20</v>
      </c>
      <c r="K3900" s="783" t="s">
        <v>814</v>
      </c>
      <c r="L3900" s="783" t="s">
        <v>4014</v>
      </c>
      <c r="M3900" s="784">
        <v>9397.6</v>
      </c>
      <c r="N3900" s="784">
        <v>13.82</v>
      </c>
      <c r="O3900" s="784">
        <v>1.7</v>
      </c>
      <c r="P3900" s="783">
        <v>400</v>
      </c>
      <c r="Q3900" s="783">
        <v>686.96</v>
      </c>
      <c r="R3900" s="783">
        <v>320.77</v>
      </c>
      <c r="S3900" s="783">
        <v>147.22999999999999</v>
      </c>
      <c r="T3900" s="783">
        <v>218.96</v>
      </c>
      <c r="U3900" s="785">
        <v>44699.7496875</v>
      </c>
    </row>
    <row r="3901" spans="1:21">
      <c r="A3901" s="782">
        <v>44698</v>
      </c>
      <c r="B3901" s="783" t="s">
        <v>4025</v>
      </c>
      <c r="C3901" s="783" t="s">
        <v>4026</v>
      </c>
      <c r="D3901" s="783" t="s">
        <v>4021</v>
      </c>
      <c r="E3901" s="783" t="s">
        <v>5806</v>
      </c>
      <c r="F3901" s="783" t="s">
        <v>4011</v>
      </c>
      <c r="G3901" s="783" t="str">
        <f t="shared" si="207"/>
        <v>New Contract</v>
      </c>
      <c r="H3901" s="783" t="s">
        <v>5807</v>
      </c>
      <c r="I3901" s="783" t="s">
        <v>5808</v>
      </c>
      <c r="J3901" s="783">
        <v>20</v>
      </c>
      <c r="K3901" s="783" t="s">
        <v>814</v>
      </c>
      <c r="L3901" s="783" t="s">
        <v>4014</v>
      </c>
      <c r="M3901" s="784">
        <v>35123.199999999997</v>
      </c>
      <c r="N3901" s="784">
        <v>35.840000000000003</v>
      </c>
      <c r="O3901" s="784">
        <v>2.4500000000000002</v>
      </c>
      <c r="P3901" s="783">
        <v>400</v>
      </c>
      <c r="Q3901" s="783">
        <v>2434.04</v>
      </c>
      <c r="R3901" s="783">
        <v>1056.01</v>
      </c>
      <c r="S3901" s="783">
        <v>485.9</v>
      </c>
      <c r="T3901" s="783">
        <v>892.13</v>
      </c>
      <c r="U3901" s="785">
        <v>44699.4816782407</v>
      </c>
    </row>
    <row r="3902" spans="1:21">
      <c r="A3902" s="782">
        <v>44698</v>
      </c>
      <c r="B3902" s="783" t="s">
        <v>51</v>
      </c>
      <c r="C3902" s="783" t="s">
        <v>4015</v>
      </c>
      <c r="D3902" s="783" t="s">
        <v>4016</v>
      </c>
      <c r="E3902" s="783" t="s">
        <v>4062</v>
      </c>
      <c r="F3902" s="783" t="s">
        <v>4011</v>
      </c>
      <c r="G3902" s="783" t="s">
        <v>4028</v>
      </c>
      <c r="H3902" s="783" t="s">
        <v>4063</v>
      </c>
      <c r="I3902" s="783" t="s">
        <v>4064</v>
      </c>
      <c r="J3902" s="783">
        <v>25</v>
      </c>
      <c r="K3902" s="783" t="s">
        <v>814</v>
      </c>
      <c r="L3902" s="783" t="s">
        <v>4014</v>
      </c>
      <c r="M3902" s="784">
        <v>4112.96</v>
      </c>
      <c r="N3902" s="784">
        <v>7.91</v>
      </c>
      <c r="O3902" s="784">
        <v>1.63</v>
      </c>
      <c r="P3902" s="783">
        <v>319</v>
      </c>
      <c r="Q3902" s="783">
        <v>271.45999999999998</v>
      </c>
      <c r="R3902" s="783">
        <v>188.78</v>
      </c>
      <c r="S3902" s="783">
        <v>32.08</v>
      </c>
      <c r="T3902" s="783">
        <v>50.59</v>
      </c>
      <c r="U3902" s="785">
        <v>44699.493541666699</v>
      </c>
    </row>
    <row r="3903" spans="1:21">
      <c r="A3903" s="782">
        <v>44660</v>
      </c>
      <c r="B3903" s="783" t="s">
        <v>4025</v>
      </c>
      <c r="C3903" s="783" t="s">
        <v>4026</v>
      </c>
      <c r="D3903" s="783" t="s">
        <v>4021</v>
      </c>
      <c r="E3903" s="783" t="s">
        <v>5839</v>
      </c>
      <c r="F3903" s="783" t="s">
        <v>4066</v>
      </c>
      <c r="G3903" s="783" t="s">
        <v>4028</v>
      </c>
      <c r="H3903" s="783" t="s">
        <v>5840</v>
      </c>
      <c r="I3903" s="783" t="s">
        <v>5841</v>
      </c>
      <c r="J3903" s="783">
        <v>5</v>
      </c>
      <c r="K3903" s="783" t="s">
        <v>814</v>
      </c>
      <c r="L3903" s="783" t="s">
        <v>4014</v>
      </c>
      <c r="M3903" s="784">
        <v>10500</v>
      </c>
      <c r="N3903" s="784">
        <v>15</v>
      </c>
      <c r="O3903" s="784">
        <v>2</v>
      </c>
      <c r="P3903" s="783">
        <v>350</v>
      </c>
      <c r="Q3903" s="783">
        <v>240.45</v>
      </c>
      <c r="R3903" s="783">
        <v>0</v>
      </c>
      <c r="S3903" s="783">
        <v>0</v>
      </c>
      <c r="T3903" s="783">
        <v>240.45</v>
      </c>
      <c r="U3903" s="785">
        <v>44663.427326388897</v>
      </c>
    </row>
    <row r="3904" spans="1:21">
      <c r="A3904" s="782">
        <v>44660</v>
      </c>
      <c r="B3904" s="783" t="s">
        <v>30</v>
      </c>
      <c r="C3904" s="783" t="s">
        <v>4089</v>
      </c>
      <c r="D3904" s="783" t="s">
        <v>4021</v>
      </c>
      <c r="E3904" s="783" t="s">
        <v>5845</v>
      </c>
      <c r="F3904" s="783" t="s">
        <v>4011</v>
      </c>
      <c r="G3904" s="783" t="str">
        <f>VLOOKUP(I3904,pacage,2,FALSE)</f>
        <v>Renewal (30% in 2020)</v>
      </c>
      <c r="H3904" s="783" t="s">
        <v>5846</v>
      </c>
      <c r="I3904" s="783" t="s">
        <v>5847</v>
      </c>
      <c r="J3904" s="783">
        <v>30</v>
      </c>
      <c r="K3904" s="783" t="s">
        <v>814</v>
      </c>
      <c r="L3904" s="783" t="s">
        <v>4014</v>
      </c>
      <c r="M3904" s="784">
        <v>7395.42</v>
      </c>
      <c r="N3904" s="784">
        <v>6</v>
      </c>
      <c r="O3904" s="784">
        <v>2.33</v>
      </c>
      <c r="P3904" s="783">
        <v>529</v>
      </c>
      <c r="Q3904" s="783">
        <v>386.04</v>
      </c>
      <c r="R3904" s="783">
        <v>179.72</v>
      </c>
      <c r="S3904" s="783">
        <v>118.31</v>
      </c>
      <c r="T3904" s="783">
        <v>88.01</v>
      </c>
      <c r="U3904" s="785">
        <v>44663.426203703697</v>
      </c>
    </row>
    <row r="3905" spans="1:21">
      <c r="A3905" s="782">
        <v>44659</v>
      </c>
      <c r="B3905" s="783" t="s">
        <v>3078</v>
      </c>
      <c r="C3905" s="783" t="s">
        <v>4414</v>
      </c>
      <c r="D3905" s="783" t="s">
        <v>4009</v>
      </c>
      <c r="E3905" s="783" t="s">
        <v>5848</v>
      </c>
      <c r="F3905" s="783" t="s">
        <v>4011</v>
      </c>
      <c r="G3905" s="783" t="str">
        <f>VLOOKUP(I3905,pacage,2,FALSE)</f>
        <v>Renewal (15% in 2020)</v>
      </c>
      <c r="H3905" s="783" t="s">
        <v>5849</v>
      </c>
      <c r="I3905" s="783" t="s">
        <v>5850</v>
      </c>
      <c r="J3905" s="783">
        <v>20</v>
      </c>
      <c r="K3905" s="783" t="s">
        <v>814</v>
      </c>
      <c r="L3905" s="783" t="s">
        <v>4014</v>
      </c>
      <c r="M3905" s="784">
        <v>9187.5</v>
      </c>
      <c r="N3905" s="784">
        <v>10.5</v>
      </c>
      <c r="O3905" s="784">
        <v>2.5</v>
      </c>
      <c r="P3905" s="783">
        <v>350</v>
      </c>
      <c r="Q3905" s="783">
        <v>777.26</v>
      </c>
      <c r="R3905" s="783">
        <v>360.07</v>
      </c>
      <c r="S3905" s="783">
        <v>100.22</v>
      </c>
      <c r="T3905" s="783">
        <v>316.97000000000003</v>
      </c>
      <c r="U3905" s="785">
        <v>44663.419976851903</v>
      </c>
    </row>
    <row r="3906" spans="1:21">
      <c r="A3906" s="782">
        <v>44700</v>
      </c>
      <c r="B3906" s="783" t="s">
        <v>30</v>
      </c>
      <c r="C3906" s="783" t="s">
        <v>4239</v>
      </c>
      <c r="D3906" s="783" t="s">
        <v>4021</v>
      </c>
      <c r="E3906" s="783" t="s">
        <v>2043</v>
      </c>
      <c r="F3906" s="783" t="s">
        <v>4011</v>
      </c>
      <c r="G3906" s="783" t="str">
        <f>VLOOKUP(I3906,pacage,2,FALSE)</f>
        <v>Renewal (30% in 2020)</v>
      </c>
      <c r="H3906" s="783" t="s">
        <v>4240</v>
      </c>
      <c r="I3906" s="783" t="s">
        <v>4241</v>
      </c>
      <c r="J3906" s="783">
        <v>30</v>
      </c>
      <c r="K3906" s="783" t="s">
        <v>814</v>
      </c>
      <c r="L3906" s="783" t="s">
        <v>4014</v>
      </c>
      <c r="M3906" s="784">
        <v>19093.91</v>
      </c>
      <c r="N3906" s="784">
        <v>19.649999999999999</v>
      </c>
      <c r="O3906" s="784">
        <v>2.37</v>
      </c>
      <c r="P3906" s="783">
        <v>410</v>
      </c>
      <c r="Q3906" s="783">
        <v>737.02</v>
      </c>
      <c r="R3906" s="783">
        <v>451.62</v>
      </c>
      <c r="S3906" s="783">
        <v>128.83000000000001</v>
      </c>
      <c r="T3906" s="783">
        <v>156.57</v>
      </c>
      <c r="U3906" s="785">
        <v>44700.716516203698</v>
      </c>
    </row>
    <row r="3907" spans="1:21">
      <c r="A3907" s="782">
        <v>44710</v>
      </c>
      <c r="B3907" s="783" t="s">
        <v>30</v>
      </c>
      <c r="C3907" s="783" t="s">
        <v>4239</v>
      </c>
      <c r="D3907" s="783" t="s">
        <v>4021</v>
      </c>
      <c r="E3907" s="783" t="s">
        <v>1495</v>
      </c>
      <c r="F3907" s="783" t="s">
        <v>4011</v>
      </c>
      <c r="G3907" s="783" t="str">
        <f>VLOOKUP(I3907,pacage,2,FALSE)</f>
        <v>Renewal (15% in 2020)</v>
      </c>
      <c r="H3907" s="783" t="s">
        <v>5873</v>
      </c>
      <c r="I3907" s="783" t="s">
        <v>5874</v>
      </c>
      <c r="J3907" s="783">
        <v>15</v>
      </c>
      <c r="K3907" s="783" t="s">
        <v>814</v>
      </c>
      <c r="L3907" s="783" t="s">
        <v>4014</v>
      </c>
      <c r="M3907" s="784">
        <v>25650</v>
      </c>
      <c r="N3907" s="784">
        <v>18.75</v>
      </c>
      <c r="O3907" s="784">
        <v>2.85</v>
      </c>
      <c r="P3907" s="783">
        <v>480</v>
      </c>
      <c r="Q3907" s="783">
        <v>2016.09</v>
      </c>
      <c r="R3907" s="783">
        <v>518.22</v>
      </c>
      <c r="S3907" s="783">
        <v>474.44</v>
      </c>
      <c r="T3907" s="783">
        <v>1023.44</v>
      </c>
      <c r="U3907" s="785">
        <v>44712.6339351852</v>
      </c>
    </row>
    <row r="3908" spans="1:21">
      <c r="A3908" s="782">
        <v>44705</v>
      </c>
      <c r="B3908" s="783" t="s">
        <v>74</v>
      </c>
      <c r="C3908" s="783" t="s">
        <v>4097</v>
      </c>
      <c r="D3908" s="783" t="s">
        <v>4038</v>
      </c>
      <c r="E3908" s="783" t="s">
        <v>4390</v>
      </c>
      <c r="F3908" s="783" t="s">
        <v>4066</v>
      </c>
      <c r="G3908" s="783" t="s">
        <v>4028</v>
      </c>
      <c r="H3908" s="783" t="s">
        <v>4391</v>
      </c>
      <c r="I3908" s="783" t="s">
        <v>4392</v>
      </c>
      <c r="J3908" s="783">
        <v>10</v>
      </c>
      <c r="K3908" s="783" t="s">
        <v>814</v>
      </c>
      <c r="L3908" s="783" t="s">
        <v>4014</v>
      </c>
      <c r="M3908" s="784">
        <v>34356</v>
      </c>
      <c r="N3908" s="784">
        <v>24.54</v>
      </c>
      <c r="O3908" s="784">
        <v>3.5</v>
      </c>
      <c r="P3908" s="783">
        <v>400</v>
      </c>
      <c r="Q3908" s="783">
        <v>608.1</v>
      </c>
      <c r="R3908" s="783">
        <v>0</v>
      </c>
      <c r="S3908" s="783">
        <v>0</v>
      </c>
      <c r="T3908" s="783">
        <v>608.1</v>
      </c>
      <c r="U3908" s="785">
        <v>44706.523495370398</v>
      </c>
    </row>
    <row r="3909" spans="1:21">
      <c r="A3909" s="782">
        <v>44711</v>
      </c>
      <c r="B3909" s="783" t="s">
        <v>74</v>
      </c>
      <c r="C3909" s="783" t="s">
        <v>4037</v>
      </c>
      <c r="D3909" s="783" t="s">
        <v>4038</v>
      </c>
      <c r="E3909" s="783" t="s">
        <v>4393</v>
      </c>
      <c r="F3909" s="783" t="s">
        <v>4011</v>
      </c>
      <c r="G3909" s="783" t="str">
        <f>VLOOKUP(I3909,pacage,2,FALSE)</f>
        <v>Renewal (15% in 2020)</v>
      </c>
      <c r="H3909" s="783" t="s">
        <v>4394</v>
      </c>
      <c r="I3909" s="783" t="s">
        <v>4395</v>
      </c>
      <c r="J3909" s="783">
        <v>30</v>
      </c>
      <c r="K3909" s="783" t="s">
        <v>814</v>
      </c>
      <c r="L3909" s="783" t="s">
        <v>4014</v>
      </c>
      <c r="M3909" s="784">
        <v>12137.58</v>
      </c>
      <c r="N3909" s="784">
        <v>11.83</v>
      </c>
      <c r="O3909" s="784">
        <v>2.7</v>
      </c>
      <c r="P3909" s="783">
        <v>380</v>
      </c>
      <c r="Q3909" s="783">
        <v>821.71</v>
      </c>
      <c r="R3909" s="783">
        <v>483.99</v>
      </c>
      <c r="S3909" s="783">
        <v>92.55</v>
      </c>
      <c r="T3909" s="783">
        <v>245.18</v>
      </c>
      <c r="U3909" s="785">
        <v>44713.998842592599</v>
      </c>
    </row>
    <row r="3910" spans="1:21">
      <c r="A3910" s="782">
        <v>44659</v>
      </c>
      <c r="B3910" s="783" t="s">
        <v>113</v>
      </c>
      <c r="C3910" s="783" t="s">
        <v>4606</v>
      </c>
      <c r="D3910" s="783" t="s">
        <v>4009</v>
      </c>
      <c r="E3910" s="783" t="s">
        <v>6963</v>
      </c>
      <c r="F3910" s="783" t="s">
        <v>4066</v>
      </c>
      <c r="G3910" s="783" t="str">
        <f>VLOOKUP(I3910,pacage,2,FALSE)</f>
        <v>Renewal (30% in 2020)</v>
      </c>
      <c r="H3910" s="783" t="s">
        <v>6964</v>
      </c>
      <c r="I3910" s="783" t="s">
        <v>6965</v>
      </c>
      <c r="J3910" s="783">
        <v>10</v>
      </c>
      <c r="K3910" s="783" t="s">
        <v>814</v>
      </c>
      <c r="L3910" s="783" t="s">
        <v>4014</v>
      </c>
      <c r="M3910" s="784">
        <v>6635.2</v>
      </c>
      <c r="N3910" s="784">
        <v>4</v>
      </c>
      <c r="O3910" s="784">
        <v>4</v>
      </c>
      <c r="P3910" s="783">
        <v>414.7</v>
      </c>
      <c r="Q3910" s="783">
        <v>161.24</v>
      </c>
      <c r="R3910" s="783">
        <v>0</v>
      </c>
      <c r="S3910" s="783">
        <v>0</v>
      </c>
      <c r="T3910" s="783">
        <v>161.24</v>
      </c>
      <c r="U3910" s="785">
        <v>44659.3976736111</v>
      </c>
    </row>
    <row r="3911" spans="1:21">
      <c r="A3911" s="782">
        <v>44658</v>
      </c>
      <c r="B3911" s="783" t="s">
        <v>30</v>
      </c>
      <c r="C3911" s="783" t="s">
        <v>4015</v>
      </c>
      <c r="D3911" s="783" t="s">
        <v>4016</v>
      </c>
      <c r="E3911" s="783" t="s">
        <v>5894</v>
      </c>
      <c r="F3911" s="783" t="s">
        <v>4011</v>
      </c>
      <c r="G3911" s="783" t="str">
        <f>VLOOKUP(I3911,pacage,2,FALSE)</f>
        <v>Renewal (15% in 2020)</v>
      </c>
      <c r="H3911" s="783" t="s">
        <v>5895</v>
      </c>
      <c r="I3911" s="783" t="s">
        <v>5896</v>
      </c>
      <c r="J3911" s="783">
        <v>15</v>
      </c>
      <c r="K3911" s="783" t="s">
        <v>814</v>
      </c>
      <c r="L3911" s="783" t="s">
        <v>4014</v>
      </c>
      <c r="M3911" s="784">
        <v>3854.48</v>
      </c>
      <c r="N3911" s="784">
        <v>5.27</v>
      </c>
      <c r="O3911" s="784">
        <v>2.12</v>
      </c>
      <c r="P3911" s="783">
        <v>345</v>
      </c>
      <c r="Q3911" s="783">
        <v>423.61</v>
      </c>
      <c r="R3911" s="783">
        <v>163.59</v>
      </c>
      <c r="S3911" s="783">
        <v>43.4</v>
      </c>
      <c r="T3911" s="783">
        <v>216.62</v>
      </c>
      <c r="U3911" s="785">
        <v>44659.405497685198</v>
      </c>
    </row>
    <row r="3912" spans="1:21">
      <c r="A3912" s="782">
        <v>44672</v>
      </c>
      <c r="B3912" s="783" t="s">
        <v>113</v>
      </c>
      <c r="C3912" s="783" t="s">
        <v>4598</v>
      </c>
      <c r="D3912" s="783" t="s">
        <v>4009</v>
      </c>
      <c r="E3912" s="783" t="s">
        <v>6753</v>
      </c>
      <c r="F3912" s="783" t="s">
        <v>4011</v>
      </c>
      <c r="G3912" s="783" t="str">
        <f>VLOOKUP(I3912,pacage,2,FALSE)</f>
        <v>Renewal (30% in 2020)</v>
      </c>
      <c r="H3912" s="783" t="s">
        <v>6754</v>
      </c>
      <c r="I3912" s="783" t="s">
        <v>6755</v>
      </c>
      <c r="J3912" s="783">
        <v>30</v>
      </c>
      <c r="K3912" s="783" t="s">
        <v>814</v>
      </c>
      <c r="L3912" s="783" t="s">
        <v>4014</v>
      </c>
      <c r="M3912" s="784">
        <v>38255.58</v>
      </c>
      <c r="N3912" s="784">
        <v>28.56</v>
      </c>
      <c r="O3912" s="784">
        <v>3.23</v>
      </c>
      <c r="P3912" s="783">
        <v>414.7</v>
      </c>
      <c r="Q3912" s="783">
        <v>1503.44</v>
      </c>
      <c r="R3912" s="783">
        <v>853.39</v>
      </c>
      <c r="S3912" s="783">
        <v>256.02</v>
      </c>
      <c r="T3912" s="783">
        <v>394.03</v>
      </c>
      <c r="U3912" s="785">
        <v>44673.375370370399</v>
      </c>
    </row>
    <row r="3913" spans="1:21">
      <c r="A3913" s="782">
        <v>44670</v>
      </c>
      <c r="B3913" s="783" t="s">
        <v>74</v>
      </c>
      <c r="C3913" s="783" t="s">
        <v>4097</v>
      </c>
      <c r="D3913" s="783" t="s">
        <v>4038</v>
      </c>
      <c r="E3913" s="783" t="s">
        <v>4402</v>
      </c>
      <c r="F3913" s="783" t="s">
        <v>4011</v>
      </c>
      <c r="G3913" s="783" t="str">
        <f>VLOOKUP(I3913,pacage,2,FALSE)</f>
        <v>Renewal (15% in 2020)</v>
      </c>
      <c r="H3913" s="783" t="s">
        <v>4403</v>
      </c>
      <c r="I3913" s="783" t="s">
        <v>4404</v>
      </c>
      <c r="J3913" s="783">
        <v>15</v>
      </c>
      <c r="K3913" s="783" t="s">
        <v>814</v>
      </c>
      <c r="L3913" s="783" t="s">
        <v>4014</v>
      </c>
      <c r="M3913" s="784">
        <v>4979.04</v>
      </c>
      <c r="N3913" s="784">
        <v>4.92</v>
      </c>
      <c r="O3913" s="784">
        <v>2.5299999999999998</v>
      </c>
      <c r="P3913" s="783">
        <v>400</v>
      </c>
      <c r="Q3913" s="783">
        <v>359.98</v>
      </c>
      <c r="R3913" s="783">
        <v>116.74</v>
      </c>
      <c r="S3913" s="783">
        <v>53.54</v>
      </c>
      <c r="T3913" s="783">
        <v>189.7</v>
      </c>
      <c r="U3913" s="785">
        <v>44671.492812500001</v>
      </c>
    </row>
    <row r="3914" spans="1:21">
      <c r="A3914" s="782">
        <v>44678</v>
      </c>
      <c r="B3914" s="783" t="s">
        <v>113</v>
      </c>
      <c r="C3914" s="783" t="s">
        <v>4606</v>
      </c>
      <c r="D3914" s="783" t="s">
        <v>4009</v>
      </c>
      <c r="E3914" s="783" t="s">
        <v>6684</v>
      </c>
      <c r="F3914" s="783" t="s">
        <v>4011</v>
      </c>
      <c r="G3914" s="783" t="s">
        <v>4028</v>
      </c>
      <c r="H3914" s="783" t="s">
        <v>6685</v>
      </c>
      <c r="I3914" s="783" t="s">
        <v>6686</v>
      </c>
      <c r="J3914" s="783">
        <v>25</v>
      </c>
      <c r="K3914" s="783" t="s">
        <v>814</v>
      </c>
      <c r="L3914" s="783" t="s">
        <v>4014</v>
      </c>
      <c r="M3914" s="784">
        <v>5372.5</v>
      </c>
      <c r="N3914" s="784">
        <v>5</v>
      </c>
      <c r="O3914" s="784">
        <v>3.07</v>
      </c>
      <c r="P3914" s="783">
        <v>350</v>
      </c>
      <c r="Q3914" s="783">
        <v>326.11</v>
      </c>
      <c r="R3914" s="783">
        <v>190.97</v>
      </c>
      <c r="S3914" s="783">
        <v>53.48</v>
      </c>
      <c r="T3914" s="783">
        <v>81.66</v>
      </c>
      <c r="U3914" s="785">
        <v>44680.665173611102</v>
      </c>
    </row>
    <row r="3915" spans="1:21">
      <c r="A3915" s="782">
        <v>44672</v>
      </c>
      <c r="B3915" s="783" t="s">
        <v>113</v>
      </c>
      <c r="C3915" s="783" t="s">
        <v>4606</v>
      </c>
      <c r="D3915" s="783" t="s">
        <v>4009</v>
      </c>
      <c r="E3915" s="783" t="s">
        <v>3106</v>
      </c>
      <c r="F3915" s="783" t="s">
        <v>4011</v>
      </c>
      <c r="G3915" s="783" t="str">
        <f>VLOOKUP(I3915,pacage,2,FALSE)</f>
        <v>Renewal (25% in 2020)</v>
      </c>
      <c r="H3915" s="783" t="s">
        <v>6759</v>
      </c>
      <c r="I3915" s="783" t="s">
        <v>6760</v>
      </c>
      <c r="J3915" s="783">
        <v>25</v>
      </c>
      <c r="K3915" s="783" t="s">
        <v>814</v>
      </c>
      <c r="L3915" s="783" t="s">
        <v>4014</v>
      </c>
      <c r="M3915" s="784">
        <v>6579.93</v>
      </c>
      <c r="N3915" s="784">
        <v>5.5</v>
      </c>
      <c r="O3915" s="784">
        <v>3.37</v>
      </c>
      <c r="P3915" s="783">
        <v>355</v>
      </c>
      <c r="Q3915" s="783">
        <v>399.4</v>
      </c>
      <c r="R3915" s="783">
        <v>230.59</v>
      </c>
      <c r="S3915" s="783">
        <v>68.790000000000006</v>
      </c>
      <c r="T3915" s="783">
        <v>100.01</v>
      </c>
      <c r="U3915" s="785">
        <v>44673.391018518501</v>
      </c>
    </row>
    <row r="3916" spans="1:21">
      <c r="A3916" s="782">
        <v>44677</v>
      </c>
      <c r="B3916" s="783" t="s">
        <v>113</v>
      </c>
      <c r="C3916" s="783" t="s">
        <v>4606</v>
      </c>
      <c r="D3916" s="783" t="s">
        <v>4009</v>
      </c>
      <c r="E3916" s="783" t="s">
        <v>6985</v>
      </c>
      <c r="F3916" s="783" t="s">
        <v>4011</v>
      </c>
      <c r="G3916" s="783" t="str">
        <f>VLOOKUP(I3916,pacage,2,FALSE)</f>
        <v>Renewal (25% in 2020)</v>
      </c>
      <c r="H3916" s="783" t="s">
        <v>6986</v>
      </c>
      <c r="I3916" s="783" t="s">
        <v>6987</v>
      </c>
      <c r="J3916" s="783">
        <v>25</v>
      </c>
      <c r="K3916" s="783" t="s">
        <v>814</v>
      </c>
      <c r="L3916" s="783" t="s">
        <v>4014</v>
      </c>
      <c r="M3916" s="784">
        <v>3231.92</v>
      </c>
      <c r="N3916" s="784">
        <v>3.58</v>
      </c>
      <c r="O3916" s="784">
        <v>2.83</v>
      </c>
      <c r="P3916" s="783">
        <v>319</v>
      </c>
      <c r="Q3916" s="783">
        <v>196.18</v>
      </c>
      <c r="R3916" s="783">
        <v>126.04</v>
      </c>
      <c r="S3916" s="783">
        <v>21.01</v>
      </c>
      <c r="T3916" s="783">
        <v>49.13</v>
      </c>
      <c r="U3916" s="785">
        <v>44678.772523148102</v>
      </c>
    </row>
    <row r="3917" spans="1:21">
      <c r="A3917" s="782">
        <v>44628</v>
      </c>
      <c r="B3917" s="783" t="s">
        <v>113</v>
      </c>
      <c r="C3917" s="783" t="s">
        <v>4606</v>
      </c>
      <c r="D3917" s="783" t="s">
        <v>4009</v>
      </c>
      <c r="E3917" s="783" t="s">
        <v>3586</v>
      </c>
      <c r="F3917" s="783" t="s">
        <v>4011</v>
      </c>
      <c r="G3917" s="783" t="str">
        <f>VLOOKUP(I3917,pacage,2,FALSE)</f>
        <v>Renewal (15% in 2020)</v>
      </c>
      <c r="H3917" s="783" t="s">
        <v>7003</v>
      </c>
      <c r="I3917" s="783" t="s">
        <v>7004</v>
      </c>
      <c r="J3917" s="783">
        <v>15</v>
      </c>
      <c r="K3917" s="783" t="s">
        <v>814</v>
      </c>
      <c r="L3917" s="783" t="s">
        <v>4014</v>
      </c>
      <c r="M3917" s="784">
        <v>6916.56</v>
      </c>
      <c r="N3917" s="784">
        <v>7.4</v>
      </c>
      <c r="O3917" s="784">
        <v>2.93</v>
      </c>
      <c r="P3917" s="783">
        <v>319</v>
      </c>
      <c r="Q3917" s="783">
        <v>676.44</v>
      </c>
      <c r="R3917" s="783">
        <v>269.75</v>
      </c>
      <c r="S3917" s="783">
        <v>44.96</v>
      </c>
      <c r="T3917" s="783">
        <v>361.74</v>
      </c>
      <c r="U3917" s="785">
        <v>44631.634456018503</v>
      </c>
    </row>
    <row r="3918" spans="1:21">
      <c r="A3918" s="782">
        <v>44694</v>
      </c>
      <c r="B3918" s="783" t="s">
        <v>4025</v>
      </c>
      <c r="C3918" s="783" t="s">
        <v>4239</v>
      </c>
      <c r="D3918" s="783" t="s">
        <v>4021</v>
      </c>
      <c r="E3918" s="783" t="s">
        <v>5066</v>
      </c>
      <c r="F3918" s="783" t="s">
        <v>4011</v>
      </c>
      <c r="G3918" s="783" t="s">
        <v>4028</v>
      </c>
      <c r="H3918" s="783" t="s">
        <v>7005</v>
      </c>
      <c r="I3918" s="783" t="s">
        <v>5068</v>
      </c>
      <c r="J3918" s="783">
        <v>25</v>
      </c>
      <c r="K3918" s="783" t="s">
        <v>814</v>
      </c>
      <c r="L3918" s="783" t="s">
        <v>4014</v>
      </c>
      <c r="M3918" s="784">
        <v>43134.66</v>
      </c>
      <c r="N3918" s="784">
        <v>34.729999999999997</v>
      </c>
      <c r="O3918" s="784">
        <v>3</v>
      </c>
      <c r="P3918" s="783">
        <v>414</v>
      </c>
      <c r="Q3918" s="783">
        <v>2023.02</v>
      </c>
      <c r="R3918" s="783">
        <v>1010.39</v>
      </c>
      <c r="S3918" s="783">
        <v>658.92</v>
      </c>
      <c r="T3918" s="783">
        <v>353.7</v>
      </c>
      <c r="U3918" s="785">
        <v>44697.471817129597</v>
      </c>
    </row>
    <row r="3919" spans="1:21">
      <c r="A3919" s="782">
        <v>44638</v>
      </c>
      <c r="B3919" s="783" t="s">
        <v>113</v>
      </c>
      <c r="C3919" s="783" t="s">
        <v>4606</v>
      </c>
      <c r="D3919" s="783" t="s">
        <v>4009</v>
      </c>
      <c r="E3919" s="783" t="s">
        <v>6770</v>
      </c>
      <c r="F3919" s="783" t="s">
        <v>4011</v>
      </c>
      <c r="G3919" s="783" t="s">
        <v>4028</v>
      </c>
      <c r="H3919" s="783" t="s">
        <v>6771</v>
      </c>
      <c r="I3919" s="783" t="s">
        <v>6772</v>
      </c>
      <c r="J3919" s="783">
        <v>25</v>
      </c>
      <c r="K3919" s="783" t="s">
        <v>814</v>
      </c>
      <c r="L3919" s="783" t="s">
        <v>4014</v>
      </c>
      <c r="M3919" s="784">
        <v>11900</v>
      </c>
      <c r="N3919" s="784">
        <v>8.5</v>
      </c>
      <c r="O3919" s="784">
        <v>3.5</v>
      </c>
      <c r="P3919" s="783">
        <v>400</v>
      </c>
      <c r="Q3919" s="783">
        <v>722.33</v>
      </c>
      <c r="R3919" s="783">
        <v>370.12</v>
      </c>
      <c r="S3919" s="783">
        <v>171.33</v>
      </c>
      <c r="T3919" s="783">
        <v>180.88</v>
      </c>
      <c r="U3919" s="785">
        <v>44641.400347222203</v>
      </c>
    </row>
    <row r="3920" spans="1:21">
      <c r="A3920" s="782">
        <v>44638</v>
      </c>
      <c r="B3920" s="783" t="s">
        <v>113</v>
      </c>
      <c r="C3920" s="783" t="s">
        <v>4606</v>
      </c>
      <c r="D3920" s="783" t="s">
        <v>4009</v>
      </c>
      <c r="E3920" s="783" t="s">
        <v>6773</v>
      </c>
      <c r="F3920" s="783" t="s">
        <v>4011</v>
      </c>
      <c r="G3920" s="783" t="str">
        <f>VLOOKUP(I3920,pacage,2,FALSE)</f>
        <v>Renewal (25% in 2020)</v>
      </c>
      <c r="H3920" s="783" t="s">
        <v>6774</v>
      </c>
      <c r="I3920" s="783" t="s">
        <v>6775</v>
      </c>
      <c r="J3920" s="783">
        <v>25</v>
      </c>
      <c r="K3920" s="783" t="s">
        <v>814</v>
      </c>
      <c r="L3920" s="783" t="s">
        <v>4014</v>
      </c>
      <c r="M3920" s="784">
        <v>4528</v>
      </c>
      <c r="N3920" s="784">
        <v>5</v>
      </c>
      <c r="O3920" s="784">
        <v>2.83</v>
      </c>
      <c r="P3920" s="783">
        <v>320</v>
      </c>
      <c r="Q3920" s="783">
        <v>274.85000000000002</v>
      </c>
      <c r="R3920" s="783">
        <v>176.04</v>
      </c>
      <c r="S3920" s="783">
        <v>29.98</v>
      </c>
      <c r="T3920" s="783">
        <v>68.83</v>
      </c>
      <c r="U3920" s="785">
        <v>44638.378819444399</v>
      </c>
    </row>
    <row r="3921" spans="1:21">
      <c r="A3921" s="782">
        <v>44671</v>
      </c>
      <c r="B3921" s="783" t="s">
        <v>113</v>
      </c>
      <c r="C3921" s="783" t="s">
        <v>4606</v>
      </c>
      <c r="D3921" s="783" t="s">
        <v>4009</v>
      </c>
      <c r="E3921" s="783" t="s">
        <v>3638</v>
      </c>
      <c r="F3921" s="783" t="s">
        <v>4011</v>
      </c>
      <c r="G3921" s="783" t="str">
        <f>VLOOKUP(I3921,pacage,2,FALSE)</f>
        <v>Renewal (20% in 2020)</v>
      </c>
      <c r="H3921" s="783" t="s">
        <v>6776</v>
      </c>
      <c r="I3921" s="783" t="s">
        <v>6777</v>
      </c>
      <c r="J3921" s="783">
        <v>20</v>
      </c>
      <c r="K3921" s="783" t="s">
        <v>814</v>
      </c>
      <c r="L3921" s="783" t="s">
        <v>4014</v>
      </c>
      <c r="M3921" s="784">
        <v>12184.85</v>
      </c>
      <c r="N3921" s="784">
        <v>10.4</v>
      </c>
      <c r="O3921" s="784">
        <v>2.83</v>
      </c>
      <c r="P3921" s="783">
        <v>414</v>
      </c>
      <c r="Q3921" s="783">
        <v>921.17</v>
      </c>
      <c r="R3921" s="783">
        <v>366.16</v>
      </c>
      <c r="S3921" s="783">
        <v>188.25</v>
      </c>
      <c r="T3921" s="783">
        <v>366.76</v>
      </c>
      <c r="U3921" s="785">
        <v>44673.368553240703</v>
      </c>
    </row>
    <row r="3922" spans="1:21">
      <c r="A3922" s="782">
        <v>44713</v>
      </c>
      <c r="B3922" s="783" t="s">
        <v>113</v>
      </c>
      <c r="C3922" s="783" t="s">
        <v>4606</v>
      </c>
      <c r="D3922" s="783" t="s">
        <v>4009</v>
      </c>
      <c r="E3922" s="783" t="s">
        <v>2328</v>
      </c>
      <c r="F3922" s="783" t="s">
        <v>4011</v>
      </c>
      <c r="G3922" s="783" t="str">
        <f>VLOOKUP(I3922,pacage,2,FALSE)</f>
        <v>Renewal (25% in 2020)</v>
      </c>
      <c r="H3922" s="783" t="s">
        <v>7015</v>
      </c>
      <c r="I3922" s="783" t="s">
        <v>7016</v>
      </c>
      <c r="J3922" s="783">
        <v>25</v>
      </c>
      <c r="K3922" s="783" t="s">
        <v>814</v>
      </c>
      <c r="L3922" s="783" t="s">
        <v>4014</v>
      </c>
      <c r="M3922" s="784">
        <v>15914.21</v>
      </c>
      <c r="N3922" s="784">
        <v>13</v>
      </c>
      <c r="O3922" s="784">
        <v>3.23</v>
      </c>
      <c r="P3922" s="783">
        <v>379</v>
      </c>
      <c r="Q3922" s="783">
        <v>965.99</v>
      </c>
      <c r="R3922" s="783">
        <v>522.4</v>
      </c>
      <c r="S3922" s="783">
        <v>201.7</v>
      </c>
      <c r="T3922" s="783">
        <v>241.9</v>
      </c>
      <c r="U3922" s="785">
        <v>44715.408171296302</v>
      </c>
    </row>
    <row r="3923" spans="1:21">
      <c r="A3923" s="782">
        <v>44637</v>
      </c>
      <c r="B3923" s="783" t="s">
        <v>113</v>
      </c>
      <c r="C3923" s="783" t="s">
        <v>4606</v>
      </c>
      <c r="D3923" s="783" t="s">
        <v>4009</v>
      </c>
      <c r="E3923" s="783" t="s">
        <v>6780</v>
      </c>
      <c r="F3923" s="783" t="s">
        <v>4011</v>
      </c>
      <c r="G3923" s="783" t="s">
        <v>4028</v>
      </c>
      <c r="H3923" s="783" t="s">
        <v>6781</v>
      </c>
      <c r="I3923" s="783" t="s">
        <v>6782</v>
      </c>
      <c r="J3923" s="783">
        <v>30</v>
      </c>
      <c r="K3923" s="783" t="s">
        <v>814</v>
      </c>
      <c r="L3923" s="783" t="s">
        <v>4014</v>
      </c>
      <c r="M3923" s="784">
        <v>13469.61</v>
      </c>
      <c r="N3923" s="784">
        <v>10.78</v>
      </c>
      <c r="O3923" s="784">
        <v>3.57</v>
      </c>
      <c r="P3923" s="783">
        <v>350</v>
      </c>
      <c r="Q3923" s="783">
        <v>730.05</v>
      </c>
      <c r="R3923" s="783">
        <v>478.79</v>
      </c>
      <c r="S3923" s="783">
        <v>46.53</v>
      </c>
      <c r="T3923" s="783">
        <v>204.74</v>
      </c>
      <c r="U3923" s="785">
        <v>44638.393032407403</v>
      </c>
    </row>
    <row r="3924" spans="1:21">
      <c r="A3924" s="782">
        <v>44672</v>
      </c>
      <c r="B3924" s="783" t="s">
        <v>74</v>
      </c>
      <c r="C3924" s="783" t="s">
        <v>4097</v>
      </c>
      <c r="D3924" s="783" t="s">
        <v>4038</v>
      </c>
      <c r="E3924" s="783" t="s">
        <v>4408</v>
      </c>
      <c r="F3924" s="783" t="s">
        <v>4011</v>
      </c>
      <c r="G3924" s="783" t="str">
        <f t="shared" ref="G3924:G3930" si="208">VLOOKUP(I3924,pacage,2,FALSE)</f>
        <v>Renewal (20% in 2020)</v>
      </c>
      <c r="H3924" s="783" t="s">
        <v>4409</v>
      </c>
      <c r="I3924" s="783" t="s">
        <v>4410</v>
      </c>
      <c r="J3924" s="783">
        <v>20</v>
      </c>
      <c r="K3924" s="783" t="s">
        <v>814</v>
      </c>
      <c r="L3924" s="783" t="s">
        <v>4014</v>
      </c>
      <c r="M3924" s="784">
        <v>34129.800000000003</v>
      </c>
      <c r="N3924" s="784">
        <v>33.5</v>
      </c>
      <c r="O3924" s="784">
        <v>2.83</v>
      </c>
      <c r="P3924" s="783">
        <v>360</v>
      </c>
      <c r="Q3924" s="783">
        <v>1894.2</v>
      </c>
      <c r="R3924" s="783">
        <v>889.14</v>
      </c>
      <c r="S3924" s="783">
        <v>278.10000000000002</v>
      </c>
      <c r="T3924" s="783">
        <v>726.96</v>
      </c>
      <c r="U3924" s="785">
        <v>44673.376631944397</v>
      </c>
    </row>
    <row r="3925" spans="1:21">
      <c r="A3925" s="782">
        <v>44652</v>
      </c>
      <c r="B3925" s="783" t="s">
        <v>2866</v>
      </c>
      <c r="C3925" s="783" t="s">
        <v>4008</v>
      </c>
      <c r="D3925" s="783" t="s">
        <v>4009</v>
      </c>
      <c r="E3925" s="783" t="s">
        <v>5964</v>
      </c>
      <c r="F3925" s="783" t="s">
        <v>4011</v>
      </c>
      <c r="G3925" s="783" t="str">
        <f t="shared" si="208"/>
        <v>Renewal (25% in 2020)</v>
      </c>
      <c r="H3925" s="783" t="s">
        <v>5965</v>
      </c>
      <c r="I3925" s="783" t="s">
        <v>5966</v>
      </c>
      <c r="J3925" s="783">
        <v>25</v>
      </c>
      <c r="K3925" s="783" t="s">
        <v>814</v>
      </c>
      <c r="L3925" s="783" t="s">
        <v>4014</v>
      </c>
      <c r="M3925" s="784">
        <v>4125.49</v>
      </c>
      <c r="N3925" s="784">
        <v>5.67</v>
      </c>
      <c r="O3925" s="784">
        <v>2.14</v>
      </c>
      <c r="P3925" s="783">
        <v>340</v>
      </c>
      <c r="Q3925" s="783">
        <v>155.94</v>
      </c>
      <c r="R3925" s="783">
        <v>98.7</v>
      </c>
      <c r="S3925" s="783">
        <v>23.82</v>
      </c>
      <c r="T3925" s="783">
        <v>33.42</v>
      </c>
      <c r="U3925" s="785">
        <v>44655.503194444398</v>
      </c>
    </row>
    <row r="3926" spans="1:21">
      <c r="A3926" s="782">
        <v>44654</v>
      </c>
      <c r="B3926" s="783" t="s">
        <v>113</v>
      </c>
      <c r="C3926" s="783" t="s">
        <v>4598</v>
      </c>
      <c r="D3926" s="783" t="s">
        <v>4009</v>
      </c>
      <c r="E3926" s="783" t="s">
        <v>3026</v>
      </c>
      <c r="F3926" s="783" t="s">
        <v>4011</v>
      </c>
      <c r="G3926" s="783" t="str">
        <f t="shared" si="208"/>
        <v>Renewal (20% in 2020)</v>
      </c>
      <c r="H3926" s="783" t="s">
        <v>5972</v>
      </c>
      <c r="I3926" s="783" t="s">
        <v>5973</v>
      </c>
      <c r="J3926" s="783">
        <v>25</v>
      </c>
      <c r="K3926" s="783" t="s">
        <v>814</v>
      </c>
      <c r="L3926" s="783" t="s">
        <v>4014</v>
      </c>
      <c r="M3926" s="784">
        <v>2184</v>
      </c>
      <c r="N3926" s="784">
        <v>2</v>
      </c>
      <c r="O3926" s="784">
        <v>2.73</v>
      </c>
      <c r="P3926" s="783">
        <v>400</v>
      </c>
      <c r="Q3926" s="783">
        <v>106.14</v>
      </c>
      <c r="R3926" s="783">
        <v>50.51</v>
      </c>
      <c r="S3926" s="783">
        <v>33.14</v>
      </c>
      <c r="T3926" s="783">
        <v>22.5</v>
      </c>
      <c r="U3926" s="785">
        <v>44655.504120370402</v>
      </c>
    </row>
    <row r="3927" spans="1:21">
      <c r="A3927" s="782">
        <v>44686</v>
      </c>
      <c r="B3927" s="783" t="s">
        <v>51</v>
      </c>
      <c r="C3927" s="783" t="s">
        <v>4015</v>
      </c>
      <c r="D3927" s="783" t="s">
        <v>4016</v>
      </c>
      <c r="E3927" s="783" t="s">
        <v>2227</v>
      </c>
      <c r="F3927" s="783" t="s">
        <v>4011</v>
      </c>
      <c r="G3927" s="783" t="str">
        <f t="shared" si="208"/>
        <v>Renewal (20% in 2020)</v>
      </c>
      <c r="H3927" s="783" t="s">
        <v>4069</v>
      </c>
      <c r="I3927" s="783" t="s">
        <v>4070</v>
      </c>
      <c r="J3927" s="783">
        <v>20</v>
      </c>
      <c r="K3927" s="783" t="s">
        <v>814</v>
      </c>
      <c r="L3927" s="783" t="s">
        <v>4014</v>
      </c>
      <c r="M3927" s="784">
        <v>3670.1</v>
      </c>
      <c r="N3927" s="784">
        <v>6.5</v>
      </c>
      <c r="O3927" s="784">
        <v>1.77</v>
      </c>
      <c r="P3927" s="783">
        <v>319</v>
      </c>
      <c r="Q3927" s="783">
        <v>307.55</v>
      </c>
      <c r="R3927" s="783">
        <v>168.46</v>
      </c>
      <c r="S3927" s="783">
        <v>28.63</v>
      </c>
      <c r="T3927" s="783">
        <v>110.47</v>
      </c>
      <c r="U3927" s="785">
        <v>44687.664907407401</v>
      </c>
    </row>
    <row r="3928" spans="1:21">
      <c r="A3928" s="782">
        <v>44657</v>
      </c>
      <c r="B3928" s="783" t="s">
        <v>74</v>
      </c>
      <c r="C3928" s="783" t="s">
        <v>4097</v>
      </c>
      <c r="D3928" s="783" t="s">
        <v>4038</v>
      </c>
      <c r="E3928" s="783" t="s">
        <v>5989</v>
      </c>
      <c r="F3928" s="783" t="s">
        <v>4011</v>
      </c>
      <c r="G3928" s="783" t="str">
        <f t="shared" si="208"/>
        <v>Renewal (15% in 2020)</v>
      </c>
      <c r="H3928" s="783" t="s">
        <v>5990</v>
      </c>
      <c r="I3928" s="783" t="s">
        <v>5991</v>
      </c>
      <c r="J3928" s="783">
        <v>15</v>
      </c>
      <c r="K3928" s="783" t="s">
        <v>814</v>
      </c>
      <c r="L3928" s="783" t="s">
        <v>4014</v>
      </c>
      <c r="M3928" s="784">
        <v>18001.8</v>
      </c>
      <c r="N3928" s="784">
        <v>21.42</v>
      </c>
      <c r="O3928" s="784">
        <v>2.0299999999999998</v>
      </c>
      <c r="P3928" s="783">
        <v>414</v>
      </c>
      <c r="Q3928" s="783">
        <v>1301.53</v>
      </c>
      <c r="R3928" s="783">
        <v>407.81</v>
      </c>
      <c r="S3928" s="783">
        <v>207.86</v>
      </c>
      <c r="T3928" s="783">
        <v>685.87</v>
      </c>
      <c r="U3928" s="785">
        <v>44657.624374999999</v>
      </c>
    </row>
    <row r="3929" spans="1:21">
      <c r="A3929" s="782">
        <v>44654</v>
      </c>
      <c r="B3929" s="783" t="s">
        <v>113</v>
      </c>
      <c r="C3929" s="783" t="s">
        <v>4606</v>
      </c>
      <c r="D3929" s="783" t="s">
        <v>4009</v>
      </c>
      <c r="E3929" s="783" t="s">
        <v>5992</v>
      </c>
      <c r="F3929" s="783" t="s">
        <v>4011</v>
      </c>
      <c r="G3929" s="783" t="str">
        <f t="shared" si="208"/>
        <v>Renewal (25% in 2020)</v>
      </c>
      <c r="H3929" s="783" t="s">
        <v>5993</v>
      </c>
      <c r="I3929" s="783" t="s">
        <v>5994</v>
      </c>
      <c r="J3929" s="783">
        <v>25</v>
      </c>
      <c r="K3929" s="783" t="s">
        <v>814</v>
      </c>
      <c r="L3929" s="783" t="s">
        <v>4014</v>
      </c>
      <c r="M3929" s="784">
        <v>12890.8</v>
      </c>
      <c r="N3929" s="784">
        <v>9.64</v>
      </c>
      <c r="O3929" s="784">
        <v>3.23</v>
      </c>
      <c r="P3929" s="783">
        <v>414</v>
      </c>
      <c r="Q3929" s="783">
        <v>782.47</v>
      </c>
      <c r="R3929" s="783">
        <v>387.38</v>
      </c>
      <c r="S3929" s="783">
        <v>199.15</v>
      </c>
      <c r="T3929" s="783">
        <v>195.94</v>
      </c>
      <c r="U3929" s="785">
        <v>44655.502337963</v>
      </c>
    </row>
    <row r="3930" spans="1:21">
      <c r="A3930" s="782">
        <v>44566</v>
      </c>
      <c r="B3930" s="783" t="s">
        <v>113</v>
      </c>
      <c r="C3930" s="783" t="s">
        <v>4606</v>
      </c>
      <c r="D3930" s="783" t="s">
        <v>4009</v>
      </c>
      <c r="E3930" s="783" t="s">
        <v>6009</v>
      </c>
      <c r="F3930" s="783" t="s">
        <v>4011</v>
      </c>
      <c r="G3930" s="783" t="str">
        <f t="shared" si="208"/>
        <v>Renewal (20% in 2020)</v>
      </c>
      <c r="H3930" s="783" t="s">
        <v>6010</v>
      </c>
      <c r="I3930" s="783" t="s">
        <v>6011</v>
      </c>
      <c r="J3930" s="783">
        <v>25</v>
      </c>
      <c r="K3930" s="783" t="s">
        <v>814</v>
      </c>
      <c r="L3930" s="783" t="s">
        <v>4014</v>
      </c>
      <c r="M3930" s="784">
        <v>8789.09</v>
      </c>
      <c r="N3930" s="784">
        <v>8.1999999999999993</v>
      </c>
      <c r="O3930" s="784">
        <v>3.36</v>
      </c>
      <c r="P3930" s="783">
        <v>319</v>
      </c>
      <c r="Q3930" s="783">
        <v>533.5</v>
      </c>
      <c r="R3930" s="783">
        <v>342.77</v>
      </c>
      <c r="S3930" s="783">
        <v>57.13</v>
      </c>
      <c r="T3930" s="783">
        <v>133.59</v>
      </c>
      <c r="U3930" s="785">
        <v>44631.635416666701</v>
      </c>
    </row>
    <row r="3931" spans="1:21">
      <c r="A3931" s="782">
        <v>44561</v>
      </c>
      <c r="B3931" s="783" t="s">
        <v>4025</v>
      </c>
      <c r="C3931" s="783" t="s">
        <v>4239</v>
      </c>
      <c r="D3931" s="783" t="s">
        <v>4021</v>
      </c>
      <c r="E3931" s="783" t="s">
        <v>6018</v>
      </c>
      <c r="F3931" s="783" t="s">
        <v>4011</v>
      </c>
      <c r="G3931" s="783" t="s">
        <v>4028</v>
      </c>
      <c r="H3931" s="783" t="s">
        <v>6019</v>
      </c>
      <c r="I3931" s="783" t="s">
        <v>6020</v>
      </c>
      <c r="J3931" s="783">
        <v>25</v>
      </c>
      <c r="K3931" s="783" t="s">
        <v>814</v>
      </c>
      <c r="L3931" s="783" t="s">
        <v>4014</v>
      </c>
      <c r="M3931" s="784">
        <v>27820.799999999999</v>
      </c>
      <c r="N3931" s="784">
        <v>28</v>
      </c>
      <c r="O3931" s="784">
        <v>2.4</v>
      </c>
      <c r="P3931" s="783">
        <v>414</v>
      </c>
      <c r="Q3931" s="783">
        <v>1304.8</v>
      </c>
      <c r="R3931" s="783">
        <v>651.67999999999995</v>
      </c>
      <c r="S3931" s="783">
        <v>424.99</v>
      </c>
      <c r="T3931" s="783">
        <v>228.13</v>
      </c>
      <c r="U3931" s="785">
        <v>44631.632118055597</v>
      </c>
    </row>
    <row r="3932" spans="1:21">
      <c r="A3932" s="782">
        <v>44561</v>
      </c>
      <c r="B3932" s="783" t="s">
        <v>74</v>
      </c>
      <c r="C3932" s="783" t="s">
        <v>4097</v>
      </c>
      <c r="D3932" s="783" t="s">
        <v>4038</v>
      </c>
      <c r="E3932" s="783" t="s">
        <v>4432</v>
      </c>
      <c r="F3932" s="783" t="s">
        <v>4011</v>
      </c>
      <c r="G3932" s="783" t="s">
        <v>4028</v>
      </c>
      <c r="H3932" s="783" t="s">
        <v>4433</v>
      </c>
      <c r="I3932" s="783" t="s">
        <v>4434</v>
      </c>
      <c r="J3932" s="783">
        <v>20</v>
      </c>
      <c r="K3932" s="783" t="s">
        <v>814</v>
      </c>
      <c r="L3932" s="783" t="s">
        <v>4014</v>
      </c>
      <c r="M3932" s="784">
        <v>7749</v>
      </c>
      <c r="N3932" s="784">
        <v>7.38</v>
      </c>
      <c r="O3932" s="784">
        <v>3</v>
      </c>
      <c r="P3932" s="783">
        <v>350</v>
      </c>
      <c r="Q3932" s="783">
        <v>430.07</v>
      </c>
      <c r="R3932" s="783">
        <v>207.64</v>
      </c>
      <c r="S3932" s="783">
        <v>57.37</v>
      </c>
      <c r="T3932" s="783">
        <v>165.05</v>
      </c>
      <c r="U3932" s="785">
        <v>44631.632303240702</v>
      </c>
    </row>
    <row r="3933" spans="1:21">
      <c r="A3933" s="782">
        <v>44561</v>
      </c>
      <c r="B3933" s="783" t="s">
        <v>4025</v>
      </c>
      <c r="C3933" s="783" t="s">
        <v>4239</v>
      </c>
      <c r="D3933" s="783" t="s">
        <v>4021</v>
      </c>
      <c r="E3933" s="783" t="s">
        <v>6050</v>
      </c>
      <c r="F3933" s="783" t="s">
        <v>4011</v>
      </c>
      <c r="G3933" s="783" t="s">
        <v>4028</v>
      </c>
      <c r="H3933" s="783" t="s">
        <v>6051</v>
      </c>
      <c r="I3933" s="783" t="s">
        <v>6052</v>
      </c>
      <c r="J3933" s="783">
        <v>25</v>
      </c>
      <c r="K3933" s="783" t="s">
        <v>814</v>
      </c>
      <c r="L3933" s="783" t="s">
        <v>4014</v>
      </c>
      <c r="M3933" s="784">
        <v>19872</v>
      </c>
      <c r="N3933" s="784">
        <v>20</v>
      </c>
      <c r="O3933" s="784">
        <v>2.4</v>
      </c>
      <c r="P3933" s="783">
        <v>414</v>
      </c>
      <c r="Q3933" s="783">
        <v>932</v>
      </c>
      <c r="R3933" s="783">
        <v>465.48</v>
      </c>
      <c r="S3933" s="783">
        <v>303.56</v>
      </c>
      <c r="T3933" s="783">
        <v>162.94999999999999</v>
      </c>
      <c r="U3933" s="785">
        <v>44631.635682870401</v>
      </c>
    </row>
    <row r="3934" spans="1:21">
      <c r="A3934" s="782">
        <v>44424</v>
      </c>
      <c r="B3934" s="783" t="s">
        <v>30</v>
      </c>
      <c r="C3934" s="783" t="s">
        <v>4239</v>
      </c>
      <c r="D3934" s="783" t="s">
        <v>4021</v>
      </c>
      <c r="E3934" s="783" t="s">
        <v>2574</v>
      </c>
      <c r="F3934" s="783" t="s">
        <v>4011</v>
      </c>
      <c r="G3934" s="783" t="str">
        <f>VLOOKUP(I3934,pacage,2,FALSE)</f>
        <v>Renewal (20% in 2020)</v>
      </c>
      <c r="H3934" s="783" t="s">
        <v>6070</v>
      </c>
      <c r="I3934" s="783" t="s">
        <v>6071</v>
      </c>
      <c r="J3934" s="783">
        <v>20</v>
      </c>
      <c r="K3934" s="783" t="s">
        <v>814</v>
      </c>
      <c r="L3934" s="783" t="s">
        <v>4014</v>
      </c>
      <c r="M3934" s="784">
        <v>5880</v>
      </c>
      <c r="N3934" s="784">
        <v>7</v>
      </c>
      <c r="O3934" s="784">
        <v>2.4</v>
      </c>
      <c r="P3934" s="783">
        <v>350</v>
      </c>
      <c r="Q3934" s="783">
        <v>350.45</v>
      </c>
      <c r="R3934" s="783">
        <v>162.91999999999999</v>
      </c>
      <c r="S3934" s="783">
        <v>64.64</v>
      </c>
      <c r="T3934" s="783">
        <v>122.89</v>
      </c>
      <c r="U3934" s="785">
        <v>44631.633009259298</v>
      </c>
    </row>
    <row r="3935" spans="1:21">
      <c r="A3935" s="782">
        <v>44525</v>
      </c>
      <c r="B3935" s="783" t="s">
        <v>113</v>
      </c>
      <c r="C3935" s="783" t="s">
        <v>4606</v>
      </c>
      <c r="D3935" s="783" t="s">
        <v>4009</v>
      </c>
      <c r="E3935" s="783" t="s">
        <v>7038</v>
      </c>
      <c r="F3935" s="783" t="s">
        <v>4011</v>
      </c>
      <c r="G3935" s="783" t="str">
        <f>VLOOKUP(I3935,pacage,2,FALSE)</f>
        <v>Renewal (20% in 2020)</v>
      </c>
      <c r="H3935" s="783" t="s">
        <v>7039</v>
      </c>
      <c r="I3935" s="783" t="s">
        <v>7040</v>
      </c>
      <c r="J3935" s="783">
        <v>25</v>
      </c>
      <c r="K3935" s="783" t="s">
        <v>814</v>
      </c>
      <c r="L3935" s="783" t="s">
        <v>4014</v>
      </c>
      <c r="M3935" s="784">
        <v>28373.45</v>
      </c>
      <c r="N3935" s="784">
        <v>25.9</v>
      </c>
      <c r="O3935" s="784">
        <v>3.13</v>
      </c>
      <c r="P3935" s="783">
        <v>350</v>
      </c>
      <c r="Q3935" s="783">
        <v>1722.27</v>
      </c>
      <c r="R3935" s="783">
        <v>1008.55</v>
      </c>
      <c r="S3935" s="783">
        <v>282.44</v>
      </c>
      <c r="T3935" s="783">
        <v>431.28</v>
      </c>
      <c r="U3935" s="785">
        <v>44631.633055555598</v>
      </c>
    </row>
    <row r="3936" spans="1:21">
      <c r="A3936" s="782">
        <v>44532</v>
      </c>
      <c r="B3936" s="783" t="s">
        <v>74</v>
      </c>
      <c r="C3936" s="783" t="s">
        <v>4037</v>
      </c>
      <c r="D3936" s="783" t="s">
        <v>4038</v>
      </c>
      <c r="E3936" s="783" t="s">
        <v>4440</v>
      </c>
      <c r="F3936" s="783" t="s">
        <v>4011</v>
      </c>
      <c r="G3936" s="783" t="str">
        <f>VLOOKUP(I3936,pacage,2,FALSE)</f>
        <v>Renewal (15% in 2020)</v>
      </c>
      <c r="H3936" s="783" t="s">
        <v>4441</v>
      </c>
      <c r="I3936" s="783" t="s">
        <v>4442</v>
      </c>
      <c r="J3936" s="783">
        <v>20</v>
      </c>
      <c r="K3936" s="783" t="s">
        <v>814</v>
      </c>
      <c r="L3936" s="783" t="s">
        <v>4014</v>
      </c>
      <c r="M3936" s="784">
        <v>15384.6</v>
      </c>
      <c r="N3936" s="784">
        <v>12.95</v>
      </c>
      <c r="O3936" s="784">
        <v>2.97</v>
      </c>
      <c r="P3936" s="783">
        <v>400</v>
      </c>
      <c r="Q3936" s="783">
        <v>1444.61</v>
      </c>
      <c r="R3936" s="783">
        <v>582.79</v>
      </c>
      <c r="S3936" s="783">
        <v>269.52</v>
      </c>
      <c r="T3936" s="783">
        <v>592.30999999999995</v>
      </c>
      <c r="U3936" s="785">
        <v>44631.632893518501</v>
      </c>
    </row>
    <row r="3937" spans="1:21">
      <c r="A3937" s="782">
        <v>44528</v>
      </c>
      <c r="B3937" s="783" t="s">
        <v>74</v>
      </c>
      <c r="C3937" s="783" t="s">
        <v>4097</v>
      </c>
      <c r="D3937" s="783" t="s">
        <v>4038</v>
      </c>
      <c r="E3937" s="783" t="s">
        <v>4443</v>
      </c>
      <c r="F3937" s="783" t="s">
        <v>4011</v>
      </c>
      <c r="G3937" s="783" t="str">
        <f>VLOOKUP(I3937,pacage,2,FALSE)</f>
        <v>Renewal (15% in 2020)</v>
      </c>
      <c r="H3937" s="783" t="s">
        <v>4444</v>
      </c>
      <c r="I3937" s="783" t="s">
        <v>4445</v>
      </c>
      <c r="J3937" s="783">
        <v>20</v>
      </c>
      <c r="K3937" s="783" t="s">
        <v>814</v>
      </c>
      <c r="L3937" s="783" t="s">
        <v>4014</v>
      </c>
      <c r="M3937" s="784">
        <v>28010.560000000001</v>
      </c>
      <c r="N3937" s="784">
        <v>21.68</v>
      </c>
      <c r="O3937" s="784">
        <v>3.23</v>
      </c>
      <c r="P3937" s="783">
        <v>400</v>
      </c>
      <c r="Q3937" s="783">
        <v>1554.59</v>
      </c>
      <c r="R3937" s="783">
        <v>656.75</v>
      </c>
      <c r="S3937" s="783">
        <v>301.20999999999998</v>
      </c>
      <c r="T3937" s="783">
        <v>596.62</v>
      </c>
      <c r="U3937" s="785">
        <v>44631.6329513889</v>
      </c>
    </row>
    <row r="3938" spans="1:21">
      <c r="A3938" s="782">
        <v>44539</v>
      </c>
      <c r="B3938" s="783" t="s">
        <v>74</v>
      </c>
      <c r="C3938" s="783" t="s">
        <v>4097</v>
      </c>
      <c r="D3938" s="783" t="s">
        <v>4038</v>
      </c>
      <c r="E3938" s="783" t="s">
        <v>4705</v>
      </c>
      <c r="F3938" s="783" t="s">
        <v>4066</v>
      </c>
      <c r="G3938" s="783" t="s">
        <v>4028</v>
      </c>
      <c r="H3938" s="783" t="s">
        <v>4706</v>
      </c>
      <c r="I3938" s="783" t="s">
        <v>4707</v>
      </c>
      <c r="J3938" s="783">
        <v>10</v>
      </c>
      <c r="K3938" s="783" t="s">
        <v>814</v>
      </c>
      <c r="L3938" s="783" t="s">
        <v>4014</v>
      </c>
      <c r="M3938" s="784">
        <v>16785</v>
      </c>
      <c r="N3938" s="784">
        <v>11.19</v>
      </c>
      <c r="O3938" s="784">
        <v>3</v>
      </c>
      <c r="P3938" s="783">
        <v>500</v>
      </c>
      <c r="Q3938" s="783">
        <v>297.08999999999997</v>
      </c>
      <c r="R3938" s="783">
        <v>0</v>
      </c>
      <c r="S3938" s="783">
        <v>0</v>
      </c>
      <c r="T3938" s="783">
        <v>297.08999999999997</v>
      </c>
      <c r="U3938" s="785">
        <v>44631.632731481499</v>
      </c>
    </row>
    <row r="3939" spans="1:21">
      <c r="A3939" s="782">
        <v>44531</v>
      </c>
      <c r="B3939" s="783" t="s">
        <v>113</v>
      </c>
      <c r="C3939" s="783" t="s">
        <v>4097</v>
      </c>
      <c r="D3939" s="783" t="s">
        <v>4038</v>
      </c>
      <c r="E3939" s="783" t="s">
        <v>221</v>
      </c>
      <c r="F3939" s="783" t="s">
        <v>4011</v>
      </c>
      <c r="G3939" s="783" t="str">
        <f t="shared" ref="G3939:G3946" si="209">VLOOKUP(I3939,pacage,2,FALSE)</f>
        <v>Renewal (20% in 2020)</v>
      </c>
      <c r="H3939" s="783" t="s">
        <v>6137</v>
      </c>
      <c r="I3939" s="783" t="s">
        <v>6138</v>
      </c>
      <c r="J3939" s="783">
        <v>20</v>
      </c>
      <c r="K3939" s="783" t="s">
        <v>814</v>
      </c>
      <c r="L3939" s="783" t="s">
        <v>4014</v>
      </c>
      <c r="M3939" s="784">
        <v>17429.400000000001</v>
      </c>
      <c r="N3939" s="784">
        <v>12.63</v>
      </c>
      <c r="O3939" s="784">
        <v>3.45</v>
      </c>
      <c r="P3939" s="783">
        <v>400</v>
      </c>
      <c r="Q3939" s="783">
        <v>967.33</v>
      </c>
      <c r="R3939" s="783">
        <v>408.66</v>
      </c>
      <c r="S3939" s="783">
        <v>187.43</v>
      </c>
      <c r="T3939" s="783">
        <v>371.25</v>
      </c>
      <c r="U3939" s="785">
        <v>44631.635578703703</v>
      </c>
    </row>
    <row r="3940" spans="1:21">
      <c r="A3940" s="782">
        <v>44442</v>
      </c>
      <c r="B3940" s="783" t="s">
        <v>113</v>
      </c>
      <c r="C3940" s="783" t="s">
        <v>4606</v>
      </c>
      <c r="D3940" s="783" t="s">
        <v>4009</v>
      </c>
      <c r="E3940" s="783" t="s">
        <v>3562</v>
      </c>
      <c r="F3940" s="783" t="s">
        <v>4011</v>
      </c>
      <c r="G3940" s="783" t="str">
        <f t="shared" si="209"/>
        <v>Renewal (25% in 2020)</v>
      </c>
      <c r="H3940" s="783" t="s">
        <v>7121</v>
      </c>
      <c r="I3940" s="783" t="s">
        <v>7122</v>
      </c>
      <c r="J3940" s="783">
        <v>25</v>
      </c>
      <c r="K3940" s="783" t="s">
        <v>814</v>
      </c>
      <c r="L3940" s="783" t="s">
        <v>4014</v>
      </c>
      <c r="M3940" s="784">
        <v>12034.43</v>
      </c>
      <c r="N3940" s="784">
        <v>9.85</v>
      </c>
      <c r="O3940" s="784">
        <v>3.83</v>
      </c>
      <c r="P3940" s="783">
        <v>319</v>
      </c>
      <c r="Q3940" s="783">
        <v>730.49</v>
      </c>
      <c r="R3940" s="783">
        <v>469.34</v>
      </c>
      <c r="S3940" s="783">
        <v>78.22</v>
      </c>
      <c r="T3940" s="783">
        <v>182.92</v>
      </c>
      <c r="U3940" s="785">
        <v>44631.632997685199</v>
      </c>
    </row>
    <row r="3941" spans="1:21">
      <c r="A3941" s="782">
        <v>44607</v>
      </c>
      <c r="B3941" s="783" t="s">
        <v>74</v>
      </c>
      <c r="C3941" s="783" t="s">
        <v>4037</v>
      </c>
      <c r="D3941" s="783" t="s">
        <v>4038</v>
      </c>
      <c r="E3941" s="783" t="s">
        <v>6173</v>
      </c>
      <c r="F3941" s="783" t="s">
        <v>4011</v>
      </c>
      <c r="G3941" s="783" t="str">
        <f t="shared" si="209"/>
        <v>Renewal (25% in 2020)</v>
      </c>
      <c r="H3941" s="783" t="s">
        <v>6174</v>
      </c>
      <c r="I3941" s="783" t="s">
        <v>6175</v>
      </c>
      <c r="J3941" s="783">
        <v>25</v>
      </c>
      <c r="K3941" s="783" t="s">
        <v>814</v>
      </c>
      <c r="L3941" s="783" t="s">
        <v>4014</v>
      </c>
      <c r="M3941" s="784">
        <v>13163.08</v>
      </c>
      <c r="N3941" s="784">
        <v>8.8699999999999992</v>
      </c>
      <c r="O3941" s="784">
        <v>3.71</v>
      </c>
      <c r="P3941" s="783">
        <v>400</v>
      </c>
      <c r="Q3941" s="783">
        <v>995.13</v>
      </c>
      <c r="R3941" s="783">
        <v>498.63</v>
      </c>
      <c r="S3941" s="783">
        <v>230.6</v>
      </c>
      <c r="T3941" s="783">
        <v>265.89</v>
      </c>
      <c r="U3941" s="785">
        <v>44631.6332638889</v>
      </c>
    </row>
    <row r="3942" spans="1:21">
      <c r="A3942" s="782">
        <v>44455</v>
      </c>
      <c r="B3942" s="783" t="s">
        <v>41</v>
      </c>
      <c r="C3942" s="783" t="s">
        <v>4071</v>
      </c>
      <c r="D3942" s="783" t="s">
        <v>4009</v>
      </c>
      <c r="E3942" s="783" t="s">
        <v>366</v>
      </c>
      <c r="F3942" s="783" t="s">
        <v>4011</v>
      </c>
      <c r="G3942" s="783" t="str">
        <f t="shared" si="209"/>
        <v>Renewal (15% in 2020)</v>
      </c>
      <c r="H3942" s="783" t="s">
        <v>6186</v>
      </c>
      <c r="I3942" s="783" t="s">
        <v>6187</v>
      </c>
      <c r="J3942" s="783">
        <v>15</v>
      </c>
      <c r="K3942" s="783" t="s">
        <v>814</v>
      </c>
      <c r="L3942" s="783" t="s">
        <v>4014</v>
      </c>
      <c r="M3942" s="784">
        <v>18482.099999999999</v>
      </c>
      <c r="N3942" s="784">
        <v>13.54</v>
      </c>
      <c r="O3942" s="784">
        <v>3.9</v>
      </c>
      <c r="P3942" s="783">
        <v>350</v>
      </c>
      <c r="Q3942" s="783">
        <v>1800.16</v>
      </c>
      <c r="R3942" s="783">
        <v>720.97</v>
      </c>
      <c r="S3942" s="783">
        <v>199.44</v>
      </c>
      <c r="T3942" s="783">
        <v>879.75</v>
      </c>
      <c r="U3942" s="785">
        <v>44631.636377314797</v>
      </c>
    </row>
    <row r="3943" spans="1:21">
      <c r="A3943" s="782">
        <v>44552</v>
      </c>
      <c r="B3943" s="783" t="s">
        <v>74</v>
      </c>
      <c r="C3943" s="783" t="s">
        <v>4097</v>
      </c>
      <c r="D3943" s="783" t="s">
        <v>4038</v>
      </c>
      <c r="E3943" s="783" t="s">
        <v>4726</v>
      </c>
      <c r="F3943" s="783" t="s">
        <v>4011</v>
      </c>
      <c r="G3943" s="783" t="str">
        <f t="shared" si="209"/>
        <v>Renewal (15% in 2020)</v>
      </c>
      <c r="H3943" s="783" t="s">
        <v>4727</v>
      </c>
      <c r="I3943" s="783" t="s">
        <v>4728</v>
      </c>
      <c r="J3943" s="783">
        <v>15</v>
      </c>
      <c r="K3943" s="783" t="s">
        <v>814</v>
      </c>
      <c r="L3943" s="783" t="s">
        <v>4014</v>
      </c>
      <c r="M3943" s="784">
        <v>20387.5</v>
      </c>
      <c r="N3943" s="784">
        <v>25</v>
      </c>
      <c r="O3943" s="784">
        <v>2.33</v>
      </c>
      <c r="P3943" s="783">
        <v>350</v>
      </c>
      <c r="Q3943" s="783">
        <v>1474.02</v>
      </c>
      <c r="R3943" s="783">
        <v>546.29999999999995</v>
      </c>
      <c r="S3943" s="783">
        <v>150.94999999999999</v>
      </c>
      <c r="T3943" s="783">
        <v>776.76</v>
      </c>
      <c r="U3943" s="785">
        <v>44631.637210648201</v>
      </c>
    </row>
    <row r="3944" spans="1:21">
      <c r="A3944" s="782">
        <v>44553</v>
      </c>
      <c r="B3944" s="783" t="s">
        <v>177</v>
      </c>
      <c r="C3944" s="783" t="s">
        <v>4274</v>
      </c>
      <c r="D3944" s="783" t="s">
        <v>4038</v>
      </c>
      <c r="E3944" s="783" t="s">
        <v>6204</v>
      </c>
      <c r="F3944" s="783" t="s">
        <v>4011</v>
      </c>
      <c r="G3944" s="783" t="str">
        <f t="shared" si="209"/>
        <v>Renewal (25% in 2020)</v>
      </c>
      <c r="H3944" s="783" t="s">
        <v>6205</v>
      </c>
      <c r="I3944" s="783" t="s">
        <v>6206</v>
      </c>
      <c r="J3944" s="783">
        <v>25</v>
      </c>
      <c r="K3944" s="783" t="s">
        <v>814</v>
      </c>
      <c r="L3944" s="783" t="s">
        <v>4014</v>
      </c>
      <c r="M3944" s="784">
        <v>12143.95</v>
      </c>
      <c r="N3944" s="784">
        <v>20.41</v>
      </c>
      <c r="O3944" s="784">
        <v>1.7</v>
      </c>
      <c r="P3944" s="783">
        <v>350</v>
      </c>
      <c r="Q3944" s="783">
        <v>918.08</v>
      </c>
      <c r="R3944" s="783">
        <v>477.05</v>
      </c>
      <c r="S3944" s="783">
        <v>228.52</v>
      </c>
      <c r="T3944" s="783">
        <v>212.52</v>
      </c>
      <c r="U3944" s="785">
        <v>44701.675810185203</v>
      </c>
    </row>
    <row r="3945" spans="1:21">
      <c r="A3945" s="782">
        <v>44558</v>
      </c>
      <c r="B3945" s="783" t="s">
        <v>74</v>
      </c>
      <c r="C3945" s="783" t="s">
        <v>4037</v>
      </c>
      <c r="D3945" s="783" t="s">
        <v>4038</v>
      </c>
      <c r="E3945" s="783" t="s">
        <v>4452</v>
      </c>
      <c r="F3945" s="783" t="s">
        <v>4011</v>
      </c>
      <c r="G3945" s="783" t="str">
        <f t="shared" si="209"/>
        <v>Renewal (20% in 2020)</v>
      </c>
      <c r="H3945" s="783" t="s">
        <v>4453</v>
      </c>
      <c r="I3945" s="783" t="s">
        <v>4454</v>
      </c>
      <c r="J3945" s="783">
        <v>25</v>
      </c>
      <c r="K3945" s="783" t="s">
        <v>814</v>
      </c>
      <c r="L3945" s="783" t="s">
        <v>4014</v>
      </c>
      <c r="M3945" s="784">
        <v>4000.56</v>
      </c>
      <c r="N3945" s="784">
        <v>4.22</v>
      </c>
      <c r="O3945" s="784">
        <v>2.37</v>
      </c>
      <c r="P3945" s="783">
        <v>400</v>
      </c>
      <c r="Q3945" s="783">
        <v>302.44</v>
      </c>
      <c r="R3945" s="783">
        <v>151.55000000000001</v>
      </c>
      <c r="S3945" s="783">
        <v>70.08</v>
      </c>
      <c r="T3945" s="783">
        <v>80.81</v>
      </c>
      <c r="U3945" s="785">
        <v>44631.637083333299</v>
      </c>
    </row>
    <row r="3946" spans="1:21">
      <c r="A3946" s="782">
        <v>44557</v>
      </c>
      <c r="B3946" s="783" t="s">
        <v>74</v>
      </c>
      <c r="C3946" s="783" t="s">
        <v>4037</v>
      </c>
      <c r="D3946" s="783" t="s">
        <v>4038</v>
      </c>
      <c r="E3946" s="783" t="s">
        <v>1922</v>
      </c>
      <c r="F3946" s="783" t="s">
        <v>4011</v>
      </c>
      <c r="G3946" s="783" t="str">
        <f t="shared" si="209"/>
        <v>Renewal (25% in 2020)</v>
      </c>
      <c r="H3946" s="783" t="s">
        <v>6216</v>
      </c>
      <c r="I3946" s="783" t="s">
        <v>6217</v>
      </c>
      <c r="J3946" s="783">
        <v>25</v>
      </c>
      <c r="K3946" s="783" t="s">
        <v>814</v>
      </c>
      <c r="L3946" s="783" t="s">
        <v>4014</v>
      </c>
      <c r="M3946" s="784">
        <v>11160.6</v>
      </c>
      <c r="N3946" s="784">
        <v>10.45</v>
      </c>
      <c r="O3946" s="784">
        <v>2.67</v>
      </c>
      <c r="P3946" s="783">
        <v>400</v>
      </c>
      <c r="Q3946" s="783">
        <v>843.74</v>
      </c>
      <c r="R3946" s="783">
        <v>422.78</v>
      </c>
      <c r="S3946" s="783">
        <v>195.52</v>
      </c>
      <c r="T3946" s="783">
        <v>225.44</v>
      </c>
      <c r="U3946" s="785">
        <v>44631.637337963002</v>
      </c>
    </row>
    <row r="3947" spans="1:21">
      <c r="A3947" s="782">
        <v>44554</v>
      </c>
      <c r="B3947" s="783" t="s">
        <v>113</v>
      </c>
      <c r="C3947" s="783" t="s">
        <v>4606</v>
      </c>
      <c r="D3947" s="783" t="s">
        <v>4009</v>
      </c>
      <c r="E3947" s="783" t="s">
        <v>1127</v>
      </c>
      <c r="F3947" s="783" t="s">
        <v>4066</v>
      </c>
      <c r="G3947" s="783" t="s">
        <v>4028</v>
      </c>
      <c r="H3947" s="783" t="s">
        <v>7043</v>
      </c>
      <c r="I3947" s="783" t="s">
        <v>7044</v>
      </c>
      <c r="J3947" s="783">
        <v>10</v>
      </c>
      <c r="K3947" s="783" t="s">
        <v>814</v>
      </c>
      <c r="L3947" s="783" t="s">
        <v>4014</v>
      </c>
      <c r="M3947" s="784">
        <v>4162.95</v>
      </c>
      <c r="N3947" s="784">
        <v>4.3499999999999996</v>
      </c>
      <c r="O3947" s="784">
        <v>3</v>
      </c>
      <c r="P3947" s="783">
        <v>319</v>
      </c>
      <c r="Q3947" s="783">
        <v>101.16</v>
      </c>
      <c r="R3947" s="783">
        <v>0</v>
      </c>
      <c r="S3947" s="783">
        <v>0</v>
      </c>
      <c r="T3947" s="783">
        <v>101.16</v>
      </c>
      <c r="U3947" s="785">
        <v>44631.636944444399</v>
      </c>
    </row>
    <row r="3948" spans="1:21">
      <c r="A3948" s="782">
        <v>44560</v>
      </c>
      <c r="B3948" s="783" t="s">
        <v>74</v>
      </c>
      <c r="C3948" s="783" t="s">
        <v>4097</v>
      </c>
      <c r="D3948" s="783" t="s">
        <v>4038</v>
      </c>
      <c r="E3948" s="783" t="s">
        <v>6221</v>
      </c>
      <c r="F3948" s="783" t="s">
        <v>4066</v>
      </c>
      <c r="G3948" s="783" t="s">
        <v>4028</v>
      </c>
      <c r="H3948" s="783" t="s">
        <v>6222</v>
      </c>
      <c r="I3948" s="783" t="s">
        <v>6223</v>
      </c>
      <c r="J3948" s="783">
        <v>10</v>
      </c>
      <c r="K3948" s="783" t="s">
        <v>814</v>
      </c>
      <c r="L3948" s="783" t="s">
        <v>4014</v>
      </c>
      <c r="M3948" s="784">
        <v>16240</v>
      </c>
      <c r="N3948" s="784">
        <v>14.5</v>
      </c>
      <c r="O3948" s="784">
        <v>2.8</v>
      </c>
      <c r="P3948" s="783">
        <v>400</v>
      </c>
      <c r="Q3948" s="783">
        <v>287.45</v>
      </c>
      <c r="R3948" s="783">
        <v>0</v>
      </c>
      <c r="S3948" s="783">
        <v>0</v>
      </c>
      <c r="T3948" s="783">
        <v>287.45</v>
      </c>
      <c r="U3948" s="785">
        <v>44631.637048611097</v>
      </c>
    </row>
    <row r="3949" spans="1:21">
      <c r="A3949" s="782">
        <v>44553</v>
      </c>
      <c r="B3949" s="783" t="s">
        <v>41</v>
      </c>
      <c r="C3949" s="783" t="s">
        <v>4092</v>
      </c>
      <c r="D3949" s="783" t="s">
        <v>4009</v>
      </c>
      <c r="E3949" s="783" t="s">
        <v>6230</v>
      </c>
      <c r="F3949" s="783" t="s">
        <v>4011</v>
      </c>
      <c r="G3949" s="783" t="str">
        <f t="shared" ref="G3949:G3971" si="210">VLOOKUP(I3949,pacage,2,FALSE)</f>
        <v>Renewal (30% in 2020)</v>
      </c>
      <c r="H3949" s="783" t="s">
        <v>6231</v>
      </c>
      <c r="I3949" s="783" t="s">
        <v>6232</v>
      </c>
      <c r="J3949" s="783">
        <v>30</v>
      </c>
      <c r="K3949" s="783" t="s">
        <v>814</v>
      </c>
      <c r="L3949" s="783" t="s">
        <v>4014</v>
      </c>
      <c r="M3949" s="784">
        <v>9270.24</v>
      </c>
      <c r="N3949" s="784">
        <v>8.68</v>
      </c>
      <c r="O3949" s="784">
        <v>2.67</v>
      </c>
      <c r="P3949" s="783">
        <v>400</v>
      </c>
      <c r="Q3949" s="783">
        <v>506.16</v>
      </c>
      <c r="R3949" s="783">
        <v>344.51</v>
      </c>
      <c r="S3949" s="783">
        <v>87.48</v>
      </c>
      <c r="T3949" s="783">
        <v>74.16</v>
      </c>
      <c r="U3949" s="785">
        <v>44631.637083333299</v>
      </c>
    </row>
    <row r="3950" spans="1:21">
      <c r="A3950" s="782">
        <v>44480</v>
      </c>
      <c r="B3950" s="783" t="s">
        <v>74</v>
      </c>
      <c r="C3950" s="783" t="s">
        <v>4097</v>
      </c>
      <c r="D3950" s="783" t="s">
        <v>4038</v>
      </c>
      <c r="E3950" s="783" t="s">
        <v>4464</v>
      </c>
      <c r="F3950" s="783" t="s">
        <v>4011</v>
      </c>
      <c r="G3950" s="783" t="str">
        <f t="shared" si="210"/>
        <v>Renewal (15% in 2020)</v>
      </c>
      <c r="H3950" s="783" t="s">
        <v>4465</v>
      </c>
      <c r="I3950" s="783" t="s">
        <v>4466</v>
      </c>
      <c r="J3950" s="783">
        <v>15</v>
      </c>
      <c r="K3950" s="783" t="s">
        <v>814</v>
      </c>
      <c r="L3950" s="783" t="s">
        <v>4014</v>
      </c>
      <c r="M3950" s="784">
        <v>13442.52</v>
      </c>
      <c r="N3950" s="784">
        <v>12.31</v>
      </c>
      <c r="O3950" s="784">
        <v>2.73</v>
      </c>
      <c r="P3950" s="783">
        <v>400</v>
      </c>
      <c r="Q3950" s="783">
        <v>971.89</v>
      </c>
      <c r="R3950" s="783">
        <v>315.18</v>
      </c>
      <c r="S3950" s="783">
        <v>144.55000000000001</v>
      </c>
      <c r="T3950" s="783">
        <v>512.16</v>
      </c>
      <c r="U3950" s="785">
        <v>44631.637326388904</v>
      </c>
    </row>
    <row r="3951" spans="1:21">
      <c r="A3951" s="782">
        <v>44486</v>
      </c>
      <c r="B3951" s="783" t="s">
        <v>30</v>
      </c>
      <c r="C3951" s="783" t="s">
        <v>4239</v>
      </c>
      <c r="D3951" s="783" t="s">
        <v>4021</v>
      </c>
      <c r="E3951" s="783" t="s">
        <v>1216</v>
      </c>
      <c r="F3951" s="783" t="s">
        <v>4011</v>
      </c>
      <c r="G3951" s="783" t="str">
        <f t="shared" si="210"/>
        <v>Renewal (15% in 2020)</v>
      </c>
      <c r="H3951" s="783" t="s">
        <v>4467</v>
      </c>
      <c r="I3951" s="783" t="s">
        <v>4468</v>
      </c>
      <c r="J3951" s="783">
        <v>15</v>
      </c>
      <c r="K3951" s="783" t="s">
        <v>814</v>
      </c>
      <c r="L3951" s="783" t="s">
        <v>4014</v>
      </c>
      <c r="M3951" s="784">
        <v>8842.08</v>
      </c>
      <c r="N3951" s="784">
        <v>10.14</v>
      </c>
      <c r="O3951" s="784">
        <v>2.1800000000000002</v>
      </c>
      <c r="P3951" s="783">
        <v>400</v>
      </c>
      <c r="Q3951" s="783">
        <v>694.99</v>
      </c>
      <c r="R3951" s="783">
        <v>214.37</v>
      </c>
      <c r="S3951" s="783">
        <v>127.82</v>
      </c>
      <c r="T3951" s="783">
        <v>352.8</v>
      </c>
      <c r="U3951" s="785">
        <v>44631.637407407397</v>
      </c>
    </row>
    <row r="3952" spans="1:21">
      <c r="A3952" s="782">
        <v>44486</v>
      </c>
      <c r="B3952" s="783" t="s">
        <v>74</v>
      </c>
      <c r="C3952" s="783" t="s">
        <v>4097</v>
      </c>
      <c r="D3952" s="783" t="s">
        <v>4038</v>
      </c>
      <c r="E3952" s="783" t="s">
        <v>4469</v>
      </c>
      <c r="F3952" s="783" t="s">
        <v>4011</v>
      </c>
      <c r="G3952" s="783" t="str">
        <f t="shared" si="210"/>
        <v>Renewal (15% in 2020)</v>
      </c>
      <c r="H3952" s="783" t="s">
        <v>4470</v>
      </c>
      <c r="I3952" s="783" t="s">
        <v>4471</v>
      </c>
      <c r="J3952" s="783">
        <v>15</v>
      </c>
      <c r="K3952" s="783" t="s">
        <v>814</v>
      </c>
      <c r="L3952" s="783" t="s">
        <v>4014</v>
      </c>
      <c r="M3952" s="784">
        <v>32000.400000000001</v>
      </c>
      <c r="N3952" s="784">
        <v>29.63</v>
      </c>
      <c r="O3952" s="784">
        <v>2.4</v>
      </c>
      <c r="P3952" s="783">
        <v>450</v>
      </c>
      <c r="Q3952" s="783">
        <v>2313.63</v>
      </c>
      <c r="R3952" s="783">
        <v>666.93</v>
      </c>
      <c r="S3952" s="783">
        <v>427.48</v>
      </c>
      <c r="T3952" s="783">
        <v>1219.22</v>
      </c>
      <c r="U3952" s="785">
        <v>44631.637754629599</v>
      </c>
    </row>
    <row r="3953" spans="1:21">
      <c r="A3953" s="782">
        <v>44511</v>
      </c>
      <c r="B3953" s="783" t="s">
        <v>30</v>
      </c>
      <c r="C3953" s="783" t="s">
        <v>4089</v>
      </c>
      <c r="D3953" s="783" t="s">
        <v>4021</v>
      </c>
      <c r="E3953" s="783" t="s">
        <v>6302</v>
      </c>
      <c r="F3953" s="783" t="s">
        <v>4011</v>
      </c>
      <c r="G3953" s="783" t="str">
        <f t="shared" si="210"/>
        <v>New Contract</v>
      </c>
      <c r="H3953" s="783" t="s">
        <v>6303</v>
      </c>
      <c r="I3953" s="783" t="s">
        <v>6304</v>
      </c>
      <c r="J3953" s="783">
        <v>30</v>
      </c>
      <c r="K3953" s="783" t="s">
        <v>814</v>
      </c>
      <c r="L3953" s="783" t="s">
        <v>4014</v>
      </c>
      <c r="M3953" s="784">
        <v>7491.08</v>
      </c>
      <c r="N3953" s="784">
        <v>10.210000000000001</v>
      </c>
      <c r="O3953" s="784">
        <v>2.2999999999999998</v>
      </c>
      <c r="P3953" s="783">
        <v>319</v>
      </c>
      <c r="Q3953" s="783">
        <v>391.03</v>
      </c>
      <c r="R3953" s="783">
        <v>301.89</v>
      </c>
      <c r="S3953" s="783">
        <v>0</v>
      </c>
      <c r="T3953" s="783">
        <v>89.14</v>
      </c>
      <c r="U3953" s="785">
        <v>44631.637523148202</v>
      </c>
    </row>
    <row r="3954" spans="1:21">
      <c r="A3954" s="782">
        <v>44528</v>
      </c>
      <c r="B3954" s="783" t="s">
        <v>74</v>
      </c>
      <c r="C3954" s="783" t="s">
        <v>4097</v>
      </c>
      <c r="D3954" s="783" t="s">
        <v>4038</v>
      </c>
      <c r="E3954" s="783" t="s">
        <v>2048</v>
      </c>
      <c r="F3954" s="783" t="s">
        <v>4011</v>
      </c>
      <c r="G3954" s="783" t="str">
        <f t="shared" si="210"/>
        <v>Renewal (15% in 2020)</v>
      </c>
      <c r="H3954" s="783" t="s">
        <v>4474</v>
      </c>
      <c r="I3954" s="783" t="s">
        <v>4475</v>
      </c>
      <c r="J3954" s="783">
        <v>20</v>
      </c>
      <c r="K3954" s="783" t="s">
        <v>814</v>
      </c>
      <c r="L3954" s="783" t="s">
        <v>4014</v>
      </c>
      <c r="M3954" s="784">
        <v>83880</v>
      </c>
      <c r="N3954" s="784">
        <v>90</v>
      </c>
      <c r="O3954" s="784">
        <v>2.33</v>
      </c>
      <c r="P3954" s="783">
        <v>400</v>
      </c>
      <c r="Q3954" s="783">
        <v>4655.34</v>
      </c>
      <c r="R3954" s="783">
        <v>1966.69</v>
      </c>
      <c r="S3954" s="783">
        <v>902</v>
      </c>
      <c r="T3954" s="783">
        <v>1786.64</v>
      </c>
      <c r="U3954" s="785">
        <v>44631.637395833299</v>
      </c>
    </row>
    <row r="3955" spans="1:21">
      <c r="A3955" s="782">
        <v>44525</v>
      </c>
      <c r="B3955" s="783" t="s">
        <v>74</v>
      </c>
      <c r="C3955" s="783" t="s">
        <v>4097</v>
      </c>
      <c r="D3955" s="783" t="s">
        <v>4038</v>
      </c>
      <c r="E3955" s="783" t="s">
        <v>4476</v>
      </c>
      <c r="F3955" s="783" t="s">
        <v>4011</v>
      </c>
      <c r="G3955" s="783" t="str">
        <f t="shared" si="210"/>
        <v>New Contract</v>
      </c>
      <c r="H3955" s="783" t="s">
        <v>4477</v>
      </c>
      <c r="I3955" s="783" t="s">
        <v>4478</v>
      </c>
      <c r="J3955" s="783">
        <v>20</v>
      </c>
      <c r="K3955" s="783" t="s">
        <v>814</v>
      </c>
      <c r="L3955" s="783" t="s">
        <v>4014</v>
      </c>
      <c r="M3955" s="784">
        <v>3257.45</v>
      </c>
      <c r="N3955" s="784">
        <v>4.0999999999999996</v>
      </c>
      <c r="O3955" s="784">
        <v>2.27</v>
      </c>
      <c r="P3955" s="783">
        <v>350</v>
      </c>
      <c r="Q3955" s="783">
        <v>180.79</v>
      </c>
      <c r="R3955" s="783">
        <v>87.29</v>
      </c>
      <c r="S3955" s="783">
        <v>24.12</v>
      </c>
      <c r="T3955" s="783">
        <v>69.38</v>
      </c>
      <c r="U3955" s="785">
        <v>44631.637777777803</v>
      </c>
    </row>
    <row r="3956" spans="1:21">
      <c r="A3956" s="782">
        <v>44501</v>
      </c>
      <c r="B3956" s="783" t="s">
        <v>74</v>
      </c>
      <c r="C3956" s="783" t="s">
        <v>4097</v>
      </c>
      <c r="D3956" s="783" t="s">
        <v>4038</v>
      </c>
      <c r="E3956" s="783" t="s">
        <v>4479</v>
      </c>
      <c r="F3956" s="783" t="s">
        <v>4066</v>
      </c>
      <c r="G3956" s="783" t="str">
        <f t="shared" si="210"/>
        <v>New Contract</v>
      </c>
      <c r="H3956" s="783" t="s">
        <v>4480</v>
      </c>
      <c r="I3956" s="783" t="s">
        <v>4481</v>
      </c>
      <c r="J3956" s="783">
        <v>5</v>
      </c>
      <c r="K3956" s="783" t="s">
        <v>814</v>
      </c>
      <c r="L3956" s="783" t="s">
        <v>4014</v>
      </c>
      <c r="M3956" s="784">
        <v>31920</v>
      </c>
      <c r="N3956" s="784">
        <v>21</v>
      </c>
      <c r="O3956" s="784">
        <v>3.8</v>
      </c>
      <c r="P3956" s="783">
        <v>400</v>
      </c>
      <c r="Q3956" s="783">
        <v>705.43</v>
      </c>
      <c r="R3956" s="783">
        <v>0</v>
      </c>
      <c r="S3956" s="783">
        <v>0</v>
      </c>
      <c r="T3956" s="783">
        <v>705.43</v>
      </c>
      <c r="U3956" s="785">
        <v>44631.638252314799</v>
      </c>
    </row>
    <row r="3957" spans="1:21">
      <c r="A3957" s="782">
        <v>44488</v>
      </c>
      <c r="B3957" s="783" t="s">
        <v>74</v>
      </c>
      <c r="C3957" s="783" t="s">
        <v>4097</v>
      </c>
      <c r="D3957" s="783" t="s">
        <v>4038</v>
      </c>
      <c r="E3957" s="783" t="s">
        <v>6362</v>
      </c>
      <c r="F3957" s="783" t="s">
        <v>4066</v>
      </c>
      <c r="G3957" s="783" t="str">
        <f t="shared" si="210"/>
        <v>New Contract</v>
      </c>
      <c r="H3957" s="783" t="s">
        <v>6363</v>
      </c>
      <c r="I3957" s="783" t="s">
        <v>6364</v>
      </c>
      <c r="J3957" s="783">
        <v>10</v>
      </c>
      <c r="K3957" s="783" t="s">
        <v>814</v>
      </c>
      <c r="L3957" s="783" t="s">
        <v>4014</v>
      </c>
      <c r="M3957" s="784">
        <v>21735</v>
      </c>
      <c r="N3957" s="784">
        <v>15</v>
      </c>
      <c r="O3957" s="784">
        <v>3.5</v>
      </c>
      <c r="P3957" s="783">
        <v>414</v>
      </c>
      <c r="Q3957" s="783">
        <v>384.71</v>
      </c>
      <c r="R3957" s="783">
        <v>0</v>
      </c>
      <c r="S3957" s="783">
        <v>0</v>
      </c>
      <c r="T3957" s="783">
        <v>384.71</v>
      </c>
      <c r="U3957" s="785">
        <v>44631.637777777803</v>
      </c>
    </row>
    <row r="3958" spans="1:21">
      <c r="A3958" s="782">
        <v>44508</v>
      </c>
      <c r="B3958" s="783" t="s">
        <v>74</v>
      </c>
      <c r="C3958" s="783" t="s">
        <v>4097</v>
      </c>
      <c r="D3958" s="783" t="s">
        <v>4038</v>
      </c>
      <c r="E3958" s="783" t="s">
        <v>4482</v>
      </c>
      <c r="F3958" s="783" t="s">
        <v>4011</v>
      </c>
      <c r="G3958" s="783" t="str">
        <f t="shared" si="210"/>
        <v>Renewal (15% in 2020)</v>
      </c>
      <c r="H3958" s="783" t="s">
        <v>4483</v>
      </c>
      <c r="I3958" s="783" t="s">
        <v>4484</v>
      </c>
      <c r="J3958" s="783">
        <v>20</v>
      </c>
      <c r="K3958" s="783" t="s">
        <v>814</v>
      </c>
      <c r="L3958" s="783" t="s">
        <v>4014</v>
      </c>
      <c r="M3958" s="784">
        <v>17192</v>
      </c>
      <c r="N3958" s="784">
        <v>14</v>
      </c>
      <c r="O3958" s="784">
        <v>3.07</v>
      </c>
      <c r="P3958" s="783">
        <v>400</v>
      </c>
      <c r="Q3958" s="783">
        <v>954.16</v>
      </c>
      <c r="R3958" s="783">
        <v>403.09</v>
      </c>
      <c r="S3958" s="783">
        <v>184.87</v>
      </c>
      <c r="T3958" s="783">
        <v>366.19</v>
      </c>
      <c r="U3958" s="785">
        <v>44631.637986111098</v>
      </c>
    </row>
    <row r="3959" spans="1:21">
      <c r="A3959" s="782">
        <v>44497</v>
      </c>
      <c r="B3959" s="783" t="s">
        <v>113</v>
      </c>
      <c r="C3959" s="783" t="s">
        <v>4606</v>
      </c>
      <c r="D3959" s="783" t="s">
        <v>4009</v>
      </c>
      <c r="E3959" s="783" t="s">
        <v>3329</v>
      </c>
      <c r="F3959" s="783" t="s">
        <v>4011</v>
      </c>
      <c r="G3959" s="783" t="str">
        <f t="shared" si="210"/>
        <v>Renewal (20% in 2020)</v>
      </c>
      <c r="H3959" s="783" t="s">
        <v>6789</v>
      </c>
      <c r="I3959" s="783" t="s">
        <v>6790</v>
      </c>
      <c r="J3959" s="783">
        <v>20</v>
      </c>
      <c r="K3959" s="783" t="s">
        <v>814</v>
      </c>
      <c r="L3959" s="783" t="s">
        <v>4014</v>
      </c>
      <c r="M3959" s="784">
        <v>14671.8</v>
      </c>
      <c r="N3959" s="784">
        <v>10.45</v>
      </c>
      <c r="O3959" s="784">
        <v>3.51</v>
      </c>
      <c r="P3959" s="783">
        <v>400</v>
      </c>
      <c r="Q3959" s="783">
        <v>1109.19</v>
      </c>
      <c r="R3959" s="783">
        <v>456.33</v>
      </c>
      <c r="S3959" s="783">
        <v>211.24</v>
      </c>
      <c r="T3959" s="783">
        <v>441.62</v>
      </c>
      <c r="U3959" s="785">
        <v>44631.637800925899</v>
      </c>
    </row>
    <row r="3960" spans="1:21">
      <c r="A3960" s="782">
        <v>44507</v>
      </c>
      <c r="B3960" s="783" t="s">
        <v>74</v>
      </c>
      <c r="C3960" s="783" t="s">
        <v>4097</v>
      </c>
      <c r="D3960" s="783" t="s">
        <v>4038</v>
      </c>
      <c r="E3960" s="783" t="s">
        <v>4488</v>
      </c>
      <c r="F3960" s="783" t="s">
        <v>4066</v>
      </c>
      <c r="G3960" s="783" t="str">
        <f t="shared" si="210"/>
        <v>New Contract</v>
      </c>
      <c r="H3960" s="783" t="s">
        <v>4489</v>
      </c>
      <c r="I3960" s="783" t="s">
        <v>4490</v>
      </c>
      <c r="J3960" s="783">
        <v>5</v>
      </c>
      <c r="K3960" s="783" t="s">
        <v>814</v>
      </c>
      <c r="L3960" s="783" t="s">
        <v>4014</v>
      </c>
      <c r="M3960" s="784">
        <v>29376</v>
      </c>
      <c r="N3960" s="784">
        <v>24.48</v>
      </c>
      <c r="O3960" s="784">
        <v>3</v>
      </c>
      <c r="P3960" s="783">
        <v>400</v>
      </c>
      <c r="Q3960" s="783">
        <v>649.21</v>
      </c>
      <c r="R3960" s="783">
        <v>0</v>
      </c>
      <c r="S3960" s="783">
        <v>0</v>
      </c>
      <c r="T3960" s="783">
        <v>649.21</v>
      </c>
      <c r="U3960" s="785">
        <v>44631.638124999998</v>
      </c>
    </row>
    <row r="3961" spans="1:21">
      <c r="A3961" s="782">
        <v>44581</v>
      </c>
      <c r="B3961" s="783" t="s">
        <v>2866</v>
      </c>
      <c r="C3961" s="783" t="s">
        <v>4008</v>
      </c>
      <c r="D3961" s="783" t="s">
        <v>4009</v>
      </c>
      <c r="E3961" s="783" t="s">
        <v>6372</v>
      </c>
      <c r="F3961" s="783" t="s">
        <v>4011</v>
      </c>
      <c r="G3961" s="783" t="str">
        <f t="shared" si="210"/>
        <v>Renewal (25% in 2020)</v>
      </c>
      <c r="H3961" s="783" t="s">
        <v>6373</v>
      </c>
      <c r="I3961" s="783" t="s">
        <v>6374</v>
      </c>
      <c r="J3961" s="783">
        <v>20</v>
      </c>
      <c r="K3961" s="783" t="s">
        <v>814</v>
      </c>
      <c r="L3961" s="783" t="s">
        <v>4014</v>
      </c>
      <c r="M3961" s="784">
        <v>7536.84</v>
      </c>
      <c r="N3961" s="784">
        <v>7.7</v>
      </c>
      <c r="O3961" s="784">
        <v>2.37</v>
      </c>
      <c r="P3961" s="783">
        <v>413</v>
      </c>
      <c r="Q3961" s="783">
        <v>359.51</v>
      </c>
      <c r="R3961" s="783">
        <v>148.44999999999999</v>
      </c>
      <c r="S3961" s="783">
        <v>75.400000000000006</v>
      </c>
      <c r="T3961" s="783">
        <v>135.66</v>
      </c>
      <c r="U3961" s="785">
        <v>44631.638298611098</v>
      </c>
    </row>
    <row r="3962" spans="1:21">
      <c r="A3962" s="782">
        <v>44581</v>
      </c>
      <c r="B3962" s="783" t="s">
        <v>2866</v>
      </c>
      <c r="C3962" s="783" t="s">
        <v>4414</v>
      </c>
      <c r="D3962" s="783" t="s">
        <v>4009</v>
      </c>
      <c r="E3962" s="783" t="s">
        <v>6372</v>
      </c>
      <c r="F3962" s="783" t="s">
        <v>4011</v>
      </c>
      <c r="G3962" s="783" t="str">
        <f t="shared" si="210"/>
        <v>Renewal (25% in 2020)</v>
      </c>
      <c r="H3962" s="783" t="s">
        <v>6373</v>
      </c>
      <c r="I3962" s="783" t="s">
        <v>6374</v>
      </c>
      <c r="J3962" s="783">
        <v>20</v>
      </c>
      <c r="K3962" s="783" t="s">
        <v>814</v>
      </c>
      <c r="L3962" s="783" t="s">
        <v>4014</v>
      </c>
      <c r="M3962" s="784">
        <v>22170.05</v>
      </c>
      <c r="N3962" s="784">
        <v>22.65</v>
      </c>
      <c r="O3962" s="784">
        <v>2.37</v>
      </c>
      <c r="P3962" s="783">
        <v>413</v>
      </c>
      <c r="Q3962" s="783">
        <v>1875.59</v>
      </c>
      <c r="R3962" s="783">
        <v>736.34</v>
      </c>
      <c r="S3962" s="783">
        <v>374.38</v>
      </c>
      <c r="T3962" s="783">
        <v>764.87</v>
      </c>
      <c r="U3962" s="785">
        <v>44631.638298611098</v>
      </c>
    </row>
    <row r="3963" spans="1:21">
      <c r="A3963" s="782">
        <v>44581</v>
      </c>
      <c r="B3963" s="783" t="s">
        <v>30</v>
      </c>
      <c r="C3963" s="783" t="s">
        <v>4239</v>
      </c>
      <c r="D3963" s="783" t="s">
        <v>4021</v>
      </c>
      <c r="E3963" s="783" t="s">
        <v>6380</v>
      </c>
      <c r="F3963" s="783" t="s">
        <v>4011</v>
      </c>
      <c r="G3963" s="783" t="str">
        <f t="shared" si="210"/>
        <v>Renewal (15% in 2020)</v>
      </c>
      <c r="H3963" s="783" t="s">
        <v>6381</v>
      </c>
      <c r="I3963" s="783" t="s">
        <v>6382</v>
      </c>
      <c r="J3963" s="783">
        <v>15</v>
      </c>
      <c r="K3963" s="783" t="s">
        <v>814</v>
      </c>
      <c r="L3963" s="783" t="s">
        <v>4014</v>
      </c>
      <c r="M3963" s="784">
        <v>11614.08</v>
      </c>
      <c r="N3963" s="784">
        <v>9.1999999999999993</v>
      </c>
      <c r="O3963" s="784">
        <v>2.63</v>
      </c>
      <c r="P3963" s="783">
        <v>480</v>
      </c>
      <c r="Q3963" s="783">
        <v>912.87</v>
      </c>
      <c r="R3963" s="783">
        <v>234.64</v>
      </c>
      <c r="S3963" s="783">
        <v>214.82</v>
      </c>
      <c r="T3963" s="783">
        <v>463.4</v>
      </c>
      <c r="U3963" s="785">
        <v>44631.6385532407</v>
      </c>
    </row>
    <row r="3964" spans="1:21">
      <c r="A3964" s="782">
        <v>44621</v>
      </c>
      <c r="B3964" s="783" t="s">
        <v>41</v>
      </c>
      <c r="C3964" s="783" t="s">
        <v>4082</v>
      </c>
      <c r="D3964" s="783" t="s">
        <v>4009</v>
      </c>
      <c r="E3964" s="783" t="s">
        <v>763</v>
      </c>
      <c r="F3964" s="783" t="s">
        <v>4011</v>
      </c>
      <c r="G3964" s="783" t="str">
        <f t="shared" si="210"/>
        <v>Renewal (20% in 2020)</v>
      </c>
      <c r="H3964" s="783" t="s">
        <v>6401</v>
      </c>
      <c r="I3964" s="783" t="s">
        <v>6402</v>
      </c>
      <c r="J3964" s="783">
        <v>20</v>
      </c>
      <c r="K3964" s="783" t="s">
        <v>814</v>
      </c>
      <c r="L3964" s="783" t="s">
        <v>4014</v>
      </c>
      <c r="M3964" s="784">
        <v>3385.2</v>
      </c>
      <c r="N3964" s="784">
        <v>5.2</v>
      </c>
      <c r="O3964" s="784">
        <v>2.17</v>
      </c>
      <c r="P3964" s="783">
        <v>300</v>
      </c>
      <c r="Q3964" s="783">
        <v>277.25</v>
      </c>
      <c r="R3964" s="783">
        <v>155.04</v>
      </c>
      <c r="S3964" s="783">
        <v>34.19</v>
      </c>
      <c r="T3964" s="783">
        <v>88.02</v>
      </c>
      <c r="U3964" s="785">
        <v>44631.638206018499</v>
      </c>
    </row>
    <row r="3965" spans="1:21">
      <c r="A3965" s="782">
        <v>44559</v>
      </c>
      <c r="B3965" s="783" t="s">
        <v>41</v>
      </c>
      <c r="C3965" s="783" t="s">
        <v>4139</v>
      </c>
      <c r="D3965" s="783" t="s">
        <v>4009</v>
      </c>
      <c r="E3965" s="783" t="s">
        <v>6412</v>
      </c>
      <c r="F3965" s="783" t="s">
        <v>4011</v>
      </c>
      <c r="G3965" s="783" t="str">
        <f t="shared" si="210"/>
        <v>Renewal (20% in 2020)</v>
      </c>
      <c r="H3965" s="783" t="s">
        <v>6413</v>
      </c>
      <c r="I3965" s="783" t="s">
        <v>6414</v>
      </c>
      <c r="J3965" s="783">
        <v>20</v>
      </c>
      <c r="K3965" s="783" t="s">
        <v>814</v>
      </c>
      <c r="L3965" s="783" t="s">
        <v>4014</v>
      </c>
      <c r="M3965" s="784">
        <v>11071.85</v>
      </c>
      <c r="N3965" s="784">
        <v>7.65</v>
      </c>
      <c r="O3965" s="784">
        <v>3.53</v>
      </c>
      <c r="P3965" s="783">
        <v>410</v>
      </c>
      <c r="Q3965" s="783">
        <v>720.78</v>
      </c>
      <c r="R3965" s="783">
        <v>329.07</v>
      </c>
      <c r="S3965" s="783">
        <v>162.52000000000001</v>
      </c>
      <c r="T3965" s="783">
        <v>229.19</v>
      </c>
      <c r="U3965" s="785">
        <v>44631.638437499998</v>
      </c>
    </row>
    <row r="3966" spans="1:21">
      <c r="A3966" s="782">
        <v>44409</v>
      </c>
      <c r="B3966" s="783" t="s">
        <v>74</v>
      </c>
      <c r="C3966" s="783" t="s">
        <v>4037</v>
      </c>
      <c r="D3966" s="783" t="s">
        <v>4038</v>
      </c>
      <c r="E3966" s="783" t="s">
        <v>6643</v>
      </c>
      <c r="F3966" s="783" t="s">
        <v>4011</v>
      </c>
      <c r="G3966" s="783" t="str">
        <f t="shared" si="210"/>
        <v>Renewal (15% in 2020)</v>
      </c>
      <c r="H3966" s="783" t="s">
        <v>6644</v>
      </c>
      <c r="I3966" s="783" t="s">
        <v>6645</v>
      </c>
      <c r="J3966" s="783">
        <v>15</v>
      </c>
      <c r="K3966" s="783" t="s">
        <v>1138</v>
      </c>
      <c r="L3966" s="783" t="s">
        <v>4014</v>
      </c>
      <c r="M3966" s="784">
        <v>150384</v>
      </c>
      <c r="N3966" s="784">
        <v>77.12</v>
      </c>
      <c r="O3966" s="784">
        <v>3</v>
      </c>
      <c r="P3966" s="783">
        <v>650</v>
      </c>
      <c r="Q3966" s="783">
        <v>19128.84</v>
      </c>
      <c r="R3966" s="783">
        <v>6833.91</v>
      </c>
      <c r="S3966" s="783">
        <v>2700.43</v>
      </c>
      <c r="T3966" s="783">
        <v>9594.5</v>
      </c>
      <c r="U3966" s="785">
        <v>44631.504837963003</v>
      </c>
    </row>
    <row r="3967" spans="1:21">
      <c r="A3967" s="782">
        <v>44409</v>
      </c>
      <c r="B3967" s="783" t="s">
        <v>74</v>
      </c>
      <c r="C3967" s="783" t="s">
        <v>4037</v>
      </c>
      <c r="D3967" s="783" t="s">
        <v>4038</v>
      </c>
      <c r="E3967" s="783" t="s">
        <v>6646</v>
      </c>
      <c r="F3967" s="783" t="s">
        <v>4011</v>
      </c>
      <c r="G3967" s="783" t="str">
        <f t="shared" si="210"/>
        <v>Renewal (15% in 2020)</v>
      </c>
      <c r="H3967" s="783" t="s">
        <v>6647</v>
      </c>
      <c r="I3967" s="783" t="s">
        <v>6648</v>
      </c>
      <c r="J3967" s="783">
        <v>15</v>
      </c>
      <c r="K3967" s="783" t="s">
        <v>1138</v>
      </c>
      <c r="L3967" s="783" t="s">
        <v>4014</v>
      </c>
      <c r="M3967" s="784">
        <v>22724</v>
      </c>
      <c r="N3967" s="784">
        <v>17.48</v>
      </c>
      <c r="O3967" s="784">
        <v>2</v>
      </c>
      <c r="P3967" s="783">
        <v>650</v>
      </c>
      <c r="Q3967" s="783">
        <v>2890.49</v>
      </c>
      <c r="R3967" s="783">
        <v>1032.6500000000001</v>
      </c>
      <c r="S3967" s="783">
        <v>408.05</v>
      </c>
      <c r="T3967" s="783">
        <v>1449.79</v>
      </c>
      <c r="U3967" s="785">
        <v>44631.504849536999</v>
      </c>
    </row>
    <row r="3968" spans="1:21">
      <c r="A3968" s="782">
        <v>44540</v>
      </c>
      <c r="B3968" s="783" t="s">
        <v>74</v>
      </c>
      <c r="C3968" s="783" t="s">
        <v>4037</v>
      </c>
      <c r="D3968" s="783" t="s">
        <v>4038</v>
      </c>
      <c r="E3968" s="783" t="s">
        <v>6420</v>
      </c>
      <c r="F3968" s="783" t="s">
        <v>4011</v>
      </c>
      <c r="G3968" s="783" t="str">
        <f t="shared" si="210"/>
        <v>New Contract</v>
      </c>
      <c r="H3968" s="783" t="s">
        <v>6421</v>
      </c>
      <c r="I3968" s="783" t="s">
        <v>6422</v>
      </c>
      <c r="J3968" s="783">
        <v>20</v>
      </c>
      <c r="K3968" s="783" t="s">
        <v>1138</v>
      </c>
      <c r="L3968" s="783" t="s">
        <v>4014</v>
      </c>
      <c r="M3968" s="784">
        <v>14400</v>
      </c>
      <c r="N3968" s="784">
        <v>16</v>
      </c>
      <c r="O3968" s="784">
        <v>1.5</v>
      </c>
      <c r="P3968" s="783">
        <v>600</v>
      </c>
      <c r="Q3968" s="783">
        <v>1419.84</v>
      </c>
      <c r="R3968" s="783">
        <v>708.91</v>
      </c>
      <c r="S3968" s="783">
        <v>204.05</v>
      </c>
      <c r="T3968" s="783">
        <v>506.88</v>
      </c>
      <c r="U3968" s="785">
        <v>44631.515659722201</v>
      </c>
    </row>
    <row r="3969" spans="1:21">
      <c r="A3969" s="782">
        <v>44692</v>
      </c>
      <c r="B3969" s="783" t="s">
        <v>47</v>
      </c>
      <c r="C3969" s="783" t="s">
        <v>4101</v>
      </c>
      <c r="D3969" s="783" t="s">
        <v>4102</v>
      </c>
      <c r="E3969" s="783" t="s">
        <v>4103</v>
      </c>
      <c r="F3969" s="783" t="s">
        <v>4011</v>
      </c>
      <c r="G3969" s="783" t="str">
        <f t="shared" si="210"/>
        <v>Renewal (15% in 2020)</v>
      </c>
      <c r="H3969" s="783" t="s">
        <v>4104</v>
      </c>
      <c r="I3969" s="783" t="s">
        <v>4105</v>
      </c>
      <c r="J3969" s="783">
        <v>20</v>
      </c>
      <c r="K3969" s="783" t="s">
        <v>1138</v>
      </c>
      <c r="L3969" s="783" t="s">
        <v>4014</v>
      </c>
      <c r="M3969" s="784">
        <v>7770</v>
      </c>
      <c r="N3969" s="784">
        <v>5.55</v>
      </c>
      <c r="O3969" s="784">
        <v>2</v>
      </c>
      <c r="P3969" s="783">
        <v>700</v>
      </c>
      <c r="Q3969" s="783">
        <v>449.88</v>
      </c>
      <c r="R3969" s="783">
        <v>206.79</v>
      </c>
      <c r="S3969" s="783">
        <v>101.68</v>
      </c>
      <c r="T3969" s="783">
        <v>141.41</v>
      </c>
      <c r="U3969" s="785">
        <v>44692.516574074099</v>
      </c>
    </row>
    <row r="3970" spans="1:21">
      <c r="A3970" s="782">
        <v>44606</v>
      </c>
      <c r="B3970" s="783" t="s">
        <v>3078</v>
      </c>
      <c r="C3970" s="783" t="s">
        <v>4414</v>
      </c>
      <c r="D3970" s="783" t="s">
        <v>4009</v>
      </c>
      <c r="E3970" s="783" t="s">
        <v>6425</v>
      </c>
      <c r="F3970" s="783" t="s">
        <v>4011</v>
      </c>
      <c r="G3970" s="783" t="str">
        <f t="shared" si="210"/>
        <v>New Contract</v>
      </c>
      <c r="H3970" s="783" t="s">
        <v>6426</v>
      </c>
      <c r="I3970" s="783" t="s">
        <v>6427</v>
      </c>
      <c r="J3970" s="783">
        <v>20</v>
      </c>
      <c r="K3970" s="783" t="s">
        <v>1138</v>
      </c>
      <c r="L3970" s="783" t="s">
        <v>4014</v>
      </c>
      <c r="M3970" s="784">
        <v>16562</v>
      </c>
      <c r="N3970" s="784">
        <v>13</v>
      </c>
      <c r="O3970" s="784">
        <v>1.82</v>
      </c>
      <c r="P3970" s="783">
        <v>700</v>
      </c>
      <c r="Q3970" s="783">
        <v>1470.71</v>
      </c>
      <c r="R3970" s="783">
        <v>627.32000000000005</v>
      </c>
      <c r="S3970" s="783">
        <v>315.06</v>
      </c>
      <c r="T3970" s="783">
        <v>528.33000000000004</v>
      </c>
      <c r="U3970" s="785">
        <v>44631.626273148097</v>
      </c>
    </row>
    <row r="3971" spans="1:21">
      <c r="A3971" s="782">
        <v>44589</v>
      </c>
      <c r="B3971" s="783" t="s">
        <v>624</v>
      </c>
      <c r="C3971" s="783" t="s">
        <v>4037</v>
      </c>
      <c r="D3971" s="783" t="s">
        <v>4038</v>
      </c>
      <c r="E3971" s="783" t="s">
        <v>4109</v>
      </c>
      <c r="F3971" s="783" t="s">
        <v>4011</v>
      </c>
      <c r="G3971" s="783" t="str">
        <f t="shared" si="210"/>
        <v>Renewal (15% in 2020)</v>
      </c>
      <c r="H3971" s="783" t="s">
        <v>4110</v>
      </c>
      <c r="I3971" s="783" t="s">
        <v>4111</v>
      </c>
      <c r="J3971" s="783">
        <v>30</v>
      </c>
      <c r="K3971" s="783" t="s">
        <v>1138</v>
      </c>
      <c r="L3971" s="783" t="s">
        <v>4014</v>
      </c>
      <c r="M3971" s="784">
        <v>8121.6</v>
      </c>
      <c r="N3971" s="784">
        <v>12.69</v>
      </c>
      <c r="O3971" s="784">
        <v>1.6</v>
      </c>
      <c r="P3971" s="783">
        <v>400</v>
      </c>
      <c r="Q3971" s="783">
        <v>577.45000000000005</v>
      </c>
      <c r="R3971" s="783">
        <v>444.25</v>
      </c>
      <c r="S3971" s="783">
        <v>0</v>
      </c>
      <c r="T3971" s="783">
        <v>133.19</v>
      </c>
      <c r="U3971" s="785">
        <v>44631.636087963001</v>
      </c>
    </row>
    <row r="3972" spans="1:21">
      <c r="A3972" s="782">
        <v>44638</v>
      </c>
      <c r="B3972" s="783" t="s">
        <v>74</v>
      </c>
      <c r="C3972" s="783" t="s">
        <v>4097</v>
      </c>
      <c r="D3972" s="783" t="s">
        <v>4038</v>
      </c>
      <c r="E3972" s="783" t="s">
        <v>4555</v>
      </c>
      <c r="F3972" s="783" t="s">
        <v>4066</v>
      </c>
      <c r="G3972" s="783" t="s">
        <v>4028</v>
      </c>
      <c r="H3972" s="783" t="s">
        <v>4556</v>
      </c>
      <c r="I3972" s="783" t="s">
        <v>4557</v>
      </c>
      <c r="J3972" s="783">
        <v>10</v>
      </c>
      <c r="K3972" s="783" t="s">
        <v>1138</v>
      </c>
      <c r="L3972" s="783" t="s">
        <v>4014</v>
      </c>
      <c r="M3972" s="784">
        <v>178500</v>
      </c>
      <c r="N3972" s="784">
        <v>85</v>
      </c>
      <c r="O3972" s="784">
        <v>3</v>
      </c>
      <c r="P3972" s="783">
        <v>700</v>
      </c>
      <c r="Q3972" s="783">
        <v>3320.1</v>
      </c>
      <c r="R3972" s="783">
        <v>0</v>
      </c>
      <c r="S3972" s="783">
        <v>0</v>
      </c>
      <c r="T3972" s="783">
        <v>3320.1</v>
      </c>
      <c r="U3972" s="785">
        <v>44641.407685185201</v>
      </c>
    </row>
    <row r="3973" spans="1:21">
      <c r="A3973" s="782">
        <v>44622</v>
      </c>
      <c r="B3973" s="783" t="s">
        <v>74</v>
      </c>
      <c r="C3973" s="783" t="s">
        <v>4037</v>
      </c>
      <c r="D3973" s="783" t="s">
        <v>4038</v>
      </c>
      <c r="E3973" s="783" t="s">
        <v>6428</v>
      </c>
      <c r="F3973" s="783" t="s">
        <v>4011</v>
      </c>
      <c r="G3973" s="783" t="str">
        <f>VLOOKUP(I3973,pacage,2,FALSE)</f>
        <v>Renewal (15% in 2020)</v>
      </c>
      <c r="H3973" s="783" t="s">
        <v>6429</v>
      </c>
      <c r="I3973" s="783" t="s">
        <v>6430</v>
      </c>
      <c r="J3973" s="783">
        <v>15</v>
      </c>
      <c r="K3973" s="783" t="s">
        <v>1138</v>
      </c>
      <c r="L3973" s="783" t="s">
        <v>4014</v>
      </c>
      <c r="M3973" s="784">
        <v>32398.799999999999</v>
      </c>
      <c r="N3973" s="784">
        <v>22.04</v>
      </c>
      <c r="O3973" s="784">
        <v>2.1</v>
      </c>
      <c r="P3973" s="783">
        <v>700</v>
      </c>
      <c r="Q3973" s="783">
        <v>4121.13</v>
      </c>
      <c r="R3973" s="783">
        <v>1367.14</v>
      </c>
      <c r="S3973" s="783">
        <v>686.95</v>
      </c>
      <c r="T3973" s="783">
        <v>2067.04</v>
      </c>
      <c r="U3973" s="785">
        <v>44631.630127314798</v>
      </c>
    </row>
    <row r="3974" spans="1:21">
      <c r="A3974" s="782">
        <v>44594</v>
      </c>
      <c r="B3974" s="783" t="s">
        <v>228</v>
      </c>
      <c r="C3974" s="783" t="s">
        <v>4417</v>
      </c>
      <c r="D3974" s="783" t="s">
        <v>4193</v>
      </c>
      <c r="E3974" s="783" t="s">
        <v>5032</v>
      </c>
      <c r="F3974" s="783" t="s">
        <v>4011</v>
      </c>
      <c r="G3974" s="783" t="s">
        <v>4028</v>
      </c>
      <c r="H3974" s="783" t="s">
        <v>5033</v>
      </c>
      <c r="I3974" s="783" t="s">
        <v>5034</v>
      </c>
      <c r="J3974" s="783">
        <v>25</v>
      </c>
      <c r="K3974" s="783" t="s">
        <v>1138</v>
      </c>
      <c r="L3974" s="783" t="s">
        <v>4014</v>
      </c>
      <c r="M3974" s="784">
        <v>58590</v>
      </c>
      <c r="N3974" s="784">
        <v>31</v>
      </c>
      <c r="O3974" s="784">
        <v>2.7</v>
      </c>
      <c r="P3974" s="783">
        <v>700</v>
      </c>
      <c r="Q3974" s="783">
        <v>2988.09</v>
      </c>
      <c r="R3974" s="783">
        <v>1771.76</v>
      </c>
      <c r="S3974" s="783">
        <v>870.65</v>
      </c>
      <c r="T3974" s="783">
        <v>345.68</v>
      </c>
      <c r="U3974" s="785">
        <v>44631.629421296297</v>
      </c>
    </row>
    <row r="3975" spans="1:21">
      <c r="A3975" s="782">
        <v>44684</v>
      </c>
      <c r="B3975" s="783" t="s">
        <v>74</v>
      </c>
      <c r="C3975" s="783" t="s">
        <v>4037</v>
      </c>
      <c r="D3975" s="783" t="s">
        <v>4038</v>
      </c>
      <c r="E3975" s="783" t="s">
        <v>6443</v>
      </c>
      <c r="F3975" s="783" t="s">
        <v>4011</v>
      </c>
      <c r="G3975" s="783" t="str">
        <f>VLOOKUP(I3975,pacage,2,FALSE)</f>
        <v>New contract</v>
      </c>
      <c r="H3975" s="783" t="s">
        <v>6444</v>
      </c>
      <c r="I3975" s="783" t="s">
        <v>6445</v>
      </c>
      <c r="J3975" s="783">
        <v>20</v>
      </c>
      <c r="K3975" s="783" t="s">
        <v>1138</v>
      </c>
      <c r="L3975" s="783" t="s">
        <v>4014</v>
      </c>
      <c r="M3975" s="784">
        <v>46795.32</v>
      </c>
      <c r="N3975" s="784">
        <v>33.33</v>
      </c>
      <c r="O3975" s="784">
        <v>2</v>
      </c>
      <c r="P3975" s="783">
        <v>702</v>
      </c>
      <c r="Q3975" s="783">
        <v>4614.0200000000004</v>
      </c>
      <c r="R3975" s="783">
        <v>1969</v>
      </c>
      <c r="S3975" s="783">
        <v>997.82</v>
      </c>
      <c r="T3975" s="783">
        <v>1647.2</v>
      </c>
      <c r="U3975" s="785">
        <v>44685.461122685199</v>
      </c>
    </row>
    <row r="3976" spans="1:21">
      <c r="A3976" s="782">
        <v>44700</v>
      </c>
      <c r="B3976" s="783" t="s">
        <v>34</v>
      </c>
      <c r="C3976" s="783" t="s">
        <v>4139</v>
      </c>
      <c r="D3976" s="783" t="s">
        <v>4009</v>
      </c>
      <c r="E3976" s="783" t="s">
        <v>6452</v>
      </c>
      <c r="F3976" s="783" t="s">
        <v>4011</v>
      </c>
      <c r="G3976" s="783" t="str">
        <f>VLOOKUP(I3976,pacage,2,FALSE)</f>
        <v>Renewal (20% in 2020)</v>
      </c>
      <c r="H3976" s="783" t="s">
        <v>6453</v>
      </c>
      <c r="I3976" s="783" t="s">
        <v>6454</v>
      </c>
      <c r="J3976" s="783">
        <v>20</v>
      </c>
      <c r="K3976" s="783" t="s">
        <v>1138</v>
      </c>
      <c r="L3976" s="783" t="s">
        <v>4014</v>
      </c>
      <c r="M3976" s="784">
        <v>11745.84</v>
      </c>
      <c r="N3976" s="784">
        <v>11.61</v>
      </c>
      <c r="O3976" s="784">
        <v>1.51</v>
      </c>
      <c r="P3976" s="783">
        <v>670</v>
      </c>
      <c r="Q3976" s="783">
        <v>803.42</v>
      </c>
      <c r="R3976" s="783">
        <v>390.03</v>
      </c>
      <c r="S3976" s="783">
        <v>166.72</v>
      </c>
      <c r="T3976" s="783">
        <v>246.66</v>
      </c>
      <c r="U3976" s="785">
        <v>44701.678587962997</v>
      </c>
    </row>
    <row r="3977" spans="1:21">
      <c r="A3977" s="782">
        <v>44685</v>
      </c>
      <c r="B3977" s="783" t="s">
        <v>4025</v>
      </c>
      <c r="C3977" s="783" t="s">
        <v>4026</v>
      </c>
      <c r="D3977" s="783" t="s">
        <v>4021</v>
      </c>
      <c r="E3977" s="783" t="s">
        <v>6457</v>
      </c>
      <c r="F3977" s="783" t="s">
        <v>4011</v>
      </c>
      <c r="G3977" s="783" t="str">
        <f>VLOOKUP(I3977,pacage,2,FALSE)</f>
        <v>New Contract</v>
      </c>
      <c r="H3977" s="783" t="s">
        <v>6458</v>
      </c>
      <c r="I3977" s="783" t="s">
        <v>6459</v>
      </c>
      <c r="J3977" s="783">
        <v>20</v>
      </c>
      <c r="K3977" s="783" t="s">
        <v>1138</v>
      </c>
      <c r="L3977" s="783" t="s">
        <v>4014</v>
      </c>
      <c r="M3977" s="784">
        <v>12726</v>
      </c>
      <c r="N3977" s="784">
        <v>8.08</v>
      </c>
      <c r="O3977" s="784">
        <v>2.25</v>
      </c>
      <c r="P3977" s="783">
        <v>700</v>
      </c>
      <c r="Q3977" s="783">
        <v>926.45</v>
      </c>
      <c r="R3977" s="783">
        <v>412.32</v>
      </c>
      <c r="S3977" s="783">
        <v>207.43</v>
      </c>
      <c r="T3977" s="783">
        <v>306.7</v>
      </c>
      <c r="U3977" s="785">
        <v>44687.638865740701</v>
      </c>
    </row>
    <row r="3978" spans="1:21">
      <c r="A3978" s="782">
        <v>44665</v>
      </c>
      <c r="B3978" s="783" t="s">
        <v>65</v>
      </c>
      <c r="C3978" s="783" t="s">
        <v>4376</v>
      </c>
      <c r="D3978" s="783" t="s">
        <v>4038</v>
      </c>
      <c r="E3978" s="783" t="s">
        <v>6463</v>
      </c>
      <c r="F3978" s="783" t="s">
        <v>4011</v>
      </c>
      <c r="G3978" s="783" t="str">
        <f>VLOOKUP(I3978,pacage,2,FALSE)</f>
        <v>New Contract</v>
      </c>
      <c r="H3978" s="783" t="s">
        <v>6464</v>
      </c>
      <c r="I3978" s="783" t="s">
        <v>6465</v>
      </c>
      <c r="J3978" s="783">
        <v>20</v>
      </c>
      <c r="K3978" s="783" t="s">
        <v>1138</v>
      </c>
      <c r="L3978" s="783" t="s">
        <v>4014</v>
      </c>
      <c r="M3978" s="784">
        <v>52500</v>
      </c>
      <c r="N3978" s="784">
        <v>30</v>
      </c>
      <c r="O3978" s="784">
        <v>2.5</v>
      </c>
      <c r="P3978" s="783">
        <v>700</v>
      </c>
      <c r="Q3978" s="783">
        <v>5218.5</v>
      </c>
      <c r="R3978" s="783">
        <v>2296.35</v>
      </c>
      <c r="S3978" s="783">
        <v>1142.4000000000001</v>
      </c>
      <c r="T3978" s="783">
        <v>1779.75</v>
      </c>
      <c r="U3978" s="785">
        <v>44666.387280092596</v>
      </c>
    </row>
    <row r="3979" spans="1:21">
      <c r="A3979" s="782">
        <v>44664</v>
      </c>
      <c r="B3979" s="783" t="s">
        <v>74</v>
      </c>
      <c r="C3979" s="783" t="s">
        <v>4037</v>
      </c>
      <c r="D3979" s="783" t="s">
        <v>4038</v>
      </c>
      <c r="E3979" s="783" t="s">
        <v>6466</v>
      </c>
      <c r="F3979" s="783" t="s">
        <v>4011</v>
      </c>
      <c r="G3979" s="783" t="s">
        <v>4028</v>
      </c>
      <c r="H3979" s="783" t="s">
        <v>6467</v>
      </c>
      <c r="I3979" s="783" t="s">
        <v>6468</v>
      </c>
      <c r="J3979" s="783">
        <v>25</v>
      </c>
      <c r="K3979" s="783" t="s">
        <v>1138</v>
      </c>
      <c r="L3979" s="783" t="s">
        <v>4014</v>
      </c>
      <c r="M3979" s="784">
        <v>23046</v>
      </c>
      <c r="N3979" s="784">
        <v>23</v>
      </c>
      <c r="O3979" s="784">
        <v>1.67</v>
      </c>
      <c r="P3979" s="783">
        <v>600</v>
      </c>
      <c r="Q3979" s="783">
        <v>1829.85</v>
      </c>
      <c r="R3979" s="783">
        <v>1134.55</v>
      </c>
      <c r="S3979" s="783">
        <v>326.56</v>
      </c>
      <c r="T3979" s="783">
        <v>368.74</v>
      </c>
      <c r="U3979" s="785">
        <v>44665.658865740697</v>
      </c>
    </row>
    <row r="3980" spans="1:21">
      <c r="A3980" s="782">
        <v>44711</v>
      </c>
      <c r="B3980" s="783" t="s">
        <v>74</v>
      </c>
      <c r="C3980" s="783" t="s">
        <v>4097</v>
      </c>
      <c r="D3980" s="783" t="s">
        <v>4038</v>
      </c>
      <c r="E3980" s="783" t="s">
        <v>7123</v>
      </c>
      <c r="F3980" s="783" t="s">
        <v>4011</v>
      </c>
      <c r="G3980" s="783" t="str">
        <f t="shared" ref="G3980:G3990" si="211">VLOOKUP(I3980,pacage,2,FALSE)</f>
        <v>Renewal (30% in 2020)</v>
      </c>
      <c r="H3980" s="783" t="s">
        <v>7124</v>
      </c>
      <c r="I3980" s="783" t="s">
        <v>7125</v>
      </c>
      <c r="J3980" s="783">
        <v>30</v>
      </c>
      <c r="K3980" s="783" t="s">
        <v>1138</v>
      </c>
      <c r="L3980" s="783" t="s">
        <v>4014</v>
      </c>
      <c r="M3980" s="784">
        <v>28332</v>
      </c>
      <c r="N3980" s="784">
        <v>39.35</v>
      </c>
      <c r="O3980" s="784">
        <v>1.6</v>
      </c>
      <c r="P3980" s="783">
        <v>450</v>
      </c>
      <c r="Q3980" s="783">
        <v>1172.94</v>
      </c>
      <c r="R3980" s="783">
        <v>951.96</v>
      </c>
      <c r="S3980" s="783">
        <v>0</v>
      </c>
      <c r="T3980" s="783">
        <v>220.99</v>
      </c>
      <c r="U3980" s="785">
        <v>44712.7214467593</v>
      </c>
    </row>
    <row r="3981" spans="1:21">
      <c r="A3981" s="782">
        <v>44708</v>
      </c>
      <c r="B3981" s="783" t="s">
        <v>74</v>
      </c>
      <c r="C3981" s="783" t="s">
        <v>4037</v>
      </c>
      <c r="D3981" s="783" t="s">
        <v>4038</v>
      </c>
      <c r="E3981" s="783" t="s">
        <v>1914</v>
      </c>
      <c r="F3981" s="783" t="s">
        <v>4011</v>
      </c>
      <c r="G3981" s="783" t="str">
        <f t="shared" si="211"/>
        <v>Renewal (25% in 2020)</v>
      </c>
      <c r="H3981" s="783" t="s">
        <v>4316</v>
      </c>
      <c r="I3981" s="783" t="s">
        <v>4317</v>
      </c>
      <c r="J3981" s="783">
        <v>25</v>
      </c>
      <c r="K3981" s="783" t="s">
        <v>1138</v>
      </c>
      <c r="L3981" s="783" t="s">
        <v>4014</v>
      </c>
      <c r="M3981" s="784">
        <v>18195</v>
      </c>
      <c r="N3981" s="784">
        <v>12.13</v>
      </c>
      <c r="O3981" s="784">
        <v>3</v>
      </c>
      <c r="P3981" s="783">
        <v>500</v>
      </c>
      <c r="Q3981" s="783">
        <v>1444.68</v>
      </c>
      <c r="R3981" s="783">
        <v>995.27</v>
      </c>
      <c r="S3981" s="783">
        <v>158.30000000000001</v>
      </c>
      <c r="T3981" s="783">
        <v>291.12</v>
      </c>
      <c r="U3981" s="785">
        <v>44711.5105555556</v>
      </c>
    </row>
    <row r="3982" spans="1:21">
      <c r="A3982" s="782">
        <v>44697</v>
      </c>
      <c r="B3982" s="783" t="s">
        <v>74</v>
      </c>
      <c r="C3982" s="783" t="s">
        <v>4097</v>
      </c>
      <c r="D3982" s="783" t="s">
        <v>4038</v>
      </c>
      <c r="E3982" s="783" t="s">
        <v>6469</v>
      </c>
      <c r="F3982" s="783" t="s">
        <v>4011</v>
      </c>
      <c r="G3982" s="783" t="str">
        <f t="shared" si="211"/>
        <v>New Contract</v>
      </c>
      <c r="H3982" s="783" t="s">
        <v>6470</v>
      </c>
      <c r="I3982" s="783" t="s">
        <v>6471</v>
      </c>
      <c r="J3982" s="783">
        <v>20</v>
      </c>
      <c r="K3982" s="783" t="s">
        <v>1138</v>
      </c>
      <c r="L3982" s="783" t="s">
        <v>4014</v>
      </c>
      <c r="M3982" s="784">
        <v>7387.2</v>
      </c>
      <c r="N3982" s="784">
        <v>9</v>
      </c>
      <c r="O3982" s="784">
        <v>1.52</v>
      </c>
      <c r="P3982" s="783">
        <v>540</v>
      </c>
      <c r="Q3982" s="783">
        <v>430.67</v>
      </c>
      <c r="R3982" s="783">
        <v>248.21</v>
      </c>
      <c r="S3982" s="783">
        <v>38.409999999999997</v>
      </c>
      <c r="T3982" s="783">
        <v>144.05000000000001</v>
      </c>
      <c r="U3982" s="785">
        <v>44698.591261574104</v>
      </c>
    </row>
    <row r="3983" spans="1:21">
      <c r="A3983" s="782">
        <v>44536</v>
      </c>
      <c r="B3983" s="783" t="s">
        <v>4025</v>
      </c>
      <c r="C3983" s="783" t="s">
        <v>4026</v>
      </c>
      <c r="D3983" s="783" t="s">
        <v>4021</v>
      </c>
      <c r="E3983" s="783" t="s">
        <v>5364</v>
      </c>
      <c r="F3983" s="783" t="s">
        <v>4011</v>
      </c>
      <c r="G3983" s="783" t="str">
        <f t="shared" si="211"/>
        <v>New contract</v>
      </c>
      <c r="H3983" s="783" t="s">
        <v>5365</v>
      </c>
      <c r="I3983" s="783" t="s">
        <v>5366</v>
      </c>
      <c r="J3983" s="783">
        <v>20</v>
      </c>
      <c r="K3983" s="783" t="s">
        <v>1138</v>
      </c>
      <c r="L3983" s="783" t="s">
        <v>4014</v>
      </c>
      <c r="M3983" s="784">
        <v>21450</v>
      </c>
      <c r="N3983" s="784">
        <v>15</v>
      </c>
      <c r="O3983" s="784">
        <v>2.2000000000000002</v>
      </c>
      <c r="P3983" s="783">
        <v>650</v>
      </c>
      <c r="Q3983" s="783">
        <v>1561.56</v>
      </c>
      <c r="R3983" s="783">
        <v>748.44</v>
      </c>
      <c r="S3983" s="783">
        <v>296.18</v>
      </c>
      <c r="T3983" s="783">
        <v>516.95000000000005</v>
      </c>
      <c r="U3983" s="785">
        <v>44631.630104166703</v>
      </c>
    </row>
    <row r="3984" spans="1:21">
      <c r="A3984" s="782">
        <v>44553</v>
      </c>
      <c r="B3984" s="783" t="s">
        <v>2866</v>
      </c>
      <c r="C3984" s="783" t="s">
        <v>4008</v>
      </c>
      <c r="D3984" s="783" t="s">
        <v>4009</v>
      </c>
      <c r="E3984" s="783" t="s">
        <v>2864</v>
      </c>
      <c r="F3984" s="783" t="s">
        <v>4011</v>
      </c>
      <c r="G3984" s="783" t="str">
        <f t="shared" si="211"/>
        <v>New contract</v>
      </c>
      <c r="H3984" s="783" t="s">
        <v>6475</v>
      </c>
      <c r="I3984" s="783" t="s">
        <v>6476</v>
      </c>
      <c r="J3984" s="783">
        <v>20</v>
      </c>
      <c r="K3984" s="783" t="s">
        <v>1138</v>
      </c>
      <c r="L3984" s="783" t="s">
        <v>4014</v>
      </c>
      <c r="M3984" s="784">
        <v>9695</v>
      </c>
      <c r="N3984" s="784">
        <v>5</v>
      </c>
      <c r="O3984" s="784">
        <v>2.77</v>
      </c>
      <c r="P3984" s="783">
        <v>700</v>
      </c>
      <c r="Q3984" s="783">
        <v>485.72</v>
      </c>
      <c r="R3984" s="783">
        <v>215.4</v>
      </c>
      <c r="S3984" s="783">
        <v>106.48</v>
      </c>
      <c r="T3984" s="783">
        <v>163.85</v>
      </c>
      <c r="U3984" s="785">
        <v>44631.6309259259</v>
      </c>
    </row>
    <row r="3985" spans="1:21">
      <c r="A3985" s="782">
        <v>44681</v>
      </c>
      <c r="B3985" s="783" t="s">
        <v>41</v>
      </c>
      <c r="C3985" s="783" t="s">
        <v>4071</v>
      </c>
      <c r="D3985" s="783" t="s">
        <v>4009</v>
      </c>
      <c r="E3985" s="783" t="s">
        <v>6477</v>
      </c>
      <c r="F3985" s="783" t="s">
        <v>4011</v>
      </c>
      <c r="G3985" s="783" t="str">
        <f t="shared" si="211"/>
        <v>Renewal (20% in 2020)</v>
      </c>
      <c r="H3985" s="783" t="s">
        <v>6478</v>
      </c>
      <c r="I3985" s="783" t="s">
        <v>6479</v>
      </c>
      <c r="J3985" s="783">
        <v>20</v>
      </c>
      <c r="K3985" s="783" t="s">
        <v>1138</v>
      </c>
      <c r="L3985" s="783" t="s">
        <v>4014</v>
      </c>
      <c r="M3985" s="784">
        <v>6000.48</v>
      </c>
      <c r="N3985" s="784">
        <v>4.63</v>
      </c>
      <c r="O3985" s="784">
        <v>1.44</v>
      </c>
      <c r="P3985" s="783">
        <v>900</v>
      </c>
      <c r="Q3985" s="783">
        <v>460.84</v>
      </c>
      <c r="R3985" s="783">
        <v>166.69</v>
      </c>
      <c r="S3985" s="783">
        <v>153.13</v>
      </c>
      <c r="T3985" s="783">
        <v>141.01</v>
      </c>
      <c r="U3985" s="785">
        <v>44683.420416666697</v>
      </c>
    </row>
    <row r="3986" spans="1:21">
      <c r="A3986" s="782">
        <v>44681</v>
      </c>
      <c r="B3986" s="783" t="s">
        <v>34</v>
      </c>
      <c r="C3986" s="783" t="s">
        <v>4082</v>
      </c>
      <c r="D3986" s="783" t="s">
        <v>4009</v>
      </c>
      <c r="E3986" s="783" t="s">
        <v>4629</v>
      </c>
      <c r="F3986" s="783" t="s">
        <v>4011</v>
      </c>
      <c r="G3986" s="783" t="str">
        <f t="shared" si="211"/>
        <v>Renewal (20% in 2020)</v>
      </c>
      <c r="H3986" s="783" t="s">
        <v>4630</v>
      </c>
      <c r="I3986" s="783" t="s">
        <v>4631</v>
      </c>
      <c r="J3986" s="783">
        <v>20</v>
      </c>
      <c r="K3986" s="783" t="s">
        <v>1138</v>
      </c>
      <c r="L3986" s="783" t="s">
        <v>4014</v>
      </c>
      <c r="M3986" s="784">
        <v>17358.75</v>
      </c>
      <c r="N3986" s="784">
        <v>15.43</v>
      </c>
      <c r="O3986" s="784">
        <v>1.5</v>
      </c>
      <c r="P3986" s="783">
        <v>750</v>
      </c>
      <c r="Q3986" s="783">
        <v>1492.85</v>
      </c>
      <c r="R3986" s="783">
        <v>622.41999999999996</v>
      </c>
      <c r="S3986" s="783">
        <v>398.28</v>
      </c>
      <c r="T3986" s="783">
        <v>472.16</v>
      </c>
      <c r="U3986" s="785">
        <v>44683.4168055556</v>
      </c>
    </row>
    <row r="3987" spans="1:21">
      <c r="A3987" s="782">
        <v>44699</v>
      </c>
      <c r="B3987" s="783" t="s">
        <v>34</v>
      </c>
      <c r="C3987" s="783" t="s">
        <v>4139</v>
      </c>
      <c r="D3987" s="783" t="s">
        <v>4009</v>
      </c>
      <c r="E3987" s="783" t="s">
        <v>6486</v>
      </c>
      <c r="F3987" s="783" t="s">
        <v>4011</v>
      </c>
      <c r="G3987" s="783" t="str">
        <f t="shared" si="211"/>
        <v>Renewal (20% in 2020)</v>
      </c>
      <c r="H3987" s="783" t="s">
        <v>6487</v>
      </c>
      <c r="I3987" s="783" t="s">
        <v>6488</v>
      </c>
      <c r="J3987" s="783">
        <v>20</v>
      </c>
      <c r="K3987" s="783" t="s">
        <v>1138</v>
      </c>
      <c r="L3987" s="783" t="s">
        <v>4014</v>
      </c>
      <c r="M3987" s="784">
        <v>1995.84</v>
      </c>
      <c r="N3987" s="784">
        <v>3.78</v>
      </c>
      <c r="O3987" s="784">
        <v>0.96</v>
      </c>
      <c r="P3987" s="783">
        <v>550</v>
      </c>
      <c r="Q3987" s="783">
        <v>136.52000000000001</v>
      </c>
      <c r="R3987" s="783">
        <v>80.73</v>
      </c>
      <c r="S3987" s="783">
        <v>13.87</v>
      </c>
      <c r="T3987" s="783">
        <v>41.91</v>
      </c>
      <c r="U3987" s="785">
        <v>44700.617939814802</v>
      </c>
    </row>
    <row r="3988" spans="1:21">
      <c r="A3988" s="782">
        <v>44713</v>
      </c>
      <c r="B3988" s="783" t="s">
        <v>150</v>
      </c>
      <c r="C3988" s="783" t="s">
        <v>5313</v>
      </c>
      <c r="D3988" s="783" t="s">
        <v>4009</v>
      </c>
      <c r="E3988" s="783" t="s">
        <v>2290</v>
      </c>
      <c r="F3988" s="783" t="s">
        <v>4011</v>
      </c>
      <c r="G3988" s="783" t="str">
        <f t="shared" si="211"/>
        <v>Renewal (25% in 2020)</v>
      </c>
      <c r="H3988" s="783" t="s">
        <v>6800</v>
      </c>
      <c r="I3988" s="783" t="s">
        <v>6801</v>
      </c>
      <c r="J3988" s="783">
        <v>30</v>
      </c>
      <c r="K3988" s="783" t="s">
        <v>1138</v>
      </c>
      <c r="L3988" s="783" t="s">
        <v>4014</v>
      </c>
      <c r="M3988" s="784">
        <v>588849.44999999995</v>
      </c>
      <c r="N3988" s="784">
        <v>243.83</v>
      </c>
      <c r="O3988" s="784">
        <v>3.45</v>
      </c>
      <c r="P3988" s="783">
        <v>700</v>
      </c>
      <c r="Q3988" s="783">
        <v>27617.040000000001</v>
      </c>
      <c r="R3988" s="783">
        <v>17670.53</v>
      </c>
      <c r="S3988" s="783">
        <v>5235.71</v>
      </c>
      <c r="T3988" s="783">
        <v>4710.8</v>
      </c>
      <c r="U3988" s="785">
        <v>44715.433865740699</v>
      </c>
    </row>
    <row r="3989" spans="1:21">
      <c r="A3989" s="782">
        <v>44681</v>
      </c>
      <c r="B3989" s="783" t="s">
        <v>4025</v>
      </c>
      <c r="C3989" s="783" t="s">
        <v>4026</v>
      </c>
      <c r="D3989" s="783" t="s">
        <v>4021</v>
      </c>
      <c r="E3989" s="783" t="s">
        <v>4231</v>
      </c>
      <c r="F3989" s="783" t="s">
        <v>4011</v>
      </c>
      <c r="G3989" s="783" t="str">
        <f t="shared" si="211"/>
        <v>New Contract</v>
      </c>
      <c r="H3989" s="783" t="s">
        <v>4232</v>
      </c>
      <c r="I3989" s="783" t="s">
        <v>4233</v>
      </c>
      <c r="J3989" s="783">
        <v>25</v>
      </c>
      <c r="K3989" s="783" t="s">
        <v>1138</v>
      </c>
      <c r="L3989" s="783" t="s">
        <v>4014</v>
      </c>
      <c r="M3989" s="784">
        <v>3047.44</v>
      </c>
      <c r="N3989" s="784">
        <v>4.0599999999999996</v>
      </c>
      <c r="O3989" s="784">
        <v>1.39</v>
      </c>
      <c r="P3989" s="783">
        <v>540</v>
      </c>
      <c r="Q3989" s="783">
        <v>176.14</v>
      </c>
      <c r="R3989" s="783">
        <v>127.99</v>
      </c>
      <c r="S3989" s="783">
        <v>20.420000000000002</v>
      </c>
      <c r="T3989" s="783">
        <v>27.73</v>
      </c>
      <c r="U3989" s="785">
        <v>44713.630902777797</v>
      </c>
    </row>
    <row r="3990" spans="1:21">
      <c r="A3990" s="782">
        <v>44713</v>
      </c>
      <c r="B3990" s="783" t="s">
        <v>41</v>
      </c>
      <c r="C3990" s="783" t="s">
        <v>4071</v>
      </c>
      <c r="D3990" s="783" t="s">
        <v>4009</v>
      </c>
      <c r="E3990" s="783" t="s">
        <v>6492</v>
      </c>
      <c r="F3990" s="783" t="s">
        <v>4011</v>
      </c>
      <c r="G3990" s="783" t="str">
        <f t="shared" si="211"/>
        <v>New contract</v>
      </c>
      <c r="H3990" s="783" t="s">
        <v>6493</v>
      </c>
      <c r="I3990" s="783" t="s">
        <v>6494</v>
      </c>
      <c r="J3990" s="783">
        <v>25</v>
      </c>
      <c r="K3990" s="783" t="s">
        <v>1138</v>
      </c>
      <c r="L3990" s="783" t="s">
        <v>4014</v>
      </c>
      <c r="M3990" s="784">
        <v>9183.4599999999991</v>
      </c>
      <c r="N3990" s="784">
        <v>11.81</v>
      </c>
      <c r="O3990" s="784">
        <v>1.44</v>
      </c>
      <c r="P3990" s="783">
        <v>540</v>
      </c>
      <c r="Q3990" s="783">
        <v>547.33000000000004</v>
      </c>
      <c r="R3990" s="783">
        <v>425.19</v>
      </c>
      <c r="S3990" s="783">
        <v>64.28</v>
      </c>
      <c r="T3990" s="783">
        <v>57.86</v>
      </c>
      <c r="U3990" s="785">
        <v>44715.4397916667</v>
      </c>
    </row>
    <row r="3991" spans="1:21">
      <c r="A3991" s="782">
        <v>44713</v>
      </c>
      <c r="B3991" s="783" t="s">
        <v>74</v>
      </c>
      <c r="C3991" s="783" t="s">
        <v>4097</v>
      </c>
      <c r="D3991" s="783" t="s">
        <v>4038</v>
      </c>
      <c r="E3991" s="783" t="s">
        <v>4380</v>
      </c>
      <c r="F3991" s="783" t="s">
        <v>4011</v>
      </c>
      <c r="G3991" s="783" t="s">
        <v>4028</v>
      </c>
      <c r="H3991" s="783" t="s">
        <v>4381</v>
      </c>
      <c r="I3991" s="783" t="s">
        <v>4382</v>
      </c>
      <c r="J3991" s="783">
        <v>25</v>
      </c>
      <c r="K3991" s="783" t="s">
        <v>1138</v>
      </c>
      <c r="L3991" s="783" t="s">
        <v>4014</v>
      </c>
      <c r="M3991" s="784">
        <v>12163.2</v>
      </c>
      <c r="N3991" s="784">
        <v>5.43</v>
      </c>
      <c r="O3991" s="784">
        <v>3.2</v>
      </c>
      <c r="P3991" s="783">
        <v>700</v>
      </c>
      <c r="Q3991" s="783">
        <v>564.37</v>
      </c>
      <c r="R3991" s="783">
        <v>315.27</v>
      </c>
      <c r="S3991" s="783">
        <v>156.66</v>
      </c>
      <c r="T3991" s="783">
        <v>92.44</v>
      </c>
      <c r="U3991" s="785">
        <v>44715.4062962963</v>
      </c>
    </row>
    <row r="3992" spans="1:21">
      <c r="A3992" s="782">
        <v>44698</v>
      </c>
      <c r="B3992" s="783" t="s">
        <v>74</v>
      </c>
      <c r="C3992" s="783" t="s">
        <v>4037</v>
      </c>
      <c r="D3992" s="783" t="s">
        <v>4038</v>
      </c>
      <c r="E3992" s="783" t="s">
        <v>4059</v>
      </c>
      <c r="F3992" s="783" t="s">
        <v>4011</v>
      </c>
      <c r="G3992" s="783" t="str">
        <f>VLOOKUP(I3992,pacage,2,FALSE)</f>
        <v>Renewal (25% in 2020)</v>
      </c>
      <c r="H3992" s="783" t="s">
        <v>4060</v>
      </c>
      <c r="I3992" s="783" t="s">
        <v>4061</v>
      </c>
      <c r="J3992" s="783">
        <v>25</v>
      </c>
      <c r="K3992" s="783" t="s">
        <v>1138</v>
      </c>
      <c r="L3992" s="783" t="s">
        <v>4014</v>
      </c>
      <c r="M3992" s="784">
        <v>28993.08</v>
      </c>
      <c r="N3992" s="784">
        <v>15.74</v>
      </c>
      <c r="O3992" s="784">
        <v>3.07</v>
      </c>
      <c r="P3992" s="783">
        <v>600</v>
      </c>
      <c r="Q3992" s="783">
        <v>2302.0500000000002</v>
      </c>
      <c r="R3992" s="783">
        <v>1427.33</v>
      </c>
      <c r="S3992" s="783">
        <v>410.83</v>
      </c>
      <c r="T3992" s="783">
        <v>463.89</v>
      </c>
      <c r="U3992" s="785">
        <v>44700.469907407401</v>
      </c>
    </row>
    <row r="3993" spans="1:21">
      <c r="A3993" s="782">
        <v>44701</v>
      </c>
      <c r="B3993" s="783" t="s">
        <v>74</v>
      </c>
      <c r="C3993" s="783" t="s">
        <v>4037</v>
      </c>
      <c r="D3993" s="783" t="s">
        <v>4038</v>
      </c>
      <c r="E3993" s="783" t="s">
        <v>1912</v>
      </c>
      <c r="F3993" s="783" t="s">
        <v>4011</v>
      </c>
      <c r="G3993" s="783" t="str">
        <f>VLOOKUP(I3993,pacage,2,FALSE)</f>
        <v>Renewal (25% in 2020)</v>
      </c>
      <c r="H3993" s="783" t="s">
        <v>4388</v>
      </c>
      <c r="I3993" s="783" t="s">
        <v>4389</v>
      </c>
      <c r="J3993" s="783">
        <v>30</v>
      </c>
      <c r="K3993" s="783" t="s">
        <v>1138</v>
      </c>
      <c r="L3993" s="783" t="s">
        <v>4014</v>
      </c>
      <c r="M3993" s="784">
        <v>27840</v>
      </c>
      <c r="N3993" s="784">
        <v>18.559999999999999</v>
      </c>
      <c r="O3993" s="784">
        <v>3</v>
      </c>
      <c r="P3993" s="783">
        <v>500</v>
      </c>
      <c r="Q3993" s="783">
        <v>1979.42</v>
      </c>
      <c r="R3993" s="783">
        <v>1522.85</v>
      </c>
      <c r="S3993" s="783">
        <v>0</v>
      </c>
      <c r="T3993" s="783">
        <v>456.58</v>
      </c>
      <c r="U3993" s="785">
        <v>44704.416030092601</v>
      </c>
    </row>
    <row r="3994" spans="1:21">
      <c r="A3994" s="782">
        <v>44711</v>
      </c>
      <c r="B3994" s="783" t="s">
        <v>74</v>
      </c>
      <c r="C3994" s="783" t="s">
        <v>4097</v>
      </c>
      <c r="D3994" s="783" t="s">
        <v>4038</v>
      </c>
      <c r="E3994" s="783" t="s">
        <v>6504</v>
      </c>
      <c r="F3994" s="783" t="s">
        <v>4011</v>
      </c>
      <c r="G3994" s="783" t="str">
        <f>VLOOKUP(I3994,pacage,2,FALSE)</f>
        <v>Renewal (15% in 2020)</v>
      </c>
      <c r="H3994" s="783" t="s">
        <v>6505</v>
      </c>
      <c r="I3994" s="783" t="s">
        <v>6506</v>
      </c>
      <c r="J3994" s="783">
        <v>20</v>
      </c>
      <c r="K3994" s="783" t="s">
        <v>1138</v>
      </c>
      <c r="L3994" s="783" t="s">
        <v>4014</v>
      </c>
      <c r="M3994" s="784">
        <v>16289.91</v>
      </c>
      <c r="N3994" s="784">
        <v>8.4499999999999993</v>
      </c>
      <c r="O3994" s="784">
        <v>3.57</v>
      </c>
      <c r="P3994" s="783">
        <v>540</v>
      </c>
      <c r="Q3994" s="783">
        <v>949.7</v>
      </c>
      <c r="R3994" s="783">
        <v>547.34</v>
      </c>
      <c r="S3994" s="783">
        <v>84.71</v>
      </c>
      <c r="T3994" s="783">
        <v>317.64999999999998</v>
      </c>
      <c r="U3994" s="785">
        <v>44714.000162037002</v>
      </c>
    </row>
    <row r="3995" spans="1:21">
      <c r="A3995" s="782">
        <v>44673</v>
      </c>
      <c r="B3995" s="783" t="s">
        <v>882</v>
      </c>
      <c r="C3995" s="783" t="s">
        <v>4052</v>
      </c>
      <c r="D3995" s="783" t="s">
        <v>4021</v>
      </c>
      <c r="E3995" s="783" t="s">
        <v>6507</v>
      </c>
      <c r="F3995" s="783" t="s">
        <v>4011</v>
      </c>
      <c r="G3995" s="783" t="str">
        <f>VLOOKUP(I3995,pacage,2,FALSE)</f>
        <v>Renewal (25% in 2020)</v>
      </c>
      <c r="H3995" s="783" t="s">
        <v>6508</v>
      </c>
      <c r="I3995" s="783" t="s">
        <v>6509</v>
      </c>
      <c r="J3995" s="783">
        <v>25</v>
      </c>
      <c r="K3995" s="783" t="s">
        <v>1138</v>
      </c>
      <c r="L3995" s="783" t="s">
        <v>4014</v>
      </c>
      <c r="M3995" s="784">
        <v>12700.45</v>
      </c>
      <c r="N3995" s="784">
        <v>19.39</v>
      </c>
      <c r="O3995" s="784">
        <v>1.31</v>
      </c>
      <c r="P3995" s="783">
        <v>500</v>
      </c>
      <c r="Q3995" s="783">
        <v>736.63</v>
      </c>
      <c r="R3995" s="783">
        <v>562.63</v>
      </c>
      <c r="S3995" s="783">
        <v>83.82</v>
      </c>
      <c r="T3995" s="783">
        <v>90.17</v>
      </c>
      <c r="U3995" s="785">
        <v>44676.705787036997</v>
      </c>
    </row>
    <row r="3996" spans="1:21">
      <c r="A3996" s="782">
        <v>44700</v>
      </c>
      <c r="B3996" s="783" t="s">
        <v>74</v>
      </c>
      <c r="C3996" s="783" t="s">
        <v>4037</v>
      </c>
      <c r="D3996" s="783" t="s">
        <v>4038</v>
      </c>
      <c r="E3996" s="783" t="s">
        <v>4750</v>
      </c>
      <c r="F3996" s="783" t="s">
        <v>4011</v>
      </c>
      <c r="G3996" s="783" t="s">
        <v>4028</v>
      </c>
      <c r="H3996" s="783" t="s">
        <v>4751</v>
      </c>
      <c r="I3996" s="783" t="s">
        <v>4752</v>
      </c>
      <c r="J3996" s="783">
        <v>25</v>
      </c>
      <c r="K3996" s="783" t="s">
        <v>1138</v>
      </c>
      <c r="L3996" s="783" t="s">
        <v>4014</v>
      </c>
      <c r="M3996" s="784">
        <v>17091.41</v>
      </c>
      <c r="N3996" s="784">
        <v>15.63</v>
      </c>
      <c r="O3996" s="784">
        <v>2.4300000000000002</v>
      </c>
      <c r="P3996" s="783">
        <v>450</v>
      </c>
      <c r="Q3996" s="783">
        <v>1357.06</v>
      </c>
      <c r="R3996" s="783">
        <v>934.9</v>
      </c>
      <c r="S3996" s="783">
        <v>148.69999999999999</v>
      </c>
      <c r="T3996" s="783">
        <v>273.45999999999998</v>
      </c>
      <c r="U3996" s="785">
        <v>44708.963460648098</v>
      </c>
    </row>
    <row r="3997" spans="1:21">
      <c r="A3997" s="782">
        <v>44698</v>
      </c>
      <c r="B3997" s="783" t="s">
        <v>74</v>
      </c>
      <c r="C3997" s="783" t="s">
        <v>4097</v>
      </c>
      <c r="D3997" s="783" t="s">
        <v>4038</v>
      </c>
      <c r="E3997" s="783" t="s">
        <v>6513</v>
      </c>
      <c r="F3997" s="783" t="s">
        <v>4011</v>
      </c>
      <c r="G3997" s="783" t="str">
        <f>VLOOKUP(I3997,pacage,2,FALSE)</f>
        <v>New contract</v>
      </c>
      <c r="H3997" s="783" t="s">
        <v>6514</v>
      </c>
      <c r="I3997" s="783" t="s">
        <v>6515</v>
      </c>
      <c r="J3997" s="783">
        <v>25</v>
      </c>
      <c r="K3997" s="783" t="s">
        <v>1138</v>
      </c>
      <c r="L3997" s="783" t="s">
        <v>4014</v>
      </c>
      <c r="M3997" s="784">
        <v>10456.6</v>
      </c>
      <c r="N3997" s="784">
        <v>9.6999999999999993</v>
      </c>
      <c r="O3997" s="784">
        <v>1.96</v>
      </c>
      <c r="P3997" s="783">
        <v>550</v>
      </c>
      <c r="Q3997" s="783">
        <v>485.19</v>
      </c>
      <c r="R3997" s="783">
        <v>344.95</v>
      </c>
      <c r="S3997" s="783">
        <v>60.76</v>
      </c>
      <c r="T3997" s="783">
        <v>79.47</v>
      </c>
      <c r="U3997" s="785">
        <v>44708.971863425897</v>
      </c>
    </row>
    <row r="3998" spans="1:21">
      <c r="A3998" s="782">
        <v>44560</v>
      </c>
      <c r="B3998" s="783" t="s">
        <v>4025</v>
      </c>
      <c r="C3998" s="783" t="s">
        <v>4026</v>
      </c>
      <c r="D3998" s="783" t="s">
        <v>4021</v>
      </c>
      <c r="E3998" s="783" t="s">
        <v>4781</v>
      </c>
      <c r="F3998" s="783" t="s">
        <v>4011</v>
      </c>
      <c r="G3998" s="783" t="s">
        <v>4028</v>
      </c>
      <c r="H3998" s="783" t="s">
        <v>4782</v>
      </c>
      <c r="I3998" s="783" t="s">
        <v>4783</v>
      </c>
      <c r="J3998" s="783">
        <v>25</v>
      </c>
      <c r="K3998" s="783" t="s">
        <v>1138</v>
      </c>
      <c r="L3998" s="783" t="s">
        <v>4014</v>
      </c>
      <c r="M3998" s="784">
        <v>7160.4</v>
      </c>
      <c r="N3998" s="784">
        <v>15</v>
      </c>
      <c r="O3998" s="784">
        <v>0.68</v>
      </c>
      <c r="P3998" s="783">
        <v>702</v>
      </c>
      <c r="Q3998" s="783">
        <v>413.87</v>
      </c>
      <c r="R3998" s="783">
        <v>231.34</v>
      </c>
      <c r="S3998" s="783">
        <v>117.38</v>
      </c>
      <c r="T3998" s="783">
        <v>65.16</v>
      </c>
      <c r="U3998" s="785">
        <v>44631.635659722197</v>
      </c>
    </row>
    <row r="3999" spans="1:21">
      <c r="A3999" s="782">
        <v>44568</v>
      </c>
      <c r="B3999" s="783" t="s">
        <v>74</v>
      </c>
      <c r="C3999" s="783" t="s">
        <v>4097</v>
      </c>
      <c r="D3999" s="783" t="s">
        <v>4038</v>
      </c>
      <c r="E3999" s="783" t="s">
        <v>2608</v>
      </c>
      <c r="F3999" s="783" t="s">
        <v>4011</v>
      </c>
      <c r="G3999" s="783" t="s">
        <v>4028</v>
      </c>
      <c r="H3999" s="783" t="s">
        <v>4435</v>
      </c>
      <c r="I3999" s="783" t="s">
        <v>4436</v>
      </c>
      <c r="J3999" s="783">
        <v>25</v>
      </c>
      <c r="K3999" s="783" t="s">
        <v>1138</v>
      </c>
      <c r="L3999" s="783" t="s">
        <v>4014</v>
      </c>
      <c r="M3999" s="784">
        <v>15873</v>
      </c>
      <c r="N3999" s="784">
        <v>28.6</v>
      </c>
      <c r="O3999" s="784">
        <v>1.1100000000000001</v>
      </c>
      <c r="P3999" s="783">
        <v>500</v>
      </c>
      <c r="Q3999" s="783">
        <v>736.51</v>
      </c>
      <c r="R3999" s="783">
        <v>533.33000000000004</v>
      </c>
      <c r="S3999" s="783">
        <v>82.54</v>
      </c>
      <c r="T3999" s="783">
        <v>120.63</v>
      </c>
      <c r="U3999" s="785">
        <v>44631.632592592599</v>
      </c>
    </row>
    <row r="4000" spans="1:21">
      <c r="A4000" s="782">
        <v>44525</v>
      </c>
      <c r="B4000" s="783" t="s">
        <v>74</v>
      </c>
      <c r="C4000" s="783" t="s">
        <v>4037</v>
      </c>
      <c r="D4000" s="783" t="s">
        <v>4038</v>
      </c>
      <c r="E4000" s="783" t="s">
        <v>6519</v>
      </c>
      <c r="F4000" s="783" t="s">
        <v>4011</v>
      </c>
      <c r="G4000" s="783" t="str">
        <f>VLOOKUP(I4000,pacage,2,FALSE)</f>
        <v>Renewal (25% in 2020)</v>
      </c>
      <c r="H4000" s="783" t="s">
        <v>6520</v>
      </c>
      <c r="I4000" s="783" t="s">
        <v>6521</v>
      </c>
      <c r="J4000" s="783">
        <v>20</v>
      </c>
      <c r="K4000" s="783" t="s">
        <v>1138</v>
      </c>
      <c r="L4000" s="783" t="s">
        <v>4014</v>
      </c>
      <c r="M4000" s="784">
        <v>6484.32</v>
      </c>
      <c r="N4000" s="784">
        <v>7.6</v>
      </c>
      <c r="O4000" s="784">
        <v>1.58</v>
      </c>
      <c r="P4000" s="783">
        <v>540</v>
      </c>
      <c r="Q4000" s="783">
        <v>639.35</v>
      </c>
      <c r="R4000" s="783">
        <v>354.69</v>
      </c>
      <c r="S4000" s="783">
        <v>56.41</v>
      </c>
      <c r="T4000" s="783">
        <v>228.25</v>
      </c>
      <c r="U4000" s="785">
        <v>44631.636157407404</v>
      </c>
    </row>
    <row r="4001" spans="1:21">
      <c r="A4001" s="782">
        <v>44557</v>
      </c>
      <c r="B4001" s="783" t="s">
        <v>30</v>
      </c>
      <c r="C4001" s="783" t="s">
        <v>4089</v>
      </c>
      <c r="D4001" s="783" t="s">
        <v>4021</v>
      </c>
      <c r="E4001" s="783" t="s">
        <v>3187</v>
      </c>
      <c r="F4001" s="783" t="s">
        <v>4011</v>
      </c>
      <c r="G4001" s="783" t="s">
        <v>4028</v>
      </c>
      <c r="H4001" s="783" t="s">
        <v>4090</v>
      </c>
      <c r="I4001" s="783" t="s">
        <v>4091</v>
      </c>
      <c r="J4001" s="783">
        <v>20</v>
      </c>
      <c r="K4001" s="783" t="s">
        <v>1138</v>
      </c>
      <c r="L4001" s="783" t="s">
        <v>4014</v>
      </c>
      <c r="M4001" s="784">
        <v>40775.35</v>
      </c>
      <c r="N4001" s="784">
        <v>21.41</v>
      </c>
      <c r="O4001" s="784">
        <v>2.93</v>
      </c>
      <c r="P4001" s="783">
        <v>650</v>
      </c>
      <c r="Q4001" s="783">
        <v>3192.71</v>
      </c>
      <c r="R4001" s="783">
        <v>1551.47</v>
      </c>
      <c r="S4001" s="783">
        <v>609.62</v>
      </c>
      <c r="T4001" s="783">
        <v>1031.6199999999999</v>
      </c>
      <c r="U4001" s="785">
        <v>44631.637025463002</v>
      </c>
    </row>
    <row r="4002" spans="1:21">
      <c r="A4002" s="782">
        <v>44559</v>
      </c>
      <c r="B4002" s="783" t="s">
        <v>74</v>
      </c>
      <c r="C4002" s="783" t="s">
        <v>6308</v>
      </c>
      <c r="D4002" s="783" t="s">
        <v>4038</v>
      </c>
      <c r="E4002" s="783" t="s">
        <v>6525</v>
      </c>
      <c r="F4002" s="783" t="s">
        <v>4011</v>
      </c>
      <c r="G4002" s="783" t="s">
        <v>4028</v>
      </c>
      <c r="H4002" s="783" t="s">
        <v>6526</v>
      </c>
      <c r="I4002" s="783" t="s">
        <v>6527</v>
      </c>
      <c r="J4002" s="783">
        <v>20</v>
      </c>
      <c r="K4002" s="783" t="s">
        <v>1138</v>
      </c>
      <c r="L4002" s="783" t="s">
        <v>4014</v>
      </c>
      <c r="M4002" s="784">
        <v>19577.099999999999</v>
      </c>
      <c r="N4002" s="784">
        <v>6.92</v>
      </c>
      <c r="O4002" s="784">
        <v>4.03</v>
      </c>
      <c r="P4002" s="783">
        <v>702</v>
      </c>
      <c r="Q4002" s="783">
        <v>1936.17</v>
      </c>
      <c r="R4002" s="783">
        <v>832.78</v>
      </c>
      <c r="S4002" s="783">
        <v>420.15</v>
      </c>
      <c r="T4002" s="783">
        <v>683.24</v>
      </c>
      <c r="U4002" s="785">
        <v>44631.636898148201</v>
      </c>
    </row>
    <row r="4003" spans="1:21">
      <c r="A4003" s="782">
        <v>44504</v>
      </c>
      <c r="B4003" s="783" t="s">
        <v>4025</v>
      </c>
      <c r="C4003" s="783" t="s">
        <v>4026</v>
      </c>
      <c r="D4003" s="783" t="s">
        <v>4021</v>
      </c>
      <c r="E4003" s="783" t="s">
        <v>6534</v>
      </c>
      <c r="F4003" s="783" t="s">
        <v>4011</v>
      </c>
      <c r="G4003" s="783" t="str">
        <f t="shared" ref="G4003:G4010" si="212">VLOOKUP(I4003,pacage,2,FALSE)</f>
        <v>New Contract</v>
      </c>
      <c r="H4003" s="783" t="s">
        <v>6535</v>
      </c>
      <c r="I4003" s="783" t="s">
        <v>6536</v>
      </c>
      <c r="J4003" s="783">
        <v>20</v>
      </c>
      <c r="K4003" s="783" t="s">
        <v>1138</v>
      </c>
      <c r="L4003" s="783" t="s">
        <v>4014</v>
      </c>
      <c r="M4003" s="784">
        <v>14744.1</v>
      </c>
      <c r="N4003" s="784">
        <v>11.9</v>
      </c>
      <c r="O4003" s="784">
        <v>1.77</v>
      </c>
      <c r="P4003" s="783">
        <v>700</v>
      </c>
      <c r="Q4003" s="783">
        <v>1073.3699999999999</v>
      </c>
      <c r="R4003" s="783">
        <v>477.71</v>
      </c>
      <c r="S4003" s="783">
        <v>240.33</v>
      </c>
      <c r="T4003" s="783">
        <v>355.33</v>
      </c>
      <c r="U4003" s="785">
        <v>44631.638078703698</v>
      </c>
    </row>
    <row r="4004" spans="1:21">
      <c r="A4004" s="782">
        <v>44519</v>
      </c>
      <c r="B4004" s="783" t="s">
        <v>74</v>
      </c>
      <c r="C4004" s="783" t="s">
        <v>4037</v>
      </c>
      <c r="D4004" s="783" t="s">
        <v>4038</v>
      </c>
      <c r="E4004" s="783" t="s">
        <v>4753</v>
      </c>
      <c r="F4004" s="783" t="s">
        <v>4011</v>
      </c>
      <c r="G4004" s="783" t="str">
        <f t="shared" si="212"/>
        <v>Renewal (25% in 2020)</v>
      </c>
      <c r="H4004" s="783" t="s">
        <v>4754</v>
      </c>
      <c r="I4004" s="783" t="s">
        <v>4755</v>
      </c>
      <c r="J4004" s="783">
        <v>30</v>
      </c>
      <c r="K4004" s="783" t="s">
        <v>1138</v>
      </c>
      <c r="L4004" s="783" t="s">
        <v>4014</v>
      </c>
      <c r="M4004" s="784">
        <v>4471.2</v>
      </c>
      <c r="N4004" s="784">
        <v>4</v>
      </c>
      <c r="O4004" s="784">
        <v>2.0699999999999998</v>
      </c>
      <c r="P4004" s="783">
        <v>540</v>
      </c>
      <c r="Q4004" s="783">
        <v>317.89999999999998</v>
      </c>
      <c r="R4004" s="783">
        <v>244.57</v>
      </c>
      <c r="S4004" s="783">
        <v>0</v>
      </c>
      <c r="T4004" s="783">
        <v>73.33</v>
      </c>
      <c r="U4004" s="785">
        <v>44631.637986111098</v>
      </c>
    </row>
    <row r="4005" spans="1:21">
      <c r="A4005" s="782">
        <v>44659</v>
      </c>
      <c r="B4005" s="783" t="s">
        <v>30</v>
      </c>
      <c r="C4005" s="783" t="s">
        <v>4239</v>
      </c>
      <c r="D4005" s="783" t="s">
        <v>4021</v>
      </c>
      <c r="E4005" s="783" t="s">
        <v>3763</v>
      </c>
      <c r="F4005" s="783" t="s">
        <v>4011</v>
      </c>
      <c r="G4005" s="783" t="str">
        <f t="shared" si="212"/>
        <v>Renewal (25% in 2020)</v>
      </c>
      <c r="H4005" s="783" t="s">
        <v>5438</v>
      </c>
      <c r="I4005" s="783" t="s">
        <v>5439</v>
      </c>
      <c r="J4005" s="783">
        <v>20</v>
      </c>
      <c r="K4005" s="783" t="s">
        <v>2001</v>
      </c>
      <c r="L4005" s="783" t="s">
        <v>4014</v>
      </c>
      <c r="M4005" s="784">
        <v>30239.35</v>
      </c>
      <c r="N4005" s="784">
        <v>21.78</v>
      </c>
      <c r="O4005" s="784">
        <v>3.56</v>
      </c>
      <c r="P4005" s="783">
        <v>390</v>
      </c>
      <c r="Q4005" s="783">
        <v>1802.27</v>
      </c>
      <c r="R4005" s="783">
        <v>811.28</v>
      </c>
      <c r="S4005" s="783">
        <v>389.22</v>
      </c>
      <c r="T4005" s="783">
        <v>601.76</v>
      </c>
      <c r="U4005" s="785">
        <v>44663.405995370398</v>
      </c>
    </row>
    <row r="4006" spans="1:21">
      <c r="A4006" s="782">
        <v>44678</v>
      </c>
      <c r="B4006" s="783" t="s">
        <v>118</v>
      </c>
      <c r="C4006" s="783" t="s">
        <v>4139</v>
      </c>
      <c r="D4006" s="783" t="s">
        <v>4009</v>
      </c>
      <c r="E4006" s="783" t="s">
        <v>1097</v>
      </c>
      <c r="F4006" s="783" t="s">
        <v>4011</v>
      </c>
      <c r="G4006" s="783" t="str">
        <f t="shared" si="212"/>
        <v>New contract</v>
      </c>
      <c r="H4006" s="783" t="s">
        <v>4235</v>
      </c>
      <c r="I4006" s="783" t="s">
        <v>4236</v>
      </c>
      <c r="J4006" s="783">
        <v>25</v>
      </c>
      <c r="K4006" s="783" t="s">
        <v>2001</v>
      </c>
      <c r="L4006" s="783" t="s">
        <v>4014</v>
      </c>
      <c r="M4006" s="784">
        <v>20478.599999999999</v>
      </c>
      <c r="N4006" s="784">
        <v>13.95</v>
      </c>
      <c r="O4006" s="784">
        <v>3.67</v>
      </c>
      <c r="P4006" s="783">
        <v>400</v>
      </c>
      <c r="Q4006" s="783">
        <v>1032.1199999999999</v>
      </c>
      <c r="R4006" s="783">
        <v>640.20000000000005</v>
      </c>
      <c r="S4006" s="783">
        <v>283.38</v>
      </c>
      <c r="T4006" s="783">
        <v>108.54</v>
      </c>
      <c r="U4006" s="785">
        <v>44680.660208333298</v>
      </c>
    </row>
    <row r="4007" spans="1:21">
      <c r="A4007" s="782">
        <v>44677</v>
      </c>
      <c r="B4007" s="783" t="s">
        <v>30</v>
      </c>
      <c r="C4007" s="783" t="s">
        <v>4239</v>
      </c>
      <c r="D4007" s="783" t="s">
        <v>4021</v>
      </c>
      <c r="E4007" s="783" t="s">
        <v>5526</v>
      </c>
      <c r="F4007" s="783" t="s">
        <v>4011</v>
      </c>
      <c r="G4007" s="783" t="str">
        <f t="shared" si="212"/>
        <v>Renewal (25% in 2020)</v>
      </c>
      <c r="H4007" s="783" t="s">
        <v>5527</v>
      </c>
      <c r="I4007" s="783" t="s">
        <v>5528</v>
      </c>
      <c r="J4007" s="783">
        <v>25</v>
      </c>
      <c r="K4007" s="783" t="s">
        <v>2001</v>
      </c>
      <c r="L4007" s="783" t="s">
        <v>4014</v>
      </c>
      <c r="M4007" s="784">
        <v>18305.28</v>
      </c>
      <c r="N4007" s="784">
        <v>9.08</v>
      </c>
      <c r="O4007" s="784">
        <v>3.36</v>
      </c>
      <c r="P4007" s="783">
        <v>600</v>
      </c>
      <c r="Q4007" s="783">
        <v>858.52</v>
      </c>
      <c r="R4007" s="783">
        <v>319.22000000000003</v>
      </c>
      <c r="S4007" s="783">
        <v>407.5</v>
      </c>
      <c r="T4007" s="783">
        <v>131.80000000000001</v>
      </c>
      <c r="U4007" s="785">
        <v>44678.781539351898</v>
      </c>
    </row>
    <row r="4008" spans="1:21">
      <c r="A4008" s="782">
        <v>44704</v>
      </c>
      <c r="B4008" s="783" t="s">
        <v>30</v>
      </c>
      <c r="C4008" s="783" t="s">
        <v>4239</v>
      </c>
      <c r="D4008" s="783" t="s">
        <v>4021</v>
      </c>
      <c r="E4008" s="783" t="s">
        <v>5611</v>
      </c>
      <c r="F4008" s="783" t="s">
        <v>4011</v>
      </c>
      <c r="G4008" s="783" t="str">
        <f t="shared" si="212"/>
        <v>Renewal (30% in 2020)</v>
      </c>
      <c r="H4008" s="783" t="s">
        <v>5612</v>
      </c>
      <c r="I4008" s="783" t="s">
        <v>5613</v>
      </c>
      <c r="J4008" s="783">
        <v>30</v>
      </c>
      <c r="K4008" s="783" t="s">
        <v>2001</v>
      </c>
      <c r="L4008" s="783" t="s">
        <v>4014</v>
      </c>
      <c r="M4008" s="784">
        <v>56085.96</v>
      </c>
      <c r="N4008" s="784">
        <v>29.03</v>
      </c>
      <c r="O4008" s="784">
        <v>3.45</v>
      </c>
      <c r="P4008" s="783">
        <v>560</v>
      </c>
      <c r="Q4008" s="783">
        <v>2164.92</v>
      </c>
      <c r="R4008" s="783">
        <v>1047.93</v>
      </c>
      <c r="S4008" s="783">
        <v>791.69</v>
      </c>
      <c r="T4008" s="783">
        <v>325.3</v>
      </c>
      <c r="U4008" s="785">
        <v>44704.427673611099</v>
      </c>
    </row>
    <row r="4009" spans="1:21">
      <c r="A4009" s="782">
        <v>44711</v>
      </c>
      <c r="B4009" s="783" t="s">
        <v>41</v>
      </c>
      <c r="C4009" s="783" t="s">
        <v>4139</v>
      </c>
      <c r="D4009" s="783" t="s">
        <v>4009</v>
      </c>
      <c r="E4009" s="783" t="s">
        <v>549</v>
      </c>
      <c r="F4009" s="783" t="s">
        <v>4011</v>
      </c>
      <c r="G4009" s="783" t="str">
        <f t="shared" si="212"/>
        <v>Renewal (25% in 2020)</v>
      </c>
      <c r="H4009" s="783" t="s">
        <v>5626</v>
      </c>
      <c r="I4009" s="783" t="s">
        <v>5627</v>
      </c>
      <c r="J4009" s="783">
        <v>25</v>
      </c>
      <c r="K4009" s="783" t="s">
        <v>2001</v>
      </c>
      <c r="L4009" s="783" t="s">
        <v>4014</v>
      </c>
      <c r="M4009" s="784">
        <v>17031.810000000001</v>
      </c>
      <c r="N4009" s="784">
        <v>13.62</v>
      </c>
      <c r="O4009" s="784">
        <v>3.05</v>
      </c>
      <c r="P4009" s="783">
        <v>410</v>
      </c>
      <c r="Q4009" s="783">
        <v>858.4</v>
      </c>
      <c r="R4009" s="783">
        <v>519.46</v>
      </c>
      <c r="S4009" s="783">
        <v>248.67</v>
      </c>
      <c r="T4009" s="783">
        <v>90.27</v>
      </c>
      <c r="U4009" s="785">
        <v>44712.724351851903</v>
      </c>
    </row>
    <row r="4010" spans="1:21">
      <c r="A4010" s="782">
        <v>44711</v>
      </c>
      <c r="B4010" s="783" t="s">
        <v>113</v>
      </c>
      <c r="C4010" s="783" t="s">
        <v>4097</v>
      </c>
      <c r="D4010" s="783" t="s">
        <v>4038</v>
      </c>
      <c r="E4010" s="783" t="s">
        <v>172</v>
      </c>
      <c r="F4010" s="783" t="s">
        <v>4011</v>
      </c>
      <c r="G4010" s="783" t="str">
        <f t="shared" si="212"/>
        <v>Renewal (25% in 2020)</v>
      </c>
      <c r="H4010" s="783" t="s">
        <v>5892</v>
      </c>
      <c r="I4010" s="783" t="s">
        <v>5893</v>
      </c>
      <c r="J4010" s="783">
        <v>25</v>
      </c>
      <c r="K4010" s="783" t="s">
        <v>2001</v>
      </c>
      <c r="L4010" s="783" t="s">
        <v>4014</v>
      </c>
      <c r="M4010" s="784">
        <v>17409.7</v>
      </c>
      <c r="N4010" s="784">
        <v>10.78</v>
      </c>
      <c r="O4010" s="784">
        <v>3.23</v>
      </c>
      <c r="P4010" s="783">
        <v>500</v>
      </c>
      <c r="Q4010" s="783">
        <v>769.51</v>
      </c>
      <c r="R4010" s="783">
        <v>354.33</v>
      </c>
      <c r="S4010" s="783">
        <v>284.61</v>
      </c>
      <c r="T4010" s="783">
        <v>130.57</v>
      </c>
      <c r="U4010" s="785">
        <v>44713.519942129598</v>
      </c>
    </row>
    <row r="4011" spans="1:21">
      <c r="A4011" s="782">
        <v>44564</v>
      </c>
      <c r="B4011" s="783" t="s">
        <v>30</v>
      </c>
      <c r="C4011" s="783" t="s">
        <v>4239</v>
      </c>
      <c r="D4011" s="783" t="s">
        <v>4021</v>
      </c>
      <c r="E4011" s="783" t="s">
        <v>6006</v>
      </c>
      <c r="F4011" s="783" t="s">
        <v>4066</v>
      </c>
      <c r="G4011" s="783" t="s">
        <v>4028</v>
      </c>
      <c r="H4011" s="783" t="s">
        <v>6007</v>
      </c>
      <c r="I4011" s="783" t="s">
        <v>6008</v>
      </c>
      <c r="J4011" s="783">
        <v>5</v>
      </c>
      <c r="K4011" s="783" t="s">
        <v>2001</v>
      </c>
      <c r="L4011" s="783" t="s">
        <v>4014</v>
      </c>
      <c r="M4011" s="784">
        <v>38500</v>
      </c>
      <c r="N4011" s="784">
        <v>27.5</v>
      </c>
      <c r="O4011" s="784">
        <v>4</v>
      </c>
      <c r="P4011" s="783">
        <v>350</v>
      </c>
      <c r="Q4011" s="783">
        <v>750.75</v>
      </c>
      <c r="R4011" s="783">
        <v>0</v>
      </c>
      <c r="S4011" s="783">
        <v>0</v>
      </c>
      <c r="T4011" s="783">
        <v>750.75</v>
      </c>
      <c r="U4011" s="785">
        <v>44631.632187499999</v>
      </c>
    </row>
    <row r="4012" spans="1:21">
      <c r="A4012" s="782">
        <v>44525</v>
      </c>
      <c r="B4012" s="783" t="s">
        <v>30</v>
      </c>
      <c r="C4012" s="783" t="s">
        <v>4089</v>
      </c>
      <c r="D4012" s="783" t="s">
        <v>4021</v>
      </c>
      <c r="E4012" s="783" t="s">
        <v>6545</v>
      </c>
      <c r="F4012" s="783" t="s">
        <v>4011</v>
      </c>
      <c r="G4012" s="783" t="str">
        <f>VLOOKUP(I4012,pacage,2,FALSE)</f>
        <v>New Contract</v>
      </c>
      <c r="H4012" s="783" t="s">
        <v>6546</v>
      </c>
      <c r="I4012" s="783" t="s">
        <v>6547</v>
      </c>
      <c r="J4012" s="783">
        <v>20</v>
      </c>
      <c r="K4012" s="783" t="s">
        <v>2001</v>
      </c>
      <c r="L4012" s="783" t="s">
        <v>4014</v>
      </c>
      <c r="M4012" s="784">
        <v>15881.6</v>
      </c>
      <c r="N4012" s="784">
        <v>14.18</v>
      </c>
      <c r="O4012" s="784">
        <v>2.8</v>
      </c>
      <c r="P4012" s="783">
        <v>400</v>
      </c>
      <c r="Q4012" s="783">
        <v>1184.77</v>
      </c>
      <c r="R4012" s="783">
        <v>550.95000000000005</v>
      </c>
      <c r="S4012" s="783">
        <v>247.89</v>
      </c>
      <c r="T4012" s="783">
        <v>385.92</v>
      </c>
      <c r="U4012" s="785">
        <v>44631.638032407398</v>
      </c>
    </row>
    <row r="4013" spans="1:21">
      <c r="A4013" s="782">
        <v>44554</v>
      </c>
      <c r="B4013" s="783" t="s">
        <v>74</v>
      </c>
      <c r="C4013" s="783" t="s">
        <v>4097</v>
      </c>
      <c r="D4013" s="783" t="s">
        <v>4038</v>
      </c>
      <c r="E4013" s="783" t="s">
        <v>4859</v>
      </c>
      <c r="F4013" s="783" t="s">
        <v>4011</v>
      </c>
      <c r="G4013" s="783" t="str">
        <f>VLOOKUP(I4013,pacage,2,FALSE)</f>
        <v>New contract</v>
      </c>
      <c r="H4013" s="783" t="s">
        <v>4860</v>
      </c>
      <c r="I4013" s="783" t="s">
        <v>4861</v>
      </c>
      <c r="J4013" s="783">
        <v>20</v>
      </c>
      <c r="K4013" s="783" t="s">
        <v>1141</v>
      </c>
      <c r="L4013" s="783" t="s">
        <v>4014</v>
      </c>
      <c r="M4013" s="784">
        <v>4641</v>
      </c>
      <c r="N4013" s="784">
        <v>5.2</v>
      </c>
      <c r="O4013" s="784">
        <v>5.0999999999999996</v>
      </c>
      <c r="P4013" s="783">
        <v>175</v>
      </c>
      <c r="Q4013" s="783">
        <v>259.89999999999998</v>
      </c>
      <c r="R4013" s="783">
        <v>111.7</v>
      </c>
      <c r="S4013" s="783">
        <v>56.77</v>
      </c>
      <c r="T4013" s="783">
        <v>91.43</v>
      </c>
      <c r="U4013" s="785">
        <v>44631.506562499999</v>
      </c>
    </row>
    <row r="4014" spans="1:21">
      <c r="A4014" s="782">
        <v>44577</v>
      </c>
      <c r="B4014" s="783" t="s">
        <v>74</v>
      </c>
      <c r="C4014" s="783" t="s">
        <v>4037</v>
      </c>
      <c r="D4014" s="783" t="s">
        <v>4038</v>
      </c>
      <c r="E4014" s="783" t="s">
        <v>4868</v>
      </c>
      <c r="F4014" s="783" t="s">
        <v>4066</v>
      </c>
      <c r="G4014" s="783" t="s">
        <v>4028</v>
      </c>
      <c r="H4014" s="783" t="s">
        <v>4869</v>
      </c>
      <c r="I4014" s="783" t="s">
        <v>4870</v>
      </c>
      <c r="J4014" s="783">
        <v>5</v>
      </c>
      <c r="K4014" s="783" t="s">
        <v>1141</v>
      </c>
      <c r="L4014" s="783" t="s">
        <v>4014</v>
      </c>
      <c r="M4014" s="784">
        <v>5850</v>
      </c>
      <c r="N4014" s="784">
        <v>6.5</v>
      </c>
      <c r="O4014" s="784">
        <v>6</v>
      </c>
      <c r="P4014" s="783">
        <v>150</v>
      </c>
      <c r="Q4014" s="783">
        <v>221.13</v>
      </c>
      <c r="R4014" s="783">
        <v>0</v>
      </c>
      <c r="S4014" s="783">
        <v>0</v>
      </c>
      <c r="T4014" s="783">
        <v>221.13</v>
      </c>
      <c r="U4014" s="785">
        <v>44631.512465277803</v>
      </c>
    </row>
    <row r="4015" spans="1:21">
      <c r="A4015" s="782">
        <v>44586</v>
      </c>
      <c r="B4015" s="783" t="s">
        <v>74</v>
      </c>
      <c r="C4015" s="783" t="s">
        <v>4037</v>
      </c>
      <c r="D4015" s="783" t="s">
        <v>4038</v>
      </c>
      <c r="E4015" s="783" t="s">
        <v>4271</v>
      </c>
      <c r="F4015" s="783" t="s">
        <v>4011</v>
      </c>
      <c r="G4015" s="783" t="str">
        <f>VLOOKUP(I4015,pacage,2,FALSE)</f>
        <v>Renewal (25% in 2020)</v>
      </c>
      <c r="H4015" s="783" t="s">
        <v>4272</v>
      </c>
      <c r="I4015" s="783" t="s">
        <v>4273</v>
      </c>
      <c r="J4015" s="783">
        <v>25</v>
      </c>
      <c r="K4015" s="783" t="s">
        <v>1141</v>
      </c>
      <c r="L4015" s="783" t="s">
        <v>4014</v>
      </c>
      <c r="M4015" s="784">
        <v>10877.69</v>
      </c>
      <c r="N4015" s="784">
        <v>11.83</v>
      </c>
      <c r="O4015" s="784">
        <v>6.13</v>
      </c>
      <c r="P4015" s="783">
        <v>150</v>
      </c>
      <c r="Q4015" s="783">
        <v>822.35</v>
      </c>
      <c r="R4015" s="783">
        <v>495.37</v>
      </c>
      <c r="S4015" s="783">
        <v>145.33000000000001</v>
      </c>
      <c r="T4015" s="783">
        <v>181.66</v>
      </c>
      <c r="U4015" s="785">
        <v>44631.633275462998</v>
      </c>
    </row>
    <row r="4016" spans="1:21">
      <c r="A4016" s="782">
        <v>44585</v>
      </c>
      <c r="B4016" s="783" t="s">
        <v>74</v>
      </c>
      <c r="C4016" s="783" t="s">
        <v>4097</v>
      </c>
      <c r="D4016" s="783" t="s">
        <v>4038</v>
      </c>
      <c r="E4016" s="783" t="s">
        <v>4281</v>
      </c>
      <c r="F4016" s="783" t="s">
        <v>4011</v>
      </c>
      <c r="G4016" s="783" t="s">
        <v>4028</v>
      </c>
      <c r="H4016" s="783" t="s">
        <v>4282</v>
      </c>
      <c r="I4016" s="783" t="s">
        <v>4283</v>
      </c>
      <c r="J4016" s="783">
        <v>25</v>
      </c>
      <c r="K4016" s="783" t="s">
        <v>1141</v>
      </c>
      <c r="L4016" s="783" t="s">
        <v>4014</v>
      </c>
      <c r="M4016" s="784">
        <v>7426.79</v>
      </c>
      <c r="N4016" s="784">
        <v>8.5</v>
      </c>
      <c r="O4016" s="784">
        <v>5.53</v>
      </c>
      <c r="P4016" s="783">
        <v>158</v>
      </c>
      <c r="Q4016" s="783">
        <v>328.26</v>
      </c>
      <c r="R4016" s="783">
        <v>197.99</v>
      </c>
      <c r="S4016" s="783">
        <v>71.61</v>
      </c>
      <c r="T4016" s="783">
        <v>58.67</v>
      </c>
      <c r="U4016" s="785">
        <v>44631.633437500001</v>
      </c>
    </row>
    <row r="4017" spans="1:21">
      <c r="A4017" s="782">
        <v>44616</v>
      </c>
      <c r="B4017" s="783" t="s">
        <v>74</v>
      </c>
      <c r="C4017" s="783" t="s">
        <v>4097</v>
      </c>
      <c r="D4017" s="783" t="s">
        <v>4038</v>
      </c>
      <c r="E4017" s="783" t="s">
        <v>4284</v>
      </c>
      <c r="F4017" s="783" t="s">
        <v>4011</v>
      </c>
      <c r="G4017" s="783" t="str">
        <f>VLOOKUP(I4017,pacage,2,FALSE)</f>
        <v>Renewal (15% in 2020)</v>
      </c>
      <c r="H4017" s="783" t="s">
        <v>4285</v>
      </c>
      <c r="I4017" s="783" t="s">
        <v>4286</v>
      </c>
      <c r="J4017" s="783">
        <v>20</v>
      </c>
      <c r="K4017" s="783" t="s">
        <v>1141</v>
      </c>
      <c r="L4017" s="783" t="s">
        <v>4014</v>
      </c>
      <c r="M4017" s="784">
        <v>24010.799999999999</v>
      </c>
      <c r="N4017" s="784">
        <v>22</v>
      </c>
      <c r="O4017" s="784">
        <v>6.42</v>
      </c>
      <c r="P4017" s="783">
        <v>170</v>
      </c>
      <c r="Q4017" s="783">
        <v>1344.6</v>
      </c>
      <c r="R4017" s="783">
        <v>594.9</v>
      </c>
      <c r="S4017" s="783">
        <v>276.69</v>
      </c>
      <c r="T4017" s="783">
        <v>473.01</v>
      </c>
      <c r="U4017" s="785">
        <v>44631.629189814797</v>
      </c>
    </row>
    <row r="4018" spans="1:21">
      <c r="A4018" s="782">
        <v>44701</v>
      </c>
      <c r="B4018" s="783" t="s">
        <v>41</v>
      </c>
      <c r="C4018" s="783" t="s">
        <v>4071</v>
      </c>
      <c r="D4018" s="783" t="s">
        <v>4009</v>
      </c>
      <c r="E4018" s="783" t="s">
        <v>5072</v>
      </c>
      <c r="F4018" s="783" t="s">
        <v>4011</v>
      </c>
      <c r="G4018" s="783" t="str">
        <f>VLOOKUP(I4018,pacage,2,FALSE)</f>
        <v>Renewal (25% in 2020)</v>
      </c>
      <c r="H4018" s="783" t="s">
        <v>5073</v>
      </c>
      <c r="I4018" s="783" t="s">
        <v>5074</v>
      </c>
      <c r="J4018" s="783">
        <v>25</v>
      </c>
      <c r="K4018" s="783" t="s">
        <v>1141</v>
      </c>
      <c r="L4018" s="783" t="s">
        <v>4014</v>
      </c>
      <c r="M4018" s="784">
        <v>10047.09</v>
      </c>
      <c r="N4018" s="784">
        <v>14.23</v>
      </c>
      <c r="O4018" s="784">
        <v>5.23</v>
      </c>
      <c r="P4018" s="783">
        <v>135</v>
      </c>
      <c r="Q4018" s="783">
        <v>379.78</v>
      </c>
      <c r="R4018" s="783">
        <v>297.39</v>
      </c>
      <c r="S4018" s="783">
        <v>46.22</v>
      </c>
      <c r="T4018" s="783">
        <v>36.17</v>
      </c>
      <c r="U4018" s="785">
        <v>44701.569374999999</v>
      </c>
    </row>
    <row r="4019" spans="1:21">
      <c r="A4019" s="782">
        <v>44712</v>
      </c>
      <c r="B4019" s="783" t="s">
        <v>4025</v>
      </c>
      <c r="C4019" s="783" t="s">
        <v>4026</v>
      </c>
      <c r="D4019" s="783" t="s">
        <v>4021</v>
      </c>
      <c r="E4019" s="783" t="s">
        <v>7118</v>
      </c>
      <c r="F4019" s="783" t="s">
        <v>4011</v>
      </c>
      <c r="G4019" s="783" t="s">
        <v>4028</v>
      </c>
      <c r="H4019" s="783" t="s">
        <v>7119</v>
      </c>
      <c r="I4019" s="783" t="s">
        <v>7120</v>
      </c>
      <c r="J4019" s="783">
        <v>25</v>
      </c>
      <c r="K4019" s="783" t="s">
        <v>1141</v>
      </c>
      <c r="L4019" s="783" t="s">
        <v>4014</v>
      </c>
      <c r="M4019" s="784">
        <v>9527.26</v>
      </c>
      <c r="N4019" s="784">
        <v>39.96</v>
      </c>
      <c r="O4019" s="784">
        <v>1.82</v>
      </c>
      <c r="P4019" s="783">
        <v>131</v>
      </c>
      <c r="Q4019" s="783">
        <v>524</v>
      </c>
      <c r="R4019" s="783">
        <v>380.14</v>
      </c>
      <c r="S4019" s="783">
        <v>61.93</v>
      </c>
      <c r="T4019" s="783">
        <v>81.93</v>
      </c>
      <c r="U4019" s="785">
        <v>44714.594386574099</v>
      </c>
    </row>
    <row r="4020" spans="1:21">
      <c r="A4020" s="782">
        <v>44678</v>
      </c>
      <c r="B4020" s="783" t="s">
        <v>113</v>
      </c>
      <c r="C4020" s="783" t="s">
        <v>4376</v>
      </c>
      <c r="D4020" s="783" t="s">
        <v>4038</v>
      </c>
      <c r="E4020" s="783" t="s">
        <v>7126</v>
      </c>
      <c r="F4020" s="783" t="s">
        <v>4011</v>
      </c>
      <c r="G4020" s="783" t="s">
        <v>4028</v>
      </c>
      <c r="H4020" s="783" t="s">
        <v>7127</v>
      </c>
      <c r="I4020" s="783" t="s">
        <v>7128</v>
      </c>
      <c r="J4020" s="783">
        <v>15</v>
      </c>
      <c r="K4020" s="783" t="s">
        <v>1141</v>
      </c>
      <c r="L4020" s="783" t="s">
        <v>4014</v>
      </c>
      <c r="M4020" s="784">
        <v>7791</v>
      </c>
      <c r="N4020" s="784">
        <v>8.4</v>
      </c>
      <c r="O4020" s="784">
        <v>5.3</v>
      </c>
      <c r="P4020" s="783">
        <v>175</v>
      </c>
      <c r="Q4020" s="783">
        <v>980.11</v>
      </c>
      <c r="R4020" s="783">
        <v>316.14</v>
      </c>
      <c r="S4020" s="783">
        <v>160.66999999999999</v>
      </c>
      <c r="T4020" s="783">
        <v>503.3</v>
      </c>
      <c r="U4020" s="785">
        <v>44680.6703009259</v>
      </c>
    </row>
    <row r="4021" spans="1:21">
      <c r="A4021" s="782">
        <v>44684</v>
      </c>
      <c r="B4021" s="783" t="s">
        <v>113</v>
      </c>
      <c r="C4021" s="783" t="s">
        <v>4097</v>
      </c>
      <c r="D4021" s="783" t="s">
        <v>4038</v>
      </c>
      <c r="E4021" s="783" t="s">
        <v>195</v>
      </c>
      <c r="F4021" s="783" t="s">
        <v>4011</v>
      </c>
      <c r="G4021" s="783" t="str">
        <f t="shared" ref="G4021:G4026" si="213">VLOOKUP(I4021,pacage,2,FALSE)</f>
        <v>Renewal (25% in 2020)</v>
      </c>
      <c r="H4021" s="783" t="s">
        <v>5260</v>
      </c>
      <c r="I4021" s="783" t="s">
        <v>5261</v>
      </c>
      <c r="J4021" s="783">
        <v>25</v>
      </c>
      <c r="K4021" s="783" t="s">
        <v>1141</v>
      </c>
      <c r="L4021" s="783" t="s">
        <v>4014</v>
      </c>
      <c r="M4021" s="784">
        <v>576.80999999999995</v>
      </c>
      <c r="N4021" s="784">
        <v>0.85</v>
      </c>
      <c r="O4021" s="784">
        <v>3.77</v>
      </c>
      <c r="P4021" s="783">
        <v>180</v>
      </c>
      <c r="Q4021" s="783">
        <v>25.5</v>
      </c>
      <c r="R4021" s="783">
        <v>13.5</v>
      </c>
      <c r="S4021" s="783">
        <v>7.44</v>
      </c>
      <c r="T4021" s="783">
        <v>4.5599999999999996</v>
      </c>
      <c r="U4021" s="785">
        <v>44685.457511574103</v>
      </c>
    </row>
    <row r="4022" spans="1:21">
      <c r="A4022" s="782">
        <v>44706</v>
      </c>
      <c r="B4022" s="783" t="s">
        <v>41</v>
      </c>
      <c r="C4022" s="783" t="s">
        <v>4071</v>
      </c>
      <c r="D4022" s="783" t="s">
        <v>4009</v>
      </c>
      <c r="E4022" s="783" t="s">
        <v>5335</v>
      </c>
      <c r="F4022" s="783" t="s">
        <v>4011</v>
      </c>
      <c r="G4022" s="783" t="str">
        <f t="shared" si="213"/>
        <v>Renewal (15% in 2020)</v>
      </c>
      <c r="H4022" s="783" t="s">
        <v>5336</v>
      </c>
      <c r="I4022" s="783" t="s">
        <v>5337</v>
      </c>
      <c r="J4022" s="783">
        <v>15</v>
      </c>
      <c r="K4022" s="783" t="s">
        <v>1141</v>
      </c>
      <c r="L4022" s="783" t="s">
        <v>4014</v>
      </c>
      <c r="M4022" s="784">
        <v>31401.11</v>
      </c>
      <c r="N4022" s="784">
        <v>57.01</v>
      </c>
      <c r="O4022" s="784">
        <v>4.08</v>
      </c>
      <c r="P4022" s="783">
        <v>135</v>
      </c>
      <c r="Q4022" s="783">
        <v>2072.4699999999998</v>
      </c>
      <c r="R4022" s="783">
        <v>929.47</v>
      </c>
      <c r="S4022" s="783">
        <v>144.44999999999999</v>
      </c>
      <c r="T4022" s="783">
        <v>998.56</v>
      </c>
      <c r="U4022" s="785">
        <v>44708.580891203703</v>
      </c>
    </row>
    <row r="4023" spans="1:21">
      <c r="A4023" s="782">
        <v>44539</v>
      </c>
      <c r="B4023" s="783" t="s">
        <v>74</v>
      </c>
      <c r="C4023" s="783" t="s">
        <v>4037</v>
      </c>
      <c r="D4023" s="783" t="s">
        <v>4038</v>
      </c>
      <c r="E4023" s="783" t="s">
        <v>7129</v>
      </c>
      <c r="F4023" s="783" t="s">
        <v>4011</v>
      </c>
      <c r="G4023" s="783" t="str">
        <f t="shared" si="213"/>
        <v>New contract</v>
      </c>
      <c r="H4023" s="783" t="s">
        <v>7130</v>
      </c>
      <c r="I4023" s="783" t="s">
        <v>7131</v>
      </c>
      <c r="J4023" s="783">
        <v>20</v>
      </c>
      <c r="K4023" s="783" t="s">
        <v>1141</v>
      </c>
      <c r="L4023" s="783" t="s">
        <v>4014</v>
      </c>
      <c r="M4023" s="784">
        <v>6102.34</v>
      </c>
      <c r="N4023" s="784">
        <v>6.15</v>
      </c>
      <c r="O4023" s="784">
        <v>5.67</v>
      </c>
      <c r="P4023" s="783">
        <v>175</v>
      </c>
      <c r="Q4023" s="783">
        <v>580.33000000000004</v>
      </c>
      <c r="R4023" s="783">
        <v>238.2</v>
      </c>
      <c r="S4023" s="783">
        <v>121.23</v>
      </c>
      <c r="T4023" s="783">
        <v>220.9</v>
      </c>
      <c r="U4023" s="785">
        <v>44631.626701388901</v>
      </c>
    </row>
    <row r="4024" spans="1:21">
      <c r="A4024" s="782">
        <v>44546</v>
      </c>
      <c r="B4024" s="783" t="s">
        <v>74</v>
      </c>
      <c r="C4024" s="783" t="s">
        <v>4097</v>
      </c>
      <c r="D4024" s="783" t="s">
        <v>4038</v>
      </c>
      <c r="E4024" s="783" t="s">
        <v>4337</v>
      </c>
      <c r="F4024" s="783" t="s">
        <v>4011</v>
      </c>
      <c r="G4024" s="783" t="str">
        <f t="shared" si="213"/>
        <v>New Contract</v>
      </c>
      <c r="H4024" s="783" t="s">
        <v>4338</v>
      </c>
      <c r="I4024" s="783" t="s">
        <v>4339</v>
      </c>
      <c r="J4024" s="783">
        <v>20</v>
      </c>
      <c r="K4024" s="783" t="s">
        <v>1141</v>
      </c>
      <c r="L4024" s="783" t="s">
        <v>4014</v>
      </c>
      <c r="M4024" s="784">
        <v>3032.64</v>
      </c>
      <c r="N4024" s="784">
        <v>3.51</v>
      </c>
      <c r="O4024" s="784">
        <v>5.4</v>
      </c>
      <c r="P4024" s="783">
        <v>160</v>
      </c>
      <c r="Q4024" s="783">
        <v>169.83</v>
      </c>
      <c r="R4024" s="783">
        <v>79.83</v>
      </c>
      <c r="S4024" s="783">
        <v>30.25</v>
      </c>
      <c r="T4024" s="783">
        <v>59.74</v>
      </c>
      <c r="U4024" s="785">
        <v>44631.631157407399</v>
      </c>
    </row>
    <row r="4025" spans="1:21">
      <c r="A4025" s="782">
        <v>44552</v>
      </c>
      <c r="B4025" s="783" t="s">
        <v>74</v>
      </c>
      <c r="C4025" s="783" t="s">
        <v>4097</v>
      </c>
      <c r="D4025" s="783" t="s">
        <v>4038</v>
      </c>
      <c r="E4025" s="783" t="s">
        <v>1621</v>
      </c>
      <c r="F4025" s="783" t="s">
        <v>4011</v>
      </c>
      <c r="G4025" s="783" t="str">
        <f t="shared" si="213"/>
        <v>Renewal (20% in 2020)</v>
      </c>
      <c r="H4025" s="783" t="s">
        <v>4346</v>
      </c>
      <c r="I4025" s="783" t="s">
        <v>4347</v>
      </c>
      <c r="J4025" s="783">
        <v>25</v>
      </c>
      <c r="K4025" s="783" t="s">
        <v>1141</v>
      </c>
      <c r="L4025" s="783" t="s">
        <v>4014</v>
      </c>
      <c r="M4025" s="784">
        <v>9717.2999999999993</v>
      </c>
      <c r="N4025" s="784">
        <v>8.85</v>
      </c>
      <c r="O4025" s="784">
        <v>6.1</v>
      </c>
      <c r="P4025" s="783">
        <v>180</v>
      </c>
      <c r="Q4025" s="783">
        <v>429.5</v>
      </c>
      <c r="R4025" s="783">
        <v>227.38</v>
      </c>
      <c r="S4025" s="783">
        <v>125.35</v>
      </c>
      <c r="T4025" s="783">
        <v>76.77</v>
      </c>
      <c r="U4025" s="785">
        <v>44631.631134259304</v>
      </c>
    </row>
    <row r="4026" spans="1:21">
      <c r="A4026" s="782">
        <v>44551</v>
      </c>
      <c r="B4026" s="783" t="s">
        <v>74</v>
      </c>
      <c r="C4026" s="783" t="s">
        <v>4037</v>
      </c>
      <c r="D4026" s="783" t="s">
        <v>4038</v>
      </c>
      <c r="E4026" s="783" t="s">
        <v>5421</v>
      </c>
      <c r="F4026" s="783" t="s">
        <v>4011</v>
      </c>
      <c r="G4026" s="783" t="str">
        <f t="shared" si="213"/>
        <v>New contract</v>
      </c>
      <c r="H4026" s="783" t="s">
        <v>5422</v>
      </c>
      <c r="I4026" s="783" t="s">
        <v>5423</v>
      </c>
      <c r="J4026" s="783">
        <v>20</v>
      </c>
      <c r="K4026" s="783" t="s">
        <v>1141</v>
      </c>
      <c r="L4026" s="783" t="s">
        <v>4014</v>
      </c>
      <c r="M4026" s="784">
        <v>17694.62</v>
      </c>
      <c r="N4026" s="784">
        <v>14.2</v>
      </c>
      <c r="O4026" s="784">
        <v>7.33</v>
      </c>
      <c r="P4026" s="783">
        <v>170</v>
      </c>
      <c r="Q4026" s="783">
        <v>1682.76</v>
      </c>
      <c r="R4026" s="783">
        <v>711.01</v>
      </c>
      <c r="S4026" s="783">
        <v>331.2</v>
      </c>
      <c r="T4026" s="783">
        <v>640.54999999999995</v>
      </c>
      <c r="U4026" s="785">
        <v>44631.631018518499</v>
      </c>
    </row>
    <row r="4027" spans="1:21">
      <c r="A4027" s="782">
        <v>44681</v>
      </c>
      <c r="B4027" s="783" t="s">
        <v>113</v>
      </c>
      <c r="C4027" s="783" t="s">
        <v>4606</v>
      </c>
      <c r="D4027" s="783" t="s">
        <v>4009</v>
      </c>
      <c r="E4027" s="783" t="s">
        <v>6794</v>
      </c>
      <c r="F4027" s="783" t="s">
        <v>4011</v>
      </c>
      <c r="G4027" s="783" t="s">
        <v>4028</v>
      </c>
      <c r="H4027" s="783" t="s">
        <v>6795</v>
      </c>
      <c r="I4027" s="783" t="s">
        <v>6796</v>
      </c>
      <c r="J4027" s="783">
        <v>25</v>
      </c>
      <c r="K4027" s="783" t="s">
        <v>1141</v>
      </c>
      <c r="L4027" s="783" t="s">
        <v>4014</v>
      </c>
      <c r="M4027" s="784">
        <v>15470</v>
      </c>
      <c r="N4027" s="784">
        <v>13.6</v>
      </c>
      <c r="O4027" s="784">
        <v>6.5</v>
      </c>
      <c r="P4027" s="783">
        <v>175</v>
      </c>
      <c r="Q4027" s="783">
        <v>939.03</v>
      </c>
      <c r="R4027" s="783">
        <v>494.07</v>
      </c>
      <c r="S4027" s="783">
        <v>253.13</v>
      </c>
      <c r="T4027" s="783">
        <v>191.83</v>
      </c>
      <c r="U4027" s="785">
        <v>44683.447835648098</v>
      </c>
    </row>
    <row r="4028" spans="1:21">
      <c r="A4028" s="782">
        <v>44681</v>
      </c>
      <c r="B4028" s="783" t="s">
        <v>34</v>
      </c>
      <c r="C4028" s="783" t="s">
        <v>4082</v>
      </c>
      <c r="D4028" s="783" t="s">
        <v>4009</v>
      </c>
      <c r="E4028" s="783" t="s">
        <v>4629</v>
      </c>
      <c r="F4028" s="783" t="s">
        <v>4011</v>
      </c>
      <c r="G4028" s="783" t="str">
        <f>VLOOKUP(I4028,pacage,2,FALSE)</f>
        <v>Renewal (20% in 2020)</v>
      </c>
      <c r="H4028" s="783" t="s">
        <v>4630</v>
      </c>
      <c r="I4028" s="783" t="s">
        <v>4631</v>
      </c>
      <c r="J4028" s="783">
        <v>20</v>
      </c>
      <c r="K4028" s="783" t="s">
        <v>1141</v>
      </c>
      <c r="L4028" s="783" t="s">
        <v>4014</v>
      </c>
      <c r="M4028" s="784">
        <v>5972.4</v>
      </c>
      <c r="N4028" s="784">
        <v>7.11</v>
      </c>
      <c r="O4028" s="784">
        <v>5.6</v>
      </c>
      <c r="P4028" s="783">
        <v>150</v>
      </c>
      <c r="Q4028" s="783">
        <v>396.57</v>
      </c>
      <c r="R4028" s="783">
        <v>208.56</v>
      </c>
      <c r="S4028" s="783">
        <v>67.97</v>
      </c>
      <c r="T4028" s="783">
        <v>120.05</v>
      </c>
      <c r="U4028" s="785">
        <v>44683.4168055556</v>
      </c>
    </row>
    <row r="4029" spans="1:21">
      <c r="A4029" s="782">
        <v>44685</v>
      </c>
      <c r="B4029" s="783" t="s">
        <v>3078</v>
      </c>
      <c r="C4029" s="783" t="s">
        <v>4008</v>
      </c>
      <c r="D4029" s="783" t="s">
        <v>4009</v>
      </c>
      <c r="E4029" s="783" t="s">
        <v>5464</v>
      </c>
      <c r="F4029" s="783" t="s">
        <v>4011</v>
      </c>
      <c r="G4029" s="783" t="str">
        <f>VLOOKUP(I4029,pacage,2,FALSE)</f>
        <v>Renewal (20% in 2020)</v>
      </c>
      <c r="H4029" s="783" t="s">
        <v>5465</v>
      </c>
      <c r="I4029" s="783" t="s">
        <v>5466</v>
      </c>
      <c r="J4029" s="783">
        <v>20</v>
      </c>
      <c r="K4029" s="783" t="s">
        <v>1141</v>
      </c>
      <c r="L4029" s="783" t="s">
        <v>4014</v>
      </c>
      <c r="M4029" s="784">
        <v>9972.35</v>
      </c>
      <c r="N4029" s="784">
        <v>9.5500000000000007</v>
      </c>
      <c r="O4029" s="784">
        <v>5.95</v>
      </c>
      <c r="P4029" s="783">
        <v>175.5</v>
      </c>
      <c r="Q4029" s="783">
        <v>480.67</v>
      </c>
      <c r="R4029" s="783">
        <v>207.12</v>
      </c>
      <c r="S4029" s="783">
        <v>106.01</v>
      </c>
      <c r="T4029" s="783">
        <v>167.54</v>
      </c>
      <c r="U4029" s="785">
        <v>44685.634270833303</v>
      </c>
    </row>
    <row r="4030" spans="1:21">
      <c r="A4030" s="782">
        <v>44686</v>
      </c>
      <c r="B4030" s="783" t="s">
        <v>41</v>
      </c>
      <c r="C4030" s="783" t="s">
        <v>4071</v>
      </c>
      <c r="D4030" s="783" t="s">
        <v>4009</v>
      </c>
      <c r="E4030" s="783" t="s">
        <v>5523</v>
      </c>
      <c r="F4030" s="783" t="s">
        <v>4011</v>
      </c>
      <c r="G4030" s="783" t="str">
        <f>VLOOKUP(I4030,pacage,2,FALSE)</f>
        <v>Renewal (20% in 2020)</v>
      </c>
      <c r="H4030" s="783" t="s">
        <v>5524</v>
      </c>
      <c r="I4030" s="783" t="s">
        <v>5525</v>
      </c>
      <c r="J4030" s="783">
        <v>20</v>
      </c>
      <c r="K4030" s="783" t="s">
        <v>1141</v>
      </c>
      <c r="L4030" s="783" t="s">
        <v>4014</v>
      </c>
      <c r="M4030" s="784">
        <v>12556.97</v>
      </c>
      <c r="N4030" s="784">
        <v>15.17</v>
      </c>
      <c r="O4030" s="784">
        <v>4.7300000000000004</v>
      </c>
      <c r="P4030" s="783">
        <v>175</v>
      </c>
      <c r="Q4030" s="783">
        <v>617.79999999999995</v>
      </c>
      <c r="R4030" s="783">
        <v>286.73</v>
      </c>
      <c r="S4030" s="783">
        <v>142.72</v>
      </c>
      <c r="T4030" s="783">
        <v>188.35</v>
      </c>
      <c r="U4030" s="785">
        <v>44687.626284722202</v>
      </c>
    </row>
    <row r="4031" spans="1:21">
      <c r="A4031" s="782">
        <v>44678</v>
      </c>
      <c r="B4031" s="783" t="s">
        <v>74</v>
      </c>
      <c r="C4031" s="783" t="s">
        <v>4097</v>
      </c>
      <c r="D4031" s="783" t="s">
        <v>4038</v>
      </c>
      <c r="E4031" s="783" t="s">
        <v>4361</v>
      </c>
      <c r="F4031" s="783" t="s">
        <v>4011</v>
      </c>
      <c r="G4031" s="783" t="s">
        <v>4028</v>
      </c>
      <c r="H4031" s="783" t="s">
        <v>4362</v>
      </c>
      <c r="I4031" s="783" t="s">
        <v>4363</v>
      </c>
      <c r="J4031" s="783">
        <v>15</v>
      </c>
      <c r="K4031" s="783" t="s">
        <v>1141</v>
      </c>
      <c r="L4031" s="783" t="s">
        <v>4014</v>
      </c>
      <c r="M4031" s="784">
        <v>14926.46</v>
      </c>
      <c r="N4031" s="784">
        <v>18.43</v>
      </c>
      <c r="O4031" s="784">
        <v>6.23</v>
      </c>
      <c r="P4031" s="783">
        <v>130</v>
      </c>
      <c r="Q4031" s="783">
        <v>1100.08</v>
      </c>
      <c r="R4031" s="783">
        <v>465.71</v>
      </c>
      <c r="S4031" s="783">
        <v>76.12</v>
      </c>
      <c r="T4031" s="783">
        <v>558.25</v>
      </c>
      <c r="U4031" s="785">
        <v>44680.483090277798</v>
      </c>
    </row>
    <row r="4032" spans="1:21">
      <c r="A4032" s="782">
        <v>44714</v>
      </c>
      <c r="B4032" s="783" t="s">
        <v>41</v>
      </c>
      <c r="C4032" s="783" t="s">
        <v>4008</v>
      </c>
      <c r="D4032" s="783" t="s">
        <v>4009</v>
      </c>
      <c r="E4032" s="783" t="s">
        <v>5535</v>
      </c>
      <c r="F4032" s="783" t="s">
        <v>4011</v>
      </c>
      <c r="G4032" s="783" t="str">
        <f t="shared" ref="G4032:G4047" si="214">VLOOKUP(I4032,pacage,2,FALSE)</f>
        <v>Renewal (20% in 2020)</v>
      </c>
      <c r="H4032" s="783" t="s">
        <v>5536</v>
      </c>
      <c r="I4032" s="783" t="s">
        <v>5537</v>
      </c>
      <c r="J4032" s="783">
        <v>20</v>
      </c>
      <c r="K4032" s="783" t="s">
        <v>1141</v>
      </c>
      <c r="L4032" s="783" t="s">
        <v>4014</v>
      </c>
      <c r="M4032" s="784">
        <v>6821.2</v>
      </c>
      <c r="N4032" s="784">
        <v>7.13</v>
      </c>
      <c r="O4032" s="784">
        <v>5.53</v>
      </c>
      <c r="P4032" s="783">
        <v>173</v>
      </c>
      <c r="Q4032" s="783">
        <v>328.78</v>
      </c>
      <c r="R4032" s="783">
        <v>143.72</v>
      </c>
      <c r="S4032" s="783">
        <v>70.47</v>
      </c>
      <c r="T4032" s="783">
        <v>114.6</v>
      </c>
      <c r="U4032" s="785">
        <v>44715.5711226852</v>
      </c>
    </row>
    <row r="4033" spans="1:21">
      <c r="A4033" s="782">
        <v>44680</v>
      </c>
      <c r="B4033" s="783" t="s">
        <v>47</v>
      </c>
      <c r="C4033" s="783" t="s">
        <v>4101</v>
      </c>
      <c r="D4033" s="783" t="s">
        <v>4102</v>
      </c>
      <c r="E4033" s="783" t="s">
        <v>4638</v>
      </c>
      <c r="F4033" s="783" t="s">
        <v>4011</v>
      </c>
      <c r="G4033" s="783" t="str">
        <f t="shared" si="214"/>
        <v>Renewal (15% in 2020)</v>
      </c>
      <c r="H4033" s="783" t="s">
        <v>4639</v>
      </c>
      <c r="I4033" s="783" t="s">
        <v>4640</v>
      </c>
      <c r="J4033" s="783">
        <v>15</v>
      </c>
      <c r="K4033" s="783" t="s">
        <v>1141</v>
      </c>
      <c r="L4033" s="783" t="s">
        <v>4014</v>
      </c>
      <c r="M4033" s="784">
        <v>12420</v>
      </c>
      <c r="N4033" s="784">
        <v>12.42</v>
      </c>
      <c r="O4033" s="784">
        <v>5</v>
      </c>
      <c r="P4033" s="783">
        <v>200</v>
      </c>
      <c r="Q4033" s="783">
        <v>592.42999999999995</v>
      </c>
      <c r="R4033" s="783">
        <v>178.57</v>
      </c>
      <c r="S4033" s="783">
        <v>125.72</v>
      </c>
      <c r="T4033" s="783">
        <v>288.14</v>
      </c>
      <c r="U4033" s="785">
        <v>44683.488113425898</v>
      </c>
    </row>
    <row r="4034" spans="1:21">
      <c r="A4034" s="782">
        <v>44711</v>
      </c>
      <c r="B4034" s="783" t="s">
        <v>51</v>
      </c>
      <c r="C4034" s="783" t="s">
        <v>4015</v>
      </c>
      <c r="D4034" s="783" t="s">
        <v>4016</v>
      </c>
      <c r="E4034" s="783" t="s">
        <v>5689</v>
      </c>
      <c r="F4034" s="783" t="s">
        <v>4011</v>
      </c>
      <c r="G4034" s="783" t="str">
        <f t="shared" si="214"/>
        <v>Renewal (15% in 2020)</v>
      </c>
      <c r="H4034" s="783" t="s">
        <v>5690</v>
      </c>
      <c r="I4034" s="783" t="s">
        <v>5691</v>
      </c>
      <c r="J4034" s="783">
        <v>15</v>
      </c>
      <c r="K4034" s="783" t="s">
        <v>1141</v>
      </c>
      <c r="L4034" s="783" t="s">
        <v>4014</v>
      </c>
      <c r="M4034" s="784">
        <v>3760</v>
      </c>
      <c r="N4034" s="784">
        <v>5</v>
      </c>
      <c r="O4034" s="784">
        <v>4.7</v>
      </c>
      <c r="P4034" s="783">
        <v>160</v>
      </c>
      <c r="Q4034" s="783">
        <v>423</v>
      </c>
      <c r="R4034" s="783">
        <v>155.77000000000001</v>
      </c>
      <c r="S4034" s="783">
        <v>57.05</v>
      </c>
      <c r="T4034" s="783">
        <v>210.18</v>
      </c>
      <c r="U4034" s="785">
        <v>44713.541979166701</v>
      </c>
    </row>
    <row r="4035" spans="1:21">
      <c r="A4035" s="782">
        <v>44711</v>
      </c>
      <c r="B4035" s="783" t="s">
        <v>113</v>
      </c>
      <c r="C4035" s="783" t="s">
        <v>4376</v>
      </c>
      <c r="D4035" s="783" t="s">
        <v>4038</v>
      </c>
      <c r="E4035" s="783" t="s">
        <v>4377</v>
      </c>
      <c r="F4035" s="783" t="s">
        <v>4011</v>
      </c>
      <c r="G4035" s="783" t="str">
        <f t="shared" si="214"/>
        <v>Renewal (15% in 2020)</v>
      </c>
      <c r="H4035" s="783" t="s">
        <v>4378</v>
      </c>
      <c r="I4035" s="783" t="s">
        <v>4379</v>
      </c>
      <c r="J4035" s="783">
        <v>15</v>
      </c>
      <c r="K4035" s="783" t="s">
        <v>1141</v>
      </c>
      <c r="L4035" s="783" t="s">
        <v>4014</v>
      </c>
      <c r="M4035" s="784">
        <v>18893.25</v>
      </c>
      <c r="N4035" s="784">
        <v>12.15</v>
      </c>
      <c r="O4035" s="784">
        <v>6.22</v>
      </c>
      <c r="P4035" s="783">
        <v>250</v>
      </c>
      <c r="Q4035" s="783">
        <v>2376.77</v>
      </c>
      <c r="R4035" s="783">
        <v>536.64</v>
      </c>
      <c r="S4035" s="783">
        <v>619.62</v>
      </c>
      <c r="T4035" s="783">
        <v>1220.5</v>
      </c>
      <c r="U4035" s="785">
        <v>44713.5222222222</v>
      </c>
    </row>
    <row r="4036" spans="1:21">
      <c r="A4036" s="782">
        <v>44711</v>
      </c>
      <c r="B4036" s="783" t="s">
        <v>113</v>
      </c>
      <c r="C4036" s="783" t="s">
        <v>4097</v>
      </c>
      <c r="D4036" s="783" t="s">
        <v>4038</v>
      </c>
      <c r="E4036" s="783" t="s">
        <v>4377</v>
      </c>
      <c r="F4036" s="783" t="s">
        <v>4011</v>
      </c>
      <c r="G4036" s="783" t="str">
        <f t="shared" si="214"/>
        <v>Renewal (15% in 2020)</v>
      </c>
      <c r="H4036" s="783" t="s">
        <v>4378</v>
      </c>
      <c r="I4036" s="783" t="s">
        <v>4379</v>
      </c>
      <c r="J4036" s="783">
        <v>15</v>
      </c>
      <c r="K4036" s="783" t="s">
        <v>1141</v>
      </c>
      <c r="L4036" s="783" t="s">
        <v>4014</v>
      </c>
      <c r="M4036" s="784">
        <v>16265.3</v>
      </c>
      <c r="N4036" s="784">
        <v>10.46</v>
      </c>
      <c r="O4036" s="784">
        <v>6.22</v>
      </c>
      <c r="P4036" s="783">
        <v>250</v>
      </c>
      <c r="Q4036" s="783">
        <v>1198.75</v>
      </c>
      <c r="R4036" s="783">
        <v>274.04000000000002</v>
      </c>
      <c r="S4036" s="783">
        <v>316.39</v>
      </c>
      <c r="T4036" s="783">
        <v>608.32000000000005</v>
      </c>
      <c r="U4036" s="785">
        <v>44713.5222222222</v>
      </c>
    </row>
    <row r="4037" spans="1:21">
      <c r="A4037" s="782">
        <v>44714</v>
      </c>
      <c r="B4037" s="783" t="s">
        <v>113</v>
      </c>
      <c r="C4037" s="783" t="s">
        <v>4606</v>
      </c>
      <c r="D4037" s="783" t="s">
        <v>4009</v>
      </c>
      <c r="E4037" s="783" t="s">
        <v>6743</v>
      </c>
      <c r="F4037" s="783" t="s">
        <v>4011</v>
      </c>
      <c r="G4037" s="783" t="str">
        <f t="shared" si="214"/>
        <v>Renewal (25% in 2020)</v>
      </c>
      <c r="H4037" s="783" t="s">
        <v>6744</v>
      </c>
      <c r="I4037" s="783" t="s">
        <v>6745</v>
      </c>
      <c r="J4037" s="783">
        <v>25</v>
      </c>
      <c r="K4037" s="783" t="s">
        <v>1141</v>
      </c>
      <c r="L4037" s="783" t="s">
        <v>4014</v>
      </c>
      <c r="M4037" s="784">
        <v>1620.27</v>
      </c>
      <c r="N4037" s="784">
        <v>2.7</v>
      </c>
      <c r="O4037" s="784">
        <v>3.53</v>
      </c>
      <c r="P4037" s="783">
        <v>170</v>
      </c>
      <c r="Q4037" s="783">
        <v>98.35</v>
      </c>
      <c r="R4037" s="783">
        <v>53.27</v>
      </c>
      <c r="S4037" s="783">
        <v>24.99</v>
      </c>
      <c r="T4037" s="783">
        <v>20.09</v>
      </c>
      <c r="U4037" s="785">
        <v>44715.456770833298</v>
      </c>
    </row>
    <row r="4038" spans="1:21">
      <c r="A4038" s="782">
        <v>44694</v>
      </c>
      <c r="B4038" s="783" t="s">
        <v>41</v>
      </c>
      <c r="C4038" s="783" t="s">
        <v>4139</v>
      </c>
      <c r="D4038" s="783" t="s">
        <v>4009</v>
      </c>
      <c r="E4038" s="783" t="s">
        <v>6587</v>
      </c>
      <c r="F4038" s="783" t="s">
        <v>4011</v>
      </c>
      <c r="G4038" s="783" t="str">
        <f t="shared" si="214"/>
        <v>New Contract</v>
      </c>
      <c r="H4038" s="783" t="s">
        <v>6588</v>
      </c>
      <c r="I4038" s="783" t="s">
        <v>6589</v>
      </c>
      <c r="J4038" s="783">
        <v>15</v>
      </c>
      <c r="K4038" s="783" t="s">
        <v>1141</v>
      </c>
      <c r="L4038" s="783" t="s">
        <v>4014</v>
      </c>
      <c r="M4038" s="784">
        <v>4747.3599999999997</v>
      </c>
      <c r="N4038" s="784">
        <v>9.0399999999999991</v>
      </c>
      <c r="O4038" s="784">
        <v>3.89</v>
      </c>
      <c r="P4038" s="783">
        <v>135</v>
      </c>
      <c r="Q4038" s="783">
        <v>417.77</v>
      </c>
      <c r="R4038" s="783">
        <v>187.52</v>
      </c>
      <c r="S4038" s="783">
        <v>30.38</v>
      </c>
      <c r="T4038" s="783">
        <v>199.86</v>
      </c>
      <c r="U4038" s="785">
        <v>44694.5305324074</v>
      </c>
    </row>
    <row r="4039" spans="1:21">
      <c r="A4039" s="782">
        <v>44699</v>
      </c>
      <c r="B4039" s="783" t="s">
        <v>74</v>
      </c>
      <c r="C4039" s="783" t="s">
        <v>4097</v>
      </c>
      <c r="D4039" s="783" t="s">
        <v>4038</v>
      </c>
      <c r="E4039" s="783" t="s">
        <v>5797</v>
      </c>
      <c r="F4039" s="783" t="s">
        <v>4011</v>
      </c>
      <c r="G4039" s="783" t="str">
        <f t="shared" si="214"/>
        <v>Renewal (15% in 2020)</v>
      </c>
      <c r="H4039" s="783" t="s">
        <v>5798</v>
      </c>
      <c r="I4039" s="783" t="s">
        <v>5799</v>
      </c>
      <c r="J4039" s="783">
        <v>15</v>
      </c>
      <c r="K4039" s="783" t="s">
        <v>1141</v>
      </c>
      <c r="L4039" s="783" t="s">
        <v>4014</v>
      </c>
      <c r="M4039" s="784">
        <v>25784.86</v>
      </c>
      <c r="N4039" s="784">
        <v>22.67</v>
      </c>
      <c r="O4039" s="784">
        <v>5.17</v>
      </c>
      <c r="P4039" s="783">
        <v>220</v>
      </c>
      <c r="Q4039" s="783">
        <v>1900.34</v>
      </c>
      <c r="R4039" s="783">
        <v>493.66</v>
      </c>
      <c r="S4039" s="783">
        <v>442.33</v>
      </c>
      <c r="T4039" s="783">
        <v>964.35</v>
      </c>
      <c r="U4039" s="785">
        <v>44700.537696759297</v>
      </c>
    </row>
    <row r="4040" spans="1:21">
      <c r="A4040" s="782">
        <v>44698</v>
      </c>
      <c r="B4040" s="783" t="s">
        <v>30</v>
      </c>
      <c r="C4040" s="783" t="s">
        <v>4239</v>
      </c>
      <c r="D4040" s="783" t="s">
        <v>4021</v>
      </c>
      <c r="E4040" s="783" t="s">
        <v>5800</v>
      </c>
      <c r="F4040" s="783" t="s">
        <v>4011</v>
      </c>
      <c r="G4040" s="783" t="str">
        <f t="shared" si="214"/>
        <v>Renewal (20% in 2020)</v>
      </c>
      <c r="H4040" s="783" t="s">
        <v>5801</v>
      </c>
      <c r="I4040" s="783" t="s">
        <v>5802</v>
      </c>
      <c r="J4040" s="783">
        <v>20</v>
      </c>
      <c r="K4040" s="783" t="s">
        <v>1141</v>
      </c>
      <c r="L4040" s="783" t="s">
        <v>4014</v>
      </c>
      <c r="M4040" s="784">
        <v>7440</v>
      </c>
      <c r="N4040" s="784">
        <v>7.44</v>
      </c>
      <c r="O4040" s="784">
        <v>10</v>
      </c>
      <c r="P4040" s="783">
        <v>100</v>
      </c>
      <c r="Q4040" s="783">
        <v>401.02</v>
      </c>
      <c r="R4040" s="783">
        <v>218.74</v>
      </c>
      <c r="S4040" s="783">
        <v>51.34</v>
      </c>
      <c r="T4040" s="783">
        <v>130.94</v>
      </c>
      <c r="U4040" s="785">
        <v>44699.487800925897</v>
      </c>
    </row>
    <row r="4041" spans="1:21">
      <c r="A4041" s="782">
        <v>44698</v>
      </c>
      <c r="B4041" s="783" t="s">
        <v>4025</v>
      </c>
      <c r="C4041" s="783" t="s">
        <v>4026</v>
      </c>
      <c r="D4041" s="783" t="s">
        <v>4021</v>
      </c>
      <c r="E4041" s="783" t="s">
        <v>5806</v>
      </c>
      <c r="F4041" s="783" t="s">
        <v>4011</v>
      </c>
      <c r="G4041" s="783" t="str">
        <f t="shared" si="214"/>
        <v>New Contract</v>
      </c>
      <c r="H4041" s="783" t="s">
        <v>5807</v>
      </c>
      <c r="I4041" s="783" t="s">
        <v>5808</v>
      </c>
      <c r="J4041" s="783">
        <v>20</v>
      </c>
      <c r="K4041" s="783" t="s">
        <v>1141</v>
      </c>
      <c r="L4041" s="783" t="s">
        <v>4014</v>
      </c>
      <c r="M4041" s="784">
        <v>14298.17</v>
      </c>
      <c r="N4041" s="784">
        <v>14.78</v>
      </c>
      <c r="O4041" s="784">
        <v>6.91</v>
      </c>
      <c r="P4041" s="783">
        <v>140</v>
      </c>
      <c r="Q4041" s="783">
        <v>1002.3</v>
      </c>
      <c r="R4041" s="783">
        <v>550.12</v>
      </c>
      <c r="S4041" s="783">
        <v>113.31</v>
      </c>
      <c r="T4041" s="783">
        <v>338.87</v>
      </c>
      <c r="U4041" s="785">
        <v>44699.4816782407</v>
      </c>
    </row>
    <row r="4042" spans="1:21">
      <c r="A4042" s="782">
        <v>44711</v>
      </c>
      <c r="B4042" s="783" t="s">
        <v>74</v>
      </c>
      <c r="C4042" s="783" t="s">
        <v>4097</v>
      </c>
      <c r="D4042" s="783" t="s">
        <v>4038</v>
      </c>
      <c r="E4042" s="783" t="s">
        <v>6504</v>
      </c>
      <c r="F4042" s="783" t="s">
        <v>4011</v>
      </c>
      <c r="G4042" s="783" t="str">
        <f t="shared" si="214"/>
        <v>Renewal (15% in 2020)</v>
      </c>
      <c r="H4042" s="783" t="s">
        <v>6505</v>
      </c>
      <c r="I4042" s="783" t="s">
        <v>6506</v>
      </c>
      <c r="J4042" s="783">
        <v>20</v>
      </c>
      <c r="K4042" s="783" t="s">
        <v>1141</v>
      </c>
      <c r="L4042" s="783" t="s">
        <v>4014</v>
      </c>
      <c r="M4042" s="784">
        <v>1405.9</v>
      </c>
      <c r="N4042" s="784">
        <v>2.23</v>
      </c>
      <c r="O4042" s="784">
        <v>4.67</v>
      </c>
      <c r="P4042" s="783">
        <v>135</v>
      </c>
      <c r="Q4042" s="783">
        <v>78.73</v>
      </c>
      <c r="R4042" s="783">
        <v>43.86</v>
      </c>
      <c r="S4042" s="783">
        <v>7.17</v>
      </c>
      <c r="T4042" s="783">
        <v>27.7</v>
      </c>
      <c r="U4042" s="785">
        <v>44714.000162037002</v>
      </c>
    </row>
    <row r="4043" spans="1:21">
      <c r="A4043" s="782">
        <v>44711</v>
      </c>
      <c r="B4043" s="783" t="s">
        <v>113</v>
      </c>
      <c r="C4043" s="783" t="s">
        <v>4097</v>
      </c>
      <c r="D4043" s="783" t="s">
        <v>4038</v>
      </c>
      <c r="E4043" s="783" t="s">
        <v>172</v>
      </c>
      <c r="F4043" s="783" t="s">
        <v>4011</v>
      </c>
      <c r="G4043" s="783" t="str">
        <f t="shared" si="214"/>
        <v>Renewal (25% in 2020)</v>
      </c>
      <c r="H4043" s="783" t="s">
        <v>5892</v>
      </c>
      <c r="I4043" s="783" t="s">
        <v>5893</v>
      </c>
      <c r="J4043" s="783">
        <v>25</v>
      </c>
      <c r="K4043" s="783" t="s">
        <v>1141</v>
      </c>
      <c r="L4043" s="783" t="s">
        <v>4014</v>
      </c>
      <c r="M4043" s="784">
        <v>11825.6</v>
      </c>
      <c r="N4043" s="784">
        <v>11.69</v>
      </c>
      <c r="O4043" s="784">
        <v>5.62</v>
      </c>
      <c r="P4043" s="783">
        <v>180</v>
      </c>
      <c r="Q4043" s="783">
        <v>522.69000000000005</v>
      </c>
      <c r="R4043" s="783">
        <v>276.72000000000003</v>
      </c>
      <c r="S4043" s="783">
        <v>152.55000000000001</v>
      </c>
      <c r="T4043" s="783">
        <v>93.42</v>
      </c>
      <c r="U4043" s="785">
        <v>44713.519942129598</v>
      </c>
    </row>
    <row r="4044" spans="1:21">
      <c r="A4044" s="782">
        <v>44670</v>
      </c>
      <c r="B4044" s="783" t="s">
        <v>3078</v>
      </c>
      <c r="C4044" s="783" t="s">
        <v>4414</v>
      </c>
      <c r="D4044" s="783" t="s">
        <v>4009</v>
      </c>
      <c r="E4044" s="783" t="s">
        <v>5915</v>
      </c>
      <c r="F4044" s="783" t="s">
        <v>4011</v>
      </c>
      <c r="G4044" s="783" t="str">
        <f t="shared" si="214"/>
        <v>Renewal (25% in 2020)</v>
      </c>
      <c r="H4044" s="783" t="s">
        <v>5916</v>
      </c>
      <c r="I4044" s="783" t="s">
        <v>5917</v>
      </c>
      <c r="J4044" s="783">
        <v>25</v>
      </c>
      <c r="K4044" s="783" t="s">
        <v>1141</v>
      </c>
      <c r="L4044" s="783" t="s">
        <v>4014</v>
      </c>
      <c r="M4044" s="784">
        <v>13639.16</v>
      </c>
      <c r="N4044" s="784">
        <v>10.61</v>
      </c>
      <c r="O4044" s="784">
        <v>8.57</v>
      </c>
      <c r="P4044" s="783">
        <v>150</v>
      </c>
      <c r="Q4044" s="783">
        <v>928.83</v>
      </c>
      <c r="R4044" s="783">
        <v>559.75</v>
      </c>
      <c r="S4044" s="783">
        <v>163.12</v>
      </c>
      <c r="T4044" s="783">
        <v>205.95</v>
      </c>
      <c r="U4044" s="785">
        <v>44671.496898148202</v>
      </c>
    </row>
    <row r="4045" spans="1:21">
      <c r="A4045" s="782">
        <v>44652</v>
      </c>
      <c r="B4045" s="783" t="s">
        <v>113</v>
      </c>
      <c r="C4045" s="783" t="s">
        <v>4606</v>
      </c>
      <c r="D4045" s="783" t="s">
        <v>4009</v>
      </c>
      <c r="E4045" s="783" t="s">
        <v>7029</v>
      </c>
      <c r="F4045" s="783" t="s">
        <v>4011</v>
      </c>
      <c r="G4045" s="783" t="str">
        <f t="shared" si="214"/>
        <v>Renewal (25% in 2020)</v>
      </c>
      <c r="H4045" s="783" t="s">
        <v>7030</v>
      </c>
      <c r="I4045" s="783" t="s">
        <v>7031</v>
      </c>
      <c r="J4045" s="783">
        <v>25</v>
      </c>
      <c r="K4045" s="783" t="s">
        <v>1141</v>
      </c>
      <c r="L4045" s="783" t="s">
        <v>4014</v>
      </c>
      <c r="M4045" s="784">
        <v>1179.75</v>
      </c>
      <c r="N4045" s="784">
        <v>1.3</v>
      </c>
      <c r="O4045" s="784">
        <v>5.5</v>
      </c>
      <c r="P4045" s="783">
        <v>165</v>
      </c>
      <c r="Q4045" s="783">
        <v>71.61</v>
      </c>
      <c r="R4045" s="783">
        <v>39.96</v>
      </c>
      <c r="S4045" s="783">
        <v>17.02</v>
      </c>
      <c r="T4045" s="783">
        <v>14.63</v>
      </c>
      <c r="U4045" s="785">
        <v>44655.5143634259</v>
      </c>
    </row>
    <row r="4046" spans="1:21">
      <c r="A4046" s="782">
        <v>44424</v>
      </c>
      <c r="B4046" s="783" t="s">
        <v>228</v>
      </c>
      <c r="C4046" s="783" t="s">
        <v>4020</v>
      </c>
      <c r="D4046" s="783" t="s">
        <v>4021</v>
      </c>
      <c r="E4046" s="783" t="s">
        <v>1026</v>
      </c>
      <c r="F4046" s="783" t="s">
        <v>4011</v>
      </c>
      <c r="G4046" s="783" t="str">
        <f t="shared" si="214"/>
        <v>Renewal (20% in 2020)</v>
      </c>
      <c r="H4046" s="783" t="s">
        <v>4242</v>
      </c>
      <c r="I4046" s="783" t="s">
        <v>4243</v>
      </c>
      <c r="J4046" s="783">
        <v>20</v>
      </c>
      <c r="K4046" s="783" t="s">
        <v>1141</v>
      </c>
      <c r="L4046" s="783" t="s">
        <v>4014</v>
      </c>
      <c r="M4046" s="784">
        <v>7730.03</v>
      </c>
      <c r="N4046" s="784">
        <v>10.31</v>
      </c>
      <c r="O4046" s="784">
        <v>4.26</v>
      </c>
      <c r="P4046" s="783">
        <v>176</v>
      </c>
      <c r="Q4046" s="783">
        <v>426.7</v>
      </c>
      <c r="R4046" s="783">
        <v>188.55</v>
      </c>
      <c r="S4046" s="783">
        <v>98.23</v>
      </c>
      <c r="T4046" s="783">
        <v>139.91</v>
      </c>
      <c r="U4046" s="785">
        <v>44631.632581018501</v>
      </c>
    </row>
    <row r="4047" spans="1:21">
      <c r="A4047" s="782">
        <v>44531</v>
      </c>
      <c r="B4047" s="783" t="s">
        <v>74</v>
      </c>
      <c r="C4047" s="783" t="s">
        <v>4097</v>
      </c>
      <c r="D4047" s="783" t="s">
        <v>4038</v>
      </c>
      <c r="E4047" s="783" t="s">
        <v>4437</v>
      </c>
      <c r="F4047" s="783" t="s">
        <v>4011</v>
      </c>
      <c r="G4047" s="783" t="str">
        <f t="shared" si="214"/>
        <v>Renewal (20% in 2020)</v>
      </c>
      <c r="H4047" s="783" t="s">
        <v>4438</v>
      </c>
      <c r="I4047" s="783" t="s">
        <v>4439</v>
      </c>
      <c r="J4047" s="783">
        <v>20</v>
      </c>
      <c r="K4047" s="783" t="s">
        <v>1141</v>
      </c>
      <c r="L4047" s="783" t="s">
        <v>4014</v>
      </c>
      <c r="M4047" s="784">
        <v>6075</v>
      </c>
      <c r="N4047" s="784">
        <v>7.5</v>
      </c>
      <c r="O4047" s="784">
        <v>5.4</v>
      </c>
      <c r="P4047" s="783">
        <v>150</v>
      </c>
      <c r="Q4047" s="783">
        <v>340.2</v>
      </c>
      <c r="R4047" s="783">
        <v>170.59</v>
      </c>
      <c r="S4047" s="783">
        <v>49.94</v>
      </c>
      <c r="T4047" s="783">
        <v>119.68</v>
      </c>
      <c r="U4047" s="785">
        <v>44631.636215277802</v>
      </c>
    </row>
    <row r="4048" spans="1:21">
      <c r="A4048" s="782">
        <v>44539</v>
      </c>
      <c r="B4048" s="783" t="s">
        <v>74</v>
      </c>
      <c r="C4048" s="783" t="s">
        <v>4097</v>
      </c>
      <c r="D4048" s="783" t="s">
        <v>4038</v>
      </c>
      <c r="E4048" s="783" t="s">
        <v>4705</v>
      </c>
      <c r="F4048" s="783" t="s">
        <v>4066</v>
      </c>
      <c r="G4048" s="783" t="s">
        <v>4028</v>
      </c>
      <c r="H4048" s="783" t="s">
        <v>4706</v>
      </c>
      <c r="I4048" s="783" t="s">
        <v>4707</v>
      </c>
      <c r="J4048" s="783">
        <v>10</v>
      </c>
      <c r="K4048" s="783" t="s">
        <v>1141</v>
      </c>
      <c r="L4048" s="783" t="s">
        <v>4014</v>
      </c>
      <c r="M4048" s="784">
        <v>49584</v>
      </c>
      <c r="N4048" s="784">
        <v>41.32</v>
      </c>
      <c r="O4048" s="784">
        <v>6</v>
      </c>
      <c r="P4048" s="783">
        <v>200</v>
      </c>
      <c r="Q4048" s="783">
        <v>877.64</v>
      </c>
      <c r="R4048" s="783">
        <v>0</v>
      </c>
      <c r="S4048" s="783">
        <v>0</v>
      </c>
      <c r="T4048" s="783">
        <v>877.64</v>
      </c>
      <c r="U4048" s="785">
        <v>44631.632731481499</v>
      </c>
    </row>
    <row r="4049" spans="1:21">
      <c r="A4049" s="782">
        <v>44455</v>
      </c>
      <c r="B4049" s="783" t="s">
        <v>41</v>
      </c>
      <c r="C4049" s="783" t="s">
        <v>4071</v>
      </c>
      <c r="D4049" s="783" t="s">
        <v>4009</v>
      </c>
      <c r="E4049" s="783" t="s">
        <v>366</v>
      </c>
      <c r="F4049" s="783" t="s">
        <v>4011</v>
      </c>
      <c r="G4049" s="783" t="str">
        <f t="shared" ref="G4049:G4086" si="215">VLOOKUP(I4049,pacage,2,FALSE)</f>
        <v>Renewal (15% in 2020)</v>
      </c>
      <c r="H4049" s="783" t="s">
        <v>6186</v>
      </c>
      <c r="I4049" s="783" t="s">
        <v>6187</v>
      </c>
      <c r="J4049" s="783">
        <v>15</v>
      </c>
      <c r="K4049" s="783" t="s">
        <v>1141</v>
      </c>
      <c r="L4049" s="783" t="s">
        <v>4014</v>
      </c>
      <c r="M4049" s="784">
        <v>10692</v>
      </c>
      <c r="N4049" s="784">
        <v>16.5</v>
      </c>
      <c r="O4049" s="784">
        <v>4.8</v>
      </c>
      <c r="P4049" s="783">
        <v>135</v>
      </c>
      <c r="Q4049" s="783">
        <v>705.67</v>
      </c>
      <c r="R4049" s="783">
        <v>316.48</v>
      </c>
      <c r="S4049" s="783">
        <v>49.18</v>
      </c>
      <c r="T4049" s="783">
        <v>340.01</v>
      </c>
      <c r="U4049" s="785">
        <v>44631.636377314797</v>
      </c>
    </row>
    <row r="4050" spans="1:21">
      <c r="A4050" s="782">
        <v>44624</v>
      </c>
      <c r="B4050" s="783" t="s">
        <v>41</v>
      </c>
      <c r="C4050" s="783" t="s">
        <v>4008</v>
      </c>
      <c r="D4050" s="783" t="s">
        <v>4009</v>
      </c>
      <c r="E4050" s="783" t="s">
        <v>6188</v>
      </c>
      <c r="F4050" s="783" t="s">
        <v>4011</v>
      </c>
      <c r="G4050" s="783" t="str">
        <f t="shared" si="215"/>
        <v>Renewal (20% in 2020)</v>
      </c>
      <c r="H4050" s="783" t="s">
        <v>6189</v>
      </c>
      <c r="I4050" s="783" t="s">
        <v>6190</v>
      </c>
      <c r="J4050" s="783">
        <v>20</v>
      </c>
      <c r="K4050" s="783" t="s">
        <v>1141</v>
      </c>
      <c r="L4050" s="783" t="s">
        <v>4014</v>
      </c>
      <c r="M4050" s="784">
        <v>17322.5</v>
      </c>
      <c r="N4050" s="784">
        <v>25</v>
      </c>
      <c r="O4050" s="784">
        <v>5.33</v>
      </c>
      <c r="P4050" s="783">
        <v>130</v>
      </c>
      <c r="Q4050" s="783">
        <v>834.94</v>
      </c>
      <c r="R4050" s="783">
        <v>467.71</v>
      </c>
      <c r="S4050" s="783">
        <v>76.22</v>
      </c>
      <c r="T4050" s="783">
        <v>291.02</v>
      </c>
      <c r="U4050" s="785">
        <v>44631.638449074097</v>
      </c>
    </row>
    <row r="4051" spans="1:21">
      <c r="A4051" s="782">
        <v>44552</v>
      </c>
      <c r="B4051" s="783" t="s">
        <v>74</v>
      </c>
      <c r="C4051" s="783" t="s">
        <v>4097</v>
      </c>
      <c r="D4051" s="783" t="s">
        <v>4038</v>
      </c>
      <c r="E4051" s="783" t="s">
        <v>4726</v>
      </c>
      <c r="F4051" s="783" t="s">
        <v>4011</v>
      </c>
      <c r="G4051" s="783" t="str">
        <f t="shared" si="215"/>
        <v>Renewal (15% in 2020)</v>
      </c>
      <c r="H4051" s="783" t="s">
        <v>4727</v>
      </c>
      <c r="I4051" s="783" t="s">
        <v>4728</v>
      </c>
      <c r="J4051" s="783">
        <v>15</v>
      </c>
      <c r="K4051" s="783" t="s">
        <v>1141</v>
      </c>
      <c r="L4051" s="783" t="s">
        <v>4014</v>
      </c>
      <c r="M4051" s="784">
        <v>20655</v>
      </c>
      <c r="N4051" s="784">
        <v>25</v>
      </c>
      <c r="O4051" s="784">
        <v>4.8600000000000003</v>
      </c>
      <c r="P4051" s="783">
        <v>170</v>
      </c>
      <c r="Q4051" s="783">
        <v>1522.27</v>
      </c>
      <c r="R4051" s="783">
        <v>511.76</v>
      </c>
      <c r="S4051" s="783">
        <v>238.02</v>
      </c>
      <c r="T4051" s="783">
        <v>772.5</v>
      </c>
      <c r="U4051" s="785">
        <v>44631.637210648201</v>
      </c>
    </row>
    <row r="4052" spans="1:21">
      <c r="A4052" s="782">
        <v>44558</v>
      </c>
      <c r="B4052" s="783" t="s">
        <v>74</v>
      </c>
      <c r="C4052" s="783" t="s">
        <v>4037</v>
      </c>
      <c r="D4052" s="783" t="s">
        <v>4038</v>
      </c>
      <c r="E4052" s="783" t="s">
        <v>4452</v>
      </c>
      <c r="F4052" s="783" t="s">
        <v>4011</v>
      </c>
      <c r="G4052" s="783" t="str">
        <f t="shared" si="215"/>
        <v>Renewal (20% in 2020)</v>
      </c>
      <c r="H4052" s="783" t="s">
        <v>4453</v>
      </c>
      <c r="I4052" s="783" t="s">
        <v>4454</v>
      </c>
      <c r="J4052" s="783">
        <v>25</v>
      </c>
      <c r="K4052" s="783" t="s">
        <v>1141</v>
      </c>
      <c r="L4052" s="783" t="s">
        <v>4014</v>
      </c>
      <c r="M4052" s="784">
        <v>6132.24</v>
      </c>
      <c r="N4052" s="784">
        <v>6.68</v>
      </c>
      <c r="O4052" s="784">
        <v>5.4</v>
      </c>
      <c r="P4052" s="783">
        <v>170</v>
      </c>
      <c r="Q4052" s="783">
        <v>463.6</v>
      </c>
      <c r="R4052" s="783">
        <v>246.41</v>
      </c>
      <c r="S4052" s="783">
        <v>114.78</v>
      </c>
      <c r="T4052" s="783">
        <v>102.41</v>
      </c>
      <c r="U4052" s="785">
        <v>44631.637071759302</v>
      </c>
    </row>
    <row r="4053" spans="1:21">
      <c r="A4053" s="782">
        <v>44551</v>
      </c>
      <c r="B4053" s="783" t="s">
        <v>74</v>
      </c>
      <c r="C4053" s="783" t="s">
        <v>4037</v>
      </c>
      <c r="D4053" s="783" t="s">
        <v>4038</v>
      </c>
      <c r="E4053" s="783" t="s">
        <v>4214</v>
      </c>
      <c r="F4053" s="783" t="s">
        <v>4011</v>
      </c>
      <c r="G4053" s="783" t="str">
        <f t="shared" si="215"/>
        <v>New contract</v>
      </c>
      <c r="H4053" s="783" t="s">
        <v>4215</v>
      </c>
      <c r="I4053" s="783" t="s">
        <v>4216</v>
      </c>
      <c r="J4053" s="783">
        <v>25</v>
      </c>
      <c r="K4053" s="783" t="s">
        <v>1141</v>
      </c>
      <c r="L4053" s="783" t="s">
        <v>4014</v>
      </c>
      <c r="M4053" s="784">
        <v>13243.99</v>
      </c>
      <c r="N4053" s="784">
        <v>13.74</v>
      </c>
      <c r="O4053" s="784">
        <v>5.67</v>
      </c>
      <c r="P4053" s="783">
        <v>170</v>
      </c>
      <c r="Q4053" s="783">
        <v>1001.25</v>
      </c>
      <c r="R4053" s="783">
        <v>532.16999999999996</v>
      </c>
      <c r="S4053" s="783">
        <v>247.9</v>
      </c>
      <c r="T4053" s="783">
        <v>221.17</v>
      </c>
      <c r="U4053" s="785">
        <v>44631.637083333299</v>
      </c>
    </row>
    <row r="4054" spans="1:21">
      <c r="A4054" s="782">
        <v>44480</v>
      </c>
      <c r="B4054" s="783" t="s">
        <v>74</v>
      </c>
      <c r="C4054" s="783" t="s">
        <v>4097</v>
      </c>
      <c r="D4054" s="783" t="s">
        <v>4038</v>
      </c>
      <c r="E4054" s="783" t="s">
        <v>4464</v>
      </c>
      <c r="F4054" s="783" t="s">
        <v>4011</v>
      </c>
      <c r="G4054" s="783" t="str">
        <f t="shared" si="215"/>
        <v>Renewal (15% in 2020)</v>
      </c>
      <c r="H4054" s="783" t="s">
        <v>4465</v>
      </c>
      <c r="I4054" s="783" t="s">
        <v>4466</v>
      </c>
      <c r="J4054" s="783">
        <v>15</v>
      </c>
      <c r="K4054" s="783" t="s">
        <v>1141</v>
      </c>
      <c r="L4054" s="783" t="s">
        <v>4014</v>
      </c>
      <c r="M4054" s="784">
        <v>10276.42</v>
      </c>
      <c r="N4054" s="784">
        <v>12.52</v>
      </c>
      <c r="O4054" s="784">
        <v>5.13</v>
      </c>
      <c r="P4054" s="783">
        <v>160</v>
      </c>
      <c r="Q4054" s="783">
        <v>757.37</v>
      </c>
      <c r="R4054" s="783">
        <v>270.52999999999997</v>
      </c>
      <c r="S4054" s="783">
        <v>102.51</v>
      </c>
      <c r="T4054" s="783">
        <v>384.34</v>
      </c>
      <c r="U4054" s="785">
        <v>44631.637326388904</v>
      </c>
    </row>
    <row r="4055" spans="1:21">
      <c r="A4055" s="782">
        <v>44525</v>
      </c>
      <c r="B4055" s="783" t="s">
        <v>74</v>
      </c>
      <c r="C4055" s="783" t="s">
        <v>4097</v>
      </c>
      <c r="D4055" s="783" t="s">
        <v>4038</v>
      </c>
      <c r="E4055" s="783" t="s">
        <v>6365</v>
      </c>
      <c r="F4055" s="783" t="s">
        <v>4011</v>
      </c>
      <c r="G4055" s="783" t="str">
        <f t="shared" si="215"/>
        <v>Renewal (15% in 2020)</v>
      </c>
      <c r="H4055" s="783" t="s">
        <v>6366</v>
      </c>
      <c r="I4055" s="783" t="s">
        <v>6367</v>
      </c>
      <c r="J4055" s="783">
        <v>20</v>
      </c>
      <c r="K4055" s="783" t="s">
        <v>1141</v>
      </c>
      <c r="L4055" s="783" t="s">
        <v>4014</v>
      </c>
      <c r="M4055" s="784">
        <v>14700</v>
      </c>
      <c r="N4055" s="784">
        <v>15</v>
      </c>
      <c r="O4055" s="784">
        <v>5.6</v>
      </c>
      <c r="P4055" s="783">
        <v>175</v>
      </c>
      <c r="Q4055" s="783">
        <v>823.2</v>
      </c>
      <c r="R4055" s="783">
        <v>353.81</v>
      </c>
      <c r="S4055" s="783">
        <v>179.8</v>
      </c>
      <c r="T4055" s="783">
        <v>289.58999999999997</v>
      </c>
      <c r="U4055" s="785">
        <v>44631.638020833299</v>
      </c>
    </row>
    <row r="4056" spans="1:21">
      <c r="A4056" s="782">
        <v>44698</v>
      </c>
      <c r="B4056" s="783" t="s">
        <v>41</v>
      </c>
      <c r="C4056" s="783" t="s">
        <v>4071</v>
      </c>
      <c r="D4056" s="783" t="s">
        <v>4009</v>
      </c>
      <c r="E4056" s="783" t="s">
        <v>6495</v>
      </c>
      <c r="F4056" s="783" t="s">
        <v>4011</v>
      </c>
      <c r="G4056" s="783" t="str">
        <f t="shared" si="215"/>
        <v>Renewal (20% in 2020)</v>
      </c>
      <c r="H4056" s="783" t="s">
        <v>6496</v>
      </c>
      <c r="I4056" s="783" t="s">
        <v>6497</v>
      </c>
      <c r="J4056" s="783">
        <v>20</v>
      </c>
      <c r="K4056" s="783" t="s">
        <v>1177</v>
      </c>
      <c r="L4056" s="783" t="s">
        <v>4014</v>
      </c>
      <c r="M4056" s="784">
        <v>2821</v>
      </c>
      <c r="N4056" s="784">
        <v>2.6</v>
      </c>
      <c r="O4056" s="784">
        <v>3.1</v>
      </c>
      <c r="P4056" s="783">
        <v>350</v>
      </c>
      <c r="Q4056" s="783">
        <v>145.85</v>
      </c>
      <c r="R4056" s="783">
        <v>53.97</v>
      </c>
      <c r="S4056" s="783">
        <v>46.74</v>
      </c>
      <c r="T4056" s="783">
        <v>45.14</v>
      </c>
      <c r="U4056" s="785">
        <v>44699.4859027778</v>
      </c>
    </row>
    <row r="4057" spans="1:21">
      <c r="A4057" s="782">
        <v>44449</v>
      </c>
      <c r="B4057" s="783" t="s">
        <v>41</v>
      </c>
      <c r="C4057" s="783" t="s">
        <v>4139</v>
      </c>
      <c r="D4057" s="783" t="s">
        <v>4009</v>
      </c>
      <c r="E4057" s="783" t="s">
        <v>4495</v>
      </c>
      <c r="F4057" s="783" t="s">
        <v>4011</v>
      </c>
      <c r="G4057" s="783" t="str">
        <f t="shared" si="215"/>
        <v>Renewal (15% in 2020)</v>
      </c>
      <c r="H4057" s="783" t="s">
        <v>4496</v>
      </c>
      <c r="I4057" s="783" t="s">
        <v>4497</v>
      </c>
      <c r="J4057" s="783">
        <v>15</v>
      </c>
      <c r="K4057" s="783" t="s">
        <v>765</v>
      </c>
      <c r="L4057" s="783" t="s">
        <v>4014</v>
      </c>
      <c r="M4057" s="784">
        <v>14378.9</v>
      </c>
      <c r="N4057" s="784">
        <v>16.239999999999998</v>
      </c>
      <c r="O4057" s="784">
        <v>2.33</v>
      </c>
      <c r="P4057" s="783">
        <v>380</v>
      </c>
      <c r="Q4057" s="783">
        <v>983.52</v>
      </c>
      <c r="R4057" s="783">
        <v>441.43</v>
      </c>
      <c r="S4057" s="783">
        <v>70.459999999999994</v>
      </c>
      <c r="T4057" s="783">
        <v>471.63</v>
      </c>
      <c r="U4057" s="785">
        <v>44631.502824074101</v>
      </c>
    </row>
    <row r="4058" spans="1:21">
      <c r="A4058" s="782">
        <v>44495</v>
      </c>
      <c r="B4058" s="783" t="s">
        <v>41</v>
      </c>
      <c r="C4058" s="783" t="s">
        <v>4092</v>
      </c>
      <c r="D4058" s="783" t="s">
        <v>4009</v>
      </c>
      <c r="E4058" s="783" t="s">
        <v>4787</v>
      </c>
      <c r="F4058" s="783" t="s">
        <v>4011</v>
      </c>
      <c r="G4058" s="783" t="str">
        <f t="shared" si="215"/>
        <v>New Contract</v>
      </c>
      <c r="H4058" s="783" t="s">
        <v>4788</v>
      </c>
      <c r="I4058" s="783" t="s">
        <v>4789</v>
      </c>
      <c r="J4058" s="783">
        <v>25</v>
      </c>
      <c r="K4058" s="783" t="s">
        <v>765</v>
      </c>
      <c r="L4058" s="783" t="s">
        <v>4014</v>
      </c>
      <c r="M4058" s="784">
        <v>15558.75</v>
      </c>
      <c r="N4058" s="784">
        <v>15</v>
      </c>
      <c r="O4058" s="784">
        <v>2.25</v>
      </c>
      <c r="P4058" s="783">
        <v>461</v>
      </c>
      <c r="Q4058" s="783">
        <v>1006.65</v>
      </c>
      <c r="R4058" s="783">
        <v>765.49</v>
      </c>
      <c r="S4058" s="783">
        <v>149.36000000000001</v>
      </c>
      <c r="T4058" s="783">
        <v>91.8</v>
      </c>
      <c r="U4058" s="785">
        <v>44631.506666666697</v>
      </c>
    </row>
    <row r="4059" spans="1:21">
      <c r="A4059" s="782">
        <v>44525</v>
      </c>
      <c r="B4059" s="783" t="s">
        <v>347</v>
      </c>
      <c r="C4059" s="783" t="s">
        <v>4139</v>
      </c>
      <c r="D4059" s="783" t="s">
        <v>4009</v>
      </c>
      <c r="E4059" s="783" t="s">
        <v>4790</v>
      </c>
      <c r="F4059" s="783" t="s">
        <v>4011</v>
      </c>
      <c r="G4059" s="783" t="str">
        <f t="shared" si="215"/>
        <v>Renewal (15% in 2020)</v>
      </c>
      <c r="H4059" s="783" t="s">
        <v>4791</v>
      </c>
      <c r="I4059" s="783" t="s">
        <v>4792</v>
      </c>
      <c r="J4059" s="783">
        <v>15</v>
      </c>
      <c r="K4059" s="783" t="s">
        <v>765</v>
      </c>
      <c r="L4059" s="783" t="s">
        <v>4014</v>
      </c>
      <c r="M4059" s="784">
        <v>6746.44</v>
      </c>
      <c r="N4059" s="784">
        <v>7.43</v>
      </c>
      <c r="O4059" s="784">
        <v>2.27</v>
      </c>
      <c r="P4059" s="783">
        <v>400</v>
      </c>
      <c r="Q4059" s="783">
        <v>461.46</v>
      </c>
      <c r="R4059" s="783">
        <v>207.12</v>
      </c>
      <c r="S4059" s="783">
        <v>33.06</v>
      </c>
      <c r="T4059" s="783">
        <v>221.28</v>
      </c>
      <c r="U4059" s="785">
        <v>44631.503148148098</v>
      </c>
    </row>
    <row r="4060" spans="1:21">
      <c r="A4060" s="782">
        <v>44496</v>
      </c>
      <c r="B4060" s="783" t="s">
        <v>30</v>
      </c>
      <c r="C4060" s="783" t="s">
        <v>4089</v>
      </c>
      <c r="D4060" s="783" t="s">
        <v>4021</v>
      </c>
      <c r="E4060" s="783" t="s">
        <v>4793</v>
      </c>
      <c r="F4060" s="783" t="s">
        <v>4011</v>
      </c>
      <c r="G4060" s="783" t="str">
        <f t="shared" si="215"/>
        <v>Renewal (15% in 2020)</v>
      </c>
      <c r="H4060" s="783" t="s">
        <v>4794</v>
      </c>
      <c r="I4060" s="783" t="s">
        <v>4795</v>
      </c>
      <c r="J4060" s="783">
        <v>15</v>
      </c>
      <c r="K4060" s="783" t="s">
        <v>765</v>
      </c>
      <c r="L4060" s="783" t="s">
        <v>4014</v>
      </c>
      <c r="M4060" s="784">
        <v>34800</v>
      </c>
      <c r="N4060" s="784">
        <v>30</v>
      </c>
      <c r="O4060" s="784">
        <v>2.9</v>
      </c>
      <c r="P4060" s="783">
        <v>400</v>
      </c>
      <c r="Q4060" s="783">
        <v>3055.44</v>
      </c>
      <c r="R4060" s="783">
        <v>1552.08</v>
      </c>
      <c r="S4060" s="783">
        <v>257.52</v>
      </c>
      <c r="T4060" s="783">
        <v>1245.8399999999999</v>
      </c>
      <c r="U4060" s="785">
        <v>44631.503113425897</v>
      </c>
    </row>
    <row r="4061" spans="1:21">
      <c r="A4061" s="782">
        <v>44508</v>
      </c>
      <c r="B4061" s="783" t="s">
        <v>41</v>
      </c>
      <c r="C4061" s="783" t="s">
        <v>4092</v>
      </c>
      <c r="D4061" s="783" t="s">
        <v>4009</v>
      </c>
      <c r="E4061" s="783" t="s">
        <v>4800</v>
      </c>
      <c r="F4061" s="783" t="s">
        <v>4011</v>
      </c>
      <c r="G4061" s="783" t="str">
        <f t="shared" si="215"/>
        <v>Renewal (30% in 2020)</v>
      </c>
      <c r="H4061" s="783" t="s">
        <v>4801</v>
      </c>
      <c r="I4061" s="783" t="s">
        <v>4802</v>
      </c>
      <c r="J4061" s="783">
        <v>30</v>
      </c>
      <c r="K4061" s="783" t="s">
        <v>765</v>
      </c>
      <c r="L4061" s="783" t="s">
        <v>4014</v>
      </c>
      <c r="M4061" s="784">
        <v>17433.599999999999</v>
      </c>
      <c r="N4061" s="784">
        <v>19.2</v>
      </c>
      <c r="O4061" s="784">
        <v>2.27</v>
      </c>
      <c r="P4061" s="783">
        <v>400</v>
      </c>
      <c r="Q4061" s="783">
        <v>960.59</v>
      </c>
      <c r="R4061" s="783">
        <v>857.73</v>
      </c>
      <c r="S4061" s="783">
        <v>0</v>
      </c>
      <c r="T4061" s="783">
        <v>102.86</v>
      </c>
      <c r="U4061" s="785">
        <v>44631.502812500003</v>
      </c>
    </row>
    <row r="4062" spans="1:21">
      <c r="A4062" s="782">
        <v>44409</v>
      </c>
      <c r="B4062" s="783" t="s">
        <v>397</v>
      </c>
      <c r="C4062" s="783" t="s">
        <v>4491</v>
      </c>
      <c r="D4062" s="783" t="s">
        <v>4193</v>
      </c>
      <c r="E4062" s="783" t="s">
        <v>7132</v>
      </c>
      <c r="F4062" s="783" t="s">
        <v>4011</v>
      </c>
      <c r="G4062" s="783" t="str">
        <f t="shared" si="215"/>
        <v>Renewal (15% in 2020)</v>
      </c>
      <c r="H4062" s="783" t="s">
        <v>7133</v>
      </c>
      <c r="I4062" s="783" t="s">
        <v>7134</v>
      </c>
      <c r="J4062" s="783">
        <v>15</v>
      </c>
      <c r="K4062" s="783" t="s">
        <v>765</v>
      </c>
      <c r="L4062" s="783" t="s">
        <v>4014</v>
      </c>
      <c r="M4062" s="784">
        <v>85399.81</v>
      </c>
      <c r="N4062" s="784">
        <v>43.55</v>
      </c>
      <c r="O4062" s="784">
        <v>3.83</v>
      </c>
      <c r="P4062" s="783">
        <v>512</v>
      </c>
      <c r="Q4062" s="783">
        <v>6857.6</v>
      </c>
      <c r="R4062" s="783">
        <v>2752.78</v>
      </c>
      <c r="S4062" s="783">
        <v>799.86</v>
      </c>
      <c r="T4062" s="783">
        <v>3304.97</v>
      </c>
      <c r="U4062" s="785">
        <v>44631.507118055597</v>
      </c>
    </row>
    <row r="4063" spans="1:21">
      <c r="A4063" s="782">
        <v>44409</v>
      </c>
      <c r="B4063" s="783" t="s">
        <v>34</v>
      </c>
      <c r="C4063" s="783" t="s">
        <v>4071</v>
      </c>
      <c r="D4063" s="783" t="s">
        <v>4009</v>
      </c>
      <c r="E4063" s="783" t="s">
        <v>6805</v>
      </c>
      <c r="F4063" s="783" t="s">
        <v>4011</v>
      </c>
      <c r="G4063" s="783" t="str">
        <f t="shared" si="215"/>
        <v>Renewal (20% in 2020)</v>
      </c>
      <c r="H4063" s="783" t="s">
        <v>6806</v>
      </c>
      <c r="I4063" s="783" t="s">
        <v>6807</v>
      </c>
      <c r="J4063" s="783">
        <v>20</v>
      </c>
      <c r="K4063" s="783" t="s">
        <v>765</v>
      </c>
      <c r="L4063" s="783" t="s">
        <v>4014</v>
      </c>
      <c r="M4063" s="784">
        <v>383560</v>
      </c>
      <c r="N4063" s="784">
        <v>430</v>
      </c>
      <c r="O4063" s="784">
        <v>2.23</v>
      </c>
      <c r="P4063" s="783">
        <v>400</v>
      </c>
      <c r="Q4063" s="783">
        <v>22745.11</v>
      </c>
      <c r="R4063" s="783">
        <v>13693.09</v>
      </c>
      <c r="S4063" s="783">
        <v>2186.29</v>
      </c>
      <c r="T4063" s="783">
        <v>6865.72</v>
      </c>
      <c r="U4063" s="785">
        <v>44631.507939814801</v>
      </c>
    </row>
    <row r="4064" spans="1:21">
      <c r="A4064" s="782">
        <v>44409</v>
      </c>
      <c r="B4064" s="783" t="s">
        <v>51</v>
      </c>
      <c r="C4064" s="783" t="s">
        <v>4042</v>
      </c>
      <c r="D4064" s="783" t="s">
        <v>4016</v>
      </c>
      <c r="E4064" s="783" t="s">
        <v>4811</v>
      </c>
      <c r="F4064" s="783" t="s">
        <v>4011</v>
      </c>
      <c r="G4064" s="783" t="str">
        <f t="shared" si="215"/>
        <v>Renewal (25% in 2020)</v>
      </c>
      <c r="H4064" s="783" t="s">
        <v>4812</v>
      </c>
      <c r="I4064" s="783" t="s">
        <v>4813</v>
      </c>
      <c r="J4064" s="783">
        <v>25</v>
      </c>
      <c r="K4064" s="783" t="s">
        <v>765</v>
      </c>
      <c r="L4064" s="783" t="s">
        <v>4014</v>
      </c>
      <c r="M4064" s="784">
        <v>16063.48</v>
      </c>
      <c r="N4064" s="784">
        <v>19.239999999999998</v>
      </c>
      <c r="O4064" s="784">
        <v>2.5299999999999998</v>
      </c>
      <c r="P4064" s="783">
        <v>330</v>
      </c>
      <c r="Q4064" s="783">
        <v>1151.75</v>
      </c>
      <c r="R4064" s="783">
        <v>846.55</v>
      </c>
      <c r="S4064" s="783">
        <v>138.15</v>
      </c>
      <c r="T4064" s="783">
        <v>167.06</v>
      </c>
      <c r="U4064" s="785">
        <v>44631.504004629598</v>
      </c>
    </row>
    <row r="4065" spans="1:21">
      <c r="A4065" s="782">
        <v>44418</v>
      </c>
      <c r="B4065" s="783" t="s">
        <v>41</v>
      </c>
      <c r="C4065" s="783" t="s">
        <v>4082</v>
      </c>
      <c r="D4065" s="783" t="s">
        <v>4009</v>
      </c>
      <c r="E4065" s="783" t="s">
        <v>509</v>
      </c>
      <c r="F4065" s="783" t="s">
        <v>4011</v>
      </c>
      <c r="G4065" s="783" t="str">
        <f t="shared" si="215"/>
        <v>Renewal (15% in 2020)</v>
      </c>
      <c r="H4065" s="783" t="s">
        <v>4498</v>
      </c>
      <c r="I4065" s="783" t="s">
        <v>4499</v>
      </c>
      <c r="J4065" s="783">
        <v>15</v>
      </c>
      <c r="K4065" s="783" t="s">
        <v>765</v>
      </c>
      <c r="L4065" s="783" t="s">
        <v>4014</v>
      </c>
      <c r="M4065" s="784">
        <v>41795.089999999997</v>
      </c>
      <c r="N4065" s="784">
        <v>50.06</v>
      </c>
      <c r="O4065" s="784">
        <v>2.5299999999999998</v>
      </c>
      <c r="P4065" s="783">
        <v>330</v>
      </c>
      <c r="Q4065" s="783">
        <v>4175.33</v>
      </c>
      <c r="R4065" s="783">
        <v>1822.27</v>
      </c>
      <c r="S4065" s="783">
        <v>355.26</v>
      </c>
      <c r="T4065" s="783">
        <v>1997.81</v>
      </c>
      <c r="U4065" s="785">
        <v>44631.503194444398</v>
      </c>
    </row>
    <row r="4066" spans="1:21">
      <c r="A4066" s="782">
        <v>44409</v>
      </c>
      <c r="B4066" s="783" t="s">
        <v>74</v>
      </c>
      <c r="C4066" s="783" t="s">
        <v>4097</v>
      </c>
      <c r="D4066" s="783" t="s">
        <v>4038</v>
      </c>
      <c r="E4066" s="783" t="s">
        <v>4500</v>
      </c>
      <c r="F4066" s="783" t="s">
        <v>4011</v>
      </c>
      <c r="G4066" s="783" t="str">
        <f t="shared" si="215"/>
        <v>Renewal (15% in 2020)</v>
      </c>
      <c r="H4066" s="783" t="s">
        <v>4501</v>
      </c>
      <c r="I4066" s="783" t="s">
        <v>4502</v>
      </c>
      <c r="J4066" s="783">
        <v>15</v>
      </c>
      <c r="K4066" s="783" t="s">
        <v>765</v>
      </c>
      <c r="L4066" s="783" t="s">
        <v>4014</v>
      </c>
      <c r="M4066" s="784">
        <v>13939.73</v>
      </c>
      <c r="N4066" s="784">
        <v>17.86</v>
      </c>
      <c r="O4066" s="784">
        <v>2.23</v>
      </c>
      <c r="P4066" s="783">
        <v>350</v>
      </c>
      <c r="Q4066" s="783">
        <v>1363.31</v>
      </c>
      <c r="R4066" s="783">
        <v>681.65</v>
      </c>
      <c r="S4066" s="783">
        <v>111.52</v>
      </c>
      <c r="T4066" s="783">
        <v>570.13</v>
      </c>
      <c r="U4066" s="785">
        <v>44631.507569444402</v>
      </c>
    </row>
    <row r="4067" spans="1:21">
      <c r="A4067" s="782">
        <v>44409</v>
      </c>
      <c r="B4067" s="783" t="s">
        <v>41</v>
      </c>
      <c r="C4067" s="783" t="s">
        <v>4092</v>
      </c>
      <c r="D4067" s="783" t="s">
        <v>4009</v>
      </c>
      <c r="E4067" s="783" t="s">
        <v>4823</v>
      </c>
      <c r="F4067" s="783" t="s">
        <v>4011</v>
      </c>
      <c r="G4067" s="783" t="str">
        <f t="shared" si="215"/>
        <v>Renewal (15% in 2020)</v>
      </c>
      <c r="H4067" s="783" t="s">
        <v>4824</v>
      </c>
      <c r="I4067" s="783" t="s">
        <v>4825</v>
      </c>
      <c r="J4067" s="783">
        <v>15</v>
      </c>
      <c r="K4067" s="783" t="s">
        <v>765</v>
      </c>
      <c r="L4067" s="783" t="s">
        <v>4014</v>
      </c>
      <c r="M4067" s="784">
        <v>29672.240000000002</v>
      </c>
      <c r="N4067" s="784">
        <v>26.78</v>
      </c>
      <c r="O4067" s="784">
        <v>2.77</v>
      </c>
      <c r="P4067" s="783">
        <v>400</v>
      </c>
      <c r="Q4067" s="783">
        <v>3344.06</v>
      </c>
      <c r="R4067" s="783">
        <v>1459.87</v>
      </c>
      <c r="S4067" s="783">
        <v>284.85000000000002</v>
      </c>
      <c r="T4067" s="783">
        <v>1599.33</v>
      </c>
      <c r="U4067" s="785">
        <v>44631.5082638889</v>
      </c>
    </row>
    <row r="4068" spans="1:21">
      <c r="A4068" s="782">
        <v>44409</v>
      </c>
      <c r="B4068" s="783" t="s">
        <v>41</v>
      </c>
      <c r="C4068" s="783" t="s">
        <v>4008</v>
      </c>
      <c r="D4068" s="783" t="s">
        <v>4009</v>
      </c>
      <c r="E4068" s="783" t="s">
        <v>4503</v>
      </c>
      <c r="F4068" s="783" t="s">
        <v>4011</v>
      </c>
      <c r="G4068" s="783" t="str">
        <f t="shared" si="215"/>
        <v>Renewal (20% in 2020)</v>
      </c>
      <c r="H4068" s="783" t="s">
        <v>4504</v>
      </c>
      <c r="I4068" s="783" t="s">
        <v>4505</v>
      </c>
      <c r="J4068" s="783">
        <v>20</v>
      </c>
      <c r="K4068" s="783" t="s">
        <v>765</v>
      </c>
      <c r="L4068" s="783" t="s">
        <v>4014</v>
      </c>
      <c r="M4068" s="784">
        <v>5578.65</v>
      </c>
      <c r="N4068" s="784">
        <v>7.59</v>
      </c>
      <c r="O4068" s="784">
        <v>2.1</v>
      </c>
      <c r="P4068" s="783">
        <v>350</v>
      </c>
      <c r="Q4068" s="783">
        <v>542.24</v>
      </c>
      <c r="R4068" s="783">
        <v>303.48</v>
      </c>
      <c r="S4068" s="783">
        <v>49.65</v>
      </c>
      <c r="T4068" s="783">
        <v>189.12</v>
      </c>
      <c r="U4068" s="785">
        <v>44631.505243055602</v>
      </c>
    </row>
    <row r="4069" spans="1:21">
      <c r="A4069" s="782">
        <v>44409</v>
      </c>
      <c r="B4069" s="783" t="s">
        <v>34</v>
      </c>
      <c r="C4069" s="783" t="s">
        <v>4082</v>
      </c>
      <c r="D4069" s="783" t="s">
        <v>4009</v>
      </c>
      <c r="E4069" s="783" t="s">
        <v>2979</v>
      </c>
      <c r="F4069" s="783" t="s">
        <v>4011</v>
      </c>
      <c r="G4069" s="783" t="str">
        <f t="shared" si="215"/>
        <v>Renewal (15% in 2020)</v>
      </c>
      <c r="H4069" s="783" t="s">
        <v>4829</v>
      </c>
      <c r="I4069" s="783" t="s">
        <v>4830</v>
      </c>
      <c r="J4069" s="783">
        <v>15</v>
      </c>
      <c r="K4069" s="783" t="s">
        <v>765</v>
      </c>
      <c r="L4069" s="783" t="s">
        <v>4014</v>
      </c>
      <c r="M4069" s="784">
        <v>56576.06</v>
      </c>
      <c r="N4069" s="784">
        <v>71.87</v>
      </c>
      <c r="O4069" s="784">
        <v>1.64</v>
      </c>
      <c r="P4069" s="783">
        <v>480</v>
      </c>
      <c r="Q4069" s="783">
        <v>5651.95</v>
      </c>
      <c r="R4069" s="783">
        <v>2369.08</v>
      </c>
      <c r="S4069" s="783">
        <v>578.54</v>
      </c>
      <c r="T4069" s="783">
        <v>2704.34</v>
      </c>
      <c r="U4069" s="785">
        <v>44631.511331018497</v>
      </c>
    </row>
    <row r="4070" spans="1:21">
      <c r="A4070" s="782">
        <v>44409</v>
      </c>
      <c r="B4070" s="783" t="s">
        <v>113</v>
      </c>
      <c r="C4070" s="783" t="s">
        <v>4606</v>
      </c>
      <c r="D4070" s="783" t="s">
        <v>4009</v>
      </c>
      <c r="E4070" s="783" t="s">
        <v>2282</v>
      </c>
      <c r="F4070" s="783" t="s">
        <v>4011</v>
      </c>
      <c r="G4070" s="783" t="str">
        <f t="shared" si="215"/>
        <v>Renewal (15% in 2020)</v>
      </c>
      <c r="H4070" s="783" t="s">
        <v>7051</v>
      </c>
      <c r="I4070" s="783" t="s">
        <v>7052</v>
      </c>
      <c r="J4070" s="783">
        <v>15</v>
      </c>
      <c r="K4070" s="783" t="s">
        <v>765</v>
      </c>
      <c r="L4070" s="783" t="s">
        <v>4014</v>
      </c>
      <c r="M4070" s="784">
        <v>8475.9500000000007</v>
      </c>
      <c r="N4070" s="784">
        <v>5.8</v>
      </c>
      <c r="O4070" s="784">
        <v>3.17</v>
      </c>
      <c r="P4070" s="783">
        <v>461</v>
      </c>
      <c r="Q4070" s="783">
        <v>866.24</v>
      </c>
      <c r="R4070" s="783">
        <v>360.23</v>
      </c>
      <c r="S4070" s="783">
        <v>58.48</v>
      </c>
      <c r="T4070" s="783">
        <v>447.53</v>
      </c>
      <c r="U4070" s="785">
        <v>44631.503935185203</v>
      </c>
    </row>
    <row r="4071" spans="1:21">
      <c r="A4071" s="782">
        <v>44409</v>
      </c>
      <c r="B4071" s="783" t="s">
        <v>1423</v>
      </c>
      <c r="C4071" s="783" t="s">
        <v>4097</v>
      </c>
      <c r="D4071" s="783" t="s">
        <v>4038</v>
      </c>
      <c r="E4071" s="783" t="s">
        <v>4831</v>
      </c>
      <c r="F4071" s="783" t="s">
        <v>4011</v>
      </c>
      <c r="G4071" s="783" t="str">
        <f t="shared" si="215"/>
        <v>Renewal (15% in 2020)</v>
      </c>
      <c r="H4071" s="783" t="s">
        <v>4832</v>
      </c>
      <c r="I4071" s="783" t="s">
        <v>4833</v>
      </c>
      <c r="J4071" s="783">
        <v>15</v>
      </c>
      <c r="K4071" s="783" t="s">
        <v>765</v>
      </c>
      <c r="L4071" s="783" t="s">
        <v>4014</v>
      </c>
      <c r="M4071" s="784">
        <v>30024</v>
      </c>
      <c r="N4071" s="784">
        <v>41.7</v>
      </c>
      <c r="O4071" s="784">
        <v>2.4</v>
      </c>
      <c r="P4071" s="783">
        <v>300</v>
      </c>
      <c r="Q4071" s="783">
        <v>2936.35</v>
      </c>
      <c r="R4071" s="783">
        <v>1468.17</v>
      </c>
      <c r="S4071" s="783">
        <v>240.19</v>
      </c>
      <c r="T4071" s="783">
        <v>1227.98</v>
      </c>
      <c r="U4071" s="785">
        <v>44631.507222222201</v>
      </c>
    </row>
    <row r="4072" spans="1:21">
      <c r="A4072" s="782">
        <v>44409</v>
      </c>
      <c r="B4072" s="783" t="s">
        <v>41</v>
      </c>
      <c r="C4072" s="783" t="s">
        <v>4071</v>
      </c>
      <c r="D4072" s="783" t="s">
        <v>4009</v>
      </c>
      <c r="E4072" s="783" t="s">
        <v>4838</v>
      </c>
      <c r="F4072" s="783" t="s">
        <v>4011</v>
      </c>
      <c r="G4072" s="783" t="str">
        <f t="shared" si="215"/>
        <v>Renewal (30% in 2020)</v>
      </c>
      <c r="H4072" s="783" t="s">
        <v>4839</v>
      </c>
      <c r="I4072" s="783" t="s">
        <v>4840</v>
      </c>
      <c r="J4072" s="783">
        <v>30</v>
      </c>
      <c r="K4072" s="783" t="s">
        <v>765</v>
      </c>
      <c r="L4072" s="783" t="s">
        <v>4014</v>
      </c>
      <c r="M4072" s="784">
        <v>6846.84</v>
      </c>
      <c r="N4072" s="784">
        <v>10.01</v>
      </c>
      <c r="O4072" s="784">
        <v>1.8</v>
      </c>
      <c r="P4072" s="783">
        <v>380</v>
      </c>
      <c r="Q4072" s="783">
        <v>273.87</v>
      </c>
      <c r="R4072" s="783">
        <v>244.43</v>
      </c>
      <c r="S4072" s="783">
        <v>0</v>
      </c>
      <c r="T4072" s="783">
        <v>29.44</v>
      </c>
      <c r="U4072" s="785">
        <v>44631.503854166702</v>
      </c>
    </row>
    <row r="4073" spans="1:21">
      <c r="A4073" s="782">
        <v>44409</v>
      </c>
      <c r="B4073" s="783" t="s">
        <v>74</v>
      </c>
      <c r="C4073" s="783" t="s">
        <v>6308</v>
      </c>
      <c r="D4073" s="783" t="s">
        <v>4038</v>
      </c>
      <c r="E4073" s="783" t="s">
        <v>6695</v>
      </c>
      <c r="F4073" s="783" t="s">
        <v>4011</v>
      </c>
      <c r="G4073" s="783" t="str">
        <f t="shared" si="215"/>
        <v>Renewal (15% in 2020)</v>
      </c>
      <c r="H4073" s="783" t="s">
        <v>6696</v>
      </c>
      <c r="I4073" s="783" t="s">
        <v>6697</v>
      </c>
      <c r="J4073" s="783">
        <v>15</v>
      </c>
      <c r="K4073" s="783" t="s">
        <v>765</v>
      </c>
      <c r="L4073" s="783" t="s">
        <v>4014</v>
      </c>
      <c r="M4073" s="784">
        <v>7000</v>
      </c>
      <c r="N4073" s="784">
        <v>10</v>
      </c>
      <c r="O4073" s="784">
        <v>2</v>
      </c>
      <c r="P4073" s="783">
        <v>350</v>
      </c>
      <c r="Q4073" s="783">
        <v>777.7</v>
      </c>
      <c r="R4073" s="783">
        <v>319.89999999999998</v>
      </c>
      <c r="S4073" s="783">
        <v>52.5</v>
      </c>
      <c r="T4073" s="783">
        <v>405.3</v>
      </c>
      <c r="U4073" s="785">
        <v>44631.506817129601</v>
      </c>
    </row>
    <row r="4074" spans="1:21">
      <c r="A4074" s="782">
        <v>44409</v>
      </c>
      <c r="B4074" s="783" t="s">
        <v>74</v>
      </c>
      <c r="C4074" s="783" t="s">
        <v>4097</v>
      </c>
      <c r="D4074" s="783" t="s">
        <v>4038</v>
      </c>
      <c r="E4074" s="783" t="s">
        <v>4508</v>
      </c>
      <c r="F4074" s="783" t="s">
        <v>4011</v>
      </c>
      <c r="G4074" s="783" t="str">
        <f t="shared" si="215"/>
        <v>Renewal (20% in 2020)</v>
      </c>
      <c r="H4074" s="783" t="s">
        <v>4509</v>
      </c>
      <c r="I4074" s="783" t="s">
        <v>4510</v>
      </c>
      <c r="J4074" s="783">
        <v>20</v>
      </c>
      <c r="K4074" s="783" t="s">
        <v>765</v>
      </c>
      <c r="L4074" s="783" t="s">
        <v>4014</v>
      </c>
      <c r="M4074" s="784">
        <v>7504.81</v>
      </c>
      <c r="N4074" s="784">
        <v>11.11</v>
      </c>
      <c r="O4074" s="784">
        <v>1.93</v>
      </c>
      <c r="P4074" s="783">
        <v>350</v>
      </c>
      <c r="Q4074" s="783">
        <v>605.64</v>
      </c>
      <c r="R4074" s="783">
        <v>366.98</v>
      </c>
      <c r="S4074" s="783">
        <v>60.04</v>
      </c>
      <c r="T4074" s="783">
        <v>178.61</v>
      </c>
      <c r="U4074" s="785">
        <v>44631.503564814797</v>
      </c>
    </row>
    <row r="4075" spans="1:21">
      <c r="A4075" s="782">
        <v>44409</v>
      </c>
      <c r="B4075" s="783" t="s">
        <v>397</v>
      </c>
      <c r="C4075" s="783" t="s">
        <v>4511</v>
      </c>
      <c r="D4075" s="783" t="s">
        <v>4512</v>
      </c>
      <c r="E4075" s="783"/>
      <c r="F4075" s="783" t="s">
        <v>4011</v>
      </c>
      <c r="G4075" s="783" t="str">
        <f t="shared" si="215"/>
        <v>Renewal (20% in 2020)</v>
      </c>
      <c r="H4075" s="783" t="s">
        <v>4513</v>
      </c>
      <c r="I4075" s="783" t="s">
        <v>4514</v>
      </c>
      <c r="J4075" s="783">
        <v>20</v>
      </c>
      <c r="K4075" s="783" t="s">
        <v>765</v>
      </c>
      <c r="L4075" s="783" t="s">
        <v>4014</v>
      </c>
      <c r="M4075" s="784">
        <v>21027.83</v>
      </c>
      <c r="N4075" s="784">
        <v>25.35</v>
      </c>
      <c r="O4075" s="784">
        <v>2.37</v>
      </c>
      <c r="P4075" s="783">
        <v>350</v>
      </c>
      <c r="Q4075" s="783">
        <v>1482.46</v>
      </c>
      <c r="R4075" s="783">
        <v>775.93</v>
      </c>
      <c r="S4075" s="783">
        <v>199.76</v>
      </c>
      <c r="T4075" s="783">
        <v>506.77</v>
      </c>
      <c r="U4075" s="785">
        <v>44631.504224536999</v>
      </c>
    </row>
    <row r="4076" spans="1:21">
      <c r="A4076" s="782">
        <v>44409</v>
      </c>
      <c r="B4076" s="783" t="s">
        <v>228</v>
      </c>
      <c r="C4076" s="783" t="s">
        <v>4675</v>
      </c>
      <c r="D4076" s="783" t="s">
        <v>4193</v>
      </c>
      <c r="E4076" s="783" t="s">
        <v>4841</v>
      </c>
      <c r="F4076" s="783" t="s">
        <v>4011</v>
      </c>
      <c r="G4076" s="783" t="str">
        <f t="shared" si="215"/>
        <v>Renewal (25% in 2020)</v>
      </c>
      <c r="H4076" s="783" t="s">
        <v>4842</v>
      </c>
      <c r="I4076" s="783" t="s">
        <v>4843</v>
      </c>
      <c r="J4076" s="783">
        <v>25</v>
      </c>
      <c r="K4076" s="783" t="s">
        <v>765</v>
      </c>
      <c r="L4076" s="783" t="s">
        <v>4014</v>
      </c>
      <c r="M4076" s="784">
        <v>12136.74</v>
      </c>
      <c r="N4076" s="784">
        <v>15.4</v>
      </c>
      <c r="O4076" s="784">
        <v>2.13</v>
      </c>
      <c r="P4076" s="783">
        <v>370</v>
      </c>
      <c r="Q4076" s="783">
        <v>729.42</v>
      </c>
      <c r="R4076" s="783">
        <v>525.52</v>
      </c>
      <c r="S4076" s="783">
        <v>84.96</v>
      </c>
      <c r="T4076" s="783">
        <v>118.94</v>
      </c>
      <c r="U4076" s="785">
        <v>44631.504456018498</v>
      </c>
    </row>
    <row r="4077" spans="1:21">
      <c r="A4077" s="782">
        <v>44409</v>
      </c>
      <c r="B4077" s="783" t="s">
        <v>228</v>
      </c>
      <c r="C4077" s="783" t="s">
        <v>4847</v>
      </c>
      <c r="D4077" s="783" t="s">
        <v>4016</v>
      </c>
      <c r="E4077" s="783" t="s">
        <v>4848</v>
      </c>
      <c r="F4077" s="783" t="s">
        <v>4011</v>
      </c>
      <c r="G4077" s="783" t="str">
        <f t="shared" si="215"/>
        <v>Renewal (20% in 2020)</v>
      </c>
      <c r="H4077" s="783" t="s">
        <v>4849</v>
      </c>
      <c r="I4077" s="783" t="s">
        <v>4850</v>
      </c>
      <c r="J4077" s="783">
        <v>20</v>
      </c>
      <c r="K4077" s="783" t="s">
        <v>765</v>
      </c>
      <c r="L4077" s="783" t="s">
        <v>4014</v>
      </c>
      <c r="M4077" s="784">
        <v>15126.4</v>
      </c>
      <c r="N4077" s="784">
        <v>16.3</v>
      </c>
      <c r="O4077" s="784">
        <v>2.3199999999999998</v>
      </c>
      <c r="P4077" s="783">
        <v>400</v>
      </c>
      <c r="Q4077" s="783">
        <v>1533.82</v>
      </c>
      <c r="R4077" s="783">
        <v>898.51</v>
      </c>
      <c r="S4077" s="783">
        <v>146.72999999999999</v>
      </c>
      <c r="T4077" s="783">
        <v>488.58</v>
      </c>
      <c r="U4077" s="785">
        <v>44631.503865740699</v>
      </c>
    </row>
    <row r="4078" spans="1:21">
      <c r="A4078" s="782">
        <v>44494</v>
      </c>
      <c r="B4078" s="783" t="s">
        <v>4025</v>
      </c>
      <c r="C4078" s="783" t="s">
        <v>4026</v>
      </c>
      <c r="D4078" s="783" t="s">
        <v>4021</v>
      </c>
      <c r="E4078" s="783" t="s">
        <v>2831</v>
      </c>
      <c r="F4078" s="783" t="s">
        <v>4011</v>
      </c>
      <c r="G4078" s="783" t="str">
        <f t="shared" si="215"/>
        <v>New Contract</v>
      </c>
      <c r="H4078" s="783" t="s">
        <v>6415</v>
      </c>
      <c r="I4078" s="783" t="s">
        <v>6416</v>
      </c>
      <c r="J4078" s="783">
        <v>25</v>
      </c>
      <c r="K4078" s="783" t="s">
        <v>765</v>
      </c>
      <c r="L4078" s="783" t="s">
        <v>4014</v>
      </c>
      <c r="M4078" s="784">
        <v>24037.42</v>
      </c>
      <c r="N4078" s="784">
        <v>22.97</v>
      </c>
      <c r="O4078" s="784">
        <v>2.27</v>
      </c>
      <c r="P4078" s="783">
        <v>461</v>
      </c>
      <c r="Q4078" s="783">
        <v>1432.63</v>
      </c>
      <c r="R4078" s="783">
        <v>1038.42</v>
      </c>
      <c r="S4078" s="783">
        <v>168.26</v>
      </c>
      <c r="T4078" s="783">
        <v>225.95</v>
      </c>
      <c r="U4078" s="785">
        <v>44631.503101851798</v>
      </c>
    </row>
    <row r="4079" spans="1:21">
      <c r="A4079" s="782">
        <v>44497</v>
      </c>
      <c r="B4079" s="783" t="s">
        <v>41</v>
      </c>
      <c r="C4079" s="783" t="s">
        <v>4092</v>
      </c>
      <c r="D4079" s="783" t="s">
        <v>4009</v>
      </c>
      <c r="E4079" s="783" t="s">
        <v>4854</v>
      </c>
      <c r="F4079" s="783" t="s">
        <v>4011</v>
      </c>
      <c r="G4079" s="783" t="str">
        <f t="shared" si="215"/>
        <v>Renewal (25% in 2020)</v>
      </c>
      <c r="H4079" s="783" t="s">
        <v>4855</v>
      </c>
      <c r="I4079" s="783" t="s">
        <v>4856</v>
      </c>
      <c r="J4079" s="783">
        <v>25</v>
      </c>
      <c r="K4079" s="783" t="s">
        <v>765</v>
      </c>
      <c r="L4079" s="783" t="s">
        <v>4014</v>
      </c>
      <c r="M4079" s="784">
        <v>19730.41</v>
      </c>
      <c r="N4079" s="784">
        <v>18.329999999999998</v>
      </c>
      <c r="O4079" s="784">
        <v>2.34</v>
      </c>
      <c r="P4079" s="783">
        <v>460</v>
      </c>
      <c r="Q4079" s="783">
        <v>1276.56</v>
      </c>
      <c r="R4079" s="783">
        <v>970.74</v>
      </c>
      <c r="S4079" s="783">
        <v>189.41</v>
      </c>
      <c r="T4079" s="783">
        <v>116.41</v>
      </c>
      <c r="U4079" s="785">
        <v>44631.509618055599</v>
      </c>
    </row>
    <row r="4080" spans="1:21">
      <c r="A4080" s="782">
        <v>44565</v>
      </c>
      <c r="B4080" s="783" t="s">
        <v>41</v>
      </c>
      <c r="C4080" s="783" t="s">
        <v>4139</v>
      </c>
      <c r="D4080" s="783" t="s">
        <v>4009</v>
      </c>
      <c r="E4080" s="783" t="s">
        <v>1109</v>
      </c>
      <c r="F4080" s="783" t="s">
        <v>4011</v>
      </c>
      <c r="G4080" s="783" t="str">
        <f t="shared" si="215"/>
        <v>Renewal (15% in 2020)</v>
      </c>
      <c r="H4080" s="783" t="s">
        <v>4857</v>
      </c>
      <c r="I4080" s="783" t="s">
        <v>4858</v>
      </c>
      <c r="J4080" s="783">
        <v>15</v>
      </c>
      <c r="K4080" s="783" t="s">
        <v>765</v>
      </c>
      <c r="L4080" s="783" t="s">
        <v>4014</v>
      </c>
      <c r="M4080" s="784">
        <v>17212.650000000001</v>
      </c>
      <c r="N4080" s="784">
        <v>13</v>
      </c>
      <c r="O4080" s="784">
        <v>2.73</v>
      </c>
      <c r="P4080" s="783">
        <v>485</v>
      </c>
      <c r="Q4080" s="783">
        <v>1177.3499999999999</v>
      </c>
      <c r="R4080" s="783">
        <v>502.28</v>
      </c>
      <c r="S4080" s="783">
        <v>110.49</v>
      </c>
      <c r="T4080" s="783">
        <v>564.57000000000005</v>
      </c>
      <c r="U4080" s="785">
        <v>44631.503125000003</v>
      </c>
    </row>
    <row r="4081" spans="1:21">
      <c r="A4081" s="782">
        <v>44554</v>
      </c>
      <c r="B4081" s="783" t="s">
        <v>74</v>
      </c>
      <c r="C4081" s="783" t="s">
        <v>4097</v>
      </c>
      <c r="D4081" s="783" t="s">
        <v>4038</v>
      </c>
      <c r="E4081" s="783" t="s">
        <v>4859</v>
      </c>
      <c r="F4081" s="783" t="s">
        <v>4011</v>
      </c>
      <c r="G4081" s="783" t="str">
        <f t="shared" si="215"/>
        <v>New contract</v>
      </c>
      <c r="H4081" s="783" t="s">
        <v>4860</v>
      </c>
      <c r="I4081" s="783" t="s">
        <v>4861</v>
      </c>
      <c r="J4081" s="783">
        <v>20</v>
      </c>
      <c r="K4081" s="783" t="s">
        <v>765</v>
      </c>
      <c r="L4081" s="783" t="s">
        <v>4014</v>
      </c>
      <c r="M4081" s="784">
        <v>5382</v>
      </c>
      <c r="N4081" s="784">
        <v>5.2</v>
      </c>
      <c r="O4081" s="784">
        <v>2.2999999999999998</v>
      </c>
      <c r="P4081" s="783">
        <v>450</v>
      </c>
      <c r="Q4081" s="783">
        <v>434.33</v>
      </c>
      <c r="R4081" s="783">
        <v>263.18</v>
      </c>
      <c r="S4081" s="783">
        <v>43.06</v>
      </c>
      <c r="T4081" s="783">
        <v>128.09</v>
      </c>
      <c r="U4081" s="785">
        <v>44631.506562499999</v>
      </c>
    </row>
    <row r="4082" spans="1:21">
      <c r="A4082" s="782">
        <v>44581</v>
      </c>
      <c r="B4082" s="783" t="s">
        <v>41</v>
      </c>
      <c r="C4082" s="783" t="s">
        <v>4092</v>
      </c>
      <c r="D4082" s="783" t="s">
        <v>4009</v>
      </c>
      <c r="E4082" s="783" t="s">
        <v>4865</v>
      </c>
      <c r="F4082" s="783" t="s">
        <v>4011</v>
      </c>
      <c r="G4082" s="783" t="str">
        <f t="shared" si="215"/>
        <v>New Contract</v>
      </c>
      <c r="H4082" s="783" t="s">
        <v>4866</v>
      </c>
      <c r="I4082" s="783" t="s">
        <v>4867</v>
      </c>
      <c r="J4082" s="783">
        <v>25</v>
      </c>
      <c r="K4082" s="783" t="s">
        <v>765</v>
      </c>
      <c r="L4082" s="783" t="s">
        <v>4014</v>
      </c>
      <c r="M4082" s="784">
        <v>20254.04</v>
      </c>
      <c r="N4082" s="784">
        <v>14.5</v>
      </c>
      <c r="O4082" s="784">
        <v>3.03</v>
      </c>
      <c r="P4082" s="783">
        <v>461</v>
      </c>
      <c r="Q4082" s="783">
        <v>1310.44</v>
      </c>
      <c r="R4082" s="783">
        <v>996.5</v>
      </c>
      <c r="S4082" s="783">
        <v>194.44</v>
      </c>
      <c r="T4082" s="783">
        <v>119.5</v>
      </c>
      <c r="U4082" s="785">
        <v>44631.516516203701</v>
      </c>
    </row>
    <row r="4083" spans="1:21">
      <c r="A4083" s="782">
        <v>44532</v>
      </c>
      <c r="B4083" s="783" t="s">
        <v>74</v>
      </c>
      <c r="C4083" s="783" t="s">
        <v>4097</v>
      </c>
      <c r="D4083" s="783" t="s">
        <v>4038</v>
      </c>
      <c r="E4083" s="783" t="s">
        <v>4268</v>
      </c>
      <c r="F4083" s="783" t="s">
        <v>4011</v>
      </c>
      <c r="G4083" s="783" t="str">
        <f t="shared" si="215"/>
        <v>Renewal (20% in 2020)</v>
      </c>
      <c r="H4083" s="783" t="s">
        <v>4269</v>
      </c>
      <c r="I4083" s="783" t="s">
        <v>4270</v>
      </c>
      <c r="J4083" s="783">
        <v>25</v>
      </c>
      <c r="K4083" s="783" t="s">
        <v>765</v>
      </c>
      <c r="L4083" s="783" t="s">
        <v>4014</v>
      </c>
      <c r="M4083" s="784">
        <v>9534.49</v>
      </c>
      <c r="N4083" s="784">
        <v>11.06</v>
      </c>
      <c r="O4083" s="784">
        <v>1.87</v>
      </c>
      <c r="P4083" s="783">
        <v>461</v>
      </c>
      <c r="Q4083" s="783">
        <v>660.74</v>
      </c>
      <c r="R4083" s="783">
        <v>466.24</v>
      </c>
      <c r="S4083" s="783">
        <v>76.28</v>
      </c>
      <c r="T4083" s="783">
        <v>118.23</v>
      </c>
      <c r="U4083" s="785">
        <v>44631.512581018498</v>
      </c>
    </row>
    <row r="4084" spans="1:21">
      <c r="A4084" s="782">
        <v>44586</v>
      </c>
      <c r="B4084" s="783" t="s">
        <v>74</v>
      </c>
      <c r="C4084" s="783" t="s">
        <v>4037</v>
      </c>
      <c r="D4084" s="783" t="s">
        <v>4038</v>
      </c>
      <c r="E4084" s="783" t="s">
        <v>4271</v>
      </c>
      <c r="F4084" s="783" t="s">
        <v>4011</v>
      </c>
      <c r="G4084" s="783" t="str">
        <f t="shared" si="215"/>
        <v>Renewal (25% in 2020)</v>
      </c>
      <c r="H4084" s="783" t="s">
        <v>4272</v>
      </c>
      <c r="I4084" s="783" t="s">
        <v>4273</v>
      </c>
      <c r="J4084" s="783">
        <v>25</v>
      </c>
      <c r="K4084" s="783" t="s">
        <v>765</v>
      </c>
      <c r="L4084" s="783" t="s">
        <v>4014</v>
      </c>
      <c r="M4084" s="784">
        <v>16615.2</v>
      </c>
      <c r="N4084" s="784">
        <v>19.78</v>
      </c>
      <c r="O4084" s="784">
        <v>2.1</v>
      </c>
      <c r="P4084" s="783">
        <v>400</v>
      </c>
      <c r="Q4084" s="783">
        <v>1251.1199999999999</v>
      </c>
      <c r="R4084" s="783">
        <v>837.41</v>
      </c>
      <c r="S4084" s="783">
        <v>136.24</v>
      </c>
      <c r="T4084" s="783">
        <v>277.47000000000003</v>
      </c>
      <c r="U4084" s="785">
        <v>44631.633275462998</v>
      </c>
    </row>
    <row r="4085" spans="1:21">
      <c r="A4085" s="782">
        <v>44427</v>
      </c>
      <c r="B4085" s="783" t="s">
        <v>41</v>
      </c>
      <c r="C4085" s="783" t="s">
        <v>4082</v>
      </c>
      <c r="D4085" s="783" t="s">
        <v>4009</v>
      </c>
      <c r="E4085" s="783" t="s">
        <v>4518</v>
      </c>
      <c r="F4085" s="783" t="s">
        <v>4011</v>
      </c>
      <c r="G4085" s="783" t="str">
        <f t="shared" si="215"/>
        <v>Renewal (25% in 2020)</v>
      </c>
      <c r="H4085" s="783" t="s">
        <v>4519</v>
      </c>
      <c r="I4085" s="783" t="s">
        <v>4520</v>
      </c>
      <c r="J4085" s="783">
        <v>25</v>
      </c>
      <c r="K4085" s="783" t="s">
        <v>765</v>
      </c>
      <c r="L4085" s="783" t="s">
        <v>4014</v>
      </c>
      <c r="M4085" s="784">
        <v>13416</v>
      </c>
      <c r="N4085" s="784">
        <v>13</v>
      </c>
      <c r="O4085" s="784">
        <v>2.4</v>
      </c>
      <c r="P4085" s="783">
        <v>430</v>
      </c>
      <c r="Q4085" s="783">
        <v>767.4</v>
      </c>
      <c r="R4085" s="783">
        <v>584.94000000000005</v>
      </c>
      <c r="S4085" s="783">
        <v>114.04</v>
      </c>
      <c r="T4085" s="783">
        <v>68.42</v>
      </c>
      <c r="U4085" s="785">
        <v>44631.512187499997</v>
      </c>
    </row>
    <row r="4086" spans="1:21">
      <c r="A4086" s="782">
        <v>44572</v>
      </c>
      <c r="B4086" s="783" t="s">
        <v>177</v>
      </c>
      <c r="C4086" s="783" t="s">
        <v>4274</v>
      </c>
      <c r="D4086" s="783" t="s">
        <v>4038</v>
      </c>
      <c r="E4086" s="783" t="s">
        <v>4275</v>
      </c>
      <c r="F4086" s="783" t="s">
        <v>4011</v>
      </c>
      <c r="G4086" s="783" t="str">
        <f t="shared" si="215"/>
        <v>Renewal (20% in 2020)</v>
      </c>
      <c r="H4086" s="783" t="s">
        <v>4276</v>
      </c>
      <c r="I4086" s="783" t="s">
        <v>4277</v>
      </c>
      <c r="J4086" s="783">
        <v>20</v>
      </c>
      <c r="K4086" s="783" t="s">
        <v>765</v>
      </c>
      <c r="L4086" s="783" t="s">
        <v>4014</v>
      </c>
      <c r="M4086" s="784">
        <v>4158</v>
      </c>
      <c r="N4086" s="784">
        <v>6</v>
      </c>
      <c r="O4086" s="784">
        <v>1.8</v>
      </c>
      <c r="P4086" s="783">
        <v>385</v>
      </c>
      <c r="Q4086" s="783">
        <v>304.37</v>
      </c>
      <c r="R4086" s="783">
        <v>150.1</v>
      </c>
      <c r="S4086" s="783">
        <v>44.07</v>
      </c>
      <c r="T4086" s="783">
        <v>110.19</v>
      </c>
      <c r="U4086" s="785">
        <v>44631.512395833299</v>
      </c>
    </row>
    <row r="4087" spans="1:21">
      <c r="A4087" s="782">
        <v>44581</v>
      </c>
      <c r="B4087" s="783" t="s">
        <v>74</v>
      </c>
      <c r="C4087" s="783" t="s">
        <v>4037</v>
      </c>
      <c r="D4087" s="783" t="s">
        <v>4038</v>
      </c>
      <c r="E4087" s="783" t="s">
        <v>4278</v>
      </c>
      <c r="F4087" s="783" t="s">
        <v>4011</v>
      </c>
      <c r="G4087" s="783" t="s">
        <v>4028</v>
      </c>
      <c r="H4087" s="783" t="s">
        <v>4279</v>
      </c>
      <c r="I4087" s="783" t="s">
        <v>4280</v>
      </c>
      <c r="J4087" s="783">
        <v>25</v>
      </c>
      <c r="K4087" s="783" t="s">
        <v>765</v>
      </c>
      <c r="L4087" s="783" t="s">
        <v>4014</v>
      </c>
      <c r="M4087" s="784">
        <v>36500</v>
      </c>
      <c r="N4087" s="784">
        <v>36.5</v>
      </c>
      <c r="O4087" s="784">
        <v>2.5</v>
      </c>
      <c r="P4087" s="783">
        <v>400</v>
      </c>
      <c r="Q4087" s="783">
        <v>2748.45</v>
      </c>
      <c r="R4087" s="783">
        <v>1839.6</v>
      </c>
      <c r="S4087" s="783">
        <v>299.3</v>
      </c>
      <c r="T4087" s="783">
        <v>609.54999999999995</v>
      </c>
      <c r="U4087" s="785">
        <v>44631.516180555598</v>
      </c>
    </row>
    <row r="4088" spans="1:21">
      <c r="A4088" s="782">
        <v>44574</v>
      </c>
      <c r="B4088" s="783" t="s">
        <v>41</v>
      </c>
      <c r="C4088" s="783" t="s">
        <v>4082</v>
      </c>
      <c r="D4088" s="783" t="s">
        <v>4009</v>
      </c>
      <c r="E4088" s="783" t="s">
        <v>3825</v>
      </c>
      <c r="F4088" s="783" t="s">
        <v>4011</v>
      </c>
      <c r="G4088" s="783" t="str">
        <f t="shared" ref="G4088:G4098" si="216">VLOOKUP(I4088,pacage,2,FALSE)</f>
        <v>Renewal (15% in 2020)</v>
      </c>
      <c r="H4088" s="783" t="s">
        <v>4879</v>
      </c>
      <c r="I4088" s="783" t="s">
        <v>4880</v>
      </c>
      <c r="J4088" s="783">
        <v>15</v>
      </c>
      <c r="K4088" s="783" t="s">
        <v>765</v>
      </c>
      <c r="L4088" s="783" t="s">
        <v>4014</v>
      </c>
      <c r="M4088" s="784">
        <v>19187.87</v>
      </c>
      <c r="N4088" s="784">
        <v>28.69</v>
      </c>
      <c r="O4088" s="784">
        <v>2.09</v>
      </c>
      <c r="P4088" s="783">
        <v>320</v>
      </c>
      <c r="Q4088" s="783">
        <v>1916.87</v>
      </c>
      <c r="R4088" s="783">
        <v>836.59</v>
      </c>
      <c r="S4088" s="783">
        <v>163.1</v>
      </c>
      <c r="T4088" s="783">
        <v>917.18</v>
      </c>
      <c r="U4088" s="785">
        <v>44701.658900463</v>
      </c>
    </row>
    <row r="4089" spans="1:21">
      <c r="A4089" s="782">
        <v>44690</v>
      </c>
      <c r="B4089" s="783" t="s">
        <v>4025</v>
      </c>
      <c r="C4089" s="783" t="s">
        <v>4026</v>
      </c>
      <c r="D4089" s="783" t="s">
        <v>4021</v>
      </c>
      <c r="E4089" s="783" t="s">
        <v>4881</v>
      </c>
      <c r="F4089" s="783" t="s">
        <v>4011</v>
      </c>
      <c r="G4089" s="783" t="str">
        <f t="shared" si="216"/>
        <v>New Contract</v>
      </c>
      <c r="H4089" s="783" t="s">
        <v>4882</v>
      </c>
      <c r="I4089" s="783" t="s">
        <v>4883</v>
      </c>
      <c r="J4089" s="783">
        <v>20</v>
      </c>
      <c r="K4089" s="783" t="s">
        <v>765</v>
      </c>
      <c r="L4089" s="783" t="s">
        <v>4014</v>
      </c>
      <c r="M4089" s="784">
        <v>17291.509999999998</v>
      </c>
      <c r="N4089" s="784">
        <v>11.41</v>
      </c>
      <c r="O4089" s="784">
        <v>2.5299999999999998</v>
      </c>
      <c r="P4089" s="783">
        <v>599</v>
      </c>
      <c r="Q4089" s="783">
        <v>1317.61</v>
      </c>
      <c r="R4089" s="783">
        <v>574.9</v>
      </c>
      <c r="S4089" s="783">
        <v>293.14</v>
      </c>
      <c r="T4089" s="783">
        <v>449.58</v>
      </c>
      <c r="U4089" s="785">
        <v>44690.6879513889</v>
      </c>
    </row>
    <row r="4090" spans="1:21">
      <c r="A4090" s="782">
        <v>44690</v>
      </c>
      <c r="B4090" s="783" t="s">
        <v>4025</v>
      </c>
      <c r="C4090" s="783" t="s">
        <v>4026</v>
      </c>
      <c r="D4090" s="783" t="s">
        <v>4021</v>
      </c>
      <c r="E4090" s="783" t="s">
        <v>4884</v>
      </c>
      <c r="F4090" s="783" t="s">
        <v>4011</v>
      </c>
      <c r="G4090" s="783" t="str">
        <f t="shared" si="216"/>
        <v>New Contract</v>
      </c>
      <c r="H4090" s="783" t="s">
        <v>4885</v>
      </c>
      <c r="I4090" s="783" t="s">
        <v>4886</v>
      </c>
      <c r="J4090" s="783">
        <v>25</v>
      </c>
      <c r="K4090" s="783" t="s">
        <v>765</v>
      </c>
      <c r="L4090" s="783" t="s">
        <v>4014</v>
      </c>
      <c r="M4090" s="784">
        <v>36158.54</v>
      </c>
      <c r="N4090" s="784">
        <v>41.5</v>
      </c>
      <c r="O4090" s="784">
        <v>1.89</v>
      </c>
      <c r="P4090" s="783">
        <v>461</v>
      </c>
      <c r="Q4090" s="783">
        <v>2155.0500000000002</v>
      </c>
      <c r="R4090" s="783">
        <v>1562.05</v>
      </c>
      <c r="S4090" s="783">
        <v>253.11</v>
      </c>
      <c r="T4090" s="783">
        <v>339.89</v>
      </c>
      <c r="U4090" s="785">
        <v>44694.444571759297</v>
      </c>
    </row>
    <row r="4091" spans="1:21">
      <c r="A4091" s="782">
        <v>44690</v>
      </c>
      <c r="B4091" s="783" t="s">
        <v>41</v>
      </c>
      <c r="C4091" s="783" t="s">
        <v>4071</v>
      </c>
      <c r="D4091" s="783" t="s">
        <v>4009</v>
      </c>
      <c r="E4091" s="783" t="s">
        <v>4887</v>
      </c>
      <c r="F4091" s="783" t="s">
        <v>4011</v>
      </c>
      <c r="G4091" s="783" t="str">
        <f t="shared" si="216"/>
        <v>Renewal (15% in 2020)</v>
      </c>
      <c r="H4091" s="783" t="s">
        <v>4888</v>
      </c>
      <c r="I4091" s="783" t="s">
        <v>4889</v>
      </c>
      <c r="J4091" s="783">
        <v>15</v>
      </c>
      <c r="K4091" s="783" t="s">
        <v>765</v>
      </c>
      <c r="L4091" s="783" t="s">
        <v>4014</v>
      </c>
      <c r="M4091" s="784">
        <v>10870.81</v>
      </c>
      <c r="N4091" s="784">
        <v>12.2</v>
      </c>
      <c r="O4091" s="784">
        <v>2.5099999999999998</v>
      </c>
      <c r="P4091" s="783">
        <v>355</v>
      </c>
      <c r="Q4091" s="783">
        <v>865.32</v>
      </c>
      <c r="R4091" s="783">
        <v>388.09</v>
      </c>
      <c r="S4091" s="783">
        <v>61.96</v>
      </c>
      <c r="T4091" s="783">
        <v>415.26</v>
      </c>
      <c r="U4091" s="785">
        <v>44691.5058333333</v>
      </c>
    </row>
    <row r="4092" spans="1:21">
      <c r="A4092" s="782">
        <v>44691</v>
      </c>
      <c r="B4092" s="783" t="s">
        <v>41</v>
      </c>
      <c r="C4092" s="783" t="s">
        <v>4082</v>
      </c>
      <c r="D4092" s="783" t="s">
        <v>4009</v>
      </c>
      <c r="E4092" s="783" t="s">
        <v>4523</v>
      </c>
      <c r="F4092" s="783" t="s">
        <v>4011</v>
      </c>
      <c r="G4092" s="783" t="str">
        <f t="shared" si="216"/>
        <v>Renewal (25% in 2020)</v>
      </c>
      <c r="H4092" s="783" t="s">
        <v>4524</v>
      </c>
      <c r="I4092" s="783" t="s">
        <v>4525</v>
      </c>
      <c r="J4092" s="783">
        <v>25</v>
      </c>
      <c r="K4092" s="783" t="s">
        <v>765</v>
      </c>
      <c r="L4092" s="783" t="s">
        <v>4014</v>
      </c>
      <c r="M4092" s="784">
        <v>22350.240000000002</v>
      </c>
      <c r="N4092" s="784">
        <v>18.260000000000002</v>
      </c>
      <c r="O4092" s="784">
        <v>2.72</v>
      </c>
      <c r="P4092" s="783">
        <v>450</v>
      </c>
      <c r="Q4092" s="783">
        <v>1278.43</v>
      </c>
      <c r="R4092" s="783">
        <v>974.47</v>
      </c>
      <c r="S4092" s="783">
        <v>189.98</v>
      </c>
      <c r="T4092" s="783">
        <v>113.99</v>
      </c>
      <c r="U4092" s="785">
        <v>44691.530787037002</v>
      </c>
    </row>
    <row r="4093" spans="1:21">
      <c r="A4093" s="782">
        <v>44700</v>
      </c>
      <c r="B4093" s="783" t="s">
        <v>41</v>
      </c>
      <c r="C4093" s="783" t="s">
        <v>4071</v>
      </c>
      <c r="D4093" s="783" t="s">
        <v>4009</v>
      </c>
      <c r="E4093" s="783" t="s">
        <v>678</v>
      </c>
      <c r="F4093" s="783" t="s">
        <v>4011</v>
      </c>
      <c r="G4093" s="783" t="str">
        <f t="shared" si="216"/>
        <v>Renewal (15% in 2020)</v>
      </c>
      <c r="H4093" s="783" t="s">
        <v>4897</v>
      </c>
      <c r="I4093" s="783" t="s">
        <v>4898</v>
      </c>
      <c r="J4093" s="783">
        <v>15</v>
      </c>
      <c r="K4093" s="783" t="s">
        <v>765</v>
      </c>
      <c r="L4093" s="783" t="s">
        <v>4014</v>
      </c>
      <c r="M4093" s="784">
        <v>7176.02</v>
      </c>
      <c r="N4093" s="784">
        <v>5.99</v>
      </c>
      <c r="O4093" s="784">
        <v>2</v>
      </c>
      <c r="P4093" s="783">
        <v>599</v>
      </c>
      <c r="Q4093" s="783">
        <v>571.21</v>
      </c>
      <c r="R4093" s="783">
        <v>197.16</v>
      </c>
      <c r="S4093" s="783">
        <v>99.92</v>
      </c>
      <c r="T4093" s="783">
        <v>274.12</v>
      </c>
      <c r="U4093" s="785">
        <v>44700.595925925903</v>
      </c>
    </row>
    <row r="4094" spans="1:21">
      <c r="A4094" s="782">
        <v>44690</v>
      </c>
      <c r="B4094" s="783" t="s">
        <v>74</v>
      </c>
      <c r="C4094" s="783" t="s">
        <v>4097</v>
      </c>
      <c r="D4094" s="783" t="s">
        <v>4038</v>
      </c>
      <c r="E4094" s="783" t="s">
        <v>4098</v>
      </c>
      <c r="F4094" s="783" t="s">
        <v>4011</v>
      </c>
      <c r="G4094" s="783" t="str">
        <f t="shared" si="216"/>
        <v>Renewal (15% in 2020)</v>
      </c>
      <c r="H4094" s="783" t="s">
        <v>4099</v>
      </c>
      <c r="I4094" s="783" t="s">
        <v>4100</v>
      </c>
      <c r="J4094" s="783">
        <v>20</v>
      </c>
      <c r="K4094" s="783" t="s">
        <v>765</v>
      </c>
      <c r="L4094" s="783" t="s">
        <v>4014</v>
      </c>
      <c r="M4094" s="784">
        <v>64085.36</v>
      </c>
      <c r="N4094" s="784">
        <v>74.069999999999993</v>
      </c>
      <c r="O4094" s="784">
        <v>2.06</v>
      </c>
      <c r="P4094" s="783">
        <v>420</v>
      </c>
      <c r="Q4094" s="783">
        <v>5171.6899999999996</v>
      </c>
      <c r="R4094" s="783">
        <v>3133.77</v>
      </c>
      <c r="S4094" s="783">
        <v>512.67999999999995</v>
      </c>
      <c r="T4094" s="783">
        <v>1525.23</v>
      </c>
      <c r="U4094" s="785">
        <v>44708.600972222201</v>
      </c>
    </row>
    <row r="4095" spans="1:21">
      <c r="A4095" s="782">
        <v>44690</v>
      </c>
      <c r="B4095" s="783" t="s">
        <v>41</v>
      </c>
      <c r="C4095" s="783" t="s">
        <v>4071</v>
      </c>
      <c r="D4095" s="783" t="s">
        <v>4009</v>
      </c>
      <c r="E4095" s="783" t="s">
        <v>4526</v>
      </c>
      <c r="F4095" s="783" t="s">
        <v>4011</v>
      </c>
      <c r="G4095" s="783" t="str">
        <f t="shared" si="216"/>
        <v>Renewal (25% in 2020)</v>
      </c>
      <c r="H4095" s="783" t="s">
        <v>4527</v>
      </c>
      <c r="I4095" s="783" t="s">
        <v>4528</v>
      </c>
      <c r="J4095" s="783">
        <v>25</v>
      </c>
      <c r="K4095" s="783" t="s">
        <v>765</v>
      </c>
      <c r="L4095" s="783" t="s">
        <v>4014</v>
      </c>
      <c r="M4095" s="784">
        <v>58441.15</v>
      </c>
      <c r="N4095" s="784">
        <v>51.49</v>
      </c>
      <c r="O4095" s="784">
        <v>2.27</v>
      </c>
      <c r="P4095" s="783">
        <v>500</v>
      </c>
      <c r="Q4095" s="783">
        <v>2670.76</v>
      </c>
      <c r="R4095" s="783">
        <v>1923.61</v>
      </c>
      <c r="S4095" s="783">
        <v>495.85</v>
      </c>
      <c r="T4095" s="783">
        <v>251.3</v>
      </c>
      <c r="U4095" s="785">
        <v>44690.691793981503</v>
      </c>
    </row>
    <row r="4096" spans="1:21">
      <c r="A4096" s="782">
        <v>44690</v>
      </c>
      <c r="B4096" s="783" t="s">
        <v>397</v>
      </c>
      <c r="C4096" s="783" t="s">
        <v>4192</v>
      </c>
      <c r="D4096" s="783" t="s">
        <v>4193</v>
      </c>
      <c r="E4096" s="783" t="s">
        <v>4907</v>
      </c>
      <c r="F4096" s="783" t="s">
        <v>4011</v>
      </c>
      <c r="G4096" s="783" t="str">
        <f t="shared" si="216"/>
        <v>Renewal (15% in 2020)</v>
      </c>
      <c r="H4096" s="783" t="s">
        <v>4908</v>
      </c>
      <c r="I4096" s="783" t="s">
        <v>4909</v>
      </c>
      <c r="J4096" s="783">
        <v>20</v>
      </c>
      <c r="K4096" s="783" t="s">
        <v>765</v>
      </c>
      <c r="L4096" s="783" t="s">
        <v>4014</v>
      </c>
      <c r="M4096" s="784">
        <v>7000.56</v>
      </c>
      <c r="N4096" s="784">
        <v>9.26</v>
      </c>
      <c r="O4096" s="784">
        <v>2.1</v>
      </c>
      <c r="P4096" s="783">
        <v>360</v>
      </c>
      <c r="Q4096" s="783">
        <v>576.85</v>
      </c>
      <c r="R4096" s="783">
        <v>336.73</v>
      </c>
      <c r="S4096" s="783">
        <v>56</v>
      </c>
      <c r="T4096" s="783">
        <v>184.11</v>
      </c>
      <c r="U4096" s="785">
        <v>44691.480659722198</v>
      </c>
    </row>
    <row r="4097" spans="1:21">
      <c r="A4097" s="782">
        <v>44690</v>
      </c>
      <c r="B4097" s="783" t="s">
        <v>41</v>
      </c>
      <c r="C4097" s="783" t="s">
        <v>4092</v>
      </c>
      <c r="D4097" s="783" t="s">
        <v>4009</v>
      </c>
      <c r="E4097" s="783" t="s">
        <v>4529</v>
      </c>
      <c r="F4097" s="783" t="s">
        <v>4011</v>
      </c>
      <c r="G4097" s="783" t="str">
        <f t="shared" si="216"/>
        <v>Renewal (25% in 2020)</v>
      </c>
      <c r="H4097" s="783" t="s">
        <v>4530</v>
      </c>
      <c r="I4097" s="783" t="s">
        <v>4531</v>
      </c>
      <c r="J4097" s="783">
        <v>15</v>
      </c>
      <c r="K4097" s="783" t="s">
        <v>765</v>
      </c>
      <c r="L4097" s="783" t="s">
        <v>4014</v>
      </c>
      <c r="M4097" s="784">
        <v>65103.02</v>
      </c>
      <c r="N4097" s="784">
        <v>60.61</v>
      </c>
      <c r="O4097" s="784">
        <v>2.33</v>
      </c>
      <c r="P4097" s="783">
        <v>461</v>
      </c>
      <c r="Q4097" s="783">
        <v>7337.11</v>
      </c>
      <c r="R4097" s="783">
        <v>3203.07</v>
      </c>
      <c r="S4097" s="783">
        <v>624.99</v>
      </c>
      <c r="T4097" s="783">
        <v>3509.05</v>
      </c>
      <c r="U4097" s="785">
        <v>44706.435763888898</v>
      </c>
    </row>
    <row r="4098" spans="1:21">
      <c r="A4098" s="782">
        <v>44692</v>
      </c>
      <c r="B4098" s="783" t="s">
        <v>41</v>
      </c>
      <c r="C4098" s="783" t="s">
        <v>4139</v>
      </c>
      <c r="D4098" s="783" t="s">
        <v>4009</v>
      </c>
      <c r="E4098" s="783" t="s">
        <v>4910</v>
      </c>
      <c r="F4098" s="783" t="s">
        <v>4011</v>
      </c>
      <c r="G4098" s="783" t="str">
        <f t="shared" si="216"/>
        <v>Renewal (30% in 2020)</v>
      </c>
      <c r="H4098" s="783" t="s">
        <v>4911</v>
      </c>
      <c r="I4098" s="783" t="s">
        <v>4912</v>
      </c>
      <c r="J4098" s="783">
        <v>25</v>
      </c>
      <c r="K4098" s="783" t="s">
        <v>765</v>
      </c>
      <c r="L4098" s="783" t="s">
        <v>4014</v>
      </c>
      <c r="M4098" s="784">
        <v>33148.5</v>
      </c>
      <c r="N4098" s="784">
        <v>20.09</v>
      </c>
      <c r="O4098" s="784">
        <v>3</v>
      </c>
      <c r="P4098" s="783">
        <v>550</v>
      </c>
      <c r="Q4098" s="783">
        <v>1299.42</v>
      </c>
      <c r="R4098" s="783">
        <v>852.98</v>
      </c>
      <c r="S4098" s="783">
        <v>327.10000000000002</v>
      </c>
      <c r="T4098" s="783">
        <v>119.33</v>
      </c>
      <c r="U4098" s="785">
        <v>44708.605243055601</v>
      </c>
    </row>
    <row r="4099" spans="1:21">
      <c r="A4099" s="782">
        <v>44693</v>
      </c>
      <c r="B4099" s="783" t="s">
        <v>397</v>
      </c>
      <c r="C4099" s="783" t="s">
        <v>4020</v>
      </c>
      <c r="D4099" s="783" t="s">
        <v>4021</v>
      </c>
      <c r="E4099" s="783" t="s">
        <v>3774</v>
      </c>
      <c r="F4099" s="783" t="s">
        <v>4011</v>
      </c>
      <c r="G4099" s="783" t="s">
        <v>4028</v>
      </c>
      <c r="H4099" s="783" t="s">
        <v>4920</v>
      </c>
      <c r="I4099" s="783" t="s">
        <v>4921</v>
      </c>
      <c r="J4099" s="783">
        <v>30</v>
      </c>
      <c r="K4099" s="783" t="s">
        <v>765</v>
      </c>
      <c r="L4099" s="783" t="s">
        <v>4014</v>
      </c>
      <c r="M4099" s="784">
        <v>57246.06</v>
      </c>
      <c r="N4099" s="784">
        <v>42.82</v>
      </c>
      <c r="O4099" s="784">
        <v>2.9</v>
      </c>
      <c r="P4099" s="783">
        <v>461</v>
      </c>
      <c r="Q4099" s="783">
        <v>3326</v>
      </c>
      <c r="R4099" s="783">
        <v>2782.16</v>
      </c>
      <c r="S4099" s="783">
        <v>0</v>
      </c>
      <c r="T4099" s="783">
        <v>543.84</v>
      </c>
      <c r="U4099" s="785">
        <v>44694.506215277797</v>
      </c>
    </row>
    <row r="4100" spans="1:21">
      <c r="A4100" s="782">
        <v>44692</v>
      </c>
      <c r="B4100" s="783" t="s">
        <v>41</v>
      </c>
      <c r="C4100" s="783" t="s">
        <v>4071</v>
      </c>
      <c r="D4100" s="783" t="s">
        <v>4009</v>
      </c>
      <c r="E4100" s="783" t="s">
        <v>4925</v>
      </c>
      <c r="F4100" s="783" t="s">
        <v>4011</v>
      </c>
      <c r="G4100" s="783" t="str">
        <f>VLOOKUP(I4100,pacage,2,FALSE)</f>
        <v>Renewal (15% in 2020)</v>
      </c>
      <c r="H4100" s="783" t="s">
        <v>4926</v>
      </c>
      <c r="I4100" s="783" t="s">
        <v>4927</v>
      </c>
      <c r="J4100" s="783">
        <v>15</v>
      </c>
      <c r="K4100" s="783" t="s">
        <v>765</v>
      </c>
      <c r="L4100" s="783" t="s">
        <v>4014</v>
      </c>
      <c r="M4100" s="784">
        <v>21469.8</v>
      </c>
      <c r="N4100" s="784">
        <v>14.16</v>
      </c>
      <c r="O4100" s="784">
        <v>2.5299999999999998</v>
      </c>
      <c r="P4100" s="783">
        <v>599.29999999999995</v>
      </c>
      <c r="Q4100" s="783">
        <v>1709</v>
      </c>
      <c r="R4100" s="783">
        <v>589.59</v>
      </c>
      <c r="S4100" s="783">
        <v>299.26</v>
      </c>
      <c r="T4100" s="783">
        <v>820.15</v>
      </c>
      <c r="U4100" s="785">
        <v>44693.459652777798</v>
      </c>
    </row>
    <row r="4101" spans="1:21">
      <c r="A4101" s="782">
        <v>44690</v>
      </c>
      <c r="B4101" s="783" t="s">
        <v>41</v>
      </c>
      <c r="C4101" s="783" t="s">
        <v>4082</v>
      </c>
      <c r="D4101" s="783" t="s">
        <v>4009</v>
      </c>
      <c r="E4101" s="783" t="s">
        <v>635</v>
      </c>
      <c r="F4101" s="783" t="s">
        <v>4011</v>
      </c>
      <c r="G4101" s="783" t="str">
        <f>VLOOKUP(I4101,pacage,2,FALSE)</f>
        <v>Renewal (20% in 2020)</v>
      </c>
      <c r="H4101" s="783" t="s">
        <v>4538</v>
      </c>
      <c r="I4101" s="783" t="s">
        <v>4539</v>
      </c>
      <c r="J4101" s="783">
        <v>20</v>
      </c>
      <c r="K4101" s="783" t="s">
        <v>765</v>
      </c>
      <c r="L4101" s="783" t="s">
        <v>4014</v>
      </c>
      <c r="M4101" s="784">
        <v>51710.58</v>
      </c>
      <c r="N4101" s="784">
        <v>50.41</v>
      </c>
      <c r="O4101" s="784">
        <v>2.23</v>
      </c>
      <c r="P4101" s="783">
        <v>460</v>
      </c>
      <c r="Q4101" s="783">
        <v>3847.27</v>
      </c>
      <c r="R4101" s="783">
        <v>2254.58</v>
      </c>
      <c r="S4101" s="783">
        <v>439.54</v>
      </c>
      <c r="T4101" s="783">
        <v>1153.1500000000001</v>
      </c>
      <c r="U4101" s="785">
        <v>44690.674062500002</v>
      </c>
    </row>
    <row r="4102" spans="1:21">
      <c r="A4102" s="782">
        <v>44697</v>
      </c>
      <c r="B4102" s="783" t="s">
        <v>65</v>
      </c>
      <c r="C4102" s="783" t="s">
        <v>4543</v>
      </c>
      <c r="D4102" s="783" t="s">
        <v>4038</v>
      </c>
      <c r="E4102" s="783" t="s">
        <v>4540</v>
      </c>
      <c r="F4102" s="783" t="s">
        <v>4011</v>
      </c>
      <c r="G4102" s="783" t="str">
        <f>VLOOKUP(I4102,pacage,2,FALSE)</f>
        <v>Renewal (20% in 2020)</v>
      </c>
      <c r="H4102" s="783" t="s">
        <v>4541</v>
      </c>
      <c r="I4102" s="783" t="s">
        <v>4542</v>
      </c>
      <c r="J4102" s="783">
        <v>20</v>
      </c>
      <c r="K4102" s="783" t="s">
        <v>765</v>
      </c>
      <c r="L4102" s="783" t="s">
        <v>4014</v>
      </c>
      <c r="M4102" s="784">
        <v>31772.49</v>
      </c>
      <c r="N4102" s="784">
        <v>44.18</v>
      </c>
      <c r="O4102" s="784">
        <v>1.56</v>
      </c>
      <c r="P4102" s="783">
        <v>461</v>
      </c>
      <c r="Q4102" s="783">
        <v>2357.52</v>
      </c>
      <c r="R4102" s="783">
        <v>1270.9000000000001</v>
      </c>
      <c r="S4102" s="783">
        <v>301.83999999999997</v>
      </c>
      <c r="T4102" s="783">
        <v>784.78</v>
      </c>
      <c r="U4102" s="785">
        <v>44698.687418981499</v>
      </c>
    </row>
    <row r="4103" spans="1:21">
      <c r="A4103" s="782">
        <v>44692</v>
      </c>
      <c r="B4103" s="783" t="s">
        <v>113</v>
      </c>
      <c r="C4103" s="783" t="s">
        <v>4097</v>
      </c>
      <c r="D4103" s="783" t="s">
        <v>4038</v>
      </c>
      <c r="E4103" s="783" t="s">
        <v>7094</v>
      </c>
      <c r="F4103" s="783" t="s">
        <v>4011</v>
      </c>
      <c r="G4103" s="783" t="str">
        <f>VLOOKUP(I4103,pacage,2,FALSE)</f>
        <v>Renewal (20% in 2020)</v>
      </c>
      <c r="H4103" s="783" t="s">
        <v>7095</v>
      </c>
      <c r="I4103" s="783" t="s">
        <v>7096</v>
      </c>
      <c r="J4103" s="783">
        <v>15</v>
      </c>
      <c r="K4103" s="783" t="s">
        <v>765</v>
      </c>
      <c r="L4103" s="783" t="s">
        <v>4014</v>
      </c>
      <c r="M4103" s="784">
        <v>7609.84</v>
      </c>
      <c r="N4103" s="784">
        <v>7.49</v>
      </c>
      <c r="O4103" s="784">
        <v>2.54</v>
      </c>
      <c r="P4103" s="783">
        <v>400</v>
      </c>
      <c r="Q4103" s="783">
        <v>744.24</v>
      </c>
      <c r="R4103" s="783">
        <v>372.12</v>
      </c>
      <c r="S4103" s="783">
        <v>60.88</v>
      </c>
      <c r="T4103" s="783">
        <v>311.24</v>
      </c>
      <c r="U4103" s="785">
        <v>44692.473298611098</v>
      </c>
    </row>
    <row r="4104" spans="1:21">
      <c r="A4104" s="782">
        <v>44699</v>
      </c>
      <c r="B4104" s="783" t="s">
        <v>118</v>
      </c>
      <c r="C4104" s="783" t="s">
        <v>4139</v>
      </c>
      <c r="D4104" s="783" t="s">
        <v>4009</v>
      </c>
      <c r="E4104" s="783" t="s">
        <v>4952</v>
      </c>
      <c r="F4104" s="783" t="s">
        <v>4011</v>
      </c>
      <c r="G4104" s="783" t="s">
        <v>4028</v>
      </c>
      <c r="H4104" s="783" t="s">
        <v>4953</v>
      </c>
      <c r="I4104" s="783" t="s">
        <v>4954</v>
      </c>
      <c r="J4104" s="783">
        <v>25</v>
      </c>
      <c r="K4104" s="783" t="s">
        <v>765</v>
      </c>
      <c r="L4104" s="783" t="s">
        <v>4014</v>
      </c>
      <c r="M4104" s="784">
        <v>34345.279999999999</v>
      </c>
      <c r="N4104" s="784">
        <v>27.29</v>
      </c>
      <c r="O4104" s="784">
        <v>2.73</v>
      </c>
      <c r="P4104" s="783">
        <v>461</v>
      </c>
      <c r="Q4104" s="783">
        <v>1346.34</v>
      </c>
      <c r="R4104" s="783">
        <v>1054.4000000000001</v>
      </c>
      <c r="S4104" s="783">
        <v>168.29</v>
      </c>
      <c r="T4104" s="783">
        <v>123.64</v>
      </c>
      <c r="U4104" s="785">
        <v>44700.520960648202</v>
      </c>
    </row>
    <row r="4105" spans="1:21">
      <c r="A4105" s="782">
        <v>44693</v>
      </c>
      <c r="B4105" s="783" t="s">
        <v>34</v>
      </c>
      <c r="C4105" s="783" t="s">
        <v>4139</v>
      </c>
      <c r="D4105" s="783" t="s">
        <v>4009</v>
      </c>
      <c r="E4105" s="783" t="s">
        <v>4544</v>
      </c>
      <c r="F4105" s="783" t="s">
        <v>4011</v>
      </c>
      <c r="G4105" s="783" t="str">
        <f t="shared" ref="G4105:G4118" si="217">VLOOKUP(I4105,pacage,2,FALSE)</f>
        <v>Renewal (30% in 2020)</v>
      </c>
      <c r="H4105" s="783" t="s">
        <v>4545</v>
      </c>
      <c r="I4105" s="783" t="s">
        <v>4546</v>
      </c>
      <c r="J4105" s="783">
        <v>30</v>
      </c>
      <c r="K4105" s="783" t="s">
        <v>765</v>
      </c>
      <c r="L4105" s="783" t="s">
        <v>4014</v>
      </c>
      <c r="M4105" s="784">
        <v>21410.639999999999</v>
      </c>
      <c r="N4105" s="784">
        <v>20.96</v>
      </c>
      <c r="O4105" s="784">
        <v>2.27</v>
      </c>
      <c r="P4105" s="783">
        <v>450</v>
      </c>
      <c r="Q4105" s="783">
        <v>734.38</v>
      </c>
      <c r="R4105" s="783">
        <v>657.31</v>
      </c>
      <c r="S4105" s="783">
        <v>0</v>
      </c>
      <c r="T4105" s="783">
        <v>77.08</v>
      </c>
      <c r="U4105" s="785">
        <v>44693.603553240697</v>
      </c>
    </row>
    <row r="4106" spans="1:21">
      <c r="A4106" s="782">
        <v>44690</v>
      </c>
      <c r="B4106" s="783" t="s">
        <v>41</v>
      </c>
      <c r="C4106" s="783" t="s">
        <v>4139</v>
      </c>
      <c r="D4106" s="783" t="s">
        <v>4009</v>
      </c>
      <c r="E4106" s="783" t="s">
        <v>1386</v>
      </c>
      <c r="F4106" s="783" t="s">
        <v>4011</v>
      </c>
      <c r="G4106" s="783" t="str">
        <f t="shared" si="217"/>
        <v>Renewal (15% in 2020)</v>
      </c>
      <c r="H4106" s="783" t="s">
        <v>4957</v>
      </c>
      <c r="I4106" s="783" t="s">
        <v>4958</v>
      </c>
      <c r="J4106" s="783">
        <v>15</v>
      </c>
      <c r="K4106" s="783" t="s">
        <v>765</v>
      </c>
      <c r="L4106" s="783" t="s">
        <v>4014</v>
      </c>
      <c r="M4106" s="784">
        <v>24655.02</v>
      </c>
      <c r="N4106" s="784">
        <v>18.57</v>
      </c>
      <c r="O4106" s="784">
        <v>2.88</v>
      </c>
      <c r="P4106" s="783">
        <v>461</v>
      </c>
      <c r="Q4106" s="783">
        <v>1686.4</v>
      </c>
      <c r="R4106" s="783">
        <v>756.91</v>
      </c>
      <c r="S4106" s="783">
        <v>120.81</v>
      </c>
      <c r="T4106" s="783">
        <v>808.68</v>
      </c>
      <c r="U4106" s="785">
        <v>44691.522037037001</v>
      </c>
    </row>
    <row r="4107" spans="1:21">
      <c r="A4107" s="782">
        <v>44691</v>
      </c>
      <c r="B4107" s="783" t="s">
        <v>4025</v>
      </c>
      <c r="C4107" s="783" t="s">
        <v>4015</v>
      </c>
      <c r="D4107" s="783" t="s">
        <v>4016</v>
      </c>
      <c r="E4107" s="783" t="s">
        <v>4964</v>
      </c>
      <c r="F4107" s="783" t="s">
        <v>4011</v>
      </c>
      <c r="G4107" s="783" t="str">
        <f t="shared" si="217"/>
        <v>New Contract</v>
      </c>
      <c r="H4107" s="783" t="s">
        <v>4965</v>
      </c>
      <c r="I4107" s="783" t="s">
        <v>4966</v>
      </c>
      <c r="J4107" s="783">
        <v>25</v>
      </c>
      <c r="K4107" s="783" t="s">
        <v>765</v>
      </c>
      <c r="L4107" s="783" t="s">
        <v>4014</v>
      </c>
      <c r="M4107" s="784">
        <v>83770.62</v>
      </c>
      <c r="N4107" s="784">
        <v>63.67</v>
      </c>
      <c r="O4107" s="784">
        <v>2.23</v>
      </c>
      <c r="P4107" s="783">
        <v>590</v>
      </c>
      <c r="Q4107" s="783">
        <v>6534.11</v>
      </c>
      <c r="R4107" s="783">
        <v>3737.46</v>
      </c>
      <c r="S4107" s="783">
        <v>1841.66</v>
      </c>
      <c r="T4107" s="783">
        <v>954.99</v>
      </c>
      <c r="U4107" s="785">
        <v>44699.684953703698</v>
      </c>
    </row>
    <row r="4108" spans="1:21">
      <c r="A4108" s="782">
        <v>44692</v>
      </c>
      <c r="B4108" s="783" t="s">
        <v>34</v>
      </c>
      <c r="C4108" s="783" t="s">
        <v>4082</v>
      </c>
      <c r="D4108" s="783" t="s">
        <v>4009</v>
      </c>
      <c r="E4108" s="783" t="s">
        <v>4970</v>
      </c>
      <c r="F4108" s="783" t="s">
        <v>4011</v>
      </c>
      <c r="G4108" s="783" t="str">
        <f t="shared" si="217"/>
        <v>Renewal (25% in 2020)</v>
      </c>
      <c r="H4108" s="783" t="s">
        <v>4971</v>
      </c>
      <c r="I4108" s="783" t="s">
        <v>4972</v>
      </c>
      <c r="J4108" s="783">
        <v>25</v>
      </c>
      <c r="K4108" s="783" t="s">
        <v>765</v>
      </c>
      <c r="L4108" s="783" t="s">
        <v>4014</v>
      </c>
      <c r="M4108" s="784">
        <v>19444.32</v>
      </c>
      <c r="N4108" s="784">
        <v>19.29</v>
      </c>
      <c r="O4108" s="784">
        <v>2.52</v>
      </c>
      <c r="P4108" s="783">
        <v>400</v>
      </c>
      <c r="Q4108" s="783">
        <v>1112.22</v>
      </c>
      <c r="R4108" s="783">
        <v>847.77</v>
      </c>
      <c r="S4108" s="783">
        <v>165.28</v>
      </c>
      <c r="T4108" s="783">
        <v>99.17</v>
      </c>
      <c r="U4108" s="785">
        <v>44692.477835648097</v>
      </c>
    </row>
    <row r="4109" spans="1:21">
      <c r="A4109" s="782">
        <v>44697</v>
      </c>
      <c r="B4109" s="783" t="s">
        <v>65</v>
      </c>
      <c r="C4109" s="783" t="s">
        <v>4543</v>
      </c>
      <c r="D4109" s="783" t="s">
        <v>4038</v>
      </c>
      <c r="E4109" s="783" t="s">
        <v>1284</v>
      </c>
      <c r="F4109" s="783" t="s">
        <v>4011</v>
      </c>
      <c r="G4109" s="783" t="str">
        <f t="shared" si="217"/>
        <v>Renewal (25% in 2020)</v>
      </c>
      <c r="H4109" s="783" t="s">
        <v>4547</v>
      </c>
      <c r="I4109" s="783" t="s">
        <v>4548</v>
      </c>
      <c r="J4109" s="783">
        <v>20</v>
      </c>
      <c r="K4109" s="783" t="s">
        <v>765</v>
      </c>
      <c r="L4109" s="783" t="s">
        <v>4014</v>
      </c>
      <c r="M4109" s="784">
        <v>36630.410000000003</v>
      </c>
      <c r="N4109" s="784">
        <v>43.42</v>
      </c>
      <c r="O4109" s="784">
        <v>1.83</v>
      </c>
      <c r="P4109" s="783">
        <v>461</v>
      </c>
      <c r="Q4109" s="783">
        <v>2717.98</v>
      </c>
      <c r="R4109" s="783">
        <v>1465.22</v>
      </c>
      <c r="S4109" s="783">
        <v>347.99</v>
      </c>
      <c r="T4109" s="783">
        <v>904.77</v>
      </c>
      <c r="U4109" s="785">
        <v>44698.514212962997</v>
      </c>
    </row>
    <row r="4110" spans="1:21">
      <c r="A4110" s="782">
        <v>44692</v>
      </c>
      <c r="B4110" s="783" t="s">
        <v>113</v>
      </c>
      <c r="C4110" s="783" t="s">
        <v>4606</v>
      </c>
      <c r="D4110" s="783" t="s">
        <v>4009</v>
      </c>
      <c r="E4110" s="783" t="s">
        <v>3632</v>
      </c>
      <c r="F4110" s="783" t="s">
        <v>4011</v>
      </c>
      <c r="G4110" s="783" t="str">
        <f t="shared" si="217"/>
        <v>Renewal (20% in 2020)</v>
      </c>
      <c r="H4110" s="783" t="s">
        <v>6701</v>
      </c>
      <c r="I4110" s="783" t="s">
        <v>6702</v>
      </c>
      <c r="J4110" s="783">
        <v>25</v>
      </c>
      <c r="K4110" s="783" t="s">
        <v>765</v>
      </c>
      <c r="L4110" s="783" t="s">
        <v>4014</v>
      </c>
      <c r="M4110" s="784">
        <v>7292.94</v>
      </c>
      <c r="N4110" s="784">
        <v>4.5599999999999996</v>
      </c>
      <c r="O4110" s="784">
        <v>2.67</v>
      </c>
      <c r="P4110" s="783">
        <v>599</v>
      </c>
      <c r="Q4110" s="783">
        <v>450.7</v>
      </c>
      <c r="R4110" s="783">
        <v>238.54</v>
      </c>
      <c r="S4110" s="783">
        <v>121.73</v>
      </c>
      <c r="T4110" s="783">
        <v>90.43</v>
      </c>
      <c r="U4110" s="785">
        <v>44693.712407407402</v>
      </c>
    </row>
    <row r="4111" spans="1:21">
      <c r="A4111" s="782">
        <v>44692</v>
      </c>
      <c r="B4111" s="783" t="s">
        <v>51</v>
      </c>
      <c r="C4111" s="783" t="s">
        <v>4042</v>
      </c>
      <c r="D4111" s="783" t="s">
        <v>4016</v>
      </c>
      <c r="E4111" s="783" t="s">
        <v>4976</v>
      </c>
      <c r="F4111" s="783" t="s">
        <v>4011</v>
      </c>
      <c r="G4111" s="783" t="str">
        <f t="shared" si="217"/>
        <v>New Contract</v>
      </c>
      <c r="H4111" s="783" t="s">
        <v>4977</v>
      </c>
      <c r="I4111" s="783" t="s">
        <v>4978</v>
      </c>
      <c r="J4111" s="783">
        <v>30</v>
      </c>
      <c r="K4111" s="783" t="s">
        <v>765</v>
      </c>
      <c r="L4111" s="783" t="s">
        <v>4014</v>
      </c>
      <c r="M4111" s="784">
        <v>14598.95</v>
      </c>
      <c r="N4111" s="784">
        <v>11.6</v>
      </c>
      <c r="O4111" s="784">
        <v>2.73</v>
      </c>
      <c r="P4111" s="783">
        <v>461</v>
      </c>
      <c r="Q4111" s="783">
        <v>921.19</v>
      </c>
      <c r="R4111" s="783">
        <v>769.36</v>
      </c>
      <c r="S4111" s="783">
        <v>0</v>
      </c>
      <c r="T4111" s="783">
        <v>151.83000000000001</v>
      </c>
      <c r="U4111" s="785">
        <v>44693.716122685197</v>
      </c>
    </row>
    <row r="4112" spans="1:21">
      <c r="A4112" s="782">
        <v>44698</v>
      </c>
      <c r="B4112" s="783" t="s">
        <v>41</v>
      </c>
      <c r="C4112" s="783" t="s">
        <v>4092</v>
      </c>
      <c r="D4112" s="783" t="s">
        <v>4009</v>
      </c>
      <c r="E4112" s="783" t="s">
        <v>1411</v>
      </c>
      <c r="F4112" s="783" t="s">
        <v>4011</v>
      </c>
      <c r="G4112" s="783" t="str">
        <f t="shared" si="217"/>
        <v>Renewal (20% in 2020)</v>
      </c>
      <c r="H4112" s="783" t="s">
        <v>4982</v>
      </c>
      <c r="I4112" s="783" t="s">
        <v>4983</v>
      </c>
      <c r="J4112" s="783">
        <v>20</v>
      </c>
      <c r="K4112" s="783" t="s">
        <v>765</v>
      </c>
      <c r="L4112" s="783" t="s">
        <v>4014</v>
      </c>
      <c r="M4112" s="784">
        <v>13175.35</v>
      </c>
      <c r="N4112" s="784">
        <v>11.11</v>
      </c>
      <c r="O4112" s="784">
        <v>2.0099999999999998</v>
      </c>
      <c r="P4112" s="783">
        <v>590</v>
      </c>
      <c r="Q4112" s="783">
        <v>1106.73</v>
      </c>
      <c r="R4112" s="783">
        <v>506.5</v>
      </c>
      <c r="S4112" s="783">
        <v>268.20999999999998</v>
      </c>
      <c r="T4112" s="783">
        <v>332.02</v>
      </c>
      <c r="U4112" s="785">
        <v>44699.484398148103</v>
      </c>
    </row>
    <row r="4113" spans="1:21">
      <c r="A4113" s="782">
        <v>44522</v>
      </c>
      <c r="B4113" s="783" t="s">
        <v>41</v>
      </c>
      <c r="C4113" s="783" t="s">
        <v>4082</v>
      </c>
      <c r="D4113" s="783" t="s">
        <v>4009</v>
      </c>
      <c r="E4113" s="783" t="s">
        <v>6828</v>
      </c>
      <c r="F4113" s="783" t="s">
        <v>4011</v>
      </c>
      <c r="G4113" s="783" t="str">
        <f t="shared" si="217"/>
        <v>Renewal (25% in 2020)</v>
      </c>
      <c r="H4113" s="783" t="s">
        <v>6829</v>
      </c>
      <c r="I4113" s="783" t="s">
        <v>6830</v>
      </c>
      <c r="J4113" s="783">
        <v>25</v>
      </c>
      <c r="K4113" s="783" t="s">
        <v>765</v>
      </c>
      <c r="L4113" s="783" t="s">
        <v>4014</v>
      </c>
      <c r="M4113" s="784">
        <v>5000.93</v>
      </c>
      <c r="N4113" s="784">
        <v>4.5199999999999996</v>
      </c>
      <c r="O4113" s="784">
        <v>2.4</v>
      </c>
      <c r="P4113" s="783">
        <v>461</v>
      </c>
      <c r="Q4113" s="783">
        <v>286.05</v>
      </c>
      <c r="R4113" s="783">
        <v>218.04</v>
      </c>
      <c r="S4113" s="783">
        <v>42.51</v>
      </c>
      <c r="T4113" s="783">
        <v>25.5</v>
      </c>
      <c r="U4113" s="785">
        <v>44631.628912036998</v>
      </c>
    </row>
    <row r="4114" spans="1:21">
      <c r="A4114" s="782">
        <v>44448</v>
      </c>
      <c r="B4114" s="783" t="s">
        <v>4025</v>
      </c>
      <c r="C4114" s="783" t="s">
        <v>4026</v>
      </c>
      <c r="D4114" s="783" t="s">
        <v>4021</v>
      </c>
      <c r="E4114" s="783" t="s">
        <v>4984</v>
      </c>
      <c r="F4114" s="783" t="s">
        <v>4011</v>
      </c>
      <c r="G4114" s="783" t="str">
        <f t="shared" si="217"/>
        <v>New Contract</v>
      </c>
      <c r="H4114" s="783" t="s">
        <v>4985</v>
      </c>
      <c r="I4114" s="783" t="s">
        <v>4986</v>
      </c>
      <c r="J4114" s="783">
        <v>25</v>
      </c>
      <c r="K4114" s="783" t="s">
        <v>765</v>
      </c>
      <c r="L4114" s="783" t="s">
        <v>4014</v>
      </c>
      <c r="M4114" s="784">
        <v>47944</v>
      </c>
      <c r="N4114" s="784">
        <v>40</v>
      </c>
      <c r="O4114" s="784">
        <v>2.6</v>
      </c>
      <c r="P4114" s="783">
        <v>461</v>
      </c>
      <c r="Q4114" s="783">
        <v>2857.46</v>
      </c>
      <c r="R4114" s="783">
        <v>2071.1799999999998</v>
      </c>
      <c r="S4114" s="783">
        <v>335.61</v>
      </c>
      <c r="T4114" s="783">
        <v>450.67</v>
      </c>
      <c r="U4114" s="785">
        <v>44631.516504629602</v>
      </c>
    </row>
    <row r="4115" spans="1:21">
      <c r="A4115" s="782">
        <v>44447</v>
      </c>
      <c r="B4115" s="783" t="s">
        <v>41</v>
      </c>
      <c r="C4115" s="783" t="s">
        <v>4139</v>
      </c>
      <c r="D4115" s="783" t="s">
        <v>4009</v>
      </c>
      <c r="E4115" s="783" t="s">
        <v>4993</v>
      </c>
      <c r="F4115" s="783" t="s">
        <v>4011</v>
      </c>
      <c r="G4115" s="783" t="str">
        <f t="shared" si="217"/>
        <v>Renewal (15% in 2020)</v>
      </c>
      <c r="H4115" s="783" t="s">
        <v>4994</v>
      </c>
      <c r="I4115" s="783" t="s">
        <v>4995</v>
      </c>
      <c r="J4115" s="783">
        <v>15</v>
      </c>
      <c r="K4115" s="783" t="s">
        <v>765</v>
      </c>
      <c r="L4115" s="783" t="s">
        <v>4014</v>
      </c>
      <c r="M4115" s="784">
        <v>21490.16</v>
      </c>
      <c r="N4115" s="784">
        <v>30.93</v>
      </c>
      <c r="O4115" s="784">
        <v>1.93</v>
      </c>
      <c r="P4115" s="783">
        <v>360</v>
      </c>
      <c r="Q4115" s="783">
        <v>1469.93</v>
      </c>
      <c r="R4115" s="783">
        <v>659.75</v>
      </c>
      <c r="S4115" s="783">
        <v>105.3</v>
      </c>
      <c r="T4115" s="783">
        <v>704.88</v>
      </c>
      <c r="U4115" s="785">
        <v>44708.987847222197</v>
      </c>
    </row>
    <row r="4116" spans="1:21">
      <c r="A4116" s="782">
        <v>44447</v>
      </c>
      <c r="B4116" s="783" t="s">
        <v>51</v>
      </c>
      <c r="C4116" s="783" t="s">
        <v>4796</v>
      </c>
      <c r="D4116" s="783" t="s">
        <v>4016</v>
      </c>
      <c r="E4116" s="783" t="s">
        <v>2934</v>
      </c>
      <c r="F4116" s="783" t="s">
        <v>4011</v>
      </c>
      <c r="G4116" s="783" t="str">
        <f t="shared" si="217"/>
        <v>Renewal (30% in 2020)</v>
      </c>
      <c r="H4116" s="783" t="s">
        <v>4996</v>
      </c>
      <c r="I4116" s="783" t="s">
        <v>4997</v>
      </c>
      <c r="J4116" s="783">
        <v>20</v>
      </c>
      <c r="K4116" s="783" t="s">
        <v>765</v>
      </c>
      <c r="L4116" s="783" t="s">
        <v>4014</v>
      </c>
      <c r="M4116" s="784">
        <v>19822.97</v>
      </c>
      <c r="N4116" s="784">
        <v>22.66</v>
      </c>
      <c r="O4116" s="784">
        <v>2.4300000000000002</v>
      </c>
      <c r="P4116" s="783">
        <v>360</v>
      </c>
      <c r="Q4116" s="783">
        <v>1825.7</v>
      </c>
      <c r="R4116" s="783">
        <v>1050.6199999999999</v>
      </c>
      <c r="S4116" s="783">
        <v>170.48</v>
      </c>
      <c r="T4116" s="783">
        <v>604.6</v>
      </c>
      <c r="U4116" s="785">
        <v>44631.513622685197</v>
      </c>
    </row>
    <row r="4117" spans="1:21">
      <c r="A4117" s="782">
        <v>44638</v>
      </c>
      <c r="B4117" s="783" t="s">
        <v>30</v>
      </c>
      <c r="C4117" s="783" t="s">
        <v>4089</v>
      </c>
      <c r="D4117" s="783" t="s">
        <v>4021</v>
      </c>
      <c r="E4117" s="783" t="s">
        <v>2691</v>
      </c>
      <c r="F4117" s="783" t="s">
        <v>4011</v>
      </c>
      <c r="G4117" s="783" t="str">
        <f t="shared" si="217"/>
        <v>Renewal (15% in 2020)</v>
      </c>
      <c r="H4117" s="783" t="s">
        <v>5003</v>
      </c>
      <c r="I4117" s="783" t="s">
        <v>5004</v>
      </c>
      <c r="J4117" s="783">
        <v>15</v>
      </c>
      <c r="K4117" s="783" t="s">
        <v>765</v>
      </c>
      <c r="L4117" s="783" t="s">
        <v>4014</v>
      </c>
      <c r="M4117" s="784">
        <v>9772.19</v>
      </c>
      <c r="N4117" s="784">
        <v>8.06</v>
      </c>
      <c r="O4117" s="784">
        <v>2.63</v>
      </c>
      <c r="P4117" s="783">
        <v>461</v>
      </c>
      <c r="Q4117" s="783">
        <v>858</v>
      </c>
      <c r="R4117" s="783">
        <v>435.84</v>
      </c>
      <c r="S4117" s="783">
        <v>72.31</v>
      </c>
      <c r="T4117" s="783">
        <v>349.84</v>
      </c>
      <c r="U4117" s="785">
        <v>44638.561354166697</v>
      </c>
    </row>
    <row r="4118" spans="1:21">
      <c r="A4118" s="782">
        <v>44606</v>
      </c>
      <c r="B4118" s="783" t="s">
        <v>41</v>
      </c>
      <c r="C4118" s="783" t="s">
        <v>4008</v>
      </c>
      <c r="D4118" s="783" t="s">
        <v>4009</v>
      </c>
      <c r="E4118" s="783" t="s">
        <v>5005</v>
      </c>
      <c r="F4118" s="783" t="s">
        <v>4011</v>
      </c>
      <c r="G4118" s="783" t="str">
        <f t="shared" si="217"/>
        <v>Renewal (15% in 2020)</v>
      </c>
      <c r="H4118" s="783" t="s">
        <v>5006</v>
      </c>
      <c r="I4118" s="783" t="s">
        <v>5007</v>
      </c>
      <c r="J4118" s="783">
        <v>20</v>
      </c>
      <c r="K4118" s="783" t="s">
        <v>765</v>
      </c>
      <c r="L4118" s="783" t="s">
        <v>4014</v>
      </c>
      <c r="M4118" s="784">
        <v>27016.5</v>
      </c>
      <c r="N4118" s="784">
        <v>25.73</v>
      </c>
      <c r="O4118" s="784">
        <v>2.1</v>
      </c>
      <c r="P4118" s="783">
        <v>500</v>
      </c>
      <c r="Q4118" s="783">
        <v>2626</v>
      </c>
      <c r="R4118" s="783">
        <v>1355.06</v>
      </c>
      <c r="S4118" s="783">
        <v>355.08</v>
      </c>
      <c r="T4118" s="783">
        <v>915.86</v>
      </c>
      <c r="U4118" s="785">
        <v>44631.516909722202</v>
      </c>
    </row>
    <row r="4119" spans="1:21">
      <c r="A4119" s="782">
        <v>44606</v>
      </c>
      <c r="B4119" s="783" t="s">
        <v>74</v>
      </c>
      <c r="C4119" s="783" t="s">
        <v>4037</v>
      </c>
      <c r="D4119" s="783" t="s">
        <v>4038</v>
      </c>
      <c r="E4119" s="783" t="s">
        <v>4549</v>
      </c>
      <c r="F4119" s="783" t="s">
        <v>4011</v>
      </c>
      <c r="G4119" s="783" t="s">
        <v>4028</v>
      </c>
      <c r="H4119" s="783" t="s">
        <v>4550</v>
      </c>
      <c r="I4119" s="783" t="s">
        <v>4551</v>
      </c>
      <c r="J4119" s="783">
        <v>25</v>
      </c>
      <c r="K4119" s="783" t="s">
        <v>765</v>
      </c>
      <c r="L4119" s="783" t="s">
        <v>4014</v>
      </c>
      <c r="M4119" s="784">
        <v>11847.7</v>
      </c>
      <c r="N4119" s="784">
        <v>10</v>
      </c>
      <c r="O4119" s="784">
        <v>2.57</v>
      </c>
      <c r="P4119" s="783">
        <v>461</v>
      </c>
      <c r="Q4119" s="783">
        <v>892.13</v>
      </c>
      <c r="R4119" s="783">
        <v>597.12</v>
      </c>
      <c r="S4119" s="783">
        <v>97.15</v>
      </c>
      <c r="T4119" s="783">
        <v>197.86</v>
      </c>
      <c r="U4119" s="785">
        <v>44631.516898148097</v>
      </c>
    </row>
    <row r="4120" spans="1:21">
      <c r="A4120" s="782">
        <v>44586</v>
      </c>
      <c r="B4120" s="783" t="s">
        <v>41</v>
      </c>
      <c r="C4120" s="783" t="s">
        <v>4071</v>
      </c>
      <c r="D4120" s="783" t="s">
        <v>4009</v>
      </c>
      <c r="E4120" s="783" t="s">
        <v>4106</v>
      </c>
      <c r="F4120" s="783" t="s">
        <v>4011</v>
      </c>
      <c r="G4120" s="783" t="str">
        <f>VLOOKUP(I4120,pacage,2,FALSE)</f>
        <v>Renewal (15% in 2020)</v>
      </c>
      <c r="H4120" s="783" t="s">
        <v>4107</v>
      </c>
      <c r="I4120" s="783" t="s">
        <v>4108</v>
      </c>
      <c r="J4120" s="783">
        <v>15</v>
      </c>
      <c r="K4120" s="783" t="s">
        <v>765</v>
      </c>
      <c r="L4120" s="783" t="s">
        <v>4014</v>
      </c>
      <c r="M4120" s="784">
        <v>10134.6</v>
      </c>
      <c r="N4120" s="784">
        <v>12.7</v>
      </c>
      <c r="O4120" s="784">
        <v>2.1</v>
      </c>
      <c r="P4120" s="783">
        <v>380</v>
      </c>
      <c r="Q4120" s="783">
        <v>806.71</v>
      </c>
      <c r="R4120" s="783">
        <v>361.81</v>
      </c>
      <c r="S4120" s="783">
        <v>57.77</v>
      </c>
      <c r="T4120" s="783">
        <v>387.14</v>
      </c>
      <c r="U4120" s="785">
        <v>44631.635891203703</v>
      </c>
    </row>
    <row r="4121" spans="1:21">
      <c r="A4121" s="782">
        <v>44452</v>
      </c>
      <c r="B4121" s="783" t="s">
        <v>228</v>
      </c>
      <c r="C4121" s="783" t="s">
        <v>4020</v>
      </c>
      <c r="D4121" s="783" t="s">
        <v>4021</v>
      </c>
      <c r="E4121" s="783" t="s">
        <v>4022</v>
      </c>
      <c r="F4121" s="783" t="s">
        <v>4011</v>
      </c>
      <c r="G4121" s="783" t="str">
        <f>VLOOKUP(I4121,pacage,2,FALSE)</f>
        <v>Renewal (25% in 2020)</v>
      </c>
      <c r="H4121" s="783" t="s">
        <v>4023</v>
      </c>
      <c r="I4121" s="783" t="s">
        <v>4024</v>
      </c>
      <c r="J4121" s="783">
        <v>25</v>
      </c>
      <c r="K4121" s="783" t="s">
        <v>765</v>
      </c>
      <c r="L4121" s="783" t="s">
        <v>4014</v>
      </c>
      <c r="M4121" s="784">
        <v>10268.83</v>
      </c>
      <c r="N4121" s="784">
        <v>12.39</v>
      </c>
      <c r="O4121" s="784">
        <v>2.59</v>
      </c>
      <c r="P4121" s="783">
        <v>320</v>
      </c>
      <c r="Q4121" s="783">
        <v>679.8</v>
      </c>
      <c r="R4121" s="783">
        <v>499.07</v>
      </c>
      <c r="S4121" s="783">
        <v>83.18</v>
      </c>
      <c r="T4121" s="783">
        <v>97.55</v>
      </c>
      <c r="U4121" s="785">
        <v>44631.513865740701</v>
      </c>
    </row>
    <row r="4122" spans="1:21">
      <c r="A4122" s="782">
        <v>44446</v>
      </c>
      <c r="B4122" s="783" t="s">
        <v>41</v>
      </c>
      <c r="C4122" s="783" t="s">
        <v>4082</v>
      </c>
      <c r="D4122" s="783" t="s">
        <v>4009</v>
      </c>
      <c r="E4122" s="783" t="s">
        <v>4552</v>
      </c>
      <c r="F4122" s="783" t="s">
        <v>4011</v>
      </c>
      <c r="G4122" s="783" t="str">
        <f>VLOOKUP(I4122,pacage,2,FALSE)</f>
        <v>Renewal (20% in 2020)</v>
      </c>
      <c r="H4122" s="783" t="s">
        <v>4553</v>
      </c>
      <c r="I4122" s="783" t="s">
        <v>4554</v>
      </c>
      <c r="J4122" s="783">
        <v>20</v>
      </c>
      <c r="K4122" s="783" t="s">
        <v>765</v>
      </c>
      <c r="L4122" s="783" t="s">
        <v>4014</v>
      </c>
      <c r="M4122" s="784">
        <v>20683.099999999999</v>
      </c>
      <c r="N4122" s="784">
        <v>27.77</v>
      </c>
      <c r="O4122" s="784">
        <v>1.96</v>
      </c>
      <c r="P4122" s="783">
        <v>380</v>
      </c>
      <c r="Q4122" s="783">
        <v>1538.82</v>
      </c>
      <c r="R4122" s="783">
        <v>901.78</v>
      </c>
      <c r="S4122" s="783">
        <v>175.81</v>
      </c>
      <c r="T4122" s="783">
        <v>461.23</v>
      </c>
      <c r="U4122" s="785">
        <v>44631.630150463003</v>
      </c>
    </row>
    <row r="4123" spans="1:21">
      <c r="A4123" s="782">
        <v>44585</v>
      </c>
      <c r="B4123" s="783" t="s">
        <v>74</v>
      </c>
      <c r="C4123" s="783" t="s">
        <v>4097</v>
      </c>
      <c r="D4123" s="783" t="s">
        <v>4038</v>
      </c>
      <c r="E4123" s="783" t="s">
        <v>4281</v>
      </c>
      <c r="F4123" s="783" t="s">
        <v>4011</v>
      </c>
      <c r="G4123" s="783" t="s">
        <v>4028</v>
      </c>
      <c r="H4123" s="783" t="s">
        <v>4282</v>
      </c>
      <c r="I4123" s="783" t="s">
        <v>4283</v>
      </c>
      <c r="J4123" s="783">
        <v>25</v>
      </c>
      <c r="K4123" s="783" t="s">
        <v>765</v>
      </c>
      <c r="L4123" s="783" t="s">
        <v>4014</v>
      </c>
      <c r="M4123" s="784">
        <v>10650</v>
      </c>
      <c r="N4123" s="784">
        <v>12.5</v>
      </c>
      <c r="O4123" s="784">
        <v>2.13</v>
      </c>
      <c r="P4123" s="783">
        <v>400</v>
      </c>
      <c r="Q4123" s="783">
        <v>738.05</v>
      </c>
      <c r="R4123" s="783">
        <v>520.79</v>
      </c>
      <c r="S4123" s="783">
        <v>85.2</v>
      </c>
      <c r="T4123" s="783">
        <v>132.06</v>
      </c>
      <c r="U4123" s="785">
        <v>44631.633437500001</v>
      </c>
    </row>
    <row r="4124" spans="1:21">
      <c r="A4124" s="782">
        <v>44588</v>
      </c>
      <c r="B4124" s="783" t="s">
        <v>118</v>
      </c>
      <c r="C4124" s="783" t="s">
        <v>4139</v>
      </c>
      <c r="D4124" s="783" t="s">
        <v>4009</v>
      </c>
      <c r="E4124" s="783" t="s">
        <v>693</v>
      </c>
      <c r="F4124" s="783" t="s">
        <v>4066</v>
      </c>
      <c r="G4124" s="783" t="s">
        <v>4028</v>
      </c>
      <c r="H4124" s="783" t="s">
        <v>5025</v>
      </c>
      <c r="I4124" s="783" t="s">
        <v>5026</v>
      </c>
      <c r="J4124" s="783">
        <v>10</v>
      </c>
      <c r="K4124" s="783" t="s">
        <v>765</v>
      </c>
      <c r="L4124" s="783" t="s">
        <v>4014</v>
      </c>
      <c r="M4124" s="784">
        <v>55825</v>
      </c>
      <c r="N4124" s="784">
        <v>29</v>
      </c>
      <c r="O4124" s="784">
        <v>3.5</v>
      </c>
      <c r="P4124" s="783">
        <v>550</v>
      </c>
      <c r="Q4124" s="783">
        <v>731.31</v>
      </c>
      <c r="R4124" s="783">
        <v>0</v>
      </c>
      <c r="S4124" s="783">
        <v>0</v>
      </c>
      <c r="T4124" s="783">
        <v>731.31</v>
      </c>
      <c r="U4124" s="785">
        <v>44631.633391203701</v>
      </c>
    </row>
    <row r="4125" spans="1:21">
      <c r="A4125" s="782">
        <v>44616</v>
      </c>
      <c r="B4125" s="783" t="s">
        <v>118</v>
      </c>
      <c r="C4125" s="783" t="s">
        <v>4139</v>
      </c>
      <c r="D4125" s="783" t="s">
        <v>4009</v>
      </c>
      <c r="E4125" s="783" t="s">
        <v>5029</v>
      </c>
      <c r="F4125" s="783" t="s">
        <v>4066</v>
      </c>
      <c r="G4125" s="783" t="s">
        <v>4028</v>
      </c>
      <c r="H4125" s="783" t="s">
        <v>5030</v>
      </c>
      <c r="I4125" s="783" t="s">
        <v>5031</v>
      </c>
      <c r="J4125" s="783">
        <v>10</v>
      </c>
      <c r="K4125" s="783" t="s">
        <v>765</v>
      </c>
      <c r="L4125" s="783" t="s">
        <v>4014</v>
      </c>
      <c r="M4125" s="784">
        <v>52554</v>
      </c>
      <c r="N4125" s="784">
        <v>38</v>
      </c>
      <c r="O4125" s="784">
        <v>3</v>
      </c>
      <c r="P4125" s="783">
        <v>461</v>
      </c>
      <c r="Q4125" s="783">
        <v>2002.31</v>
      </c>
      <c r="R4125" s="783">
        <v>0</v>
      </c>
      <c r="S4125" s="783">
        <v>0</v>
      </c>
      <c r="T4125" s="783">
        <v>2002.31</v>
      </c>
      <c r="U4125" s="785">
        <v>44631.626041666699</v>
      </c>
    </row>
    <row r="4126" spans="1:21">
      <c r="A4126" s="782">
        <v>44594</v>
      </c>
      <c r="B4126" s="783" t="s">
        <v>624</v>
      </c>
      <c r="C4126" s="783" t="s">
        <v>4037</v>
      </c>
      <c r="D4126" s="783" t="s">
        <v>4038</v>
      </c>
      <c r="E4126" s="783" t="s">
        <v>7135</v>
      </c>
      <c r="F4126" s="783" t="s">
        <v>4011</v>
      </c>
      <c r="G4126" s="783" t="str">
        <f>VLOOKUP(I4126,pacage,2,FALSE)</f>
        <v>Renewal (15% in 2020)</v>
      </c>
      <c r="H4126" s="783" t="s">
        <v>7136</v>
      </c>
      <c r="I4126" s="783" t="s">
        <v>7137</v>
      </c>
      <c r="J4126" s="783">
        <v>15</v>
      </c>
      <c r="K4126" s="783" t="s">
        <v>765</v>
      </c>
      <c r="L4126" s="783" t="s">
        <v>4014</v>
      </c>
      <c r="M4126" s="784">
        <v>31248.61</v>
      </c>
      <c r="N4126" s="784">
        <v>25.28</v>
      </c>
      <c r="O4126" s="784">
        <v>2.63</v>
      </c>
      <c r="P4126" s="783">
        <v>470</v>
      </c>
      <c r="Q4126" s="783">
        <v>3265.48</v>
      </c>
      <c r="R4126" s="783">
        <v>1544.77</v>
      </c>
      <c r="S4126" s="783">
        <v>286.39999999999998</v>
      </c>
      <c r="T4126" s="783">
        <v>1434.31</v>
      </c>
      <c r="U4126" s="785">
        <v>44631.628981481503</v>
      </c>
    </row>
    <row r="4127" spans="1:21">
      <c r="A4127" s="782">
        <v>44592</v>
      </c>
      <c r="B4127" s="783" t="s">
        <v>41</v>
      </c>
      <c r="C4127" s="783" t="s">
        <v>4139</v>
      </c>
      <c r="D4127" s="783" t="s">
        <v>4009</v>
      </c>
      <c r="E4127" s="783" t="s">
        <v>5035</v>
      </c>
      <c r="F4127" s="783" t="s">
        <v>4011</v>
      </c>
      <c r="G4127" s="783" t="str">
        <f>VLOOKUP(I4127,pacage,2,FALSE)</f>
        <v>Renewal (15% in 2020)</v>
      </c>
      <c r="H4127" s="783" t="s">
        <v>5036</v>
      </c>
      <c r="I4127" s="783" t="s">
        <v>5037</v>
      </c>
      <c r="J4127" s="783">
        <v>15</v>
      </c>
      <c r="K4127" s="783" t="s">
        <v>765</v>
      </c>
      <c r="L4127" s="783" t="s">
        <v>4014</v>
      </c>
      <c r="M4127" s="784">
        <v>6408.48</v>
      </c>
      <c r="N4127" s="784">
        <v>10.27</v>
      </c>
      <c r="O4127" s="784">
        <v>2.08</v>
      </c>
      <c r="P4127" s="783">
        <v>300</v>
      </c>
      <c r="Q4127" s="783">
        <v>438.34</v>
      </c>
      <c r="R4127" s="783">
        <v>196.74</v>
      </c>
      <c r="S4127" s="783">
        <v>31.4</v>
      </c>
      <c r="T4127" s="783">
        <v>210.2</v>
      </c>
      <c r="U4127" s="785">
        <v>44631.626087962999</v>
      </c>
    </row>
    <row r="4128" spans="1:21">
      <c r="A4128" s="782">
        <v>44592</v>
      </c>
      <c r="B4128" s="783" t="s">
        <v>41</v>
      </c>
      <c r="C4128" s="783" t="s">
        <v>4082</v>
      </c>
      <c r="D4128" s="783" t="s">
        <v>4009</v>
      </c>
      <c r="E4128" s="783" t="s">
        <v>4558</v>
      </c>
      <c r="F4128" s="783" t="s">
        <v>4011</v>
      </c>
      <c r="G4128" s="783" t="s">
        <v>4028</v>
      </c>
      <c r="H4128" s="783" t="s">
        <v>4559</v>
      </c>
      <c r="I4128" s="783" t="s">
        <v>4560</v>
      </c>
      <c r="J4128" s="783">
        <v>25</v>
      </c>
      <c r="K4128" s="783" t="s">
        <v>765</v>
      </c>
      <c r="L4128" s="783" t="s">
        <v>4014</v>
      </c>
      <c r="M4128" s="784">
        <v>7186.2</v>
      </c>
      <c r="N4128" s="784">
        <v>11.6</v>
      </c>
      <c r="O4128" s="784">
        <v>1.77</v>
      </c>
      <c r="P4128" s="783">
        <v>350</v>
      </c>
      <c r="Q4128" s="783">
        <v>411.05</v>
      </c>
      <c r="R4128" s="783">
        <v>313.32</v>
      </c>
      <c r="S4128" s="783">
        <v>61.08</v>
      </c>
      <c r="T4128" s="783">
        <v>36.65</v>
      </c>
      <c r="U4128" s="785">
        <v>44631.629444444399</v>
      </c>
    </row>
    <row r="4129" spans="1:21">
      <c r="A4129" s="782">
        <v>44585</v>
      </c>
      <c r="B4129" s="783" t="s">
        <v>74</v>
      </c>
      <c r="C4129" s="783" t="s">
        <v>4037</v>
      </c>
      <c r="D4129" s="783" t="s">
        <v>4038</v>
      </c>
      <c r="E4129" s="783" t="s">
        <v>1918</v>
      </c>
      <c r="F4129" s="783" t="s">
        <v>4011</v>
      </c>
      <c r="G4129" s="783" t="str">
        <f t="shared" ref="G4129:G4142" si="218">VLOOKUP(I4129,pacage,2,FALSE)</f>
        <v>Renewal (30% in 2020)</v>
      </c>
      <c r="H4129" s="783" t="s">
        <v>4561</v>
      </c>
      <c r="I4129" s="783" t="s">
        <v>4562</v>
      </c>
      <c r="J4129" s="783">
        <v>30</v>
      </c>
      <c r="K4129" s="783" t="s">
        <v>765</v>
      </c>
      <c r="L4129" s="783" t="s">
        <v>4014</v>
      </c>
      <c r="M4129" s="784">
        <v>4655</v>
      </c>
      <c r="N4129" s="784">
        <v>5</v>
      </c>
      <c r="O4129" s="784">
        <v>2.66</v>
      </c>
      <c r="P4129" s="783">
        <v>350</v>
      </c>
      <c r="Q4129" s="783">
        <v>312.35000000000002</v>
      </c>
      <c r="R4129" s="783">
        <v>234.61</v>
      </c>
      <c r="S4129" s="783">
        <v>0</v>
      </c>
      <c r="T4129" s="783">
        <v>77.739999999999995</v>
      </c>
      <c r="U4129" s="785">
        <v>44631.625960648104</v>
      </c>
    </row>
    <row r="4130" spans="1:21">
      <c r="A4130" s="782">
        <v>44616</v>
      </c>
      <c r="B4130" s="783" t="s">
        <v>74</v>
      </c>
      <c r="C4130" s="783" t="s">
        <v>4097</v>
      </c>
      <c r="D4130" s="783" t="s">
        <v>4038</v>
      </c>
      <c r="E4130" s="783" t="s">
        <v>4284</v>
      </c>
      <c r="F4130" s="783" t="s">
        <v>4011</v>
      </c>
      <c r="G4130" s="783" t="str">
        <f t="shared" si="218"/>
        <v>Renewal (15% in 2020)</v>
      </c>
      <c r="H4130" s="783" t="s">
        <v>4285</v>
      </c>
      <c r="I4130" s="783" t="s">
        <v>4286</v>
      </c>
      <c r="J4130" s="783">
        <v>20</v>
      </c>
      <c r="K4130" s="783" t="s">
        <v>765</v>
      </c>
      <c r="L4130" s="783" t="s">
        <v>4014</v>
      </c>
      <c r="M4130" s="784">
        <v>68608</v>
      </c>
      <c r="N4130" s="784">
        <v>64</v>
      </c>
      <c r="O4130" s="784">
        <v>2.68</v>
      </c>
      <c r="P4130" s="783">
        <v>400</v>
      </c>
      <c r="Q4130" s="783">
        <v>5536.67</v>
      </c>
      <c r="R4130" s="783">
        <v>3354.93</v>
      </c>
      <c r="S4130" s="783">
        <v>548.86</v>
      </c>
      <c r="T4130" s="783">
        <v>1632.87</v>
      </c>
      <c r="U4130" s="785">
        <v>44631.629178240699</v>
      </c>
    </row>
    <row r="4131" spans="1:21">
      <c r="A4131" s="782">
        <v>44656</v>
      </c>
      <c r="B4131" s="783" t="s">
        <v>41</v>
      </c>
      <c r="C4131" s="783" t="s">
        <v>4092</v>
      </c>
      <c r="D4131" s="783" t="s">
        <v>4009</v>
      </c>
      <c r="E4131" s="783" t="s">
        <v>4287</v>
      </c>
      <c r="F4131" s="783" t="s">
        <v>4011</v>
      </c>
      <c r="G4131" s="783" t="str">
        <f t="shared" si="218"/>
        <v>Renewal (15% in 2020)</v>
      </c>
      <c r="H4131" s="783" t="s">
        <v>4288</v>
      </c>
      <c r="I4131" s="783" t="s">
        <v>4289</v>
      </c>
      <c r="J4131" s="783">
        <v>30</v>
      </c>
      <c r="K4131" s="783" t="s">
        <v>765</v>
      </c>
      <c r="L4131" s="783" t="s">
        <v>4014</v>
      </c>
      <c r="M4131" s="784">
        <v>13519.8</v>
      </c>
      <c r="N4131" s="784">
        <v>13.05</v>
      </c>
      <c r="O4131" s="784">
        <v>2.59</v>
      </c>
      <c r="P4131" s="783">
        <v>400</v>
      </c>
      <c r="Q4131" s="783">
        <v>744.94</v>
      </c>
      <c r="R4131" s="783">
        <v>665.17</v>
      </c>
      <c r="S4131" s="783">
        <v>0</v>
      </c>
      <c r="T4131" s="783">
        <v>79.77</v>
      </c>
      <c r="U4131" s="785">
        <v>44657.630127314798</v>
      </c>
    </row>
    <row r="4132" spans="1:21">
      <c r="A4132" s="782">
        <v>44656</v>
      </c>
      <c r="B4132" s="783" t="s">
        <v>41</v>
      </c>
      <c r="C4132" s="783" t="s">
        <v>4071</v>
      </c>
      <c r="D4132" s="783" t="s">
        <v>4009</v>
      </c>
      <c r="E4132" s="783" t="s">
        <v>4287</v>
      </c>
      <c r="F4132" s="783" t="s">
        <v>4011</v>
      </c>
      <c r="G4132" s="783" t="str">
        <f t="shared" si="218"/>
        <v>Renewal (15% in 2020)</v>
      </c>
      <c r="H4132" s="783" t="s">
        <v>4288</v>
      </c>
      <c r="I4132" s="783" t="s">
        <v>4289</v>
      </c>
      <c r="J4132" s="783">
        <v>30</v>
      </c>
      <c r="K4132" s="783" t="s">
        <v>765</v>
      </c>
      <c r="L4132" s="783" t="s">
        <v>4014</v>
      </c>
      <c r="M4132" s="784">
        <v>41440</v>
      </c>
      <c r="N4132" s="784">
        <v>40</v>
      </c>
      <c r="O4132" s="784">
        <v>2.59</v>
      </c>
      <c r="P4132" s="783">
        <v>400</v>
      </c>
      <c r="Q4132" s="783">
        <v>1657.6</v>
      </c>
      <c r="R4132" s="783">
        <v>1479.41</v>
      </c>
      <c r="S4132" s="783">
        <v>0</v>
      </c>
      <c r="T4132" s="783">
        <v>178.19</v>
      </c>
      <c r="U4132" s="785">
        <v>44657.630127314798</v>
      </c>
    </row>
    <row r="4133" spans="1:21">
      <c r="A4133" s="782">
        <v>44615</v>
      </c>
      <c r="B4133" s="783" t="s">
        <v>41</v>
      </c>
      <c r="C4133" s="783" t="s">
        <v>4139</v>
      </c>
      <c r="D4133" s="783" t="s">
        <v>4009</v>
      </c>
      <c r="E4133" s="783" t="s">
        <v>5050</v>
      </c>
      <c r="F4133" s="783" t="s">
        <v>4011</v>
      </c>
      <c r="G4133" s="783" t="str">
        <f t="shared" si="218"/>
        <v>Renewal (30% in 2020)</v>
      </c>
      <c r="H4133" s="783" t="s">
        <v>5051</v>
      </c>
      <c r="I4133" s="783" t="s">
        <v>5052</v>
      </c>
      <c r="J4133" s="783">
        <v>30</v>
      </c>
      <c r="K4133" s="783" t="s">
        <v>765</v>
      </c>
      <c r="L4133" s="783" t="s">
        <v>4014</v>
      </c>
      <c r="M4133" s="784">
        <v>8927.91</v>
      </c>
      <c r="N4133" s="784">
        <v>8.74</v>
      </c>
      <c r="O4133" s="784">
        <v>2.27</v>
      </c>
      <c r="P4133" s="783">
        <v>450</v>
      </c>
      <c r="Q4133" s="783">
        <v>306.23</v>
      </c>
      <c r="R4133" s="783">
        <v>274.08999999999997</v>
      </c>
      <c r="S4133" s="783">
        <v>0</v>
      </c>
      <c r="T4133" s="783">
        <v>32.14</v>
      </c>
      <c r="U4133" s="785">
        <v>44631.626365740703</v>
      </c>
    </row>
    <row r="4134" spans="1:21">
      <c r="A4134" s="782">
        <v>44699</v>
      </c>
      <c r="B4134" s="783" t="s">
        <v>113</v>
      </c>
      <c r="C4134" s="783" t="s">
        <v>4606</v>
      </c>
      <c r="D4134" s="783" t="s">
        <v>4009</v>
      </c>
      <c r="E4134" s="783" t="s">
        <v>159</v>
      </c>
      <c r="F4134" s="783" t="s">
        <v>4011</v>
      </c>
      <c r="G4134" s="783" t="str">
        <f t="shared" si="218"/>
        <v>Renewal (15% in 2020)</v>
      </c>
      <c r="H4134" s="783" t="s">
        <v>5055</v>
      </c>
      <c r="I4134" s="783" t="s">
        <v>5056</v>
      </c>
      <c r="J4134" s="783">
        <v>15</v>
      </c>
      <c r="K4134" s="783" t="s">
        <v>765</v>
      </c>
      <c r="L4134" s="783" t="s">
        <v>4014</v>
      </c>
      <c r="M4134" s="784">
        <v>4619.7</v>
      </c>
      <c r="N4134" s="784">
        <v>4.3499999999999996</v>
      </c>
      <c r="O4134" s="784">
        <v>2.36</v>
      </c>
      <c r="P4134" s="783">
        <v>450</v>
      </c>
      <c r="Q4134" s="783">
        <v>472.13</v>
      </c>
      <c r="R4134" s="783">
        <v>196.34</v>
      </c>
      <c r="S4134" s="783">
        <v>31.88</v>
      </c>
      <c r="T4134" s="783">
        <v>243.92</v>
      </c>
      <c r="U4134" s="785">
        <v>44700.505393518499</v>
      </c>
    </row>
    <row r="4135" spans="1:21">
      <c r="A4135" s="782">
        <v>44694</v>
      </c>
      <c r="B4135" s="783" t="s">
        <v>228</v>
      </c>
      <c r="C4135" s="783" t="s">
        <v>4020</v>
      </c>
      <c r="D4135" s="783" t="s">
        <v>4021</v>
      </c>
      <c r="E4135" s="783" t="s">
        <v>5057</v>
      </c>
      <c r="F4135" s="783" t="s">
        <v>4011</v>
      </c>
      <c r="G4135" s="783" t="str">
        <f t="shared" si="218"/>
        <v>Renewal (25% in 2020)</v>
      </c>
      <c r="H4135" s="783" t="s">
        <v>5058</v>
      </c>
      <c r="I4135" s="783" t="s">
        <v>5059</v>
      </c>
      <c r="J4135" s="783">
        <v>25</v>
      </c>
      <c r="K4135" s="783" t="s">
        <v>765</v>
      </c>
      <c r="L4135" s="783" t="s">
        <v>4014</v>
      </c>
      <c r="M4135" s="784">
        <v>11495.77</v>
      </c>
      <c r="N4135" s="784">
        <v>8.34</v>
      </c>
      <c r="O4135" s="784">
        <v>2.2999999999999998</v>
      </c>
      <c r="P4135" s="783">
        <v>599.29999999999995</v>
      </c>
      <c r="Q4135" s="783">
        <v>761.02</v>
      </c>
      <c r="R4135" s="783">
        <v>429.77</v>
      </c>
      <c r="S4135" s="783">
        <v>222.05</v>
      </c>
      <c r="T4135" s="783">
        <v>109.21</v>
      </c>
      <c r="U4135" s="785">
        <v>44694.624201388899</v>
      </c>
    </row>
    <row r="4136" spans="1:21">
      <c r="A4136" s="782">
        <v>44698</v>
      </c>
      <c r="B4136" s="783" t="s">
        <v>41</v>
      </c>
      <c r="C4136" s="783" t="s">
        <v>4092</v>
      </c>
      <c r="D4136" s="783" t="s">
        <v>4009</v>
      </c>
      <c r="E4136" s="783" t="s">
        <v>5063</v>
      </c>
      <c r="F4136" s="783" t="s">
        <v>4011</v>
      </c>
      <c r="G4136" s="783" t="str">
        <f t="shared" si="218"/>
        <v>Renewal (15% in 2020)</v>
      </c>
      <c r="H4136" s="783" t="s">
        <v>5064</v>
      </c>
      <c r="I4136" s="783" t="s">
        <v>5065</v>
      </c>
      <c r="J4136" s="783">
        <v>15</v>
      </c>
      <c r="K4136" s="783" t="s">
        <v>765</v>
      </c>
      <c r="L4136" s="783" t="s">
        <v>4014</v>
      </c>
      <c r="M4136" s="784">
        <v>16582.650000000001</v>
      </c>
      <c r="N4136" s="784">
        <v>27.87</v>
      </c>
      <c r="O4136" s="784">
        <v>1.7</v>
      </c>
      <c r="P4136" s="783">
        <v>350</v>
      </c>
      <c r="Q4136" s="783">
        <v>1868.86</v>
      </c>
      <c r="R4136" s="783">
        <v>815.87</v>
      </c>
      <c r="S4136" s="783">
        <v>159.19</v>
      </c>
      <c r="T4136" s="783">
        <v>893.8</v>
      </c>
      <c r="U4136" s="785">
        <v>44699.508784722202</v>
      </c>
    </row>
    <row r="4137" spans="1:21">
      <c r="A4137" s="782">
        <v>44698</v>
      </c>
      <c r="B4137" s="783" t="s">
        <v>41</v>
      </c>
      <c r="C4137" s="783" t="s">
        <v>4082</v>
      </c>
      <c r="D4137" s="783" t="s">
        <v>4009</v>
      </c>
      <c r="E4137" s="783" t="s">
        <v>5069</v>
      </c>
      <c r="F4137" s="783" t="s">
        <v>4011</v>
      </c>
      <c r="G4137" s="783" t="str">
        <f t="shared" si="218"/>
        <v>Renewal (15% in 2020)</v>
      </c>
      <c r="H4137" s="783" t="s">
        <v>5070</v>
      </c>
      <c r="I4137" s="783" t="s">
        <v>5071</v>
      </c>
      <c r="J4137" s="783">
        <v>15</v>
      </c>
      <c r="K4137" s="783" t="s">
        <v>765</v>
      </c>
      <c r="L4137" s="783" t="s">
        <v>4014</v>
      </c>
      <c r="M4137" s="784">
        <v>9380.35</v>
      </c>
      <c r="N4137" s="784">
        <v>14.88</v>
      </c>
      <c r="O4137" s="784">
        <v>1.97</v>
      </c>
      <c r="P4137" s="783">
        <v>320</v>
      </c>
      <c r="Q4137" s="783">
        <v>937.1</v>
      </c>
      <c r="R4137" s="783">
        <v>408.98</v>
      </c>
      <c r="S4137" s="783">
        <v>79.73</v>
      </c>
      <c r="T4137" s="783">
        <v>448.38</v>
      </c>
      <c r="U4137" s="785">
        <v>44699.477245370399</v>
      </c>
    </row>
    <row r="4138" spans="1:21">
      <c r="A4138" s="782">
        <v>44698</v>
      </c>
      <c r="B4138" s="783" t="s">
        <v>41</v>
      </c>
      <c r="C4138" s="783" t="s">
        <v>4082</v>
      </c>
      <c r="D4138" s="783" t="s">
        <v>4009</v>
      </c>
      <c r="E4138" s="783" t="s">
        <v>6537</v>
      </c>
      <c r="F4138" s="783" t="s">
        <v>4011</v>
      </c>
      <c r="G4138" s="783" t="str">
        <f t="shared" si="218"/>
        <v>New contract</v>
      </c>
      <c r="H4138" s="783" t="s">
        <v>6538</v>
      </c>
      <c r="I4138" s="783" t="s">
        <v>6539</v>
      </c>
      <c r="J4138" s="783">
        <v>25</v>
      </c>
      <c r="K4138" s="783" t="s">
        <v>765</v>
      </c>
      <c r="L4138" s="783" t="s">
        <v>4014</v>
      </c>
      <c r="M4138" s="784">
        <v>5236.96</v>
      </c>
      <c r="N4138" s="784">
        <v>5.68</v>
      </c>
      <c r="O4138" s="784">
        <v>2</v>
      </c>
      <c r="P4138" s="783">
        <v>461</v>
      </c>
      <c r="Q4138" s="783">
        <v>299.55</v>
      </c>
      <c r="R4138" s="783">
        <v>228.33</v>
      </c>
      <c r="S4138" s="783">
        <v>44.51</v>
      </c>
      <c r="T4138" s="783">
        <v>26.71</v>
      </c>
      <c r="U4138" s="785">
        <v>44699.4924537037</v>
      </c>
    </row>
    <row r="4139" spans="1:21">
      <c r="A4139" s="782">
        <v>44700</v>
      </c>
      <c r="B4139" s="783" t="s">
        <v>51</v>
      </c>
      <c r="C4139" s="783" t="s">
        <v>4015</v>
      </c>
      <c r="D4139" s="783" t="s">
        <v>4016</v>
      </c>
      <c r="E4139" s="783" t="s">
        <v>5075</v>
      </c>
      <c r="F4139" s="783" t="s">
        <v>4011</v>
      </c>
      <c r="G4139" s="783" t="str">
        <f t="shared" si="218"/>
        <v>Renewal (25% in 2020)</v>
      </c>
      <c r="H4139" s="783" t="s">
        <v>5076</v>
      </c>
      <c r="I4139" s="783" t="s">
        <v>5077</v>
      </c>
      <c r="J4139" s="783">
        <v>25</v>
      </c>
      <c r="K4139" s="783" t="s">
        <v>765</v>
      </c>
      <c r="L4139" s="783" t="s">
        <v>4014</v>
      </c>
      <c r="M4139" s="784">
        <v>8959.5</v>
      </c>
      <c r="N4139" s="784">
        <v>10.86</v>
      </c>
      <c r="O4139" s="784">
        <v>2.5</v>
      </c>
      <c r="P4139" s="783">
        <v>330</v>
      </c>
      <c r="Q4139" s="783">
        <v>698.84</v>
      </c>
      <c r="R4139" s="783">
        <v>511.59</v>
      </c>
      <c r="S4139" s="783">
        <v>85.12</v>
      </c>
      <c r="T4139" s="783">
        <v>102.14</v>
      </c>
      <c r="U4139" s="785">
        <v>44700.719907407401</v>
      </c>
    </row>
    <row r="4140" spans="1:21">
      <c r="A4140" s="782">
        <v>44702</v>
      </c>
      <c r="B4140" s="783" t="s">
        <v>41</v>
      </c>
      <c r="C4140" s="783" t="s">
        <v>4092</v>
      </c>
      <c r="D4140" s="783" t="s">
        <v>4009</v>
      </c>
      <c r="E4140" s="783" t="s">
        <v>5078</v>
      </c>
      <c r="F4140" s="783" t="s">
        <v>4011</v>
      </c>
      <c r="G4140" s="783" t="str">
        <f t="shared" si="218"/>
        <v>New Contract</v>
      </c>
      <c r="H4140" s="783" t="s">
        <v>5079</v>
      </c>
      <c r="I4140" s="783" t="s">
        <v>5080</v>
      </c>
      <c r="J4140" s="783">
        <v>25</v>
      </c>
      <c r="K4140" s="783" t="s">
        <v>765</v>
      </c>
      <c r="L4140" s="783" t="s">
        <v>4014</v>
      </c>
      <c r="M4140" s="784">
        <v>10348.530000000001</v>
      </c>
      <c r="N4140" s="784">
        <v>9.76</v>
      </c>
      <c r="O4140" s="784">
        <v>2.2999999999999998</v>
      </c>
      <c r="P4140" s="783">
        <v>461</v>
      </c>
      <c r="Q4140" s="783">
        <v>669.55</v>
      </c>
      <c r="R4140" s="783">
        <v>509.15</v>
      </c>
      <c r="S4140" s="783">
        <v>99.35</v>
      </c>
      <c r="T4140" s="783">
        <v>61.06</v>
      </c>
      <c r="U4140" s="785">
        <v>44708.596215277801</v>
      </c>
    </row>
    <row r="4141" spans="1:21">
      <c r="A4141" s="782">
        <v>44704</v>
      </c>
      <c r="B4141" s="783" t="s">
        <v>41</v>
      </c>
      <c r="C4141" s="783" t="s">
        <v>4139</v>
      </c>
      <c r="D4141" s="783" t="s">
        <v>4009</v>
      </c>
      <c r="E4141" s="783" t="s">
        <v>5081</v>
      </c>
      <c r="F4141" s="783" t="s">
        <v>4011</v>
      </c>
      <c r="G4141" s="783" t="str">
        <f t="shared" si="218"/>
        <v>Renewal (30% in 2020)</v>
      </c>
      <c r="H4141" s="783" t="s">
        <v>5082</v>
      </c>
      <c r="I4141" s="783" t="s">
        <v>5083</v>
      </c>
      <c r="J4141" s="783">
        <v>30</v>
      </c>
      <c r="K4141" s="783" t="s">
        <v>765</v>
      </c>
      <c r="L4141" s="783" t="s">
        <v>4014</v>
      </c>
      <c r="M4141" s="784">
        <v>12579.08</v>
      </c>
      <c r="N4141" s="784">
        <v>23.77</v>
      </c>
      <c r="O4141" s="784">
        <v>1.47</v>
      </c>
      <c r="P4141" s="783">
        <v>360</v>
      </c>
      <c r="Q4141" s="783">
        <v>431.46</v>
      </c>
      <c r="R4141" s="783">
        <v>386.18</v>
      </c>
      <c r="S4141" s="783">
        <v>0</v>
      </c>
      <c r="T4141" s="783">
        <v>45.28</v>
      </c>
      <c r="U4141" s="785">
        <v>44704.632754629602</v>
      </c>
    </row>
    <row r="4142" spans="1:21">
      <c r="A4142" s="782">
        <v>44705</v>
      </c>
      <c r="B4142" s="783" t="s">
        <v>41</v>
      </c>
      <c r="C4142" s="783" t="s">
        <v>4139</v>
      </c>
      <c r="D4142" s="783" t="s">
        <v>4009</v>
      </c>
      <c r="E4142" s="783" t="s">
        <v>5090</v>
      </c>
      <c r="F4142" s="783" t="s">
        <v>4011</v>
      </c>
      <c r="G4142" s="783" t="str">
        <f t="shared" si="218"/>
        <v>Renewal (30% in 2020)</v>
      </c>
      <c r="H4142" s="783" t="s">
        <v>5091</v>
      </c>
      <c r="I4142" s="783" t="s">
        <v>5092</v>
      </c>
      <c r="J4142" s="783">
        <v>30</v>
      </c>
      <c r="K4142" s="783" t="s">
        <v>765</v>
      </c>
      <c r="L4142" s="783" t="s">
        <v>4014</v>
      </c>
      <c r="M4142" s="784">
        <v>27079.14</v>
      </c>
      <c r="N4142" s="784">
        <v>22.25</v>
      </c>
      <c r="O4142" s="784">
        <v>2.64</v>
      </c>
      <c r="P4142" s="783">
        <v>461</v>
      </c>
      <c r="Q4142" s="783">
        <v>928.81</v>
      </c>
      <c r="R4142" s="783">
        <v>831.33</v>
      </c>
      <c r="S4142" s="783">
        <v>0</v>
      </c>
      <c r="T4142" s="783">
        <v>97.48</v>
      </c>
      <c r="U4142" s="785">
        <v>44708.953414351898</v>
      </c>
    </row>
    <row r="4143" spans="1:21">
      <c r="A4143" s="782">
        <v>44711</v>
      </c>
      <c r="B4143" s="783" t="s">
        <v>113</v>
      </c>
      <c r="C4143" s="783" t="s">
        <v>4598</v>
      </c>
      <c r="D4143" s="783" t="s">
        <v>4009</v>
      </c>
      <c r="E4143" s="783" t="s">
        <v>6834</v>
      </c>
      <c r="F4143" s="783" t="s">
        <v>4011</v>
      </c>
      <c r="G4143" s="783" t="s">
        <v>4028</v>
      </c>
      <c r="H4143" s="783" t="s">
        <v>6835</v>
      </c>
      <c r="I4143" s="783" t="s">
        <v>6836</v>
      </c>
      <c r="J4143" s="783">
        <v>25</v>
      </c>
      <c r="K4143" s="783" t="s">
        <v>765</v>
      </c>
      <c r="L4143" s="783" t="s">
        <v>4014</v>
      </c>
      <c r="M4143" s="784">
        <v>21967.8</v>
      </c>
      <c r="N4143" s="784">
        <v>19.27</v>
      </c>
      <c r="O4143" s="784">
        <v>2.85</v>
      </c>
      <c r="P4143" s="783">
        <v>400</v>
      </c>
      <c r="Q4143" s="783">
        <v>1285.1199999999999</v>
      </c>
      <c r="R4143" s="783">
        <v>847.96</v>
      </c>
      <c r="S4143" s="783">
        <v>226.27</v>
      </c>
      <c r="T4143" s="783">
        <v>210.89</v>
      </c>
      <c r="U4143" s="785">
        <v>44713.978576388901</v>
      </c>
    </row>
    <row r="4144" spans="1:21">
      <c r="A4144" s="782">
        <v>44706</v>
      </c>
      <c r="B4144" s="783" t="s">
        <v>74</v>
      </c>
      <c r="C4144" s="783" t="s">
        <v>4037</v>
      </c>
      <c r="D4144" s="783" t="s">
        <v>4038</v>
      </c>
      <c r="E4144" s="783" t="s">
        <v>4290</v>
      </c>
      <c r="F4144" s="783" t="s">
        <v>4011</v>
      </c>
      <c r="G4144" s="783" t="str">
        <f>VLOOKUP(I4144,pacage,2,FALSE)</f>
        <v>Renewal (15% in 2020)</v>
      </c>
      <c r="H4144" s="783" t="s">
        <v>4291</v>
      </c>
      <c r="I4144" s="783" t="s">
        <v>4292</v>
      </c>
      <c r="J4144" s="783">
        <v>15</v>
      </c>
      <c r="K4144" s="783" t="s">
        <v>765</v>
      </c>
      <c r="L4144" s="783" t="s">
        <v>4014</v>
      </c>
      <c r="M4144" s="784">
        <v>23006.799999999999</v>
      </c>
      <c r="N4144" s="784">
        <v>25.45</v>
      </c>
      <c r="O4144" s="784">
        <v>2.2599999999999998</v>
      </c>
      <c r="P4144" s="783">
        <v>400</v>
      </c>
      <c r="Q4144" s="783">
        <v>2404.21</v>
      </c>
      <c r="R4144" s="783">
        <v>1159.54</v>
      </c>
      <c r="S4144" s="783">
        <v>188.66</v>
      </c>
      <c r="T4144" s="783">
        <v>1056.01</v>
      </c>
      <c r="U4144" s="785">
        <v>44706.615312499998</v>
      </c>
    </row>
    <row r="4145" spans="1:21">
      <c r="A4145" s="782">
        <v>44706</v>
      </c>
      <c r="B4145" s="783" t="s">
        <v>74</v>
      </c>
      <c r="C4145" s="783" t="s">
        <v>4097</v>
      </c>
      <c r="D4145" s="783" t="s">
        <v>4038</v>
      </c>
      <c r="E4145" s="783" t="s">
        <v>4290</v>
      </c>
      <c r="F4145" s="783" t="s">
        <v>4011</v>
      </c>
      <c r="G4145" s="783" t="str">
        <f>VLOOKUP(I4145,pacage,2,FALSE)</f>
        <v>Renewal (15% in 2020)</v>
      </c>
      <c r="H4145" s="783" t="s">
        <v>4291</v>
      </c>
      <c r="I4145" s="783" t="s">
        <v>4292</v>
      </c>
      <c r="J4145" s="783">
        <v>15</v>
      </c>
      <c r="K4145" s="783" t="s">
        <v>765</v>
      </c>
      <c r="L4145" s="783" t="s">
        <v>4014</v>
      </c>
      <c r="M4145" s="784">
        <v>12732.66</v>
      </c>
      <c r="N4145" s="784">
        <v>16.149999999999999</v>
      </c>
      <c r="O4145" s="784">
        <v>2.19</v>
      </c>
      <c r="P4145" s="783">
        <v>360</v>
      </c>
      <c r="Q4145" s="783">
        <v>1245.25</v>
      </c>
      <c r="R4145" s="783">
        <v>622.63</v>
      </c>
      <c r="S4145" s="783">
        <v>101.86</v>
      </c>
      <c r="T4145" s="783">
        <v>520.77</v>
      </c>
      <c r="U4145" s="785">
        <v>44706.615312499998</v>
      </c>
    </row>
    <row r="4146" spans="1:21">
      <c r="A4146" s="782">
        <v>44712</v>
      </c>
      <c r="B4146" s="783" t="s">
        <v>113</v>
      </c>
      <c r="C4146" s="783" t="s">
        <v>4606</v>
      </c>
      <c r="D4146" s="783" t="s">
        <v>4009</v>
      </c>
      <c r="E4146" s="783" t="s">
        <v>6837</v>
      </c>
      <c r="F4146" s="783" t="s">
        <v>4011</v>
      </c>
      <c r="G4146" s="783" t="s">
        <v>4028</v>
      </c>
      <c r="H4146" s="783" t="s">
        <v>6838</v>
      </c>
      <c r="I4146" s="783" t="s">
        <v>6839</v>
      </c>
      <c r="J4146" s="783">
        <v>20</v>
      </c>
      <c r="K4146" s="783" t="s">
        <v>765</v>
      </c>
      <c r="L4146" s="783" t="s">
        <v>4014</v>
      </c>
      <c r="M4146" s="784">
        <v>82176.81</v>
      </c>
      <c r="N4146" s="784">
        <v>45.73</v>
      </c>
      <c r="O4146" s="784">
        <v>3</v>
      </c>
      <c r="P4146" s="783">
        <v>599</v>
      </c>
      <c r="Q4146" s="783">
        <v>6418.01</v>
      </c>
      <c r="R4146" s="783">
        <v>2687.9</v>
      </c>
      <c r="S4146" s="783">
        <v>1371.64</v>
      </c>
      <c r="T4146" s="783">
        <v>2358.4699999999998</v>
      </c>
      <c r="U4146" s="785">
        <v>44714.022928240702</v>
      </c>
    </row>
    <row r="4147" spans="1:21">
      <c r="A4147" s="782">
        <v>44685</v>
      </c>
      <c r="B4147" s="783" t="s">
        <v>41</v>
      </c>
      <c r="C4147" s="783" t="s">
        <v>4139</v>
      </c>
      <c r="D4147" s="783" t="s">
        <v>4009</v>
      </c>
      <c r="E4147" s="783" t="s">
        <v>4563</v>
      </c>
      <c r="F4147" s="783" t="s">
        <v>4011</v>
      </c>
      <c r="G4147" s="783" t="str">
        <f t="shared" ref="G4147:G4154" si="219">VLOOKUP(I4147,pacage,2,FALSE)</f>
        <v>Renewal (30% in 2020)</v>
      </c>
      <c r="H4147" s="783" t="s">
        <v>4564</v>
      </c>
      <c r="I4147" s="783" t="s">
        <v>4565</v>
      </c>
      <c r="J4147" s="783">
        <v>30</v>
      </c>
      <c r="K4147" s="783" t="s">
        <v>765</v>
      </c>
      <c r="L4147" s="783" t="s">
        <v>4014</v>
      </c>
      <c r="M4147" s="784">
        <v>19778.2</v>
      </c>
      <c r="N4147" s="784">
        <v>15.63</v>
      </c>
      <c r="O4147" s="784">
        <v>3.33</v>
      </c>
      <c r="P4147" s="783">
        <v>380</v>
      </c>
      <c r="Q4147" s="783">
        <v>678.39</v>
      </c>
      <c r="R4147" s="783">
        <v>607.19000000000005</v>
      </c>
      <c r="S4147" s="783">
        <v>0</v>
      </c>
      <c r="T4147" s="783">
        <v>71.2</v>
      </c>
      <c r="U4147" s="785">
        <v>44685.417777777802</v>
      </c>
    </row>
    <row r="4148" spans="1:21">
      <c r="A4148" s="782">
        <v>44687</v>
      </c>
      <c r="B4148" s="783" t="s">
        <v>113</v>
      </c>
      <c r="C4148" s="783" t="s">
        <v>4606</v>
      </c>
      <c r="D4148" s="783" t="s">
        <v>4009</v>
      </c>
      <c r="E4148" s="783" t="s">
        <v>6559</v>
      </c>
      <c r="F4148" s="783" t="s">
        <v>4011</v>
      </c>
      <c r="G4148" s="783" t="str">
        <f t="shared" si="219"/>
        <v>Renewal (25% in 2020)</v>
      </c>
      <c r="H4148" s="783" t="s">
        <v>6560</v>
      </c>
      <c r="I4148" s="783" t="s">
        <v>6561</v>
      </c>
      <c r="J4148" s="783">
        <v>20</v>
      </c>
      <c r="K4148" s="783" t="s">
        <v>765</v>
      </c>
      <c r="L4148" s="783" t="s">
        <v>4014</v>
      </c>
      <c r="M4148" s="784">
        <v>17770.89</v>
      </c>
      <c r="N4148" s="784">
        <v>12.06</v>
      </c>
      <c r="O4148" s="784">
        <v>2.46</v>
      </c>
      <c r="P4148" s="783">
        <v>599</v>
      </c>
      <c r="Q4148" s="783">
        <v>1387.91</v>
      </c>
      <c r="R4148" s="783">
        <v>581.26</v>
      </c>
      <c r="S4148" s="783">
        <v>296.62</v>
      </c>
      <c r="T4148" s="783">
        <v>510.02</v>
      </c>
      <c r="U4148" s="785">
        <v>44687.607939814799</v>
      </c>
    </row>
    <row r="4149" spans="1:21">
      <c r="A4149" s="782">
        <v>44684</v>
      </c>
      <c r="B4149" s="783" t="s">
        <v>41</v>
      </c>
      <c r="C4149" s="783" t="s">
        <v>4071</v>
      </c>
      <c r="D4149" s="783" t="s">
        <v>4009</v>
      </c>
      <c r="E4149" s="783" t="s">
        <v>5096</v>
      </c>
      <c r="F4149" s="783" t="s">
        <v>4011</v>
      </c>
      <c r="G4149" s="783" t="str">
        <f t="shared" si="219"/>
        <v>Renewal (30% in 2020)</v>
      </c>
      <c r="H4149" s="783" t="s">
        <v>5097</v>
      </c>
      <c r="I4149" s="783" t="s">
        <v>5098</v>
      </c>
      <c r="J4149" s="783">
        <v>30</v>
      </c>
      <c r="K4149" s="783" t="s">
        <v>765</v>
      </c>
      <c r="L4149" s="783" t="s">
        <v>4014</v>
      </c>
      <c r="M4149" s="784">
        <v>21945.599999999999</v>
      </c>
      <c r="N4149" s="784">
        <v>22.86</v>
      </c>
      <c r="O4149" s="784">
        <v>2.4</v>
      </c>
      <c r="P4149" s="783">
        <v>400</v>
      </c>
      <c r="Q4149" s="783">
        <v>877.82</v>
      </c>
      <c r="R4149" s="783">
        <v>783.46</v>
      </c>
      <c r="S4149" s="783">
        <v>0</v>
      </c>
      <c r="T4149" s="783">
        <v>94.37</v>
      </c>
      <c r="U4149" s="785">
        <v>44705.654282407399</v>
      </c>
    </row>
    <row r="4150" spans="1:21">
      <c r="A4150" s="782">
        <v>44686</v>
      </c>
      <c r="B4150" s="783" t="s">
        <v>41</v>
      </c>
      <c r="C4150" s="783" t="s">
        <v>4139</v>
      </c>
      <c r="D4150" s="783" t="s">
        <v>4009</v>
      </c>
      <c r="E4150" s="783" t="s">
        <v>5099</v>
      </c>
      <c r="F4150" s="783" t="s">
        <v>4011</v>
      </c>
      <c r="G4150" s="783" t="str">
        <f t="shared" si="219"/>
        <v>New Contract</v>
      </c>
      <c r="H4150" s="783" t="s">
        <v>5100</v>
      </c>
      <c r="I4150" s="783" t="s">
        <v>5101</v>
      </c>
      <c r="J4150" s="783">
        <v>20</v>
      </c>
      <c r="K4150" s="783" t="s">
        <v>765</v>
      </c>
      <c r="L4150" s="783" t="s">
        <v>4014</v>
      </c>
      <c r="M4150" s="784">
        <v>26862.42</v>
      </c>
      <c r="N4150" s="784">
        <v>26.13</v>
      </c>
      <c r="O4150" s="784">
        <v>2.23</v>
      </c>
      <c r="P4150" s="783">
        <v>461</v>
      </c>
      <c r="Q4150" s="783">
        <v>1369.98</v>
      </c>
      <c r="R4150" s="783">
        <v>824.68</v>
      </c>
      <c r="S4150" s="783">
        <v>131.63</v>
      </c>
      <c r="T4150" s="783">
        <v>413.68</v>
      </c>
      <c r="U4150" s="785">
        <v>44687.631249999999</v>
      </c>
    </row>
    <row r="4151" spans="1:21">
      <c r="A4151" s="782">
        <v>44685</v>
      </c>
      <c r="B4151" s="783" t="s">
        <v>118</v>
      </c>
      <c r="C4151" s="783" t="s">
        <v>4139</v>
      </c>
      <c r="D4151" s="783" t="s">
        <v>4009</v>
      </c>
      <c r="E4151" s="783" t="s">
        <v>5102</v>
      </c>
      <c r="F4151" s="783" t="s">
        <v>4011</v>
      </c>
      <c r="G4151" s="783" t="str">
        <f t="shared" si="219"/>
        <v>Renewal (15% in 2020)</v>
      </c>
      <c r="H4151" s="783" t="s">
        <v>5103</v>
      </c>
      <c r="I4151" s="783" t="s">
        <v>5104</v>
      </c>
      <c r="J4151" s="783">
        <v>30</v>
      </c>
      <c r="K4151" s="783" t="s">
        <v>765</v>
      </c>
      <c r="L4151" s="783" t="s">
        <v>4014</v>
      </c>
      <c r="M4151" s="784">
        <v>23016.92</v>
      </c>
      <c r="N4151" s="784">
        <v>22.39</v>
      </c>
      <c r="O4151" s="784">
        <v>2.57</v>
      </c>
      <c r="P4151" s="783">
        <v>400</v>
      </c>
      <c r="Q4151" s="783">
        <v>789.48</v>
      </c>
      <c r="R4151" s="783">
        <v>706.62</v>
      </c>
      <c r="S4151" s="783">
        <v>0</v>
      </c>
      <c r="T4151" s="783">
        <v>82.86</v>
      </c>
      <c r="U4151" s="785">
        <v>44687.648854166699</v>
      </c>
    </row>
    <row r="4152" spans="1:21">
      <c r="A4152" s="782">
        <v>44686</v>
      </c>
      <c r="B4152" s="783" t="s">
        <v>41</v>
      </c>
      <c r="C4152" s="783" t="s">
        <v>4082</v>
      </c>
      <c r="D4152" s="783" t="s">
        <v>4009</v>
      </c>
      <c r="E4152" s="783" t="s">
        <v>4566</v>
      </c>
      <c r="F4152" s="783" t="s">
        <v>4011</v>
      </c>
      <c r="G4152" s="783" t="str">
        <f t="shared" si="219"/>
        <v>Renewal (25% in 2020)</v>
      </c>
      <c r="H4152" s="783" t="s">
        <v>4567</v>
      </c>
      <c r="I4152" s="783" t="s">
        <v>4568</v>
      </c>
      <c r="J4152" s="783">
        <v>25</v>
      </c>
      <c r="K4152" s="783" t="s">
        <v>765</v>
      </c>
      <c r="L4152" s="783" t="s">
        <v>4014</v>
      </c>
      <c r="M4152" s="784">
        <v>43724.93</v>
      </c>
      <c r="N4152" s="784">
        <v>36.479999999999997</v>
      </c>
      <c r="O4152" s="784">
        <v>2.6</v>
      </c>
      <c r="P4152" s="783">
        <v>461</v>
      </c>
      <c r="Q4152" s="783">
        <v>2501.0700000000002</v>
      </c>
      <c r="R4152" s="783">
        <v>1906.41</v>
      </c>
      <c r="S4152" s="783">
        <v>371.66</v>
      </c>
      <c r="T4152" s="783">
        <v>223</v>
      </c>
      <c r="U4152" s="785">
        <v>44687.616493055597</v>
      </c>
    </row>
    <row r="4153" spans="1:21">
      <c r="A4153" s="782">
        <v>44687</v>
      </c>
      <c r="B4153" s="783" t="s">
        <v>41</v>
      </c>
      <c r="C4153" s="783" t="s">
        <v>4082</v>
      </c>
      <c r="D4153" s="783" t="s">
        <v>4009</v>
      </c>
      <c r="E4153" s="783" t="s">
        <v>1515</v>
      </c>
      <c r="F4153" s="783" t="s">
        <v>4011</v>
      </c>
      <c r="G4153" s="783" t="str">
        <f t="shared" si="219"/>
        <v>Renewal (15% in 2020)</v>
      </c>
      <c r="H4153" s="783" t="s">
        <v>5108</v>
      </c>
      <c r="I4153" s="783" t="s">
        <v>5109</v>
      </c>
      <c r="J4153" s="783">
        <v>15</v>
      </c>
      <c r="K4153" s="783" t="s">
        <v>765</v>
      </c>
      <c r="L4153" s="783" t="s">
        <v>4014</v>
      </c>
      <c r="M4153" s="784">
        <v>7985.95</v>
      </c>
      <c r="N4153" s="784">
        <v>12.17</v>
      </c>
      <c r="O4153" s="784">
        <v>1.93</v>
      </c>
      <c r="P4153" s="783">
        <v>340</v>
      </c>
      <c r="Q4153" s="783">
        <v>797.8</v>
      </c>
      <c r="R4153" s="783">
        <v>348.19</v>
      </c>
      <c r="S4153" s="783">
        <v>67.88</v>
      </c>
      <c r="T4153" s="783">
        <v>381.73</v>
      </c>
      <c r="U4153" s="785">
        <v>44690.597314814797</v>
      </c>
    </row>
    <row r="4154" spans="1:21">
      <c r="A4154" s="782">
        <v>44686</v>
      </c>
      <c r="B4154" s="783" t="s">
        <v>41</v>
      </c>
      <c r="C4154" s="783" t="s">
        <v>4071</v>
      </c>
      <c r="D4154" s="783" t="s">
        <v>4009</v>
      </c>
      <c r="E4154" s="783" t="s">
        <v>505</v>
      </c>
      <c r="F4154" s="783" t="s">
        <v>4011</v>
      </c>
      <c r="G4154" s="783" t="str">
        <f t="shared" si="219"/>
        <v>Renewal (15% in 2020)</v>
      </c>
      <c r="H4154" s="783" t="s">
        <v>4112</v>
      </c>
      <c r="I4154" s="783" t="s">
        <v>4113</v>
      </c>
      <c r="J4154" s="783">
        <v>15</v>
      </c>
      <c r="K4154" s="783" t="s">
        <v>765</v>
      </c>
      <c r="L4154" s="783" t="s">
        <v>4014</v>
      </c>
      <c r="M4154" s="784">
        <v>23709.15</v>
      </c>
      <c r="N4154" s="784">
        <v>35.25</v>
      </c>
      <c r="O4154" s="784">
        <v>1.77</v>
      </c>
      <c r="P4154" s="783">
        <v>380</v>
      </c>
      <c r="Q4154" s="783">
        <v>1887.25</v>
      </c>
      <c r="R4154" s="783">
        <v>846.42</v>
      </c>
      <c r="S4154" s="783">
        <v>135.13999999999999</v>
      </c>
      <c r="T4154" s="783">
        <v>905.69</v>
      </c>
      <c r="U4154" s="785">
        <v>44687.621053240699</v>
      </c>
    </row>
    <row r="4155" spans="1:21">
      <c r="A4155" s="782">
        <v>44689</v>
      </c>
      <c r="B4155" s="783" t="s">
        <v>113</v>
      </c>
      <c r="C4155" s="783" t="s">
        <v>6308</v>
      </c>
      <c r="D4155" s="783" t="s">
        <v>4038</v>
      </c>
      <c r="E4155" s="783" t="s">
        <v>6840</v>
      </c>
      <c r="F4155" s="783" t="s">
        <v>4011</v>
      </c>
      <c r="G4155" s="783" t="s">
        <v>4028</v>
      </c>
      <c r="H4155" s="783" t="s">
        <v>6841</v>
      </c>
      <c r="I4155" s="783" t="s">
        <v>6842</v>
      </c>
      <c r="J4155" s="783">
        <v>20</v>
      </c>
      <c r="K4155" s="783" t="s">
        <v>765</v>
      </c>
      <c r="L4155" s="783" t="s">
        <v>4014</v>
      </c>
      <c r="M4155" s="784">
        <v>6990</v>
      </c>
      <c r="N4155" s="784">
        <v>4.66</v>
      </c>
      <c r="O4155" s="784">
        <v>3</v>
      </c>
      <c r="P4155" s="783">
        <v>500</v>
      </c>
      <c r="Q4155" s="783">
        <v>594.85</v>
      </c>
      <c r="R4155" s="783">
        <v>294.52999999999997</v>
      </c>
      <c r="S4155" s="783">
        <v>77.34</v>
      </c>
      <c r="T4155" s="783">
        <v>222.98</v>
      </c>
      <c r="U4155" s="785">
        <v>44690.6492939815</v>
      </c>
    </row>
    <row r="4156" spans="1:21">
      <c r="A4156" s="782">
        <v>44687</v>
      </c>
      <c r="B4156" s="783" t="s">
        <v>51</v>
      </c>
      <c r="C4156" s="783" t="s">
        <v>4042</v>
      </c>
      <c r="D4156" s="783" t="s">
        <v>4016</v>
      </c>
      <c r="E4156" s="783" t="s">
        <v>908</v>
      </c>
      <c r="F4156" s="783" t="s">
        <v>4011</v>
      </c>
      <c r="G4156" s="783" t="str">
        <f>VLOOKUP(I4156,pacage,2,FALSE)</f>
        <v>Renewal (20% in 2020)</v>
      </c>
      <c r="H4156" s="783" t="s">
        <v>5110</v>
      </c>
      <c r="I4156" s="783" t="s">
        <v>5111</v>
      </c>
      <c r="J4156" s="783">
        <v>20</v>
      </c>
      <c r="K4156" s="783" t="s">
        <v>765</v>
      </c>
      <c r="L4156" s="783" t="s">
        <v>4014</v>
      </c>
      <c r="M4156" s="784">
        <v>20423.66</v>
      </c>
      <c r="N4156" s="784">
        <v>29.16</v>
      </c>
      <c r="O4156" s="784">
        <v>2.06</v>
      </c>
      <c r="P4156" s="783">
        <v>340</v>
      </c>
      <c r="Q4156" s="783">
        <v>1713.55</v>
      </c>
      <c r="R4156" s="783">
        <v>1076.33</v>
      </c>
      <c r="S4156" s="783">
        <v>175.64</v>
      </c>
      <c r="T4156" s="783">
        <v>461.57</v>
      </c>
      <c r="U4156" s="785">
        <v>44687.673576388901</v>
      </c>
    </row>
    <row r="4157" spans="1:21">
      <c r="A4157" s="782">
        <v>44685</v>
      </c>
      <c r="B4157" s="783" t="s">
        <v>4025</v>
      </c>
      <c r="C4157" s="783" t="s">
        <v>4026</v>
      </c>
      <c r="D4157" s="783" t="s">
        <v>4021</v>
      </c>
      <c r="E4157" s="783" t="s">
        <v>4114</v>
      </c>
      <c r="F4157" s="783" t="s">
        <v>4011</v>
      </c>
      <c r="G4157" s="783" t="s">
        <v>4028</v>
      </c>
      <c r="H4157" s="783" t="s">
        <v>4115</v>
      </c>
      <c r="I4157" s="783" t="s">
        <v>4116</v>
      </c>
      <c r="J4157" s="783">
        <v>25</v>
      </c>
      <c r="K4157" s="783" t="s">
        <v>765</v>
      </c>
      <c r="L4157" s="783" t="s">
        <v>4014</v>
      </c>
      <c r="M4157" s="784">
        <v>5868.53</v>
      </c>
      <c r="N4157" s="784">
        <v>4.75</v>
      </c>
      <c r="O4157" s="784">
        <v>2.68</v>
      </c>
      <c r="P4157" s="783">
        <v>461</v>
      </c>
      <c r="Q4157" s="783">
        <v>349.76</v>
      </c>
      <c r="R4157" s="783">
        <v>253.52</v>
      </c>
      <c r="S4157" s="783">
        <v>41.08</v>
      </c>
      <c r="T4157" s="783">
        <v>55.16</v>
      </c>
      <c r="U4157" s="785">
        <v>44685.413182870398</v>
      </c>
    </row>
    <row r="4158" spans="1:21">
      <c r="A4158" s="782">
        <v>44684</v>
      </c>
      <c r="B4158" s="783" t="s">
        <v>4025</v>
      </c>
      <c r="C4158" s="783" t="s">
        <v>4026</v>
      </c>
      <c r="D4158" s="783" t="s">
        <v>4021</v>
      </c>
      <c r="E4158" s="783" t="s">
        <v>5117</v>
      </c>
      <c r="F4158" s="783" t="s">
        <v>4011</v>
      </c>
      <c r="G4158" s="783" t="str">
        <f t="shared" ref="G4158:G4166" si="220">VLOOKUP(I4158,pacage,2,FALSE)</f>
        <v>New Contract</v>
      </c>
      <c r="H4158" s="783" t="s">
        <v>5118</v>
      </c>
      <c r="I4158" s="783" t="s">
        <v>5119</v>
      </c>
      <c r="J4158" s="783">
        <v>25</v>
      </c>
      <c r="K4158" s="783" t="s">
        <v>765</v>
      </c>
      <c r="L4158" s="783" t="s">
        <v>4014</v>
      </c>
      <c r="M4158" s="784">
        <v>10213.780000000001</v>
      </c>
      <c r="N4158" s="784">
        <v>10.210000000000001</v>
      </c>
      <c r="O4158" s="784">
        <v>2.17</v>
      </c>
      <c r="P4158" s="783">
        <v>461</v>
      </c>
      <c r="Q4158" s="783">
        <v>608.74</v>
      </c>
      <c r="R4158" s="783">
        <v>441.24</v>
      </c>
      <c r="S4158" s="783">
        <v>71.5</v>
      </c>
      <c r="T4158" s="783">
        <v>96.01</v>
      </c>
      <c r="U4158" s="785">
        <v>44685.446550925903</v>
      </c>
    </row>
    <row r="4159" spans="1:21">
      <c r="A4159" s="782">
        <v>44684</v>
      </c>
      <c r="B4159" s="783" t="s">
        <v>113</v>
      </c>
      <c r="C4159" s="783" t="s">
        <v>4602</v>
      </c>
      <c r="D4159" s="783" t="s">
        <v>4038</v>
      </c>
      <c r="E4159" s="783" t="s">
        <v>5120</v>
      </c>
      <c r="F4159" s="783" t="s">
        <v>4011</v>
      </c>
      <c r="G4159" s="783" t="str">
        <f t="shared" si="220"/>
        <v>New contract</v>
      </c>
      <c r="H4159" s="783" t="s">
        <v>5121</v>
      </c>
      <c r="I4159" s="783" t="s">
        <v>5122</v>
      </c>
      <c r="J4159" s="783">
        <v>25</v>
      </c>
      <c r="K4159" s="783" t="s">
        <v>765</v>
      </c>
      <c r="L4159" s="783" t="s">
        <v>4014</v>
      </c>
      <c r="M4159" s="784">
        <v>45687.18</v>
      </c>
      <c r="N4159" s="784">
        <v>71.61</v>
      </c>
      <c r="O4159" s="784">
        <v>2.2000000000000002</v>
      </c>
      <c r="P4159" s="783">
        <v>290</v>
      </c>
      <c r="Q4159" s="783">
        <v>3029.06</v>
      </c>
      <c r="R4159" s="783">
        <v>2179.2800000000002</v>
      </c>
      <c r="S4159" s="783">
        <v>475.15</v>
      </c>
      <c r="T4159" s="783">
        <v>374.63</v>
      </c>
      <c r="U4159" s="785">
        <v>44687.652731481503</v>
      </c>
    </row>
    <row r="4160" spans="1:21">
      <c r="A4160" s="782">
        <v>44683</v>
      </c>
      <c r="B4160" s="783" t="s">
        <v>34</v>
      </c>
      <c r="C4160" s="783" t="s">
        <v>4139</v>
      </c>
      <c r="D4160" s="783" t="s">
        <v>4009</v>
      </c>
      <c r="E4160" s="783" t="s">
        <v>1060</v>
      </c>
      <c r="F4160" s="783" t="s">
        <v>4011</v>
      </c>
      <c r="G4160" s="783" t="str">
        <f t="shared" si="220"/>
        <v>Renewal (15% in 2020)</v>
      </c>
      <c r="H4160" s="783" t="s">
        <v>7100</v>
      </c>
      <c r="I4160" s="783" t="s">
        <v>7101</v>
      </c>
      <c r="J4160" s="783">
        <v>15</v>
      </c>
      <c r="K4160" s="783" t="s">
        <v>765</v>
      </c>
      <c r="L4160" s="783" t="s">
        <v>4014</v>
      </c>
      <c r="M4160" s="784">
        <v>20014.560000000001</v>
      </c>
      <c r="N4160" s="784">
        <v>19.68</v>
      </c>
      <c r="O4160" s="784">
        <v>2.2599999999999998</v>
      </c>
      <c r="P4160" s="783">
        <v>450</v>
      </c>
      <c r="Q4160" s="783">
        <v>1369</v>
      </c>
      <c r="R4160" s="783">
        <v>614.45000000000005</v>
      </c>
      <c r="S4160" s="783">
        <v>98.07</v>
      </c>
      <c r="T4160" s="783">
        <v>656.48</v>
      </c>
      <c r="U4160" s="785">
        <v>44684.394027777802</v>
      </c>
    </row>
    <row r="4161" spans="1:21">
      <c r="A4161" s="782">
        <v>44681</v>
      </c>
      <c r="B4161" s="783" t="s">
        <v>4025</v>
      </c>
      <c r="C4161" s="783" t="s">
        <v>4026</v>
      </c>
      <c r="D4161" s="783" t="s">
        <v>4021</v>
      </c>
      <c r="E4161" s="783" t="s">
        <v>5123</v>
      </c>
      <c r="F4161" s="783" t="s">
        <v>4011</v>
      </c>
      <c r="G4161" s="783" t="str">
        <f t="shared" si="220"/>
        <v>New Contract</v>
      </c>
      <c r="H4161" s="783" t="s">
        <v>5124</v>
      </c>
      <c r="I4161" s="783" t="s">
        <v>5125</v>
      </c>
      <c r="J4161" s="783">
        <v>20</v>
      </c>
      <c r="K4161" s="783" t="s">
        <v>765</v>
      </c>
      <c r="L4161" s="783" t="s">
        <v>4014</v>
      </c>
      <c r="M4161" s="784">
        <v>51079.73</v>
      </c>
      <c r="N4161" s="784">
        <v>34.11</v>
      </c>
      <c r="O4161" s="784">
        <v>2.5</v>
      </c>
      <c r="P4161" s="783">
        <v>599</v>
      </c>
      <c r="Q4161" s="783">
        <v>3892.28</v>
      </c>
      <c r="R4161" s="783">
        <v>1698.27</v>
      </c>
      <c r="S4161" s="783">
        <v>865.93</v>
      </c>
      <c r="T4161" s="783">
        <v>1328.07</v>
      </c>
      <c r="U4161" s="785">
        <v>44701.992164351897</v>
      </c>
    </row>
    <row r="4162" spans="1:21">
      <c r="A4162" s="782">
        <v>44684</v>
      </c>
      <c r="B4162" s="783" t="s">
        <v>41</v>
      </c>
      <c r="C4162" s="783" t="s">
        <v>4092</v>
      </c>
      <c r="D4162" s="783" t="s">
        <v>4009</v>
      </c>
      <c r="E4162" s="783" t="s">
        <v>4569</v>
      </c>
      <c r="F4162" s="783" t="s">
        <v>4011</v>
      </c>
      <c r="G4162" s="783" t="str">
        <f t="shared" si="220"/>
        <v>Renewal (20% in 2020)</v>
      </c>
      <c r="H4162" s="783" t="s">
        <v>4570</v>
      </c>
      <c r="I4162" s="783" t="s">
        <v>4571</v>
      </c>
      <c r="J4162" s="783">
        <v>20</v>
      </c>
      <c r="K4162" s="783" t="s">
        <v>765</v>
      </c>
      <c r="L4162" s="783" t="s">
        <v>4014</v>
      </c>
      <c r="M4162" s="784">
        <v>17704.2</v>
      </c>
      <c r="N4162" s="784">
        <v>15.53</v>
      </c>
      <c r="O4162" s="784">
        <v>2.2799999999999998</v>
      </c>
      <c r="P4162" s="783">
        <v>500</v>
      </c>
      <c r="Q4162" s="783">
        <v>1487.15</v>
      </c>
      <c r="R4162" s="783">
        <v>803.11</v>
      </c>
      <c r="S4162" s="783">
        <v>237.9</v>
      </c>
      <c r="T4162" s="783">
        <v>446.15</v>
      </c>
      <c r="U4162" s="785">
        <v>44685.412025463003</v>
      </c>
    </row>
    <row r="4163" spans="1:21">
      <c r="A4163" s="782">
        <v>44690</v>
      </c>
      <c r="B4163" s="783" t="s">
        <v>41</v>
      </c>
      <c r="C4163" s="783" t="s">
        <v>4071</v>
      </c>
      <c r="D4163" s="783" t="s">
        <v>4009</v>
      </c>
      <c r="E4163" s="783" t="s">
        <v>1477</v>
      </c>
      <c r="F4163" s="783" t="s">
        <v>4011</v>
      </c>
      <c r="G4163" s="783" t="str">
        <f t="shared" si="220"/>
        <v>Renewal (15% in 2020)</v>
      </c>
      <c r="H4163" s="783" t="s">
        <v>5128</v>
      </c>
      <c r="I4163" s="783" t="s">
        <v>5129</v>
      </c>
      <c r="J4163" s="783">
        <v>15</v>
      </c>
      <c r="K4163" s="783" t="s">
        <v>765</v>
      </c>
      <c r="L4163" s="783" t="s">
        <v>4014</v>
      </c>
      <c r="M4163" s="784">
        <v>50411.199999999997</v>
      </c>
      <c r="N4163" s="784">
        <v>45.01</v>
      </c>
      <c r="O4163" s="784">
        <v>2.2400000000000002</v>
      </c>
      <c r="P4163" s="783">
        <v>500</v>
      </c>
      <c r="Q4163" s="783">
        <v>4012.73</v>
      </c>
      <c r="R4163" s="783">
        <v>1659.3</v>
      </c>
      <c r="S4163" s="783">
        <v>427.72</v>
      </c>
      <c r="T4163" s="783">
        <v>1925.71</v>
      </c>
      <c r="U4163" s="785">
        <v>44690.681192129603</v>
      </c>
    </row>
    <row r="4164" spans="1:21">
      <c r="A4164" s="782">
        <v>44685</v>
      </c>
      <c r="B4164" s="783" t="s">
        <v>41</v>
      </c>
      <c r="C4164" s="783" t="s">
        <v>4139</v>
      </c>
      <c r="D4164" s="783" t="s">
        <v>4009</v>
      </c>
      <c r="E4164" s="783" t="s">
        <v>737</v>
      </c>
      <c r="F4164" s="783" t="s">
        <v>4011</v>
      </c>
      <c r="G4164" s="783" t="str">
        <f t="shared" si="220"/>
        <v>Renewal (20% in 2020)</v>
      </c>
      <c r="H4164" s="783" t="s">
        <v>5130</v>
      </c>
      <c r="I4164" s="783" t="s">
        <v>5131</v>
      </c>
      <c r="J4164" s="783">
        <v>20</v>
      </c>
      <c r="K4164" s="783" t="s">
        <v>765</v>
      </c>
      <c r="L4164" s="783" t="s">
        <v>4014</v>
      </c>
      <c r="M4164" s="784">
        <v>34904.400000000001</v>
      </c>
      <c r="N4164" s="784">
        <v>51.33</v>
      </c>
      <c r="O4164" s="784">
        <v>1.7</v>
      </c>
      <c r="P4164" s="783">
        <v>400</v>
      </c>
      <c r="Q4164" s="783">
        <v>1780.12</v>
      </c>
      <c r="R4164" s="783">
        <v>1071.57</v>
      </c>
      <c r="S4164" s="783">
        <v>171.03</v>
      </c>
      <c r="T4164" s="783">
        <v>537.53</v>
      </c>
      <c r="U4164" s="785">
        <v>44687.665717592601</v>
      </c>
    </row>
    <row r="4165" spans="1:21">
      <c r="A4165" s="782">
        <v>44697</v>
      </c>
      <c r="B4165" s="783" t="s">
        <v>41</v>
      </c>
      <c r="C4165" s="783" t="s">
        <v>4082</v>
      </c>
      <c r="D4165" s="783" t="s">
        <v>4009</v>
      </c>
      <c r="E4165" s="783" t="s">
        <v>5132</v>
      </c>
      <c r="F4165" s="783" t="s">
        <v>4011</v>
      </c>
      <c r="G4165" s="783" t="str">
        <f t="shared" si="220"/>
        <v>Renewal (15% in 2020)</v>
      </c>
      <c r="H4165" s="783" t="s">
        <v>5133</v>
      </c>
      <c r="I4165" s="783" t="s">
        <v>5134</v>
      </c>
      <c r="J4165" s="783">
        <v>20</v>
      </c>
      <c r="K4165" s="783" t="s">
        <v>765</v>
      </c>
      <c r="L4165" s="783" t="s">
        <v>4014</v>
      </c>
      <c r="M4165" s="784">
        <v>16314.72</v>
      </c>
      <c r="N4165" s="784">
        <v>16.579999999999998</v>
      </c>
      <c r="O4165" s="784">
        <v>2.46</v>
      </c>
      <c r="P4165" s="783">
        <v>400</v>
      </c>
      <c r="Q4165" s="783">
        <v>1213.82</v>
      </c>
      <c r="R4165" s="783">
        <v>711.32</v>
      </c>
      <c r="S4165" s="783">
        <v>138.68</v>
      </c>
      <c r="T4165" s="783">
        <v>363.82</v>
      </c>
      <c r="U4165" s="785">
        <v>44705.6020138889</v>
      </c>
    </row>
    <row r="4166" spans="1:21">
      <c r="A4166" s="782">
        <v>44692</v>
      </c>
      <c r="B4166" s="783" t="s">
        <v>74</v>
      </c>
      <c r="C4166" s="783" t="s">
        <v>4037</v>
      </c>
      <c r="D4166" s="783" t="s">
        <v>4038</v>
      </c>
      <c r="E4166" s="783" t="s">
        <v>4572</v>
      </c>
      <c r="F4166" s="783" t="s">
        <v>4011</v>
      </c>
      <c r="G4166" s="783" t="str">
        <f t="shared" si="220"/>
        <v>Renewal (15% in 2020)</v>
      </c>
      <c r="H4166" s="783" t="s">
        <v>4573</v>
      </c>
      <c r="I4166" s="783" t="s">
        <v>4574</v>
      </c>
      <c r="J4166" s="783">
        <v>25</v>
      </c>
      <c r="K4166" s="783" t="s">
        <v>765</v>
      </c>
      <c r="L4166" s="783" t="s">
        <v>4014</v>
      </c>
      <c r="M4166" s="784">
        <v>33373.440000000002</v>
      </c>
      <c r="N4166" s="784">
        <v>28.97</v>
      </c>
      <c r="O4166" s="784">
        <v>2.56</v>
      </c>
      <c r="P4166" s="783">
        <v>450</v>
      </c>
      <c r="Q4166" s="783">
        <v>2513.02</v>
      </c>
      <c r="R4166" s="783">
        <v>1682.02</v>
      </c>
      <c r="S4166" s="783">
        <v>273.66000000000003</v>
      </c>
      <c r="T4166" s="783">
        <v>557.34</v>
      </c>
      <c r="U4166" s="785">
        <v>44692.518634259301</v>
      </c>
    </row>
    <row r="4167" spans="1:21">
      <c r="A4167" s="782">
        <v>44687</v>
      </c>
      <c r="B4167" s="783" t="s">
        <v>113</v>
      </c>
      <c r="C4167" s="783" t="s">
        <v>4606</v>
      </c>
      <c r="D4167" s="783" t="s">
        <v>4009</v>
      </c>
      <c r="E4167" s="783" t="s">
        <v>1542</v>
      </c>
      <c r="F4167" s="783" t="s">
        <v>4011</v>
      </c>
      <c r="G4167" s="783" t="s">
        <v>4028</v>
      </c>
      <c r="H4167" s="783" t="s">
        <v>6851</v>
      </c>
      <c r="I4167" s="783" t="s">
        <v>6852</v>
      </c>
      <c r="J4167" s="783">
        <v>15</v>
      </c>
      <c r="K4167" s="783" t="s">
        <v>765</v>
      </c>
      <c r="L4167" s="783" t="s">
        <v>4014</v>
      </c>
      <c r="M4167" s="784">
        <v>27676.14</v>
      </c>
      <c r="N4167" s="784">
        <v>19.829999999999998</v>
      </c>
      <c r="O4167" s="784">
        <v>2.33</v>
      </c>
      <c r="P4167" s="783">
        <v>599</v>
      </c>
      <c r="Q4167" s="783">
        <v>2828.5</v>
      </c>
      <c r="R4167" s="783">
        <v>905.25</v>
      </c>
      <c r="S4167" s="783">
        <v>461.95</v>
      </c>
      <c r="T4167" s="783">
        <v>1461.3</v>
      </c>
      <c r="U4167" s="785">
        <v>44687.604780092603</v>
      </c>
    </row>
    <row r="4168" spans="1:21">
      <c r="A4168" s="782">
        <v>44690</v>
      </c>
      <c r="B4168" s="783" t="s">
        <v>41</v>
      </c>
      <c r="C4168" s="783" t="s">
        <v>4092</v>
      </c>
      <c r="D4168" s="783" t="s">
        <v>4009</v>
      </c>
      <c r="E4168" s="783" t="s">
        <v>1570</v>
      </c>
      <c r="F4168" s="783" t="s">
        <v>4011</v>
      </c>
      <c r="G4168" s="783" t="str">
        <f t="shared" ref="G4168:G4179" si="221">VLOOKUP(I4168,pacage,2,FALSE)</f>
        <v>Renewal (30% in 2020)</v>
      </c>
      <c r="H4168" s="783" t="s">
        <v>5140</v>
      </c>
      <c r="I4168" s="783" t="s">
        <v>5141</v>
      </c>
      <c r="J4168" s="783">
        <v>30</v>
      </c>
      <c r="K4168" s="783" t="s">
        <v>765</v>
      </c>
      <c r="L4168" s="783" t="s">
        <v>4014</v>
      </c>
      <c r="M4168" s="784">
        <v>13000.5</v>
      </c>
      <c r="N4168" s="784">
        <v>13.5</v>
      </c>
      <c r="O4168" s="784">
        <v>2.14</v>
      </c>
      <c r="P4168" s="783">
        <v>450</v>
      </c>
      <c r="Q4168" s="783">
        <v>716.33</v>
      </c>
      <c r="R4168" s="783">
        <v>639.62</v>
      </c>
      <c r="S4168" s="783">
        <v>0</v>
      </c>
      <c r="T4168" s="783">
        <v>76.7</v>
      </c>
      <c r="U4168" s="785">
        <v>44691.507754629602</v>
      </c>
    </row>
    <row r="4169" spans="1:21">
      <c r="A4169" s="782">
        <v>44684</v>
      </c>
      <c r="B4169" s="783" t="s">
        <v>30</v>
      </c>
      <c r="C4169" s="783" t="s">
        <v>4239</v>
      </c>
      <c r="D4169" s="783" t="s">
        <v>4021</v>
      </c>
      <c r="E4169" s="783" t="s">
        <v>3496</v>
      </c>
      <c r="F4169" s="783" t="s">
        <v>4011</v>
      </c>
      <c r="G4169" s="783" t="str">
        <f t="shared" si="221"/>
        <v>Renewal (25% in 2020)</v>
      </c>
      <c r="H4169" s="783" t="s">
        <v>5142</v>
      </c>
      <c r="I4169" s="783" t="s">
        <v>5143</v>
      </c>
      <c r="J4169" s="783">
        <v>25</v>
      </c>
      <c r="K4169" s="783" t="s">
        <v>765</v>
      </c>
      <c r="L4169" s="783" t="s">
        <v>4014</v>
      </c>
      <c r="M4169" s="784">
        <v>14396.29</v>
      </c>
      <c r="N4169" s="784">
        <v>11.74</v>
      </c>
      <c r="O4169" s="784">
        <v>2.66</v>
      </c>
      <c r="P4169" s="783">
        <v>461</v>
      </c>
      <c r="Q4169" s="783">
        <v>834.98</v>
      </c>
      <c r="R4169" s="783">
        <v>584.49</v>
      </c>
      <c r="S4169" s="783">
        <v>136.76</v>
      </c>
      <c r="T4169" s="783">
        <v>113.73</v>
      </c>
      <c r="U4169" s="785">
        <v>44685.453148148103</v>
      </c>
    </row>
    <row r="4170" spans="1:21">
      <c r="A4170" s="782">
        <v>44685</v>
      </c>
      <c r="B4170" s="783" t="s">
        <v>30</v>
      </c>
      <c r="C4170" s="783" t="s">
        <v>4939</v>
      </c>
      <c r="D4170" s="783" t="s">
        <v>4021</v>
      </c>
      <c r="E4170" s="783" t="s">
        <v>5144</v>
      </c>
      <c r="F4170" s="783" t="s">
        <v>4011</v>
      </c>
      <c r="G4170" s="783" t="str">
        <f t="shared" si="221"/>
        <v>Renewal (20% in 2020)</v>
      </c>
      <c r="H4170" s="783" t="s">
        <v>5145</v>
      </c>
      <c r="I4170" s="783" t="s">
        <v>5146</v>
      </c>
      <c r="J4170" s="783">
        <v>20</v>
      </c>
      <c r="K4170" s="783" t="s">
        <v>765</v>
      </c>
      <c r="L4170" s="783" t="s">
        <v>4014</v>
      </c>
      <c r="M4170" s="784">
        <v>26721.599999999999</v>
      </c>
      <c r="N4170" s="784">
        <v>23.44</v>
      </c>
      <c r="O4170" s="784">
        <v>3</v>
      </c>
      <c r="P4170" s="783">
        <v>380</v>
      </c>
      <c r="Q4170" s="783">
        <v>2282.02</v>
      </c>
      <c r="R4170" s="783">
        <v>1266.5999999999999</v>
      </c>
      <c r="S4170" s="783">
        <v>280.58</v>
      </c>
      <c r="T4170" s="783">
        <v>734.84</v>
      </c>
      <c r="U4170" s="785">
        <v>44685.669050925899</v>
      </c>
    </row>
    <row r="4171" spans="1:21">
      <c r="A4171" s="782">
        <v>44683</v>
      </c>
      <c r="B4171" s="783" t="s">
        <v>41</v>
      </c>
      <c r="C4171" s="783" t="s">
        <v>4071</v>
      </c>
      <c r="D4171" s="783" t="s">
        <v>4009</v>
      </c>
      <c r="E4171" s="783" t="s">
        <v>5147</v>
      </c>
      <c r="F4171" s="783" t="s">
        <v>4011</v>
      </c>
      <c r="G4171" s="783" t="str">
        <f t="shared" si="221"/>
        <v>Renewal (15% in 2020)</v>
      </c>
      <c r="H4171" s="783" t="s">
        <v>5148</v>
      </c>
      <c r="I4171" s="783" t="s">
        <v>5149</v>
      </c>
      <c r="J4171" s="783">
        <v>15</v>
      </c>
      <c r="K4171" s="783" t="s">
        <v>765</v>
      </c>
      <c r="L4171" s="783" t="s">
        <v>4014</v>
      </c>
      <c r="M4171" s="784">
        <v>15608.25</v>
      </c>
      <c r="N4171" s="784">
        <v>19.82</v>
      </c>
      <c r="O4171" s="784">
        <v>2.25</v>
      </c>
      <c r="P4171" s="783">
        <v>350</v>
      </c>
      <c r="Q4171" s="783">
        <v>1242.42</v>
      </c>
      <c r="R4171" s="783">
        <v>557.21</v>
      </c>
      <c r="S4171" s="783">
        <v>88.97</v>
      </c>
      <c r="T4171" s="783">
        <v>596.24</v>
      </c>
      <c r="U4171" s="785">
        <v>44684.411226851902</v>
      </c>
    </row>
    <row r="4172" spans="1:21">
      <c r="A4172" s="782">
        <v>44686</v>
      </c>
      <c r="B4172" s="783" t="s">
        <v>51</v>
      </c>
      <c r="C4172" s="783" t="s">
        <v>4042</v>
      </c>
      <c r="D4172" s="783" t="s">
        <v>4016</v>
      </c>
      <c r="E4172" s="783" t="s">
        <v>120</v>
      </c>
      <c r="F4172" s="783" t="s">
        <v>4011</v>
      </c>
      <c r="G4172" s="783" t="str">
        <f t="shared" si="221"/>
        <v>Renewal (20% in 2020)</v>
      </c>
      <c r="H4172" s="783" t="s">
        <v>5150</v>
      </c>
      <c r="I4172" s="783" t="s">
        <v>5151</v>
      </c>
      <c r="J4172" s="783">
        <v>20</v>
      </c>
      <c r="K4172" s="783" t="s">
        <v>765</v>
      </c>
      <c r="L4172" s="783" t="s">
        <v>4014</v>
      </c>
      <c r="M4172" s="784">
        <v>28256.63</v>
      </c>
      <c r="N4172" s="784">
        <v>20.51</v>
      </c>
      <c r="O4172" s="784">
        <v>2.2999999999999998</v>
      </c>
      <c r="P4172" s="783">
        <v>599</v>
      </c>
      <c r="Q4172" s="783">
        <v>2370.73</v>
      </c>
      <c r="R4172" s="783">
        <v>1146.05</v>
      </c>
      <c r="S4172" s="783">
        <v>586.08000000000004</v>
      </c>
      <c r="T4172" s="783">
        <v>638.6</v>
      </c>
      <c r="U4172" s="785">
        <v>44687.624166666697</v>
      </c>
    </row>
    <row r="4173" spans="1:21">
      <c r="A4173" s="782">
        <v>44685</v>
      </c>
      <c r="B4173" s="783" t="s">
        <v>47</v>
      </c>
      <c r="C4173" s="783" t="s">
        <v>4251</v>
      </c>
      <c r="D4173" s="783" t="s">
        <v>4193</v>
      </c>
      <c r="E4173" s="783" t="s">
        <v>4254</v>
      </c>
      <c r="F4173" s="783" t="s">
        <v>4011</v>
      </c>
      <c r="G4173" s="783" t="str">
        <f t="shared" si="221"/>
        <v>Renewal (25% in 2020)</v>
      </c>
      <c r="H4173" s="783" t="s">
        <v>4255</v>
      </c>
      <c r="I4173" s="783" t="s">
        <v>4256</v>
      </c>
      <c r="J4173" s="783">
        <v>25</v>
      </c>
      <c r="K4173" s="783" t="s">
        <v>765</v>
      </c>
      <c r="L4173" s="783" t="s">
        <v>4014</v>
      </c>
      <c r="M4173" s="784">
        <v>15660</v>
      </c>
      <c r="N4173" s="784">
        <v>12</v>
      </c>
      <c r="O4173" s="784">
        <v>2.9</v>
      </c>
      <c r="P4173" s="783">
        <v>450</v>
      </c>
      <c r="Q4173" s="783">
        <v>887.92</v>
      </c>
      <c r="R4173" s="783">
        <v>681.21</v>
      </c>
      <c r="S4173" s="783">
        <v>115.88</v>
      </c>
      <c r="T4173" s="783">
        <v>90.83</v>
      </c>
      <c r="U4173" s="785">
        <v>44685.416157407402</v>
      </c>
    </row>
    <row r="4174" spans="1:21">
      <c r="A4174" s="782">
        <v>44684</v>
      </c>
      <c r="B4174" s="783" t="s">
        <v>41</v>
      </c>
      <c r="C4174" s="783" t="s">
        <v>4092</v>
      </c>
      <c r="D4174" s="783" t="s">
        <v>4009</v>
      </c>
      <c r="E4174" s="783" t="s">
        <v>601</v>
      </c>
      <c r="F4174" s="783" t="s">
        <v>4011</v>
      </c>
      <c r="G4174" s="783" t="str">
        <f t="shared" si="221"/>
        <v>Renewal (20% in 2020)</v>
      </c>
      <c r="H4174" s="783" t="s">
        <v>5152</v>
      </c>
      <c r="I4174" s="783" t="s">
        <v>5153</v>
      </c>
      <c r="J4174" s="783">
        <v>20</v>
      </c>
      <c r="K4174" s="783" t="s">
        <v>765</v>
      </c>
      <c r="L4174" s="783" t="s">
        <v>4014</v>
      </c>
      <c r="M4174" s="784">
        <v>40982.379999999997</v>
      </c>
      <c r="N4174" s="784">
        <v>32.58</v>
      </c>
      <c r="O4174" s="784">
        <v>2.1</v>
      </c>
      <c r="P4174" s="783">
        <v>599</v>
      </c>
      <c r="Q4174" s="783">
        <v>3442.52</v>
      </c>
      <c r="R4174" s="783">
        <v>1551.8</v>
      </c>
      <c r="S4174" s="783">
        <v>857.96</v>
      </c>
      <c r="T4174" s="783">
        <v>1032.76</v>
      </c>
      <c r="U4174" s="785">
        <v>44685.408287036997</v>
      </c>
    </row>
    <row r="4175" spans="1:21">
      <c r="A4175" s="782">
        <v>44683</v>
      </c>
      <c r="B4175" s="783" t="s">
        <v>51</v>
      </c>
      <c r="C4175" s="783" t="s">
        <v>4042</v>
      </c>
      <c r="D4175" s="783" t="s">
        <v>4016</v>
      </c>
      <c r="E4175" s="783" t="s">
        <v>5154</v>
      </c>
      <c r="F4175" s="783" t="s">
        <v>4011</v>
      </c>
      <c r="G4175" s="783" t="str">
        <f t="shared" si="221"/>
        <v>New Contract</v>
      </c>
      <c r="H4175" s="783" t="s">
        <v>5155</v>
      </c>
      <c r="I4175" s="783" t="s">
        <v>5156</v>
      </c>
      <c r="J4175" s="783">
        <v>25</v>
      </c>
      <c r="K4175" s="783" t="s">
        <v>765</v>
      </c>
      <c r="L4175" s="783" t="s">
        <v>4014</v>
      </c>
      <c r="M4175" s="784">
        <v>33603.9</v>
      </c>
      <c r="N4175" s="784">
        <v>22.44</v>
      </c>
      <c r="O4175" s="784">
        <v>2.5</v>
      </c>
      <c r="P4175" s="783">
        <v>599</v>
      </c>
      <c r="Q4175" s="783">
        <v>2409.4</v>
      </c>
      <c r="R4175" s="783">
        <v>1362.93</v>
      </c>
      <c r="S4175" s="783">
        <v>696.99</v>
      </c>
      <c r="T4175" s="783">
        <v>349.48</v>
      </c>
      <c r="U4175" s="785">
        <v>44684.405162037001</v>
      </c>
    </row>
    <row r="4176" spans="1:21">
      <c r="A4176" s="782">
        <v>44694</v>
      </c>
      <c r="B4176" s="783" t="s">
        <v>2866</v>
      </c>
      <c r="C4176" s="783" t="s">
        <v>4008</v>
      </c>
      <c r="D4176" s="783" t="s">
        <v>4009</v>
      </c>
      <c r="E4176" s="783" t="s">
        <v>5157</v>
      </c>
      <c r="F4176" s="783" t="s">
        <v>4011</v>
      </c>
      <c r="G4176" s="783" t="str">
        <f t="shared" si="221"/>
        <v>Renewal (15% in 2020)</v>
      </c>
      <c r="H4176" s="783" t="s">
        <v>5158</v>
      </c>
      <c r="I4176" s="783" t="s">
        <v>5159</v>
      </c>
      <c r="J4176" s="783">
        <v>15</v>
      </c>
      <c r="K4176" s="783" t="s">
        <v>765</v>
      </c>
      <c r="L4176" s="783" t="s">
        <v>4014</v>
      </c>
      <c r="M4176" s="784">
        <v>28194.880000000001</v>
      </c>
      <c r="N4176" s="784">
        <v>24.56</v>
      </c>
      <c r="O4176" s="784">
        <v>2.87</v>
      </c>
      <c r="P4176" s="783">
        <v>400</v>
      </c>
      <c r="Q4176" s="783">
        <v>3614.58</v>
      </c>
      <c r="R4176" s="783">
        <v>1533.8</v>
      </c>
      <c r="S4176" s="783">
        <v>250.93</v>
      </c>
      <c r="T4176" s="783">
        <v>1829.85</v>
      </c>
      <c r="U4176" s="785">
        <v>44694.529247685197</v>
      </c>
    </row>
    <row r="4177" spans="1:21">
      <c r="A4177" s="782">
        <v>44686</v>
      </c>
      <c r="B4177" s="783" t="s">
        <v>41</v>
      </c>
      <c r="C4177" s="783" t="s">
        <v>4082</v>
      </c>
      <c r="D4177" s="783" t="s">
        <v>4009</v>
      </c>
      <c r="E4177" s="783" t="s">
        <v>5160</v>
      </c>
      <c r="F4177" s="783" t="s">
        <v>4011</v>
      </c>
      <c r="G4177" s="783" t="str">
        <f t="shared" si="221"/>
        <v>Renewal (25% in 2020)</v>
      </c>
      <c r="H4177" s="783" t="s">
        <v>5161</v>
      </c>
      <c r="I4177" s="783" t="s">
        <v>5162</v>
      </c>
      <c r="J4177" s="783">
        <v>25</v>
      </c>
      <c r="K4177" s="783" t="s">
        <v>765</v>
      </c>
      <c r="L4177" s="783" t="s">
        <v>4014</v>
      </c>
      <c r="M4177" s="784">
        <v>17853.439999999999</v>
      </c>
      <c r="N4177" s="784">
        <v>25.36</v>
      </c>
      <c r="O4177" s="784">
        <v>2.2000000000000002</v>
      </c>
      <c r="P4177" s="783">
        <v>320</v>
      </c>
      <c r="Q4177" s="783">
        <v>1021.22</v>
      </c>
      <c r="R4177" s="783">
        <v>778.41</v>
      </c>
      <c r="S4177" s="783">
        <v>151.75</v>
      </c>
      <c r="T4177" s="783">
        <v>91.05</v>
      </c>
      <c r="U4177" s="785">
        <v>44687.634189814802</v>
      </c>
    </row>
    <row r="4178" spans="1:21">
      <c r="A4178" s="782">
        <v>44686</v>
      </c>
      <c r="B4178" s="783" t="s">
        <v>4025</v>
      </c>
      <c r="C4178" s="783" t="s">
        <v>4026</v>
      </c>
      <c r="D4178" s="783" t="s">
        <v>4021</v>
      </c>
      <c r="E4178" s="783" t="s">
        <v>5169</v>
      </c>
      <c r="F4178" s="783" t="s">
        <v>4011</v>
      </c>
      <c r="G4178" s="783" t="str">
        <f t="shared" si="221"/>
        <v>New contract</v>
      </c>
      <c r="H4178" s="783" t="s">
        <v>5170</v>
      </c>
      <c r="I4178" s="783" t="s">
        <v>5171</v>
      </c>
      <c r="J4178" s="783">
        <v>25</v>
      </c>
      <c r="K4178" s="783" t="s">
        <v>765</v>
      </c>
      <c r="L4178" s="783" t="s">
        <v>4014</v>
      </c>
      <c r="M4178" s="784">
        <v>8522.0499999999993</v>
      </c>
      <c r="N4178" s="784">
        <v>7.8</v>
      </c>
      <c r="O4178" s="784">
        <v>2.37</v>
      </c>
      <c r="P4178" s="783">
        <v>461</v>
      </c>
      <c r="Q4178" s="783">
        <v>507.91</v>
      </c>
      <c r="R4178" s="783">
        <v>368.15</v>
      </c>
      <c r="S4178" s="783">
        <v>59.65</v>
      </c>
      <c r="T4178" s="783">
        <v>80.11</v>
      </c>
      <c r="U4178" s="785">
        <v>44687.651446759301</v>
      </c>
    </row>
    <row r="4179" spans="1:21">
      <c r="A4179" s="782">
        <v>44688</v>
      </c>
      <c r="B4179" s="783" t="s">
        <v>150</v>
      </c>
      <c r="C4179" s="783" t="s">
        <v>4097</v>
      </c>
      <c r="D4179" s="783" t="s">
        <v>4038</v>
      </c>
      <c r="E4179" s="783" t="s">
        <v>5172</v>
      </c>
      <c r="F4179" s="783" t="s">
        <v>4011</v>
      </c>
      <c r="G4179" s="783" t="str">
        <f t="shared" si="221"/>
        <v>Renewal (20% in 2020)</v>
      </c>
      <c r="H4179" s="783" t="s">
        <v>5173</v>
      </c>
      <c r="I4179" s="783" t="s">
        <v>5174</v>
      </c>
      <c r="J4179" s="783">
        <v>20</v>
      </c>
      <c r="K4179" s="783" t="s">
        <v>765</v>
      </c>
      <c r="L4179" s="783" t="s">
        <v>4014</v>
      </c>
      <c r="M4179" s="784">
        <v>38176.86</v>
      </c>
      <c r="N4179" s="784">
        <v>28.03</v>
      </c>
      <c r="O4179" s="784">
        <v>2.27</v>
      </c>
      <c r="P4179" s="783">
        <v>600</v>
      </c>
      <c r="Q4179" s="783">
        <v>3080.87</v>
      </c>
      <c r="R4179" s="783">
        <v>1434.36</v>
      </c>
      <c r="S4179" s="783">
        <v>737.9</v>
      </c>
      <c r="T4179" s="783">
        <v>908.61</v>
      </c>
      <c r="U4179" s="785">
        <v>44690.632638888899</v>
      </c>
    </row>
    <row r="4180" spans="1:21">
      <c r="A4180" s="782">
        <v>44690</v>
      </c>
      <c r="B4180" s="783" t="s">
        <v>65</v>
      </c>
      <c r="C4180" s="783" t="s">
        <v>4491</v>
      </c>
      <c r="D4180" s="783" t="s">
        <v>4193</v>
      </c>
      <c r="E4180" s="783" t="s">
        <v>5175</v>
      </c>
      <c r="F4180" s="783" t="s">
        <v>4011</v>
      </c>
      <c r="G4180" s="783" t="s">
        <v>4028</v>
      </c>
      <c r="H4180" s="783" t="s">
        <v>5176</v>
      </c>
      <c r="I4180" s="783" t="s">
        <v>5177</v>
      </c>
      <c r="J4180" s="783">
        <v>25</v>
      </c>
      <c r="K4180" s="783" t="s">
        <v>765</v>
      </c>
      <c r="L4180" s="783" t="s">
        <v>4014</v>
      </c>
      <c r="M4180" s="784">
        <v>24753.68</v>
      </c>
      <c r="N4180" s="784">
        <v>30.9</v>
      </c>
      <c r="O4180" s="784">
        <v>2.0699999999999998</v>
      </c>
      <c r="P4180" s="783">
        <v>387</v>
      </c>
      <c r="Q4180" s="783">
        <v>1143.6199999999999</v>
      </c>
      <c r="R4180" s="783">
        <v>886.18</v>
      </c>
      <c r="S4180" s="783">
        <v>143.57</v>
      </c>
      <c r="T4180" s="783">
        <v>113.87</v>
      </c>
      <c r="U4180" s="785">
        <v>44690.663842592599</v>
      </c>
    </row>
    <row r="4181" spans="1:21">
      <c r="A4181" s="782">
        <v>44681</v>
      </c>
      <c r="B4181" s="783" t="s">
        <v>74</v>
      </c>
      <c r="C4181" s="783" t="s">
        <v>4097</v>
      </c>
      <c r="D4181" s="783" t="s">
        <v>4038</v>
      </c>
      <c r="E4181" s="783" t="s">
        <v>4293</v>
      </c>
      <c r="F4181" s="783" t="s">
        <v>4011</v>
      </c>
      <c r="G4181" s="783" t="str">
        <f>VLOOKUP(I4181,pacage,2,FALSE)</f>
        <v>Renewal (20% in 2020)</v>
      </c>
      <c r="H4181" s="783" t="s">
        <v>4294</v>
      </c>
      <c r="I4181" s="783" t="s">
        <v>4295</v>
      </c>
      <c r="J4181" s="783">
        <v>20</v>
      </c>
      <c r="K4181" s="783" t="s">
        <v>765</v>
      </c>
      <c r="L4181" s="783" t="s">
        <v>4014</v>
      </c>
      <c r="M4181" s="784">
        <v>27528.48</v>
      </c>
      <c r="N4181" s="784">
        <v>27.31</v>
      </c>
      <c r="O4181" s="784">
        <v>2.4</v>
      </c>
      <c r="P4181" s="783">
        <v>420</v>
      </c>
      <c r="Q4181" s="783">
        <v>2221.5500000000002</v>
      </c>
      <c r="R4181" s="783">
        <v>1346.14</v>
      </c>
      <c r="S4181" s="783">
        <v>220.23</v>
      </c>
      <c r="T4181" s="783">
        <v>655.17999999999995</v>
      </c>
      <c r="U4181" s="785">
        <v>44683.449317129598</v>
      </c>
    </row>
    <row r="4182" spans="1:21">
      <c r="A4182" s="782">
        <v>44678</v>
      </c>
      <c r="B4182" s="783" t="s">
        <v>41</v>
      </c>
      <c r="C4182" s="783" t="s">
        <v>4092</v>
      </c>
      <c r="D4182" s="783" t="s">
        <v>4009</v>
      </c>
      <c r="E4182" s="783" t="s">
        <v>5178</v>
      </c>
      <c r="F4182" s="783" t="s">
        <v>4011</v>
      </c>
      <c r="G4182" s="783" t="str">
        <f>VLOOKUP(I4182,pacage,2,FALSE)</f>
        <v>Renewal (20% in 2020)</v>
      </c>
      <c r="H4182" s="783" t="s">
        <v>5179</v>
      </c>
      <c r="I4182" s="783" t="s">
        <v>5180</v>
      </c>
      <c r="J4182" s="783">
        <v>20</v>
      </c>
      <c r="K4182" s="783" t="s">
        <v>765</v>
      </c>
      <c r="L4182" s="783" t="s">
        <v>4014</v>
      </c>
      <c r="M4182" s="784">
        <v>22138.27</v>
      </c>
      <c r="N4182" s="784">
        <v>26.28</v>
      </c>
      <c r="O4182" s="784">
        <v>2.34</v>
      </c>
      <c r="P4182" s="783">
        <v>360</v>
      </c>
      <c r="Q4182" s="783">
        <v>1859.61</v>
      </c>
      <c r="R4182" s="783">
        <v>1089.2</v>
      </c>
      <c r="S4182" s="783">
        <v>212.53</v>
      </c>
      <c r="T4182" s="783">
        <v>557.88</v>
      </c>
      <c r="U4182" s="785">
        <v>44680.490312499998</v>
      </c>
    </row>
    <row r="4183" spans="1:21">
      <c r="A4183" s="782">
        <v>44679</v>
      </c>
      <c r="B4183" s="783" t="s">
        <v>74</v>
      </c>
      <c r="C4183" s="783" t="s">
        <v>4037</v>
      </c>
      <c r="D4183" s="783" t="s">
        <v>4038</v>
      </c>
      <c r="E4183" s="783" t="s">
        <v>6856</v>
      </c>
      <c r="F4183" s="783" t="s">
        <v>4011</v>
      </c>
      <c r="G4183" s="783" t="str">
        <f>VLOOKUP(I4183,pacage,2,FALSE)</f>
        <v>New Contract</v>
      </c>
      <c r="H4183" s="783" t="s">
        <v>6857</v>
      </c>
      <c r="I4183" s="783" t="s">
        <v>6858</v>
      </c>
      <c r="J4183" s="783">
        <v>20</v>
      </c>
      <c r="K4183" s="783" t="s">
        <v>765</v>
      </c>
      <c r="L4183" s="783" t="s">
        <v>4014</v>
      </c>
      <c r="M4183" s="784">
        <v>32398.2</v>
      </c>
      <c r="N4183" s="784">
        <v>35.119999999999997</v>
      </c>
      <c r="O4183" s="784">
        <v>2.0499999999999998</v>
      </c>
      <c r="P4183" s="783">
        <v>450</v>
      </c>
      <c r="Q4183" s="783">
        <v>2818.64</v>
      </c>
      <c r="R4183" s="783">
        <v>1632.87</v>
      </c>
      <c r="S4183" s="783">
        <v>265.67</v>
      </c>
      <c r="T4183" s="783">
        <v>920.11</v>
      </c>
      <c r="U4183" s="785">
        <v>44680.695613425902</v>
      </c>
    </row>
    <row r="4184" spans="1:21">
      <c r="A4184" s="782">
        <v>44678</v>
      </c>
      <c r="B4184" s="783" t="s">
        <v>113</v>
      </c>
      <c r="C4184" s="783" t="s">
        <v>4376</v>
      </c>
      <c r="D4184" s="783" t="s">
        <v>4038</v>
      </c>
      <c r="E4184" s="783" t="s">
        <v>7126</v>
      </c>
      <c r="F4184" s="783" t="s">
        <v>4011</v>
      </c>
      <c r="G4184" s="783" t="s">
        <v>4028</v>
      </c>
      <c r="H4184" s="783" t="s">
        <v>7127</v>
      </c>
      <c r="I4184" s="783" t="s">
        <v>7128</v>
      </c>
      <c r="J4184" s="783">
        <v>15</v>
      </c>
      <c r="K4184" s="783" t="s">
        <v>765</v>
      </c>
      <c r="L4184" s="783" t="s">
        <v>4014</v>
      </c>
      <c r="M4184" s="784">
        <v>13627.5</v>
      </c>
      <c r="N4184" s="784">
        <v>11.85</v>
      </c>
      <c r="O4184" s="784">
        <v>2.2999999999999998</v>
      </c>
      <c r="P4184" s="783">
        <v>500</v>
      </c>
      <c r="Q4184" s="783">
        <v>1704.8</v>
      </c>
      <c r="R4184" s="783">
        <v>657.13</v>
      </c>
      <c r="S4184" s="783">
        <v>172.79</v>
      </c>
      <c r="T4184" s="783">
        <v>874.89</v>
      </c>
      <c r="U4184" s="785">
        <v>44680.6703009259</v>
      </c>
    </row>
    <row r="4185" spans="1:21">
      <c r="A4185" s="782">
        <v>44679</v>
      </c>
      <c r="B4185" s="783" t="s">
        <v>41</v>
      </c>
      <c r="C4185" s="783" t="s">
        <v>4008</v>
      </c>
      <c r="D4185" s="783" t="s">
        <v>4009</v>
      </c>
      <c r="E4185" s="783" t="s">
        <v>4034</v>
      </c>
      <c r="F4185" s="783" t="s">
        <v>4011</v>
      </c>
      <c r="G4185" s="783" t="str">
        <f>VLOOKUP(I4185,pacage,2,FALSE)</f>
        <v>Renewal (25% in 2020)</v>
      </c>
      <c r="H4185" s="783" t="s">
        <v>4035</v>
      </c>
      <c r="I4185" s="783" t="s">
        <v>4036</v>
      </c>
      <c r="J4185" s="783">
        <v>25</v>
      </c>
      <c r="K4185" s="783" t="s">
        <v>765</v>
      </c>
      <c r="L4185" s="783" t="s">
        <v>4014</v>
      </c>
      <c r="M4185" s="784">
        <v>26604.03</v>
      </c>
      <c r="N4185" s="784">
        <v>26.62</v>
      </c>
      <c r="O4185" s="784">
        <v>2.63</v>
      </c>
      <c r="P4185" s="783">
        <v>380</v>
      </c>
      <c r="Q4185" s="783">
        <v>2029.89</v>
      </c>
      <c r="R4185" s="783">
        <v>1447.26</v>
      </c>
      <c r="S4185" s="783">
        <v>236.78</v>
      </c>
      <c r="T4185" s="783">
        <v>345.85</v>
      </c>
      <c r="U4185" s="785">
        <v>44680.690590277802</v>
      </c>
    </row>
    <row r="4186" spans="1:21">
      <c r="A4186" s="782">
        <v>44679</v>
      </c>
      <c r="B4186" s="783" t="s">
        <v>228</v>
      </c>
      <c r="C4186" s="783" t="s">
        <v>4675</v>
      </c>
      <c r="D4186" s="783" t="s">
        <v>4193</v>
      </c>
      <c r="E4186" s="783" t="s">
        <v>5184</v>
      </c>
      <c r="F4186" s="783" t="s">
        <v>4011</v>
      </c>
      <c r="G4186" s="783" t="s">
        <v>4028</v>
      </c>
      <c r="H4186" s="783" t="s">
        <v>5185</v>
      </c>
      <c r="I4186" s="783" t="s">
        <v>5186</v>
      </c>
      <c r="J4186" s="783">
        <v>25</v>
      </c>
      <c r="K4186" s="783" t="s">
        <v>765</v>
      </c>
      <c r="L4186" s="783" t="s">
        <v>4014</v>
      </c>
      <c r="M4186" s="784">
        <v>11621.2</v>
      </c>
      <c r="N4186" s="784">
        <v>8.6999999999999993</v>
      </c>
      <c r="O4186" s="784">
        <v>2.23</v>
      </c>
      <c r="P4186" s="783">
        <v>599</v>
      </c>
      <c r="Q4186" s="783">
        <v>698.43</v>
      </c>
      <c r="R4186" s="783">
        <v>387.27</v>
      </c>
      <c r="S4186" s="783">
        <v>197.28</v>
      </c>
      <c r="T4186" s="783">
        <v>113.89</v>
      </c>
      <c r="U4186" s="785">
        <v>44680.691585648201</v>
      </c>
    </row>
    <row r="4187" spans="1:21">
      <c r="A4187" s="782">
        <v>44679</v>
      </c>
      <c r="B4187" s="783" t="s">
        <v>113</v>
      </c>
      <c r="C4187" s="783" t="s">
        <v>4606</v>
      </c>
      <c r="D4187" s="783" t="s">
        <v>4009</v>
      </c>
      <c r="E4187" s="783" t="s">
        <v>6859</v>
      </c>
      <c r="F4187" s="783" t="s">
        <v>4011</v>
      </c>
      <c r="G4187" s="783" t="s">
        <v>4028</v>
      </c>
      <c r="H4187" s="783" t="s">
        <v>6860</v>
      </c>
      <c r="I4187" s="783" t="s">
        <v>6861</v>
      </c>
      <c r="J4187" s="783">
        <v>25</v>
      </c>
      <c r="K4187" s="783" t="s">
        <v>765</v>
      </c>
      <c r="L4187" s="783" t="s">
        <v>4014</v>
      </c>
      <c r="M4187" s="784">
        <v>6517.49</v>
      </c>
      <c r="N4187" s="784">
        <v>4.7</v>
      </c>
      <c r="O4187" s="784">
        <v>2.83</v>
      </c>
      <c r="P4187" s="783">
        <v>490</v>
      </c>
      <c r="Q4187" s="783">
        <v>402.78</v>
      </c>
      <c r="R4187" s="783">
        <v>260.60000000000002</v>
      </c>
      <c r="S4187" s="783">
        <v>61.36</v>
      </c>
      <c r="T4187" s="783">
        <v>80.819999999999993</v>
      </c>
      <c r="U4187" s="785">
        <v>44680.718715277799</v>
      </c>
    </row>
    <row r="4188" spans="1:21">
      <c r="A4188" s="782">
        <v>44679</v>
      </c>
      <c r="B4188" s="783" t="s">
        <v>41</v>
      </c>
      <c r="C4188" s="783" t="s">
        <v>4092</v>
      </c>
      <c r="D4188" s="783" t="s">
        <v>4009</v>
      </c>
      <c r="E4188" s="783" t="s">
        <v>608</v>
      </c>
      <c r="F4188" s="783" t="s">
        <v>4011</v>
      </c>
      <c r="G4188" s="783" t="str">
        <f t="shared" ref="G4188:G4197" si="222">VLOOKUP(I4188,pacage,2,FALSE)</f>
        <v>Renewal (15% in 2020)</v>
      </c>
      <c r="H4188" s="783" t="s">
        <v>4575</v>
      </c>
      <c r="I4188" s="783" t="s">
        <v>4576</v>
      </c>
      <c r="J4188" s="783">
        <v>15</v>
      </c>
      <c r="K4188" s="783" t="s">
        <v>765</v>
      </c>
      <c r="L4188" s="783" t="s">
        <v>4014</v>
      </c>
      <c r="M4188" s="784">
        <v>29840</v>
      </c>
      <c r="N4188" s="784">
        <v>29.84</v>
      </c>
      <c r="O4188" s="784">
        <v>2.5</v>
      </c>
      <c r="P4188" s="783">
        <v>400</v>
      </c>
      <c r="Q4188" s="783">
        <v>3362.97</v>
      </c>
      <c r="R4188" s="783">
        <v>1468.13</v>
      </c>
      <c r="S4188" s="783">
        <v>286.45999999999998</v>
      </c>
      <c r="T4188" s="783">
        <v>1608.38</v>
      </c>
      <c r="U4188" s="785">
        <v>44680.705127314803</v>
      </c>
    </row>
    <row r="4189" spans="1:21">
      <c r="A4189" s="782">
        <v>44710</v>
      </c>
      <c r="B4189" s="783" t="s">
        <v>51</v>
      </c>
      <c r="C4189" s="783" t="s">
        <v>4042</v>
      </c>
      <c r="D4189" s="783" t="s">
        <v>4016</v>
      </c>
      <c r="E4189" s="783" t="s">
        <v>5187</v>
      </c>
      <c r="F4189" s="783" t="s">
        <v>4011</v>
      </c>
      <c r="G4189" s="783" t="str">
        <f t="shared" si="222"/>
        <v>Renewal (15% in 2020)</v>
      </c>
      <c r="H4189" s="783" t="s">
        <v>5188</v>
      </c>
      <c r="I4189" s="783" t="s">
        <v>5189</v>
      </c>
      <c r="J4189" s="783">
        <v>15</v>
      </c>
      <c r="K4189" s="783" t="s">
        <v>765</v>
      </c>
      <c r="L4189" s="783" t="s">
        <v>4014</v>
      </c>
      <c r="M4189" s="784">
        <v>84968</v>
      </c>
      <c r="N4189" s="784">
        <v>86</v>
      </c>
      <c r="O4189" s="784">
        <v>2.4700000000000002</v>
      </c>
      <c r="P4189" s="783">
        <v>400</v>
      </c>
      <c r="Q4189" s="783">
        <v>8692.23</v>
      </c>
      <c r="R4189" s="783">
        <v>4477.8100000000004</v>
      </c>
      <c r="S4189" s="783">
        <v>730.72</v>
      </c>
      <c r="T4189" s="783">
        <v>3483.69</v>
      </c>
      <c r="U4189" s="785">
        <v>44712.649722222202</v>
      </c>
    </row>
    <row r="4190" spans="1:21">
      <c r="A4190" s="782">
        <v>44680</v>
      </c>
      <c r="B4190" s="783" t="s">
        <v>51</v>
      </c>
      <c r="C4190" s="783" t="s">
        <v>4015</v>
      </c>
      <c r="D4190" s="783" t="s">
        <v>4016</v>
      </c>
      <c r="E4190" s="783" t="s">
        <v>89</v>
      </c>
      <c r="F4190" s="783" t="s">
        <v>4011</v>
      </c>
      <c r="G4190" s="783" t="str">
        <f t="shared" si="222"/>
        <v>Renewal (20% in 2020)</v>
      </c>
      <c r="H4190" s="783" t="s">
        <v>5190</v>
      </c>
      <c r="I4190" s="783" t="s">
        <v>5191</v>
      </c>
      <c r="J4190" s="783">
        <v>20</v>
      </c>
      <c r="K4190" s="783" t="s">
        <v>765</v>
      </c>
      <c r="L4190" s="783" t="s">
        <v>4014</v>
      </c>
      <c r="M4190" s="784">
        <v>20867.21</v>
      </c>
      <c r="N4190" s="784">
        <v>27.77</v>
      </c>
      <c r="O4190" s="784">
        <v>1.63</v>
      </c>
      <c r="P4190" s="783">
        <v>461</v>
      </c>
      <c r="Q4190" s="783">
        <v>2082.5500000000002</v>
      </c>
      <c r="R4190" s="783">
        <v>1191.52</v>
      </c>
      <c r="S4190" s="783">
        <v>198.24</v>
      </c>
      <c r="T4190" s="783">
        <v>692.79</v>
      </c>
      <c r="U4190" s="785">
        <v>44680.747037036999</v>
      </c>
    </row>
    <row r="4191" spans="1:21">
      <c r="A4191" s="782">
        <v>44681</v>
      </c>
      <c r="B4191" s="783" t="s">
        <v>51</v>
      </c>
      <c r="C4191" s="783" t="s">
        <v>4042</v>
      </c>
      <c r="D4191" s="783" t="s">
        <v>4016</v>
      </c>
      <c r="E4191" s="783" t="s">
        <v>5192</v>
      </c>
      <c r="F4191" s="783" t="s">
        <v>4011</v>
      </c>
      <c r="G4191" s="783" t="str">
        <f t="shared" si="222"/>
        <v>Renewal (30% in 2020)</v>
      </c>
      <c r="H4191" s="783" t="s">
        <v>5193</v>
      </c>
      <c r="I4191" s="783" t="s">
        <v>5194</v>
      </c>
      <c r="J4191" s="783">
        <v>30</v>
      </c>
      <c r="K4191" s="783" t="s">
        <v>765</v>
      </c>
      <c r="L4191" s="783" t="s">
        <v>4014</v>
      </c>
      <c r="M4191" s="784">
        <v>13282.5</v>
      </c>
      <c r="N4191" s="784">
        <v>15</v>
      </c>
      <c r="O4191" s="784">
        <v>2.5299999999999998</v>
      </c>
      <c r="P4191" s="783">
        <v>350</v>
      </c>
      <c r="Q4191" s="783">
        <v>838.13</v>
      </c>
      <c r="R4191" s="783">
        <v>699.99</v>
      </c>
      <c r="S4191" s="783">
        <v>0</v>
      </c>
      <c r="T4191" s="783">
        <v>138.13999999999999</v>
      </c>
      <c r="U4191" s="785">
        <v>44683.456782407397</v>
      </c>
    </row>
    <row r="4192" spans="1:21">
      <c r="A4192" s="782">
        <v>44710</v>
      </c>
      <c r="B4192" s="783" t="s">
        <v>41</v>
      </c>
      <c r="C4192" s="783" t="s">
        <v>4092</v>
      </c>
      <c r="D4192" s="783" t="s">
        <v>4009</v>
      </c>
      <c r="E4192" s="783" t="s">
        <v>1795</v>
      </c>
      <c r="F4192" s="783" t="s">
        <v>4011</v>
      </c>
      <c r="G4192" s="783" t="str">
        <f t="shared" si="222"/>
        <v>Renewal (20% in 2020)</v>
      </c>
      <c r="H4192" s="783" t="s">
        <v>4117</v>
      </c>
      <c r="I4192" s="783" t="s">
        <v>4118</v>
      </c>
      <c r="J4192" s="783">
        <v>20</v>
      </c>
      <c r="K4192" s="783" t="s">
        <v>765</v>
      </c>
      <c r="L4192" s="783" t="s">
        <v>4014</v>
      </c>
      <c r="M4192" s="784">
        <v>34917.75</v>
      </c>
      <c r="N4192" s="784">
        <v>36.950000000000003</v>
      </c>
      <c r="O4192" s="784">
        <v>1.89</v>
      </c>
      <c r="P4192" s="783">
        <v>500</v>
      </c>
      <c r="Q4192" s="783">
        <v>2933.09</v>
      </c>
      <c r="R4192" s="783">
        <v>1583.95</v>
      </c>
      <c r="S4192" s="783">
        <v>469.21</v>
      </c>
      <c r="T4192" s="783">
        <v>879.93</v>
      </c>
      <c r="U4192" s="785">
        <v>44712.585555555597</v>
      </c>
    </row>
    <row r="4193" spans="1:21">
      <c r="A4193" s="782">
        <v>44680</v>
      </c>
      <c r="B4193" s="783" t="s">
        <v>41</v>
      </c>
      <c r="C4193" s="783" t="s">
        <v>4092</v>
      </c>
      <c r="D4193" s="783" t="s">
        <v>4009</v>
      </c>
      <c r="E4193" s="783" t="s">
        <v>5195</v>
      </c>
      <c r="F4193" s="783" t="s">
        <v>4011</v>
      </c>
      <c r="G4193" s="783" t="str">
        <f t="shared" si="222"/>
        <v>Renewal (20% in 2020)</v>
      </c>
      <c r="H4193" s="783" t="s">
        <v>5196</v>
      </c>
      <c r="I4193" s="783" t="s">
        <v>5197</v>
      </c>
      <c r="J4193" s="783">
        <v>20</v>
      </c>
      <c r="K4193" s="783" t="s">
        <v>765</v>
      </c>
      <c r="L4193" s="783" t="s">
        <v>4014</v>
      </c>
      <c r="M4193" s="784">
        <v>20388.189999999999</v>
      </c>
      <c r="N4193" s="784">
        <v>18.2</v>
      </c>
      <c r="O4193" s="784">
        <v>2.4300000000000002</v>
      </c>
      <c r="P4193" s="783">
        <v>461</v>
      </c>
      <c r="Q4193" s="783">
        <v>1712.61</v>
      </c>
      <c r="R4193" s="783">
        <v>1003.1</v>
      </c>
      <c r="S4193" s="783">
        <v>195.73</v>
      </c>
      <c r="T4193" s="783">
        <v>513.78</v>
      </c>
      <c r="U4193" s="785">
        <v>44680.724687499998</v>
      </c>
    </row>
    <row r="4194" spans="1:21">
      <c r="A4194" s="782">
        <v>44694</v>
      </c>
      <c r="B4194" s="783" t="s">
        <v>41</v>
      </c>
      <c r="C4194" s="783" t="s">
        <v>4008</v>
      </c>
      <c r="D4194" s="783" t="s">
        <v>4009</v>
      </c>
      <c r="E4194" s="783" t="s">
        <v>4577</v>
      </c>
      <c r="F4194" s="783" t="s">
        <v>4011</v>
      </c>
      <c r="G4194" s="783" t="str">
        <f t="shared" si="222"/>
        <v>Renewal (30% in 2020)</v>
      </c>
      <c r="H4194" s="783" t="s">
        <v>4578</v>
      </c>
      <c r="I4194" s="783" t="s">
        <v>4579</v>
      </c>
      <c r="J4194" s="783">
        <v>30</v>
      </c>
      <c r="K4194" s="783" t="s">
        <v>765</v>
      </c>
      <c r="L4194" s="783" t="s">
        <v>4014</v>
      </c>
      <c r="M4194" s="784">
        <v>38817</v>
      </c>
      <c r="N4194" s="784">
        <v>45</v>
      </c>
      <c r="O4194" s="784">
        <v>2.27</v>
      </c>
      <c r="P4194" s="783">
        <v>380</v>
      </c>
      <c r="Q4194" s="783">
        <v>2616.27</v>
      </c>
      <c r="R4194" s="783">
        <v>2111.64</v>
      </c>
      <c r="S4194" s="783">
        <v>0</v>
      </c>
      <c r="T4194" s="783">
        <v>504.62</v>
      </c>
      <c r="U4194" s="785">
        <v>44694.519189814797</v>
      </c>
    </row>
    <row r="4195" spans="1:21">
      <c r="A4195" s="782">
        <v>44681</v>
      </c>
      <c r="B4195" s="783" t="s">
        <v>41</v>
      </c>
      <c r="C4195" s="783" t="s">
        <v>4139</v>
      </c>
      <c r="D4195" s="783" t="s">
        <v>4009</v>
      </c>
      <c r="E4195" s="783" t="s">
        <v>4296</v>
      </c>
      <c r="F4195" s="783" t="s">
        <v>4011</v>
      </c>
      <c r="G4195" s="783" t="str">
        <f t="shared" si="222"/>
        <v>Renewal (30% in 2020)</v>
      </c>
      <c r="H4195" s="783" t="s">
        <v>4297</v>
      </c>
      <c r="I4195" s="783" t="s">
        <v>4298</v>
      </c>
      <c r="J4195" s="783">
        <v>30</v>
      </c>
      <c r="K4195" s="783" t="s">
        <v>765</v>
      </c>
      <c r="L4195" s="783" t="s">
        <v>4014</v>
      </c>
      <c r="M4195" s="784">
        <v>39175.379999999997</v>
      </c>
      <c r="N4195" s="784">
        <v>56.62</v>
      </c>
      <c r="O4195" s="784">
        <v>1.87</v>
      </c>
      <c r="P4195" s="783">
        <v>370</v>
      </c>
      <c r="Q4195" s="783">
        <v>1343.72</v>
      </c>
      <c r="R4195" s="783">
        <v>1202.68</v>
      </c>
      <c r="S4195" s="783">
        <v>0</v>
      </c>
      <c r="T4195" s="783">
        <v>141.03</v>
      </c>
      <c r="U4195" s="785">
        <v>44683.422060185199</v>
      </c>
    </row>
    <row r="4196" spans="1:21">
      <c r="A4196" s="782">
        <v>44680</v>
      </c>
      <c r="B4196" s="783" t="s">
        <v>41</v>
      </c>
      <c r="C4196" s="783" t="s">
        <v>4071</v>
      </c>
      <c r="D4196" s="783" t="s">
        <v>4009</v>
      </c>
      <c r="E4196" s="783" t="s">
        <v>5198</v>
      </c>
      <c r="F4196" s="783" t="s">
        <v>4011</v>
      </c>
      <c r="G4196" s="783" t="str">
        <f t="shared" si="222"/>
        <v>Renewal (15% in 2020)</v>
      </c>
      <c r="H4196" s="783" t="s">
        <v>5199</v>
      </c>
      <c r="I4196" s="783" t="s">
        <v>5200</v>
      </c>
      <c r="J4196" s="783">
        <v>15</v>
      </c>
      <c r="K4196" s="783" t="s">
        <v>765</v>
      </c>
      <c r="L4196" s="783" t="s">
        <v>4014</v>
      </c>
      <c r="M4196" s="784">
        <v>22842.560000000001</v>
      </c>
      <c r="N4196" s="784">
        <v>37.57</v>
      </c>
      <c r="O4196" s="784">
        <v>1.6</v>
      </c>
      <c r="P4196" s="783">
        <v>380</v>
      </c>
      <c r="Q4196" s="783">
        <v>1818.27</v>
      </c>
      <c r="R4196" s="783">
        <v>815.48</v>
      </c>
      <c r="S4196" s="783">
        <v>130.19999999999999</v>
      </c>
      <c r="T4196" s="783">
        <v>872.59</v>
      </c>
      <c r="U4196" s="785">
        <v>44683.501400462999</v>
      </c>
    </row>
    <row r="4197" spans="1:21">
      <c r="A4197" s="782">
        <v>44686</v>
      </c>
      <c r="B4197" s="783" t="s">
        <v>113</v>
      </c>
      <c r="C4197" s="783" t="s">
        <v>4606</v>
      </c>
      <c r="D4197" s="783" t="s">
        <v>4009</v>
      </c>
      <c r="E4197" s="783" t="s">
        <v>6862</v>
      </c>
      <c r="F4197" s="783" t="s">
        <v>4011</v>
      </c>
      <c r="G4197" s="783" t="str">
        <f t="shared" si="222"/>
        <v>Renewal (20% in 2020)</v>
      </c>
      <c r="H4197" s="783" t="s">
        <v>6863</v>
      </c>
      <c r="I4197" s="783" t="s">
        <v>6864</v>
      </c>
      <c r="J4197" s="783">
        <v>20</v>
      </c>
      <c r="K4197" s="783" t="s">
        <v>765</v>
      </c>
      <c r="L4197" s="783" t="s">
        <v>4014</v>
      </c>
      <c r="M4197" s="784">
        <v>5577.18</v>
      </c>
      <c r="N4197" s="784">
        <v>4.5999999999999996</v>
      </c>
      <c r="O4197" s="784">
        <v>2.63</v>
      </c>
      <c r="P4197" s="783">
        <v>461</v>
      </c>
      <c r="Q4197" s="783">
        <v>435.58</v>
      </c>
      <c r="R4197" s="783">
        <v>237.03</v>
      </c>
      <c r="S4197" s="783">
        <v>38.479999999999997</v>
      </c>
      <c r="T4197" s="783">
        <v>160.07</v>
      </c>
      <c r="U4197" s="785">
        <v>44687.628078703703</v>
      </c>
    </row>
    <row r="4198" spans="1:21">
      <c r="A4198" s="782">
        <v>44685</v>
      </c>
      <c r="B4198" s="783" t="s">
        <v>74</v>
      </c>
      <c r="C4198" s="783" t="s">
        <v>4037</v>
      </c>
      <c r="D4198" s="783" t="s">
        <v>4038</v>
      </c>
      <c r="E4198" s="783" t="s">
        <v>7138</v>
      </c>
      <c r="F4198" s="783" t="s">
        <v>4011</v>
      </c>
      <c r="G4198" s="783" t="s">
        <v>4028</v>
      </c>
      <c r="H4198" s="783" t="s">
        <v>7139</v>
      </c>
      <c r="I4198" s="783" t="s">
        <v>7140</v>
      </c>
      <c r="J4198" s="783">
        <v>30</v>
      </c>
      <c r="K4198" s="783" t="s">
        <v>765</v>
      </c>
      <c r="L4198" s="783" t="s">
        <v>4014</v>
      </c>
      <c r="M4198" s="784">
        <v>24920.06</v>
      </c>
      <c r="N4198" s="784">
        <v>19.96</v>
      </c>
      <c r="O4198" s="784">
        <v>2.27</v>
      </c>
      <c r="P4198" s="783">
        <v>550</v>
      </c>
      <c r="Q4198" s="783">
        <v>1672.14</v>
      </c>
      <c r="R4198" s="783">
        <v>1052.73</v>
      </c>
      <c r="S4198" s="783">
        <v>203.24</v>
      </c>
      <c r="T4198" s="783">
        <v>416.17</v>
      </c>
      <c r="U4198" s="785">
        <v>44687.640011574098</v>
      </c>
    </row>
    <row r="4199" spans="1:21">
      <c r="A4199" s="782">
        <v>44697</v>
      </c>
      <c r="B4199" s="783" t="s">
        <v>41</v>
      </c>
      <c r="C4199" s="783" t="s">
        <v>4092</v>
      </c>
      <c r="D4199" s="783" t="s">
        <v>4009</v>
      </c>
      <c r="E4199" s="783" t="s">
        <v>5201</v>
      </c>
      <c r="F4199" s="783" t="s">
        <v>4011</v>
      </c>
      <c r="G4199" s="783" t="s">
        <v>4028</v>
      </c>
      <c r="H4199" s="783" t="s">
        <v>5202</v>
      </c>
      <c r="I4199" s="783" t="s">
        <v>5203</v>
      </c>
      <c r="J4199" s="783">
        <v>20</v>
      </c>
      <c r="K4199" s="783" t="s">
        <v>765</v>
      </c>
      <c r="L4199" s="783" t="s">
        <v>4014</v>
      </c>
      <c r="M4199" s="784">
        <v>22280.13</v>
      </c>
      <c r="N4199" s="784">
        <v>16.11</v>
      </c>
      <c r="O4199" s="784">
        <v>3</v>
      </c>
      <c r="P4199" s="783">
        <v>461</v>
      </c>
      <c r="Q4199" s="783">
        <v>1871.53</v>
      </c>
      <c r="R4199" s="783">
        <v>1096.18</v>
      </c>
      <c r="S4199" s="783">
        <v>213.89</v>
      </c>
      <c r="T4199" s="783">
        <v>561.46</v>
      </c>
      <c r="U4199" s="785">
        <v>44699.481064814798</v>
      </c>
    </row>
    <row r="4200" spans="1:21">
      <c r="A4200" s="782">
        <v>44698</v>
      </c>
      <c r="B4200" s="783" t="s">
        <v>41</v>
      </c>
      <c r="C4200" s="783" t="s">
        <v>4092</v>
      </c>
      <c r="D4200" s="783" t="s">
        <v>4009</v>
      </c>
      <c r="E4200" s="783" t="s">
        <v>5204</v>
      </c>
      <c r="F4200" s="783" t="s">
        <v>4011</v>
      </c>
      <c r="G4200" s="783" t="str">
        <f>VLOOKUP(I4200,pacage,2,FALSE)</f>
        <v>Renewal (15% in 2020)</v>
      </c>
      <c r="H4200" s="783" t="s">
        <v>5205</v>
      </c>
      <c r="I4200" s="783" t="s">
        <v>5206</v>
      </c>
      <c r="J4200" s="783">
        <v>15</v>
      </c>
      <c r="K4200" s="783" t="s">
        <v>765</v>
      </c>
      <c r="L4200" s="783" t="s">
        <v>4014</v>
      </c>
      <c r="M4200" s="784">
        <v>27714.05</v>
      </c>
      <c r="N4200" s="784">
        <v>19.04</v>
      </c>
      <c r="O4200" s="784">
        <v>2.4300000000000002</v>
      </c>
      <c r="P4200" s="783">
        <v>599</v>
      </c>
      <c r="Q4200" s="783">
        <v>3123.37</v>
      </c>
      <c r="R4200" s="783">
        <v>1049.4000000000001</v>
      </c>
      <c r="S4200" s="783">
        <v>580.19000000000005</v>
      </c>
      <c r="T4200" s="783">
        <v>1493.79</v>
      </c>
      <c r="U4200" s="785">
        <v>44699.741724537002</v>
      </c>
    </row>
    <row r="4201" spans="1:21">
      <c r="A4201" s="782">
        <v>44699</v>
      </c>
      <c r="B4201" s="783" t="s">
        <v>41</v>
      </c>
      <c r="C4201" s="783" t="s">
        <v>4071</v>
      </c>
      <c r="D4201" s="783" t="s">
        <v>4009</v>
      </c>
      <c r="E4201" s="783" t="s">
        <v>5207</v>
      </c>
      <c r="F4201" s="783" t="s">
        <v>4011</v>
      </c>
      <c r="G4201" s="783" t="str">
        <f>VLOOKUP(I4201,pacage,2,FALSE)</f>
        <v>Renewal (15% in 2020)</v>
      </c>
      <c r="H4201" s="783" t="s">
        <v>5208</v>
      </c>
      <c r="I4201" s="783" t="s">
        <v>5209</v>
      </c>
      <c r="J4201" s="783">
        <v>15</v>
      </c>
      <c r="K4201" s="783" t="s">
        <v>765</v>
      </c>
      <c r="L4201" s="783" t="s">
        <v>4014</v>
      </c>
      <c r="M4201" s="784">
        <v>10526.57</v>
      </c>
      <c r="N4201" s="784">
        <v>15.87</v>
      </c>
      <c r="O4201" s="784">
        <v>2.0099999999999998</v>
      </c>
      <c r="P4201" s="783">
        <v>330</v>
      </c>
      <c r="Q4201" s="783">
        <v>837.92</v>
      </c>
      <c r="R4201" s="783">
        <v>375.8</v>
      </c>
      <c r="S4201" s="783">
        <v>60</v>
      </c>
      <c r="T4201" s="783">
        <v>402.12</v>
      </c>
      <c r="U4201" s="785">
        <v>44705.458668981497</v>
      </c>
    </row>
    <row r="4202" spans="1:21">
      <c r="A4202" s="782">
        <v>44711</v>
      </c>
      <c r="B4202" s="783" t="s">
        <v>74</v>
      </c>
      <c r="C4202" s="783" t="s">
        <v>4097</v>
      </c>
      <c r="D4202" s="783" t="s">
        <v>4038</v>
      </c>
      <c r="E4202" s="783" t="s">
        <v>5210</v>
      </c>
      <c r="F4202" s="783" t="s">
        <v>4011</v>
      </c>
      <c r="G4202" s="783" t="s">
        <v>4028</v>
      </c>
      <c r="H4202" s="783" t="s">
        <v>5211</v>
      </c>
      <c r="I4202" s="783" t="s">
        <v>5212</v>
      </c>
      <c r="J4202" s="783">
        <v>20</v>
      </c>
      <c r="K4202" s="783" t="s">
        <v>765</v>
      </c>
      <c r="L4202" s="783" t="s">
        <v>4014</v>
      </c>
      <c r="M4202" s="784">
        <v>32443.89</v>
      </c>
      <c r="N4202" s="784">
        <v>34.770000000000003</v>
      </c>
      <c r="O4202" s="784">
        <v>2.17</v>
      </c>
      <c r="P4202" s="783">
        <v>430</v>
      </c>
      <c r="Q4202" s="783">
        <v>2618.2199999999998</v>
      </c>
      <c r="R4202" s="783">
        <v>1586.51</v>
      </c>
      <c r="S4202" s="783">
        <v>259.55</v>
      </c>
      <c r="T4202" s="783">
        <v>772.16</v>
      </c>
      <c r="U4202" s="785">
        <v>44713.993634259299</v>
      </c>
    </row>
    <row r="4203" spans="1:21">
      <c r="A4203" s="782">
        <v>44698</v>
      </c>
      <c r="B4203" s="783" t="s">
        <v>41</v>
      </c>
      <c r="C4203" s="783" t="s">
        <v>4082</v>
      </c>
      <c r="D4203" s="783" t="s">
        <v>4009</v>
      </c>
      <c r="E4203" s="783" t="s">
        <v>5216</v>
      </c>
      <c r="F4203" s="783" t="s">
        <v>4011</v>
      </c>
      <c r="G4203" s="783" t="str">
        <f>VLOOKUP(I4203,pacage,2,FALSE)</f>
        <v>Renewal (20% in 2020)</v>
      </c>
      <c r="H4203" s="783" t="s">
        <v>5217</v>
      </c>
      <c r="I4203" s="783" t="s">
        <v>5218</v>
      </c>
      <c r="J4203" s="783">
        <v>20</v>
      </c>
      <c r="K4203" s="783" t="s">
        <v>765</v>
      </c>
      <c r="L4203" s="783" t="s">
        <v>4014</v>
      </c>
      <c r="M4203" s="784">
        <v>5704.41</v>
      </c>
      <c r="N4203" s="784">
        <v>5.38</v>
      </c>
      <c r="O4203" s="784">
        <v>2.2999999999999998</v>
      </c>
      <c r="P4203" s="783">
        <v>461</v>
      </c>
      <c r="Q4203" s="783">
        <v>424.41</v>
      </c>
      <c r="R4203" s="783">
        <v>248.71</v>
      </c>
      <c r="S4203" s="783">
        <v>48.49</v>
      </c>
      <c r="T4203" s="783">
        <v>127.21</v>
      </c>
      <c r="U4203" s="785">
        <v>44699.474409722199</v>
      </c>
    </row>
    <row r="4204" spans="1:21">
      <c r="A4204" s="782">
        <v>44698</v>
      </c>
      <c r="B4204" s="783" t="s">
        <v>3078</v>
      </c>
      <c r="C4204" s="783" t="s">
        <v>4414</v>
      </c>
      <c r="D4204" s="783" t="s">
        <v>4009</v>
      </c>
      <c r="E4204" s="783" t="s">
        <v>5219</v>
      </c>
      <c r="F4204" s="783" t="s">
        <v>4011</v>
      </c>
      <c r="G4204" s="783" t="s">
        <v>4028</v>
      </c>
      <c r="H4204" s="783" t="s">
        <v>5220</v>
      </c>
      <c r="I4204" s="783" t="s">
        <v>5221</v>
      </c>
      <c r="J4204" s="783">
        <v>20</v>
      </c>
      <c r="K4204" s="783" t="s">
        <v>765</v>
      </c>
      <c r="L4204" s="783" t="s">
        <v>4014</v>
      </c>
      <c r="M4204" s="784">
        <v>3864</v>
      </c>
      <c r="N4204" s="784">
        <v>2.8</v>
      </c>
      <c r="O4204" s="784">
        <v>2.2999999999999998</v>
      </c>
      <c r="P4204" s="783">
        <v>600</v>
      </c>
      <c r="Q4204" s="783">
        <v>303.32</v>
      </c>
      <c r="R4204" s="783">
        <v>123.8</v>
      </c>
      <c r="S4204" s="783">
        <v>63.99</v>
      </c>
      <c r="T4204" s="783">
        <v>115.53</v>
      </c>
      <c r="U4204" s="785">
        <v>44708.685127314799</v>
      </c>
    </row>
    <row r="4205" spans="1:21">
      <c r="A4205" s="782">
        <v>44698</v>
      </c>
      <c r="B4205" s="783" t="s">
        <v>41</v>
      </c>
      <c r="C4205" s="783" t="s">
        <v>4092</v>
      </c>
      <c r="D4205" s="783" t="s">
        <v>4009</v>
      </c>
      <c r="E4205" s="783" t="s">
        <v>3805</v>
      </c>
      <c r="F4205" s="783" t="s">
        <v>4011</v>
      </c>
      <c r="G4205" s="783" t="str">
        <f>VLOOKUP(I4205,pacage,2,FALSE)</f>
        <v>Renewal (15% in 2020)</v>
      </c>
      <c r="H4205" s="783" t="s">
        <v>4119</v>
      </c>
      <c r="I4205" s="783" t="s">
        <v>4120</v>
      </c>
      <c r="J4205" s="783">
        <v>15</v>
      </c>
      <c r="K4205" s="783" t="s">
        <v>765</v>
      </c>
      <c r="L4205" s="783" t="s">
        <v>4014</v>
      </c>
      <c r="M4205" s="784">
        <v>12686.3</v>
      </c>
      <c r="N4205" s="784">
        <v>12.14</v>
      </c>
      <c r="O4205" s="784">
        <v>2.09</v>
      </c>
      <c r="P4205" s="783">
        <v>500</v>
      </c>
      <c r="Q4205" s="783">
        <v>1429.75</v>
      </c>
      <c r="R4205" s="783">
        <v>575.48</v>
      </c>
      <c r="S4205" s="783">
        <v>170.47</v>
      </c>
      <c r="T4205" s="783">
        <v>683.79</v>
      </c>
      <c r="U4205" s="785">
        <v>44699.745254629597</v>
      </c>
    </row>
    <row r="4206" spans="1:21">
      <c r="A4206" s="782">
        <v>44698</v>
      </c>
      <c r="B4206" s="783" t="s">
        <v>41</v>
      </c>
      <c r="C4206" s="783" t="s">
        <v>4071</v>
      </c>
      <c r="D4206" s="783" t="s">
        <v>4009</v>
      </c>
      <c r="E4206" s="783" t="s">
        <v>3805</v>
      </c>
      <c r="F4206" s="783" t="s">
        <v>4011</v>
      </c>
      <c r="G4206" s="783" t="str">
        <f>VLOOKUP(I4206,pacage,2,FALSE)</f>
        <v>Renewal (15% in 2020)</v>
      </c>
      <c r="H4206" s="783" t="s">
        <v>4119</v>
      </c>
      <c r="I4206" s="783" t="s">
        <v>4120</v>
      </c>
      <c r="J4206" s="783">
        <v>15</v>
      </c>
      <c r="K4206" s="783" t="s">
        <v>765</v>
      </c>
      <c r="L4206" s="783" t="s">
        <v>4014</v>
      </c>
      <c r="M4206" s="784">
        <v>61941</v>
      </c>
      <c r="N4206" s="784">
        <v>56.31</v>
      </c>
      <c r="O4206" s="784">
        <v>2.2000000000000002</v>
      </c>
      <c r="P4206" s="783">
        <v>500</v>
      </c>
      <c r="Q4206" s="783">
        <v>4930.5</v>
      </c>
      <c r="R4206" s="783">
        <v>2038.81</v>
      </c>
      <c r="S4206" s="783">
        <v>525.54</v>
      </c>
      <c r="T4206" s="783">
        <v>2366.15</v>
      </c>
      <c r="U4206" s="785">
        <v>44699.745254629597</v>
      </c>
    </row>
    <row r="4207" spans="1:21">
      <c r="A4207" s="782">
        <v>44698</v>
      </c>
      <c r="B4207" s="783" t="s">
        <v>41</v>
      </c>
      <c r="C4207" s="783" t="s">
        <v>4192</v>
      </c>
      <c r="D4207" s="783" t="s">
        <v>4193</v>
      </c>
      <c r="E4207" s="783" t="s">
        <v>5222</v>
      </c>
      <c r="F4207" s="783" t="s">
        <v>4011</v>
      </c>
      <c r="G4207" s="783" t="str">
        <f>VLOOKUP(I4207,pacage,2,FALSE)</f>
        <v>Renewal (20% in 2020)</v>
      </c>
      <c r="H4207" s="783" t="s">
        <v>5223</v>
      </c>
      <c r="I4207" s="783" t="s">
        <v>5224</v>
      </c>
      <c r="J4207" s="783">
        <v>20</v>
      </c>
      <c r="K4207" s="783" t="s">
        <v>765</v>
      </c>
      <c r="L4207" s="783" t="s">
        <v>4014</v>
      </c>
      <c r="M4207" s="784">
        <v>45726.45</v>
      </c>
      <c r="N4207" s="784">
        <v>31.69</v>
      </c>
      <c r="O4207" s="784">
        <v>3.13</v>
      </c>
      <c r="P4207" s="783">
        <v>461</v>
      </c>
      <c r="Q4207" s="783">
        <v>3767.86</v>
      </c>
      <c r="R4207" s="783">
        <v>2199.44</v>
      </c>
      <c r="S4207" s="783">
        <v>365.81</v>
      </c>
      <c r="T4207" s="783">
        <v>1202.6099999999999</v>
      </c>
      <c r="U4207" s="785">
        <v>44699.499062499999</v>
      </c>
    </row>
    <row r="4208" spans="1:21">
      <c r="A4208" s="782">
        <v>44698</v>
      </c>
      <c r="B4208" s="783" t="s">
        <v>41</v>
      </c>
      <c r="C4208" s="783" t="s">
        <v>4121</v>
      </c>
      <c r="D4208" s="783" t="s">
        <v>4009</v>
      </c>
      <c r="E4208" s="783" t="s">
        <v>5222</v>
      </c>
      <c r="F4208" s="783" t="s">
        <v>4011</v>
      </c>
      <c r="G4208" s="783" t="str">
        <f>VLOOKUP(I4208,pacage,2,FALSE)</f>
        <v>Renewal (20% in 2020)</v>
      </c>
      <c r="H4208" s="783" t="s">
        <v>5223</v>
      </c>
      <c r="I4208" s="783" t="s">
        <v>5224</v>
      </c>
      <c r="J4208" s="783">
        <v>20</v>
      </c>
      <c r="K4208" s="783" t="s">
        <v>765</v>
      </c>
      <c r="L4208" s="783" t="s">
        <v>4014</v>
      </c>
      <c r="M4208" s="784">
        <v>16593.7</v>
      </c>
      <c r="N4208" s="784">
        <v>11.5</v>
      </c>
      <c r="O4208" s="784">
        <v>3.13</v>
      </c>
      <c r="P4208" s="783">
        <v>461</v>
      </c>
      <c r="Q4208" s="783">
        <v>1524.96</v>
      </c>
      <c r="R4208" s="783">
        <v>879.47</v>
      </c>
      <c r="S4208" s="783">
        <v>142.71</v>
      </c>
      <c r="T4208" s="783">
        <v>502.79</v>
      </c>
      <c r="U4208" s="785">
        <v>44699.499062499999</v>
      </c>
    </row>
    <row r="4209" spans="1:21">
      <c r="A4209" s="782">
        <v>44700</v>
      </c>
      <c r="B4209" s="783" t="s">
        <v>51</v>
      </c>
      <c r="C4209" s="783" t="s">
        <v>4042</v>
      </c>
      <c r="D4209" s="783" t="s">
        <v>4016</v>
      </c>
      <c r="E4209" s="783" t="s">
        <v>5225</v>
      </c>
      <c r="F4209" s="783" t="s">
        <v>4011</v>
      </c>
      <c r="G4209" s="783" t="str">
        <f>VLOOKUP(I4209,pacage,2,FALSE)</f>
        <v>Renewal (30% in 2020)</v>
      </c>
      <c r="H4209" s="783" t="s">
        <v>5226</v>
      </c>
      <c r="I4209" s="783" t="s">
        <v>5227</v>
      </c>
      <c r="J4209" s="783">
        <v>30</v>
      </c>
      <c r="K4209" s="783" t="s">
        <v>765</v>
      </c>
      <c r="L4209" s="783" t="s">
        <v>4014</v>
      </c>
      <c r="M4209" s="784">
        <v>52599.12</v>
      </c>
      <c r="N4209" s="784">
        <v>57.36</v>
      </c>
      <c r="O4209" s="784">
        <v>2.62</v>
      </c>
      <c r="P4209" s="783">
        <v>350</v>
      </c>
      <c r="Q4209" s="783">
        <v>3319</v>
      </c>
      <c r="R4209" s="783">
        <v>2771.97</v>
      </c>
      <c r="S4209" s="783">
        <v>0</v>
      </c>
      <c r="T4209" s="783">
        <v>547.03</v>
      </c>
      <c r="U4209" s="785">
        <v>44708.688946759299</v>
      </c>
    </row>
    <row r="4210" spans="1:21">
      <c r="A4210" s="782">
        <v>44705</v>
      </c>
      <c r="B4210" s="783" t="s">
        <v>228</v>
      </c>
      <c r="C4210" s="783" t="s">
        <v>4582</v>
      </c>
      <c r="D4210" s="783" t="s">
        <v>4193</v>
      </c>
      <c r="E4210" s="783" t="s">
        <v>4583</v>
      </c>
      <c r="F4210" s="783" t="s">
        <v>4011</v>
      </c>
      <c r="G4210" s="783" t="s">
        <v>4028</v>
      </c>
      <c r="H4210" s="783" t="s">
        <v>4584</v>
      </c>
      <c r="I4210" s="783" t="s">
        <v>4585</v>
      </c>
      <c r="J4210" s="783">
        <v>25</v>
      </c>
      <c r="K4210" s="783" t="s">
        <v>765</v>
      </c>
      <c r="L4210" s="783" t="s">
        <v>4014</v>
      </c>
      <c r="M4210" s="784">
        <v>12267.67</v>
      </c>
      <c r="N4210" s="784">
        <v>8.9</v>
      </c>
      <c r="O4210" s="784">
        <v>2.99</v>
      </c>
      <c r="P4210" s="783">
        <v>461</v>
      </c>
      <c r="Q4210" s="783">
        <v>780.22</v>
      </c>
      <c r="R4210" s="783">
        <v>604.79999999999995</v>
      </c>
      <c r="S4210" s="783">
        <v>96.91</v>
      </c>
      <c r="T4210" s="783">
        <v>78.510000000000005</v>
      </c>
      <c r="U4210" s="785">
        <v>44708.690625000003</v>
      </c>
    </row>
    <row r="4211" spans="1:21">
      <c r="A4211" s="782">
        <v>44710</v>
      </c>
      <c r="B4211" s="783" t="s">
        <v>41</v>
      </c>
      <c r="C4211" s="783" t="s">
        <v>4071</v>
      </c>
      <c r="D4211" s="783" t="s">
        <v>4009</v>
      </c>
      <c r="E4211" s="783" t="s">
        <v>1125</v>
      </c>
      <c r="F4211" s="783" t="s">
        <v>4011</v>
      </c>
      <c r="G4211" s="783" t="str">
        <f>VLOOKUP(I4211,pacage,2,FALSE)</f>
        <v>Renewal (15% in 2020)</v>
      </c>
      <c r="H4211" s="783" t="s">
        <v>5228</v>
      </c>
      <c r="I4211" s="783" t="s">
        <v>5229</v>
      </c>
      <c r="J4211" s="783">
        <v>20</v>
      </c>
      <c r="K4211" s="783" t="s">
        <v>765</v>
      </c>
      <c r="L4211" s="783" t="s">
        <v>4014</v>
      </c>
      <c r="M4211" s="784">
        <v>26385.57</v>
      </c>
      <c r="N4211" s="784">
        <v>27.65</v>
      </c>
      <c r="O4211" s="784">
        <v>2.0699999999999998</v>
      </c>
      <c r="P4211" s="783">
        <v>461</v>
      </c>
      <c r="Q4211" s="783">
        <v>1564.66</v>
      </c>
      <c r="R4211" s="783">
        <v>941.96</v>
      </c>
      <c r="S4211" s="783">
        <v>150.4</v>
      </c>
      <c r="T4211" s="783">
        <v>472.3</v>
      </c>
      <c r="U4211" s="785">
        <v>44712.651805555601</v>
      </c>
    </row>
    <row r="4212" spans="1:21">
      <c r="A4212" s="782">
        <v>44699</v>
      </c>
      <c r="B4212" s="783" t="s">
        <v>41</v>
      </c>
      <c r="C4212" s="783" t="s">
        <v>4092</v>
      </c>
      <c r="D4212" s="783" t="s">
        <v>4009</v>
      </c>
      <c r="E4212" s="783" t="s">
        <v>5230</v>
      </c>
      <c r="F4212" s="783" t="s">
        <v>4011</v>
      </c>
      <c r="G4212" s="783" t="str">
        <f>VLOOKUP(I4212,pacage,2,FALSE)</f>
        <v>Renewal (20% in 2020)</v>
      </c>
      <c r="H4212" s="783" t="s">
        <v>5231</v>
      </c>
      <c r="I4212" s="783" t="s">
        <v>5232</v>
      </c>
      <c r="J4212" s="783">
        <v>20</v>
      </c>
      <c r="K4212" s="783" t="s">
        <v>765</v>
      </c>
      <c r="L4212" s="783" t="s">
        <v>4014</v>
      </c>
      <c r="M4212" s="784">
        <v>29638</v>
      </c>
      <c r="N4212" s="784">
        <v>20.440000000000001</v>
      </c>
      <c r="O4212" s="784">
        <v>2.9</v>
      </c>
      <c r="P4212" s="783">
        <v>500</v>
      </c>
      <c r="Q4212" s="783">
        <v>2489.59</v>
      </c>
      <c r="R4212" s="783">
        <v>1344.45</v>
      </c>
      <c r="S4212" s="783">
        <v>398.26</v>
      </c>
      <c r="T4212" s="783">
        <v>746.88</v>
      </c>
      <c r="U4212" s="785">
        <v>44700.525358796302</v>
      </c>
    </row>
    <row r="4213" spans="1:21">
      <c r="A4213" s="782">
        <v>44705</v>
      </c>
      <c r="B4213" s="783" t="s">
        <v>4025</v>
      </c>
      <c r="C4213" s="783" t="s">
        <v>4026</v>
      </c>
      <c r="D4213" s="783" t="s">
        <v>4021</v>
      </c>
      <c r="E4213" s="783" t="s">
        <v>5233</v>
      </c>
      <c r="F4213" s="783" t="s">
        <v>4011</v>
      </c>
      <c r="G4213" s="783" t="str">
        <f>VLOOKUP(I4213,pacage,2,FALSE)</f>
        <v>New Contract</v>
      </c>
      <c r="H4213" s="783" t="s">
        <v>5234</v>
      </c>
      <c r="I4213" s="783" t="s">
        <v>5235</v>
      </c>
      <c r="J4213" s="783">
        <v>20</v>
      </c>
      <c r="K4213" s="783" t="s">
        <v>765</v>
      </c>
      <c r="L4213" s="783" t="s">
        <v>4014</v>
      </c>
      <c r="M4213" s="784">
        <v>7322.16</v>
      </c>
      <c r="N4213" s="784">
        <v>11.03</v>
      </c>
      <c r="O4213" s="784">
        <v>1.44</v>
      </c>
      <c r="P4213" s="783">
        <v>461</v>
      </c>
      <c r="Q4213" s="783">
        <v>557.95000000000005</v>
      </c>
      <c r="R4213" s="783">
        <v>316.32</v>
      </c>
      <c r="S4213" s="783">
        <v>51.26</v>
      </c>
      <c r="T4213" s="783">
        <v>190.38</v>
      </c>
      <c r="U4213" s="785">
        <v>44708.694351851896</v>
      </c>
    </row>
    <row r="4214" spans="1:21">
      <c r="A4214" s="782">
        <v>44711</v>
      </c>
      <c r="B4214" s="783" t="s">
        <v>624</v>
      </c>
      <c r="C4214" s="783" t="s">
        <v>4037</v>
      </c>
      <c r="D4214" s="783" t="s">
        <v>4038</v>
      </c>
      <c r="E4214" s="783" t="s">
        <v>4039</v>
      </c>
      <c r="F4214" s="783" t="s">
        <v>4011</v>
      </c>
      <c r="G4214" s="783" t="s">
        <v>4028</v>
      </c>
      <c r="H4214" s="783" t="s">
        <v>4040</v>
      </c>
      <c r="I4214" s="783" t="s">
        <v>4041</v>
      </c>
      <c r="J4214" s="783">
        <v>20</v>
      </c>
      <c r="K4214" s="783" t="s">
        <v>765</v>
      </c>
      <c r="L4214" s="783" t="s">
        <v>4014</v>
      </c>
      <c r="M4214" s="784">
        <v>23936</v>
      </c>
      <c r="N4214" s="784">
        <v>21.76</v>
      </c>
      <c r="O4214" s="784">
        <v>2.2000000000000002</v>
      </c>
      <c r="P4214" s="783">
        <v>500</v>
      </c>
      <c r="Q4214" s="783">
        <v>2082.4299999999998</v>
      </c>
      <c r="R4214" s="783">
        <v>1112.28</v>
      </c>
      <c r="S4214" s="783">
        <v>290.37</v>
      </c>
      <c r="T4214" s="783">
        <v>679.78</v>
      </c>
      <c r="U4214" s="785">
        <v>44713.980636574102</v>
      </c>
    </row>
    <row r="4215" spans="1:21">
      <c r="A4215" s="782">
        <v>44657</v>
      </c>
      <c r="B4215" s="783" t="s">
        <v>41</v>
      </c>
      <c r="C4215" s="783" t="s">
        <v>4092</v>
      </c>
      <c r="D4215" s="783" t="s">
        <v>4009</v>
      </c>
      <c r="E4215" s="783" t="s">
        <v>338</v>
      </c>
      <c r="F4215" s="783" t="s">
        <v>4011</v>
      </c>
      <c r="G4215" s="783" t="str">
        <f t="shared" ref="G4215:G4230" si="223">VLOOKUP(I4215,pacage,2,FALSE)</f>
        <v>New Contract</v>
      </c>
      <c r="H4215" s="783" t="s">
        <v>4589</v>
      </c>
      <c r="I4215" s="783" t="s">
        <v>4590</v>
      </c>
      <c r="J4215" s="783">
        <v>15</v>
      </c>
      <c r="K4215" s="783" t="s">
        <v>765</v>
      </c>
      <c r="L4215" s="783" t="s">
        <v>4014</v>
      </c>
      <c r="M4215" s="784">
        <v>40377.51</v>
      </c>
      <c r="N4215" s="784">
        <v>27.74</v>
      </c>
      <c r="O4215" s="784">
        <v>2.4300000000000002</v>
      </c>
      <c r="P4215" s="783">
        <v>599</v>
      </c>
      <c r="Q4215" s="783">
        <v>4550.55</v>
      </c>
      <c r="R4215" s="783">
        <v>1528.9</v>
      </c>
      <c r="S4215" s="783">
        <v>845.3</v>
      </c>
      <c r="T4215" s="783">
        <v>2176.35</v>
      </c>
      <c r="U4215" s="785">
        <v>44657.603819444397</v>
      </c>
    </row>
    <row r="4216" spans="1:21">
      <c r="A4216" s="782">
        <v>44655</v>
      </c>
      <c r="B4216" s="783" t="s">
        <v>41</v>
      </c>
      <c r="C4216" s="783" t="s">
        <v>4082</v>
      </c>
      <c r="D4216" s="783" t="s">
        <v>4009</v>
      </c>
      <c r="E4216" s="783" t="s">
        <v>245</v>
      </c>
      <c r="F4216" s="783" t="s">
        <v>4011</v>
      </c>
      <c r="G4216" s="783" t="str">
        <f t="shared" si="223"/>
        <v>Renewal (20% in 2020)</v>
      </c>
      <c r="H4216" s="783" t="s">
        <v>4591</v>
      </c>
      <c r="I4216" s="783" t="s">
        <v>4592</v>
      </c>
      <c r="J4216" s="783">
        <v>20</v>
      </c>
      <c r="K4216" s="783" t="s">
        <v>765</v>
      </c>
      <c r="L4216" s="783" t="s">
        <v>4014</v>
      </c>
      <c r="M4216" s="784">
        <v>20795.39</v>
      </c>
      <c r="N4216" s="784">
        <v>15.82</v>
      </c>
      <c r="O4216" s="784">
        <v>2.39</v>
      </c>
      <c r="P4216" s="783">
        <v>550</v>
      </c>
      <c r="Q4216" s="783">
        <v>1547.18</v>
      </c>
      <c r="R4216" s="783">
        <v>759.96</v>
      </c>
      <c r="S4216" s="783">
        <v>323.48</v>
      </c>
      <c r="T4216" s="783">
        <v>463.74</v>
      </c>
      <c r="U4216" s="785">
        <v>44657.613634259302</v>
      </c>
    </row>
    <row r="4217" spans="1:21">
      <c r="A4217" s="782">
        <v>44655</v>
      </c>
      <c r="B4217" s="783" t="s">
        <v>2866</v>
      </c>
      <c r="C4217" s="783" t="s">
        <v>4414</v>
      </c>
      <c r="D4217" s="783" t="s">
        <v>4009</v>
      </c>
      <c r="E4217" s="783" t="s">
        <v>5242</v>
      </c>
      <c r="F4217" s="783" t="s">
        <v>4011</v>
      </c>
      <c r="G4217" s="783" t="str">
        <f t="shared" si="223"/>
        <v>Renewal (30% in 2020)</v>
      </c>
      <c r="H4217" s="783" t="s">
        <v>5243</v>
      </c>
      <c r="I4217" s="783" t="s">
        <v>5244</v>
      </c>
      <c r="J4217" s="783">
        <v>30</v>
      </c>
      <c r="K4217" s="783" t="s">
        <v>765</v>
      </c>
      <c r="L4217" s="783" t="s">
        <v>4014</v>
      </c>
      <c r="M4217" s="784">
        <v>7548</v>
      </c>
      <c r="N4217" s="784">
        <v>6.8</v>
      </c>
      <c r="O4217" s="784">
        <v>3</v>
      </c>
      <c r="P4217" s="783">
        <v>370</v>
      </c>
      <c r="Q4217" s="783">
        <v>418.91</v>
      </c>
      <c r="R4217" s="783">
        <v>314.75</v>
      </c>
      <c r="S4217" s="783">
        <v>0</v>
      </c>
      <c r="T4217" s="783">
        <v>104.16</v>
      </c>
      <c r="U4217" s="785">
        <v>44657.6155671296</v>
      </c>
    </row>
    <row r="4218" spans="1:21">
      <c r="A4218" s="782">
        <v>44657</v>
      </c>
      <c r="B4218" s="783" t="s">
        <v>41</v>
      </c>
      <c r="C4218" s="783" t="s">
        <v>4092</v>
      </c>
      <c r="D4218" s="783" t="s">
        <v>4009</v>
      </c>
      <c r="E4218" s="783" t="s">
        <v>5245</v>
      </c>
      <c r="F4218" s="783" t="s">
        <v>4011</v>
      </c>
      <c r="G4218" s="783" t="str">
        <f t="shared" si="223"/>
        <v>Renewal (30% in 2020)</v>
      </c>
      <c r="H4218" s="783" t="s">
        <v>5246</v>
      </c>
      <c r="I4218" s="783" t="s">
        <v>5247</v>
      </c>
      <c r="J4218" s="783">
        <v>30</v>
      </c>
      <c r="K4218" s="783" t="s">
        <v>765</v>
      </c>
      <c r="L4218" s="783" t="s">
        <v>4014</v>
      </c>
      <c r="M4218" s="784">
        <v>15350.58</v>
      </c>
      <c r="N4218" s="784">
        <v>19.649999999999999</v>
      </c>
      <c r="O4218" s="784">
        <v>2.17</v>
      </c>
      <c r="P4218" s="783">
        <v>360</v>
      </c>
      <c r="Q4218" s="783">
        <v>845.82</v>
      </c>
      <c r="R4218" s="783">
        <v>755.25</v>
      </c>
      <c r="S4218" s="783">
        <v>0</v>
      </c>
      <c r="T4218" s="783">
        <v>90.57</v>
      </c>
      <c r="U4218" s="785">
        <v>44657.628784722197</v>
      </c>
    </row>
    <row r="4219" spans="1:21">
      <c r="A4219" s="782">
        <v>44657</v>
      </c>
      <c r="B4219" s="783" t="s">
        <v>51</v>
      </c>
      <c r="C4219" s="783" t="s">
        <v>4042</v>
      </c>
      <c r="D4219" s="783" t="s">
        <v>4016</v>
      </c>
      <c r="E4219" s="783" t="s">
        <v>56</v>
      </c>
      <c r="F4219" s="783" t="s">
        <v>4011</v>
      </c>
      <c r="G4219" s="783" t="str">
        <f t="shared" si="223"/>
        <v>Renewal (25% in 2020)</v>
      </c>
      <c r="H4219" s="783" t="s">
        <v>5248</v>
      </c>
      <c r="I4219" s="783" t="s">
        <v>5249</v>
      </c>
      <c r="J4219" s="783">
        <v>25</v>
      </c>
      <c r="K4219" s="783" t="s">
        <v>765</v>
      </c>
      <c r="L4219" s="783" t="s">
        <v>4014</v>
      </c>
      <c r="M4219" s="784">
        <v>10722.17</v>
      </c>
      <c r="N4219" s="784">
        <v>9.0500000000000007</v>
      </c>
      <c r="O4219" s="784">
        <v>2.57</v>
      </c>
      <c r="P4219" s="783">
        <v>461</v>
      </c>
      <c r="Q4219" s="783">
        <v>768.78</v>
      </c>
      <c r="R4219" s="783">
        <v>565.05999999999995</v>
      </c>
      <c r="S4219" s="783">
        <v>92.21</v>
      </c>
      <c r="T4219" s="783">
        <v>111.51</v>
      </c>
      <c r="U4219" s="785">
        <v>44657.616006944401</v>
      </c>
    </row>
    <row r="4220" spans="1:21">
      <c r="A4220" s="782">
        <v>44657</v>
      </c>
      <c r="B4220" s="783" t="s">
        <v>34</v>
      </c>
      <c r="C4220" s="783" t="s">
        <v>4082</v>
      </c>
      <c r="D4220" s="783" t="s">
        <v>4009</v>
      </c>
      <c r="E4220" s="783" t="s">
        <v>4593</v>
      </c>
      <c r="F4220" s="783" t="s">
        <v>4011</v>
      </c>
      <c r="G4220" s="783" t="str">
        <f t="shared" si="223"/>
        <v>Renewal (30% in 2020)</v>
      </c>
      <c r="H4220" s="783" t="s">
        <v>4594</v>
      </c>
      <c r="I4220" s="783" t="s">
        <v>4595</v>
      </c>
      <c r="J4220" s="783">
        <v>30</v>
      </c>
      <c r="K4220" s="783" t="s">
        <v>765</v>
      </c>
      <c r="L4220" s="783" t="s">
        <v>4014</v>
      </c>
      <c r="M4220" s="784">
        <v>10752</v>
      </c>
      <c r="N4220" s="784">
        <v>16</v>
      </c>
      <c r="O4220" s="784">
        <v>1.92</v>
      </c>
      <c r="P4220" s="783">
        <v>350</v>
      </c>
      <c r="Q4220" s="783">
        <v>524.70000000000005</v>
      </c>
      <c r="R4220" s="783">
        <v>468.79</v>
      </c>
      <c r="S4220" s="783">
        <v>0</v>
      </c>
      <c r="T4220" s="783">
        <v>55.91</v>
      </c>
      <c r="U4220" s="785">
        <v>44657.630636574097</v>
      </c>
    </row>
    <row r="4221" spans="1:21">
      <c r="A4221" s="782">
        <v>44705</v>
      </c>
      <c r="B4221" s="783" t="s">
        <v>4025</v>
      </c>
      <c r="C4221" s="783" t="s">
        <v>4026</v>
      </c>
      <c r="D4221" s="783" t="s">
        <v>4021</v>
      </c>
      <c r="E4221" s="783" t="s">
        <v>5257</v>
      </c>
      <c r="F4221" s="783" t="s">
        <v>4011</v>
      </c>
      <c r="G4221" s="783" t="str">
        <f t="shared" si="223"/>
        <v>New Contract</v>
      </c>
      <c r="H4221" s="783" t="s">
        <v>5258</v>
      </c>
      <c r="I4221" s="783" t="s">
        <v>5259</v>
      </c>
      <c r="J4221" s="783">
        <v>15</v>
      </c>
      <c r="K4221" s="783" t="s">
        <v>765</v>
      </c>
      <c r="L4221" s="783" t="s">
        <v>4014</v>
      </c>
      <c r="M4221" s="784">
        <v>35615.5</v>
      </c>
      <c r="N4221" s="784">
        <v>46</v>
      </c>
      <c r="O4221" s="784">
        <v>1.63</v>
      </c>
      <c r="P4221" s="783">
        <v>475</v>
      </c>
      <c r="Q4221" s="783">
        <v>3586.48</v>
      </c>
      <c r="R4221" s="783">
        <v>1493.24</v>
      </c>
      <c r="S4221" s="783">
        <v>294.66000000000003</v>
      </c>
      <c r="T4221" s="783">
        <v>1798.58</v>
      </c>
      <c r="U4221" s="785">
        <v>44708.986585648097</v>
      </c>
    </row>
    <row r="4222" spans="1:21">
      <c r="A4222" s="782">
        <v>44659</v>
      </c>
      <c r="B4222" s="783" t="s">
        <v>34</v>
      </c>
      <c r="C4222" s="783" t="s">
        <v>4139</v>
      </c>
      <c r="D4222" s="783" t="s">
        <v>4009</v>
      </c>
      <c r="E4222" s="783" t="s">
        <v>1585</v>
      </c>
      <c r="F4222" s="783" t="s">
        <v>4011</v>
      </c>
      <c r="G4222" s="783" t="str">
        <f t="shared" si="223"/>
        <v>Renewal (20% in 2020)</v>
      </c>
      <c r="H4222" s="783" t="s">
        <v>4299</v>
      </c>
      <c r="I4222" s="783" t="s">
        <v>4300</v>
      </c>
      <c r="J4222" s="783">
        <v>20</v>
      </c>
      <c r="K4222" s="783" t="s">
        <v>765</v>
      </c>
      <c r="L4222" s="783" t="s">
        <v>4014</v>
      </c>
      <c r="M4222" s="784">
        <v>9816.6200000000008</v>
      </c>
      <c r="N4222" s="784">
        <v>9.61</v>
      </c>
      <c r="O4222" s="784">
        <v>2.27</v>
      </c>
      <c r="P4222" s="783">
        <v>450</v>
      </c>
      <c r="Q4222" s="783">
        <v>500.65</v>
      </c>
      <c r="R4222" s="783">
        <v>301.37</v>
      </c>
      <c r="S4222" s="783">
        <v>48.1</v>
      </c>
      <c r="T4222" s="783">
        <v>151.18</v>
      </c>
      <c r="U4222" s="785">
        <v>44663.407847222203</v>
      </c>
    </row>
    <row r="4223" spans="1:21">
      <c r="A4223" s="782">
        <v>44684</v>
      </c>
      <c r="B4223" s="783" t="s">
        <v>113</v>
      </c>
      <c r="C4223" s="783" t="s">
        <v>4097</v>
      </c>
      <c r="D4223" s="783" t="s">
        <v>4038</v>
      </c>
      <c r="E4223" s="783" t="s">
        <v>195</v>
      </c>
      <c r="F4223" s="783" t="s">
        <v>4011</v>
      </c>
      <c r="G4223" s="783" t="str">
        <f t="shared" si="223"/>
        <v>Renewal (25% in 2020)</v>
      </c>
      <c r="H4223" s="783" t="s">
        <v>5260</v>
      </c>
      <c r="I4223" s="783" t="s">
        <v>5261</v>
      </c>
      <c r="J4223" s="783">
        <v>25</v>
      </c>
      <c r="K4223" s="783" t="s">
        <v>765</v>
      </c>
      <c r="L4223" s="783" t="s">
        <v>4014</v>
      </c>
      <c r="M4223" s="784">
        <v>21262.799999999999</v>
      </c>
      <c r="N4223" s="784">
        <v>18.329999999999998</v>
      </c>
      <c r="O4223" s="784">
        <v>2.3199999999999998</v>
      </c>
      <c r="P4223" s="783">
        <v>500</v>
      </c>
      <c r="Q4223" s="783">
        <v>1473.51</v>
      </c>
      <c r="R4223" s="783">
        <v>958.65</v>
      </c>
      <c r="S4223" s="783">
        <v>251.2</v>
      </c>
      <c r="T4223" s="783">
        <v>263.66000000000003</v>
      </c>
      <c r="U4223" s="785">
        <v>44685.457511574103</v>
      </c>
    </row>
    <row r="4224" spans="1:21">
      <c r="A4224" s="782">
        <v>44684</v>
      </c>
      <c r="B4224" s="783" t="s">
        <v>113</v>
      </c>
      <c r="C4224" s="783" t="s">
        <v>4037</v>
      </c>
      <c r="D4224" s="783" t="s">
        <v>4038</v>
      </c>
      <c r="E4224" s="783" t="s">
        <v>195</v>
      </c>
      <c r="F4224" s="783" t="s">
        <v>4011</v>
      </c>
      <c r="G4224" s="783" t="str">
        <f t="shared" si="223"/>
        <v>Renewal (25% in 2020)</v>
      </c>
      <c r="H4224" s="783" t="s">
        <v>5260</v>
      </c>
      <c r="I4224" s="783" t="s">
        <v>5261</v>
      </c>
      <c r="J4224" s="783">
        <v>25</v>
      </c>
      <c r="K4224" s="783" t="s">
        <v>765</v>
      </c>
      <c r="L4224" s="783" t="s">
        <v>4014</v>
      </c>
      <c r="M4224" s="784">
        <v>19267.599999999999</v>
      </c>
      <c r="N4224" s="784">
        <v>16.61</v>
      </c>
      <c r="O4224" s="784">
        <v>2.3199999999999998</v>
      </c>
      <c r="P4224" s="783">
        <v>500</v>
      </c>
      <c r="Q4224" s="783">
        <v>1450.85</v>
      </c>
      <c r="R4224" s="783">
        <v>895.34</v>
      </c>
      <c r="S4224" s="783">
        <v>233.74</v>
      </c>
      <c r="T4224" s="783">
        <v>321.77</v>
      </c>
      <c r="U4224" s="785">
        <v>44685.457511574103</v>
      </c>
    </row>
    <row r="4225" spans="1:21">
      <c r="A4225" s="782">
        <v>44685</v>
      </c>
      <c r="B4225" s="783" t="s">
        <v>41</v>
      </c>
      <c r="C4225" s="783" t="s">
        <v>4082</v>
      </c>
      <c r="D4225" s="783" t="s">
        <v>4009</v>
      </c>
      <c r="E4225" s="783" t="s">
        <v>533</v>
      </c>
      <c r="F4225" s="783" t="s">
        <v>4011</v>
      </c>
      <c r="G4225" s="783" t="str">
        <f t="shared" si="223"/>
        <v>Renewal (15% in 2020)</v>
      </c>
      <c r="H4225" s="783" t="s">
        <v>4596</v>
      </c>
      <c r="I4225" s="783" t="s">
        <v>4597</v>
      </c>
      <c r="J4225" s="783">
        <v>15</v>
      </c>
      <c r="K4225" s="783" t="s">
        <v>765</v>
      </c>
      <c r="L4225" s="783" t="s">
        <v>4014</v>
      </c>
      <c r="M4225" s="784">
        <v>10942.59</v>
      </c>
      <c r="N4225" s="784">
        <v>13.03</v>
      </c>
      <c r="O4225" s="784">
        <v>2.4700000000000002</v>
      </c>
      <c r="P4225" s="783">
        <v>340</v>
      </c>
      <c r="Q4225" s="783">
        <v>1093.17</v>
      </c>
      <c r="R4225" s="783">
        <v>477.1</v>
      </c>
      <c r="S4225" s="783">
        <v>93.01</v>
      </c>
      <c r="T4225" s="783">
        <v>523.05999999999995</v>
      </c>
      <c r="U4225" s="785">
        <v>44687.643043981501</v>
      </c>
    </row>
    <row r="4226" spans="1:21">
      <c r="A4226" s="782">
        <v>44683</v>
      </c>
      <c r="B4226" s="783" t="s">
        <v>41</v>
      </c>
      <c r="C4226" s="783" t="s">
        <v>4082</v>
      </c>
      <c r="D4226" s="783" t="s">
        <v>4009</v>
      </c>
      <c r="E4226" s="783" t="s">
        <v>870</v>
      </c>
      <c r="F4226" s="783" t="s">
        <v>4011</v>
      </c>
      <c r="G4226" s="783" t="str">
        <f t="shared" si="223"/>
        <v>Renewal (20% in 2020)</v>
      </c>
      <c r="H4226" s="783" t="s">
        <v>5262</v>
      </c>
      <c r="I4226" s="783" t="s">
        <v>5263</v>
      </c>
      <c r="J4226" s="783">
        <v>20</v>
      </c>
      <c r="K4226" s="783" t="s">
        <v>765</v>
      </c>
      <c r="L4226" s="783" t="s">
        <v>4014</v>
      </c>
      <c r="M4226" s="784">
        <v>14066.49</v>
      </c>
      <c r="N4226" s="784">
        <v>14.53</v>
      </c>
      <c r="O4226" s="784">
        <v>2.1</v>
      </c>
      <c r="P4226" s="783">
        <v>461</v>
      </c>
      <c r="Q4226" s="783">
        <v>1046.55</v>
      </c>
      <c r="R4226" s="783">
        <v>613.29999999999995</v>
      </c>
      <c r="S4226" s="783">
        <v>119.57</v>
      </c>
      <c r="T4226" s="783">
        <v>313.68</v>
      </c>
      <c r="U4226" s="785">
        <v>44708.637372685203</v>
      </c>
    </row>
    <row r="4227" spans="1:21">
      <c r="A4227" s="782">
        <v>44686</v>
      </c>
      <c r="B4227" s="783" t="s">
        <v>3078</v>
      </c>
      <c r="C4227" s="783" t="s">
        <v>4414</v>
      </c>
      <c r="D4227" s="783" t="s">
        <v>4009</v>
      </c>
      <c r="E4227" s="783" t="s">
        <v>3179</v>
      </c>
      <c r="F4227" s="783" t="s">
        <v>4011</v>
      </c>
      <c r="G4227" s="783" t="str">
        <f t="shared" si="223"/>
        <v>Renewal (25% in 2020)</v>
      </c>
      <c r="H4227" s="783" t="s">
        <v>6540</v>
      </c>
      <c r="I4227" s="783" t="s">
        <v>6541</v>
      </c>
      <c r="J4227" s="783">
        <v>25</v>
      </c>
      <c r="K4227" s="783" t="s">
        <v>765</v>
      </c>
      <c r="L4227" s="783" t="s">
        <v>4014</v>
      </c>
      <c r="M4227" s="784">
        <v>14922.57</v>
      </c>
      <c r="N4227" s="784">
        <v>13</v>
      </c>
      <c r="O4227" s="784">
        <v>2.4900000000000002</v>
      </c>
      <c r="P4227" s="783">
        <v>461</v>
      </c>
      <c r="Q4227" s="783">
        <v>931.17</v>
      </c>
      <c r="R4227" s="783">
        <v>622.27</v>
      </c>
      <c r="S4227" s="783">
        <v>102.97</v>
      </c>
      <c r="T4227" s="783">
        <v>205.93</v>
      </c>
      <c r="U4227" s="785">
        <v>44687.668344907397</v>
      </c>
    </row>
    <row r="4228" spans="1:21">
      <c r="A4228" s="782">
        <v>44685</v>
      </c>
      <c r="B4228" s="783" t="s">
        <v>41</v>
      </c>
      <c r="C4228" s="783" t="s">
        <v>4092</v>
      </c>
      <c r="D4228" s="783" t="s">
        <v>4009</v>
      </c>
      <c r="E4228" s="783" t="s">
        <v>5270</v>
      </c>
      <c r="F4228" s="783" t="s">
        <v>4011</v>
      </c>
      <c r="G4228" s="783" t="str">
        <f t="shared" si="223"/>
        <v>Renewal (15% in 2020)</v>
      </c>
      <c r="H4228" s="783" t="s">
        <v>5271</v>
      </c>
      <c r="I4228" s="783" t="s">
        <v>5272</v>
      </c>
      <c r="J4228" s="783">
        <v>15</v>
      </c>
      <c r="K4228" s="783" t="s">
        <v>765</v>
      </c>
      <c r="L4228" s="783" t="s">
        <v>4014</v>
      </c>
      <c r="M4228" s="784">
        <v>14572.5</v>
      </c>
      <c r="N4228" s="784">
        <v>19.399999999999999</v>
      </c>
      <c r="O4228" s="784">
        <v>2.11</v>
      </c>
      <c r="P4228" s="783">
        <v>356</v>
      </c>
      <c r="Q4228" s="783">
        <v>1642.32</v>
      </c>
      <c r="R4228" s="783">
        <v>716.97</v>
      </c>
      <c r="S4228" s="783">
        <v>139.9</v>
      </c>
      <c r="T4228" s="783">
        <v>785.46</v>
      </c>
      <c r="U4228" s="785">
        <v>44685.625937500001</v>
      </c>
    </row>
    <row r="4229" spans="1:21">
      <c r="A4229" s="782">
        <v>44686</v>
      </c>
      <c r="B4229" s="783" t="s">
        <v>41</v>
      </c>
      <c r="C4229" s="783" t="s">
        <v>4092</v>
      </c>
      <c r="D4229" s="783" t="s">
        <v>4009</v>
      </c>
      <c r="E4229" s="783" t="s">
        <v>5273</v>
      </c>
      <c r="F4229" s="783" t="s">
        <v>4011</v>
      </c>
      <c r="G4229" s="783" t="str">
        <f t="shared" si="223"/>
        <v>New Contract</v>
      </c>
      <c r="H4229" s="783" t="s">
        <v>5274</v>
      </c>
      <c r="I4229" s="783" t="s">
        <v>5275</v>
      </c>
      <c r="J4229" s="783">
        <v>25</v>
      </c>
      <c r="K4229" s="783" t="s">
        <v>765</v>
      </c>
      <c r="L4229" s="783" t="s">
        <v>4014</v>
      </c>
      <c r="M4229" s="784">
        <v>18237.16</v>
      </c>
      <c r="N4229" s="784">
        <v>17.2</v>
      </c>
      <c r="O4229" s="784">
        <v>2.2999999999999998</v>
      </c>
      <c r="P4229" s="783">
        <v>461</v>
      </c>
      <c r="Q4229" s="783">
        <v>1179.94</v>
      </c>
      <c r="R4229" s="783">
        <v>897.27</v>
      </c>
      <c r="S4229" s="783">
        <v>175.08</v>
      </c>
      <c r="T4229" s="783">
        <v>107.6</v>
      </c>
      <c r="U4229" s="785">
        <v>44687.614872685197</v>
      </c>
    </row>
    <row r="4230" spans="1:21">
      <c r="A4230" s="782">
        <v>44691</v>
      </c>
      <c r="B4230" s="783" t="s">
        <v>41</v>
      </c>
      <c r="C4230" s="783" t="s">
        <v>4092</v>
      </c>
      <c r="D4230" s="783" t="s">
        <v>4009</v>
      </c>
      <c r="E4230" s="783" t="s">
        <v>5276</v>
      </c>
      <c r="F4230" s="783" t="s">
        <v>4011</v>
      </c>
      <c r="G4230" s="783" t="str">
        <f t="shared" si="223"/>
        <v>Renewal (20% in 2020)</v>
      </c>
      <c r="H4230" s="783" t="s">
        <v>5277</v>
      </c>
      <c r="I4230" s="783" t="s">
        <v>5278</v>
      </c>
      <c r="J4230" s="783">
        <v>20</v>
      </c>
      <c r="K4230" s="783" t="s">
        <v>765</v>
      </c>
      <c r="L4230" s="783" t="s">
        <v>4014</v>
      </c>
      <c r="M4230" s="784">
        <v>19223.7</v>
      </c>
      <c r="N4230" s="784">
        <v>27.8</v>
      </c>
      <c r="O4230" s="784">
        <v>1.5</v>
      </c>
      <c r="P4230" s="783">
        <v>461</v>
      </c>
      <c r="Q4230" s="783">
        <v>1614.79</v>
      </c>
      <c r="R4230" s="783">
        <v>945.81</v>
      </c>
      <c r="S4230" s="783">
        <v>184.55</v>
      </c>
      <c r="T4230" s="783">
        <v>484.44</v>
      </c>
      <c r="U4230" s="785">
        <v>44708.6492939815</v>
      </c>
    </row>
    <row r="4231" spans="1:21">
      <c r="A4231" s="782">
        <v>44687</v>
      </c>
      <c r="B4231" s="783" t="s">
        <v>51</v>
      </c>
      <c r="C4231" s="783" t="s">
        <v>4042</v>
      </c>
      <c r="D4231" s="783" t="s">
        <v>4016</v>
      </c>
      <c r="E4231" s="783" t="s">
        <v>4043</v>
      </c>
      <c r="F4231" s="783" t="s">
        <v>4011</v>
      </c>
      <c r="G4231" s="783" t="s">
        <v>4028</v>
      </c>
      <c r="H4231" s="783" t="s">
        <v>4044</v>
      </c>
      <c r="I4231" s="783" t="s">
        <v>4045</v>
      </c>
      <c r="J4231" s="783">
        <v>25</v>
      </c>
      <c r="K4231" s="783" t="s">
        <v>765</v>
      </c>
      <c r="L4231" s="783" t="s">
        <v>4014</v>
      </c>
      <c r="M4231" s="784">
        <v>24062.87</v>
      </c>
      <c r="N4231" s="784">
        <v>32.979999999999997</v>
      </c>
      <c r="O4231" s="784">
        <v>1.91</v>
      </c>
      <c r="P4231" s="783">
        <v>382</v>
      </c>
      <c r="Q4231" s="783">
        <v>1725.31</v>
      </c>
      <c r="R4231" s="783">
        <v>1268.1099999999999</v>
      </c>
      <c r="S4231" s="783">
        <v>206.94</v>
      </c>
      <c r="T4231" s="783">
        <v>250.25</v>
      </c>
      <c r="U4231" s="785">
        <v>44687.596307870401</v>
      </c>
    </row>
    <row r="4232" spans="1:21">
      <c r="A4232" s="782">
        <v>44687</v>
      </c>
      <c r="B4232" s="783" t="s">
        <v>113</v>
      </c>
      <c r="C4232" s="783" t="s">
        <v>4606</v>
      </c>
      <c r="D4232" s="783" t="s">
        <v>4009</v>
      </c>
      <c r="E4232" s="783" t="s">
        <v>7141</v>
      </c>
      <c r="F4232" s="783" t="s">
        <v>4011</v>
      </c>
      <c r="G4232" s="783" t="s">
        <v>4028</v>
      </c>
      <c r="H4232" s="783" t="s">
        <v>7142</v>
      </c>
      <c r="I4232" s="783" t="s">
        <v>7143</v>
      </c>
      <c r="J4232" s="783">
        <v>15</v>
      </c>
      <c r="K4232" s="783" t="s">
        <v>765</v>
      </c>
      <c r="L4232" s="783" t="s">
        <v>4014</v>
      </c>
      <c r="M4232" s="784">
        <v>12075.84</v>
      </c>
      <c r="N4232" s="784">
        <v>8</v>
      </c>
      <c r="O4232" s="784">
        <v>2.52</v>
      </c>
      <c r="P4232" s="783">
        <v>599</v>
      </c>
      <c r="Q4232" s="783">
        <v>1234.1500000000001</v>
      </c>
      <c r="R4232" s="783">
        <v>394.98</v>
      </c>
      <c r="S4232" s="783">
        <v>201.56</v>
      </c>
      <c r="T4232" s="783">
        <v>637.6</v>
      </c>
      <c r="U4232" s="785">
        <v>44687.603240740696</v>
      </c>
    </row>
    <row r="4233" spans="1:21">
      <c r="A4233" s="782">
        <v>44687</v>
      </c>
      <c r="B4233" s="783" t="s">
        <v>118</v>
      </c>
      <c r="C4233" s="783" t="s">
        <v>4139</v>
      </c>
      <c r="D4233" s="783" t="s">
        <v>4009</v>
      </c>
      <c r="E4233" s="783" t="s">
        <v>5282</v>
      </c>
      <c r="F4233" s="783" t="s">
        <v>4011</v>
      </c>
      <c r="G4233" s="783" t="str">
        <f t="shared" ref="G4233:G4241" si="224">VLOOKUP(I4233,pacage,2,FALSE)</f>
        <v>Renewal (15% in 2020)</v>
      </c>
      <c r="H4233" s="783" t="s">
        <v>5283</v>
      </c>
      <c r="I4233" s="783" t="s">
        <v>5284</v>
      </c>
      <c r="J4233" s="783">
        <v>15</v>
      </c>
      <c r="K4233" s="783" t="s">
        <v>765</v>
      </c>
      <c r="L4233" s="783" t="s">
        <v>4014</v>
      </c>
      <c r="M4233" s="784">
        <v>25365.93</v>
      </c>
      <c r="N4233" s="784">
        <v>21.41</v>
      </c>
      <c r="O4233" s="784">
        <v>2.57</v>
      </c>
      <c r="P4233" s="783">
        <v>461</v>
      </c>
      <c r="Q4233" s="783">
        <v>1735.03</v>
      </c>
      <c r="R4233" s="783">
        <v>778.73</v>
      </c>
      <c r="S4233" s="783">
        <v>124.29</v>
      </c>
      <c r="T4233" s="783">
        <v>832</v>
      </c>
      <c r="U4233" s="785">
        <v>44690.591203703698</v>
      </c>
    </row>
    <row r="4234" spans="1:21">
      <c r="A4234" s="782">
        <v>44687</v>
      </c>
      <c r="B4234" s="783" t="s">
        <v>74</v>
      </c>
      <c r="C4234" s="783" t="s">
        <v>4097</v>
      </c>
      <c r="D4234" s="783" t="s">
        <v>4038</v>
      </c>
      <c r="E4234" s="783" t="s">
        <v>5285</v>
      </c>
      <c r="F4234" s="783" t="s">
        <v>4011</v>
      </c>
      <c r="G4234" s="783" t="str">
        <f t="shared" si="224"/>
        <v>New Contract</v>
      </c>
      <c r="H4234" s="783" t="s">
        <v>5286</v>
      </c>
      <c r="I4234" s="783" t="s">
        <v>5287</v>
      </c>
      <c r="J4234" s="783">
        <v>25</v>
      </c>
      <c r="K4234" s="783" t="s">
        <v>765</v>
      </c>
      <c r="L4234" s="783" t="s">
        <v>4014</v>
      </c>
      <c r="M4234" s="784">
        <v>6682.27</v>
      </c>
      <c r="N4234" s="784">
        <v>12.37</v>
      </c>
      <c r="O4234" s="784">
        <v>1.46</v>
      </c>
      <c r="P4234" s="783">
        <v>370</v>
      </c>
      <c r="Q4234" s="783">
        <v>463.08</v>
      </c>
      <c r="R4234" s="783">
        <v>326.76</v>
      </c>
      <c r="S4234" s="783">
        <v>53.46</v>
      </c>
      <c r="T4234" s="783">
        <v>82.86</v>
      </c>
      <c r="U4234" s="785">
        <v>44690.611793981501</v>
      </c>
    </row>
    <row r="4235" spans="1:21">
      <c r="A4235" s="782">
        <v>44693</v>
      </c>
      <c r="B4235" s="783" t="s">
        <v>397</v>
      </c>
      <c r="C4235" s="783" t="s">
        <v>4491</v>
      </c>
      <c r="D4235" s="783" t="s">
        <v>4193</v>
      </c>
      <c r="E4235" s="783" t="s">
        <v>4492</v>
      </c>
      <c r="F4235" s="783" t="s">
        <v>4011</v>
      </c>
      <c r="G4235" s="783" t="str">
        <f t="shared" si="224"/>
        <v>Renewal (20% in 2020)</v>
      </c>
      <c r="H4235" s="783" t="s">
        <v>4493</v>
      </c>
      <c r="I4235" s="783" t="s">
        <v>4494</v>
      </c>
      <c r="J4235" s="783">
        <v>20</v>
      </c>
      <c r="K4235" s="783" t="s">
        <v>765</v>
      </c>
      <c r="L4235" s="783" t="s">
        <v>4014</v>
      </c>
      <c r="M4235" s="784">
        <v>23744.1</v>
      </c>
      <c r="N4235" s="784">
        <v>16.309999999999999</v>
      </c>
      <c r="O4235" s="784">
        <v>2.5099999999999998</v>
      </c>
      <c r="P4235" s="783">
        <v>580</v>
      </c>
      <c r="Q4235" s="783">
        <v>1424.65</v>
      </c>
      <c r="R4235" s="783">
        <v>675.63</v>
      </c>
      <c r="S4235" s="783">
        <v>312.12</v>
      </c>
      <c r="T4235" s="783">
        <v>436.89</v>
      </c>
      <c r="U4235" s="785">
        <v>44693.475787037001</v>
      </c>
    </row>
    <row r="4236" spans="1:21">
      <c r="A4236" s="782">
        <v>44676</v>
      </c>
      <c r="B4236" s="783" t="s">
        <v>34</v>
      </c>
      <c r="C4236" s="783" t="s">
        <v>4139</v>
      </c>
      <c r="D4236" s="783" t="s">
        <v>4009</v>
      </c>
      <c r="E4236" s="783" t="s">
        <v>5288</v>
      </c>
      <c r="F4236" s="783" t="s">
        <v>4011</v>
      </c>
      <c r="G4236" s="783" t="str">
        <f t="shared" si="224"/>
        <v>Renewal (15% in 2020)</v>
      </c>
      <c r="H4236" s="783" t="s">
        <v>5289</v>
      </c>
      <c r="I4236" s="783" t="s">
        <v>5290</v>
      </c>
      <c r="J4236" s="783">
        <v>15</v>
      </c>
      <c r="K4236" s="783" t="s">
        <v>765</v>
      </c>
      <c r="L4236" s="783" t="s">
        <v>4014</v>
      </c>
      <c r="M4236" s="784">
        <v>22128</v>
      </c>
      <c r="N4236" s="784">
        <v>27.66</v>
      </c>
      <c r="O4236" s="784">
        <v>2</v>
      </c>
      <c r="P4236" s="783">
        <v>400</v>
      </c>
      <c r="Q4236" s="783">
        <v>1513.56</v>
      </c>
      <c r="R4236" s="783">
        <v>679.33</v>
      </c>
      <c r="S4236" s="783">
        <v>108.43</v>
      </c>
      <c r="T4236" s="783">
        <v>725.8</v>
      </c>
      <c r="U4236" s="785">
        <v>44676.723749999997</v>
      </c>
    </row>
    <row r="4237" spans="1:21">
      <c r="A4237" s="782">
        <v>44665</v>
      </c>
      <c r="B4237" s="783" t="s">
        <v>74</v>
      </c>
      <c r="C4237" s="783" t="s">
        <v>4037</v>
      </c>
      <c r="D4237" s="783" t="s">
        <v>4038</v>
      </c>
      <c r="E4237" s="783" t="s">
        <v>4304</v>
      </c>
      <c r="F4237" s="783" t="s">
        <v>4011</v>
      </c>
      <c r="G4237" s="783" t="str">
        <f t="shared" si="224"/>
        <v>Renewal (15% in 2020)</v>
      </c>
      <c r="H4237" s="783" t="s">
        <v>4305</v>
      </c>
      <c r="I4237" s="783" t="s">
        <v>4306</v>
      </c>
      <c r="J4237" s="783">
        <v>30</v>
      </c>
      <c r="K4237" s="783" t="s">
        <v>765</v>
      </c>
      <c r="L4237" s="783" t="s">
        <v>4014</v>
      </c>
      <c r="M4237" s="784">
        <v>43523.87</v>
      </c>
      <c r="N4237" s="784">
        <v>58.3</v>
      </c>
      <c r="O4237" s="784">
        <v>2.37</v>
      </c>
      <c r="P4237" s="783">
        <v>315</v>
      </c>
      <c r="Q4237" s="783">
        <v>2920.45</v>
      </c>
      <c r="R4237" s="783">
        <v>2193.6</v>
      </c>
      <c r="S4237" s="783">
        <v>0</v>
      </c>
      <c r="T4237" s="783">
        <v>726.85</v>
      </c>
      <c r="U4237" s="785">
        <v>44666.389201388898</v>
      </c>
    </row>
    <row r="4238" spans="1:21">
      <c r="A4238" s="782">
        <v>44666</v>
      </c>
      <c r="B4238" s="783" t="s">
        <v>74</v>
      </c>
      <c r="C4238" s="783" t="s">
        <v>4037</v>
      </c>
      <c r="D4238" s="783" t="s">
        <v>4038</v>
      </c>
      <c r="E4238" s="783" t="s">
        <v>6542</v>
      </c>
      <c r="F4238" s="783" t="s">
        <v>4011</v>
      </c>
      <c r="G4238" s="783" t="str">
        <f t="shared" si="224"/>
        <v>Renewal (15% in 2020)</v>
      </c>
      <c r="H4238" s="783" t="s">
        <v>6543</v>
      </c>
      <c r="I4238" s="783" t="s">
        <v>6544</v>
      </c>
      <c r="J4238" s="783">
        <v>20</v>
      </c>
      <c r="K4238" s="783" t="s">
        <v>765</v>
      </c>
      <c r="L4238" s="783" t="s">
        <v>4014</v>
      </c>
      <c r="M4238" s="784">
        <v>7325.55</v>
      </c>
      <c r="N4238" s="784">
        <v>11.15</v>
      </c>
      <c r="O4238" s="784">
        <v>1.46</v>
      </c>
      <c r="P4238" s="783">
        <v>450</v>
      </c>
      <c r="Q4238" s="783">
        <v>637.32000000000005</v>
      </c>
      <c r="R4238" s="783">
        <v>369.21</v>
      </c>
      <c r="S4238" s="783">
        <v>60.07</v>
      </c>
      <c r="T4238" s="783">
        <v>208.05</v>
      </c>
      <c r="U4238" s="785">
        <v>44671.485821759299</v>
      </c>
    </row>
    <row r="4239" spans="1:21">
      <c r="A4239" s="782">
        <v>44665</v>
      </c>
      <c r="B4239" s="783" t="s">
        <v>113</v>
      </c>
      <c r="C4239" s="783" t="s">
        <v>4606</v>
      </c>
      <c r="D4239" s="783" t="s">
        <v>4009</v>
      </c>
      <c r="E4239" s="783" t="s">
        <v>6681</v>
      </c>
      <c r="F4239" s="783" t="s">
        <v>4011</v>
      </c>
      <c r="G4239" s="783" t="str">
        <f t="shared" si="224"/>
        <v>Renewal (25% in 2020)</v>
      </c>
      <c r="H4239" s="783" t="s">
        <v>6682</v>
      </c>
      <c r="I4239" s="783" t="s">
        <v>6683</v>
      </c>
      <c r="J4239" s="783">
        <v>30</v>
      </c>
      <c r="K4239" s="783" t="s">
        <v>765</v>
      </c>
      <c r="L4239" s="783" t="s">
        <v>4014</v>
      </c>
      <c r="M4239" s="784">
        <v>20939.310000000001</v>
      </c>
      <c r="N4239" s="784">
        <v>16.05</v>
      </c>
      <c r="O4239" s="784">
        <v>2.83</v>
      </c>
      <c r="P4239" s="783">
        <v>461</v>
      </c>
      <c r="Q4239" s="783">
        <v>1149.57</v>
      </c>
      <c r="R4239" s="783">
        <v>889.92</v>
      </c>
      <c r="S4239" s="783">
        <v>0</v>
      </c>
      <c r="T4239" s="783">
        <v>259.64999999999998</v>
      </c>
      <c r="U4239" s="785">
        <v>44666.397430555597</v>
      </c>
    </row>
    <row r="4240" spans="1:21">
      <c r="A4240" s="782">
        <v>44665</v>
      </c>
      <c r="B4240" s="783" t="s">
        <v>41</v>
      </c>
      <c r="C4240" s="783" t="s">
        <v>4092</v>
      </c>
      <c r="D4240" s="783" t="s">
        <v>4009</v>
      </c>
      <c r="E4240" s="783" t="s">
        <v>4310</v>
      </c>
      <c r="F4240" s="783" t="s">
        <v>4011</v>
      </c>
      <c r="G4240" s="783" t="str">
        <f t="shared" si="224"/>
        <v>New Contract</v>
      </c>
      <c r="H4240" s="783" t="s">
        <v>4311</v>
      </c>
      <c r="I4240" s="783" t="s">
        <v>4312</v>
      </c>
      <c r="J4240" s="783">
        <v>25</v>
      </c>
      <c r="K4240" s="783" t="s">
        <v>765</v>
      </c>
      <c r="L4240" s="783" t="s">
        <v>4014</v>
      </c>
      <c r="M4240" s="784">
        <v>71519.759999999995</v>
      </c>
      <c r="N4240" s="784">
        <v>45.28</v>
      </c>
      <c r="O4240" s="784">
        <v>2.4300000000000002</v>
      </c>
      <c r="P4240" s="783">
        <v>650</v>
      </c>
      <c r="Q4240" s="783">
        <v>4627.33</v>
      </c>
      <c r="R4240" s="783">
        <v>2495.62</v>
      </c>
      <c r="S4240" s="783">
        <v>1709.74</v>
      </c>
      <c r="T4240" s="783">
        <v>421.97</v>
      </c>
      <c r="U4240" s="785">
        <v>44665.6621759259</v>
      </c>
    </row>
    <row r="4241" spans="1:21">
      <c r="A4241" s="782">
        <v>44695</v>
      </c>
      <c r="B4241" s="783" t="s">
        <v>113</v>
      </c>
      <c r="C4241" s="783" t="s">
        <v>4598</v>
      </c>
      <c r="D4241" s="783" t="s">
        <v>4009</v>
      </c>
      <c r="E4241" s="783" t="s">
        <v>6880</v>
      </c>
      <c r="F4241" s="783" t="s">
        <v>4011</v>
      </c>
      <c r="G4241" s="783" t="str">
        <f t="shared" si="224"/>
        <v>Renewal (20% in 2020)</v>
      </c>
      <c r="H4241" s="783" t="s">
        <v>6881</v>
      </c>
      <c r="I4241" s="783" t="s">
        <v>6882</v>
      </c>
      <c r="J4241" s="783">
        <v>15</v>
      </c>
      <c r="K4241" s="783" t="s">
        <v>765</v>
      </c>
      <c r="L4241" s="783" t="s">
        <v>4014</v>
      </c>
      <c r="M4241" s="784">
        <v>4222.37</v>
      </c>
      <c r="N4241" s="784">
        <v>3.62</v>
      </c>
      <c r="O4241" s="784">
        <v>2.4300000000000002</v>
      </c>
      <c r="P4241" s="783">
        <v>480</v>
      </c>
      <c r="Q4241" s="783">
        <v>415.06</v>
      </c>
      <c r="R4241" s="783">
        <v>156.53</v>
      </c>
      <c r="S4241" s="783">
        <v>49.94</v>
      </c>
      <c r="T4241" s="783">
        <v>208.58</v>
      </c>
      <c r="U4241" s="785">
        <v>44697.415289351899</v>
      </c>
    </row>
    <row r="4242" spans="1:21">
      <c r="A4242" s="782">
        <v>44668</v>
      </c>
      <c r="B4242" s="783" t="s">
        <v>4025</v>
      </c>
      <c r="C4242" s="783" t="s">
        <v>4026</v>
      </c>
      <c r="D4242" s="783" t="s">
        <v>4021</v>
      </c>
      <c r="E4242" s="783" t="s">
        <v>5291</v>
      </c>
      <c r="F4242" s="783" t="s">
        <v>4066</v>
      </c>
      <c r="G4242" s="783" t="s">
        <v>4028</v>
      </c>
      <c r="H4242" s="783" t="s">
        <v>5292</v>
      </c>
      <c r="I4242" s="783" t="s">
        <v>5293</v>
      </c>
      <c r="J4242" s="783">
        <v>5</v>
      </c>
      <c r="K4242" s="783" t="s">
        <v>765</v>
      </c>
      <c r="L4242" s="783" t="s">
        <v>4014</v>
      </c>
      <c r="M4242" s="784">
        <v>17640</v>
      </c>
      <c r="N4242" s="784">
        <v>12</v>
      </c>
      <c r="O4242" s="784">
        <v>3</v>
      </c>
      <c r="P4242" s="783">
        <v>490</v>
      </c>
      <c r="Q4242" s="783">
        <v>525.66999999999996</v>
      </c>
      <c r="R4242" s="783">
        <v>0</v>
      </c>
      <c r="S4242" s="783">
        <v>0</v>
      </c>
      <c r="T4242" s="783">
        <v>525.66999999999996</v>
      </c>
      <c r="U4242" s="785">
        <v>44671.489861111098</v>
      </c>
    </row>
    <row r="4243" spans="1:21">
      <c r="A4243" s="782">
        <v>44666</v>
      </c>
      <c r="B4243" s="783" t="s">
        <v>41</v>
      </c>
      <c r="C4243" s="783" t="s">
        <v>4008</v>
      </c>
      <c r="D4243" s="783" t="s">
        <v>4009</v>
      </c>
      <c r="E4243" s="783" t="s">
        <v>5296</v>
      </c>
      <c r="F4243" s="783" t="s">
        <v>4011</v>
      </c>
      <c r="G4243" s="783" t="str">
        <f>VLOOKUP(I4243,pacage,2,FALSE)</f>
        <v>Renewal (20% in 2020)</v>
      </c>
      <c r="H4243" s="783" t="s">
        <v>5297</v>
      </c>
      <c r="I4243" s="783" t="s">
        <v>5298</v>
      </c>
      <c r="J4243" s="783">
        <v>20</v>
      </c>
      <c r="K4243" s="783" t="s">
        <v>765</v>
      </c>
      <c r="L4243" s="783" t="s">
        <v>4014</v>
      </c>
      <c r="M4243" s="784">
        <v>32899.199999999997</v>
      </c>
      <c r="N4243" s="784">
        <v>35.76</v>
      </c>
      <c r="O4243" s="784">
        <v>2.2999999999999998</v>
      </c>
      <c r="P4243" s="783">
        <v>400</v>
      </c>
      <c r="Q4243" s="783">
        <v>3197.8</v>
      </c>
      <c r="R4243" s="783">
        <v>1789.72</v>
      </c>
      <c r="S4243" s="783">
        <v>292.8</v>
      </c>
      <c r="T4243" s="783">
        <v>1115.28</v>
      </c>
      <c r="U4243" s="785">
        <v>44671.483136574097</v>
      </c>
    </row>
    <row r="4244" spans="1:21">
      <c r="A4244" s="782">
        <v>44666</v>
      </c>
      <c r="B4244" s="783" t="s">
        <v>113</v>
      </c>
      <c r="C4244" s="783" t="s">
        <v>4606</v>
      </c>
      <c r="D4244" s="783" t="s">
        <v>4009</v>
      </c>
      <c r="E4244" s="783" t="s">
        <v>7074</v>
      </c>
      <c r="F4244" s="783" t="s">
        <v>4011</v>
      </c>
      <c r="G4244" s="783" t="s">
        <v>4028</v>
      </c>
      <c r="H4244" s="783" t="s">
        <v>7075</v>
      </c>
      <c r="I4244" s="783" t="s">
        <v>7076</v>
      </c>
      <c r="J4244" s="783">
        <v>25</v>
      </c>
      <c r="K4244" s="783" t="s">
        <v>765</v>
      </c>
      <c r="L4244" s="783" t="s">
        <v>4014</v>
      </c>
      <c r="M4244" s="784">
        <v>11165.36</v>
      </c>
      <c r="N4244" s="784">
        <v>8</v>
      </c>
      <c r="O4244" s="784">
        <v>2.33</v>
      </c>
      <c r="P4244" s="783">
        <v>599</v>
      </c>
      <c r="Q4244" s="783">
        <v>690.02</v>
      </c>
      <c r="R4244" s="783">
        <v>365.2</v>
      </c>
      <c r="S4244" s="783">
        <v>186.36</v>
      </c>
      <c r="T4244" s="783">
        <v>138.44999999999999</v>
      </c>
      <c r="U4244" s="785">
        <v>44671.481087963002</v>
      </c>
    </row>
    <row r="4245" spans="1:21">
      <c r="A4245" s="782">
        <v>44665</v>
      </c>
      <c r="B4245" s="783" t="s">
        <v>41</v>
      </c>
      <c r="C4245" s="783" t="s">
        <v>4092</v>
      </c>
      <c r="D4245" s="783" t="s">
        <v>4009</v>
      </c>
      <c r="E4245" s="783" t="s">
        <v>4125</v>
      </c>
      <c r="F4245" s="783" t="s">
        <v>4011</v>
      </c>
      <c r="G4245" s="783" t="str">
        <f t="shared" ref="G4245:G4259" si="225">VLOOKUP(I4245,pacage,2,FALSE)</f>
        <v>Renewal (20% in 2020)</v>
      </c>
      <c r="H4245" s="783" t="s">
        <v>4126</v>
      </c>
      <c r="I4245" s="783" t="s">
        <v>4127</v>
      </c>
      <c r="J4245" s="783">
        <v>20</v>
      </c>
      <c r="K4245" s="783" t="s">
        <v>765</v>
      </c>
      <c r="L4245" s="783" t="s">
        <v>4014</v>
      </c>
      <c r="M4245" s="784">
        <v>9075</v>
      </c>
      <c r="N4245" s="784">
        <v>12.5</v>
      </c>
      <c r="O4245" s="784">
        <v>1.32</v>
      </c>
      <c r="P4245" s="783">
        <v>550</v>
      </c>
      <c r="Q4245" s="783">
        <v>762.3</v>
      </c>
      <c r="R4245" s="783">
        <v>374.24</v>
      </c>
      <c r="S4245" s="783">
        <v>159.37</v>
      </c>
      <c r="T4245" s="783">
        <v>228.69</v>
      </c>
      <c r="U4245" s="785">
        <v>44665.668240740699</v>
      </c>
    </row>
    <row r="4246" spans="1:21">
      <c r="A4246" s="782">
        <v>44666</v>
      </c>
      <c r="B4246" s="783" t="s">
        <v>41</v>
      </c>
      <c r="C4246" s="783" t="s">
        <v>4092</v>
      </c>
      <c r="D4246" s="783" t="s">
        <v>4009</v>
      </c>
      <c r="E4246" s="783" t="s">
        <v>5299</v>
      </c>
      <c r="F4246" s="783" t="s">
        <v>4011</v>
      </c>
      <c r="G4246" s="783" t="str">
        <f t="shared" si="225"/>
        <v>Renewal (20% in 2020)</v>
      </c>
      <c r="H4246" s="783" t="s">
        <v>5300</v>
      </c>
      <c r="I4246" s="783" t="s">
        <v>5301</v>
      </c>
      <c r="J4246" s="783">
        <v>20</v>
      </c>
      <c r="K4246" s="783" t="s">
        <v>765</v>
      </c>
      <c r="L4246" s="783" t="s">
        <v>4014</v>
      </c>
      <c r="M4246" s="784">
        <v>31768.2</v>
      </c>
      <c r="N4246" s="784">
        <v>22.2</v>
      </c>
      <c r="O4246" s="784">
        <v>2.7</v>
      </c>
      <c r="P4246" s="783">
        <v>530</v>
      </c>
      <c r="Q4246" s="783">
        <v>2668.53</v>
      </c>
      <c r="R4246" s="783">
        <v>1359.51</v>
      </c>
      <c r="S4246" s="783">
        <v>508.46</v>
      </c>
      <c r="T4246" s="783">
        <v>800.56</v>
      </c>
      <c r="U4246" s="785">
        <v>44671.484583333302</v>
      </c>
    </row>
    <row r="4247" spans="1:21">
      <c r="A4247" s="782">
        <v>44665</v>
      </c>
      <c r="B4247" s="783" t="s">
        <v>74</v>
      </c>
      <c r="C4247" s="783" t="s">
        <v>4037</v>
      </c>
      <c r="D4247" s="783" t="s">
        <v>4038</v>
      </c>
      <c r="E4247" s="783" t="s">
        <v>7144</v>
      </c>
      <c r="F4247" s="783" t="s">
        <v>4066</v>
      </c>
      <c r="G4247" s="783" t="str">
        <f t="shared" si="225"/>
        <v>Renewal (25% in 2020)</v>
      </c>
      <c r="H4247" s="783" t="s">
        <v>7145</v>
      </c>
      <c r="I4247" s="783" t="s">
        <v>6521</v>
      </c>
      <c r="J4247" s="783">
        <v>10</v>
      </c>
      <c r="K4247" s="783" t="s">
        <v>765</v>
      </c>
      <c r="L4247" s="783" t="s">
        <v>4014</v>
      </c>
      <c r="M4247" s="784">
        <v>16800</v>
      </c>
      <c r="N4247" s="784">
        <v>35</v>
      </c>
      <c r="O4247" s="784">
        <v>1.5</v>
      </c>
      <c r="P4247" s="783">
        <v>320</v>
      </c>
      <c r="Q4247" s="783">
        <v>1011.36</v>
      </c>
      <c r="R4247" s="783">
        <v>0</v>
      </c>
      <c r="S4247" s="783">
        <v>0</v>
      </c>
      <c r="T4247" s="783">
        <v>1011.36</v>
      </c>
      <c r="U4247" s="785">
        <v>44665.666886574101</v>
      </c>
    </row>
    <row r="4248" spans="1:21">
      <c r="A4248" s="782">
        <v>44711</v>
      </c>
      <c r="B4248" s="783" t="s">
        <v>113</v>
      </c>
      <c r="C4248" s="783" t="s">
        <v>4606</v>
      </c>
      <c r="D4248" s="783" t="s">
        <v>4009</v>
      </c>
      <c r="E4248" s="783" t="s">
        <v>659</v>
      </c>
      <c r="F4248" s="783" t="s">
        <v>4011</v>
      </c>
      <c r="G4248" s="783" t="str">
        <f t="shared" si="225"/>
        <v>Renewal (20% in 2020)</v>
      </c>
      <c r="H4248" s="783" t="s">
        <v>6565</v>
      </c>
      <c r="I4248" s="783" t="s">
        <v>6566</v>
      </c>
      <c r="J4248" s="783">
        <v>20</v>
      </c>
      <c r="K4248" s="783" t="s">
        <v>765</v>
      </c>
      <c r="L4248" s="783" t="s">
        <v>4014</v>
      </c>
      <c r="M4248" s="784">
        <v>7620.33</v>
      </c>
      <c r="N4248" s="784">
        <v>5.7</v>
      </c>
      <c r="O4248" s="784">
        <v>2.9</v>
      </c>
      <c r="P4248" s="783">
        <v>461</v>
      </c>
      <c r="Q4248" s="783">
        <v>595.15</v>
      </c>
      <c r="R4248" s="783">
        <v>323.86</v>
      </c>
      <c r="S4248" s="783">
        <v>52.58</v>
      </c>
      <c r="T4248" s="783">
        <v>218.7</v>
      </c>
      <c r="U4248" s="785">
        <v>44713.629039351901</v>
      </c>
    </row>
    <row r="4249" spans="1:21">
      <c r="A4249" s="782">
        <v>44712</v>
      </c>
      <c r="B4249" s="783" t="s">
        <v>715</v>
      </c>
      <c r="C4249" s="783" t="s">
        <v>4042</v>
      </c>
      <c r="D4249" s="783" t="s">
        <v>4016</v>
      </c>
      <c r="E4249" s="783" t="s">
        <v>1478</v>
      </c>
      <c r="F4249" s="783" t="s">
        <v>4011</v>
      </c>
      <c r="G4249" s="783" t="str">
        <f t="shared" si="225"/>
        <v>Renewal (20% in 2020)</v>
      </c>
      <c r="H4249" s="783" t="s">
        <v>5302</v>
      </c>
      <c r="I4249" s="783" t="s">
        <v>5303</v>
      </c>
      <c r="J4249" s="783">
        <v>20</v>
      </c>
      <c r="K4249" s="783" t="s">
        <v>765</v>
      </c>
      <c r="L4249" s="783" t="s">
        <v>4014</v>
      </c>
      <c r="M4249" s="784">
        <v>71728.02</v>
      </c>
      <c r="N4249" s="784">
        <v>39.26</v>
      </c>
      <c r="O4249" s="784">
        <v>2.61</v>
      </c>
      <c r="P4249" s="783">
        <v>700</v>
      </c>
      <c r="Q4249" s="783">
        <v>6017.98</v>
      </c>
      <c r="R4249" s="783">
        <v>2489.44</v>
      </c>
      <c r="S4249" s="783">
        <v>1907.48</v>
      </c>
      <c r="T4249" s="783">
        <v>1621.05</v>
      </c>
      <c r="U4249" s="785">
        <v>44714.010312500002</v>
      </c>
    </row>
    <row r="4250" spans="1:21">
      <c r="A4250" s="782">
        <v>44711</v>
      </c>
      <c r="B4250" s="783" t="s">
        <v>74</v>
      </c>
      <c r="C4250" s="783" t="s">
        <v>4602</v>
      </c>
      <c r="D4250" s="783" t="s">
        <v>4038</v>
      </c>
      <c r="E4250" s="783" t="s">
        <v>4603</v>
      </c>
      <c r="F4250" s="783" t="s">
        <v>4011</v>
      </c>
      <c r="G4250" s="783" t="str">
        <f t="shared" si="225"/>
        <v>Renewal (30% in 2020)</v>
      </c>
      <c r="H4250" s="783" t="s">
        <v>4604</v>
      </c>
      <c r="I4250" s="783" t="s">
        <v>4605</v>
      </c>
      <c r="J4250" s="783">
        <v>30</v>
      </c>
      <c r="K4250" s="783" t="s">
        <v>765</v>
      </c>
      <c r="L4250" s="783" t="s">
        <v>4014</v>
      </c>
      <c r="M4250" s="784">
        <v>95762.8</v>
      </c>
      <c r="N4250" s="784">
        <v>104.09</v>
      </c>
      <c r="O4250" s="784">
        <v>2.2999999999999998</v>
      </c>
      <c r="P4250" s="783">
        <v>400</v>
      </c>
      <c r="Q4250" s="783">
        <v>5343.56</v>
      </c>
      <c r="R4250" s="783">
        <v>4567.8900000000003</v>
      </c>
      <c r="S4250" s="783">
        <v>0</v>
      </c>
      <c r="T4250" s="783">
        <v>775.68</v>
      </c>
      <c r="U4250" s="785">
        <v>44712.722673611097</v>
      </c>
    </row>
    <row r="4251" spans="1:21">
      <c r="A4251" s="782">
        <v>44712</v>
      </c>
      <c r="B4251" s="783" t="s">
        <v>30</v>
      </c>
      <c r="C4251" s="783" t="s">
        <v>4239</v>
      </c>
      <c r="D4251" s="783" t="s">
        <v>4021</v>
      </c>
      <c r="E4251" s="783" t="s">
        <v>787</v>
      </c>
      <c r="F4251" s="783" t="s">
        <v>4011</v>
      </c>
      <c r="G4251" s="783" t="str">
        <f t="shared" si="225"/>
        <v>Renewal (15% in 2020)</v>
      </c>
      <c r="H4251" s="783" t="s">
        <v>5304</v>
      </c>
      <c r="I4251" s="783" t="s">
        <v>5305</v>
      </c>
      <c r="J4251" s="783">
        <v>15</v>
      </c>
      <c r="K4251" s="783" t="s">
        <v>765</v>
      </c>
      <c r="L4251" s="783" t="s">
        <v>4014</v>
      </c>
      <c r="M4251" s="784">
        <v>49816.800000000003</v>
      </c>
      <c r="N4251" s="784">
        <v>31.45</v>
      </c>
      <c r="O4251" s="784">
        <v>2.88</v>
      </c>
      <c r="P4251" s="783">
        <v>550</v>
      </c>
      <c r="Q4251" s="783">
        <v>4936.84</v>
      </c>
      <c r="R4251" s="783">
        <v>1695.27</v>
      </c>
      <c r="S4251" s="783">
        <v>800.55</v>
      </c>
      <c r="T4251" s="783">
        <v>2441.02</v>
      </c>
      <c r="U4251" s="785">
        <v>44714.581064814804</v>
      </c>
    </row>
    <row r="4252" spans="1:21">
      <c r="A4252" s="782">
        <v>44712</v>
      </c>
      <c r="B4252" s="783" t="s">
        <v>41</v>
      </c>
      <c r="C4252" s="783" t="s">
        <v>4071</v>
      </c>
      <c r="D4252" s="783" t="s">
        <v>4009</v>
      </c>
      <c r="E4252" s="783" t="s">
        <v>4313</v>
      </c>
      <c r="F4252" s="783" t="s">
        <v>4011</v>
      </c>
      <c r="G4252" s="783" t="str">
        <f t="shared" si="225"/>
        <v>Renewal (15% in 2020)</v>
      </c>
      <c r="H4252" s="783" t="s">
        <v>4314</v>
      </c>
      <c r="I4252" s="783" t="s">
        <v>4315</v>
      </c>
      <c r="J4252" s="783">
        <v>15</v>
      </c>
      <c r="K4252" s="783" t="s">
        <v>765</v>
      </c>
      <c r="L4252" s="783" t="s">
        <v>4014</v>
      </c>
      <c r="M4252" s="784">
        <v>61750.3</v>
      </c>
      <c r="N4252" s="784">
        <v>90.47</v>
      </c>
      <c r="O4252" s="784">
        <v>1.87</v>
      </c>
      <c r="P4252" s="783">
        <v>365</v>
      </c>
      <c r="Q4252" s="783">
        <v>4915.32</v>
      </c>
      <c r="R4252" s="783">
        <v>2204.4899999999998</v>
      </c>
      <c r="S4252" s="783">
        <v>351.98</v>
      </c>
      <c r="T4252" s="783">
        <v>2358.86</v>
      </c>
      <c r="U4252" s="785">
        <v>44714.669097222199</v>
      </c>
    </row>
    <row r="4253" spans="1:21">
      <c r="A4253" s="782">
        <v>44708</v>
      </c>
      <c r="B4253" s="783" t="s">
        <v>74</v>
      </c>
      <c r="C4253" s="783" t="s">
        <v>4037</v>
      </c>
      <c r="D4253" s="783" t="s">
        <v>4038</v>
      </c>
      <c r="E4253" s="783" t="s">
        <v>1920</v>
      </c>
      <c r="F4253" s="783" t="s">
        <v>4011</v>
      </c>
      <c r="G4253" s="783" t="str">
        <f t="shared" si="225"/>
        <v>Renewal (25% in 2020)</v>
      </c>
      <c r="H4253" s="783" t="s">
        <v>5306</v>
      </c>
      <c r="I4253" s="783" t="s">
        <v>5307</v>
      </c>
      <c r="J4253" s="783">
        <v>25</v>
      </c>
      <c r="K4253" s="783" t="s">
        <v>765</v>
      </c>
      <c r="L4253" s="783" t="s">
        <v>4014</v>
      </c>
      <c r="M4253" s="784">
        <v>13824</v>
      </c>
      <c r="N4253" s="784">
        <v>16</v>
      </c>
      <c r="O4253" s="784">
        <v>2.16</v>
      </c>
      <c r="P4253" s="783">
        <v>400</v>
      </c>
      <c r="Q4253" s="783">
        <v>1040.95</v>
      </c>
      <c r="R4253" s="783">
        <v>696.73</v>
      </c>
      <c r="S4253" s="783">
        <v>113.36</v>
      </c>
      <c r="T4253" s="783">
        <v>230.86</v>
      </c>
      <c r="U4253" s="785">
        <v>44711.516006944403</v>
      </c>
    </row>
    <row r="4254" spans="1:21">
      <c r="A4254" s="782">
        <v>44712</v>
      </c>
      <c r="B4254" s="783" t="s">
        <v>74</v>
      </c>
      <c r="C4254" s="783" t="s">
        <v>4037</v>
      </c>
      <c r="D4254" s="783" t="s">
        <v>4038</v>
      </c>
      <c r="E4254" s="783" t="s">
        <v>1916</v>
      </c>
      <c r="F4254" s="783" t="s">
        <v>4011</v>
      </c>
      <c r="G4254" s="783" t="str">
        <f t="shared" si="225"/>
        <v>Renewal (25% in 2020)</v>
      </c>
      <c r="H4254" s="783" t="s">
        <v>5308</v>
      </c>
      <c r="I4254" s="783" t="s">
        <v>5309</v>
      </c>
      <c r="J4254" s="783">
        <v>30</v>
      </c>
      <c r="K4254" s="783" t="s">
        <v>765</v>
      </c>
      <c r="L4254" s="783" t="s">
        <v>4014</v>
      </c>
      <c r="M4254" s="784">
        <v>14542.32</v>
      </c>
      <c r="N4254" s="784">
        <v>15.34</v>
      </c>
      <c r="O4254" s="784">
        <v>2.37</v>
      </c>
      <c r="P4254" s="783">
        <v>400</v>
      </c>
      <c r="Q4254" s="783">
        <v>975.79</v>
      </c>
      <c r="R4254" s="783">
        <v>732.93</v>
      </c>
      <c r="S4254" s="783">
        <v>0</v>
      </c>
      <c r="T4254" s="783">
        <v>242.86</v>
      </c>
      <c r="U4254" s="785">
        <v>44714.023819444403</v>
      </c>
    </row>
    <row r="4255" spans="1:21">
      <c r="A4255" s="782">
        <v>44708</v>
      </c>
      <c r="B4255" s="783" t="s">
        <v>74</v>
      </c>
      <c r="C4255" s="783" t="s">
        <v>4037</v>
      </c>
      <c r="D4255" s="783" t="s">
        <v>4038</v>
      </c>
      <c r="E4255" s="783" t="s">
        <v>1914</v>
      </c>
      <c r="F4255" s="783" t="s">
        <v>4011</v>
      </c>
      <c r="G4255" s="783" t="str">
        <f t="shared" si="225"/>
        <v>Renewal (25% in 2020)</v>
      </c>
      <c r="H4255" s="783" t="s">
        <v>4316</v>
      </c>
      <c r="I4255" s="783" t="s">
        <v>4317</v>
      </c>
      <c r="J4255" s="783">
        <v>25</v>
      </c>
      <c r="K4255" s="783" t="s">
        <v>765</v>
      </c>
      <c r="L4255" s="783" t="s">
        <v>4014</v>
      </c>
      <c r="M4255" s="784">
        <v>40952.839999999997</v>
      </c>
      <c r="N4255" s="784">
        <v>52.47</v>
      </c>
      <c r="O4255" s="784">
        <v>2.23</v>
      </c>
      <c r="P4255" s="783">
        <v>350</v>
      </c>
      <c r="Q4255" s="783">
        <v>3083.75</v>
      </c>
      <c r="R4255" s="783">
        <v>2064.02</v>
      </c>
      <c r="S4255" s="783">
        <v>335.81</v>
      </c>
      <c r="T4255" s="783">
        <v>683.91</v>
      </c>
      <c r="U4255" s="785">
        <v>44711.5105555556</v>
      </c>
    </row>
    <row r="4256" spans="1:21">
      <c r="A4256" s="782">
        <v>44697</v>
      </c>
      <c r="B4256" s="783" t="s">
        <v>113</v>
      </c>
      <c r="C4256" s="783" t="s">
        <v>4606</v>
      </c>
      <c r="D4256" s="783" t="s">
        <v>4009</v>
      </c>
      <c r="E4256" s="783" t="s">
        <v>4607</v>
      </c>
      <c r="F4256" s="783" t="s">
        <v>4011</v>
      </c>
      <c r="G4256" s="783" t="str">
        <f t="shared" si="225"/>
        <v>Renewal (15% in 2020)</v>
      </c>
      <c r="H4256" s="783" t="s">
        <v>4608</v>
      </c>
      <c r="I4256" s="783" t="s">
        <v>4609</v>
      </c>
      <c r="J4256" s="783">
        <v>15</v>
      </c>
      <c r="K4256" s="783" t="s">
        <v>765</v>
      </c>
      <c r="L4256" s="783" t="s">
        <v>4014</v>
      </c>
      <c r="M4256" s="784">
        <v>35059.730000000003</v>
      </c>
      <c r="N4256" s="784">
        <v>28.87</v>
      </c>
      <c r="O4256" s="784">
        <v>2.5299999999999998</v>
      </c>
      <c r="P4256" s="783">
        <v>480</v>
      </c>
      <c r="Q4256" s="783">
        <v>3583.1</v>
      </c>
      <c r="R4256" s="783">
        <v>1431.06</v>
      </c>
      <c r="S4256" s="783">
        <v>300.89</v>
      </c>
      <c r="T4256" s="783">
        <v>1851.15</v>
      </c>
      <c r="U4256" s="785">
        <v>44699.493645833303</v>
      </c>
    </row>
    <row r="4257" spans="1:21">
      <c r="A4257" s="782">
        <v>44697</v>
      </c>
      <c r="B4257" s="783" t="s">
        <v>51</v>
      </c>
      <c r="C4257" s="783" t="s">
        <v>4042</v>
      </c>
      <c r="D4257" s="783" t="s">
        <v>4016</v>
      </c>
      <c r="E4257" s="783" t="s">
        <v>87</v>
      </c>
      <c r="F4257" s="783" t="s">
        <v>4011</v>
      </c>
      <c r="G4257" s="783" t="str">
        <f t="shared" si="225"/>
        <v>Renewal (20% in 2020)</v>
      </c>
      <c r="H4257" s="783" t="s">
        <v>5317</v>
      </c>
      <c r="I4257" s="783" t="s">
        <v>5318</v>
      </c>
      <c r="J4257" s="783">
        <v>20</v>
      </c>
      <c r="K4257" s="783" t="s">
        <v>765</v>
      </c>
      <c r="L4257" s="783" t="s">
        <v>4014</v>
      </c>
      <c r="M4257" s="784">
        <v>52484.04</v>
      </c>
      <c r="N4257" s="784">
        <v>31.77</v>
      </c>
      <c r="O4257" s="784">
        <v>2.36</v>
      </c>
      <c r="P4257" s="783">
        <v>700</v>
      </c>
      <c r="Q4257" s="783">
        <v>4403.41</v>
      </c>
      <c r="R4257" s="783">
        <v>1821.55</v>
      </c>
      <c r="S4257" s="783">
        <v>1395.72</v>
      </c>
      <c r="T4257" s="783">
        <v>1186.1400000000001</v>
      </c>
      <c r="U4257" s="785">
        <v>44699.504178240699</v>
      </c>
    </row>
    <row r="4258" spans="1:21">
      <c r="A4258" s="782">
        <v>44697</v>
      </c>
      <c r="B4258" s="783" t="s">
        <v>41</v>
      </c>
      <c r="C4258" s="783" t="s">
        <v>4092</v>
      </c>
      <c r="D4258" s="783" t="s">
        <v>4009</v>
      </c>
      <c r="E4258" s="783" t="s">
        <v>4128</v>
      </c>
      <c r="F4258" s="783" t="s">
        <v>4011</v>
      </c>
      <c r="G4258" s="783" t="str">
        <f t="shared" si="225"/>
        <v>Renewal (20% in 2020)</v>
      </c>
      <c r="H4258" s="783" t="s">
        <v>4129</v>
      </c>
      <c r="I4258" s="783" t="s">
        <v>4130</v>
      </c>
      <c r="J4258" s="783">
        <v>20</v>
      </c>
      <c r="K4258" s="783" t="s">
        <v>765</v>
      </c>
      <c r="L4258" s="783" t="s">
        <v>4014</v>
      </c>
      <c r="M4258" s="784">
        <v>31714</v>
      </c>
      <c r="N4258" s="784">
        <v>40.4</v>
      </c>
      <c r="O4258" s="784">
        <v>1.57</v>
      </c>
      <c r="P4258" s="783">
        <v>500</v>
      </c>
      <c r="Q4258" s="783">
        <v>2663.98</v>
      </c>
      <c r="R4258" s="783">
        <v>1438.62</v>
      </c>
      <c r="S4258" s="783">
        <v>426.16</v>
      </c>
      <c r="T4258" s="783">
        <v>799.19</v>
      </c>
      <c r="U4258" s="785">
        <v>44699.507303240702</v>
      </c>
    </row>
    <row r="4259" spans="1:21">
      <c r="A4259" s="782">
        <v>44699</v>
      </c>
      <c r="B4259" s="783" t="s">
        <v>41</v>
      </c>
      <c r="C4259" s="783" t="s">
        <v>4092</v>
      </c>
      <c r="D4259" s="783" t="s">
        <v>4009</v>
      </c>
      <c r="E4259" s="783" t="s">
        <v>507</v>
      </c>
      <c r="F4259" s="783" t="s">
        <v>4011</v>
      </c>
      <c r="G4259" s="783" t="str">
        <f t="shared" si="225"/>
        <v>Renewal (15% in 2020)</v>
      </c>
      <c r="H4259" s="783" t="s">
        <v>4318</v>
      </c>
      <c r="I4259" s="783" t="s">
        <v>4319</v>
      </c>
      <c r="J4259" s="783">
        <v>15</v>
      </c>
      <c r="K4259" s="783" t="s">
        <v>765</v>
      </c>
      <c r="L4259" s="783" t="s">
        <v>4014</v>
      </c>
      <c r="M4259" s="784">
        <v>50708.79</v>
      </c>
      <c r="N4259" s="784">
        <v>44.54</v>
      </c>
      <c r="O4259" s="784">
        <v>2.5299999999999998</v>
      </c>
      <c r="P4259" s="783">
        <v>450</v>
      </c>
      <c r="Q4259" s="783">
        <v>5714.88</v>
      </c>
      <c r="R4259" s="783">
        <v>2494.87</v>
      </c>
      <c r="S4259" s="783">
        <v>486.8</v>
      </c>
      <c r="T4259" s="783">
        <v>2733.2</v>
      </c>
      <c r="U4259" s="785">
        <v>44700.5155324074</v>
      </c>
    </row>
    <row r="4260" spans="1:21">
      <c r="A4260" s="782">
        <v>44701</v>
      </c>
      <c r="B4260" s="783" t="s">
        <v>34</v>
      </c>
      <c r="C4260" s="783" t="s">
        <v>4082</v>
      </c>
      <c r="D4260" s="783" t="s">
        <v>4009</v>
      </c>
      <c r="E4260" s="783" t="s">
        <v>5319</v>
      </c>
      <c r="F4260" s="783" t="s">
        <v>4011</v>
      </c>
      <c r="G4260" s="783" t="s">
        <v>4028</v>
      </c>
      <c r="H4260" s="783" t="s">
        <v>5320</v>
      </c>
      <c r="I4260" s="783" t="s">
        <v>5321</v>
      </c>
      <c r="J4260" s="783">
        <v>30</v>
      </c>
      <c r="K4260" s="783" t="s">
        <v>765</v>
      </c>
      <c r="L4260" s="783" t="s">
        <v>4014</v>
      </c>
      <c r="M4260" s="784">
        <v>28854</v>
      </c>
      <c r="N4260" s="784">
        <v>32.06</v>
      </c>
      <c r="O4260" s="784">
        <v>2</v>
      </c>
      <c r="P4260" s="783">
        <v>450</v>
      </c>
      <c r="Q4260" s="783">
        <v>1408.08</v>
      </c>
      <c r="R4260" s="783">
        <v>1258.03</v>
      </c>
      <c r="S4260" s="783">
        <v>0</v>
      </c>
      <c r="T4260" s="783">
        <v>150.04</v>
      </c>
      <c r="U4260" s="785">
        <v>44701.662430555603</v>
      </c>
    </row>
    <row r="4261" spans="1:21">
      <c r="A4261" s="782">
        <v>44698</v>
      </c>
      <c r="B4261" s="783" t="s">
        <v>41</v>
      </c>
      <c r="C4261" s="783" t="s">
        <v>4354</v>
      </c>
      <c r="D4261" s="783" t="s">
        <v>4009</v>
      </c>
      <c r="E4261" s="783" t="s">
        <v>767</v>
      </c>
      <c r="F4261" s="783" t="s">
        <v>4011</v>
      </c>
      <c r="G4261" s="783" t="s">
        <v>4028</v>
      </c>
      <c r="H4261" s="783" t="s">
        <v>5322</v>
      </c>
      <c r="I4261" s="783" t="s">
        <v>5323</v>
      </c>
      <c r="J4261" s="783">
        <v>25</v>
      </c>
      <c r="K4261" s="783" t="s">
        <v>765</v>
      </c>
      <c r="L4261" s="783" t="s">
        <v>4014</v>
      </c>
      <c r="M4261" s="784">
        <v>10874.3</v>
      </c>
      <c r="N4261" s="784">
        <v>9.5500000000000007</v>
      </c>
      <c r="O4261" s="784">
        <v>2.4700000000000002</v>
      </c>
      <c r="P4261" s="783">
        <v>461</v>
      </c>
      <c r="Q4261" s="783">
        <v>879.73</v>
      </c>
      <c r="R4261" s="783">
        <v>636.15</v>
      </c>
      <c r="S4261" s="783">
        <v>98.96</v>
      </c>
      <c r="T4261" s="783">
        <v>144.63</v>
      </c>
      <c r="U4261" s="785">
        <v>44699.483101851903</v>
      </c>
    </row>
    <row r="4262" spans="1:21">
      <c r="A4262" s="782">
        <v>44702</v>
      </c>
      <c r="B4262" s="783" t="s">
        <v>41</v>
      </c>
      <c r="C4262" s="783" t="s">
        <v>4071</v>
      </c>
      <c r="D4262" s="783" t="s">
        <v>4009</v>
      </c>
      <c r="E4262" s="783" t="s">
        <v>5327</v>
      </c>
      <c r="F4262" s="783" t="s">
        <v>4011</v>
      </c>
      <c r="G4262" s="783" t="str">
        <f t="shared" ref="G4262:G4283" si="226">VLOOKUP(I4262,pacage,2,FALSE)</f>
        <v>Renewal (20% in 2020)</v>
      </c>
      <c r="H4262" s="783" t="s">
        <v>5328</v>
      </c>
      <c r="I4262" s="783" t="s">
        <v>5329</v>
      </c>
      <c r="J4262" s="783">
        <v>20</v>
      </c>
      <c r="K4262" s="783" t="s">
        <v>765</v>
      </c>
      <c r="L4262" s="783" t="s">
        <v>4014</v>
      </c>
      <c r="M4262" s="784">
        <v>80517.45</v>
      </c>
      <c r="N4262" s="784">
        <v>39.25</v>
      </c>
      <c r="O4262" s="784">
        <v>2.63</v>
      </c>
      <c r="P4262" s="783">
        <v>780</v>
      </c>
      <c r="Q4262" s="783">
        <v>4774.68</v>
      </c>
      <c r="R4262" s="783">
        <v>1698.89</v>
      </c>
      <c r="S4262" s="783">
        <v>1634.54</v>
      </c>
      <c r="T4262" s="783">
        <v>1441.26</v>
      </c>
      <c r="U4262" s="785">
        <v>44704.410868055602</v>
      </c>
    </row>
    <row r="4263" spans="1:21">
      <c r="A4263" s="782">
        <v>44697</v>
      </c>
      <c r="B4263" s="783" t="s">
        <v>74</v>
      </c>
      <c r="C4263" s="783" t="s">
        <v>4097</v>
      </c>
      <c r="D4263" s="783" t="s">
        <v>4038</v>
      </c>
      <c r="E4263" s="783" t="s">
        <v>2064</v>
      </c>
      <c r="F4263" s="783" t="s">
        <v>4011</v>
      </c>
      <c r="G4263" s="783" t="str">
        <f t="shared" si="226"/>
        <v>Renewal (15% in 2020)</v>
      </c>
      <c r="H4263" s="783" t="s">
        <v>4320</v>
      </c>
      <c r="I4263" s="783" t="s">
        <v>4321</v>
      </c>
      <c r="J4263" s="783">
        <v>20</v>
      </c>
      <c r="K4263" s="783" t="s">
        <v>765</v>
      </c>
      <c r="L4263" s="783" t="s">
        <v>4014</v>
      </c>
      <c r="M4263" s="784">
        <v>18262.8</v>
      </c>
      <c r="N4263" s="784">
        <v>16.91</v>
      </c>
      <c r="O4263" s="784">
        <v>2.16</v>
      </c>
      <c r="P4263" s="783">
        <v>500</v>
      </c>
      <c r="Q4263" s="783">
        <v>1473.81</v>
      </c>
      <c r="R4263" s="783">
        <v>823.39</v>
      </c>
      <c r="S4263" s="783">
        <v>215.76</v>
      </c>
      <c r="T4263" s="783">
        <v>434.65</v>
      </c>
      <c r="U4263" s="785">
        <v>44708.962384259299</v>
      </c>
    </row>
    <row r="4264" spans="1:21">
      <c r="A4264" s="782">
        <v>44697</v>
      </c>
      <c r="B4264" s="783" t="s">
        <v>74</v>
      </c>
      <c r="C4264" s="783" t="s">
        <v>4037</v>
      </c>
      <c r="D4264" s="783" t="s">
        <v>4038</v>
      </c>
      <c r="E4264" s="783" t="s">
        <v>2064</v>
      </c>
      <c r="F4264" s="783" t="s">
        <v>4011</v>
      </c>
      <c r="G4264" s="783" t="str">
        <f t="shared" si="226"/>
        <v>Renewal (15% in 2020)</v>
      </c>
      <c r="H4264" s="783" t="s">
        <v>4320</v>
      </c>
      <c r="I4264" s="783" t="s">
        <v>4321</v>
      </c>
      <c r="J4264" s="783">
        <v>20</v>
      </c>
      <c r="K4264" s="783" t="s">
        <v>765</v>
      </c>
      <c r="L4264" s="783" t="s">
        <v>4014</v>
      </c>
      <c r="M4264" s="784">
        <v>23414.400000000001</v>
      </c>
      <c r="N4264" s="784">
        <v>21.68</v>
      </c>
      <c r="O4264" s="784">
        <v>2.16</v>
      </c>
      <c r="P4264" s="783">
        <v>500</v>
      </c>
      <c r="Q4264" s="783">
        <v>2037.05</v>
      </c>
      <c r="R4264" s="783">
        <v>1088.04</v>
      </c>
      <c r="S4264" s="783">
        <v>284.04000000000002</v>
      </c>
      <c r="T4264" s="783">
        <v>664.97</v>
      </c>
      <c r="U4264" s="785">
        <v>44708.962384259299</v>
      </c>
    </row>
    <row r="4265" spans="1:21">
      <c r="A4265" s="782">
        <v>44694</v>
      </c>
      <c r="B4265" s="783" t="s">
        <v>41</v>
      </c>
      <c r="C4265" s="783" t="s">
        <v>4082</v>
      </c>
      <c r="D4265" s="783" t="s">
        <v>4009</v>
      </c>
      <c r="E4265" s="783" t="s">
        <v>5332</v>
      </c>
      <c r="F4265" s="783" t="s">
        <v>4011</v>
      </c>
      <c r="G4265" s="783" t="str">
        <f t="shared" si="226"/>
        <v>Renewal (15% in 2020)</v>
      </c>
      <c r="H4265" s="783" t="s">
        <v>5333</v>
      </c>
      <c r="I4265" s="783" t="s">
        <v>5334</v>
      </c>
      <c r="J4265" s="783">
        <v>15</v>
      </c>
      <c r="K4265" s="783" t="s">
        <v>765</v>
      </c>
      <c r="L4265" s="783" t="s">
        <v>4014</v>
      </c>
      <c r="M4265" s="784">
        <v>1076.4000000000001</v>
      </c>
      <c r="N4265" s="784">
        <v>1.04</v>
      </c>
      <c r="O4265" s="784">
        <v>2.2999999999999998</v>
      </c>
      <c r="P4265" s="783">
        <v>450</v>
      </c>
      <c r="Q4265" s="783">
        <v>107.53</v>
      </c>
      <c r="R4265" s="783">
        <v>46.93</v>
      </c>
      <c r="S4265" s="783">
        <v>9.15</v>
      </c>
      <c r="T4265" s="783">
        <v>51.45</v>
      </c>
      <c r="U4265" s="785">
        <v>44697.506168981497</v>
      </c>
    </row>
    <row r="4266" spans="1:21">
      <c r="A4266" s="782">
        <v>44706</v>
      </c>
      <c r="B4266" s="783" t="s">
        <v>41</v>
      </c>
      <c r="C4266" s="783" t="s">
        <v>4071</v>
      </c>
      <c r="D4266" s="783" t="s">
        <v>4009</v>
      </c>
      <c r="E4266" s="783" t="s">
        <v>5335</v>
      </c>
      <c r="F4266" s="783" t="s">
        <v>4011</v>
      </c>
      <c r="G4266" s="783" t="str">
        <f t="shared" si="226"/>
        <v>Renewal (15% in 2020)</v>
      </c>
      <c r="H4266" s="783" t="s">
        <v>5336</v>
      </c>
      <c r="I4266" s="783" t="s">
        <v>5337</v>
      </c>
      <c r="J4266" s="783">
        <v>15</v>
      </c>
      <c r="K4266" s="783" t="s">
        <v>765</v>
      </c>
      <c r="L4266" s="783" t="s">
        <v>4014</v>
      </c>
      <c r="M4266" s="784">
        <v>53242.1</v>
      </c>
      <c r="N4266" s="784">
        <v>88.12</v>
      </c>
      <c r="O4266" s="784">
        <v>1.59</v>
      </c>
      <c r="P4266" s="783">
        <v>380</v>
      </c>
      <c r="Q4266" s="783">
        <v>4238.07</v>
      </c>
      <c r="R4266" s="783">
        <v>1900.74</v>
      </c>
      <c r="S4266" s="783">
        <v>303.48</v>
      </c>
      <c r="T4266" s="783">
        <v>2033.85</v>
      </c>
      <c r="U4266" s="785">
        <v>44708.580891203703</v>
      </c>
    </row>
    <row r="4267" spans="1:21">
      <c r="A4267" s="782">
        <v>44543</v>
      </c>
      <c r="B4267" s="783" t="s">
        <v>74</v>
      </c>
      <c r="C4267" s="783" t="s">
        <v>4097</v>
      </c>
      <c r="D4267" s="783" t="s">
        <v>4038</v>
      </c>
      <c r="E4267" s="783" t="s">
        <v>4322</v>
      </c>
      <c r="F4267" s="783" t="s">
        <v>4011</v>
      </c>
      <c r="G4267" s="783" t="str">
        <f t="shared" si="226"/>
        <v>Renewal (25% in 2020)</v>
      </c>
      <c r="H4267" s="783" t="s">
        <v>4323</v>
      </c>
      <c r="I4267" s="783" t="s">
        <v>4324</v>
      </c>
      <c r="J4267" s="783">
        <v>25</v>
      </c>
      <c r="K4267" s="783" t="s">
        <v>765</v>
      </c>
      <c r="L4267" s="783" t="s">
        <v>4014</v>
      </c>
      <c r="M4267" s="784">
        <v>13435.7</v>
      </c>
      <c r="N4267" s="784">
        <v>11.89</v>
      </c>
      <c r="O4267" s="784">
        <v>2.2599999999999998</v>
      </c>
      <c r="P4267" s="783">
        <v>500</v>
      </c>
      <c r="Q4267" s="783">
        <v>931.09</v>
      </c>
      <c r="R4267" s="783">
        <v>605.76</v>
      </c>
      <c r="S4267" s="783">
        <v>158.72999999999999</v>
      </c>
      <c r="T4267" s="783">
        <v>166.6</v>
      </c>
      <c r="U4267" s="785">
        <v>44631.626736111102</v>
      </c>
    </row>
    <row r="4268" spans="1:21">
      <c r="A4268" s="782">
        <v>44540</v>
      </c>
      <c r="B4268" s="783" t="s">
        <v>4025</v>
      </c>
      <c r="C4268" s="783" t="s">
        <v>4026</v>
      </c>
      <c r="D4268" s="783" t="s">
        <v>4021</v>
      </c>
      <c r="E4268" s="783" t="s">
        <v>5341</v>
      </c>
      <c r="F4268" s="783" t="s">
        <v>4011</v>
      </c>
      <c r="G4268" s="783" t="str">
        <f t="shared" si="226"/>
        <v>New Contract</v>
      </c>
      <c r="H4268" s="783" t="s">
        <v>5342</v>
      </c>
      <c r="I4268" s="783" t="s">
        <v>5343</v>
      </c>
      <c r="J4268" s="783">
        <v>25</v>
      </c>
      <c r="K4268" s="783" t="s">
        <v>765</v>
      </c>
      <c r="L4268" s="783" t="s">
        <v>4014</v>
      </c>
      <c r="M4268" s="784">
        <v>4949.95</v>
      </c>
      <c r="N4268" s="784">
        <v>5.59</v>
      </c>
      <c r="O4268" s="784">
        <v>2.5299999999999998</v>
      </c>
      <c r="P4268" s="783">
        <v>350</v>
      </c>
      <c r="Q4268" s="783">
        <v>295.02</v>
      </c>
      <c r="R4268" s="783">
        <v>213.84</v>
      </c>
      <c r="S4268" s="783">
        <v>34.65</v>
      </c>
      <c r="T4268" s="783">
        <v>46.53</v>
      </c>
      <c r="U4268" s="785">
        <v>44631.629675925898</v>
      </c>
    </row>
    <row r="4269" spans="1:21">
      <c r="A4269" s="782">
        <v>44539</v>
      </c>
      <c r="B4269" s="783" t="s">
        <v>41</v>
      </c>
      <c r="C4269" s="783" t="s">
        <v>4071</v>
      </c>
      <c r="D4269" s="783" t="s">
        <v>4009</v>
      </c>
      <c r="E4269" s="783" t="s">
        <v>5347</v>
      </c>
      <c r="F4269" s="783" t="s">
        <v>4011</v>
      </c>
      <c r="G4269" s="783" t="str">
        <f t="shared" si="226"/>
        <v>Renewal (15% in 2020)</v>
      </c>
      <c r="H4269" s="783" t="s">
        <v>5348</v>
      </c>
      <c r="I4269" s="783" t="s">
        <v>5349</v>
      </c>
      <c r="J4269" s="783">
        <v>15</v>
      </c>
      <c r="K4269" s="783" t="s">
        <v>765</v>
      </c>
      <c r="L4269" s="783" t="s">
        <v>4014</v>
      </c>
      <c r="M4269" s="784">
        <v>9044</v>
      </c>
      <c r="N4269" s="784">
        <v>14</v>
      </c>
      <c r="O4269" s="784">
        <v>1.7</v>
      </c>
      <c r="P4269" s="783">
        <v>380</v>
      </c>
      <c r="Q4269" s="783">
        <v>719.9</v>
      </c>
      <c r="R4269" s="783">
        <v>322.87</v>
      </c>
      <c r="S4269" s="783">
        <v>51.55</v>
      </c>
      <c r="T4269" s="783">
        <v>345.48</v>
      </c>
      <c r="U4269" s="785">
        <v>44631.626736111102</v>
      </c>
    </row>
    <row r="4270" spans="1:21">
      <c r="A4270" s="782">
        <v>44543</v>
      </c>
      <c r="B4270" s="783" t="s">
        <v>41</v>
      </c>
      <c r="C4270" s="783" t="s">
        <v>4092</v>
      </c>
      <c r="D4270" s="783" t="s">
        <v>4009</v>
      </c>
      <c r="E4270" s="783" t="s">
        <v>4131</v>
      </c>
      <c r="F4270" s="783" t="s">
        <v>4011</v>
      </c>
      <c r="G4270" s="783" t="str">
        <f t="shared" si="226"/>
        <v>Renewal (20% in 2020)</v>
      </c>
      <c r="H4270" s="783" t="s">
        <v>4132</v>
      </c>
      <c r="I4270" s="783" t="s">
        <v>4133</v>
      </c>
      <c r="J4270" s="783">
        <v>20</v>
      </c>
      <c r="K4270" s="783" t="s">
        <v>765</v>
      </c>
      <c r="L4270" s="783" t="s">
        <v>4014</v>
      </c>
      <c r="M4270" s="784">
        <v>15286.05</v>
      </c>
      <c r="N4270" s="784">
        <v>17.420000000000002</v>
      </c>
      <c r="O4270" s="784">
        <v>1.95</v>
      </c>
      <c r="P4270" s="783">
        <v>450</v>
      </c>
      <c r="Q4270" s="783">
        <v>1284.03</v>
      </c>
      <c r="R4270" s="783">
        <v>752.07</v>
      </c>
      <c r="S4270" s="783">
        <v>146.75</v>
      </c>
      <c r="T4270" s="783">
        <v>385.21</v>
      </c>
      <c r="U4270" s="785">
        <v>44631.6266203704</v>
      </c>
    </row>
    <row r="4271" spans="1:21">
      <c r="A4271" s="782">
        <v>44544</v>
      </c>
      <c r="B4271" s="783" t="s">
        <v>397</v>
      </c>
      <c r="C4271" s="783" t="s">
        <v>4511</v>
      </c>
      <c r="D4271" s="783" t="s">
        <v>4512</v>
      </c>
      <c r="E4271" s="783" t="s">
        <v>4610</v>
      </c>
      <c r="F4271" s="783" t="s">
        <v>4011</v>
      </c>
      <c r="G4271" s="783" t="str">
        <f t="shared" si="226"/>
        <v>Renewal (15% in 2020)</v>
      </c>
      <c r="H4271" s="783" t="s">
        <v>4611</v>
      </c>
      <c r="I4271" s="783" t="s">
        <v>4612</v>
      </c>
      <c r="J4271" s="783">
        <v>15</v>
      </c>
      <c r="K4271" s="783" t="s">
        <v>765</v>
      </c>
      <c r="L4271" s="783" t="s">
        <v>4014</v>
      </c>
      <c r="M4271" s="784">
        <v>16996.32</v>
      </c>
      <c r="N4271" s="784">
        <v>21.46</v>
      </c>
      <c r="O4271" s="784">
        <v>1.98</v>
      </c>
      <c r="P4271" s="783">
        <v>400</v>
      </c>
      <c r="Q4271" s="783">
        <v>1584.06</v>
      </c>
      <c r="R4271" s="783">
        <v>627.16</v>
      </c>
      <c r="S4271" s="783">
        <v>161.47</v>
      </c>
      <c r="T4271" s="783">
        <v>795.43</v>
      </c>
      <c r="U4271" s="785">
        <v>44631.626770833303</v>
      </c>
    </row>
    <row r="4272" spans="1:21">
      <c r="A4272" s="782">
        <v>44541</v>
      </c>
      <c r="B4272" s="783" t="s">
        <v>74</v>
      </c>
      <c r="C4272" s="783" t="s">
        <v>4097</v>
      </c>
      <c r="D4272" s="783" t="s">
        <v>4038</v>
      </c>
      <c r="E4272" s="783" t="s">
        <v>4613</v>
      </c>
      <c r="F4272" s="783" t="s">
        <v>4011</v>
      </c>
      <c r="G4272" s="783" t="str">
        <f t="shared" si="226"/>
        <v>New Contract</v>
      </c>
      <c r="H4272" s="783" t="s">
        <v>4614</v>
      </c>
      <c r="I4272" s="783" t="s">
        <v>4615</v>
      </c>
      <c r="J4272" s="783">
        <v>25</v>
      </c>
      <c r="K4272" s="783" t="s">
        <v>765</v>
      </c>
      <c r="L4272" s="783" t="s">
        <v>4014</v>
      </c>
      <c r="M4272" s="784">
        <v>7099.4</v>
      </c>
      <c r="N4272" s="784">
        <v>7</v>
      </c>
      <c r="O4272" s="784">
        <v>2.2000000000000002</v>
      </c>
      <c r="P4272" s="783">
        <v>461</v>
      </c>
      <c r="Q4272" s="783">
        <v>491.99</v>
      </c>
      <c r="R4272" s="783">
        <v>347.16</v>
      </c>
      <c r="S4272" s="783">
        <v>56.8</v>
      </c>
      <c r="T4272" s="783">
        <v>88.03</v>
      </c>
      <c r="U4272" s="785">
        <v>44631.629675925898</v>
      </c>
    </row>
    <row r="4273" spans="1:21">
      <c r="A4273" s="782">
        <v>44540</v>
      </c>
      <c r="B4273" s="783" t="s">
        <v>41</v>
      </c>
      <c r="C4273" s="783" t="s">
        <v>4071</v>
      </c>
      <c r="D4273" s="783" t="s">
        <v>4009</v>
      </c>
      <c r="E4273" s="783" t="s">
        <v>321</v>
      </c>
      <c r="F4273" s="783" t="s">
        <v>4011</v>
      </c>
      <c r="G4273" s="783" t="str">
        <f t="shared" si="226"/>
        <v>Renewal (25% in 2020)</v>
      </c>
      <c r="H4273" s="783" t="s">
        <v>5359</v>
      </c>
      <c r="I4273" s="783" t="s">
        <v>5360</v>
      </c>
      <c r="J4273" s="783">
        <v>25</v>
      </c>
      <c r="K4273" s="783" t="s">
        <v>765</v>
      </c>
      <c r="L4273" s="783" t="s">
        <v>4014</v>
      </c>
      <c r="M4273" s="784">
        <v>13615.68</v>
      </c>
      <c r="N4273" s="784">
        <v>10.91</v>
      </c>
      <c r="O4273" s="784">
        <v>2.6</v>
      </c>
      <c r="P4273" s="783">
        <v>480</v>
      </c>
      <c r="Q4273" s="783">
        <v>622.24</v>
      </c>
      <c r="R4273" s="783">
        <v>466.84</v>
      </c>
      <c r="S4273" s="783">
        <v>96.85</v>
      </c>
      <c r="T4273" s="783">
        <v>58.55</v>
      </c>
      <c r="U4273" s="785">
        <v>44631.626689814802</v>
      </c>
    </row>
    <row r="4274" spans="1:21">
      <c r="A4274" s="782">
        <v>44540</v>
      </c>
      <c r="B4274" s="783" t="s">
        <v>74</v>
      </c>
      <c r="C4274" s="783" t="s">
        <v>4037</v>
      </c>
      <c r="D4274" s="783" t="s">
        <v>4038</v>
      </c>
      <c r="E4274" s="783" t="s">
        <v>4325</v>
      </c>
      <c r="F4274" s="783" t="s">
        <v>4011</v>
      </c>
      <c r="G4274" s="783" t="str">
        <f t="shared" si="226"/>
        <v>Renewal (20% in 2020)</v>
      </c>
      <c r="H4274" s="783" t="s">
        <v>4326</v>
      </c>
      <c r="I4274" s="783" t="s">
        <v>4327</v>
      </c>
      <c r="J4274" s="783">
        <v>20</v>
      </c>
      <c r="K4274" s="783" t="s">
        <v>765</v>
      </c>
      <c r="L4274" s="783" t="s">
        <v>4014</v>
      </c>
      <c r="M4274" s="784">
        <v>26789.62</v>
      </c>
      <c r="N4274" s="784">
        <v>29.53</v>
      </c>
      <c r="O4274" s="784">
        <v>2.16</v>
      </c>
      <c r="P4274" s="783">
        <v>420</v>
      </c>
      <c r="Q4274" s="783">
        <v>2330.6999999999998</v>
      </c>
      <c r="R4274" s="783">
        <v>1350.2</v>
      </c>
      <c r="S4274" s="783">
        <v>219.67</v>
      </c>
      <c r="T4274" s="783">
        <v>760.83</v>
      </c>
      <c r="U4274" s="785">
        <v>44631.626898148097</v>
      </c>
    </row>
    <row r="4275" spans="1:21">
      <c r="A4275" s="782">
        <v>44547</v>
      </c>
      <c r="B4275" s="783" t="s">
        <v>74</v>
      </c>
      <c r="C4275" s="783" t="s">
        <v>4097</v>
      </c>
      <c r="D4275" s="783" t="s">
        <v>4038</v>
      </c>
      <c r="E4275" s="783" t="s">
        <v>5370</v>
      </c>
      <c r="F4275" s="783" t="s">
        <v>4066</v>
      </c>
      <c r="G4275" s="783" t="str">
        <f t="shared" si="226"/>
        <v>New Contract</v>
      </c>
      <c r="H4275" s="783" t="s">
        <v>5371</v>
      </c>
      <c r="I4275" s="783" t="s">
        <v>5372</v>
      </c>
      <c r="J4275" s="783">
        <v>10</v>
      </c>
      <c r="K4275" s="783" t="s">
        <v>765</v>
      </c>
      <c r="L4275" s="783" t="s">
        <v>4014</v>
      </c>
      <c r="M4275" s="784">
        <v>9750.4</v>
      </c>
      <c r="N4275" s="784">
        <v>11.08</v>
      </c>
      <c r="O4275" s="784">
        <v>2.2000000000000002</v>
      </c>
      <c r="P4275" s="783">
        <v>400</v>
      </c>
      <c r="Q4275" s="783">
        <v>540.16999999999996</v>
      </c>
      <c r="R4275" s="783">
        <v>0</v>
      </c>
      <c r="S4275" s="783">
        <v>0</v>
      </c>
      <c r="T4275" s="783">
        <v>540.16999999999996</v>
      </c>
      <c r="U4275" s="785">
        <v>44631.629502314798</v>
      </c>
    </row>
    <row r="4276" spans="1:21">
      <c r="A4276" s="782">
        <v>44544</v>
      </c>
      <c r="B4276" s="783" t="s">
        <v>74</v>
      </c>
      <c r="C4276" s="783" t="s">
        <v>4097</v>
      </c>
      <c r="D4276" s="783" t="s">
        <v>4038</v>
      </c>
      <c r="E4276" s="783" t="s">
        <v>2961</v>
      </c>
      <c r="F4276" s="783" t="s">
        <v>4011</v>
      </c>
      <c r="G4276" s="783" t="str">
        <f t="shared" si="226"/>
        <v>New Contract</v>
      </c>
      <c r="H4276" s="783" t="s">
        <v>5373</v>
      </c>
      <c r="I4276" s="783" t="s">
        <v>5374</v>
      </c>
      <c r="J4276" s="783">
        <v>25</v>
      </c>
      <c r="K4276" s="783" t="s">
        <v>765</v>
      </c>
      <c r="L4276" s="783" t="s">
        <v>4014</v>
      </c>
      <c r="M4276" s="784">
        <v>24286.5</v>
      </c>
      <c r="N4276" s="784">
        <v>27</v>
      </c>
      <c r="O4276" s="784">
        <v>2.57</v>
      </c>
      <c r="P4276" s="783">
        <v>350</v>
      </c>
      <c r="Q4276" s="783">
        <v>1683.05</v>
      </c>
      <c r="R4276" s="783">
        <v>1187.6099999999999</v>
      </c>
      <c r="S4276" s="783">
        <v>194.29</v>
      </c>
      <c r="T4276" s="783">
        <v>301.14999999999998</v>
      </c>
      <c r="U4276" s="785">
        <v>44631.630868055603</v>
      </c>
    </row>
    <row r="4277" spans="1:21">
      <c r="A4277" s="782">
        <v>44606</v>
      </c>
      <c r="B4277" s="783" t="s">
        <v>30</v>
      </c>
      <c r="C4277" s="783" t="s">
        <v>4239</v>
      </c>
      <c r="D4277" s="783" t="s">
        <v>4021</v>
      </c>
      <c r="E4277" s="783" t="s">
        <v>5383</v>
      </c>
      <c r="F4277" s="783" t="s">
        <v>4011</v>
      </c>
      <c r="G4277" s="783" t="str">
        <f t="shared" si="226"/>
        <v>New Contract</v>
      </c>
      <c r="H4277" s="783" t="s">
        <v>5384</v>
      </c>
      <c r="I4277" s="783" t="s">
        <v>5385</v>
      </c>
      <c r="J4277" s="783">
        <v>20</v>
      </c>
      <c r="K4277" s="783" t="s">
        <v>765</v>
      </c>
      <c r="L4277" s="783" t="s">
        <v>4014</v>
      </c>
      <c r="M4277" s="784">
        <v>15190.46</v>
      </c>
      <c r="N4277" s="784">
        <v>12.07</v>
      </c>
      <c r="O4277" s="784">
        <v>2.73</v>
      </c>
      <c r="P4277" s="783">
        <v>461</v>
      </c>
      <c r="Q4277" s="783">
        <v>1131.69</v>
      </c>
      <c r="R4277" s="783">
        <v>616.73</v>
      </c>
      <c r="S4277" s="783">
        <v>144.31</v>
      </c>
      <c r="T4277" s="783">
        <v>370.65</v>
      </c>
      <c r="U4277" s="785">
        <v>44631.511840277803</v>
      </c>
    </row>
    <row r="4278" spans="1:21">
      <c r="A4278" s="782">
        <v>44637</v>
      </c>
      <c r="B4278" s="783" t="s">
        <v>74</v>
      </c>
      <c r="C4278" s="783" t="s">
        <v>4037</v>
      </c>
      <c r="D4278" s="783" t="s">
        <v>4038</v>
      </c>
      <c r="E4278" s="783" t="s">
        <v>4331</v>
      </c>
      <c r="F4278" s="783" t="s">
        <v>4066</v>
      </c>
      <c r="G4278" s="783" t="str">
        <f t="shared" si="226"/>
        <v>Renewal (25% in 2020)</v>
      </c>
      <c r="H4278" s="783" t="s">
        <v>4332</v>
      </c>
      <c r="I4278" s="783" t="s">
        <v>4333</v>
      </c>
      <c r="J4278" s="783">
        <v>10</v>
      </c>
      <c r="K4278" s="783" t="s">
        <v>765</v>
      </c>
      <c r="L4278" s="783" t="s">
        <v>4014</v>
      </c>
      <c r="M4278" s="784">
        <v>17467.29</v>
      </c>
      <c r="N4278" s="784">
        <v>21.05</v>
      </c>
      <c r="O4278" s="784">
        <v>1.8</v>
      </c>
      <c r="P4278" s="783">
        <v>461</v>
      </c>
      <c r="Q4278" s="783">
        <v>1051.53</v>
      </c>
      <c r="R4278" s="783">
        <v>0</v>
      </c>
      <c r="S4278" s="783">
        <v>0</v>
      </c>
      <c r="T4278" s="783">
        <v>1051.53</v>
      </c>
      <c r="U4278" s="785">
        <v>44638.389479166697</v>
      </c>
    </row>
    <row r="4279" spans="1:21">
      <c r="A4279" s="782">
        <v>44546</v>
      </c>
      <c r="B4279" s="783" t="s">
        <v>74</v>
      </c>
      <c r="C4279" s="783" t="s">
        <v>4097</v>
      </c>
      <c r="D4279" s="783" t="s">
        <v>4038</v>
      </c>
      <c r="E4279" s="783" t="s">
        <v>4337</v>
      </c>
      <c r="F4279" s="783" t="s">
        <v>4011</v>
      </c>
      <c r="G4279" s="783" t="str">
        <f t="shared" si="226"/>
        <v>New Contract</v>
      </c>
      <c r="H4279" s="783" t="s">
        <v>4338</v>
      </c>
      <c r="I4279" s="783" t="s">
        <v>4339</v>
      </c>
      <c r="J4279" s="783">
        <v>20</v>
      </c>
      <c r="K4279" s="783" t="s">
        <v>765</v>
      </c>
      <c r="L4279" s="783" t="s">
        <v>4014</v>
      </c>
      <c r="M4279" s="784">
        <v>49968.06</v>
      </c>
      <c r="N4279" s="784">
        <v>60.56</v>
      </c>
      <c r="O4279" s="784">
        <v>2.23</v>
      </c>
      <c r="P4279" s="783">
        <v>370</v>
      </c>
      <c r="Q4279" s="783">
        <v>4032.42</v>
      </c>
      <c r="R4279" s="783">
        <v>2443.44</v>
      </c>
      <c r="S4279" s="783">
        <v>399.74</v>
      </c>
      <c r="T4279" s="783">
        <v>1189.24</v>
      </c>
      <c r="U4279" s="785">
        <v>44631.631157407399</v>
      </c>
    </row>
    <row r="4280" spans="1:21">
      <c r="A4280" s="782">
        <v>44545</v>
      </c>
      <c r="B4280" s="783" t="s">
        <v>113</v>
      </c>
      <c r="C4280" s="783" t="s">
        <v>4606</v>
      </c>
      <c r="D4280" s="783" t="s">
        <v>4009</v>
      </c>
      <c r="E4280" s="783" t="s">
        <v>1116</v>
      </c>
      <c r="F4280" s="783" t="s">
        <v>4011</v>
      </c>
      <c r="G4280" s="783" t="str">
        <f t="shared" si="226"/>
        <v>Renewal (15% in 2020)</v>
      </c>
      <c r="H4280" s="783" t="s">
        <v>6724</v>
      </c>
      <c r="I4280" s="783" t="s">
        <v>6725</v>
      </c>
      <c r="J4280" s="783">
        <v>15</v>
      </c>
      <c r="K4280" s="783" t="s">
        <v>765</v>
      </c>
      <c r="L4280" s="783" t="s">
        <v>4014</v>
      </c>
      <c r="M4280" s="784">
        <v>11826.17</v>
      </c>
      <c r="N4280" s="784">
        <v>11.01</v>
      </c>
      <c r="O4280" s="784">
        <v>2.33</v>
      </c>
      <c r="P4280" s="783">
        <v>461</v>
      </c>
      <c r="Q4280" s="783">
        <v>1208.6300000000001</v>
      </c>
      <c r="R4280" s="783">
        <v>502.61</v>
      </c>
      <c r="S4280" s="783">
        <v>81.599999999999994</v>
      </c>
      <c r="T4280" s="783">
        <v>624.41999999999996</v>
      </c>
      <c r="U4280" s="785">
        <v>44631.630972222199</v>
      </c>
    </row>
    <row r="4281" spans="1:21">
      <c r="A4281" s="782">
        <v>44546</v>
      </c>
      <c r="B4281" s="783" t="s">
        <v>41</v>
      </c>
      <c r="C4281" s="783" t="s">
        <v>4071</v>
      </c>
      <c r="D4281" s="783" t="s">
        <v>4009</v>
      </c>
      <c r="E4281" s="783" t="s">
        <v>5406</v>
      </c>
      <c r="F4281" s="783" t="s">
        <v>4011</v>
      </c>
      <c r="G4281" s="783" t="str">
        <f t="shared" si="226"/>
        <v>New Contract</v>
      </c>
      <c r="H4281" s="783" t="s">
        <v>5407</v>
      </c>
      <c r="I4281" s="783" t="s">
        <v>5408</v>
      </c>
      <c r="J4281" s="783">
        <v>20</v>
      </c>
      <c r="K4281" s="783" t="s">
        <v>765</v>
      </c>
      <c r="L4281" s="783" t="s">
        <v>4014</v>
      </c>
      <c r="M4281" s="784">
        <v>18925.43</v>
      </c>
      <c r="N4281" s="784">
        <v>18.05</v>
      </c>
      <c r="O4281" s="784">
        <v>2.33</v>
      </c>
      <c r="P4281" s="783">
        <v>450</v>
      </c>
      <c r="Q4281" s="783">
        <v>1122.28</v>
      </c>
      <c r="R4281" s="783">
        <v>675.64</v>
      </c>
      <c r="S4281" s="783">
        <v>107.87</v>
      </c>
      <c r="T4281" s="783">
        <v>338.77</v>
      </c>
      <c r="U4281" s="785">
        <v>44631.634375000001</v>
      </c>
    </row>
    <row r="4282" spans="1:21">
      <c r="A4282" s="782">
        <v>44547</v>
      </c>
      <c r="B4282" s="783" t="s">
        <v>41</v>
      </c>
      <c r="C4282" s="783" t="s">
        <v>4092</v>
      </c>
      <c r="D4282" s="783" t="s">
        <v>4009</v>
      </c>
      <c r="E4282" s="783" t="s">
        <v>4340</v>
      </c>
      <c r="F4282" s="783" t="s">
        <v>4011</v>
      </c>
      <c r="G4282" s="783" t="str">
        <f t="shared" si="226"/>
        <v>New Contract</v>
      </c>
      <c r="H4282" s="783" t="s">
        <v>4341</v>
      </c>
      <c r="I4282" s="783" t="s">
        <v>4342</v>
      </c>
      <c r="J4282" s="783">
        <v>25</v>
      </c>
      <c r="K4282" s="783" t="s">
        <v>765</v>
      </c>
      <c r="L4282" s="783" t="s">
        <v>4014</v>
      </c>
      <c r="M4282" s="784">
        <v>30972</v>
      </c>
      <c r="N4282" s="784">
        <v>29</v>
      </c>
      <c r="O4282" s="784">
        <v>2.67</v>
      </c>
      <c r="P4282" s="783">
        <v>400</v>
      </c>
      <c r="Q4282" s="783">
        <v>2003.89</v>
      </c>
      <c r="R4282" s="783">
        <v>1523.82</v>
      </c>
      <c r="S4282" s="783">
        <v>297.33</v>
      </c>
      <c r="T4282" s="783">
        <v>182.73</v>
      </c>
      <c r="U4282" s="785">
        <v>44631.634305555599</v>
      </c>
    </row>
    <row r="4283" spans="1:21">
      <c r="A4283" s="782">
        <v>44564</v>
      </c>
      <c r="B4283" s="783" t="s">
        <v>41</v>
      </c>
      <c r="C4283" s="783" t="s">
        <v>4082</v>
      </c>
      <c r="D4283" s="783" t="s">
        <v>4009</v>
      </c>
      <c r="E4283" s="783" t="s">
        <v>5409</v>
      </c>
      <c r="F4283" s="783" t="s">
        <v>4011</v>
      </c>
      <c r="G4283" s="783" t="str">
        <f t="shared" si="226"/>
        <v>Renewal (15% in 2020)</v>
      </c>
      <c r="H4283" s="783" t="s">
        <v>5410</v>
      </c>
      <c r="I4283" s="783" t="s">
        <v>5411</v>
      </c>
      <c r="J4283" s="783">
        <v>15</v>
      </c>
      <c r="K4283" s="783" t="s">
        <v>765</v>
      </c>
      <c r="L4283" s="783" t="s">
        <v>4014</v>
      </c>
      <c r="M4283" s="784">
        <v>14613.41</v>
      </c>
      <c r="N4283" s="784">
        <v>13.77</v>
      </c>
      <c r="O4283" s="784">
        <v>2.83</v>
      </c>
      <c r="P4283" s="783">
        <v>375</v>
      </c>
      <c r="Q4283" s="783">
        <v>1459.88</v>
      </c>
      <c r="R4283" s="783">
        <v>637.14</v>
      </c>
      <c r="S4283" s="783">
        <v>124.21</v>
      </c>
      <c r="T4283" s="783">
        <v>698.52</v>
      </c>
      <c r="U4283" s="785">
        <v>44631.6343402778</v>
      </c>
    </row>
    <row r="4284" spans="1:21">
      <c r="A4284" s="782">
        <v>44557</v>
      </c>
      <c r="B4284" s="783" t="s">
        <v>74</v>
      </c>
      <c r="C4284" s="783" t="s">
        <v>4097</v>
      </c>
      <c r="D4284" s="783" t="s">
        <v>4038</v>
      </c>
      <c r="E4284" s="783" t="s">
        <v>5412</v>
      </c>
      <c r="F4284" s="783" t="s">
        <v>4011</v>
      </c>
      <c r="G4284" s="783" t="s">
        <v>4028</v>
      </c>
      <c r="H4284" s="783" t="s">
        <v>5413</v>
      </c>
      <c r="I4284" s="783" t="s">
        <v>5414</v>
      </c>
      <c r="J4284" s="783">
        <v>25</v>
      </c>
      <c r="K4284" s="783" t="s">
        <v>765</v>
      </c>
      <c r="L4284" s="783" t="s">
        <v>4014</v>
      </c>
      <c r="M4284" s="784">
        <v>20560.599999999999</v>
      </c>
      <c r="N4284" s="784">
        <v>20</v>
      </c>
      <c r="O4284" s="784">
        <v>2.23</v>
      </c>
      <c r="P4284" s="783">
        <v>461</v>
      </c>
      <c r="Q4284" s="783">
        <v>1424.85</v>
      </c>
      <c r="R4284" s="783">
        <v>1005.41</v>
      </c>
      <c r="S4284" s="783">
        <v>164.48</v>
      </c>
      <c r="T4284" s="783">
        <v>254.95</v>
      </c>
      <c r="U4284" s="785">
        <v>44631.6311921296</v>
      </c>
    </row>
    <row r="4285" spans="1:21">
      <c r="A4285" s="782">
        <v>44555</v>
      </c>
      <c r="B4285" s="783" t="s">
        <v>74</v>
      </c>
      <c r="C4285" s="783" t="s">
        <v>4037</v>
      </c>
      <c r="D4285" s="783" t="s">
        <v>4038</v>
      </c>
      <c r="E4285" s="783" t="s">
        <v>4343</v>
      </c>
      <c r="F4285" s="783" t="s">
        <v>4011</v>
      </c>
      <c r="G4285" s="783" t="s">
        <v>4028</v>
      </c>
      <c r="H4285" s="783" t="s">
        <v>4344</v>
      </c>
      <c r="I4285" s="783" t="s">
        <v>4345</v>
      </c>
      <c r="J4285" s="783">
        <v>30</v>
      </c>
      <c r="K4285" s="783" t="s">
        <v>765</v>
      </c>
      <c r="L4285" s="783" t="s">
        <v>4014</v>
      </c>
      <c r="M4285" s="784">
        <v>25116</v>
      </c>
      <c r="N4285" s="784">
        <v>29.9</v>
      </c>
      <c r="O4285" s="784">
        <v>2.1</v>
      </c>
      <c r="P4285" s="783">
        <v>400</v>
      </c>
      <c r="Q4285" s="783">
        <v>1685.28</v>
      </c>
      <c r="R4285" s="783">
        <v>1265.8499999999999</v>
      </c>
      <c r="S4285" s="783">
        <v>0</v>
      </c>
      <c r="T4285" s="783">
        <v>419.44</v>
      </c>
      <c r="U4285" s="785">
        <v>44631.630752314799</v>
      </c>
    </row>
    <row r="4286" spans="1:21">
      <c r="A4286" s="782">
        <v>44545</v>
      </c>
      <c r="B4286" s="783" t="s">
        <v>74</v>
      </c>
      <c r="C4286" s="783" t="s">
        <v>4097</v>
      </c>
      <c r="D4286" s="783" t="s">
        <v>4038</v>
      </c>
      <c r="E4286" s="783" t="s">
        <v>4134</v>
      </c>
      <c r="F4286" s="783" t="s">
        <v>4011</v>
      </c>
      <c r="G4286" s="783" t="str">
        <f t="shared" ref="G4286:G4300" si="227">VLOOKUP(I4286,pacage,2,FALSE)</f>
        <v>New Contract</v>
      </c>
      <c r="H4286" s="783" t="s">
        <v>4135</v>
      </c>
      <c r="I4286" s="783" t="s">
        <v>4136</v>
      </c>
      <c r="J4286" s="783">
        <v>25</v>
      </c>
      <c r="K4286" s="783" t="s">
        <v>765</v>
      </c>
      <c r="L4286" s="783" t="s">
        <v>4014</v>
      </c>
      <c r="M4286" s="784">
        <v>7647.08</v>
      </c>
      <c r="N4286" s="784">
        <v>8.81</v>
      </c>
      <c r="O4286" s="784">
        <v>2.17</v>
      </c>
      <c r="P4286" s="783">
        <v>400</v>
      </c>
      <c r="Q4286" s="783">
        <v>529.94000000000005</v>
      </c>
      <c r="R4286" s="783">
        <v>373.94</v>
      </c>
      <c r="S4286" s="783">
        <v>61.18</v>
      </c>
      <c r="T4286" s="783">
        <v>94.82</v>
      </c>
      <c r="U4286" s="785">
        <v>44631.630752314799</v>
      </c>
    </row>
    <row r="4287" spans="1:21">
      <c r="A4287" s="782">
        <v>44552</v>
      </c>
      <c r="B4287" s="783" t="s">
        <v>74</v>
      </c>
      <c r="C4287" s="783" t="s">
        <v>4097</v>
      </c>
      <c r="D4287" s="783" t="s">
        <v>4038</v>
      </c>
      <c r="E4287" s="783" t="s">
        <v>1621</v>
      </c>
      <c r="F4287" s="783" t="s">
        <v>4011</v>
      </c>
      <c r="G4287" s="783" t="str">
        <f t="shared" si="227"/>
        <v>Renewal (20% in 2020)</v>
      </c>
      <c r="H4287" s="783" t="s">
        <v>4346</v>
      </c>
      <c r="I4287" s="783" t="s">
        <v>4347</v>
      </c>
      <c r="J4287" s="783">
        <v>25</v>
      </c>
      <c r="K4287" s="783" t="s">
        <v>765</v>
      </c>
      <c r="L4287" s="783" t="s">
        <v>4014</v>
      </c>
      <c r="M4287" s="784">
        <v>29550.400000000001</v>
      </c>
      <c r="N4287" s="784">
        <v>32.119999999999997</v>
      </c>
      <c r="O4287" s="784">
        <v>2.2999999999999998</v>
      </c>
      <c r="P4287" s="783">
        <v>400</v>
      </c>
      <c r="Q4287" s="783">
        <v>2047.84</v>
      </c>
      <c r="R4287" s="783">
        <v>1445.01</v>
      </c>
      <c r="S4287" s="783">
        <v>236.4</v>
      </c>
      <c r="T4287" s="783">
        <v>366.42</v>
      </c>
      <c r="U4287" s="785">
        <v>44631.631134259304</v>
      </c>
    </row>
    <row r="4288" spans="1:21">
      <c r="A4288" s="782">
        <v>44544</v>
      </c>
      <c r="B4288" s="783" t="s">
        <v>41</v>
      </c>
      <c r="C4288" s="783" t="s">
        <v>4008</v>
      </c>
      <c r="D4288" s="783" t="s">
        <v>4009</v>
      </c>
      <c r="E4288" s="783" t="s">
        <v>4619</v>
      </c>
      <c r="F4288" s="783" t="s">
        <v>4011</v>
      </c>
      <c r="G4288" s="783" t="str">
        <f t="shared" si="227"/>
        <v>Renewal (20% in 2020)</v>
      </c>
      <c r="H4288" s="783" t="s">
        <v>4620</v>
      </c>
      <c r="I4288" s="783" t="s">
        <v>4621</v>
      </c>
      <c r="J4288" s="783">
        <v>25</v>
      </c>
      <c r="K4288" s="783" t="s">
        <v>765</v>
      </c>
      <c r="L4288" s="783" t="s">
        <v>4014</v>
      </c>
      <c r="M4288" s="784">
        <v>13313.55</v>
      </c>
      <c r="N4288" s="784">
        <v>11.73</v>
      </c>
      <c r="O4288" s="784">
        <v>2.27</v>
      </c>
      <c r="P4288" s="783">
        <v>500</v>
      </c>
      <c r="Q4288" s="783">
        <v>1015.82</v>
      </c>
      <c r="R4288" s="783">
        <v>667.77</v>
      </c>
      <c r="S4288" s="783">
        <v>174.98</v>
      </c>
      <c r="T4288" s="783">
        <v>173.08</v>
      </c>
      <c r="U4288" s="785">
        <v>44631.630798611099</v>
      </c>
    </row>
    <row r="4289" spans="1:21">
      <c r="A4289" s="782">
        <v>44546</v>
      </c>
      <c r="B4289" s="783" t="s">
        <v>113</v>
      </c>
      <c r="C4289" s="783" t="s">
        <v>4097</v>
      </c>
      <c r="D4289" s="783" t="s">
        <v>4038</v>
      </c>
      <c r="E4289" s="783" t="s">
        <v>5418</v>
      </c>
      <c r="F4289" s="783" t="s">
        <v>4011</v>
      </c>
      <c r="G4289" s="783" t="str">
        <f t="shared" si="227"/>
        <v>New contract</v>
      </c>
      <c r="H4289" s="783" t="s">
        <v>5419</v>
      </c>
      <c r="I4289" s="783" t="s">
        <v>5420</v>
      </c>
      <c r="J4289" s="783">
        <v>15</v>
      </c>
      <c r="K4289" s="783" t="s">
        <v>765</v>
      </c>
      <c r="L4289" s="783" t="s">
        <v>4014</v>
      </c>
      <c r="M4289" s="784">
        <v>61934.34</v>
      </c>
      <c r="N4289" s="784">
        <v>57.66</v>
      </c>
      <c r="O4289" s="784">
        <v>2.33</v>
      </c>
      <c r="P4289" s="783">
        <v>461</v>
      </c>
      <c r="Q4289" s="783">
        <v>6057.18</v>
      </c>
      <c r="R4289" s="783">
        <v>3028.59</v>
      </c>
      <c r="S4289" s="783">
        <v>495.47</v>
      </c>
      <c r="T4289" s="783">
        <v>2533.11</v>
      </c>
      <c r="U4289" s="785">
        <v>44631.6309259259</v>
      </c>
    </row>
    <row r="4290" spans="1:21">
      <c r="A4290" s="782">
        <v>44544</v>
      </c>
      <c r="B4290" s="783" t="s">
        <v>74</v>
      </c>
      <c r="C4290" s="783" t="s">
        <v>4097</v>
      </c>
      <c r="D4290" s="783" t="s">
        <v>4038</v>
      </c>
      <c r="E4290" s="783" t="s">
        <v>4348</v>
      </c>
      <c r="F4290" s="783" t="s">
        <v>4011</v>
      </c>
      <c r="G4290" s="783" t="str">
        <f t="shared" si="227"/>
        <v>New Contract</v>
      </c>
      <c r="H4290" s="783" t="s">
        <v>4349</v>
      </c>
      <c r="I4290" s="783" t="s">
        <v>4350</v>
      </c>
      <c r="J4290" s="783">
        <v>20</v>
      </c>
      <c r="K4290" s="783" t="s">
        <v>765</v>
      </c>
      <c r="L4290" s="783" t="s">
        <v>4014</v>
      </c>
      <c r="M4290" s="784">
        <v>4691.7</v>
      </c>
      <c r="N4290" s="784">
        <v>4.01</v>
      </c>
      <c r="O4290" s="784">
        <v>2.6</v>
      </c>
      <c r="P4290" s="783">
        <v>450</v>
      </c>
      <c r="Q4290" s="783">
        <v>378.62</v>
      </c>
      <c r="R4290" s="783">
        <v>229.42</v>
      </c>
      <c r="S4290" s="783">
        <v>37.53</v>
      </c>
      <c r="T4290" s="783">
        <v>111.66</v>
      </c>
      <c r="U4290" s="785">
        <v>44631.630787037</v>
      </c>
    </row>
    <row r="4291" spans="1:21">
      <c r="A4291" s="782">
        <v>44551</v>
      </c>
      <c r="B4291" s="783" t="s">
        <v>74</v>
      </c>
      <c r="C4291" s="783" t="s">
        <v>4037</v>
      </c>
      <c r="D4291" s="783" t="s">
        <v>4038</v>
      </c>
      <c r="E4291" s="783" t="s">
        <v>5421</v>
      </c>
      <c r="F4291" s="783" t="s">
        <v>4011</v>
      </c>
      <c r="G4291" s="783" t="str">
        <f t="shared" si="227"/>
        <v>New contract</v>
      </c>
      <c r="H4291" s="783" t="s">
        <v>5422</v>
      </c>
      <c r="I4291" s="783" t="s">
        <v>5423</v>
      </c>
      <c r="J4291" s="783">
        <v>20</v>
      </c>
      <c r="K4291" s="783" t="s">
        <v>765</v>
      </c>
      <c r="L4291" s="783" t="s">
        <v>4014</v>
      </c>
      <c r="M4291" s="784">
        <v>13644.8</v>
      </c>
      <c r="N4291" s="784">
        <v>13.12</v>
      </c>
      <c r="O4291" s="784">
        <v>2.6</v>
      </c>
      <c r="P4291" s="783">
        <v>400</v>
      </c>
      <c r="Q4291" s="783">
        <v>1187.0999999999999</v>
      </c>
      <c r="R4291" s="783">
        <v>687.7</v>
      </c>
      <c r="S4291" s="783">
        <v>111.89</v>
      </c>
      <c r="T4291" s="783">
        <v>387.51</v>
      </c>
      <c r="U4291" s="785">
        <v>44631.631018518499</v>
      </c>
    </row>
    <row r="4292" spans="1:21">
      <c r="A4292" s="782">
        <v>44622</v>
      </c>
      <c r="B4292" s="783" t="s">
        <v>41</v>
      </c>
      <c r="C4292" s="783" t="s">
        <v>4092</v>
      </c>
      <c r="D4292" s="783" t="s">
        <v>4009</v>
      </c>
      <c r="E4292" s="783" t="s">
        <v>5424</v>
      </c>
      <c r="F4292" s="783" t="s">
        <v>4011</v>
      </c>
      <c r="G4292" s="783" t="str">
        <f t="shared" si="227"/>
        <v>Renewal (15% in 2020)</v>
      </c>
      <c r="H4292" s="783" t="s">
        <v>5425</v>
      </c>
      <c r="I4292" s="783" t="s">
        <v>5426</v>
      </c>
      <c r="J4292" s="783">
        <v>25</v>
      </c>
      <c r="K4292" s="783" t="s">
        <v>765</v>
      </c>
      <c r="L4292" s="783" t="s">
        <v>4014</v>
      </c>
      <c r="M4292" s="784">
        <v>22035.439999999999</v>
      </c>
      <c r="N4292" s="784">
        <v>25.27</v>
      </c>
      <c r="O4292" s="784">
        <v>2.1800000000000002</v>
      </c>
      <c r="P4292" s="783">
        <v>400</v>
      </c>
      <c r="Q4292" s="783">
        <v>1425.69</v>
      </c>
      <c r="R4292" s="783">
        <v>1084.1400000000001</v>
      </c>
      <c r="S4292" s="783">
        <v>211.54</v>
      </c>
      <c r="T4292" s="783">
        <v>130.01</v>
      </c>
      <c r="U4292" s="785">
        <v>44631.631215277797</v>
      </c>
    </row>
    <row r="4293" spans="1:21">
      <c r="A4293" s="782">
        <v>44547</v>
      </c>
      <c r="B4293" s="783" t="s">
        <v>41</v>
      </c>
      <c r="C4293" s="783" t="s">
        <v>4092</v>
      </c>
      <c r="D4293" s="783" t="s">
        <v>4009</v>
      </c>
      <c r="E4293" s="783" t="s">
        <v>5427</v>
      </c>
      <c r="F4293" s="783" t="s">
        <v>4011</v>
      </c>
      <c r="G4293" s="783" t="str">
        <f t="shared" si="227"/>
        <v>New contract</v>
      </c>
      <c r="H4293" s="783" t="s">
        <v>5428</v>
      </c>
      <c r="I4293" s="783" t="s">
        <v>5429</v>
      </c>
      <c r="J4293" s="783">
        <v>25</v>
      </c>
      <c r="K4293" s="783" t="s">
        <v>765</v>
      </c>
      <c r="L4293" s="783" t="s">
        <v>4014</v>
      </c>
      <c r="M4293" s="784">
        <v>6555.42</v>
      </c>
      <c r="N4293" s="784">
        <v>6</v>
      </c>
      <c r="O4293" s="784">
        <v>2.37</v>
      </c>
      <c r="P4293" s="783">
        <v>461</v>
      </c>
      <c r="Q4293" s="783">
        <v>424.14</v>
      </c>
      <c r="R4293" s="783">
        <v>322.52999999999997</v>
      </c>
      <c r="S4293" s="783">
        <v>62.93</v>
      </c>
      <c r="T4293" s="783">
        <v>38.68</v>
      </c>
      <c r="U4293" s="785">
        <v>44631.631018518499</v>
      </c>
    </row>
    <row r="4294" spans="1:21">
      <c r="A4294" s="782">
        <v>44553</v>
      </c>
      <c r="B4294" s="783" t="s">
        <v>74</v>
      </c>
      <c r="C4294" s="783" t="s">
        <v>4037</v>
      </c>
      <c r="D4294" s="783" t="s">
        <v>4038</v>
      </c>
      <c r="E4294" s="783" t="s">
        <v>4351</v>
      </c>
      <c r="F4294" s="783" t="s">
        <v>4011</v>
      </c>
      <c r="G4294" s="783" t="str">
        <f t="shared" si="227"/>
        <v>New contract</v>
      </c>
      <c r="H4294" s="783" t="s">
        <v>4352</v>
      </c>
      <c r="I4294" s="783" t="s">
        <v>4353</v>
      </c>
      <c r="J4294" s="783">
        <v>25</v>
      </c>
      <c r="K4294" s="783" t="s">
        <v>765</v>
      </c>
      <c r="L4294" s="783" t="s">
        <v>4014</v>
      </c>
      <c r="M4294" s="784">
        <v>19824</v>
      </c>
      <c r="N4294" s="784">
        <v>20.65</v>
      </c>
      <c r="O4294" s="784">
        <v>2.4</v>
      </c>
      <c r="P4294" s="783">
        <v>400</v>
      </c>
      <c r="Q4294" s="783">
        <v>1492.75</v>
      </c>
      <c r="R4294" s="783">
        <v>999.13</v>
      </c>
      <c r="S4294" s="783">
        <v>162.56</v>
      </c>
      <c r="T4294" s="783">
        <v>331.06</v>
      </c>
      <c r="U4294" s="785">
        <v>44631.634351851899</v>
      </c>
    </row>
    <row r="4295" spans="1:21">
      <c r="A4295" s="782">
        <v>44659</v>
      </c>
      <c r="B4295" s="783" t="s">
        <v>41</v>
      </c>
      <c r="C4295" s="783" t="s">
        <v>4008</v>
      </c>
      <c r="D4295" s="783" t="s">
        <v>4009</v>
      </c>
      <c r="E4295" s="783" t="s">
        <v>4046</v>
      </c>
      <c r="F4295" s="783" t="s">
        <v>4011</v>
      </c>
      <c r="G4295" s="783" t="str">
        <f t="shared" si="227"/>
        <v>Renewal (25% in 2020)</v>
      </c>
      <c r="H4295" s="783" t="s">
        <v>4047</v>
      </c>
      <c r="I4295" s="783" t="s">
        <v>4048</v>
      </c>
      <c r="J4295" s="783">
        <v>25</v>
      </c>
      <c r="K4295" s="783" t="s">
        <v>765</v>
      </c>
      <c r="L4295" s="783" t="s">
        <v>4014</v>
      </c>
      <c r="M4295" s="784">
        <v>10056.959999999999</v>
      </c>
      <c r="N4295" s="784">
        <v>11.64</v>
      </c>
      <c r="O4295" s="784">
        <v>2.4</v>
      </c>
      <c r="P4295" s="783">
        <v>360</v>
      </c>
      <c r="Q4295" s="783">
        <v>767.35</v>
      </c>
      <c r="R4295" s="783">
        <v>547.1</v>
      </c>
      <c r="S4295" s="783">
        <v>89.51</v>
      </c>
      <c r="T4295" s="783">
        <v>130.74</v>
      </c>
      <c r="U4295" s="785">
        <v>44663.409270833297</v>
      </c>
    </row>
    <row r="4296" spans="1:21">
      <c r="A4296" s="782">
        <v>44659</v>
      </c>
      <c r="B4296" s="783" t="s">
        <v>30</v>
      </c>
      <c r="C4296" s="783" t="s">
        <v>4239</v>
      </c>
      <c r="D4296" s="783" t="s">
        <v>4021</v>
      </c>
      <c r="E4296" s="783" t="s">
        <v>3763</v>
      </c>
      <c r="F4296" s="783" t="s">
        <v>4011</v>
      </c>
      <c r="G4296" s="783" t="str">
        <f t="shared" si="227"/>
        <v>Renewal (25% in 2020)</v>
      </c>
      <c r="H4296" s="783" t="s">
        <v>5438</v>
      </c>
      <c r="I4296" s="783" t="s">
        <v>5439</v>
      </c>
      <c r="J4296" s="783">
        <v>20</v>
      </c>
      <c r="K4296" s="783" t="s">
        <v>765</v>
      </c>
      <c r="L4296" s="783" t="s">
        <v>4014</v>
      </c>
      <c r="M4296" s="784">
        <v>12098.48</v>
      </c>
      <c r="N4296" s="784">
        <v>9.7200000000000006</v>
      </c>
      <c r="O4296" s="784">
        <v>2.7</v>
      </c>
      <c r="P4296" s="783">
        <v>461</v>
      </c>
      <c r="Q4296" s="783">
        <v>901.34</v>
      </c>
      <c r="R4296" s="783">
        <v>491.2</v>
      </c>
      <c r="S4296" s="783">
        <v>114.94</v>
      </c>
      <c r="T4296" s="783">
        <v>295.2</v>
      </c>
      <c r="U4296" s="785">
        <v>44663.405995370398</v>
      </c>
    </row>
    <row r="4297" spans="1:21">
      <c r="A4297" s="782">
        <v>44706</v>
      </c>
      <c r="B4297" s="783" t="s">
        <v>41</v>
      </c>
      <c r="C4297" s="783" t="s">
        <v>4139</v>
      </c>
      <c r="D4297" s="783" t="s">
        <v>4009</v>
      </c>
      <c r="E4297" s="783" t="s">
        <v>5440</v>
      </c>
      <c r="F4297" s="783" t="s">
        <v>4011</v>
      </c>
      <c r="G4297" s="783" t="str">
        <f t="shared" si="227"/>
        <v>Renewal (15% in 2020)</v>
      </c>
      <c r="H4297" s="783" t="s">
        <v>5441</v>
      </c>
      <c r="I4297" s="783" t="s">
        <v>5442</v>
      </c>
      <c r="J4297" s="783">
        <v>20</v>
      </c>
      <c r="K4297" s="783" t="s">
        <v>765</v>
      </c>
      <c r="L4297" s="783" t="s">
        <v>4014</v>
      </c>
      <c r="M4297" s="784">
        <v>8150.48</v>
      </c>
      <c r="N4297" s="784">
        <v>8.84</v>
      </c>
      <c r="O4297" s="784">
        <v>2</v>
      </c>
      <c r="P4297" s="783">
        <v>461</v>
      </c>
      <c r="Q4297" s="783">
        <v>415.67</v>
      </c>
      <c r="R4297" s="783">
        <v>250.22</v>
      </c>
      <c r="S4297" s="783">
        <v>39.94</v>
      </c>
      <c r="T4297" s="783">
        <v>125.52</v>
      </c>
      <c r="U4297" s="785">
        <v>44706.527476851901</v>
      </c>
    </row>
    <row r="4298" spans="1:21">
      <c r="A4298" s="782">
        <v>44663</v>
      </c>
      <c r="B4298" s="783" t="s">
        <v>41</v>
      </c>
      <c r="C4298" s="783" t="s">
        <v>4071</v>
      </c>
      <c r="D4298" s="783" t="s">
        <v>4009</v>
      </c>
      <c r="E4298" s="783" t="s">
        <v>169</v>
      </c>
      <c r="F4298" s="783" t="s">
        <v>4011</v>
      </c>
      <c r="G4298" s="783" t="str">
        <f t="shared" si="227"/>
        <v>Renewal (15% in 2020)</v>
      </c>
      <c r="H4298" s="783" t="s">
        <v>4137</v>
      </c>
      <c r="I4298" s="783" t="s">
        <v>4138</v>
      </c>
      <c r="J4298" s="783">
        <v>15</v>
      </c>
      <c r="K4298" s="783" t="s">
        <v>765</v>
      </c>
      <c r="L4298" s="783" t="s">
        <v>4014</v>
      </c>
      <c r="M4298" s="784">
        <v>30208.799999999999</v>
      </c>
      <c r="N4298" s="784">
        <v>61.4</v>
      </c>
      <c r="O4298" s="784">
        <v>1.23</v>
      </c>
      <c r="P4298" s="783">
        <v>400</v>
      </c>
      <c r="Q4298" s="783">
        <v>2404.62</v>
      </c>
      <c r="R4298" s="783">
        <v>1078.45</v>
      </c>
      <c r="S4298" s="783">
        <v>172.19</v>
      </c>
      <c r="T4298" s="783">
        <v>1153.98</v>
      </c>
      <c r="U4298" s="785">
        <v>44663.427581018499</v>
      </c>
    </row>
    <row r="4299" spans="1:21">
      <c r="A4299" s="782">
        <v>44677</v>
      </c>
      <c r="B4299" s="783" t="s">
        <v>41</v>
      </c>
      <c r="C4299" s="783" t="s">
        <v>4092</v>
      </c>
      <c r="D4299" s="783" t="s">
        <v>4009</v>
      </c>
      <c r="E4299" s="783" t="s">
        <v>5446</v>
      </c>
      <c r="F4299" s="783" t="s">
        <v>4011</v>
      </c>
      <c r="G4299" s="783" t="str">
        <f t="shared" si="227"/>
        <v>Renewal (15% in 2020)</v>
      </c>
      <c r="H4299" s="783" t="s">
        <v>5447</v>
      </c>
      <c r="I4299" s="783" t="s">
        <v>5448</v>
      </c>
      <c r="J4299" s="783">
        <v>15</v>
      </c>
      <c r="K4299" s="783" t="s">
        <v>765</v>
      </c>
      <c r="L4299" s="783" t="s">
        <v>4014</v>
      </c>
      <c r="M4299" s="784">
        <v>13331.25</v>
      </c>
      <c r="N4299" s="784">
        <v>11.25</v>
      </c>
      <c r="O4299" s="784">
        <v>2.37</v>
      </c>
      <c r="P4299" s="783">
        <v>500</v>
      </c>
      <c r="Q4299" s="783">
        <v>1502.43</v>
      </c>
      <c r="R4299" s="783">
        <v>604.74</v>
      </c>
      <c r="S4299" s="783">
        <v>179.14</v>
      </c>
      <c r="T4299" s="783">
        <v>718.55</v>
      </c>
      <c r="U4299" s="785">
        <v>44678.776319444398</v>
      </c>
    </row>
    <row r="4300" spans="1:21">
      <c r="A4300" s="782">
        <v>44678</v>
      </c>
      <c r="B4300" s="783" t="s">
        <v>41</v>
      </c>
      <c r="C4300" s="783" t="s">
        <v>4139</v>
      </c>
      <c r="D4300" s="783" t="s">
        <v>4009</v>
      </c>
      <c r="E4300" s="783" t="s">
        <v>261</v>
      </c>
      <c r="F4300" s="783" t="s">
        <v>4011</v>
      </c>
      <c r="G4300" s="783" t="str">
        <f t="shared" si="227"/>
        <v>New Contract</v>
      </c>
      <c r="H4300" s="783" t="s">
        <v>4140</v>
      </c>
      <c r="I4300" s="783" t="s">
        <v>4141</v>
      </c>
      <c r="J4300" s="783">
        <v>15</v>
      </c>
      <c r="K4300" s="783" t="s">
        <v>765</v>
      </c>
      <c r="L4300" s="783" t="s">
        <v>4014</v>
      </c>
      <c r="M4300" s="784">
        <v>3632.86</v>
      </c>
      <c r="N4300" s="784">
        <v>6.74</v>
      </c>
      <c r="O4300" s="784">
        <v>1.54</v>
      </c>
      <c r="P4300" s="783">
        <v>350</v>
      </c>
      <c r="Q4300" s="783">
        <v>248.49</v>
      </c>
      <c r="R4300" s="783">
        <v>111.53</v>
      </c>
      <c r="S4300" s="783">
        <v>17.8</v>
      </c>
      <c r="T4300" s="783">
        <v>119.16</v>
      </c>
      <c r="U4300" s="785">
        <v>44680.488356481503</v>
      </c>
    </row>
    <row r="4301" spans="1:21">
      <c r="A4301" s="782">
        <v>44678</v>
      </c>
      <c r="B4301" s="783" t="s">
        <v>113</v>
      </c>
      <c r="C4301" s="783" t="s">
        <v>4606</v>
      </c>
      <c r="D4301" s="783" t="s">
        <v>4009</v>
      </c>
      <c r="E4301" s="783" t="s">
        <v>6726</v>
      </c>
      <c r="F4301" s="783" t="s">
        <v>4011</v>
      </c>
      <c r="G4301" s="783" t="s">
        <v>4028</v>
      </c>
      <c r="H4301" s="783" t="s">
        <v>6727</v>
      </c>
      <c r="I4301" s="783" t="s">
        <v>6728</v>
      </c>
      <c r="J4301" s="783">
        <v>30</v>
      </c>
      <c r="K4301" s="783" t="s">
        <v>765</v>
      </c>
      <c r="L4301" s="783" t="s">
        <v>4014</v>
      </c>
      <c r="M4301" s="784">
        <v>7205.26</v>
      </c>
      <c r="N4301" s="784">
        <v>5.16</v>
      </c>
      <c r="O4301" s="784">
        <v>2.33</v>
      </c>
      <c r="P4301" s="783">
        <v>599.29999999999995</v>
      </c>
      <c r="Q4301" s="783">
        <v>395.57</v>
      </c>
      <c r="R4301" s="783">
        <v>235.56</v>
      </c>
      <c r="S4301" s="783">
        <v>70.67</v>
      </c>
      <c r="T4301" s="783">
        <v>89.35</v>
      </c>
      <c r="U4301" s="785">
        <v>44680.641724537003</v>
      </c>
    </row>
    <row r="4302" spans="1:21">
      <c r="A4302" s="782">
        <v>44678</v>
      </c>
      <c r="B4302" s="783" t="s">
        <v>118</v>
      </c>
      <c r="C4302" s="783" t="s">
        <v>4139</v>
      </c>
      <c r="D4302" s="783" t="s">
        <v>4009</v>
      </c>
      <c r="E4302" s="783" t="s">
        <v>1097</v>
      </c>
      <c r="F4302" s="783" t="s">
        <v>4011</v>
      </c>
      <c r="G4302" s="783" t="str">
        <f t="shared" ref="G4302:G4307" si="228">VLOOKUP(I4302,pacage,2,FALSE)</f>
        <v>New contract</v>
      </c>
      <c r="H4302" s="783" t="s">
        <v>4235</v>
      </c>
      <c r="I4302" s="783" t="s">
        <v>4236</v>
      </c>
      <c r="J4302" s="783">
        <v>25</v>
      </c>
      <c r="K4302" s="783" t="s">
        <v>765</v>
      </c>
      <c r="L4302" s="783" t="s">
        <v>4014</v>
      </c>
      <c r="M4302" s="784">
        <v>32420.799999999999</v>
      </c>
      <c r="N4302" s="784">
        <v>35.24</v>
      </c>
      <c r="O4302" s="784">
        <v>2.2999999999999998</v>
      </c>
      <c r="P4302" s="783">
        <v>400</v>
      </c>
      <c r="Q4302" s="783">
        <v>1270.9000000000001</v>
      </c>
      <c r="R4302" s="783">
        <v>995.32</v>
      </c>
      <c r="S4302" s="783">
        <v>158.86000000000001</v>
      </c>
      <c r="T4302" s="783">
        <v>116.71</v>
      </c>
      <c r="U4302" s="785">
        <v>44680.660208333298</v>
      </c>
    </row>
    <row r="4303" spans="1:21">
      <c r="A4303" s="782">
        <v>44678</v>
      </c>
      <c r="B4303" s="783" t="s">
        <v>113</v>
      </c>
      <c r="C4303" s="783" t="s">
        <v>4097</v>
      </c>
      <c r="D4303" s="783" t="s">
        <v>4038</v>
      </c>
      <c r="E4303" s="783" t="s">
        <v>5449</v>
      </c>
      <c r="F4303" s="783" t="s">
        <v>4011</v>
      </c>
      <c r="G4303" s="783" t="str">
        <f t="shared" si="228"/>
        <v>Renewal (15% in 2020)</v>
      </c>
      <c r="H4303" s="783" t="s">
        <v>5450</v>
      </c>
      <c r="I4303" s="783" t="s">
        <v>5451</v>
      </c>
      <c r="J4303" s="783">
        <v>15</v>
      </c>
      <c r="K4303" s="783" t="s">
        <v>765</v>
      </c>
      <c r="L4303" s="783" t="s">
        <v>4014</v>
      </c>
      <c r="M4303" s="784">
        <v>64908.41</v>
      </c>
      <c r="N4303" s="784">
        <v>85.07</v>
      </c>
      <c r="O4303" s="784">
        <v>2.1800000000000002</v>
      </c>
      <c r="P4303" s="783">
        <v>350</v>
      </c>
      <c r="Q4303" s="783">
        <v>6348.04</v>
      </c>
      <c r="R4303" s="783">
        <v>3174.02</v>
      </c>
      <c r="S4303" s="783">
        <v>519.27</v>
      </c>
      <c r="T4303" s="783">
        <v>2654.75</v>
      </c>
      <c r="U4303" s="785">
        <v>44680.656597222202</v>
      </c>
    </row>
    <row r="4304" spans="1:21">
      <c r="A4304" s="782">
        <v>44678</v>
      </c>
      <c r="B4304" s="783" t="s">
        <v>41</v>
      </c>
      <c r="C4304" s="783" t="s">
        <v>4092</v>
      </c>
      <c r="D4304" s="783" t="s">
        <v>4009</v>
      </c>
      <c r="E4304" s="783" t="s">
        <v>5452</v>
      </c>
      <c r="F4304" s="783" t="s">
        <v>4011</v>
      </c>
      <c r="G4304" s="783" t="str">
        <f t="shared" si="228"/>
        <v>Renewal (20% in 2020)</v>
      </c>
      <c r="H4304" s="783" t="s">
        <v>5453</v>
      </c>
      <c r="I4304" s="783" t="s">
        <v>5454</v>
      </c>
      <c r="J4304" s="783">
        <v>20</v>
      </c>
      <c r="K4304" s="783" t="s">
        <v>765</v>
      </c>
      <c r="L4304" s="783" t="s">
        <v>4014</v>
      </c>
      <c r="M4304" s="784">
        <v>28140</v>
      </c>
      <c r="N4304" s="784">
        <v>16.75</v>
      </c>
      <c r="O4304" s="784">
        <v>2.4</v>
      </c>
      <c r="P4304" s="783">
        <v>700</v>
      </c>
      <c r="Q4304" s="783">
        <v>2363.7600000000002</v>
      </c>
      <c r="R4304" s="783">
        <v>911.78</v>
      </c>
      <c r="S4304" s="783">
        <v>742.85</v>
      </c>
      <c r="T4304" s="783">
        <v>709.13</v>
      </c>
      <c r="U4304" s="785">
        <v>44680.662523148101</v>
      </c>
    </row>
    <row r="4305" spans="1:21">
      <c r="A4305" s="782">
        <v>44680</v>
      </c>
      <c r="B4305" s="783" t="s">
        <v>41</v>
      </c>
      <c r="C4305" s="783" t="s">
        <v>4354</v>
      </c>
      <c r="D4305" s="783" t="s">
        <v>4009</v>
      </c>
      <c r="E4305" s="783" t="s">
        <v>4355</v>
      </c>
      <c r="F4305" s="783" t="s">
        <v>4011</v>
      </c>
      <c r="G4305" s="783" t="str">
        <f t="shared" si="228"/>
        <v>Renewal (30% in 2020)</v>
      </c>
      <c r="H4305" s="783" t="s">
        <v>4356</v>
      </c>
      <c r="I4305" s="783" t="s">
        <v>4357</v>
      </c>
      <c r="J4305" s="783">
        <v>30</v>
      </c>
      <c r="K4305" s="783" t="s">
        <v>765</v>
      </c>
      <c r="L4305" s="783" t="s">
        <v>4014</v>
      </c>
      <c r="M4305" s="784">
        <v>10931.76</v>
      </c>
      <c r="N4305" s="784">
        <v>14.46</v>
      </c>
      <c r="O4305" s="784">
        <v>1.68</v>
      </c>
      <c r="P4305" s="783">
        <v>450</v>
      </c>
      <c r="Q4305" s="783">
        <v>784.9</v>
      </c>
      <c r="R4305" s="783">
        <v>639.51</v>
      </c>
      <c r="S4305" s="783">
        <v>0</v>
      </c>
      <c r="T4305" s="783">
        <v>145.38999999999999</v>
      </c>
      <c r="U4305" s="785">
        <v>44683.4914236111</v>
      </c>
    </row>
    <row r="4306" spans="1:21">
      <c r="A4306" s="782">
        <v>44680</v>
      </c>
      <c r="B4306" s="783" t="s">
        <v>41</v>
      </c>
      <c r="C4306" s="783" t="s">
        <v>4139</v>
      </c>
      <c r="D4306" s="783" t="s">
        <v>4009</v>
      </c>
      <c r="E4306" s="783" t="s">
        <v>5458</v>
      </c>
      <c r="F4306" s="783" t="s">
        <v>4011</v>
      </c>
      <c r="G4306" s="783" t="str">
        <f t="shared" si="228"/>
        <v>Renewal (15% in 2020)</v>
      </c>
      <c r="H4306" s="783" t="s">
        <v>5459</v>
      </c>
      <c r="I4306" s="783" t="s">
        <v>5460</v>
      </c>
      <c r="J4306" s="783">
        <v>20</v>
      </c>
      <c r="K4306" s="783" t="s">
        <v>765</v>
      </c>
      <c r="L4306" s="783" t="s">
        <v>4014</v>
      </c>
      <c r="M4306" s="784">
        <v>23682.03</v>
      </c>
      <c r="N4306" s="784">
        <v>21.86</v>
      </c>
      <c r="O4306" s="784">
        <v>2.35</v>
      </c>
      <c r="P4306" s="783">
        <v>461</v>
      </c>
      <c r="Q4306" s="783">
        <v>1207.78</v>
      </c>
      <c r="R4306" s="783">
        <v>727.04</v>
      </c>
      <c r="S4306" s="783">
        <v>116.04</v>
      </c>
      <c r="T4306" s="783">
        <v>364.7</v>
      </c>
      <c r="U4306" s="785">
        <v>44715.443587962996</v>
      </c>
    </row>
    <row r="4307" spans="1:21">
      <c r="A4307" s="782">
        <v>44686</v>
      </c>
      <c r="B4307" s="783" t="s">
        <v>41</v>
      </c>
      <c r="C4307" s="783" t="s">
        <v>4139</v>
      </c>
      <c r="D4307" s="783" t="s">
        <v>4009</v>
      </c>
      <c r="E4307" s="783" t="s">
        <v>5461</v>
      </c>
      <c r="F4307" s="783" t="s">
        <v>4011</v>
      </c>
      <c r="G4307" s="783" t="str">
        <f t="shared" si="228"/>
        <v>Renewal (20% in 2020)</v>
      </c>
      <c r="H4307" s="783" t="s">
        <v>5462</v>
      </c>
      <c r="I4307" s="783" t="s">
        <v>5463</v>
      </c>
      <c r="J4307" s="783">
        <v>20</v>
      </c>
      <c r="K4307" s="783" t="s">
        <v>765</v>
      </c>
      <c r="L4307" s="783" t="s">
        <v>4014</v>
      </c>
      <c r="M4307" s="784">
        <v>47805.68</v>
      </c>
      <c r="N4307" s="784">
        <v>53.45</v>
      </c>
      <c r="O4307" s="784">
        <v>2.08</v>
      </c>
      <c r="P4307" s="783">
        <v>430</v>
      </c>
      <c r="Q4307" s="783">
        <v>2438.09</v>
      </c>
      <c r="R4307" s="783">
        <v>1467.63</v>
      </c>
      <c r="S4307" s="783">
        <v>234.25</v>
      </c>
      <c r="T4307" s="783">
        <v>736.21</v>
      </c>
      <c r="U4307" s="785">
        <v>44687.632581018501</v>
      </c>
    </row>
    <row r="4308" spans="1:21">
      <c r="A4308" s="782">
        <v>44680</v>
      </c>
      <c r="B4308" s="783" t="s">
        <v>150</v>
      </c>
      <c r="C4308" s="783" t="s">
        <v>4606</v>
      </c>
      <c r="D4308" s="783" t="s">
        <v>4009</v>
      </c>
      <c r="E4308" s="783" t="s">
        <v>6797</v>
      </c>
      <c r="F4308" s="783" t="s">
        <v>4011</v>
      </c>
      <c r="G4308" s="783" t="s">
        <v>4028</v>
      </c>
      <c r="H4308" s="783" t="s">
        <v>6798</v>
      </c>
      <c r="I4308" s="783" t="s">
        <v>6799</v>
      </c>
      <c r="J4308" s="783">
        <v>25</v>
      </c>
      <c r="K4308" s="783" t="s">
        <v>765</v>
      </c>
      <c r="L4308" s="783" t="s">
        <v>4014</v>
      </c>
      <c r="M4308" s="784">
        <v>18500</v>
      </c>
      <c r="N4308" s="784">
        <v>7.4</v>
      </c>
      <c r="O4308" s="784">
        <v>2.5</v>
      </c>
      <c r="P4308" s="783">
        <v>1000</v>
      </c>
      <c r="Q4308" s="783">
        <v>1143.3</v>
      </c>
      <c r="R4308" s="783">
        <v>362.46</v>
      </c>
      <c r="S4308" s="783">
        <v>551.44000000000005</v>
      </c>
      <c r="T4308" s="783">
        <v>229.4</v>
      </c>
      <c r="U4308" s="785">
        <v>44683.4695138889</v>
      </c>
    </row>
    <row r="4309" spans="1:21">
      <c r="A4309" s="782">
        <v>44695</v>
      </c>
      <c r="B4309" s="783" t="s">
        <v>74</v>
      </c>
      <c r="C4309" s="783" t="s">
        <v>4037</v>
      </c>
      <c r="D4309" s="783" t="s">
        <v>4038</v>
      </c>
      <c r="E4309" s="783" t="s">
        <v>4358</v>
      </c>
      <c r="F4309" s="783" t="s">
        <v>4011</v>
      </c>
      <c r="G4309" s="783" t="str">
        <f t="shared" ref="G4309:G4326" si="229">VLOOKUP(I4309,pacage,2,FALSE)</f>
        <v>Renewal (15% in 2020)</v>
      </c>
      <c r="H4309" s="783" t="s">
        <v>4359</v>
      </c>
      <c r="I4309" s="783" t="s">
        <v>4360</v>
      </c>
      <c r="J4309" s="783">
        <v>20</v>
      </c>
      <c r="K4309" s="783" t="s">
        <v>765</v>
      </c>
      <c r="L4309" s="783" t="s">
        <v>4014</v>
      </c>
      <c r="M4309" s="784">
        <v>40211.199999999997</v>
      </c>
      <c r="N4309" s="784">
        <v>48.8</v>
      </c>
      <c r="O4309" s="784">
        <v>2.06</v>
      </c>
      <c r="P4309" s="783">
        <v>400</v>
      </c>
      <c r="Q4309" s="783">
        <v>3498.37</v>
      </c>
      <c r="R4309" s="783">
        <v>2026.64</v>
      </c>
      <c r="S4309" s="783">
        <v>329.73</v>
      </c>
      <c r="T4309" s="783">
        <v>1142</v>
      </c>
      <c r="U4309" s="785">
        <v>44697.687083333301</v>
      </c>
    </row>
    <row r="4310" spans="1:21">
      <c r="A4310" s="782">
        <v>44685</v>
      </c>
      <c r="B4310" s="783" t="s">
        <v>3078</v>
      </c>
      <c r="C4310" s="783" t="s">
        <v>4008</v>
      </c>
      <c r="D4310" s="783" t="s">
        <v>4009</v>
      </c>
      <c r="E4310" s="783" t="s">
        <v>5464</v>
      </c>
      <c r="F4310" s="783" t="s">
        <v>4011</v>
      </c>
      <c r="G4310" s="783" t="str">
        <f t="shared" si="229"/>
        <v>Renewal (20% in 2020)</v>
      </c>
      <c r="H4310" s="783" t="s">
        <v>5465</v>
      </c>
      <c r="I4310" s="783" t="s">
        <v>5466</v>
      </c>
      <c r="J4310" s="783">
        <v>20</v>
      </c>
      <c r="K4310" s="783" t="s">
        <v>765</v>
      </c>
      <c r="L4310" s="783" t="s">
        <v>4014</v>
      </c>
      <c r="M4310" s="784">
        <v>16098.4</v>
      </c>
      <c r="N4310" s="784">
        <v>11.1</v>
      </c>
      <c r="O4310" s="784">
        <v>2.42</v>
      </c>
      <c r="P4310" s="783">
        <v>599.29999999999995</v>
      </c>
      <c r="Q4310" s="783">
        <v>1564.76</v>
      </c>
      <c r="R4310" s="783">
        <v>673.66</v>
      </c>
      <c r="S4310" s="783">
        <v>345.37</v>
      </c>
      <c r="T4310" s="783">
        <v>545.74</v>
      </c>
      <c r="U4310" s="785">
        <v>44685.634270833303</v>
      </c>
    </row>
    <row r="4311" spans="1:21">
      <c r="A4311" s="782">
        <v>44686</v>
      </c>
      <c r="B4311" s="783" t="s">
        <v>4025</v>
      </c>
      <c r="C4311" s="783" t="s">
        <v>4026</v>
      </c>
      <c r="D4311" s="783" t="s">
        <v>4021</v>
      </c>
      <c r="E4311" s="783" t="s">
        <v>4049</v>
      </c>
      <c r="F4311" s="783" t="s">
        <v>4011</v>
      </c>
      <c r="G4311" s="783" t="str">
        <f t="shared" si="229"/>
        <v>New contract</v>
      </c>
      <c r="H4311" s="783" t="s">
        <v>4050</v>
      </c>
      <c r="I4311" s="783" t="s">
        <v>4051</v>
      </c>
      <c r="J4311" s="783">
        <v>30</v>
      </c>
      <c r="K4311" s="783" t="s">
        <v>765</v>
      </c>
      <c r="L4311" s="783" t="s">
        <v>4014</v>
      </c>
      <c r="M4311" s="784">
        <v>27551.16</v>
      </c>
      <c r="N4311" s="784">
        <v>26.39</v>
      </c>
      <c r="O4311" s="784">
        <v>2.3199999999999998</v>
      </c>
      <c r="P4311" s="783">
        <v>450</v>
      </c>
      <c r="Q4311" s="783">
        <v>1449.19</v>
      </c>
      <c r="R4311" s="783">
        <v>1190.21</v>
      </c>
      <c r="S4311" s="783">
        <v>0</v>
      </c>
      <c r="T4311" s="783">
        <v>258.98</v>
      </c>
      <c r="U4311" s="785">
        <v>44687.618229166699</v>
      </c>
    </row>
    <row r="4312" spans="1:21">
      <c r="A4312" s="782">
        <v>44685</v>
      </c>
      <c r="B4312" s="783" t="s">
        <v>41</v>
      </c>
      <c r="C4312" s="783" t="s">
        <v>4092</v>
      </c>
      <c r="D4312" s="783" t="s">
        <v>4009</v>
      </c>
      <c r="E4312" s="783" t="s">
        <v>726</v>
      </c>
      <c r="F4312" s="783" t="s">
        <v>4011</v>
      </c>
      <c r="G4312" s="783" t="str">
        <f t="shared" si="229"/>
        <v>Renewal (15% in 2020)</v>
      </c>
      <c r="H4312" s="783" t="s">
        <v>5467</v>
      </c>
      <c r="I4312" s="783" t="s">
        <v>5468</v>
      </c>
      <c r="J4312" s="783">
        <v>15</v>
      </c>
      <c r="K4312" s="783" t="s">
        <v>765</v>
      </c>
      <c r="L4312" s="783" t="s">
        <v>4014</v>
      </c>
      <c r="M4312" s="784">
        <v>15408.54</v>
      </c>
      <c r="N4312" s="784">
        <v>17.47</v>
      </c>
      <c r="O4312" s="784">
        <v>2.52</v>
      </c>
      <c r="P4312" s="783">
        <v>350</v>
      </c>
      <c r="Q4312" s="783">
        <v>1736.54</v>
      </c>
      <c r="R4312" s="783">
        <v>758.1</v>
      </c>
      <c r="S4312" s="783">
        <v>147.91999999999999</v>
      </c>
      <c r="T4312" s="783">
        <v>830.52</v>
      </c>
      <c r="U4312" s="785">
        <v>44687.647280092599</v>
      </c>
    </row>
    <row r="4313" spans="1:21">
      <c r="A4313" s="782">
        <v>44676</v>
      </c>
      <c r="B4313" s="783" t="s">
        <v>51</v>
      </c>
      <c r="C4313" s="783" t="s">
        <v>4042</v>
      </c>
      <c r="D4313" s="783" t="s">
        <v>4016</v>
      </c>
      <c r="E4313" s="783" t="s">
        <v>2246</v>
      </c>
      <c r="F4313" s="783" t="s">
        <v>4011</v>
      </c>
      <c r="G4313" s="783" t="str">
        <f t="shared" si="229"/>
        <v>Renewal (20% in 2020)</v>
      </c>
      <c r="H4313" s="783" t="s">
        <v>5469</v>
      </c>
      <c r="I4313" s="783" t="s">
        <v>5470</v>
      </c>
      <c r="J4313" s="783">
        <v>20</v>
      </c>
      <c r="K4313" s="783" t="s">
        <v>765</v>
      </c>
      <c r="L4313" s="783" t="s">
        <v>4014</v>
      </c>
      <c r="M4313" s="784">
        <v>16646.400000000001</v>
      </c>
      <c r="N4313" s="784">
        <v>15.3</v>
      </c>
      <c r="O4313" s="784">
        <v>2.56</v>
      </c>
      <c r="P4313" s="783">
        <v>425</v>
      </c>
      <c r="Q4313" s="783">
        <v>1396.63</v>
      </c>
      <c r="R4313" s="783">
        <v>877.27</v>
      </c>
      <c r="S4313" s="783">
        <v>143.16</v>
      </c>
      <c r="T4313" s="783">
        <v>376.21</v>
      </c>
      <c r="U4313" s="785">
        <v>44678.769467592603</v>
      </c>
    </row>
    <row r="4314" spans="1:21">
      <c r="A4314" s="782">
        <v>44677</v>
      </c>
      <c r="B4314" s="783" t="s">
        <v>4025</v>
      </c>
      <c r="C4314" s="783" t="s">
        <v>4026</v>
      </c>
      <c r="D4314" s="783" t="s">
        <v>4021</v>
      </c>
      <c r="E4314" s="783" t="s">
        <v>5477</v>
      </c>
      <c r="F4314" s="783" t="s">
        <v>4011</v>
      </c>
      <c r="G4314" s="783" t="str">
        <f t="shared" si="229"/>
        <v>New Contract</v>
      </c>
      <c r="H4314" s="783" t="s">
        <v>5478</v>
      </c>
      <c r="I4314" s="783" t="s">
        <v>5479</v>
      </c>
      <c r="J4314" s="783">
        <v>20</v>
      </c>
      <c r="K4314" s="783" t="s">
        <v>765</v>
      </c>
      <c r="L4314" s="783" t="s">
        <v>4014</v>
      </c>
      <c r="M4314" s="784">
        <v>101204.55</v>
      </c>
      <c r="N4314" s="784">
        <v>84.69</v>
      </c>
      <c r="O4314" s="784">
        <v>2.39</v>
      </c>
      <c r="P4314" s="783">
        <v>500</v>
      </c>
      <c r="Q4314" s="783">
        <v>7711.79</v>
      </c>
      <c r="R4314" s="783">
        <v>4031.02</v>
      </c>
      <c r="S4314" s="783">
        <v>1049.45</v>
      </c>
      <c r="T4314" s="783">
        <v>2631.32</v>
      </c>
      <c r="U4314" s="785">
        <v>44678.783344907402</v>
      </c>
    </row>
    <row r="4315" spans="1:21">
      <c r="A4315" s="782">
        <v>44678</v>
      </c>
      <c r="B4315" s="783" t="s">
        <v>228</v>
      </c>
      <c r="C4315" s="783" t="s">
        <v>4020</v>
      </c>
      <c r="D4315" s="783" t="s">
        <v>4021</v>
      </c>
      <c r="E4315" s="783" t="s">
        <v>5483</v>
      </c>
      <c r="F4315" s="783" t="s">
        <v>4011</v>
      </c>
      <c r="G4315" s="783" t="str">
        <f t="shared" si="229"/>
        <v>Renewal (25% in 2020)</v>
      </c>
      <c r="H4315" s="783" t="s">
        <v>5484</v>
      </c>
      <c r="I4315" s="783" t="s">
        <v>5485</v>
      </c>
      <c r="J4315" s="783">
        <v>25</v>
      </c>
      <c r="K4315" s="783" t="s">
        <v>765</v>
      </c>
      <c r="L4315" s="783" t="s">
        <v>4014</v>
      </c>
      <c r="M4315" s="784">
        <v>69784.740000000005</v>
      </c>
      <c r="N4315" s="784">
        <v>62.28</v>
      </c>
      <c r="O4315" s="784">
        <v>2.4900000000000002</v>
      </c>
      <c r="P4315" s="783">
        <v>450</v>
      </c>
      <c r="Q4315" s="783">
        <v>4619.75</v>
      </c>
      <c r="R4315" s="783">
        <v>3391.54</v>
      </c>
      <c r="S4315" s="783">
        <v>565.26</v>
      </c>
      <c r="T4315" s="783">
        <v>662.96</v>
      </c>
      <c r="U4315" s="785">
        <v>44680.643946759301</v>
      </c>
    </row>
    <row r="4316" spans="1:21">
      <c r="A4316" s="782">
        <v>44678</v>
      </c>
      <c r="B4316" s="783" t="s">
        <v>51</v>
      </c>
      <c r="C4316" s="783" t="s">
        <v>5489</v>
      </c>
      <c r="D4316" s="783" t="s">
        <v>4016</v>
      </c>
      <c r="E4316" s="783" t="s">
        <v>5490</v>
      </c>
      <c r="F4316" s="783" t="s">
        <v>4011</v>
      </c>
      <c r="G4316" s="783" t="str">
        <f t="shared" si="229"/>
        <v>Renewal (20% in 2020)</v>
      </c>
      <c r="H4316" s="783" t="s">
        <v>5491</v>
      </c>
      <c r="I4316" s="783" t="s">
        <v>5492</v>
      </c>
      <c r="J4316" s="783">
        <v>30</v>
      </c>
      <c r="K4316" s="783" t="s">
        <v>765</v>
      </c>
      <c r="L4316" s="783" t="s">
        <v>4014</v>
      </c>
      <c r="M4316" s="784">
        <v>19065.89</v>
      </c>
      <c r="N4316" s="784">
        <v>12.88</v>
      </c>
      <c r="O4316" s="784">
        <v>2.4700000000000002</v>
      </c>
      <c r="P4316" s="783">
        <v>599.29999999999995</v>
      </c>
      <c r="Q4316" s="783">
        <v>1391.81</v>
      </c>
      <c r="R4316" s="783">
        <v>896.1</v>
      </c>
      <c r="S4316" s="783">
        <v>268.83</v>
      </c>
      <c r="T4316" s="783">
        <v>226.88</v>
      </c>
      <c r="U4316" s="785">
        <v>44680.652604166702</v>
      </c>
    </row>
    <row r="4317" spans="1:21">
      <c r="A4317" s="782">
        <v>44680</v>
      </c>
      <c r="B4317" s="783" t="s">
        <v>113</v>
      </c>
      <c r="C4317" s="783" t="s">
        <v>4598</v>
      </c>
      <c r="D4317" s="783" t="s">
        <v>4009</v>
      </c>
      <c r="E4317" s="783" t="s">
        <v>7059</v>
      </c>
      <c r="F4317" s="783" t="s">
        <v>4011</v>
      </c>
      <c r="G4317" s="783" t="str">
        <f t="shared" si="229"/>
        <v>Renewal (20% in 2020)</v>
      </c>
      <c r="H4317" s="783" t="s">
        <v>7060</v>
      </c>
      <c r="I4317" s="783" t="s">
        <v>7061</v>
      </c>
      <c r="J4317" s="783">
        <v>20</v>
      </c>
      <c r="K4317" s="783" t="s">
        <v>765</v>
      </c>
      <c r="L4317" s="783" t="s">
        <v>4014</v>
      </c>
      <c r="M4317" s="784">
        <v>1896</v>
      </c>
      <c r="N4317" s="784">
        <v>0.79</v>
      </c>
      <c r="O4317" s="784">
        <v>3</v>
      </c>
      <c r="P4317" s="783">
        <v>800</v>
      </c>
      <c r="Q4317" s="783">
        <v>141.25</v>
      </c>
      <c r="R4317" s="783">
        <v>42.17</v>
      </c>
      <c r="S4317" s="783">
        <v>50.54</v>
      </c>
      <c r="T4317" s="783">
        <v>48.54</v>
      </c>
      <c r="U4317" s="785">
        <v>44687.652152777802</v>
      </c>
    </row>
    <row r="4318" spans="1:21">
      <c r="A4318" s="782">
        <v>44681</v>
      </c>
      <c r="B4318" s="783" t="s">
        <v>74</v>
      </c>
      <c r="C4318" s="783" t="s">
        <v>4097</v>
      </c>
      <c r="D4318" s="783" t="s">
        <v>4038</v>
      </c>
      <c r="E4318" s="783" t="s">
        <v>4635</v>
      </c>
      <c r="F4318" s="783" t="s">
        <v>4011</v>
      </c>
      <c r="G4318" s="783" t="str">
        <f t="shared" si="229"/>
        <v>Renewal (25% in 2020)</v>
      </c>
      <c r="H4318" s="783" t="s">
        <v>4636</v>
      </c>
      <c r="I4318" s="783" t="s">
        <v>4637</v>
      </c>
      <c r="J4318" s="783">
        <v>25</v>
      </c>
      <c r="K4318" s="783" t="s">
        <v>765</v>
      </c>
      <c r="L4318" s="783" t="s">
        <v>4014</v>
      </c>
      <c r="M4318" s="784">
        <v>17146.36</v>
      </c>
      <c r="N4318" s="784">
        <v>20.51</v>
      </c>
      <c r="O4318" s="784">
        <v>2.09</v>
      </c>
      <c r="P4318" s="783">
        <v>400</v>
      </c>
      <c r="Q4318" s="783">
        <v>1188.24</v>
      </c>
      <c r="R4318" s="783">
        <v>838.46</v>
      </c>
      <c r="S4318" s="783">
        <v>137.16999999999999</v>
      </c>
      <c r="T4318" s="783">
        <v>212.61</v>
      </c>
      <c r="U4318" s="785">
        <v>44683.46</v>
      </c>
    </row>
    <row r="4319" spans="1:21">
      <c r="A4319" s="782">
        <v>44680</v>
      </c>
      <c r="B4319" s="783" t="s">
        <v>51</v>
      </c>
      <c r="C4319" s="783" t="s">
        <v>4042</v>
      </c>
      <c r="D4319" s="783" t="s">
        <v>4016</v>
      </c>
      <c r="E4319" s="783" t="s">
        <v>5501</v>
      </c>
      <c r="F4319" s="783" t="s">
        <v>4011</v>
      </c>
      <c r="G4319" s="783" t="str">
        <f t="shared" si="229"/>
        <v>Renewal (15% in 2020)</v>
      </c>
      <c r="H4319" s="783" t="s">
        <v>5502</v>
      </c>
      <c r="I4319" s="783" t="s">
        <v>5503</v>
      </c>
      <c r="J4319" s="783">
        <v>15</v>
      </c>
      <c r="K4319" s="783" t="s">
        <v>765</v>
      </c>
      <c r="L4319" s="783" t="s">
        <v>4014</v>
      </c>
      <c r="M4319" s="784">
        <v>14161.92</v>
      </c>
      <c r="N4319" s="784">
        <v>12</v>
      </c>
      <c r="O4319" s="784">
        <v>2.56</v>
      </c>
      <c r="P4319" s="783">
        <v>461</v>
      </c>
      <c r="Q4319" s="783">
        <v>1448.76</v>
      </c>
      <c r="R4319" s="783">
        <v>746.33</v>
      </c>
      <c r="S4319" s="783">
        <v>121.79</v>
      </c>
      <c r="T4319" s="783">
        <v>580.64</v>
      </c>
      <c r="U4319" s="785">
        <v>44680.741655092599</v>
      </c>
    </row>
    <row r="4320" spans="1:21">
      <c r="A4320" s="782">
        <v>44684</v>
      </c>
      <c r="B4320" s="783" t="s">
        <v>30</v>
      </c>
      <c r="C4320" s="783" t="s">
        <v>4089</v>
      </c>
      <c r="D4320" s="783" t="s">
        <v>4021</v>
      </c>
      <c r="E4320" s="783" t="s">
        <v>5504</v>
      </c>
      <c r="F4320" s="783" t="s">
        <v>4011</v>
      </c>
      <c r="G4320" s="783" t="str">
        <f t="shared" si="229"/>
        <v>Renewal (20% in 2020)</v>
      </c>
      <c r="H4320" s="783" t="s">
        <v>5505</v>
      </c>
      <c r="I4320" s="783" t="s">
        <v>5506</v>
      </c>
      <c r="J4320" s="783">
        <v>30</v>
      </c>
      <c r="K4320" s="783" t="s">
        <v>765</v>
      </c>
      <c r="L4320" s="783" t="s">
        <v>4014</v>
      </c>
      <c r="M4320" s="784">
        <v>17292</v>
      </c>
      <c r="N4320" s="784">
        <v>13.1</v>
      </c>
      <c r="O4320" s="784">
        <v>2.75</v>
      </c>
      <c r="P4320" s="783">
        <v>480</v>
      </c>
      <c r="Q4320" s="783">
        <v>940.68</v>
      </c>
      <c r="R4320" s="783">
        <v>740.7</v>
      </c>
      <c r="S4320" s="783">
        <v>30.53</v>
      </c>
      <c r="T4320" s="783">
        <v>169.46</v>
      </c>
      <c r="U4320" s="785">
        <v>44685.409479166701</v>
      </c>
    </row>
    <row r="4321" spans="1:21">
      <c r="A4321" s="782">
        <v>44684</v>
      </c>
      <c r="B4321" s="783" t="s">
        <v>118</v>
      </c>
      <c r="C4321" s="783" t="s">
        <v>4139</v>
      </c>
      <c r="D4321" s="783" t="s">
        <v>4009</v>
      </c>
      <c r="E4321" s="783" t="s">
        <v>1581</v>
      </c>
      <c r="F4321" s="783" t="s">
        <v>4011</v>
      </c>
      <c r="G4321" s="783" t="str">
        <f t="shared" si="229"/>
        <v>Renewal (15% in 2020)</v>
      </c>
      <c r="H4321" s="783" t="s">
        <v>5507</v>
      </c>
      <c r="I4321" s="783" t="s">
        <v>5508</v>
      </c>
      <c r="J4321" s="783">
        <v>15</v>
      </c>
      <c r="K4321" s="783" t="s">
        <v>765</v>
      </c>
      <c r="L4321" s="783" t="s">
        <v>4014</v>
      </c>
      <c r="M4321" s="784">
        <v>28454.400000000001</v>
      </c>
      <c r="N4321" s="784">
        <v>23.04</v>
      </c>
      <c r="O4321" s="784">
        <v>2.4700000000000002</v>
      </c>
      <c r="P4321" s="783">
        <v>500</v>
      </c>
      <c r="Q4321" s="783">
        <v>1946.28</v>
      </c>
      <c r="R4321" s="783">
        <v>805.41</v>
      </c>
      <c r="S4321" s="783">
        <v>207.56</v>
      </c>
      <c r="T4321" s="783">
        <v>933.3</v>
      </c>
      <c r="U4321" s="785">
        <v>44684.386493055601</v>
      </c>
    </row>
    <row r="4322" spans="1:21">
      <c r="A4322" s="782">
        <v>44680</v>
      </c>
      <c r="B4322" s="783" t="s">
        <v>51</v>
      </c>
      <c r="C4322" s="783" t="s">
        <v>4042</v>
      </c>
      <c r="D4322" s="783" t="s">
        <v>4016</v>
      </c>
      <c r="E4322" s="783" t="s">
        <v>106</v>
      </c>
      <c r="F4322" s="783" t="s">
        <v>4011</v>
      </c>
      <c r="G4322" s="783" t="str">
        <f t="shared" si="229"/>
        <v>Renewal (20% in 2020)</v>
      </c>
      <c r="H4322" s="783" t="s">
        <v>5512</v>
      </c>
      <c r="I4322" s="783" t="s">
        <v>5513</v>
      </c>
      <c r="J4322" s="783">
        <v>20</v>
      </c>
      <c r="K4322" s="783" t="s">
        <v>765</v>
      </c>
      <c r="L4322" s="783" t="s">
        <v>4014</v>
      </c>
      <c r="M4322" s="784">
        <v>37189.93</v>
      </c>
      <c r="N4322" s="784">
        <v>31.39</v>
      </c>
      <c r="O4322" s="784">
        <v>2.57</v>
      </c>
      <c r="P4322" s="783">
        <v>461</v>
      </c>
      <c r="Q4322" s="783">
        <v>3120.24</v>
      </c>
      <c r="R4322" s="783">
        <v>1959.91</v>
      </c>
      <c r="S4322" s="783">
        <v>319.83</v>
      </c>
      <c r="T4322" s="783">
        <v>840.49</v>
      </c>
      <c r="U4322" s="785">
        <v>44683.4868055556</v>
      </c>
    </row>
    <row r="4323" spans="1:21">
      <c r="A4323" s="782">
        <v>44709</v>
      </c>
      <c r="B4323" s="783" t="s">
        <v>882</v>
      </c>
      <c r="C4323" s="783" t="s">
        <v>4052</v>
      </c>
      <c r="D4323" s="783" t="s">
        <v>4021</v>
      </c>
      <c r="E4323" s="783" t="s">
        <v>5514</v>
      </c>
      <c r="F4323" s="783" t="s">
        <v>4011</v>
      </c>
      <c r="G4323" s="783" t="str">
        <f t="shared" si="229"/>
        <v>Renewal (25% in 2020)</v>
      </c>
      <c r="H4323" s="783" t="s">
        <v>5515</v>
      </c>
      <c r="I4323" s="783" t="s">
        <v>5516</v>
      </c>
      <c r="J4323" s="783">
        <v>15</v>
      </c>
      <c r="K4323" s="783" t="s">
        <v>765</v>
      </c>
      <c r="L4323" s="783" t="s">
        <v>4014</v>
      </c>
      <c r="M4323" s="784">
        <v>74117.84</v>
      </c>
      <c r="N4323" s="784">
        <v>91.73</v>
      </c>
      <c r="O4323" s="784">
        <v>2.02</v>
      </c>
      <c r="P4323" s="783">
        <v>400</v>
      </c>
      <c r="Q4323" s="783">
        <v>7537.78</v>
      </c>
      <c r="R4323" s="783">
        <v>3327.89</v>
      </c>
      <c r="S4323" s="783">
        <v>541.05999999999995</v>
      </c>
      <c r="T4323" s="783">
        <v>3668.83</v>
      </c>
      <c r="U4323" s="785">
        <v>44711.660694444399</v>
      </c>
    </row>
    <row r="4324" spans="1:21">
      <c r="A4324" s="782">
        <v>44683</v>
      </c>
      <c r="B4324" s="783" t="s">
        <v>113</v>
      </c>
      <c r="C4324" s="783" t="s">
        <v>4606</v>
      </c>
      <c r="D4324" s="783" t="s">
        <v>4009</v>
      </c>
      <c r="E4324" s="783" t="s">
        <v>2966</v>
      </c>
      <c r="F4324" s="783" t="s">
        <v>4011</v>
      </c>
      <c r="G4324" s="783" t="str">
        <f t="shared" si="229"/>
        <v>Renewal (25% in 2020)</v>
      </c>
      <c r="H4324" s="783" t="s">
        <v>6735</v>
      </c>
      <c r="I4324" s="783" t="s">
        <v>6736</v>
      </c>
      <c r="J4324" s="783">
        <v>20</v>
      </c>
      <c r="K4324" s="783" t="s">
        <v>765</v>
      </c>
      <c r="L4324" s="783" t="s">
        <v>4014</v>
      </c>
      <c r="M4324" s="784">
        <v>18973.68</v>
      </c>
      <c r="N4324" s="784">
        <v>10.119999999999999</v>
      </c>
      <c r="O4324" s="784">
        <v>3.13</v>
      </c>
      <c r="P4324" s="783">
        <v>599</v>
      </c>
      <c r="Q4324" s="783">
        <v>1481.84</v>
      </c>
      <c r="R4324" s="783">
        <v>620.6</v>
      </c>
      <c r="S4324" s="783">
        <v>316.7</v>
      </c>
      <c r="T4324" s="783">
        <v>544.54</v>
      </c>
      <c r="U4324" s="785">
        <v>44684.397731481498</v>
      </c>
    </row>
    <row r="4325" spans="1:21">
      <c r="A4325" s="782">
        <v>44685</v>
      </c>
      <c r="B4325" s="783" t="s">
        <v>113</v>
      </c>
      <c r="C4325" s="783" t="s">
        <v>4097</v>
      </c>
      <c r="D4325" s="783" t="s">
        <v>4038</v>
      </c>
      <c r="E4325" s="783" t="s">
        <v>5517</v>
      </c>
      <c r="F4325" s="783" t="s">
        <v>4011</v>
      </c>
      <c r="G4325" s="783" t="str">
        <f t="shared" si="229"/>
        <v>Renewal (15% in 2020)</v>
      </c>
      <c r="H4325" s="783" t="s">
        <v>5518</v>
      </c>
      <c r="I4325" s="783" t="s">
        <v>5519</v>
      </c>
      <c r="J4325" s="783">
        <v>15</v>
      </c>
      <c r="K4325" s="783" t="s">
        <v>765</v>
      </c>
      <c r="L4325" s="783" t="s">
        <v>4014</v>
      </c>
      <c r="M4325" s="784">
        <v>35054.9</v>
      </c>
      <c r="N4325" s="784">
        <v>36.21</v>
      </c>
      <c r="O4325" s="784">
        <v>2.1</v>
      </c>
      <c r="P4325" s="783">
        <v>461</v>
      </c>
      <c r="Q4325" s="783">
        <v>3428.37</v>
      </c>
      <c r="R4325" s="783">
        <v>1714.18</v>
      </c>
      <c r="S4325" s="783">
        <v>280.44</v>
      </c>
      <c r="T4325" s="783">
        <v>1433.75</v>
      </c>
      <c r="U4325" s="785">
        <v>44687.659293981502</v>
      </c>
    </row>
    <row r="4326" spans="1:21">
      <c r="A4326" s="782">
        <v>44699</v>
      </c>
      <c r="B4326" s="783" t="s">
        <v>41</v>
      </c>
      <c r="C4326" s="783" t="s">
        <v>4121</v>
      </c>
      <c r="D4326" s="783" t="s">
        <v>4009</v>
      </c>
      <c r="E4326" s="783" t="s">
        <v>5520</v>
      </c>
      <c r="F4326" s="783" t="s">
        <v>4011</v>
      </c>
      <c r="G4326" s="783" t="str">
        <f t="shared" si="229"/>
        <v>Renewal (25% in 2020)</v>
      </c>
      <c r="H4326" s="783" t="s">
        <v>5521</v>
      </c>
      <c r="I4326" s="783" t="s">
        <v>5522</v>
      </c>
      <c r="J4326" s="783">
        <v>25</v>
      </c>
      <c r="K4326" s="783" t="s">
        <v>765</v>
      </c>
      <c r="L4326" s="783" t="s">
        <v>4014</v>
      </c>
      <c r="M4326" s="784">
        <v>39604.800000000003</v>
      </c>
      <c r="N4326" s="784">
        <v>37</v>
      </c>
      <c r="O4326" s="784">
        <v>2.23</v>
      </c>
      <c r="P4326" s="783">
        <v>480</v>
      </c>
      <c r="Q4326" s="783">
        <v>2379.1799999999998</v>
      </c>
      <c r="R4326" s="783">
        <v>1689.05</v>
      </c>
      <c r="S4326" s="783">
        <v>354.98</v>
      </c>
      <c r="T4326" s="783">
        <v>335.14</v>
      </c>
      <c r="U4326" s="785">
        <v>44700.597268518497</v>
      </c>
    </row>
    <row r="4327" spans="1:21">
      <c r="A4327" s="782">
        <v>44678</v>
      </c>
      <c r="B4327" s="783" t="s">
        <v>74</v>
      </c>
      <c r="C4327" s="783" t="s">
        <v>4097</v>
      </c>
      <c r="D4327" s="783" t="s">
        <v>4038</v>
      </c>
      <c r="E4327" s="783" t="s">
        <v>4361</v>
      </c>
      <c r="F4327" s="783" t="s">
        <v>4011</v>
      </c>
      <c r="G4327" s="783" t="s">
        <v>4028</v>
      </c>
      <c r="H4327" s="783" t="s">
        <v>4362</v>
      </c>
      <c r="I4327" s="783" t="s">
        <v>4363</v>
      </c>
      <c r="J4327" s="783">
        <v>15</v>
      </c>
      <c r="K4327" s="783" t="s">
        <v>765</v>
      </c>
      <c r="L4327" s="783" t="s">
        <v>4014</v>
      </c>
      <c r="M4327" s="784">
        <v>36216.18</v>
      </c>
      <c r="N4327" s="784">
        <v>42.21</v>
      </c>
      <c r="O4327" s="784">
        <v>2.6</v>
      </c>
      <c r="P4327" s="783">
        <v>330</v>
      </c>
      <c r="Q4327" s="783">
        <v>3541.94</v>
      </c>
      <c r="R4327" s="783">
        <v>1770.97</v>
      </c>
      <c r="S4327" s="783">
        <v>289.73</v>
      </c>
      <c r="T4327" s="783">
        <v>1481.24</v>
      </c>
      <c r="U4327" s="785">
        <v>44680.483090277798</v>
      </c>
    </row>
    <row r="4328" spans="1:21">
      <c r="A4328" s="782">
        <v>44684</v>
      </c>
      <c r="B4328" s="783" t="s">
        <v>4025</v>
      </c>
      <c r="C4328" s="783" t="s">
        <v>4052</v>
      </c>
      <c r="D4328" s="783" t="s">
        <v>4021</v>
      </c>
      <c r="E4328" s="783" t="s">
        <v>4053</v>
      </c>
      <c r="F4328" s="783" t="s">
        <v>4011</v>
      </c>
      <c r="G4328" s="783" t="str">
        <f t="shared" ref="G4328:G4333" si="230">VLOOKUP(I4328,pacage,2,FALSE)</f>
        <v>New contract</v>
      </c>
      <c r="H4328" s="783" t="s">
        <v>4054</v>
      </c>
      <c r="I4328" s="783" t="s">
        <v>4055</v>
      </c>
      <c r="J4328" s="783">
        <v>25</v>
      </c>
      <c r="K4328" s="783" t="s">
        <v>765</v>
      </c>
      <c r="L4328" s="783" t="s">
        <v>4014</v>
      </c>
      <c r="M4328" s="784">
        <v>49234.8</v>
      </c>
      <c r="N4328" s="784">
        <v>40</v>
      </c>
      <c r="O4328" s="784">
        <v>2.67</v>
      </c>
      <c r="P4328" s="783">
        <v>461</v>
      </c>
      <c r="Q4328" s="783">
        <v>2909.78</v>
      </c>
      <c r="R4328" s="783">
        <v>2210.64</v>
      </c>
      <c r="S4328" s="783">
        <v>359.41</v>
      </c>
      <c r="T4328" s="783">
        <v>339.72</v>
      </c>
      <c r="U4328" s="785">
        <v>44685.4058912037</v>
      </c>
    </row>
    <row r="4329" spans="1:21">
      <c r="A4329" s="782">
        <v>44679</v>
      </c>
      <c r="B4329" s="783" t="s">
        <v>113</v>
      </c>
      <c r="C4329" s="783" t="s">
        <v>4606</v>
      </c>
      <c r="D4329" s="783" t="s">
        <v>4009</v>
      </c>
      <c r="E4329" s="783" t="s">
        <v>6917</v>
      </c>
      <c r="F4329" s="783" t="s">
        <v>4011</v>
      </c>
      <c r="G4329" s="783" t="str">
        <f t="shared" si="230"/>
        <v>Renewal (15% in 2020)</v>
      </c>
      <c r="H4329" s="783" t="s">
        <v>6918</v>
      </c>
      <c r="I4329" s="783" t="s">
        <v>6919</v>
      </c>
      <c r="J4329" s="783">
        <v>25</v>
      </c>
      <c r="K4329" s="783" t="s">
        <v>765</v>
      </c>
      <c r="L4329" s="783" t="s">
        <v>4014</v>
      </c>
      <c r="M4329" s="784">
        <v>12690</v>
      </c>
      <c r="N4329" s="784">
        <v>9</v>
      </c>
      <c r="O4329" s="784">
        <v>2.82</v>
      </c>
      <c r="P4329" s="783">
        <v>500</v>
      </c>
      <c r="Q4329" s="783">
        <v>784.24</v>
      </c>
      <c r="R4329" s="783">
        <v>497.26</v>
      </c>
      <c r="S4329" s="783">
        <v>129.63</v>
      </c>
      <c r="T4329" s="783">
        <v>157.36000000000001</v>
      </c>
      <c r="U4329" s="785">
        <v>44680.6969328704</v>
      </c>
    </row>
    <row r="4330" spans="1:21">
      <c r="A4330" s="782">
        <v>44708</v>
      </c>
      <c r="B4330" s="783" t="s">
        <v>41</v>
      </c>
      <c r="C4330" s="783" t="s">
        <v>4008</v>
      </c>
      <c r="D4330" s="783" t="s">
        <v>4009</v>
      </c>
      <c r="E4330" s="783" t="s">
        <v>5529</v>
      </c>
      <c r="F4330" s="783" t="s">
        <v>4011</v>
      </c>
      <c r="G4330" s="783" t="str">
        <f t="shared" si="230"/>
        <v>Renewal (20% in 2020)</v>
      </c>
      <c r="H4330" s="783" t="s">
        <v>5530</v>
      </c>
      <c r="I4330" s="783" t="s">
        <v>5531</v>
      </c>
      <c r="J4330" s="783">
        <v>20</v>
      </c>
      <c r="K4330" s="783" t="s">
        <v>765</v>
      </c>
      <c r="L4330" s="783" t="s">
        <v>4014</v>
      </c>
      <c r="M4330" s="784">
        <v>11776</v>
      </c>
      <c r="N4330" s="784">
        <v>16</v>
      </c>
      <c r="O4330" s="784">
        <v>2.2999999999999998</v>
      </c>
      <c r="P4330" s="783">
        <v>320</v>
      </c>
      <c r="Q4330" s="783">
        <v>1144.6300000000001</v>
      </c>
      <c r="R4330" s="783">
        <v>640.61</v>
      </c>
      <c r="S4330" s="783">
        <v>104.81</v>
      </c>
      <c r="T4330" s="783">
        <v>399.21</v>
      </c>
      <c r="U4330" s="785">
        <v>44708.588553240697</v>
      </c>
    </row>
    <row r="4331" spans="1:21">
      <c r="A4331" s="782">
        <v>44678</v>
      </c>
      <c r="B4331" s="783" t="s">
        <v>41</v>
      </c>
      <c r="C4331" s="783" t="s">
        <v>4008</v>
      </c>
      <c r="D4331" s="783" t="s">
        <v>4009</v>
      </c>
      <c r="E4331" s="783" t="s">
        <v>5532</v>
      </c>
      <c r="F4331" s="783" t="s">
        <v>4011</v>
      </c>
      <c r="G4331" s="783" t="str">
        <f t="shared" si="230"/>
        <v>Renewal (15% in 2020)</v>
      </c>
      <c r="H4331" s="783" t="s">
        <v>5533</v>
      </c>
      <c r="I4331" s="783" t="s">
        <v>5534</v>
      </c>
      <c r="J4331" s="783">
        <v>15</v>
      </c>
      <c r="K4331" s="783" t="s">
        <v>765</v>
      </c>
      <c r="L4331" s="783" t="s">
        <v>4014</v>
      </c>
      <c r="M4331" s="784">
        <v>77056.2</v>
      </c>
      <c r="N4331" s="784">
        <v>48.1</v>
      </c>
      <c r="O4331" s="784">
        <v>2.67</v>
      </c>
      <c r="P4331" s="783">
        <v>600</v>
      </c>
      <c r="Q4331" s="783">
        <v>9878.6</v>
      </c>
      <c r="R4331" s="783">
        <v>3220.74</v>
      </c>
      <c r="S4331" s="783">
        <v>1656.91</v>
      </c>
      <c r="T4331" s="783">
        <v>5000.95</v>
      </c>
      <c r="U4331" s="785">
        <v>44680.657766203702</v>
      </c>
    </row>
    <row r="4332" spans="1:21">
      <c r="A4332" s="782">
        <v>44714</v>
      </c>
      <c r="B4332" s="783" t="s">
        <v>41</v>
      </c>
      <c r="C4332" s="783" t="s">
        <v>4008</v>
      </c>
      <c r="D4332" s="783" t="s">
        <v>4009</v>
      </c>
      <c r="E4332" s="783" t="s">
        <v>5535</v>
      </c>
      <c r="F4332" s="783" t="s">
        <v>4011</v>
      </c>
      <c r="G4332" s="783" t="str">
        <f t="shared" si="230"/>
        <v>Renewal (20% in 2020)</v>
      </c>
      <c r="H4332" s="783" t="s">
        <v>5536</v>
      </c>
      <c r="I4332" s="783" t="s">
        <v>5537</v>
      </c>
      <c r="J4332" s="783">
        <v>20</v>
      </c>
      <c r="K4332" s="783" t="s">
        <v>765</v>
      </c>
      <c r="L4332" s="783" t="s">
        <v>4014</v>
      </c>
      <c r="M4332" s="784">
        <v>16232.4</v>
      </c>
      <c r="N4332" s="784">
        <v>15.03</v>
      </c>
      <c r="O4332" s="784">
        <v>2.4</v>
      </c>
      <c r="P4332" s="783">
        <v>450</v>
      </c>
      <c r="Q4332" s="783">
        <v>1577.79</v>
      </c>
      <c r="R4332" s="783">
        <v>883.04</v>
      </c>
      <c r="S4332" s="783">
        <v>144.47</v>
      </c>
      <c r="T4332" s="783">
        <v>550.28</v>
      </c>
      <c r="U4332" s="785">
        <v>44715.5711226852</v>
      </c>
    </row>
    <row r="4333" spans="1:21">
      <c r="A4333" s="782">
        <v>44680</v>
      </c>
      <c r="B4333" s="783" t="s">
        <v>228</v>
      </c>
      <c r="C4333" s="783" t="s">
        <v>4675</v>
      </c>
      <c r="D4333" s="783" t="s">
        <v>4193</v>
      </c>
      <c r="E4333" s="783" t="s">
        <v>5541</v>
      </c>
      <c r="F4333" s="783" t="s">
        <v>4011</v>
      </c>
      <c r="G4333" s="783" t="str">
        <f t="shared" si="230"/>
        <v>Renewal (20% in 2020)</v>
      </c>
      <c r="H4333" s="783" t="s">
        <v>5542</v>
      </c>
      <c r="I4333" s="783" t="s">
        <v>5543</v>
      </c>
      <c r="J4333" s="783">
        <v>25</v>
      </c>
      <c r="K4333" s="783" t="s">
        <v>765</v>
      </c>
      <c r="L4333" s="783" t="s">
        <v>4014</v>
      </c>
      <c r="M4333" s="784">
        <v>42240</v>
      </c>
      <c r="N4333" s="784">
        <v>24</v>
      </c>
      <c r="O4333" s="784">
        <v>2.2000000000000002</v>
      </c>
      <c r="P4333" s="783">
        <v>800</v>
      </c>
      <c r="Q4333" s="783">
        <v>2538.62</v>
      </c>
      <c r="R4333" s="783">
        <v>1053.96</v>
      </c>
      <c r="S4333" s="783">
        <v>1070.72</v>
      </c>
      <c r="T4333" s="783">
        <v>413.95</v>
      </c>
      <c r="U4333" s="785">
        <v>44683.503043981502</v>
      </c>
    </row>
    <row r="4334" spans="1:21">
      <c r="A4334" s="782">
        <v>44680</v>
      </c>
      <c r="B4334" s="783" t="s">
        <v>113</v>
      </c>
      <c r="C4334" s="783" t="s">
        <v>4606</v>
      </c>
      <c r="D4334" s="783" t="s">
        <v>4009</v>
      </c>
      <c r="E4334" s="783" t="s">
        <v>2717</v>
      </c>
      <c r="F4334" s="783" t="s">
        <v>4011</v>
      </c>
      <c r="G4334" s="783" t="s">
        <v>4028</v>
      </c>
      <c r="H4334" s="783" t="s">
        <v>5550</v>
      </c>
      <c r="I4334" s="783" t="s">
        <v>5551</v>
      </c>
      <c r="J4334" s="783">
        <v>25</v>
      </c>
      <c r="K4334" s="783" t="s">
        <v>765</v>
      </c>
      <c r="L4334" s="783" t="s">
        <v>4014</v>
      </c>
      <c r="M4334" s="784">
        <v>6819.32</v>
      </c>
      <c r="N4334" s="784">
        <v>4.84</v>
      </c>
      <c r="O4334" s="784">
        <v>3.03</v>
      </c>
      <c r="P4334" s="783">
        <v>465</v>
      </c>
      <c r="Q4334" s="783">
        <v>421.43</v>
      </c>
      <c r="R4334" s="783">
        <v>287.33</v>
      </c>
      <c r="S4334" s="783">
        <v>49.55</v>
      </c>
      <c r="T4334" s="783">
        <v>84.56</v>
      </c>
      <c r="U4334" s="785">
        <v>44683.484479166698</v>
      </c>
    </row>
    <row r="4335" spans="1:21">
      <c r="A4335" s="782">
        <v>44680</v>
      </c>
      <c r="B4335" s="783" t="s">
        <v>113</v>
      </c>
      <c r="C4335" s="783" t="s">
        <v>4606</v>
      </c>
      <c r="D4335" s="783" t="s">
        <v>4009</v>
      </c>
      <c r="E4335" s="783" t="s">
        <v>6923</v>
      </c>
      <c r="F4335" s="783" t="s">
        <v>4011</v>
      </c>
      <c r="G4335" s="783" t="s">
        <v>4028</v>
      </c>
      <c r="H4335" s="783" t="s">
        <v>6924</v>
      </c>
      <c r="I4335" s="783" t="s">
        <v>6925</v>
      </c>
      <c r="J4335" s="783">
        <v>20</v>
      </c>
      <c r="K4335" s="783" t="s">
        <v>765</v>
      </c>
      <c r="L4335" s="783" t="s">
        <v>4014</v>
      </c>
      <c r="M4335" s="784">
        <v>15731.63</v>
      </c>
      <c r="N4335" s="784">
        <v>10.5</v>
      </c>
      <c r="O4335" s="784">
        <v>2.5</v>
      </c>
      <c r="P4335" s="783">
        <v>599.29999999999995</v>
      </c>
      <c r="Q4335" s="783">
        <v>1228.6400000000001</v>
      </c>
      <c r="R4335" s="783">
        <v>514.29999999999995</v>
      </c>
      <c r="S4335" s="783">
        <v>262.83999999999997</v>
      </c>
      <c r="T4335" s="783">
        <v>451.5</v>
      </c>
      <c r="U4335" s="785">
        <v>44708.735405092601</v>
      </c>
    </row>
    <row r="4336" spans="1:21">
      <c r="A4336" s="782">
        <v>44680</v>
      </c>
      <c r="B4336" s="783" t="s">
        <v>4025</v>
      </c>
      <c r="C4336" s="783" t="s">
        <v>4026</v>
      </c>
      <c r="D4336" s="783" t="s">
        <v>4021</v>
      </c>
      <c r="E4336" s="783" t="s">
        <v>5552</v>
      </c>
      <c r="F4336" s="783" t="s">
        <v>4011</v>
      </c>
      <c r="G4336" s="783" t="str">
        <f t="shared" ref="G4336:G4342" si="231">VLOOKUP(I4336,pacage,2,FALSE)</f>
        <v>New Contract</v>
      </c>
      <c r="H4336" s="783" t="s">
        <v>5553</v>
      </c>
      <c r="I4336" s="783" t="s">
        <v>5554</v>
      </c>
      <c r="J4336" s="783">
        <v>25</v>
      </c>
      <c r="K4336" s="783" t="s">
        <v>765</v>
      </c>
      <c r="L4336" s="783" t="s">
        <v>4014</v>
      </c>
      <c r="M4336" s="784">
        <v>89537.08</v>
      </c>
      <c r="N4336" s="784">
        <v>64.430000000000007</v>
      </c>
      <c r="O4336" s="784">
        <v>2.3199999999999998</v>
      </c>
      <c r="P4336" s="783">
        <v>599</v>
      </c>
      <c r="Q4336" s="783">
        <v>5336.41</v>
      </c>
      <c r="R4336" s="783">
        <v>2976.88</v>
      </c>
      <c r="S4336" s="783">
        <v>1517.89</v>
      </c>
      <c r="T4336" s="783">
        <v>841.65</v>
      </c>
      <c r="U4336" s="785">
        <v>44684.390243055597</v>
      </c>
    </row>
    <row r="4337" spans="1:21">
      <c r="A4337" s="782">
        <v>44693</v>
      </c>
      <c r="B4337" s="783" t="s">
        <v>41</v>
      </c>
      <c r="C4337" s="783" t="s">
        <v>4008</v>
      </c>
      <c r="D4337" s="783" t="s">
        <v>4009</v>
      </c>
      <c r="E4337" s="783" t="s">
        <v>5555</v>
      </c>
      <c r="F4337" s="783" t="s">
        <v>4011</v>
      </c>
      <c r="G4337" s="783" t="str">
        <f t="shared" si="231"/>
        <v>Renewal (20% in 2020)</v>
      </c>
      <c r="H4337" s="783" t="s">
        <v>5556</v>
      </c>
      <c r="I4337" s="783" t="s">
        <v>5557</v>
      </c>
      <c r="J4337" s="783">
        <v>20</v>
      </c>
      <c r="K4337" s="783" t="s">
        <v>765</v>
      </c>
      <c r="L4337" s="783" t="s">
        <v>4014</v>
      </c>
      <c r="M4337" s="784">
        <v>16671.150000000001</v>
      </c>
      <c r="N4337" s="784">
        <v>15.9</v>
      </c>
      <c r="O4337" s="784">
        <v>2.33</v>
      </c>
      <c r="P4337" s="783">
        <v>450</v>
      </c>
      <c r="Q4337" s="783">
        <v>1620.44</v>
      </c>
      <c r="R4337" s="783">
        <v>906.91</v>
      </c>
      <c r="S4337" s="783">
        <v>148.37</v>
      </c>
      <c r="T4337" s="783">
        <v>565.15</v>
      </c>
      <c r="U4337" s="785">
        <v>44693.465844907398</v>
      </c>
    </row>
    <row r="4338" spans="1:21">
      <c r="A4338" s="782">
        <v>44681</v>
      </c>
      <c r="B4338" s="783" t="s">
        <v>41</v>
      </c>
      <c r="C4338" s="783" t="s">
        <v>4092</v>
      </c>
      <c r="D4338" s="783" t="s">
        <v>4009</v>
      </c>
      <c r="E4338" s="783" t="s">
        <v>5558</v>
      </c>
      <c r="F4338" s="783" t="s">
        <v>4011</v>
      </c>
      <c r="G4338" s="783" t="str">
        <f t="shared" si="231"/>
        <v>Renewal (25% in 2020)</v>
      </c>
      <c r="H4338" s="783" t="s">
        <v>5559</v>
      </c>
      <c r="I4338" s="783" t="s">
        <v>5560</v>
      </c>
      <c r="J4338" s="783">
        <v>25</v>
      </c>
      <c r="K4338" s="783" t="s">
        <v>765</v>
      </c>
      <c r="L4338" s="783" t="s">
        <v>4014</v>
      </c>
      <c r="M4338" s="784">
        <v>9720</v>
      </c>
      <c r="N4338" s="784">
        <v>8</v>
      </c>
      <c r="O4338" s="784">
        <v>2.4300000000000002</v>
      </c>
      <c r="P4338" s="783">
        <v>500</v>
      </c>
      <c r="Q4338" s="783">
        <v>628.88</v>
      </c>
      <c r="R4338" s="783">
        <v>440.92</v>
      </c>
      <c r="S4338" s="783">
        <v>130.61000000000001</v>
      </c>
      <c r="T4338" s="783">
        <v>57.35</v>
      </c>
      <c r="U4338" s="785">
        <v>44683.418287036999</v>
      </c>
    </row>
    <row r="4339" spans="1:21">
      <c r="A4339" s="782">
        <v>44685</v>
      </c>
      <c r="B4339" s="783" t="s">
        <v>113</v>
      </c>
      <c r="C4339" s="783" t="s">
        <v>4606</v>
      </c>
      <c r="D4339" s="783" t="s">
        <v>4009</v>
      </c>
      <c r="E4339" s="783" t="s">
        <v>6740</v>
      </c>
      <c r="F4339" s="783" t="s">
        <v>4011</v>
      </c>
      <c r="G4339" s="783" t="str">
        <f t="shared" si="231"/>
        <v>Renewal (15% in 2020)</v>
      </c>
      <c r="H4339" s="783" t="s">
        <v>6741</v>
      </c>
      <c r="I4339" s="783" t="s">
        <v>6742</v>
      </c>
      <c r="J4339" s="783">
        <v>15</v>
      </c>
      <c r="K4339" s="783" t="s">
        <v>765</v>
      </c>
      <c r="L4339" s="783" t="s">
        <v>4014</v>
      </c>
      <c r="M4339" s="784">
        <v>8374.02</v>
      </c>
      <c r="N4339" s="784">
        <v>6</v>
      </c>
      <c r="O4339" s="784">
        <v>2.33</v>
      </c>
      <c r="P4339" s="783">
        <v>599</v>
      </c>
      <c r="Q4339" s="783">
        <v>855.82</v>
      </c>
      <c r="R4339" s="783">
        <v>273.89999999999998</v>
      </c>
      <c r="S4339" s="783">
        <v>139.77000000000001</v>
      </c>
      <c r="T4339" s="783">
        <v>442.15</v>
      </c>
      <c r="U4339" s="785">
        <v>44685.637060185203</v>
      </c>
    </row>
    <row r="4340" spans="1:21">
      <c r="A4340" s="782">
        <v>44686</v>
      </c>
      <c r="B4340" s="783" t="s">
        <v>113</v>
      </c>
      <c r="C4340" s="783" t="s">
        <v>4598</v>
      </c>
      <c r="D4340" s="783" t="s">
        <v>4009</v>
      </c>
      <c r="E4340" s="783" t="s">
        <v>6663</v>
      </c>
      <c r="F4340" s="783" t="s">
        <v>4011</v>
      </c>
      <c r="G4340" s="783" t="str">
        <f t="shared" si="231"/>
        <v>Renewal (25% in 2020)</v>
      </c>
      <c r="H4340" s="783" t="s">
        <v>6664</v>
      </c>
      <c r="I4340" s="783" t="s">
        <v>6665</v>
      </c>
      <c r="J4340" s="783">
        <v>30</v>
      </c>
      <c r="K4340" s="783" t="s">
        <v>765</v>
      </c>
      <c r="L4340" s="783" t="s">
        <v>4014</v>
      </c>
      <c r="M4340" s="784">
        <v>6810</v>
      </c>
      <c r="N4340" s="784">
        <v>6</v>
      </c>
      <c r="O4340" s="784">
        <v>2.27</v>
      </c>
      <c r="P4340" s="783">
        <v>500</v>
      </c>
      <c r="Q4340" s="783">
        <v>328.92</v>
      </c>
      <c r="R4340" s="783">
        <v>242.36</v>
      </c>
      <c r="S4340" s="783">
        <v>20.5</v>
      </c>
      <c r="T4340" s="783">
        <v>66.06</v>
      </c>
      <c r="U4340" s="785">
        <v>44687.666585648098</v>
      </c>
    </row>
    <row r="4341" spans="1:21">
      <c r="A4341" s="782">
        <v>44715</v>
      </c>
      <c r="B4341" s="783" t="s">
        <v>51</v>
      </c>
      <c r="C4341" s="783" t="s">
        <v>4042</v>
      </c>
      <c r="D4341" s="783" t="s">
        <v>4016</v>
      </c>
      <c r="E4341" s="783" t="s">
        <v>3849</v>
      </c>
      <c r="F4341" s="783" t="s">
        <v>4011</v>
      </c>
      <c r="G4341" s="783" t="str">
        <f t="shared" si="231"/>
        <v>Renewal (15% in 2020)</v>
      </c>
      <c r="H4341" s="783" t="s">
        <v>5561</v>
      </c>
      <c r="I4341" s="783" t="s">
        <v>5562</v>
      </c>
      <c r="J4341" s="783">
        <v>15</v>
      </c>
      <c r="K4341" s="783" t="s">
        <v>765</v>
      </c>
      <c r="L4341" s="783" t="s">
        <v>4014</v>
      </c>
      <c r="M4341" s="784">
        <v>29110.48</v>
      </c>
      <c r="N4341" s="784">
        <v>22.36</v>
      </c>
      <c r="O4341" s="784">
        <v>2.77</v>
      </c>
      <c r="P4341" s="783">
        <v>470</v>
      </c>
      <c r="Q4341" s="783">
        <v>2978</v>
      </c>
      <c r="R4341" s="783">
        <v>1504.75</v>
      </c>
      <c r="S4341" s="783">
        <v>279.73</v>
      </c>
      <c r="T4341" s="783">
        <v>1193.53</v>
      </c>
      <c r="U4341" s="785">
        <v>44715.466388888897</v>
      </c>
    </row>
    <row r="4342" spans="1:21">
      <c r="A4342" s="782">
        <v>44705</v>
      </c>
      <c r="B4342" s="783" t="s">
        <v>41</v>
      </c>
      <c r="C4342" s="783" t="s">
        <v>4082</v>
      </c>
      <c r="D4342" s="783" t="s">
        <v>4009</v>
      </c>
      <c r="E4342" s="783" t="s">
        <v>535</v>
      </c>
      <c r="F4342" s="783" t="s">
        <v>4011</v>
      </c>
      <c r="G4342" s="783" t="str">
        <f t="shared" si="231"/>
        <v>Renewal (20% in 2020)</v>
      </c>
      <c r="H4342" s="783" t="s">
        <v>5563</v>
      </c>
      <c r="I4342" s="783" t="s">
        <v>5564</v>
      </c>
      <c r="J4342" s="783">
        <v>20</v>
      </c>
      <c r="K4342" s="783" t="s">
        <v>765</v>
      </c>
      <c r="L4342" s="783" t="s">
        <v>4014</v>
      </c>
      <c r="M4342" s="784">
        <v>3154.12</v>
      </c>
      <c r="N4342" s="784">
        <v>2.77</v>
      </c>
      <c r="O4342" s="784">
        <v>2.4700000000000002</v>
      </c>
      <c r="P4342" s="783">
        <v>461</v>
      </c>
      <c r="Q4342" s="783">
        <v>234.67</v>
      </c>
      <c r="R4342" s="783">
        <v>137.52000000000001</v>
      </c>
      <c r="S4342" s="783">
        <v>26.81</v>
      </c>
      <c r="T4342" s="783">
        <v>70.34</v>
      </c>
      <c r="U4342" s="785">
        <v>44706.465775463003</v>
      </c>
    </row>
    <row r="4343" spans="1:21">
      <c r="A4343" s="782">
        <v>44700</v>
      </c>
      <c r="B4343" s="783" t="s">
        <v>41</v>
      </c>
      <c r="C4343" s="783" t="s">
        <v>4071</v>
      </c>
      <c r="D4343" s="783" t="s">
        <v>4009</v>
      </c>
      <c r="E4343" s="783" t="s">
        <v>5565</v>
      </c>
      <c r="F4343" s="783" t="s">
        <v>4011</v>
      </c>
      <c r="G4343" s="783" t="s">
        <v>4028</v>
      </c>
      <c r="H4343" s="783" t="s">
        <v>5566</v>
      </c>
      <c r="I4343" s="783" t="s">
        <v>5567</v>
      </c>
      <c r="J4343" s="783">
        <v>25</v>
      </c>
      <c r="K4343" s="783" t="s">
        <v>765</v>
      </c>
      <c r="L4343" s="783" t="s">
        <v>4014</v>
      </c>
      <c r="M4343" s="784">
        <v>12474</v>
      </c>
      <c r="N4343" s="784">
        <v>11.34</v>
      </c>
      <c r="O4343" s="784">
        <v>2.2000000000000002</v>
      </c>
      <c r="P4343" s="783">
        <v>500</v>
      </c>
      <c r="Q4343" s="783">
        <v>570.05999999999995</v>
      </c>
      <c r="R4343" s="783">
        <v>410.59</v>
      </c>
      <c r="S4343" s="783">
        <v>105.84</v>
      </c>
      <c r="T4343" s="783">
        <v>53.64</v>
      </c>
      <c r="U4343" s="785">
        <v>44705.666585648098</v>
      </c>
    </row>
    <row r="4344" spans="1:21">
      <c r="A4344" s="782">
        <v>44703</v>
      </c>
      <c r="B4344" s="783" t="s">
        <v>41</v>
      </c>
      <c r="C4344" s="783" t="s">
        <v>4071</v>
      </c>
      <c r="D4344" s="783" t="s">
        <v>4009</v>
      </c>
      <c r="E4344" s="783" t="s">
        <v>4147</v>
      </c>
      <c r="F4344" s="783" t="s">
        <v>4011</v>
      </c>
      <c r="G4344" s="783" t="str">
        <f>VLOOKUP(I4344,pacage,2,FALSE)</f>
        <v>Renewal (15% in 2020)</v>
      </c>
      <c r="H4344" s="783" t="s">
        <v>4148</v>
      </c>
      <c r="I4344" s="783" t="s">
        <v>4149</v>
      </c>
      <c r="J4344" s="783">
        <v>15</v>
      </c>
      <c r="K4344" s="783" t="s">
        <v>765</v>
      </c>
      <c r="L4344" s="783" t="s">
        <v>4014</v>
      </c>
      <c r="M4344" s="784">
        <v>39112.120000000003</v>
      </c>
      <c r="N4344" s="784">
        <v>45.37</v>
      </c>
      <c r="O4344" s="784">
        <v>1.87</v>
      </c>
      <c r="P4344" s="783">
        <v>461</v>
      </c>
      <c r="Q4344" s="783">
        <v>3113.32</v>
      </c>
      <c r="R4344" s="783">
        <v>1396.3</v>
      </c>
      <c r="S4344" s="783">
        <v>222.94</v>
      </c>
      <c r="T4344" s="783">
        <v>1494.08</v>
      </c>
      <c r="U4344" s="785">
        <v>44704.407847222203</v>
      </c>
    </row>
    <row r="4345" spans="1:21">
      <c r="A4345" s="782">
        <v>44701</v>
      </c>
      <c r="B4345" s="783" t="s">
        <v>1274</v>
      </c>
      <c r="C4345" s="783" t="s">
        <v>4139</v>
      </c>
      <c r="D4345" s="783" t="s">
        <v>4009</v>
      </c>
      <c r="E4345" s="783" t="s">
        <v>5568</v>
      </c>
      <c r="F4345" s="783" t="s">
        <v>4011</v>
      </c>
      <c r="G4345" s="783" t="s">
        <v>4028</v>
      </c>
      <c r="H4345" s="783" t="s">
        <v>5569</v>
      </c>
      <c r="I4345" s="783" t="s">
        <v>5570</v>
      </c>
      <c r="J4345" s="783">
        <v>25</v>
      </c>
      <c r="K4345" s="783" t="s">
        <v>765</v>
      </c>
      <c r="L4345" s="783" t="s">
        <v>4014</v>
      </c>
      <c r="M4345" s="784">
        <v>38657.25</v>
      </c>
      <c r="N4345" s="784">
        <v>34.5</v>
      </c>
      <c r="O4345" s="784">
        <v>2.4900000000000002</v>
      </c>
      <c r="P4345" s="783">
        <v>450</v>
      </c>
      <c r="Q4345" s="783">
        <v>1515.36</v>
      </c>
      <c r="R4345" s="783">
        <v>1186.78</v>
      </c>
      <c r="S4345" s="783">
        <v>189.42</v>
      </c>
      <c r="T4345" s="783">
        <v>139.16999999999999</v>
      </c>
      <c r="U4345" s="785">
        <v>44704.417534722197</v>
      </c>
    </row>
    <row r="4346" spans="1:21">
      <c r="A4346" s="782">
        <v>44701</v>
      </c>
      <c r="B4346" s="783" t="s">
        <v>41</v>
      </c>
      <c r="C4346" s="783" t="s">
        <v>4071</v>
      </c>
      <c r="D4346" s="783" t="s">
        <v>4009</v>
      </c>
      <c r="E4346" s="783" t="s">
        <v>5571</v>
      </c>
      <c r="F4346" s="783" t="s">
        <v>4011</v>
      </c>
      <c r="G4346" s="783" t="str">
        <f t="shared" ref="G4346:G4353" si="232">VLOOKUP(I4346,pacage,2,FALSE)</f>
        <v>New Contract</v>
      </c>
      <c r="H4346" s="783" t="s">
        <v>5572</v>
      </c>
      <c r="I4346" s="783" t="s">
        <v>5573</v>
      </c>
      <c r="J4346" s="783">
        <v>25</v>
      </c>
      <c r="K4346" s="783" t="s">
        <v>765</v>
      </c>
      <c r="L4346" s="783" t="s">
        <v>4014</v>
      </c>
      <c r="M4346" s="784">
        <v>22895.599999999999</v>
      </c>
      <c r="N4346" s="784">
        <v>22.1</v>
      </c>
      <c r="O4346" s="784">
        <v>2.59</v>
      </c>
      <c r="P4346" s="783">
        <v>400</v>
      </c>
      <c r="Q4346" s="783">
        <v>1046.33</v>
      </c>
      <c r="R4346" s="783">
        <v>817.37</v>
      </c>
      <c r="S4346" s="783">
        <v>130.5</v>
      </c>
      <c r="T4346" s="783">
        <v>98.45</v>
      </c>
      <c r="U4346" s="785">
        <v>44704.414976851898</v>
      </c>
    </row>
    <row r="4347" spans="1:21">
      <c r="A4347" s="782">
        <v>44705</v>
      </c>
      <c r="B4347" s="783" t="s">
        <v>74</v>
      </c>
      <c r="C4347" s="783" t="s">
        <v>4097</v>
      </c>
      <c r="D4347" s="783" t="s">
        <v>4038</v>
      </c>
      <c r="E4347" s="783" t="s">
        <v>5577</v>
      </c>
      <c r="F4347" s="783" t="s">
        <v>4011</v>
      </c>
      <c r="G4347" s="783" t="str">
        <f t="shared" si="232"/>
        <v>Renewal (20% in 2020)</v>
      </c>
      <c r="H4347" s="783" t="s">
        <v>5578</v>
      </c>
      <c r="I4347" s="783" t="s">
        <v>5579</v>
      </c>
      <c r="J4347" s="783">
        <v>20</v>
      </c>
      <c r="K4347" s="783" t="s">
        <v>765</v>
      </c>
      <c r="L4347" s="783" t="s">
        <v>4014</v>
      </c>
      <c r="M4347" s="784">
        <v>36520</v>
      </c>
      <c r="N4347" s="784">
        <v>45.65</v>
      </c>
      <c r="O4347" s="784">
        <v>2</v>
      </c>
      <c r="P4347" s="783">
        <v>400</v>
      </c>
      <c r="Q4347" s="783">
        <v>2947.16</v>
      </c>
      <c r="R4347" s="783">
        <v>1785.83</v>
      </c>
      <c r="S4347" s="783">
        <v>292.16000000000003</v>
      </c>
      <c r="T4347" s="783">
        <v>869.18</v>
      </c>
      <c r="U4347" s="785">
        <v>44708.952141203699</v>
      </c>
    </row>
    <row r="4348" spans="1:21">
      <c r="A4348" s="782">
        <v>44704</v>
      </c>
      <c r="B4348" s="783" t="s">
        <v>41</v>
      </c>
      <c r="C4348" s="783" t="s">
        <v>4071</v>
      </c>
      <c r="D4348" s="783" t="s">
        <v>4009</v>
      </c>
      <c r="E4348" s="783" t="s">
        <v>322</v>
      </c>
      <c r="F4348" s="783" t="s">
        <v>4011</v>
      </c>
      <c r="G4348" s="783" t="str">
        <f t="shared" si="232"/>
        <v>Renewal (20% in 2020)</v>
      </c>
      <c r="H4348" s="783" t="s">
        <v>5580</v>
      </c>
      <c r="I4348" s="783" t="s">
        <v>5581</v>
      </c>
      <c r="J4348" s="783">
        <v>20</v>
      </c>
      <c r="K4348" s="783" t="s">
        <v>765</v>
      </c>
      <c r="L4348" s="783" t="s">
        <v>4014</v>
      </c>
      <c r="M4348" s="784">
        <v>17061.12</v>
      </c>
      <c r="N4348" s="784">
        <v>14.81</v>
      </c>
      <c r="O4348" s="784">
        <v>2.4</v>
      </c>
      <c r="P4348" s="783">
        <v>480</v>
      </c>
      <c r="Q4348" s="783">
        <v>1011.72</v>
      </c>
      <c r="R4348" s="783">
        <v>584.97</v>
      </c>
      <c r="S4348" s="783">
        <v>121.36</v>
      </c>
      <c r="T4348" s="783">
        <v>305.39</v>
      </c>
      <c r="U4348" s="785">
        <v>44708.801157407397</v>
      </c>
    </row>
    <row r="4349" spans="1:21">
      <c r="A4349" s="782">
        <v>44712</v>
      </c>
      <c r="B4349" s="783" t="s">
        <v>51</v>
      </c>
      <c r="C4349" s="783" t="s">
        <v>4042</v>
      </c>
      <c r="D4349" s="783" t="s">
        <v>4016</v>
      </c>
      <c r="E4349" s="783" t="s">
        <v>1353</v>
      </c>
      <c r="F4349" s="783" t="s">
        <v>4011</v>
      </c>
      <c r="G4349" s="783" t="str">
        <f t="shared" si="232"/>
        <v>Renewal (30% in 2020)</v>
      </c>
      <c r="H4349" s="783" t="s">
        <v>5582</v>
      </c>
      <c r="I4349" s="783" t="s">
        <v>5583</v>
      </c>
      <c r="J4349" s="783">
        <v>30</v>
      </c>
      <c r="K4349" s="783" t="s">
        <v>765</v>
      </c>
      <c r="L4349" s="783" t="s">
        <v>4014</v>
      </c>
      <c r="M4349" s="784">
        <v>28260.9</v>
      </c>
      <c r="N4349" s="784">
        <v>23.26</v>
      </c>
      <c r="O4349" s="784">
        <v>2.7</v>
      </c>
      <c r="P4349" s="783">
        <v>450</v>
      </c>
      <c r="Q4349" s="783">
        <v>1783.26</v>
      </c>
      <c r="R4349" s="783">
        <v>1489.35</v>
      </c>
      <c r="S4349" s="783">
        <v>0</v>
      </c>
      <c r="T4349" s="783">
        <v>293.91000000000003</v>
      </c>
      <c r="U4349" s="785">
        <v>44714.001111111102</v>
      </c>
    </row>
    <row r="4350" spans="1:21">
      <c r="A4350" s="782">
        <v>44705</v>
      </c>
      <c r="B4350" s="783" t="s">
        <v>118</v>
      </c>
      <c r="C4350" s="783" t="s">
        <v>4139</v>
      </c>
      <c r="D4350" s="783" t="s">
        <v>4009</v>
      </c>
      <c r="E4350" s="783" t="s">
        <v>5586</v>
      </c>
      <c r="F4350" s="783" t="s">
        <v>4011</v>
      </c>
      <c r="G4350" s="783" t="str">
        <f t="shared" si="232"/>
        <v>Renewal (15% in 2020)</v>
      </c>
      <c r="H4350" s="783" t="s">
        <v>5587</v>
      </c>
      <c r="I4350" s="783" t="s">
        <v>5588</v>
      </c>
      <c r="J4350" s="783">
        <v>15</v>
      </c>
      <c r="K4350" s="783" t="s">
        <v>765</v>
      </c>
      <c r="L4350" s="783" t="s">
        <v>4014</v>
      </c>
      <c r="M4350" s="784">
        <v>14634.9</v>
      </c>
      <c r="N4350" s="784">
        <v>14.14</v>
      </c>
      <c r="O4350" s="784">
        <v>2.2999999999999998</v>
      </c>
      <c r="P4350" s="783">
        <v>450</v>
      </c>
      <c r="Q4350" s="783">
        <v>1001.03</v>
      </c>
      <c r="R4350" s="783">
        <v>449.29</v>
      </c>
      <c r="S4350" s="783">
        <v>71.709999999999994</v>
      </c>
      <c r="T4350" s="783">
        <v>480.02</v>
      </c>
      <c r="U4350" s="785">
        <v>44706.462696759299</v>
      </c>
    </row>
    <row r="4351" spans="1:21">
      <c r="A4351" s="782">
        <v>44706</v>
      </c>
      <c r="B4351" s="783" t="s">
        <v>41</v>
      </c>
      <c r="C4351" s="783" t="s">
        <v>4092</v>
      </c>
      <c r="D4351" s="783" t="s">
        <v>4009</v>
      </c>
      <c r="E4351" s="783" t="s">
        <v>4641</v>
      </c>
      <c r="F4351" s="783" t="s">
        <v>4011</v>
      </c>
      <c r="G4351" s="783" t="str">
        <f t="shared" si="232"/>
        <v>Renewal (15% in 2020)</v>
      </c>
      <c r="H4351" s="783" t="s">
        <v>4642</v>
      </c>
      <c r="I4351" s="783" t="s">
        <v>4643</v>
      </c>
      <c r="J4351" s="783">
        <v>20</v>
      </c>
      <c r="K4351" s="783" t="s">
        <v>765</v>
      </c>
      <c r="L4351" s="783" t="s">
        <v>4014</v>
      </c>
      <c r="M4351" s="784">
        <v>7099.81</v>
      </c>
      <c r="N4351" s="784">
        <v>6.51</v>
      </c>
      <c r="O4351" s="784">
        <v>2.87</v>
      </c>
      <c r="P4351" s="783">
        <v>380</v>
      </c>
      <c r="Q4351" s="783">
        <v>596.38</v>
      </c>
      <c r="R4351" s="783">
        <v>349.31</v>
      </c>
      <c r="S4351" s="783">
        <v>68.16</v>
      </c>
      <c r="T4351" s="783">
        <v>178.92</v>
      </c>
      <c r="U4351" s="785">
        <v>44706.619212963</v>
      </c>
    </row>
    <row r="4352" spans="1:21">
      <c r="A4352" s="782">
        <v>44706</v>
      </c>
      <c r="B4352" s="783" t="s">
        <v>113</v>
      </c>
      <c r="C4352" s="783" t="s">
        <v>4097</v>
      </c>
      <c r="D4352" s="783" t="s">
        <v>4038</v>
      </c>
      <c r="E4352" s="783" t="s">
        <v>4644</v>
      </c>
      <c r="F4352" s="783" t="s">
        <v>4011</v>
      </c>
      <c r="G4352" s="783" t="str">
        <f t="shared" si="232"/>
        <v>Renewal (15% in 2020)</v>
      </c>
      <c r="H4352" s="783" t="s">
        <v>4645</v>
      </c>
      <c r="I4352" s="783" t="s">
        <v>4646</v>
      </c>
      <c r="J4352" s="783">
        <v>15</v>
      </c>
      <c r="K4352" s="783" t="s">
        <v>765</v>
      </c>
      <c r="L4352" s="783" t="s">
        <v>4014</v>
      </c>
      <c r="M4352" s="784">
        <v>16759.16</v>
      </c>
      <c r="N4352" s="784">
        <v>24.81</v>
      </c>
      <c r="O4352" s="784">
        <v>1.93</v>
      </c>
      <c r="P4352" s="783">
        <v>350</v>
      </c>
      <c r="Q4352" s="783">
        <v>1639.05</v>
      </c>
      <c r="R4352" s="783">
        <v>819.52</v>
      </c>
      <c r="S4352" s="783">
        <v>134.07</v>
      </c>
      <c r="T4352" s="783">
        <v>685.45</v>
      </c>
      <c r="U4352" s="785">
        <v>44706.638182870403</v>
      </c>
    </row>
    <row r="4353" spans="1:21">
      <c r="A4353" s="782">
        <v>44707</v>
      </c>
      <c r="B4353" s="783" t="s">
        <v>41</v>
      </c>
      <c r="C4353" s="783" t="s">
        <v>4071</v>
      </c>
      <c r="D4353" s="783" t="s">
        <v>4009</v>
      </c>
      <c r="E4353" s="783" t="s">
        <v>5594</v>
      </c>
      <c r="F4353" s="783" t="s">
        <v>4011</v>
      </c>
      <c r="G4353" s="783" t="str">
        <f t="shared" si="232"/>
        <v>New Contract</v>
      </c>
      <c r="H4353" s="783" t="s">
        <v>5595</v>
      </c>
      <c r="I4353" s="783" t="s">
        <v>5596</v>
      </c>
      <c r="J4353" s="783">
        <v>25</v>
      </c>
      <c r="K4353" s="783" t="s">
        <v>765</v>
      </c>
      <c r="L4353" s="783" t="s">
        <v>4014</v>
      </c>
      <c r="M4353" s="784">
        <v>9271.7199999999993</v>
      </c>
      <c r="N4353" s="784">
        <v>8.86</v>
      </c>
      <c r="O4353" s="784">
        <v>2.27</v>
      </c>
      <c r="P4353" s="783">
        <v>461</v>
      </c>
      <c r="Q4353" s="783">
        <v>423.72</v>
      </c>
      <c r="R4353" s="783">
        <v>331</v>
      </c>
      <c r="S4353" s="783">
        <v>52.85</v>
      </c>
      <c r="T4353" s="783">
        <v>39.869999999999997</v>
      </c>
      <c r="U4353" s="785">
        <v>44708.583842592598</v>
      </c>
    </row>
    <row r="4354" spans="1:21">
      <c r="A4354" s="782">
        <v>44712</v>
      </c>
      <c r="B4354" s="783" t="s">
        <v>34</v>
      </c>
      <c r="C4354" s="783" t="s">
        <v>4082</v>
      </c>
      <c r="D4354" s="783" t="s">
        <v>4009</v>
      </c>
      <c r="E4354" s="783" t="s">
        <v>6489</v>
      </c>
      <c r="F4354" s="783" t="s">
        <v>4011</v>
      </c>
      <c r="G4354" s="783" t="s">
        <v>4028</v>
      </c>
      <c r="H4354" s="783" t="s">
        <v>6490</v>
      </c>
      <c r="I4354" s="783" t="s">
        <v>6491</v>
      </c>
      <c r="J4354" s="783">
        <v>25</v>
      </c>
      <c r="K4354" s="783" t="s">
        <v>765</v>
      </c>
      <c r="L4354" s="783" t="s">
        <v>4014</v>
      </c>
      <c r="M4354" s="784">
        <v>42212.73</v>
      </c>
      <c r="N4354" s="784">
        <v>30.64</v>
      </c>
      <c r="O4354" s="784">
        <v>2.2999999999999998</v>
      </c>
      <c r="P4354" s="783">
        <v>599</v>
      </c>
      <c r="Q4354" s="783">
        <v>2414.5700000000002</v>
      </c>
      <c r="R4354" s="783">
        <v>1416.46</v>
      </c>
      <c r="S4354" s="783">
        <v>782.82</v>
      </c>
      <c r="T4354" s="783">
        <v>215.28</v>
      </c>
      <c r="U4354" s="785">
        <v>44714.671759259298</v>
      </c>
    </row>
    <row r="4355" spans="1:21">
      <c r="A4355" s="782">
        <v>44701</v>
      </c>
      <c r="B4355" s="783" t="s">
        <v>51</v>
      </c>
      <c r="C4355" s="783" t="s">
        <v>4042</v>
      </c>
      <c r="D4355" s="783" t="s">
        <v>4016</v>
      </c>
      <c r="E4355" s="783" t="s">
        <v>5603</v>
      </c>
      <c r="F4355" s="783" t="s">
        <v>4011</v>
      </c>
      <c r="G4355" s="783" t="str">
        <f t="shared" ref="G4355:G4367" si="233">VLOOKUP(I4355,pacage,2,FALSE)</f>
        <v>Renewal (15% in 2020)</v>
      </c>
      <c r="H4355" s="783" t="s">
        <v>5604</v>
      </c>
      <c r="I4355" s="783" t="s">
        <v>5605</v>
      </c>
      <c r="J4355" s="783">
        <v>15</v>
      </c>
      <c r="K4355" s="783" t="s">
        <v>765</v>
      </c>
      <c r="L4355" s="783" t="s">
        <v>4014</v>
      </c>
      <c r="M4355" s="784">
        <v>47366.400000000001</v>
      </c>
      <c r="N4355" s="784">
        <v>49.34</v>
      </c>
      <c r="O4355" s="784">
        <v>2.4</v>
      </c>
      <c r="P4355" s="783">
        <v>400</v>
      </c>
      <c r="Q4355" s="783">
        <v>4845.58</v>
      </c>
      <c r="R4355" s="783">
        <v>2496.21</v>
      </c>
      <c r="S4355" s="783">
        <v>407.35</v>
      </c>
      <c r="T4355" s="783">
        <v>1942.02</v>
      </c>
      <c r="U4355" s="785">
        <v>44704.418981481504</v>
      </c>
    </row>
    <row r="4356" spans="1:21">
      <c r="A4356" s="782">
        <v>44704</v>
      </c>
      <c r="B4356" s="783" t="s">
        <v>41</v>
      </c>
      <c r="C4356" s="783" t="s">
        <v>4092</v>
      </c>
      <c r="D4356" s="783" t="s">
        <v>4009</v>
      </c>
      <c r="E4356" s="783" t="s">
        <v>81</v>
      </c>
      <c r="F4356" s="783" t="s">
        <v>4011</v>
      </c>
      <c r="G4356" s="783" t="str">
        <f t="shared" si="233"/>
        <v>Renewal (20% in 2020)</v>
      </c>
      <c r="H4356" s="783" t="s">
        <v>5606</v>
      </c>
      <c r="I4356" s="783" t="s">
        <v>5607</v>
      </c>
      <c r="J4356" s="783">
        <v>20</v>
      </c>
      <c r="K4356" s="783" t="s">
        <v>765</v>
      </c>
      <c r="L4356" s="783" t="s">
        <v>4014</v>
      </c>
      <c r="M4356" s="784">
        <v>21991.37</v>
      </c>
      <c r="N4356" s="784">
        <v>23.48</v>
      </c>
      <c r="O4356" s="784">
        <v>2.23</v>
      </c>
      <c r="P4356" s="783">
        <v>420</v>
      </c>
      <c r="Q4356" s="783">
        <v>1847.27</v>
      </c>
      <c r="R4356" s="783">
        <v>1081.98</v>
      </c>
      <c r="S4356" s="783">
        <v>211.12</v>
      </c>
      <c r="T4356" s="783">
        <v>554.17999999999995</v>
      </c>
      <c r="U4356" s="785">
        <v>44704.571990740696</v>
      </c>
    </row>
    <row r="4357" spans="1:21">
      <c r="A4357" s="782">
        <v>44709</v>
      </c>
      <c r="B4357" s="783" t="s">
        <v>41</v>
      </c>
      <c r="C4357" s="783" t="s">
        <v>4092</v>
      </c>
      <c r="D4357" s="783" t="s">
        <v>4009</v>
      </c>
      <c r="E4357" s="783" t="s">
        <v>5608</v>
      </c>
      <c r="F4357" s="783" t="s">
        <v>4011</v>
      </c>
      <c r="G4357" s="783" t="str">
        <f t="shared" si="233"/>
        <v>Renewal (15% in 2020)</v>
      </c>
      <c r="H4357" s="783" t="s">
        <v>5609</v>
      </c>
      <c r="I4357" s="783" t="s">
        <v>5610</v>
      </c>
      <c r="J4357" s="783">
        <v>15</v>
      </c>
      <c r="K4357" s="783" t="s">
        <v>765</v>
      </c>
      <c r="L4357" s="783" t="s">
        <v>4014</v>
      </c>
      <c r="M4357" s="784">
        <v>10982.3</v>
      </c>
      <c r="N4357" s="784">
        <v>12.96</v>
      </c>
      <c r="O4357" s="784">
        <v>2.23</v>
      </c>
      <c r="P4357" s="783">
        <v>380</v>
      </c>
      <c r="Q4357" s="783">
        <v>1237.71</v>
      </c>
      <c r="R4357" s="783">
        <v>540.33000000000004</v>
      </c>
      <c r="S4357" s="783">
        <v>105.43</v>
      </c>
      <c r="T4357" s="783">
        <v>591.95000000000005</v>
      </c>
      <c r="U4357" s="785">
        <v>44711.647812499999</v>
      </c>
    </row>
    <row r="4358" spans="1:21">
      <c r="A4358" s="782">
        <v>44705</v>
      </c>
      <c r="B4358" s="783" t="s">
        <v>41</v>
      </c>
      <c r="C4358" s="783" t="s">
        <v>4082</v>
      </c>
      <c r="D4358" s="783" t="s">
        <v>4009</v>
      </c>
      <c r="E4358" s="783" t="s">
        <v>1024</v>
      </c>
      <c r="F4358" s="783" t="s">
        <v>4011</v>
      </c>
      <c r="G4358" s="783" t="str">
        <f t="shared" si="233"/>
        <v>Renewal (20% in 2020)</v>
      </c>
      <c r="H4358" s="783" t="s">
        <v>4150</v>
      </c>
      <c r="I4358" s="783" t="s">
        <v>4151</v>
      </c>
      <c r="J4358" s="783">
        <v>20</v>
      </c>
      <c r="K4358" s="783" t="s">
        <v>765</v>
      </c>
      <c r="L4358" s="783" t="s">
        <v>4014</v>
      </c>
      <c r="M4358" s="784">
        <v>5689.15</v>
      </c>
      <c r="N4358" s="784">
        <v>6.72</v>
      </c>
      <c r="O4358" s="784">
        <v>2.4900000000000002</v>
      </c>
      <c r="P4358" s="783">
        <v>340</v>
      </c>
      <c r="Q4358" s="783">
        <v>423.27</v>
      </c>
      <c r="R4358" s="783">
        <v>248.05</v>
      </c>
      <c r="S4358" s="783">
        <v>48.36</v>
      </c>
      <c r="T4358" s="783">
        <v>126.87</v>
      </c>
      <c r="U4358" s="785">
        <v>44705.577141203699</v>
      </c>
    </row>
    <row r="4359" spans="1:21">
      <c r="A4359" s="782">
        <v>44685</v>
      </c>
      <c r="B4359" s="783" t="s">
        <v>41</v>
      </c>
      <c r="C4359" s="783" t="s">
        <v>4092</v>
      </c>
      <c r="D4359" s="783" t="s">
        <v>4009</v>
      </c>
      <c r="E4359" s="783" t="s">
        <v>5617</v>
      </c>
      <c r="F4359" s="783" t="s">
        <v>4011</v>
      </c>
      <c r="G4359" s="783" t="str">
        <f t="shared" si="233"/>
        <v>Renewal (15% in 2020)</v>
      </c>
      <c r="H4359" s="783" t="s">
        <v>5618</v>
      </c>
      <c r="I4359" s="783" t="s">
        <v>5619</v>
      </c>
      <c r="J4359" s="783">
        <v>15</v>
      </c>
      <c r="K4359" s="783" t="s">
        <v>765</v>
      </c>
      <c r="L4359" s="783" t="s">
        <v>4014</v>
      </c>
      <c r="M4359" s="784">
        <v>17817.87</v>
      </c>
      <c r="N4359" s="784">
        <v>19.55</v>
      </c>
      <c r="O4359" s="784">
        <v>2.17</v>
      </c>
      <c r="P4359" s="783">
        <v>420</v>
      </c>
      <c r="Q4359" s="783">
        <v>2008.07</v>
      </c>
      <c r="R4359" s="783">
        <v>876.64</v>
      </c>
      <c r="S4359" s="783">
        <v>171.05</v>
      </c>
      <c r="T4359" s="783">
        <v>960.38</v>
      </c>
      <c r="U4359" s="785">
        <v>44705.458460648202</v>
      </c>
    </row>
    <row r="4360" spans="1:21">
      <c r="A4360" s="782">
        <v>44711</v>
      </c>
      <c r="B4360" s="783" t="s">
        <v>41</v>
      </c>
      <c r="C4360" s="783" t="s">
        <v>4139</v>
      </c>
      <c r="D4360" s="783" t="s">
        <v>4009</v>
      </c>
      <c r="E4360" s="783" t="s">
        <v>549</v>
      </c>
      <c r="F4360" s="783" t="s">
        <v>4011</v>
      </c>
      <c r="G4360" s="783" t="str">
        <f t="shared" si="233"/>
        <v>Renewal (25% in 2020)</v>
      </c>
      <c r="H4360" s="783" t="s">
        <v>5626</v>
      </c>
      <c r="I4360" s="783" t="s">
        <v>5627</v>
      </c>
      <c r="J4360" s="783">
        <v>25</v>
      </c>
      <c r="K4360" s="783" t="s">
        <v>765</v>
      </c>
      <c r="L4360" s="783" t="s">
        <v>4014</v>
      </c>
      <c r="M4360" s="784">
        <v>14401.8</v>
      </c>
      <c r="N4360" s="784">
        <v>11.43</v>
      </c>
      <c r="O4360" s="784">
        <v>2.52</v>
      </c>
      <c r="P4360" s="783">
        <v>500</v>
      </c>
      <c r="Q4360" s="783">
        <v>564.54999999999995</v>
      </c>
      <c r="R4360" s="783">
        <v>407.65</v>
      </c>
      <c r="S4360" s="783">
        <v>105.06</v>
      </c>
      <c r="T4360" s="783">
        <v>51.85</v>
      </c>
      <c r="U4360" s="785">
        <v>44712.724351851903</v>
      </c>
    </row>
    <row r="4361" spans="1:21">
      <c r="A4361" s="782">
        <v>44711</v>
      </c>
      <c r="B4361" s="783" t="s">
        <v>4025</v>
      </c>
      <c r="C4361" s="783" t="s">
        <v>4026</v>
      </c>
      <c r="D4361" s="783" t="s">
        <v>4021</v>
      </c>
      <c r="E4361" s="783" t="s">
        <v>4155</v>
      </c>
      <c r="F4361" s="783" t="s">
        <v>4011</v>
      </c>
      <c r="G4361" s="783" t="str">
        <f t="shared" si="233"/>
        <v>New contract</v>
      </c>
      <c r="H4361" s="783" t="s">
        <v>4156</v>
      </c>
      <c r="I4361" s="783" t="s">
        <v>4157</v>
      </c>
      <c r="J4361" s="783">
        <v>25</v>
      </c>
      <c r="K4361" s="783" t="s">
        <v>765</v>
      </c>
      <c r="L4361" s="783" t="s">
        <v>4014</v>
      </c>
      <c r="M4361" s="784">
        <v>30022.16</v>
      </c>
      <c r="N4361" s="784">
        <v>24.12</v>
      </c>
      <c r="O4361" s="784">
        <v>2.7</v>
      </c>
      <c r="P4361" s="783">
        <v>461</v>
      </c>
      <c r="Q4361" s="783">
        <v>1789.32</v>
      </c>
      <c r="R4361" s="783">
        <v>1296.96</v>
      </c>
      <c r="S4361" s="783">
        <v>210.16</v>
      </c>
      <c r="T4361" s="783">
        <v>282.20999999999998</v>
      </c>
      <c r="U4361" s="785">
        <v>44713.9839236111</v>
      </c>
    </row>
    <row r="4362" spans="1:21">
      <c r="A4362" s="782">
        <v>44714</v>
      </c>
      <c r="B4362" s="783" t="s">
        <v>41</v>
      </c>
      <c r="C4362" s="783" t="s">
        <v>4071</v>
      </c>
      <c r="D4362" s="783" t="s">
        <v>4009</v>
      </c>
      <c r="E4362" s="783" t="s">
        <v>5631</v>
      </c>
      <c r="F4362" s="783" t="s">
        <v>4011</v>
      </c>
      <c r="G4362" s="783" t="str">
        <f t="shared" si="233"/>
        <v>Renewal (15% in 2020)</v>
      </c>
      <c r="H4362" s="783" t="s">
        <v>5632</v>
      </c>
      <c r="I4362" s="783" t="s">
        <v>5633</v>
      </c>
      <c r="J4362" s="783">
        <v>15</v>
      </c>
      <c r="K4362" s="783" t="s">
        <v>765</v>
      </c>
      <c r="L4362" s="783" t="s">
        <v>4014</v>
      </c>
      <c r="M4362" s="784">
        <v>36112.9</v>
      </c>
      <c r="N4362" s="784">
        <v>32.64</v>
      </c>
      <c r="O4362" s="784">
        <v>2.4</v>
      </c>
      <c r="P4362" s="783">
        <v>461</v>
      </c>
      <c r="Q4362" s="783">
        <v>2874.59</v>
      </c>
      <c r="R4362" s="783">
        <v>1289.23</v>
      </c>
      <c r="S4362" s="783">
        <v>205.84</v>
      </c>
      <c r="T4362" s="783">
        <v>1379.51</v>
      </c>
      <c r="U4362" s="785">
        <v>44715.466041666703</v>
      </c>
    </row>
    <row r="4363" spans="1:21">
      <c r="A4363" s="782">
        <v>44713</v>
      </c>
      <c r="B4363" s="783" t="s">
        <v>113</v>
      </c>
      <c r="C4363" s="783" t="s">
        <v>4606</v>
      </c>
      <c r="D4363" s="783" t="s">
        <v>4009</v>
      </c>
      <c r="E4363" s="783" t="s">
        <v>6929</v>
      </c>
      <c r="F4363" s="783" t="s">
        <v>4011</v>
      </c>
      <c r="G4363" s="783" t="str">
        <f t="shared" si="233"/>
        <v>Renewal (20% in 2020)</v>
      </c>
      <c r="H4363" s="783" t="s">
        <v>6930</v>
      </c>
      <c r="I4363" s="783" t="s">
        <v>6931</v>
      </c>
      <c r="J4363" s="783">
        <v>30</v>
      </c>
      <c r="K4363" s="783" t="s">
        <v>765</v>
      </c>
      <c r="L4363" s="783" t="s">
        <v>4014</v>
      </c>
      <c r="M4363" s="784">
        <v>6136.52</v>
      </c>
      <c r="N4363" s="784">
        <v>6.93</v>
      </c>
      <c r="O4363" s="784">
        <v>2.5299999999999998</v>
      </c>
      <c r="P4363" s="783">
        <v>350</v>
      </c>
      <c r="Q4363" s="783">
        <v>336.89</v>
      </c>
      <c r="R4363" s="783">
        <v>260.8</v>
      </c>
      <c r="S4363" s="783">
        <v>0</v>
      </c>
      <c r="T4363" s="783">
        <v>76.09</v>
      </c>
      <c r="U4363" s="785">
        <v>44715.441192129598</v>
      </c>
    </row>
    <row r="4364" spans="1:21">
      <c r="A4364" s="782">
        <v>44712</v>
      </c>
      <c r="B4364" s="783" t="s">
        <v>51</v>
      </c>
      <c r="C4364" s="783" t="s">
        <v>4042</v>
      </c>
      <c r="D4364" s="783" t="s">
        <v>4016</v>
      </c>
      <c r="E4364" s="783" t="s">
        <v>5636</v>
      </c>
      <c r="F4364" s="783" t="s">
        <v>4011</v>
      </c>
      <c r="G4364" s="783" t="str">
        <f t="shared" si="233"/>
        <v>Renewal (30% in 2020)</v>
      </c>
      <c r="H4364" s="783" t="s">
        <v>5637</v>
      </c>
      <c r="I4364" s="783" t="s">
        <v>5638</v>
      </c>
      <c r="J4364" s="783">
        <v>30</v>
      </c>
      <c r="K4364" s="783" t="s">
        <v>765</v>
      </c>
      <c r="L4364" s="783" t="s">
        <v>4014</v>
      </c>
      <c r="M4364" s="784">
        <v>18329.599999999999</v>
      </c>
      <c r="N4364" s="784">
        <v>14.32</v>
      </c>
      <c r="O4364" s="784">
        <v>2.56</v>
      </c>
      <c r="P4364" s="783">
        <v>500</v>
      </c>
      <c r="Q4364" s="783">
        <v>1156.5999999999999</v>
      </c>
      <c r="R4364" s="783">
        <v>890.62</v>
      </c>
      <c r="S4364" s="783">
        <v>75.349999999999994</v>
      </c>
      <c r="T4364" s="783">
        <v>190.63</v>
      </c>
      <c r="U4364" s="785">
        <v>44714.579861111102</v>
      </c>
    </row>
    <row r="4365" spans="1:21">
      <c r="A4365" s="782">
        <v>44712</v>
      </c>
      <c r="B4365" s="783" t="s">
        <v>51</v>
      </c>
      <c r="C4365" s="783" t="s">
        <v>4042</v>
      </c>
      <c r="D4365" s="783" t="s">
        <v>4016</v>
      </c>
      <c r="E4365" s="783" t="s">
        <v>5642</v>
      </c>
      <c r="F4365" s="783" t="s">
        <v>4011</v>
      </c>
      <c r="G4365" s="783" t="str">
        <f t="shared" si="233"/>
        <v>Renewal (20% in 2020)</v>
      </c>
      <c r="H4365" s="783" t="s">
        <v>5643</v>
      </c>
      <c r="I4365" s="783" t="s">
        <v>5644</v>
      </c>
      <c r="J4365" s="783">
        <v>20</v>
      </c>
      <c r="K4365" s="783" t="s">
        <v>765</v>
      </c>
      <c r="L4365" s="783" t="s">
        <v>4014</v>
      </c>
      <c r="M4365" s="784">
        <v>28479.66</v>
      </c>
      <c r="N4365" s="784">
        <v>26.86</v>
      </c>
      <c r="O4365" s="784">
        <v>2.2999999999999998</v>
      </c>
      <c r="P4365" s="783">
        <v>461</v>
      </c>
      <c r="Q4365" s="783">
        <v>2389.44</v>
      </c>
      <c r="R4365" s="783">
        <v>1500.88</v>
      </c>
      <c r="S4365" s="783">
        <v>244.93</v>
      </c>
      <c r="T4365" s="783">
        <v>643.64</v>
      </c>
      <c r="U4365" s="785">
        <v>44714.585717592599</v>
      </c>
    </row>
    <row r="4366" spans="1:21">
      <c r="A4366" s="782">
        <v>44712</v>
      </c>
      <c r="B4366" s="783" t="s">
        <v>41</v>
      </c>
      <c r="C4366" s="783" t="s">
        <v>4092</v>
      </c>
      <c r="D4366" s="783" t="s">
        <v>4009</v>
      </c>
      <c r="E4366" s="783" t="s">
        <v>5645</v>
      </c>
      <c r="F4366" s="783" t="s">
        <v>4011</v>
      </c>
      <c r="G4366" s="783" t="str">
        <f t="shared" si="233"/>
        <v>Renewal (15% in 2020)</v>
      </c>
      <c r="H4366" s="783" t="s">
        <v>5646</v>
      </c>
      <c r="I4366" s="783" t="s">
        <v>5647</v>
      </c>
      <c r="J4366" s="783">
        <v>15</v>
      </c>
      <c r="K4366" s="783" t="s">
        <v>765</v>
      </c>
      <c r="L4366" s="783" t="s">
        <v>4014</v>
      </c>
      <c r="M4366" s="784">
        <v>20339.82</v>
      </c>
      <c r="N4366" s="784">
        <v>15.64</v>
      </c>
      <c r="O4366" s="784">
        <v>2.89</v>
      </c>
      <c r="P4366" s="783">
        <v>450</v>
      </c>
      <c r="Q4366" s="783">
        <v>2292.3000000000002</v>
      </c>
      <c r="R4366" s="783">
        <v>1000.72</v>
      </c>
      <c r="S4366" s="783">
        <v>195.26</v>
      </c>
      <c r="T4366" s="783">
        <v>1096.32</v>
      </c>
      <c r="U4366" s="785">
        <v>44714.586956018502</v>
      </c>
    </row>
    <row r="4367" spans="1:21">
      <c r="A4367" s="782">
        <v>44713</v>
      </c>
      <c r="B4367" s="783" t="s">
        <v>51</v>
      </c>
      <c r="C4367" s="783" t="s">
        <v>4042</v>
      </c>
      <c r="D4367" s="783" t="s">
        <v>4016</v>
      </c>
      <c r="E4367" s="783" t="s">
        <v>1417</v>
      </c>
      <c r="F4367" s="783" t="s">
        <v>4011</v>
      </c>
      <c r="G4367" s="783" t="str">
        <f t="shared" si="233"/>
        <v>Renewal (20% in 2020)</v>
      </c>
      <c r="H4367" s="783" t="s">
        <v>5648</v>
      </c>
      <c r="I4367" s="783" t="s">
        <v>5649</v>
      </c>
      <c r="J4367" s="783">
        <v>20</v>
      </c>
      <c r="K4367" s="783" t="s">
        <v>765</v>
      </c>
      <c r="L4367" s="783" t="s">
        <v>4014</v>
      </c>
      <c r="M4367" s="784">
        <v>19718.400000000001</v>
      </c>
      <c r="N4367" s="784">
        <v>25.28</v>
      </c>
      <c r="O4367" s="784">
        <v>2.6</v>
      </c>
      <c r="P4367" s="783">
        <v>300</v>
      </c>
      <c r="Q4367" s="783">
        <v>1654.37</v>
      </c>
      <c r="R4367" s="783">
        <v>1039.1600000000001</v>
      </c>
      <c r="S4367" s="783">
        <v>169.58</v>
      </c>
      <c r="T4367" s="783">
        <v>445.64</v>
      </c>
      <c r="U4367" s="785">
        <v>44713.507662037002</v>
      </c>
    </row>
    <row r="4368" spans="1:21">
      <c r="A4368" s="782">
        <v>44713</v>
      </c>
      <c r="B4368" s="783" t="s">
        <v>3078</v>
      </c>
      <c r="C4368" s="783" t="s">
        <v>4414</v>
      </c>
      <c r="D4368" s="783" t="s">
        <v>4009</v>
      </c>
      <c r="E4368" s="783" t="s">
        <v>5650</v>
      </c>
      <c r="F4368" s="783" t="s">
        <v>4066</v>
      </c>
      <c r="G4368" s="783" t="s">
        <v>4028</v>
      </c>
      <c r="H4368" s="783" t="s">
        <v>5651</v>
      </c>
      <c r="I4368" s="783" t="s">
        <v>5652</v>
      </c>
      <c r="J4368" s="783">
        <v>10</v>
      </c>
      <c r="K4368" s="783" t="s">
        <v>765</v>
      </c>
      <c r="L4368" s="783" t="s">
        <v>4014</v>
      </c>
      <c r="M4368" s="784">
        <v>64816.6</v>
      </c>
      <c r="N4368" s="784">
        <v>76</v>
      </c>
      <c r="O4368" s="784">
        <v>1.85</v>
      </c>
      <c r="P4368" s="783">
        <v>461</v>
      </c>
      <c r="Q4368" s="783">
        <v>3234.35</v>
      </c>
      <c r="R4368" s="783">
        <v>0</v>
      </c>
      <c r="S4368" s="783">
        <v>0</v>
      </c>
      <c r="T4368" s="783">
        <v>3234.35</v>
      </c>
      <c r="U4368" s="785">
        <v>44715.418124999997</v>
      </c>
    </row>
    <row r="4369" spans="1:21">
      <c r="A4369" s="782">
        <v>44715</v>
      </c>
      <c r="B4369" s="783" t="s">
        <v>882</v>
      </c>
      <c r="C4369" s="783" t="s">
        <v>5656</v>
      </c>
      <c r="D4369" s="783" t="s">
        <v>4248</v>
      </c>
      <c r="E4369" s="783" t="s">
        <v>5657</v>
      </c>
      <c r="F4369" s="783" t="s">
        <v>4011</v>
      </c>
      <c r="G4369" s="783" t="str">
        <f t="shared" ref="G4369:G4375" si="234">VLOOKUP(I4369,pacage,2,FALSE)</f>
        <v>New Contract</v>
      </c>
      <c r="H4369" s="783" t="s">
        <v>5658</v>
      </c>
      <c r="I4369" s="783" t="s">
        <v>5659</v>
      </c>
      <c r="J4369" s="783">
        <v>25</v>
      </c>
      <c r="K4369" s="783" t="s">
        <v>765</v>
      </c>
      <c r="L4369" s="783" t="s">
        <v>4014</v>
      </c>
      <c r="M4369" s="784">
        <v>39351.61</v>
      </c>
      <c r="N4369" s="784">
        <v>30.27</v>
      </c>
      <c r="O4369" s="784">
        <v>2.82</v>
      </c>
      <c r="P4369" s="783">
        <v>461</v>
      </c>
      <c r="Q4369" s="783">
        <v>2605.08</v>
      </c>
      <c r="R4369" s="783">
        <v>1979.39</v>
      </c>
      <c r="S4369" s="783">
        <v>322.68</v>
      </c>
      <c r="T4369" s="783">
        <v>303.01</v>
      </c>
      <c r="U4369" s="785">
        <v>44715.469027777799</v>
      </c>
    </row>
    <row r="4370" spans="1:21">
      <c r="A4370" s="782">
        <v>44714</v>
      </c>
      <c r="B4370" s="783" t="s">
        <v>41</v>
      </c>
      <c r="C4370" s="783" t="s">
        <v>4082</v>
      </c>
      <c r="D4370" s="783" t="s">
        <v>4009</v>
      </c>
      <c r="E4370" s="783" t="s">
        <v>960</v>
      </c>
      <c r="F4370" s="783" t="s">
        <v>4011</v>
      </c>
      <c r="G4370" s="783" t="str">
        <f t="shared" si="234"/>
        <v>Renewal (15% in 2020)</v>
      </c>
      <c r="H4370" s="783" t="s">
        <v>5663</v>
      </c>
      <c r="I4370" s="783" t="s">
        <v>5664</v>
      </c>
      <c r="J4370" s="783">
        <v>15</v>
      </c>
      <c r="K4370" s="783" t="s">
        <v>765</v>
      </c>
      <c r="L4370" s="783" t="s">
        <v>4014</v>
      </c>
      <c r="M4370" s="784">
        <v>12149.66</v>
      </c>
      <c r="N4370" s="784">
        <v>12.55</v>
      </c>
      <c r="O4370" s="784">
        <v>2.1</v>
      </c>
      <c r="P4370" s="783">
        <v>461</v>
      </c>
      <c r="Q4370" s="783">
        <v>1213.75</v>
      </c>
      <c r="R4370" s="783">
        <v>529.72</v>
      </c>
      <c r="S4370" s="783">
        <v>103.27</v>
      </c>
      <c r="T4370" s="783">
        <v>580.75</v>
      </c>
      <c r="U4370" s="785">
        <v>44715.453449074099</v>
      </c>
    </row>
    <row r="4371" spans="1:21">
      <c r="A4371" s="782">
        <v>44711</v>
      </c>
      <c r="B4371" s="783" t="s">
        <v>74</v>
      </c>
      <c r="C4371" s="783" t="s">
        <v>4097</v>
      </c>
      <c r="D4371" s="783" t="s">
        <v>4038</v>
      </c>
      <c r="E4371" s="783" t="s">
        <v>4370</v>
      </c>
      <c r="F4371" s="783" t="s">
        <v>4011</v>
      </c>
      <c r="G4371" s="783" t="str">
        <f t="shared" si="234"/>
        <v>Renewal (20% in 2020)</v>
      </c>
      <c r="H4371" s="783" t="s">
        <v>4371</v>
      </c>
      <c r="I4371" s="783" t="s">
        <v>4372</v>
      </c>
      <c r="J4371" s="783">
        <v>20</v>
      </c>
      <c r="K4371" s="783" t="s">
        <v>765</v>
      </c>
      <c r="L4371" s="783" t="s">
        <v>4014</v>
      </c>
      <c r="M4371" s="784">
        <v>56028</v>
      </c>
      <c r="N4371" s="784">
        <v>60.9</v>
      </c>
      <c r="O4371" s="784">
        <v>2.2999999999999998</v>
      </c>
      <c r="P4371" s="783">
        <v>400</v>
      </c>
      <c r="Q4371" s="783">
        <v>4521.46</v>
      </c>
      <c r="R4371" s="783">
        <v>2739.77</v>
      </c>
      <c r="S4371" s="783">
        <v>448.22</v>
      </c>
      <c r="T4371" s="783">
        <v>1333.47</v>
      </c>
      <c r="U4371" s="785">
        <v>44713.987743055601</v>
      </c>
    </row>
    <row r="4372" spans="1:21">
      <c r="A4372" s="782">
        <v>44711</v>
      </c>
      <c r="B4372" s="783" t="s">
        <v>74</v>
      </c>
      <c r="C4372" s="783" t="s">
        <v>4037</v>
      </c>
      <c r="D4372" s="783" t="s">
        <v>4038</v>
      </c>
      <c r="E4372" s="783" t="s">
        <v>4370</v>
      </c>
      <c r="F4372" s="783" t="s">
        <v>4011</v>
      </c>
      <c r="G4372" s="783" t="str">
        <f t="shared" si="234"/>
        <v>Renewal (20% in 2020)</v>
      </c>
      <c r="H4372" s="783" t="s">
        <v>4371</v>
      </c>
      <c r="I4372" s="783" t="s">
        <v>4372</v>
      </c>
      <c r="J4372" s="783">
        <v>20</v>
      </c>
      <c r="K4372" s="783" t="s">
        <v>765</v>
      </c>
      <c r="L4372" s="783" t="s">
        <v>4014</v>
      </c>
      <c r="M4372" s="784">
        <v>24354.12</v>
      </c>
      <c r="N4372" s="784">
        <v>25.69</v>
      </c>
      <c r="O4372" s="784">
        <v>2.37</v>
      </c>
      <c r="P4372" s="783">
        <v>400</v>
      </c>
      <c r="Q4372" s="783">
        <v>2118.81</v>
      </c>
      <c r="R4372" s="783">
        <v>1227.45</v>
      </c>
      <c r="S4372" s="783">
        <v>199.7</v>
      </c>
      <c r="T4372" s="783">
        <v>691.66</v>
      </c>
      <c r="U4372" s="785">
        <v>44713.987754629597</v>
      </c>
    </row>
    <row r="4373" spans="1:21">
      <c r="A4373" s="782">
        <v>44711</v>
      </c>
      <c r="B4373" s="783" t="s">
        <v>113</v>
      </c>
      <c r="C4373" s="783" t="s">
        <v>4097</v>
      </c>
      <c r="D4373" s="783" t="s">
        <v>4038</v>
      </c>
      <c r="E4373" s="783" t="s">
        <v>4373</v>
      </c>
      <c r="F4373" s="783" t="s">
        <v>4011</v>
      </c>
      <c r="G4373" s="783" t="str">
        <f t="shared" si="234"/>
        <v>Renewal (15% in 2020)</v>
      </c>
      <c r="H4373" s="783" t="s">
        <v>4374</v>
      </c>
      <c r="I4373" s="783" t="s">
        <v>4375</v>
      </c>
      <c r="J4373" s="783">
        <v>15</v>
      </c>
      <c r="K4373" s="783" t="s">
        <v>765</v>
      </c>
      <c r="L4373" s="783" t="s">
        <v>4014</v>
      </c>
      <c r="M4373" s="784">
        <v>38370.36</v>
      </c>
      <c r="N4373" s="784">
        <v>53.74</v>
      </c>
      <c r="O4373" s="784">
        <v>2.04</v>
      </c>
      <c r="P4373" s="783">
        <v>350</v>
      </c>
      <c r="Q4373" s="783">
        <v>3752.62</v>
      </c>
      <c r="R4373" s="783">
        <v>1876.31</v>
      </c>
      <c r="S4373" s="783">
        <v>306.95999999999998</v>
      </c>
      <c r="T4373" s="783">
        <v>1569.35</v>
      </c>
      <c r="U4373" s="785">
        <v>44713.979664351798</v>
      </c>
    </row>
    <row r="4374" spans="1:21">
      <c r="A4374" s="782">
        <v>44711</v>
      </c>
      <c r="B4374" s="783" t="s">
        <v>113</v>
      </c>
      <c r="C4374" s="783" t="s">
        <v>4097</v>
      </c>
      <c r="D4374" s="783" t="s">
        <v>4038</v>
      </c>
      <c r="E4374" s="783" t="s">
        <v>5665</v>
      </c>
      <c r="F4374" s="783" t="s">
        <v>4011</v>
      </c>
      <c r="G4374" s="783" t="str">
        <f t="shared" si="234"/>
        <v>Renewal (15% in 2020)</v>
      </c>
      <c r="H4374" s="783" t="s">
        <v>5666</v>
      </c>
      <c r="I4374" s="783" t="s">
        <v>5667</v>
      </c>
      <c r="J4374" s="783">
        <v>15</v>
      </c>
      <c r="K4374" s="783" t="s">
        <v>765</v>
      </c>
      <c r="L4374" s="783" t="s">
        <v>4014</v>
      </c>
      <c r="M4374" s="784">
        <v>27257.3</v>
      </c>
      <c r="N4374" s="784">
        <v>33.86</v>
      </c>
      <c r="O4374" s="784">
        <v>2.2999999999999998</v>
      </c>
      <c r="P4374" s="783">
        <v>350</v>
      </c>
      <c r="Q4374" s="783">
        <v>2665.76</v>
      </c>
      <c r="R4374" s="783">
        <v>1332.88</v>
      </c>
      <c r="S4374" s="783">
        <v>218.06</v>
      </c>
      <c r="T4374" s="783">
        <v>1114.82</v>
      </c>
      <c r="U4374" s="785">
        <v>44713.627766203703</v>
      </c>
    </row>
    <row r="4375" spans="1:21">
      <c r="A4375" s="782">
        <v>44712</v>
      </c>
      <c r="B4375" s="783" t="s">
        <v>228</v>
      </c>
      <c r="C4375" s="783" t="s">
        <v>4020</v>
      </c>
      <c r="D4375" s="783" t="s">
        <v>4021</v>
      </c>
      <c r="E4375" s="783" t="s">
        <v>5670</v>
      </c>
      <c r="F4375" s="783" t="s">
        <v>4011</v>
      </c>
      <c r="G4375" s="783" t="str">
        <f t="shared" si="234"/>
        <v>Renewal (15% in 2020)</v>
      </c>
      <c r="H4375" s="783" t="s">
        <v>5671</v>
      </c>
      <c r="I4375" s="783" t="s">
        <v>5672</v>
      </c>
      <c r="J4375" s="783">
        <v>20</v>
      </c>
      <c r="K4375" s="783" t="s">
        <v>765</v>
      </c>
      <c r="L4375" s="783" t="s">
        <v>4014</v>
      </c>
      <c r="M4375" s="784">
        <v>7815.85</v>
      </c>
      <c r="N4375" s="784">
        <v>11.41</v>
      </c>
      <c r="O4375" s="784">
        <v>1.37</v>
      </c>
      <c r="P4375" s="783">
        <v>500</v>
      </c>
      <c r="Q4375" s="783">
        <v>663.57</v>
      </c>
      <c r="R4375" s="783">
        <v>350.22</v>
      </c>
      <c r="S4375" s="783">
        <v>92.94</v>
      </c>
      <c r="T4375" s="783">
        <v>220.41</v>
      </c>
      <c r="U4375" s="785">
        <v>44714.466921296298</v>
      </c>
    </row>
    <row r="4376" spans="1:21">
      <c r="A4376" s="782">
        <v>44711</v>
      </c>
      <c r="B4376" s="783" t="s">
        <v>41</v>
      </c>
      <c r="C4376" s="783" t="s">
        <v>4071</v>
      </c>
      <c r="D4376" s="783" t="s">
        <v>4009</v>
      </c>
      <c r="E4376" s="783" t="s">
        <v>7146</v>
      </c>
      <c r="F4376" s="783" t="s">
        <v>4066</v>
      </c>
      <c r="G4376" s="783" t="s">
        <v>4028</v>
      </c>
      <c r="H4376" s="783" t="s">
        <v>7147</v>
      </c>
      <c r="I4376" s="783" t="s">
        <v>7148</v>
      </c>
      <c r="J4376" s="783">
        <v>5</v>
      </c>
      <c r="K4376" s="783" t="s">
        <v>765</v>
      </c>
      <c r="L4376" s="783" t="s">
        <v>4014</v>
      </c>
      <c r="M4376" s="784">
        <v>36101.83</v>
      </c>
      <c r="N4376" s="784">
        <v>32.630000000000003</v>
      </c>
      <c r="O4376" s="784">
        <v>2.4</v>
      </c>
      <c r="P4376" s="783">
        <v>461</v>
      </c>
      <c r="Q4376" s="783">
        <v>1588.48</v>
      </c>
      <c r="R4376" s="783">
        <v>0</v>
      </c>
      <c r="S4376" s="783">
        <v>0</v>
      </c>
      <c r="T4376" s="783">
        <v>1588.48</v>
      </c>
      <c r="U4376" s="785">
        <v>44713.9921875</v>
      </c>
    </row>
    <row r="4377" spans="1:21">
      <c r="A4377" s="782">
        <v>44711</v>
      </c>
      <c r="B4377" s="783" t="s">
        <v>41</v>
      </c>
      <c r="C4377" s="783" t="s">
        <v>4139</v>
      </c>
      <c r="D4377" s="783" t="s">
        <v>4009</v>
      </c>
      <c r="E4377" s="783" t="s">
        <v>7146</v>
      </c>
      <c r="F4377" s="783" t="s">
        <v>4066</v>
      </c>
      <c r="G4377" s="783" t="s">
        <v>4028</v>
      </c>
      <c r="H4377" s="783" t="s">
        <v>7147</v>
      </c>
      <c r="I4377" s="783" t="s">
        <v>7148</v>
      </c>
      <c r="J4377" s="783">
        <v>5</v>
      </c>
      <c r="K4377" s="783" t="s">
        <v>765</v>
      </c>
      <c r="L4377" s="783" t="s">
        <v>4014</v>
      </c>
      <c r="M4377" s="784">
        <v>19583.28</v>
      </c>
      <c r="N4377" s="784">
        <v>17.7</v>
      </c>
      <c r="O4377" s="784">
        <v>2.4</v>
      </c>
      <c r="P4377" s="783">
        <v>461</v>
      </c>
      <c r="Q4377" s="783">
        <v>808.79</v>
      </c>
      <c r="R4377" s="783">
        <v>0</v>
      </c>
      <c r="S4377" s="783">
        <v>0</v>
      </c>
      <c r="T4377" s="783">
        <v>808.79</v>
      </c>
      <c r="U4377" s="785">
        <v>44713.9921875</v>
      </c>
    </row>
    <row r="4378" spans="1:21">
      <c r="A4378" s="782">
        <v>44710</v>
      </c>
      <c r="B4378" s="783" t="s">
        <v>41</v>
      </c>
      <c r="C4378" s="783" t="s">
        <v>4008</v>
      </c>
      <c r="D4378" s="783" t="s">
        <v>4009</v>
      </c>
      <c r="E4378" s="783" t="s">
        <v>5678</v>
      </c>
      <c r="F4378" s="783" t="s">
        <v>4011</v>
      </c>
      <c r="G4378" s="783" t="str">
        <f>VLOOKUP(I4378,pacage,2,FALSE)</f>
        <v>Renewal (20% in 2020)</v>
      </c>
      <c r="H4378" s="783" t="s">
        <v>5679</v>
      </c>
      <c r="I4378" s="783" t="s">
        <v>5680</v>
      </c>
      <c r="J4378" s="783">
        <v>20</v>
      </c>
      <c r="K4378" s="783" t="s">
        <v>765</v>
      </c>
      <c r="L4378" s="783" t="s">
        <v>4014</v>
      </c>
      <c r="M4378" s="784">
        <v>19154.849999999999</v>
      </c>
      <c r="N4378" s="784">
        <v>23.5</v>
      </c>
      <c r="O4378" s="784">
        <v>2.4700000000000002</v>
      </c>
      <c r="P4378" s="783">
        <v>330</v>
      </c>
      <c r="Q4378" s="783">
        <v>1861.85</v>
      </c>
      <c r="R4378" s="783">
        <v>1042.02</v>
      </c>
      <c r="S4378" s="783">
        <v>170.48</v>
      </c>
      <c r="T4378" s="783">
        <v>649.35</v>
      </c>
      <c r="U4378" s="785">
        <v>44712.637372685203</v>
      </c>
    </row>
    <row r="4379" spans="1:21">
      <c r="A4379" s="782">
        <v>44710</v>
      </c>
      <c r="B4379" s="783" t="s">
        <v>113</v>
      </c>
      <c r="C4379" s="783" t="s">
        <v>4606</v>
      </c>
      <c r="D4379" s="783" t="s">
        <v>4009</v>
      </c>
      <c r="E4379" s="783" t="s">
        <v>6932</v>
      </c>
      <c r="F4379" s="783" t="s">
        <v>4011</v>
      </c>
      <c r="G4379" s="783" t="str">
        <f>VLOOKUP(I4379,pacage,2,FALSE)</f>
        <v>Renewal (20% in 2020)</v>
      </c>
      <c r="H4379" s="783" t="s">
        <v>6933</v>
      </c>
      <c r="I4379" s="783" t="s">
        <v>6934</v>
      </c>
      <c r="J4379" s="783">
        <v>25</v>
      </c>
      <c r="K4379" s="783" t="s">
        <v>765</v>
      </c>
      <c r="L4379" s="783" t="s">
        <v>4014</v>
      </c>
      <c r="M4379" s="784">
        <v>10227.36</v>
      </c>
      <c r="N4379" s="784">
        <v>5.96</v>
      </c>
      <c r="O4379" s="784">
        <v>2.86</v>
      </c>
      <c r="P4379" s="783">
        <v>600</v>
      </c>
      <c r="Q4379" s="783">
        <v>632.04999999999995</v>
      </c>
      <c r="R4379" s="783">
        <v>333.97</v>
      </c>
      <c r="S4379" s="783">
        <v>171.27</v>
      </c>
      <c r="T4379" s="783">
        <v>126.82</v>
      </c>
      <c r="U4379" s="785">
        <v>44712.668854166703</v>
      </c>
    </row>
    <row r="4380" spans="1:21">
      <c r="A4380" s="782">
        <v>44711</v>
      </c>
      <c r="B4380" s="783" t="s">
        <v>41</v>
      </c>
      <c r="C4380" s="783" t="s">
        <v>4092</v>
      </c>
      <c r="D4380" s="783" t="s">
        <v>4009</v>
      </c>
      <c r="E4380" s="783" t="s">
        <v>446</v>
      </c>
      <c r="F4380" s="783" t="s">
        <v>4011</v>
      </c>
      <c r="G4380" s="783" t="str">
        <f>VLOOKUP(I4380,pacage,2,FALSE)</f>
        <v>Renewal (15% in 2020)</v>
      </c>
      <c r="H4380" s="783" t="s">
        <v>5681</v>
      </c>
      <c r="I4380" s="783" t="s">
        <v>5682</v>
      </c>
      <c r="J4380" s="783">
        <v>15</v>
      </c>
      <c r="K4380" s="783" t="s">
        <v>765</v>
      </c>
      <c r="L4380" s="783" t="s">
        <v>4014</v>
      </c>
      <c r="M4380" s="784">
        <v>8352</v>
      </c>
      <c r="N4380" s="784">
        <v>9</v>
      </c>
      <c r="O4380" s="784">
        <v>2.3199999999999998</v>
      </c>
      <c r="P4380" s="783">
        <v>400</v>
      </c>
      <c r="Q4380" s="783">
        <v>941.27</v>
      </c>
      <c r="R4380" s="783">
        <v>410.92</v>
      </c>
      <c r="S4380" s="783">
        <v>80.180000000000007</v>
      </c>
      <c r="T4380" s="783">
        <v>450.17</v>
      </c>
      <c r="U4380" s="785">
        <v>44713.990949074097</v>
      </c>
    </row>
    <row r="4381" spans="1:21">
      <c r="A4381" s="782">
        <v>44712</v>
      </c>
      <c r="B4381" s="783" t="s">
        <v>41</v>
      </c>
      <c r="C4381" s="783" t="s">
        <v>4071</v>
      </c>
      <c r="D4381" s="783" t="s">
        <v>4009</v>
      </c>
      <c r="E4381" s="783" t="s">
        <v>5683</v>
      </c>
      <c r="F4381" s="783" t="s">
        <v>4011</v>
      </c>
      <c r="G4381" s="783" t="str">
        <f>VLOOKUP(I4381,pacage,2,FALSE)</f>
        <v>Renewal (15% in 2020)</v>
      </c>
      <c r="H4381" s="783" t="s">
        <v>5684</v>
      </c>
      <c r="I4381" s="783" t="s">
        <v>5685</v>
      </c>
      <c r="J4381" s="783">
        <v>15</v>
      </c>
      <c r="K4381" s="783" t="s">
        <v>765</v>
      </c>
      <c r="L4381" s="783" t="s">
        <v>4014</v>
      </c>
      <c r="M4381" s="784">
        <v>15131.54</v>
      </c>
      <c r="N4381" s="784">
        <v>16.329999999999998</v>
      </c>
      <c r="O4381" s="784">
        <v>2.0099999999999998</v>
      </c>
      <c r="P4381" s="783">
        <v>461</v>
      </c>
      <c r="Q4381" s="783">
        <v>1204.47</v>
      </c>
      <c r="R4381" s="783">
        <v>540.20000000000005</v>
      </c>
      <c r="S4381" s="783">
        <v>86.25</v>
      </c>
      <c r="T4381" s="783">
        <v>578.02</v>
      </c>
      <c r="U4381" s="785">
        <v>44715.475497685198</v>
      </c>
    </row>
    <row r="4382" spans="1:21">
      <c r="A4382" s="782">
        <v>44712</v>
      </c>
      <c r="B4382" s="783" t="s">
        <v>4025</v>
      </c>
      <c r="C4382" s="783" t="s">
        <v>4026</v>
      </c>
      <c r="D4382" s="783" t="s">
        <v>4021</v>
      </c>
      <c r="E4382" s="783" t="s">
        <v>5686</v>
      </c>
      <c r="F4382" s="783" t="s">
        <v>4011</v>
      </c>
      <c r="G4382" s="783" t="s">
        <v>4028</v>
      </c>
      <c r="H4382" s="783" t="s">
        <v>5687</v>
      </c>
      <c r="I4382" s="783" t="s">
        <v>5688</v>
      </c>
      <c r="J4382" s="783">
        <v>25</v>
      </c>
      <c r="K4382" s="783" t="s">
        <v>765</v>
      </c>
      <c r="L4382" s="783" t="s">
        <v>4014</v>
      </c>
      <c r="M4382" s="784">
        <v>43451.51</v>
      </c>
      <c r="N4382" s="784">
        <v>39.770000000000003</v>
      </c>
      <c r="O4382" s="784">
        <v>2.37</v>
      </c>
      <c r="P4382" s="783">
        <v>461</v>
      </c>
      <c r="Q4382" s="783">
        <v>2589.71</v>
      </c>
      <c r="R4382" s="783">
        <v>1877.11</v>
      </c>
      <c r="S4382" s="783">
        <v>304.16000000000003</v>
      </c>
      <c r="T4382" s="783">
        <v>408.44</v>
      </c>
      <c r="U4382" s="785">
        <v>44714.002731481502</v>
      </c>
    </row>
    <row r="4383" spans="1:21">
      <c r="A4383" s="782">
        <v>44712</v>
      </c>
      <c r="B4383" s="783" t="s">
        <v>41</v>
      </c>
      <c r="C4383" s="783" t="s">
        <v>4082</v>
      </c>
      <c r="D4383" s="783" t="s">
        <v>4009</v>
      </c>
      <c r="E4383" s="783" t="s">
        <v>5692</v>
      </c>
      <c r="F4383" s="783" t="s">
        <v>4011</v>
      </c>
      <c r="G4383" s="783" t="str">
        <f t="shared" ref="G4383:G4388" si="235">VLOOKUP(I4383,pacage,2,FALSE)</f>
        <v>Renewal (15% in 2020)</v>
      </c>
      <c r="H4383" s="783" t="s">
        <v>5693</v>
      </c>
      <c r="I4383" s="783" t="s">
        <v>5694</v>
      </c>
      <c r="J4383" s="783">
        <v>15</v>
      </c>
      <c r="K4383" s="783" t="s">
        <v>765</v>
      </c>
      <c r="L4383" s="783" t="s">
        <v>4014</v>
      </c>
      <c r="M4383" s="784">
        <v>10419.200000000001</v>
      </c>
      <c r="N4383" s="784">
        <v>14.8</v>
      </c>
      <c r="O4383" s="784">
        <v>2.2000000000000002</v>
      </c>
      <c r="P4383" s="783">
        <v>320</v>
      </c>
      <c r="Q4383" s="783">
        <v>1040.8800000000001</v>
      </c>
      <c r="R4383" s="783">
        <v>454.28</v>
      </c>
      <c r="S4383" s="783">
        <v>88.56</v>
      </c>
      <c r="T4383" s="783">
        <v>498.04</v>
      </c>
      <c r="U4383" s="785">
        <v>44714.017002314802</v>
      </c>
    </row>
    <row r="4384" spans="1:21">
      <c r="A4384" s="782">
        <v>44712</v>
      </c>
      <c r="B4384" s="783" t="s">
        <v>228</v>
      </c>
      <c r="C4384" s="783" t="s">
        <v>4020</v>
      </c>
      <c r="D4384" s="783" t="s">
        <v>4021</v>
      </c>
      <c r="E4384" s="783" t="s">
        <v>4163</v>
      </c>
      <c r="F4384" s="783" t="s">
        <v>4011</v>
      </c>
      <c r="G4384" s="783" t="str">
        <f t="shared" si="235"/>
        <v>Renewal (15% in 2020)</v>
      </c>
      <c r="H4384" s="783" t="s">
        <v>4164</v>
      </c>
      <c r="I4384" s="783" t="s">
        <v>4165</v>
      </c>
      <c r="J4384" s="783">
        <v>25</v>
      </c>
      <c r="K4384" s="783" t="s">
        <v>765</v>
      </c>
      <c r="L4384" s="783" t="s">
        <v>4014</v>
      </c>
      <c r="M4384" s="784">
        <v>16901.05</v>
      </c>
      <c r="N4384" s="784">
        <v>21.53</v>
      </c>
      <c r="O4384" s="784">
        <v>1.57</v>
      </c>
      <c r="P4384" s="783">
        <v>500</v>
      </c>
      <c r="Q4384" s="783">
        <v>1118.8499999999999</v>
      </c>
      <c r="R4384" s="783">
        <v>757.32</v>
      </c>
      <c r="S4384" s="783">
        <v>200.97</v>
      </c>
      <c r="T4384" s="783">
        <v>160.56</v>
      </c>
      <c r="U4384" s="785">
        <v>44714.582384259302</v>
      </c>
    </row>
    <row r="4385" spans="1:21">
      <c r="A4385" s="782">
        <v>44711</v>
      </c>
      <c r="B4385" s="783" t="s">
        <v>113</v>
      </c>
      <c r="C4385" s="783" t="s">
        <v>4097</v>
      </c>
      <c r="D4385" s="783" t="s">
        <v>4038</v>
      </c>
      <c r="E4385" s="783" t="s">
        <v>4377</v>
      </c>
      <c r="F4385" s="783" t="s">
        <v>4011</v>
      </c>
      <c r="G4385" s="783" t="str">
        <f t="shared" si="235"/>
        <v>Renewal (15% in 2020)</v>
      </c>
      <c r="H4385" s="783" t="s">
        <v>4378</v>
      </c>
      <c r="I4385" s="783" t="s">
        <v>4379</v>
      </c>
      <c r="J4385" s="783">
        <v>15</v>
      </c>
      <c r="K4385" s="783" t="s">
        <v>765</v>
      </c>
      <c r="L4385" s="783" t="s">
        <v>4014</v>
      </c>
      <c r="M4385" s="784">
        <v>41529.599999999999</v>
      </c>
      <c r="N4385" s="784">
        <v>51.5</v>
      </c>
      <c r="O4385" s="784">
        <v>2.2400000000000002</v>
      </c>
      <c r="P4385" s="783">
        <v>360</v>
      </c>
      <c r="Q4385" s="783">
        <v>4061.59</v>
      </c>
      <c r="R4385" s="783">
        <v>2030.8</v>
      </c>
      <c r="S4385" s="783">
        <v>332.24</v>
      </c>
      <c r="T4385" s="783">
        <v>1698.56</v>
      </c>
      <c r="U4385" s="785">
        <v>44713.522210648101</v>
      </c>
    </row>
    <row r="4386" spans="1:21">
      <c r="A4386" s="782">
        <v>44711</v>
      </c>
      <c r="B4386" s="783" t="s">
        <v>113</v>
      </c>
      <c r="C4386" s="783" t="s">
        <v>4376</v>
      </c>
      <c r="D4386" s="783" t="s">
        <v>4038</v>
      </c>
      <c r="E4386" s="783" t="s">
        <v>4377</v>
      </c>
      <c r="F4386" s="783" t="s">
        <v>4011</v>
      </c>
      <c r="G4386" s="783" t="str">
        <f t="shared" si="235"/>
        <v>Renewal (15% in 2020)</v>
      </c>
      <c r="H4386" s="783" t="s">
        <v>4378</v>
      </c>
      <c r="I4386" s="783" t="s">
        <v>4379</v>
      </c>
      <c r="J4386" s="783">
        <v>15</v>
      </c>
      <c r="K4386" s="783" t="s">
        <v>765</v>
      </c>
      <c r="L4386" s="783" t="s">
        <v>4014</v>
      </c>
      <c r="M4386" s="784">
        <v>8217.2199999999993</v>
      </c>
      <c r="N4386" s="784">
        <v>10.19</v>
      </c>
      <c r="O4386" s="784">
        <v>2.2400000000000002</v>
      </c>
      <c r="P4386" s="783">
        <v>360</v>
      </c>
      <c r="Q4386" s="783">
        <v>1027.97</v>
      </c>
      <c r="R4386" s="783">
        <v>429.76</v>
      </c>
      <c r="S4386" s="783">
        <v>70.67</v>
      </c>
      <c r="T4386" s="783">
        <v>527.54999999999995</v>
      </c>
      <c r="U4386" s="785">
        <v>44713.5222222222</v>
      </c>
    </row>
    <row r="4387" spans="1:21">
      <c r="A4387" s="782">
        <v>44712</v>
      </c>
      <c r="B4387" s="783" t="s">
        <v>34</v>
      </c>
      <c r="C4387" s="783" t="s">
        <v>4139</v>
      </c>
      <c r="D4387" s="783" t="s">
        <v>4009</v>
      </c>
      <c r="E4387" s="783" t="s">
        <v>5698</v>
      </c>
      <c r="F4387" s="783" t="s">
        <v>4011</v>
      </c>
      <c r="G4387" s="783" t="str">
        <f t="shared" si="235"/>
        <v>Renewal (20% in 2020)</v>
      </c>
      <c r="H4387" s="783" t="s">
        <v>5699</v>
      </c>
      <c r="I4387" s="783" t="s">
        <v>5700</v>
      </c>
      <c r="J4387" s="783">
        <v>20</v>
      </c>
      <c r="K4387" s="783" t="s">
        <v>765</v>
      </c>
      <c r="L4387" s="783" t="s">
        <v>4014</v>
      </c>
      <c r="M4387" s="784">
        <v>23366.400000000001</v>
      </c>
      <c r="N4387" s="784">
        <v>24.34</v>
      </c>
      <c r="O4387" s="784">
        <v>2.4</v>
      </c>
      <c r="P4387" s="783">
        <v>400</v>
      </c>
      <c r="Q4387" s="783">
        <v>1191.69</v>
      </c>
      <c r="R4387" s="783">
        <v>717.35</v>
      </c>
      <c r="S4387" s="783">
        <v>114.5</v>
      </c>
      <c r="T4387" s="783">
        <v>359.84</v>
      </c>
      <c r="U4387" s="785">
        <v>44714.0089814815</v>
      </c>
    </row>
    <row r="4388" spans="1:21">
      <c r="A4388" s="782">
        <v>44712</v>
      </c>
      <c r="B4388" s="783" t="s">
        <v>3078</v>
      </c>
      <c r="C4388" s="783" t="s">
        <v>4414</v>
      </c>
      <c r="D4388" s="783" t="s">
        <v>4009</v>
      </c>
      <c r="E4388" s="783" t="s">
        <v>5701</v>
      </c>
      <c r="F4388" s="783" t="s">
        <v>4011</v>
      </c>
      <c r="G4388" s="783" t="str">
        <f t="shared" si="235"/>
        <v>Renewal (25% in 2020)</v>
      </c>
      <c r="H4388" s="783" t="s">
        <v>5702</v>
      </c>
      <c r="I4388" s="783" t="s">
        <v>5703</v>
      </c>
      <c r="J4388" s="783">
        <v>25</v>
      </c>
      <c r="K4388" s="783" t="s">
        <v>765</v>
      </c>
      <c r="L4388" s="783" t="s">
        <v>4014</v>
      </c>
      <c r="M4388" s="784">
        <v>12591.81</v>
      </c>
      <c r="N4388" s="784">
        <v>16.59</v>
      </c>
      <c r="O4388" s="784">
        <v>2.5299999999999998</v>
      </c>
      <c r="P4388" s="783">
        <v>300</v>
      </c>
      <c r="Q4388" s="783">
        <v>785.73</v>
      </c>
      <c r="R4388" s="783">
        <v>525.08000000000004</v>
      </c>
      <c r="S4388" s="783">
        <v>86.88</v>
      </c>
      <c r="T4388" s="783">
        <v>173.77</v>
      </c>
      <c r="U4388" s="785">
        <v>44715.402372685203</v>
      </c>
    </row>
    <row r="4389" spans="1:21">
      <c r="A4389" s="782">
        <v>44713</v>
      </c>
      <c r="B4389" s="783" t="s">
        <v>74</v>
      </c>
      <c r="C4389" s="783" t="s">
        <v>4097</v>
      </c>
      <c r="D4389" s="783" t="s">
        <v>4038</v>
      </c>
      <c r="E4389" s="783" t="s">
        <v>4380</v>
      </c>
      <c r="F4389" s="783" t="s">
        <v>4011</v>
      </c>
      <c r="G4389" s="783" t="s">
        <v>4028</v>
      </c>
      <c r="H4389" s="783" t="s">
        <v>4381</v>
      </c>
      <c r="I4389" s="783" t="s">
        <v>4382</v>
      </c>
      <c r="J4389" s="783">
        <v>25</v>
      </c>
      <c r="K4389" s="783" t="s">
        <v>765</v>
      </c>
      <c r="L4389" s="783" t="s">
        <v>4014</v>
      </c>
      <c r="M4389" s="784">
        <v>10496.97</v>
      </c>
      <c r="N4389" s="784">
        <v>9.2200000000000006</v>
      </c>
      <c r="O4389" s="784">
        <v>2.5299999999999998</v>
      </c>
      <c r="P4389" s="783">
        <v>450</v>
      </c>
      <c r="Q4389" s="783">
        <v>727.44</v>
      </c>
      <c r="R4389" s="783">
        <v>513.29999999999995</v>
      </c>
      <c r="S4389" s="783">
        <v>83.98</v>
      </c>
      <c r="T4389" s="783">
        <v>130.16</v>
      </c>
      <c r="U4389" s="785">
        <v>44715.4062962963</v>
      </c>
    </row>
    <row r="4390" spans="1:21">
      <c r="A4390" s="782">
        <v>44711</v>
      </c>
      <c r="B4390" s="783" t="s">
        <v>41</v>
      </c>
      <c r="C4390" s="783" t="s">
        <v>4008</v>
      </c>
      <c r="D4390" s="783" t="s">
        <v>4009</v>
      </c>
      <c r="E4390" s="783" t="s">
        <v>5704</v>
      </c>
      <c r="F4390" s="783" t="s">
        <v>4011</v>
      </c>
      <c r="G4390" s="783" t="str">
        <f>VLOOKUP(I4390,pacage,2,FALSE)</f>
        <v>New Contract</v>
      </c>
      <c r="H4390" s="783" t="s">
        <v>5705</v>
      </c>
      <c r="I4390" s="783" t="s">
        <v>5706</v>
      </c>
      <c r="J4390" s="783">
        <v>25</v>
      </c>
      <c r="K4390" s="783" t="s">
        <v>765</v>
      </c>
      <c r="L4390" s="783" t="s">
        <v>4014</v>
      </c>
      <c r="M4390" s="784">
        <v>14492.92</v>
      </c>
      <c r="N4390" s="784">
        <v>14.29</v>
      </c>
      <c r="O4390" s="784">
        <v>2.2000000000000002</v>
      </c>
      <c r="P4390" s="783">
        <v>461</v>
      </c>
      <c r="Q4390" s="783">
        <v>1105.81</v>
      </c>
      <c r="R4390" s="783">
        <v>788.41</v>
      </c>
      <c r="S4390" s="783">
        <v>128.99</v>
      </c>
      <c r="T4390" s="783">
        <v>188.41</v>
      </c>
      <c r="U4390" s="785">
        <v>44713.5255092593</v>
      </c>
    </row>
    <row r="4391" spans="1:21">
      <c r="A4391" s="782">
        <v>44714</v>
      </c>
      <c r="B4391" s="783" t="s">
        <v>41</v>
      </c>
      <c r="C4391" s="783" t="s">
        <v>4071</v>
      </c>
      <c r="D4391" s="783" t="s">
        <v>4009</v>
      </c>
      <c r="E4391" s="783" t="s">
        <v>3805</v>
      </c>
      <c r="F4391" s="783" t="s">
        <v>4011</v>
      </c>
      <c r="G4391" s="783" t="str">
        <f>VLOOKUP(I4391,pacage,2,FALSE)</f>
        <v>Renewal (15% in 2020)</v>
      </c>
      <c r="H4391" s="783" t="s">
        <v>5707</v>
      </c>
      <c r="I4391" s="783" t="s">
        <v>5708</v>
      </c>
      <c r="J4391" s="783">
        <v>15</v>
      </c>
      <c r="K4391" s="783" t="s">
        <v>765</v>
      </c>
      <c r="L4391" s="783" t="s">
        <v>4014</v>
      </c>
      <c r="M4391" s="784">
        <v>21607.78</v>
      </c>
      <c r="N4391" s="784">
        <v>33.72</v>
      </c>
      <c r="O4391" s="784">
        <v>1.78</v>
      </c>
      <c r="P4391" s="783">
        <v>360</v>
      </c>
      <c r="Q4391" s="783">
        <v>1719.98</v>
      </c>
      <c r="R4391" s="783">
        <v>771.4</v>
      </c>
      <c r="S4391" s="783">
        <v>123.16</v>
      </c>
      <c r="T4391" s="783">
        <v>825.42</v>
      </c>
      <c r="U4391" s="785">
        <v>44715.447175925903</v>
      </c>
    </row>
    <row r="4392" spans="1:21">
      <c r="A4392" s="782">
        <v>44711</v>
      </c>
      <c r="B4392" s="783" t="s">
        <v>228</v>
      </c>
      <c r="C4392" s="783" t="s">
        <v>4582</v>
      </c>
      <c r="D4392" s="783" t="s">
        <v>4193</v>
      </c>
      <c r="E4392" s="783" t="s">
        <v>4653</v>
      </c>
      <c r="F4392" s="783" t="s">
        <v>4011</v>
      </c>
      <c r="G4392" s="783" t="s">
        <v>4028</v>
      </c>
      <c r="H4392" s="783" t="s">
        <v>4654</v>
      </c>
      <c r="I4392" s="783" t="s">
        <v>4655</v>
      </c>
      <c r="J4392" s="783">
        <v>25</v>
      </c>
      <c r="K4392" s="783" t="s">
        <v>765</v>
      </c>
      <c r="L4392" s="783" t="s">
        <v>4014</v>
      </c>
      <c r="M4392" s="784">
        <v>77844.92</v>
      </c>
      <c r="N4392" s="784">
        <v>70.95</v>
      </c>
      <c r="O4392" s="784">
        <v>2.38</v>
      </c>
      <c r="P4392" s="783">
        <v>461</v>
      </c>
      <c r="Q4392" s="783">
        <v>4950.9399999999996</v>
      </c>
      <c r="R4392" s="783">
        <v>3837.75</v>
      </c>
      <c r="S4392" s="783">
        <v>614.97</v>
      </c>
      <c r="T4392" s="783">
        <v>498.21</v>
      </c>
      <c r="U4392" s="785">
        <v>44713.545474537001</v>
      </c>
    </row>
    <row r="4393" spans="1:21">
      <c r="A4393" s="782">
        <v>44714</v>
      </c>
      <c r="B4393" s="783" t="s">
        <v>113</v>
      </c>
      <c r="C4393" s="783" t="s">
        <v>4606</v>
      </c>
      <c r="D4393" s="783" t="s">
        <v>4009</v>
      </c>
      <c r="E4393" s="783" t="s">
        <v>6743</v>
      </c>
      <c r="F4393" s="783" t="s">
        <v>4011</v>
      </c>
      <c r="G4393" s="783" t="str">
        <f>VLOOKUP(I4393,pacage,2,FALSE)</f>
        <v>Renewal (25% in 2020)</v>
      </c>
      <c r="H4393" s="783" t="s">
        <v>6744</v>
      </c>
      <c r="I4393" s="783" t="s">
        <v>6745</v>
      </c>
      <c r="J4393" s="783">
        <v>25</v>
      </c>
      <c r="K4393" s="783" t="s">
        <v>765</v>
      </c>
      <c r="L4393" s="783" t="s">
        <v>4014</v>
      </c>
      <c r="M4393" s="784">
        <v>6990</v>
      </c>
      <c r="N4393" s="784">
        <v>6</v>
      </c>
      <c r="O4393" s="784">
        <v>2.33</v>
      </c>
      <c r="P4393" s="783">
        <v>500</v>
      </c>
      <c r="Q4393" s="783">
        <v>431.98</v>
      </c>
      <c r="R4393" s="783">
        <v>273.89999999999998</v>
      </c>
      <c r="S4393" s="783">
        <v>71.400000000000006</v>
      </c>
      <c r="T4393" s="783">
        <v>86.68</v>
      </c>
      <c r="U4393" s="785">
        <v>44715.456770833298</v>
      </c>
    </row>
    <row r="4394" spans="1:21">
      <c r="A4394" s="782">
        <v>44715</v>
      </c>
      <c r="B4394" s="783" t="s">
        <v>41</v>
      </c>
      <c r="C4394" s="783" t="s">
        <v>4071</v>
      </c>
      <c r="D4394" s="783" t="s">
        <v>4009</v>
      </c>
      <c r="E4394" s="783" t="s">
        <v>3851</v>
      </c>
      <c r="F4394" s="783" t="s">
        <v>4011</v>
      </c>
      <c r="G4394" s="783" t="str">
        <f>VLOOKUP(I4394,pacage,2,FALSE)</f>
        <v>Renewal (25% in 2020)</v>
      </c>
      <c r="H4394" s="783" t="s">
        <v>4166</v>
      </c>
      <c r="I4394" s="783" t="s">
        <v>4167</v>
      </c>
      <c r="J4394" s="783">
        <v>25</v>
      </c>
      <c r="K4394" s="783" t="s">
        <v>765</v>
      </c>
      <c r="L4394" s="783" t="s">
        <v>4014</v>
      </c>
      <c r="M4394" s="784">
        <v>8298</v>
      </c>
      <c r="N4394" s="784">
        <v>7.5</v>
      </c>
      <c r="O4394" s="784">
        <v>2.4</v>
      </c>
      <c r="P4394" s="783">
        <v>461</v>
      </c>
      <c r="Q4394" s="783">
        <v>379.22</v>
      </c>
      <c r="R4394" s="783">
        <v>296.24</v>
      </c>
      <c r="S4394" s="783">
        <v>47.3</v>
      </c>
      <c r="T4394" s="783">
        <v>35.68</v>
      </c>
      <c r="U4394" s="785">
        <v>44715.467962962997</v>
      </c>
    </row>
    <row r="4395" spans="1:21">
      <c r="A4395" s="782">
        <v>44713</v>
      </c>
      <c r="B4395" s="783" t="s">
        <v>34</v>
      </c>
      <c r="C4395" s="783" t="s">
        <v>4082</v>
      </c>
      <c r="D4395" s="783" t="s">
        <v>4009</v>
      </c>
      <c r="E4395" s="783" t="s">
        <v>4656</v>
      </c>
      <c r="F4395" s="783" t="s">
        <v>4011</v>
      </c>
      <c r="G4395" s="783" t="str">
        <f>VLOOKUP(I4395,pacage,2,FALSE)</f>
        <v>Renewal (30% in 2020)</v>
      </c>
      <c r="H4395" s="783" t="s">
        <v>4657</v>
      </c>
      <c r="I4395" s="783" t="s">
        <v>4658</v>
      </c>
      <c r="J4395" s="783">
        <v>30</v>
      </c>
      <c r="K4395" s="783" t="s">
        <v>765</v>
      </c>
      <c r="L4395" s="783" t="s">
        <v>4014</v>
      </c>
      <c r="M4395" s="784">
        <v>24880.91</v>
      </c>
      <c r="N4395" s="784">
        <v>23.73</v>
      </c>
      <c r="O4395" s="784">
        <v>2.33</v>
      </c>
      <c r="P4395" s="783">
        <v>450</v>
      </c>
      <c r="Q4395" s="783">
        <v>1214.19</v>
      </c>
      <c r="R4395" s="783">
        <v>1084.81</v>
      </c>
      <c r="S4395" s="783">
        <v>0</v>
      </c>
      <c r="T4395" s="783">
        <v>129.38</v>
      </c>
      <c r="U4395" s="785">
        <v>44715.432256944398</v>
      </c>
    </row>
    <row r="4396" spans="1:21">
      <c r="A4396" s="782">
        <v>44713</v>
      </c>
      <c r="B4396" s="783" t="s">
        <v>228</v>
      </c>
      <c r="C4396" s="783" t="s">
        <v>4582</v>
      </c>
      <c r="D4396" s="783" t="s">
        <v>4193</v>
      </c>
      <c r="E4396" s="783" t="s">
        <v>5715</v>
      </c>
      <c r="F4396" s="783" t="s">
        <v>4011</v>
      </c>
      <c r="G4396" s="783" t="str">
        <f>VLOOKUP(I4396,pacage,2,FALSE)</f>
        <v>Renewal (25% in 2020)</v>
      </c>
      <c r="H4396" s="783" t="s">
        <v>5716</v>
      </c>
      <c r="I4396" s="783" t="s">
        <v>5717</v>
      </c>
      <c r="J4396" s="783">
        <v>25</v>
      </c>
      <c r="K4396" s="783" t="s">
        <v>765</v>
      </c>
      <c r="L4396" s="783" t="s">
        <v>4014</v>
      </c>
      <c r="M4396" s="784">
        <v>3712.8</v>
      </c>
      <c r="N4396" s="784">
        <v>2.38</v>
      </c>
      <c r="O4396" s="784">
        <v>2.6</v>
      </c>
      <c r="P4396" s="783">
        <v>600</v>
      </c>
      <c r="Q4396" s="783">
        <v>236.13</v>
      </c>
      <c r="R4396" s="783">
        <v>140.63999999999999</v>
      </c>
      <c r="S4396" s="783">
        <v>71.739999999999995</v>
      </c>
      <c r="T4396" s="783">
        <v>23.76</v>
      </c>
      <c r="U4396" s="785">
        <v>44715.434895833299</v>
      </c>
    </row>
    <row r="4397" spans="1:21">
      <c r="A4397" s="782">
        <v>44715</v>
      </c>
      <c r="B4397" s="783" t="s">
        <v>41</v>
      </c>
      <c r="C4397" s="783" t="s">
        <v>4082</v>
      </c>
      <c r="D4397" s="783" t="s">
        <v>4009</v>
      </c>
      <c r="E4397" s="783" t="s">
        <v>5718</v>
      </c>
      <c r="F4397" s="783" t="s">
        <v>4011</v>
      </c>
      <c r="G4397" s="783" t="s">
        <v>4028</v>
      </c>
      <c r="H4397" s="783" t="s">
        <v>5719</v>
      </c>
      <c r="I4397" s="783" t="s">
        <v>5720</v>
      </c>
      <c r="J4397" s="783">
        <v>20</v>
      </c>
      <c r="K4397" s="783" t="s">
        <v>765</v>
      </c>
      <c r="L4397" s="783" t="s">
        <v>4014</v>
      </c>
      <c r="M4397" s="784">
        <v>21842.27</v>
      </c>
      <c r="N4397" s="784">
        <v>23.34</v>
      </c>
      <c r="O4397" s="784">
        <v>2.0299999999999998</v>
      </c>
      <c r="P4397" s="783">
        <v>461</v>
      </c>
      <c r="Q4397" s="783">
        <v>1625.07</v>
      </c>
      <c r="R4397" s="783">
        <v>952.32</v>
      </c>
      <c r="S4397" s="783">
        <v>185.66</v>
      </c>
      <c r="T4397" s="783">
        <v>487.08</v>
      </c>
      <c r="U4397" s="785">
        <v>44715.469942129603</v>
      </c>
    </row>
    <row r="4398" spans="1:21">
      <c r="A4398" s="782">
        <v>44714</v>
      </c>
      <c r="B4398" s="783" t="s">
        <v>34</v>
      </c>
      <c r="C4398" s="783" t="s">
        <v>4139</v>
      </c>
      <c r="D4398" s="783" t="s">
        <v>4009</v>
      </c>
      <c r="E4398" s="783" t="s">
        <v>305</v>
      </c>
      <c r="F4398" s="783" t="s">
        <v>4011</v>
      </c>
      <c r="G4398" s="783" t="str">
        <f>VLOOKUP(I4398,pacage,2,FALSE)</f>
        <v>Renewal (30% in 2020)</v>
      </c>
      <c r="H4398" s="783" t="s">
        <v>4383</v>
      </c>
      <c r="I4398" s="783" t="s">
        <v>4384</v>
      </c>
      <c r="J4398" s="783">
        <v>30</v>
      </c>
      <c r="K4398" s="783" t="s">
        <v>765</v>
      </c>
      <c r="L4398" s="783" t="s">
        <v>4014</v>
      </c>
      <c r="M4398" s="784">
        <v>10098</v>
      </c>
      <c r="N4398" s="784">
        <v>11</v>
      </c>
      <c r="O4398" s="784">
        <v>2.5499999999999998</v>
      </c>
      <c r="P4398" s="783">
        <v>360</v>
      </c>
      <c r="Q4398" s="783">
        <v>346.36</v>
      </c>
      <c r="R4398" s="783">
        <v>310.01</v>
      </c>
      <c r="S4398" s="783">
        <v>0</v>
      </c>
      <c r="T4398" s="783">
        <v>36.35</v>
      </c>
      <c r="U4398" s="785">
        <v>44715.448703703703</v>
      </c>
    </row>
    <row r="4399" spans="1:21">
      <c r="A4399" s="782">
        <v>44697</v>
      </c>
      <c r="B4399" s="783" t="s">
        <v>41</v>
      </c>
      <c r="C4399" s="783" t="s">
        <v>4139</v>
      </c>
      <c r="D4399" s="783" t="s">
        <v>4009</v>
      </c>
      <c r="E4399" s="783" t="s">
        <v>5721</v>
      </c>
      <c r="F4399" s="783" t="s">
        <v>4011</v>
      </c>
      <c r="G4399" s="783" t="str">
        <f>VLOOKUP(I4399,pacage,2,FALSE)</f>
        <v>Renewal (30% in 2020)</v>
      </c>
      <c r="H4399" s="783" t="s">
        <v>5722</v>
      </c>
      <c r="I4399" s="783" t="s">
        <v>5723</v>
      </c>
      <c r="J4399" s="783">
        <v>30</v>
      </c>
      <c r="K4399" s="783" t="s">
        <v>765</v>
      </c>
      <c r="L4399" s="783" t="s">
        <v>4014</v>
      </c>
      <c r="M4399" s="784">
        <v>8507.48</v>
      </c>
      <c r="N4399" s="784">
        <v>11.68</v>
      </c>
      <c r="O4399" s="784">
        <v>1.58</v>
      </c>
      <c r="P4399" s="783">
        <v>461</v>
      </c>
      <c r="Q4399" s="783">
        <v>291.81</v>
      </c>
      <c r="R4399" s="783">
        <v>261.18</v>
      </c>
      <c r="S4399" s="783">
        <v>0</v>
      </c>
      <c r="T4399" s="783">
        <v>30.63</v>
      </c>
      <c r="U4399" s="785">
        <v>44698.719282407401</v>
      </c>
    </row>
    <row r="4400" spans="1:21">
      <c r="A4400" s="782">
        <v>44697</v>
      </c>
      <c r="B4400" s="783" t="s">
        <v>4025</v>
      </c>
      <c r="C4400" s="783" t="s">
        <v>4026</v>
      </c>
      <c r="D4400" s="783" t="s">
        <v>4021</v>
      </c>
      <c r="E4400" s="783" t="s">
        <v>5724</v>
      </c>
      <c r="F4400" s="783" t="s">
        <v>4011</v>
      </c>
      <c r="G4400" s="783" t="str">
        <f>VLOOKUP(I4400,pacage,2,FALSE)</f>
        <v>New contract</v>
      </c>
      <c r="H4400" s="783" t="s">
        <v>5725</v>
      </c>
      <c r="I4400" s="783" t="s">
        <v>5726</v>
      </c>
      <c r="J4400" s="783">
        <v>25</v>
      </c>
      <c r="K4400" s="783" t="s">
        <v>765</v>
      </c>
      <c r="L4400" s="783" t="s">
        <v>4014</v>
      </c>
      <c r="M4400" s="784">
        <v>38315.839999999997</v>
      </c>
      <c r="N4400" s="784">
        <v>31.89</v>
      </c>
      <c r="O4400" s="784">
        <v>2.67</v>
      </c>
      <c r="P4400" s="783">
        <v>450</v>
      </c>
      <c r="Q4400" s="783">
        <v>2283.62</v>
      </c>
      <c r="R4400" s="783">
        <v>1655.24</v>
      </c>
      <c r="S4400" s="783">
        <v>268.20999999999998</v>
      </c>
      <c r="T4400" s="783">
        <v>360.17</v>
      </c>
      <c r="U4400" s="785">
        <v>44699.486458333296</v>
      </c>
    </row>
    <row r="4401" spans="1:21">
      <c r="A4401" s="782">
        <v>44712</v>
      </c>
      <c r="B4401" s="783" t="s">
        <v>74</v>
      </c>
      <c r="C4401" s="783" t="s">
        <v>4097</v>
      </c>
      <c r="D4401" s="783" t="s">
        <v>4038</v>
      </c>
      <c r="E4401" s="783" t="s">
        <v>2526</v>
      </c>
      <c r="F4401" s="783" t="s">
        <v>4011</v>
      </c>
      <c r="G4401" s="783" t="s">
        <v>4028</v>
      </c>
      <c r="H4401" s="783" t="s">
        <v>5727</v>
      </c>
      <c r="I4401" s="783" t="s">
        <v>5728</v>
      </c>
      <c r="J4401" s="783">
        <v>25</v>
      </c>
      <c r="K4401" s="783" t="s">
        <v>765</v>
      </c>
      <c r="L4401" s="783" t="s">
        <v>4014</v>
      </c>
      <c r="M4401" s="784">
        <v>16576.560000000001</v>
      </c>
      <c r="N4401" s="784">
        <v>17.71</v>
      </c>
      <c r="O4401" s="784">
        <v>2.08</v>
      </c>
      <c r="P4401" s="783">
        <v>450</v>
      </c>
      <c r="Q4401" s="783">
        <v>1148.76</v>
      </c>
      <c r="R4401" s="783">
        <v>810.59</v>
      </c>
      <c r="S4401" s="783">
        <v>132.61000000000001</v>
      </c>
      <c r="T4401" s="783">
        <v>205.55</v>
      </c>
      <c r="U4401" s="785">
        <v>44714.590601851902</v>
      </c>
    </row>
    <row r="4402" spans="1:21">
      <c r="A4402" s="782">
        <v>44698</v>
      </c>
      <c r="B4402" s="783" t="s">
        <v>41</v>
      </c>
      <c r="C4402" s="783" t="s">
        <v>4139</v>
      </c>
      <c r="D4402" s="783" t="s">
        <v>4009</v>
      </c>
      <c r="E4402" s="783" t="s">
        <v>1156</v>
      </c>
      <c r="F4402" s="783" t="s">
        <v>4011</v>
      </c>
      <c r="G4402" s="783" t="str">
        <f t="shared" ref="G4402:G4407" si="236">VLOOKUP(I4402,pacage,2,FALSE)</f>
        <v>New Contract</v>
      </c>
      <c r="H4402" s="783" t="s">
        <v>4237</v>
      </c>
      <c r="I4402" s="783" t="s">
        <v>4238</v>
      </c>
      <c r="J4402" s="783">
        <v>20</v>
      </c>
      <c r="K4402" s="783" t="s">
        <v>765</v>
      </c>
      <c r="L4402" s="783" t="s">
        <v>4014</v>
      </c>
      <c r="M4402" s="784">
        <v>7122.45</v>
      </c>
      <c r="N4402" s="784">
        <v>6.18</v>
      </c>
      <c r="O4402" s="784">
        <v>2.5</v>
      </c>
      <c r="P4402" s="783">
        <v>461</v>
      </c>
      <c r="Q4402" s="783">
        <v>363.24</v>
      </c>
      <c r="R4402" s="783">
        <v>218.66</v>
      </c>
      <c r="S4402" s="783">
        <v>34.9</v>
      </c>
      <c r="T4402" s="783">
        <v>109.69</v>
      </c>
      <c r="U4402" s="785">
        <v>44699.5009027778</v>
      </c>
    </row>
    <row r="4403" spans="1:21">
      <c r="A4403" s="782">
        <v>44701</v>
      </c>
      <c r="B4403" s="783" t="s">
        <v>41</v>
      </c>
      <c r="C4403" s="783" t="s">
        <v>4082</v>
      </c>
      <c r="D4403" s="783" t="s">
        <v>4009</v>
      </c>
      <c r="E4403" s="783" t="s">
        <v>5729</v>
      </c>
      <c r="F4403" s="783" t="s">
        <v>4011</v>
      </c>
      <c r="G4403" s="783" t="str">
        <f t="shared" si="236"/>
        <v>Renewal (15% in 2020)</v>
      </c>
      <c r="H4403" s="783" t="s">
        <v>5730</v>
      </c>
      <c r="I4403" s="783" t="s">
        <v>5731</v>
      </c>
      <c r="J4403" s="783">
        <v>15</v>
      </c>
      <c r="K4403" s="783" t="s">
        <v>765</v>
      </c>
      <c r="L4403" s="783" t="s">
        <v>4014</v>
      </c>
      <c r="M4403" s="784">
        <v>52862.5</v>
      </c>
      <c r="N4403" s="784">
        <v>42.29</v>
      </c>
      <c r="O4403" s="784">
        <v>2.5</v>
      </c>
      <c r="P4403" s="783">
        <v>500</v>
      </c>
      <c r="Q4403" s="783">
        <v>5280.96</v>
      </c>
      <c r="R4403" s="783">
        <v>2125.0300000000002</v>
      </c>
      <c r="S4403" s="783">
        <v>629.11</v>
      </c>
      <c r="T4403" s="783">
        <v>2526.83</v>
      </c>
      <c r="U4403" s="785">
        <v>44708.667638888903</v>
      </c>
    </row>
    <row r="4404" spans="1:21">
      <c r="A4404" s="782">
        <v>44697</v>
      </c>
      <c r="B4404" s="783" t="s">
        <v>30</v>
      </c>
      <c r="C4404" s="783" t="s">
        <v>4239</v>
      </c>
      <c r="D4404" s="783" t="s">
        <v>4021</v>
      </c>
      <c r="E4404" s="783" t="s">
        <v>5732</v>
      </c>
      <c r="F4404" s="783" t="s">
        <v>4011</v>
      </c>
      <c r="G4404" s="783" t="str">
        <f t="shared" si="236"/>
        <v>Renewal (20% in 2020)</v>
      </c>
      <c r="H4404" s="783" t="s">
        <v>5733</v>
      </c>
      <c r="I4404" s="783" t="s">
        <v>5734</v>
      </c>
      <c r="J4404" s="783">
        <v>20</v>
      </c>
      <c r="K4404" s="783" t="s">
        <v>765</v>
      </c>
      <c r="L4404" s="783" t="s">
        <v>4014</v>
      </c>
      <c r="M4404" s="784">
        <v>14357</v>
      </c>
      <c r="N4404" s="784">
        <v>14</v>
      </c>
      <c r="O4404" s="784">
        <v>2.93</v>
      </c>
      <c r="P4404" s="783">
        <v>350</v>
      </c>
      <c r="Q4404" s="783">
        <v>1069.5999999999999</v>
      </c>
      <c r="R4404" s="783">
        <v>582.89</v>
      </c>
      <c r="S4404" s="783">
        <v>136.38999999999999</v>
      </c>
      <c r="T4404" s="783">
        <v>350.31</v>
      </c>
      <c r="U4404" s="785">
        <v>44699.495277777802</v>
      </c>
    </row>
    <row r="4405" spans="1:21">
      <c r="A4405" s="782">
        <v>44698</v>
      </c>
      <c r="B4405" s="783" t="s">
        <v>113</v>
      </c>
      <c r="C4405" s="783" t="s">
        <v>4598</v>
      </c>
      <c r="D4405" s="783" t="s">
        <v>4009</v>
      </c>
      <c r="E4405" s="783" t="s">
        <v>6746</v>
      </c>
      <c r="F4405" s="783" t="s">
        <v>4011</v>
      </c>
      <c r="G4405" s="783" t="str">
        <f t="shared" si="236"/>
        <v>Renewal (15% in 2020)</v>
      </c>
      <c r="H4405" s="783" t="s">
        <v>6747</v>
      </c>
      <c r="I4405" s="783" t="s">
        <v>6748</v>
      </c>
      <c r="J4405" s="783">
        <v>15</v>
      </c>
      <c r="K4405" s="783" t="s">
        <v>765</v>
      </c>
      <c r="L4405" s="783" t="s">
        <v>4014</v>
      </c>
      <c r="M4405" s="784">
        <v>9133.25</v>
      </c>
      <c r="N4405" s="784">
        <v>5</v>
      </c>
      <c r="O4405" s="784">
        <v>3.07</v>
      </c>
      <c r="P4405" s="783">
        <v>595</v>
      </c>
      <c r="Q4405" s="783">
        <v>897.8</v>
      </c>
      <c r="R4405" s="783">
        <v>273.14999999999998</v>
      </c>
      <c r="S4405" s="783">
        <v>173.47</v>
      </c>
      <c r="T4405" s="783">
        <v>451.18</v>
      </c>
      <c r="U4405" s="785">
        <v>44699.598518518498</v>
      </c>
    </row>
    <row r="4406" spans="1:21">
      <c r="A4406" s="782">
        <v>44703</v>
      </c>
      <c r="B4406" s="783" t="s">
        <v>4025</v>
      </c>
      <c r="C4406" s="783" t="s">
        <v>4026</v>
      </c>
      <c r="D4406" s="783" t="s">
        <v>4021</v>
      </c>
      <c r="E4406" s="783" t="s">
        <v>5738</v>
      </c>
      <c r="F4406" s="783" t="s">
        <v>4011</v>
      </c>
      <c r="G4406" s="783" t="str">
        <f t="shared" si="236"/>
        <v>New Contract</v>
      </c>
      <c r="H4406" s="783" t="s">
        <v>5739</v>
      </c>
      <c r="I4406" s="783" t="s">
        <v>5740</v>
      </c>
      <c r="J4406" s="783">
        <v>25</v>
      </c>
      <c r="K4406" s="783" t="s">
        <v>765</v>
      </c>
      <c r="L4406" s="783" t="s">
        <v>4014</v>
      </c>
      <c r="M4406" s="784">
        <v>22269.15</v>
      </c>
      <c r="N4406" s="784">
        <v>20.91</v>
      </c>
      <c r="O4406" s="784">
        <v>2.13</v>
      </c>
      <c r="P4406" s="783">
        <v>500</v>
      </c>
      <c r="Q4406" s="783">
        <v>1327.24</v>
      </c>
      <c r="R4406" s="783">
        <v>886.99</v>
      </c>
      <c r="S4406" s="783">
        <v>230.92</v>
      </c>
      <c r="T4406" s="783">
        <v>209.33</v>
      </c>
      <c r="U4406" s="785">
        <v>44704.4062962963</v>
      </c>
    </row>
    <row r="4407" spans="1:21">
      <c r="A4407" s="782">
        <v>44701</v>
      </c>
      <c r="B4407" s="783" t="s">
        <v>4025</v>
      </c>
      <c r="C4407" s="783" t="s">
        <v>4026</v>
      </c>
      <c r="D4407" s="783" t="s">
        <v>4021</v>
      </c>
      <c r="E4407" s="783" t="s">
        <v>5741</v>
      </c>
      <c r="F4407" s="783" t="s">
        <v>4011</v>
      </c>
      <c r="G4407" s="783" t="str">
        <f t="shared" si="236"/>
        <v>New Contract</v>
      </c>
      <c r="H4407" s="783" t="s">
        <v>5742</v>
      </c>
      <c r="I4407" s="783" t="s">
        <v>5743</v>
      </c>
      <c r="J4407" s="783">
        <v>25</v>
      </c>
      <c r="K4407" s="783" t="s">
        <v>765</v>
      </c>
      <c r="L4407" s="783" t="s">
        <v>4014</v>
      </c>
      <c r="M4407" s="784">
        <v>29458.3</v>
      </c>
      <c r="N4407" s="784">
        <v>26.42</v>
      </c>
      <c r="O4407" s="784">
        <v>2.23</v>
      </c>
      <c r="P4407" s="783">
        <v>500</v>
      </c>
      <c r="Q4407" s="783">
        <v>1755.71</v>
      </c>
      <c r="R4407" s="783">
        <v>1173.3399999999999</v>
      </c>
      <c r="S4407" s="783">
        <v>305.47000000000003</v>
      </c>
      <c r="T4407" s="783">
        <v>276.91000000000003</v>
      </c>
      <c r="U4407" s="785">
        <v>44701.496296296304</v>
      </c>
    </row>
    <row r="4408" spans="1:21">
      <c r="A4408" s="782">
        <v>44711</v>
      </c>
      <c r="B4408" s="783" t="s">
        <v>624</v>
      </c>
      <c r="C4408" s="783" t="s">
        <v>4037</v>
      </c>
      <c r="D4408" s="783" t="s">
        <v>4038</v>
      </c>
      <c r="E4408" s="783" t="s">
        <v>5747</v>
      </c>
      <c r="F4408" s="783" t="s">
        <v>4011</v>
      </c>
      <c r="G4408" s="783" t="s">
        <v>4028</v>
      </c>
      <c r="H4408" s="783" t="s">
        <v>5748</v>
      </c>
      <c r="I4408" s="783" t="s">
        <v>5749</v>
      </c>
      <c r="J4408" s="783">
        <v>20</v>
      </c>
      <c r="K4408" s="783" t="s">
        <v>765</v>
      </c>
      <c r="L4408" s="783" t="s">
        <v>4014</v>
      </c>
      <c r="M4408" s="784">
        <v>17633</v>
      </c>
      <c r="N4408" s="784">
        <v>16.03</v>
      </c>
      <c r="O4408" s="784">
        <v>2.2000000000000002</v>
      </c>
      <c r="P4408" s="783">
        <v>500</v>
      </c>
      <c r="Q4408" s="783">
        <v>1534.07</v>
      </c>
      <c r="R4408" s="783">
        <v>819.38</v>
      </c>
      <c r="S4408" s="783">
        <v>213.91</v>
      </c>
      <c r="T4408" s="783">
        <v>500.78</v>
      </c>
      <c r="U4408" s="785">
        <v>44713.981689814798</v>
      </c>
    </row>
    <row r="4409" spans="1:21">
      <c r="A4409" s="782">
        <v>44699</v>
      </c>
      <c r="B4409" s="783" t="s">
        <v>4025</v>
      </c>
      <c r="C4409" s="783" t="s">
        <v>4026</v>
      </c>
      <c r="D4409" s="783" t="s">
        <v>4021</v>
      </c>
      <c r="E4409" s="783" t="s">
        <v>5750</v>
      </c>
      <c r="F4409" s="783" t="s">
        <v>4011</v>
      </c>
      <c r="G4409" s="783" t="str">
        <f t="shared" ref="G4409:G4426" si="237">VLOOKUP(I4409,pacage,2,FALSE)</f>
        <v>New contract</v>
      </c>
      <c r="H4409" s="783" t="s">
        <v>5751</v>
      </c>
      <c r="I4409" s="783" t="s">
        <v>5752</v>
      </c>
      <c r="J4409" s="783">
        <v>25</v>
      </c>
      <c r="K4409" s="783" t="s">
        <v>765</v>
      </c>
      <c r="L4409" s="783" t="s">
        <v>4014</v>
      </c>
      <c r="M4409" s="784">
        <v>23076.32</v>
      </c>
      <c r="N4409" s="784">
        <v>24.76</v>
      </c>
      <c r="O4409" s="784">
        <v>2.33</v>
      </c>
      <c r="P4409" s="783">
        <v>400</v>
      </c>
      <c r="Q4409" s="783">
        <v>1375.35</v>
      </c>
      <c r="R4409" s="783">
        <v>996.9</v>
      </c>
      <c r="S4409" s="783">
        <v>161.53</v>
      </c>
      <c r="T4409" s="783">
        <v>216.92</v>
      </c>
      <c r="U4409" s="785">
        <v>44700.539583333302</v>
      </c>
    </row>
    <row r="4410" spans="1:21">
      <c r="A4410" s="782">
        <v>44704</v>
      </c>
      <c r="B4410" s="783" t="s">
        <v>41</v>
      </c>
      <c r="C4410" s="783" t="s">
        <v>4092</v>
      </c>
      <c r="D4410" s="783" t="s">
        <v>4009</v>
      </c>
      <c r="E4410" s="783" t="s">
        <v>901</v>
      </c>
      <c r="F4410" s="783" t="s">
        <v>4011</v>
      </c>
      <c r="G4410" s="783" t="str">
        <f t="shared" si="237"/>
        <v>Renewal (15% in 2020)</v>
      </c>
      <c r="H4410" s="783" t="s">
        <v>4659</v>
      </c>
      <c r="I4410" s="783" t="s">
        <v>4660</v>
      </c>
      <c r="J4410" s="783">
        <v>15</v>
      </c>
      <c r="K4410" s="783" t="s">
        <v>765</v>
      </c>
      <c r="L4410" s="783" t="s">
        <v>4014</v>
      </c>
      <c r="M4410" s="784">
        <v>13140</v>
      </c>
      <c r="N4410" s="784">
        <v>15</v>
      </c>
      <c r="O4410" s="784">
        <v>2.19</v>
      </c>
      <c r="P4410" s="783">
        <v>400</v>
      </c>
      <c r="Q4410" s="783">
        <v>1480.88</v>
      </c>
      <c r="R4410" s="783">
        <v>646.49</v>
      </c>
      <c r="S4410" s="783">
        <v>126.14</v>
      </c>
      <c r="T4410" s="783">
        <v>708.25</v>
      </c>
      <c r="U4410" s="785">
        <v>44708.961261574099</v>
      </c>
    </row>
    <row r="4411" spans="1:21">
      <c r="A4411" s="782">
        <v>44698</v>
      </c>
      <c r="B4411" s="783" t="s">
        <v>4025</v>
      </c>
      <c r="C4411" s="783" t="s">
        <v>4052</v>
      </c>
      <c r="D4411" s="783" t="s">
        <v>4021</v>
      </c>
      <c r="E4411" s="783" t="s">
        <v>5756</v>
      </c>
      <c r="F4411" s="783" t="s">
        <v>4011</v>
      </c>
      <c r="G4411" s="783" t="str">
        <f t="shared" si="237"/>
        <v>New Contract</v>
      </c>
      <c r="H4411" s="783" t="s">
        <v>5757</v>
      </c>
      <c r="I4411" s="783" t="s">
        <v>5758</v>
      </c>
      <c r="J4411" s="783">
        <v>25</v>
      </c>
      <c r="K4411" s="783" t="s">
        <v>765</v>
      </c>
      <c r="L4411" s="783" t="s">
        <v>4014</v>
      </c>
      <c r="M4411" s="784">
        <v>16815.62</v>
      </c>
      <c r="N4411" s="784">
        <v>14.48</v>
      </c>
      <c r="O4411" s="784">
        <v>2.37</v>
      </c>
      <c r="P4411" s="783">
        <v>490</v>
      </c>
      <c r="Q4411" s="783">
        <v>993.8</v>
      </c>
      <c r="R4411" s="783">
        <v>710.34</v>
      </c>
      <c r="S4411" s="783">
        <v>167.44</v>
      </c>
      <c r="T4411" s="783">
        <v>116.03</v>
      </c>
      <c r="U4411" s="785">
        <v>44699.597326388903</v>
      </c>
    </row>
    <row r="4412" spans="1:21">
      <c r="A4412" s="782">
        <v>44693</v>
      </c>
      <c r="B4412" s="783" t="s">
        <v>41</v>
      </c>
      <c r="C4412" s="783" t="s">
        <v>4092</v>
      </c>
      <c r="D4412" s="783" t="s">
        <v>4009</v>
      </c>
      <c r="E4412" s="783" t="s">
        <v>5759</v>
      </c>
      <c r="F4412" s="783" t="s">
        <v>4011</v>
      </c>
      <c r="G4412" s="783" t="str">
        <f t="shared" si="237"/>
        <v>Renewal (30% in 2020)</v>
      </c>
      <c r="H4412" s="783" t="s">
        <v>5760</v>
      </c>
      <c r="I4412" s="783" t="s">
        <v>5761</v>
      </c>
      <c r="J4412" s="783">
        <v>30</v>
      </c>
      <c r="K4412" s="783" t="s">
        <v>765</v>
      </c>
      <c r="L4412" s="783" t="s">
        <v>4014</v>
      </c>
      <c r="M4412" s="784">
        <v>29036.77</v>
      </c>
      <c r="N4412" s="784">
        <v>36.83</v>
      </c>
      <c r="O4412" s="784">
        <v>2.19</v>
      </c>
      <c r="P4412" s="783">
        <v>360</v>
      </c>
      <c r="Q4412" s="783">
        <v>1599.93</v>
      </c>
      <c r="R4412" s="783">
        <v>1428.61</v>
      </c>
      <c r="S4412" s="783">
        <v>0</v>
      </c>
      <c r="T4412" s="783">
        <v>171.32</v>
      </c>
      <c r="U4412" s="785">
        <v>44694.415046296301</v>
      </c>
    </row>
    <row r="4413" spans="1:21">
      <c r="A4413" s="782">
        <v>44694</v>
      </c>
      <c r="B4413" s="783" t="s">
        <v>41</v>
      </c>
      <c r="C4413" s="783" t="s">
        <v>4139</v>
      </c>
      <c r="D4413" s="783" t="s">
        <v>4009</v>
      </c>
      <c r="E4413" s="783" t="s">
        <v>6587</v>
      </c>
      <c r="F4413" s="783" t="s">
        <v>4011</v>
      </c>
      <c r="G4413" s="783" t="str">
        <f t="shared" si="237"/>
        <v>New Contract</v>
      </c>
      <c r="H4413" s="783" t="s">
        <v>6588</v>
      </c>
      <c r="I4413" s="783" t="s">
        <v>6589</v>
      </c>
      <c r="J4413" s="783">
        <v>15</v>
      </c>
      <c r="K4413" s="783" t="s">
        <v>765</v>
      </c>
      <c r="L4413" s="783" t="s">
        <v>4014</v>
      </c>
      <c r="M4413" s="784">
        <v>10672.98</v>
      </c>
      <c r="N4413" s="784">
        <v>14.38</v>
      </c>
      <c r="O4413" s="784">
        <v>1.61</v>
      </c>
      <c r="P4413" s="783">
        <v>461</v>
      </c>
      <c r="Q4413" s="783">
        <v>730.03</v>
      </c>
      <c r="R4413" s="783">
        <v>327.66000000000003</v>
      </c>
      <c r="S4413" s="783">
        <v>52.3</v>
      </c>
      <c r="T4413" s="783">
        <v>350.07</v>
      </c>
      <c r="U4413" s="785">
        <v>44694.5305324074</v>
      </c>
    </row>
    <row r="4414" spans="1:21">
      <c r="A4414" s="782">
        <v>44694</v>
      </c>
      <c r="B4414" s="783" t="s">
        <v>41</v>
      </c>
      <c r="C4414" s="783" t="s">
        <v>4139</v>
      </c>
      <c r="D4414" s="783" t="s">
        <v>4009</v>
      </c>
      <c r="E4414" s="783" t="s">
        <v>5762</v>
      </c>
      <c r="F4414" s="783" t="s">
        <v>4011</v>
      </c>
      <c r="G4414" s="783" t="str">
        <f t="shared" si="237"/>
        <v>Renewal (25% in 2020)</v>
      </c>
      <c r="H4414" s="783" t="s">
        <v>5763</v>
      </c>
      <c r="I4414" s="783" t="s">
        <v>5764</v>
      </c>
      <c r="J4414" s="783">
        <v>25</v>
      </c>
      <c r="K4414" s="783" t="s">
        <v>765</v>
      </c>
      <c r="L4414" s="783" t="s">
        <v>4014</v>
      </c>
      <c r="M4414" s="784">
        <v>9557.26</v>
      </c>
      <c r="N4414" s="784">
        <v>17.16</v>
      </c>
      <c r="O4414" s="784">
        <v>2.37</v>
      </c>
      <c r="P4414" s="783">
        <v>235</v>
      </c>
      <c r="Q4414" s="783">
        <v>374.64</v>
      </c>
      <c r="R4414" s="783">
        <v>293.41000000000003</v>
      </c>
      <c r="S4414" s="783">
        <v>46.83</v>
      </c>
      <c r="T4414" s="783">
        <v>34.409999999999997</v>
      </c>
      <c r="U4414" s="785">
        <v>44697.504097222198</v>
      </c>
    </row>
    <row r="4415" spans="1:21">
      <c r="A4415" s="782">
        <v>44698</v>
      </c>
      <c r="B4415" s="783" t="s">
        <v>74</v>
      </c>
      <c r="C4415" s="783" t="s">
        <v>4037</v>
      </c>
      <c r="D4415" s="783" t="s">
        <v>4038</v>
      </c>
      <c r="E4415" s="783" t="s">
        <v>4059</v>
      </c>
      <c r="F4415" s="783" t="s">
        <v>4011</v>
      </c>
      <c r="G4415" s="783" t="str">
        <f t="shared" si="237"/>
        <v>Renewal (25% in 2020)</v>
      </c>
      <c r="H4415" s="783" t="s">
        <v>4060</v>
      </c>
      <c r="I4415" s="783" t="s">
        <v>4061</v>
      </c>
      <c r="J4415" s="783">
        <v>25</v>
      </c>
      <c r="K4415" s="783" t="s">
        <v>765</v>
      </c>
      <c r="L4415" s="783" t="s">
        <v>4014</v>
      </c>
      <c r="M4415" s="784">
        <v>102813.17</v>
      </c>
      <c r="N4415" s="784">
        <v>83.69</v>
      </c>
      <c r="O4415" s="784">
        <v>2.73</v>
      </c>
      <c r="P4415" s="783">
        <v>450</v>
      </c>
      <c r="Q4415" s="783">
        <v>7741.83</v>
      </c>
      <c r="R4415" s="783">
        <v>5181.78</v>
      </c>
      <c r="S4415" s="783">
        <v>843.07</v>
      </c>
      <c r="T4415" s="783">
        <v>1716.98</v>
      </c>
      <c r="U4415" s="785">
        <v>44700.469907407401</v>
      </c>
    </row>
    <row r="4416" spans="1:21">
      <c r="A4416" s="782">
        <v>44694</v>
      </c>
      <c r="B4416" s="783" t="s">
        <v>41</v>
      </c>
      <c r="C4416" s="783" t="s">
        <v>4071</v>
      </c>
      <c r="D4416" s="783" t="s">
        <v>4009</v>
      </c>
      <c r="E4416" s="783" t="s">
        <v>5768</v>
      </c>
      <c r="F4416" s="783" t="s">
        <v>4011</v>
      </c>
      <c r="G4416" s="783" t="str">
        <f t="shared" si="237"/>
        <v>Renewal (30% in 2020)</v>
      </c>
      <c r="H4416" s="783" t="s">
        <v>5769</v>
      </c>
      <c r="I4416" s="783" t="s">
        <v>5770</v>
      </c>
      <c r="J4416" s="783">
        <v>30</v>
      </c>
      <c r="K4416" s="783" t="s">
        <v>765</v>
      </c>
      <c r="L4416" s="783" t="s">
        <v>4014</v>
      </c>
      <c r="M4416" s="784">
        <v>35505</v>
      </c>
      <c r="N4416" s="784">
        <v>30</v>
      </c>
      <c r="O4416" s="784">
        <v>2.63</v>
      </c>
      <c r="P4416" s="783">
        <v>450</v>
      </c>
      <c r="Q4416" s="783">
        <v>1420.2</v>
      </c>
      <c r="R4416" s="783">
        <v>1267.53</v>
      </c>
      <c r="S4416" s="783">
        <v>0</v>
      </c>
      <c r="T4416" s="783">
        <v>152.66999999999999</v>
      </c>
      <c r="U4416" s="785">
        <v>44694.527847222198</v>
      </c>
    </row>
    <row r="4417" spans="1:21">
      <c r="A4417" s="782">
        <v>44694</v>
      </c>
      <c r="B4417" s="783" t="s">
        <v>41</v>
      </c>
      <c r="C4417" s="783" t="s">
        <v>4139</v>
      </c>
      <c r="D4417" s="783" t="s">
        <v>4009</v>
      </c>
      <c r="E4417" s="783" t="s">
        <v>5768</v>
      </c>
      <c r="F4417" s="783" t="s">
        <v>4011</v>
      </c>
      <c r="G4417" s="783" t="str">
        <f t="shared" si="237"/>
        <v>Renewal (30% in 2020)</v>
      </c>
      <c r="H4417" s="783" t="s">
        <v>5769</v>
      </c>
      <c r="I4417" s="783" t="s">
        <v>5770</v>
      </c>
      <c r="J4417" s="783">
        <v>30</v>
      </c>
      <c r="K4417" s="783" t="s">
        <v>765</v>
      </c>
      <c r="L4417" s="783" t="s">
        <v>4014</v>
      </c>
      <c r="M4417" s="784">
        <v>46523.39</v>
      </c>
      <c r="N4417" s="784">
        <v>39.31</v>
      </c>
      <c r="O4417" s="784">
        <v>2.63</v>
      </c>
      <c r="P4417" s="783">
        <v>450</v>
      </c>
      <c r="Q4417" s="783">
        <v>1595.75</v>
      </c>
      <c r="R4417" s="783">
        <v>1428.27</v>
      </c>
      <c r="S4417" s="783">
        <v>0</v>
      </c>
      <c r="T4417" s="783">
        <v>167.48</v>
      </c>
      <c r="U4417" s="785">
        <v>44694.527847222198</v>
      </c>
    </row>
    <row r="4418" spans="1:21">
      <c r="A4418" s="782">
        <v>44694</v>
      </c>
      <c r="B4418" s="783" t="s">
        <v>41</v>
      </c>
      <c r="C4418" s="783" t="s">
        <v>4082</v>
      </c>
      <c r="D4418" s="783" t="s">
        <v>4009</v>
      </c>
      <c r="E4418" s="783" t="s">
        <v>5773</v>
      </c>
      <c r="F4418" s="783" t="s">
        <v>4011</v>
      </c>
      <c r="G4418" s="783" t="str">
        <f t="shared" si="237"/>
        <v>Renewal (15% in 2020)</v>
      </c>
      <c r="H4418" s="783" t="s">
        <v>5774</v>
      </c>
      <c r="I4418" s="783" t="s">
        <v>5775</v>
      </c>
      <c r="J4418" s="783">
        <v>15</v>
      </c>
      <c r="K4418" s="783" t="s">
        <v>765</v>
      </c>
      <c r="L4418" s="783" t="s">
        <v>4014</v>
      </c>
      <c r="M4418" s="784">
        <v>9159.4</v>
      </c>
      <c r="N4418" s="784">
        <v>11.17</v>
      </c>
      <c r="O4418" s="784">
        <v>2.0499999999999998</v>
      </c>
      <c r="P4418" s="783">
        <v>400</v>
      </c>
      <c r="Q4418" s="783">
        <v>915.02</v>
      </c>
      <c r="R4418" s="783">
        <v>399.35</v>
      </c>
      <c r="S4418" s="783">
        <v>77.849999999999994</v>
      </c>
      <c r="T4418" s="783">
        <v>437.82</v>
      </c>
      <c r="U4418" s="785">
        <v>44694.730231481502</v>
      </c>
    </row>
    <row r="4419" spans="1:21">
      <c r="A4419" s="782">
        <v>44698</v>
      </c>
      <c r="B4419" s="783" t="s">
        <v>347</v>
      </c>
      <c r="C4419" s="783" t="s">
        <v>4139</v>
      </c>
      <c r="D4419" s="783" t="s">
        <v>4009</v>
      </c>
      <c r="E4419" s="783" t="s">
        <v>5776</v>
      </c>
      <c r="F4419" s="783" t="s">
        <v>4011</v>
      </c>
      <c r="G4419" s="783" t="str">
        <f t="shared" si="237"/>
        <v>Renewal (15% in 2020)</v>
      </c>
      <c r="H4419" s="783" t="s">
        <v>5777</v>
      </c>
      <c r="I4419" s="783" t="s">
        <v>5778</v>
      </c>
      <c r="J4419" s="783">
        <v>15</v>
      </c>
      <c r="K4419" s="783" t="s">
        <v>765</v>
      </c>
      <c r="L4419" s="783" t="s">
        <v>4014</v>
      </c>
      <c r="M4419" s="784">
        <v>7737.24</v>
      </c>
      <c r="N4419" s="784">
        <v>10.57</v>
      </c>
      <c r="O4419" s="784">
        <v>1.83</v>
      </c>
      <c r="P4419" s="783">
        <v>400</v>
      </c>
      <c r="Q4419" s="783">
        <v>529.23</v>
      </c>
      <c r="R4419" s="783">
        <v>237.53</v>
      </c>
      <c r="S4419" s="783">
        <v>37.909999999999997</v>
      </c>
      <c r="T4419" s="783">
        <v>253.78</v>
      </c>
      <c r="U4419" s="785">
        <v>44699.736597222203</v>
      </c>
    </row>
    <row r="4420" spans="1:21">
      <c r="A4420" s="782">
        <v>44694</v>
      </c>
      <c r="B4420" s="783" t="s">
        <v>74</v>
      </c>
      <c r="C4420" s="783" t="s">
        <v>4097</v>
      </c>
      <c r="D4420" s="783" t="s">
        <v>4038</v>
      </c>
      <c r="E4420" s="783" t="s">
        <v>4385</v>
      </c>
      <c r="F4420" s="783" t="s">
        <v>4011</v>
      </c>
      <c r="G4420" s="783" t="str">
        <f t="shared" si="237"/>
        <v>Renewal (15% in 2020)</v>
      </c>
      <c r="H4420" s="783" t="s">
        <v>4386</v>
      </c>
      <c r="I4420" s="783" t="s">
        <v>4387</v>
      </c>
      <c r="J4420" s="783">
        <v>15</v>
      </c>
      <c r="K4420" s="783" t="s">
        <v>765</v>
      </c>
      <c r="L4420" s="783" t="s">
        <v>4014</v>
      </c>
      <c r="M4420" s="784">
        <v>23888.55</v>
      </c>
      <c r="N4420" s="784">
        <v>23.29</v>
      </c>
      <c r="O4420" s="784">
        <v>2.63</v>
      </c>
      <c r="P4420" s="783">
        <v>390</v>
      </c>
      <c r="Q4420" s="783">
        <v>2336.3000000000002</v>
      </c>
      <c r="R4420" s="783">
        <v>1168.1500000000001</v>
      </c>
      <c r="S4420" s="783">
        <v>191.11</v>
      </c>
      <c r="T4420" s="783">
        <v>977.04</v>
      </c>
      <c r="U4420" s="785">
        <v>44697.657094907401</v>
      </c>
    </row>
    <row r="4421" spans="1:21">
      <c r="A4421" s="782">
        <v>44694</v>
      </c>
      <c r="B4421" s="783" t="s">
        <v>74</v>
      </c>
      <c r="C4421" s="783" t="s">
        <v>4037</v>
      </c>
      <c r="D4421" s="783" t="s">
        <v>4038</v>
      </c>
      <c r="E4421" s="783" t="s">
        <v>4385</v>
      </c>
      <c r="F4421" s="783" t="s">
        <v>4011</v>
      </c>
      <c r="G4421" s="783" t="str">
        <f t="shared" si="237"/>
        <v>Renewal (15% in 2020)</v>
      </c>
      <c r="H4421" s="783" t="s">
        <v>4386</v>
      </c>
      <c r="I4421" s="783" t="s">
        <v>4387</v>
      </c>
      <c r="J4421" s="783">
        <v>15</v>
      </c>
      <c r="K4421" s="783" t="s">
        <v>765</v>
      </c>
      <c r="L4421" s="783" t="s">
        <v>4014</v>
      </c>
      <c r="M4421" s="784">
        <v>14144.4</v>
      </c>
      <c r="N4421" s="784">
        <v>13.79</v>
      </c>
      <c r="O4421" s="784">
        <v>2.63</v>
      </c>
      <c r="P4421" s="783">
        <v>390</v>
      </c>
      <c r="Q4421" s="783">
        <v>1478.09</v>
      </c>
      <c r="R4421" s="783">
        <v>712.88</v>
      </c>
      <c r="S4421" s="783">
        <v>115.98</v>
      </c>
      <c r="T4421" s="783">
        <v>649.23</v>
      </c>
      <c r="U4421" s="785">
        <v>44697.657094907401</v>
      </c>
    </row>
    <row r="4422" spans="1:21">
      <c r="A4422" s="782">
        <v>44709</v>
      </c>
      <c r="B4422" s="783" t="s">
        <v>347</v>
      </c>
      <c r="C4422" s="783" t="s">
        <v>4139</v>
      </c>
      <c r="D4422" s="783" t="s">
        <v>4009</v>
      </c>
      <c r="E4422" s="783" t="s">
        <v>5779</v>
      </c>
      <c r="F4422" s="783" t="s">
        <v>4011</v>
      </c>
      <c r="G4422" s="783" t="str">
        <f t="shared" si="237"/>
        <v>Renewal (20% in 2020)</v>
      </c>
      <c r="H4422" s="783" t="s">
        <v>5780</v>
      </c>
      <c r="I4422" s="783" t="s">
        <v>5781</v>
      </c>
      <c r="J4422" s="783">
        <v>20</v>
      </c>
      <c r="K4422" s="783" t="s">
        <v>765</v>
      </c>
      <c r="L4422" s="783" t="s">
        <v>4014</v>
      </c>
      <c r="M4422" s="784">
        <v>7142.33</v>
      </c>
      <c r="N4422" s="784">
        <v>8.2799999999999994</v>
      </c>
      <c r="O4422" s="784">
        <v>2.27</v>
      </c>
      <c r="P4422" s="783">
        <v>380</v>
      </c>
      <c r="Q4422" s="783">
        <v>364.26</v>
      </c>
      <c r="R4422" s="783">
        <v>219.27</v>
      </c>
      <c r="S4422" s="783">
        <v>35</v>
      </c>
      <c r="T4422" s="783">
        <v>109.99</v>
      </c>
      <c r="U4422" s="785">
        <v>44711.539895833303</v>
      </c>
    </row>
    <row r="4423" spans="1:21">
      <c r="A4423" s="782">
        <v>44698</v>
      </c>
      <c r="B4423" s="783" t="s">
        <v>41</v>
      </c>
      <c r="C4423" s="783" t="s">
        <v>4082</v>
      </c>
      <c r="D4423" s="783" t="s">
        <v>4009</v>
      </c>
      <c r="E4423" s="783" t="s">
        <v>4661</v>
      </c>
      <c r="F4423" s="783" t="s">
        <v>4011</v>
      </c>
      <c r="G4423" s="783" t="str">
        <f t="shared" si="237"/>
        <v>Renewal (15% in 2020)</v>
      </c>
      <c r="H4423" s="783" t="s">
        <v>4662</v>
      </c>
      <c r="I4423" s="783" t="s">
        <v>4663</v>
      </c>
      <c r="J4423" s="783">
        <v>15</v>
      </c>
      <c r="K4423" s="783" t="s">
        <v>765</v>
      </c>
      <c r="L4423" s="783" t="s">
        <v>4014</v>
      </c>
      <c r="M4423" s="784">
        <v>10704.58</v>
      </c>
      <c r="N4423" s="784">
        <v>13.17</v>
      </c>
      <c r="O4423" s="784">
        <v>2.54</v>
      </c>
      <c r="P4423" s="783">
        <v>320</v>
      </c>
      <c r="Q4423" s="783">
        <v>1069.3900000000001</v>
      </c>
      <c r="R4423" s="783">
        <v>466.72</v>
      </c>
      <c r="S4423" s="783">
        <v>90.99</v>
      </c>
      <c r="T4423" s="783">
        <v>511.68</v>
      </c>
      <c r="U4423" s="785">
        <v>44699.473240740699</v>
      </c>
    </row>
    <row r="4424" spans="1:21">
      <c r="A4424" s="782">
        <v>44697</v>
      </c>
      <c r="B4424" s="783" t="s">
        <v>41</v>
      </c>
      <c r="C4424" s="783" t="s">
        <v>4071</v>
      </c>
      <c r="D4424" s="783" t="s">
        <v>4009</v>
      </c>
      <c r="E4424" s="783" t="s">
        <v>2366</v>
      </c>
      <c r="F4424" s="783" t="s">
        <v>4011</v>
      </c>
      <c r="G4424" s="783" t="str">
        <f t="shared" si="237"/>
        <v>Renewal (25% in 2020)</v>
      </c>
      <c r="H4424" s="783" t="s">
        <v>5782</v>
      </c>
      <c r="I4424" s="783" t="s">
        <v>5783</v>
      </c>
      <c r="J4424" s="783">
        <v>25</v>
      </c>
      <c r="K4424" s="783" t="s">
        <v>765</v>
      </c>
      <c r="L4424" s="783" t="s">
        <v>4014</v>
      </c>
      <c r="M4424" s="784">
        <v>26386.93</v>
      </c>
      <c r="N4424" s="784">
        <v>30.59</v>
      </c>
      <c r="O4424" s="784">
        <v>2.27</v>
      </c>
      <c r="P4424" s="783">
        <v>380</v>
      </c>
      <c r="Q4424" s="783">
        <v>1205.8800000000001</v>
      </c>
      <c r="R4424" s="783">
        <v>942.01</v>
      </c>
      <c r="S4424" s="783">
        <v>150.41</v>
      </c>
      <c r="T4424" s="783">
        <v>113.46</v>
      </c>
      <c r="U4424" s="785">
        <v>44698.709548611099</v>
      </c>
    </row>
    <row r="4425" spans="1:21">
      <c r="A4425" s="782">
        <v>44697</v>
      </c>
      <c r="B4425" s="783" t="s">
        <v>41</v>
      </c>
      <c r="C4425" s="783" t="s">
        <v>4071</v>
      </c>
      <c r="D4425" s="783" t="s">
        <v>4009</v>
      </c>
      <c r="E4425" s="783" t="s">
        <v>5784</v>
      </c>
      <c r="F4425" s="783" t="s">
        <v>4011</v>
      </c>
      <c r="G4425" s="783" t="str">
        <f t="shared" si="237"/>
        <v>Renewal (20% in 2020)</v>
      </c>
      <c r="H4425" s="783" t="s">
        <v>5785</v>
      </c>
      <c r="I4425" s="783" t="s">
        <v>5786</v>
      </c>
      <c r="J4425" s="783">
        <v>20</v>
      </c>
      <c r="K4425" s="783" t="s">
        <v>765</v>
      </c>
      <c r="L4425" s="783" t="s">
        <v>4014</v>
      </c>
      <c r="M4425" s="784">
        <v>43261.11</v>
      </c>
      <c r="N4425" s="784">
        <v>41.26</v>
      </c>
      <c r="O4425" s="784">
        <v>2.33</v>
      </c>
      <c r="P4425" s="783">
        <v>450</v>
      </c>
      <c r="Q4425" s="783">
        <v>2565.38</v>
      </c>
      <c r="R4425" s="783">
        <v>1544.42</v>
      </c>
      <c r="S4425" s="783">
        <v>246.59</v>
      </c>
      <c r="T4425" s="783">
        <v>774.37</v>
      </c>
      <c r="U4425" s="785">
        <v>44699.484548611101</v>
      </c>
    </row>
    <row r="4426" spans="1:21">
      <c r="A4426" s="782">
        <v>44698</v>
      </c>
      <c r="B4426" s="783" t="s">
        <v>41</v>
      </c>
      <c r="C4426" s="783" t="s">
        <v>4092</v>
      </c>
      <c r="D4426" s="783" t="s">
        <v>4009</v>
      </c>
      <c r="E4426" s="783" t="s">
        <v>5787</v>
      </c>
      <c r="F4426" s="783" t="s">
        <v>4011</v>
      </c>
      <c r="G4426" s="783" t="str">
        <f t="shared" si="237"/>
        <v>Renewal (30% in 2020)</v>
      </c>
      <c r="H4426" s="783" t="s">
        <v>5788</v>
      </c>
      <c r="I4426" s="783" t="s">
        <v>5789</v>
      </c>
      <c r="J4426" s="783">
        <v>30</v>
      </c>
      <c r="K4426" s="783" t="s">
        <v>765</v>
      </c>
      <c r="L4426" s="783" t="s">
        <v>4014</v>
      </c>
      <c r="M4426" s="784">
        <v>13130.24</v>
      </c>
      <c r="N4426" s="784">
        <v>14.72</v>
      </c>
      <c r="O4426" s="784">
        <v>2.23</v>
      </c>
      <c r="P4426" s="783">
        <v>400</v>
      </c>
      <c r="Q4426" s="783">
        <v>723.48</v>
      </c>
      <c r="R4426" s="783">
        <v>646.01</v>
      </c>
      <c r="S4426" s="783">
        <v>0</v>
      </c>
      <c r="T4426" s="783">
        <v>77.47</v>
      </c>
      <c r="U4426" s="785">
        <v>44699.491087962997</v>
      </c>
    </row>
    <row r="4427" spans="1:21">
      <c r="A4427" s="782">
        <v>44697</v>
      </c>
      <c r="B4427" s="783" t="s">
        <v>41</v>
      </c>
      <c r="C4427" s="783" t="s">
        <v>4071</v>
      </c>
      <c r="D4427" s="783" t="s">
        <v>4009</v>
      </c>
      <c r="E4427" s="783" t="s">
        <v>5790</v>
      </c>
      <c r="F4427" s="783" t="s">
        <v>4011</v>
      </c>
      <c r="G4427" s="783" t="s">
        <v>4028</v>
      </c>
      <c r="H4427" s="783" t="s">
        <v>5791</v>
      </c>
      <c r="I4427" s="783" t="s">
        <v>5792</v>
      </c>
      <c r="J4427" s="783">
        <v>25</v>
      </c>
      <c r="K4427" s="783" t="s">
        <v>765</v>
      </c>
      <c r="L4427" s="783" t="s">
        <v>4014</v>
      </c>
      <c r="M4427" s="784">
        <v>13028.49</v>
      </c>
      <c r="N4427" s="784">
        <v>9.7100000000000009</v>
      </c>
      <c r="O4427" s="784">
        <v>2.2400000000000002</v>
      </c>
      <c r="P4427" s="783">
        <v>599</v>
      </c>
      <c r="Q4427" s="783">
        <v>595.4</v>
      </c>
      <c r="R4427" s="783">
        <v>357.96</v>
      </c>
      <c r="S4427" s="783">
        <v>181.42</v>
      </c>
      <c r="T4427" s="783">
        <v>56.02</v>
      </c>
      <c r="U4427" s="785">
        <v>44699.412476851903</v>
      </c>
    </row>
    <row r="4428" spans="1:21">
      <c r="A4428" s="782">
        <v>44698</v>
      </c>
      <c r="B4428" s="783" t="s">
        <v>41</v>
      </c>
      <c r="C4428" s="783" t="s">
        <v>4092</v>
      </c>
      <c r="D4428" s="783" t="s">
        <v>4009</v>
      </c>
      <c r="E4428" s="783" t="s">
        <v>597</v>
      </c>
      <c r="F4428" s="783" t="s">
        <v>4011</v>
      </c>
      <c r="G4428" s="783" t="str">
        <f t="shared" ref="G4428:G4433" si="238">VLOOKUP(I4428,pacage,2,FALSE)</f>
        <v>Renewal (15% in 2020)</v>
      </c>
      <c r="H4428" s="783" t="s">
        <v>5793</v>
      </c>
      <c r="I4428" s="783" t="s">
        <v>5794</v>
      </c>
      <c r="J4428" s="783">
        <v>15</v>
      </c>
      <c r="K4428" s="783" t="s">
        <v>765</v>
      </c>
      <c r="L4428" s="783" t="s">
        <v>4014</v>
      </c>
      <c r="M4428" s="784">
        <v>37485.49</v>
      </c>
      <c r="N4428" s="784">
        <v>47.39</v>
      </c>
      <c r="O4428" s="784">
        <v>2.2599999999999998</v>
      </c>
      <c r="P4428" s="783">
        <v>350</v>
      </c>
      <c r="Q4428" s="783">
        <v>4224.6099999999997</v>
      </c>
      <c r="R4428" s="783">
        <v>1844.29</v>
      </c>
      <c r="S4428" s="783">
        <v>359.86</v>
      </c>
      <c r="T4428" s="783">
        <v>2020.47</v>
      </c>
      <c r="U4428" s="785">
        <v>44699.496608796297</v>
      </c>
    </row>
    <row r="4429" spans="1:21">
      <c r="A4429" s="782">
        <v>44698</v>
      </c>
      <c r="B4429" s="783" t="s">
        <v>4025</v>
      </c>
      <c r="C4429" s="783" t="s">
        <v>4026</v>
      </c>
      <c r="D4429" s="783" t="s">
        <v>4021</v>
      </c>
      <c r="E4429" s="783" t="s">
        <v>5806</v>
      </c>
      <c r="F4429" s="783" t="s">
        <v>4011</v>
      </c>
      <c r="G4429" s="783" t="str">
        <f t="shared" si="238"/>
        <v>New Contract</v>
      </c>
      <c r="H4429" s="783" t="s">
        <v>5807</v>
      </c>
      <c r="I4429" s="783" t="s">
        <v>5808</v>
      </c>
      <c r="J4429" s="783">
        <v>20</v>
      </c>
      <c r="K4429" s="783" t="s">
        <v>765</v>
      </c>
      <c r="L4429" s="783" t="s">
        <v>4014</v>
      </c>
      <c r="M4429" s="784">
        <v>73128.320000000007</v>
      </c>
      <c r="N4429" s="784">
        <v>56.08</v>
      </c>
      <c r="O4429" s="784">
        <v>3.26</v>
      </c>
      <c r="P4429" s="783">
        <v>400</v>
      </c>
      <c r="Q4429" s="783">
        <v>5572.38</v>
      </c>
      <c r="R4429" s="783">
        <v>3159.14</v>
      </c>
      <c r="S4429" s="783">
        <v>511.9</v>
      </c>
      <c r="T4429" s="783">
        <v>1901.34</v>
      </c>
      <c r="U4429" s="785">
        <v>44699.4816782407</v>
      </c>
    </row>
    <row r="4430" spans="1:21">
      <c r="A4430" s="782">
        <v>44701</v>
      </c>
      <c r="B4430" s="783" t="s">
        <v>41</v>
      </c>
      <c r="C4430" s="783" t="s">
        <v>4139</v>
      </c>
      <c r="D4430" s="783" t="s">
        <v>4009</v>
      </c>
      <c r="E4430" s="783" t="s">
        <v>2788</v>
      </c>
      <c r="F4430" s="783" t="s">
        <v>4011</v>
      </c>
      <c r="G4430" s="783" t="str">
        <f t="shared" si="238"/>
        <v>Renewal (25% in 2020)</v>
      </c>
      <c r="H4430" s="783" t="s">
        <v>6953</v>
      </c>
      <c r="I4430" s="783" t="s">
        <v>6954</v>
      </c>
      <c r="J4430" s="783">
        <v>25</v>
      </c>
      <c r="K4430" s="783" t="s">
        <v>765</v>
      </c>
      <c r="L4430" s="783" t="s">
        <v>4014</v>
      </c>
      <c r="M4430" s="784">
        <v>6321.69</v>
      </c>
      <c r="N4430" s="784">
        <v>6.53</v>
      </c>
      <c r="O4430" s="784">
        <v>2.1</v>
      </c>
      <c r="P4430" s="783">
        <v>461</v>
      </c>
      <c r="Q4430" s="783">
        <v>247.81</v>
      </c>
      <c r="R4430" s="783">
        <v>194.08</v>
      </c>
      <c r="S4430" s="783">
        <v>30.98</v>
      </c>
      <c r="T4430" s="783">
        <v>22.76</v>
      </c>
      <c r="U4430" s="785">
        <v>44701.665625000001</v>
      </c>
    </row>
    <row r="4431" spans="1:21">
      <c r="A4431" s="782">
        <v>44708</v>
      </c>
      <c r="B4431" s="783" t="s">
        <v>4025</v>
      </c>
      <c r="C4431" s="783" t="s">
        <v>4026</v>
      </c>
      <c r="D4431" s="783" t="s">
        <v>4021</v>
      </c>
      <c r="E4431" s="783" t="s">
        <v>5809</v>
      </c>
      <c r="F4431" s="783" t="s">
        <v>4011</v>
      </c>
      <c r="G4431" s="783" t="str">
        <f t="shared" si="238"/>
        <v>New Contract</v>
      </c>
      <c r="H4431" s="783" t="s">
        <v>5810</v>
      </c>
      <c r="I4431" s="783" t="s">
        <v>5811</v>
      </c>
      <c r="J4431" s="783">
        <v>20</v>
      </c>
      <c r="K4431" s="783" t="s">
        <v>765</v>
      </c>
      <c r="L4431" s="783" t="s">
        <v>4014</v>
      </c>
      <c r="M4431" s="784">
        <v>22168.799999999999</v>
      </c>
      <c r="N4431" s="784">
        <v>16.21</v>
      </c>
      <c r="O4431" s="784">
        <v>2.63</v>
      </c>
      <c r="P4431" s="783">
        <v>520</v>
      </c>
      <c r="Q4431" s="783">
        <v>1689.26</v>
      </c>
      <c r="R4431" s="783">
        <v>849.03</v>
      </c>
      <c r="S4431" s="783">
        <v>263.83999999999997</v>
      </c>
      <c r="T4431" s="783">
        <v>576.39</v>
      </c>
      <c r="U4431" s="785">
        <v>44711.518043981501</v>
      </c>
    </row>
    <row r="4432" spans="1:21">
      <c r="A4432" s="782">
        <v>44699</v>
      </c>
      <c r="B4432" s="783" t="s">
        <v>397</v>
      </c>
      <c r="C4432" s="783" t="s">
        <v>4511</v>
      </c>
      <c r="D4432" s="783" t="s">
        <v>4512</v>
      </c>
      <c r="E4432" s="783"/>
      <c r="F4432" s="783" t="s">
        <v>4011</v>
      </c>
      <c r="G4432" s="783" t="str">
        <f t="shared" si="238"/>
        <v>Renewal (15% in 2020)</v>
      </c>
      <c r="H4432" s="783" t="s">
        <v>4667</v>
      </c>
      <c r="I4432" s="783" t="s">
        <v>4668</v>
      </c>
      <c r="J4432" s="783">
        <v>25</v>
      </c>
      <c r="K4432" s="783" t="s">
        <v>765</v>
      </c>
      <c r="L4432" s="783" t="s">
        <v>4014</v>
      </c>
      <c r="M4432" s="784">
        <v>17420.759999999998</v>
      </c>
      <c r="N4432" s="784">
        <v>13.02</v>
      </c>
      <c r="O4432" s="784">
        <v>2.23</v>
      </c>
      <c r="P4432" s="783">
        <v>600</v>
      </c>
      <c r="Q4432" s="783">
        <v>961.63</v>
      </c>
      <c r="R4432" s="783">
        <v>493.9</v>
      </c>
      <c r="S4432" s="783">
        <v>314.42</v>
      </c>
      <c r="T4432" s="783">
        <v>153.30000000000001</v>
      </c>
      <c r="U4432" s="785">
        <v>44699.471782407403</v>
      </c>
    </row>
    <row r="4433" spans="1:21">
      <c r="A4433" s="782">
        <v>44700</v>
      </c>
      <c r="B4433" s="783" t="s">
        <v>228</v>
      </c>
      <c r="C4433" s="783" t="s">
        <v>4511</v>
      </c>
      <c r="D4433" s="783" t="s">
        <v>4512</v>
      </c>
      <c r="E4433" s="783" t="s">
        <v>5815</v>
      </c>
      <c r="F4433" s="783" t="s">
        <v>4011</v>
      </c>
      <c r="G4433" s="783" t="str">
        <f t="shared" si="238"/>
        <v>Renewal (25% in 2020)</v>
      </c>
      <c r="H4433" s="783" t="s">
        <v>5816</v>
      </c>
      <c r="I4433" s="783" t="s">
        <v>5817</v>
      </c>
      <c r="J4433" s="783">
        <v>25</v>
      </c>
      <c r="K4433" s="783" t="s">
        <v>765</v>
      </c>
      <c r="L4433" s="783" t="s">
        <v>4014</v>
      </c>
      <c r="M4433" s="784">
        <v>55993.599999999999</v>
      </c>
      <c r="N4433" s="784">
        <v>26.92</v>
      </c>
      <c r="O4433" s="784">
        <v>2.6</v>
      </c>
      <c r="P4433" s="783">
        <v>800</v>
      </c>
      <c r="Q4433" s="783">
        <v>3090.85</v>
      </c>
      <c r="R4433" s="783">
        <v>1190.6300000000001</v>
      </c>
      <c r="S4433" s="783">
        <v>1407.48</v>
      </c>
      <c r="T4433" s="783">
        <v>492.74</v>
      </c>
      <c r="U4433" s="785">
        <v>44700.717754629601</v>
      </c>
    </row>
    <row r="4434" spans="1:21">
      <c r="A4434" s="782">
        <v>44699</v>
      </c>
      <c r="B4434" s="783" t="s">
        <v>34</v>
      </c>
      <c r="C4434" s="783" t="s">
        <v>4139</v>
      </c>
      <c r="D4434" s="783" t="s">
        <v>4009</v>
      </c>
      <c r="E4434" s="783" t="s">
        <v>4669</v>
      </c>
      <c r="F4434" s="783" t="s">
        <v>4011</v>
      </c>
      <c r="G4434" s="783" t="s">
        <v>4028</v>
      </c>
      <c r="H4434" s="783" t="s">
        <v>4670</v>
      </c>
      <c r="I4434" s="783" t="s">
        <v>4671</v>
      </c>
      <c r="J4434" s="783">
        <v>25</v>
      </c>
      <c r="K4434" s="783" t="s">
        <v>765</v>
      </c>
      <c r="L4434" s="783" t="s">
        <v>4014</v>
      </c>
      <c r="M4434" s="784">
        <v>17354.990000000002</v>
      </c>
      <c r="N4434" s="784">
        <v>14.88</v>
      </c>
      <c r="O4434" s="784">
        <v>2.5299999999999998</v>
      </c>
      <c r="P4434" s="783">
        <v>461</v>
      </c>
      <c r="Q4434" s="783">
        <v>680.32</v>
      </c>
      <c r="R4434" s="783">
        <v>532.79999999999995</v>
      </c>
      <c r="S4434" s="783">
        <v>85.04</v>
      </c>
      <c r="T4434" s="783">
        <v>62.48</v>
      </c>
      <c r="U4434" s="785">
        <v>44699.470520833303</v>
      </c>
    </row>
    <row r="4435" spans="1:21">
      <c r="A4435" s="782">
        <v>44699</v>
      </c>
      <c r="B4435" s="783" t="s">
        <v>41</v>
      </c>
      <c r="C4435" s="783" t="s">
        <v>4139</v>
      </c>
      <c r="D4435" s="783" t="s">
        <v>4009</v>
      </c>
      <c r="E4435" s="783" t="s">
        <v>5821</v>
      </c>
      <c r="F4435" s="783" t="s">
        <v>4011</v>
      </c>
      <c r="G4435" s="783" t="str">
        <f>VLOOKUP(I4435,pacage,2,FALSE)</f>
        <v>Renewal (15% in 2020)</v>
      </c>
      <c r="H4435" s="783" t="s">
        <v>5822</v>
      </c>
      <c r="I4435" s="783" t="s">
        <v>5823</v>
      </c>
      <c r="J4435" s="783">
        <v>15</v>
      </c>
      <c r="K4435" s="783" t="s">
        <v>765</v>
      </c>
      <c r="L4435" s="783" t="s">
        <v>4014</v>
      </c>
      <c r="M4435" s="784">
        <v>19978.88</v>
      </c>
      <c r="N4435" s="784">
        <v>20.14</v>
      </c>
      <c r="O4435" s="784">
        <v>2.48</v>
      </c>
      <c r="P4435" s="783">
        <v>400</v>
      </c>
      <c r="Q4435" s="783">
        <v>1366.56</v>
      </c>
      <c r="R4435" s="783">
        <v>613.35</v>
      </c>
      <c r="S4435" s="783">
        <v>97.9</v>
      </c>
      <c r="T4435" s="783">
        <v>655.30999999999995</v>
      </c>
      <c r="U4435" s="785">
        <v>44700.527256944399</v>
      </c>
    </row>
    <row r="4436" spans="1:21">
      <c r="A4436" s="782">
        <v>44431</v>
      </c>
      <c r="B4436" s="783" t="s">
        <v>41</v>
      </c>
      <c r="C4436" s="783" t="s">
        <v>4121</v>
      </c>
      <c r="D4436" s="783" t="s">
        <v>4009</v>
      </c>
      <c r="E4436" s="783" t="s">
        <v>4171</v>
      </c>
      <c r="F4436" s="783" t="s">
        <v>4011</v>
      </c>
      <c r="G4436" s="783" t="str">
        <f>VLOOKUP(I4436,pacage,2,FALSE)</f>
        <v>Renewal (15% in 2020)</v>
      </c>
      <c r="H4436" s="783" t="s">
        <v>4172</v>
      </c>
      <c r="I4436" s="783" t="s">
        <v>4173</v>
      </c>
      <c r="J4436" s="783">
        <v>15</v>
      </c>
      <c r="K4436" s="783" t="s">
        <v>765</v>
      </c>
      <c r="L4436" s="783" t="s">
        <v>4014</v>
      </c>
      <c r="M4436" s="784">
        <v>14244.9</v>
      </c>
      <c r="N4436" s="784">
        <v>15</v>
      </c>
      <c r="O4436" s="784">
        <v>2.06</v>
      </c>
      <c r="P4436" s="783">
        <v>461</v>
      </c>
      <c r="Q4436" s="783">
        <v>1737.88</v>
      </c>
      <c r="R4436" s="783">
        <v>754.98</v>
      </c>
      <c r="S4436" s="783">
        <v>122.51</v>
      </c>
      <c r="T4436" s="783">
        <v>860.39</v>
      </c>
      <c r="U4436" s="785">
        <v>44655.421493055597</v>
      </c>
    </row>
    <row r="4437" spans="1:21">
      <c r="A4437" s="782">
        <v>44655</v>
      </c>
      <c r="B4437" s="783" t="s">
        <v>41</v>
      </c>
      <c r="C4437" s="783" t="s">
        <v>4139</v>
      </c>
      <c r="D4437" s="783" t="s">
        <v>4009</v>
      </c>
      <c r="E4437" s="783" t="s">
        <v>5824</v>
      </c>
      <c r="F4437" s="783" t="s">
        <v>4011</v>
      </c>
      <c r="G4437" s="783" t="str">
        <f>VLOOKUP(I4437,pacage,2,FALSE)</f>
        <v>Renewal (25% in 2020)</v>
      </c>
      <c r="H4437" s="783" t="s">
        <v>5825</v>
      </c>
      <c r="I4437" s="783" t="s">
        <v>5826</v>
      </c>
      <c r="J4437" s="783">
        <v>25</v>
      </c>
      <c r="K4437" s="783" t="s">
        <v>765</v>
      </c>
      <c r="L4437" s="783" t="s">
        <v>4014</v>
      </c>
      <c r="M4437" s="784">
        <v>12511.54</v>
      </c>
      <c r="N4437" s="784">
        <v>11.5</v>
      </c>
      <c r="O4437" s="784">
        <v>2.36</v>
      </c>
      <c r="P4437" s="783">
        <v>461</v>
      </c>
      <c r="Q4437" s="783">
        <v>490.45</v>
      </c>
      <c r="R4437" s="783">
        <v>384.1</v>
      </c>
      <c r="S4437" s="783">
        <v>61.31</v>
      </c>
      <c r="T4437" s="783">
        <v>45.04</v>
      </c>
      <c r="U4437" s="785">
        <v>44657.6264814815</v>
      </c>
    </row>
    <row r="4438" spans="1:21">
      <c r="A4438" s="782">
        <v>44657</v>
      </c>
      <c r="B4438" s="783" t="s">
        <v>51</v>
      </c>
      <c r="C4438" s="783" t="s">
        <v>4042</v>
      </c>
      <c r="D4438" s="783" t="s">
        <v>4016</v>
      </c>
      <c r="E4438" s="783" t="s">
        <v>5833</v>
      </c>
      <c r="F4438" s="783" t="s">
        <v>4011</v>
      </c>
      <c r="G4438" s="783" t="str">
        <f>VLOOKUP(I4438,pacage,2,FALSE)</f>
        <v>New Contract</v>
      </c>
      <c r="H4438" s="783" t="s">
        <v>5834</v>
      </c>
      <c r="I4438" s="783" t="s">
        <v>5835</v>
      </c>
      <c r="J4438" s="783">
        <v>25</v>
      </c>
      <c r="K4438" s="783" t="s">
        <v>765</v>
      </c>
      <c r="L4438" s="783" t="s">
        <v>4014</v>
      </c>
      <c r="M4438" s="784">
        <v>17878.25</v>
      </c>
      <c r="N4438" s="784">
        <v>20.190000000000001</v>
      </c>
      <c r="O4438" s="784">
        <v>2.5299999999999998</v>
      </c>
      <c r="P4438" s="783">
        <v>350</v>
      </c>
      <c r="Q4438" s="783">
        <v>1281.8699999999999</v>
      </c>
      <c r="R4438" s="783">
        <v>942.18</v>
      </c>
      <c r="S4438" s="783">
        <v>153.75</v>
      </c>
      <c r="T4438" s="783">
        <v>185.93</v>
      </c>
      <c r="U4438" s="785">
        <v>44657.620393518497</v>
      </c>
    </row>
    <row r="4439" spans="1:21">
      <c r="A4439" s="782">
        <v>44660</v>
      </c>
      <c r="B4439" s="783" t="s">
        <v>4025</v>
      </c>
      <c r="C4439" s="783" t="s">
        <v>4026</v>
      </c>
      <c r="D4439" s="783" t="s">
        <v>4021</v>
      </c>
      <c r="E4439" s="783" t="s">
        <v>5839</v>
      </c>
      <c r="F4439" s="783" t="s">
        <v>4066</v>
      </c>
      <c r="G4439" s="783" t="s">
        <v>4028</v>
      </c>
      <c r="H4439" s="783" t="s">
        <v>5840</v>
      </c>
      <c r="I4439" s="783" t="s">
        <v>5841</v>
      </c>
      <c r="J4439" s="783">
        <v>5</v>
      </c>
      <c r="K4439" s="783" t="s">
        <v>765</v>
      </c>
      <c r="L4439" s="783" t="s">
        <v>4014</v>
      </c>
      <c r="M4439" s="784">
        <v>28420</v>
      </c>
      <c r="N4439" s="784">
        <v>29</v>
      </c>
      <c r="O4439" s="784">
        <v>2</v>
      </c>
      <c r="P4439" s="783">
        <v>490</v>
      </c>
      <c r="Q4439" s="783">
        <v>846.92</v>
      </c>
      <c r="R4439" s="783">
        <v>0</v>
      </c>
      <c r="S4439" s="783">
        <v>0</v>
      </c>
      <c r="T4439" s="783">
        <v>846.92</v>
      </c>
      <c r="U4439" s="785">
        <v>44663.427326388897</v>
      </c>
    </row>
    <row r="4440" spans="1:21">
      <c r="A4440" s="782">
        <v>44658</v>
      </c>
      <c r="B4440" s="783" t="s">
        <v>41</v>
      </c>
      <c r="C4440" s="783" t="s">
        <v>4139</v>
      </c>
      <c r="D4440" s="783" t="s">
        <v>4009</v>
      </c>
      <c r="E4440" s="783" t="s">
        <v>5842</v>
      </c>
      <c r="F4440" s="783" t="s">
        <v>4011</v>
      </c>
      <c r="G4440" s="783" t="str">
        <f>VLOOKUP(I4440,pacage,2,FALSE)</f>
        <v>Renewal (30% in 2020)</v>
      </c>
      <c r="H4440" s="783" t="s">
        <v>5843</v>
      </c>
      <c r="I4440" s="783" t="s">
        <v>5844</v>
      </c>
      <c r="J4440" s="783">
        <v>30</v>
      </c>
      <c r="K4440" s="783" t="s">
        <v>765</v>
      </c>
      <c r="L4440" s="783" t="s">
        <v>4014</v>
      </c>
      <c r="M4440" s="784">
        <v>25552.68</v>
      </c>
      <c r="N4440" s="784">
        <v>16.16</v>
      </c>
      <c r="O4440" s="784">
        <v>3.43</v>
      </c>
      <c r="P4440" s="783">
        <v>461</v>
      </c>
      <c r="Q4440" s="783">
        <v>876.46</v>
      </c>
      <c r="R4440" s="783">
        <v>784.47</v>
      </c>
      <c r="S4440" s="783">
        <v>0</v>
      </c>
      <c r="T4440" s="783">
        <v>91.99</v>
      </c>
      <c r="U4440" s="785">
        <v>44659.409884259301</v>
      </c>
    </row>
    <row r="4441" spans="1:21">
      <c r="A4441" s="782">
        <v>44659</v>
      </c>
      <c r="B4441" s="783" t="s">
        <v>3078</v>
      </c>
      <c r="C4441" s="783" t="s">
        <v>4414</v>
      </c>
      <c r="D4441" s="783" t="s">
        <v>4009</v>
      </c>
      <c r="E4441" s="783" t="s">
        <v>5848</v>
      </c>
      <c r="F4441" s="783" t="s">
        <v>4011</v>
      </c>
      <c r="G4441" s="783" t="str">
        <f>VLOOKUP(I4441,pacage,2,FALSE)</f>
        <v>Renewal (15% in 2020)</v>
      </c>
      <c r="H4441" s="783" t="s">
        <v>5849</v>
      </c>
      <c r="I4441" s="783" t="s">
        <v>5850</v>
      </c>
      <c r="J4441" s="783">
        <v>20</v>
      </c>
      <c r="K4441" s="783" t="s">
        <v>765</v>
      </c>
      <c r="L4441" s="783" t="s">
        <v>4014</v>
      </c>
      <c r="M4441" s="784">
        <v>9220</v>
      </c>
      <c r="N4441" s="784">
        <v>8</v>
      </c>
      <c r="O4441" s="784">
        <v>2.5</v>
      </c>
      <c r="P4441" s="783">
        <v>461</v>
      </c>
      <c r="Q4441" s="783">
        <v>723.77</v>
      </c>
      <c r="R4441" s="783">
        <v>384.47</v>
      </c>
      <c r="S4441" s="783">
        <v>63.62</v>
      </c>
      <c r="T4441" s="783">
        <v>275.68</v>
      </c>
      <c r="U4441" s="785">
        <v>44663.419953703698</v>
      </c>
    </row>
    <row r="4442" spans="1:21">
      <c r="A4442" s="782">
        <v>44700</v>
      </c>
      <c r="B4442" s="783" t="s">
        <v>113</v>
      </c>
      <c r="C4442" s="783" t="s">
        <v>4606</v>
      </c>
      <c r="D4442" s="783" t="s">
        <v>4009</v>
      </c>
      <c r="E4442" s="783" t="s">
        <v>984</v>
      </c>
      <c r="F4442" s="783" t="s">
        <v>4011</v>
      </c>
      <c r="G4442" s="783" t="s">
        <v>4028</v>
      </c>
      <c r="H4442" s="783" t="s">
        <v>6751</v>
      </c>
      <c r="I4442" s="783" t="s">
        <v>6752</v>
      </c>
      <c r="J4442" s="783">
        <v>20</v>
      </c>
      <c r="K4442" s="783" t="s">
        <v>765</v>
      </c>
      <c r="L4442" s="783" t="s">
        <v>4014</v>
      </c>
      <c r="M4442" s="784">
        <v>18864.78</v>
      </c>
      <c r="N4442" s="784">
        <v>11.32</v>
      </c>
      <c r="O4442" s="784">
        <v>3.03</v>
      </c>
      <c r="P4442" s="783">
        <v>550</v>
      </c>
      <c r="Q4442" s="783">
        <v>1473.34</v>
      </c>
      <c r="R4442" s="783">
        <v>672.01</v>
      </c>
      <c r="S4442" s="783">
        <v>259.91000000000003</v>
      </c>
      <c r="T4442" s="783">
        <v>541.41999999999996</v>
      </c>
      <c r="U4442" s="785">
        <v>44700.684027777803</v>
      </c>
    </row>
    <row r="4443" spans="1:21">
      <c r="A4443" s="782">
        <v>44700</v>
      </c>
      <c r="B4443" s="783" t="s">
        <v>30</v>
      </c>
      <c r="C4443" s="783" t="s">
        <v>4239</v>
      </c>
      <c r="D4443" s="783" t="s">
        <v>4021</v>
      </c>
      <c r="E4443" s="783" t="s">
        <v>2043</v>
      </c>
      <c r="F4443" s="783" t="s">
        <v>4011</v>
      </c>
      <c r="G4443" s="783" t="str">
        <f t="shared" ref="G4443:G4448" si="239">VLOOKUP(I4443,pacage,2,FALSE)</f>
        <v>Renewal (30% in 2020)</v>
      </c>
      <c r="H4443" s="783" t="s">
        <v>4240</v>
      </c>
      <c r="I4443" s="783" t="s">
        <v>4241</v>
      </c>
      <c r="J4443" s="783">
        <v>30</v>
      </c>
      <c r="K4443" s="783" t="s">
        <v>765</v>
      </c>
      <c r="L4443" s="783" t="s">
        <v>4014</v>
      </c>
      <c r="M4443" s="784">
        <v>20547</v>
      </c>
      <c r="N4443" s="784">
        <v>15.22</v>
      </c>
      <c r="O4443" s="784">
        <v>3</v>
      </c>
      <c r="P4443" s="783">
        <v>450</v>
      </c>
      <c r="Q4443" s="783">
        <v>996.53</v>
      </c>
      <c r="R4443" s="783">
        <v>834.21</v>
      </c>
      <c r="S4443" s="783">
        <v>0</v>
      </c>
      <c r="T4443" s="783">
        <v>162.32</v>
      </c>
      <c r="U4443" s="785">
        <v>44700.716516203698</v>
      </c>
    </row>
    <row r="4444" spans="1:21">
      <c r="A4444" s="782">
        <v>44704</v>
      </c>
      <c r="B4444" s="783" t="s">
        <v>41</v>
      </c>
      <c r="C4444" s="783" t="s">
        <v>4071</v>
      </c>
      <c r="D4444" s="783" t="s">
        <v>4009</v>
      </c>
      <c r="E4444" s="783" t="s">
        <v>5853</v>
      </c>
      <c r="F4444" s="783" t="s">
        <v>4011</v>
      </c>
      <c r="G4444" s="783" t="str">
        <f t="shared" si="239"/>
        <v>Renewal (20% in 2020)</v>
      </c>
      <c r="H4444" s="783" t="s">
        <v>5854</v>
      </c>
      <c r="I4444" s="783" t="s">
        <v>5855</v>
      </c>
      <c r="J4444" s="783">
        <v>25</v>
      </c>
      <c r="K4444" s="783" t="s">
        <v>765</v>
      </c>
      <c r="L4444" s="783" t="s">
        <v>4014</v>
      </c>
      <c r="M4444" s="784">
        <v>38447.4</v>
      </c>
      <c r="N4444" s="784">
        <v>34.75</v>
      </c>
      <c r="O4444" s="784">
        <v>2.4</v>
      </c>
      <c r="P4444" s="783">
        <v>461</v>
      </c>
      <c r="Q4444" s="783">
        <v>1757.05</v>
      </c>
      <c r="R4444" s="783">
        <v>1372.57</v>
      </c>
      <c r="S4444" s="783">
        <v>219.15</v>
      </c>
      <c r="T4444" s="783">
        <v>165.32</v>
      </c>
      <c r="U4444" s="785">
        <v>44704.577442129601</v>
      </c>
    </row>
    <row r="4445" spans="1:21">
      <c r="A4445" s="782">
        <v>44710</v>
      </c>
      <c r="B4445" s="783" t="s">
        <v>4025</v>
      </c>
      <c r="C4445" s="783" t="s">
        <v>4026</v>
      </c>
      <c r="D4445" s="783" t="s">
        <v>4021</v>
      </c>
      <c r="E4445" s="783" t="s">
        <v>5858</v>
      </c>
      <c r="F4445" s="783" t="s">
        <v>4011</v>
      </c>
      <c r="G4445" s="783" t="str">
        <f t="shared" si="239"/>
        <v>New contract</v>
      </c>
      <c r="H4445" s="783" t="s">
        <v>5859</v>
      </c>
      <c r="I4445" s="783" t="s">
        <v>5860</v>
      </c>
      <c r="J4445" s="783">
        <v>25</v>
      </c>
      <c r="K4445" s="783" t="s">
        <v>765</v>
      </c>
      <c r="L4445" s="783" t="s">
        <v>4014</v>
      </c>
      <c r="M4445" s="784">
        <v>66643.08</v>
      </c>
      <c r="N4445" s="784">
        <v>65.709999999999994</v>
      </c>
      <c r="O4445" s="784">
        <v>2.2000000000000002</v>
      </c>
      <c r="P4445" s="783">
        <v>461</v>
      </c>
      <c r="Q4445" s="783">
        <v>3971.93</v>
      </c>
      <c r="R4445" s="783">
        <v>2878.98</v>
      </c>
      <c r="S4445" s="783">
        <v>466.5</v>
      </c>
      <c r="T4445" s="783">
        <v>626.44000000000005</v>
      </c>
      <c r="U4445" s="785">
        <v>44712.613923611098</v>
      </c>
    </row>
    <row r="4446" spans="1:21">
      <c r="A4446" s="782">
        <v>44705</v>
      </c>
      <c r="B4446" s="783" t="s">
        <v>113</v>
      </c>
      <c r="C4446" s="783" t="s">
        <v>4606</v>
      </c>
      <c r="D4446" s="783" t="s">
        <v>4009</v>
      </c>
      <c r="E4446" s="783" t="s">
        <v>6960</v>
      </c>
      <c r="F4446" s="783" t="s">
        <v>4011</v>
      </c>
      <c r="G4446" s="783" t="str">
        <f t="shared" si="239"/>
        <v>Renewal (20% in 2020)</v>
      </c>
      <c r="H4446" s="783" t="s">
        <v>6961</v>
      </c>
      <c r="I4446" s="783" t="s">
        <v>6962</v>
      </c>
      <c r="J4446" s="783">
        <v>20</v>
      </c>
      <c r="K4446" s="783" t="s">
        <v>765</v>
      </c>
      <c r="L4446" s="783" t="s">
        <v>4014</v>
      </c>
      <c r="M4446" s="784">
        <v>4148.4799999999996</v>
      </c>
      <c r="N4446" s="784">
        <v>4.63</v>
      </c>
      <c r="O4446" s="784">
        <v>2.56</v>
      </c>
      <c r="P4446" s="783">
        <v>350</v>
      </c>
      <c r="Q4446" s="783">
        <v>324</v>
      </c>
      <c r="R4446" s="783">
        <v>176.31</v>
      </c>
      <c r="S4446" s="783">
        <v>28.62</v>
      </c>
      <c r="T4446" s="783">
        <v>119.06</v>
      </c>
      <c r="U4446" s="785">
        <v>44705.531284722201</v>
      </c>
    </row>
    <row r="4447" spans="1:21">
      <c r="A4447" s="782">
        <v>44705</v>
      </c>
      <c r="B4447" s="783" t="s">
        <v>113</v>
      </c>
      <c r="C4447" s="783" t="s">
        <v>4598</v>
      </c>
      <c r="D4447" s="783" t="s">
        <v>4009</v>
      </c>
      <c r="E4447" s="783" t="s">
        <v>6960</v>
      </c>
      <c r="F4447" s="783" t="s">
        <v>4011</v>
      </c>
      <c r="G4447" s="783" t="str">
        <f t="shared" si="239"/>
        <v>Renewal (20% in 2020)</v>
      </c>
      <c r="H4447" s="783" t="s">
        <v>6961</v>
      </c>
      <c r="I4447" s="783" t="s">
        <v>6962</v>
      </c>
      <c r="J4447" s="783">
        <v>20</v>
      </c>
      <c r="K4447" s="783" t="s">
        <v>765</v>
      </c>
      <c r="L4447" s="783" t="s">
        <v>4014</v>
      </c>
      <c r="M4447" s="784">
        <v>4533.76</v>
      </c>
      <c r="N4447" s="784">
        <v>5.0599999999999996</v>
      </c>
      <c r="O4447" s="784">
        <v>2.56</v>
      </c>
      <c r="P4447" s="783">
        <v>350</v>
      </c>
      <c r="Q4447" s="783">
        <v>337.77</v>
      </c>
      <c r="R4447" s="783">
        <v>175</v>
      </c>
      <c r="S4447" s="783">
        <v>46.7</v>
      </c>
      <c r="T4447" s="783">
        <v>116.06</v>
      </c>
      <c r="U4447" s="785">
        <v>44705.531284722201</v>
      </c>
    </row>
    <row r="4448" spans="1:21">
      <c r="A4448" s="782">
        <v>44715</v>
      </c>
      <c r="B4448" s="783" t="s">
        <v>4025</v>
      </c>
      <c r="C4448" s="783" t="s">
        <v>4026</v>
      </c>
      <c r="D4448" s="783" t="s">
        <v>4021</v>
      </c>
      <c r="E4448" s="783" t="s">
        <v>5875</v>
      </c>
      <c r="F4448" s="783" t="s">
        <v>4011</v>
      </c>
      <c r="G4448" s="783" t="str">
        <f t="shared" si="239"/>
        <v>New Contract</v>
      </c>
      <c r="H4448" s="783" t="s">
        <v>5876</v>
      </c>
      <c r="I4448" s="783" t="s">
        <v>5877</v>
      </c>
      <c r="J4448" s="783">
        <v>25</v>
      </c>
      <c r="K4448" s="783" t="s">
        <v>765</v>
      </c>
      <c r="L4448" s="783" t="s">
        <v>4014</v>
      </c>
      <c r="M4448" s="784">
        <v>43275.73</v>
      </c>
      <c r="N4448" s="784">
        <v>38.159999999999997</v>
      </c>
      <c r="O4448" s="784">
        <v>2.46</v>
      </c>
      <c r="P4448" s="783">
        <v>461</v>
      </c>
      <c r="Q4448" s="783">
        <v>2579.23</v>
      </c>
      <c r="R4448" s="783">
        <v>1869.51</v>
      </c>
      <c r="S4448" s="783">
        <v>302.93</v>
      </c>
      <c r="T4448" s="783">
        <v>406.79</v>
      </c>
      <c r="U4448" s="785">
        <v>44715.4636805556</v>
      </c>
    </row>
    <row r="4449" spans="1:21">
      <c r="A4449" s="782">
        <v>44705</v>
      </c>
      <c r="B4449" s="783" t="s">
        <v>74</v>
      </c>
      <c r="C4449" s="783" t="s">
        <v>4097</v>
      </c>
      <c r="D4449" s="783" t="s">
        <v>4038</v>
      </c>
      <c r="E4449" s="783" t="s">
        <v>4390</v>
      </c>
      <c r="F4449" s="783" t="s">
        <v>4066</v>
      </c>
      <c r="G4449" s="783" t="s">
        <v>4028</v>
      </c>
      <c r="H4449" s="783" t="s">
        <v>4391</v>
      </c>
      <c r="I4449" s="783" t="s">
        <v>4392</v>
      </c>
      <c r="J4449" s="783">
        <v>10</v>
      </c>
      <c r="K4449" s="783" t="s">
        <v>765</v>
      </c>
      <c r="L4449" s="783" t="s">
        <v>4014</v>
      </c>
      <c r="M4449" s="784">
        <v>24365</v>
      </c>
      <c r="N4449" s="784">
        <v>17.72</v>
      </c>
      <c r="O4449" s="784">
        <v>2.5</v>
      </c>
      <c r="P4449" s="783">
        <v>550</v>
      </c>
      <c r="Q4449" s="783">
        <v>1349.82</v>
      </c>
      <c r="R4449" s="783">
        <v>0</v>
      </c>
      <c r="S4449" s="783">
        <v>0</v>
      </c>
      <c r="T4449" s="783">
        <v>1349.82</v>
      </c>
      <c r="U4449" s="785">
        <v>44706.523495370398</v>
      </c>
    </row>
    <row r="4450" spans="1:21">
      <c r="A4450" s="782">
        <v>44707</v>
      </c>
      <c r="B4450" s="783" t="s">
        <v>41</v>
      </c>
      <c r="C4450" s="783" t="s">
        <v>4071</v>
      </c>
      <c r="D4450" s="783" t="s">
        <v>4009</v>
      </c>
      <c r="E4450" s="783" t="s">
        <v>4174</v>
      </c>
      <c r="F4450" s="783" t="s">
        <v>4011</v>
      </c>
      <c r="G4450" s="783" t="str">
        <f t="shared" ref="G4450:G4460" si="240">VLOOKUP(I4450,pacage,2,FALSE)</f>
        <v>Renewal (20% in 2020)</v>
      </c>
      <c r="H4450" s="783" t="s">
        <v>4175</v>
      </c>
      <c r="I4450" s="783" t="s">
        <v>4176</v>
      </c>
      <c r="J4450" s="783">
        <v>20</v>
      </c>
      <c r="K4450" s="783" t="s">
        <v>765</v>
      </c>
      <c r="L4450" s="783" t="s">
        <v>4014</v>
      </c>
      <c r="M4450" s="784">
        <v>51624</v>
      </c>
      <c r="N4450" s="784">
        <v>57.36</v>
      </c>
      <c r="O4450" s="784">
        <v>2.5</v>
      </c>
      <c r="P4450" s="783">
        <v>360</v>
      </c>
      <c r="Q4450" s="783">
        <v>3061.3</v>
      </c>
      <c r="R4450" s="783">
        <v>1842.98</v>
      </c>
      <c r="S4450" s="783">
        <v>294.26</v>
      </c>
      <c r="T4450" s="783">
        <v>924.07</v>
      </c>
      <c r="U4450" s="785">
        <v>44708.586967592601</v>
      </c>
    </row>
    <row r="4451" spans="1:21">
      <c r="A4451" s="782">
        <v>44686</v>
      </c>
      <c r="B4451" s="783" t="s">
        <v>51</v>
      </c>
      <c r="C4451" s="783" t="s">
        <v>4015</v>
      </c>
      <c r="D4451" s="783" t="s">
        <v>4016</v>
      </c>
      <c r="E4451" s="783" t="s">
        <v>2212</v>
      </c>
      <c r="F4451" s="783" t="s">
        <v>4011</v>
      </c>
      <c r="G4451" s="783" t="str">
        <f t="shared" si="240"/>
        <v>Renewal (20% in 2020)</v>
      </c>
      <c r="H4451" s="783" t="s">
        <v>5878</v>
      </c>
      <c r="I4451" s="783" t="s">
        <v>5879</v>
      </c>
      <c r="J4451" s="783">
        <v>20</v>
      </c>
      <c r="K4451" s="783" t="s">
        <v>765</v>
      </c>
      <c r="L4451" s="783" t="s">
        <v>4014</v>
      </c>
      <c r="M4451" s="784">
        <v>57063.92</v>
      </c>
      <c r="N4451" s="784">
        <v>67.34</v>
      </c>
      <c r="O4451" s="784">
        <v>2.23</v>
      </c>
      <c r="P4451" s="783">
        <v>380</v>
      </c>
      <c r="Q4451" s="783">
        <v>5694.98</v>
      </c>
      <c r="R4451" s="783">
        <v>3258.35</v>
      </c>
      <c r="S4451" s="783">
        <v>542.11</v>
      </c>
      <c r="T4451" s="783">
        <v>1894.52</v>
      </c>
      <c r="U4451" s="785">
        <v>44708.806597222203</v>
      </c>
    </row>
    <row r="4452" spans="1:21">
      <c r="A4452" s="782">
        <v>44711</v>
      </c>
      <c r="B4452" s="783" t="s">
        <v>4025</v>
      </c>
      <c r="C4452" s="783" t="s">
        <v>4052</v>
      </c>
      <c r="D4452" s="783" t="s">
        <v>4021</v>
      </c>
      <c r="E4452" s="783" t="s">
        <v>4177</v>
      </c>
      <c r="F4452" s="783" t="s">
        <v>4011</v>
      </c>
      <c r="G4452" s="783" t="str">
        <f t="shared" si="240"/>
        <v>New Contract</v>
      </c>
      <c r="H4452" s="783" t="s">
        <v>4178</v>
      </c>
      <c r="I4452" s="783" t="s">
        <v>4179</v>
      </c>
      <c r="J4452" s="783">
        <v>25</v>
      </c>
      <c r="K4452" s="783" t="s">
        <v>765</v>
      </c>
      <c r="L4452" s="783" t="s">
        <v>4014</v>
      </c>
      <c r="M4452" s="784">
        <v>20007.400000000001</v>
      </c>
      <c r="N4452" s="784">
        <v>20</v>
      </c>
      <c r="O4452" s="784">
        <v>2.17</v>
      </c>
      <c r="P4452" s="783">
        <v>461</v>
      </c>
      <c r="Q4452" s="783">
        <v>1182.44</v>
      </c>
      <c r="R4452" s="783">
        <v>898.33</v>
      </c>
      <c r="S4452" s="783">
        <v>146.05000000000001</v>
      </c>
      <c r="T4452" s="783">
        <v>138.05000000000001</v>
      </c>
      <c r="U4452" s="785">
        <v>44713.528946759303</v>
      </c>
    </row>
    <row r="4453" spans="1:21">
      <c r="A4453" s="782">
        <v>44711</v>
      </c>
      <c r="B4453" s="783" t="s">
        <v>4025</v>
      </c>
      <c r="C4453" s="783" t="s">
        <v>4052</v>
      </c>
      <c r="D4453" s="783" t="s">
        <v>4021</v>
      </c>
      <c r="E4453" s="783" t="s">
        <v>5889</v>
      </c>
      <c r="F4453" s="783" t="s">
        <v>4011</v>
      </c>
      <c r="G4453" s="783" t="str">
        <f t="shared" si="240"/>
        <v>New contract</v>
      </c>
      <c r="H4453" s="783" t="s">
        <v>5890</v>
      </c>
      <c r="I4453" s="783" t="s">
        <v>5891</v>
      </c>
      <c r="J4453" s="783">
        <v>25</v>
      </c>
      <c r="K4453" s="783" t="s">
        <v>765</v>
      </c>
      <c r="L4453" s="783" t="s">
        <v>4014</v>
      </c>
      <c r="M4453" s="784">
        <v>27383.4</v>
      </c>
      <c r="N4453" s="784">
        <v>22</v>
      </c>
      <c r="O4453" s="784">
        <v>2.7</v>
      </c>
      <c r="P4453" s="783">
        <v>461</v>
      </c>
      <c r="Q4453" s="783">
        <v>1618.36</v>
      </c>
      <c r="R4453" s="783">
        <v>1229.51</v>
      </c>
      <c r="S4453" s="783">
        <v>199.9</v>
      </c>
      <c r="T4453" s="783">
        <v>188.95</v>
      </c>
      <c r="U4453" s="785">
        <v>44713.996527777803</v>
      </c>
    </row>
    <row r="4454" spans="1:21">
      <c r="A4454" s="782">
        <v>44711</v>
      </c>
      <c r="B4454" s="783" t="s">
        <v>74</v>
      </c>
      <c r="C4454" s="783" t="s">
        <v>4037</v>
      </c>
      <c r="D4454" s="783" t="s">
        <v>4038</v>
      </c>
      <c r="E4454" s="783" t="s">
        <v>4393</v>
      </c>
      <c r="F4454" s="783" t="s">
        <v>4011</v>
      </c>
      <c r="G4454" s="783" t="str">
        <f t="shared" si="240"/>
        <v>Renewal (15% in 2020)</v>
      </c>
      <c r="H4454" s="783" t="s">
        <v>4394</v>
      </c>
      <c r="I4454" s="783" t="s">
        <v>4395</v>
      </c>
      <c r="J4454" s="783">
        <v>30</v>
      </c>
      <c r="K4454" s="783" t="s">
        <v>765</v>
      </c>
      <c r="L4454" s="783" t="s">
        <v>4014</v>
      </c>
      <c r="M4454" s="784">
        <v>11631.48</v>
      </c>
      <c r="N4454" s="784">
        <v>12.81</v>
      </c>
      <c r="O4454" s="784">
        <v>2.27</v>
      </c>
      <c r="P4454" s="783">
        <v>400</v>
      </c>
      <c r="Q4454" s="783">
        <v>780.47</v>
      </c>
      <c r="R4454" s="783">
        <v>586.23</v>
      </c>
      <c r="S4454" s="783">
        <v>0</v>
      </c>
      <c r="T4454" s="783">
        <v>194.25</v>
      </c>
      <c r="U4454" s="785">
        <v>44713.998842592599</v>
      </c>
    </row>
    <row r="4455" spans="1:21">
      <c r="A4455" s="782">
        <v>44706</v>
      </c>
      <c r="B4455" s="783" t="s">
        <v>74</v>
      </c>
      <c r="C4455" s="783" t="s">
        <v>4097</v>
      </c>
      <c r="D4455" s="783" t="s">
        <v>4038</v>
      </c>
      <c r="E4455" s="783" t="s">
        <v>4396</v>
      </c>
      <c r="F4455" s="783" t="s">
        <v>4011</v>
      </c>
      <c r="G4455" s="783" t="str">
        <f t="shared" si="240"/>
        <v>Renewal (15% in 2020)</v>
      </c>
      <c r="H4455" s="783" t="s">
        <v>4397</v>
      </c>
      <c r="I4455" s="783" t="s">
        <v>4398</v>
      </c>
      <c r="J4455" s="783">
        <v>20</v>
      </c>
      <c r="K4455" s="783" t="s">
        <v>765</v>
      </c>
      <c r="L4455" s="783" t="s">
        <v>4014</v>
      </c>
      <c r="M4455" s="784">
        <v>22492.62</v>
      </c>
      <c r="N4455" s="784">
        <v>18.11</v>
      </c>
      <c r="O4455" s="784">
        <v>2.76</v>
      </c>
      <c r="P4455" s="783">
        <v>450</v>
      </c>
      <c r="Q4455" s="783">
        <v>1815.15</v>
      </c>
      <c r="R4455" s="783">
        <v>1099.8900000000001</v>
      </c>
      <c r="S4455" s="783">
        <v>179.94</v>
      </c>
      <c r="T4455" s="783">
        <v>535.32000000000005</v>
      </c>
      <c r="U4455" s="785">
        <v>44708.579479166699</v>
      </c>
    </row>
    <row r="4456" spans="1:21">
      <c r="A4456" s="782">
        <v>44706</v>
      </c>
      <c r="B4456" s="783" t="s">
        <v>74</v>
      </c>
      <c r="C4456" s="783" t="s">
        <v>4037</v>
      </c>
      <c r="D4456" s="783" t="s">
        <v>4038</v>
      </c>
      <c r="E4456" s="783" t="s">
        <v>4396</v>
      </c>
      <c r="F4456" s="783" t="s">
        <v>4011</v>
      </c>
      <c r="G4456" s="783" t="str">
        <f t="shared" si="240"/>
        <v>Renewal (15% in 2020)</v>
      </c>
      <c r="H4456" s="783" t="s">
        <v>4397</v>
      </c>
      <c r="I4456" s="783" t="s">
        <v>4398</v>
      </c>
      <c r="J4456" s="783">
        <v>20</v>
      </c>
      <c r="K4456" s="783" t="s">
        <v>765</v>
      </c>
      <c r="L4456" s="783" t="s">
        <v>4014</v>
      </c>
      <c r="M4456" s="784">
        <v>38079.72</v>
      </c>
      <c r="N4456" s="784">
        <v>30.66</v>
      </c>
      <c r="O4456" s="784">
        <v>2.76</v>
      </c>
      <c r="P4456" s="783">
        <v>450</v>
      </c>
      <c r="Q4456" s="783">
        <v>3312.94</v>
      </c>
      <c r="R4456" s="783">
        <v>1919.22</v>
      </c>
      <c r="S4456" s="783">
        <v>312.25</v>
      </c>
      <c r="T4456" s="783">
        <v>1081.46</v>
      </c>
      <c r="U4456" s="785">
        <v>44708.579479166699</v>
      </c>
    </row>
    <row r="4457" spans="1:21">
      <c r="A4457" s="782">
        <v>44711</v>
      </c>
      <c r="B4457" s="783" t="s">
        <v>113</v>
      </c>
      <c r="C4457" s="783" t="s">
        <v>4097</v>
      </c>
      <c r="D4457" s="783" t="s">
        <v>4038</v>
      </c>
      <c r="E4457" s="783" t="s">
        <v>172</v>
      </c>
      <c r="F4457" s="783" t="s">
        <v>4011</v>
      </c>
      <c r="G4457" s="783" t="str">
        <f t="shared" si="240"/>
        <v>Renewal (25% in 2020)</v>
      </c>
      <c r="H4457" s="783" t="s">
        <v>5892</v>
      </c>
      <c r="I4457" s="783" t="s">
        <v>5893</v>
      </c>
      <c r="J4457" s="783">
        <v>25</v>
      </c>
      <c r="K4457" s="783" t="s">
        <v>765</v>
      </c>
      <c r="L4457" s="783" t="s">
        <v>4014</v>
      </c>
      <c r="M4457" s="784">
        <v>25070.5</v>
      </c>
      <c r="N4457" s="784">
        <v>20.3</v>
      </c>
      <c r="O4457" s="784">
        <v>2.4700000000000002</v>
      </c>
      <c r="P4457" s="783">
        <v>500</v>
      </c>
      <c r="Q4457" s="783">
        <v>1737.39</v>
      </c>
      <c r="R4457" s="783">
        <v>1130.32</v>
      </c>
      <c r="S4457" s="783">
        <v>296.19</v>
      </c>
      <c r="T4457" s="783">
        <v>310.87</v>
      </c>
      <c r="U4457" s="785">
        <v>44713.519942129598</v>
      </c>
    </row>
    <row r="4458" spans="1:21">
      <c r="A4458" s="782">
        <v>44658</v>
      </c>
      <c r="B4458" s="783" t="s">
        <v>30</v>
      </c>
      <c r="C4458" s="783" t="s">
        <v>4015</v>
      </c>
      <c r="D4458" s="783" t="s">
        <v>4016</v>
      </c>
      <c r="E4458" s="783" t="s">
        <v>5894</v>
      </c>
      <c r="F4458" s="783" t="s">
        <v>4011</v>
      </c>
      <c r="G4458" s="783" t="str">
        <f t="shared" si="240"/>
        <v>Renewal (15% in 2020)</v>
      </c>
      <c r="H4458" s="783" t="s">
        <v>5895</v>
      </c>
      <c r="I4458" s="783" t="s">
        <v>5896</v>
      </c>
      <c r="J4458" s="783">
        <v>15</v>
      </c>
      <c r="K4458" s="783" t="s">
        <v>765</v>
      </c>
      <c r="L4458" s="783" t="s">
        <v>4014</v>
      </c>
      <c r="M4458" s="784">
        <v>6418.96</v>
      </c>
      <c r="N4458" s="784">
        <v>5.9</v>
      </c>
      <c r="O4458" s="784">
        <v>2.36</v>
      </c>
      <c r="P4458" s="783">
        <v>461</v>
      </c>
      <c r="Q4458" s="783">
        <v>847.3</v>
      </c>
      <c r="R4458" s="783">
        <v>366.52</v>
      </c>
      <c r="S4458" s="783">
        <v>60.98</v>
      </c>
      <c r="T4458" s="783">
        <v>419.8</v>
      </c>
      <c r="U4458" s="785">
        <v>44659.405497685198</v>
      </c>
    </row>
    <row r="4459" spans="1:21">
      <c r="A4459" s="782">
        <v>44657</v>
      </c>
      <c r="B4459" s="783" t="s">
        <v>51</v>
      </c>
      <c r="C4459" s="783" t="s">
        <v>4042</v>
      </c>
      <c r="D4459" s="783" t="s">
        <v>4016</v>
      </c>
      <c r="E4459" s="783" t="s">
        <v>5897</v>
      </c>
      <c r="F4459" s="783" t="s">
        <v>4011</v>
      </c>
      <c r="G4459" s="783" t="str">
        <f t="shared" si="240"/>
        <v>New Contract</v>
      </c>
      <c r="H4459" s="783" t="s">
        <v>5898</v>
      </c>
      <c r="I4459" s="783" t="s">
        <v>5899</v>
      </c>
      <c r="J4459" s="783">
        <v>25</v>
      </c>
      <c r="K4459" s="783" t="s">
        <v>765</v>
      </c>
      <c r="L4459" s="783" t="s">
        <v>4014</v>
      </c>
      <c r="M4459" s="784">
        <v>22440.5</v>
      </c>
      <c r="N4459" s="784">
        <v>15.44</v>
      </c>
      <c r="O4459" s="784">
        <v>3.38</v>
      </c>
      <c r="P4459" s="783">
        <v>430</v>
      </c>
      <c r="Q4459" s="783">
        <v>1608.98</v>
      </c>
      <c r="R4459" s="783">
        <v>1182.6099999999999</v>
      </c>
      <c r="S4459" s="783">
        <v>192.99</v>
      </c>
      <c r="T4459" s="783">
        <v>233.38</v>
      </c>
      <c r="U4459" s="785">
        <v>44657.617708333302</v>
      </c>
    </row>
    <row r="4460" spans="1:21">
      <c r="A4460" s="782">
        <v>44687</v>
      </c>
      <c r="B4460" s="783" t="s">
        <v>228</v>
      </c>
      <c r="C4460" s="783" t="s">
        <v>4675</v>
      </c>
      <c r="D4460" s="783" t="s">
        <v>4193</v>
      </c>
      <c r="E4460" s="783" t="s">
        <v>4676</v>
      </c>
      <c r="F4460" s="783" t="s">
        <v>4011</v>
      </c>
      <c r="G4460" s="783" t="str">
        <f t="shared" si="240"/>
        <v>Renewal (25% in 2020)</v>
      </c>
      <c r="H4460" s="783" t="s">
        <v>4677</v>
      </c>
      <c r="I4460" s="783" t="s">
        <v>4678</v>
      </c>
      <c r="J4460" s="783">
        <v>25</v>
      </c>
      <c r="K4460" s="783" t="s">
        <v>765</v>
      </c>
      <c r="L4460" s="783" t="s">
        <v>4014</v>
      </c>
      <c r="M4460" s="784">
        <v>18704</v>
      </c>
      <c r="N4460" s="784">
        <v>16</v>
      </c>
      <c r="O4460" s="784">
        <v>1.67</v>
      </c>
      <c r="P4460" s="783">
        <v>700</v>
      </c>
      <c r="Q4460" s="783">
        <v>1124.1099999999999</v>
      </c>
      <c r="R4460" s="783">
        <v>533.37</v>
      </c>
      <c r="S4460" s="783">
        <v>407.45</v>
      </c>
      <c r="T4460" s="783">
        <v>183.3</v>
      </c>
      <c r="U4460" s="785">
        <v>44704.413402777798</v>
      </c>
    </row>
    <row r="4461" spans="1:21">
      <c r="A4461" s="782">
        <v>44689</v>
      </c>
      <c r="B4461" s="783" t="s">
        <v>113</v>
      </c>
      <c r="C4461" s="783" t="s">
        <v>4606</v>
      </c>
      <c r="D4461" s="783" t="s">
        <v>4009</v>
      </c>
      <c r="E4461" s="783" t="s">
        <v>6966</v>
      </c>
      <c r="F4461" s="783" t="s">
        <v>4011</v>
      </c>
      <c r="G4461" s="783" t="s">
        <v>4028</v>
      </c>
      <c r="H4461" s="783" t="s">
        <v>6967</v>
      </c>
      <c r="I4461" s="783" t="s">
        <v>6968</v>
      </c>
      <c r="J4461" s="783">
        <v>20</v>
      </c>
      <c r="K4461" s="783" t="s">
        <v>765</v>
      </c>
      <c r="L4461" s="783" t="s">
        <v>4014</v>
      </c>
      <c r="M4461" s="784">
        <v>24000</v>
      </c>
      <c r="N4461" s="784">
        <v>20</v>
      </c>
      <c r="O4461" s="784">
        <v>3</v>
      </c>
      <c r="P4461" s="783">
        <v>400</v>
      </c>
      <c r="Q4461" s="783">
        <v>1874.4</v>
      </c>
      <c r="R4461" s="783">
        <v>1020</v>
      </c>
      <c r="S4461" s="783">
        <v>165.6</v>
      </c>
      <c r="T4461" s="783">
        <v>688.8</v>
      </c>
      <c r="U4461" s="785">
        <v>44690.641585648104</v>
      </c>
    </row>
    <row r="4462" spans="1:21">
      <c r="A4462" s="782">
        <v>44662</v>
      </c>
      <c r="B4462" s="783" t="s">
        <v>41</v>
      </c>
      <c r="C4462" s="783" t="s">
        <v>4139</v>
      </c>
      <c r="D4462" s="783" t="s">
        <v>4009</v>
      </c>
      <c r="E4462" s="783" t="s">
        <v>5900</v>
      </c>
      <c r="F4462" s="783" t="s">
        <v>4011</v>
      </c>
      <c r="G4462" s="783" t="str">
        <f t="shared" ref="G4462:G4474" si="241">VLOOKUP(I4462,pacage,2,FALSE)</f>
        <v>Renewal (15% in 2020)</v>
      </c>
      <c r="H4462" s="783" t="s">
        <v>5901</v>
      </c>
      <c r="I4462" s="783" t="s">
        <v>5902</v>
      </c>
      <c r="J4462" s="783">
        <v>15</v>
      </c>
      <c r="K4462" s="783" t="s">
        <v>765</v>
      </c>
      <c r="L4462" s="783" t="s">
        <v>4014</v>
      </c>
      <c r="M4462" s="784">
        <v>14113.93</v>
      </c>
      <c r="N4462" s="784">
        <v>12.81</v>
      </c>
      <c r="O4462" s="784">
        <v>2.39</v>
      </c>
      <c r="P4462" s="783">
        <v>461</v>
      </c>
      <c r="Q4462" s="783">
        <v>965.39</v>
      </c>
      <c r="R4462" s="783">
        <v>433.3</v>
      </c>
      <c r="S4462" s="783">
        <v>69.16</v>
      </c>
      <c r="T4462" s="783">
        <v>462.94</v>
      </c>
      <c r="U4462" s="785">
        <v>44663.430057870399</v>
      </c>
    </row>
    <row r="4463" spans="1:21">
      <c r="A4463" s="782">
        <v>44670</v>
      </c>
      <c r="B4463" s="783" t="s">
        <v>74</v>
      </c>
      <c r="C4463" s="783" t="s">
        <v>4037</v>
      </c>
      <c r="D4463" s="783" t="s">
        <v>4038</v>
      </c>
      <c r="E4463" s="783" t="s">
        <v>7149</v>
      </c>
      <c r="F4463" s="783" t="s">
        <v>4011</v>
      </c>
      <c r="G4463" s="783" t="str">
        <f t="shared" si="241"/>
        <v>New contract</v>
      </c>
      <c r="H4463" s="783" t="s">
        <v>7150</v>
      </c>
      <c r="I4463" s="783" t="s">
        <v>7151</v>
      </c>
      <c r="J4463" s="783">
        <v>15</v>
      </c>
      <c r="K4463" s="783" t="s">
        <v>765</v>
      </c>
      <c r="L4463" s="783" t="s">
        <v>4014</v>
      </c>
      <c r="M4463" s="784">
        <v>15056.26</v>
      </c>
      <c r="N4463" s="784">
        <v>14.2</v>
      </c>
      <c r="O4463" s="784">
        <v>2.2999999999999998</v>
      </c>
      <c r="P4463" s="783">
        <v>461</v>
      </c>
      <c r="Q4463" s="783">
        <v>1573.38</v>
      </c>
      <c r="R4463" s="783">
        <v>758.84</v>
      </c>
      <c r="S4463" s="783">
        <v>123.46</v>
      </c>
      <c r="T4463" s="783">
        <v>691.08</v>
      </c>
      <c r="U4463" s="785">
        <v>44673.355497685203</v>
      </c>
    </row>
    <row r="4464" spans="1:21">
      <c r="A4464" s="782">
        <v>44671</v>
      </c>
      <c r="B4464" s="783" t="s">
        <v>74</v>
      </c>
      <c r="C4464" s="783" t="s">
        <v>4097</v>
      </c>
      <c r="D4464" s="783" t="s">
        <v>4038</v>
      </c>
      <c r="E4464" s="783" t="s">
        <v>4399</v>
      </c>
      <c r="F4464" s="783" t="s">
        <v>4011</v>
      </c>
      <c r="G4464" s="783" t="str">
        <f t="shared" si="241"/>
        <v>New Contract</v>
      </c>
      <c r="H4464" s="783" t="s">
        <v>4400</v>
      </c>
      <c r="I4464" s="783" t="s">
        <v>4401</v>
      </c>
      <c r="J4464" s="783">
        <v>15</v>
      </c>
      <c r="K4464" s="783" t="s">
        <v>765</v>
      </c>
      <c r="L4464" s="783" t="s">
        <v>4014</v>
      </c>
      <c r="M4464" s="784">
        <v>22567.55</v>
      </c>
      <c r="N4464" s="784">
        <v>28.69</v>
      </c>
      <c r="O4464" s="784">
        <v>2.0699999999999998</v>
      </c>
      <c r="P4464" s="783">
        <v>380</v>
      </c>
      <c r="Q4464" s="783">
        <v>2207.11</v>
      </c>
      <c r="R4464" s="783">
        <v>1103.55</v>
      </c>
      <c r="S4464" s="783">
        <v>180.54</v>
      </c>
      <c r="T4464" s="783">
        <v>923.01</v>
      </c>
      <c r="U4464" s="785">
        <v>44673.363437499997</v>
      </c>
    </row>
    <row r="4465" spans="1:21">
      <c r="A4465" s="782">
        <v>44673</v>
      </c>
      <c r="B4465" s="783" t="s">
        <v>41</v>
      </c>
      <c r="C4465" s="783" t="s">
        <v>4071</v>
      </c>
      <c r="D4465" s="783" t="s">
        <v>4009</v>
      </c>
      <c r="E4465" s="783" t="s">
        <v>5909</v>
      </c>
      <c r="F4465" s="783" t="s">
        <v>4011</v>
      </c>
      <c r="G4465" s="783" t="str">
        <f t="shared" si="241"/>
        <v>New Contract</v>
      </c>
      <c r="H4465" s="783" t="s">
        <v>5910</v>
      </c>
      <c r="I4465" s="783" t="s">
        <v>5911</v>
      </c>
      <c r="J4465" s="783">
        <v>20</v>
      </c>
      <c r="K4465" s="783" t="s">
        <v>765</v>
      </c>
      <c r="L4465" s="783" t="s">
        <v>4014</v>
      </c>
      <c r="M4465" s="784">
        <v>11919.25</v>
      </c>
      <c r="N4465" s="784">
        <v>11.34</v>
      </c>
      <c r="O4465" s="784">
        <v>2.2799999999999998</v>
      </c>
      <c r="P4465" s="783">
        <v>461</v>
      </c>
      <c r="Q4465" s="783">
        <v>706.81</v>
      </c>
      <c r="R4465" s="783">
        <v>425.52</v>
      </c>
      <c r="S4465" s="783">
        <v>67.94</v>
      </c>
      <c r="T4465" s="783">
        <v>213.35</v>
      </c>
      <c r="U4465" s="785">
        <v>44673.709930555597</v>
      </c>
    </row>
    <row r="4466" spans="1:21">
      <c r="A4466" s="782">
        <v>44676</v>
      </c>
      <c r="B4466" s="783" t="s">
        <v>41</v>
      </c>
      <c r="C4466" s="783" t="s">
        <v>4082</v>
      </c>
      <c r="D4466" s="783" t="s">
        <v>4009</v>
      </c>
      <c r="E4466" s="783" t="s">
        <v>4679</v>
      </c>
      <c r="F4466" s="783" t="s">
        <v>4011</v>
      </c>
      <c r="G4466" s="783" t="str">
        <f t="shared" si="241"/>
        <v>Renewal (25% in 2020)</v>
      </c>
      <c r="H4466" s="783" t="s">
        <v>4680</v>
      </c>
      <c r="I4466" s="783" t="s">
        <v>4681</v>
      </c>
      <c r="J4466" s="783">
        <v>25</v>
      </c>
      <c r="K4466" s="783" t="s">
        <v>765</v>
      </c>
      <c r="L4466" s="783" t="s">
        <v>4014</v>
      </c>
      <c r="M4466" s="784">
        <v>7358.4</v>
      </c>
      <c r="N4466" s="784">
        <v>8.76</v>
      </c>
      <c r="O4466" s="784">
        <v>2.1</v>
      </c>
      <c r="P4466" s="783">
        <v>400</v>
      </c>
      <c r="Q4466" s="783">
        <v>420.9</v>
      </c>
      <c r="R4466" s="783">
        <v>320.83</v>
      </c>
      <c r="S4466" s="783">
        <v>62.55</v>
      </c>
      <c r="T4466" s="783">
        <v>37.53</v>
      </c>
      <c r="U4466" s="785">
        <v>44676.729212963</v>
      </c>
    </row>
    <row r="4467" spans="1:21">
      <c r="A4467" s="782">
        <v>44670</v>
      </c>
      <c r="B4467" s="783" t="s">
        <v>74</v>
      </c>
      <c r="C4467" s="783" t="s">
        <v>4097</v>
      </c>
      <c r="D4467" s="783" t="s">
        <v>4038</v>
      </c>
      <c r="E4467" s="783" t="s">
        <v>4402</v>
      </c>
      <c r="F4467" s="783" t="s">
        <v>4011</v>
      </c>
      <c r="G4467" s="783" t="str">
        <f t="shared" si="241"/>
        <v>Renewal (15% in 2020)</v>
      </c>
      <c r="H4467" s="783" t="s">
        <v>4403</v>
      </c>
      <c r="I4467" s="783" t="s">
        <v>4404</v>
      </c>
      <c r="J4467" s="783">
        <v>15</v>
      </c>
      <c r="K4467" s="783" t="s">
        <v>765</v>
      </c>
      <c r="L4467" s="783" t="s">
        <v>4014</v>
      </c>
      <c r="M4467" s="784">
        <v>32556.240000000002</v>
      </c>
      <c r="N4467" s="784">
        <v>35.119999999999997</v>
      </c>
      <c r="O4467" s="784">
        <v>2.06</v>
      </c>
      <c r="P4467" s="783">
        <v>450</v>
      </c>
      <c r="Q4467" s="783">
        <v>3184</v>
      </c>
      <c r="R4467" s="783">
        <v>1592</v>
      </c>
      <c r="S4467" s="783">
        <v>260.45</v>
      </c>
      <c r="T4467" s="783">
        <v>1331.55</v>
      </c>
      <c r="U4467" s="785">
        <v>44671.492812500001</v>
      </c>
    </row>
    <row r="4468" spans="1:21">
      <c r="A4468" s="782">
        <v>44671</v>
      </c>
      <c r="B4468" s="783" t="s">
        <v>41</v>
      </c>
      <c r="C4468" s="783" t="s">
        <v>4082</v>
      </c>
      <c r="D4468" s="783" t="s">
        <v>4009</v>
      </c>
      <c r="E4468" s="783" t="s">
        <v>4682</v>
      </c>
      <c r="F4468" s="783" t="s">
        <v>4011</v>
      </c>
      <c r="G4468" s="783" t="str">
        <f t="shared" si="241"/>
        <v>Renewal (25% in 2020)</v>
      </c>
      <c r="H4468" s="783" t="s">
        <v>4683</v>
      </c>
      <c r="I4468" s="783" t="s">
        <v>4684</v>
      </c>
      <c r="J4468" s="783">
        <v>25</v>
      </c>
      <c r="K4468" s="783" t="s">
        <v>765</v>
      </c>
      <c r="L4468" s="783" t="s">
        <v>4014</v>
      </c>
      <c r="M4468" s="784">
        <v>24571.39</v>
      </c>
      <c r="N4468" s="784">
        <v>28.23</v>
      </c>
      <c r="O4468" s="784">
        <v>2.56</v>
      </c>
      <c r="P4468" s="783">
        <v>340</v>
      </c>
      <c r="Q4468" s="783">
        <v>1405.48</v>
      </c>
      <c r="R4468" s="783">
        <v>1071.31</v>
      </c>
      <c r="S4468" s="783">
        <v>208.86</v>
      </c>
      <c r="T4468" s="783">
        <v>125.31</v>
      </c>
      <c r="U4468" s="785">
        <v>44673.370185185202</v>
      </c>
    </row>
    <row r="4469" spans="1:21">
      <c r="A4469" s="782">
        <v>44670</v>
      </c>
      <c r="B4469" s="783" t="s">
        <v>3078</v>
      </c>
      <c r="C4469" s="783" t="s">
        <v>4414</v>
      </c>
      <c r="D4469" s="783" t="s">
        <v>4009</v>
      </c>
      <c r="E4469" s="783" t="s">
        <v>5915</v>
      </c>
      <c r="F4469" s="783" t="s">
        <v>4011</v>
      </c>
      <c r="G4469" s="783" t="str">
        <f t="shared" si="241"/>
        <v>Renewal (25% in 2020)</v>
      </c>
      <c r="H4469" s="783" t="s">
        <v>5916</v>
      </c>
      <c r="I4469" s="783" t="s">
        <v>5917</v>
      </c>
      <c r="J4469" s="783">
        <v>25</v>
      </c>
      <c r="K4469" s="783" t="s">
        <v>765</v>
      </c>
      <c r="L4469" s="783" t="s">
        <v>4014</v>
      </c>
      <c r="M4469" s="784">
        <v>6708.1</v>
      </c>
      <c r="N4469" s="784">
        <v>7.4</v>
      </c>
      <c r="O4469" s="784">
        <v>2.59</v>
      </c>
      <c r="P4469" s="783">
        <v>350</v>
      </c>
      <c r="Q4469" s="783">
        <v>418.59</v>
      </c>
      <c r="R4469" s="783">
        <v>279.73</v>
      </c>
      <c r="S4469" s="783">
        <v>46.29</v>
      </c>
      <c r="T4469" s="783">
        <v>92.57</v>
      </c>
      <c r="U4469" s="785">
        <v>44671.496898148202</v>
      </c>
    </row>
    <row r="4470" spans="1:21">
      <c r="A4470" s="782">
        <v>44671</v>
      </c>
      <c r="B4470" s="783" t="s">
        <v>34</v>
      </c>
      <c r="C4470" s="783" t="s">
        <v>4082</v>
      </c>
      <c r="D4470" s="783" t="s">
        <v>4009</v>
      </c>
      <c r="E4470" s="783" t="s">
        <v>5918</v>
      </c>
      <c r="F4470" s="783" t="s">
        <v>4011</v>
      </c>
      <c r="G4470" s="783" t="str">
        <f t="shared" si="241"/>
        <v>Renewal (20% in 2020)</v>
      </c>
      <c r="H4470" s="783" t="s">
        <v>5919</v>
      </c>
      <c r="I4470" s="783" t="s">
        <v>5920</v>
      </c>
      <c r="J4470" s="783">
        <v>20</v>
      </c>
      <c r="K4470" s="783" t="s">
        <v>765</v>
      </c>
      <c r="L4470" s="783" t="s">
        <v>4014</v>
      </c>
      <c r="M4470" s="784">
        <v>17127.18</v>
      </c>
      <c r="N4470" s="784">
        <v>24.84</v>
      </c>
      <c r="O4470" s="784">
        <v>1.97</v>
      </c>
      <c r="P4470" s="783">
        <v>350</v>
      </c>
      <c r="Q4470" s="783">
        <v>1274.26</v>
      </c>
      <c r="R4470" s="783">
        <v>746.75</v>
      </c>
      <c r="S4470" s="783">
        <v>145.58000000000001</v>
      </c>
      <c r="T4470" s="783">
        <v>381.94</v>
      </c>
      <c r="U4470" s="785">
        <v>44673.357094907398</v>
      </c>
    </row>
    <row r="4471" spans="1:21">
      <c r="A4471" s="782">
        <v>44673</v>
      </c>
      <c r="B4471" s="783" t="s">
        <v>113</v>
      </c>
      <c r="C4471" s="783" t="s">
        <v>4606</v>
      </c>
      <c r="D4471" s="783" t="s">
        <v>4009</v>
      </c>
      <c r="E4471" s="783" t="s">
        <v>6991</v>
      </c>
      <c r="F4471" s="783" t="s">
        <v>4011</v>
      </c>
      <c r="G4471" s="783" t="str">
        <f t="shared" si="241"/>
        <v>Renewal (30% in 2020)</v>
      </c>
      <c r="H4471" s="783" t="s">
        <v>6992</v>
      </c>
      <c r="I4471" s="783" t="s">
        <v>6993</v>
      </c>
      <c r="J4471" s="783">
        <v>20</v>
      </c>
      <c r="K4471" s="783" t="s">
        <v>765</v>
      </c>
      <c r="L4471" s="783" t="s">
        <v>4014</v>
      </c>
      <c r="M4471" s="784">
        <v>10556.55</v>
      </c>
      <c r="N4471" s="784">
        <v>7.56</v>
      </c>
      <c r="O4471" s="784">
        <v>2.33</v>
      </c>
      <c r="P4471" s="783">
        <v>599.29999999999995</v>
      </c>
      <c r="Q4471" s="783">
        <v>824.47</v>
      </c>
      <c r="R4471" s="783">
        <v>345.12</v>
      </c>
      <c r="S4471" s="783">
        <v>176.38</v>
      </c>
      <c r="T4471" s="783">
        <v>302.97000000000003</v>
      </c>
      <c r="U4471" s="785">
        <v>44673.706574074102</v>
      </c>
    </row>
    <row r="4472" spans="1:21">
      <c r="A4472" s="782">
        <v>44680</v>
      </c>
      <c r="B4472" s="783" t="s">
        <v>41</v>
      </c>
      <c r="C4472" s="783" t="s">
        <v>4008</v>
      </c>
      <c r="D4472" s="783" t="s">
        <v>4009</v>
      </c>
      <c r="E4472" s="783" t="s">
        <v>4183</v>
      </c>
      <c r="F4472" s="783" t="s">
        <v>4011</v>
      </c>
      <c r="G4472" s="783" t="str">
        <f t="shared" si="241"/>
        <v>Renewal (15% in 2020)</v>
      </c>
      <c r="H4472" s="783" t="s">
        <v>4184</v>
      </c>
      <c r="I4472" s="783" t="s">
        <v>4185</v>
      </c>
      <c r="J4472" s="783">
        <v>15</v>
      </c>
      <c r="K4472" s="783" t="s">
        <v>765</v>
      </c>
      <c r="L4472" s="783" t="s">
        <v>4014</v>
      </c>
      <c r="M4472" s="784">
        <v>9634.9</v>
      </c>
      <c r="N4472" s="784">
        <v>9.5</v>
      </c>
      <c r="O4472" s="784">
        <v>2.2000000000000002</v>
      </c>
      <c r="P4472" s="783">
        <v>461</v>
      </c>
      <c r="Q4472" s="783">
        <v>1235.19</v>
      </c>
      <c r="R4472" s="783">
        <v>524.14</v>
      </c>
      <c r="S4472" s="783">
        <v>85.75</v>
      </c>
      <c r="T4472" s="783">
        <v>625.30999999999995</v>
      </c>
      <c r="U4472" s="785">
        <v>44683.4709953704</v>
      </c>
    </row>
    <row r="4473" spans="1:21">
      <c r="A4473" s="782">
        <v>44673</v>
      </c>
      <c r="B4473" s="783" t="s">
        <v>41</v>
      </c>
      <c r="C4473" s="783" t="s">
        <v>4092</v>
      </c>
      <c r="D4473" s="783" t="s">
        <v>4009</v>
      </c>
      <c r="E4473" s="783" t="s">
        <v>5921</v>
      </c>
      <c r="F4473" s="783" t="s">
        <v>4011</v>
      </c>
      <c r="G4473" s="783" t="str">
        <f t="shared" si="241"/>
        <v>Renewal (20% in 2020)</v>
      </c>
      <c r="H4473" s="783" t="s">
        <v>5922</v>
      </c>
      <c r="I4473" s="783" t="s">
        <v>5923</v>
      </c>
      <c r="J4473" s="783">
        <v>20</v>
      </c>
      <c r="K4473" s="783" t="s">
        <v>765</v>
      </c>
      <c r="L4473" s="783" t="s">
        <v>4014</v>
      </c>
      <c r="M4473" s="784">
        <v>13916.16</v>
      </c>
      <c r="N4473" s="784">
        <v>18.12</v>
      </c>
      <c r="O4473" s="784">
        <v>2.56</v>
      </c>
      <c r="P4473" s="783">
        <v>300</v>
      </c>
      <c r="Q4473" s="783">
        <v>1168.96</v>
      </c>
      <c r="R4473" s="783">
        <v>684.68</v>
      </c>
      <c r="S4473" s="783">
        <v>133.6</v>
      </c>
      <c r="T4473" s="783">
        <v>350.69</v>
      </c>
      <c r="U4473" s="785">
        <v>44676.708113425899</v>
      </c>
    </row>
    <row r="4474" spans="1:21">
      <c r="A4474" s="782">
        <v>44630</v>
      </c>
      <c r="B4474" s="783" t="s">
        <v>41</v>
      </c>
      <c r="C4474" s="783" t="s">
        <v>4139</v>
      </c>
      <c r="D4474" s="783" t="s">
        <v>4009</v>
      </c>
      <c r="E4474" s="783" t="s">
        <v>672</v>
      </c>
      <c r="F4474" s="783" t="s">
        <v>4011</v>
      </c>
      <c r="G4474" s="783" t="str">
        <f t="shared" si="241"/>
        <v>Renewal (15% in 2020)</v>
      </c>
      <c r="H4474" s="783" t="s">
        <v>5924</v>
      </c>
      <c r="I4474" s="783" t="s">
        <v>5925</v>
      </c>
      <c r="J4474" s="783">
        <v>20</v>
      </c>
      <c r="K4474" s="783" t="s">
        <v>765</v>
      </c>
      <c r="L4474" s="783" t="s">
        <v>4014</v>
      </c>
      <c r="M4474" s="784">
        <v>9805.08</v>
      </c>
      <c r="N4474" s="784">
        <v>13.03</v>
      </c>
      <c r="O4474" s="784">
        <v>2.15</v>
      </c>
      <c r="P4474" s="783">
        <v>350</v>
      </c>
      <c r="Q4474" s="783">
        <v>500.06</v>
      </c>
      <c r="R4474" s="783">
        <v>301.02</v>
      </c>
      <c r="S4474" s="783">
        <v>48.04</v>
      </c>
      <c r="T4474" s="783">
        <v>151</v>
      </c>
      <c r="U4474" s="785">
        <v>44631.634502314802</v>
      </c>
    </row>
    <row r="4475" spans="1:21">
      <c r="A4475" s="782">
        <v>44631</v>
      </c>
      <c r="B4475" s="783" t="s">
        <v>41</v>
      </c>
      <c r="C4475" s="783" t="s">
        <v>4121</v>
      </c>
      <c r="D4475" s="783" t="s">
        <v>4009</v>
      </c>
      <c r="E4475" s="783" t="s">
        <v>6592</v>
      </c>
      <c r="F4475" s="783" t="s">
        <v>4066</v>
      </c>
      <c r="G4475" s="783" t="s">
        <v>4028</v>
      </c>
      <c r="H4475" s="783" t="s">
        <v>6593</v>
      </c>
      <c r="I4475" s="783" t="s">
        <v>6594</v>
      </c>
      <c r="J4475" s="783">
        <v>10</v>
      </c>
      <c r="K4475" s="783" t="s">
        <v>765</v>
      </c>
      <c r="L4475" s="783" t="s">
        <v>4014</v>
      </c>
      <c r="M4475" s="784">
        <v>4900</v>
      </c>
      <c r="N4475" s="784">
        <v>7</v>
      </c>
      <c r="O4475" s="784">
        <v>2</v>
      </c>
      <c r="P4475" s="783">
        <v>350</v>
      </c>
      <c r="Q4475" s="783">
        <v>281.26</v>
      </c>
      <c r="R4475" s="783">
        <v>0</v>
      </c>
      <c r="S4475" s="783">
        <v>0</v>
      </c>
      <c r="T4475" s="783">
        <v>281.26</v>
      </c>
      <c r="U4475" s="785">
        <v>44631.6311921296</v>
      </c>
    </row>
    <row r="4476" spans="1:21">
      <c r="A4476" s="782">
        <v>44630</v>
      </c>
      <c r="B4476" s="783" t="s">
        <v>4025</v>
      </c>
      <c r="C4476" s="783" t="s">
        <v>4026</v>
      </c>
      <c r="D4476" s="783" t="s">
        <v>4021</v>
      </c>
      <c r="E4476" s="783" t="s">
        <v>5926</v>
      </c>
      <c r="F4476" s="783" t="s">
        <v>4011</v>
      </c>
      <c r="G4476" s="783" t="str">
        <f t="shared" ref="G4476:G4481" si="242">VLOOKUP(I4476,pacage,2,FALSE)</f>
        <v>New Contract</v>
      </c>
      <c r="H4476" s="783" t="s">
        <v>5927</v>
      </c>
      <c r="I4476" s="783" t="s">
        <v>5928</v>
      </c>
      <c r="J4476" s="783">
        <v>25</v>
      </c>
      <c r="K4476" s="783" t="s">
        <v>765</v>
      </c>
      <c r="L4476" s="783" t="s">
        <v>4014</v>
      </c>
      <c r="M4476" s="784">
        <v>49625.67</v>
      </c>
      <c r="N4476" s="784">
        <v>35.49</v>
      </c>
      <c r="O4476" s="784">
        <v>2.37</v>
      </c>
      <c r="P4476" s="783">
        <v>590</v>
      </c>
      <c r="Q4476" s="783">
        <v>2957.69</v>
      </c>
      <c r="R4476" s="783">
        <v>1675.09</v>
      </c>
      <c r="S4476" s="783">
        <v>816.12</v>
      </c>
      <c r="T4476" s="783">
        <v>466.48</v>
      </c>
      <c r="U4476" s="785">
        <v>44631.6343865741</v>
      </c>
    </row>
    <row r="4477" spans="1:21">
      <c r="A4477" s="782">
        <v>44693</v>
      </c>
      <c r="B4477" s="783" t="s">
        <v>34</v>
      </c>
      <c r="C4477" s="783" t="s">
        <v>4139</v>
      </c>
      <c r="D4477" s="783" t="s">
        <v>4009</v>
      </c>
      <c r="E4477" s="783" t="s">
        <v>4405</v>
      </c>
      <c r="F4477" s="783" t="s">
        <v>4011</v>
      </c>
      <c r="G4477" s="783" t="str">
        <f t="shared" si="242"/>
        <v>Renewal (30% in 2020)</v>
      </c>
      <c r="H4477" s="783" t="s">
        <v>4406</v>
      </c>
      <c r="I4477" s="783" t="s">
        <v>4407</v>
      </c>
      <c r="J4477" s="783">
        <v>30</v>
      </c>
      <c r="K4477" s="783" t="s">
        <v>765</v>
      </c>
      <c r="L4477" s="783" t="s">
        <v>4014</v>
      </c>
      <c r="M4477" s="784">
        <v>12400</v>
      </c>
      <c r="N4477" s="784">
        <v>12.4</v>
      </c>
      <c r="O4477" s="784">
        <v>2.5</v>
      </c>
      <c r="P4477" s="783">
        <v>400</v>
      </c>
      <c r="Q4477" s="783">
        <v>425.32</v>
      </c>
      <c r="R4477" s="783">
        <v>380.68</v>
      </c>
      <c r="S4477" s="783">
        <v>0</v>
      </c>
      <c r="T4477" s="783">
        <v>44.64</v>
      </c>
      <c r="U4477" s="785">
        <v>44694.433263888903</v>
      </c>
    </row>
    <row r="4478" spans="1:21">
      <c r="A4478" s="782">
        <v>44693</v>
      </c>
      <c r="B4478" s="783" t="s">
        <v>41</v>
      </c>
      <c r="C4478" s="783" t="s">
        <v>4139</v>
      </c>
      <c r="D4478" s="783" t="s">
        <v>4009</v>
      </c>
      <c r="E4478" s="783" t="s">
        <v>60</v>
      </c>
      <c r="F4478" s="783" t="s">
        <v>4011</v>
      </c>
      <c r="G4478" s="783" t="str">
        <f t="shared" si="242"/>
        <v>Renewal (15% in 2020)</v>
      </c>
      <c r="H4478" s="783" t="s">
        <v>5932</v>
      </c>
      <c r="I4478" s="783" t="s">
        <v>5933</v>
      </c>
      <c r="J4478" s="783">
        <v>15</v>
      </c>
      <c r="K4478" s="783" t="s">
        <v>765</v>
      </c>
      <c r="L4478" s="783" t="s">
        <v>4014</v>
      </c>
      <c r="M4478" s="784">
        <v>16818.75</v>
      </c>
      <c r="N4478" s="784">
        <v>14.95</v>
      </c>
      <c r="O4478" s="784">
        <v>2.5</v>
      </c>
      <c r="P4478" s="783">
        <v>450</v>
      </c>
      <c r="Q4478" s="783">
        <v>1150.4000000000001</v>
      </c>
      <c r="R4478" s="783">
        <v>516.34</v>
      </c>
      <c r="S4478" s="783">
        <v>82.41</v>
      </c>
      <c r="T4478" s="783">
        <v>551.66</v>
      </c>
      <c r="U4478" s="785">
        <v>44694.417210648098</v>
      </c>
    </row>
    <row r="4479" spans="1:21">
      <c r="A4479" s="782">
        <v>44695</v>
      </c>
      <c r="B4479" s="783" t="s">
        <v>51</v>
      </c>
      <c r="C4479" s="783" t="s">
        <v>4042</v>
      </c>
      <c r="D4479" s="783" t="s">
        <v>4016</v>
      </c>
      <c r="E4479" s="783" t="s">
        <v>5934</v>
      </c>
      <c r="F4479" s="783" t="s">
        <v>4011</v>
      </c>
      <c r="G4479" s="783" t="str">
        <f t="shared" si="242"/>
        <v>Renewal (20% in 2020)</v>
      </c>
      <c r="H4479" s="783" t="s">
        <v>5935</v>
      </c>
      <c r="I4479" s="783" t="s">
        <v>5936</v>
      </c>
      <c r="J4479" s="783">
        <v>20</v>
      </c>
      <c r="K4479" s="783" t="s">
        <v>765</v>
      </c>
      <c r="L4479" s="783" t="s">
        <v>4014</v>
      </c>
      <c r="M4479" s="784">
        <v>30318.26</v>
      </c>
      <c r="N4479" s="784">
        <v>25.59</v>
      </c>
      <c r="O4479" s="784">
        <v>2.57</v>
      </c>
      <c r="P4479" s="783">
        <v>461</v>
      </c>
      <c r="Q4479" s="783">
        <v>2543.6999999999998</v>
      </c>
      <c r="R4479" s="783">
        <v>1597.77</v>
      </c>
      <c r="S4479" s="783">
        <v>260.74</v>
      </c>
      <c r="T4479" s="783">
        <v>685.19</v>
      </c>
      <c r="U4479" s="785">
        <v>44697.682592592602</v>
      </c>
    </row>
    <row r="4480" spans="1:21">
      <c r="A4480" s="782">
        <v>44694</v>
      </c>
      <c r="B4480" s="783" t="s">
        <v>51</v>
      </c>
      <c r="C4480" s="783" t="s">
        <v>4042</v>
      </c>
      <c r="D4480" s="783" t="s">
        <v>4016</v>
      </c>
      <c r="E4480" s="783" t="s">
        <v>1694</v>
      </c>
      <c r="F4480" s="783" t="s">
        <v>4011</v>
      </c>
      <c r="G4480" s="783" t="str">
        <f t="shared" si="242"/>
        <v>Renewal (20% in 2020)</v>
      </c>
      <c r="H4480" s="783" t="s">
        <v>5937</v>
      </c>
      <c r="I4480" s="783" t="s">
        <v>5938</v>
      </c>
      <c r="J4480" s="783">
        <v>25</v>
      </c>
      <c r="K4480" s="783" t="s">
        <v>765</v>
      </c>
      <c r="L4480" s="783" t="s">
        <v>4014</v>
      </c>
      <c r="M4480" s="784">
        <v>13312.6</v>
      </c>
      <c r="N4480" s="784">
        <v>10.36</v>
      </c>
      <c r="O4480" s="784">
        <v>2.57</v>
      </c>
      <c r="P4480" s="783">
        <v>500</v>
      </c>
      <c r="Q4480" s="783">
        <v>954.51</v>
      </c>
      <c r="R4480" s="783">
        <v>646.85</v>
      </c>
      <c r="S4480" s="783">
        <v>169.21</v>
      </c>
      <c r="T4480" s="783">
        <v>138.44999999999999</v>
      </c>
      <c r="U4480" s="785">
        <v>44697.605740740699</v>
      </c>
    </row>
    <row r="4481" spans="1:21">
      <c r="A4481" s="782">
        <v>44709</v>
      </c>
      <c r="B4481" s="783" t="s">
        <v>41</v>
      </c>
      <c r="C4481" s="783" t="s">
        <v>4082</v>
      </c>
      <c r="D4481" s="783" t="s">
        <v>4009</v>
      </c>
      <c r="E4481" s="783" t="s">
        <v>4186</v>
      </c>
      <c r="F4481" s="783" t="s">
        <v>4011</v>
      </c>
      <c r="G4481" s="783" t="str">
        <f t="shared" si="242"/>
        <v>Renewal (20% in 2020)</v>
      </c>
      <c r="H4481" s="783" t="s">
        <v>4187</v>
      </c>
      <c r="I4481" s="783" t="s">
        <v>4188</v>
      </c>
      <c r="J4481" s="783">
        <v>20</v>
      </c>
      <c r="K4481" s="783" t="s">
        <v>765</v>
      </c>
      <c r="L4481" s="783" t="s">
        <v>4014</v>
      </c>
      <c r="M4481" s="784">
        <v>70372.639999999999</v>
      </c>
      <c r="N4481" s="784">
        <v>73.55</v>
      </c>
      <c r="O4481" s="784">
        <v>2.08</v>
      </c>
      <c r="P4481" s="783">
        <v>460</v>
      </c>
      <c r="Q4481" s="783">
        <v>5235.72</v>
      </c>
      <c r="R4481" s="783">
        <v>3068.25</v>
      </c>
      <c r="S4481" s="783">
        <v>598.16999999999996</v>
      </c>
      <c r="T4481" s="783">
        <v>1569.31</v>
      </c>
      <c r="U4481" s="785">
        <v>44711.649282407401</v>
      </c>
    </row>
    <row r="4482" spans="1:21">
      <c r="A4482" s="782">
        <v>44638</v>
      </c>
      <c r="B4482" s="783" t="s">
        <v>41</v>
      </c>
      <c r="C4482" s="783" t="s">
        <v>4071</v>
      </c>
      <c r="D4482" s="783" t="s">
        <v>4009</v>
      </c>
      <c r="E4482" s="783" t="s">
        <v>5945</v>
      </c>
      <c r="F4482" s="783" t="s">
        <v>4066</v>
      </c>
      <c r="G4482" s="783" t="s">
        <v>4028</v>
      </c>
      <c r="H4482" s="783" t="s">
        <v>5946</v>
      </c>
      <c r="I4482" s="783" t="s">
        <v>5947</v>
      </c>
      <c r="J4482" s="783">
        <v>10</v>
      </c>
      <c r="K4482" s="783" t="s">
        <v>765</v>
      </c>
      <c r="L4482" s="783" t="s">
        <v>4014</v>
      </c>
      <c r="M4482" s="784">
        <v>23992.75</v>
      </c>
      <c r="N4482" s="784">
        <v>14.87</v>
      </c>
      <c r="O4482" s="784">
        <v>3.5</v>
      </c>
      <c r="P4482" s="783">
        <v>461</v>
      </c>
      <c r="Q4482" s="783">
        <v>364.69</v>
      </c>
      <c r="R4482" s="783">
        <v>0</v>
      </c>
      <c r="S4482" s="783">
        <v>0</v>
      </c>
      <c r="T4482" s="783">
        <v>364.69</v>
      </c>
      <c r="U4482" s="785">
        <v>44638.562222222201</v>
      </c>
    </row>
    <row r="4483" spans="1:21">
      <c r="A4483" s="782">
        <v>44671</v>
      </c>
      <c r="B4483" s="783" t="s">
        <v>113</v>
      </c>
      <c r="C4483" s="783" t="s">
        <v>4606</v>
      </c>
      <c r="D4483" s="783" t="s">
        <v>4009</v>
      </c>
      <c r="E4483" s="783" t="s">
        <v>3638</v>
      </c>
      <c r="F4483" s="783" t="s">
        <v>4011</v>
      </c>
      <c r="G4483" s="783" t="str">
        <f>VLOOKUP(I4483,pacage,2,FALSE)</f>
        <v>Renewal (20% in 2020)</v>
      </c>
      <c r="H4483" s="783" t="s">
        <v>6776</v>
      </c>
      <c r="I4483" s="783" t="s">
        <v>6777</v>
      </c>
      <c r="J4483" s="783">
        <v>20</v>
      </c>
      <c r="K4483" s="783" t="s">
        <v>765</v>
      </c>
      <c r="L4483" s="783" t="s">
        <v>4014</v>
      </c>
      <c r="M4483" s="784">
        <v>4081.69</v>
      </c>
      <c r="N4483" s="784">
        <v>3.8</v>
      </c>
      <c r="O4483" s="784">
        <v>2.33</v>
      </c>
      <c r="P4483" s="783">
        <v>461</v>
      </c>
      <c r="Q4483" s="783">
        <v>318.77999999999997</v>
      </c>
      <c r="R4483" s="783">
        <v>173.47</v>
      </c>
      <c r="S4483" s="783">
        <v>28.16</v>
      </c>
      <c r="T4483" s="783">
        <v>117.14</v>
      </c>
      <c r="U4483" s="785">
        <v>44673.368553240703</v>
      </c>
    </row>
    <row r="4484" spans="1:21">
      <c r="A4484" s="782">
        <v>44637</v>
      </c>
      <c r="B4484" s="783" t="s">
        <v>113</v>
      </c>
      <c r="C4484" s="783" t="s">
        <v>4606</v>
      </c>
      <c r="D4484" s="783" t="s">
        <v>4009</v>
      </c>
      <c r="E4484" s="783" t="s">
        <v>7020</v>
      </c>
      <c r="F4484" s="783" t="s">
        <v>4011</v>
      </c>
      <c r="G4484" s="783" t="str">
        <f>VLOOKUP(I4484,pacage,2,FALSE)</f>
        <v>Renewal (20% in 2020)</v>
      </c>
      <c r="H4484" s="783" t="s">
        <v>7021</v>
      </c>
      <c r="I4484" s="783" t="s">
        <v>7022</v>
      </c>
      <c r="J4484" s="783">
        <v>20</v>
      </c>
      <c r="K4484" s="783" t="s">
        <v>765</v>
      </c>
      <c r="L4484" s="783" t="s">
        <v>4014</v>
      </c>
      <c r="M4484" s="784">
        <v>9044.82</v>
      </c>
      <c r="N4484" s="784">
        <v>6</v>
      </c>
      <c r="O4484" s="784">
        <v>3.27</v>
      </c>
      <c r="P4484" s="783">
        <v>461</v>
      </c>
      <c r="Q4484" s="783">
        <v>706.4</v>
      </c>
      <c r="R4484" s="783">
        <v>384.4</v>
      </c>
      <c r="S4484" s="783">
        <v>62.41</v>
      </c>
      <c r="T4484" s="783">
        <v>259.58999999999997</v>
      </c>
      <c r="U4484" s="785">
        <v>44638.384328703702</v>
      </c>
    </row>
    <row r="4485" spans="1:21">
      <c r="A4485" s="782">
        <v>44638</v>
      </c>
      <c r="B4485" s="783" t="s">
        <v>41</v>
      </c>
      <c r="C4485" s="783" t="s">
        <v>4092</v>
      </c>
      <c r="D4485" s="783" t="s">
        <v>4009</v>
      </c>
      <c r="E4485" s="783" t="s">
        <v>7110</v>
      </c>
      <c r="F4485" s="783" t="s">
        <v>4011</v>
      </c>
      <c r="G4485" s="783" t="s">
        <v>4028</v>
      </c>
      <c r="H4485" s="783" t="s">
        <v>7111</v>
      </c>
      <c r="I4485" s="783" t="s">
        <v>7112</v>
      </c>
      <c r="J4485" s="783">
        <v>25</v>
      </c>
      <c r="K4485" s="783" t="s">
        <v>765</v>
      </c>
      <c r="L4485" s="783" t="s">
        <v>4014</v>
      </c>
      <c r="M4485" s="784">
        <v>5232.3500000000004</v>
      </c>
      <c r="N4485" s="784">
        <v>5</v>
      </c>
      <c r="O4485" s="784">
        <v>2.27</v>
      </c>
      <c r="P4485" s="783">
        <v>461</v>
      </c>
      <c r="Q4485" s="783">
        <v>338.53</v>
      </c>
      <c r="R4485" s="783">
        <v>257.43</v>
      </c>
      <c r="S4485" s="783">
        <v>50.23</v>
      </c>
      <c r="T4485" s="783">
        <v>30.87</v>
      </c>
      <c r="U4485" s="785">
        <v>44638.458460648202</v>
      </c>
    </row>
    <row r="4486" spans="1:21">
      <c r="A4486" s="782">
        <v>44642</v>
      </c>
      <c r="B4486" s="783" t="s">
        <v>41</v>
      </c>
      <c r="C4486" s="783" t="s">
        <v>4071</v>
      </c>
      <c r="D4486" s="783" t="s">
        <v>4009</v>
      </c>
      <c r="E4486" s="783" t="s">
        <v>5954</v>
      </c>
      <c r="F4486" s="783" t="s">
        <v>4011</v>
      </c>
      <c r="G4486" s="783" t="str">
        <f t="shared" ref="G4486:G4492" si="243">VLOOKUP(I4486,pacage,2,FALSE)</f>
        <v>Renewal (15% in 2020)</v>
      </c>
      <c r="H4486" s="783" t="s">
        <v>5955</v>
      </c>
      <c r="I4486" s="783" t="s">
        <v>5956</v>
      </c>
      <c r="J4486" s="783">
        <v>15</v>
      </c>
      <c r="K4486" s="783" t="s">
        <v>765</v>
      </c>
      <c r="L4486" s="783" t="s">
        <v>4014</v>
      </c>
      <c r="M4486" s="784">
        <v>14832</v>
      </c>
      <c r="N4486" s="784">
        <v>18</v>
      </c>
      <c r="O4486" s="784">
        <v>2.06</v>
      </c>
      <c r="P4486" s="783">
        <v>400</v>
      </c>
      <c r="Q4486" s="783">
        <v>1180.6300000000001</v>
      </c>
      <c r="R4486" s="783">
        <v>529.5</v>
      </c>
      <c r="S4486" s="783">
        <v>84.54</v>
      </c>
      <c r="T4486" s="783">
        <v>566.58000000000004</v>
      </c>
      <c r="U4486" s="785">
        <v>44643.367488425902</v>
      </c>
    </row>
    <row r="4487" spans="1:21">
      <c r="A4487" s="782">
        <v>44672</v>
      </c>
      <c r="B4487" s="783" t="s">
        <v>74</v>
      </c>
      <c r="C4487" s="783" t="s">
        <v>4097</v>
      </c>
      <c r="D4487" s="783" t="s">
        <v>4038</v>
      </c>
      <c r="E4487" s="783" t="s">
        <v>4408</v>
      </c>
      <c r="F4487" s="783" t="s">
        <v>4011</v>
      </c>
      <c r="G4487" s="783" t="str">
        <f t="shared" si="243"/>
        <v>Renewal (20% in 2020)</v>
      </c>
      <c r="H4487" s="783" t="s">
        <v>4409</v>
      </c>
      <c r="I4487" s="783" t="s">
        <v>4410</v>
      </c>
      <c r="J4487" s="783">
        <v>20</v>
      </c>
      <c r="K4487" s="783" t="s">
        <v>765</v>
      </c>
      <c r="L4487" s="783" t="s">
        <v>4014</v>
      </c>
      <c r="M4487" s="784">
        <v>16450</v>
      </c>
      <c r="N4487" s="784">
        <v>23.5</v>
      </c>
      <c r="O4487" s="784">
        <v>2</v>
      </c>
      <c r="P4487" s="783">
        <v>350</v>
      </c>
      <c r="Q4487" s="783">
        <v>1327.52</v>
      </c>
      <c r="R4487" s="783">
        <v>804.41</v>
      </c>
      <c r="S4487" s="783">
        <v>131.6</v>
      </c>
      <c r="T4487" s="783">
        <v>391.51</v>
      </c>
      <c r="U4487" s="785">
        <v>44673.376631944397</v>
      </c>
    </row>
    <row r="4488" spans="1:21">
      <c r="A4488" s="782">
        <v>44652</v>
      </c>
      <c r="B4488" s="783" t="s">
        <v>51</v>
      </c>
      <c r="C4488" s="783" t="s">
        <v>4796</v>
      </c>
      <c r="D4488" s="783" t="s">
        <v>4016</v>
      </c>
      <c r="E4488" s="783" t="s">
        <v>1130</v>
      </c>
      <c r="F4488" s="783" t="s">
        <v>4011</v>
      </c>
      <c r="G4488" s="783" t="str">
        <f t="shared" si="243"/>
        <v>Renewal (25% in 2020)</v>
      </c>
      <c r="H4488" s="783" t="s">
        <v>5962</v>
      </c>
      <c r="I4488" s="783" t="s">
        <v>5963</v>
      </c>
      <c r="J4488" s="783">
        <v>25</v>
      </c>
      <c r="K4488" s="783" t="s">
        <v>765</v>
      </c>
      <c r="L4488" s="783" t="s">
        <v>4014</v>
      </c>
      <c r="M4488" s="784">
        <v>9858.49</v>
      </c>
      <c r="N4488" s="784">
        <v>9.1</v>
      </c>
      <c r="O4488" s="784">
        <v>2.35</v>
      </c>
      <c r="P4488" s="783">
        <v>461</v>
      </c>
      <c r="Q4488" s="783">
        <v>706.85</v>
      </c>
      <c r="R4488" s="783">
        <v>522.5</v>
      </c>
      <c r="S4488" s="783">
        <v>84.78</v>
      </c>
      <c r="T4488" s="783">
        <v>99.57</v>
      </c>
      <c r="U4488" s="785">
        <v>44655.506458333301</v>
      </c>
    </row>
    <row r="4489" spans="1:21">
      <c r="A4489" s="782">
        <v>44652</v>
      </c>
      <c r="B4489" s="783" t="s">
        <v>2866</v>
      </c>
      <c r="C4489" s="783" t="s">
        <v>4008</v>
      </c>
      <c r="D4489" s="783" t="s">
        <v>4009</v>
      </c>
      <c r="E4489" s="783" t="s">
        <v>5964</v>
      </c>
      <c r="F4489" s="783" t="s">
        <v>4011</v>
      </c>
      <c r="G4489" s="783" t="str">
        <f t="shared" si="243"/>
        <v>Renewal (25% in 2020)</v>
      </c>
      <c r="H4489" s="783" t="s">
        <v>5965</v>
      </c>
      <c r="I4489" s="783" t="s">
        <v>5966</v>
      </c>
      <c r="J4489" s="783">
        <v>25</v>
      </c>
      <c r="K4489" s="783" t="s">
        <v>765</v>
      </c>
      <c r="L4489" s="783" t="s">
        <v>4014</v>
      </c>
      <c r="M4489" s="784">
        <v>8424</v>
      </c>
      <c r="N4489" s="784">
        <v>9.75</v>
      </c>
      <c r="O4489" s="784">
        <v>2.16</v>
      </c>
      <c r="P4489" s="783">
        <v>400</v>
      </c>
      <c r="Q4489" s="783">
        <v>642.75</v>
      </c>
      <c r="R4489" s="783">
        <v>458.27</v>
      </c>
      <c r="S4489" s="783">
        <v>74.97</v>
      </c>
      <c r="T4489" s="783">
        <v>109.51</v>
      </c>
      <c r="U4489" s="785">
        <v>44655.503194444398</v>
      </c>
    </row>
    <row r="4490" spans="1:21">
      <c r="A4490" s="782">
        <v>44658</v>
      </c>
      <c r="B4490" s="783" t="s">
        <v>34</v>
      </c>
      <c r="C4490" s="783" t="s">
        <v>4082</v>
      </c>
      <c r="D4490" s="783" t="s">
        <v>4009</v>
      </c>
      <c r="E4490" s="783" t="s">
        <v>4690</v>
      </c>
      <c r="F4490" s="783" t="s">
        <v>4011</v>
      </c>
      <c r="G4490" s="783" t="str">
        <f t="shared" si="243"/>
        <v>Renewal (30% in 2020)</v>
      </c>
      <c r="H4490" s="783" t="s">
        <v>4691</v>
      </c>
      <c r="I4490" s="783" t="s">
        <v>4692</v>
      </c>
      <c r="J4490" s="783">
        <v>30</v>
      </c>
      <c r="K4490" s="783" t="s">
        <v>765</v>
      </c>
      <c r="L4490" s="783" t="s">
        <v>4014</v>
      </c>
      <c r="M4490" s="784">
        <v>45780</v>
      </c>
      <c r="N4490" s="784">
        <v>52.32</v>
      </c>
      <c r="O4490" s="784">
        <v>2.5</v>
      </c>
      <c r="P4490" s="783">
        <v>350</v>
      </c>
      <c r="Q4490" s="783">
        <v>2786.6</v>
      </c>
      <c r="R4490" s="783">
        <v>2489.67</v>
      </c>
      <c r="S4490" s="783">
        <v>0</v>
      </c>
      <c r="T4490" s="783">
        <v>296.93</v>
      </c>
      <c r="U4490" s="785">
        <v>44659.413680555597</v>
      </c>
    </row>
    <row r="4491" spans="1:21">
      <c r="A4491" s="782">
        <v>44652</v>
      </c>
      <c r="B4491" s="783" t="s">
        <v>113</v>
      </c>
      <c r="C4491" s="783" t="s">
        <v>4606</v>
      </c>
      <c r="D4491" s="783" t="s">
        <v>4009</v>
      </c>
      <c r="E4491" s="783" t="s">
        <v>7032</v>
      </c>
      <c r="F4491" s="783" t="s">
        <v>4011</v>
      </c>
      <c r="G4491" s="783" t="str">
        <f t="shared" si="243"/>
        <v>Renewal (20% in 2020)</v>
      </c>
      <c r="H4491" s="783" t="s">
        <v>7033</v>
      </c>
      <c r="I4491" s="783" t="s">
        <v>7034</v>
      </c>
      <c r="J4491" s="783">
        <v>20</v>
      </c>
      <c r="K4491" s="783" t="s">
        <v>765</v>
      </c>
      <c r="L4491" s="783" t="s">
        <v>4014</v>
      </c>
      <c r="M4491" s="784">
        <v>3360.28</v>
      </c>
      <c r="N4491" s="784">
        <v>2.73</v>
      </c>
      <c r="O4491" s="784">
        <v>2.67</v>
      </c>
      <c r="P4491" s="783">
        <v>461</v>
      </c>
      <c r="Q4491" s="783">
        <v>262.44</v>
      </c>
      <c r="R4491" s="783">
        <v>142.81</v>
      </c>
      <c r="S4491" s="783">
        <v>23.19</v>
      </c>
      <c r="T4491" s="783">
        <v>96.44</v>
      </c>
      <c r="U4491" s="785">
        <v>44655.602766203701</v>
      </c>
    </row>
    <row r="4492" spans="1:21">
      <c r="A4492" s="782">
        <v>44652</v>
      </c>
      <c r="B4492" s="783" t="s">
        <v>113</v>
      </c>
      <c r="C4492" s="783" t="s">
        <v>6308</v>
      </c>
      <c r="D4492" s="783" t="s">
        <v>4038</v>
      </c>
      <c r="E4492" s="783" t="s">
        <v>7032</v>
      </c>
      <c r="F4492" s="783" t="s">
        <v>4011</v>
      </c>
      <c r="G4492" s="783" t="str">
        <f t="shared" si="243"/>
        <v>Renewal (20% in 2020)</v>
      </c>
      <c r="H4492" s="783" t="s">
        <v>7033</v>
      </c>
      <c r="I4492" s="783" t="s">
        <v>7034</v>
      </c>
      <c r="J4492" s="783">
        <v>20</v>
      </c>
      <c r="K4492" s="783" t="s">
        <v>765</v>
      </c>
      <c r="L4492" s="783" t="s">
        <v>4014</v>
      </c>
      <c r="M4492" s="784">
        <v>10082.07</v>
      </c>
      <c r="N4492" s="784">
        <v>8.1</v>
      </c>
      <c r="O4492" s="784">
        <v>2.7</v>
      </c>
      <c r="P4492" s="783">
        <v>461</v>
      </c>
      <c r="Q4492" s="783">
        <v>857.98</v>
      </c>
      <c r="R4492" s="783">
        <v>460.75</v>
      </c>
      <c r="S4492" s="783">
        <v>75.62</v>
      </c>
      <c r="T4492" s="783">
        <v>321.62</v>
      </c>
      <c r="U4492" s="785">
        <v>44655.602766203701</v>
      </c>
    </row>
    <row r="4493" spans="1:21">
      <c r="A4493" s="782">
        <v>44656</v>
      </c>
      <c r="B4493" s="783" t="s">
        <v>74</v>
      </c>
      <c r="C4493" s="783" t="s">
        <v>4097</v>
      </c>
      <c r="D4493" s="783" t="s">
        <v>4038</v>
      </c>
      <c r="E4493" s="783" t="s">
        <v>4411</v>
      </c>
      <c r="F4493" s="783" t="s">
        <v>4011</v>
      </c>
      <c r="G4493" s="783" t="s">
        <v>4028</v>
      </c>
      <c r="H4493" s="783" t="s">
        <v>4412</v>
      </c>
      <c r="I4493" s="783" t="s">
        <v>4413</v>
      </c>
      <c r="J4493" s="783">
        <v>15</v>
      </c>
      <c r="K4493" s="783" t="s">
        <v>765</v>
      </c>
      <c r="L4493" s="783" t="s">
        <v>4014</v>
      </c>
      <c r="M4493" s="784">
        <v>32832</v>
      </c>
      <c r="N4493" s="784">
        <v>36</v>
      </c>
      <c r="O4493" s="784">
        <v>2.4</v>
      </c>
      <c r="P4493" s="783">
        <v>380</v>
      </c>
      <c r="Q4493" s="783">
        <v>3210.97</v>
      </c>
      <c r="R4493" s="783">
        <v>1605.48</v>
      </c>
      <c r="S4493" s="783">
        <v>262.66000000000003</v>
      </c>
      <c r="T4493" s="783">
        <v>1342.83</v>
      </c>
      <c r="U4493" s="785">
        <v>44657.628009259301</v>
      </c>
    </row>
    <row r="4494" spans="1:21">
      <c r="A4494" s="782">
        <v>44652</v>
      </c>
      <c r="B4494" s="783" t="s">
        <v>34</v>
      </c>
      <c r="C4494" s="783" t="s">
        <v>4139</v>
      </c>
      <c r="D4494" s="783" t="s">
        <v>4009</v>
      </c>
      <c r="E4494" s="783" t="s">
        <v>456</v>
      </c>
      <c r="F4494" s="783" t="s">
        <v>4011</v>
      </c>
      <c r="G4494" s="783" t="str">
        <f t="shared" ref="G4494:G4501" si="244">VLOOKUP(I4494,pacage,2,FALSE)</f>
        <v>Renewal (20% in 2020)</v>
      </c>
      <c r="H4494" s="783" t="s">
        <v>5967</v>
      </c>
      <c r="I4494" s="783" t="s">
        <v>5968</v>
      </c>
      <c r="J4494" s="783">
        <v>20</v>
      </c>
      <c r="K4494" s="783" t="s">
        <v>765</v>
      </c>
      <c r="L4494" s="783" t="s">
        <v>4014</v>
      </c>
      <c r="M4494" s="784">
        <v>7936.38</v>
      </c>
      <c r="N4494" s="784">
        <v>10.35</v>
      </c>
      <c r="O4494" s="784">
        <v>2.13</v>
      </c>
      <c r="P4494" s="783">
        <v>360</v>
      </c>
      <c r="Q4494" s="783">
        <v>404.76</v>
      </c>
      <c r="R4494" s="783">
        <v>243.65</v>
      </c>
      <c r="S4494" s="783">
        <v>38.89</v>
      </c>
      <c r="T4494" s="783">
        <v>122.22</v>
      </c>
      <c r="U4494" s="785">
        <v>44655.604004629597</v>
      </c>
    </row>
    <row r="4495" spans="1:21">
      <c r="A4495" s="782">
        <v>44665</v>
      </c>
      <c r="B4495" s="783" t="s">
        <v>41</v>
      </c>
      <c r="C4495" s="783" t="s">
        <v>4139</v>
      </c>
      <c r="D4495" s="783" t="s">
        <v>4009</v>
      </c>
      <c r="E4495" s="783" t="s">
        <v>5969</v>
      </c>
      <c r="F4495" s="783" t="s">
        <v>4011</v>
      </c>
      <c r="G4495" s="783" t="str">
        <f t="shared" si="244"/>
        <v>Renewal (20% in 2020)</v>
      </c>
      <c r="H4495" s="783" t="s">
        <v>5970</v>
      </c>
      <c r="I4495" s="783" t="s">
        <v>5971</v>
      </c>
      <c r="J4495" s="783">
        <v>30</v>
      </c>
      <c r="K4495" s="783" t="s">
        <v>765</v>
      </c>
      <c r="L4495" s="783" t="s">
        <v>4014</v>
      </c>
      <c r="M4495" s="784">
        <v>40548.86</v>
      </c>
      <c r="N4495" s="784">
        <v>24.74</v>
      </c>
      <c r="O4495" s="784">
        <v>2.98</v>
      </c>
      <c r="P4495" s="783">
        <v>550</v>
      </c>
      <c r="Q4495" s="783">
        <v>1390.83</v>
      </c>
      <c r="R4495" s="783">
        <v>1043.4100000000001</v>
      </c>
      <c r="S4495" s="783">
        <v>201.44</v>
      </c>
      <c r="T4495" s="783">
        <v>145.97999999999999</v>
      </c>
      <c r="U4495" s="785">
        <v>44665.6721412037</v>
      </c>
    </row>
    <row r="4496" spans="1:21">
      <c r="A4496" s="782">
        <v>44654</v>
      </c>
      <c r="B4496" s="783" t="s">
        <v>113</v>
      </c>
      <c r="C4496" s="783" t="s">
        <v>4598</v>
      </c>
      <c r="D4496" s="783" t="s">
        <v>4009</v>
      </c>
      <c r="E4496" s="783" t="s">
        <v>3026</v>
      </c>
      <c r="F4496" s="783" t="s">
        <v>4011</v>
      </c>
      <c r="G4496" s="783" t="str">
        <f t="shared" si="244"/>
        <v>Renewal (20% in 2020)</v>
      </c>
      <c r="H4496" s="783" t="s">
        <v>5972</v>
      </c>
      <c r="I4496" s="783" t="s">
        <v>5973</v>
      </c>
      <c r="J4496" s="783">
        <v>25</v>
      </c>
      <c r="K4496" s="783" t="s">
        <v>765</v>
      </c>
      <c r="L4496" s="783" t="s">
        <v>4014</v>
      </c>
      <c r="M4496" s="784">
        <v>6900</v>
      </c>
      <c r="N4496" s="784">
        <v>6</v>
      </c>
      <c r="O4496" s="784">
        <v>2.2999999999999998</v>
      </c>
      <c r="P4496" s="783">
        <v>500</v>
      </c>
      <c r="Q4496" s="783">
        <v>403.65</v>
      </c>
      <c r="R4496" s="783">
        <v>245.57</v>
      </c>
      <c r="S4496" s="783">
        <v>91.84</v>
      </c>
      <c r="T4496" s="783">
        <v>66.239999999999995</v>
      </c>
      <c r="U4496" s="785">
        <v>44655.504120370402</v>
      </c>
    </row>
    <row r="4497" spans="1:21">
      <c r="A4497" s="782">
        <v>44714</v>
      </c>
      <c r="B4497" s="783" t="s">
        <v>34</v>
      </c>
      <c r="C4497" s="783" t="s">
        <v>4082</v>
      </c>
      <c r="D4497" s="783" t="s">
        <v>4009</v>
      </c>
      <c r="E4497" s="783" t="s">
        <v>309</v>
      </c>
      <c r="F4497" s="783" t="s">
        <v>4011</v>
      </c>
      <c r="G4497" s="783" t="str">
        <f t="shared" si="244"/>
        <v>Renewal (30% in 2020)</v>
      </c>
      <c r="H4497" s="783" t="s">
        <v>5978</v>
      </c>
      <c r="I4497" s="783" t="s">
        <v>5979</v>
      </c>
      <c r="J4497" s="783">
        <v>30</v>
      </c>
      <c r="K4497" s="783" t="s">
        <v>765</v>
      </c>
      <c r="L4497" s="783" t="s">
        <v>4014</v>
      </c>
      <c r="M4497" s="784">
        <v>26240.76</v>
      </c>
      <c r="N4497" s="784">
        <v>34.71</v>
      </c>
      <c r="O4497" s="784">
        <v>2.16</v>
      </c>
      <c r="P4497" s="783">
        <v>350</v>
      </c>
      <c r="Q4497" s="783">
        <v>1280.55</v>
      </c>
      <c r="R4497" s="783">
        <v>1144.0999999999999</v>
      </c>
      <c r="S4497" s="783">
        <v>0</v>
      </c>
      <c r="T4497" s="783">
        <v>136.44999999999999</v>
      </c>
      <c r="U4497" s="785">
        <v>44715.442395833299</v>
      </c>
    </row>
    <row r="4498" spans="1:21">
      <c r="A4498" s="782">
        <v>44681</v>
      </c>
      <c r="B4498" s="783" t="s">
        <v>3408</v>
      </c>
      <c r="C4498" s="783" t="s">
        <v>4008</v>
      </c>
      <c r="D4498" s="783" t="s">
        <v>4009</v>
      </c>
      <c r="E4498" s="783" t="s">
        <v>7152</v>
      </c>
      <c r="F4498" s="783" t="s">
        <v>4011</v>
      </c>
      <c r="G4498" s="783" t="str">
        <f t="shared" si="244"/>
        <v>Renewal (25% in 2020)</v>
      </c>
      <c r="H4498" s="783" t="s">
        <v>7153</v>
      </c>
      <c r="I4498" s="783" t="s">
        <v>7154</v>
      </c>
      <c r="J4498" s="783">
        <v>25</v>
      </c>
      <c r="K4498" s="783" t="s">
        <v>765</v>
      </c>
      <c r="L4498" s="783" t="s">
        <v>4014</v>
      </c>
      <c r="M4498" s="784">
        <v>24750</v>
      </c>
      <c r="N4498" s="784">
        <v>15</v>
      </c>
      <c r="O4498" s="784">
        <v>2.2000000000000002</v>
      </c>
      <c r="P4498" s="783">
        <v>750</v>
      </c>
      <c r="Q4498" s="783">
        <v>1888.43</v>
      </c>
      <c r="R4498" s="783">
        <v>827.59</v>
      </c>
      <c r="S4498" s="783">
        <v>739.09</v>
      </c>
      <c r="T4498" s="783">
        <v>321.75</v>
      </c>
      <c r="U4498" s="785">
        <v>44683.424502314803</v>
      </c>
    </row>
    <row r="4499" spans="1:21">
      <c r="A4499" s="782">
        <v>44686</v>
      </c>
      <c r="B4499" s="783" t="s">
        <v>51</v>
      </c>
      <c r="C4499" s="783" t="s">
        <v>4015</v>
      </c>
      <c r="D4499" s="783" t="s">
        <v>4016</v>
      </c>
      <c r="E4499" s="783" t="s">
        <v>2227</v>
      </c>
      <c r="F4499" s="783" t="s">
        <v>4011</v>
      </c>
      <c r="G4499" s="783" t="str">
        <f t="shared" si="244"/>
        <v>Renewal (20% in 2020)</v>
      </c>
      <c r="H4499" s="783" t="s">
        <v>4069</v>
      </c>
      <c r="I4499" s="783" t="s">
        <v>4070</v>
      </c>
      <c r="J4499" s="783">
        <v>20</v>
      </c>
      <c r="K4499" s="783" t="s">
        <v>765</v>
      </c>
      <c r="L4499" s="783" t="s">
        <v>4014</v>
      </c>
      <c r="M4499" s="784">
        <v>19379.5</v>
      </c>
      <c r="N4499" s="784">
        <v>24.5</v>
      </c>
      <c r="O4499" s="784">
        <v>2.2599999999999998</v>
      </c>
      <c r="P4499" s="783">
        <v>350</v>
      </c>
      <c r="Q4499" s="783">
        <v>1934.07</v>
      </c>
      <c r="R4499" s="783">
        <v>1106.57</v>
      </c>
      <c r="S4499" s="783">
        <v>184.11</v>
      </c>
      <c r="T4499" s="783">
        <v>643.4</v>
      </c>
      <c r="U4499" s="785">
        <v>44687.664907407401</v>
      </c>
    </row>
    <row r="4500" spans="1:21">
      <c r="A4500" s="782">
        <v>44657</v>
      </c>
      <c r="B4500" s="783" t="s">
        <v>74</v>
      </c>
      <c r="C4500" s="783" t="s">
        <v>4097</v>
      </c>
      <c r="D4500" s="783" t="s">
        <v>4038</v>
      </c>
      <c r="E4500" s="783" t="s">
        <v>5989</v>
      </c>
      <c r="F4500" s="783" t="s">
        <v>4011</v>
      </c>
      <c r="G4500" s="783" t="str">
        <f t="shared" si="244"/>
        <v>Renewal (15% in 2020)</v>
      </c>
      <c r="H4500" s="783" t="s">
        <v>5990</v>
      </c>
      <c r="I4500" s="783" t="s">
        <v>5991</v>
      </c>
      <c r="J4500" s="783">
        <v>15</v>
      </c>
      <c r="K4500" s="783" t="s">
        <v>765</v>
      </c>
      <c r="L4500" s="783" t="s">
        <v>4014</v>
      </c>
      <c r="M4500" s="784">
        <v>28639.33</v>
      </c>
      <c r="N4500" s="784">
        <v>24.27</v>
      </c>
      <c r="O4500" s="784">
        <v>1.97</v>
      </c>
      <c r="P4500" s="783">
        <v>599</v>
      </c>
      <c r="Q4500" s="783">
        <v>2800.93</v>
      </c>
      <c r="R4500" s="783">
        <v>1077.82</v>
      </c>
      <c r="S4500" s="783">
        <v>551.76</v>
      </c>
      <c r="T4500" s="783">
        <v>1171.3499999999999</v>
      </c>
      <c r="U4500" s="785">
        <v>44657.624374999999</v>
      </c>
    </row>
    <row r="4501" spans="1:21">
      <c r="A4501" s="782">
        <v>44654</v>
      </c>
      <c r="B4501" s="783" t="s">
        <v>113</v>
      </c>
      <c r="C4501" s="783" t="s">
        <v>4606</v>
      </c>
      <c r="D4501" s="783" t="s">
        <v>4009</v>
      </c>
      <c r="E4501" s="783" t="s">
        <v>5992</v>
      </c>
      <c r="F4501" s="783" t="s">
        <v>4011</v>
      </c>
      <c r="G4501" s="783" t="str">
        <f t="shared" si="244"/>
        <v>Renewal (25% in 2020)</v>
      </c>
      <c r="H4501" s="783" t="s">
        <v>5993</v>
      </c>
      <c r="I4501" s="783" t="s">
        <v>5994</v>
      </c>
      <c r="J4501" s="783">
        <v>25</v>
      </c>
      <c r="K4501" s="783" t="s">
        <v>765</v>
      </c>
      <c r="L4501" s="783" t="s">
        <v>4014</v>
      </c>
      <c r="M4501" s="784">
        <v>8603.18</v>
      </c>
      <c r="N4501" s="784">
        <v>6.2</v>
      </c>
      <c r="O4501" s="784">
        <v>3.01</v>
      </c>
      <c r="P4501" s="783">
        <v>461</v>
      </c>
      <c r="Q4501" s="783">
        <v>531.67999999999995</v>
      </c>
      <c r="R4501" s="783">
        <v>365.64</v>
      </c>
      <c r="S4501" s="783">
        <v>59.36</v>
      </c>
      <c r="T4501" s="783">
        <v>106.68</v>
      </c>
      <c r="U4501" s="785">
        <v>44655.502326388902</v>
      </c>
    </row>
    <row r="4502" spans="1:21">
      <c r="A4502" s="782">
        <v>44655</v>
      </c>
      <c r="B4502" s="783" t="s">
        <v>2866</v>
      </c>
      <c r="C4502" s="783" t="s">
        <v>4008</v>
      </c>
      <c r="D4502" s="783" t="s">
        <v>4009</v>
      </c>
      <c r="E4502" s="783" t="s">
        <v>5995</v>
      </c>
      <c r="F4502" s="783" t="s">
        <v>4011</v>
      </c>
      <c r="G4502" s="783" t="s">
        <v>4028</v>
      </c>
      <c r="H4502" s="783" t="s">
        <v>5996</v>
      </c>
      <c r="I4502" s="783" t="s">
        <v>5997</v>
      </c>
      <c r="J4502" s="783">
        <v>15</v>
      </c>
      <c r="K4502" s="783" t="s">
        <v>765</v>
      </c>
      <c r="L4502" s="783" t="s">
        <v>4014</v>
      </c>
      <c r="M4502" s="784">
        <v>90097.5</v>
      </c>
      <c r="N4502" s="784">
        <v>82</v>
      </c>
      <c r="O4502" s="784">
        <v>2.93</v>
      </c>
      <c r="P4502" s="783">
        <v>375</v>
      </c>
      <c r="Q4502" s="783">
        <v>11550.5</v>
      </c>
      <c r="R4502" s="783">
        <v>4901.3</v>
      </c>
      <c r="S4502" s="783">
        <v>801.87</v>
      </c>
      <c r="T4502" s="783">
        <v>5847.33</v>
      </c>
      <c r="U4502" s="785">
        <v>44657.605914351901</v>
      </c>
    </row>
    <row r="4503" spans="1:21">
      <c r="A4503" s="782">
        <v>44698</v>
      </c>
      <c r="B4503" s="783" t="s">
        <v>228</v>
      </c>
      <c r="C4503" s="783" t="s">
        <v>4417</v>
      </c>
      <c r="D4503" s="783" t="s">
        <v>4193</v>
      </c>
      <c r="E4503" s="783" t="s">
        <v>4418</v>
      </c>
      <c r="F4503" s="783" t="s">
        <v>4011</v>
      </c>
      <c r="G4503" s="783" t="str">
        <f>VLOOKUP(I4503,pacage,2,FALSE)</f>
        <v>Renewal (25% in 2020)</v>
      </c>
      <c r="H4503" s="783" t="s">
        <v>4419</v>
      </c>
      <c r="I4503" s="783" t="s">
        <v>4420</v>
      </c>
      <c r="J4503" s="783">
        <v>25</v>
      </c>
      <c r="K4503" s="783" t="s">
        <v>765</v>
      </c>
      <c r="L4503" s="783" t="s">
        <v>4014</v>
      </c>
      <c r="M4503" s="784">
        <v>33053.79</v>
      </c>
      <c r="N4503" s="784">
        <v>28.34</v>
      </c>
      <c r="O4503" s="784">
        <v>2.5299999999999998</v>
      </c>
      <c r="P4503" s="783">
        <v>461</v>
      </c>
      <c r="Q4503" s="783">
        <v>1986.53</v>
      </c>
      <c r="R4503" s="783">
        <v>1520.47</v>
      </c>
      <c r="S4503" s="783">
        <v>244.6</v>
      </c>
      <c r="T4503" s="783">
        <v>221.46</v>
      </c>
      <c r="U4503" s="785">
        <v>44699.714861111097</v>
      </c>
    </row>
    <row r="4504" spans="1:21">
      <c r="A4504" s="782">
        <v>44615</v>
      </c>
      <c r="B4504" s="783" t="s">
        <v>74</v>
      </c>
      <c r="C4504" s="783" t="s">
        <v>4037</v>
      </c>
      <c r="D4504" s="783" t="s">
        <v>4038</v>
      </c>
      <c r="E4504" s="783" t="s">
        <v>1665</v>
      </c>
      <c r="F4504" s="783" t="s">
        <v>4011</v>
      </c>
      <c r="G4504" s="783" t="s">
        <v>4028</v>
      </c>
      <c r="H4504" s="783" t="s">
        <v>4421</v>
      </c>
      <c r="I4504" s="783" t="s">
        <v>4422</v>
      </c>
      <c r="J4504" s="783">
        <v>30</v>
      </c>
      <c r="K4504" s="783" t="s">
        <v>765</v>
      </c>
      <c r="L4504" s="783" t="s">
        <v>4014</v>
      </c>
      <c r="M4504" s="784">
        <v>17583.099999999999</v>
      </c>
      <c r="N4504" s="784">
        <v>14.08</v>
      </c>
      <c r="O4504" s="784">
        <v>2.23</v>
      </c>
      <c r="P4504" s="783">
        <v>560</v>
      </c>
      <c r="Q4504" s="783">
        <v>1179.83</v>
      </c>
      <c r="R4504" s="783">
        <v>729.52</v>
      </c>
      <c r="S4504" s="783">
        <v>156.66999999999999</v>
      </c>
      <c r="T4504" s="783">
        <v>293.64</v>
      </c>
      <c r="U4504" s="785">
        <v>44631.511863425898</v>
      </c>
    </row>
    <row r="4505" spans="1:21">
      <c r="A4505" s="782">
        <v>44615</v>
      </c>
      <c r="B4505" s="783" t="s">
        <v>41</v>
      </c>
      <c r="C4505" s="783" t="s">
        <v>4139</v>
      </c>
      <c r="D4505" s="783" t="s">
        <v>4009</v>
      </c>
      <c r="E4505" s="783" t="s">
        <v>1583</v>
      </c>
      <c r="F4505" s="783" t="s">
        <v>4011</v>
      </c>
      <c r="G4505" s="783" t="str">
        <f>VLOOKUP(I4505,pacage,2,FALSE)</f>
        <v>Renewal (20% in 2020)</v>
      </c>
      <c r="H4505" s="783" t="s">
        <v>5998</v>
      </c>
      <c r="I4505" s="783" t="s">
        <v>5999</v>
      </c>
      <c r="J4505" s="783">
        <v>20</v>
      </c>
      <c r="K4505" s="783" t="s">
        <v>765</v>
      </c>
      <c r="L4505" s="783" t="s">
        <v>4014</v>
      </c>
      <c r="M4505" s="784">
        <v>25471.8</v>
      </c>
      <c r="N4505" s="784">
        <v>27</v>
      </c>
      <c r="O4505" s="784">
        <v>2.65</v>
      </c>
      <c r="P4505" s="783">
        <v>356</v>
      </c>
      <c r="Q4505" s="783">
        <v>1299.06</v>
      </c>
      <c r="R4505" s="783">
        <v>781.98</v>
      </c>
      <c r="S4505" s="783">
        <v>124.81</v>
      </c>
      <c r="T4505" s="783">
        <v>392.27</v>
      </c>
      <c r="U4505" s="785">
        <v>44631.511909722198</v>
      </c>
    </row>
    <row r="4506" spans="1:21">
      <c r="A4506" s="782">
        <v>44652</v>
      </c>
      <c r="B4506" s="783" t="s">
        <v>74</v>
      </c>
      <c r="C4506" s="783" t="s">
        <v>4037</v>
      </c>
      <c r="D4506" s="783" t="s">
        <v>4038</v>
      </c>
      <c r="E4506" s="783" t="s">
        <v>4693</v>
      </c>
      <c r="F4506" s="783" t="s">
        <v>4011</v>
      </c>
      <c r="G4506" s="783" t="str">
        <f>VLOOKUP(I4506,pacage,2,FALSE)</f>
        <v>Renewal (25% in 2020)</v>
      </c>
      <c r="H4506" s="783" t="s">
        <v>4694</v>
      </c>
      <c r="I4506" s="783" t="s">
        <v>4695</v>
      </c>
      <c r="J4506" s="783">
        <v>25</v>
      </c>
      <c r="K4506" s="783" t="s">
        <v>765</v>
      </c>
      <c r="L4506" s="783" t="s">
        <v>4014</v>
      </c>
      <c r="M4506" s="784">
        <v>33900</v>
      </c>
      <c r="N4506" s="784">
        <v>30</v>
      </c>
      <c r="O4506" s="784">
        <v>2.2599999999999998</v>
      </c>
      <c r="P4506" s="783">
        <v>500</v>
      </c>
      <c r="Q4506" s="783">
        <v>2552.67</v>
      </c>
      <c r="R4506" s="783">
        <v>1575.29</v>
      </c>
      <c r="S4506" s="783">
        <v>411.25</v>
      </c>
      <c r="T4506" s="783">
        <v>566.13</v>
      </c>
      <c r="U4506" s="785">
        <v>44662.739421296297</v>
      </c>
    </row>
    <row r="4507" spans="1:21">
      <c r="A4507" s="782">
        <v>44564</v>
      </c>
      <c r="B4507" s="783" t="s">
        <v>41</v>
      </c>
      <c r="C4507" s="783" t="s">
        <v>4139</v>
      </c>
      <c r="D4507" s="783" t="s">
        <v>4009</v>
      </c>
      <c r="E4507" s="783" t="s">
        <v>6003</v>
      </c>
      <c r="F4507" s="783" t="s">
        <v>4011</v>
      </c>
      <c r="G4507" s="783" t="str">
        <f>VLOOKUP(I4507,pacage,2,FALSE)</f>
        <v>Renewal (25% in 2020)</v>
      </c>
      <c r="H4507" s="783" t="s">
        <v>6004</v>
      </c>
      <c r="I4507" s="783" t="s">
        <v>6005</v>
      </c>
      <c r="J4507" s="783">
        <v>30</v>
      </c>
      <c r="K4507" s="783" t="s">
        <v>765</v>
      </c>
      <c r="L4507" s="783" t="s">
        <v>4014</v>
      </c>
      <c r="M4507" s="784">
        <v>13686.16</v>
      </c>
      <c r="N4507" s="784">
        <v>18.190000000000001</v>
      </c>
      <c r="O4507" s="784">
        <v>1.98</v>
      </c>
      <c r="P4507" s="783">
        <v>380</v>
      </c>
      <c r="Q4507" s="783">
        <v>469.44</v>
      </c>
      <c r="R4507" s="783">
        <v>420.16</v>
      </c>
      <c r="S4507" s="783">
        <v>0</v>
      </c>
      <c r="T4507" s="783">
        <v>49.27</v>
      </c>
      <c r="U4507" s="785">
        <v>44631.635127314803</v>
      </c>
    </row>
    <row r="4508" spans="1:21">
      <c r="A4508" s="782">
        <v>44566</v>
      </c>
      <c r="B4508" s="783" t="s">
        <v>113</v>
      </c>
      <c r="C4508" s="783" t="s">
        <v>4606</v>
      </c>
      <c r="D4508" s="783" t="s">
        <v>4009</v>
      </c>
      <c r="E4508" s="783" t="s">
        <v>6009</v>
      </c>
      <c r="F4508" s="783" t="s">
        <v>4011</v>
      </c>
      <c r="G4508" s="783" t="str">
        <f>VLOOKUP(I4508,pacage,2,FALSE)</f>
        <v>Renewal (20% in 2020)</v>
      </c>
      <c r="H4508" s="783" t="s">
        <v>6010</v>
      </c>
      <c r="I4508" s="783" t="s">
        <v>6011</v>
      </c>
      <c r="J4508" s="783">
        <v>25</v>
      </c>
      <c r="K4508" s="783" t="s">
        <v>765</v>
      </c>
      <c r="L4508" s="783" t="s">
        <v>4014</v>
      </c>
      <c r="M4508" s="784">
        <v>4294.22</v>
      </c>
      <c r="N4508" s="784">
        <v>4.5</v>
      </c>
      <c r="O4508" s="784">
        <v>2.0699999999999998</v>
      </c>
      <c r="P4508" s="783">
        <v>461</v>
      </c>
      <c r="Q4508" s="783">
        <v>265.38</v>
      </c>
      <c r="R4508" s="783">
        <v>182.5</v>
      </c>
      <c r="S4508" s="783">
        <v>29.63</v>
      </c>
      <c r="T4508" s="783">
        <v>53.25</v>
      </c>
      <c r="U4508" s="785">
        <v>44631.635416666701</v>
      </c>
    </row>
    <row r="4509" spans="1:21">
      <c r="A4509" s="782">
        <v>44572</v>
      </c>
      <c r="B4509" s="783" t="s">
        <v>41</v>
      </c>
      <c r="C4509" s="783" t="s">
        <v>4092</v>
      </c>
      <c r="D4509" s="783" t="s">
        <v>4009</v>
      </c>
      <c r="E4509" s="783" t="s">
        <v>6012</v>
      </c>
      <c r="F4509" s="783" t="s">
        <v>4011</v>
      </c>
      <c r="G4509" s="783" t="s">
        <v>4028</v>
      </c>
      <c r="H4509" s="783" t="s">
        <v>6013</v>
      </c>
      <c r="I4509" s="783" t="s">
        <v>6014</v>
      </c>
      <c r="J4509" s="783">
        <v>25</v>
      </c>
      <c r="K4509" s="783" t="s">
        <v>765</v>
      </c>
      <c r="L4509" s="783" t="s">
        <v>4014</v>
      </c>
      <c r="M4509" s="784">
        <v>22312.400000000001</v>
      </c>
      <c r="N4509" s="784">
        <v>22</v>
      </c>
      <c r="O4509" s="784">
        <v>2.2000000000000002</v>
      </c>
      <c r="P4509" s="783">
        <v>461</v>
      </c>
      <c r="Q4509" s="783">
        <v>1443.61</v>
      </c>
      <c r="R4509" s="783">
        <v>1097.77</v>
      </c>
      <c r="S4509" s="783">
        <v>214.2</v>
      </c>
      <c r="T4509" s="783">
        <v>131.63999999999999</v>
      </c>
      <c r="U4509" s="785">
        <v>44631.632615740702</v>
      </c>
    </row>
    <row r="4510" spans="1:21">
      <c r="A4510" s="782">
        <v>44561</v>
      </c>
      <c r="B4510" s="783" t="s">
        <v>4025</v>
      </c>
      <c r="C4510" s="783" t="s">
        <v>4239</v>
      </c>
      <c r="D4510" s="783" t="s">
        <v>4021</v>
      </c>
      <c r="E4510" s="783" t="s">
        <v>6018</v>
      </c>
      <c r="F4510" s="783" t="s">
        <v>4011</v>
      </c>
      <c r="G4510" s="783" t="s">
        <v>4028</v>
      </c>
      <c r="H4510" s="783" t="s">
        <v>6019</v>
      </c>
      <c r="I4510" s="783" t="s">
        <v>6020</v>
      </c>
      <c r="J4510" s="783">
        <v>25</v>
      </c>
      <c r="K4510" s="783" t="s">
        <v>765</v>
      </c>
      <c r="L4510" s="783" t="s">
        <v>4014</v>
      </c>
      <c r="M4510" s="784">
        <v>35681.4</v>
      </c>
      <c r="N4510" s="784">
        <v>30</v>
      </c>
      <c r="O4510" s="784">
        <v>2.58</v>
      </c>
      <c r="P4510" s="783">
        <v>461</v>
      </c>
      <c r="Q4510" s="783">
        <v>2069.52</v>
      </c>
      <c r="R4510" s="783">
        <v>1448.66</v>
      </c>
      <c r="S4510" s="783">
        <v>338.97</v>
      </c>
      <c r="T4510" s="783">
        <v>281.88</v>
      </c>
      <c r="U4510" s="785">
        <v>44631.632118055597</v>
      </c>
    </row>
    <row r="4511" spans="1:21">
      <c r="A4511" s="782">
        <v>44565</v>
      </c>
      <c r="B4511" s="783" t="s">
        <v>74</v>
      </c>
      <c r="C4511" s="783" t="s">
        <v>4097</v>
      </c>
      <c r="D4511" s="783" t="s">
        <v>4038</v>
      </c>
      <c r="E4511" s="783" t="s">
        <v>4423</v>
      </c>
      <c r="F4511" s="783" t="s">
        <v>4011</v>
      </c>
      <c r="G4511" s="783" t="s">
        <v>4028</v>
      </c>
      <c r="H4511" s="783" t="s">
        <v>4424</v>
      </c>
      <c r="I4511" s="783" t="s">
        <v>4425</v>
      </c>
      <c r="J4511" s="783">
        <v>20</v>
      </c>
      <c r="K4511" s="783" t="s">
        <v>765</v>
      </c>
      <c r="L4511" s="783" t="s">
        <v>4014</v>
      </c>
      <c r="M4511" s="784">
        <v>2042.4</v>
      </c>
      <c r="N4511" s="784">
        <v>2.2200000000000002</v>
      </c>
      <c r="O4511" s="784">
        <v>2</v>
      </c>
      <c r="P4511" s="783">
        <v>460</v>
      </c>
      <c r="Q4511" s="783">
        <v>164.82</v>
      </c>
      <c r="R4511" s="783">
        <v>99.87</v>
      </c>
      <c r="S4511" s="783">
        <v>16.34</v>
      </c>
      <c r="T4511" s="783">
        <v>48.61</v>
      </c>
      <c r="U4511" s="785">
        <v>44631.632557870398</v>
      </c>
    </row>
    <row r="4512" spans="1:21">
      <c r="A4512" s="782">
        <v>44568</v>
      </c>
      <c r="B4512" s="783" t="s">
        <v>41</v>
      </c>
      <c r="C4512" s="783" t="s">
        <v>4092</v>
      </c>
      <c r="D4512" s="783" t="s">
        <v>4009</v>
      </c>
      <c r="E4512" s="783" t="s">
        <v>4696</v>
      </c>
      <c r="F4512" s="783" t="s">
        <v>4011</v>
      </c>
      <c r="G4512" s="783" t="str">
        <f>VLOOKUP(I4512,pacage,2,FALSE)</f>
        <v>Renewal (25% in 2020)</v>
      </c>
      <c r="H4512" s="783" t="s">
        <v>4697</v>
      </c>
      <c r="I4512" s="783" t="s">
        <v>4698</v>
      </c>
      <c r="J4512" s="783">
        <v>25</v>
      </c>
      <c r="K4512" s="783" t="s">
        <v>765</v>
      </c>
      <c r="L4512" s="783" t="s">
        <v>4014</v>
      </c>
      <c r="M4512" s="784">
        <v>4717.17</v>
      </c>
      <c r="N4512" s="784">
        <v>4.72</v>
      </c>
      <c r="O4512" s="784">
        <v>2.63</v>
      </c>
      <c r="P4512" s="783">
        <v>380</v>
      </c>
      <c r="Q4512" s="783">
        <v>305.2</v>
      </c>
      <c r="R4512" s="783">
        <v>232.08</v>
      </c>
      <c r="S4512" s="783">
        <v>45.28</v>
      </c>
      <c r="T4512" s="783">
        <v>27.83</v>
      </c>
      <c r="U4512" s="785">
        <v>44631.632789351897</v>
      </c>
    </row>
    <row r="4513" spans="1:21">
      <c r="A4513" s="782">
        <v>44613</v>
      </c>
      <c r="B4513" s="783" t="s">
        <v>41</v>
      </c>
      <c r="C4513" s="783" t="s">
        <v>4082</v>
      </c>
      <c r="D4513" s="783" t="s">
        <v>4009</v>
      </c>
      <c r="E4513" s="783" t="s">
        <v>4699</v>
      </c>
      <c r="F4513" s="783" t="s">
        <v>4011</v>
      </c>
      <c r="G4513" s="783" t="str">
        <f>VLOOKUP(I4513,pacage,2,FALSE)</f>
        <v>Renewal (30% in 2020)</v>
      </c>
      <c r="H4513" s="783" t="s">
        <v>4700</v>
      </c>
      <c r="I4513" s="783" t="s">
        <v>4701</v>
      </c>
      <c r="J4513" s="783">
        <v>30</v>
      </c>
      <c r="K4513" s="783" t="s">
        <v>765</v>
      </c>
      <c r="L4513" s="783" t="s">
        <v>4014</v>
      </c>
      <c r="M4513" s="784">
        <v>8593.0400000000009</v>
      </c>
      <c r="N4513" s="784">
        <v>8</v>
      </c>
      <c r="O4513" s="784">
        <v>2.33</v>
      </c>
      <c r="P4513" s="783">
        <v>461</v>
      </c>
      <c r="Q4513" s="783">
        <v>419.34</v>
      </c>
      <c r="R4513" s="783">
        <v>374.66</v>
      </c>
      <c r="S4513" s="783">
        <v>0</v>
      </c>
      <c r="T4513" s="783">
        <v>44.68</v>
      </c>
      <c r="U4513" s="785">
        <v>44631.632337962998</v>
      </c>
    </row>
    <row r="4514" spans="1:21">
      <c r="A4514" s="782">
        <v>44559</v>
      </c>
      <c r="B4514" s="783" t="s">
        <v>74</v>
      </c>
      <c r="C4514" s="783" t="s">
        <v>4414</v>
      </c>
      <c r="D4514" s="783" t="s">
        <v>4009</v>
      </c>
      <c r="E4514" s="783" t="s">
        <v>4426</v>
      </c>
      <c r="F4514" s="783" t="s">
        <v>4011</v>
      </c>
      <c r="G4514" s="783" t="s">
        <v>4028</v>
      </c>
      <c r="H4514" s="783" t="s">
        <v>4427</v>
      </c>
      <c r="I4514" s="783" t="s">
        <v>4428</v>
      </c>
      <c r="J4514" s="783">
        <v>20</v>
      </c>
      <c r="K4514" s="783" t="s">
        <v>765</v>
      </c>
      <c r="L4514" s="783" t="s">
        <v>4014</v>
      </c>
      <c r="M4514" s="784">
        <v>29213.73</v>
      </c>
      <c r="N4514" s="784">
        <v>23.78</v>
      </c>
      <c r="O4514" s="784">
        <v>2.73</v>
      </c>
      <c r="P4514" s="783">
        <v>450</v>
      </c>
      <c r="Q4514" s="783">
        <v>2293.2800000000002</v>
      </c>
      <c r="R4514" s="783">
        <v>1218.21</v>
      </c>
      <c r="S4514" s="783">
        <v>201.57</v>
      </c>
      <c r="T4514" s="783">
        <v>873.49</v>
      </c>
      <c r="U4514" s="785">
        <v>44631.635625000003</v>
      </c>
    </row>
    <row r="4515" spans="1:21">
      <c r="A4515" s="782">
        <v>44572</v>
      </c>
      <c r="B4515" s="783" t="s">
        <v>41</v>
      </c>
      <c r="C4515" s="783" t="s">
        <v>4071</v>
      </c>
      <c r="D4515" s="783" t="s">
        <v>4009</v>
      </c>
      <c r="E4515" s="783" t="s">
        <v>6024</v>
      </c>
      <c r="F4515" s="783" t="s">
        <v>4011</v>
      </c>
      <c r="G4515" s="783" t="str">
        <f>VLOOKUP(I4515,pacage,2,FALSE)</f>
        <v>Renewal (15% in 2020)</v>
      </c>
      <c r="H4515" s="783" t="s">
        <v>6025</v>
      </c>
      <c r="I4515" s="783" t="s">
        <v>6026</v>
      </c>
      <c r="J4515" s="783">
        <v>15</v>
      </c>
      <c r="K4515" s="783" t="s">
        <v>765</v>
      </c>
      <c r="L4515" s="783" t="s">
        <v>4014</v>
      </c>
      <c r="M4515" s="784">
        <v>5964</v>
      </c>
      <c r="N4515" s="784">
        <v>8</v>
      </c>
      <c r="O4515" s="784">
        <v>2.13</v>
      </c>
      <c r="P4515" s="783">
        <v>350</v>
      </c>
      <c r="Q4515" s="783">
        <v>474.73</v>
      </c>
      <c r="R4515" s="783">
        <v>212.91</v>
      </c>
      <c r="S4515" s="783">
        <v>33.99</v>
      </c>
      <c r="T4515" s="783">
        <v>227.82</v>
      </c>
      <c r="U4515" s="785">
        <v>44631.632210648102</v>
      </c>
    </row>
    <row r="4516" spans="1:21">
      <c r="A4516" s="782">
        <v>44565</v>
      </c>
      <c r="B4516" s="783" t="s">
        <v>74</v>
      </c>
      <c r="C4516" s="783" t="s">
        <v>4097</v>
      </c>
      <c r="D4516" s="783" t="s">
        <v>4038</v>
      </c>
      <c r="E4516" s="783" t="s">
        <v>4429</v>
      </c>
      <c r="F4516" s="783" t="s">
        <v>4011</v>
      </c>
      <c r="G4516" s="783" t="s">
        <v>4028</v>
      </c>
      <c r="H4516" s="783" t="s">
        <v>4430</v>
      </c>
      <c r="I4516" s="783" t="s">
        <v>4431</v>
      </c>
      <c r="J4516" s="783">
        <v>20</v>
      </c>
      <c r="K4516" s="783" t="s">
        <v>765</v>
      </c>
      <c r="L4516" s="783" t="s">
        <v>4014</v>
      </c>
      <c r="M4516" s="784">
        <v>20631.55</v>
      </c>
      <c r="N4516" s="784">
        <v>20.48</v>
      </c>
      <c r="O4516" s="784">
        <v>2.19</v>
      </c>
      <c r="P4516" s="783">
        <v>460</v>
      </c>
      <c r="Q4516" s="783">
        <v>1664.97</v>
      </c>
      <c r="R4516" s="783">
        <v>1008.88</v>
      </c>
      <c r="S4516" s="783">
        <v>165.05</v>
      </c>
      <c r="T4516" s="783">
        <v>491.03</v>
      </c>
      <c r="U4516" s="785">
        <v>44631.635138888902</v>
      </c>
    </row>
    <row r="4517" spans="1:21">
      <c r="A4517" s="782">
        <v>44566</v>
      </c>
      <c r="B4517" s="783" t="s">
        <v>74</v>
      </c>
      <c r="C4517" s="783" t="s">
        <v>4037</v>
      </c>
      <c r="D4517" s="783" t="s">
        <v>4038</v>
      </c>
      <c r="E4517" s="783" t="s">
        <v>4197</v>
      </c>
      <c r="F4517" s="783" t="s">
        <v>4011</v>
      </c>
      <c r="G4517" s="783" t="str">
        <f>VLOOKUP(I4517,pacage,2,FALSE)</f>
        <v>Renewal (25% in 2020)</v>
      </c>
      <c r="H4517" s="783" t="s">
        <v>4198</v>
      </c>
      <c r="I4517" s="783" t="s">
        <v>4199</v>
      </c>
      <c r="J4517" s="783">
        <v>25</v>
      </c>
      <c r="K4517" s="783" t="s">
        <v>765</v>
      </c>
      <c r="L4517" s="783" t="s">
        <v>4014</v>
      </c>
      <c r="M4517" s="784">
        <v>52137.72</v>
      </c>
      <c r="N4517" s="784">
        <v>49.49</v>
      </c>
      <c r="O4517" s="784">
        <v>2.4500000000000002</v>
      </c>
      <c r="P4517" s="783">
        <v>430</v>
      </c>
      <c r="Q4517" s="783">
        <v>3925.97</v>
      </c>
      <c r="R4517" s="783">
        <v>2627.74</v>
      </c>
      <c r="S4517" s="783">
        <v>427.53</v>
      </c>
      <c r="T4517" s="783">
        <v>870.7</v>
      </c>
      <c r="U4517" s="785">
        <v>44631.632430555597</v>
      </c>
    </row>
    <row r="4518" spans="1:21">
      <c r="A4518" s="782">
        <v>44561</v>
      </c>
      <c r="B4518" s="783" t="s">
        <v>41</v>
      </c>
      <c r="C4518" s="783" t="s">
        <v>4071</v>
      </c>
      <c r="D4518" s="783" t="s">
        <v>4009</v>
      </c>
      <c r="E4518" s="783" t="s">
        <v>6047</v>
      </c>
      <c r="F4518" s="783" t="s">
        <v>4011</v>
      </c>
      <c r="G4518" s="783" t="s">
        <v>4028</v>
      </c>
      <c r="H4518" s="783" t="s">
        <v>6048</v>
      </c>
      <c r="I4518" s="783" t="s">
        <v>6049</v>
      </c>
      <c r="J4518" s="783">
        <v>20</v>
      </c>
      <c r="K4518" s="783" t="s">
        <v>765</v>
      </c>
      <c r="L4518" s="783" t="s">
        <v>4014</v>
      </c>
      <c r="M4518" s="784">
        <v>30426</v>
      </c>
      <c r="N4518" s="784">
        <v>30</v>
      </c>
      <c r="O4518" s="784">
        <v>2.2000000000000002</v>
      </c>
      <c r="P4518" s="783">
        <v>461</v>
      </c>
      <c r="Q4518" s="783">
        <v>1804.26</v>
      </c>
      <c r="R4518" s="783">
        <v>1086.21</v>
      </c>
      <c r="S4518" s="783">
        <v>173.43</v>
      </c>
      <c r="T4518" s="783">
        <v>544.63</v>
      </c>
      <c r="U4518" s="785">
        <v>44631.635428240697</v>
      </c>
    </row>
    <row r="4519" spans="1:21">
      <c r="A4519" s="782">
        <v>44572</v>
      </c>
      <c r="B4519" s="783" t="s">
        <v>41</v>
      </c>
      <c r="C4519" s="783" t="s">
        <v>4092</v>
      </c>
      <c r="D4519" s="783" t="s">
        <v>4009</v>
      </c>
      <c r="E4519" s="783" t="s">
        <v>4756</v>
      </c>
      <c r="F4519" s="783" t="s">
        <v>4011</v>
      </c>
      <c r="G4519" s="783" t="s">
        <v>4028</v>
      </c>
      <c r="H4519" s="783" t="s">
        <v>4757</v>
      </c>
      <c r="I4519" s="783" t="s">
        <v>4758</v>
      </c>
      <c r="J4519" s="783">
        <v>25</v>
      </c>
      <c r="K4519" s="783" t="s">
        <v>765</v>
      </c>
      <c r="L4519" s="783" t="s">
        <v>4014</v>
      </c>
      <c r="M4519" s="784">
        <v>11202.3</v>
      </c>
      <c r="N4519" s="784">
        <v>10</v>
      </c>
      <c r="O4519" s="784">
        <v>2.4300000000000002</v>
      </c>
      <c r="P4519" s="783">
        <v>461</v>
      </c>
      <c r="Q4519" s="783">
        <v>724.79</v>
      </c>
      <c r="R4519" s="783">
        <v>551.15</v>
      </c>
      <c r="S4519" s="783">
        <v>107.54</v>
      </c>
      <c r="T4519" s="783">
        <v>66.09</v>
      </c>
      <c r="U4519" s="785">
        <v>44631.635659722197</v>
      </c>
    </row>
    <row r="4520" spans="1:21">
      <c r="A4520" s="782">
        <v>44424</v>
      </c>
      <c r="B4520" s="783" t="s">
        <v>228</v>
      </c>
      <c r="C4520" s="783" t="s">
        <v>4020</v>
      </c>
      <c r="D4520" s="783" t="s">
        <v>4021</v>
      </c>
      <c r="E4520" s="783" t="s">
        <v>1026</v>
      </c>
      <c r="F4520" s="783" t="s">
        <v>4011</v>
      </c>
      <c r="G4520" s="783" t="str">
        <f t="shared" ref="G4520:G4528" si="245">VLOOKUP(I4520,pacage,2,FALSE)</f>
        <v>Renewal (20% in 2020)</v>
      </c>
      <c r="H4520" s="783" t="s">
        <v>4242</v>
      </c>
      <c r="I4520" s="783" t="s">
        <v>4243</v>
      </c>
      <c r="J4520" s="783">
        <v>20</v>
      </c>
      <c r="K4520" s="783" t="s">
        <v>765</v>
      </c>
      <c r="L4520" s="783" t="s">
        <v>4014</v>
      </c>
      <c r="M4520" s="784">
        <v>14131.45</v>
      </c>
      <c r="N4520" s="784">
        <v>12.13</v>
      </c>
      <c r="O4520" s="784">
        <v>2.33</v>
      </c>
      <c r="P4520" s="783">
        <v>500</v>
      </c>
      <c r="Q4520" s="783">
        <v>1199.76</v>
      </c>
      <c r="R4520" s="783">
        <v>633.22</v>
      </c>
      <c r="S4520" s="783">
        <v>168.03</v>
      </c>
      <c r="T4520" s="783">
        <v>398.51</v>
      </c>
      <c r="U4520" s="785">
        <v>44631.632581018501</v>
      </c>
    </row>
    <row r="4521" spans="1:21">
      <c r="A4521" s="782">
        <v>44447</v>
      </c>
      <c r="B4521" s="783" t="s">
        <v>118</v>
      </c>
      <c r="C4521" s="783" t="s">
        <v>4139</v>
      </c>
      <c r="D4521" s="783" t="s">
        <v>4009</v>
      </c>
      <c r="E4521" s="783" t="s">
        <v>117</v>
      </c>
      <c r="F4521" s="783" t="s">
        <v>4011</v>
      </c>
      <c r="G4521" s="783" t="str">
        <f t="shared" si="245"/>
        <v>Renewal (15% in 2020)</v>
      </c>
      <c r="H4521" s="783" t="s">
        <v>4200</v>
      </c>
      <c r="I4521" s="783" t="s">
        <v>4201</v>
      </c>
      <c r="J4521" s="783">
        <v>15</v>
      </c>
      <c r="K4521" s="783" t="s">
        <v>765</v>
      </c>
      <c r="L4521" s="783" t="s">
        <v>4014</v>
      </c>
      <c r="M4521" s="784">
        <v>116474.09</v>
      </c>
      <c r="N4521" s="784">
        <v>134.72999999999999</v>
      </c>
      <c r="O4521" s="784">
        <v>2.4700000000000002</v>
      </c>
      <c r="P4521" s="783">
        <v>350</v>
      </c>
      <c r="Q4521" s="783">
        <v>7966.83</v>
      </c>
      <c r="R4521" s="783">
        <v>3575.75</v>
      </c>
      <c r="S4521" s="783">
        <v>570.72</v>
      </c>
      <c r="T4521" s="783">
        <v>3820.35</v>
      </c>
      <c r="U4521" s="785">
        <v>44631.632511574098</v>
      </c>
    </row>
    <row r="4522" spans="1:21">
      <c r="A4522" s="782">
        <v>44536</v>
      </c>
      <c r="B4522" s="783" t="s">
        <v>2866</v>
      </c>
      <c r="C4522" s="783" t="s">
        <v>4414</v>
      </c>
      <c r="D4522" s="783" t="s">
        <v>4009</v>
      </c>
      <c r="E4522" s="783" t="s">
        <v>6072</v>
      </c>
      <c r="F4522" s="783" t="s">
        <v>4011</v>
      </c>
      <c r="G4522" s="783" t="str">
        <f t="shared" si="245"/>
        <v>Renewal (25% in 2020)</v>
      </c>
      <c r="H4522" s="783" t="s">
        <v>6073</v>
      </c>
      <c r="I4522" s="783" t="s">
        <v>6074</v>
      </c>
      <c r="J4522" s="783">
        <v>25</v>
      </c>
      <c r="K4522" s="783" t="s">
        <v>765</v>
      </c>
      <c r="L4522" s="783" t="s">
        <v>4014</v>
      </c>
      <c r="M4522" s="784">
        <v>12025.3</v>
      </c>
      <c r="N4522" s="784">
        <v>9.76</v>
      </c>
      <c r="O4522" s="784">
        <v>3.33</v>
      </c>
      <c r="P4522" s="783">
        <v>370</v>
      </c>
      <c r="Q4522" s="783">
        <v>750.38</v>
      </c>
      <c r="R4522" s="783">
        <v>501.45</v>
      </c>
      <c r="S4522" s="783">
        <v>82.97</v>
      </c>
      <c r="T4522" s="783">
        <v>165.95</v>
      </c>
      <c r="U4522" s="785">
        <v>44631.635648148098</v>
      </c>
    </row>
    <row r="4523" spans="1:21">
      <c r="A4523" s="782">
        <v>44525</v>
      </c>
      <c r="B4523" s="783" t="s">
        <v>41</v>
      </c>
      <c r="C4523" s="783" t="s">
        <v>4082</v>
      </c>
      <c r="D4523" s="783" t="s">
        <v>4009</v>
      </c>
      <c r="E4523" s="783" t="s">
        <v>774</v>
      </c>
      <c r="F4523" s="783" t="s">
        <v>4011</v>
      </c>
      <c r="G4523" s="783" t="str">
        <f t="shared" si="245"/>
        <v>Renewal (30% in 2020)</v>
      </c>
      <c r="H4523" s="783" t="s">
        <v>6075</v>
      </c>
      <c r="I4523" s="783" t="s">
        <v>6076</v>
      </c>
      <c r="J4523" s="783">
        <v>30</v>
      </c>
      <c r="K4523" s="783" t="s">
        <v>765</v>
      </c>
      <c r="L4523" s="783" t="s">
        <v>4014</v>
      </c>
      <c r="M4523" s="784">
        <v>852</v>
      </c>
      <c r="N4523" s="784">
        <v>1</v>
      </c>
      <c r="O4523" s="784">
        <v>2.13</v>
      </c>
      <c r="P4523" s="783">
        <v>400</v>
      </c>
      <c r="Q4523" s="783">
        <v>41.58</v>
      </c>
      <c r="R4523" s="783">
        <v>37.15</v>
      </c>
      <c r="S4523" s="783">
        <v>0</v>
      </c>
      <c r="T4523" s="783">
        <v>4.43</v>
      </c>
      <c r="U4523" s="785">
        <v>44631.633125</v>
      </c>
    </row>
    <row r="4524" spans="1:21">
      <c r="A4524" s="782">
        <v>44531</v>
      </c>
      <c r="B4524" s="783" t="s">
        <v>74</v>
      </c>
      <c r="C4524" s="783" t="s">
        <v>4097</v>
      </c>
      <c r="D4524" s="783" t="s">
        <v>4038</v>
      </c>
      <c r="E4524" s="783" t="s">
        <v>4437</v>
      </c>
      <c r="F4524" s="783" t="s">
        <v>4011</v>
      </c>
      <c r="G4524" s="783" t="str">
        <f t="shared" si="245"/>
        <v>Renewal (20% in 2020)</v>
      </c>
      <c r="H4524" s="783" t="s">
        <v>4438</v>
      </c>
      <c r="I4524" s="783" t="s">
        <v>4439</v>
      </c>
      <c r="J4524" s="783">
        <v>20</v>
      </c>
      <c r="K4524" s="783" t="s">
        <v>765</v>
      </c>
      <c r="L4524" s="783" t="s">
        <v>4014</v>
      </c>
      <c r="M4524" s="784">
        <v>5910.75</v>
      </c>
      <c r="N4524" s="784">
        <v>7.5</v>
      </c>
      <c r="O4524" s="784">
        <v>2.13</v>
      </c>
      <c r="P4524" s="783">
        <v>370</v>
      </c>
      <c r="Q4524" s="783">
        <v>477</v>
      </c>
      <c r="R4524" s="783">
        <v>289.04000000000002</v>
      </c>
      <c r="S4524" s="783">
        <v>47.29</v>
      </c>
      <c r="T4524" s="783">
        <v>140.68</v>
      </c>
      <c r="U4524" s="785">
        <v>44631.636215277802</v>
      </c>
    </row>
    <row r="4525" spans="1:21">
      <c r="A4525" s="782">
        <v>44523</v>
      </c>
      <c r="B4525" s="783" t="s">
        <v>41</v>
      </c>
      <c r="C4525" s="783" t="s">
        <v>4071</v>
      </c>
      <c r="D4525" s="783" t="s">
        <v>4009</v>
      </c>
      <c r="E4525" s="783" t="s">
        <v>303</v>
      </c>
      <c r="F4525" s="783" t="s">
        <v>4011</v>
      </c>
      <c r="G4525" s="783" t="str">
        <f t="shared" si="245"/>
        <v>Renewal (15% in 2020)</v>
      </c>
      <c r="H4525" s="783" t="s">
        <v>6081</v>
      </c>
      <c r="I4525" s="783" t="s">
        <v>6082</v>
      </c>
      <c r="J4525" s="783">
        <v>15</v>
      </c>
      <c r="K4525" s="783" t="s">
        <v>765</v>
      </c>
      <c r="L4525" s="783" t="s">
        <v>4014</v>
      </c>
      <c r="M4525" s="784">
        <v>55440.18</v>
      </c>
      <c r="N4525" s="784">
        <v>49.49</v>
      </c>
      <c r="O4525" s="784">
        <v>2.4300000000000002</v>
      </c>
      <c r="P4525" s="783">
        <v>461</v>
      </c>
      <c r="Q4525" s="783">
        <v>4413.04</v>
      </c>
      <c r="R4525" s="783">
        <v>1979.21</v>
      </c>
      <c r="S4525" s="783">
        <v>316.01</v>
      </c>
      <c r="T4525" s="783">
        <v>2117.81</v>
      </c>
      <c r="U4525" s="785">
        <v>44631.635451388902</v>
      </c>
    </row>
    <row r="4526" spans="1:21">
      <c r="A4526" s="782">
        <v>44532</v>
      </c>
      <c r="B4526" s="783" t="s">
        <v>74</v>
      </c>
      <c r="C4526" s="783" t="s">
        <v>4037</v>
      </c>
      <c r="D4526" s="783" t="s">
        <v>4038</v>
      </c>
      <c r="E4526" s="783" t="s">
        <v>4440</v>
      </c>
      <c r="F4526" s="783" t="s">
        <v>4011</v>
      </c>
      <c r="G4526" s="783" t="str">
        <f t="shared" si="245"/>
        <v>Renewal (15% in 2020)</v>
      </c>
      <c r="H4526" s="783" t="s">
        <v>4441</v>
      </c>
      <c r="I4526" s="783" t="s">
        <v>4442</v>
      </c>
      <c r="J4526" s="783">
        <v>20</v>
      </c>
      <c r="K4526" s="783" t="s">
        <v>765</v>
      </c>
      <c r="L4526" s="783" t="s">
        <v>4014</v>
      </c>
      <c r="M4526" s="784">
        <v>28371.200000000001</v>
      </c>
      <c r="N4526" s="784">
        <v>32.24</v>
      </c>
      <c r="O4526" s="784">
        <v>2.2000000000000002</v>
      </c>
      <c r="P4526" s="783">
        <v>400</v>
      </c>
      <c r="Q4526" s="783">
        <v>2468.29</v>
      </c>
      <c r="R4526" s="783">
        <v>1429.91</v>
      </c>
      <c r="S4526" s="783">
        <v>232.64</v>
      </c>
      <c r="T4526" s="783">
        <v>805.74</v>
      </c>
      <c r="U4526" s="785">
        <v>44631.632893518501</v>
      </c>
    </row>
    <row r="4527" spans="1:21">
      <c r="A4527" s="782">
        <v>44533</v>
      </c>
      <c r="B4527" s="783" t="s">
        <v>41</v>
      </c>
      <c r="C4527" s="783" t="s">
        <v>4071</v>
      </c>
      <c r="D4527" s="783" t="s">
        <v>4009</v>
      </c>
      <c r="E4527" s="783" t="s">
        <v>353</v>
      </c>
      <c r="F4527" s="783" t="s">
        <v>4011</v>
      </c>
      <c r="G4527" s="783" t="str">
        <f t="shared" si="245"/>
        <v>Renewal (15% in 2020)</v>
      </c>
      <c r="H4527" s="783" t="s">
        <v>6086</v>
      </c>
      <c r="I4527" s="783" t="s">
        <v>6087</v>
      </c>
      <c r="J4527" s="783">
        <v>15</v>
      </c>
      <c r="K4527" s="783" t="s">
        <v>765</v>
      </c>
      <c r="L4527" s="783" t="s">
        <v>4014</v>
      </c>
      <c r="M4527" s="784">
        <v>19121.13</v>
      </c>
      <c r="N4527" s="784">
        <v>17.649999999999999</v>
      </c>
      <c r="O4527" s="784">
        <v>2.35</v>
      </c>
      <c r="P4527" s="783">
        <v>461</v>
      </c>
      <c r="Q4527" s="783">
        <v>1522.04</v>
      </c>
      <c r="R4527" s="783">
        <v>682.62</v>
      </c>
      <c r="S4527" s="783">
        <v>108.99</v>
      </c>
      <c r="T4527" s="783">
        <v>730.43</v>
      </c>
      <c r="U4527" s="785">
        <v>44631.635625000003</v>
      </c>
    </row>
    <row r="4528" spans="1:21">
      <c r="A4528" s="782">
        <v>44528</v>
      </c>
      <c r="B4528" s="783" t="s">
        <v>74</v>
      </c>
      <c r="C4528" s="783" t="s">
        <v>4097</v>
      </c>
      <c r="D4528" s="783" t="s">
        <v>4038</v>
      </c>
      <c r="E4528" s="783" t="s">
        <v>4443</v>
      </c>
      <c r="F4528" s="783" t="s">
        <v>4011</v>
      </c>
      <c r="G4528" s="783" t="str">
        <f t="shared" si="245"/>
        <v>Renewal (15% in 2020)</v>
      </c>
      <c r="H4528" s="783" t="s">
        <v>4444</v>
      </c>
      <c r="I4528" s="783" t="s">
        <v>4445</v>
      </c>
      <c r="J4528" s="783">
        <v>20</v>
      </c>
      <c r="K4528" s="783" t="s">
        <v>765</v>
      </c>
      <c r="L4528" s="783" t="s">
        <v>4014</v>
      </c>
      <c r="M4528" s="784">
        <v>11100</v>
      </c>
      <c r="N4528" s="784">
        <v>11.1</v>
      </c>
      <c r="O4528" s="784">
        <v>2</v>
      </c>
      <c r="P4528" s="783">
        <v>500</v>
      </c>
      <c r="Q4528" s="783">
        <v>895.77</v>
      </c>
      <c r="R4528" s="783">
        <v>500.45</v>
      </c>
      <c r="S4528" s="783">
        <v>131.13999999999999</v>
      </c>
      <c r="T4528" s="783">
        <v>264.18</v>
      </c>
      <c r="U4528" s="785">
        <v>44631.6329513889</v>
      </c>
    </row>
    <row r="4529" spans="1:21">
      <c r="A4529" s="782">
        <v>44539</v>
      </c>
      <c r="B4529" s="783" t="s">
        <v>74</v>
      </c>
      <c r="C4529" s="783" t="s">
        <v>4097</v>
      </c>
      <c r="D4529" s="783" t="s">
        <v>4038</v>
      </c>
      <c r="E4529" s="783" t="s">
        <v>4705</v>
      </c>
      <c r="F4529" s="783" t="s">
        <v>4066</v>
      </c>
      <c r="G4529" s="783" t="s">
        <v>4028</v>
      </c>
      <c r="H4529" s="783" t="s">
        <v>4706</v>
      </c>
      <c r="I4529" s="783" t="s">
        <v>4707</v>
      </c>
      <c r="J4529" s="783">
        <v>10</v>
      </c>
      <c r="K4529" s="783" t="s">
        <v>765</v>
      </c>
      <c r="L4529" s="783" t="s">
        <v>4014</v>
      </c>
      <c r="M4529" s="784">
        <v>155910</v>
      </c>
      <c r="N4529" s="784">
        <v>103.94</v>
      </c>
      <c r="O4529" s="784">
        <v>3</v>
      </c>
      <c r="P4529" s="783">
        <v>500</v>
      </c>
      <c r="Q4529" s="783">
        <v>8637.41</v>
      </c>
      <c r="R4529" s="783">
        <v>0</v>
      </c>
      <c r="S4529" s="783">
        <v>0</v>
      </c>
      <c r="T4529" s="783">
        <v>8637.41</v>
      </c>
      <c r="U4529" s="785">
        <v>44631.632731481499</v>
      </c>
    </row>
    <row r="4530" spans="1:21">
      <c r="A4530" s="782">
        <v>44526</v>
      </c>
      <c r="B4530" s="783" t="s">
        <v>971</v>
      </c>
      <c r="C4530" s="783" t="s">
        <v>4082</v>
      </c>
      <c r="D4530" s="783" t="s">
        <v>4009</v>
      </c>
      <c r="E4530" s="783" t="s">
        <v>6088</v>
      </c>
      <c r="F4530" s="783" t="s">
        <v>4011</v>
      </c>
      <c r="G4530" s="783" t="str">
        <f t="shared" ref="G4530:G4546" si="246">VLOOKUP(I4530,pacage,2,FALSE)</f>
        <v>Renewal (20% in 2020)</v>
      </c>
      <c r="H4530" s="783" t="s">
        <v>6089</v>
      </c>
      <c r="I4530" s="783" t="s">
        <v>6090</v>
      </c>
      <c r="J4530" s="783">
        <v>20</v>
      </c>
      <c r="K4530" s="783" t="s">
        <v>765</v>
      </c>
      <c r="L4530" s="783" t="s">
        <v>4014</v>
      </c>
      <c r="M4530" s="784">
        <v>18365.13</v>
      </c>
      <c r="N4530" s="784">
        <v>17.22</v>
      </c>
      <c r="O4530" s="784">
        <v>2.37</v>
      </c>
      <c r="P4530" s="783">
        <v>450</v>
      </c>
      <c r="Q4530" s="783">
        <v>1366.37</v>
      </c>
      <c r="R4530" s="783">
        <v>800.72</v>
      </c>
      <c r="S4530" s="783">
        <v>156.1</v>
      </c>
      <c r="T4530" s="783">
        <v>409.54</v>
      </c>
      <c r="U4530" s="785">
        <v>44631.635567129597</v>
      </c>
    </row>
    <row r="4531" spans="1:21">
      <c r="A4531" s="782">
        <v>44522</v>
      </c>
      <c r="B4531" s="783" t="s">
        <v>51</v>
      </c>
      <c r="C4531" s="783" t="s">
        <v>4042</v>
      </c>
      <c r="D4531" s="783" t="s">
        <v>4016</v>
      </c>
      <c r="E4531" s="783" t="s">
        <v>6091</v>
      </c>
      <c r="F4531" s="783" t="s">
        <v>4011</v>
      </c>
      <c r="G4531" s="783" t="str">
        <f t="shared" si="246"/>
        <v>Renewal (25% in 2020)</v>
      </c>
      <c r="H4531" s="783" t="s">
        <v>6092</v>
      </c>
      <c r="I4531" s="783" t="s">
        <v>6093</v>
      </c>
      <c r="J4531" s="783">
        <v>25</v>
      </c>
      <c r="K4531" s="783" t="s">
        <v>765</v>
      </c>
      <c r="L4531" s="783" t="s">
        <v>4014</v>
      </c>
      <c r="M4531" s="784">
        <v>32766.03</v>
      </c>
      <c r="N4531" s="784">
        <v>28.78</v>
      </c>
      <c r="O4531" s="784">
        <v>2.5299999999999998</v>
      </c>
      <c r="P4531" s="783">
        <v>450</v>
      </c>
      <c r="Q4531" s="783">
        <v>2349.3200000000002</v>
      </c>
      <c r="R4531" s="783">
        <v>1726.77</v>
      </c>
      <c r="S4531" s="783">
        <v>281.79000000000002</v>
      </c>
      <c r="T4531" s="783">
        <v>340.77</v>
      </c>
      <c r="U4531" s="785">
        <v>44631.635787036997</v>
      </c>
    </row>
    <row r="4532" spans="1:21">
      <c r="A4532" s="782">
        <v>44527</v>
      </c>
      <c r="B4532" s="783" t="s">
        <v>3078</v>
      </c>
      <c r="C4532" s="783" t="s">
        <v>4414</v>
      </c>
      <c r="D4532" s="783" t="s">
        <v>4009</v>
      </c>
      <c r="E4532" s="783" t="s">
        <v>1029</v>
      </c>
      <c r="F4532" s="783" t="s">
        <v>4011</v>
      </c>
      <c r="G4532" s="783" t="str">
        <f t="shared" si="246"/>
        <v>Renewal (15% in 2020)</v>
      </c>
      <c r="H4532" s="783" t="s">
        <v>6094</v>
      </c>
      <c r="I4532" s="783" t="s">
        <v>6095</v>
      </c>
      <c r="J4532" s="783">
        <v>15</v>
      </c>
      <c r="K4532" s="783" t="s">
        <v>765</v>
      </c>
      <c r="L4532" s="783" t="s">
        <v>4014</v>
      </c>
      <c r="M4532" s="784">
        <v>24254.37</v>
      </c>
      <c r="N4532" s="784">
        <v>21.91</v>
      </c>
      <c r="O4532" s="784">
        <v>2.46</v>
      </c>
      <c r="P4532" s="783">
        <v>450</v>
      </c>
      <c r="Q4532" s="783">
        <v>2478.8000000000002</v>
      </c>
      <c r="R4532" s="783">
        <v>1011.41</v>
      </c>
      <c r="S4532" s="783">
        <v>167.36</v>
      </c>
      <c r="T4532" s="783">
        <v>1300.03</v>
      </c>
      <c r="U4532" s="785">
        <v>44631.6330787037</v>
      </c>
    </row>
    <row r="4533" spans="1:21">
      <c r="A4533" s="782">
        <v>44529</v>
      </c>
      <c r="B4533" s="783" t="s">
        <v>3078</v>
      </c>
      <c r="C4533" s="783" t="s">
        <v>4414</v>
      </c>
      <c r="D4533" s="783" t="s">
        <v>4009</v>
      </c>
      <c r="E4533" s="783" t="s">
        <v>1032</v>
      </c>
      <c r="F4533" s="783" t="s">
        <v>4011</v>
      </c>
      <c r="G4533" s="783" t="str">
        <f t="shared" si="246"/>
        <v>Renewal (15% in 2020)</v>
      </c>
      <c r="H4533" s="783" t="s">
        <v>6096</v>
      </c>
      <c r="I4533" s="783" t="s">
        <v>6097</v>
      </c>
      <c r="J4533" s="783">
        <v>15</v>
      </c>
      <c r="K4533" s="783" t="s">
        <v>765</v>
      </c>
      <c r="L4533" s="783" t="s">
        <v>4014</v>
      </c>
      <c r="M4533" s="784">
        <v>16073.64</v>
      </c>
      <c r="N4533" s="784">
        <v>14.52</v>
      </c>
      <c r="O4533" s="784">
        <v>2.46</v>
      </c>
      <c r="P4533" s="783">
        <v>450</v>
      </c>
      <c r="Q4533" s="783">
        <v>1642.73</v>
      </c>
      <c r="R4533" s="783">
        <v>670.27</v>
      </c>
      <c r="S4533" s="783">
        <v>110.91</v>
      </c>
      <c r="T4533" s="783">
        <v>861.55</v>
      </c>
      <c r="U4533" s="785">
        <v>44631.632685185199</v>
      </c>
    </row>
    <row r="4534" spans="1:21">
      <c r="A4534" s="782">
        <v>44537</v>
      </c>
      <c r="B4534" s="783" t="s">
        <v>41</v>
      </c>
      <c r="C4534" s="783" t="s">
        <v>4071</v>
      </c>
      <c r="D4534" s="783" t="s">
        <v>4009</v>
      </c>
      <c r="E4534" s="783" t="s">
        <v>6098</v>
      </c>
      <c r="F4534" s="783" t="s">
        <v>4011</v>
      </c>
      <c r="G4534" s="783" t="str">
        <f t="shared" si="246"/>
        <v>New contract</v>
      </c>
      <c r="H4534" s="783" t="s">
        <v>6099</v>
      </c>
      <c r="I4534" s="783" t="s">
        <v>6100</v>
      </c>
      <c r="J4534" s="783">
        <v>20</v>
      </c>
      <c r="K4534" s="783" t="s">
        <v>765</v>
      </c>
      <c r="L4534" s="783" t="s">
        <v>4014</v>
      </c>
      <c r="M4534" s="784">
        <v>52437</v>
      </c>
      <c r="N4534" s="784">
        <v>46.2</v>
      </c>
      <c r="O4534" s="784">
        <v>2.27</v>
      </c>
      <c r="P4534" s="783">
        <v>500</v>
      </c>
      <c r="Q4534" s="783">
        <v>3109.51</v>
      </c>
      <c r="R4534" s="783">
        <v>1725.98</v>
      </c>
      <c r="S4534" s="783">
        <v>444.91</v>
      </c>
      <c r="T4534" s="783">
        <v>938.62</v>
      </c>
      <c r="U4534" s="785">
        <v>44631.635925925897</v>
      </c>
    </row>
    <row r="4535" spans="1:21">
      <c r="A4535" s="782">
        <v>44537</v>
      </c>
      <c r="B4535" s="783" t="s">
        <v>41</v>
      </c>
      <c r="C4535" s="783" t="s">
        <v>4092</v>
      </c>
      <c r="D4535" s="783" t="s">
        <v>4009</v>
      </c>
      <c r="E4535" s="783" t="s">
        <v>6098</v>
      </c>
      <c r="F4535" s="783" t="s">
        <v>4011</v>
      </c>
      <c r="G4535" s="783" t="str">
        <f t="shared" si="246"/>
        <v>New contract</v>
      </c>
      <c r="H4535" s="783" t="s">
        <v>6099</v>
      </c>
      <c r="I4535" s="783" t="s">
        <v>6100</v>
      </c>
      <c r="J4535" s="783">
        <v>20</v>
      </c>
      <c r="K4535" s="783" t="s">
        <v>765</v>
      </c>
      <c r="L4535" s="783" t="s">
        <v>4014</v>
      </c>
      <c r="M4535" s="784">
        <v>8625</v>
      </c>
      <c r="N4535" s="784">
        <v>7.5</v>
      </c>
      <c r="O4535" s="784">
        <v>2.2999999999999998</v>
      </c>
      <c r="P4535" s="783">
        <v>500</v>
      </c>
      <c r="Q4535" s="783">
        <v>724.5</v>
      </c>
      <c r="R4535" s="783">
        <v>391.25</v>
      </c>
      <c r="S4535" s="783">
        <v>115.9</v>
      </c>
      <c r="T4535" s="783">
        <v>217.35</v>
      </c>
      <c r="U4535" s="785">
        <v>44631.635925925897</v>
      </c>
    </row>
    <row r="4536" spans="1:21">
      <c r="A4536" s="782">
        <v>44531</v>
      </c>
      <c r="B4536" s="783" t="s">
        <v>41</v>
      </c>
      <c r="C4536" s="783" t="s">
        <v>4139</v>
      </c>
      <c r="D4536" s="783" t="s">
        <v>4009</v>
      </c>
      <c r="E4536" s="783" t="s">
        <v>6107</v>
      </c>
      <c r="F4536" s="783" t="s">
        <v>4011</v>
      </c>
      <c r="G4536" s="783" t="str">
        <f t="shared" si="246"/>
        <v>Renewal (25% in 2020)</v>
      </c>
      <c r="H4536" s="783" t="s">
        <v>6108</v>
      </c>
      <c r="I4536" s="783" t="s">
        <v>6109</v>
      </c>
      <c r="J4536" s="783">
        <v>25</v>
      </c>
      <c r="K4536" s="783" t="s">
        <v>765</v>
      </c>
      <c r="L4536" s="783" t="s">
        <v>4014</v>
      </c>
      <c r="M4536" s="784">
        <v>25916</v>
      </c>
      <c r="N4536" s="784">
        <v>20.9</v>
      </c>
      <c r="O4536" s="784">
        <v>2.48</v>
      </c>
      <c r="P4536" s="783">
        <v>500</v>
      </c>
      <c r="Q4536" s="783">
        <v>1015.91</v>
      </c>
      <c r="R4536" s="783">
        <v>733.56</v>
      </c>
      <c r="S4536" s="783">
        <v>189.05</v>
      </c>
      <c r="T4536" s="783">
        <v>93.3</v>
      </c>
      <c r="U4536" s="785">
        <v>44631.632986111101</v>
      </c>
    </row>
    <row r="4537" spans="1:21">
      <c r="A4537" s="782">
        <v>44540</v>
      </c>
      <c r="B4537" s="783" t="s">
        <v>74</v>
      </c>
      <c r="C4537" s="783" t="s">
        <v>4097</v>
      </c>
      <c r="D4537" s="783" t="s">
        <v>4038</v>
      </c>
      <c r="E4537" s="783" t="s">
        <v>4446</v>
      </c>
      <c r="F4537" s="783" t="s">
        <v>4011</v>
      </c>
      <c r="G4537" s="783" t="str">
        <f t="shared" si="246"/>
        <v>New Contract</v>
      </c>
      <c r="H4537" s="783" t="s">
        <v>4447</v>
      </c>
      <c r="I4537" s="783" t="s">
        <v>4448</v>
      </c>
      <c r="J4537" s="783">
        <v>25</v>
      </c>
      <c r="K4537" s="783" t="s">
        <v>765</v>
      </c>
      <c r="L4537" s="783" t="s">
        <v>4014</v>
      </c>
      <c r="M4537" s="784">
        <v>25096.05</v>
      </c>
      <c r="N4537" s="784">
        <v>25.7</v>
      </c>
      <c r="O4537" s="784">
        <v>2.17</v>
      </c>
      <c r="P4537" s="783">
        <v>450</v>
      </c>
      <c r="Q4537" s="783">
        <v>1739.16</v>
      </c>
      <c r="R4537" s="783">
        <v>1227.2</v>
      </c>
      <c r="S4537" s="783">
        <v>200.77</v>
      </c>
      <c r="T4537" s="783">
        <v>311.19</v>
      </c>
      <c r="U4537" s="785">
        <v>44631.633125</v>
      </c>
    </row>
    <row r="4538" spans="1:21">
      <c r="A4538" s="782">
        <v>44592</v>
      </c>
      <c r="B4538" s="783" t="s">
        <v>41</v>
      </c>
      <c r="C4538" s="783" t="s">
        <v>4071</v>
      </c>
      <c r="D4538" s="783" t="s">
        <v>4009</v>
      </c>
      <c r="E4538" s="783" t="s">
        <v>6110</v>
      </c>
      <c r="F4538" s="783" t="s">
        <v>4011</v>
      </c>
      <c r="G4538" s="783" t="str">
        <f t="shared" si="246"/>
        <v>Renewal (15% in 2020)</v>
      </c>
      <c r="H4538" s="783" t="s">
        <v>6111</v>
      </c>
      <c r="I4538" s="783" t="s">
        <v>6112</v>
      </c>
      <c r="J4538" s="783">
        <v>15</v>
      </c>
      <c r="K4538" s="783" t="s">
        <v>765</v>
      </c>
      <c r="L4538" s="783" t="s">
        <v>4014</v>
      </c>
      <c r="M4538" s="784">
        <v>10592.5</v>
      </c>
      <c r="N4538" s="784">
        <v>9.5</v>
      </c>
      <c r="O4538" s="784">
        <v>2.23</v>
      </c>
      <c r="P4538" s="783">
        <v>500</v>
      </c>
      <c r="Q4538" s="783">
        <v>843.16</v>
      </c>
      <c r="R4538" s="783">
        <v>348.66</v>
      </c>
      <c r="S4538" s="783">
        <v>89.87</v>
      </c>
      <c r="T4538" s="783">
        <v>404.63</v>
      </c>
      <c r="U4538" s="785">
        <v>44631.633333333302</v>
      </c>
    </row>
    <row r="4539" spans="1:21">
      <c r="A4539" s="782">
        <v>44524</v>
      </c>
      <c r="B4539" s="783" t="s">
        <v>3078</v>
      </c>
      <c r="C4539" s="783" t="s">
        <v>4414</v>
      </c>
      <c r="D4539" s="783" t="s">
        <v>4009</v>
      </c>
      <c r="E4539" s="783" t="s">
        <v>4449</v>
      </c>
      <c r="F4539" s="783" t="s">
        <v>4011</v>
      </c>
      <c r="G4539" s="783" t="str">
        <f t="shared" si="246"/>
        <v>Renewal (20% in 2020)</v>
      </c>
      <c r="H4539" s="783" t="s">
        <v>4450</v>
      </c>
      <c r="I4539" s="783" t="s">
        <v>4451</v>
      </c>
      <c r="J4539" s="783">
        <v>30</v>
      </c>
      <c r="K4539" s="783" t="s">
        <v>765</v>
      </c>
      <c r="L4539" s="783" t="s">
        <v>4014</v>
      </c>
      <c r="M4539" s="784">
        <v>23265</v>
      </c>
      <c r="N4539" s="784">
        <v>15</v>
      </c>
      <c r="O4539" s="784">
        <v>3.3</v>
      </c>
      <c r="P4539" s="783">
        <v>470</v>
      </c>
      <c r="Q4539" s="783">
        <v>1291.21</v>
      </c>
      <c r="R4539" s="783">
        <v>951.57</v>
      </c>
      <c r="S4539" s="783">
        <v>18.579999999999998</v>
      </c>
      <c r="T4539" s="783">
        <v>321.06</v>
      </c>
      <c r="U4539" s="785">
        <v>44631.632835648103</v>
      </c>
    </row>
    <row r="4540" spans="1:21">
      <c r="A4540" s="782">
        <v>44524</v>
      </c>
      <c r="B4540" s="783" t="s">
        <v>41</v>
      </c>
      <c r="C4540" s="783" t="s">
        <v>4008</v>
      </c>
      <c r="D4540" s="783" t="s">
        <v>4009</v>
      </c>
      <c r="E4540" s="783" t="s">
        <v>7068</v>
      </c>
      <c r="F4540" s="783" t="s">
        <v>4011</v>
      </c>
      <c r="G4540" s="783" t="str">
        <f t="shared" si="246"/>
        <v>Renewal (25% in 2020)</v>
      </c>
      <c r="H4540" s="783" t="s">
        <v>7069</v>
      </c>
      <c r="I4540" s="783" t="s">
        <v>7070</v>
      </c>
      <c r="J4540" s="783">
        <v>30</v>
      </c>
      <c r="K4540" s="783" t="s">
        <v>765</v>
      </c>
      <c r="L4540" s="783" t="s">
        <v>4014</v>
      </c>
      <c r="M4540" s="784">
        <v>25070.77</v>
      </c>
      <c r="N4540" s="784">
        <v>24.71</v>
      </c>
      <c r="O4540" s="784">
        <v>2.67</v>
      </c>
      <c r="P4540" s="783">
        <v>380</v>
      </c>
      <c r="Q4540" s="783">
        <v>1689.77</v>
      </c>
      <c r="R4540" s="783">
        <v>1363.85</v>
      </c>
      <c r="S4540" s="783">
        <v>0</v>
      </c>
      <c r="T4540" s="783">
        <v>325.92</v>
      </c>
      <c r="U4540" s="785">
        <v>44631.6333101852</v>
      </c>
    </row>
    <row r="4541" spans="1:21">
      <c r="A4541" s="782">
        <v>44525</v>
      </c>
      <c r="B4541" s="783" t="s">
        <v>41</v>
      </c>
      <c r="C4541" s="783" t="s">
        <v>4139</v>
      </c>
      <c r="D4541" s="783" t="s">
        <v>4009</v>
      </c>
      <c r="E4541" s="783" t="s">
        <v>1465</v>
      </c>
      <c r="F4541" s="783" t="s">
        <v>4011</v>
      </c>
      <c r="G4541" s="783" t="str">
        <f t="shared" si="246"/>
        <v>Renewal (25% in 2020)</v>
      </c>
      <c r="H4541" s="783" t="s">
        <v>6113</v>
      </c>
      <c r="I4541" s="783" t="s">
        <v>6114</v>
      </c>
      <c r="J4541" s="783">
        <v>25</v>
      </c>
      <c r="K4541" s="783" t="s">
        <v>765</v>
      </c>
      <c r="L4541" s="783" t="s">
        <v>4014</v>
      </c>
      <c r="M4541" s="784">
        <v>50383.08</v>
      </c>
      <c r="N4541" s="784">
        <v>42.41</v>
      </c>
      <c r="O4541" s="784">
        <v>2.64</v>
      </c>
      <c r="P4541" s="783">
        <v>450</v>
      </c>
      <c r="Q4541" s="783">
        <v>1975.02</v>
      </c>
      <c r="R4541" s="783">
        <v>1546.76</v>
      </c>
      <c r="S4541" s="783">
        <v>246.88</v>
      </c>
      <c r="T4541" s="783">
        <v>181.38</v>
      </c>
      <c r="U4541" s="785">
        <v>44631.633159722202</v>
      </c>
    </row>
    <row r="4542" spans="1:21">
      <c r="A4542" s="782">
        <v>44525</v>
      </c>
      <c r="B4542" s="783" t="s">
        <v>34</v>
      </c>
      <c r="C4542" s="783" t="s">
        <v>4139</v>
      </c>
      <c r="D4542" s="783" t="s">
        <v>4009</v>
      </c>
      <c r="E4542" s="783" t="s">
        <v>4708</v>
      </c>
      <c r="F4542" s="783" t="s">
        <v>4011</v>
      </c>
      <c r="G4542" s="783" t="str">
        <f t="shared" si="246"/>
        <v>New Contract</v>
      </c>
      <c r="H4542" s="783" t="s">
        <v>4709</v>
      </c>
      <c r="I4542" s="783" t="s">
        <v>4710</v>
      </c>
      <c r="J4542" s="783">
        <v>25</v>
      </c>
      <c r="K4542" s="783" t="s">
        <v>765</v>
      </c>
      <c r="L4542" s="783" t="s">
        <v>4014</v>
      </c>
      <c r="M4542" s="784">
        <v>32074.54</v>
      </c>
      <c r="N4542" s="784">
        <v>26.76</v>
      </c>
      <c r="O4542" s="784">
        <v>2.6</v>
      </c>
      <c r="P4542" s="783">
        <v>461</v>
      </c>
      <c r="Q4542" s="783">
        <v>1257.32</v>
      </c>
      <c r="R4542" s="783">
        <v>984.69</v>
      </c>
      <c r="S4542" s="783">
        <v>157.16999999999999</v>
      </c>
      <c r="T4542" s="783">
        <v>115.47</v>
      </c>
      <c r="U4542" s="785">
        <v>44631.636064814797</v>
      </c>
    </row>
    <row r="4543" spans="1:21">
      <c r="A4543" s="782">
        <v>44529</v>
      </c>
      <c r="B4543" s="783" t="s">
        <v>41</v>
      </c>
      <c r="C4543" s="783" t="s">
        <v>4139</v>
      </c>
      <c r="D4543" s="783" t="s">
        <v>4009</v>
      </c>
      <c r="E4543" s="783" t="s">
        <v>4202</v>
      </c>
      <c r="F4543" s="783" t="s">
        <v>4011</v>
      </c>
      <c r="G4543" s="783" t="str">
        <f t="shared" si="246"/>
        <v>Renewal (15% in 2020)</v>
      </c>
      <c r="H4543" s="783" t="s">
        <v>4203</v>
      </c>
      <c r="I4543" s="783" t="s">
        <v>4204</v>
      </c>
      <c r="J4543" s="783">
        <v>15</v>
      </c>
      <c r="K4543" s="783" t="s">
        <v>765</v>
      </c>
      <c r="L4543" s="783" t="s">
        <v>4014</v>
      </c>
      <c r="M4543" s="784">
        <v>23195.67</v>
      </c>
      <c r="N4543" s="784">
        <v>16.059999999999999</v>
      </c>
      <c r="O4543" s="784">
        <v>2.41</v>
      </c>
      <c r="P4543" s="783">
        <v>599.29999999999995</v>
      </c>
      <c r="Q4543" s="783">
        <v>1586.58</v>
      </c>
      <c r="R4543" s="783">
        <v>547.77</v>
      </c>
      <c r="S4543" s="783">
        <v>277.99</v>
      </c>
      <c r="T4543" s="783">
        <v>760.82</v>
      </c>
      <c r="U4543" s="785">
        <v>44631.632881944402</v>
      </c>
    </row>
    <row r="4544" spans="1:21">
      <c r="A4544" s="782">
        <v>44530</v>
      </c>
      <c r="B4544" s="783" t="s">
        <v>74</v>
      </c>
      <c r="C4544" s="783" t="s">
        <v>4037</v>
      </c>
      <c r="D4544" s="783" t="s">
        <v>4038</v>
      </c>
      <c r="E4544" s="783" t="s">
        <v>6129</v>
      </c>
      <c r="F4544" s="783" t="s">
        <v>4011</v>
      </c>
      <c r="G4544" s="783" t="str">
        <f t="shared" si="246"/>
        <v>New Contract</v>
      </c>
      <c r="H4544" s="783" t="s">
        <v>6130</v>
      </c>
      <c r="I4544" s="783" t="s">
        <v>6131</v>
      </c>
      <c r="J4544" s="783">
        <v>25</v>
      </c>
      <c r="K4544" s="783" t="s">
        <v>765</v>
      </c>
      <c r="L4544" s="783" t="s">
        <v>4014</v>
      </c>
      <c r="M4544" s="784">
        <v>10813.5</v>
      </c>
      <c r="N4544" s="784">
        <v>8.9</v>
      </c>
      <c r="O4544" s="784">
        <v>2.7</v>
      </c>
      <c r="P4544" s="783">
        <v>450</v>
      </c>
      <c r="Q4544" s="783">
        <v>814.26</v>
      </c>
      <c r="R4544" s="783">
        <v>545</v>
      </c>
      <c r="S4544" s="783">
        <v>88.67</v>
      </c>
      <c r="T4544" s="783">
        <v>180.59</v>
      </c>
      <c r="U4544" s="785">
        <v>44631.632604166698</v>
      </c>
    </row>
    <row r="4545" spans="1:21">
      <c r="A4545" s="782">
        <v>44537</v>
      </c>
      <c r="B4545" s="783" t="s">
        <v>41</v>
      </c>
      <c r="C4545" s="783" t="s">
        <v>4082</v>
      </c>
      <c r="D4545" s="783" t="s">
        <v>4009</v>
      </c>
      <c r="E4545" s="783" t="s">
        <v>6132</v>
      </c>
      <c r="F4545" s="783" t="s">
        <v>4011</v>
      </c>
      <c r="G4545" s="783" t="str">
        <f t="shared" si="246"/>
        <v>New contract</v>
      </c>
      <c r="H4545" s="783" t="s">
        <v>6133</v>
      </c>
      <c r="I4545" s="783" t="s">
        <v>6134</v>
      </c>
      <c r="J4545" s="783">
        <v>20</v>
      </c>
      <c r="K4545" s="783" t="s">
        <v>765</v>
      </c>
      <c r="L4545" s="783" t="s">
        <v>4014</v>
      </c>
      <c r="M4545" s="784">
        <v>35636.5</v>
      </c>
      <c r="N4545" s="784">
        <v>27.1</v>
      </c>
      <c r="O4545" s="784">
        <v>2.63</v>
      </c>
      <c r="P4545" s="783">
        <v>500</v>
      </c>
      <c r="Q4545" s="783">
        <v>2651.36</v>
      </c>
      <c r="R4545" s="783">
        <v>1432.56</v>
      </c>
      <c r="S4545" s="783">
        <v>424.1</v>
      </c>
      <c r="T4545" s="783">
        <v>794.69</v>
      </c>
      <c r="U4545" s="785">
        <v>44631.632916666698</v>
      </c>
    </row>
    <row r="4546" spans="1:21">
      <c r="A4546" s="782">
        <v>44540</v>
      </c>
      <c r="B4546" s="783" t="s">
        <v>113</v>
      </c>
      <c r="C4546" s="783" t="s">
        <v>4376</v>
      </c>
      <c r="D4546" s="783" t="s">
        <v>4038</v>
      </c>
      <c r="E4546" s="783" t="s">
        <v>4717</v>
      </c>
      <c r="F4546" s="783" t="s">
        <v>4011</v>
      </c>
      <c r="G4546" s="783" t="str">
        <f t="shared" si="246"/>
        <v>New Contract</v>
      </c>
      <c r="H4546" s="783" t="s">
        <v>4718</v>
      </c>
      <c r="I4546" s="783" t="s">
        <v>4719</v>
      </c>
      <c r="J4546" s="783">
        <v>20</v>
      </c>
      <c r="K4546" s="783" t="s">
        <v>765</v>
      </c>
      <c r="L4546" s="783" t="s">
        <v>4014</v>
      </c>
      <c r="M4546" s="784">
        <v>83417.95</v>
      </c>
      <c r="N4546" s="784">
        <v>55</v>
      </c>
      <c r="O4546" s="784">
        <v>3.29</v>
      </c>
      <c r="P4546" s="783">
        <v>461</v>
      </c>
      <c r="Q4546" s="783">
        <v>7949.73</v>
      </c>
      <c r="R4546" s="783">
        <v>4362.76</v>
      </c>
      <c r="S4546" s="783">
        <v>717.39</v>
      </c>
      <c r="T4546" s="783">
        <v>2869.58</v>
      </c>
      <c r="U4546" s="785">
        <v>44631.636122685202</v>
      </c>
    </row>
    <row r="4547" spans="1:21">
      <c r="A4547" s="782">
        <v>44536</v>
      </c>
      <c r="B4547" s="783" t="s">
        <v>41</v>
      </c>
      <c r="C4547" s="783" t="s">
        <v>4092</v>
      </c>
      <c r="D4547" s="783" t="s">
        <v>4009</v>
      </c>
      <c r="E4547" s="783" t="s">
        <v>4211</v>
      </c>
      <c r="F4547" s="783" t="s">
        <v>4011</v>
      </c>
      <c r="G4547" s="783" t="s">
        <v>4028</v>
      </c>
      <c r="H4547" s="783" t="s">
        <v>4212</v>
      </c>
      <c r="I4547" s="783" t="s">
        <v>4213</v>
      </c>
      <c r="J4547" s="783">
        <v>20</v>
      </c>
      <c r="K4547" s="783" t="s">
        <v>765</v>
      </c>
      <c r="L4547" s="783" t="s">
        <v>4014</v>
      </c>
      <c r="M4547" s="784">
        <v>13887.86</v>
      </c>
      <c r="N4547" s="784">
        <v>13.3</v>
      </c>
      <c r="O4547" s="784">
        <v>2.27</v>
      </c>
      <c r="P4547" s="783">
        <v>460</v>
      </c>
      <c r="Q4547" s="783">
        <v>1166.58</v>
      </c>
      <c r="R4547" s="783">
        <v>683.28</v>
      </c>
      <c r="S4547" s="783">
        <v>133.32</v>
      </c>
      <c r="T4547" s="783">
        <v>349.97</v>
      </c>
      <c r="U4547" s="785">
        <v>44631.636064814797</v>
      </c>
    </row>
    <row r="4548" spans="1:21">
      <c r="A4548" s="782">
        <v>44533</v>
      </c>
      <c r="B4548" s="783" t="s">
        <v>41</v>
      </c>
      <c r="C4548" s="783" t="s">
        <v>4071</v>
      </c>
      <c r="D4548" s="783" t="s">
        <v>4009</v>
      </c>
      <c r="E4548" s="783" t="s">
        <v>2811</v>
      </c>
      <c r="F4548" s="783" t="s">
        <v>4011</v>
      </c>
      <c r="G4548" s="783" t="str">
        <f>VLOOKUP(I4548,pacage,2,FALSE)</f>
        <v>Renewal (15% in 2020)</v>
      </c>
      <c r="H4548" s="783" t="s">
        <v>6144</v>
      </c>
      <c r="I4548" s="783" t="s">
        <v>6145</v>
      </c>
      <c r="J4548" s="783">
        <v>15</v>
      </c>
      <c r="K4548" s="783" t="s">
        <v>765</v>
      </c>
      <c r="L4548" s="783" t="s">
        <v>4014</v>
      </c>
      <c r="M4548" s="784">
        <v>21560</v>
      </c>
      <c r="N4548" s="784">
        <v>28</v>
      </c>
      <c r="O4548" s="784">
        <v>2.2000000000000002</v>
      </c>
      <c r="P4548" s="783">
        <v>350</v>
      </c>
      <c r="Q4548" s="783">
        <v>1716.18</v>
      </c>
      <c r="R4548" s="783">
        <v>769.69</v>
      </c>
      <c r="S4548" s="783">
        <v>122.89</v>
      </c>
      <c r="T4548" s="783">
        <v>823.59</v>
      </c>
      <c r="U4548" s="785">
        <v>44631.636157407404</v>
      </c>
    </row>
    <row r="4549" spans="1:21">
      <c r="A4549" s="782">
        <v>44532</v>
      </c>
      <c r="B4549" s="783" t="s">
        <v>41</v>
      </c>
      <c r="C4549" s="783" t="s">
        <v>4092</v>
      </c>
      <c r="D4549" s="783" t="s">
        <v>4009</v>
      </c>
      <c r="E4549" s="783" t="s">
        <v>6149</v>
      </c>
      <c r="F4549" s="783" t="s">
        <v>4011</v>
      </c>
      <c r="G4549" s="783" t="str">
        <f>VLOOKUP(I4549,pacage,2,FALSE)</f>
        <v>Renewal (25% in 2020)</v>
      </c>
      <c r="H4549" s="783" t="s">
        <v>6150</v>
      </c>
      <c r="I4549" s="783" t="s">
        <v>6151</v>
      </c>
      <c r="J4549" s="783">
        <v>25</v>
      </c>
      <c r="K4549" s="783" t="s">
        <v>765</v>
      </c>
      <c r="L4549" s="783" t="s">
        <v>4014</v>
      </c>
      <c r="M4549" s="784">
        <v>31240.35</v>
      </c>
      <c r="N4549" s="784">
        <v>28.53</v>
      </c>
      <c r="O4549" s="784">
        <v>2.19</v>
      </c>
      <c r="P4549" s="783">
        <v>500</v>
      </c>
      <c r="Q4549" s="783">
        <v>2021.25</v>
      </c>
      <c r="R4549" s="783">
        <v>1417.14</v>
      </c>
      <c r="S4549" s="783">
        <v>419.8</v>
      </c>
      <c r="T4549" s="783">
        <v>184.32</v>
      </c>
      <c r="U4549" s="785">
        <v>44672.6337152778</v>
      </c>
    </row>
    <row r="4550" spans="1:21">
      <c r="A4550" s="782">
        <v>44592</v>
      </c>
      <c r="B4550" s="783" t="s">
        <v>41</v>
      </c>
      <c r="C4550" s="783" t="s">
        <v>4139</v>
      </c>
      <c r="D4550" s="783" t="s">
        <v>4009</v>
      </c>
      <c r="E4550" s="783" t="s">
        <v>6152</v>
      </c>
      <c r="F4550" s="783" t="s">
        <v>4011</v>
      </c>
      <c r="G4550" s="783" t="s">
        <v>4028</v>
      </c>
      <c r="H4550" s="783" t="s">
        <v>6153</v>
      </c>
      <c r="I4550" s="783" t="s">
        <v>6154</v>
      </c>
      <c r="J4550" s="783">
        <v>30</v>
      </c>
      <c r="K4550" s="783" t="s">
        <v>765</v>
      </c>
      <c r="L4550" s="783" t="s">
        <v>4014</v>
      </c>
      <c r="M4550" s="784">
        <v>27660</v>
      </c>
      <c r="N4550" s="784">
        <v>24</v>
      </c>
      <c r="O4550" s="784">
        <v>2.5</v>
      </c>
      <c r="P4550" s="783">
        <v>461</v>
      </c>
      <c r="Q4550" s="783">
        <v>948.74</v>
      </c>
      <c r="R4550" s="783">
        <v>849.16</v>
      </c>
      <c r="S4550" s="783">
        <v>0</v>
      </c>
      <c r="T4550" s="783">
        <v>99.58</v>
      </c>
      <c r="U4550" s="785">
        <v>44631.633159722202</v>
      </c>
    </row>
    <row r="4551" spans="1:21">
      <c r="A4551" s="782">
        <v>44435</v>
      </c>
      <c r="B4551" s="783" t="s">
        <v>41</v>
      </c>
      <c r="C4551" s="783" t="s">
        <v>4092</v>
      </c>
      <c r="D4551" s="783" t="s">
        <v>4009</v>
      </c>
      <c r="E4551" s="783" t="s">
        <v>927</v>
      </c>
      <c r="F4551" s="783" t="s">
        <v>4011</v>
      </c>
      <c r="G4551" s="783" t="str">
        <f>VLOOKUP(I4551,pacage,2,FALSE)</f>
        <v>Renewal (15% in 2020)</v>
      </c>
      <c r="H4551" s="783" t="s">
        <v>6161</v>
      </c>
      <c r="I4551" s="783" t="s">
        <v>6162</v>
      </c>
      <c r="J4551" s="783">
        <v>15</v>
      </c>
      <c r="K4551" s="783" t="s">
        <v>765</v>
      </c>
      <c r="L4551" s="783" t="s">
        <v>4014</v>
      </c>
      <c r="M4551" s="784">
        <v>10710</v>
      </c>
      <c r="N4551" s="784">
        <v>20</v>
      </c>
      <c r="O4551" s="784">
        <v>1.53</v>
      </c>
      <c r="P4551" s="783">
        <v>350</v>
      </c>
      <c r="Q4551" s="783">
        <v>1207.02</v>
      </c>
      <c r="R4551" s="783">
        <v>526.92999999999995</v>
      </c>
      <c r="S4551" s="783">
        <v>102.82</v>
      </c>
      <c r="T4551" s="783">
        <v>577.27</v>
      </c>
      <c r="U4551" s="785">
        <v>44631.635891203703</v>
      </c>
    </row>
    <row r="4552" spans="1:21">
      <c r="A4552" s="782">
        <v>44434</v>
      </c>
      <c r="B4552" s="783" t="s">
        <v>41</v>
      </c>
      <c r="C4552" s="783" t="s">
        <v>4092</v>
      </c>
      <c r="D4552" s="783" t="s">
        <v>4009</v>
      </c>
      <c r="E4552" s="783" t="s">
        <v>79</v>
      </c>
      <c r="F4552" s="783" t="s">
        <v>4011</v>
      </c>
      <c r="G4552" s="783" t="str">
        <f>VLOOKUP(I4552,pacage,2,FALSE)</f>
        <v>Renewal (20% in 2020)</v>
      </c>
      <c r="H4552" s="783" t="s">
        <v>6168</v>
      </c>
      <c r="I4552" s="783" t="s">
        <v>6169</v>
      </c>
      <c r="J4552" s="783">
        <v>20</v>
      </c>
      <c r="K4552" s="783" t="s">
        <v>765</v>
      </c>
      <c r="L4552" s="783" t="s">
        <v>4014</v>
      </c>
      <c r="M4552" s="784">
        <v>26140.51</v>
      </c>
      <c r="N4552" s="784">
        <v>27.91</v>
      </c>
      <c r="O4552" s="784">
        <v>2.23</v>
      </c>
      <c r="P4552" s="783">
        <v>420</v>
      </c>
      <c r="Q4552" s="783">
        <v>2195.8000000000002</v>
      </c>
      <c r="R4552" s="783">
        <v>1286.1099999999999</v>
      </c>
      <c r="S4552" s="783">
        <v>250.95</v>
      </c>
      <c r="T4552" s="783">
        <v>658.74</v>
      </c>
      <c r="U4552" s="785">
        <v>44631.6334837963</v>
      </c>
    </row>
    <row r="4553" spans="1:21">
      <c r="A4553" s="782">
        <v>44589</v>
      </c>
      <c r="B4553" s="783" t="s">
        <v>4025</v>
      </c>
      <c r="C4553" s="783" t="s">
        <v>4026</v>
      </c>
      <c r="D4553" s="783" t="s">
        <v>4021</v>
      </c>
      <c r="E4553" s="783" t="s">
        <v>6170</v>
      </c>
      <c r="F4553" s="783" t="s">
        <v>4011</v>
      </c>
      <c r="G4553" s="783" t="s">
        <v>4028</v>
      </c>
      <c r="H4553" s="783" t="s">
        <v>6171</v>
      </c>
      <c r="I4553" s="783" t="s">
        <v>6172</v>
      </c>
      <c r="J4553" s="783">
        <v>25</v>
      </c>
      <c r="K4553" s="783" t="s">
        <v>765</v>
      </c>
      <c r="L4553" s="783" t="s">
        <v>4014</v>
      </c>
      <c r="M4553" s="784">
        <v>44970.75</v>
      </c>
      <c r="N4553" s="784">
        <v>39.5</v>
      </c>
      <c r="O4553" s="784">
        <v>2.5299999999999998</v>
      </c>
      <c r="P4553" s="783">
        <v>450</v>
      </c>
      <c r="Q4553" s="783">
        <v>2680.26</v>
      </c>
      <c r="R4553" s="783">
        <v>1942.74</v>
      </c>
      <c r="S4553" s="783">
        <v>314.8</v>
      </c>
      <c r="T4553" s="783">
        <v>422.73</v>
      </c>
      <c r="U4553" s="785">
        <v>44631.636053240698</v>
      </c>
    </row>
    <row r="4554" spans="1:21">
      <c r="A4554" s="782">
        <v>44607</v>
      </c>
      <c r="B4554" s="783" t="s">
        <v>74</v>
      </c>
      <c r="C4554" s="783" t="s">
        <v>4037</v>
      </c>
      <c r="D4554" s="783" t="s">
        <v>4038</v>
      </c>
      <c r="E4554" s="783" t="s">
        <v>6173</v>
      </c>
      <c r="F4554" s="783" t="s">
        <v>4011</v>
      </c>
      <c r="G4554" s="783" t="str">
        <f>VLOOKUP(I4554,pacage,2,FALSE)</f>
        <v>Renewal (25% in 2020)</v>
      </c>
      <c r="H4554" s="783" t="s">
        <v>6174</v>
      </c>
      <c r="I4554" s="783" t="s">
        <v>6175</v>
      </c>
      <c r="J4554" s="783">
        <v>25</v>
      </c>
      <c r="K4554" s="783" t="s">
        <v>765</v>
      </c>
      <c r="L4554" s="783" t="s">
        <v>4014</v>
      </c>
      <c r="M4554" s="784">
        <v>19721.52</v>
      </c>
      <c r="N4554" s="784">
        <v>21.07</v>
      </c>
      <c r="O4554" s="784">
        <v>2.34</v>
      </c>
      <c r="P4554" s="783">
        <v>400</v>
      </c>
      <c r="Q4554" s="783">
        <v>1485.03</v>
      </c>
      <c r="R4554" s="783">
        <v>993.96</v>
      </c>
      <c r="S4554" s="783">
        <v>161.72</v>
      </c>
      <c r="T4554" s="783">
        <v>329.35</v>
      </c>
      <c r="U4554" s="785">
        <v>44631.6332638889</v>
      </c>
    </row>
    <row r="4555" spans="1:21">
      <c r="A4555" s="782">
        <v>44587</v>
      </c>
      <c r="B4555" s="783" t="s">
        <v>41</v>
      </c>
      <c r="C4555" s="783" t="s">
        <v>4092</v>
      </c>
      <c r="D4555" s="783" t="s">
        <v>4009</v>
      </c>
      <c r="E4555" s="783" t="s">
        <v>6176</v>
      </c>
      <c r="F4555" s="783" t="s">
        <v>4011</v>
      </c>
      <c r="G4555" s="783" t="s">
        <v>4028</v>
      </c>
      <c r="H4555" s="783" t="s">
        <v>6177</v>
      </c>
      <c r="I4555" s="783" t="s">
        <v>6178</v>
      </c>
      <c r="J4555" s="783">
        <v>25</v>
      </c>
      <c r="K4555" s="783" t="s">
        <v>765</v>
      </c>
      <c r="L4555" s="783" t="s">
        <v>4014</v>
      </c>
      <c r="M4555" s="784">
        <v>9952.99</v>
      </c>
      <c r="N4555" s="784">
        <v>8.5</v>
      </c>
      <c r="O4555" s="784">
        <v>2.54</v>
      </c>
      <c r="P4555" s="783">
        <v>461</v>
      </c>
      <c r="Q4555" s="783">
        <v>643.96</v>
      </c>
      <c r="R4555" s="783">
        <v>489.69</v>
      </c>
      <c r="S4555" s="783">
        <v>95.55</v>
      </c>
      <c r="T4555" s="783">
        <v>58.72</v>
      </c>
      <c r="U4555" s="785">
        <v>44631.633472222202</v>
      </c>
    </row>
    <row r="4556" spans="1:21">
      <c r="A4556" s="782">
        <v>44454</v>
      </c>
      <c r="B4556" s="783" t="s">
        <v>74</v>
      </c>
      <c r="C4556" s="783" t="s">
        <v>4097</v>
      </c>
      <c r="D4556" s="783" t="s">
        <v>4038</v>
      </c>
      <c r="E4556" s="783" t="s">
        <v>204</v>
      </c>
      <c r="F4556" s="783" t="s">
        <v>4011</v>
      </c>
      <c r="G4556" s="783" t="str">
        <f>VLOOKUP(I4556,pacage,2,FALSE)</f>
        <v>Renewal (15% in 2020)</v>
      </c>
      <c r="H4556" s="783" t="s">
        <v>6181</v>
      </c>
      <c r="I4556" s="783" t="s">
        <v>6182</v>
      </c>
      <c r="J4556" s="783">
        <v>15</v>
      </c>
      <c r="K4556" s="783" t="s">
        <v>765</v>
      </c>
      <c r="L4556" s="783" t="s">
        <v>4014</v>
      </c>
      <c r="M4556" s="784">
        <v>27148.43</v>
      </c>
      <c r="N4556" s="784">
        <v>29.01</v>
      </c>
      <c r="O4556" s="784">
        <v>2.0299999999999998</v>
      </c>
      <c r="P4556" s="783">
        <v>461</v>
      </c>
      <c r="Q4556" s="783">
        <v>2655.12</v>
      </c>
      <c r="R4556" s="783">
        <v>1327.56</v>
      </c>
      <c r="S4556" s="783">
        <v>217.19</v>
      </c>
      <c r="T4556" s="783">
        <v>1110.3699999999999</v>
      </c>
      <c r="U4556" s="785">
        <v>44631.636203703703</v>
      </c>
    </row>
    <row r="4557" spans="1:21">
      <c r="A4557" s="782">
        <v>44552</v>
      </c>
      <c r="B4557" s="783" t="s">
        <v>74</v>
      </c>
      <c r="C4557" s="783" t="s">
        <v>4097</v>
      </c>
      <c r="D4557" s="783" t="s">
        <v>4038</v>
      </c>
      <c r="E4557" s="783" t="s">
        <v>3820</v>
      </c>
      <c r="F4557" s="783" t="s">
        <v>4011</v>
      </c>
      <c r="G4557" s="783" t="str">
        <f>VLOOKUP(I4557,pacage,2,FALSE)</f>
        <v>New contract</v>
      </c>
      <c r="H4557" s="783" t="s">
        <v>6191</v>
      </c>
      <c r="I4557" s="783" t="s">
        <v>6192</v>
      </c>
      <c r="J4557" s="783">
        <v>25</v>
      </c>
      <c r="K4557" s="783" t="s">
        <v>765</v>
      </c>
      <c r="L4557" s="783" t="s">
        <v>4014</v>
      </c>
      <c r="M4557" s="784">
        <v>26300</v>
      </c>
      <c r="N4557" s="784">
        <v>20</v>
      </c>
      <c r="O4557" s="784">
        <v>2.63</v>
      </c>
      <c r="P4557" s="783">
        <v>500</v>
      </c>
      <c r="Q4557" s="783">
        <v>1822.59</v>
      </c>
      <c r="R4557" s="783">
        <v>1185.76</v>
      </c>
      <c r="S4557" s="783">
        <v>310.70999999999998</v>
      </c>
      <c r="T4557" s="783">
        <v>326.12</v>
      </c>
      <c r="U4557" s="785">
        <v>44631.637002314797</v>
      </c>
    </row>
    <row r="4558" spans="1:21">
      <c r="A4558" s="782">
        <v>44558</v>
      </c>
      <c r="B4558" s="783" t="s">
        <v>74</v>
      </c>
      <c r="C4558" s="783" t="s">
        <v>4037</v>
      </c>
      <c r="D4558" s="783" t="s">
        <v>4038</v>
      </c>
      <c r="E4558" s="783" t="s">
        <v>4723</v>
      </c>
      <c r="F4558" s="783" t="s">
        <v>4066</v>
      </c>
      <c r="G4558" s="783" t="s">
        <v>4028</v>
      </c>
      <c r="H4558" s="783" t="s">
        <v>4724</v>
      </c>
      <c r="I4558" s="783" t="s">
        <v>4725</v>
      </c>
      <c r="J4558" s="783">
        <v>10</v>
      </c>
      <c r="K4558" s="783" t="s">
        <v>765</v>
      </c>
      <c r="L4558" s="783" t="s">
        <v>4014</v>
      </c>
      <c r="M4558" s="784">
        <v>23496.48</v>
      </c>
      <c r="N4558" s="784">
        <v>29.4</v>
      </c>
      <c r="O4558" s="784">
        <v>2.16</v>
      </c>
      <c r="P4558" s="783">
        <v>370</v>
      </c>
      <c r="Q4558" s="783">
        <v>1414.49</v>
      </c>
      <c r="R4558" s="783">
        <v>0</v>
      </c>
      <c r="S4558" s="783">
        <v>0</v>
      </c>
      <c r="T4558" s="783">
        <v>1414.49</v>
      </c>
      <c r="U4558" s="785">
        <v>44631.636909722198</v>
      </c>
    </row>
    <row r="4559" spans="1:21">
      <c r="A4559" s="782">
        <v>44578</v>
      </c>
      <c r="B4559" s="783" t="s">
        <v>4025</v>
      </c>
      <c r="C4559" s="783" t="s">
        <v>4026</v>
      </c>
      <c r="D4559" s="783" t="s">
        <v>4021</v>
      </c>
      <c r="E4559" s="783" t="s">
        <v>6193</v>
      </c>
      <c r="F4559" s="783" t="s">
        <v>4011</v>
      </c>
      <c r="G4559" s="783" t="s">
        <v>4028</v>
      </c>
      <c r="H4559" s="783" t="s">
        <v>6194</v>
      </c>
      <c r="I4559" s="783" t="s">
        <v>6195</v>
      </c>
      <c r="J4559" s="783">
        <v>25</v>
      </c>
      <c r="K4559" s="783" t="s">
        <v>765</v>
      </c>
      <c r="L4559" s="783" t="s">
        <v>4014</v>
      </c>
      <c r="M4559" s="784">
        <v>46828.800000000003</v>
      </c>
      <c r="N4559" s="784">
        <v>36</v>
      </c>
      <c r="O4559" s="784">
        <v>2.71</v>
      </c>
      <c r="P4559" s="783">
        <v>480</v>
      </c>
      <c r="Q4559" s="783">
        <v>2791</v>
      </c>
      <c r="R4559" s="783">
        <v>1942.93</v>
      </c>
      <c r="S4559" s="783">
        <v>407.88</v>
      </c>
      <c r="T4559" s="783">
        <v>440.19</v>
      </c>
      <c r="U4559" s="785">
        <v>44631.637013888903</v>
      </c>
    </row>
    <row r="4560" spans="1:21">
      <c r="A4560" s="782">
        <v>44552</v>
      </c>
      <c r="B4560" s="783" t="s">
        <v>74</v>
      </c>
      <c r="C4560" s="783" t="s">
        <v>4097</v>
      </c>
      <c r="D4560" s="783" t="s">
        <v>4038</v>
      </c>
      <c r="E4560" s="783" t="s">
        <v>4726</v>
      </c>
      <c r="F4560" s="783" t="s">
        <v>4011</v>
      </c>
      <c r="G4560" s="783" t="str">
        <f>VLOOKUP(I4560,pacage,2,FALSE)</f>
        <v>Renewal (15% in 2020)</v>
      </c>
      <c r="H4560" s="783" t="s">
        <v>4727</v>
      </c>
      <c r="I4560" s="783" t="s">
        <v>4728</v>
      </c>
      <c r="J4560" s="783">
        <v>15</v>
      </c>
      <c r="K4560" s="783" t="s">
        <v>765</v>
      </c>
      <c r="L4560" s="783" t="s">
        <v>4014</v>
      </c>
      <c r="M4560" s="784">
        <v>17762.5</v>
      </c>
      <c r="N4560" s="784">
        <v>25</v>
      </c>
      <c r="O4560" s="784">
        <v>2.0299999999999998</v>
      </c>
      <c r="P4560" s="783">
        <v>350</v>
      </c>
      <c r="Q4560" s="783">
        <v>1737.17</v>
      </c>
      <c r="R4560" s="783">
        <v>868.59</v>
      </c>
      <c r="S4560" s="783">
        <v>142.1</v>
      </c>
      <c r="T4560" s="783">
        <v>726.49</v>
      </c>
      <c r="U4560" s="785">
        <v>44631.637210648201</v>
      </c>
    </row>
    <row r="4561" spans="1:21">
      <c r="A4561" s="782">
        <v>44551</v>
      </c>
      <c r="B4561" s="783" t="s">
        <v>41</v>
      </c>
      <c r="C4561" s="783" t="s">
        <v>4082</v>
      </c>
      <c r="D4561" s="783" t="s">
        <v>4009</v>
      </c>
      <c r="E4561" s="783" t="s">
        <v>4729</v>
      </c>
      <c r="F4561" s="783" t="s">
        <v>4011</v>
      </c>
      <c r="G4561" s="783" t="str">
        <f>VLOOKUP(I4561,pacage,2,FALSE)</f>
        <v>New contract</v>
      </c>
      <c r="H4561" s="783" t="s">
        <v>4730</v>
      </c>
      <c r="I4561" s="783" t="s">
        <v>4731</v>
      </c>
      <c r="J4561" s="783">
        <v>25</v>
      </c>
      <c r="K4561" s="783" t="s">
        <v>765</v>
      </c>
      <c r="L4561" s="783" t="s">
        <v>4014</v>
      </c>
      <c r="M4561" s="784">
        <v>30839.98</v>
      </c>
      <c r="N4561" s="784">
        <v>21.58</v>
      </c>
      <c r="O4561" s="784">
        <v>3.1</v>
      </c>
      <c r="P4561" s="783">
        <v>461</v>
      </c>
      <c r="Q4561" s="783">
        <v>1764.05</v>
      </c>
      <c r="R4561" s="783">
        <v>1344.62</v>
      </c>
      <c r="S4561" s="783">
        <v>262.14</v>
      </c>
      <c r="T4561" s="783">
        <v>157.28</v>
      </c>
      <c r="U4561" s="785">
        <v>44631.637164351901</v>
      </c>
    </row>
    <row r="4562" spans="1:21">
      <c r="A4562" s="782">
        <v>44553</v>
      </c>
      <c r="B4562" s="783" t="s">
        <v>177</v>
      </c>
      <c r="C4562" s="783" t="s">
        <v>4274</v>
      </c>
      <c r="D4562" s="783" t="s">
        <v>4038</v>
      </c>
      <c r="E4562" s="783" t="s">
        <v>6204</v>
      </c>
      <c r="F4562" s="783" t="s">
        <v>4011</v>
      </c>
      <c r="G4562" s="783" t="str">
        <f>VLOOKUP(I4562,pacage,2,FALSE)</f>
        <v>Renewal (25% in 2020)</v>
      </c>
      <c r="H4562" s="783" t="s">
        <v>6205</v>
      </c>
      <c r="I4562" s="783" t="s">
        <v>6206</v>
      </c>
      <c r="J4562" s="783">
        <v>25</v>
      </c>
      <c r="K4562" s="783" t="s">
        <v>765</v>
      </c>
      <c r="L4562" s="783" t="s">
        <v>4014</v>
      </c>
      <c r="M4562" s="784">
        <v>10046.209999999999</v>
      </c>
      <c r="N4562" s="784">
        <v>13.42</v>
      </c>
      <c r="O4562" s="784">
        <v>1.97</v>
      </c>
      <c r="P4562" s="783">
        <v>380</v>
      </c>
      <c r="Q4562" s="783">
        <v>580.66999999999996</v>
      </c>
      <c r="R4562" s="783">
        <v>362.67</v>
      </c>
      <c r="S4562" s="783">
        <v>106.49</v>
      </c>
      <c r="T4562" s="783">
        <v>111.51</v>
      </c>
      <c r="U4562" s="785">
        <v>44701.675810185203</v>
      </c>
    </row>
    <row r="4563" spans="1:21">
      <c r="A4563" s="782">
        <v>44569</v>
      </c>
      <c r="B4563" s="783" t="s">
        <v>41</v>
      </c>
      <c r="C4563" s="783" t="s">
        <v>4139</v>
      </c>
      <c r="D4563" s="783" t="s">
        <v>4009</v>
      </c>
      <c r="E4563" s="783" t="s">
        <v>6207</v>
      </c>
      <c r="F4563" s="783" t="s">
        <v>4011</v>
      </c>
      <c r="G4563" s="783" t="str">
        <f>VLOOKUP(I4563,pacage,2,FALSE)</f>
        <v>Renewal (15% in 2020)</v>
      </c>
      <c r="H4563" s="783" t="s">
        <v>6208</v>
      </c>
      <c r="I4563" s="783" t="s">
        <v>6209</v>
      </c>
      <c r="J4563" s="783">
        <v>15</v>
      </c>
      <c r="K4563" s="783" t="s">
        <v>765</v>
      </c>
      <c r="L4563" s="783" t="s">
        <v>4014</v>
      </c>
      <c r="M4563" s="784">
        <v>13791.09</v>
      </c>
      <c r="N4563" s="784">
        <v>10.46</v>
      </c>
      <c r="O4563" s="784">
        <v>2.2000000000000002</v>
      </c>
      <c r="P4563" s="783">
        <v>599.29999999999995</v>
      </c>
      <c r="Q4563" s="783">
        <v>943.31</v>
      </c>
      <c r="R4563" s="783">
        <v>325.68</v>
      </c>
      <c r="S4563" s="783">
        <v>165.28</v>
      </c>
      <c r="T4563" s="783">
        <v>452.35</v>
      </c>
      <c r="U4563" s="785">
        <v>44631.636840277803</v>
      </c>
    </row>
    <row r="4564" spans="1:21">
      <c r="A4564" s="782">
        <v>44569</v>
      </c>
      <c r="B4564" s="783" t="s">
        <v>41</v>
      </c>
      <c r="C4564" s="783" t="s">
        <v>4071</v>
      </c>
      <c r="D4564" s="783" t="s">
        <v>4009</v>
      </c>
      <c r="E4564" s="783" t="s">
        <v>6207</v>
      </c>
      <c r="F4564" s="783" t="s">
        <v>4011</v>
      </c>
      <c r="G4564" s="783" t="str">
        <f>VLOOKUP(I4564,pacage,2,FALSE)</f>
        <v>Renewal (15% in 2020)</v>
      </c>
      <c r="H4564" s="783" t="s">
        <v>6208</v>
      </c>
      <c r="I4564" s="783" t="s">
        <v>6209</v>
      </c>
      <c r="J4564" s="783">
        <v>15</v>
      </c>
      <c r="K4564" s="783" t="s">
        <v>765</v>
      </c>
      <c r="L4564" s="783" t="s">
        <v>4014</v>
      </c>
      <c r="M4564" s="784">
        <v>27278.94</v>
      </c>
      <c r="N4564" s="784">
        <v>20.69</v>
      </c>
      <c r="O4564" s="784">
        <v>2.2000000000000002</v>
      </c>
      <c r="P4564" s="783">
        <v>599.29999999999995</v>
      </c>
      <c r="Q4564" s="783">
        <v>2171.4</v>
      </c>
      <c r="R4564" s="783">
        <v>749.12</v>
      </c>
      <c r="S4564" s="783">
        <v>380.23</v>
      </c>
      <c r="T4564" s="783">
        <v>1042.06</v>
      </c>
      <c r="U4564" s="785">
        <v>44631.636840277803</v>
      </c>
    </row>
    <row r="4565" spans="1:21">
      <c r="A4565" s="782">
        <v>44558</v>
      </c>
      <c r="B4565" s="783" t="s">
        <v>34</v>
      </c>
      <c r="C4565" s="783" t="s">
        <v>4139</v>
      </c>
      <c r="D4565" s="783" t="s">
        <v>4009</v>
      </c>
      <c r="E4565" s="783" t="s">
        <v>6210</v>
      </c>
      <c r="F4565" s="783" t="s">
        <v>4011</v>
      </c>
      <c r="G4565" s="783" t="s">
        <v>4028</v>
      </c>
      <c r="H4565" s="783" t="s">
        <v>6211</v>
      </c>
      <c r="I4565" s="783" t="s">
        <v>6212</v>
      </c>
      <c r="J4565" s="783">
        <v>20</v>
      </c>
      <c r="K4565" s="783" t="s">
        <v>765</v>
      </c>
      <c r="L4565" s="783" t="s">
        <v>4014</v>
      </c>
      <c r="M4565" s="784">
        <v>22396.5</v>
      </c>
      <c r="N4565" s="784">
        <v>21</v>
      </c>
      <c r="O4565" s="784">
        <v>2.37</v>
      </c>
      <c r="P4565" s="783">
        <v>450</v>
      </c>
      <c r="Q4565" s="783">
        <v>1142.22</v>
      </c>
      <c r="R4565" s="783">
        <v>687.57</v>
      </c>
      <c r="S4565" s="783">
        <v>109.74</v>
      </c>
      <c r="T4565" s="783">
        <v>344.91</v>
      </c>
      <c r="U4565" s="785">
        <v>44631.636956018498</v>
      </c>
    </row>
    <row r="4566" spans="1:21">
      <c r="A4566" s="782">
        <v>44558</v>
      </c>
      <c r="B4566" s="783" t="s">
        <v>74</v>
      </c>
      <c r="C4566" s="783" t="s">
        <v>4037</v>
      </c>
      <c r="D4566" s="783" t="s">
        <v>4038</v>
      </c>
      <c r="E4566" s="783" t="s">
        <v>4452</v>
      </c>
      <c r="F4566" s="783" t="s">
        <v>4011</v>
      </c>
      <c r="G4566" s="783" t="str">
        <f>VLOOKUP(I4566,pacage,2,FALSE)</f>
        <v>Renewal (20% in 2020)</v>
      </c>
      <c r="H4566" s="783" t="s">
        <v>4453</v>
      </c>
      <c r="I4566" s="783" t="s">
        <v>4454</v>
      </c>
      <c r="J4566" s="783">
        <v>25</v>
      </c>
      <c r="K4566" s="783" t="s">
        <v>765</v>
      </c>
      <c r="L4566" s="783" t="s">
        <v>4014</v>
      </c>
      <c r="M4566" s="784">
        <v>10227.879999999999</v>
      </c>
      <c r="N4566" s="784">
        <v>15.13</v>
      </c>
      <c r="O4566" s="784">
        <v>1.69</v>
      </c>
      <c r="P4566" s="783">
        <v>400</v>
      </c>
      <c r="Q4566" s="783">
        <v>770.16</v>
      </c>
      <c r="R4566" s="783">
        <v>515.49</v>
      </c>
      <c r="S4566" s="783">
        <v>83.87</v>
      </c>
      <c r="T4566" s="783">
        <v>170.81</v>
      </c>
      <c r="U4566" s="785">
        <v>44631.637083333299</v>
      </c>
    </row>
    <row r="4567" spans="1:21">
      <c r="A4567" s="782">
        <v>44557</v>
      </c>
      <c r="B4567" s="783" t="s">
        <v>74</v>
      </c>
      <c r="C4567" s="783" t="s">
        <v>4037</v>
      </c>
      <c r="D4567" s="783" t="s">
        <v>4038</v>
      </c>
      <c r="E4567" s="783" t="s">
        <v>1922</v>
      </c>
      <c r="F4567" s="783" t="s">
        <v>4011</v>
      </c>
      <c r="G4567" s="783" t="str">
        <f>VLOOKUP(I4567,pacage,2,FALSE)</f>
        <v>Renewal (25% in 2020)</v>
      </c>
      <c r="H4567" s="783" t="s">
        <v>6216</v>
      </c>
      <c r="I4567" s="783" t="s">
        <v>6217</v>
      </c>
      <c r="J4567" s="783">
        <v>25</v>
      </c>
      <c r="K4567" s="783" t="s">
        <v>765</v>
      </c>
      <c r="L4567" s="783" t="s">
        <v>4014</v>
      </c>
      <c r="M4567" s="784">
        <v>30395.82</v>
      </c>
      <c r="N4567" s="784">
        <v>35.159999999999997</v>
      </c>
      <c r="O4567" s="784">
        <v>2.4700000000000002</v>
      </c>
      <c r="P4567" s="783">
        <v>350</v>
      </c>
      <c r="Q4567" s="783">
        <v>2288.81</v>
      </c>
      <c r="R4567" s="783">
        <v>1531.95</v>
      </c>
      <c r="S4567" s="783">
        <v>249.25</v>
      </c>
      <c r="T4567" s="783">
        <v>507.61</v>
      </c>
      <c r="U4567" s="785">
        <v>44631.637337963002</v>
      </c>
    </row>
    <row r="4568" spans="1:21">
      <c r="A4568" s="782">
        <v>44552</v>
      </c>
      <c r="B4568" s="783" t="s">
        <v>41</v>
      </c>
      <c r="C4568" s="783" t="s">
        <v>4071</v>
      </c>
      <c r="D4568" s="783" t="s">
        <v>4009</v>
      </c>
      <c r="E4568" s="783" t="s">
        <v>6218</v>
      </c>
      <c r="F4568" s="783" t="s">
        <v>4011</v>
      </c>
      <c r="G4568" s="783" t="str">
        <f>VLOOKUP(I4568,pacage,2,FALSE)</f>
        <v>Renewal (30% in 2020)</v>
      </c>
      <c r="H4568" s="783" t="s">
        <v>6219</v>
      </c>
      <c r="I4568" s="783" t="s">
        <v>6220</v>
      </c>
      <c r="J4568" s="783">
        <v>25</v>
      </c>
      <c r="K4568" s="783" t="s">
        <v>765</v>
      </c>
      <c r="L4568" s="783" t="s">
        <v>4014</v>
      </c>
      <c r="M4568" s="784">
        <v>35122.5</v>
      </c>
      <c r="N4568" s="784">
        <v>35</v>
      </c>
      <c r="O4568" s="784">
        <v>2.23</v>
      </c>
      <c r="P4568" s="783">
        <v>450</v>
      </c>
      <c r="Q4568" s="783">
        <v>1605.1</v>
      </c>
      <c r="R4568" s="783">
        <v>1253.8699999999999</v>
      </c>
      <c r="S4568" s="783">
        <v>200.2</v>
      </c>
      <c r="T4568" s="783">
        <v>151.03</v>
      </c>
      <c r="U4568" s="785">
        <v>44631.636886574102</v>
      </c>
    </row>
    <row r="4569" spans="1:21">
      <c r="A4569" s="782">
        <v>44561</v>
      </c>
      <c r="B4569" s="783" t="s">
        <v>74</v>
      </c>
      <c r="C4569" s="783" t="s">
        <v>4097</v>
      </c>
      <c r="D4569" s="783" t="s">
        <v>4038</v>
      </c>
      <c r="E4569" s="783" t="s">
        <v>4455</v>
      </c>
      <c r="F4569" s="783" t="s">
        <v>4011</v>
      </c>
      <c r="G4569" s="783" t="str">
        <f>VLOOKUP(I4569,pacage,2,FALSE)</f>
        <v>Renewal (20% in 2020)</v>
      </c>
      <c r="H4569" s="783" t="s">
        <v>4456</v>
      </c>
      <c r="I4569" s="783" t="s">
        <v>4457</v>
      </c>
      <c r="J4569" s="783">
        <v>25</v>
      </c>
      <c r="K4569" s="783" t="s">
        <v>765</v>
      </c>
      <c r="L4569" s="783" t="s">
        <v>4014</v>
      </c>
      <c r="M4569" s="784">
        <v>21247.200000000001</v>
      </c>
      <c r="N4569" s="784">
        <v>23.4</v>
      </c>
      <c r="O4569" s="784">
        <v>2.27</v>
      </c>
      <c r="P4569" s="783">
        <v>400</v>
      </c>
      <c r="Q4569" s="783">
        <v>1472.43</v>
      </c>
      <c r="R4569" s="783">
        <v>1038.99</v>
      </c>
      <c r="S4569" s="783">
        <v>169.98</v>
      </c>
      <c r="T4569" s="783">
        <v>263.47000000000003</v>
      </c>
      <c r="U4569" s="785">
        <v>44631.636990740699</v>
      </c>
    </row>
    <row r="4570" spans="1:21">
      <c r="A4570" s="782">
        <v>44554</v>
      </c>
      <c r="B4570" s="783" t="s">
        <v>113</v>
      </c>
      <c r="C4570" s="783" t="s">
        <v>4606</v>
      </c>
      <c r="D4570" s="783" t="s">
        <v>4009</v>
      </c>
      <c r="E4570" s="783" t="s">
        <v>1127</v>
      </c>
      <c r="F4570" s="783" t="s">
        <v>4066</v>
      </c>
      <c r="G4570" s="783" t="s">
        <v>4028</v>
      </c>
      <c r="H4570" s="783" t="s">
        <v>7043</v>
      </c>
      <c r="I4570" s="783" t="s">
        <v>7044</v>
      </c>
      <c r="J4570" s="783">
        <v>10</v>
      </c>
      <c r="K4570" s="783" t="s">
        <v>765</v>
      </c>
      <c r="L4570" s="783" t="s">
        <v>4014</v>
      </c>
      <c r="M4570" s="784">
        <v>3797.5</v>
      </c>
      <c r="N4570" s="784">
        <v>4.34</v>
      </c>
      <c r="O4570" s="784">
        <v>2.5</v>
      </c>
      <c r="P4570" s="783">
        <v>350</v>
      </c>
      <c r="Q4570" s="783">
        <v>282.52999999999997</v>
      </c>
      <c r="R4570" s="783">
        <v>0</v>
      </c>
      <c r="S4570" s="783">
        <v>0</v>
      </c>
      <c r="T4570" s="783">
        <v>282.52999999999997</v>
      </c>
      <c r="U4570" s="785">
        <v>44631.636944444399</v>
      </c>
    </row>
    <row r="4571" spans="1:21">
      <c r="A4571" s="782">
        <v>44560</v>
      </c>
      <c r="B4571" s="783" t="s">
        <v>74</v>
      </c>
      <c r="C4571" s="783" t="s">
        <v>4097</v>
      </c>
      <c r="D4571" s="783" t="s">
        <v>4038</v>
      </c>
      <c r="E4571" s="783" t="s">
        <v>6221</v>
      </c>
      <c r="F4571" s="783" t="s">
        <v>4066</v>
      </c>
      <c r="G4571" s="783" t="s">
        <v>4028</v>
      </c>
      <c r="H4571" s="783" t="s">
        <v>6222</v>
      </c>
      <c r="I4571" s="783" t="s">
        <v>6223</v>
      </c>
      <c r="J4571" s="783">
        <v>10</v>
      </c>
      <c r="K4571" s="783" t="s">
        <v>765</v>
      </c>
      <c r="L4571" s="783" t="s">
        <v>4014</v>
      </c>
      <c r="M4571" s="784">
        <v>2305</v>
      </c>
      <c r="N4571" s="784">
        <v>2.5</v>
      </c>
      <c r="O4571" s="784">
        <v>2</v>
      </c>
      <c r="P4571" s="783">
        <v>461</v>
      </c>
      <c r="Q4571" s="783">
        <v>127.7</v>
      </c>
      <c r="R4571" s="783">
        <v>0</v>
      </c>
      <c r="S4571" s="783">
        <v>0</v>
      </c>
      <c r="T4571" s="783">
        <v>127.7</v>
      </c>
      <c r="U4571" s="785">
        <v>44631.637048611097</v>
      </c>
    </row>
    <row r="4572" spans="1:21">
      <c r="A4572" s="782">
        <v>44551</v>
      </c>
      <c r="B4572" s="783" t="s">
        <v>74</v>
      </c>
      <c r="C4572" s="783" t="s">
        <v>4037</v>
      </c>
      <c r="D4572" s="783" t="s">
        <v>4038</v>
      </c>
      <c r="E4572" s="783" t="s">
        <v>4214</v>
      </c>
      <c r="F4572" s="783" t="s">
        <v>4011</v>
      </c>
      <c r="G4572" s="783" t="str">
        <f>VLOOKUP(I4572,pacage,2,FALSE)</f>
        <v>New contract</v>
      </c>
      <c r="H4572" s="783" t="s">
        <v>4215</v>
      </c>
      <c r="I4572" s="783" t="s">
        <v>4216</v>
      </c>
      <c r="J4572" s="783">
        <v>25</v>
      </c>
      <c r="K4572" s="783" t="s">
        <v>765</v>
      </c>
      <c r="L4572" s="783" t="s">
        <v>4014</v>
      </c>
      <c r="M4572" s="784">
        <v>16872</v>
      </c>
      <c r="N4572" s="784">
        <v>27.75</v>
      </c>
      <c r="O4572" s="784">
        <v>1.6</v>
      </c>
      <c r="P4572" s="783">
        <v>380</v>
      </c>
      <c r="Q4572" s="783">
        <v>1270.46</v>
      </c>
      <c r="R4572" s="783">
        <v>850.35</v>
      </c>
      <c r="S4572" s="783">
        <v>138.35</v>
      </c>
      <c r="T4572" s="783">
        <v>281.76</v>
      </c>
      <c r="U4572" s="785">
        <v>44631.637083333299</v>
      </c>
    </row>
    <row r="4573" spans="1:21">
      <c r="A4573" s="782">
        <v>44553</v>
      </c>
      <c r="B4573" s="783" t="s">
        <v>74</v>
      </c>
      <c r="C4573" s="783" t="s">
        <v>4037</v>
      </c>
      <c r="D4573" s="783" t="s">
        <v>4038</v>
      </c>
      <c r="E4573" s="783" t="s">
        <v>4458</v>
      </c>
      <c r="F4573" s="783" t="s">
        <v>4011</v>
      </c>
      <c r="G4573" s="783" t="str">
        <f>VLOOKUP(I4573,pacage,2,FALSE)</f>
        <v>Renewal (20% in 2020)</v>
      </c>
      <c r="H4573" s="783" t="s">
        <v>4459</v>
      </c>
      <c r="I4573" s="783" t="s">
        <v>4460</v>
      </c>
      <c r="J4573" s="783">
        <v>25</v>
      </c>
      <c r="K4573" s="783" t="s">
        <v>765</v>
      </c>
      <c r="L4573" s="783" t="s">
        <v>4014</v>
      </c>
      <c r="M4573" s="784">
        <v>37113.599999999999</v>
      </c>
      <c r="N4573" s="784">
        <v>38.659999999999997</v>
      </c>
      <c r="O4573" s="784">
        <v>2.4</v>
      </c>
      <c r="P4573" s="783">
        <v>400</v>
      </c>
      <c r="Q4573" s="783">
        <v>2794.65</v>
      </c>
      <c r="R4573" s="783">
        <v>1870.53</v>
      </c>
      <c r="S4573" s="783">
        <v>304.33</v>
      </c>
      <c r="T4573" s="783">
        <v>619.79999999999995</v>
      </c>
      <c r="U4573" s="785">
        <v>44631.637013888903</v>
      </c>
    </row>
    <row r="4574" spans="1:21">
      <c r="A4574" s="782">
        <v>44559</v>
      </c>
      <c r="B4574" s="783" t="s">
        <v>74</v>
      </c>
      <c r="C4574" s="783" t="s">
        <v>4097</v>
      </c>
      <c r="D4574" s="783" t="s">
        <v>4038</v>
      </c>
      <c r="E4574" s="783" t="s">
        <v>4461</v>
      </c>
      <c r="F4574" s="783" t="s">
        <v>4011</v>
      </c>
      <c r="G4574" s="783" t="s">
        <v>4028</v>
      </c>
      <c r="H4574" s="783" t="s">
        <v>4462</v>
      </c>
      <c r="I4574" s="783" t="s">
        <v>4463</v>
      </c>
      <c r="J4574" s="783">
        <v>20</v>
      </c>
      <c r="K4574" s="783" t="s">
        <v>765</v>
      </c>
      <c r="L4574" s="783" t="s">
        <v>4014</v>
      </c>
      <c r="M4574" s="784">
        <v>11583.6</v>
      </c>
      <c r="N4574" s="784">
        <v>13.79</v>
      </c>
      <c r="O4574" s="784">
        <v>2.1</v>
      </c>
      <c r="P4574" s="783">
        <v>400</v>
      </c>
      <c r="Q4574" s="783">
        <v>934.8</v>
      </c>
      <c r="R4574" s="783">
        <v>566.44000000000005</v>
      </c>
      <c r="S4574" s="783">
        <v>92.67</v>
      </c>
      <c r="T4574" s="783">
        <v>275.69</v>
      </c>
      <c r="U4574" s="785">
        <v>44631.637037036999</v>
      </c>
    </row>
    <row r="4575" spans="1:21">
      <c r="A4575" s="782">
        <v>44553</v>
      </c>
      <c r="B4575" s="783" t="s">
        <v>41</v>
      </c>
      <c r="C4575" s="783" t="s">
        <v>4092</v>
      </c>
      <c r="D4575" s="783" t="s">
        <v>4009</v>
      </c>
      <c r="E4575" s="783" t="s">
        <v>6230</v>
      </c>
      <c r="F4575" s="783" t="s">
        <v>4011</v>
      </c>
      <c r="G4575" s="783" t="str">
        <f t="shared" ref="G4575:G4605" si="247">VLOOKUP(I4575,pacage,2,FALSE)</f>
        <v>Renewal (30% in 2020)</v>
      </c>
      <c r="H4575" s="783" t="s">
        <v>6231</v>
      </c>
      <c r="I4575" s="783" t="s">
        <v>6232</v>
      </c>
      <c r="J4575" s="783">
        <v>30</v>
      </c>
      <c r="K4575" s="783" t="s">
        <v>765</v>
      </c>
      <c r="L4575" s="783" t="s">
        <v>4014</v>
      </c>
      <c r="M4575" s="784">
        <v>11250.9</v>
      </c>
      <c r="N4575" s="784">
        <v>9.26</v>
      </c>
      <c r="O4575" s="784">
        <v>2.4300000000000002</v>
      </c>
      <c r="P4575" s="783">
        <v>500</v>
      </c>
      <c r="Q4575" s="783">
        <v>619.91999999999996</v>
      </c>
      <c r="R4575" s="783">
        <v>510.37</v>
      </c>
      <c r="S4575" s="783">
        <v>43.18</v>
      </c>
      <c r="T4575" s="783">
        <v>66.38</v>
      </c>
      <c r="U4575" s="785">
        <v>44631.637083333299</v>
      </c>
    </row>
    <row r="4576" spans="1:21">
      <c r="A4576" s="782">
        <v>44515</v>
      </c>
      <c r="B4576" s="783" t="s">
        <v>113</v>
      </c>
      <c r="C4576" s="783" t="s">
        <v>4097</v>
      </c>
      <c r="D4576" s="783" t="s">
        <v>4038</v>
      </c>
      <c r="E4576" s="783" t="s">
        <v>198</v>
      </c>
      <c r="F4576" s="783" t="s">
        <v>4011</v>
      </c>
      <c r="G4576" s="783" t="str">
        <f t="shared" si="247"/>
        <v>Renewal (15% in 2020)</v>
      </c>
      <c r="H4576" s="783" t="s">
        <v>6247</v>
      </c>
      <c r="I4576" s="783" t="s">
        <v>6248</v>
      </c>
      <c r="J4576" s="783">
        <v>15</v>
      </c>
      <c r="K4576" s="783" t="s">
        <v>765</v>
      </c>
      <c r="L4576" s="783" t="s">
        <v>4014</v>
      </c>
      <c r="M4576" s="784">
        <v>18874.62</v>
      </c>
      <c r="N4576" s="784">
        <v>17.190000000000001</v>
      </c>
      <c r="O4576" s="784">
        <v>2.44</v>
      </c>
      <c r="P4576" s="783">
        <v>450</v>
      </c>
      <c r="Q4576" s="783">
        <v>1845.94</v>
      </c>
      <c r="R4576" s="783">
        <v>922.97</v>
      </c>
      <c r="S4576" s="783">
        <v>151</v>
      </c>
      <c r="T4576" s="783">
        <v>771.97</v>
      </c>
      <c r="U4576" s="785">
        <v>44631.638020833299</v>
      </c>
    </row>
    <row r="4577" spans="1:21">
      <c r="A4577" s="782">
        <v>44525</v>
      </c>
      <c r="B4577" s="783" t="s">
        <v>397</v>
      </c>
      <c r="C4577" s="783" t="s">
        <v>4511</v>
      </c>
      <c r="D4577" s="783" t="s">
        <v>4512</v>
      </c>
      <c r="E4577" s="783" t="s">
        <v>4735</v>
      </c>
      <c r="F4577" s="783" t="s">
        <v>4011</v>
      </c>
      <c r="G4577" s="783" t="str">
        <f t="shared" si="247"/>
        <v>Renewal (20% in 2020)</v>
      </c>
      <c r="H4577" s="783" t="s">
        <v>4736</v>
      </c>
      <c r="I4577" s="783" t="s">
        <v>4737</v>
      </c>
      <c r="J4577" s="783">
        <v>20</v>
      </c>
      <c r="K4577" s="783" t="s">
        <v>765</v>
      </c>
      <c r="L4577" s="783" t="s">
        <v>4014</v>
      </c>
      <c r="M4577" s="784">
        <v>14292.6</v>
      </c>
      <c r="N4577" s="784">
        <v>11.48</v>
      </c>
      <c r="O4577" s="784">
        <v>2.4900000000000002</v>
      </c>
      <c r="P4577" s="783">
        <v>500</v>
      </c>
      <c r="Q4577" s="783">
        <v>1007.63</v>
      </c>
      <c r="R4577" s="783">
        <v>486.26</v>
      </c>
      <c r="S4577" s="783">
        <v>176.92</v>
      </c>
      <c r="T4577" s="783">
        <v>344.45</v>
      </c>
      <c r="U4577" s="785">
        <v>44631.637349536999</v>
      </c>
    </row>
    <row r="4578" spans="1:21">
      <c r="A4578" s="782">
        <v>44477</v>
      </c>
      <c r="B4578" s="783" t="s">
        <v>41</v>
      </c>
      <c r="C4578" s="783" t="s">
        <v>4092</v>
      </c>
      <c r="D4578" s="783" t="s">
        <v>4009</v>
      </c>
      <c r="E4578" s="783" t="s">
        <v>1343</v>
      </c>
      <c r="F4578" s="783" t="s">
        <v>4011</v>
      </c>
      <c r="G4578" s="783" t="str">
        <f t="shared" si="247"/>
        <v>Renewal (25% in 2020)</v>
      </c>
      <c r="H4578" s="783" t="s">
        <v>4223</v>
      </c>
      <c r="I4578" s="783" t="s">
        <v>4224</v>
      </c>
      <c r="J4578" s="783">
        <v>25</v>
      </c>
      <c r="K4578" s="783" t="s">
        <v>765</v>
      </c>
      <c r="L4578" s="783" t="s">
        <v>4014</v>
      </c>
      <c r="M4578" s="784">
        <v>20176.29</v>
      </c>
      <c r="N4578" s="784">
        <v>26.66</v>
      </c>
      <c r="O4578" s="784">
        <v>1.76</v>
      </c>
      <c r="P4578" s="783">
        <v>430</v>
      </c>
      <c r="Q4578" s="783">
        <v>1305.4100000000001</v>
      </c>
      <c r="R4578" s="783">
        <v>992.67</v>
      </c>
      <c r="S4578" s="783">
        <v>193.69</v>
      </c>
      <c r="T4578" s="783">
        <v>119.04</v>
      </c>
      <c r="U4578" s="785">
        <v>44631.637418981503</v>
      </c>
    </row>
    <row r="4579" spans="1:21">
      <c r="A4579" s="782">
        <v>44525</v>
      </c>
      <c r="B4579" s="783" t="s">
        <v>41</v>
      </c>
      <c r="C4579" s="783" t="s">
        <v>4008</v>
      </c>
      <c r="D4579" s="783" t="s">
        <v>4009</v>
      </c>
      <c r="E4579" s="783" t="s">
        <v>6266</v>
      </c>
      <c r="F4579" s="783" t="s">
        <v>4011</v>
      </c>
      <c r="G4579" s="783" t="str">
        <f t="shared" si="247"/>
        <v>Renewal (15% in 2020)</v>
      </c>
      <c r="H4579" s="783" t="s">
        <v>6267</v>
      </c>
      <c r="I4579" s="783" t="s">
        <v>6268</v>
      </c>
      <c r="J4579" s="783">
        <v>15</v>
      </c>
      <c r="K4579" s="783" t="s">
        <v>765</v>
      </c>
      <c r="L4579" s="783" t="s">
        <v>4014</v>
      </c>
      <c r="M4579" s="784">
        <v>23368.2</v>
      </c>
      <c r="N4579" s="784">
        <v>29</v>
      </c>
      <c r="O4579" s="784">
        <v>2.37</v>
      </c>
      <c r="P4579" s="783">
        <v>340</v>
      </c>
      <c r="Q4579" s="783">
        <v>2995.8</v>
      </c>
      <c r="R4579" s="783">
        <v>1271.23</v>
      </c>
      <c r="S4579" s="783">
        <v>207.98</v>
      </c>
      <c r="T4579" s="783">
        <v>1516.6</v>
      </c>
      <c r="U4579" s="785">
        <v>44631.637256944399</v>
      </c>
    </row>
    <row r="4580" spans="1:21">
      <c r="A4580" s="782">
        <v>44482</v>
      </c>
      <c r="B4580" s="783" t="s">
        <v>41</v>
      </c>
      <c r="C4580" s="783" t="s">
        <v>4139</v>
      </c>
      <c r="D4580" s="783" t="s">
        <v>4009</v>
      </c>
      <c r="E4580" s="783" t="s">
        <v>6284</v>
      </c>
      <c r="F4580" s="783" t="s">
        <v>4011</v>
      </c>
      <c r="G4580" s="783" t="str">
        <f t="shared" si="247"/>
        <v>Renewal (30% in 2020)</v>
      </c>
      <c r="H4580" s="783" t="s">
        <v>6285</v>
      </c>
      <c r="I4580" s="783" t="s">
        <v>6286</v>
      </c>
      <c r="J4580" s="783">
        <v>25</v>
      </c>
      <c r="K4580" s="783" t="s">
        <v>765</v>
      </c>
      <c r="L4580" s="783" t="s">
        <v>4014</v>
      </c>
      <c r="M4580" s="784">
        <v>32270</v>
      </c>
      <c r="N4580" s="784">
        <v>25</v>
      </c>
      <c r="O4580" s="784">
        <v>2.8</v>
      </c>
      <c r="P4580" s="783">
        <v>461</v>
      </c>
      <c r="Q4580" s="783">
        <v>1264.98</v>
      </c>
      <c r="R4580" s="783">
        <v>990.69</v>
      </c>
      <c r="S4580" s="783">
        <v>158.12</v>
      </c>
      <c r="T4580" s="783">
        <v>116.17</v>
      </c>
      <c r="U4580" s="785">
        <v>44631.637476851902</v>
      </c>
    </row>
    <row r="4581" spans="1:21">
      <c r="A4581" s="782">
        <v>44523</v>
      </c>
      <c r="B4581" s="783" t="s">
        <v>41</v>
      </c>
      <c r="C4581" s="783" t="s">
        <v>4071</v>
      </c>
      <c r="D4581" s="783" t="s">
        <v>4009</v>
      </c>
      <c r="E4581" s="783" t="s">
        <v>4072</v>
      </c>
      <c r="F4581" s="783" t="s">
        <v>4011</v>
      </c>
      <c r="G4581" s="783" t="str">
        <f t="shared" si="247"/>
        <v>Renewal (15% in 2020)</v>
      </c>
      <c r="H4581" s="783" t="s">
        <v>4073</v>
      </c>
      <c r="I4581" s="783" t="s">
        <v>4074</v>
      </c>
      <c r="J4581" s="783">
        <v>15</v>
      </c>
      <c r="K4581" s="783" t="s">
        <v>765</v>
      </c>
      <c r="L4581" s="783" t="s">
        <v>4014</v>
      </c>
      <c r="M4581" s="784">
        <v>9768.89</v>
      </c>
      <c r="N4581" s="784">
        <v>17.37</v>
      </c>
      <c r="O4581" s="784">
        <v>1.48</v>
      </c>
      <c r="P4581" s="783">
        <v>380</v>
      </c>
      <c r="Q4581" s="783">
        <v>777.6</v>
      </c>
      <c r="R4581" s="783">
        <v>348.75</v>
      </c>
      <c r="S4581" s="783">
        <v>55.68</v>
      </c>
      <c r="T4581" s="783">
        <v>373.17</v>
      </c>
      <c r="U4581" s="785">
        <v>44631.637430555602</v>
      </c>
    </row>
    <row r="4582" spans="1:21">
      <c r="A4582" s="782">
        <v>44487</v>
      </c>
      <c r="B4582" s="783" t="s">
        <v>74</v>
      </c>
      <c r="C4582" s="783" t="s">
        <v>4097</v>
      </c>
      <c r="D4582" s="783" t="s">
        <v>4038</v>
      </c>
      <c r="E4582" s="783" t="s">
        <v>6293</v>
      </c>
      <c r="F4582" s="783" t="s">
        <v>4011</v>
      </c>
      <c r="G4582" s="783" t="str">
        <f t="shared" si="247"/>
        <v>Renewal (25% in 2020)</v>
      </c>
      <c r="H4582" s="783" t="s">
        <v>6294</v>
      </c>
      <c r="I4582" s="783" t="s">
        <v>6295</v>
      </c>
      <c r="J4582" s="783">
        <v>25</v>
      </c>
      <c r="K4582" s="783" t="s">
        <v>765</v>
      </c>
      <c r="L4582" s="783" t="s">
        <v>4014</v>
      </c>
      <c r="M4582" s="784">
        <v>9650</v>
      </c>
      <c r="N4582" s="784">
        <v>12.5</v>
      </c>
      <c r="O4582" s="784">
        <v>1.93</v>
      </c>
      <c r="P4582" s="783">
        <v>400</v>
      </c>
      <c r="Q4582" s="783">
        <v>668.75</v>
      </c>
      <c r="R4582" s="783">
        <v>471.89</v>
      </c>
      <c r="S4582" s="783">
        <v>77.2</v>
      </c>
      <c r="T4582" s="783">
        <v>119.66</v>
      </c>
      <c r="U4582" s="785">
        <v>44631.637638888897</v>
      </c>
    </row>
    <row r="4583" spans="1:21">
      <c r="A4583" s="782">
        <v>44510</v>
      </c>
      <c r="B4583" s="783" t="s">
        <v>4025</v>
      </c>
      <c r="C4583" s="783" t="s">
        <v>4026</v>
      </c>
      <c r="D4583" s="783" t="s">
        <v>4021</v>
      </c>
      <c r="E4583" s="783" t="s">
        <v>6296</v>
      </c>
      <c r="F4583" s="783" t="s">
        <v>4011</v>
      </c>
      <c r="G4583" s="783" t="str">
        <f t="shared" si="247"/>
        <v>New Contract</v>
      </c>
      <c r="H4583" s="783" t="s">
        <v>6297</v>
      </c>
      <c r="I4583" s="783" t="s">
        <v>6298</v>
      </c>
      <c r="J4583" s="783">
        <v>25</v>
      </c>
      <c r="K4583" s="783" t="s">
        <v>765</v>
      </c>
      <c r="L4583" s="783" t="s">
        <v>4014</v>
      </c>
      <c r="M4583" s="784">
        <v>14787.04</v>
      </c>
      <c r="N4583" s="784">
        <v>17.82</v>
      </c>
      <c r="O4583" s="784">
        <v>1.8</v>
      </c>
      <c r="P4583" s="783">
        <v>461</v>
      </c>
      <c r="Q4583" s="783">
        <v>881.31</v>
      </c>
      <c r="R4583" s="783">
        <v>638.79999999999995</v>
      </c>
      <c r="S4583" s="783">
        <v>103.51</v>
      </c>
      <c r="T4583" s="783">
        <v>139</v>
      </c>
      <c r="U4583" s="785">
        <v>44631.637349536999</v>
      </c>
    </row>
    <row r="4584" spans="1:21">
      <c r="A4584" s="782">
        <v>44592</v>
      </c>
      <c r="B4584" s="783" t="s">
        <v>74</v>
      </c>
      <c r="C4584" s="783" t="s">
        <v>4097</v>
      </c>
      <c r="D4584" s="783" t="s">
        <v>4038</v>
      </c>
      <c r="E4584" s="783" t="s">
        <v>4738</v>
      </c>
      <c r="F4584" s="783" t="s">
        <v>4011</v>
      </c>
      <c r="G4584" s="783" t="str">
        <f t="shared" si="247"/>
        <v>Renewal (15% in 2020)</v>
      </c>
      <c r="H4584" s="783" t="s">
        <v>4739</v>
      </c>
      <c r="I4584" s="783" t="s">
        <v>4740</v>
      </c>
      <c r="J4584" s="783">
        <v>15</v>
      </c>
      <c r="K4584" s="783" t="s">
        <v>765</v>
      </c>
      <c r="L4584" s="783" t="s">
        <v>4014</v>
      </c>
      <c r="M4584" s="784">
        <v>21696</v>
      </c>
      <c r="N4584" s="784">
        <v>27.12</v>
      </c>
      <c r="O4584" s="784">
        <v>2</v>
      </c>
      <c r="P4584" s="783">
        <v>400</v>
      </c>
      <c r="Q4584" s="783">
        <v>2121.87</v>
      </c>
      <c r="R4584" s="783">
        <v>1060.93</v>
      </c>
      <c r="S4584" s="783">
        <v>173.57</v>
      </c>
      <c r="T4584" s="783">
        <v>887.37</v>
      </c>
      <c r="U4584" s="785">
        <v>44631.6375694444</v>
      </c>
    </row>
    <row r="4585" spans="1:21">
      <c r="A4585" s="782">
        <v>44516</v>
      </c>
      <c r="B4585" s="783" t="s">
        <v>74</v>
      </c>
      <c r="C4585" s="783" t="s">
        <v>4097</v>
      </c>
      <c r="D4585" s="783" t="s">
        <v>4038</v>
      </c>
      <c r="E4585" s="783" t="s">
        <v>1659</v>
      </c>
      <c r="F4585" s="783" t="s">
        <v>4066</v>
      </c>
      <c r="G4585" s="783" t="str">
        <f t="shared" si="247"/>
        <v>New Contract</v>
      </c>
      <c r="H4585" s="783" t="s">
        <v>4472</v>
      </c>
      <c r="I4585" s="783" t="s">
        <v>4473</v>
      </c>
      <c r="J4585" s="783">
        <v>10</v>
      </c>
      <c r="K4585" s="783" t="s">
        <v>765</v>
      </c>
      <c r="L4585" s="783" t="s">
        <v>4014</v>
      </c>
      <c r="M4585" s="784">
        <v>13400</v>
      </c>
      <c r="N4585" s="784">
        <v>13.4</v>
      </c>
      <c r="O4585" s="784">
        <v>2.5</v>
      </c>
      <c r="P4585" s="783">
        <v>400</v>
      </c>
      <c r="Q4585" s="783">
        <v>742.36</v>
      </c>
      <c r="R4585" s="783">
        <v>0</v>
      </c>
      <c r="S4585" s="783">
        <v>0</v>
      </c>
      <c r="T4585" s="783">
        <v>742.36</v>
      </c>
      <c r="U4585" s="785">
        <v>44631.637511574103</v>
      </c>
    </row>
    <row r="4586" spans="1:21">
      <c r="A4586" s="782">
        <v>44510</v>
      </c>
      <c r="B4586" s="783" t="s">
        <v>34</v>
      </c>
      <c r="C4586" s="783" t="s">
        <v>4082</v>
      </c>
      <c r="D4586" s="783" t="s">
        <v>4009</v>
      </c>
      <c r="E4586" s="783" t="s">
        <v>4741</v>
      </c>
      <c r="F4586" s="783" t="s">
        <v>4011</v>
      </c>
      <c r="G4586" s="783" t="str">
        <f t="shared" si="247"/>
        <v>Renewal (25% in 2020)</v>
      </c>
      <c r="H4586" s="783" t="s">
        <v>4742</v>
      </c>
      <c r="I4586" s="783" t="s">
        <v>4743</v>
      </c>
      <c r="J4586" s="783">
        <v>25</v>
      </c>
      <c r="K4586" s="783" t="s">
        <v>765</v>
      </c>
      <c r="L4586" s="783" t="s">
        <v>4014</v>
      </c>
      <c r="M4586" s="784">
        <v>8168.92</v>
      </c>
      <c r="N4586" s="784">
        <v>8.86</v>
      </c>
      <c r="O4586" s="784">
        <v>2</v>
      </c>
      <c r="P4586" s="783">
        <v>461</v>
      </c>
      <c r="Q4586" s="783">
        <v>467.26</v>
      </c>
      <c r="R4586" s="783">
        <v>356.16</v>
      </c>
      <c r="S4586" s="783">
        <v>69.44</v>
      </c>
      <c r="T4586" s="783">
        <v>41.66</v>
      </c>
      <c r="U4586" s="785">
        <v>44631.637372685203</v>
      </c>
    </row>
    <row r="4587" spans="1:21">
      <c r="A4587" s="782">
        <v>44528</v>
      </c>
      <c r="B4587" s="783" t="s">
        <v>74</v>
      </c>
      <c r="C4587" s="783" t="s">
        <v>4097</v>
      </c>
      <c r="D4587" s="783" t="s">
        <v>4038</v>
      </c>
      <c r="E4587" s="783" t="s">
        <v>2048</v>
      </c>
      <c r="F4587" s="783" t="s">
        <v>4011</v>
      </c>
      <c r="G4587" s="783" t="str">
        <f t="shared" si="247"/>
        <v>Renewal (15% in 2020)</v>
      </c>
      <c r="H4587" s="783" t="s">
        <v>4474</v>
      </c>
      <c r="I4587" s="783" t="s">
        <v>4475</v>
      </c>
      <c r="J4587" s="783">
        <v>20</v>
      </c>
      <c r="K4587" s="783" t="s">
        <v>765</v>
      </c>
      <c r="L4587" s="783" t="s">
        <v>4014</v>
      </c>
      <c r="M4587" s="784">
        <v>26595</v>
      </c>
      <c r="N4587" s="784">
        <v>30</v>
      </c>
      <c r="O4587" s="784">
        <v>1.97</v>
      </c>
      <c r="P4587" s="783">
        <v>450</v>
      </c>
      <c r="Q4587" s="783">
        <v>2146.2199999999998</v>
      </c>
      <c r="R4587" s="783">
        <v>1300.5</v>
      </c>
      <c r="S4587" s="783">
        <v>212.76</v>
      </c>
      <c r="T4587" s="783">
        <v>632.96</v>
      </c>
      <c r="U4587" s="785">
        <v>44631.637395833299</v>
      </c>
    </row>
    <row r="4588" spans="1:21">
      <c r="A4588" s="782">
        <v>44461</v>
      </c>
      <c r="B4588" s="783" t="s">
        <v>41</v>
      </c>
      <c r="C4588" s="783" t="s">
        <v>4139</v>
      </c>
      <c r="D4588" s="783" t="s">
        <v>4009</v>
      </c>
      <c r="E4588" s="783" t="s">
        <v>6314</v>
      </c>
      <c r="F4588" s="783" t="s">
        <v>4011</v>
      </c>
      <c r="G4588" s="783" t="str">
        <f t="shared" si="247"/>
        <v>Renewal (20% in 2020)</v>
      </c>
      <c r="H4588" s="783" t="s">
        <v>6315</v>
      </c>
      <c r="I4588" s="783" t="s">
        <v>6316</v>
      </c>
      <c r="J4588" s="783">
        <v>20</v>
      </c>
      <c r="K4588" s="783" t="s">
        <v>765</v>
      </c>
      <c r="L4588" s="783" t="s">
        <v>4014</v>
      </c>
      <c r="M4588" s="784">
        <v>4821.46</v>
      </c>
      <c r="N4588" s="784">
        <v>4.6900000000000004</v>
      </c>
      <c r="O4588" s="784">
        <v>2.23</v>
      </c>
      <c r="P4588" s="783">
        <v>461</v>
      </c>
      <c r="Q4588" s="783">
        <v>245.89</v>
      </c>
      <c r="R4588" s="783">
        <v>148.02000000000001</v>
      </c>
      <c r="S4588" s="783">
        <v>23.63</v>
      </c>
      <c r="T4588" s="783">
        <v>74.25</v>
      </c>
      <c r="U4588" s="785">
        <v>44631.637662036999</v>
      </c>
    </row>
    <row r="4589" spans="1:21">
      <c r="A4589" s="782">
        <v>44468</v>
      </c>
      <c r="B4589" s="783" t="s">
        <v>41</v>
      </c>
      <c r="C4589" s="783" t="s">
        <v>4139</v>
      </c>
      <c r="D4589" s="783" t="s">
        <v>4009</v>
      </c>
      <c r="E4589" s="783" t="s">
        <v>6317</v>
      </c>
      <c r="F4589" s="783" t="s">
        <v>4011</v>
      </c>
      <c r="G4589" s="783" t="str">
        <f t="shared" si="247"/>
        <v>Renewal (20% in 2020)</v>
      </c>
      <c r="H4589" s="783" t="s">
        <v>6318</v>
      </c>
      <c r="I4589" s="783" t="s">
        <v>6319</v>
      </c>
      <c r="J4589" s="783">
        <v>20</v>
      </c>
      <c r="K4589" s="783" t="s">
        <v>765</v>
      </c>
      <c r="L4589" s="783" t="s">
        <v>4014</v>
      </c>
      <c r="M4589" s="784">
        <v>12482.68</v>
      </c>
      <c r="N4589" s="784">
        <v>9.2100000000000009</v>
      </c>
      <c r="O4589" s="784">
        <v>2.94</v>
      </c>
      <c r="P4589" s="783">
        <v>461</v>
      </c>
      <c r="Q4589" s="783">
        <v>636.62</v>
      </c>
      <c r="R4589" s="783">
        <v>383.22</v>
      </c>
      <c r="S4589" s="783">
        <v>61.17</v>
      </c>
      <c r="T4589" s="783">
        <v>192.23</v>
      </c>
      <c r="U4589" s="785">
        <v>44631.636678240699</v>
      </c>
    </row>
    <row r="4590" spans="1:21">
      <c r="A4590" s="782">
        <v>44476</v>
      </c>
      <c r="B4590" s="783" t="s">
        <v>41</v>
      </c>
      <c r="C4590" s="783" t="s">
        <v>4092</v>
      </c>
      <c r="D4590" s="783" t="s">
        <v>4009</v>
      </c>
      <c r="E4590" s="783" t="s">
        <v>6320</v>
      </c>
      <c r="F4590" s="783" t="s">
        <v>4011</v>
      </c>
      <c r="G4590" s="783" t="str">
        <f t="shared" si="247"/>
        <v>Renewal (30% in 2020)</v>
      </c>
      <c r="H4590" s="783" t="s">
        <v>6321</v>
      </c>
      <c r="I4590" s="783" t="s">
        <v>6322</v>
      </c>
      <c r="J4590" s="783">
        <v>30</v>
      </c>
      <c r="K4590" s="783" t="s">
        <v>765</v>
      </c>
      <c r="L4590" s="783" t="s">
        <v>4014</v>
      </c>
      <c r="M4590" s="784">
        <v>16621.2</v>
      </c>
      <c r="N4590" s="784">
        <v>16.2</v>
      </c>
      <c r="O4590" s="784">
        <v>2.7</v>
      </c>
      <c r="P4590" s="783">
        <v>380</v>
      </c>
      <c r="Q4590" s="783">
        <v>915.83</v>
      </c>
      <c r="R4590" s="783">
        <v>817.76</v>
      </c>
      <c r="S4590" s="783">
        <v>0</v>
      </c>
      <c r="T4590" s="783">
        <v>98.07</v>
      </c>
      <c r="U4590" s="785">
        <v>44631.636666666702</v>
      </c>
    </row>
    <row r="4591" spans="1:21">
      <c r="A4591" s="782">
        <v>44469</v>
      </c>
      <c r="B4591" s="783" t="s">
        <v>30</v>
      </c>
      <c r="C4591" s="783" t="s">
        <v>4089</v>
      </c>
      <c r="D4591" s="783" t="s">
        <v>4021</v>
      </c>
      <c r="E4591" s="783" t="s">
        <v>125</v>
      </c>
      <c r="F4591" s="783" t="s">
        <v>4011</v>
      </c>
      <c r="G4591" s="783" t="str">
        <f t="shared" si="247"/>
        <v>Renewal (15% in 2020)</v>
      </c>
      <c r="H4591" s="783" t="s">
        <v>6323</v>
      </c>
      <c r="I4591" s="783" t="s">
        <v>6324</v>
      </c>
      <c r="J4591" s="783">
        <v>15</v>
      </c>
      <c r="K4591" s="783" t="s">
        <v>765</v>
      </c>
      <c r="L4591" s="783" t="s">
        <v>4014</v>
      </c>
      <c r="M4591" s="784">
        <v>15654.12</v>
      </c>
      <c r="N4591" s="784">
        <v>17.87</v>
      </c>
      <c r="O4591" s="784">
        <v>2.4</v>
      </c>
      <c r="P4591" s="783">
        <v>365</v>
      </c>
      <c r="Q4591" s="783">
        <v>1374.43</v>
      </c>
      <c r="R4591" s="783">
        <v>698.17</v>
      </c>
      <c r="S4591" s="783">
        <v>115.84</v>
      </c>
      <c r="T4591" s="783">
        <v>560.41999999999996</v>
      </c>
      <c r="U4591" s="785">
        <v>44631.636736111097</v>
      </c>
    </row>
    <row r="4592" spans="1:21">
      <c r="A4592" s="782">
        <v>44468</v>
      </c>
      <c r="B4592" s="783" t="s">
        <v>41</v>
      </c>
      <c r="C4592" s="783" t="s">
        <v>4071</v>
      </c>
      <c r="D4592" s="783" t="s">
        <v>4009</v>
      </c>
      <c r="E4592" s="783" t="s">
        <v>6325</v>
      </c>
      <c r="F4592" s="783" t="s">
        <v>4011</v>
      </c>
      <c r="G4592" s="783" t="str">
        <f t="shared" si="247"/>
        <v>Renewal (25% in 2020)</v>
      </c>
      <c r="H4592" s="783" t="s">
        <v>6326</v>
      </c>
      <c r="I4592" s="783" t="s">
        <v>6327</v>
      </c>
      <c r="J4592" s="783">
        <v>25</v>
      </c>
      <c r="K4592" s="783" t="s">
        <v>765</v>
      </c>
      <c r="L4592" s="783" t="s">
        <v>4014</v>
      </c>
      <c r="M4592" s="784">
        <v>22912.42</v>
      </c>
      <c r="N4592" s="784">
        <v>23.06</v>
      </c>
      <c r="O4592" s="784">
        <v>2.76</v>
      </c>
      <c r="P4592" s="783">
        <v>360</v>
      </c>
      <c r="Q4592" s="783">
        <v>1047.0999999999999</v>
      </c>
      <c r="R4592" s="783">
        <v>817.97</v>
      </c>
      <c r="S4592" s="783">
        <v>130.6</v>
      </c>
      <c r="T4592" s="783">
        <v>98.52</v>
      </c>
      <c r="U4592" s="785">
        <v>44631.636793981503</v>
      </c>
    </row>
    <row r="4593" spans="1:21">
      <c r="A4593" s="782">
        <v>44466</v>
      </c>
      <c r="B4593" s="783" t="s">
        <v>51</v>
      </c>
      <c r="C4593" s="783" t="s">
        <v>4042</v>
      </c>
      <c r="D4593" s="783" t="s">
        <v>4016</v>
      </c>
      <c r="E4593" s="783" t="s">
        <v>6331</v>
      </c>
      <c r="F4593" s="783" t="s">
        <v>4011</v>
      </c>
      <c r="G4593" s="783" t="str">
        <f t="shared" si="247"/>
        <v>New Contract</v>
      </c>
      <c r="H4593" s="783" t="s">
        <v>6332</v>
      </c>
      <c r="I4593" s="783" t="s">
        <v>6333</v>
      </c>
      <c r="J4593" s="783">
        <v>30</v>
      </c>
      <c r="K4593" s="783" t="s">
        <v>765</v>
      </c>
      <c r="L4593" s="783" t="s">
        <v>4014</v>
      </c>
      <c r="M4593" s="784">
        <v>16025.94</v>
      </c>
      <c r="N4593" s="784">
        <v>11.85</v>
      </c>
      <c r="O4593" s="784">
        <v>3.22</v>
      </c>
      <c r="P4593" s="783">
        <v>420</v>
      </c>
      <c r="Q4593" s="783">
        <v>1011.24</v>
      </c>
      <c r="R4593" s="783">
        <v>844.57</v>
      </c>
      <c r="S4593" s="783">
        <v>0</v>
      </c>
      <c r="T4593" s="783">
        <v>166.67</v>
      </c>
      <c r="U4593" s="785">
        <v>44631.636666666702</v>
      </c>
    </row>
    <row r="4594" spans="1:21">
      <c r="A4594" s="782">
        <v>44468</v>
      </c>
      <c r="B4594" s="783" t="s">
        <v>41</v>
      </c>
      <c r="C4594" s="783" t="s">
        <v>4139</v>
      </c>
      <c r="D4594" s="783" t="s">
        <v>4009</v>
      </c>
      <c r="E4594" s="783" t="s">
        <v>6334</v>
      </c>
      <c r="F4594" s="783" t="s">
        <v>4011</v>
      </c>
      <c r="G4594" s="783" t="str">
        <f t="shared" si="247"/>
        <v>Renewal (30% in 2020)</v>
      </c>
      <c r="H4594" s="783" t="s">
        <v>6335</v>
      </c>
      <c r="I4594" s="783" t="s">
        <v>6336</v>
      </c>
      <c r="J4594" s="783">
        <v>30</v>
      </c>
      <c r="K4594" s="783" t="s">
        <v>765</v>
      </c>
      <c r="L4594" s="783" t="s">
        <v>4014</v>
      </c>
      <c r="M4594" s="784">
        <v>14215.21</v>
      </c>
      <c r="N4594" s="784">
        <v>12.14</v>
      </c>
      <c r="O4594" s="784">
        <v>2.54</v>
      </c>
      <c r="P4594" s="783">
        <v>461</v>
      </c>
      <c r="Q4594" s="783">
        <v>487.58</v>
      </c>
      <c r="R4594" s="783">
        <v>436.41</v>
      </c>
      <c r="S4594" s="783">
        <v>0</v>
      </c>
      <c r="T4594" s="783">
        <v>51.17</v>
      </c>
      <c r="U4594" s="785">
        <v>44631.636724536998</v>
      </c>
    </row>
    <row r="4595" spans="1:21">
      <c r="A4595" s="782">
        <v>44519</v>
      </c>
      <c r="B4595" s="783" t="s">
        <v>41</v>
      </c>
      <c r="C4595" s="783" t="s">
        <v>4139</v>
      </c>
      <c r="D4595" s="783" t="s">
        <v>4009</v>
      </c>
      <c r="E4595" s="783" t="s">
        <v>6337</v>
      </c>
      <c r="F4595" s="783" t="s">
        <v>4011</v>
      </c>
      <c r="G4595" s="783" t="str">
        <f t="shared" si="247"/>
        <v>Renewal (20% in 2020)</v>
      </c>
      <c r="H4595" s="783" t="s">
        <v>6338</v>
      </c>
      <c r="I4595" s="783" t="s">
        <v>6339</v>
      </c>
      <c r="J4595" s="783">
        <v>20</v>
      </c>
      <c r="K4595" s="783" t="s">
        <v>765</v>
      </c>
      <c r="L4595" s="783" t="s">
        <v>4014</v>
      </c>
      <c r="M4595" s="784">
        <v>8078.4</v>
      </c>
      <c r="N4595" s="784">
        <v>13.2</v>
      </c>
      <c r="O4595" s="784">
        <v>1.7</v>
      </c>
      <c r="P4595" s="783">
        <v>360</v>
      </c>
      <c r="Q4595" s="783">
        <v>412</v>
      </c>
      <c r="R4595" s="783">
        <v>248.01</v>
      </c>
      <c r="S4595" s="783">
        <v>39.58</v>
      </c>
      <c r="T4595" s="783">
        <v>124.41</v>
      </c>
      <c r="U4595" s="785">
        <v>44631.6378819444</v>
      </c>
    </row>
    <row r="4596" spans="1:21">
      <c r="A4596" s="782">
        <v>44525</v>
      </c>
      <c r="B4596" s="783" t="s">
        <v>41</v>
      </c>
      <c r="C4596" s="783" t="s">
        <v>4092</v>
      </c>
      <c r="D4596" s="783" t="s">
        <v>4009</v>
      </c>
      <c r="E4596" s="783" t="s">
        <v>6343</v>
      </c>
      <c r="F4596" s="783" t="s">
        <v>4011</v>
      </c>
      <c r="G4596" s="783" t="str">
        <f t="shared" si="247"/>
        <v>Renewal (25% in 2020)</v>
      </c>
      <c r="H4596" s="783" t="s">
        <v>6344</v>
      </c>
      <c r="I4596" s="783" t="s">
        <v>6345</v>
      </c>
      <c r="J4596" s="783">
        <v>25</v>
      </c>
      <c r="K4596" s="783" t="s">
        <v>765</v>
      </c>
      <c r="L4596" s="783" t="s">
        <v>4014</v>
      </c>
      <c r="M4596" s="784">
        <v>10477.950000000001</v>
      </c>
      <c r="N4596" s="784">
        <v>17.61</v>
      </c>
      <c r="O4596" s="784">
        <v>1.7</v>
      </c>
      <c r="P4596" s="783">
        <v>350</v>
      </c>
      <c r="Q4596" s="783">
        <v>677.92</v>
      </c>
      <c r="R4596" s="783">
        <v>515.52</v>
      </c>
      <c r="S4596" s="783">
        <v>100.59</v>
      </c>
      <c r="T4596" s="783">
        <v>61.82</v>
      </c>
      <c r="U4596" s="785">
        <v>44631.637858796297</v>
      </c>
    </row>
    <row r="4597" spans="1:21">
      <c r="A4597" s="782">
        <v>44525</v>
      </c>
      <c r="B4597" s="783" t="s">
        <v>74</v>
      </c>
      <c r="C4597" s="783" t="s">
        <v>4097</v>
      </c>
      <c r="D4597" s="783" t="s">
        <v>4038</v>
      </c>
      <c r="E4597" s="783" t="s">
        <v>4476</v>
      </c>
      <c r="F4597" s="783" t="s">
        <v>4011</v>
      </c>
      <c r="G4597" s="783" t="str">
        <f t="shared" si="247"/>
        <v>New Contract</v>
      </c>
      <c r="H4597" s="783" t="s">
        <v>4477</v>
      </c>
      <c r="I4597" s="783" t="s">
        <v>4478</v>
      </c>
      <c r="J4597" s="783">
        <v>20</v>
      </c>
      <c r="K4597" s="783" t="s">
        <v>765</v>
      </c>
      <c r="L4597" s="783" t="s">
        <v>4014</v>
      </c>
      <c r="M4597" s="784">
        <v>5930.4</v>
      </c>
      <c r="N4597" s="784">
        <v>7.06</v>
      </c>
      <c r="O4597" s="784">
        <v>2.1</v>
      </c>
      <c r="P4597" s="783">
        <v>400</v>
      </c>
      <c r="Q4597" s="783">
        <v>478.58</v>
      </c>
      <c r="R4597" s="783">
        <v>290</v>
      </c>
      <c r="S4597" s="783">
        <v>47.44</v>
      </c>
      <c r="T4597" s="783">
        <v>141.13999999999999</v>
      </c>
      <c r="U4597" s="785">
        <v>44631.637777777803</v>
      </c>
    </row>
    <row r="4598" spans="1:21">
      <c r="A4598" s="782">
        <v>44483</v>
      </c>
      <c r="B4598" s="783" t="s">
        <v>4025</v>
      </c>
      <c r="C4598" s="783" t="s">
        <v>4026</v>
      </c>
      <c r="D4598" s="783" t="s">
        <v>4021</v>
      </c>
      <c r="E4598" s="783" t="s">
        <v>4075</v>
      </c>
      <c r="F4598" s="783" t="s">
        <v>4011</v>
      </c>
      <c r="G4598" s="783" t="str">
        <f t="shared" si="247"/>
        <v>New Contract</v>
      </c>
      <c r="H4598" s="783" t="s">
        <v>4076</v>
      </c>
      <c r="I4598" s="783" t="s">
        <v>4077</v>
      </c>
      <c r="J4598" s="783">
        <v>25</v>
      </c>
      <c r="K4598" s="783" t="s">
        <v>765</v>
      </c>
      <c r="L4598" s="783" t="s">
        <v>4014</v>
      </c>
      <c r="M4598" s="784">
        <v>18344.849999999999</v>
      </c>
      <c r="N4598" s="784">
        <v>22.61</v>
      </c>
      <c r="O4598" s="784">
        <v>1.76</v>
      </c>
      <c r="P4598" s="783">
        <v>461</v>
      </c>
      <c r="Q4598" s="783">
        <v>1093.3499999999999</v>
      </c>
      <c r="R4598" s="783">
        <v>792.5</v>
      </c>
      <c r="S4598" s="783">
        <v>128.41</v>
      </c>
      <c r="T4598" s="783">
        <v>172.44</v>
      </c>
      <c r="U4598" s="785">
        <v>44631.638078703698</v>
      </c>
    </row>
    <row r="4599" spans="1:21">
      <c r="A4599" s="782">
        <v>44488</v>
      </c>
      <c r="B4599" s="783" t="s">
        <v>41</v>
      </c>
      <c r="C4599" s="783" t="s">
        <v>4139</v>
      </c>
      <c r="D4599" s="783" t="s">
        <v>4009</v>
      </c>
      <c r="E4599" s="783" t="s">
        <v>721</v>
      </c>
      <c r="F4599" s="783" t="s">
        <v>4011</v>
      </c>
      <c r="G4599" s="783" t="str">
        <f t="shared" si="247"/>
        <v>Renewal (20% in 2020)</v>
      </c>
      <c r="H4599" s="783" t="s">
        <v>6349</v>
      </c>
      <c r="I4599" s="783" t="s">
        <v>6350</v>
      </c>
      <c r="J4599" s="783">
        <v>20</v>
      </c>
      <c r="K4599" s="783" t="s">
        <v>765</v>
      </c>
      <c r="L4599" s="783" t="s">
        <v>4014</v>
      </c>
      <c r="M4599" s="784">
        <v>7370</v>
      </c>
      <c r="N4599" s="784">
        <v>7.37</v>
      </c>
      <c r="O4599" s="784">
        <v>2</v>
      </c>
      <c r="P4599" s="783">
        <v>500</v>
      </c>
      <c r="Q4599" s="783">
        <v>375.87</v>
      </c>
      <c r="R4599" s="783">
        <v>208.61</v>
      </c>
      <c r="S4599" s="783">
        <v>53.76</v>
      </c>
      <c r="T4599" s="783">
        <v>113.5</v>
      </c>
      <c r="U4599" s="785">
        <v>44631.637997685197</v>
      </c>
    </row>
    <row r="4600" spans="1:21">
      <c r="A4600" s="782">
        <v>44501</v>
      </c>
      <c r="B4600" s="783" t="s">
        <v>51</v>
      </c>
      <c r="C4600" s="783" t="s">
        <v>4042</v>
      </c>
      <c r="D4600" s="783" t="s">
        <v>4016</v>
      </c>
      <c r="E4600" s="783" t="s">
        <v>2871</v>
      </c>
      <c r="F4600" s="783" t="s">
        <v>4011</v>
      </c>
      <c r="G4600" s="783" t="str">
        <f t="shared" si="247"/>
        <v>Renewal (15% in 2020)</v>
      </c>
      <c r="H4600" s="783" t="s">
        <v>6351</v>
      </c>
      <c r="I4600" s="783" t="s">
        <v>6352</v>
      </c>
      <c r="J4600" s="783">
        <v>15</v>
      </c>
      <c r="K4600" s="783" t="s">
        <v>765</v>
      </c>
      <c r="L4600" s="783" t="s">
        <v>4014</v>
      </c>
      <c r="M4600" s="784">
        <v>35975.71</v>
      </c>
      <c r="N4600" s="784">
        <v>32.17</v>
      </c>
      <c r="O4600" s="784">
        <v>2.65</v>
      </c>
      <c r="P4600" s="783">
        <v>422</v>
      </c>
      <c r="Q4600" s="783">
        <v>3680.32</v>
      </c>
      <c r="R4600" s="783">
        <v>1895.92</v>
      </c>
      <c r="S4600" s="783">
        <v>309.39</v>
      </c>
      <c r="T4600" s="783">
        <v>1475</v>
      </c>
      <c r="U4600" s="785">
        <v>44631.638090277796</v>
      </c>
    </row>
    <row r="4601" spans="1:21">
      <c r="A4601" s="782">
        <v>44494</v>
      </c>
      <c r="B4601" s="783" t="s">
        <v>41</v>
      </c>
      <c r="C4601" s="783" t="s">
        <v>4082</v>
      </c>
      <c r="D4601" s="783" t="s">
        <v>4009</v>
      </c>
      <c r="E4601" s="783" t="s">
        <v>6356</v>
      </c>
      <c r="F4601" s="783" t="s">
        <v>4011</v>
      </c>
      <c r="G4601" s="783" t="str">
        <f t="shared" si="247"/>
        <v>Renewal (30% in 2020)</v>
      </c>
      <c r="H4601" s="783" t="s">
        <v>6357</v>
      </c>
      <c r="I4601" s="783" t="s">
        <v>6358</v>
      </c>
      <c r="J4601" s="783">
        <v>30</v>
      </c>
      <c r="K4601" s="783" t="s">
        <v>765</v>
      </c>
      <c r="L4601" s="783" t="s">
        <v>4014</v>
      </c>
      <c r="M4601" s="784">
        <v>10555.64</v>
      </c>
      <c r="N4601" s="784">
        <v>12.92</v>
      </c>
      <c r="O4601" s="784">
        <v>2.15</v>
      </c>
      <c r="P4601" s="783">
        <v>380</v>
      </c>
      <c r="Q4601" s="783">
        <v>515.12</v>
      </c>
      <c r="R4601" s="783">
        <v>460.23</v>
      </c>
      <c r="S4601" s="783">
        <v>0</v>
      </c>
      <c r="T4601" s="783">
        <v>54.89</v>
      </c>
      <c r="U4601" s="785">
        <v>44631.638275463003</v>
      </c>
    </row>
    <row r="4602" spans="1:21">
      <c r="A4602" s="782">
        <v>44508</v>
      </c>
      <c r="B4602" s="783" t="s">
        <v>74</v>
      </c>
      <c r="C4602" s="783" t="s">
        <v>4097</v>
      </c>
      <c r="D4602" s="783" t="s">
        <v>4038</v>
      </c>
      <c r="E4602" s="783" t="s">
        <v>4482</v>
      </c>
      <c r="F4602" s="783" t="s">
        <v>4011</v>
      </c>
      <c r="G4602" s="783" t="str">
        <f t="shared" si="247"/>
        <v>Renewal (15% in 2020)</v>
      </c>
      <c r="H4602" s="783" t="s">
        <v>4483</v>
      </c>
      <c r="I4602" s="783" t="s">
        <v>4484</v>
      </c>
      <c r="J4602" s="783">
        <v>20</v>
      </c>
      <c r="K4602" s="783" t="s">
        <v>765</v>
      </c>
      <c r="L4602" s="783" t="s">
        <v>4014</v>
      </c>
      <c r="M4602" s="784">
        <v>13380</v>
      </c>
      <c r="N4602" s="784">
        <v>15</v>
      </c>
      <c r="O4602" s="784">
        <v>2.23</v>
      </c>
      <c r="P4602" s="783">
        <v>400</v>
      </c>
      <c r="Q4602" s="783">
        <v>1079.77</v>
      </c>
      <c r="R4602" s="783">
        <v>654.28</v>
      </c>
      <c r="S4602" s="783">
        <v>107.04</v>
      </c>
      <c r="T4602" s="783">
        <v>318.44</v>
      </c>
      <c r="U4602" s="785">
        <v>44631.637997685197</v>
      </c>
    </row>
    <row r="4603" spans="1:21">
      <c r="A4603" s="782">
        <v>44525</v>
      </c>
      <c r="B4603" s="783" t="s">
        <v>74</v>
      </c>
      <c r="C4603" s="783" t="s">
        <v>4097</v>
      </c>
      <c r="D4603" s="783" t="s">
        <v>4038</v>
      </c>
      <c r="E4603" s="783" t="s">
        <v>6365</v>
      </c>
      <c r="F4603" s="783" t="s">
        <v>4011</v>
      </c>
      <c r="G4603" s="783" t="str">
        <f t="shared" si="247"/>
        <v>Renewal (15% in 2020)</v>
      </c>
      <c r="H4603" s="783" t="s">
        <v>6366</v>
      </c>
      <c r="I4603" s="783" t="s">
        <v>6367</v>
      </c>
      <c r="J4603" s="783">
        <v>20</v>
      </c>
      <c r="K4603" s="783" t="s">
        <v>765</v>
      </c>
      <c r="L4603" s="783" t="s">
        <v>4014</v>
      </c>
      <c r="M4603" s="784">
        <v>19440</v>
      </c>
      <c r="N4603" s="784">
        <v>20</v>
      </c>
      <c r="O4603" s="784">
        <v>2.16</v>
      </c>
      <c r="P4603" s="783">
        <v>450</v>
      </c>
      <c r="Q4603" s="783">
        <v>1568.81</v>
      </c>
      <c r="R4603" s="783">
        <v>950.62</v>
      </c>
      <c r="S4603" s="783">
        <v>155.52000000000001</v>
      </c>
      <c r="T4603" s="783">
        <v>462.67</v>
      </c>
      <c r="U4603" s="785">
        <v>44631.638020833299</v>
      </c>
    </row>
    <row r="4604" spans="1:21">
      <c r="A4604" s="782">
        <v>44621</v>
      </c>
      <c r="B4604" s="783" t="s">
        <v>41</v>
      </c>
      <c r="C4604" s="783" t="s">
        <v>4071</v>
      </c>
      <c r="D4604" s="783" t="s">
        <v>4009</v>
      </c>
      <c r="E4604" s="783" t="s">
        <v>1587</v>
      </c>
      <c r="F4604" s="783" t="s">
        <v>4011</v>
      </c>
      <c r="G4604" s="783" t="str">
        <f t="shared" si="247"/>
        <v>Renewal (25% in 2020)</v>
      </c>
      <c r="H4604" s="783" t="s">
        <v>6368</v>
      </c>
      <c r="I4604" s="783" t="s">
        <v>6369</v>
      </c>
      <c r="J4604" s="783">
        <v>25</v>
      </c>
      <c r="K4604" s="783" t="s">
        <v>765</v>
      </c>
      <c r="L4604" s="783" t="s">
        <v>4014</v>
      </c>
      <c r="M4604" s="784">
        <v>2132.13</v>
      </c>
      <c r="N4604" s="784">
        <v>1.85</v>
      </c>
      <c r="O4604" s="784">
        <v>2.5</v>
      </c>
      <c r="P4604" s="783">
        <v>461</v>
      </c>
      <c r="Q4604" s="783">
        <v>97.44</v>
      </c>
      <c r="R4604" s="783">
        <v>76.12</v>
      </c>
      <c r="S4604" s="783">
        <v>12.15</v>
      </c>
      <c r="T4604" s="783">
        <v>9.17</v>
      </c>
      <c r="U4604" s="785">
        <v>44631.6383333333</v>
      </c>
    </row>
    <row r="4605" spans="1:21">
      <c r="A4605" s="782">
        <v>44621</v>
      </c>
      <c r="B4605" s="783" t="s">
        <v>41</v>
      </c>
      <c r="C4605" s="783" t="s">
        <v>4139</v>
      </c>
      <c r="D4605" s="783" t="s">
        <v>4009</v>
      </c>
      <c r="E4605" s="783" t="s">
        <v>1587</v>
      </c>
      <c r="F4605" s="783" t="s">
        <v>4011</v>
      </c>
      <c r="G4605" s="783" t="str">
        <f t="shared" si="247"/>
        <v>Renewal (25% in 2020)</v>
      </c>
      <c r="H4605" s="783" t="s">
        <v>6368</v>
      </c>
      <c r="I4605" s="783" t="s">
        <v>6369</v>
      </c>
      <c r="J4605" s="783">
        <v>25</v>
      </c>
      <c r="K4605" s="783" t="s">
        <v>765</v>
      </c>
      <c r="L4605" s="783" t="s">
        <v>4014</v>
      </c>
      <c r="M4605" s="784">
        <v>15665.5</v>
      </c>
      <c r="N4605" s="784">
        <v>16.489999999999998</v>
      </c>
      <c r="O4605" s="784">
        <v>2.5</v>
      </c>
      <c r="P4605" s="783">
        <v>380</v>
      </c>
      <c r="Q4605" s="783">
        <v>614.09</v>
      </c>
      <c r="R4605" s="783">
        <v>480.93</v>
      </c>
      <c r="S4605" s="783">
        <v>76.760000000000005</v>
      </c>
      <c r="T4605" s="783">
        <v>56.4</v>
      </c>
      <c r="U4605" s="785">
        <v>44631.6383333333</v>
      </c>
    </row>
    <row r="4606" spans="1:21">
      <c r="A4606" s="782">
        <v>44581</v>
      </c>
      <c r="B4606" s="783" t="s">
        <v>41</v>
      </c>
      <c r="C4606" s="783" t="s">
        <v>4139</v>
      </c>
      <c r="D4606" s="783" t="s">
        <v>4009</v>
      </c>
      <c r="E4606" s="783" t="s">
        <v>734</v>
      </c>
      <c r="F4606" s="783" t="s">
        <v>4066</v>
      </c>
      <c r="G4606" s="783" t="s">
        <v>4028</v>
      </c>
      <c r="H4606" s="783" t="s">
        <v>6370</v>
      </c>
      <c r="I4606" s="783" t="s">
        <v>6371</v>
      </c>
      <c r="J4606" s="783">
        <v>10</v>
      </c>
      <c r="K4606" s="783" t="s">
        <v>765</v>
      </c>
      <c r="L4606" s="783" t="s">
        <v>4014</v>
      </c>
      <c r="M4606" s="784">
        <v>104625</v>
      </c>
      <c r="N4606" s="784">
        <v>83.7</v>
      </c>
      <c r="O4606" s="784">
        <v>2.5</v>
      </c>
      <c r="P4606" s="783">
        <v>500</v>
      </c>
      <c r="Q4606" s="783">
        <v>1370.59</v>
      </c>
      <c r="R4606" s="783">
        <v>0</v>
      </c>
      <c r="S4606" s="783">
        <v>0</v>
      </c>
      <c r="T4606" s="783">
        <v>1370.59</v>
      </c>
      <c r="U4606" s="785">
        <v>44631.638518518499</v>
      </c>
    </row>
    <row r="4607" spans="1:21">
      <c r="A4607" s="782">
        <v>44579</v>
      </c>
      <c r="B4607" s="783" t="s">
        <v>2041</v>
      </c>
      <c r="C4607" s="783" t="s">
        <v>4417</v>
      </c>
      <c r="D4607" s="783" t="s">
        <v>4193</v>
      </c>
      <c r="E4607" s="783" t="s">
        <v>6375</v>
      </c>
      <c r="F4607" s="783" t="s">
        <v>4011</v>
      </c>
      <c r="G4607" s="783" t="str">
        <f>VLOOKUP(I4607,pacage,2,FALSE)</f>
        <v>Renewal (15% in 2020)</v>
      </c>
      <c r="H4607" s="783" t="s">
        <v>6376</v>
      </c>
      <c r="I4607" s="783" t="s">
        <v>6377</v>
      </c>
      <c r="J4607" s="783">
        <v>25</v>
      </c>
      <c r="K4607" s="783" t="s">
        <v>765</v>
      </c>
      <c r="L4607" s="783" t="s">
        <v>4014</v>
      </c>
      <c r="M4607" s="784">
        <v>14250</v>
      </c>
      <c r="N4607" s="784">
        <v>12.5</v>
      </c>
      <c r="O4607" s="784">
        <v>3</v>
      </c>
      <c r="P4607" s="783">
        <v>380</v>
      </c>
      <c r="Q4607" s="783">
        <v>856.43</v>
      </c>
      <c r="R4607" s="783">
        <v>655.5</v>
      </c>
      <c r="S4607" s="783">
        <v>105.45</v>
      </c>
      <c r="T4607" s="783">
        <v>95.48</v>
      </c>
      <c r="U4607" s="785">
        <v>44708.991851851897</v>
      </c>
    </row>
    <row r="4608" spans="1:21">
      <c r="A4608" s="782">
        <v>44579</v>
      </c>
      <c r="B4608" s="783" t="s">
        <v>41</v>
      </c>
      <c r="C4608" s="783" t="s">
        <v>4092</v>
      </c>
      <c r="D4608" s="783" t="s">
        <v>4009</v>
      </c>
      <c r="E4608" s="783" t="s">
        <v>6612</v>
      </c>
      <c r="F4608" s="783" t="s">
        <v>4066</v>
      </c>
      <c r="G4608" s="783" t="s">
        <v>4028</v>
      </c>
      <c r="H4608" s="783" t="s">
        <v>6613</v>
      </c>
      <c r="I4608" s="783" t="s">
        <v>6614</v>
      </c>
      <c r="J4608" s="783">
        <v>10</v>
      </c>
      <c r="K4608" s="783" t="s">
        <v>765</v>
      </c>
      <c r="L4608" s="783" t="s">
        <v>4014</v>
      </c>
      <c r="M4608" s="784">
        <v>101420</v>
      </c>
      <c r="N4608" s="784">
        <v>88</v>
      </c>
      <c r="O4608" s="784">
        <v>2.5</v>
      </c>
      <c r="P4608" s="783">
        <v>461</v>
      </c>
      <c r="Q4608" s="783">
        <v>2190.67</v>
      </c>
      <c r="R4608" s="783">
        <v>0</v>
      </c>
      <c r="S4608" s="783">
        <v>0</v>
      </c>
      <c r="T4608" s="783">
        <v>2190.67</v>
      </c>
      <c r="U4608" s="785">
        <v>44631.6383333333</v>
      </c>
    </row>
    <row r="4609" spans="1:21">
      <c r="A4609" s="782">
        <v>44578</v>
      </c>
      <c r="B4609" s="783" t="s">
        <v>41</v>
      </c>
      <c r="C4609" s="783" t="s">
        <v>4139</v>
      </c>
      <c r="D4609" s="783" t="s">
        <v>4009</v>
      </c>
      <c r="E4609" s="783" t="s">
        <v>6383</v>
      </c>
      <c r="F4609" s="783" t="s">
        <v>4011</v>
      </c>
      <c r="G4609" s="783" t="str">
        <f>VLOOKUP(I4609,pacage,2,FALSE)</f>
        <v>Renewal (30% in 2020)</v>
      </c>
      <c r="H4609" s="783" t="s">
        <v>6384</v>
      </c>
      <c r="I4609" s="783" t="s">
        <v>6385</v>
      </c>
      <c r="J4609" s="783">
        <v>30</v>
      </c>
      <c r="K4609" s="783" t="s">
        <v>765</v>
      </c>
      <c r="L4609" s="783" t="s">
        <v>4014</v>
      </c>
      <c r="M4609" s="784">
        <v>36546.480000000003</v>
      </c>
      <c r="N4609" s="784">
        <v>46.32</v>
      </c>
      <c r="O4609" s="784">
        <v>2.63</v>
      </c>
      <c r="P4609" s="783">
        <v>300</v>
      </c>
      <c r="Q4609" s="783">
        <v>1253.54</v>
      </c>
      <c r="R4609" s="783">
        <v>1121.98</v>
      </c>
      <c r="S4609" s="783">
        <v>0</v>
      </c>
      <c r="T4609" s="783">
        <v>131.57</v>
      </c>
      <c r="U4609" s="785">
        <v>44631.638414351903</v>
      </c>
    </row>
    <row r="4610" spans="1:21">
      <c r="A4610" s="782">
        <v>44590</v>
      </c>
      <c r="B4610" s="783" t="s">
        <v>74</v>
      </c>
      <c r="C4610" s="783" t="s">
        <v>4037</v>
      </c>
      <c r="D4610" s="783" t="s">
        <v>4038</v>
      </c>
      <c r="E4610" s="783" t="s">
        <v>6386</v>
      </c>
      <c r="F4610" s="783" t="s">
        <v>4011</v>
      </c>
      <c r="G4610" s="783" t="s">
        <v>4028</v>
      </c>
      <c r="H4610" s="783" t="s">
        <v>6387</v>
      </c>
      <c r="I4610" s="783" t="s">
        <v>6388</v>
      </c>
      <c r="J4610" s="783">
        <v>25</v>
      </c>
      <c r="K4610" s="783" t="s">
        <v>765</v>
      </c>
      <c r="L4610" s="783" t="s">
        <v>4014</v>
      </c>
      <c r="M4610" s="784">
        <v>21229.040000000001</v>
      </c>
      <c r="N4610" s="784">
        <v>23.38</v>
      </c>
      <c r="O4610" s="784">
        <v>2.27</v>
      </c>
      <c r="P4610" s="783">
        <v>400</v>
      </c>
      <c r="Q4610" s="783">
        <v>1598.55</v>
      </c>
      <c r="R4610" s="783">
        <v>1069.94</v>
      </c>
      <c r="S4610" s="783">
        <v>174.08</v>
      </c>
      <c r="T4610" s="783">
        <v>354.52</v>
      </c>
      <c r="U4610" s="785">
        <v>44631.637939814798</v>
      </c>
    </row>
    <row r="4611" spans="1:21">
      <c r="A4611" s="782">
        <v>44622</v>
      </c>
      <c r="B4611" s="783" t="s">
        <v>34</v>
      </c>
      <c r="C4611" s="783" t="s">
        <v>4082</v>
      </c>
      <c r="D4611" s="783" t="s">
        <v>4009</v>
      </c>
      <c r="E4611" s="783" t="s">
        <v>6395</v>
      </c>
      <c r="F4611" s="783" t="s">
        <v>4011</v>
      </c>
      <c r="G4611" s="783" t="str">
        <f t="shared" ref="G4611:G4620" si="248">VLOOKUP(I4611,pacage,2,FALSE)</f>
        <v>Renewal (30% in 2020)</v>
      </c>
      <c r="H4611" s="783" t="s">
        <v>6396</v>
      </c>
      <c r="I4611" s="783" t="s">
        <v>6397</v>
      </c>
      <c r="J4611" s="783">
        <v>30</v>
      </c>
      <c r="K4611" s="783" t="s">
        <v>765</v>
      </c>
      <c r="L4611" s="783" t="s">
        <v>4014</v>
      </c>
      <c r="M4611" s="784">
        <v>17884.37</v>
      </c>
      <c r="N4611" s="784">
        <v>21.38</v>
      </c>
      <c r="O4611" s="784">
        <v>2.39</v>
      </c>
      <c r="P4611" s="783">
        <v>350</v>
      </c>
      <c r="Q4611" s="783">
        <v>872.76</v>
      </c>
      <c r="R4611" s="783">
        <v>779.76</v>
      </c>
      <c r="S4611" s="783">
        <v>0</v>
      </c>
      <c r="T4611" s="783">
        <v>93</v>
      </c>
      <c r="U4611" s="785">
        <v>44631.638483796298</v>
      </c>
    </row>
    <row r="4612" spans="1:21">
      <c r="A4612" s="782">
        <v>44621</v>
      </c>
      <c r="B4612" s="783" t="s">
        <v>41</v>
      </c>
      <c r="C4612" s="783" t="s">
        <v>4082</v>
      </c>
      <c r="D4612" s="783" t="s">
        <v>4009</v>
      </c>
      <c r="E4612" s="783" t="s">
        <v>763</v>
      </c>
      <c r="F4612" s="783" t="s">
        <v>4011</v>
      </c>
      <c r="G4612" s="783" t="str">
        <f t="shared" si="248"/>
        <v>Renewal (20% in 2020)</v>
      </c>
      <c r="H4612" s="783" t="s">
        <v>6401</v>
      </c>
      <c r="I4612" s="783" t="s">
        <v>6402</v>
      </c>
      <c r="J4612" s="783">
        <v>20</v>
      </c>
      <c r="K4612" s="783" t="s">
        <v>765</v>
      </c>
      <c r="L4612" s="783" t="s">
        <v>4014</v>
      </c>
      <c r="M4612" s="784">
        <v>14234.64</v>
      </c>
      <c r="N4612" s="784">
        <v>18.32</v>
      </c>
      <c r="O4612" s="784">
        <v>2.2200000000000002</v>
      </c>
      <c r="P4612" s="783">
        <v>350</v>
      </c>
      <c r="Q4612" s="783">
        <v>1059.06</v>
      </c>
      <c r="R4612" s="783">
        <v>620.63</v>
      </c>
      <c r="S4612" s="783">
        <v>120.99</v>
      </c>
      <c r="T4612" s="783">
        <v>317.43</v>
      </c>
      <c r="U4612" s="785">
        <v>44631.638206018499</v>
      </c>
    </row>
    <row r="4613" spans="1:21">
      <c r="A4613" s="782">
        <v>44678</v>
      </c>
      <c r="B4613" s="783" t="s">
        <v>41</v>
      </c>
      <c r="C4613" s="783" t="s">
        <v>4082</v>
      </c>
      <c r="D4613" s="783" t="s">
        <v>4009</v>
      </c>
      <c r="E4613" s="783" t="s">
        <v>6403</v>
      </c>
      <c r="F4613" s="783" t="s">
        <v>4011</v>
      </c>
      <c r="G4613" s="783" t="str">
        <f t="shared" si="248"/>
        <v>Renewal (25% in 2020)</v>
      </c>
      <c r="H4613" s="783" t="s">
        <v>6404</v>
      </c>
      <c r="I4613" s="783" t="s">
        <v>6405</v>
      </c>
      <c r="J4613" s="783">
        <v>25</v>
      </c>
      <c r="K4613" s="783" t="s">
        <v>765</v>
      </c>
      <c r="L4613" s="783" t="s">
        <v>4014</v>
      </c>
      <c r="M4613" s="784">
        <v>3017</v>
      </c>
      <c r="N4613" s="784">
        <v>4.3099999999999996</v>
      </c>
      <c r="O4613" s="784">
        <v>2</v>
      </c>
      <c r="P4613" s="783">
        <v>350</v>
      </c>
      <c r="Q4613" s="783">
        <v>172.57</v>
      </c>
      <c r="R4613" s="783">
        <v>131.54</v>
      </c>
      <c r="S4613" s="783">
        <v>25.64</v>
      </c>
      <c r="T4613" s="783">
        <v>15.39</v>
      </c>
      <c r="U4613" s="785">
        <v>44680.645138888904</v>
      </c>
    </row>
    <row r="4614" spans="1:21">
      <c r="A4614" s="782">
        <v>44519</v>
      </c>
      <c r="B4614" s="783" t="s">
        <v>74</v>
      </c>
      <c r="C4614" s="783" t="s">
        <v>4037</v>
      </c>
      <c r="D4614" s="783" t="s">
        <v>4038</v>
      </c>
      <c r="E4614" s="783" t="s">
        <v>4753</v>
      </c>
      <c r="F4614" s="783" t="s">
        <v>4011</v>
      </c>
      <c r="G4614" s="783" t="str">
        <f t="shared" si="248"/>
        <v>Renewal (25% in 2020)</v>
      </c>
      <c r="H4614" s="783" t="s">
        <v>4754</v>
      </c>
      <c r="I4614" s="783" t="s">
        <v>4755</v>
      </c>
      <c r="J4614" s="783">
        <v>30</v>
      </c>
      <c r="K4614" s="783" t="s">
        <v>765</v>
      </c>
      <c r="L4614" s="783" t="s">
        <v>4014</v>
      </c>
      <c r="M4614" s="784">
        <v>28125.15</v>
      </c>
      <c r="N4614" s="784">
        <v>24.7</v>
      </c>
      <c r="O4614" s="784">
        <v>2.4700000000000002</v>
      </c>
      <c r="P4614" s="783">
        <v>461</v>
      </c>
      <c r="Q4614" s="783">
        <v>1887.2</v>
      </c>
      <c r="R4614" s="783">
        <v>1417.51</v>
      </c>
      <c r="S4614" s="783">
        <v>0</v>
      </c>
      <c r="T4614" s="783">
        <v>469.69</v>
      </c>
      <c r="U4614" s="785">
        <v>44631.637986111098</v>
      </c>
    </row>
    <row r="4615" spans="1:21">
      <c r="A4615" s="782">
        <v>44559</v>
      </c>
      <c r="B4615" s="783" t="s">
        <v>41</v>
      </c>
      <c r="C4615" s="783" t="s">
        <v>4139</v>
      </c>
      <c r="D4615" s="783" t="s">
        <v>4009</v>
      </c>
      <c r="E4615" s="783" t="s">
        <v>6412</v>
      </c>
      <c r="F4615" s="783" t="s">
        <v>4011</v>
      </c>
      <c r="G4615" s="783" t="str">
        <f t="shared" si="248"/>
        <v>Renewal (20% in 2020)</v>
      </c>
      <c r="H4615" s="783" t="s">
        <v>6413</v>
      </c>
      <c r="I4615" s="783" t="s">
        <v>6414</v>
      </c>
      <c r="J4615" s="783">
        <v>20</v>
      </c>
      <c r="K4615" s="783" t="s">
        <v>765</v>
      </c>
      <c r="L4615" s="783" t="s">
        <v>4014</v>
      </c>
      <c r="M4615" s="784">
        <v>69796.5</v>
      </c>
      <c r="N4615" s="784">
        <v>58.9</v>
      </c>
      <c r="O4615" s="784">
        <v>2.37</v>
      </c>
      <c r="P4615" s="783">
        <v>500</v>
      </c>
      <c r="Q4615" s="783">
        <v>3559.62</v>
      </c>
      <c r="R4615" s="783">
        <v>1975.62</v>
      </c>
      <c r="S4615" s="783">
        <v>509.14</v>
      </c>
      <c r="T4615" s="783">
        <v>1074.8699999999999</v>
      </c>
      <c r="U4615" s="785">
        <v>44631.638437499998</v>
      </c>
    </row>
    <row r="4616" spans="1:21">
      <c r="A4616" s="782">
        <v>44409</v>
      </c>
      <c r="B4616" s="783" t="s">
        <v>74</v>
      </c>
      <c r="C4616" s="783" t="s">
        <v>4037</v>
      </c>
      <c r="D4616" s="783" t="s">
        <v>4038</v>
      </c>
      <c r="E4616" s="783" t="s">
        <v>6643</v>
      </c>
      <c r="F4616" s="783" t="s">
        <v>4011</v>
      </c>
      <c r="G4616" s="783" t="str">
        <f t="shared" si="248"/>
        <v>Renewal (15% in 2020)</v>
      </c>
      <c r="H4616" s="783" t="s">
        <v>6644</v>
      </c>
      <c r="I4616" s="783" t="s">
        <v>6645</v>
      </c>
      <c r="J4616" s="783">
        <v>15</v>
      </c>
      <c r="K4616" s="783" t="s">
        <v>1018</v>
      </c>
      <c r="L4616" s="783" t="s">
        <v>4014</v>
      </c>
      <c r="M4616" s="784">
        <v>55469.9</v>
      </c>
      <c r="N4616" s="784">
        <v>47.63</v>
      </c>
      <c r="O4616" s="784">
        <v>1.8</v>
      </c>
      <c r="P4616" s="783">
        <v>647</v>
      </c>
      <c r="Q4616" s="783">
        <v>6085.05</v>
      </c>
      <c r="R4616" s="783">
        <v>2314.1</v>
      </c>
      <c r="S4616" s="783">
        <v>1169.4100000000001</v>
      </c>
      <c r="T4616" s="783">
        <v>2601.54</v>
      </c>
      <c r="U4616" s="785">
        <v>44631.504837963003</v>
      </c>
    </row>
    <row r="4617" spans="1:21">
      <c r="A4617" s="782">
        <v>44409</v>
      </c>
      <c r="B4617" s="783" t="s">
        <v>74</v>
      </c>
      <c r="C4617" s="783" t="s">
        <v>4037</v>
      </c>
      <c r="D4617" s="783" t="s">
        <v>4038</v>
      </c>
      <c r="E4617" s="783" t="s">
        <v>6646</v>
      </c>
      <c r="F4617" s="783" t="s">
        <v>4011</v>
      </c>
      <c r="G4617" s="783" t="str">
        <f t="shared" si="248"/>
        <v>Renewal (15% in 2020)</v>
      </c>
      <c r="H4617" s="783" t="s">
        <v>6647</v>
      </c>
      <c r="I4617" s="783" t="s">
        <v>6648</v>
      </c>
      <c r="J4617" s="783">
        <v>15</v>
      </c>
      <c r="K4617" s="783" t="s">
        <v>1018</v>
      </c>
      <c r="L4617" s="783" t="s">
        <v>4014</v>
      </c>
      <c r="M4617" s="784">
        <v>6428.59</v>
      </c>
      <c r="N4617" s="784">
        <v>5.52</v>
      </c>
      <c r="O4617" s="784">
        <v>1.8</v>
      </c>
      <c r="P4617" s="783">
        <v>647</v>
      </c>
      <c r="Q4617" s="783">
        <v>705.22</v>
      </c>
      <c r="R4617" s="783">
        <v>268.19</v>
      </c>
      <c r="S4617" s="783">
        <v>135.53</v>
      </c>
      <c r="T4617" s="783">
        <v>301.5</v>
      </c>
      <c r="U4617" s="785">
        <v>44631.504849536999</v>
      </c>
    </row>
    <row r="4618" spans="1:21">
      <c r="A4618" s="782">
        <v>44540</v>
      </c>
      <c r="B4618" s="783" t="s">
        <v>74</v>
      </c>
      <c r="C4618" s="783" t="s">
        <v>4037</v>
      </c>
      <c r="D4618" s="783" t="s">
        <v>4038</v>
      </c>
      <c r="E4618" s="783" t="s">
        <v>6420</v>
      </c>
      <c r="F4618" s="783" t="s">
        <v>4011</v>
      </c>
      <c r="G4618" s="783" t="str">
        <f t="shared" si="248"/>
        <v>New Contract</v>
      </c>
      <c r="H4618" s="783" t="s">
        <v>6421</v>
      </c>
      <c r="I4618" s="783" t="s">
        <v>6422</v>
      </c>
      <c r="J4618" s="783">
        <v>20</v>
      </c>
      <c r="K4618" s="783" t="s">
        <v>1018</v>
      </c>
      <c r="L4618" s="783" t="s">
        <v>4014</v>
      </c>
      <c r="M4618" s="784">
        <v>22680</v>
      </c>
      <c r="N4618" s="784">
        <v>27</v>
      </c>
      <c r="O4618" s="784">
        <v>1.5</v>
      </c>
      <c r="P4618" s="783">
        <v>560</v>
      </c>
      <c r="Q4618" s="783">
        <v>2072.9499999999998</v>
      </c>
      <c r="R4618" s="783">
        <v>1093.1600000000001</v>
      </c>
      <c r="S4618" s="783">
        <v>331.14</v>
      </c>
      <c r="T4618" s="783">
        <v>648.65</v>
      </c>
      <c r="U4618" s="785">
        <v>44631.5156712963</v>
      </c>
    </row>
    <row r="4619" spans="1:21">
      <c r="A4619" s="782">
        <v>44697</v>
      </c>
      <c r="B4619" s="783" t="s">
        <v>41</v>
      </c>
      <c r="C4619" s="783" t="s">
        <v>4092</v>
      </c>
      <c r="D4619" s="783" t="s">
        <v>4009</v>
      </c>
      <c r="E4619" s="783" t="s">
        <v>4535</v>
      </c>
      <c r="F4619" s="783" t="s">
        <v>4011</v>
      </c>
      <c r="G4619" s="783" t="str">
        <f t="shared" si="248"/>
        <v>Renewal (25% in 2020)</v>
      </c>
      <c r="H4619" s="783" t="s">
        <v>4536</v>
      </c>
      <c r="I4619" s="783" t="s">
        <v>4537</v>
      </c>
      <c r="J4619" s="783">
        <v>25</v>
      </c>
      <c r="K4619" s="783" t="s">
        <v>1018</v>
      </c>
      <c r="L4619" s="783" t="s">
        <v>4014</v>
      </c>
      <c r="M4619" s="784">
        <v>26713.8</v>
      </c>
      <c r="N4619" s="784">
        <v>19.399999999999999</v>
      </c>
      <c r="O4619" s="784">
        <v>1.53</v>
      </c>
      <c r="P4619" s="783">
        <v>900</v>
      </c>
      <c r="Q4619" s="783">
        <v>1813.87</v>
      </c>
      <c r="R4619" s="783">
        <v>753.86</v>
      </c>
      <c r="S4619" s="783">
        <v>848.96</v>
      </c>
      <c r="T4619" s="783">
        <v>211.04</v>
      </c>
      <c r="U4619" s="785">
        <v>44699.505486111098</v>
      </c>
    </row>
    <row r="4620" spans="1:21">
      <c r="A4620" s="782">
        <v>44692</v>
      </c>
      <c r="B4620" s="783" t="s">
        <v>47</v>
      </c>
      <c r="C4620" s="783" t="s">
        <v>4101</v>
      </c>
      <c r="D4620" s="783" t="s">
        <v>4102</v>
      </c>
      <c r="E4620" s="783" t="s">
        <v>4103</v>
      </c>
      <c r="F4620" s="783" t="s">
        <v>4011</v>
      </c>
      <c r="G4620" s="783" t="str">
        <f t="shared" si="248"/>
        <v>Renewal (15% in 2020)</v>
      </c>
      <c r="H4620" s="783" t="s">
        <v>4104</v>
      </c>
      <c r="I4620" s="783" t="s">
        <v>4105</v>
      </c>
      <c r="J4620" s="783">
        <v>20</v>
      </c>
      <c r="K4620" s="783" t="s">
        <v>1018</v>
      </c>
      <c r="L4620" s="783" t="s">
        <v>4014</v>
      </c>
      <c r="M4620" s="784">
        <v>13870.13</v>
      </c>
      <c r="N4620" s="784">
        <v>16.88</v>
      </c>
      <c r="O4620" s="784">
        <v>1.27</v>
      </c>
      <c r="P4620" s="783">
        <v>647</v>
      </c>
      <c r="Q4620" s="783">
        <v>730.96</v>
      </c>
      <c r="R4620" s="783">
        <v>333.09</v>
      </c>
      <c r="S4620" s="783">
        <v>164.85</v>
      </c>
      <c r="T4620" s="783">
        <v>233.02</v>
      </c>
      <c r="U4620" s="785">
        <v>44692.516574074099</v>
      </c>
    </row>
    <row r="4621" spans="1:21">
      <c r="A4621" s="782">
        <v>44692</v>
      </c>
      <c r="B4621" s="783" t="s">
        <v>4025</v>
      </c>
      <c r="C4621" s="783" t="s">
        <v>4026</v>
      </c>
      <c r="D4621" s="783" t="s">
        <v>4021</v>
      </c>
      <c r="E4621" s="783" t="s">
        <v>4772</v>
      </c>
      <c r="F4621" s="783" t="s">
        <v>4066</v>
      </c>
      <c r="G4621" s="783" t="s">
        <v>4028</v>
      </c>
      <c r="H4621" s="783" t="s">
        <v>4773</v>
      </c>
      <c r="I4621" s="783" t="s">
        <v>4774</v>
      </c>
      <c r="J4621" s="783">
        <v>5</v>
      </c>
      <c r="K4621" s="783" t="s">
        <v>1018</v>
      </c>
      <c r="L4621" s="783" t="s">
        <v>4014</v>
      </c>
      <c r="M4621" s="784">
        <v>5151</v>
      </c>
      <c r="N4621" s="784">
        <v>5.05</v>
      </c>
      <c r="O4621" s="784">
        <v>1.2</v>
      </c>
      <c r="P4621" s="783">
        <v>850</v>
      </c>
      <c r="Q4621" s="783">
        <v>161.22999999999999</v>
      </c>
      <c r="R4621" s="783">
        <v>0</v>
      </c>
      <c r="S4621" s="783">
        <v>0</v>
      </c>
      <c r="T4621" s="783">
        <v>161.22999999999999</v>
      </c>
      <c r="U4621" s="785">
        <v>44692.740405092598</v>
      </c>
    </row>
    <row r="4622" spans="1:21">
      <c r="A4622" s="782">
        <v>44606</v>
      </c>
      <c r="B4622" s="783" t="s">
        <v>3078</v>
      </c>
      <c r="C4622" s="783" t="s">
        <v>4414</v>
      </c>
      <c r="D4622" s="783" t="s">
        <v>4009</v>
      </c>
      <c r="E4622" s="783" t="s">
        <v>6425</v>
      </c>
      <c r="F4622" s="783" t="s">
        <v>4011</v>
      </c>
      <c r="G4622" s="783" t="str">
        <f>VLOOKUP(I4622,pacage,2,FALSE)</f>
        <v>New Contract</v>
      </c>
      <c r="H4622" s="783" t="s">
        <v>6426</v>
      </c>
      <c r="I4622" s="783" t="s">
        <v>6427</v>
      </c>
      <c r="J4622" s="783">
        <v>20</v>
      </c>
      <c r="K4622" s="783" t="s">
        <v>1018</v>
      </c>
      <c r="L4622" s="783" t="s">
        <v>4014</v>
      </c>
      <c r="M4622" s="784">
        <v>12342</v>
      </c>
      <c r="N4622" s="784">
        <v>11</v>
      </c>
      <c r="O4622" s="784">
        <v>1.87</v>
      </c>
      <c r="P4622" s="783">
        <v>600</v>
      </c>
      <c r="Q4622" s="783">
        <v>1016.98</v>
      </c>
      <c r="R4622" s="783">
        <v>457.9</v>
      </c>
      <c r="S4622" s="783">
        <v>182.65</v>
      </c>
      <c r="T4622" s="783">
        <v>376.43</v>
      </c>
      <c r="U4622" s="785">
        <v>44631.626273148097</v>
      </c>
    </row>
    <row r="4623" spans="1:21">
      <c r="A4623" s="782">
        <v>44589</v>
      </c>
      <c r="B4623" s="783" t="s">
        <v>624</v>
      </c>
      <c r="C4623" s="783" t="s">
        <v>4037</v>
      </c>
      <c r="D4623" s="783" t="s">
        <v>4038</v>
      </c>
      <c r="E4623" s="783" t="s">
        <v>4109</v>
      </c>
      <c r="F4623" s="783" t="s">
        <v>4011</v>
      </c>
      <c r="G4623" s="783" t="str">
        <f>VLOOKUP(I4623,pacage,2,FALSE)</f>
        <v>Renewal (15% in 2020)</v>
      </c>
      <c r="H4623" s="783" t="s">
        <v>4110</v>
      </c>
      <c r="I4623" s="783" t="s">
        <v>4111</v>
      </c>
      <c r="J4623" s="783">
        <v>30</v>
      </c>
      <c r="K4623" s="783" t="s">
        <v>1018</v>
      </c>
      <c r="L4623" s="783" t="s">
        <v>4014</v>
      </c>
      <c r="M4623" s="784">
        <v>8793.9599999999991</v>
      </c>
      <c r="N4623" s="784">
        <v>11.02</v>
      </c>
      <c r="O4623" s="784">
        <v>1.33</v>
      </c>
      <c r="P4623" s="783">
        <v>600</v>
      </c>
      <c r="Q4623" s="783">
        <v>619.97</v>
      </c>
      <c r="R4623" s="783">
        <v>395.61</v>
      </c>
      <c r="S4623" s="783">
        <v>81.03</v>
      </c>
      <c r="T4623" s="783">
        <v>143.34</v>
      </c>
      <c r="U4623" s="785">
        <v>44631.636087963001</v>
      </c>
    </row>
    <row r="4624" spans="1:21">
      <c r="A4624" s="782">
        <v>44592</v>
      </c>
      <c r="B4624" s="783" t="s">
        <v>4025</v>
      </c>
      <c r="C4624" s="783" t="s">
        <v>4026</v>
      </c>
      <c r="D4624" s="783" t="s">
        <v>4021</v>
      </c>
      <c r="E4624" s="783" t="s">
        <v>6431</v>
      </c>
      <c r="F4624" s="783" t="s">
        <v>4011</v>
      </c>
      <c r="G4624" s="783" t="s">
        <v>4028</v>
      </c>
      <c r="H4624" s="783" t="s">
        <v>6432</v>
      </c>
      <c r="I4624" s="783" t="s">
        <v>6433</v>
      </c>
      <c r="J4624" s="783">
        <v>25</v>
      </c>
      <c r="K4624" s="783" t="s">
        <v>1018</v>
      </c>
      <c r="L4624" s="783" t="s">
        <v>4014</v>
      </c>
      <c r="M4624" s="784">
        <v>14200</v>
      </c>
      <c r="N4624" s="784">
        <v>20</v>
      </c>
      <c r="O4624" s="784">
        <v>1.42</v>
      </c>
      <c r="P4624" s="783">
        <v>500</v>
      </c>
      <c r="Q4624" s="783">
        <v>888.92</v>
      </c>
      <c r="R4624" s="783">
        <v>640.69000000000005</v>
      </c>
      <c r="S4624" s="783">
        <v>106.23</v>
      </c>
      <c r="T4624" s="783">
        <v>142</v>
      </c>
      <c r="U4624" s="785">
        <v>44631.629594907397</v>
      </c>
    </row>
    <row r="4625" spans="1:21">
      <c r="A4625" s="782">
        <v>44684</v>
      </c>
      <c r="B4625" s="783" t="s">
        <v>74</v>
      </c>
      <c r="C4625" s="783" t="s">
        <v>4037</v>
      </c>
      <c r="D4625" s="783" t="s">
        <v>4038</v>
      </c>
      <c r="E4625" s="783" t="s">
        <v>6443</v>
      </c>
      <c r="F4625" s="783" t="s">
        <v>4011</v>
      </c>
      <c r="G4625" s="783" t="str">
        <f t="shared" ref="G4625:G4630" si="249">VLOOKUP(I4625,pacage,2,FALSE)</f>
        <v>New contract</v>
      </c>
      <c r="H4625" s="783" t="s">
        <v>6444</v>
      </c>
      <c r="I4625" s="783" t="s">
        <v>6445</v>
      </c>
      <c r="J4625" s="783">
        <v>20</v>
      </c>
      <c r="K4625" s="783" t="s">
        <v>1018</v>
      </c>
      <c r="L4625" s="783" t="s">
        <v>4014</v>
      </c>
      <c r="M4625" s="784">
        <v>9709.25</v>
      </c>
      <c r="N4625" s="784">
        <v>8.2899999999999991</v>
      </c>
      <c r="O4625" s="784">
        <v>1.83</v>
      </c>
      <c r="P4625" s="783">
        <v>640</v>
      </c>
      <c r="Q4625" s="783">
        <v>887.43</v>
      </c>
      <c r="R4625" s="783">
        <v>409.48</v>
      </c>
      <c r="S4625" s="783">
        <v>200.26</v>
      </c>
      <c r="T4625" s="783">
        <v>277.68</v>
      </c>
      <c r="U4625" s="785">
        <v>44685.461122685199</v>
      </c>
    </row>
    <row r="4626" spans="1:21">
      <c r="A4626" s="782">
        <v>44700</v>
      </c>
      <c r="B4626" s="783" t="s">
        <v>34</v>
      </c>
      <c r="C4626" s="783" t="s">
        <v>4139</v>
      </c>
      <c r="D4626" s="783" t="s">
        <v>4009</v>
      </c>
      <c r="E4626" s="783" t="s">
        <v>6449</v>
      </c>
      <c r="F4626" s="783" t="s">
        <v>4011</v>
      </c>
      <c r="G4626" s="783" t="str">
        <f t="shared" si="249"/>
        <v>Renewal (20% in 2020)</v>
      </c>
      <c r="H4626" s="783" t="s">
        <v>6450</v>
      </c>
      <c r="I4626" s="783" t="s">
        <v>6451</v>
      </c>
      <c r="J4626" s="783">
        <v>20</v>
      </c>
      <c r="K4626" s="783" t="s">
        <v>1018</v>
      </c>
      <c r="L4626" s="783" t="s">
        <v>4014</v>
      </c>
      <c r="M4626" s="784">
        <v>2627.4</v>
      </c>
      <c r="N4626" s="784">
        <v>2.9</v>
      </c>
      <c r="O4626" s="784">
        <v>1.51</v>
      </c>
      <c r="P4626" s="783">
        <v>600</v>
      </c>
      <c r="Q4626" s="783">
        <v>140.83000000000001</v>
      </c>
      <c r="R4626" s="783">
        <v>69.569999999999993</v>
      </c>
      <c r="S4626" s="783">
        <v>26.86</v>
      </c>
      <c r="T4626" s="783">
        <v>44.4</v>
      </c>
      <c r="U4626" s="785">
        <v>44700.619351851798</v>
      </c>
    </row>
    <row r="4627" spans="1:21">
      <c r="A4627" s="782">
        <v>44711</v>
      </c>
      <c r="B4627" s="783" t="s">
        <v>347</v>
      </c>
      <c r="C4627" s="783" t="s">
        <v>4139</v>
      </c>
      <c r="D4627" s="783" t="s">
        <v>4009</v>
      </c>
      <c r="E4627" s="783" t="s">
        <v>355</v>
      </c>
      <c r="F4627" s="783" t="s">
        <v>4011</v>
      </c>
      <c r="G4627" s="783" t="str">
        <f t="shared" si="249"/>
        <v>Renewal (15% in 2020)</v>
      </c>
      <c r="H4627" s="783" t="s">
        <v>6455</v>
      </c>
      <c r="I4627" s="783" t="s">
        <v>6456</v>
      </c>
      <c r="J4627" s="783">
        <v>15</v>
      </c>
      <c r="K4627" s="783" t="s">
        <v>1018</v>
      </c>
      <c r="L4627" s="783" t="s">
        <v>4014</v>
      </c>
      <c r="M4627" s="784">
        <v>3281.15</v>
      </c>
      <c r="N4627" s="784">
        <v>4.9400000000000004</v>
      </c>
      <c r="O4627" s="784">
        <v>1.23</v>
      </c>
      <c r="P4627" s="783">
        <v>540</v>
      </c>
      <c r="Q4627" s="783">
        <v>235.59</v>
      </c>
      <c r="R4627" s="783">
        <v>96.53</v>
      </c>
      <c r="S4627" s="783">
        <v>23.89</v>
      </c>
      <c r="T4627" s="783">
        <v>115.17</v>
      </c>
      <c r="U4627" s="785">
        <v>44713.611053240696</v>
      </c>
    </row>
    <row r="4628" spans="1:21">
      <c r="A4628" s="782">
        <v>44685</v>
      </c>
      <c r="B4628" s="783" t="s">
        <v>4025</v>
      </c>
      <c r="C4628" s="783" t="s">
        <v>4026</v>
      </c>
      <c r="D4628" s="783" t="s">
        <v>4021</v>
      </c>
      <c r="E4628" s="783" t="s">
        <v>6457</v>
      </c>
      <c r="F4628" s="783" t="s">
        <v>4011</v>
      </c>
      <c r="G4628" s="783" t="str">
        <f t="shared" si="249"/>
        <v>New Contract</v>
      </c>
      <c r="H4628" s="783" t="s">
        <v>6458</v>
      </c>
      <c r="I4628" s="783" t="s">
        <v>6459</v>
      </c>
      <c r="J4628" s="783">
        <v>20</v>
      </c>
      <c r="K4628" s="783" t="s">
        <v>1018</v>
      </c>
      <c r="L4628" s="783" t="s">
        <v>4014</v>
      </c>
      <c r="M4628" s="784">
        <v>18926.36</v>
      </c>
      <c r="N4628" s="784">
        <v>17.850000000000001</v>
      </c>
      <c r="O4628" s="784">
        <v>2.2999999999999998</v>
      </c>
      <c r="P4628" s="783">
        <v>461</v>
      </c>
      <c r="Q4628" s="783">
        <v>1514.11</v>
      </c>
      <c r="R4628" s="783">
        <v>857.36</v>
      </c>
      <c r="S4628" s="783">
        <v>138.16</v>
      </c>
      <c r="T4628" s="783">
        <v>518.58000000000004</v>
      </c>
      <c r="U4628" s="785">
        <v>44687.638854166697</v>
      </c>
    </row>
    <row r="4629" spans="1:21">
      <c r="A4629" s="782">
        <v>44663</v>
      </c>
      <c r="B4629" s="783" t="s">
        <v>624</v>
      </c>
      <c r="C4629" s="783" t="s">
        <v>4037</v>
      </c>
      <c r="D4629" s="783" t="s">
        <v>4038</v>
      </c>
      <c r="E4629" s="783" t="s">
        <v>4307</v>
      </c>
      <c r="F4629" s="783" t="s">
        <v>4011</v>
      </c>
      <c r="G4629" s="783" t="str">
        <f t="shared" si="249"/>
        <v>Renewal (15% in 2020)</v>
      </c>
      <c r="H4629" s="783" t="s">
        <v>4308</v>
      </c>
      <c r="I4629" s="783" t="s">
        <v>4309</v>
      </c>
      <c r="J4629" s="783">
        <v>15</v>
      </c>
      <c r="K4629" s="783" t="s">
        <v>1018</v>
      </c>
      <c r="L4629" s="783" t="s">
        <v>4014</v>
      </c>
      <c r="M4629" s="784">
        <v>32470</v>
      </c>
      <c r="N4629" s="784">
        <v>19.100000000000001</v>
      </c>
      <c r="O4629" s="784">
        <v>2</v>
      </c>
      <c r="P4629" s="783">
        <v>850</v>
      </c>
      <c r="Q4629" s="783">
        <v>3561.96</v>
      </c>
      <c r="R4629" s="783">
        <v>1031.08</v>
      </c>
      <c r="S4629" s="783">
        <v>1008.04</v>
      </c>
      <c r="T4629" s="783">
        <v>1522.84</v>
      </c>
      <c r="U4629" s="785">
        <v>44665.6467708333</v>
      </c>
    </row>
    <row r="4630" spans="1:21">
      <c r="A4630" s="782">
        <v>44665</v>
      </c>
      <c r="B4630" s="783" t="s">
        <v>65</v>
      </c>
      <c r="C4630" s="783" t="s">
        <v>4376</v>
      </c>
      <c r="D4630" s="783" t="s">
        <v>4038</v>
      </c>
      <c r="E4630" s="783" t="s">
        <v>6463</v>
      </c>
      <c r="F4630" s="783" t="s">
        <v>4011</v>
      </c>
      <c r="G4630" s="783" t="str">
        <f t="shared" si="249"/>
        <v>New Contract</v>
      </c>
      <c r="H4630" s="783" t="s">
        <v>6464</v>
      </c>
      <c r="I4630" s="783" t="s">
        <v>6465</v>
      </c>
      <c r="J4630" s="783">
        <v>20</v>
      </c>
      <c r="K4630" s="783" t="s">
        <v>1018</v>
      </c>
      <c r="L4630" s="783" t="s">
        <v>4014</v>
      </c>
      <c r="M4630" s="784">
        <v>9672</v>
      </c>
      <c r="N4630" s="784">
        <v>13</v>
      </c>
      <c r="O4630" s="784">
        <v>1.2</v>
      </c>
      <c r="P4630" s="783">
        <v>620</v>
      </c>
      <c r="Q4630" s="783">
        <v>968.17</v>
      </c>
      <c r="R4630" s="783">
        <v>435.05</v>
      </c>
      <c r="S4630" s="783">
        <v>190.73</v>
      </c>
      <c r="T4630" s="783">
        <v>342.39</v>
      </c>
      <c r="U4630" s="785">
        <v>44666.387280092596</v>
      </c>
    </row>
    <row r="4631" spans="1:21">
      <c r="A4631" s="782">
        <v>44664</v>
      </c>
      <c r="B4631" s="783" t="s">
        <v>74</v>
      </c>
      <c r="C4631" s="783" t="s">
        <v>4037</v>
      </c>
      <c r="D4631" s="783" t="s">
        <v>4038</v>
      </c>
      <c r="E4631" s="783" t="s">
        <v>6466</v>
      </c>
      <c r="F4631" s="783" t="s">
        <v>4011</v>
      </c>
      <c r="G4631" s="783" t="s">
        <v>4028</v>
      </c>
      <c r="H4631" s="783" t="s">
        <v>6467</v>
      </c>
      <c r="I4631" s="783" t="s">
        <v>6468</v>
      </c>
      <c r="J4631" s="783">
        <v>25</v>
      </c>
      <c r="K4631" s="783" t="s">
        <v>1018</v>
      </c>
      <c r="L4631" s="783" t="s">
        <v>4014</v>
      </c>
      <c r="M4631" s="784">
        <v>29340</v>
      </c>
      <c r="N4631" s="784">
        <v>30</v>
      </c>
      <c r="O4631" s="784">
        <v>1.63</v>
      </c>
      <c r="P4631" s="783">
        <v>600</v>
      </c>
      <c r="Q4631" s="783">
        <v>2320.79</v>
      </c>
      <c r="R4631" s="783">
        <v>1319.89</v>
      </c>
      <c r="S4631" s="783">
        <v>522.66</v>
      </c>
      <c r="T4631" s="783">
        <v>478.24</v>
      </c>
      <c r="U4631" s="785">
        <v>44665.658865740697</v>
      </c>
    </row>
    <row r="4632" spans="1:21">
      <c r="A4632" s="782">
        <v>44711</v>
      </c>
      <c r="B4632" s="783" t="s">
        <v>74</v>
      </c>
      <c r="C4632" s="783" t="s">
        <v>4097</v>
      </c>
      <c r="D4632" s="783" t="s">
        <v>4038</v>
      </c>
      <c r="E4632" s="783" t="s">
        <v>7123</v>
      </c>
      <c r="F4632" s="783" t="s">
        <v>4011</v>
      </c>
      <c r="G4632" s="783" t="str">
        <f t="shared" ref="G4632:G4638" si="250">VLOOKUP(I4632,pacage,2,FALSE)</f>
        <v>Renewal (30% in 2020)</v>
      </c>
      <c r="H4632" s="783" t="s">
        <v>7124</v>
      </c>
      <c r="I4632" s="783" t="s">
        <v>7125</v>
      </c>
      <c r="J4632" s="783">
        <v>30</v>
      </c>
      <c r="K4632" s="783" t="s">
        <v>1018</v>
      </c>
      <c r="L4632" s="783" t="s">
        <v>4014</v>
      </c>
      <c r="M4632" s="784">
        <v>42863.86</v>
      </c>
      <c r="N4632" s="784">
        <v>74.2</v>
      </c>
      <c r="O4632" s="784">
        <v>1.1599999999999999</v>
      </c>
      <c r="P4632" s="783">
        <v>498</v>
      </c>
      <c r="Q4632" s="783">
        <v>2760.43</v>
      </c>
      <c r="R4632" s="783">
        <v>2237.4899999999998</v>
      </c>
      <c r="S4632" s="783">
        <v>0</v>
      </c>
      <c r="T4632" s="783">
        <v>522.94000000000005</v>
      </c>
      <c r="U4632" s="785">
        <v>44712.7214467593</v>
      </c>
    </row>
    <row r="4633" spans="1:21">
      <c r="A4633" s="782">
        <v>44698</v>
      </c>
      <c r="B4633" s="783" t="s">
        <v>41</v>
      </c>
      <c r="C4633" s="783" t="s">
        <v>4071</v>
      </c>
      <c r="D4633" s="783" t="s">
        <v>4009</v>
      </c>
      <c r="E4633" s="783" t="s">
        <v>6472</v>
      </c>
      <c r="F4633" s="783" t="s">
        <v>4011</v>
      </c>
      <c r="G4633" s="783" t="str">
        <f t="shared" si="250"/>
        <v>Renewal (20% in 2020)</v>
      </c>
      <c r="H4633" s="783" t="s">
        <v>6473</v>
      </c>
      <c r="I4633" s="783" t="s">
        <v>6474</v>
      </c>
      <c r="J4633" s="783">
        <v>20</v>
      </c>
      <c r="K4633" s="783" t="s">
        <v>1018</v>
      </c>
      <c r="L4633" s="783" t="s">
        <v>4014</v>
      </c>
      <c r="M4633" s="784">
        <v>70011.199999999997</v>
      </c>
      <c r="N4633" s="784">
        <v>46.06</v>
      </c>
      <c r="O4633" s="784">
        <v>1.52</v>
      </c>
      <c r="P4633" s="783">
        <v>1000</v>
      </c>
      <c r="Q4633" s="783">
        <v>4361.7</v>
      </c>
      <c r="R4633" s="783">
        <v>1297</v>
      </c>
      <c r="S4633" s="783">
        <v>1699.48</v>
      </c>
      <c r="T4633" s="783">
        <v>1365.22</v>
      </c>
      <c r="U4633" s="785">
        <v>44699.490034722199</v>
      </c>
    </row>
    <row r="4634" spans="1:21">
      <c r="A4634" s="782">
        <v>44553</v>
      </c>
      <c r="B4634" s="783" t="s">
        <v>2866</v>
      </c>
      <c r="C4634" s="783" t="s">
        <v>4008</v>
      </c>
      <c r="D4634" s="783" t="s">
        <v>4009</v>
      </c>
      <c r="E4634" s="783" t="s">
        <v>2864</v>
      </c>
      <c r="F4634" s="783" t="s">
        <v>4011</v>
      </c>
      <c r="G4634" s="783" t="str">
        <f t="shared" si="250"/>
        <v>New contract</v>
      </c>
      <c r="H4634" s="783" t="s">
        <v>6475</v>
      </c>
      <c r="I4634" s="783" t="s">
        <v>6476</v>
      </c>
      <c r="J4634" s="783">
        <v>20</v>
      </c>
      <c r="K4634" s="783" t="s">
        <v>1018</v>
      </c>
      <c r="L4634" s="783" t="s">
        <v>4014</v>
      </c>
      <c r="M4634" s="784">
        <v>5112</v>
      </c>
      <c r="N4634" s="784">
        <v>4</v>
      </c>
      <c r="O4634" s="784">
        <v>2.13</v>
      </c>
      <c r="P4634" s="783">
        <v>600</v>
      </c>
      <c r="Q4634" s="783">
        <v>521.94000000000005</v>
      </c>
      <c r="R4634" s="783">
        <v>244.82</v>
      </c>
      <c r="S4634" s="783">
        <v>96.66</v>
      </c>
      <c r="T4634" s="783">
        <v>180.45</v>
      </c>
      <c r="U4634" s="785">
        <v>44631.6309259259</v>
      </c>
    </row>
    <row r="4635" spans="1:21">
      <c r="A4635" s="782">
        <v>44681</v>
      </c>
      <c r="B4635" s="783" t="s">
        <v>41</v>
      </c>
      <c r="C4635" s="783" t="s">
        <v>4071</v>
      </c>
      <c r="D4635" s="783" t="s">
        <v>4009</v>
      </c>
      <c r="E4635" s="783" t="s">
        <v>6477</v>
      </c>
      <c r="F4635" s="783" t="s">
        <v>4011</v>
      </c>
      <c r="G4635" s="783" t="str">
        <f t="shared" si="250"/>
        <v>Renewal (20% in 2020)</v>
      </c>
      <c r="H4635" s="783" t="s">
        <v>6478</v>
      </c>
      <c r="I4635" s="783" t="s">
        <v>6479</v>
      </c>
      <c r="J4635" s="783">
        <v>20</v>
      </c>
      <c r="K4635" s="783" t="s">
        <v>1018</v>
      </c>
      <c r="L4635" s="783" t="s">
        <v>4014</v>
      </c>
      <c r="M4635" s="784">
        <v>30129.84</v>
      </c>
      <c r="N4635" s="784">
        <v>33.299999999999997</v>
      </c>
      <c r="O4635" s="784">
        <v>1.56</v>
      </c>
      <c r="P4635" s="783">
        <v>580</v>
      </c>
      <c r="Q4635" s="783">
        <v>1877.09</v>
      </c>
      <c r="R4635" s="783">
        <v>962.37</v>
      </c>
      <c r="S4635" s="783">
        <v>327.19</v>
      </c>
      <c r="T4635" s="783">
        <v>587.53</v>
      </c>
      <c r="U4635" s="785">
        <v>44683.420416666697</v>
      </c>
    </row>
    <row r="4636" spans="1:21">
      <c r="A4636" s="782">
        <v>44680</v>
      </c>
      <c r="B4636" s="783" t="s">
        <v>34</v>
      </c>
      <c r="C4636" s="783" t="s">
        <v>4082</v>
      </c>
      <c r="D4636" s="783" t="s">
        <v>4009</v>
      </c>
      <c r="E4636" s="783" t="s">
        <v>6480</v>
      </c>
      <c r="F4636" s="783" t="s">
        <v>4011</v>
      </c>
      <c r="G4636" s="783" t="str">
        <f t="shared" si="250"/>
        <v>New Contract</v>
      </c>
      <c r="H4636" s="783" t="s">
        <v>6481</v>
      </c>
      <c r="I4636" s="783" t="s">
        <v>6482</v>
      </c>
      <c r="J4636" s="783">
        <v>20</v>
      </c>
      <c r="K4636" s="783" t="s">
        <v>1018</v>
      </c>
      <c r="L4636" s="783" t="s">
        <v>4014</v>
      </c>
      <c r="M4636" s="784">
        <v>30294.66</v>
      </c>
      <c r="N4636" s="784">
        <v>25.63</v>
      </c>
      <c r="O4636" s="784">
        <v>1.97</v>
      </c>
      <c r="P4636" s="783">
        <v>600</v>
      </c>
      <c r="Q4636" s="783">
        <v>2366.0100000000002</v>
      </c>
      <c r="R4636" s="783">
        <v>1139.05</v>
      </c>
      <c r="S4636" s="783">
        <v>475.66</v>
      </c>
      <c r="T4636" s="783">
        <v>751.31</v>
      </c>
      <c r="U4636" s="785">
        <v>44680.727592592601</v>
      </c>
    </row>
    <row r="4637" spans="1:21">
      <c r="A4637" s="782">
        <v>44680</v>
      </c>
      <c r="B4637" s="783" t="s">
        <v>74</v>
      </c>
      <c r="C4637" s="783" t="s">
        <v>4097</v>
      </c>
      <c r="D4637" s="783" t="s">
        <v>4038</v>
      </c>
      <c r="E4637" s="783" t="s">
        <v>4747</v>
      </c>
      <c r="F4637" s="783" t="s">
        <v>4066</v>
      </c>
      <c r="G4637" s="783" t="str">
        <f t="shared" si="250"/>
        <v>Renewal (15% in 2020)</v>
      </c>
      <c r="H4637" s="783" t="s">
        <v>4748</v>
      </c>
      <c r="I4637" s="783" t="s">
        <v>4749</v>
      </c>
      <c r="J4637" s="783">
        <v>5</v>
      </c>
      <c r="K4637" s="783" t="s">
        <v>1018</v>
      </c>
      <c r="L4637" s="783" t="s">
        <v>4014</v>
      </c>
      <c r="M4637" s="784">
        <v>19740</v>
      </c>
      <c r="N4637" s="784">
        <v>19.739999999999998</v>
      </c>
      <c r="O4637" s="784">
        <v>2.5</v>
      </c>
      <c r="P4637" s="783">
        <v>400</v>
      </c>
      <c r="Q4637" s="783">
        <v>1930.57</v>
      </c>
      <c r="R4637" s="783">
        <v>0</v>
      </c>
      <c r="S4637" s="783">
        <v>0</v>
      </c>
      <c r="T4637" s="783">
        <v>1930.57</v>
      </c>
      <c r="U4637" s="785">
        <v>44683.4930902778</v>
      </c>
    </row>
    <row r="4638" spans="1:21">
      <c r="A4638" s="782">
        <v>44699</v>
      </c>
      <c r="B4638" s="783" t="s">
        <v>34</v>
      </c>
      <c r="C4638" s="783" t="s">
        <v>4139</v>
      </c>
      <c r="D4638" s="783" t="s">
        <v>4009</v>
      </c>
      <c r="E4638" s="783" t="s">
        <v>6486</v>
      </c>
      <c r="F4638" s="783" t="s">
        <v>4011</v>
      </c>
      <c r="G4638" s="783" t="str">
        <f t="shared" si="250"/>
        <v>Renewal (20% in 2020)</v>
      </c>
      <c r="H4638" s="783" t="s">
        <v>6487</v>
      </c>
      <c r="I4638" s="783" t="s">
        <v>6488</v>
      </c>
      <c r="J4638" s="783">
        <v>20</v>
      </c>
      <c r="K4638" s="783" t="s">
        <v>1018</v>
      </c>
      <c r="L4638" s="783" t="s">
        <v>4014</v>
      </c>
      <c r="M4638" s="784">
        <v>27189.06</v>
      </c>
      <c r="N4638" s="784">
        <v>30.01</v>
      </c>
      <c r="O4638" s="784">
        <v>1.51</v>
      </c>
      <c r="P4638" s="783">
        <v>600</v>
      </c>
      <c r="Q4638" s="783">
        <v>1457.33</v>
      </c>
      <c r="R4638" s="783">
        <v>719.88</v>
      </c>
      <c r="S4638" s="783">
        <v>277.95</v>
      </c>
      <c r="T4638" s="783">
        <v>459.5</v>
      </c>
      <c r="U4638" s="785">
        <v>44700.617939814802</v>
      </c>
    </row>
    <row r="4639" spans="1:21">
      <c r="A4639" s="782">
        <v>44713</v>
      </c>
      <c r="B4639" s="783" t="s">
        <v>65</v>
      </c>
      <c r="C4639" s="783" t="s">
        <v>4139</v>
      </c>
      <c r="D4639" s="783" t="s">
        <v>4009</v>
      </c>
      <c r="E4639" s="783" t="s">
        <v>6632</v>
      </c>
      <c r="F4639" s="783" t="s">
        <v>4011</v>
      </c>
      <c r="G4639" s="783" t="s">
        <v>4028</v>
      </c>
      <c r="H4639" s="783" t="s">
        <v>6633</v>
      </c>
      <c r="I4639" s="783" t="s">
        <v>6634</v>
      </c>
      <c r="J4639" s="783">
        <v>25</v>
      </c>
      <c r="K4639" s="783" t="s">
        <v>1018</v>
      </c>
      <c r="L4639" s="783" t="s">
        <v>4014</v>
      </c>
      <c r="M4639" s="784">
        <v>30348.44</v>
      </c>
      <c r="N4639" s="784">
        <v>34.49</v>
      </c>
      <c r="O4639" s="784">
        <v>1.36</v>
      </c>
      <c r="P4639" s="783">
        <v>647</v>
      </c>
      <c r="Q4639" s="783">
        <v>1250.3599999999999</v>
      </c>
      <c r="R4639" s="783">
        <v>745.16</v>
      </c>
      <c r="S4639" s="783">
        <v>368.62</v>
      </c>
      <c r="T4639" s="783">
        <v>136.57</v>
      </c>
      <c r="U4639" s="785">
        <v>44715.420486111099</v>
      </c>
    </row>
    <row r="4640" spans="1:21">
      <c r="A4640" s="782">
        <v>44713</v>
      </c>
      <c r="B4640" s="783" t="s">
        <v>41</v>
      </c>
      <c r="C4640" s="783" t="s">
        <v>4092</v>
      </c>
      <c r="D4640" s="783" t="s">
        <v>4009</v>
      </c>
      <c r="E4640" s="783" t="s">
        <v>6492</v>
      </c>
      <c r="F4640" s="783" t="s">
        <v>4011</v>
      </c>
      <c r="G4640" s="783" t="str">
        <f>VLOOKUP(I4640,pacage,2,FALSE)</f>
        <v>New contract</v>
      </c>
      <c r="H4640" s="783" t="s">
        <v>6493</v>
      </c>
      <c r="I4640" s="783" t="s">
        <v>6494</v>
      </c>
      <c r="J4640" s="783">
        <v>25</v>
      </c>
      <c r="K4640" s="783" t="s">
        <v>1018</v>
      </c>
      <c r="L4640" s="783" t="s">
        <v>4014</v>
      </c>
      <c r="M4640" s="784">
        <v>7067.22</v>
      </c>
      <c r="N4640" s="784">
        <v>9.7200000000000006</v>
      </c>
      <c r="O4640" s="784">
        <v>1.46</v>
      </c>
      <c r="P4640" s="783">
        <v>498</v>
      </c>
      <c r="Q4640" s="783">
        <v>479.86</v>
      </c>
      <c r="R4640" s="783">
        <v>360.43</v>
      </c>
      <c r="S4640" s="783">
        <v>63.6</v>
      </c>
      <c r="T4640" s="783">
        <v>55.83</v>
      </c>
      <c r="U4640" s="785">
        <v>44715.4397916667</v>
      </c>
    </row>
    <row r="4641" spans="1:21">
      <c r="A4641" s="782">
        <v>44713</v>
      </c>
      <c r="B4641" s="783" t="s">
        <v>41</v>
      </c>
      <c r="C4641" s="783" t="s">
        <v>4071</v>
      </c>
      <c r="D4641" s="783" t="s">
        <v>4009</v>
      </c>
      <c r="E4641" s="783" t="s">
        <v>6492</v>
      </c>
      <c r="F4641" s="783" t="s">
        <v>4011</v>
      </c>
      <c r="G4641" s="783" t="str">
        <f>VLOOKUP(I4641,pacage,2,FALSE)</f>
        <v>New contract</v>
      </c>
      <c r="H4641" s="783" t="s">
        <v>6493</v>
      </c>
      <c r="I4641" s="783" t="s">
        <v>6494</v>
      </c>
      <c r="J4641" s="783">
        <v>25</v>
      </c>
      <c r="K4641" s="783" t="s">
        <v>1018</v>
      </c>
      <c r="L4641" s="783" t="s">
        <v>4014</v>
      </c>
      <c r="M4641" s="784">
        <v>1846.78</v>
      </c>
      <c r="N4641" s="784">
        <v>2.54</v>
      </c>
      <c r="O4641" s="784">
        <v>1.46</v>
      </c>
      <c r="P4641" s="783">
        <v>498</v>
      </c>
      <c r="Q4641" s="783">
        <v>88.65</v>
      </c>
      <c r="R4641" s="783">
        <v>68.7</v>
      </c>
      <c r="S4641" s="783">
        <v>10.34</v>
      </c>
      <c r="T4641" s="783">
        <v>9.6</v>
      </c>
      <c r="U4641" s="785">
        <v>44715.4397916667</v>
      </c>
    </row>
    <row r="4642" spans="1:21">
      <c r="A4642" s="782">
        <v>44712</v>
      </c>
      <c r="B4642" s="783" t="s">
        <v>74</v>
      </c>
      <c r="C4642" s="783" t="s">
        <v>4037</v>
      </c>
      <c r="D4642" s="783" t="s">
        <v>4038</v>
      </c>
      <c r="E4642" s="783" t="s">
        <v>7087</v>
      </c>
      <c r="F4642" s="783" t="s">
        <v>4011</v>
      </c>
      <c r="G4642" s="783" t="str">
        <f>VLOOKUP(I4642,pacage,2,FALSE)</f>
        <v>Renewal (25% in 2020)</v>
      </c>
      <c r="H4642" s="783" t="s">
        <v>7088</v>
      </c>
      <c r="I4642" s="783" t="s">
        <v>7089</v>
      </c>
      <c r="J4642" s="783">
        <v>30</v>
      </c>
      <c r="K4642" s="783" t="s">
        <v>1018</v>
      </c>
      <c r="L4642" s="783" t="s">
        <v>4014</v>
      </c>
      <c r="M4642" s="784">
        <v>29062</v>
      </c>
      <c r="N4642" s="784">
        <v>26.42</v>
      </c>
      <c r="O4642" s="784">
        <v>2.2000000000000002</v>
      </c>
      <c r="P4642" s="783">
        <v>500</v>
      </c>
      <c r="Q4642" s="783">
        <v>2048.87</v>
      </c>
      <c r="R4642" s="783">
        <v>1568.86</v>
      </c>
      <c r="S4642" s="783">
        <v>6.3</v>
      </c>
      <c r="T4642" s="783">
        <v>473.71</v>
      </c>
      <c r="U4642" s="785">
        <v>44714.567337963003</v>
      </c>
    </row>
    <row r="4643" spans="1:21">
      <c r="A4643" s="782">
        <v>44712</v>
      </c>
      <c r="B4643" s="783" t="s">
        <v>34</v>
      </c>
      <c r="C4643" s="783" t="s">
        <v>4082</v>
      </c>
      <c r="D4643" s="783" t="s">
        <v>4009</v>
      </c>
      <c r="E4643" s="783" t="s">
        <v>4083</v>
      </c>
      <c r="F4643" s="783" t="s">
        <v>4011</v>
      </c>
      <c r="G4643" s="783" t="s">
        <v>4028</v>
      </c>
      <c r="H4643" s="783" t="s">
        <v>4084</v>
      </c>
      <c r="I4643" s="783" t="s">
        <v>4085</v>
      </c>
      <c r="J4643" s="783">
        <v>25</v>
      </c>
      <c r="K4643" s="783" t="s">
        <v>1018</v>
      </c>
      <c r="L4643" s="783" t="s">
        <v>4014</v>
      </c>
      <c r="M4643" s="784">
        <v>18747.3</v>
      </c>
      <c r="N4643" s="784">
        <v>17.48</v>
      </c>
      <c r="O4643" s="784">
        <v>1.95</v>
      </c>
      <c r="P4643" s="783">
        <v>550</v>
      </c>
      <c r="Q4643" s="783">
        <v>1126.71</v>
      </c>
      <c r="R4643" s="783">
        <v>768.96</v>
      </c>
      <c r="S4643" s="783">
        <v>230.27</v>
      </c>
      <c r="T4643" s="783">
        <v>127.48</v>
      </c>
      <c r="U4643" s="785">
        <v>44714.003958333298</v>
      </c>
    </row>
    <row r="4644" spans="1:21">
      <c r="A4644" s="782">
        <v>44698</v>
      </c>
      <c r="B4644" s="783" t="s">
        <v>41</v>
      </c>
      <c r="C4644" s="783" t="s">
        <v>4071</v>
      </c>
      <c r="D4644" s="783" t="s">
        <v>4009</v>
      </c>
      <c r="E4644" s="783" t="s">
        <v>6495</v>
      </c>
      <c r="F4644" s="783" t="s">
        <v>4011</v>
      </c>
      <c r="G4644" s="783" t="str">
        <f>VLOOKUP(I4644,pacage,2,FALSE)</f>
        <v>Renewal (20% in 2020)</v>
      </c>
      <c r="H4644" s="783" t="s">
        <v>6496</v>
      </c>
      <c r="I4644" s="783" t="s">
        <v>6497</v>
      </c>
      <c r="J4644" s="783">
        <v>20</v>
      </c>
      <c r="K4644" s="783" t="s">
        <v>1018</v>
      </c>
      <c r="L4644" s="783" t="s">
        <v>4014</v>
      </c>
      <c r="M4644" s="784">
        <v>19000</v>
      </c>
      <c r="N4644" s="784">
        <v>9.5</v>
      </c>
      <c r="O4644" s="784">
        <v>2</v>
      </c>
      <c r="P4644" s="783">
        <v>1000</v>
      </c>
      <c r="Q4644" s="783">
        <v>1183.7</v>
      </c>
      <c r="R4644" s="783">
        <v>351.99</v>
      </c>
      <c r="S4644" s="783">
        <v>461.21</v>
      </c>
      <c r="T4644" s="783">
        <v>370.5</v>
      </c>
      <c r="U4644" s="785">
        <v>44699.4859027778</v>
      </c>
    </row>
    <row r="4645" spans="1:21">
      <c r="A4645" s="782">
        <v>44694</v>
      </c>
      <c r="B4645" s="783" t="s">
        <v>4025</v>
      </c>
      <c r="C4645" s="783" t="s">
        <v>4026</v>
      </c>
      <c r="D4645" s="783" t="s">
        <v>4021</v>
      </c>
      <c r="E4645" s="783" t="s">
        <v>5765</v>
      </c>
      <c r="F4645" s="783" t="s">
        <v>4011</v>
      </c>
      <c r="G4645" s="783" t="s">
        <v>4028</v>
      </c>
      <c r="H4645" s="783" t="s">
        <v>5766</v>
      </c>
      <c r="I4645" s="783" t="s">
        <v>5767</v>
      </c>
      <c r="J4645" s="783">
        <v>20</v>
      </c>
      <c r="K4645" s="783" t="s">
        <v>1018</v>
      </c>
      <c r="L4645" s="783" t="s">
        <v>4014</v>
      </c>
      <c r="M4645" s="784">
        <v>39115.03</v>
      </c>
      <c r="N4645" s="784">
        <v>27.48</v>
      </c>
      <c r="O4645" s="784">
        <v>2.2000000000000002</v>
      </c>
      <c r="P4645" s="783">
        <v>647</v>
      </c>
      <c r="Q4645" s="783">
        <v>3129.2</v>
      </c>
      <c r="R4645" s="783">
        <v>1363.85</v>
      </c>
      <c r="S4645" s="783">
        <v>693.6</v>
      </c>
      <c r="T4645" s="783">
        <v>1071.75</v>
      </c>
      <c r="U4645" s="785">
        <v>44694.733784722201</v>
      </c>
    </row>
    <row r="4646" spans="1:21">
      <c r="A4646" s="782">
        <v>44698</v>
      </c>
      <c r="B4646" s="783" t="s">
        <v>41</v>
      </c>
      <c r="C4646" s="783" t="s">
        <v>4071</v>
      </c>
      <c r="D4646" s="783" t="s">
        <v>4009</v>
      </c>
      <c r="E4646" s="783" t="s">
        <v>6498</v>
      </c>
      <c r="F4646" s="783" t="s">
        <v>4011</v>
      </c>
      <c r="G4646" s="783" t="str">
        <f t="shared" ref="G4646:G4652" si="251">VLOOKUP(I4646,pacage,2,FALSE)</f>
        <v>Renewal (20% in 2020)</v>
      </c>
      <c r="H4646" s="783" t="s">
        <v>6499</v>
      </c>
      <c r="I4646" s="783" t="s">
        <v>6500</v>
      </c>
      <c r="J4646" s="783">
        <v>20</v>
      </c>
      <c r="K4646" s="783" t="s">
        <v>1018</v>
      </c>
      <c r="L4646" s="783" t="s">
        <v>4014</v>
      </c>
      <c r="M4646" s="784">
        <v>28164.240000000002</v>
      </c>
      <c r="N4646" s="784">
        <v>30.09</v>
      </c>
      <c r="O4646" s="784">
        <v>1.44</v>
      </c>
      <c r="P4646" s="783">
        <v>650</v>
      </c>
      <c r="Q4646" s="783">
        <v>1754.63</v>
      </c>
      <c r="R4646" s="783">
        <v>802.71</v>
      </c>
      <c r="S4646" s="783">
        <v>402.72</v>
      </c>
      <c r="T4646" s="783">
        <v>549.20000000000005</v>
      </c>
      <c r="U4646" s="785">
        <v>44699.751469907402</v>
      </c>
    </row>
    <row r="4647" spans="1:21">
      <c r="A4647" s="782">
        <v>44701</v>
      </c>
      <c r="B4647" s="783" t="s">
        <v>74</v>
      </c>
      <c r="C4647" s="783" t="s">
        <v>4037</v>
      </c>
      <c r="D4647" s="783" t="s">
        <v>4038</v>
      </c>
      <c r="E4647" s="783" t="s">
        <v>1912</v>
      </c>
      <c r="F4647" s="783" t="s">
        <v>4011</v>
      </c>
      <c r="G4647" s="783" t="str">
        <f t="shared" si="251"/>
        <v>Renewal (25% in 2020)</v>
      </c>
      <c r="H4647" s="783" t="s">
        <v>4388</v>
      </c>
      <c r="I4647" s="783" t="s">
        <v>4389</v>
      </c>
      <c r="J4647" s="783">
        <v>30</v>
      </c>
      <c r="K4647" s="783" t="s">
        <v>1018</v>
      </c>
      <c r="L4647" s="783" t="s">
        <v>4014</v>
      </c>
      <c r="M4647" s="784">
        <v>40624.35</v>
      </c>
      <c r="N4647" s="784">
        <v>32.630000000000003</v>
      </c>
      <c r="O4647" s="784">
        <v>2.5</v>
      </c>
      <c r="P4647" s="783">
        <v>498</v>
      </c>
      <c r="Q4647" s="783">
        <v>2864.02</v>
      </c>
      <c r="R4647" s="783">
        <v>2201.84</v>
      </c>
      <c r="S4647" s="783">
        <v>0</v>
      </c>
      <c r="T4647" s="783">
        <v>662.18</v>
      </c>
      <c r="U4647" s="785">
        <v>44704.416030092601</v>
      </c>
    </row>
    <row r="4648" spans="1:21">
      <c r="A4648" s="782">
        <v>44658</v>
      </c>
      <c r="B4648" s="783" t="s">
        <v>41</v>
      </c>
      <c r="C4648" s="783" t="s">
        <v>4092</v>
      </c>
      <c r="D4648" s="783" t="s">
        <v>4009</v>
      </c>
      <c r="E4648" s="783" t="s">
        <v>6501</v>
      </c>
      <c r="F4648" s="783" t="s">
        <v>4011</v>
      </c>
      <c r="G4648" s="783" t="str">
        <f t="shared" si="251"/>
        <v>Renewal (20% in 2020)</v>
      </c>
      <c r="H4648" s="783" t="s">
        <v>6502</v>
      </c>
      <c r="I4648" s="783" t="s">
        <v>6503</v>
      </c>
      <c r="J4648" s="783">
        <v>20</v>
      </c>
      <c r="K4648" s="783" t="s">
        <v>1018</v>
      </c>
      <c r="L4648" s="783" t="s">
        <v>4014</v>
      </c>
      <c r="M4648" s="784">
        <v>11304</v>
      </c>
      <c r="N4648" s="784">
        <v>7.85</v>
      </c>
      <c r="O4648" s="784">
        <v>1.8</v>
      </c>
      <c r="P4648" s="783">
        <v>800</v>
      </c>
      <c r="Q4648" s="783">
        <v>997.01</v>
      </c>
      <c r="R4648" s="783">
        <v>358.87</v>
      </c>
      <c r="S4648" s="783">
        <v>319.37</v>
      </c>
      <c r="T4648" s="783">
        <v>318.77</v>
      </c>
      <c r="U4648" s="785">
        <v>44659.401261574101</v>
      </c>
    </row>
    <row r="4649" spans="1:21">
      <c r="A4649" s="782">
        <v>44704</v>
      </c>
      <c r="B4649" s="783" t="s">
        <v>41</v>
      </c>
      <c r="C4649" s="783" t="s">
        <v>4092</v>
      </c>
      <c r="D4649" s="783" t="s">
        <v>4009</v>
      </c>
      <c r="E4649" s="783" t="s">
        <v>4778</v>
      </c>
      <c r="F4649" s="783" t="s">
        <v>4011</v>
      </c>
      <c r="G4649" s="783" t="str">
        <f t="shared" si="251"/>
        <v>Renewal (25% in 2020)</v>
      </c>
      <c r="H4649" s="783" t="s">
        <v>4779</v>
      </c>
      <c r="I4649" s="783" t="s">
        <v>4780</v>
      </c>
      <c r="J4649" s="783">
        <v>25</v>
      </c>
      <c r="K4649" s="783" t="s">
        <v>1018</v>
      </c>
      <c r="L4649" s="783" t="s">
        <v>4014</v>
      </c>
      <c r="M4649" s="784">
        <v>3153.33</v>
      </c>
      <c r="N4649" s="784">
        <v>2.29</v>
      </c>
      <c r="O4649" s="784">
        <v>1.53</v>
      </c>
      <c r="P4649" s="783">
        <v>900</v>
      </c>
      <c r="Q4649" s="783">
        <v>214.11</v>
      </c>
      <c r="R4649" s="783">
        <v>88.99</v>
      </c>
      <c r="S4649" s="783">
        <v>100.21</v>
      </c>
      <c r="T4649" s="783">
        <v>24.91</v>
      </c>
      <c r="U4649" s="785">
        <v>44704.574444444399</v>
      </c>
    </row>
    <row r="4650" spans="1:21">
      <c r="A4650" s="782">
        <v>44711</v>
      </c>
      <c r="B4650" s="783" t="s">
        <v>74</v>
      </c>
      <c r="C4650" s="783" t="s">
        <v>4097</v>
      </c>
      <c r="D4650" s="783" t="s">
        <v>4038</v>
      </c>
      <c r="E4650" s="783" t="s">
        <v>6504</v>
      </c>
      <c r="F4650" s="783" t="s">
        <v>4011</v>
      </c>
      <c r="G4650" s="783" t="str">
        <f t="shared" si="251"/>
        <v>Renewal (15% in 2020)</v>
      </c>
      <c r="H4650" s="783" t="s">
        <v>6505</v>
      </c>
      <c r="I4650" s="783" t="s">
        <v>6506</v>
      </c>
      <c r="J4650" s="783">
        <v>20</v>
      </c>
      <c r="K4650" s="783" t="s">
        <v>1018</v>
      </c>
      <c r="L4650" s="783" t="s">
        <v>4014</v>
      </c>
      <c r="M4650" s="784">
        <v>33907.5</v>
      </c>
      <c r="N4650" s="784">
        <v>34.25</v>
      </c>
      <c r="O4650" s="784">
        <v>1.8</v>
      </c>
      <c r="P4650" s="783">
        <v>550</v>
      </c>
      <c r="Q4650" s="783">
        <v>2871.97</v>
      </c>
      <c r="R4650" s="783">
        <v>1602.63</v>
      </c>
      <c r="S4650" s="783">
        <v>441.99</v>
      </c>
      <c r="T4650" s="783">
        <v>827.34</v>
      </c>
      <c r="U4650" s="785">
        <v>44714.000162037002</v>
      </c>
    </row>
    <row r="4651" spans="1:21">
      <c r="A4651" s="782">
        <v>44673</v>
      </c>
      <c r="B4651" s="783" t="s">
        <v>882</v>
      </c>
      <c r="C4651" s="783" t="s">
        <v>4052</v>
      </c>
      <c r="D4651" s="783" t="s">
        <v>4021</v>
      </c>
      <c r="E4651" s="783" t="s">
        <v>6507</v>
      </c>
      <c r="F4651" s="783" t="s">
        <v>4011</v>
      </c>
      <c r="G4651" s="783" t="str">
        <f t="shared" si="251"/>
        <v>Renewal (25% in 2020)</v>
      </c>
      <c r="H4651" s="783" t="s">
        <v>6508</v>
      </c>
      <c r="I4651" s="783" t="s">
        <v>6509</v>
      </c>
      <c r="J4651" s="783">
        <v>25</v>
      </c>
      <c r="K4651" s="783" t="s">
        <v>1018</v>
      </c>
      <c r="L4651" s="783" t="s">
        <v>4014</v>
      </c>
      <c r="M4651" s="784">
        <v>14287.81</v>
      </c>
      <c r="N4651" s="784">
        <v>22.09</v>
      </c>
      <c r="O4651" s="784">
        <v>1.96</v>
      </c>
      <c r="P4651" s="783">
        <v>330</v>
      </c>
      <c r="Q4651" s="783">
        <v>887.27</v>
      </c>
      <c r="R4651" s="783">
        <v>675.81</v>
      </c>
      <c r="S4651" s="783">
        <v>102.87</v>
      </c>
      <c r="T4651" s="783">
        <v>108.59</v>
      </c>
      <c r="U4651" s="785">
        <v>44676.705798611103</v>
      </c>
    </row>
    <row r="4652" spans="1:21">
      <c r="A4652" s="782">
        <v>44630</v>
      </c>
      <c r="B4652" s="783" t="s">
        <v>41</v>
      </c>
      <c r="C4652" s="783" t="s">
        <v>4071</v>
      </c>
      <c r="D4652" s="783" t="s">
        <v>4009</v>
      </c>
      <c r="E4652" s="783" t="s">
        <v>6510</v>
      </c>
      <c r="F4652" s="783" t="s">
        <v>4011</v>
      </c>
      <c r="G4652" s="783" t="str">
        <f t="shared" si="251"/>
        <v>Renewal (30% in 2020)</v>
      </c>
      <c r="H4652" s="783" t="s">
        <v>6511</v>
      </c>
      <c r="I4652" s="783" t="s">
        <v>6512</v>
      </c>
      <c r="J4652" s="783">
        <v>25</v>
      </c>
      <c r="K4652" s="783" t="s">
        <v>1018</v>
      </c>
      <c r="L4652" s="783" t="s">
        <v>4014</v>
      </c>
      <c r="M4652" s="784">
        <v>38002.639999999999</v>
      </c>
      <c r="N4652" s="784">
        <v>42.39</v>
      </c>
      <c r="O4652" s="784">
        <v>1.63</v>
      </c>
      <c r="P4652" s="783">
        <v>550</v>
      </c>
      <c r="Q4652" s="783">
        <v>1824.13</v>
      </c>
      <c r="R4652" s="783">
        <v>1280.04</v>
      </c>
      <c r="S4652" s="783">
        <v>346.47</v>
      </c>
      <c r="T4652" s="783">
        <v>197.61</v>
      </c>
      <c r="U4652" s="785">
        <v>44631.631307870397</v>
      </c>
    </row>
    <row r="4653" spans="1:21">
      <c r="A4653" s="782">
        <v>44700</v>
      </c>
      <c r="B4653" s="783" t="s">
        <v>74</v>
      </c>
      <c r="C4653" s="783" t="s">
        <v>4037</v>
      </c>
      <c r="D4653" s="783" t="s">
        <v>4038</v>
      </c>
      <c r="E4653" s="783" t="s">
        <v>4750</v>
      </c>
      <c r="F4653" s="783" t="s">
        <v>4011</v>
      </c>
      <c r="G4653" s="783" t="s">
        <v>4028</v>
      </c>
      <c r="H4653" s="783" t="s">
        <v>4751</v>
      </c>
      <c r="I4653" s="783" t="s">
        <v>4752</v>
      </c>
      <c r="J4653" s="783">
        <v>25</v>
      </c>
      <c r="K4653" s="783" t="s">
        <v>1018</v>
      </c>
      <c r="L4653" s="783" t="s">
        <v>4014</v>
      </c>
      <c r="M4653" s="784">
        <v>22356</v>
      </c>
      <c r="N4653" s="784">
        <v>33.119999999999997</v>
      </c>
      <c r="O4653" s="784">
        <v>1.5</v>
      </c>
      <c r="P4653" s="783">
        <v>450</v>
      </c>
      <c r="Q4653" s="783">
        <v>1768.36</v>
      </c>
      <c r="R4653" s="783">
        <v>1211.7</v>
      </c>
      <c r="S4653" s="783">
        <v>192.26</v>
      </c>
      <c r="T4653" s="783">
        <v>364.4</v>
      </c>
      <c r="U4653" s="785">
        <v>44708.963460648098</v>
      </c>
    </row>
    <row r="4654" spans="1:21">
      <c r="A4654" s="782">
        <v>44698</v>
      </c>
      <c r="B4654" s="783" t="s">
        <v>74</v>
      </c>
      <c r="C4654" s="783" t="s">
        <v>4097</v>
      </c>
      <c r="D4654" s="783" t="s">
        <v>4038</v>
      </c>
      <c r="E4654" s="783" t="s">
        <v>6513</v>
      </c>
      <c r="F4654" s="783" t="s">
        <v>4011</v>
      </c>
      <c r="G4654" s="783" t="str">
        <f>VLOOKUP(I4654,pacage,2,FALSE)</f>
        <v>New contract</v>
      </c>
      <c r="H4654" s="783" t="s">
        <v>6514</v>
      </c>
      <c r="I4654" s="783" t="s">
        <v>6515</v>
      </c>
      <c r="J4654" s="783">
        <v>25</v>
      </c>
      <c r="K4654" s="783" t="s">
        <v>1018</v>
      </c>
      <c r="L4654" s="783" t="s">
        <v>4014</v>
      </c>
      <c r="M4654" s="784">
        <v>20571.2</v>
      </c>
      <c r="N4654" s="784">
        <v>19.78</v>
      </c>
      <c r="O4654" s="784">
        <v>2.08</v>
      </c>
      <c r="P4654" s="783">
        <v>500</v>
      </c>
      <c r="Q4654" s="783">
        <v>1497.58</v>
      </c>
      <c r="R4654" s="783">
        <v>1069.52</v>
      </c>
      <c r="S4654" s="783">
        <v>170.92</v>
      </c>
      <c r="T4654" s="783">
        <v>257.14</v>
      </c>
      <c r="U4654" s="785">
        <v>44708.971863425897</v>
      </c>
    </row>
    <row r="4655" spans="1:21">
      <c r="A4655" s="782">
        <v>44560</v>
      </c>
      <c r="B4655" s="783" t="s">
        <v>4025</v>
      </c>
      <c r="C4655" s="783" t="s">
        <v>4026</v>
      </c>
      <c r="D4655" s="783" t="s">
        <v>4021</v>
      </c>
      <c r="E4655" s="783" t="s">
        <v>4781</v>
      </c>
      <c r="F4655" s="783" t="s">
        <v>4011</v>
      </c>
      <c r="G4655" s="783" t="s">
        <v>4028</v>
      </c>
      <c r="H4655" s="783" t="s">
        <v>4782</v>
      </c>
      <c r="I4655" s="783" t="s">
        <v>4783</v>
      </c>
      <c r="J4655" s="783">
        <v>25</v>
      </c>
      <c r="K4655" s="783" t="s">
        <v>1018</v>
      </c>
      <c r="L4655" s="783" t="s">
        <v>4014</v>
      </c>
      <c r="M4655" s="784">
        <v>4260</v>
      </c>
      <c r="N4655" s="784">
        <v>5</v>
      </c>
      <c r="O4655" s="784">
        <v>1.42</v>
      </c>
      <c r="P4655" s="783">
        <v>600</v>
      </c>
      <c r="Q4655" s="783">
        <v>266.68</v>
      </c>
      <c r="R4655" s="783">
        <v>160.16999999999999</v>
      </c>
      <c r="S4655" s="783">
        <v>63.9</v>
      </c>
      <c r="T4655" s="783">
        <v>42.6</v>
      </c>
      <c r="U4655" s="785">
        <v>44631.635648148098</v>
      </c>
    </row>
    <row r="4656" spans="1:21">
      <c r="A4656" s="782">
        <v>44525</v>
      </c>
      <c r="B4656" s="783" t="s">
        <v>74</v>
      </c>
      <c r="C4656" s="783" t="s">
        <v>4037</v>
      </c>
      <c r="D4656" s="783" t="s">
        <v>4038</v>
      </c>
      <c r="E4656" s="783" t="s">
        <v>6519</v>
      </c>
      <c r="F4656" s="783" t="s">
        <v>4011</v>
      </c>
      <c r="G4656" s="783" t="str">
        <f>VLOOKUP(I4656,pacage,2,FALSE)</f>
        <v>Renewal (25% in 2020)</v>
      </c>
      <c r="H4656" s="783" t="s">
        <v>6520</v>
      </c>
      <c r="I4656" s="783" t="s">
        <v>6521</v>
      </c>
      <c r="J4656" s="783">
        <v>20</v>
      </c>
      <c r="K4656" s="783" t="s">
        <v>1018</v>
      </c>
      <c r="L4656" s="783" t="s">
        <v>4014</v>
      </c>
      <c r="M4656" s="784">
        <v>3276.54</v>
      </c>
      <c r="N4656" s="784">
        <v>4.91</v>
      </c>
      <c r="O4656" s="784">
        <v>1.34</v>
      </c>
      <c r="P4656" s="783">
        <v>498</v>
      </c>
      <c r="Q4656" s="783">
        <v>299.48</v>
      </c>
      <c r="R4656" s="783">
        <v>177.59</v>
      </c>
      <c r="S4656" s="783">
        <v>28.18</v>
      </c>
      <c r="T4656" s="783">
        <v>93.71</v>
      </c>
      <c r="U4656" s="785">
        <v>44631.636157407404</v>
      </c>
    </row>
    <row r="4657" spans="1:21">
      <c r="A4657" s="782">
        <v>44559</v>
      </c>
      <c r="B4657" s="783" t="s">
        <v>74</v>
      </c>
      <c r="C4657" s="783" t="s">
        <v>6308</v>
      </c>
      <c r="D4657" s="783" t="s">
        <v>4038</v>
      </c>
      <c r="E4657" s="783" t="s">
        <v>6525</v>
      </c>
      <c r="F4657" s="783" t="s">
        <v>4011</v>
      </c>
      <c r="G4657" s="783" t="s">
        <v>4028</v>
      </c>
      <c r="H4657" s="783" t="s">
        <v>6526</v>
      </c>
      <c r="I4657" s="783" t="s">
        <v>6527</v>
      </c>
      <c r="J4657" s="783">
        <v>20</v>
      </c>
      <c r="K4657" s="783" t="s">
        <v>1018</v>
      </c>
      <c r="L4657" s="783" t="s">
        <v>4014</v>
      </c>
      <c r="M4657" s="784">
        <v>8568</v>
      </c>
      <c r="N4657" s="784">
        <v>7.14</v>
      </c>
      <c r="O4657" s="784">
        <v>2</v>
      </c>
      <c r="P4657" s="783">
        <v>600</v>
      </c>
      <c r="Q4657" s="783">
        <v>765.98</v>
      </c>
      <c r="R4657" s="783">
        <v>349.17</v>
      </c>
      <c r="S4657" s="783">
        <v>138.35</v>
      </c>
      <c r="T4657" s="783">
        <v>278.45999999999998</v>
      </c>
      <c r="U4657" s="785">
        <v>44631.636898148201</v>
      </c>
    </row>
    <row r="4658" spans="1:21">
      <c r="A4658" s="782">
        <v>44561</v>
      </c>
      <c r="B4658" s="783" t="s">
        <v>41</v>
      </c>
      <c r="C4658" s="783" t="s">
        <v>4082</v>
      </c>
      <c r="D4658" s="783" t="s">
        <v>4009</v>
      </c>
      <c r="E4658" s="783" t="s">
        <v>6528</v>
      </c>
      <c r="F4658" s="783" t="s">
        <v>4011</v>
      </c>
      <c r="G4658" s="783" t="str">
        <f>VLOOKUP(I4658,pacage,2,FALSE)</f>
        <v>Renewal (25% in 2020)</v>
      </c>
      <c r="H4658" s="783" t="s">
        <v>6529</v>
      </c>
      <c r="I4658" s="783" t="s">
        <v>6530</v>
      </c>
      <c r="J4658" s="783">
        <v>25</v>
      </c>
      <c r="K4658" s="783" t="s">
        <v>1018</v>
      </c>
      <c r="L4658" s="783" t="s">
        <v>4014</v>
      </c>
      <c r="M4658" s="784">
        <v>12370.32</v>
      </c>
      <c r="N4658" s="784">
        <v>12.42</v>
      </c>
      <c r="O4658" s="784">
        <v>2</v>
      </c>
      <c r="P4658" s="783">
        <v>498</v>
      </c>
      <c r="Q4658" s="783">
        <v>743.46</v>
      </c>
      <c r="R4658" s="783">
        <v>560.38</v>
      </c>
      <c r="S4658" s="783">
        <v>98.96</v>
      </c>
      <c r="T4658" s="783">
        <v>84.12</v>
      </c>
      <c r="U4658" s="785">
        <v>44631.637152777803</v>
      </c>
    </row>
    <row r="4659" spans="1:21">
      <c r="A4659" s="782">
        <v>44483</v>
      </c>
      <c r="B4659" s="783" t="s">
        <v>4025</v>
      </c>
      <c r="C4659" s="783" t="s">
        <v>4026</v>
      </c>
      <c r="D4659" s="783" t="s">
        <v>4021</v>
      </c>
      <c r="E4659" s="783" t="s">
        <v>6531</v>
      </c>
      <c r="F4659" s="783" t="s">
        <v>4011</v>
      </c>
      <c r="G4659" s="783" t="str">
        <f>VLOOKUP(I4659,pacage,2,FALSE)</f>
        <v>New Contract</v>
      </c>
      <c r="H4659" s="783" t="s">
        <v>6532</v>
      </c>
      <c r="I4659" s="783" t="s">
        <v>6533</v>
      </c>
      <c r="J4659" s="783">
        <v>20</v>
      </c>
      <c r="K4659" s="783" t="s">
        <v>1018</v>
      </c>
      <c r="L4659" s="783" t="s">
        <v>4014</v>
      </c>
      <c r="M4659" s="784">
        <v>17988.3</v>
      </c>
      <c r="N4659" s="784">
        <v>26.07</v>
      </c>
      <c r="O4659" s="784">
        <v>1.1499999999999999</v>
      </c>
      <c r="P4659" s="783">
        <v>600</v>
      </c>
      <c r="Q4659" s="783">
        <v>1439.06</v>
      </c>
      <c r="R4659" s="783">
        <v>676.34</v>
      </c>
      <c r="S4659" s="783">
        <v>269.83999999999997</v>
      </c>
      <c r="T4659" s="783">
        <v>492.88</v>
      </c>
      <c r="U4659" s="785">
        <v>44631.636736111097</v>
      </c>
    </row>
    <row r="4660" spans="1:21">
      <c r="A4660" s="782">
        <v>44582</v>
      </c>
      <c r="B4660" s="783" t="s">
        <v>4025</v>
      </c>
      <c r="C4660" s="783" t="s">
        <v>4026</v>
      </c>
      <c r="D4660" s="783" t="s">
        <v>4021</v>
      </c>
      <c r="E4660" s="783" t="s">
        <v>7155</v>
      </c>
      <c r="F4660" s="783" t="s">
        <v>4066</v>
      </c>
      <c r="G4660" s="783" t="s">
        <v>4028</v>
      </c>
      <c r="H4660" s="783" t="s">
        <v>7156</v>
      </c>
      <c r="I4660" s="783" t="s">
        <v>7157</v>
      </c>
      <c r="J4660" s="783">
        <v>10</v>
      </c>
      <c r="K4660" s="783" t="s">
        <v>1018</v>
      </c>
      <c r="L4660" s="783" t="s">
        <v>4014</v>
      </c>
      <c r="M4660" s="784">
        <v>21000</v>
      </c>
      <c r="N4660" s="784">
        <v>21</v>
      </c>
      <c r="O4660" s="784">
        <v>2</v>
      </c>
      <c r="P4660" s="783">
        <v>500</v>
      </c>
      <c r="Q4660" s="783">
        <v>525</v>
      </c>
      <c r="R4660" s="783">
        <v>0</v>
      </c>
      <c r="S4660" s="783">
        <v>0</v>
      </c>
      <c r="T4660" s="783">
        <v>525</v>
      </c>
      <c r="U4660" s="785">
        <v>44631.638321759303</v>
      </c>
    </row>
    <row r="4661" spans="1:21">
      <c r="A4661" s="782">
        <v>44708</v>
      </c>
      <c r="B4661" s="783" t="s">
        <v>113</v>
      </c>
      <c r="C4661" s="783" t="s">
        <v>4598</v>
      </c>
      <c r="D4661" s="783" t="s">
        <v>4009</v>
      </c>
      <c r="E4661" s="783" t="s">
        <v>4599</v>
      </c>
      <c r="F4661" s="783" t="s">
        <v>4011</v>
      </c>
      <c r="G4661" s="783" t="str">
        <f t="shared" ref="G4661:G4676" si="252">VLOOKUP(I4661,pacage,2,FALSE)</f>
        <v>Renewal (25% in 2020)</v>
      </c>
      <c r="H4661" s="783" t="s">
        <v>4600</v>
      </c>
      <c r="I4661" s="783" t="s">
        <v>4601</v>
      </c>
      <c r="J4661" s="783">
        <v>25</v>
      </c>
      <c r="K4661" s="783" t="s">
        <v>1201</v>
      </c>
      <c r="L4661" s="783" t="s">
        <v>4014</v>
      </c>
      <c r="M4661" s="784">
        <v>7572</v>
      </c>
      <c r="N4661" s="784">
        <v>2</v>
      </c>
      <c r="O4661" s="784">
        <v>2</v>
      </c>
      <c r="P4661" s="783">
        <v>1893</v>
      </c>
      <c r="Q4661" s="783">
        <v>509.6</v>
      </c>
      <c r="R4661" s="783">
        <v>339.23</v>
      </c>
      <c r="S4661" s="783">
        <v>82.53</v>
      </c>
      <c r="T4661" s="783">
        <v>87.84</v>
      </c>
      <c r="U4661" s="785">
        <v>44711.538182870398</v>
      </c>
    </row>
    <row r="4662" spans="1:21">
      <c r="A4662" s="782">
        <v>44680</v>
      </c>
      <c r="B4662" s="783" t="s">
        <v>113</v>
      </c>
      <c r="C4662" s="783" t="s">
        <v>4606</v>
      </c>
      <c r="D4662" s="783" t="s">
        <v>4009</v>
      </c>
      <c r="E4662" s="783" t="s">
        <v>7059</v>
      </c>
      <c r="F4662" s="783" t="s">
        <v>4011</v>
      </c>
      <c r="G4662" s="783" t="str">
        <f t="shared" si="252"/>
        <v>Renewal (20% in 2020)</v>
      </c>
      <c r="H4662" s="783" t="s">
        <v>7060</v>
      </c>
      <c r="I4662" s="783" t="s">
        <v>7061</v>
      </c>
      <c r="J4662" s="783">
        <v>20</v>
      </c>
      <c r="K4662" s="783" t="s">
        <v>1201</v>
      </c>
      <c r="L4662" s="783" t="s">
        <v>4014</v>
      </c>
      <c r="M4662" s="784">
        <v>5317.65</v>
      </c>
      <c r="N4662" s="784">
        <v>1.17</v>
      </c>
      <c r="O4662" s="784">
        <v>3.03</v>
      </c>
      <c r="P4662" s="783">
        <v>1500</v>
      </c>
      <c r="Q4662" s="783">
        <v>477.52</v>
      </c>
      <c r="R4662" s="783">
        <v>263.76</v>
      </c>
      <c r="S4662" s="783">
        <v>41.48</v>
      </c>
      <c r="T4662" s="783">
        <v>172.29</v>
      </c>
      <c r="U4662" s="785">
        <v>44687.652141203696</v>
      </c>
    </row>
    <row r="4663" spans="1:21">
      <c r="A4663" s="782">
        <v>44694</v>
      </c>
      <c r="B4663" s="783" t="s">
        <v>41</v>
      </c>
      <c r="C4663" s="783" t="s">
        <v>4071</v>
      </c>
      <c r="D4663" s="783" t="s">
        <v>4009</v>
      </c>
      <c r="E4663" s="783" t="s">
        <v>5768</v>
      </c>
      <c r="F4663" s="783" t="s">
        <v>4011</v>
      </c>
      <c r="G4663" s="783" t="str">
        <f t="shared" si="252"/>
        <v>Renewal (30% in 2020)</v>
      </c>
      <c r="H4663" s="783" t="s">
        <v>5769</v>
      </c>
      <c r="I4663" s="783" t="s">
        <v>5770</v>
      </c>
      <c r="J4663" s="783">
        <v>30</v>
      </c>
      <c r="K4663" s="783" t="s">
        <v>1201</v>
      </c>
      <c r="L4663" s="783" t="s">
        <v>4014</v>
      </c>
      <c r="M4663" s="784">
        <v>50400</v>
      </c>
      <c r="N4663" s="784">
        <v>12</v>
      </c>
      <c r="O4663" s="784">
        <v>1.4</v>
      </c>
      <c r="P4663" s="783">
        <v>3000</v>
      </c>
      <c r="Q4663" s="783">
        <v>2318.4</v>
      </c>
      <c r="R4663" s="783">
        <v>1294.3599999999999</v>
      </c>
      <c r="S4663" s="783">
        <v>756.92</v>
      </c>
      <c r="T4663" s="783">
        <v>267.12</v>
      </c>
      <c r="U4663" s="785">
        <v>44694.527847222198</v>
      </c>
    </row>
    <row r="4664" spans="1:21">
      <c r="A4664" s="782">
        <v>44652</v>
      </c>
      <c r="B4664" s="783" t="s">
        <v>3078</v>
      </c>
      <c r="C4664" s="783" t="s">
        <v>4414</v>
      </c>
      <c r="D4664" s="783" t="s">
        <v>4009</v>
      </c>
      <c r="E4664" s="783" t="s">
        <v>3082</v>
      </c>
      <c r="F4664" s="783" t="s">
        <v>4011</v>
      </c>
      <c r="G4664" s="783" t="str">
        <f t="shared" si="252"/>
        <v>Renewal (20% in 2020)</v>
      </c>
      <c r="H4664" s="783" t="s">
        <v>4415</v>
      </c>
      <c r="I4664" s="783" t="s">
        <v>4416</v>
      </c>
      <c r="J4664" s="783">
        <v>20</v>
      </c>
      <c r="K4664" s="783" t="s">
        <v>1201</v>
      </c>
      <c r="L4664" s="783" t="s">
        <v>4014</v>
      </c>
      <c r="M4664" s="784">
        <v>41940</v>
      </c>
      <c r="N4664" s="784">
        <v>12</v>
      </c>
      <c r="O4664" s="784">
        <v>2.5</v>
      </c>
      <c r="P4664" s="783">
        <v>1398</v>
      </c>
      <c r="Q4664" s="783">
        <v>3787.18</v>
      </c>
      <c r="R4664" s="783">
        <v>2050.87</v>
      </c>
      <c r="S4664" s="783">
        <v>327.13</v>
      </c>
      <c r="T4664" s="783">
        <v>1409.18</v>
      </c>
      <c r="U4664" s="785">
        <v>44655.497453703698</v>
      </c>
    </row>
    <row r="4665" spans="1:21">
      <c r="A4665" s="782">
        <v>44409</v>
      </c>
      <c r="B4665" s="783" t="s">
        <v>2866</v>
      </c>
      <c r="C4665" s="783" t="s">
        <v>4008</v>
      </c>
      <c r="D4665" s="783" t="s">
        <v>4009</v>
      </c>
      <c r="E4665" s="783" t="s">
        <v>4806</v>
      </c>
      <c r="F4665" s="783" t="s">
        <v>4011</v>
      </c>
      <c r="G4665" s="783" t="str">
        <f t="shared" si="252"/>
        <v>Renewal (15% in 2020)</v>
      </c>
      <c r="H4665" s="783" t="s">
        <v>4807</v>
      </c>
      <c r="I4665" s="783" t="s">
        <v>4808</v>
      </c>
      <c r="J4665" s="783">
        <v>15</v>
      </c>
      <c r="K4665" s="783" t="s">
        <v>163</v>
      </c>
      <c r="L4665" s="783" t="s">
        <v>4096</v>
      </c>
      <c r="M4665" s="784">
        <v>11187.54</v>
      </c>
      <c r="N4665" s="784">
        <v>10.92</v>
      </c>
      <c r="O4665" s="784">
        <v>6.83</v>
      </c>
      <c r="P4665" s="783">
        <v>150</v>
      </c>
      <c r="Q4665" s="783">
        <v>1185.8800000000001</v>
      </c>
      <c r="R4665" s="783">
        <v>463.9</v>
      </c>
      <c r="S4665" s="783">
        <v>122.33</v>
      </c>
      <c r="T4665" s="783">
        <v>599.65</v>
      </c>
      <c r="U4665" s="785">
        <v>44631.504999999997</v>
      </c>
    </row>
    <row r="4666" spans="1:21">
      <c r="A4666" s="782">
        <v>44409</v>
      </c>
      <c r="B4666" s="783" t="s">
        <v>41</v>
      </c>
      <c r="C4666" s="783" t="s">
        <v>4008</v>
      </c>
      <c r="D4666" s="783" t="s">
        <v>4009</v>
      </c>
      <c r="E4666" s="783" t="s">
        <v>4010</v>
      </c>
      <c r="F4666" s="783" t="s">
        <v>4011</v>
      </c>
      <c r="G4666" s="783" t="str">
        <f t="shared" si="252"/>
        <v>Renewal (25% in 2020)</v>
      </c>
      <c r="H4666" s="783" t="s">
        <v>4012</v>
      </c>
      <c r="I4666" s="783" t="s">
        <v>4013</v>
      </c>
      <c r="J4666" s="783">
        <v>25</v>
      </c>
      <c r="K4666" s="783" t="s">
        <v>163</v>
      </c>
      <c r="L4666" s="783" t="s">
        <v>4096</v>
      </c>
      <c r="M4666" s="784">
        <v>17900.689999999999</v>
      </c>
      <c r="N4666" s="784">
        <v>26.1</v>
      </c>
      <c r="O4666" s="784">
        <v>4.7300000000000004</v>
      </c>
      <c r="P4666" s="783">
        <v>145</v>
      </c>
      <c r="Q4666" s="783">
        <v>1127.74</v>
      </c>
      <c r="R4666" s="783">
        <v>767.85</v>
      </c>
      <c r="S4666" s="783">
        <v>170.14</v>
      </c>
      <c r="T4666" s="783">
        <v>189.75</v>
      </c>
      <c r="U4666" s="785">
        <v>44631.509988425903</v>
      </c>
    </row>
    <row r="4667" spans="1:21">
      <c r="A4667" s="782">
        <v>44409</v>
      </c>
      <c r="B4667" s="783" t="s">
        <v>30</v>
      </c>
      <c r="C4667" s="783" t="s">
        <v>4239</v>
      </c>
      <c r="D4667" s="783" t="s">
        <v>4021</v>
      </c>
      <c r="E4667" s="783" t="s">
        <v>6813</v>
      </c>
      <c r="F4667" s="783" t="s">
        <v>4011</v>
      </c>
      <c r="G4667" s="783" t="str">
        <f t="shared" si="252"/>
        <v>Renewal (15% in 2020)</v>
      </c>
      <c r="H4667" s="783" t="s">
        <v>6814</v>
      </c>
      <c r="I4667" s="783" t="s">
        <v>6815</v>
      </c>
      <c r="J4667" s="783">
        <v>15</v>
      </c>
      <c r="K4667" s="783" t="s">
        <v>163</v>
      </c>
      <c r="L4667" s="783" t="s">
        <v>4096</v>
      </c>
      <c r="M4667" s="784">
        <v>7166.25</v>
      </c>
      <c r="N4667" s="784">
        <v>6.5</v>
      </c>
      <c r="O4667" s="784">
        <v>7.5</v>
      </c>
      <c r="P4667" s="783">
        <v>147</v>
      </c>
      <c r="Q4667" s="783">
        <v>607.70000000000005</v>
      </c>
      <c r="R4667" s="783">
        <v>237.76</v>
      </c>
      <c r="S4667" s="783">
        <v>71.099999999999994</v>
      </c>
      <c r="T4667" s="783">
        <v>298.83</v>
      </c>
      <c r="U4667" s="785">
        <v>44631.504131944399</v>
      </c>
    </row>
    <row r="4668" spans="1:21">
      <c r="A4668" s="782">
        <v>44409</v>
      </c>
      <c r="B4668" s="783" t="s">
        <v>30</v>
      </c>
      <c r="C4668" s="783" t="s">
        <v>4939</v>
      </c>
      <c r="D4668" s="783" t="s">
        <v>4021</v>
      </c>
      <c r="E4668" s="783" t="s">
        <v>6813</v>
      </c>
      <c r="F4668" s="783" t="s">
        <v>4011</v>
      </c>
      <c r="G4668" s="783" t="str">
        <f t="shared" si="252"/>
        <v>Renewal (15% in 2020)</v>
      </c>
      <c r="H4668" s="783" t="s">
        <v>6814</v>
      </c>
      <c r="I4668" s="783" t="s">
        <v>6815</v>
      </c>
      <c r="J4668" s="783">
        <v>15</v>
      </c>
      <c r="K4668" s="783" t="s">
        <v>163</v>
      </c>
      <c r="L4668" s="783" t="s">
        <v>4096</v>
      </c>
      <c r="M4668" s="784">
        <v>9922.5</v>
      </c>
      <c r="N4668" s="784">
        <v>9</v>
      </c>
      <c r="O4668" s="784">
        <v>7.5</v>
      </c>
      <c r="P4668" s="783">
        <v>147</v>
      </c>
      <c r="Q4668" s="783">
        <v>1072.6199999999999</v>
      </c>
      <c r="R4668" s="783">
        <v>424.46</v>
      </c>
      <c r="S4668" s="783">
        <v>123.26</v>
      </c>
      <c r="T4668" s="783">
        <v>524.9</v>
      </c>
      <c r="U4668" s="785">
        <v>44631.504131944399</v>
      </c>
    </row>
    <row r="4669" spans="1:21">
      <c r="A4669" s="782">
        <v>44409</v>
      </c>
      <c r="B4669" s="783" t="s">
        <v>3408</v>
      </c>
      <c r="C4669" s="783" t="s">
        <v>4008</v>
      </c>
      <c r="D4669" s="783" t="s">
        <v>4009</v>
      </c>
      <c r="E4669" s="783" t="s">
        <v>7091</v>
      </c>
      <c r="F4669" s="783" t="s">
        <v>4011</v>
      </c>
      <c r="G4669" s="783" t="str">
        <f t="shared" si="252"/>
        <v>Renewal (25% in 2020)</v>
      </c>
      <c r="H4669" s="783" t="s">
        <v>7092</v>
      </c>
      <c r="I4669" s="783" t="s">
        <v>7093</v>
      </c>
      <c r="J4669" s="783">
        <v>25</v>
      </c>
      <c r="K4669" s="783" t="s">
        <v>163</v>
      </c>
      <c r="L4669" s="783" t="s">
        <v>4096</v>
      </c>
      <c r="M4669" s="784">
        <v>4234.3500000000004</v>
      </c>
      <c r="N4669" s="784">
        <v>6.01</v>
      </c>
      <c r="O4669" s="784">
        <v>4.2699999999999996</v>
      </c>
      <c r="P4669" s="783">
        <v>165</v>
      </c>
      <c r="Q4669" s="783">
        <v>266.76</v>
      </c>
      <c r="R4669" s="783">
        <v>159.62</v>
      </c>
      <c r="S4669" s="783">
        <v>62.26</v>
      </c>
      <c r="T4669" s="783">
        <v>44.88</v>
      </c>
      <c r="U4669" s="785">
        <v>44631.504479166702</v>
      </c>
    </row>
    <row r="4670" spans="1:21">
      <c r="A4670" s="782">
        <v>44419</v>
      </c>
      <c r="B4670" s="783" t="s">
        <v>51</v>
      </c>
      <c r="C4670" s="783" t="s">
        <v>4015</v>
      </c>
      <c r="D4670" s="783" t="s">
        <v>4016</v>
      </c>
      <c r="E4670" s="783" t="s">
        <v>3263</v>
      </c>
      <c r="F4670" s="783" t="s">
        <v>4011</v>
      </c>
      <c r="G4670" s="783" t="str">
        <f t="shared" si="252"/>
        <v>Renewal (20% in 2020)</v>
      </c>
      <c r="H4670" s="783" t="s">
        <v>4873</v>
      </c>
      <c r="I4670" s="783" t="s">
        <v>4874</v>
      </c>
      <c r="J4670" s="783">
        <v>20</v>
      </c>
      <c r="K4670" s="783" t="s">
        <v>163</v>
      </c>
      <c r="L4670" s="783" t="s">
        <v>4096</v>
      </c>
      <c r="M4670" s="784">
        <v>4608.24</v>
      </c>
      <c r="N4670" s="784">
        <v>5.2</v>
      </c>
      <c r="O4670" s="784">
        <v>6.33</v>
      </c>
      <c r="P4670" s="783">
        <v>140</v>
      </c>
      <c r="Q4670" s="783">
        <v>403.22</v>
      </c>
      <c r="R4670" s="783">
        <v>228.63</v>
      </c>
      <c r="S4670" s="783">
        <v>41.41</v>
      </c>
      <c r="T4670" s="783">
        <v>133.18</v>
      </c>
      <c r="U4670" s="785">
        <v>44631.511747685203</v>
      </c>
    </row>
    <row r="4671" spans="1:21">
      <c r="A4671" s="782">
        <v>44429</v>
      </c>
      <c r="B4671" s="783" t="s">
        <v>41</v>
      </c>
      <c r="C4671" s="783" t="s">
        <v>4092</v>
      </c>
      <c r="D4671" s="783" t="s">
        <v>4009</v>
      </c>
      <c r="E4671" s="783" t="s">
        <v>3066</v>
      </c>
      <c r="F4671" s="783" t="s">
        <v>4011</v>
      </c>
      <c r="G4671" s="783" t="str">
        <f t="shared" si="252"/>
        <v>Renewal (15% in 2020)</v>
      </c>
      <c r="H4671" s="783" t="s">
        <v>4877</v>
      </c>
      <c r="I4671" s="783" t="s">
        <v>4878</v>
      </c>
      <c r="J4671" s="783">
        <v>15</v>
      </c>
      <c r="K4671" s="783" t="s">
        <v>163</v>
      </c>
      <c r="L4671" s="783" t="s">
        <v>4096</v>
      </c>
      <c r="M4671" s="784">
        <v>14844.06</v>
      </c>
      <c r="N4671" s="784">
        <v>21.42</v>
      </c>
      <c r="O4671" s="784">
        <v>4.95</v>
      </c>
      <c r="P4671" s="783">
        <v>140</v>
      </c>
      <c r="Q4671" s="783">
        <v>1558.63</v>
      </c>
      <c r="R4671" s="783">
        <v>671.1</v>
      </c>
      <c r="S4671" s="783">
        <v>136.41999999999999</v>
      </c>
      <c r="T4671" s="783">
        <v>751.11</v>
      </c>
      <c r="U4671" s="785">
        <v>44631.512210648201</v>
      </c>
    </row>
    <row r="4672" spans="1:21">
      <c r="A4672" s="782">
        <v>44690</v>
      </c>
      <c r="B4672" s="783" t="s">
        <v>41</v>
      </c>
      <c r="C4672" s="783" t="s">
        <v>4071</v>
      </c>
      <c r="D4672" s="783" t="s">
        <v>4009</v>
      </c>
      <c r="E4672" s="783" t="s">
        <v>4887</v>
      </c>
      <c r="F4672" s="783" t="s">
        <v>4011</v>
      </c>
      <c r="G4672" s="783" t="str">
        <f t="shared" si="252"/>
        <v>Renewal (15% in 2020)</v>
      </c>
      <c r="H4672" s="783" t="s">
        <v>4888</v>
      </c>
      <c r="I4672" s="783" t="s">
        <v>4889</v>
      </c>
      <c r="J4672" s="783">
        <v>15</v>
      </c>
      <c r="K4672" s="783" t="s">
        <v>163</v>
      </c>
      <c r="L4672" s="783" t="s">
        <v>4096</v>
      </c>
      <c r="M4672" s="784">
        <v>12662.14</v>
      </c>
      <c r="N4672" s="784">
        <v>14.88</v>
      </c>
      <c r="O4672" s="784">
        <v>5.49</v>
      </c>
      <c r="P4672" s="783">
        <v>155</v>
      </c>
      <c r="Q4672" s="783">
        <v>1245.95</v>
      </c>
      <c r="R4672" s="783">
        <v>496.91</v>
      </c>
      <c r="S4672" s="783">
        <v>150.12</v>
      </c>
      <c r="T4672" s="783">
        <v>598.91999999999996</v>
      </c>
      <c r="U4672" s="785">
        <v>44691.5058333333</v>
      </c>
    </row>
    <row r="4673" spans="1:21">
      <c r="A4673" s="782">
        <v>44692</v>
      </c>
      <c r="B4673" s="783" t="s">
        <v>41</v>
      </c>
      <c r="C4673" s="783" t="s">
        <v>4071</v>
      </c>
      <c r="D4673" s="783" t="s">
        <v>4009</v>
      </c>
      <c r="E4673" s="783" t="s">
        <v>4925</v>
      </c>
      <c r="F4673" s="783" t="s">
        <v>4011</v>
      </c>
      <c r="G4673" s="783" t="str">
        <f t="shared" si="252"/>
        <v>Renewal (15% in 2020)</v>
      </c>
      <c r="H4673" s="783" t="s">
        <v>4926</v>
      </c>
      <c r="I4673" s="783" t="s">
        <v>4927</v>
      </c>
      <c r="J4673" s="783">
        <v>15</v>
      </c>
      <c r="K4673" s="783" t="s">
        <v>163</v>
      </c>
      <c r="L4673" s="783" t="s">
        <v>4096</v>
      </c>
      <c r="M4673" s="784">
        <v>12406.6</v>
      </c>
      <c r="N4673" s="784">
        <v>13.94</v>
      </c>
      <c r="O4673" s="784">
        <v>5</v>
      </c>
      <c r="P4673" s="783">
        <v>178</v>
      </c>
      <c r="Q4673" s="783">
        <v>1220.81</v>
      </c>
      <c r="R4673" s="783">
        <v>423.97</v>
      </c>
      <c r="S4673" s="783">
        <v>210.01</v>
      </c>
      <c r="T4673" s="783">
        <v>586.83000000000004</v>
      </c>
      <c r="U4673" s="785">
        <v>44693.459652777798</v>
      </c>
    </row>
    <row r="4674" spans="1:21">
      <c r="A4674" s="782">
        <v>44693</v>
      </c>
      <c r="B4674" s="783" t="s">
        <v>41</v>
      </c>
      <c r="C4674" s="783" t="s">
        <v>4071</v>
      </c>
      <c r="D4674" s="783" t="s">
        <v>4009</v>
      </c>
      <c r="E4674" s="783" t="s">
        <v>4949</v>
      </c>
      <c r="F4674" s="783" t="s">
        <v>4011</v>
      </c>
      <c r="G4674" s="783" t="str">
        <f t="shared" si="252"/>
        <v>Renewal (30% in 2020)</v>
      </c>
      <c r="H4674" s="783" t="s">
        <v>4950</v>
      </c>
      <c r="I4674" s="783" t="s">
        <v>4951</v>
      </c>
      <c r="J4674" s="783">
        <v>30</v>
      </c>
      <c r="K4674" s="783" t="s">
        <v>163</v>
      </c>
      <c r="L4674" s="783" t="s">
        <v>4096</v>
      </c>
      <c r="M4674" s="784">
        <v>15637.29</v>
      </c>
      <c r="N4674" s="784">
        <v>12.05</v>
      </c>
      <c r="O4674" s="784">
        <v>6.83</v>
      </c>
      <c r="P4674" s="783">
        <v>190</v>
      </c>
      <c r="Q4674" s="783">
        <v>784.99</v>
      </c>
      <c r="R4674" s="783">
        <v>500.62</v>
      </c>
      <c r="S4674" s="783">
        <v>193.67</v>
      </c>
      <c r="T4674" s="783">
        <v>90.7</v>
      </c>
      <c r="U4674" s="785">
        <v>44693.696516203701</v>
      </c>
    </row>
    <row r="4675" spans="1:21">
      <c r="A4675" s="782">
        <v>44691</v>
      </c>
      <c r="B4675" s="783" t="s">
        <v>4025</v>
      </c>
      <c r="C4675" s="783" t="s">
        <v>4026</v>
      </c>
      <c r="D4675" s="783" t="s">
        <v>4021</v>
      </c>
      <c r="E4675" s="783" t="s">
        <v>4961</v>
      </c>
      <c r="F4675" s="783" t="s">
        <v>4011</v>
      </c>
      <c r="G4675" s="783" t="str">
        <f t="shared" si="252"/>
        <v>New Contract</v>
      </c>
      <c r="H4675" s="783" t="s">
        <v>4962</v>
      </c>
      <c r="I4675" s="783" t="s">
        <v>4963</v>
      </c>
      <c r="J4675" s="783">
        <v>20</v>
      </c>
      <c r="K4675" s="783" t="s">
        <v>163</v>
      </c>
      <c r="L4675" s="783" t="s">
        <v>4096</v>
      </c>
      <c r="M4675" s="784">
        <v>90958.28</v>
      </c>
      <c r="N4675" s="784">
        <v>57.7</v>
      </c>
      <c r="O4675" s="784">
        <v>5.63</v>
      </c>
      <c r="P4675" s="783">
        <v>280</v>
      </c>
      <c r="Q4675" s="783">
        <v>6603.57</v>
      </c>
      <c r="R4675" s="783">
        <v>1851.39</v>
      </c>
      <c r="S4675" s="783">
        <v>2514.61</v>
      </c>
      <c r="T4675" s="783">
        <v>2237.5700000000002</v>
      </c>
      <c r="U4675" s="785">
        <v>44691.525578703702</v>
      </c>
    </row>
    <row r="4676" spans="1:21">
      <c r="A4676" s="782">
        <v>44594</v>
      </c>
      <c r="B4676" s="783" t="s">
        <v>624</v>
      </c>
      <c r="C4676" s="783" t="s">
        <v>4037</v>
      </c>
      <c r="D4676" s="783" t="s">
        <v>4038</v>
      </c>
      <c r="E4676" s="783" t="s">
        <v>7135</v>
      </c>
      <c r="F4676" s="783" t="s">
        <v>4011</v>
      </c>
      <c r="G4676" s="783" t="str">
        <f t="shared" si="252"/>
        <v>Renewal (15% in 2020)</v>
      </c>
      <c r="H4676" s="783" t="s">
        <v>7136</v>
      </c>
      <c r="I4676" s="783" t="s">
        <v>7137</v>
      </c>
      <c r="J4676" s="783">
        <v>15</v>
      </c>
      <c r="K4676" s="783" t="s">
        <v>163</v>
      </c>
      <c r="L4676" s="783" t="s">
        <v>4096</v>
      </c>
      <c r="M4676" s="784">
        <v>16204.4</v>
      </c>
      <c r="N4676" s="784">
        <v>23.83</v>
      </c>
      <c r="O4676" s="784">
        <v>4</v>
      </c>
      <c r="P4676" s="783">
        <v>170</v>
      </c>
      <c r="Q4676" s="783">
        <v>2085.5100000000002</v>
      </c>
      <c r="R4676" s="783">
        <v>694.73</v>
      </c>
      <c r="S4676" s="783">
        <v>306.7</v>
      </c>
      <c r="T4676" s="783">
        <v>1084.07</v>
      </c>
      <c r="U4676" s="785">
        <v>44631.628981481503</v>
      </c>
    </row>
    <row r="4677" spans="1:21">
      <c r="A4677" s="782">
        <v>44615</v>
      </c>
      <c r="B4677" s="783" t="s">
        <v>30</v>
      </c>
      <c r="C4677" s="783" t="s">
        <v>4239</v>
      </c>
      <c r="D4677" s="783" t="s">
        <v>4021</v>
      </c>
      <c r="E4677" s="783" t="s">
        <v>5041</v>
      </c>
      <c r="F4677" s="783" t="s">
        <v>4066</v>
      </c>
      <c r="G4677" s="783" t="s">
        <v>4028</v>
      </c>
      <c r="H4677" s="783" t="s">
        <v>5042</v>
      </c>
      <c r="I4677" s="783" t="s">
        <v>5043</v>
      </c>
      <c r="J4677" s="783">
        <v>10</v>
      </c>
      <c r="K4677" s="783" t="s">
        <v>163</v>
      </c>
      <c r="L4677" s="783" t="s">
        <v>4096</v>
      </c>
      <c r="M4677" s="784">
        <v>14130</v>
      </c>
      <c r="N4677" s="784">
        <v>15.7</v>
      </c>
      <c r="O4677" s="784">
        <v>6</v>
      </c>
      <c r="P4677" s="783">
        <v>150</v>
      </c>
      <c r="Q4677" s="783">
        <v>234.56</v>
      </c>
      <c r="R4677" s="783">
        <v>0</v>
      </c>
      <c r="S4677" s="783">
        <v>0</v>
      </c>
      <c r="T4677" s="783">
        <v>234.56</v>
      </c>
      <c r="U4677" s="785">
        <v>44631.626284722202</v>
      </c>
    </row>
    <row r="4678" spans="1:21">
      <c r="A4678" s="782">
        <v>44712</v>
      </c>
      <c r="B4678" s="783" t="s">
        <v>4025</v>
      </c>
      <c r="C4678" s="783" t="s">
        <v>4026</v>
      </c>
      <c r="D4678" s="783" t="s">
        <v>4021</v>
      </c>
      <c r="E4678" s="783" t="s">
        <v>4031</v>
      </c>
      <c r="F4678" s="783" t="s">
        <v>4011</v>
      </c>
      <c r="G4678" s="783" t="s">
        <v>4028</v>
      </c>
      <c r="H4678" s="783" t="s">
        <v>4032</v>
      </c>
      <c r="I4678" s="783" t="s">
        <v>4033</v>
      </c>
      <c r="J4678" s="783">
        <v>25</v>
      </c>
      <c r="K4678" s="783" t="s">
        <v>163</v>
      </c>
      <c r="L4678" s="783" t="s">
        <v>4096</v>
      </c>
      <c r="M4678" s="784">
        <v>5987.52</v>
      </c>
      <c r="N4678" s="784">
        <v>11.34</v>
      </c>
      <c r="O4678" s="784">
        <v>3.52</v>
      </c>
      <c r="P4678" s="783">
        <v>150</v>
      </c>
      <c r="Q4678" s="783">
        <v>339.49</v>
      </c>
      <c r="R4678" s="783">
        <v>227.49</v>
      </c>
      <c r="S4678" s="783">
        <v>59.91</v>
      </c>
      <c r="T4678" s="783">
        <v>52.09</v>
      </c>
      <c r="U4678" s="785">
        <v>44714.019027777802</v>
      </c>
    </row>
    <row r="4679" spans="1:21">
      <c r="A4679" s="782">
        <v>44685</v>
      </c>
      <c r="B4679" s="783" t="s">
        <v>4025</v>
      </c>
      <c r="C4679" s="783" t="s">
        <v>4026</v>
      </c>
      <c r="D4679" s="783" t="s">
        <v>4021</v>
      </c>
      <c r="E4679" s="783" t="s">
        <v>4114</v>
      </c>
      <c r="F4679" s="783" t="s">
        <v>4011</v>
      </c>
      <c r="G4679" s="783" t="s">
        <v>4028</v>
      </c>
      <c r="H4679" s="783" t="s">
        <v>4115</v>
      </c>
      <c r="I4679" s="783" t="s">
        <v>4116</v>
      </c>
      <c r="J4679" s="783">
        <v>25</v>
      </c>
      <c r="K4679" s="783" t="s">
        <v>163</v>
      </c>
      <c r="L4679" s="783" t="s">
        <v>4096</v>
      </c>
      <c r="M4679" s="784">
        <v>9573.4500000000007</v>
      </c>
      <c r="N4679" s="784">
        <v>14.26</v>
      </c>
      <c r="O4679" s="784">
        <v>4.63</v>
      </c>
      <c r="P4679" s="783">
        <v>145</v>
      </c>
      <c r="Q4679" s="783">
        <v>542.80999999999995</v>
      </c>
      <c r="R4679" s="783">
        <v>376.28</v>
      </c>
      <c r="S4679" s="783">
        <v>83.24</v>
      </c>
      <c r="T4679" s="783">
        <v>83.29</v>
      </c>
      <c r="U4679" s="785">
        <v>44685.413182870398</v>
      </c>
    </row>
    <row r="4680" spans="1:21">
      <c r="A4680" s="782">
        <v>44681</v>
      </c>
      <c r="B4680" s="783" t="s">
        <v>4025</v>
      </c>
      <c r="C4680" s="783" t="s">
        <v>4026</v>
      </c>
      <c r="D4680" s="783" t="s">
        <v>4021</v>
      </c>
      <c r="E4680" s="783" t="s">
        <v>5123</v>
      </c>
      <c r="F4680" s="783" t="s">
        <v>4011</v>
      </c>
      <c r="G4680" s="783" t="str">
        <f>VLOOKUP(I4680,pacage,2,FALSE)</f>
        <v>New Contract</v>
      </c>
      <c r="H4680" s="783" t="s">
        <v>5124</v>
      </c>
      <c r="I4680" s="783" t="s">
        <v>5125</v>
      </c>
      <c r="J4680" s="783">
        <v>20</v>
      </c>
      <c r="K4680" s="783" t="s">
        <v>163</v>
      </c>
      <c r="L4680" s="783" t="s">
        <v>4096</v>
      </c>
      <c r="M4680" s="784">
        <v>5174.1000000000004</v>
      </c>
      <c r="N4680" s="784">
        <v>6.76</v>
      </c>
      <c r="O4680" s="784">
        <v>4.3</v>
      </c>
      <c r="P4680" s="783">
        <v>178</v>
      </c>
      <c r="Q4680" s="783">
        <v>375.64</v>
      </c>
      <c r="R4680" s="783">
        <v>165.66</v>
      </c>
      <c r="S4680" s="783">
        <v>82.69</v>
      </c>
      <c r="T4680" s="783">
        <v>127.28</v>
      </c>
      <c r="U4680" s="785">
        <v>44701.992164351897</v>
      </c>
    </row>
    <row r="4681" spans="1:21">
      <c r="A4681" s="782">
        <v>44690</v>
      </c>
      <c r="B4681" s="783" t="s">
        <v>41</v>
      </c>
      <c r="C4681" s="783" t="s">
        <v>4071</v>
      </c>
      <c r="D4681" s="783" t="s">
        <v>4009</v>
      </c>
      <c r="E4681" s="783" t="s">
        <v>1477</v>
      </c>
      <c r="F4681" s="783" t="s">
        <v>4011</v>
      </c>
      <c r="G4681" s="783" t="str">
        <f>VLOOKUP(I4681,pacage,2,FALSE)</f>
        <v>Renewal (15% in 2020)</v>
      </c>
      <c r="H4681" s="783" t="s">
        <v>5128</v>
      </c>
      <c r="I4681" s="783" t="s">
        <v>5129</v>
      </c>
      <c r="J4681" s="783">
        <v>15</v>
      </c>
      <c r="K4681" s="783" t="s">
        <v>163</v>
      </c>
      <c r="L4681" s="783" t="s">
        <v>4096</v>
      </c>
      <c r="M4681" s="784">
        <v>6149.16</v>
      </c>
      <c r="N4681" s="784">
        <v>7.2</v>
      </c>
      <c r="O4681" s="784">
        <v>5.51</v>
      </c>
      <c r="P4681" s="783">
        <v>155</v>
      </c>
      <c r="Q4681" s="783">
        <v>605.08000000000004</v>
      </c>
      <c r="R4681" s="783">
        <v>241.32</v>
      </c>
      <c r="S4681" s="783">
        <v>72.91</v>
      </c>
      <c r="T4681" s="783">
        <v>290.86</v>
      </c>
      <c r="U4681" s="785">
        <v>44690.681192129603</v>
      </c>
    </row>
    <row r="4682" spans="1:21">
      <c r="A4682" s="782">
        <v>44687</v>
      </c>
      <c r="B4682" s="783" t="s">
        <v>41</v>
      </c>
      <c r="C4682" s="783" t="s">
        <v>4071</v>
      </c>
      <c r="D4682" s="783" t="s">
        <v>4009</v>
      </c>
      <c r="E4682" s="783" t="s">
        <v>404</v>
      </c>
      <c r="F4682" s="783" t="s">
        <v>4011</v>
      </c>
      <c r="G4682" s="783" t="str">
        <f>VLOOKUP(I4682,pacage,2,FALSE)</f>
        <v>Renewal (15% in 2020)</v>
      </c>
      <c r="H4682" s="783" t="s">
        <v>5135</v>
      </c>
      <c r="I4682" s="783" t="s">
        <v>5136</v>
      </c>
      <c r="J4682" s="783">
        <v>15</v>
      </c>
      <c r="K4682" s="783" t="s">
        <v>163</v>
      </c>
      <c r="L4682" s="783" t="s">
        <v>4096</v>
      </c>
      <c r="M4682" s="784">
        <v>5775.33</v>
      </c>
      <c r="N4682" s="784">
        <v>8.14</v>
      </c>
      <c r="O4682" s="784">
        <v>4.3</v>
      </c>
      <c r="P4682" s="783">
        <v>165</v>
      </c>
      <c r="Q4682" s="783">
        <v>568.29</v>
      </c>
      <c r="R4682" s="783">
        <v>212.91</v>
      </c>
      <c r="S4682" s="783">
        <v>82.21</v>
      </c>
      <c r="T4682" s="783">
        <v>273.17</v>
      </c>
      <c r="U4682" s="785">
        <v>44687.593981481499</v>
      </c>
    </row>
    <row r="4683" spans="1:21">
      <c r="A4683" s="782">
        <v>44694</v>
      </c>
      <c r="B4683" s="783" t="s">
        <v>2866</v>
      </c>
      <c r="C4683" s="783" t="s">
        <v>4008</v>
      </c>
      <c r="D4683" s="783" t="s">
        <v>4009</v>
      </c>
      <c r="E4683" s="783" t="s">
        <v>5157</v>
      </c>
      <c r="F4683" s="783" t="s">
        <v>4011</v>
      </c>
      <c r="G4683" s="783" t="str">
        <f>VLOOKUP(I4683,pacage,2,FALSE)</f>
        <v>Renewal (15% in 2020)</v>
      </c>
      <c r="H4683" s="783" t="s">
        <v>5158</v>
      </c>
      <c r="I4683" s="783" t="s">
        <v>5159</v>
      </c>
      <c r="J4683" s="783">
        <v>15</v>
      </c>
      <c r="K4683" s="783" t="s">
        <v>163</v>
      </c>
      <c r="L4683" s="783" t="s">
        <v>4096</v>
      </c>
      <c r="M4683" s="784">
        <v>7747.95</v>
      </c>
      <c r="N4683" s="784">
        <v>9.42</v>
      </c>
      <c r="O4683" s="784">
        <v>4.7</v>
      </c>
      <c r="P4683" s="783">
        <v>175</v>
      </c>
      <c r="Q4683" s="783">
        <v>821.28</v>
      </c>
      <c r="R4683" s="783">
        <v>275.38</v>
      </c>
      <c r="S4683" s="783">
        <v>130.62</v>
      </c>
      <c r="T4683" s="783">
        <v>415.29</v>
      </c>
      <c r="U4683" s="785">
        <v>44694.529247685197</v>
      </c>
    </row>
    <row r="4684" spans="1:21">
      <c r="A4684" s="782">
        <v>44684</v>
      </c>
      <c r="B4684" s="783" t="s">
        <v>51</v>
      </c>
      <c r="C4684" s="783" t="s">
        <v>4796</v>
      </c>
      <c r="D4684" s="783" t="s">
        <v>4016</v>
      </c>
      <c r="E4684" s="783" t="s">
        <v>5163</v>
      </c>
      <c r="F4684" s="783" t="s">
        <v>4011</v>
      </c>
      <c r="G4684" s="783" t="str">
        <f>VLOOKUP(I4684,pacage,2,FALSE)</f>
        <v>New Contract</v>
      </c>
      <c r="H4684" s="783" t="s">
        <v>5164</v>
      </c>
      <c r="I4684" s="783" t="s">
        <v>5165</v>
      </c>
      <c r="J4684" s="783">
        <v>25</v>
      </c>
      <c r="K4684" s="783" t="s">
        <v>163</v>
      </c>
      <c r="L4684" s="783" t="s">
        <v>4096</v>
      </c>
      <c r="M4684" s="784">
        <v>13916.75</v>
      </c>
      <c r="N4684" s="784">
        <v>13.48</v>
      </c>
      <c r="O4684" s="784">
        <v>5.8</v>
      </c>
      <c r="P4684" s="783">
        <v>178</v>
      </c>
      <c r="Q4684" s="783">
        <v>772.38</v>
      </c>
      <c r="R4684" s="783">
        <v>449.87</v>
      </c>
      <c r="S4684" s="783">
        <v>222.31</v>
      </c>
      <c r="T4684" s="783">
        <v>100.2</v>
      </c>
      <c r="U4684" s="785">
        <v>44685.451851851903</v>
      </c>
    </row>
    <row r="4685" spans="1:21">
      <c r="A4685" s="782">
        <v>44679</v>
      </c>
      <c r="B4685" s="783" t="s">
        <v>228</v>
      </c>
      <c r="C4685" s="783" t="s">
        <v>4675</v>
      </c>
      <c r="D4685" s="783" t="s">
        <v>4193</v>
      </c>
      <c r="E4685" s="783" t="s">
        <v>5184</v>
      </c>
      <c r="F4685" s="783" t="s">
        <v>4011</v>
      </c>
      <c r="G4685" s="783" t="s">
        <v>4028</v>
      </c>
      <c r="H4685" s="783" t="s">
        <v>5185</v>
      </c>
      <c r="I4685" s="783" t="s">
        <v>5186</v>
      </c>
      <c r="J4685" s="783">
        <v>25</v>
      </c>
      <c r="K4685" s="783" t="s">
        <v>163</v>
      </c>
      <c r="L4685" s="783" t="s">
        <v>4096</v>
      </c>
      <c r="M4685" s="784">
        <v>16855.5</v>
      </c>
      <c r="N4685" s="784">
        <v>15</v>
      </c>
      <c r="O4685" s="784">
        <v>6.61</v>
      </c>
      <c r="P4685" s="783">
        <v>170</v>
      </c>
      <c r="Q4685" s="783">
        <v>982.68</v>
      </c>
      <c r="R4685" s="783">
        <v>581.38</v>
      </c>
      <c r="S4685" s="783">
        <v>249.6</v>
      </c>
      <c r="T4685" s="783">
        <v>151.69999999999999</v>
      </c>
      <c r="U4685" s="785">
        <v>44680.691585648201</v>
      </c>
    </row>
    <row r="4686" spans="1:21">
      <c r="A4686" s="782">
        <v>44680</v>
      </c>
      <c r="B4686" s="783" t="s">
        <v>51</v>
      </c>
      <c r="C4686" s="783" t="s">
        <v>4015</v>
      </c>
      <c r="D4686" s="783" t="s">
        <v>4016</v>
      </c>
      <c r="E4686" s="783" t="s">
        <v>89</v>
      </c>
      <c r="F4686" s="783" t="s">
        <v>4011</v>
      </c>
      <c r="G4686" s="783" t="str">
        <f t="shared" ref="G4686:G4711" si="253">VLOOKUP(I4686,pacage,2,FALSE)</f>
        <v>Renewal (20% in 2020)</v>
      </c>
      <c r="H4686" s="783" t="s">
        <v>5190</v>
      </c>
      <c r="I4686" s="783" t="s">
        <v>5191</v>
      </c>
      <c r="J4686" s="783">
        <v>20</v>
      </c>
      <c r="K4686" s="783" t="s">
        <v>163</v>
      </c>
      <c r="L4686" s="783" t="s">
        <v>4096</v>
      </c>
      <c r="M4686" s="784">
        <v>12324.15</v>
      </c>
      <c r="N4686" s="784">
        <v>15.3</v>
      </c>
      <c r="O4686" s="784">
        <v>5.37</v>
      </c>
      <c r="P4686" s="783">
        <v>150</v>
      </c>
      <c r="Q4686" s="783">
        <v>1078.3599999999999</v>
      </c>
      <c r="R4686" s="783">
        <v>570.67999999999995</v>
      </c>
      <c r="S4686" s="783">
        <v>151.51</v>
      </c>
      <c r="T4686" s="783">
        <v>356.17</v>
      </c>
      <c r="U4686" s="785">
        <v>44680.747037036999</v>
      </c>
    </row>
    <row r="4687" spans="1:21">
      <c r="A4687" s="782">
        <v>44710</v>
      </c>
      <c r="B4687" s="783" t="s">
        <v>41</v>
      </c>
      <c r="C4687" s="783" t="s">
        <v>4092</v>
      </c>
      <c r="D4687" s="783" t="s">
        <v>4009</v>
      </c>
      <c r="E4687" s="783" t="s">
        <v>1795</v>
      </c>
      <c r="F4687" s="783" t="s">
        <v>4011</v>
      </c>
      <c r="G4687" s="783" t="str">
        <f t="shared" si="253"/>
        <v>Renewal (20% in 2020)</v>
      </c>
      <c r="H4687" s="783" t="s">
        <v>4117</v>
      </c>
      <c r="I4687" s="783" t="s">
        <v>4118</v>
      </c>
      <c r="J4687" s="783">
        <v>20</v>
      </c>
      <c r="K4687" s="783" t="s">
        <v>163</v>
      </c>
      <c r="L4687" s="783" t="s">
        <v>4096</v>
      </c>
      <c r="M4687" s="784">
        <v>3435.7</v>
      </c>
      <c r="N4687" s="784">
        <v>4.3</v>
      </c>
      <c r="O4687" s="784">
        <v>4.7</v>
      </c>
      <c r="P4687" s="783">
        <v>170</v>
      </c>
      <c r="Q4687" s="783">
        <v>269.36</v>
      </c>
      <c r="R4687" s="783">
        <v>127.92</v>
      </c>
      <c r="S4687" s="783">
        <v>58.98</v>
      </c>
      <c r="T4687" s="783">
        <v>82.46</v>
      </c>
      <c r="U4687" s="785">
        <v>44712.585543981499</v>
      </c>
    </row>
    <row r="4688" spans="1:21">
      <c r="A4688" s="782">
        <v>44698</v>
      </c>
      <c r="B4688" s="783" t="s">
        <v>41</v>
      </c>
      <c r="C4688" s="783" t="s">
        <v>4192</v>
      </c>
      <c r="D4688" s="783" t="s">
        <v>4193</v>
      </c>
      <c r="E4688" s="783" t="s">
        <v>5222</v>
      </c>
      <c r="F4688" s="783" t="s">
        <v>4011</v>
      </c>
      <c r="G4688" s="783" t="str">
        <f t="shared" si="253"/>
        <v>Renewal (20% in 2020)</v>
      </c>
      <c r="H4688" s="783" t="s">
        <v>5223</v>
      </c>
      <c r="I4688" s="783" t="s">
        <v>5224</v>
      </c>
      <c r="J4688" s="783">
        <v>20</v>
      </c>
      <c r="K4688" s="783" t="s">
        <v>163</v>
      </c>
      <c r="L4688" s="783" t="s">
        <v>4096</v>
      </c>
      <c r="M4688" s="784">
        <v>57591.040000000001</v>
      </c>
      <c r="N4688" s="784">
        <v>69.22</v>
      </c>
      <c r="O4688" s="784">
        <v>5.2</v>
      </c>
      <c r="P4688" s="783">
        <v>160</v>
      </c>
      <c r="Q4688" s="783">
        <v>4284.7700000000004</v>
      </c>
      <c r="R4688" s="783">
        <v>2159.88</v>
      </c>
      <c r="S4688" s="783">
        <v>748.47</v>
      </c>
      <c r="T4688" s="783">
        <v>1376.43</v>
      </c>
      <c r="U4688" s="785">
        <v>44699.499062499999</v>
      </c>
    </row>
    <row r="4689" spans="1:21">
      <c r="A4689" s="782">
        <v>44705</v>
      </c>
      <c r="B4689" s="783" t="s">
        <v>4025</v>
      </c>
      <c r="C4689" s="783" t="s">
        <v>4026</v>
      </c>
      <c r="D4689" s="783" t="s">
        <v>4021</v>
      </c>
      <c r="E4689" s="783" t="s">
        <v>5257</v>
      </c>
      <c r="F4689" s="783" t="s">
        <v>4011</v>
      </c>
      <c r="G4689" s="783" t="str">
        <f t="shared" si="253"/>
        <v>New Contract</v>
      </c>
      <c r="H4689" s="783" t="s">
        <v>5258</v>
      </c>
      <c r="I4689" s="783" t="s">
        <v>5259</v>
      </c>
      <c r="J4689" s="783">
        <v>15</v>
      </c>
      <c r="K4689" s="783" t="s">
        <v>163</v>
      </c>
      <c r="L4689" s="783" t="s">
        <v>4096</v>
      </c>
      <c r="M4689" s="784">
        <v>9972.2000000000007</v>
      </c>
      <c r="N4689" s="784">
        <v>14</v>
      </c>
      <c r="O4689" s="784">
        <v>4.1900000000000004</v>
      </c>
      <c r="P4689" s="783">
        <v>170</v>
      </c>
      <c r="Q4689" s="783">
        <v>958.33</v>
      </c>
      <c r="R4689" s="783">
        <v>334.32</v>
      </c>
      <c r="S4689" s="783">
        <v>144.35</v>
      </c>
      <c r="T4689" s="783">
        <v>479.66</v>
      </c>
      <c r="U4689" s="785">
        <v>44708.986585648097</v>
      </c>
    </row>
    <row r="4690" spans="1:21">
      <c r="A4690" s="782">
        <v>44690</v>
      </c>
      <c r="B4690" s="783" t="s">
        <v>41</v>
      </c>
      <c r="C4690" s="783" t="s">
        <v>4121</v>
      </c>
      <c r="D4690" s="783" t="s">
        <v>4009</v>
      </c>
      <c r="E4690" s="783" t="s">
        <v>4122</v>
      </c>
      <c r="F4690" s="783" t="s">
        <v>4011</v>
      </c>
      <c r="G4690" s="783" t="str">
        <f t="shared" si="253"/>
        <v>Renewal (20% in 2020)</v>
      </c>
      <c r="H4690" s="783" t="s">
        <v>4123</v>
      </c>
      <c r="I4690" s="783" t="s">
        <v>4124</v>
      </c>
      <c r="J4690" s="783">
        <v>20</v>
      </c>
      <c r="K4690" s="783" t="s">
        <v>163</v>
      </c>
      <c r="L4690" s="783" t="s">
        <v>4096</v>
      </c>
      <c r="M4690" s="784">
        <v>41684</v>
      </c>
      <c r="N4690" s="784">
        <v>40</v>
      </c>
      <c r="O4690" s="784">
        <v>6.13</v>
      </c>
      <c r="P4690" s="783">
        <v>170</v>
      </c>
      <c r="Q4690" s="783">
        <v>2872.03</v>
      </c>
      <c r="R4690" s="783">
        <v>1350.41</v>
      </c>
      <c r="S4690" s="783">
        <v>575.39</v>
      </c>
      <c r="T4690" s="783">
        <v>946.23</v>
      </c>
      <c r="U4690" s="785">
        <v>44690.676423611098</v>
      </c>
    </row>
    <row r="4691" spans="1:21">
      <c r="A4691" s="782">
        <v>44684</v>
      </c>
      <c r="B4691" s="783" t="s">
        <v>41</v>
      </c>
      <c r="C4691" s="783" t="s">
        <v>4082</v>
      </c>
      <c r="D4691" s="783" t="s">
        <v>4009</v>
      </c>
      <c r="E4691" s="783" t="s">
        <v>5267</v>
      </c>
      <c r="F4691" s="783" t="s">
        <v>4011</v>
      </c>
      <c r="G4691" s="783" t="str">
        <f t="shared" si="253"/>
        <v>Renewal (20% in 2020)</v>
      </c>
      <c r="H4691" s="783" t="s">
        <v>5268</v>
      </c>
      <c r="I4691" s="783" t="s">
        <v>5269</v>
      </c>
      <c r="J4691" s="783">
        <v>20</v>
      </c>
      <c r="K4691" s="783" t="s">
        <v>163</v>
      </c>
      <c r="L4691" s="783" t="s">
        <v>4096</v>
      </c>
      <c r="M4691" s="784">
        <v>22426.54</v>
      </c>
      <c r="N4691" s="784">
        <v>21.04</v>
      </c>
      <c r="O4691" s="784">
        <v>3.23</v>
      </c>
      <c r="P4691" s="783">
        <v>330</v>
      </c>
      <c r="Q4691" s="783">
        <v>1448.75</v>
      </c>
      <c r="R4691" s="783">
        <v>354.73</v>
      </c>
      <c r="S4691" s="783">
        <v>649.98</v>
      </c>
      <c r="T4691" s="783">
        <v>444.05</v>
      </c>
      <c r="U4691" s="785">
        <v>44685.454236111102</v>
      </c>
    </row>
    <row r="4692" spans="1:21">
      <c r="A4692" s="782">
        <v>44686</v>
      </c>
      <c r="B4692" s="783" t="s">
        <v>41</v>
      </c>
      <c r="C4692" s="783" t="s">
        <v>4092</v>
      </c>
      <c r="D4692" s="783" t="s">
        <v>4009</v>
      </c>
      <c r="E4692" s="783" t="s">
        <v>5273</v>
      </c>
      <c r="F4692" s="783" t="s">
        <v>4011</v>
      </c>
      <c r="G4692" s="783" t="str">
        <f t="shared" si="253"/>
        <v>New Contract</v>
      </c>
      <c r="H4692" s="783" t="s">
        <v>5274</v>
      </c>
      <c r="I4692" s="783" t="s">
        <v>5275</v>
      </c>
      <c r="J4692" s="783">
        <v>25</v>
      </c>
      <c r="K4692" s="783" t="s">
        <v>163</v>
      </c>
      <c r="L4692" s="783" t="s">
        <v>4096</v>
      </c>
      <c r="M4692" s="784">
        <v>5091.04</v>
      </c>
      <c r="N4692" s="784">
        <v>6.77</v>
      </c>
      <c r="O4692" s="784">
        <v>4.7</v>
      </c>
      <c r="P4692" s="783">
        <v>160</v>
      </c>
      <c r="Q4692" s="783">
        <v>308.01</v>
      </c>
      <c r="R4692" s="783">
        <v>201.4</v>
      </c>
      <c r="S4692" s="783">
        <v>75.56</v>
      </c>
      <c r="T4692" s="783">
        <v>31.06</v>
      </c>
      <c r="U4692" s="785">
        <v>44687.614872685197</v>
      </c>
    </row>
    <row r="4693" spans="1:21">
      <c r="A4693" s="782">
        <v>44665</v>
      </c>
      <c r="B4693" s="783" t="s">
        <v>41</v>
      </c>
      <c r="C4693" s="783" t="s">
        <v>4092</v>
      </c>
      <c r="D4693" s="783" t="s">
        <v>4009</v>
      </c>
      <c r="E4693" s="783" t="s">
        <v>4125</v>
      </c>
      <c r="F4693" s="783" t="s">
        <v>4011</v>
      </c>
      <c r="G4693" s="783" t="str">
        <f t="shared" si="253"/>
        <v>Renewal (20% in 2020)</v>
      </c>
      <c r="H4693" s="783" t="s">
        <v>4126</v>
      </c>
      <c r="I4693" s="783" t="s">
        <v>4127</v>
      </c>
      <c r="J4693" s="783">
        <v>20</v>
      </c>
      <c r="K4693" s="783" t="s">
        <v>163</v>
      </c>
      <c r="L4693" s="783" t="s">
        <v>4096</v>
      </c>
      <c r="M4693" s="784">
        <v>7910.1</v>
      </c>
      <c r="N4693" s="784">
        <v>11</v>
      </c>
      <c r="O4693" s="784">
        <v>4.2300000000000004</v>
      </c>
      <c r="P4693" s="783">
        <v>170</v>
      </c>
      <c r="Q4693" s="783">
        <v>620.15</v>
      </c>
      <c r="R4693" s="783">
        <v>294.51</v>
      </c>
      <c r="S4693" s="783">
        <v>135.80000000000001</v>
      </c>
      <c r="T4693" s="783">
        <v>189.84</v>
      </c>
      <c r="U4693" s="785">
        <v>44665.668240740699</v>
      </c>
    </row>
    <row r="4694" spans="1:21">
      <c r="A4694" s="782">
        <v>44665</v>
      </c>
      <c r="B4694" s="783" t="s">
        <v>41</v>
      </c>
      <c r="C4694" s="783" t="s">
        <v>4008</v>
      </c>
      <c r="D4694" s="783" t="s">
        <v>4009</v>
      </c>
      <c r="E4694" s="783" t="s">
        <v>6883</v>
      </c>
      <c r="F4694" s="783" t="s">
        <v>4011</v>
      </c>
      <c r="G4694" s="783" t="str">
        <f t="shared" si="253"/>
        <v>Renewal (20% in 2020)</v>
      </c>
      <c r="H4694" s="783" t="s">
        <v>6884</v>
      </c>
      <c r="I4694" s="783" t="s">
        <v>6885</v>
      </c>
      <c r="J4694" s="783">
        <v>25</v>
      </c>
      <c r="K4694" s="783" t="s">
        <v>163</v>
      </c>
      <c r="L4694" s="783" t="s">
        <v>4096</v>
      </c>
      <c r="M4694" s="784">
        <v>12021.62</v>
      </c>
      <c r="N4694" s="784">
        <v>15.82</v>
      </c>
      <c r="O4694" s="784">
        <v>4.47</v>
      </c>
      <c r="P4694" s="783">
        <v>170</v>
      </c>
      <c r="Q4694" s="783">
        <v>757.36</v>
      </c>
      <c r="R4694" s="783">
        <v>439.84</v>
      </c>
      <c r="S4694" s="783">
        <v>190.1</v>
      </c>
      <c r="T4694" s="783">
        <v>127.43</v>
      </c>
      <c r="U4694" s="785">
        <v>44666.393182870401</v>
      </c>
    </row>
    <row r="4695" spans="1:21">
      <c r="A4695" s="782">
        <v>44712</v>
      </c>
      <c r="B4695" s="783" t="s">
        <v>41</v>
      </c>
      <c r="C4695" s="783" t="s">
        <v>4071</v>
      </c>
      <c r="D4695" s="783" t="s">
        <v>4009</v>
      </c>
      <c r="E4695" s="783" t="s">
        <v>4313</v>
      </c>
      <c r="F4695" s="783" t="s">
        <v>4011</v>
      </c>
      <c r="G4695" s="783" t="str">
        <f t="shared" si="253"/>
        <v>Renewal (15% in 2020)</v>
      </c>
      <c r="H4695" s="783" t="s">
        <v>4314</v>
      </c>
      <c r="I4695" s="783" t="s">
        <v>4315</v>
      </c>
      <c r="J4695" s="783">
        <v>15</v>
      </c>
      <c r="K4695" s="783" t="s">
        <v>163</v>
      </c>
      <c r="L4695" s="783" t="s">
        <v>4096</v>
      </c>
      <c r="M4695" s="784">
        <v>37933.22</v>
      </c>
      <c r="N4695" s="784">
        <v>49.56</v>
      </c>
      <c r="O4695" s="784">
        <v>4.3</v>
      </c>
      <c r="P4695" s="783">
        <v>178</v>
      </c>
      <c r="Q4695" s="783">
        <v>3732.63</v>
      </c>
      <c r="R4695" s="783">
        <v>1296.29</v>
      </c>
      <c r="S4695" s="783">
        <v>642.09</v>
      </c>
      <c r="T4695" s="783">
        <v>1794.24</v>
      </c>
      <c r="U4695" s="785">
        <v>44714.669097222199</v>
      </c>
    </row>
    <row r="4696" spans="1:21">
      <c r="A4696" s="782">
        <v>44705</v>
      </c>
      <c r="B4696" s="783" t="s">
        <v>150</v>
      </c>
      <c r="C4696" s="783" t="s">
        <v>5313</v>
      </c>
      <c r="D4696" s="783" t="s">
        <v>4009</v>
      </c>
      <c r="E4696" s="783" t="s">
        <v>5314</v>
      </c>
      <c r="F4696" s="783" t="s">
        <v>4011</v>
      </c>
      <c r="G4696" s="783" t="str">
        <f t="shared" si="253"/>
        <v>New Contract</v>
      </c>
      <c r="H4696" s="783" t="s">
        <v>5315</v>
      </c>
      <c r="I4696" s="783" t="s">
        <v>5316</v>
      </c>
      <c r="J4696" s="783">
        <v>20</v>
      </c>
      <c r="K4696" s="783" t="s">
        <v>163</v>
      </c>
      <c r="L4696" s="783" t="s">
        <v>4096</v>
      </c>
      <c r="M4696" s="784">
        <v>11717.2</v>
      </c>
      <c r="N4696" s="784">
        <v>19.89</v>
      </c>
      <c r="O4696" s="784">
        <v>4.3</v>
      </c>
      <c r="P4696" s="783">
        <v>137</v>
      </c>
      <c r="Q4696" s="783">
        <v>604.61</v>
      </c>
      <c r="R4696" s="783">
        <v>346.83</v>
      </c>
      <c r="S4696" s="783">
        <v>53.9</v>
      </c>
      <c r="T4696" s="783">
        <v>203.88</v>
      </c>
      <c r="U4696" s="785">
        <v>44706.525081018503</v>
      </c>
    </row>
    <row r="4697" spans="1:21">
      <c r="A4697" s="782">
        <v>44697</v>
      </c>
      <c r="B4697" s="783" t="s">
        <v>113</v>
      </c>
      <c r="C4697" s="783" t="s">
        <v>4606</v>
      </c>
      <c r="D4697" s="783" t="s">
        <v>4009</v>
      </c>
      <c r="E4697" s="783" t="s">
        <v>4607</v>
      </c>
      <c r="F4697" s="783" t="s">
        <v>4011</v>
      </c>
      <c r="G4697" s="783" t="str">
        <f t="shared" si="253"/>
        <v>Renewal (15% in 2020)</v>
      </c>
      <c r="H4697" s="783" t="s">
        <v>4608</v>
      </c>
      <c r="I4697" s="783" t="s">
        <v>4609</v>
      </c>
      <c r="J4697" s="783">
        <v>15</v>
      </c>
      <c r="K4697" s="783" t="s">
        <v>163</v>
      </c>
      <c r="L4697" s="783" t="s">
        <v>4096</v>
      </c>
      <c r="M4697" s="784">
        <v>5129.32</v>
      </c>
      <c r="N4697" s="784">
        <v>4.9400000000000004</v>
      </c>
      <c r="O4697" s="784">
        <v>5.83</v>
      </c>
      <c r="P4697" s="783">
        <v>178.1</v>
      </c>
      <c r="Q4697" s="783">
        <v>422.14</v>
      </c>
      <c r="R4697" s="783">
        <v>135.72999999999999</v>
      </c>
      <c r="S4697" s="783">
        <v>68.930000000000007</v>
      </c>
      <c r="T4697" s="783">
        <v>217.48</v>
      </c>
      <c r="U4697" s="785">
        <v>44699.493657407402</v>
      </c>
    </row>
    <row r="4698" spans="1:21">
      <c r="A4698" s="782">
        <v>44699</v>
      </c>
      <c r="B4698" s="783" t="s">
        <v>2866</v>
      </c>
      <c r="C4698" s="783" t="s">
        <v>4414</v>
      </c>
      <c r="D4698" s="783" t="s">
        <v>4009</v>
      </c>
      <c r="E4698" s="783" t="s">
        <v>5324</v>
      </c>
      <c r="F4698" s="783" t="s">
        <v>4011</v>
      </c>
      <c r="G4698" s="783" t="str">
        <f t="shared" si="253"/>
        <v>Renewal (15% in 2020)</v>
      </c>
      <c r="H4698" s="783" t="s">
        <v>5325</v>
      </c>
      <c r="I4698" s="783" t="s">
        <v>5326</v>
      </c>
      <c r="J4698" s="783">
        <v>20</v>
      </c>
      <c r="K4698" s="783" t="s">
        <v>163</v>
      </c>
      <c r="L4698" s="783" t="s">
        <v>4096</v>
      </c>
      <c r="M4698" s="784">
        <v>4423.32</v>
      </c>
      <c r="N4698" s="784">
        <v>11.17</v>
      </c>
      <c r="O4698" s="784">
        <v>4.4000000000000004</v>
      </c>
      <c r="P4698" s="783">
        <v>90</v>
      </c>
      <c r="Q4698" s="783">
        <v>379.08</v>
      </c>
      <c r="R4698" s="783">
        <v>203.92</v>
      </c>
      <c r="S4698" s="783">
        <v>32.729999999999997</v>
      </c>
      <c r="T4698" s="783">
        <v>142.43</v>
      </c>
      <c r="U4698" s="785">
        <v>44708.702685185199</v>
      </c>
    </row>
    <row r="4699" spans="1:21">
      <c r="A4699" s="782">
        <v>44706</v>
      </c>
      <c r="B4699" s="783" t="s">
        <v>41</v>
      </c>
      <c r="C4699" s="783" t="s">
        <v>4071</v>
      </c>
      <c r="D4699" s="783" t="s">
        <v>4009</v>
      </c>
      <c r="E4699" s="783" t="s">
        <v>5335</v>
      </c>
      <c r="F4699" s="783" t="s">
        <v>4011</v>
      </c>
      <c r="G4699" s="783" t="str">
        <f t="shared" si="253"/>
        <v>Renewal (15% in 2020)</v>
      </c>
      <c r="H4699" s="783" t="s">
        <v>5336</v>
      </c>
      <c r="I4699" s="783" t="s">
        <v>5337</v>
      </c>
      <c r="J4699" s="783">
        <v>15</v>
      </c>
      <c r="K4699" s="783" t="s">
        <v>163</v>
      </c>
      <c r="L4699" s="783" t="s">
        <v>4096</v>
      </c>
      <c r="M4699" s="784">
        <v>19172.330000000002</v>
      </c>
      <c r="N4699" s="784">
        <v>28.56</v>
      </c>
      <c r="O4699" s="784">
        <v>4.9000000000000004</v>
      </c>
      <c r="P4699" s="783">
        <v>137</v>
      </c>
      <c r="Q4699" s="783">
        <v>1886.56</v>
      </c>
      <c r="R4699" s="783">
        <v>851.25</v>
      </c>
      <c r="S4699" s="783">
        <v>128.44999999999999</v>
      </c>
      <c r="T4699" s="783">
        <v>906.85</v>
      </c>
      <c r="U4699" s="785">
        <v>44708.580891203703</v>
      </c>
    </row>
    <row r="4700" spans="1:21">
      <c r="A4700" s="782">
        <v>44540</v>
      </c>
      <c r="B4700" s="783" t="s">
        <v>4025</v>
      </c>
      <c r="C4700" s="783" t="s">
        <v>4026</v>
      </c>
      <c r="D4700" s="783" t="s">
        <v>4021</v>
      </c>
      <c r="E4700" s="783" t="s">
        <v>5341</v>
      </c>
      <c r="F4700" s="783" t="s">
        <v>4011</v>
      </c>
      <c r="G4700" s="783" t="str">
        <f t="shared" si="253"/>
        <v>New Contract</v>
      </c>
      <c r="H4700" s="783" t="s">
        <v>5342</v>
      </c>
      <c r="I4700" s="783" t="s">
        <v>5343</v>
      </c>
      <c r="J4700" s="783">
        <v>25</v>
      </c>
      <c r="K4700" s="783" t="s">
        <v>163</v>
      </c>
      <c r="L4700" s="783" t="s">
        <v>4096</v>
      </c>
      <c r="M4700" s="784">
        <v>6559.73</v>
      </c>
      <c r="N4700" s="784">
        <v>7.45</v>
      </c>
      <c r="O4700" s="784">
        <v>5.87</v>
      </c>
      <c r="P4700" s="783">
        <v>150</v>
      </c>
      <c r="Q4700" s="783">
        <v>371.94</v>
      </c>
      <c r="R4700" s="783">
        <v>249.23</v>
      </c>
      <c r="S4700" s="783">
        <v>65.63</v>
      </c>
      <c r="T4700" s="783">
        <v>57.07</v>
      </c>
      <c r="U4700" s="785">
        <v>44631.629675925898</v>
      </c>
    </row>
    <row r="4701" spans="1:21">
      <c r="A4701" s="782">
        <v>44560</v>
      </c>
      <c r="B4701" s="783" t="s">
        <v>228</v>
      </c>
      <c r="C4701" s="783" t="s">
        <v>4582</v>
      </c>
      <c r="D4701" s="783" t="s">
        <v>4193</v>
      </c>
      <c r="E4701" s="783" t="s">
        <v>5350</v>
      </c>
      <c r="F4701" s="783" t="s">
        <v>4011</v>
      </c>
      <c r="G4701" s="783" t="str">
        <f t="shared" si="253"/>
        <v>Renewal (25% in 2020)</v>
      </c>
      <c r="H4701" s="783" t="s">
        <v>5351</v>
      </c>
      <c r="I4701" s="783" t="s">
        <v>5352</v>
      </c>
      <c r="J4701" s="783">
        <v>25</v>
      </c>
      <c r="K4701" s="783" t="s">
        <v>163</v>
      </c>
      <c r="L4701" s="783" t="s">
        <v>4096</v>
      </c>
      <c r="M4701" s="784">
        <v>4111.32</v>
      </c>
      <c r="N4701" s="784">
        <v>5.21</v>
      </c>
      <c r="O4701" s="784">
        <v>5.76</v>
      </c>
      <c r="P4701" s="783">
        <v>137</v>
      </c>
      <c r="Q4701" s="783">
        <v>233.11</v>
      </c>
      <c r="R4701" s="783">
        <v>181.72</v>
      </c>
      <c r="S4701" s="783">
        <v>27.13</v>
      </c>
      <c r="T4701" s="783">
        <v>24.26</v>
      </c>
      <c r="U4701" s="785">
        <v>44631.626678240696</v>
      </c>
    </row>
    <row r="4702" spans="1:21">
      <c r="A4702" s="782">
        <v>44546</v>
      </c>
      <c r="B4702" s="783" t="s">
        <v>41</v>
      </c>
      <c r="C4702" s="783" t="s">
        <v>4071</v>
      </c>
      <c r="D4702" s="783" t="s">
        <v>4009</v>
      </c>
      <c r="E4702" s="783" t="s">
        <v>5406</v>
      </c>
      <c r="F4702" s="783" t="s">
        <v>4011</v>
      </c>
      <c r="G4702" s="783" t="str">
        <f t="shared" si="253"/>
        <v>New Contract</v>
      </c>
      <c r="H4702" s="783" t="s">
        <v>5407</v>
      </c>
      <c r="I4702" s="783" t="s">
        <v>5408</v>
      </c>
      <c r="J4702" s="783">
        <v>20</v>
      </c>
      <c r="K4702" s="783" t="s">
        <v>163</v>
      </c>
      <c r="L4702" s="783" t="s">
        <v>4096</v>
      </c>
      <c r="M4702" s="784">
        <v>15523.06</v>
      </c>
      <c r="N4702" s="784">
        <v>21.1</v>
      </c>
      <c r="O4702" s="784">
        <v>5.37</v>
      </c>
      <c r="P4702" s="783">
        <v>137</v>
      </c>
      <c r="Q4702" s="783">
        <v>1140.94</v>
      </c>
      <c r="R4702" s="783">
        <v>689.22</v>
      </c>
      <c r="S4702" s="783">
        <v>104</v>
      </c>
      <c r="T4702" s="783">
        <v>347.72</v>
      </c>
      <c r="U4702" s="785">
        <v>44631.6343865741</v>
      </c>
    </row>
    <row r="4703" spans="1:21">
      <c r="A4703" s="782">
        <v>44547</v>
      </c>
      <c r="B4703" s="783" t="s">
        <v>4025</v>
      </c>
      <c r="C4703" s="783" t="s">
        <v>4026</v>
      </c>
      <c r="D4703" s="783" t="s">
        <v>4021</v>
      </c>
      <c r="E4703" s="783" t="s">
        <v>5415</v>
      </c>
      <c r="F4703" s="783" t="s">
        <v>4011</v>
      </c>
      <c r="G4703" s="783" t="str">
        <f t="shared" si="253"/>
        <v>New Contract</v>
      </c>
      <c r="H4703" s="783" t="s">
        <v>5416</v>
      </c>
      <c r="I4703" s="783" t="s">
        <v>5417</v>
      </c>
      <c r="J4703" s="783">
        <v>20</v>
      </c>
      <c r="K4703" s="783" t="s">
        <v>163</v>
      </c>
      <c r="L4703" s="783" t="s">
        <v>4096</v>
      </c>
      <c r="M4703" s="784">
        <v>29880</v>
      </c>
      <c r="N4703" s="784">
        <v>41.5</v>
      </c>
      <c r="O4703" s="784">
        <v>4.8</v>
      </c>
      <c r="P4703" s="783">
        <v>150</v>
      </c>
      <c r="Q4703" s="783">
        <v>2169.29</v>
      </c>
      <c r="R4703" s="783">
        <v>1135.28</v>
      </c>
      <c r="S4703" s="783">
        <v>298.95999999999998</v>
      </c>
      <c r="T4703" s="783">
        <v>735.05</v>
      </c>
      <c r="U4703" s="785">
        <v>44631.631134259304</v>
      </c>
    </row>
    <row r="4704" spans="1:21">
      <c r="A4704" s="782">
        <v>44659</v>
      </c>
      <c r="B4704" s="783" t="s">
        <v>41</v>
      </c>
      <c r="C4704" s="783" t="s">
        <v>4008</v>
      </c>
      <c r="D4704" s="783" t="s">
        <v>4009</v>
      </c>
      <c r="E4704" s="783" t="s">
        <v>4046</v>
      </c>
      <c r="F4704" s="783" t="s">
        <v>4011</v>
      </c>
      <c r="G4704" s="783" t="str">
        <f t="shared" si="253"/>
        <v>Renewal (25% in 2020)</v>
      </c>
      <c r="H4704" s="783" t="s">
        <v>4047</v>
      </c>
      <c r="I4704" s="783" t="s">
        <v>4048</v>
      </c>
      <c r="J4704" s="783">
        <v>25</v>
      </c>
      <c r="K4704" s="783" t="s">
        <v>163</v>
      </c>
      <c r="L4704" s="783" t="s">
        <v>4096</v>
      </c>
      <c r="M4704" s="784">
        <v>15624.36</v>
      </c>
      <c r="N4704" s="784">
        <v>31.05</v>
      </c>
      <c r="O4704" s="784">
        <v>3.7</v>
      </c>
      <c r="P4704" s="783">
        <v>136</v>
      </c>
      <c r="Q4704" s="783">
        <v>984.33</v>
      </c>
      <c r="R4704" s="783">
        <v>709.35</v>
      </c>
      <c r="S4704" s="783">
        <v>109.37</v>
      </c>
      <c r="T4704" s="783">
        <v>165.62</v>
      </c>
      <c r="U4704" s="785">
        <v>44663.409270833297</v>
      </c>
    </row>
    <row r="4705" spans="1:21">
      <c r="A4705" s="782">
        <v>44663</v>
      </c>
      <c r="B4705" s="783" t="s">
        <v>41</v>
      </c>
      <c r="C4705" s="783" t="s">
        <v>4071</v>
      </c>
      <c r="D4705" s="783" t="s">
        <v>4009</v>
      </c>
      <c r="E4705" s="783" t="s">
        <v>169</v>
      </c>
      <c r="F4705" s="783" t="s">
        <v>4011</v>
      </c>
      <c r="G4705" s="783" t="str">
        <f t="shared" si="253"/>
        <v>Renewal (15% in 2020)</v>
      </c>
      <c r="H4705" s="783" t="s">
        <v>4137</v>
      </c>
      <c r="I4705" s="783" t="s">
        <v>4138</v>
      </c>
      <c r="J4705" s="783">
        <v>15</v>
      </c>
      <c r="K4705" s="783" t="s">
        <v>163</v>
      </c>
      <c r="L4705" s="783" t="s">
        <v>4096</v>
      </c>
      <c r="M4705" s="784">
        <v>12291.48</v>
      </c>
      <c r="N4705" s="784">
        <v>21.53</v>
      </c>
      <c r="O4705" s="784">
        <v>3.46</v>
      </c>
      <c r="P4705" s="783">
        <v>165</v>
      </c>
      <c r="Q4705" s="783">
        <v>1209.48</v>
      </c>
      <c r="R4705" s="783">
        <v>453.13</v>
      </c>
      <c r="S4705" s="783">
        <v>174.96</v>
      </c>
      <c r="T4705" s="783">
        <v>581.39</v>
      </c>
      <c r="U4705" s="785">
        <v>44663.427581018499</v>
      </c>
    </row>
    <row r="4706" spans="1:21">
      <c r="A4706" s="782">
        <v>44677</v>
      </c>
      <c r="B4706" s="783" t="s">
        <v>41</v>
      </c>
      <c r="C4706" s="783" t="s">
        <v>4092</v>
      </c>
      <c r="D4706" s="783" t="s">
        <v>4009</v>
      </c>
      <c r="E4706" s="783" t="s">
        <v>5446</v>
      </c>
      <c r="F4706" s="783" t="s">
        <v>4011</v>
      </c>
      <c r="G4706" s="783" t="str">
        <f t="shared" si="253"/>
        <v>Renewal (15% in 2020)</v>
      </c>
      <c r="H4706" s="783" t="s">
        <v>5447</v>
      </c>
      <c r="I4706" s="783" t="s">
        <v>5448</v>
      </c>
      <c r="J4706" s="783">
        <v>15</v>
      </c>
      <c r="K4706" s="783" t="s">
        <v>163</v>
      </c>
      <c r="L4706" s="783" t="s">
        <v>4096</v>
      </c>
      <c r="M4706" s="784">
        <v>6862.71</v>
      </c>
      <c r="N4706" s="784">
        <v>9.41</v>
      </c>
      <c r="O4706" s="784">
        <v>4.29</v>
      </c>
      <c r="P4706" s="783">
        <v>170</v>
      </c>
      <c r="Q4706" s="783">
        <v>720.58</v>
      </c>
      <c r="R4706" s="783">
        <v>255.51</v>
      </c>
      <c r="S4706" s="783">
        <v>117.82</v>
      </c>
      <c r="T4706" s="783">
        <v>347.25</v>
      </c>
      <c r="U4706" s="785">
        <v>44678.776319444398</v>
      </c>
    </row>
    <row r="4707" spans="1:21">
      <c r="A4707" s="782">
        <v>44677</v>
      </c>
      <c r="B4707" s="783" t="s">
        <v>51</v>
      </c>
      <c r="C4707" s="783" t="s">
        <v>4015</v>
      </c>
      <c r="D4707" s="783" t="s">
        <v>4016</v>
      </c>
      <c r="E4707" s="783" t="s">
        <v>7078</v>
      </c>
      <c r="F4707" s="783" t="s">
        <v>4011</v>
      </c>
      <c r="G4707" s="783" t="str">
        <f t="shared" si="253"/>
        <v>Renewal (20% in 2020)</v>
      </c>
      <c r="H4707" s="783" t="s">
        <v>7079</v>
      </c>
      <c r="I4707" s="783" t="s">
        <v>7080</v>
      </c>
      <c r="J4707" s="783">
        <v>20</v>
      </c>
      <c r="K4707" s="783" t="s">
        <v>163</v>
      </c>
      <c r="L4707" s="783" t="s">
        <v>4096</v>
      </c>
      <c r="M4707" s="784">
        <v>5018.83</v>
      </c>
      <c r="N4707" s="784">
        <v>5.29</v>
      </c>
      <c r="O4707" s="784">
        <v>5.33</v>
      </c>
      <c r="P4707" s="783">
        <v>178</v>
      </c>
      <c r="Q4707" s="783">
        <v>439.15</v>
      </c>
      <c r="R4707" s="783">
        <v>195.84</v>
      </c>
      <c r="S4707" s="783">
        <v>98.26</v>
      </c>
      <c r="T4707" s="783">
        <v>145.04</v>
      </c>
      <c r="U4707" s="785">
        <v>44678.777627314797</v>
      </c>
    </row>
    <row r="4708" spans="1:21">
      <c r="A4708" s="782">
        <v>44678</v>
      </c>
      <c r="B4708" s="783" t="s">
        <v>113</v>
      </c>
      <c r="C4708" s="783" t="s">
        <v>4097</v>
      </c>
      <c r="D4708" s="783" t="s">
        <v>4038</v>
      </c>
      <c r="E4708" s="783" t="s">
        <v>5449</v>
      </c>
      <c r="F4708" s="783" t="s">
        <v>4011</v>
      </c>
      <c r="G4708" s="783" t="str">
        <f t="shared" si="253"/>
        <v>Renewal (15% in 2020)</v>
      </c>
      <c r="H4708" s="783" t="s">
        <v>5450</v>
      </c>
      <c r="I4708" s="783" t="s">
        <v>5451</v>
      </c>
      <c r="J4708" s="783">
        <v>15</v>
      </c>
      <c r="K4708" s="783" t="s">
        <v>163</v>
      </c>
      <c r="L4708" s="783" t="s">
        <v>4096</v>
      </c>
      <c r="M4708" s="784">
        <v>3286.14</v>
      </c>
      <c r="N4708" s="784">
        <v>5.72</v>
      </c>
      <c r="O4708" s="784">
        <v>3.83</v>
      </c>
      <c r="P4708" s="783">
        <v>150</v>
      </c>
      <c r="Q4708" s="783">
        <v>364.43</v>
      </c>
      <c r="R4708" s="783">
        <v>142.26</v>
      </c>
      <c r="S4708" s="783">
        <v>37.159999999999997</v>
      </c>
      <c r="T4708" s="783">
        <v>185.01</v>
      </c>
      <c r="U4708" s="785">
        <v>44680.656597222202</v>
      </c>
    </row>
    <row r="4709" spans="1:21">
      <c r="A4709" s="782">
        <v>44680</v>
      </c>
      <c r="B4709" s="783" t="s">
        <v>41</v>
      </c>
      <c r="C4709" s="783" t="s">
        <v>4139</v>
      </c>
      <c r="D4709" s="783" t="s">
        <v>4009</v>
      </c>
      <c r="E4709" s="783" t="s">
        <v>5458</v>
      </c>
      <c r="F4709" s="783" t="s">
        <v>4011</v>
      </c>
      <c r="G4709" s="783" t="str">
        <f t="shared" si="253"/>
        <v>Renewal (15% in 2020)</v>
      </c>
      <c r="H4709" s="783" t="s">
        <v>5459</v>
      </c>
      <c r="I4709" s="783" t="s">
        <v>5460</v>
      </c>
      <c r="J4709" s="783">
        <v>20</v>
      </c>
      <c r="K4709" s="783" t="s">
        <v>163</v>
      </c>
      <c r="L4709" s="783" t="s">
        <v>4096</v>
      </c>
      <c r="M4709" s="784">
        <v>5053.2</v>
      </c>
      <c r="N4709" s="784">
        <v>7.19</v>
      </c>
      <c r="O4709" s="784">
        <v>5.13</v>
      </c>
      <c r="P4709" s="783">
        <v>137</v>
      </c>
      <c r="Q4709" s="783">
        <v>430.03</v>
      </c>
      <c r="R4709" s="783">
        <v>259.23</v>
      </c>
      <c r="S4709" s="783">
        <v>37.9</v>
      </c>
      <c r="T4709" s="783">
        <v>132.9</v>
      </c>
      <c r="U4709" s="785">
        <v>44715.443587962996</v>
      </c>
    </row>
    <row r="4710" spans="1:21">
      <c r="A4710" s="782">
        <v>44695</v>
      </c>
      <c r="B4710" s="783" t="s">
        <v>74</v>
      </c>
      <c r="C4710" s="783" t="s">
        <v>4097</v>
      </c>
      <c r="D4710" s="783" t="s">
        <v>4038</v>
      </c>
      <c r="E4710" s="783" t="s">
        <v>4358</v>
      </c>
      <c r="F4710" s="783" t="s">
        <v>4011</v>
      </c>
      <c r="G4710" s="783" t="str">
        <f t="shared" si="253"/>
        <v>Renewal (15% in 2020)</v>
      </c>
      <c r="H4710" s="783" t="s">
        <v>4359</v>
      </c>
      <c r="I4710" s="783" t="s">
        <v>4360</v>
      </c>
      <c r="J4710" s="783">
        <v>20</v>
      </c>
      <c r="K4710" s="783" t="s">
        <v>163</v>
      </c>
      <c r="L4710" s="783" t="s">
        <v>4096</v>
      </c>
      <c r="M4710" s="784">
        <v>14845.22</v>
      </c>
      <c r="N4710" s="784">
        <v>18.82</v>
      </c>
      <c r="O4710" s="784">
        <v>4.93</v>
      </c>
      <c r="P4710" s="783">
        <v>160</v>
      </c>
      <c r="Q4710" s="783">
        <v>1249.97</v>
      </c>
      <c r="R4710" s="783">
        <v>602.51</v>
      </c>
      <c r="S4710" s="783">
        <v>208.04</v>
      </c>
      <c r="T4710" s="783">
        <v>439.42</v>
      </c>
      <c r="U4710" s="785">
        <v>44697.687083333301</v>
      </c>
    </row>
    <row r="4711" spans="1:21">
      <c r="A4711" s="782">
        <v>44695</v>
      </c>
      <c r="B4711" s="783" t="s">
        <v>74</v>
      </c>
      <c r="C4711" s="783" t="s">
        <v>4037</v>
      </c>
      <c r="D4711" s="783" t="s">
        <v>4038</v>
      </c>
      <c r="E4711" s="783" t="s">
        <v>4358</v>
      </c>
      <c r="F4711" s="783" t="s">
        <v>4011</v>
      </c>
      <c r="G4711" s="783" t="str">
        <f t="shared" si="253"/>
        <v>Renewal (15% in 2020)</v>
      </c>
      <c r="H4711" s="783" t="s">
        <v>4359</v>
      </c>
      <c r="I4711" s="783" t="s">
        <v>4360</v>
      </c>
      <c r="J4711" s="783">
        <v>20</v>
      </c>
      <c r="K4711" s="783" t="s">
        <v>163</v>
      </c>
      <c r="L4711" s="783" t="s">
        <v>4096</v>
      </c>
      <c r="M4711" s="784">
        <v>1885.23</v>
      </c>
      <c r="N4711" s="784">
        <v>2.39</v>
      </c>
      <c r="O4711" s="784">
        <v>4.93</v>
      </c>
      <c r="P4711" s="783">
        <v>160</v>
      </c>
      <c r="Q4711" s="783">
        <v>185.88</v>
      </c>
      <c r="R4711" s="783">
        <v>85.88</v>
      </c>
      <c r="S4711" s="783">
        <v>30.63</v>
      </c>
      <c r="T4711" s="783">
        <v>69.38</v>
      </c>
      <c r="U4711" s="785">
        <v>44697.687083333301</v>
      </c>
    </row>
    <row r="4712" spans="1:21">
      <c r="A4712" s="782">
        <v>44676</v>
      </c>
      <c r="B4712" s="783" t="s">
        <v>51</v>
      </c>
      <c r="C4712" s="783" t="s">
        <v>4042</v>
      </c>
      <c r="D4712" s="783" t="s">
        <v>4016</v>
      </c>
      <c r="E4712" s="783" t="s">
        <v>5471</v>
      </c>
      <c r="F4712" s="783" t="s">
        <v>4066</v>
      </c>
      <c r="G4712" s="783" t="s">
        <v>4028</v>
      </c>
      <c r="H4712" s="783" t="s">
        <v>5472</v>
      </c>
      <c r="I4712" s="783" t="s">
        <v>5473</v>
      </c>
      <c r="J4712" s="783">
        <v>10</v>
      </c>
      <c r="K4712" s="783" t="s">
        <v>163</v>
      </c>
      <c r="L4712" s="783" t="s">
        <v>4096</v>
      </c>
      <c r="M4712" s="784">
        <v>5355</v>
      </c>
      <c r="N4712" s="784">
        <v>4.5</v>
      </c>
      <c r="O4712" s="784">
        <v>7</v>
      </c>
      <c r="P4712" s="783">
        <v>170</v>
      </c>
      <c r="Q4712" s="783">
        <v>101.21</v>
      </c>
      <c r="R4712" s="783">
        <v>0</v>
      </c>
      <c r="S4712" s="783">
        <v>0</v>
      </c>
      <c r="T4712" s="783">
        <v>101.21</v>
      </c>
      <c r="U4712" s="785">
        <v>44676.727986111102</v>
      </c>
    </row>
    <row r="4713" spans="1:21">
      <c r="A4713" s="782">
        <v>44677</v>
      </c>
      <c r="B4713" s="783" t="s">
        <v>4025</v>
      </c>
      <c r="C4713" s="783" t="s">
        <v>4026</v>
      </c>
      <c r="D4713" s="783" t="s">
        <v>4021</v>
      </c>
      <c r="E4713" s="783" t="s">
        <v>5477</v>
      </c>
      <c r="F4713" s="783" t="s">
        <v>4011</v>
      </c>
      <c r="G4713" s="783" t="str">
        <f t="shared" ref="G4713:G4735" si="254">VLOOKUP(I4713,pacage,2,FALSE)</f>
        <v>New Contract</v>
      </c>
      <c r="H4713" s="783" t="s">
        <v>5478</v>
      </c>
      <c r="I4713" s="783" t="s">
        <v>5479</v>
      </c>
      <c r="J4713" s="783">
        <v>20</v>
      </c>
      <c r="K4713" s="783" t="s">
        <v>163</v>
      </c>
      <c r="L4713" s="783" t="s">
        <v>4096</v>
      </c>
      <c r="M4713" s="784">
        <v>23057.1</v>
      </c>
      <c r="N4713" s="784">
        <v>33</v>
      </c>
      <c r="O4713" s="784">
        <v>5.0999999999999996</v>
      </c>
      <c r="P4713" s="783">
        <v>137</v>
      </c>
      <c r="Q4713" s="783">
        <v>1673.95</v>
      </c>
      <c r="R4713" s="783">
        <v>959.18</v>
      </c>
      <c r="S4713" s="783">
        <v>147.57</v>
      </c>
      <c r="T4713" s="783">
        <v>567.20000000000005</v>
      </c>
      <c r="U4713" s="785">
        <v>44678.783344907402</v>
      </c>
    </row>
    <row r="4714" spans="1:21">
      <c r="A4714" s="782">
        <v>44681</v>
      </c>
      <c r="B4714" s="783" t="s">
        <v>51</v>
      </c>
      <c r="C4714" s="783" t="s">
        <v>4042</v>
      </c>
      <c r="D4714" s="783" t="s">
        <v>4016</v>
      </c>
      <c r="E4714" s="783" t="s">
        <v>5486</v>
      </c>
      <c r="F4714" s="783" t="s">
        <v>4011</v>
      </c>
      <c r="G4714" s="783" t="str">
        <f t="shared" si="254"/>
        <v>Renewal (30% in 2020)</v>
      </c>
      <c r="H4714" s="783" t="s">
        <v>5487</v>
      </c>
      <c r="I4714" s="783" t="s">
        <v>5488</v>
      </c>
      <c r="J4714" s="783">
        <v>30</v>
      </c>
      <c r="K4714" s="783" t="s">
        <v>163</v>
      </c>
      <c r="L4714" s="783" t="s">
        <v>4096</v>
      </c>
      <c r="M4714" s="784">
        <v>13113.6</v>
      </c>
      <c r="N4714" s="784">
        <v>12</v>
      </c>
      <c r="O4714" s="784">
        <v>6.83</v>
      </c>
      <c r="P4714" s="783">
        <v>160</v>
      </c>
      <c r="Q4714" s="783">
        <v>658.3</v>
      </c>
      <c r="R4714" s="783">
        <v>479.46</v>
      </c>
      <c r="S4714" s="783">
        <v>80.489999999999995</v>
      </c>
      <c r="T4714" s="783">
        <v>98.35</v>
      </c>
      <c r="U4714" s="785">
        <v>44683.458310185197</v>
      </c>
    </row>
    <row r="4715" spans="1:21">
      <c r="A4715" s="782">
        <v>44679</v>
      </c>
      <c r="B4715" s="783" t="s">
        <v>41</v>
      </c>
      <c r="C4715" s="783" t="s">
        <v>4008</v>
      </c>
      <c r="D4715" s="783" t="s">
        <v>4009</v>
      </c>
      <c r="E4715" s="783" t="s">
        <v>5496</v>
      </c>
      <c r="F4715" s="783" t="s">
        <v>4011</v>
      </c>
      <c r="G4715" s="783" t="str">
        <f t="shared" si="254"/>
        <v>Renewal (15% in 2020)</v>
      </c>
      <c r="H4715" s="783" t="s">
        <v>5497</v>
      </c>
      <c r="I4715" s="783" t="s">
        <v>5498</v>
      </c>
      <c r="J4715" s="783">
        <v>15</v>
      </c>
      <c r="K4715" s="783" t="s">
        <v>163</v>
      </c>
      <c r="L4715" s="783" t="s">
        <v>4096</v>
      </c>
      <c r="M4715" s="784">
        <v>3886.84</v>
      </c>
      <c r="N4715" s="784">
        <v>5.74</v>
      </c>
      <c r="O4715" s="784">
        <v>4.67</v>
      </c>
      <c r="P4715" s="783">
        <v>145</v>
      </c>
      <c r="Q4715" s="783">
        <v>412.01</v>
      </c>
      <c r="R4715" s="783">
        <v>166.73</v>
      </c>
      <c r="S4715" s="783">
        <v>36.94</v>
      </c>
      <c r="T4715" s="783">
        <v>208.33</v>
      </c>
      <c r="U4715" s="785">
        <v>44704.4525810185</v>
      </c>
    </row>
    <row r="4716" spans="1:21">
      <c r="A4716" s="782">
        <v>44680</v>
      </c>
      <c r="B4716" s="783" t="s">
        <v>74</v>
      </c>
      <c r="C4716" s="783" t="s">
        <v>4097</v>
      </c>
      <c r="D4716" s="783" t="s">
        <v>4038</v>
      </c>
      <c r="E4716" s="783" t="s">
        <v>4747</v>
      </c>
      <c r="F4716" s="783" t="s">
        <v>4066</v>
      </c>
      <c r="G4716" s="783" t="str">
        <f t="shared" si="254"/>
        <v>Renewal (15% in 2020)</v>
      </c>
      <c r="H4716" s="783" t="s">
        <v>4748</v>
      </c>
      <c r="I4716" s="783" t="s">
        <v>4749</v>
      </c>
      <c r="J4716" s="783">
        <v>5</v>
      </c>
      <c r="K4716" s="783" t="s">
        <v>163</v>
      </c>
      <c r="L4716" s="783" t="s">
        <v>4096</v>
      </c>
      <c r="M4716" s="784">
        <v>8198.4</v>
      </c>
      <c r="N4716" s="784">
        <v>8.5399999999999991</v>
      </c>
      <c r="O4716" s="784">
        <v>6</v>
      </c>
      <c r="P4716" s="783">
        <v>160</v>
      </c>
      <c r="Q4716" s="783">
        <v>271.37</v>
      </c>
      <c r="R4716" s="783">
        <v>0</v>
      </c>
      <c r="S4716" s="783">
        <v>0</v>
      </c>
      <c r="T4716" s="783">
        <v>271.37</v>
      </c>
      <c r="U4716" s="785">
        <v>44683.493101851898</v>
      </c>
    </row>
    <row r="4717" spans="1:21">
      <c r="A4717" s="782">
        <v>44699</v>
      </c>
      <c r="B4717" s="783" t="s">
        <v>41</v>
      </c>
      <c r="C4717" s="783" t="s">
        <v>4121</v>
      </c>
      <c r="D4717" s="783" t="s">
        <v>4009</v>
      </c>
      <c r="E4717" s="783" t="s">
        <v>5520</v>
      </c>
      <c r="F4717" s="783" t="s">
        <v>4011</v>
      </c>
      <c r="G4717" s="783" t="str">
        <f t="shared" si="254"/>
        <v>Renewal (25% in 2020)</v>
      </c>
      <c r="H4717" s="783" t="s">
        <v>5521</v>
      </c>
      <c r="I4717" s="783" t="s">
        <v>5522</v>
      </c>
      <c r="J4717" s="783">
        <v>25</v>
      </c>
      <c r="K4717" s="783" t="s">
        <v>163</v>
      </c>
      <c r="L4717" s="783" t="s">
        <v>4096</v>
      </c>
      <c r="M4717" s="784">
        <v>33888.089999999997</v>
      </c>
      <c r="N4717" s="784">
        <v>40.25</v>
      </c>
      <c r="O4717" s="784">
        <v>4.7300000000000004</v>
      </c>
      <c r="P4717" s="783">
        <v>178</v>
      </c>
      <c r="Q4717" s="783">
        <v>1816.4</v>
      </c>
      <c r="R4717" s="783">
        <v>1048.51</v>
      </c>
      <c r="S4717" s="783">
        <v>517.12</v>
      </c>
      <c r="T4717" s="783">
        <v>250.77</v>
      </c>
      <c r="U4717" s="785">
        <v>44700.597268518497</v>
      </c>
    </row>
    <row r="4718" spans="1:21">
      <c r="A4718" s="782">
        <v>44684</v>
      </c>
      <c r="B4718" s="783" t="s">
        <v>4025</v>
      </c>
      <c r="C4718" s="783" t="s">
        <v>4052</v>
      </c>
      <c r="D4718" s="783" t="s">
        <v>4021</v>
      </c>
      <c r="E4718" s="783" t="s">
        <v>4053</v>
      </c>
      <c r="F4718" s="783" t="s">
        <v>4011</v>
      </c>
      <c r="G4718" s="783" t="str">
        <f t="shared" si="254"/>
        <v>New contract</v>
      </c>
      <c r="H4718" s="783" t="s">
        <v>4054</v>
      </c>
      <c r="I4718" s="783" t="s">
        <v>4055</v>
      </c>
      <c r="J4718" s="783">
        <v>25</v>
      </c>
      <c r="K4718" s="783" t="s">
        <v>163</v>
      </c>
      <c r="L4718" s="783" t="s">
        <v>4096</v>
      </c>
      <c r="M4718" s="784">
        <v>6765</v>
      </c>
      <c r="N4718" s="784">
        <v>10</v>
      </c>
      <c r="O4718" s="784">
        <v>4.0999999999999996</v>
      </c>
      <c r="P4718" s="783">
        <v>165</v>
      </c>
      <c r="Q4718" s="783">
        <v>440.4</v>
      </c>
      <c r="R4718" s="783">
        <v>280.29000000000002</v>
      </c>
      <c r="S4718" s="783">
        <v>108.02</v>
      </c>
      <c r="T4718" s="783">
        <v>52.09</v>
      </c>
      <c r="U4718" s="785">
        <v>44685.4058912037</v>
      </c>
    </row>
    <row r="4719" spans="1:21">
      <c r="A4719" s="782">
        <v>44713</v>
      </c>
      <c r="B4719" s="783" t="s">
        <v>113</v>
      </c>
      <c r="C4719" s="783" t="s">
        <v>4606</v>
      </c>
      <c r="D4719" s="783" t="s">
        <v>4009</v>
      </c>
      <c r="E4719" s="783" t="s">
        <v>6914</v>
      </c>
      <c r="F4719" s="783" t="s">
        <v>4011</v>
      </c>
      <c r="G4719" s="783" t="str">
        <f t="shared" si="254"/>
        <v>Renewal (25% in 2020)</v>
      </c>
      <c r="H4719" s="783" t="s">
        <v>6915</v>
      </c>
      <c r="I4719" s="783" t="s">
        <v>6916</v>
      </c>
      <c r="J4719" s="783">
        <v>25</v>
      </c>
      <c r="K4719" s="783" t="s">
        <v>163</v>
      </c>
      <c r="L4719" s="783" t="s">
        <v>4096</v>
      </c>
      <c r="M4719" s="784">
        <v>1363.45</v>
      </c>
      <c r="N4719" s="784">
        <v>1.94</v>
      </c>
      <c r="O4719" s="784">
        <v>5.13</v>
      </c>
      <c r="P4719" s="783">
        <v>137</v>
      </c>
      <c r="Q4719" s="783">
        <v>67.760000000000005</v>
      </c>
      <c r="R4719" s="783">
        <v>46.9</v>
      </c>
      <c r="S4719" s="783">
        <v>7.5</v>
      </c>
      <c r="T4719" s="783">
        <v>13.36</v>
      </c>
      <c r="U4719" s="785">
        <v>44715.437256944402</v>
      </c>
    </row>
    <row r="4720" spans="1:21">
      <c r="A4720" s="782">
        <v>44678</v>
      </c>
      <c r="B4720" s="783" t="s">
        <v>41</v>
      </c>
      <c r="C4720" s="783" t="s">
        <v>4071</v>
      </c>
      <c r="D4720" s="783" t="s">
        <v>4009</v>
      </c>
      <c r="E4720" s="783" t="s">
        <v>1148</v>
      </c>
      <c r="F4720" s="783" t="s">
        <v>4011</v>
      </c>
      <c r="G4720" s="783" t="str">
        <f t="shared" si="254"/>
        <v>Renewal (20% in 2020)</v>
      </c>
      <c r="H4720" s="783" t="s">
        <v>4142</v>
      </c>
      <c r="I4720" s="783" t="s">
        <v>4143</v>
      </c>
      <c r="J4720" s="783">
        <v>15</v>
      </c>
      <c r="K4720" s="783" t="s">
        <v>163</v>
      </c>
      <c r="L4720" s="783" t="s">
        <v>4096</v>
      </c>
      <c r="M4720" s="784">
        <v>2768.28</v>
      </c>
      <c r="N4720" s="784">
        <v>3.54</v>
      </c>
      <c r="O4720" s="784">
        <v>4.5999999999999996</v>
      </c>
      <c r="P4720" s="783">
        <v>170</v>
      </c>
      <c r="Q4720" s="783">
        <v>272.39999999999998</v>
      </c>
      <c r="R4720" s="783">
        <v>99.05</v>
      </c>
      <c r="S4720" s="783">
        <v>42.41</v>
      </c>
      <c r="T4720" s="783">
        <v>130.94</v>
      </c>
      <c r="U4720" s="785">
        <v>44680.655138888898</v>
      </c>
    </row>
    <row r="4721" spans="1:21">
      <c r="A4721" s="782">
        <v>44708</v>
      </c>
      <c r="B4721" s="783" t="s">
        <v>41</v>
      </c>
      <c r="C4721" s="783" t="s">
        <v>4008</v>
      </c>
      <c r="D4721" s="783" t="s">
        <v>4009</v>
      </c>
      <c r="E4721" s="783" t="s">
        <v>5529</v>
      </c>
      <c r="F4721" s="783" t="s">
        <v>4011</v>
      </c>
      <c r="G4721" s="783" t="str">
        <f t="shared" si="254"/>
        <v>Renewal (20% in 2020)</v>
      </c>
      <c r="H4721" s="783" t="s">
        <v>5530</v>
      </c>
      <c r="I4721" s="783" t="s">
        <v>5531</v>
      </c>
      <c r="J4721" s="783">
        <v>20</v>
      </c>
      <c r="K4721" s="783" t="s">
        <v>163</v>
      </c>
      <c r="L4721" s="783" t="s">
        <v>4096</v>
      </c>
      <c r="M4721" s="784">
        <v>16851.599999999999</v>
      </c>
      <c r="N4721" s="784">
        <v>24.8</v>
      </c>
      <c r="O4721" s="784">
        <v>4.53</v>
      </c>
      <c r="P4721" s="783">
        <v>150</v>
      </c>
      <c r="Q4721" s="783">
        <v>1353.18</v>
      </c>
      <c r="R4721" s="783">
        <v>698.76</v>
      </c>
      <c r="S4721" s="783">
        <v>184.27</v>
      </c>
      <c r="T4721" s="783">
        <v>470.16</v>
      </c>
      <c r="U4721" s="785">
        <v>44708.588553240697</v>
      </c>
    </row>
    <row r="4722" spans="1:21">
      <c r="A4722" s="782">
        <v>44680</v>
      </c>
      <c r="B4722" s="783" t="s">
        <v>41</v>
      </c>
      <c r="C4722" s="783" t="s">
        <v>4139</v>
      </c>
      <c r="D4722" s="783" t="s">
        <v>4009</v>
      </c>
      <c r="E4722" s="783" t="s">
        <v>4144</v>
      </c>
      <c r="F4722" s="783" t="s">
        <v>4011</v>
      </c>
      <c r="G4722" s="783" t="str">
        <f t="shared" si="254"/>
        <v>Renewal (15% in 2020)</v>
      </c>
      <c r="H4722" s="783" t="s">
        <v>4145</v>
      </c>
      <c r="I4722" s="783" t="s">
        <v>4146</v>
      </c>
      <c r="J4722" s="783">
        <v>15</v>
      </c>
      <c r="K4722" s="783" t="s">
        <v>163</v>
      </c>
      <c r="L4722" s="783" t="s">
        <v>4096</v>
      </c>
      <c r="M4722" s="784">
        <v>7130.45</v>
      </c>
      <c r="N4722" s="784">
        <v>8.7899999999999991</v>
      </c>
      <c r="O4722" s="784">
        <v>5.07</v>
      </c>
      <c r="P4722" s="783">
        <v>160</v>
      </c>
      <c r="Q4722" s="783">
        <v>812.87</v>
      </c>
      <c r="R4722" s="783">
        <v>313.20999999999998</v>
      </c>
      <c r="S4722" s="783">
        <v>106.06</v>
      </c>
      <c r="T4722" s="783">
        <v>393.6</v>
      </c>
      <c r="U4722" s="785">
        <v>44680.748159722199</v>
      </c>
    </row>
    <row r="4723" spans="1:21">
      <c r="A4723" s="782">
        <v>44703</v>
      </c>
      <c r="B4723" s="783" t="s">
        <v>41</v>
      </c>
      <c r="C4723" s="783" t="s">
        <v>4071</v>
      </c>
      <c r="D4723" s="783" t="s">
        <v>4009</v>
      </c>
      <c r="E4723" s="783" t="s">
        <v>4147</v>
      </c>
      <c r="F4723" s="783" t="s">
        <v>4011</v>
      </c>
      <c r="G4723" s="783" t="str">
        <f t="shared" si="254"/>
        <v>Renewal (15% in 2020)</v>
      </c>
      <c r="H4723" s="783" t="s">
        <v>4148</v>
      </c>
      <c r="I4723" s="783" t="s">
        <v>4149</v>
      </c>
      <c r="J4723" s="783">
        <v>15</v>
      </c>
      <c r="K4723" s="783" t="s">
        <v>163</v>
      </c>
      <c r="L4723" s="783" t="s">
        <v>4096</v>
      </c>
      <c r="M4723" s="784">
        <v>23451.5</v>
      </c>
      <c r="N4723" s="784">
        <v>26.35</v>
      </c>
      <c r="O4723" s="784">
        <v>5</v>
      </c>
      <c r="P4723" s="783">
        <v>178</v>
      </c>
      <c r="Q4723" s="783">
        <v>2307.63</v>
      </c>
      <c r="R4723" s="783">
        <v>801.41</v>
      </c>
      <c r="S4723" s="783">
        <v>396.96</v>
      </c>
      <c r="T4723" s="783">
        <v>1109.26</v>
      </c>
      <c r="U4723" s="785">
        <v>44704.407847222203</v>
      </c>
    </row>
    <row r="4724" spans="1:21">
      <c r="A4724" s="782">
        <v>44705</v>
      </c>
      <c r="B4724" s="783" t="s">
        <v>41</v>
      </c>
      <c r="C4724" s="783" t="s">
        <v>4008</v>
      </c>
      <c r="D4724" s="783" t="s">
        <v>4009</v>
      </c>
      <c r="E4724" s="783" t="s">
        <v>1269</v>
      </c>
      <c r="F4724" s="783" t="s">
        <v>4011</v>
      </c>
      <c r="G4724" s="783" t="str">
        <f t="shared" si="254"/>
        <v>Renewal (15% in 2020)</v>
      </c>
      <c r="H4724" s="783" t="s">
        <v>6579</v>
      </c>
      <c r="I4724" s="783" t="s">
        <v>6580</v>
      </c>
      <c r="J4724" s="783">
        <v>15</v>
      </c>
      <c r="K4724" s="783" t="s">
        <v>163</v>
      </c>
      <c r="L4724" s="783" t="s">
        <v>4096</v>
      </c>
      <c r="M4724" s="784">
        <v>8693.34</v>
      </c>
      <c r="N4724" s="784">
        <v>12.95</v>
      </c>
      <c r="O4724" s="784">
        <v>4.9000000000000004</v>
      </c>
      <c r="P4724" s="783">
        <v>137</v>
      </c>
      <c r="Q4724" s="783">
        <v>921.49</v>
      </c>
      <c r="R4724" s="783">
        <v>394.68</v>
      </c>
      <c r="S4724" s="783">
        <v>60.85</v>
      </c>
      <c r="T4724" s="783">
        <v>465.96</v>
      </c>
      <c r="U4724" s="785">
        <v>44708.833217592597</v>
      </c>
    </row>
    <row r="4725" spans="1:21">
      <c r="A4725" s="782">
        <v>44701</v>
      </c>
      <c r="B4725" s="783" t="s">
        <v>113</v>
      </c>
      <c r="C4725" s="783" t="s">
        <v>4606</v>
      </c>
      <c r="D4725" s="783" t="s">
        <v>4009</v>
      </c>
      <c r="E4725" s="783" t="s">
        <v>6581</v>
      </c>
      <c r="F4725" s="783" t="s">
        <v>4011</v>
      </c>
      <c r="G4725" s="783" t="str">
        <f t="shared" si="254"/>
        <v>Renewal (20% in 2020)</v>
      </c>
      <c r="H4725" s="783" t="s">
        <v>6582</v>
      </c>
      <c r="I4725" s="783" t="s">
        <v>6583</v>
      </c>
      <c r="J4725" s="783">
        <v>20</v>
      </c>
      <c r="K4725" s="783" t="s">
        <v>163</v>
      </c>
      <c r="L4725" s="783" t="s">
        <v>4096</v>
      </c>
      <c r="M4725" s="784">
        <v>3524.6</v>
      </c>
      <c r="N4725" s="784">
        <v>5.17</v>
      </c>
      <c r="O4725" s="784">
        <v>3.83</v>
      </c>
      <c r="P4725" s="783">
        <v>178</v>
      </c>
      <c r="Q4725" s="783">
        <v>220.99</v>
      </c>
      <c r="R4725" s="783">
        <v>93.32</v>
      </c>
      <c r="S4725" s="783">
        <v>47.31</v>
      </c>
      <c r="T4725" s="783">
        <v>80.36</v>
      </c>
      <c r="U4725" s="785">
        <v>44701.644189814797</v>
      </c>
    </row>
    <row r="4726" spans="1:21">
      <c r="A4726" s="782">
        <v>44706</v>
      </c>
      <c r="B4726" s="783" t="s">
        <v>41</v>
      </c>
      <c r="C4726" s="783" t="s">
        <v>4092</v>
      </c>
      <c r="D4726" s="783" t="s">
        <v>4009</v>
      </c>
      <c r="E4726" s="783" t="s">
        <v>5620</v>
      </c>
      <c r="F4726" s="783" t="s">
        <v>4011</v>
      </c>
      <c r="G4726" s="783" t="str">
        <f t="shared" si="254"/>
        <v>New contract</v>
      </c>
      <c r="H4726" s="783" t="s">
        <v>5621</v>
      </c>
      <c r="I4726" s="783" t="s">
        <v>5622</v>
      </c>
      <c r="J4726" s="783">
        <v>25</v>
      </c>
      <c r="K4726" s="783" t="s">
        <v>163</v>
      </c>
      <c r="L4726" s="783" t="s">
        <v>4096</v>
      </c>
      <c r="M4726" s="784">
        <v>37390.22</v>
      </c>
      <c r="N4726" s="784">
        <v>32.15</v>
      </c>
      <c r="O4726" s="784">
        <v>6.53</v>
      </c>
      <c r="P4726" s="783">
        <v>178.1</v>
      </c>
      <c r="Q4726" s="783">
        <v>2262.11</v>
      </c>
      <c r="R4726" s="783">
        <v>1328.79</v>
      </c>
      <c r="S4726" s="783">
        <v>705.24</v>
      </c>
      <c r="T4726" s="783">
        <v>228.08</v>
      </c>
      <c r="U4726" s="785">
        <v>44706.626828703702</v>
      </c>
    </row>
    <row r="4727" spans="1:21">
      <c r="A4727" s="782">
        <v>44707</v>
      </c>
      <c r="B4727" s="783" t="s">
        <v>51</v>
      </c>
      <c r="C4727" s="783" t="s">
        <v>4015</v>
      </c>
      <c r="D4727" s="783" t="s">
        <v>4016</v>
      </c>
      <c r="E4727" s="783" t="s">
        <v>5623</v>
      </c>
      <c r="F4727" s="783" t="s">
        <v>4011</v>
      </c>
      <c r="G4727" s="783" t="str">
        <f t="shared" si="254"/>
        <v>Renewal (25% in 2020)</v>
      </c>
      <c r="H4727" s="783" t="s">
        <v>5624</v>
      </c>
      <c r="I4727" s="783" t="s">
        <v>5625</v>
      </c>
      <c r="J4727" s="783">
        <v>25</v>
      </c>
      <c r="K4727" s="783" t="s">
        <v>163</v>
      </c>
      <c r="L4727" s="783" t="s">
        <v>4096</v>
      </c>
      <c r="M4727" s="784">
        <v>12324</v>
      </c>
      <c r="N4727" s="784">
        <v>12.64</v>
      </c>
      <c r="O4727" s="784">
        <v>6.5</v>
      </c>
      <c r="P4727" s="783">
        <v>150</v>
      </c>
      <c r="Q4727" s="783">
        <v>840.5</v>
      </c>
      <c r="R4727" s="783">
        <v>570.67999999999995</v>
      </c>
      <c r="S4727" s="783">
        <v>151.51</v>
      </c>
      <c r="T4727" s="783">
        <v>118.31</v>
      </c>
      <c r="U4727" s="785">
        <v>44708.5859837963</v>
      </c>
    </row>
    <row r="4728" spans="1:21">
      <c r="A4728" s="782">
        <v>44711</v>
      </c>
      <c r="B4728" s="783" t="s">
        <v>4025</v>
      </c>
      <c r="C4728" s="783" t="s">
        <v>4026</v>
      </c>
      <c r="D4728" s="783" t="s">
        <v>4021</v>
      </c>
      <c r="E4728" s="783" t="s">
        <v>4155</v>
      </c>
      <c r="F4728" s="783" t="s">
        <v>4011</v>
      </c>
      <c r="G4728" s="783" t="str">
        <f t="shared" si="254"/>
        <v>New contract</v>
      </c>
      <c r="H4728" s="783" t="s">
        <v>4156</v>
      </c>
      <c r="I4728" s="783" t="s">
        <v>4157</v>
      </c>
      <c r="J4728" s="783">
        <v>25</v>
      </c>
      <c r="K4728" s="783" t="s">
        <v>163</v>
      </c>
      <c r="L4728" s="783" t="s">
        <v>4096</v>
      </c>
      <c r="M4728" s="784">
        <v>1848</v>
      </c>
      <c r="N4728" s="784">
        <v>3</v>
      </c>
      <c r="O4728" s="784">
        <v>4.4000000000000004</v>
      </c>
      <c r="P4728" s="783">
        <v>140</v>
      </c>
      <c r="Q4728" s="783">
        <v>104.78</v>
      </c>
      <c r="R4728" s="783">
        <v>75.23</v>
      </c>
      <c r="S4728" s="783">
        <v>13.47</v>
      </c>
      <c r="T4728" s="783">
        <v>16.079999999999998</v>
      </c>
      <c r="U4728" s="785">
        <v>44713.983935185199</v>
      </c>
    </row>
    <row r="4729" spans="1:21">
      <c r="A4729" s="782">
        <v>44714</v>
      </c>
      <c r="B4729" s="783" t="s">
        <v>41</v>
      </c>
      <c r="C4729" s="783" t="s">
        <v>4071</v>
      </c>
      <c r="D4729" s="783" t="s">
        <v>4009</v>
      </c>
      <c r="E4729" s="783" t="s">
        <v>5631</v>
      </c>
      <c r="F4729" s="783" t="s">
        <v>4011</v>
      </c>
      <c r="G4729" s="783" t="str">
        <f t="shared" si="254"/>
        <v>Renewal (15% in 2020)</v>
      </c>
      <c r="H4729" s="783" t="s">
        <v>5632</v>
      </c>
      <c r="I4729" s="783" t="s">
        <v>5633</v>
      </c>
      <c r="J4729" s="783">
        <v>15</v>
      </c>
      <c r="K4729" s="783" t="s">
        <v>163</v>
      </c>
      <c r="L4729" s="783" t="s">
        <v>4096</v>
      </c>
      <c r="M4729" s="784">
        <v>20583.23</v>
      </c>
      <c r="N4729" s="784">
        <v>25.93</v>
      </c>
      <c r="O4729" s="784">
        <v>5.67</v>
      </c>
      <c r="P4729" s="783">
        <v>140</v>
      </c>
      <c r="Q4729" s="783">
        <v>2025.39</v>
      </c>
      <c r="R4729" s="783">
        <v>894.31</v>
      </c>
      <c r="S4729" s="783">
        <v>157.49</v>
      </c>
      <c r="T4729" s="783">
        <v>973.59</v>
      </c>
      <c r="U4729" s="785">
        <v>44715.466041666703</v>
      </c>
    </row>
    <row r="4730" spans="1:21">
      <c r="A4730" s="782">
        <v>44715</v>
      </c>
      <c r="B4730" s="783" t="s">
        <v>228</v>
      </c>
      <c r="C4730" s="783" t="s">
        <v>4192</v>
      </c>
      <c r="D4730" s="783" t="s">
        <v>4193</v>
      </c>
      <c r="E4730" s="783" t="s">
        <v>3835</v>
      </c>
      <c r="F4730" s="783" t="s">
        <v>4011</v>
      </c>
      <c r="G4730" s="783" t="str">
        <f t="shared" si="254"/>
        <v>Renewal (25% in 2020)</v>
      </c>
      <c r="H4730" s="783" t="s">
        <v>5634</v>
      </c>
      <c r="I4730" s="783" t="s">
        <v>5635</v>
      </c>
      <c r="J4730" s="783">
        <v>25</v>
      </c>
      <c r="K4730" s="783" t="s">
        <v>163</v>
      </c>
      <c r="L4730" s="783" t="s">
        <v>4096</v>
      </c>
      <c r="M4730" s="784">
        <v>30396.13</v>
      </c>
      <c r="N4730" s="784">
        <v>36.42</v>
      </c>
      <c r="O4730" s="784">
        <v>6.42</v>
      </c>
      <c r="P4730" s="783">
        <v>130</v>
      </c>
      <c r="Q4730" s="783">
        <v>1756.9</v>
      </c>
      <c r="R4730" s="783">
        <v>1331.35</v>
      </c>
      <c r="S4730" s="783">
        <v>203.65</v>
      </c>
      <c r="T4730" s="783">
        <v>221.89</v>
      </c>
      <c r="U4730" s="785">
        <v>44715.461851851898</v>
      </c>
    </row>
    <row r="4731" spans="1:21">
      <c r="A4731" s="782">
        <v>44713</v>
      </c>
      <c r="B4731" s="783" t="s">
        <v>51</v>
      </c>
      <c r="C4731" s="783" t="s">
        <v>4042</v>
      </c>
      <c r="D4731" s="783" t="s">
        <v>4016</v>
      </c>
      <c r="E4731" s="783" t="s">
        <v>1417</v>
      </c>
      <c r="F4731" s="783" t="s">
        <v>4011</v>
      </c>
      <c r="G4731" s="783" t="str">
        <f t="shared" si="254"/>
        <v>Renewal (20% in 2020)</v>
      </c>
      <c r="H4731" s="783" t="s">
        <v>5648</v>
      </c>
      <c r="I4731" s="783" t="s">
        <v>5649</v>
      </c>
      <c r="J4731" s="783">
        <v>20</v>
      </c>
      <c r="K4731" s="783" t="s">
        <v>163</v>
      </c>
      <c r="L4731" s="783" t="s">
        <v>4096</v>
      </c>
      <c r="M4731" s="784">
        <v>2924.35</v>
      </c>
      <c r="N4731" s="784">
        <v>4.09</v>
      </c>
      <c r="O4731" s="784">
        <v>6.5</v>
      </c>
      <c r="P4731" s="783">
        <v>110</v>
      </c>
      <c r="Q4731" s="783">
        <v>213.48</v>
      </c>
      <c r="R4731" s="783">
        <v>124.87</v>
      </c>
      <c r="S4731" s="783">
        <v>19.010000000000002</v>
      </c>
      <c r="T4731" s="783">
        <v>69.599999999999994</v>
      </c>
      <c r="U4731" s="785">
        <v>44713.507650462998</v>
      </c>
    </row>
    <row r="4732" spans="1:21">
      <c r="A4732" s="782">
        <v>44712</v>
      </c>
      <c r="B4732" s="783" t="s">
        <v>228</v>
      </c>
      <c r="C4732" s="783" t="s">
        <v>4020</v>
      </c>
      <c r="D4732" s="783" t="s">
        <v>4021</v>
      </c>
      <c r="E4732" s="783" t="s">
        <v>5670</v>
      </c>
      <c r="F4732" s="783" t="s">
        <v>4011</v>
      </c>
      <c r="G4732" s="783" t="str">
        <f t="shared" si="254"/>
        <v>Renewal (15% in 2020)</v>
      </c>
      <c r="H4732" s="783" t="s">
        <v>5671</v>
      </c>
      <c r="I4732" s="783" t="s">
        <v>5672</v>
      </c>
      <c r="J4732" s="783">
        <v>20</v>
      </c>
      <c r="K4732" s="783" t="s">
        <v>163</v>
      </c>
      <c r="L4732" s="783" t="s">
        <v>4096</v>
      </c>
      <c r="M4732" s="784">
        <v>7516.6</v>
      </c>
      <c r="N4732" s="784">
        <v>7.67</v>
      </c>
      <c r="O4732" s="784">
        <v>5.6</v>
      </c>
      <c r="P4732" s="783">
        <v>175</v>
      </c>
      <c r="Q4732" s="783">
        <v>607.34</v>
      </c>
      <c r="R4732" s="783">
        <v>275.98</v>
      </c>
      <c r="S4732" s="783">
        <v>131.41999999999999</v>
      </c>
      <c r="T4732" s="783">
        <v>199.94</v>
      </c>
      <c r="U4732" s="785">
        <v>44714.466921296298</v>
      </c>
    </row>
    <row r="4733" spans="1:21">
      <c r="A4733" s="782">
        <v>44713</v>
      </c>
      <c r="B4733" s="783" t="s">
        <v>41</v>
      </c>
      <c r="C4733" s="783" t="s">
        <v>4092</v>
      </c>
      <c r="D4733" s="783" t="s">
        <v>4009</v>
      </c>
      <c r="E4733" s="783" t="s">
        <v>6492</v>
      </c>
      <c r="F4733" s="783" t="s">
        <v>4011</v>
      </c>
      <c r="G4733" s="783" t="str">
        <f t="shared" si="254"/>
        <v>New contract</v>
      </c>
      <c r="H4733" s="783" t="s">
        <v>6493</v>
      </c>
      <c r="I4733" s="783" t="s">
        <v>6494</v>
      </c>
      <c r="J4733" s="783">
        <v>25</v>
      </c>
      <c r="K4733" s="783" t="s">
        <v>163</v>
      </c>
      <c r="L4733" s="783" t="s">
        <v>4096</v>
      </c>
      <c r="M4733" s="784">
        <v>5906.91</v>
      </c>
      <c r="N4733" s="784">
        <v>15.91</v>
      </c>
      <c r="O4733" s="784">
        <v>2.71</v>
      </c>
      <c r="P4733" s="783">
        <v>137</v>
      </c>
      <c r="Q4733" s="783">
        <v>357.37</v>
      </c>
      <c r="R4733" s="783">
        <v>272.89999999999998</v>
      </c>
      <c r="S4733" s="783">
        <v>48.44</v>
      </c>
      <c r="T4733" s="783">
        <v>36.03</v>
      </c>
      <c r="U4733" s="785">
        <v>44715.4397916667</v>
      </c>
    </row>
    <row r="4734" spans="1:21">
      <c r="A4734" s="782">
        <v>44712</v>
      </c>
      <c r="B4734" s="783" t="s">
        <v>41</v>
      </c>
      <c r="C4734" s="783" t="s">
        <v>4092</v>
      </c>
      <c r="D4734" s="783" t="s">
        <v>4009</v>
      </c>
      <c r="E4734" s="783" t="s">
        <v>605</v>
      </c>
      <c r="F4734" s="783" t="s">
        <v>4011</v>
      </c>
      <c r="G4734" s="783" t="str">
        <f t="shared" si="254"/>
        <v>Renewal (15% in 2020)</v>
      </c>
      <c r="H4734" s="783" t="s">
        <v>4161</v>
      </c>
      <c r="I4734" s="783" t="s">
        <v>4162</v>
      </c>
      <c r="J4734" s="783">
        <v>15</v>
      </c>
      <c r="K4734" s="783" t="s">
        <v>163</v>
      </c>
      <c r="L4734" s="783" t="s">
        <v>4096</v>
      </c>
      <c r="M4734" s="784">
        <v>6264.99</v>
      </c>
      <c r="N4734" s="784">
        <v>9.2200000000000006</v>
      </c>
      <c r="O4734" s="784">
        <v>4.53</v>
      </c>
      <c r="P4734" s="783">
        <v>150</v>
      </c>
      <c r="Q4734" s="783">
        <v>657.82</v>
      </c>
      <c r="R4734" s="783">
        <v>264.36</v>
      </c>
      <c r="S4734" s="783">
        <v>76.459999999999994</v>
      </c>
      <c r="T4734" s="783">
        <v>317.01</v>
      </c>
      <c r="U4734" s="785">
        <v>44714.667326388902</v>
      </c>
    </row>
    <row r="4735" spans="1:21">
      <c r="A4735" s="782">
        <v>44710</v>
      </c>
      <c r="B4735" s="783" t="s">
        <v>113</v>
      </c>
      <c r="C4735" s="783" t="s">
        <v>4606</v>
      </c>
      <c r="D4735" s="783" t="s">
        <v>4009</v>
      </c>
      <c r="E4735" s="783" t="s">
        <v>6932</v>
      </c>
      <c r="F4735" s="783" t="s">
        <v>4011</v>
      </c>
      <c r="G4735" s="783" t="str">
        <f t="shared" si="254"/>
        <v>Renewal (20% in 2020)</v>
      </c>
      <c r="H4735" s="783" t="s">
        <v>6933</v>
      </c>
      <c r="I4735" s="783" t="s">
        <v>6934</v>
      </c>
      <c r="J4735" s="783">
        <v>25</v>
      </c>
      <c r="K4735" s="783" t="s">
        <v>163</v>
      </c>
      <c r="L4735" s="783" t="s">
        <v>4096</v>
      </c>
      <c r="M4735" s="784">
        <v>2176.37</v>
      </c>
      <c r="N4735" s="784">
        <v>2.76</v>
      </c>
      <c r="O4735" s="784">
        <v>4.43</v>
      </c>
      <c r="P4735" s="783">
        <v>178</v>
      </c>
      <c r="Q4735" s="783">
        <v>108.17</v>
      </c>
      <c r="R4735" s="783">
        <v>57.62</v>
      </c>
      <c r="S4735" s="783">
        <v>29.21</v>
      </c>
      <c r="T4735" s="783">
        <v>21.33</v>
      </c>
      <c r="U4735" s="785">
        <v>44712.668854166703</v>
      </c>
    </row>
    <row r="4736" spans="1:21">
      <c r="A4736" s="782">
        <v>44712</v>
      </c>
      <c r="B4736" s="783" t="s">
        <v>4025</v>
      </c>
      <c r="C4736" s="783" t="s">
        <v>4026</v>
      </c>
      <c r="D4736" s="783" t="s">
        <v>4021</v>
      </c>
      <c r="E4736" s="783" t="s">
        <v>5686</v>
      </c>
      <c r="F4736" s="783" t="s">
        <v>4011</v>
      </c>
      <c r="G4736" s="783" t="s">
        <v>4028</v>
      </c>
      <c r="H4736" s="783" t="s">
        <v>5687</v>
      </c>
      <c r="I4736" s="783" t="s">
        <v>5688</v>
      </c>
      <c r="J4736" s="783">
        <v>25</v>
      </c>
      <c r="K4736" s="783" t="s">
        <v>163</v>
      </c>
      <c r="L4736" s="783" t="s">
        <v>4096</v>
      </c>
      <c r="M4736" s="784">
        <v>27456.03</v>
      </c>
      <c r="N4736" s="784">
        <v>23.88</v>
      </c>
      <c r="O4736" s="784">
        <v>6.57</v>
      </c>
      <c r="P4736" s="783">
        <v>175</v>
      </c>
      <c r="Q4736" s="783">
        <v>1556.76</v>
      </c>
      <c r="R4736" s="783">
        <v>894.16</v>
      </c>
      <c r="S4736" s="783">
        <v>423.73</v>
      </c>
      <c r="T4736" s="783">
        <v>238.87</v>
      </c>
      <c r="U4736" s="785">
        <v>44714.002731481502</v>
      </c>
    </row>
    <row r="4737" spans="1:21">
      <c r="A4737" s="782">
        <v>44711</v>
      </c>
      <c r="B4737" s="783" t="s">
        <v>51</v>
      </c>
      <c r="C4737" s="783" t="s">
        <v>4015</v>
      </c>
      <c r="D4737" s="783" t="s">
        <v>4016</v>
      </c>
      <c r="E4737" s="783" t="s">
        <v>5689</v>
      </c>
      <c r="F4737" s="783" t="s">
        <v>4011</v>
      </c>
      <c r="G4737" s="783" t="str">
        <f>VLOOKUP(I4737,pacage,2,FALSE)</f>
        <v>Renewal (15% in 2020)</v>
      </c>
      <c r="H4737" s="783" t="s">
        <v>5690</v>
      </c>
      <c r="I4737" s="783" t="s">
        <v>5691</v>
      </c>
      <c r="J4737" s="783">
        <v>15</v>
      </c>
      <c r="K4737" s="783" t="s">
        <v>163</v>
      </c>
      <c r="L4737" s="783" t="s">
        <v>4096</v>
      </c>
      <c r="M4737" s="784">
        <v>9145.5</v>
      </c>
      <c r="N4737" s="784">
        <v>9.3800000000000008</v>
      </c>
      <c r="O4737" s="784">
        <v>6.5</v>
      </c>
      <c r="P4737" s="783">
        <v>150</v>
      </c>
      <c r="Q4737" s="783">
        <v>1061.79</v>
      </c>
      <c r="R4737" s="783">
        <v>423.49</v>
      </c>
      <c r="S4737" s="783">
        <v>112.43</v>
      </c>
      <c r="T4737" s="783">
        <v>525.87</v>
      </c>
      <c r="U4737" s="785">
        <v>44713.541979166701</v>
      </c>
    </row>
    <row r="4738" spans="1:21">
      <c r="A4738" s="782">
        <v>44712</v>
      </c>
      <c r="B4738" s="783" t="s">
        <v>4025</v>
      </c>
      <c r="C4738" s="783" t="s">
        <v>4026</v>
      </c>
      <c r="D4738" s="783" t="s">
        <v>4021</v>
      </c>
      <c r="E4738" s="783" t="s">
        <v>4056</v>
      </c>
      <c r="F4738" s="783" t="s">
        <v>4011</v>
      </c>
      <c r="G4738" s="783" t="s">
        <v>4028</v>
      </c>
      <c r="H4738" s="783" t="s">
        <v>4057</v>
      </c>
      <c r="I4738" s="783" t="s">
        <v>4058</v>
      </c>
      <c r="J4738" s="783">
        <v>25</v>
      </c>
      <c r="K4738" s="783" t="s">
        <v>163</v>
      </c>
      <c r="L4738" s="783" t="s">
        <v>4096</v>
      </c>
      <c r="M4738" s="784">
        <v>4332.17</v>
      </c>
      <c r="N4738" s="784">
        <v>6.67</v>
      </c>
      <c r="O4738" s="784">
        <v>4.33</v>
      </c>
      <c r="P4738" s="783">
        <v>150</v>
      </c>
      <c r="Q4738" s="783">
        <v>245.63</v>
      </c>
      <c r="R4738" s="783">
        <v>164.6</v>
      </c>
      <c r="S4738" s="783">
        <v>43.34</v>
      </c>
      <c r="T4738" s="783">
        <v>37.69</v>
      </c>
      <c r="U4738" s="785">
        <v>44714.465833333299</v>
      </c>
    </row>
    <row r="4739" spans="1:21">
      <c r="A4739" s="782">
        <v>44712</v>
      </c>
      <c r="B4739" s="783" t="s">
        <v>228</v>
      </c>
      <c r="C4739" s="783" t="s">
        <v>4020</v>
      </c>
      <c r="D4739" s="783" t="s">
        <v>4021</v>
      </c>
      <c r="E4739" s="783" t="s">
        <v>4163</v>
      </c>
      <c r="F4739" s="783" t="s">
        <v>4011</v>
      </c>
      <c r="G4739" s="783" t="str">
        <f>VLOOKUP(I4739,pacage,2,FALSE)</f>
        <v>Renewal (15% in 2020)</v>
      </c>
      <c r="H4739" s="783" t="s">
        <v>4164</v>
      </c>
      <c r="I4739" s="783" t="s">
        <v>4165</v>
      </c>
      <c r="J4739" s="783">
        <v>25</v>
      </c>
      <c r="K4739" s="783" t="s">
        <v>163</v>
      </c>
      <c r="L4739" s="783" t="s">
        <v>4096</v>
      </c>
      <c r="M4739" s="784">
        <v>12015.41</v>
      </c>
      <c r="N4739" s="784">
        <v>13.65</v>
      </c>
      <c r="O4739" s="784">
        <v>5.03</v>
      </c>
      <c r="P4739" s="783">
        <v>175</v>
      </c>
      <c r="Q4739" s="783">
        <v>755.77</v>
      </c>
      <c r="R4739" s="783">
        <v>441.16</v>
      </c>
      <c r="S4739" s="783">
        <v>210.08</v>
      </c>
      <c r="T4739" s="783">
        <v>104.53</v>
      </c>
      <c r="U4739" s="785">
        <v>44714.582372685203</v>
      </c>
    </row>
    <row r="4740" spans="1:21">
      <c r="A4740" s="782">
        <v>44698</v>
      </c>
      <c r="B4740" s="783" t="s">
        <v>4025</v>
      </c>
      <c r="C4740" s="783" t="s">
        <v>4026</v>
      </c>
      <c r="D4740" s="783" t="s">
        <v>4021</v>
      </c>
      <c r="E4740" s="783" t="s">
        <v>5695</v>
      </c>
      <c r="F4740" s="783" t="s">
        <v>4011</v>
      </c>
      <c r="G4740" s="783" t="str">
        <f>VLOOKUP(I4740,pacage,2,FALSE)</f>
        <v>New contract</v>
      </c>
      <c r="H4740" s="783" t="s">
        <v>5696</v>
      </c>
      <c r="I4740" s="783" t="s">
        <v>5697</v>
      </c>
      <c r="J4740" s="783">
        <v>20</v>
      </c>
      <c r="K4740" s="783" t="s">
        <v>163</v>
      </c>
      <c r="L4740" s="783" t="s">
        <v>4096</v>
      </c>
      <c r="M4740" s="784">
        <v>987.56</v>
      </c>
      <c r="N4740" s="784">
        <v>1.41</v>
      </c>
      <c r="O4740" s="784">
        <v>4.12</v>
      </c>
      <c r="P4740" s="783">
        <v>170</v>
      </c>
      <c r="Q4740" s="783">
        <v>71.7</v>
      </c>
      <c r="R4740" s="783">
        <v>33.11</v>
      </c>
      <c r="S4740" s="783">
        <v>14.3</v>
      </c>
      <c r="T4740" s="783">
        <v>24.29</v>
      </c>
      <c r="U4740" s="785">
        <v>44712.625081018501</v>
      </c>
    </row>
    <row r="4741" spans="1:21">
      <c r="A4741" s="782">
        <v>44715</v>
      </c>
      <c r="B4741" s="783" t="s">
        <v>41</v>
      </c>
      <c r="C4741" s="783" t="s">
        <v>4071</v>
      </c>
      <c r="D4741" s="783" t="s">
        <v>4009</v>
      </c>
      <c r="E4741" s="783" t="s">
        <v>3851</v>
      </c>
      <c r="F4741" s="783" t="s">
        <v>4011</v>
      </c>
      <c r="G4741" s="783" t="str">
        <f>VLOOKUP(I4741,pacage,2,FALSE)</f>
        <v>Renewal (25% in 2020)</v>
      </c>
      <c r="H4741" s="783" t="s">
        <v>4166</v>
      </c>
      <c r="I4741" s="783" t="s">
        <v>4167</v>
      </c>
      <c r="J4741" s="783">
        <v>25</v>
      </c>
      <c r="K4741" s="783" t="s">
        <v>163</v>
      </c>
      <c r="L4741" s="783" t="s">
        <v>4096</v>
      </c>
      <c r="M4741" s="784">
        <v>2358.5100000000002</v>
      </c>
      <c r="N4741" s="784">
        <v>3.91</v>
      </c>
      <c r="O4741" s="784">
        <v>3.77</v>
      </c>
      <c r="P4741" s="783">
        <v>160</v>
      </c>
      <c r="Q4741" s="783">
        <v>133.96</v>
      </c>
      <c r="R4741" s="783">
        <v>89.66</v>
      </c>
      <c r="S4741" s="783">
        <v>30.86</v>
      </c>
      <c r="T4741" s="783">
        <v>13.44</v>
      </c>
      <c r="U4741" s="785">
        <v>44715.467962962997</v>
      </c>
    </row>
    <row r="4742" spans="1:21">
      <c r="A4742" s="782">
        <v>44713</v>
      </c>
      <c r="B4742" s="783" t="s">
        <v>2866</v>
      </c>
      <c r="C4742" s="783" t="s">
        <v>4008</v>
      </c>
      <c r="D4742" s="783" t="s">
        <v>4009</v>
      </c>
      <c r="E4742" s="783" t="s">
        <v>5712</v>
      </c>
      <c r="F4742" s="783" t="s">
        <v>4011</v>
      </c>
      <c r="G4742" s="783" t="str">
        <f>VLOOKUP(I4742,pacage,2,FALSE)</f>
        <v>Renewal (30% in 2020)</v>
      </c>
      <c r="H4742" s="783" t="s">
        <v>5713</v>
      </c>
      <c r="I4742" s="783" t="s">
        <v>5714</v>
      </c>
      <c r="J4742" s="783">
        <v>25</v>
      </c>
      <c r="K4742" s="783" t="s">
        <v>163</v>
      </c>
      <c r="L4742" s="783" t="s">
        <v>4096</v>
      </c>
      <c r="M4742" s="784">
        <v>12875.95</v>
      </c>
      <c r="N4742" s="784">
        <v>12.84</v>
      </c>
      <c r="O4742" s="784">
        <v>4.3600000000000003</v>
      </c>
      <c r="P4742" s="783">
        <v>230</v>
      </c>
      <c r="Q4742" s="783">
        <v>811.18</v>
      </c>
      <c r="R4742" s="783">
        <v>348.2</v>
      </c>
      <c r="S4742" s="783">
        <v>326.5</v>
      </c>
      <c r="T4742" s="783">
        <v>136.49</v>
      </c>
      <c r="U4742" s="785">
        <v>44715.438368055598</v>
      </c>
    </row>
    <row r="4743" spans="1:21">
      <c r="A4743" s="782">
        <v>44697</v>
      </c>
      <c r="B4743" s="783" t="s">
        <v>41</v>
      </c>
      <c r="C4743" s="783" t="s">
        <v>4139</v>
      </c>
      <c r="D4743" s="783" t="s">
        <v>4009</v>
      </c>
      <c r="E4743" s="783" t="s">
        <v>5721</v>
      </c>
      <c r="F4743" s="783" t="s">
        <v>4011</v>
      </c>
      <c r="G4743" s="783" t="str">
        <f>VLOOKUP(I4743,pacage,2,FALSE)</f>
        <v>Renewal (30% in 2020)</v>
      </c>
      <c r="H4743" s="783" t="s">
        <v>5722</v>
      </c>
      <c r="I4743" s="783" t="s">
        <v>5723</v>
      </c>
      <c r="J4743" s="783">
        <v>30</v>
      </c>
      <c r="K4743" s="783" t="s">
        <v>163</v>
      </c>
      <c r="L4743" s="783" t="s">
        <v>4096</v>
      </c>
      <c r="M4743" s="784">
        <v>5515.11</v>
      </c>
      <c r="N4743" s="784">
        <v>9.17</v>
      </c>
      <c r="O4743" s="784">
        <v>4.3899999999999997</v>
      </c>
      <c r="P4743" s="783">
        <v>137</v>
      </c>
      <c r="Q4743" s="783">
        <v>319.88</v>
      </c>
      <c r="R4743" s="783">
        <v>282.93</v>
      </c>
      <c r="S4743" s="783">
        <v>0</v>
      </c>
      <c r="T4743" s="783">
        <v>36.950000000000003</v>
      </c>
      <c r="U4743" s="785">
        <v>44698.719282407401</v>
      </c>
    </row>
    <row r="4744" spans="1:21">
      <c r="A4744" s="782">
        <v>44694</v>
      </c>
      <c r="B4744" s="783" t="s">
        <v>4025</v>
      </c>
      <c r="C4744" s="783" t="s">
        <v>4026</v>
      </c>
      <c r="D4744" s="783" t="s">
        <v>4021</v>
      </c>
      <c r="E4744" s="783" t="s">
        <v>5765</v>
      </c>
      <c r="F4744" s="783" t="s">
        <v>4011</v>
      </c>
      <c r="G4744" s="783" t="s">
        <v>4028</v>
      </c>
      <c r="H4744" s="783" t="s">
        <v>5766</v>
      </c>
      <c r="I4744" s="783" t="s">
        <v>5767</v>
      </c>
      <c r="J4744" s="783">
        <v>20</v>
      </c>
      <c r="K4744" s="783" t="s">
        <v>163</v>
      </c>
      <c r="L4744" s="783" t="s">
        <v>4096</v>
      </c>
      <c r="M4744" s="784">
        <v>19290.25</v>
      </c>
      <c r="N4744" s="784">
        <v>23.22</v>
      </c>
      <c r="O4744" s="784">
        <v>4.83</v>
      </c>
      <c r="P4744" s="783">
        <v>172</v>
      </c>
      <c r="Q4744" s="783">
        <v>1400.47</v>
      </c>
      <c r="R4744" s="783">
        <v>639.17999999999995</v>
      </c>
      <c r="S4744" s="783">
        <v>286.75</v>
      </c>
      <c r="T4744" s="783">
        <v>474.54</v>
      </c>
      <c r="U4744" s="785">
        <v>44694.733784722201</v>
      </c>
    </row>
    <row r="4745" spans="1:21">
      <c r="A4745" s="782">
        <v>44696</v>
      </c>
      <c r="B4745" s="783" t="s">
        <v>41</v>
      </c>
      <c r="C4745" s="783" t="s">
        <v>4092</v>
      </c>
      <c r="D4745" s="783" t="s">
        <v>4009</v>
      </c>
      <c r="E4745" s="783" t="s">
        <v>2249</v>
      </c>
      <c r="F4745" s="783" t="s">
        <v>4011</v>
      </c>
      <c r="G4745" s="783" t="str">
        <f t="shared" ref="G4745:G4750" si="255">VLOOKUP(I4745,pacage,2,FALSE)</f>
        <v>Renewal (30% in 2020)</v>
      </c>
      <c r="H4745" s="783" t="s">
        <v>5771</v>
      </c>
      <c r="I4745" s="783" t="s">
        <v>5772</v>
      </c>
      <c r="J4745" s="783">
        <v>30</v>
      </c>
      <c r="K4745" s="783" t="s">
        <v>163</v>
      </c>
      <c r="L4745" s="783" t="s">
        <v>4096</v>
      </c>
      <c r="M4745" s="784">
        <v>9248.2199999999993</v>
      </c>
      <c r="N4745" s="784">
        <v>11.46</v>
      </c>
      <c r="O4745" s="784">
        <v>5.38</v>
      </c>
      <c r="P4745" s="783">
        <v>150</v>
      </c>
      <c r="Q4745" s="783">
        <v>484.61</v>
      </c>
      <c r="R4745" s="783">
        <v>390.24</v>
      </c>
      <c r="S4745" s="783">
        <v>37.03</v>
      </c>
      <c r="T4745" s="783">
        <v>57.34</v>
      </c>
      <c r="U4745" s="785">
        <v>44697.411840277797</v>
      </c>
    </row>
    <row r="4746" spans="1:21">
      <c r="A4746" s="782">
        <v>44698</v>
      </c>
      <c r="B4746" s="783" t="s">
        <v>347</v>
      </c>
      <c r="C4746" s="783" t="s">
        <v>4139</v>
      </c>
      <c r="D4746" s="783" t="s">
        <v>4009</v>
      </c>
      <c r="E4746" s="783" t="s">
        <v>5776</v>
      </c>
      <c r="F4746" s="783" t="s">
        <v>4011</v>
      </c>
      <c r="G4746" s="783" t="str">
        <f t="shared" si="255"/>
        <v>Renewal (15% in 2020)</v>
      </c>
      <c r="H4746" s="783" t="s">
        <v>5777</v>
      </c>
      <c r="I4746" s="783" t="s">
        <v>5778</v>
      </c>
      <c r="J4746" s="783">
        <v>15</v>
      </c>
      <c r="K4746" s="783" t="s">
        <v>163</v>
      </c>
      <c r="L4746" s="783" t="s">
        <v>4096</v>
      </c>
      <c r="M4746" s="784">
        <v>8175.14</v>
      </c>
      <c r="N4746" s="784">
        <v>14.23</v>
      </c>
      <c r="O4746" s="784">
        <v>3.83</v>
      </c>
      <c r="P4746" s="783">
        <v>150</v>
      </c>
      <c r="Q4746" s="783">
        <v>931.97</v>
      </c>
      <c r="R4746" s="783">
        <v>383.04</v>
      </c>
      <c r="S4746" s="783">
        <v>97.66</v>
      </c>
      <c r="T4746" s="783">
        <v>451.27</v>
      </c>
      <c r="U4746" s="785">
        <v>44699.736585648097</v>
      </c>
    </row>
    <row r="4747" spans="1:21">
      <c r="A4747" s="782">
        <v>44709</v>
      </c>
      <c r="B4747" s="783" t="s">
        <v>347</v>
      </c>
      <c r="C4747" s="783" t="s">
        <v>4139</v>
      </c>
      <c r="D4747" s="783" t="s">
        <v>4009</v>
      </c>
      <c r="E4747" s="783" t="s">
        <v>5779</v>
      </c>
      <c r="F4747" s="783" t="s">
        <v>4011</v>
      </c>
      <c r="G4747" s="783" t="str">
        <f t="shared" si="255"/>
        <v>Renewal (20% in 2020)</v>
      </c>
      <c r="H4747" s="783" t="s">
        <v>5780</v>
      </c>
      <c r="I4747" s="783" t="s">
        <v>5781</v>
      </c>
      <c r="J4747" s="783">
        <v>20</v>
      </c>
      <c r="K4747" s="783" t="s">
        <v>163</v>
      </c>
      <c r="L4747" s="783" t="s">
        <v>4096</v>
      </c>
      <c r="M4747" s="784">
        <v>6747.78</v>
      </c>
      <c r="N4747" s="784">
        <v>8.44</v>
      </c>
      <c r="O4747" s="784">
        <v>5.33</v>
      </c>
      <c r="P4747" s="783">
        <v>150</v>
      </c>
      <c r="Q4747" s="783">
        <v>574.24</v>
      </c>
      <c r="R4747" s="783">
        <v>316.16000000000003</v>
      </c>
      <c r="S4747" s="783">
        <v>80.61</v>
      </c>
      <c r="T4747" s="783">
        <v>177.47</v>
      </c>
      <c r="U4747" s="785">
        <v>44711.539895833303</v>
      </c>
    </row>
    <row r="4748" spans="1:21">
      <c r="A4748" s="782">
        <v>44701</v>
      </c>
      <c r="B4748" s="783" t="s">
        <v>65</v>
      </c>
      <c r="C4748" s="783" t="s">
        <v>4606</v>
      </c>
      <c r="D4748" s="783" t="s">
        <v>4009</v>
      </c>
      <c r="E4748" s="783" t="s">
        <v>6947</v>
      </c>
      <c r="F4748" s="783" t="s">
        <v>4011</v>
      </c>
      <c r="G4748" s="783" t="str">
        <f t="shared" si="255"/>
        <v>New contract</v>
      </c>
      <c r="H4748" s="783" t="s">
        <v>6948</v>
      </c>
      <c r="I4748" s="783" t="s">
        <v>6949</v>
      </c>
      <c r="J4748" s="783">
        <v>20</v>
      </c>
      <c r="K4748" s="783" t="s">
        <v>163</v>
      </c>
      <c r="L4748" s="783" t="s">
        <v>4096</v>
      </c>
      <c r="M4748" s="784">
        <v>6266.7</v>
      </c>
      <c r="N4748" s="784">
        <v>6.33</v>
      </c>
      <c r="O4748" s="784">
        <v>6</v>
      </c>
      <c r="P4748" s="783">
        <v>165</v>
      </c>
      <c r="Q4748" s="783">
        <v>392.92</v>
      </c>
      <c r="R4748" s="783">
        <v>178.99</v>
      </c>
      <c r="S4748" s="783">
        <v>71.05</v>
      </c>
      <c r="T4748" s="783">
        <v>142.88</v>
      </c>
      <c r="U4748" s="785">
        <v>44701.653599537</v>
      </c>
    </row>
    <row r="4749" spans="1:21">
      <c r="A4749" s="782">
        <v>44698</v>
      </c>
      <c r="B4749" s="783" t="s">
        <v>41</v>
      </c>
      <c r="C4749" s="783" t="s">
        <v>4071</v>
      </c>
      <c r="D4749" s="783" t="s">
        <v>4009</v>
      </c>
      <c r="E4749" s="783" t="s">
        <v>5803</v>
      </c>
      <c r="F4749" s="783" t="s">
        <v>4011</v>
      </c>
      <c r="G4749" s="783" t="str">
        <f t="shared" si="255"/>
        <v>Renewal (25% in 2020)</v>
      </c>
      <c r="H4749" s="783" t="s">
        <v>5804</v>
      </c>
      <c r="I4749" s="783" t="s">
        <v>5805</v>
      </c>
      <c r="J4749" s="783">
        <v>20</v>
      </c>
      <c r="K4749" s="783" t="s">
        <v>163</v>
      </c>
      <c r="L4749" s="783" t="s">
        <v>4096</v>
      </c>
      <c r="M4749" s="784">
        <v>4860</v>
      </c>
      <c r="N4749" s="784">
        <v>6.75</v>
      </c>
      <c r="O4749" s="784">
        <v>4.5</v>
      </c>
      <c r="P4749" s="783">
        <v>160</v>
      </c>
      <c r="Q4749" s="783">
        <v>357.21</v>
      </c>
      <c r="R4749" s="783">
        <v>184.77</v>
      </c>
      <c r="S4749" s="783">
        <v>63.58</v>
      </c>
      <c r="T4749" s="783">
        <v>108.86</v>
      </c>
      <c r="U4749" s="785">
        <v>44699.7496875</v>
      </c>
    </row>
    <row r="4750" spans="1:21">
      <c r="A4750" s="782">
        <v>44700</v>
      </c>
      <c r="B4750" s="783" t="s">
        <v>228</v>
      </c>
      <c r="C4750" s="783" t="s">
        <v>4020</v>
      </c>
      <c r="D4750" s="783" t="s">
        <v>4021</v>
      </c>
      <c r="E4750" s="783" t="s">
        <v>5815</v>
      </c>
      <c r="F4750" s="783" t="s">
        <v>4011</v>
      </c>
      <c r="G4750" s="783" t="str">
        <f t="shared" si="255"/>
        <v>Renewal (25% in 2020)</v>
      </c>
      <c r="H4750" s="783" t="s">
        <v>5816</v>
      </c>
      <c r="I4750" s="783" t="s">
        <v>5817</v>
      </c>
      <c r="J4750" s="783">
        <v>25</v>
      </c>
      <c r="K4750" s="783" t="s">
        <v>163</v>
      </c>
      <c r="L4750" s="783" t="s">
        <v>4096</v>
      </c>
      <c r="M4750" s="784">
        <v>20038.169999999998</v>
      </c>
      <c r="N4750" s="784">
        <v>31.12</v>
      </c>
      <c r="O4750" s="784">
        <v>4.7</v>
      </c>
      <c r="P4750" s="783">
        <v>137</v>
      </c>
      <c r="Q4750" s="783">
        <v>1260.4000000000001</v>
      </c>
      <c r="R4750" s="783">
        <v>939.79</v>
      </c>
      <c r="S4750" s="783">
        <v>146.28</v>
      </c>
      <c r="T4750" s="783">
        <v>174.33</v>
      </c>
      <c r="U4750" s="785">
        <v>44700.717754629601</v>
      </c>
    </row>
    <row r="4751" spans="1:21">
      <c r="A4751" s="782">
        <v>44699</v>
      </c>
      <c r="B4751" s="783" t="s">
        <v>34</v>
      </c>
      <c r="C4751" s="783" t="s">
        <v>4139</v>
      </c>
      <c r="D4751" s="783" t="s">
        <v>4009</v>
      </c>
      <c r="E4751" s="783" t="s">
        <v>4669</v>
      </c>
      <c r="F4751" s="783" t="s">
        <v>4011</v>
      </c>
      <c r="G4751" s="783" t="s">
        <v>4028</v>
      </c>
      <c r="H4751" s="783" t="s">
        <v>4670</v>
      </c>
      <c r="I4751" s="783" t="s">
        <v>4671</v>
      </c>
      <c r="J4751" s="783">
        <v>25</v>
      </c>
      <c r="K4751" s="783" t="s">
        <v>163</v>
      </c>
      <c r="L4751" s="783" t="s">
        <v>4096</v>
      </c>
      <c r="M4751" s="784">
        <v>2895.58</v>
      </c>
      <c r="N4751" s="784">
        <v>4.12</v>
      </c>
      <c r="O4751" s="784">
        <v>5.13</v>
      </c>
      <c r="P4751" s="783">
        <v>137</v>
      </c>
      <c r="Q4751" s="783">
        <v>189.95</v>
      </c>
      <c r="R4751" s="783">
        <v>148.54</v>
      </c>
      <c r="S4751" s="783">
        <v>21.72</v>
      </c>
      <c r="T4751" s="783">
        <v>19.690000000000001</v>
      </c>
      <c r="U4751" s="785">
        <v>44699.470520833303</v>
      </c>
    </row>
    <row r="4752" spans="1:21">
      <c r="A4752" s="782">
        <v>44431</v>
      </c>
      <c r="B4752" s="783" t="s">
        <v>41</v>
      </c>
      <c r="C4752" s="783" t="s">
        <v>4121</v>
      </c>
      <c r="D4752" s="783" t="s">
        <v>4009</v>
      </c>
      <c r="E4752" s="783" t="s">
        <v>4171</v>
      </c>
      <c r="F4752" s="783" t="s">
        <v>4011</v>
      </c>
      <c r="G4752" s="783" t="str">
        <f>VLOOKUP(I4752,pacage,2,FALSE)</f>
        <v>Renewal (15% in 2020)</v>
      </c>
      <c r="H4752" s="783" t="s">
        <v>4172</v>
      </c>
      <c r="I4752" s="783" t="s">
        <v>4173</v>
      </c>
      <c r="J4752" s="783">
        <v>15</v>
      </c>
      <c r="K4752" s="783" t="s">
        <v>163</v>
      </c>
      <c r="L4752" s="783" t="s">
        <v>4096</v>
      </c>
      <c r="M4752" s="784">
        <v>21486.6</v>
      </c>
      <c r="N4752" s="784">
        <v>27.6</v>
      </c>
      <c r="O4752" s="784">
        <v>5.19</v>
      </c>
      <c r="P4752" s="783">
        <v>150</v>
      </c>
      <c r="Q4752" s="783">
        <v>1970.32</v>
      </c>
      <c r="R4752" s="783">
        <v>788.9</v>
      </c>
      <c r="S4752" s="783">
        <v>203.78</v>
      </c>
      <c r="T4752" s="783">
        <v>977.64</v>
      </c>
      <c r="U4752" s="785">
        <v>44655.421481481499</v>
      </c>
    </row>
    <row r="4753" spans="1:21">
      <c r="A4753" s="782">
        <v>44658</v>
      </c>
      <c r="B4753" s="783" t="s">
        <v>41</v>
      </c>
      <c r="C4753" s="783" t="s">
        <v>5829</v>
      </c>
      <c r="D4753" s="783" t="s">
        <v>4009</v>
      </c>
      <c r="E4753" s="783" t="s">
        <v>5830</v>
      </c>
      <c r="F4753" s="783" t="s">
        <v>4011</v>
      </c>
      <c r="G4753" s="783" t="str">
        <f>VLOOKUP(I4753,pacage,2,FALSE)</f>
        <v>New Contract</v>
      </c>
      <c r="H4753" s="783" t="s">
        <v>5831</v>
      </c>
      <c r="I4753" s="783" t="s">
        <v>5832</v>
      </c>
      <c r="J4753" s="783">
        <v>20</v>
      </c>
      <c r="K4753" s="783" t="s">
        <v>163</v>
      </c>
      <c r="L4753" s="783" t="s">
        <v>4096</v>
      </c>
      <c r="M4753" s="784">
        <v>5827.01</v>
      </c>
      <c r="N4753" s="784">
        <v>6.2</v>
      </c>
      <c r="O4753" s="784">
        <v>5.28</v>
      </c>
      <c r="P4753" s="783">
        <v>178</v>
      </c>
      <c r="Q4753" s="783">
        <v>540.75</v>
      </c>
      <c r="R4753" s="783">
        <v>232.31</v>
      </c>
      <c r="S4753" s="783">
        <v>116.72</v>
      </c>
      <c r="T4753" s="783">
        <v>191.71</v>
      </c>
      <c r="U4753" s="785">
        <v>44659.412025463003</v>
      </c>
    </row>
    <row r="4754" spans="1:21">
      <c r="A4754" s="782">
        <v>44658</v>
      </c>
      <c r="B4754" s="783" t="s">
        <v>30</v>
      </c>
      <c r="C4754" s="783" t="s">
        <v>4089</v>
      </c>
      <c r="D4754" s="783" t="s">
        <v>4021</v>
      </c>
      <c r="E4754" s="783" t="s">
        <v>5836</v>
      </c>
      <c r="F4754" s="783" t="s">
        <v>4011</v>
      </c>
      <c r="G4754" s="783" t="str">
        <f>VLOOKUP(I4754,pacage,2,FALSE)</f>
        <v>Renewal (15% in 2020)</v>
      </c>
      <c r="H4754" s="783" t="s">
        <v>5837</v>
      </c>
      <c r="I4754" s="783" t="s">
        <v>5838</v>
      </c>
      <c r="J4754" s="783">
        <v>15</v>
      </c>
      <c r="K4754" s="783" t="s">
        <v>163</v>
      </c>
      <c r="L4754" s="783" t="s">
        <v>4096</v>
      </c>
      <c r="M4754" s="784">
        <v>14492.96</v>
      </c>
      <c r="N4754" s="784">
        <v>19.96</v>
      </c>
      <c r="O4754" s="784">
        <v>5.3</v>
      </c>
      <c r="P4754" s="783">
        <v>137</v>
      </c>
      <c r="Q4754" s="783">
        <v>1453.64</v>
      </c>
      <c r="R4754" s="783">
        <v>630.44000000000005</v>
      </c>
      <c r="S4754" s="783">
        <v>97.1</v>
      </c>
      <c r="T4754" s="783">
        <v>726.1</v>
      </c>
      <c r="U4754" s="785">
        <v>44659.415300925903</v>
      </c>
    </row>
    <row r="4755" spans="1:21">
      <c r="A4755" s="782">
        <v>44660</v>
      </c>
      <c r="B4755" s="783" t="s">
        <v>4025</v>
      </c>
      <c r="C4755" s="783" t="s">
        <v>4026</v>
      </c>
      <c r="D4755" s="783" t="s">
        <v>4021</v>
      </c>
      <c r="E4755" s="783" t="s">
        <v>5839</v>
      </c>
      <c r="F4755" s="783" t="s">
        <v>4066</v>
      </c>
      <c r="G4755" s="783" t="s">
        <v>4028</v>
      </c>
      <c r="H4755" s="783" t="s">
        <v>5840</v>
      </c>
      <c r="I4755" s="783" t="s">
        <v>5841</v>
      </c>
      <c r="J4755" s="783">
        <v>5</v>
      </c>
      <c r="K4755" s="783" t="s">
        <v>163</v>
      </c>
      <c r="L4755" s="783" t="s">
        <v>4096</v>
      </c>
      <c r="M4755" s="784">
        <v>12460</v>
      </c>
      <c r="N4755" s="784">
        <v>14</v>
      </c>
      <c r="O4755" s="784">
        <v>5</v>
      </c>
      <c r="P4755" s="783">
        <v>178</v>
      </c>
      <c r="Q4755" s="783">
        <v>294.06</v>
      </c>
      <c r="R4755" s="783">
        <v>0</v>
      </c>
      <c r="S4755" s="783">
        <v>0</v>
      </c>
      <c r="T4755" s="783">
        <v>294.06</v>
      </c>
      <c r="U4755" s="785">
        <v>44663.427326388897</v>
      </c>
    </row>
    <row r="4756" spans="1:21">
      <c r="A4756" s="782">
        <v>44658</v>
      </c>
      <c r="B4756" s="783" t="s">
        <v>41</v>
      </c>
      <c r="C4756" s="783" t="s">
        <v>4139</v>
      </c>
      <c r="D4756" s="783" t="s">
        <v>4009</v>
      </c>
      <c r="E4756" s="783" t="s">
        <v>5842</v>
      </c>
      <c r="F4756" s="783" t="s">
        <v>4011</v>
      </c>
      <c r="G4756" s="783" t="str">
        <f t="shared" ref="G4756:G4763" si="256">VLOOKUP(I4756,pacage,2,FALSE)</f>
        <v>Renewal (30% in 2020)</v>
      </c>
      <c r="H4756" s="783" t="s">
        <v>5843</v>
      </c>
      <c r="I4756" s="783" t="s">
        <v>5844</v>
      </c>
      <c r="J4756" s="783">
        <v>30</v>
      </c>
      <c r="K4756" s="783" t="s">
        <v>163</v>
      </c>
      <c r="L4756" s="783" t="s">
        <v>4096</v>
      </c>
      <c r="M4756" s="784">
        <v>6026.49</v>
      </c>
      <c r="N4756" s="784">
        <v>9.3000000000000007</v>
      </c>
      <c r="O4756" s="784">
        <v>4.7300000000000004</v>
      </c>
      <c r="P4756" s="783">
        <v>137</v>
      </c>
      <c r="Q4756" s="783">
        <v>349.54</v>
      </c>
      <c r="R4756" s="783">
        <v>309.16000000000003</v>
      </c>
      <c r="S4756" s="783">
        <v>0</v>
      </c>
      <c r="T4756" s="783">
        <v>40.380000000000003</v>
      </c>
      <c r="U4756" s="785">
        <v>44659.409884259301</v>
      </c>
    </row>
    <row r="4757" spans="1:21">
      <c r="A4757" s="782">
        <v>44711</v>
      </c>
      <c r="B4757" s="783" t="s">
        <v>4025</v>
      </c>
      <c r="C4757" s="783" t="s">
        <v>4052</v>
      </c>
      <c r="D4757" s="783" t="s">
        <v>4021</v>
      </c>
      <c r="E4757" s="783" t="s">
        <v>5889</v>
      </c>
      <c r="F4757" s="783" t="s">
        <v>4011</v>
      </c>
      <c r="G4757" s="783" t="str">
        <f t="shared" si="256"/>
        <v>New contract</v>
      </c>
      <c r="H4757" s="783" t="s">
        <v>5890</v>
      </c>
      <c r="I4757" s="783" t="s">
        <v>5891</v>
      </c>
      <c r="J4757" s="783">
        <v>25</v>
      </c>
      <c r="K4757" s="783" t="s">
        <v>163</v>
      </c>
      <c r="L4757" s="783" t="s">
        <v>4096</v>
      </c>
      <c r="M4757" s="784">
        <v>9988.44</v>
      </c>
      <c r="N4757" s="784">
        <v>13.8</v>
      </c>
      <c r="O4757" s="784">
        <v>5.17</v>
      </c>
      <c r="P4757" s="783">
        <v>140</v>
      </c>
      <c r="Q4757" s="783">
        <v>650.25</v>
      </c>
      <c r="R4757" s="783">
        <v>487.74</v>
      </c>
      <c r="S4757" s="783">
        <v>85.59</v>
      </c>
      <c r="T4757" s="783">
        <v>76.91</v>
      </c>
      <c r="U4757" s="785">
        <v>44713.996527777803</v>
      </c>
    </row>
    <row r="4758" spans="1:21">
      <c r="A4758" s="782">
        <v>44670</v>
      </c>
      <c r="B4758" s="783" t="s">
        <v>74</v>
      </c>
      <c r="C4758" s="783" t="s">
        <v>4037</v>
      </c>
      <c r="D4758" s="783" t="s">
        <v>4038</v>
      </c>
      <c r="E4758" s="783" t="s">
        <v>7149</v>
      </c>
      <c r="F4758" s="783" t="s">
        <v>4011</v>
      </c>
      <c r="G4758" s="783" t="str">
        <f t="shared" si="256"/>
        <v>New contract</v>
      </c>
      <c r="H4758" s="783" t="s">
        <v>7150</v>
      </c>
      <c r="I4758" s="783" t="s">
        <v>7151</v>
      </c>
      <c r="J4758" s="783">
        <v>15</v>
      </c>
      <c r="K4758" s="783" t="s">
        <v>163</v>
      </c>
      <c r="L4758" s="783" t="s">
        <v>4096</v>
      </c>
      <c r="M4758" s="784">
        <v>4371.71</v>
      </c>
      <c r="N4758" s="784">
        <v>6.11</v>
      </c>
      <c r="O4758" s="784">
        <v>4.7699999999999996</v>
      </c>
      <c r="P4758" s="783">
        <v>150</v>
      </c>
      <c r="Q4758" s="783">
        <v>562.64</v>
      </c>
      <c r="R4758" s="783">
        <v>212.42</v>
      </c>
      <c r="S4758" s="783">
        <v>57.75</v>
      </c>
      <c r="T4758" s="783">
        <v>292.47000000000003</v>
      </c>
      <c r="U4758" s="785">
        <v>44673.355497685203</v>
      </c>
    </row>
    <row r="4759" spans="1:21">
      <c r="A4759" s="782">
        <v>44670</v>
      </c>
      <c r="B4759" s="783" t="s">
        <v>74</v>
      </c>
      <c r="C4759" s="783" t="s">
        <v>4097</v>
      </c>
      <c r="D4759" s="783" t="s">
        <v>4038</v>
      </c>
      <c r="E4759" s="783" t="s">
        <v>4402</v>
      </c>
      <c r="F4759" s="783" t="s">
        <v>4011</v>
      </c>
      <c r="G4759" s="783" t="str">
        <f t="shared" si="256"/>
        <v>Renewal (15% in 2020)</v>
      </c>
      <c r="H4759" s="783" t="s">
        <v>4403</v>
      </c>
      <c r="I4759" s="783" t="s">
        <v>4404</v>
      </c>
      <c r="J4759" s="783">
        <v>15</v>
      </c>
      <c r="K4759" s="783" t="s">
        <v>163</v>
      </c>
      <c r="L4759" s="783" t="s">
        <v>4096</v>
      </c>
      <c r="M4759" s="784">
        <v>1078.6500000000001</v>
      </c>
      <c r="N4759" s="784">
        <v>1.5</v>
      </c>
      <c r="O4759" s="784">
        <v>4.2300000000000004</v>
      </c>
      <c r="P4759" s="783">
        <v>170</v>
      </c>
      <c r="Q4759" s="783">
        <v>119.62</v>
      </c>
      <c r="R4759" s="783">
        <v>41.2</v>
      </c>
      <c r="S4759" s="783">
        <v>17.690000000000001</v>
      </c>
      <c r="T4759" s="783">
        <v>60.73</v>
      </c>
      <c r="U4759" s="785">
        <v>44671.492812500001</v>
      </c>
    </row>
    <row r="4760" spans="1:21">
      <c r="A4760" s="782">
        <v>44673</v>
      </c>
      <c r="B4760" s="783" t="s">
        <v>41</v>
      </c>
      <c r="C4760" s="783" t="s">
        <v>4008</v>
      </c>
      <c r="D4760" s="783" t="s">
        <v>4009</v>
      </c>
      <c r="E4760" s="783" t="s">
        <v>6982</v>
      </c>
      <c r="F4760" s="783" t="s">
        <v>4011</v>
      </c>
      <c r="G4760" s="783" t="str">
        <f t="shared" si="256"/>
        <v>Renewal (30% in 2020)</v>
      </c>
      <c r="H4760" s="783" t="s">
        <v>6983</v>
      </c>
      <c r="I4760" s="783" t="s">
        <v>6984</v>
      </c>
      <c r="J4760" s="783">
        <v>25</v>
      </c>
      <c r="K4760" s="783" t="s">
        <v>163</v>
      </c>
      <c r="L4760" s="783" t="s">
        <v>4096</v>
      </c>
      <c r="M4760" s="784">
        <v>8229.41</v>
      </c>
      <c r="N4760" s="784">
        <v>10.49</v>
      </c>
      <c r="O4760" s="784">
        <v>5.23</v>
      </c>
      <c r="P4760" s="783">
        <v>150</v>
      </c>
      <c r="Q4760" s="783">
        <v>518.45000000000005</v>
      </c>
      <c r="R4760" s="783">
        <v>341.24</v>
      </c>
      <c r="S4760" s="783">
        <v>89.99</v>
      </c>
      <c r="T4760" s="783">
        <v>87.23</v>
      </c>
      <c r="U4760" s="785">
        <v>44676.706840277802</v>
      </c>
    </row>
    <row r="4761" spans="1:21">
      <c r="A4761" s="782">
        <v>44705</v>
      </c>
      <c r="B4761" s="783" t="s">
        <v>113</v>
      </c>
      <c r="C4761" s="783" t="s">
        <v>4606</v>
      </c>
      <c r="D4761" s="783" t="s">
        <v>4009</v>
      </c>
      <c r="E4761" s="783" t="s">
        <v>6666</v>
      </c>
      <c r="F4761" s="783" t="s">
        <v>4011</v>
      </c>
      <c r="G4761" s="783" t="str">
        <f t="shared" si="256"/>
        <v>Renewal (25% in 2020)</v>
      </c>
      <c r="H4761" s="783" t="s">
        <v>6667</v>
      </c>
      <c r="I4761" s="783" t="s">
        <v>6668</v>
      </c>
      <c r="J4761" s="783">
        <v>25</v>
      </c>
      <c r="K4761" s="783" t="s">
        <v>163</v>
      </c>
      <c r="L4761" s="783" t="s">
        <v>4096</v>
      </c>
      <c r="M4761" s="784">
        <v>1000.4</v>
      </c>
      <c r="N4761" s="784">
        <v>1.41</v>
      </c>
      <c r="O4761" s="784">
        <v>4.7300000000000004</v>
      </c>
      <c r="P4761" s="783">
        <v>150</v>
      </c>
      <c r="Q4761" s="783">
        <v>49.72</v>
      </c>
      <c r="R4761" s="783">
        <v>31.43</v>
      </c>
      <c r="S4761" s="783">
        <v>8.48</v>
      </c>
      <c r="T4761" s="783">
        <v>9.8000000000000007</v>
      </c>
      <c r="U4761" s="785">
        <v>44708.958333333299</v>
      </c>
    </row>
    <row r="4762" spans="1:21">
      <c r="A4762" s="782">
        <v>44680</v>
      </c>
      <c r="B4762" s="783" t="s">
        <v>41</v>
      </c>
      <c r="C4762" s="783" t="s">
        <v>4008</v>
      </c>
      <c r="D4762" s="783" t="s">
        <v>4009</v>
      </c>
      <c r="E4762" s="783" t="s">
        <v>4183</v>
      </c>
      <c r="F4762" s="783" t="s">
        <v>4011</v>
      </c>
      <c r="G4762" s="783" t="str">
        <f t="shared" si="256"/>
        <v>Renewal (15% in 2020)</v>
      </c>
      <c r="H4762" s="783" t="s">
        <v>4184</v>
      </c>
      <c r="I4762" s="783" t="s">
        <v>4185</v>
      </c>
      <c r="J4762" s="783">
        <v>15</v>
      </c>
      <c r="K4762" s="783" t="s">
        <v>163</v>
      </c>
      <c r="L4762" s="783" t="s">
        <v>4096</v>
      </c>
      <c r="M4762" s="784">
        <v>10000.68</v>
      </c>
      <c r="N4762" s="784">
        <v>12.94</v>
      </c>
      <c r="O4762" s="784">
        <v>5.33</v>
      </c>
      <c r="P4762" s="783">
        <v>145</v>
      </c>
      <c r="Q4762" s="783">
        <v>1060.07</v>
      </c>
      <c r="R4762" s="783">
        <v>428.98</v>
      </c>
      <c r="S4762" s="783">
        <v>95.05</v>
      </c>
      <c r="T4762" s="783">
        <v>536.04</v>
      </c>
      <c r="U4762" s="785">
        <v>44683.4709953704</v>
      </c>
    </row>
    <row r="4763" spans="1:21">
      <c r="A4763" s="782">
        <v>44698</v>
      </c>
      <c r="B4763" s="783" t="s">
        <v>41</v>
      </c>
      <c r="C4763" s="783" t="s">
        <v>4008</v>
      </c>
      <c r="D4763" s="783" t="s">
        <v>4009</v>
      </c>
      <c r="E4763" s="783" t="s">
        <v>5942</v>
      </c>
      <c r="F4763" s="783" t="s">
        <v>4011</v>
      </c>
      <c r="G4763" s="783" t="str">
        <f t="shared" si="256"/>
        <v>Renewal (15% in 2020)</v>
      </c>
      <c r="H4763" s="783" t="s">
        <v>5943</v>
      </c>
      <c r="I4763" s="783" t="s">
        <v>5944</v>
      </c>
      <c r="J4763" s="783">
        <v>15</v>
      </c>
      <c r="K4763" s="783" t="s">
        <v>163</v>
      </c>
      <c r="L4763" s="783" t="s">
        <v>4096</v>
      </c>
      <c r="M4763" s="784">
        <v>10876.45</v>
      </c>
      <c r="N4763" s="784">
        <v>13</v>
      </c>
      <c r="O4763" s="784">
        <v>5.77</v>
      </c>
      <c r="P4763" s="783">
        <v>145</v>
      </c>
      <c r="Q4763" s="783">
        <v>1152.9000000000001</v>
      </c>
      <c r="R4763" s="783">
        <v>466.55</v>
      </c>
      <c r="S4763" s="783">
        <v>103.38</v>
      </c>
      <c r="T4763" s="783">
        <v>582.98</v>
      </c>
      <c r="U4763" s="785">
        <v>44699.4757986111</v>
      </c>
    </row>
    <row r="4764" spans="1:21">
      <c r="A4764" s="782">
        <v>44638</v>
      </c>
      <c r="B4764" s="783" t="s">
        <v>41</v>
      </c>
      <c r="C4764" s="783" t="s">
        <v>4092</v>
      </c>
      <c r="D4764" s="783" t="s">
        <v>4009</v>
      </c>
      <c r="E4764" s="783" t="s">
        <v>7110</v>
      </c>
      <c r="F4764" s="783" t="s">
        <v>4011</v>
      </c>
      <c r="G4764" s="783" t="s">
        <v>4028</v>
      </c>
      <c r="H4764" s="783" t="s">
        <v>7111</v>
      </c>
      <c r="I4764" s="783" t="s">
        <v>7112</v>
      </c>
      <c r="J4764" s="783">
        <v>25</v>
      </c>
      <c r="K4764" s="783" t="s">
        <v>163</v>
      </c>
      <c r="L4764" s="783" t="s">
        <v>4096</v>
      </c>
      <c r="M4764" s="784">
        <v>5617.19</v>
      </c>
      <c r="N4764" s="784">
        <v>8.77</v>
      </c>
      <c r="O4764" s="784">
        <v>4.2699999999999996</v>
      </c>
      <c r="P4764" s="783">
        <v>150</v>
      </c>
      <c r="Q4764" s="783">
        <v>339.84</v>
      </c>
      <c r="R4764" s="783">
        <v>237.02</v>
      </c>
      <c r="S4764" s="783">
        <v>68.55</v>
      </c>
      <c r="T4764" s="783">
        <v>34.26</v>
      </c>
      <c r="U4764" s="785">
        <v>44638.458460648202</v>
      </c>
    </row>
    <row r="4765" spans="1:21">
      <c r="A4765" s="782">
        <v>44642</v>
      </c>
      <c r="B4765" s="783" t="s">
        <v>41</v>
      </c>
      <c r="C4765" s="783" t="s">
        <v>4071</v>
      </c>
      <c r="D4765" s="783" t="s">
        <v>4009</v>
      </c>
      <c r="E4765" s="783" t="s">
        <v>5954</v>
      </c>
      <c r="F4765" s="783" t="s">
        <v>4011</v>
      </c>
      <c r="G4765" s="783" t="str">
        <f>VLOOKUP(I4765,pacage,2,FALSE)</f>
        <v>Renewal (15% in 2020)</v>
      </c>
      <c r="H4765" s="783" t="s">
        <v>5955</v>
      </c>
      <c r="I4765" s="783" t="s">
        <v>5956</v>
      </c>
      <c r="J4765" s="783">
        <v>15</v>
      </c>
      <c r="K4765" s="783" t="s">
        <v>163</v>
      </c>
      <c r="L4765" s="783" t="s">
        <v>4096</v>
      </c>
      <c r="M4765" s="784">
        <v>20825.64</v>
      </c>
      <c r="N4765" s="784">
        <v>34.159999999999997</v>
      </c>
      <c r="O4765" s="784">
        <v>4.45</v>
      </c>
      <c r="P4765" s="783">
        <v>137</v>
      </c>
      <c r="Q4765" s="783">
        <v>2049.2399999999998</v>
      </c>
      <c r="R4765" s="783">
        <v>924.66</v>
      </c>
      <c r="S4765" s="783">
        <v>139.53</v>
      </c>
      <c r="T4765" s="783">
        <v>985.05</v>
      </c>
      <c r="U4765" s="785">
        <v>44643.367488425902</v>
      </c>
    </row>
    <row r="4766" spans="1:21">
      <c r="A4766" s="782">
        <v>44704</v>
      </c>
      <c r="B4766" s="783" t="s">
        <v>41</v>
      </c>
      <c r="C4766" s="783" t="s">
        <v>4071</v>
      </c>
      <c r="D4766" s="783" t="s">
        <v>4009</v>
      </c>
      <c r="E4766" s="783" t="s">
        <v>4189</v>
      </c>
      <c r="F4766" s="783" t="s">
        <v>4011</v>
      </c>
      <c r="G4766" s="783" t="str">
        <f>VLOOKUP(I4766,pacage,2,FALSE)</f>
        <v>Renewal (15% in 2020)</v>
      </c>
      <c r="H4766" s="783" t="s">
        <v>4190</v>
      </c>
      <c r="I4766" s="783" t="s">
        <v>4191</v>
      </c>
      <c r="J4766" s="783">
        <v>15</v>
      </c>
      <c r="K4766" s="783" t="s">
        <v>163</v>
      </c>
      <c r="L4766" s="783" t="s">
        <v>4096</v>
      </c>
      <c r="M4766" s="784">
        <v>15515.32</v>
      </c>
      <c r="N4766" s="784">
        <v>20.9</v>
      </c>
      <c r="O4766" s="784">
        <v>5.54</v>
      </c>
      <c r="P4766" s="783">
        <v>134</v>
      </c>
      <c r="Q4766" s="783">
        <v>1526.71</v>
      </c>
      <c r="R4766" s="783">
        <v>688.88</v>
      </c>
      <c r="S4766" s="783">
        <v>103.95</v>
      </c>
      <c r="T4766" s="783">
        <v>733.87</v>
      </c>
      <c r="U4766" s="785">
        <v>44704.394826388903</v>
      </c>
    </row>
    <row r="4767" spans="1:21">
      <c r="A4767" s="782">
        <v>44565</v>
      </c>
      <c r="B4767" s="783" t="s">
        <v>41</v>
      </c>
      <c r="C4767" s="783" t="s">
        <v>4192</v>
      </c>
      <c r="D4767" s="783" t="s">
        <v>4193</v>
      </c>
      <c r="E4767" s="783" t="s">
        <v>4194</v>
      </c>
      <c r="F4767" s="783" t="s">
        <v>4011</v>
      </c>
      <c r="G4767" s="783" t="str">
        <f>VLOOKUP(I4767,pacage,2,FALSE)</f>
        <v>Renewal (15% in 2020)</v>
      </c>
      <c r="H4767" s="783" t="s">
        <v>4195</v>
      </c>
      <c r="I4767" s="783" t="s">
        <v>4196</v>
      </c>
      <c r="J4767" s="783">
        <v>30</v>
      </c>
      <c r="K4767" s="783" t="s">
        <v>163</v>
      </c>
      <c r="L4767" s="783" t="s">
        <v>4096</v>
      </c>
      <c r="M4767" s="784">
        <v>17050.23</v>
      </c>
      <c r="N4767" s="784">
        <v>24.86</v>
      </c>
      <c r="O4767" s="784">
        <v>4.7300000000000004</v>
      </c>
      <c r="P4767" s="783">
        <v>145</v>
      </c>
      <c r="Q4767" s="783">
        <v>871.27</v>
      </c>
      <c r="R4767" s="783">
        <v>705.6</v>
      </c>
      <c r="S4767" s="783">
        <v>41.2</v>
      </c>
      <c r="T4767" s="783">
        <v>124.47</v>
      </c>
      <c r="U4767" s="785">
        <v>44631.635254629597</v>
      </c>
    </row>
    <row r="4768" spans="1:21">
      <c r="A4768" s="782">
        <v>44565</v>
      </c>
      <c r="B4768" s="783" t="s">
        <v>41</v>
      </c>
      <c r="C4768" s="783" t="s">
        <v>4121</v>
      </c>
      <c r="D4768" s="783" t="s">
        <v>4009</v>
      </c>
      <c r="E4768" s="783" t="s">
        <v>4194</v>
      </c>
      <c r="F4768" s="783" t="s">
        <v>4011</v>
      </c>
      <c r="G4768" s="783" t="str">
        <f>VLOOKUP(I4768,pacage,2,FALSE)</f>
        <v>Renewal (15% in 2020)</v>
      </c>
      <c r="H4768" s="783" t="s">
        <v>4195</v>
      </c>
      <c r="I4768" s="783" t="s">
        <v>4196</v>
      </c>
      <c r="J4768" s="783">
        <v>30</v>
      </c>
      <c r="K4768" s="783" t="s">
        <v>163</v>
      </c>
      <c r="L4768" s="783" t="s">
        <v>4096</v>
      </c>
      <c r="M4768" s="784">
        <v>3861.34</v>
      </c>
      <c r="N4768" s="784">
        <v>5.63</v>
      </c>
      <c r="O4768" s="784">
        <v>4.7300000000000004</v>
      </c>
      <c r="P4768" s="783">
        <v>145</v>
      </c>
      <c r="Q4768" s="783">
        <v>183.41</v>
      </c>
      <c r="R4768" s="783">
        <v>146.66</v>
      </c>
      <c r="S4768" s="783">
        <v>8.56</v>
      </c>
      <c r="T4768" s="783">
        <v>28.19</v>
      </c>
      <c r="U4768" s="785">
        <v>44631.635266203702</v>
      </c>
    </row>
    <row r="4769" spans="1:21">
      <c r="A4769" s="782">
        <v>44606</v>
      </c>
      <c r="B4769" s="783" t="s">
        <v>113</v>
      </c>
      <c r="C4769" s="783" t="s">
        <v>4606</v>
      </c>
      <c r="D4769" s="783" t="s">
        <v>4009</v>
      </c>
      <c r="E4769" s="783" t="s">
        <v>6786</v>
      </c>
      <c r="F4769" s="783" t="s">
        <v>4011</v>
      </c>
      <c r="G4769" s="783" t="str">
        <f>VLOOKUP(I4769,pacage,2,FALSE)</f>
        <v>Renewal (15% in 2020)</v>
      </c>
      <c r="H4769" s="783" t="s">
        <v>6787</v>
      </c>
      <c r="I4769" s="783" t="s">
        <v>6788</v>
      </c>
      <c r="J4769" s="783">
        <v>15</v>
      </c>
      <c r="K4769" s="783" t="s">
        <v>163</v>
      </c>
      <c r="L4769" s="783" t="s">
        <v>4096</v>
      </c>
      <c r="M4769" s="784">
        <v>8206.35</v>
      </c>
      <c r="N4769" s="784">
        <v>6.43</v>
      </c>
      <c r="O4769" s="784">
        <v>7.17</v>
      </c>
      <c r="P4769" s="783">
        <v>178</v>
      </c>
      <c r="Q4769" s="783">
        <v>675.38</v>
      </c>
      <c r="R4769" s="783">
        <v>217.27</v>
      </c>
      <c r="S4769" s="783">
        <v>110.16</v>
      </c>
      <c r="T4769" s="783">
        <v>347.95</v>
      </c>
      <c r="U4769" s="785">
        <v>44631.632349537002</v>
      </c>
    </row>
    <row r="4770" spans="1:21">
      <c r="A4770" s="782">
        <v>44560</v>
      </c>
      <c r="B4770" s="783" t="s">
        <v>228</v>
      </c>
      <c r="C4770" s="783" t="s">
        <v>4020</v>
      </c>
      <c r="D4770" s="783" t="s">
        <v>4021</v>
      </c>
      <c r="E4770" s="783" t="s">
        <v>6027</v>
      </c>
      <c r="F4770" s="783" t="s">
        <v>4011</v>
      </c>
      <c r="G4770" s="783" t="s">
        <v>4028</v>
      </c>
      <c r="H4770" s="783" t="s">
        <v>6028</v>
      </c>
      <c r="I4770" s="783" t="s">
        <v>6029</v>
      </c>
      <c r="J4770" s="783">
        <v>30</v>
      </c>
      <c r="K4770" s="783" t="s">
        <v>163</v>
      </c>
      <c r="L4770" s="783" t="s">
        <v>4096</v>
      </c>
      <c r="M4770" s="784">
        <v>1871.1</v>
      </c>
      <c r="N4770" s="784">
        <v>2</v>
      </c>
      <c r="O4770" s="784">
        <v>6.93</v>
      </c>
      <c r="P4770" s="783">
        <v>135</v>
      </c>
      <c r="Q4770" s="783">
        <v>104.03</v>
      </c>
      <c r="R4770" s="783">
        <v>87.75</v>
      </c>
      <c r="S4770" s="783">
        <v>0</v>
      </c>
      <c r="T4770" s="783">
        <v>16.28</v>
      </c>
      <c r="U4770" s="785">
        <v>44631.635833333297</v>
      </c>
    </row>
    <row r="4771" spans="1:21">
      <c r="A4771" s="782">
        <v>44539</v>
      </c>
      <c r="B4771" s="783" t="s">
        <v>74</v>
      </c>
      <c r="C4771" s="783" t="s">
        <v>4097</v>
      </c>
      <c r="D4771" s="783" t="s">
        <v>4038</v>
      </c>
      <c r="E4771" s="783" t="s">
        <v>4705</v>
      </c>
      <c r="F4771" s="783" t="s">
        <v>4066</v>
      </c>
      <c r="G4771" s="783" t="s">
        <v>4028</v>
      </c>
      <c r="H4771" s="783" t="s">
        <v>4706</v>
      </c>
      <c r="I4771" s="783" t="s">
        <v>4707</v>
      </c>
      <c r="J4771" s="783">
        <v>10</v>
      </c>
      <c r="K4771" s="783" t="s">
        <v>163</v>
      </c>
      <c r="L4771" s="783" t="s">
        <v>4096</v>
      </c>
      <c r="M4771" s="784">
        <v>3426.5</v>
      </c>
      <c r="N4771" s="784">
        <v>3.85</v>
      </c>
      <c r="O4771" s="784">
        <v>5</v>
      </c>
      <c r="P4771" s="783">
        <v>178</v>
      </c>
      <c r="Q4771" s="783">
        <v>90.8</v>
      </c>
      <c r="R4771" s="783">
        <v>0</v>
      </c>
      <c r="S4771" s="783">
        <v>0</v>
      </c>
      <c r="T4771" s="783">
        <v>90.8</v>
      </c>
      <c r="U4771" s="785">
        <v>44631.632731481499</v>
      </c>
    </row>
    <row r="4772" spans="1:21">
      <c r="A4772" s="782">
        <v>44537</v>
      </c>
      <c r="B4772" s="783" t="s">
        <v>41</v>
      </c>
      <c r="C4772" s="783" t="s">
        <v>4092</v>
      </c>
      <c r="D4772" s="783" t="s">
        <v>4009</v>
      </c>
      <c r="E4772" s="783" t="s">
        <v>6098</v>
      </c>
      <c r="F4772" s="783" t="s">
        <v>4011</v>
      </c>
      <c r="G4772" s="783" t="str">
        <f>VLOOKUP(I4772,pacage,2,FALSE)</f>
        <v>New contract</v>
      </c>
      <c r="H4772" s="783" t="s">
        <v>6099</v>
      </c>
      <c r="I4772" s="783" t="s">
        <v>6100</v>
      </c>
      <c r="J4772" s="783">
        <v>20</v>
      </c>
      <c r="K4772" s="783" t="s">
        <v>163</v>
      </c>
      <c r="L4772" s="783" t="s">
        <v>4096</v>
      </c>
      <c r="M4772" s="784">
        <v>15504</v>
      </c>
      <c r="N4772" s="784">
        <v>19</v>
      </c>
      <c r="O4772" s="784">
        <v>4.8</v>
      </c>
      <c r="P4772" s="783">
        <v>170</v>
      </c>
      <c r="Q4772" s="783">
        <v>1215.51</v>
      </c>
      <c r="R4772" s="783">
        <v>577.24</v>
      </c>
      <c r="S4772" s="783">
        <v>266.18</v>
      </c>
      <c r="T4772" s="783">
        <v>372.1</v>
      </c>
      <c r="U4772" s="785">
        <v>44631.635925925897</v>
      </c>
    </row>
    <row r="4773" spans="1:21">
      <c r="A4773" s="782">
        <v>44531</v>
      </c>
      <c r="B4773" s="783" t="s">
        <v>41</v>
      </c>
      <c r="C4773" s="783" t="s">
        <v>4354</v>
      </c>
      <c r="D4773" s="783" t="s">
        <v>4009</v>
      </c>
      <c r="E4773" s="783" t="s">
        <v>6101</v>
      </c>
      <c r="F4773" s="783" t="s">
        <v>4011</v>
      </c>
      <c r="G4773" s="783" t="str">
        <f>VLOOKUP(I4773,pacage,2,FALSE)</f>
        <v>New Contract</v>
      </c>
      <c r="H4773" s="783" t="s">
        <v>6102</v>
      </c>
      <c r="I4773" s="783" t="s">
        <v>6103</v>
      </c>
      <c r="J4773" s="783">
        <v>25</v>
      </c>
      <c r="K4773" s="783" t="s">
        <v>163</v>
      </c>
      <c r="L4773" s="783" t="s">
        <v>4096</v>
      </c>
      <c r="M4773" s="784">
        <v>4313.75</v>
      </c>
      <c r="N4773" s="784">
        <v>5</v>
      </c>
      <c r="O4773" s="784">
        <v>4.93</v>
      </c>
      <c r="P4773" s="783">
        <v>175</v>
      </c>
      <c r="Q4773" s="783">
        <v>332.16</v>
      </c>
      <c r="R4773" s="783">
        <v>186.75</v>
      </c>
      <c r="S4773" s="783">
        <v>88.9</v>
      </c>
      <c r="T4773" s="783">
        <v>56.51</v>
      </c>
      <c r="U4773" s="785">
        <v>44631.636296296303</v>
      </c>
    </row>
    <row r="4774" spans="1:21">
      <c r="A4774" s="782">
        <v>44543</v>
      </c>
      <c r="B4774" s="783" t="s">
        <v>41</v>
      </c>
      <c r="C4774" s="783" t="s">
        <v>4092</v>
      </c>
      <c r="D4774" s="783" t="s">
        <v>4009</v>
      </c>
      <c r="E4774" s="783" t="s">
        <v>4208</v>
      </c>
      <c r="F4774" s="783" t="s">
        <v>4011</v>
      </c>
      <c r="G4774" s="783" t="str">
        <f>VLOOKUP(I4774,pacage,2,FALSE)</f>
        <v>New Contract</v>
      </c>
      <c r="H4774" s="783" t="s">
        <v>4209</v>
      </c>
      <c r="I4774" s="783" t="s">
        <v>4210</v>
      </c>
      <c r="J4774" s="783">
        <v>30</v>
      </c>
      <c r="K4774" s="783" t="s">
        <v>163</v>
      </c>
      <c r="L4774" s="783" t="s">
        <v>4096</v>
      </c>
      <c r="M4774" s="784">
        <v>33150</v>
      </c>
      <c r="N4774" s="784">
        <v>39</v>
      </c>
      <c r="O4774" s="784">
        <v>5</v>
      </c>
      <c r="P4774" s="783">
        <v>170</v>
      </c>
      <c r="Q4774" s="783">
        <v>1737.06</v>
      </c>
      <c r="R4774" s="783">
        <v>1234.23</v>
      </c>
      <c r="S4774" s="783">
        <v>297.3</v>
      </c>
      <c r="T4774" s="783">
        <v>205.53</v>
      </c>
      <c r="U4774" s="785">
        <v>44631.632928240702</v>
      </c>
    </row>
    <row r="4775" spans="1:21">
      <c r="A4775" s="782">
        <v>44524</v>
      </c>
      <c r="B4775" s="783" t="s">
        <v>30</v>
      </c>
      <c r="C4775" s="783" t="s">
        <v>5213</v>
      </c>
      <c r="D4775" s="783" t="s">
        <v>4021</v>
      </c>
      <c r="E4775" s="783" t="s">
        <v>4769</v>
      </c>
      <c r="F4775" s="783" t="s">
        <v>4011</v>
      </c>
      <c r="G4775" s="783" t="str">
        <f>VLOOKUP(I4775,pacage,2,FALSE)</f>
        <v>Renewal (30% in 2020)</v>
      </c>
      <c r="H4775" s="783" t="s">
        <v>4770</v>
      </c>
      <c r="I4775" s="783" t="s">
        <v>4771</v>
      </c>
      <c r="J4775" s="783">
        <v>30</v>
      </c>
      <c r="K4775" s="783" t="s">
        <v>163</v>
      </c>
      <c r="L4775" s="783" t="s">
        <v>4096</v>
      </c>
      <c r="M4775" s="784">
        <v>9259.65</v>
      </c>
      <c r="N4775" s="784">
        <v>10.83</v>
      </c>
      <c r="O4775" s="784">
        <v>5.7</v>
      </c>
      <c r="P4775" s="783">
        <v>150</v>
      </c>
      <c r="Q4775" s="783">
        <v>587.99</v>
      </c>
      <c r="R4775" s="783">
        <v>450.77</v>
      </c>
      <c r="S4775" s="783">
        <v>42.77</v>
      </c>
      <c r="T4775" s="783">
        <v>94.45</v>
      </c>
      <c r="U4775" s="785">
        <v>44631.635775463001</v>
      </c>
    </row>
    <row r="4776" spans="1:21">
      <c r="A4776" s="782">
        <v>44624</v>
      </c>
      <c r="B4776" s="783" t="s">
        <v>41</v>
      </c>
      <c r="C4776" s="783" t="s">
        <v>4008</v>
      </c>
      <c r="D4776" s="783" t="s">
        <v>4009</v>
      </c>
      <c r="E4776" s="783" t="s">
        <v>6188</v>
      </c>
      <c r="F4776" s="783" t="s">
        <v>4011</v>
      </c>
      <c r="G4776" s="783" t="str">
        <f>VLOOKUP(I4776,pacage,2,FALSE)</f>
        <v>Renewal (20% in 2020)</v>
      </c>
      <c r="H4776" s="783" t="s">
        <v>6189</v>
      </c>
      <c r="I4776" s="783" t="s">
        <v>6190</v>
      </c>
      <c r="J4776" s="783">
        <v>20</v>
      </c>
      <c r="K4776" s="783" t="s">
        <v>163</v>
      </c>
      <c r="L4776" s="783" t="s">
        <v>4096</v>
      </c>
      <c r="M4776" s="784">
        <v>9994.5300000000007</v>
      </c>
      <c r="N4776" s="784">
        <v>12.74</v>
      </c>
      <c r="O4776" s="784">
        <v>5.23</v>
      </c>
      <c r="P4776" s="783">
        <v>150</v>
      </c>
      <c r="Q4776" s="783">
        <v>802.56</v>
      </c>
      <c r="R4776" s="783">
        <v>414.43</v>
      </c>
      <c r="S4776" s="783">
        <v>109.29</v>
      </c>
      <c r="T4776" s="783">
        <v>278.85000000000002</v>
      </c>
      <c r="U4776" s="785">
        <v>44631.638449074097</v>
      </c>
    </row>
    <row r="4777" spans="1:21">
      <c r="A4777" s="782">
        <v>44620</v>
      </c>
      <c r="B4777" s="783" t="s">
        <v>41</v>
      </c>
      <c r="C4777" s="783" t="s">
        <v>4139</v>
      </c>
      <c r="D4777" s="783" t="s">
        <v>4009</v>
      </c>
      <c r="E4777" s="783" t="s">
        <v>6687</v>
      </c>
      <c r="F4777" s="783" t="s">
        <v>4011</v>
      </c>
      <c r="G4777" s="783" t="s">
        <v>4028</v>
      </c>
      <c r="H4777" s="783" t="s">
        <v>6688</v>
      </c>
      <c r="I4777" s="783" t="s">
        <v>6689</v>
      </c>
      <c r="J4777" s="783">
        <v>25</v>
      </c>
      <c r="K4777" s="783" t="s">
        <v>163</v>
      </c>
      <c r="L4777" s="783" t="s">
        <v>4096</v>
      </c>
      <c r="M4777" s="784">
        <v>14827.4</v>
      </c>
      <c r="N4777" s="784">
        <v>16.66</v>
      </c>
      <c r="O4777" s="784">
        <v>5</v>
      </c>
      <c r="P4777" s="783">
        <v>178</v>
      </c>
      <c r="Q4777" s="783">
        <v>972.68</v>
      </c>
      <c r="R4777" s="783">
        <v>585.44000000000005</v>
      </c>
      <c r="S4777" s="783">
        <v>286.41000000000003</v>
      </c>
      <c r="T4777" s="783">
        <v>100.83</v>
      </c>
      <c r="U4777" s="785">
        <v>44631.636990740699</v>
      </c>
    </row>
    <row r="4778" spans="1:21">
      <c r="A4778" s="782">
        <v>44554</v>
      </c>
      <c r="B4778" s="783" t="s">
        <v>113</v>
      </c>
      <c r="C4778" s="783" t="s">
        <v>4606</v>
      </c>
      <c r="D4778" s="783" t="s">
        <v>4009</v>
      </c>
      <c r="E4778" s="783" t="s">
        <v>2128</v>
      </c>
      <c r="F4778" s="783" t="s">
        <v>4011</v>
      </c>
      <c r="G4778" s="783" t="s">
        <v>4028</v>
      </c>
      <c r="H4778" s="783" t="s">
        <v>7041</v>
      </c>
      <c r="I4778" s="783" t="s">
        <v>7042</v>
      </c>
      <c r="J4778" s="783">
        <v>25</v>
      </c>
      <c r="K4778" s="783" t="s">
        <v>163</v>
      </c>
      <c r="L4778" s="783" t="s">
        <v>4096</v>
      </c>
      <c r="M4778" s="784">
        <v>2460</v>
      </c>
      <c r="N4778" s="784">
        <v>4</v>
      </c>
      <c r="O4778" s="784">
        <v>4.0999999999999996</v>
      </c>
      <c r="P4778" s="783">
        <v>150</v>
      </c>
      <c r="Q4778" s="783">
        <v>122.26</v>
      </c>
      <c r="R4778" s="783">
        <v>77.290000000000006</v>
      </c>
      <c r="S4778" s="783">
        <v>20.86</v>
      </c>
      <c r="T4778" s="783">
        <v>24.11</v>
      </c>
      <c r="U4778" s="785">
        <v>44631.637060185203</v>
      </c>
    </row>
    <row r="4779" spans="1:21">
      <c r="A4779" s="782">
        <v>44569</v>
      </c>
      <c r="B4779" s="783" t="s">
        <v>41</v>
      </c>
      <c r="C4779" s="783" t="s">
        <v>4139</v>
      </c>
      <c r="D4779" s="783" t="s">
        <v>4009</v>
      </c>
      <c r="E4779" s="783" t="s">
        <v>6207</v>
      </c>
      <c r="F4779" s="783" t="s">
        <v>4011</v>
      </c>
      <c r="G4779" s="783" t="str">
        <f t="shared" ref="G4779:G4793" si="257">VLOOKUP(I4779,pacage,2,FALSE)</f>
        <v>Renewal (15% in 2020)</v>
      </c>
      <c r="H4779" s="783" t="s">
        <v>6208</v>
      </c>
      <c r="I4779" s="783" t="s">
        <v>6209</v>
      </c>
      <c r="J4779" s="783">
        <v>15</v>
      </c>
      <c r="K4779" s="783" t="s">
        <v>163</v>
      </c>
      <c r="L4779" s="783" t="s">
        <v>4096</v>
      </c>
      <c r="M4779" s="784">
        <v>2077.5500000000002</v>
      </c>
      <c r="N4779" s="784">
        <v>1.57</v>
      </c>
      <c r="O4779" s="784">
        <v>7.43</v>
      </c>
      <c r="P4779" s="783">
        <v>178.1</v>
      </c>
      <c r="Q4779" s="783">
        <v>236.84</v>
      </c>
      <c r="R4779" s="783">
        <v>81.98</v>
      </c>
      <c r="S4779" s="783">
        <v>40.18</v>
      </c>
      <c r="T4779" s="783">
        <v>114.68</v>
      </c>
      <c r="U4779" s="785">
        <v>44631.636840277803</v>
      </c>
    </row>
    <row r="4780" spans="1:21">
      <c r="A4780" s="782">
        <v>44569</v>
      </c>
      <c r="B4780" s="783" t="s">
        <v>41</v>
      </c>
      <c r="C4780" s="783" t="s">
        <v>4071</v>
      </c>
      <c r="D4780" s="783" t="s">
        <v>4009</v>
      </c>
      <c r="E4780" s="783" t="s">
        <v>6207</v>
      </c>
      <c r="F4780" s="783" t="s">
        <v>4011</v>
      </c>
      <c r="G4780" s="783" t="str">
        <f t="shared" si="257"/>
        <v>Renewal (15% in 2020)</v>
      </c>
      <c r="H4780" s="783" t="s">
        <v>6208</v>
      </c>
      <c r="I4780" s="783" t="s">
        <v>6209</v>
      </c>
      <c r="J4780" s="783">
        <v>15</v>
      </c>
      <c r="K4780" s="783" t="s">
        <v>163</v>
      </c>
      <c r="L4780" s="783" t="s">
        <v>4096</v>
      </c>
      <c r="M4780" s="784">
        <v>9540.8700000000008</v>
      </c>
      <c r="N4780" s="784">
        <v>7.21</v>
      </c>
      <c r="O4780" s="784">
        <v>7.43</v>
      </c>
      <c r="P4780" s="783">
        <v>178.1</v>
      </c>
      <c r="Q4780" s="783">
        <v>938.82</v>
      </c>
      <c r="R4780" s="783">
        <v>325.86</v>
      </c>
      <c r="S4780" s="783">
        <v>161.68</v>
      </c>
      <c r="T4780" s="783">
        <v>451.28</v>
      </c>
      <c r="U4780" s="785">
        <v>44631.636840277803</v>
      </c>
    </row>
    <row r="4781" spans="1:21">
      <c r="A4781" s="782">
        <v>44558</v>
      </c>
      <c r="B4781" s="783" t="s">
        <v>74</v>
      </c>
      <c r="C4781" s="783" t="s">
        <v>4037</v>
      </c>
      <c r="D4781" s="783" t="s">
        <v>4038</v>
      </c>
      <c r="E4781" s="783" t="s">
        <v>4452</v>
      </c>
      <c r="F4781" s="783" t="s">
        <v>4011</v>
      </c>
      <c r="G4781" s="783" t="str">
        <f t="shared" si="257"/>
        <v>Renewal (20% in 2020)</v>
      </c>
      <c r="H4781" s="783" t="s">
        <v>4453</v>
      </c>
      <c r="I4781" s="783" t="s">
        <v>4454</v>
      </c>
      <c r="J4781" s="783">
        <v>25</v>
      </c>
      <c r="K4781" s="783" t="s">
        <v>163</v>
      </c>
      <c r="L4781" s="783" t="s">
        <v>4096</v>
      </c>
      <c r="M4781" s="784">
        <v>6155.7</v>
      </c>
      <c r="N4781" s="784">
        <v>8.5</v>
      </c>
      <c r="O4781" s="784">
        <v>4.26</v>
      </c>
      <c r="P4781" s="783">
        <v>170</v>
      </c>
      <c r="Q4781" s="783">
        <v>481.38</v>
      </c>
      <c r="R4781" s="783">
        <v>263.91000000000003</v>
      </c>
      <c r="S4781" s="783">
        <v>116.51</v>
      </c>
      <c r="T4781" s="783">
        <v>100.95</v>
      </c>
      <c r="U4781" s="785">
        <v>44631.637083333299</v>
      </c>
    </row>
    <row r="4782" spans="1:21">
      <c r="A4782" s="782">
        <v>44553</v>
      </c>
      <c r="B4782" s="783" t="s">
        <v>41</v>
      </c>
      <c r="C4782" s="783" t="s">
        <v>4092</v>
      </c>
      <c r="D4782" s="783" t="s">
        <v>4009</v>
      </c>
      <c r="E4782" s="783" t="s">
        <v>6230</v>
      </c>
      <c r="F4782" s="783" t="s">
        <v>4011</v>
      </c>
      <c r="G4782" s="783" t="str">
        <f t="shared" si="257"/>
        <v>Renewal (30% in 2020)</v>
      </c>
      <c r="H4782" s="783" t="s">
        <v>6231</v>
      </c>
      <c r="I4782" s="783" t="s">
        <v>6232</v>
      </c>
      <c r="J4782" s="783">
        <v>30</v>
      </c>
      <c r="K4782" s="783" t="s">
        <v>163</v>
      </c>
      <c r="L4782" s="783" t="s">
        <v>4096</v>
      </c>
      <c r="M4782" s="784">
        <v>1940.91</v>
      </c>
      <c r="N4782" s="784">
        <v>2.3199999999999998</v>
      </c>
      <c r="O4782" s="784">
        <v>4.7</v>
      </c>
      <c r="P4782" s="783">
        <v>178</v>
      </c>
      <c r="Q4782" s="783">
        <v>101.7</v>
      </c>
      <c r="R4782" s="783">
        <v>69.02</v>
      </c>
      <c r="S4782" s="783">
        <v>20.65</v>
      </c>
      <c r="T4782" s="783">
        <v>12.03</v>
      </c>
      <c r="U4782" s="785">
        <v>44631.637083333299</v>
      </c>
    </row>
    <row r="4783" spans="1:21">
      <c r="A4783" s="782">
        <v>44588</v>
      </c>
      <c r="B4783" s="783" t="s">
        <v>113</v>
      </c>
      <c r="C4783" s="783" t="s">
        <v>4097</v>
      </c>
      <c r="D4783" s="783" t="s">
        <v>4038</v>
      </c>
      <c r="E4783" s="783" t="s">
        <v>1403</v>
      </c>
      <c r="F4783" s="783" t="s">
        <v>4011</v>
      </c>
      <c r="G4783" s="783" t="str">
        <f t="shared" si="257"/>
        <v>Renewal (20% in 2020)</v>
      </c>
      <c r="H4783" s="783" t="s">
        <v>6236</v>
      </c>
      <c r="I4783" s="783" t="s">
        <v>6237</v>
      </c>
      <c r="J4783" s="783">
        <v>20</v>
      </c>
      <c r="K4783" s="783" t="s">
        <v>163</v>
      </c>
      <c r="L4783" s="783" t="s">
        <v>4096</v>
      </c>
      <c r="M4783" s="784">
        <v>8303.76</v>
      </c>
      <c r="N4783" s="784">
        <v>9.1199999999999992</v>
      </c>
      <c r="O4783" s="784">
        <v>6.07</v>
      </c>
      <c r="P4783" s="783">
        <v>150</v>
      </c>
      <c r="Q4783" s="783">
        <v>699.18</v>
      </c>
      <c r="R4783" s="783">
        <v>359.49</v>
      </c>
      <c r="S4783" s="783">
        <v>93.9</v>
      </c>
      <c r="T4783" s="783">
        <v>245.79</v>
      </c>
      <c r="U4783" s="785">
        <v>44631.637187499997</v>
      </c>
    </row>
    <row r="4784" spans="1:21">
      <c r="A4784" s="782">
        <v>44518</v>
      </c>
      <c r="B4784" s="783" t="s">
        <v>4025</v>
      </c>
      <c r="C4784" s="783" t="s">
        <v>4026</v>
      </c>
      <c r="D4784" s="783" t="s">
        <v>4021</v>
      </c>
      <c r="E4784" s="783" t="s">
        <v>4217</v>
      </c>
      <c r="F4784" s="783" t="s">
        <v>4011</v>
      </c>
      <c r="G4784" s="783" t="str">
        <f t="shared" si="257"/>
        <v>New Contract</v>
      </c>
      <c r="H4784" s="783" t="s">
        <v>4218</v>
      </c>
      <c r="I4784" s="783" t="s">
        <v>4219</v>
      </c>
      <c r="J4784" s="783">
        <v>20</v>
      </c>
      <c r="K4784" s="783" t="s">
        <v>163</v>
      </c>
      <c r="L4784" s="783" t="s">
        <v>4096</v>
      </c>
      <c r="M4784" s="784">
        <v>11947.77</v>
      </c>
      <c r="N4784" s="784">
        <v>17</v>
      </c>
      <c r="O4784" s="784">
        <v>5.13</v>
      </c>
      <c r="P4784" s="783">
        <v>137</v>
      </c>
      <c r="Q4784" s="783">
        <v>867.41</v>
      </c>
      <c r="R4784" s="783">
        <v>497.03</v>
      </c>
      <c r="S4784" s="783">
        <v>76.47</v>
      </c>
      <c r="T4784" s="783">
        <v>293.92</v>
      </c>
      <c r="U4784" s="785">
        <v>44631.633611111101</v>
      </c>
    </row>
    <row r="4785" spans="1:21">
      <c r="A4785" s="782">
        <v>44553</v>
      </c>
      <c r="B4785" s="783" t="s">
        <v>41</v>
      </c>
      <c r="C4785" s="783" t="s">
        <v>4092</v>
      </c>
      <c r="D4785" s="783" t="s">
        <v>4009</v>
      </c>
      <c r="E4785" s="783" t="s">
        <v>6255</v>
      </c>
      <c r="F4785" s="783" t="s">
        <v>4011</v>
      </c>
      <c r="G4785" s="783" t="str">
        <f t="shared" si="257"/>
        <v>New contract</v>
      </c>
      <c r="H4785" s="783" t="s">
        <v>6256</v>
      </c>
      <c r="I4785" s="783" t="s">
        <v>6257</v>
      </c>
      <c r="J4785" s="783">
        <v>25</v>
      </c>
      <c r="K4785" s="783" t="s">
        <v>163</v>
      </c>
      <c r="L4785" s="783" t="s">
        <v>4096</v>
      </c>
      <c r="M4785" s="784">
        <v>18656</v>
      </c>
      <c r="N4785" s="784">
        <v>20</v>
      </c>
      <c r="O4785" s="784">
        <v>5.83</v>
      </c>
      <c r="P4785" s="783">
        <v>160</v>
      </c>
      <c r="Q4785" s="783">
        <v>1128.69</v>
      </c>
      <c r="R4785" s="783">
        <v>738.01</v>
      </c>
      <c r="S4785" s="783">
        <v>276.88</v>
      </c>
      <c r="T4785" s="783">
        <v>113.8</v>
      </c>
      <c r="U4785" s="785">
        <v>44631.633553240703</v>
      </c>
    </row>
    <row r="4786" spans="1:21">
      <c r="A4786" s="782">
        <v>44474</v>
      </c>
      <c r="B4786" s="783" t="s">
        <v>4025</v>
      </c>
      <c r="C4786" s="783" t="s">
        <v>4052</v>
      </c>
      <c r="D4786" s="783" t="s">
        <v>4021</v>
      </c>
      <c r="E4786" s="783" t="s">
        <v>6272</v>
      </c>
      <c r="F4786" s="783" t="s">
        <v>4011</v>
      </c>
      <c r="G4786" s="783" t="str">
        <f t="shared" si="257"/>
        <v>New Contract</v>
      </c>
      <c r="H4786" s="783" t="s">
        <v>6273</v>
      </c>
      <c r="I4786" s="783" t="s">
        <v>6274</v>
      </c>
      <c r="J4786" s="783">
        <v>25</v>
      </c>
      <c r="K4786" s="783" t="s">
        <v>163</v>
      </c>
      <c r="L4786" s="783" t="s">
        <v>4096</v>
      </c>
      <c r="M4786" s="784">
        <v>8575.84</v>
      </c>
      <c r="N4786" s="784">
        <v>10.4</v>
      </c>
      <c r="O4786" s="784">
        <v>5.32</v>
      </c>
      <c r="P4786" s="783">
        <v>155</v>
      </c>
      <c r="Q4786" s="783">
        <v>558.29</v>
      </c>
      <c r="R4786" s="783">
        <v>378.24</v>
      </c>
      <c r="S4786" s="783">
        <v>114.01</v>
      </c>
      <c r="T4786" s="783">
        <v>66.03</v>
      </c>
      <c r="U4786" s="785">
        <v>44631.637349536999</v>
      </c>
    </row>
    <row r="4787" spans="1:21">
      <c r="A4787" s="782">
        <v>44482</v>
      </c>
      <c r="B4787" s="783" t="s">
        <v>41</v>
      </c>
      <c r="C4787" s="783" t="s">
        <v>4139</v>
      </c>
      <c r="D4787" s="783" t="s">
        <v>4009</v>
      </c>
      <c r="E4787" s="783" t="s">
        <v>6284</v>
      </c>
      <c r="F4787" s="783" t="s">
        <v>4011</v>
      </c>
      <c r="G4787" s="783" t="str">
        <f t="shared" si="257"/>
        <v>Renewal (30% in 2020)</v>
      </c>
      <c r="H4787" s="783" t="s">
        <v>6285</v>
      </c>
      <c r="I4787" s="783" t="s">
        <v>6286</v>
      </c>
      <c r="J4787" s="783">
        <v>25</v>
      </c>
      <c r="K4787" s="783" t="s">
        <v>163</v>
      </c>
      <c r="L4787" s="783" t="s">
        <v>4096</v>
      </c>
      <c r="M4787" s="784">
        <v>11508</v>
      </c>
      <c r="N4787" s="784">
        <v>15</v>
      </c>
      <c r="O4787" s="784">
        <v>5.6</v>
      </c>
      <c r="P4787" s="783">
        <v>137</v>
      </c>
      <c r="Q4787" s="783">
        <v>754.92</v>
      </c>
      <c r="R4787" s="783">
        <v>590.36</v>
      </c>
      <c r="S4787" s="783">
        <v>86.31</v>
      </c>
      <c r="T4787" s="783">
        <v>78.25</v>
      </c>
      <c r="U4787" s="785">
        <v>44631.637476851902</v>
      </c>
    </row>
    <row r="4788" spans="1:21">
      <c r="A4788" s="782">
        <v>44461</v>
      </c>
      <c r="B4788" s="783" t="s">
        <v>41</v>
      </c>
      <c r="C4788" s="783" t="s">
        <v>4139</v>
      </c>
      <c r="D4788" s="783" t="s">
        <v>4009</v>
      </c>
      <c r="E4788" s="783" t="s">
        <v>6314</v>
      </c>
      <c r="F4788" s="783" t="s">
        <v>4011</v>
      </c>
      <c r="G4788" s="783" t="str">
        <f t="shared" si="257"/>
        <v>Renewal (20% in 2020)</v>
      </c>
      <c r="H4788" s="783" t="s">
        <v>6315</v>
      </c>
      <c r="I4788" s="783" t="s">
        <v>6316</v>
      </c>
      <c r="J4788" s="783">
        <v>20</v>
      </c>
      <c r="K4788" s="783" t="s">
        <v>163</v>
      </c>
      <c r="L4788" s="783" t="s">
        <v>4096</v>
      </c>
      <c r="M4788" s="784">
        <v>6924.64</v>
      </c>
      <c r="N4788" s="784">
        <v>9.43</v>
      </c>
      <c r="O4788" s="784">
        <v>5.36</v>
      </c>
      <c r="P4788" s="783">
        <v>137</v>
      </c>
      <c r="Q4788" s="783">
        <v>589.29</v>
      </c>
      <c r="R4788" s="783">
        <v>355.23</v>
      </c>
      <c r="S4788" s="783">
        <v>51.93</v>
      </c>
      <c r="T4788" s="783">
        <v>182.12</v>
      </c>
      <c r="U4788" s="785">
        <v>44631.637662036999</v>
      </c>
    </row>
    <row r="4789" spans="1:21">
      <c r="A4789" s="782">
        <v>44468</v>
      </c>
      <c r="B4789" s="783" t="s">
        <v>41</v>
      </c>
      <c r="C4789" s="783" t="s">
        <v>4139</v>
      </c>
      <c r="D4789" s="783" t="s">
        <v>4009</v>
      </c>
      <c r="E4789" s="783" t="s">
        <v>6317</v>
      </c>
      <c r="F4789" s="783" t="s">
        <v>4011</v>
      </c>
      <c r="G4789" s="783" t="str">
        <f t="shared" si="257"/>
        <v>Renewal (20% in 2020)</v>
      </c>
      <c r="H4789" s="783" t="s">
        <v>6318</v>
      </c>
      <c r="I4789" s="783" t="s">
        <v>6319</v>
      </c>
      <c r="J4789" s="783">
        <v>20</v>
      </c>
      <c r="K4789" s="783" t="s">
        <v>163</v>
      </c>
      <c r="L4789" s="783" t="s">
        <v>4096</v>
      </c>
      <c r="M4789" s="784">
        <v>7527.68</v>
      </c>
      <c r="N4789" s="784">
        <v>10.69</v>
      </c>
      <c r="O4789" s="784">
        <v>5.14</v>
      </c>
      <c r="P4789" s="783">
        <v>137</v>
      </c>
      <c r="Q4789" s="783">
        <v>640.61</v>
      </c>
      <c r="R4789" s="783">
        <v>386.17</v>
      </c>
      <c r="S4789" s="783">
        <v>56.46</v>
      </c>
      <c r="T4789" s="783">
        <v>197.98</v>
      </c>
      <c r="U4789" s="785">
        <v>44631.636678240699</v>
      </c>
    </row>
    <row r="4790" spans="1:21">
      <c r="A4790" s="782">
        <v>44469</v>
      </c>
      <c r="B4790" s="783" t="s">
        <v>30</v>
      </c>
      <c r="C4790" s="783" t="s">
        <v>4089</v>
      </c>
      <c r="D4790" s="783" t="s">
        <v>4021</v>
      </c>
      <c r="E4790" s="783" t="s">
        <v>125</v>
      </c>
      <c r="F4790" s="783" t="s">
        <v>4011</v>
      </c>
      <c r="G4790" s="783" t="str">
        <f t="shared" si="257"/>
        <v>Renewal (15% in 2020)</v>
      </c>
      <c r="H4790" s="783" t="s">
        <v>6323</v>
      </c>
      <c r="I4790" s="783" t="s">
        <v>6324</v>
      </c>
      <c r="J4790" s="783">
        <v>15</v>
      </c>
      <c r="K4790" s="783" t="s">
        <v>163</v>
      </c>
      <c r="L4790" s="783" t="s">
        <v>4096</v>
      </c>
      <c r="M4790" s="784">
        <v>10294.73</v>
      </c>
      <c r="N4790" s="784">
        <v>10.46</v>
      </c>
      <c r="O4790" s="784">
        <v>7.03</v>
      </c>
      <c r="P4790" s="783">
        <v>140</v>
      </c>
      <c r="Q4790" s="783">
        <v>1032.56</v>
      </c>
      <c r="R4790" s="783">
        <v>438.22</v>
      </c>
      <c r="S4790" s="783">
        <v>78.569999999999993</v>
      </c>
      <c r="T4790" s="783">
        <v>515.77</v>
      </c>
      <c r="U4790" s="785">
        <v>44631.636736111097</v>
      </c>
    </row>
    <row r="4791" spans="1:21">
      <c r="A4791" s="782">
        <v>44468</v>
      </c>
      <c r="B4791" s="783" t="s">
        <v>41</v>
      </c>
      <c r="C4791" s="783" t="s">
        <v>4139</v>
      </c>
      <c r="D4791" s="783" t="s">
        <v>4009</v>
      </c>
      <c r="E4791" s="783" t="s">
        <v>6334</v>
      </c>
      <c r="F4791" s="783" t="s">
        <v>4011</v>
      </c>
      <c r="G4791" s="783" t="str">
        <f t="shared" si="257"/>
        <v>Renewal (30% in 2020)</v>
      </c>
      <c r="H4791" s="783" t="s">
        <v>6335</v>
      </c>
      <c r="I4791" s="783" t="s">
        <v>6336</v>
      </c>
      <c r="J4791" s="783">
        <v>30</v>
      </c>
      <c r="K4791" s="783" t="s">
        <v>163</v>
      </c>
      <c r="L4791" s="783" t="s">
        <v>4096</v>
      </c>
      <c r="M4791" s="784">
        <v>21204.98</v>
      </c>
      <c r="N4791" s="784">
        <v>33.43</v>
      </c>
      <c r="O4791" s="784">
        <v>4.63</v>
      </c>
      <c r="P4791" s="783">
        <v>137</v>
      </c>
      <c r="Q4791" s="783">
        <v>1229.8900000000001</v>
      </c>
      <c r="R4791" s="783">
        <v>1087.82</v>
      </c>
      <c r="S4791" s="783">
        <v>0</v>
      </c>
      <c r="T4791" s="783">
        <v>142.07</v>
      </c>
      <c r="U4791" s="785">
        <v>44631.636724536998</v>
      </c>
    </row>
    <row r="4792" spans="1:21">
      <c r="A4792" s="782">
        <v>44507</v>
      </c>
      <c r="B4792" s="783" t="s">
        <v>74</v>
      </c>
      <c r="C4792" s="783" t="s">
        <v>4097</v>
      </c>
      <c r="D4792" s="783" t="s">
        <v>4038</v>
      </c>
      <c r="E4792" s="783" t="s">
        <v>4488</v>
      </c>
      <c r="F4792" s="783" t="s">
        <v>4066</v>
      </c>
      <c r="G4792" s="783" t="str">
        <f t="shared" si="257"/>
        <v>New Contract</v>
      </c>
      <c r="H4792" s="783" t="s">
        <v>4489</v>
      </c>
      <c r="I4792" s="783" t="s">
        <v>4490</v>
      </c>
      <c r="J4792" s="783">
        <v>5</v>
      </c>
      <c r="K4792" s="783" t="s">
        <v>163</v>
      </c>
      <c r="L4792" s="783" t="s">
        <v>4096</v>
      </c>
      <c r="M4792" s="784">
        <v>14859.25</v>
      </c>
      <c r="N4792" s="784">
        <v>12.13</v>
      </c>
      <c r="O4792" s="784">
        <v>7</v>
      </c>
      <c r="P4792" s="783">
        <v>175</v>
      </c>
      <c r="Q4792" s="783">
        <v>491.84</v>
      </c>
      <c r="R4792" s="783">
        <v>0</v>
      </c>
      <c r="S4792" s="783">
        <v>0</v>
      </c>
      <c r="T4792" s="783">
        <v>491.84</v>
      </c>
      <c r="U4792" s="785">
        <v>44631.638124999998</v>
      </c>
    </row>
    <row r="4793" spans="1:21">
      <c r="A4793" s="782">
        <v>44581</v>
      </c>
      <c r="B4793" s="783" t="s">
        <v>2866</v>
      </c>
      <c r="C4793" s="783" t="s">
        <v>4414</v>
      </c>
      <c r="D4793" s="783" t="s">
        <v>4009</v>
      </c>
      <c r="E4793" s="783" t="s">
        <v>6372</v>
      </c>
      <c r="F4793" s="783" t="s">
        <v>4011</v>
      </c>
      <c r="G4793" s="783" t="str">
        <f t="shared" si="257"/>
        <v>Renewal (25% in 2020)</v>
      </c>
      <c r="H4793" s="783" t="s">
        <v>6373</v>
      </c>
      <c r="I4793" s="783" t="s">
        <v>6374</v>
      </c>
      <c r="J4793" s="783">
        <v>20</v>
      </c>
      <c r="K4793" s="783" t="s">
        <v>163</v>
      </c>
      <c r="L4793" s="783" t="s">
        <v>4096</v>
      </c>
      <c r="M4793" s="784">
        <v>19624.5</v>
      </c>
      <c r="N4793" s="784">
        <v>22.5</v>
      </c>
      <c r="O4793" s="784">
        <v>4.9000000000000004</v>
      </c>
      <c r="P4793" s="783">
        <v>178</v>
      </c>
      <c r="Q4793" s="783">
        <v>1681.82</v>
      </c>
      <c r="R4793" s="783">
        <v>696.31</v>
      </c>
      <c r="S4793" s="783">
        <v>353.6</v>
      </c>
      <c r="T4793" s="783">
        <v>631.91</v>
      </c>
      <c r="U4793" s="785">
        <v>44631.638298611098</v>
      </c>
    </row>
    <row r="4794" spans="1:21">
      <c r="A4794" s="782">
        <v>44581</v>
      </c>
      <c r="B4794" s="783" t="s">
        <v>74</v>
      </c>
      <c r="C4794" s="783" t="s">
        <v>4097</v>
      </c>
      <c r="D4794" s="783" t="s">
        <v>4038</v>
      </c>
      <c r="E4794" s="783" t="s">
        <v>6389</v>
      </c>
      <c r="F4794" s="783" t="s">
        <v>4066</v>
      </c>
      <c r="G4794" s="783" t="s">
        <v>4028</v>
      </c>
      <c r="H4794" s="783" t="s">
        <v>6390</v>
      </c>
      <c r="I4794" s="783" t="s">
        <v>6391</v>
      </c>
      <c r="J4794" s="783">
        <v>5</v>
      </c>
      <c r="K4794" s="783" t="s">
        <v>163</v>
      </c>
      <c r="L4794" s="783" t="s">
        <v>4096</v>
      </c>
      <c r="M4794" s="784">
        <v>1190</v>
      </c>
      <c r="N4794" s="784">
        <v>1.4</v>
      </c>
      <c r="O4794" s="784">
        <v>5</v>
      </c>
      <c r="P4794" s="783">
        <v>170</v>
      </c>
      <c r="Q4794" s="783">
        <v>39.39</v>
      </c>
      <c r="R4794" s="783">
        <v>0</v>
      </c>
      <c r="S4794" s="783">
        <v>0</v>
      </c>
      <c r="T4794" s="783">
        <v>39.39</v>
      </c>
      <c r="U4794" s="785">
        <v>44631.638356481497</v>
      </c>
    </row>
    <row r="4795" spans="1:21">
      <c r="A4795" s="782">
        <v>44494</v>
      </c>
      <c r="B4795" s="783" t="s">
        <v>4025</v>
      </c>
      <c r="C4795" s="783" t="s">
        <v>4026</v>
      </c>
      <c r="D4795" s="783" t="s">
        <v>4021</v>
      </c>
      <c r="E4795" s="783" t="s">
        <v>2831</v>
      </c>
      <c r="F4795" s="783" t="s">
        <v>4011</v>
      </c>
      <c r="G4795" s="783" t="str">
        <f>VLOOKUP(I4795,pacage,2,FALSE)</f>
        <v>New Contract</v>
      </c>
      <c r="H4795" s="783" t="s">
        <v>6415</v>
      </c>
      <c r="I4795" s="783" t="s">
        <v>6416</v>
      </c>
      <c r="J4795" s="783">
        <v>25</v>
      </c>
      <c r="K4795" s="783" t="s">
        <v>356</v>
      </c>
      <c r="L4795" s="783" t="s">
        <v>4096</v>
      </c>
      <c r="M4795" s="784">
        <v>10158.75</v>
      </c>
      <c r="N4795" s="784">
        <v>15</v>
      </c>
      <c r="O4795" s="784">
        <v>2.25</v>
      </c>
      <c r="P4795" s="783">
        <v>301</v>
      </c>
      <c r="Q4795" s="783">
        <v>604.45000000000005</v>
      </c>
      <c r="R4795" s="783">
        <v>339.82</v>
      </c>
      <c r="S4795" s="783">
        <v>171.16</v>
      </c>
      <c r="T4795" s="783">
        <v>93.46</v>
      </c>
      <c r="U4795" s="785">
        <v>44631.503101851798</v>
      </c>
    </row>
    <row r="4796" spans="1:21">
      <c r="A4796" s="782">
        <v>44692</v>
      </c>
      <c r="B4796" s="783" t="s">
        <v>47</v>
      </c>
      <c r="C4796" s="783" t="s">
        <v>4101</v>
      </c>
      <c r="D4796" s="783" t="s">
        <v>4102</v>
      </c>
      <c r="E4796" s="783" t="s">
        <v>4103</v>
      </c>
      <c r="F4796" s="783" t="s">
        <v>4011</v>
      </c>
      <c r="G4796" s="783" t="str">
        <f>VLOOKUP(I4796,pacage,2,FALSE)</f>
        <v>Renewal (15% in 2020)</v>
      </c>
      <c r="H4796" s="783" t="s">
        <v>4104</v>
      </c>
      <c r="I4796" s="783" t="s">
        <v>4105</v>
      </c>
      <c r="J4796" s="783">
        <v>20</v>
      </c>
      <c r="K4796" s="783" t="s">
        <v>356</v>
      </c>
      <c r="L4796" s="783" t="s">
        <v>4096</v>
      </c>
      <c r="M4796" s="784">
        <v>9149.49</v>
      </c>
      <c r="N4796" s="784">
        <v>7.21</v>
      </c>
      <c r="O4796" s="784">
        <v>4.2300000000000004</v>
      </c>
      <c r="P4796" s="783">
        <v>300</v>
      </c>
      <c r="Q4796" s="783">
        <v>766.73</v>
      </c>
      <c r="R4796" s="783">
        <v>354.49</v>
      </c>
      <c r="S4796" s="783">
        <v>173.44</v>
      </c>
      <c r="T4796" s="783">
        <v>238.8</v>
      </c>
      <c r="U4796" s="785">
        <v>44692.516574074099</v>
      </c>
    </row>
    <row r="4797" spans="1:21">
      <c r="A4797" s="782">
        <v>44697</v>
      </c>
      <c r="B4797" s="783" t="s">
        <v>65</v>
      </c>
      <c r="C4797" s="783" t="s">
        <v>4625</v>
      </c>
      <c r="D4797" s="783" t="s">
        <v>4248</v>
      </c>
      <c r="E4797" s="783" t="s">
        <v>1077</v>
      </c>
      <c r="F4797" s="783" t="s">
        <v>4011</v>
      </c>
      <c r="G4797" s="783" t="str">
        <f>VLOOKUP(I4797,pacage,2,FALSE)</f>
        <v>Renewal (20% in 2020)</v>
      </c>
      <c r="H4797" s="783" t="s">
        <v>6423</v>
      </c>
      <c r="I4797" s="783" t="s">
        <v>6424</v>
      </c>
      <c r="J4797" s="783">
        <v>20</v>
      </c>
      <c r="K4797" s="783" t="s">
        <v>356</v>
      </c>
      <c r="L4797" s="783" t="s">
        <v>4096</v>
      </c>
      <c r="M4797" s="784">
        <v>21750.1</v>
      </c>
      <c r="N4797" s="784">
        <v>28.15</v>
      </c>
      <c r="O4797" s="784">
        <v>3.03</v>
      </c>
      <c r="P4797" s="783">
        <v>255</v>
      </c>
      <c r="Q4797" s="783">
        <v>1629.08</v>
      </c>
      <c r="R4797" s="783">
        <v>890.47</v>
      </c>
      <c r="S4797" s="783">
        <v>236.18</v>
      </c>
      <c r="T4797" s="783">
        <v>502.43</v>
      </c>
      <c r="U4797" s="785">
        <v>44698.4692476852</v>
      </c>
    </row>
    <row r="4798" spans="1:21">
      <c r="A4798" s="782">
        <v>44697</v>
      </c>
      <c r="B4798" s="783" t="s">
        <v>65</v>
      </c>
      <c r="C4798" s="783" t="s">
        <v>4247</v>
      </c>
      <c r="D4798" s="783" t="s">
        <v>4248</v>
      </c>
      <c r="E4798" s="783" t="s">
        <v>1077</v>
      </c>
      <c r="F4798" s="783" t="s">
        <v>4011</v>
      </c>
      <c r="G4798" s="783" t="str">
        <f>VLOOKUP(I4798,pacage,2,FALSE)</f>
        <v>Renewal (20% in 2020)</v>
      </c>
      <c r="H4798" s="783" t="s">
        <v>6423</v>
      </c>
      <c r="I4798" s="783" t="s">
        <v>6424</v>
      </c>
      <c r="J4798" s="783">
        <v>20</v>
      </c>
      <c r="K4798" s="783" t="s">
        <v>356</v>
      </c>
      <c r="L4798" s="783" t="s">
        <v>4096</v>
      </c>
      <c r="M4798" s="784">
        <v>19803.02</v>
      </c>
      <c r="N4798" s="784">
        <v>25.63</v>
      </c>
      <c r="O4798" s="784">
        <v>3.03</v>
      </c>
      <c r="P4798" s="783">
        <v>255</v>
      </c>
      <c r="Q4798" s="783">
        <v>1481.27</v>
      </c>
      <c r="R4798" s="783">
        <v>803.55</v>
      </c>
      <c r="S4798" s="783">
        <v>212.34</v>
      </c>
      <c r="T4798" s="783">
        <v>465.37</v>
      </c>
      <c r="U4798" s="785">
        <v>44698.4692476852</v>
      </c>
    </row>
    <row r="4799" spans="1:21">
      <c r="A4799" s="782">
        <v>44600</v>
      </c>
      <c r="B4799" s="783" t="s">
        <v>4025</v>
      </c>
      <c r="C4799" s="783" t="s">
        <v>4026</v>
      </c>
      <c r="D4799" s="783" t="s">
        <v>4021</v>
      </c>
      <c r="E4799" s="783" t="s">
        <v>4078</v>
      </c>
      <c r="F4799" s="783" t="s">
        <v>4011</v>
      </c>
      <c r="G4799" s="783" t="s">
        <v>4028</v>
      </c>
      <c r="H4799" s="783" t="s">
        <v>4079</v>
      </c>
      <c r="I4799" s="783" t="s">
        <v>4080</v>
      </c>
      <c r="J4799" s="783">
        <v>25</v>
      </c>
      <c r="K4799" s="783" t="s">
        <v>356</v>
      </c>
      <c r="L4799" s="783" t="s">
        <v>4096</v>
      </c>
      <c r="M4799" s="784">
        <v>30981.21</v>
      </c>
      <c r="N4799" s="784">
        <v>41.81</v>
      </c>
      <c r="O4799" s="784">
        <v>2.4700000000000002</v>
      </c>
      <c r="P4799" s="783">
        <v>300</v>
      </c>
      <c r="Q4799" s="783">
        <v>1843.38</v>
      </c>
      <c r="R4799" s="783">
        <v>1039.81</v>
      </c>
      <c r="S4799" s="783">
        <v>518.54</v>
      </c>
      <c r="T4799" s="783">
        <v>285.02999999999997</v>
      </c>
      <c r="U4799" s="785">
        <v>44631.629027777803</v>
      </c>
    </row>
    <row r="4800" spans="1:21">
      <c r="A4800" s="782">
        <v>44594</v>
      </c>
      <c r="B4800" s="783" t="s">
        <v>228</v>
      </c>
      <c r="C4800" s="783" t="s">
        <v>4417</v>
      </c>
      <c r="D4800" s="783" t="s">
        <v>4193</v>
      </c>
      <c r="E4800" s="783" t="s">
        <v>5032</v>
      </c>
      <c r="F4800" s="783" t="s">
        <v>4011</v>
      </c>
      <c r="G4800" s="783" t="s">
        <v>4028</v>
      </c>
      <c r="H4800" s="783" t="s">
        <v>5033</v>
      </c>
      <c r="I4800" s="783" t="s">
        <v>5034</v>
      </c>
      <c r="J4800" s="783">
        <v>25</v>
      </c>
      <c r="K4800" s="783" t="s">
        <v>356</v>
      </c>
      <c r="L4800" s="783" t="s">
        <v>4096</v>
      </c>
      <c r="M4800" s="784">
        <v>6762</v>
      </c>
      <c r="N4800" s="784">
        <v>10.5</v>
      </c>
      <c r="O4800" s="784">
        <v>2.2999999999999998</v>
      </c>
      <c r="P4800" s="783">
        <v>280</v>
      </c>
      <c r="Q4800" s="783">
        <v>284.68</v>
      </c>
      <c r="R4800" s="783">
        <v>182.65</v>
      </c>
      <c r="S4800" s="783">
        <v>70.92</v>
      </c>
      <c r="T4800" s="783">
        <v>31.11</v>
      </c>
      <c r="U4800" s="785">
        <v>44631.629421296297</v>
      </c>
    </row>
    <row r="4801" spans="1:21">
      <c r="A4801" s="782">
        <v>44684</v>
      </c>
      <c r="B4801" s="783" t="s">
        <v>41</v>
      </c>
      <c r="C4801" s="783" t="s">
        <v>4092</v>
      </c>
      <c r="D4801" s="783" t="s">
        <v>4009</v>
      </c>
      <c r="E4801" s="783" t="s">
        <v>6446</v>
      </c>
      <c r="F4801" s="783" t="s">
        <v>4011</v>
      </c>
      <c r="G4801" s="783" t="str">
        <f t="shared" ref="G4801:G4822" si="258">VLOOKUP(I4801,pacage,2,FALSE)</f>
        <v>Renewal (20% in 2020)</v>
      </c>
      <c r="H4801" s="783" t="s">
        <v>6447</v>
      </c>
      <c r="I4801" s="783" t="s">
        <v>6448</v>
      </c>
      <c r="J4801" s="783">
        <v>20</v>
      </c>
      <c r="K4801" s="783" t="s">
        <v>356</v>
      </c>
      <c r="L4801" s="783" t="s">
        <v>4096</v>
      </c>
      <c r="M4801" s="784">
        <v>7233.84</v>
      </c>
      <c r="N4801" s="784">
        <v>5.91</v>
      </c>
      <c r="O4801" s="784">
        <v>2.72</v>
      </c>
      <c r="P4801" s="783">
        <v>450</v>
      </c>
      <c r="Q4801" s="783">
        <v>595.35</v>
      </c>
      <c r="R4801" s="783">
        <v>181.25</v>
      </c>
      <c r="S4801" s="783">
        <v>231.8</v>
      </c>
      <c r="T4801" s="783">
        <v>182.29</v>
      </c>
      <c r="U4801" s="785">
        <v>44685.404108796298</v>
      </c>
    </row>
    <row r="4802" spans="1:21">
      <c r="A4802" s="782">
        <v>44711</v>
      </c>
      <c r="B4802" s="783" t="s">
        <v>347</v>
      </c>
      <c r="C4802" s="783" t="s">
        <v>4139</v>
      </c>
      <c r="D4802" s="783" t="s">
        <v>4009</v>
      </c>
      <c r="E4802" s="783" t="s">
        <v>355</v>
      </c>
      <c r="F4802" s="783" t="s">
        <v>4011</v>
      </c>
      <c r="G4802" s="783" t="str">
        <f t="shared" si="258"/>
        <v>Renewal (15% in 2020)</v>
      </c>
      <c r="H4802" s="783" t="s">
        <v>6455</v>
      </c>
      <c r="I4802" s="783" t="s">
        <v>6456</v>
      </c>
      <c r="J4802" s="783">
        <v>15</v>
      </c>
      <c r="K4802" s="783" t="s">
        <v>356</v>
      </c>
      <c r="L4802" s="783" t="s">
        <v>4096</v>
      </c>
      <c r="M4802" s="784">
        <v>8828.7900000000009</v>
      </c>
      <c r="N4802" s="784">
        <v>14.94</v>
      </c>
      <c r="O4802" s="784">
        <v>2.23</v>
      </c>
      <c r="P4802" s="783">
        <v>265</v>
      </c>
      <c r="Q4802" s="783">
        <v>1056.81</v>
      </c>
      <c r="R4802" s="783">
        <v>416.61</v>
      </c>
      <c r="S4802" s="783">
        <v>128.12</v>
      </c>
      <c r="T4802" s="783">
        <v>512.07000000000005</v>
      </c>
      <c r="U4802" s="785">
        <v>44713.611053240696</v>
      </c>
    </row>
    <row r="4803" spans="1:21">
      <c r="A4803" s="782">
        <v>44685</v>
      </c>
      <c r="B4803" s="783" t="s">
        <v>4025</v>
      </c>
      <c r="C4803" s="783" t="s">
        <v>4026</v>
      </c>
      <c r="D4803" s="783" t="s">
        <v>4021</v>
      </c>
      <c r="E4803" s="783" t="s">
        <v>6457</v>
      </c>
      <c r="F4803" s="783" t="s">
        <v>4011</v>
      </c>
      <c r="G4803" s="783" t="str">
        <f t="shared" si="258"/>
        <v>New Contract</v>
      </c>
      <c r="H4803" s="783" t="s">
        <v>6458</v>
      </c>
      <c r="I4803" s="783" t="s">
        <v>6459</v>
      </c>
      <c r="J4803" s="783">
        <v>20</v>
      </c>
      <c r="K4803" s="783" t="s">
        <v>356</v>
      </c>
      <c r="L4803" s="783" t="s">
        <v>4096</v>
      </c>
      <c r="M4803" s="784">
        <v>14219.28</v>
      </c>
      <c r="N4803" s="784">
        <v>22.7</v>
      </c>
      <c r="O4803" s="784">
        <v>2.3199999999999998</v>
      </c>
      <c r="P4803" s="783">
        <v>270</v>
      </c>
      <c r="Q4803" s="783">
        <v>1083.51</v>
      </c>
      <c r="R4803" s="783">
        <v>530.26</v>
      </c>
      <c r="S4803" s="783">
        <v>184.97</v>
      </c>
      <c r="T4803" s="783">
        <v>368.28</v>
      </c>
      <c r="U4803" s="785">
        <v>44687.638854166697</v>
      </c>
    </row>
    <row r="4804" spans="1:21">
      <c r="A4804" s="782">
        <v>44681</v>
      </c>
      <c r="B4804" s="783" t="s">
        <v>41</v>
      </c>
      <c r="C4804" s="783" t="s">
        <v>4071</v>
      </c>
      <c r="D4804" s="783" t="s">
        <v>4009</v>
      </c>
      <c r="E4804" s="783" t="s">
        <v>6477</v>
      </c>
      <c r="F4804" s="783" t="s">
        <v>4011</v>
      </c>
      <c r="G4804" s="783" t="str">
        <f t="shared" si="258"/>
        <v>Renewal (20% in 2020)</v>
      </c>
      <c r="H4804" s="783" t="s">
        <v>6478</v>
      </c>
      <c r="I4804" s="783" t="s">
        <v>6479</v>
      </c>
      <c r="J4804" s="783">
        <v>20</v>
      </c>
      <c r="K4804" s="783" t="s">
        <v>356</v>
      </c>
      <c r="L4804" s="783" t="s">
        <v>4096</v>
      </c>
      <c r="M4804" s="784">
        <v>3795.12</v>
      </c>
      <c r="N4804" s="784">
        <v>5.4</v>
      </c>
      <c r="O4804" s="784">
        <v>2.5099999999999998</v>
      </c>
      <c r="P4804" s="783">
        <v>280</v>
      </c>
      <c r="Q4804" s="783">
        <v>292.98</v>
      </c>
      <c r="R4804" s="783">
        <v>146.85</v>
      </c>
      <c r="S4804" s="783">
        <v>56.57</v>
      </c>
      <c r="T4804" s="783">
        <v>89.56</v>
      </c>
      <c r="U4804" s="785">
        <v>44683.420416666697</v>
      </c>
    </row>
    <row r="4805" spans="1:21">
      <c r="A4805" s="782">
        <v>44681</v>
      </c>
      <c r="B4805" s="783" t="s">
        <v>34</v>
      </c>
      <c r="C4805" s="783" t="s">
        <v>4082</v>
      </c>
      <c r="D4805" s="783" t="s">
        <v>4009</v>
      </c>
      <c r="E4805" s="783" t="s">
        <v>4629</v>
      </c>
      <c r="F4805" s="783" t="s">
        <v>4011</v>
      </c>
      <c r="G4805" s="783" t="str">
        <f t="shared" si="258"/>
        <v>Renewal (20% in 2020)</v>
      </c>
      <c r="H4805" s="783" t="s">
        <v>4630</v>
      </c>
      <c r="I4805" s="783" t="s">
        <v>4631</v>
      </c>
      <c r="J4805" s="783">
        <v>20</v>
      </c>
      <c r="K4805" s="783" t="s">
        <v>356</v>
      </c>
      <c r="L4805" s="783" t="s">
        <v>4096</v>
      </c>
      <c r="M4805" s="784">
        <v>1963.5</v>
      </c>
      <c r="N4805" s="784">
        <v>4.62</v>
      </c>
      <c r="O4805" s="784">
        <v>2.5</v>
      </c>
      <c r="P4805" s="783">
        <v>170</v>
      </c>
      <c r="Q4805" s="783">
        <v>133.13</v>
      </c>
      <c r="R4805" s="783">
        <v>78.739999999999995</v>
      </c>
      <c r="S4805" s="783">
        <v>13.74</v>
      </c>
      <c r="T4805" s="783">
        <v>40.64</v>
      </c>
      <c r="U4805" s="785">
        <v>44683.4168055556</v>
      </c>
    </row>
    <row r="4806" spans="1:21">
      <c r="A4806" s="782">
        <v>44679</v>
      </c>
      <c r="B4806" s="783" t="s">
        <v>74</v>
      </c>
      <c r="C4806" s="783" t="s">
        <v>4097</v>
      </c>
      <c r="D4806" s="783" t="s">
        <v>4038</v>
      </c>
      <c r="E4806" s="783" t="s">
        <v>6483</v>
      </c>
      <c r="F4806" s="783" t="s">
        <v>4011</v>
      </c>
      <c r="G4806" s="783" t="str">
        <f t="shared" si="258"/>
        <v>Renewal (25% in 2020)</v>
      </c>
      <c r="H4806" s="783" t="s">
        <v>6484</v>
      </c>
      <c r="I4806" s="783" t="s">
        <v>6485</v>
      </c>
      <c r="J4806" s="783">
        <v>25</v>
      </c>
      <c r="K4806" s="783" t="s">
        <v>356</v>
      </c>
      <c r="L4806" s="783" t="s">
        <v>4096</v>
      </c>
      <c r="M4806" s="784">
        <v>5500</v>
      </c>
      <c r="N4806" s="784">
        <v>5.5</v>
      </c>
      <c r="O4806" s="784">
        <v>4</v>
      </c>
      <c r="P4806" s="783">
        <v>250</v>
      </c>
      <c r="Q4806" s="783">
        <v>382.25</v>
      </c>
      <c r="R4806" s="783">
        <v>255.71</v>
      </c>
      <c r="S4806" s="783">
        <v>62.74</v>
      </c>
      <c r="T4806" s="783">
        <v>63.8</v>
      </c>
      <c r="U4806" s="785">
        <v>44680.720347222203</v>
      </c>
    </row>
    <row r="4807" spans="1:21">
      <c r="A4807" s="782">
        <v>44681</v>
      </c>
      <c r="B4807" s="783" t="s">
        <v>4025</v>
      </c>
      <c r="C4807" s="783" t="s">
        <v>4026</v>
      </c>
      <c r="D4807" s="783" t="s">
        <v>4021</v>
      </c>
      <c r="E4807" s="783" t="s">
        <v>4231</v>
      </c>
      <c r="F4807" s="783" t="s">
        <v>4011</v>
      </c>
      <c r="G4807" s="783" t="str">
        <f t="shared" si="258"/>
        <v>New Contract</v>
      </c>
      <c r="H4807" s="783" t="s">
        <v>4232</v>
      </c>
      <c r="I4807" s="783" t="s">
        <v>4233</v>
      </c>
      <c r="J4807" s="783">
        <v>25</v>
      </c>
      <c r="K4807" s="783" t="s">
        <v>356</v>
      </c>
      <c r="L4807" s="783" t="s">
        <v>4096</v>
      </c>
      <c r="M4807" s="784">
        <v>9429.33</v>
      </c>
      <c r="N4807" s="784">
        <v>12.23</v>
      </c>
      <c r="O4807" s="784">
        <v>2.57</v>
      </c>
      <c r="P4807" s="783">
        <v>300</v>
      </c>
      <c r="Q4807" s="783">
        <v>561.04999999999995</v>
      </c>
      <c r="R4807" s="783">
        <v>316.47000000000003</v>
      </c>
      <c r="S4807" s="783">
        <v>157.82</v>
      </c>
      <c r="T4807" s="783">
        <v>86.75</v>
      </c>
      <c r="U4807" s="785">
        <v>44713.630902777797</v>
      </c>
    </row>
    <row r="4808" spans="1:21">
      <c r="A4808" s="782">
        <v>44698</v>
      </c>
      <c r="B4808" s="783" t="s">
        <v>41</v>
      </c>
      <c r="C4808" s="783" t="s">
        <v>4071</v>
      </c>
      <c r="D4808" s="783" t="s">
        <v>4009</v>
      </c>
      <c r="E4808" s="783" t="s">
        <v>6495</v>
      </c>
      <c r="F4808" s="783" t="s">
        <v>4011</v>
      </c>
      <c r="G4808" s="783" t="str">
        <f t="shared" si="258"/>
        <v>Renewal (20% in 2020)</v>
      </c>
      <c r="H4808" s="783" t="s">
        <v>6496</v>
      </c>
      <c r="I4808" s="783" t="s">
        <v>6497</v>
      </c>
      <c r="J4808" s="783">
        <v>20</v>
      </c>
      <c r="K4808" s="783" t="s">
        <v>356</v>
      </c>
      <c r="L4808" s="783" t="s">
        <v>4096</v>
      </c>
      <c r="M4808" s="784">
        <v>10974.99</v>
      </c>
      <c r="N4808" s="784">
        <v>15.26</v>
      </c>
      <c r="O4808" s="784">
        <v>3.1</v>
      </c>
      <c r="P4808" s="783">
        <v>232</v>
      </c>
      <c r="Q4808" s="783">
        <v>847.27</v>
      </c>
      <c r="R4808" s="783">
        <v>512.53</v>
      </c>
      <c r="S4808" s="783">
        <v>75.73</v>
      </c>
      <c r="T4808" s="783">
        <v>259.01</v>
      </c>
      <c r="U4808" s="785">
        <v>44699.4859027778</v>
      </c>
    </row>
    <row r="4809" spans="1:21">
      <c r="A4809" s="782">
        <v>44698</v>
      </c>
      <c r="B4809" s="783" t="s">
        <v>74</v>
      </c>
      <c r="C4809" s="783" t="s">
        <v>4037</v>
      </c>
      <c r="D4809" s="783" t="s">
        <v>4038</v>
      </c>
      <c r="E4809" s="783" t="s">
        <v>4059</v>
      </c>
      <c r="F4809" s="783" t="s">
        <v>4011</v>
      </c>
      <c r="G4809" s="783" t="str">
        <f t="shared" si="258"/>
        <v>Renewal (25% in 2020)</v>
      </c>
      <c r="H4809" s="783" t="s">
        <v>4060</v>
      </c>
      <c r="I4809" s="783" t="s">
        <v>4061</v>
      </c>
      <c r="J4809" s="783">
        <v>25</v>
      </c>
      <c r="K4809" s="783" t="s">
        <v>356</v>
      </c>
      <c r="L4809" s="783" t="s">
        <v>4096</v>
      </c>
      <c r="M4809" s="784">
        <v>14436</v>
      </c>
      <c r="N4809" s="784">
        <v>20.05</v>
      </c>
      <c r="O4809" s="784">
        <v>4</v>
      </c>
      <c r="P4809" s="783">
        <v>180</v>
      </c>
      <c r="Q4809" s="783">
        <v>1185.2</v>
      </c>
      <c r="R4809" s="783">
        <v>811.3</v>
      </c>
      <c r="S4809" s="783">
        <v>129.91999999999999</v>
      </c>
      <c r="T4809" s="783">
        <v>243.97</v>
      </c>
      <c r="U4809" s="785">
        <v>44700.469907407401</v>
      </c>
    </row>
    <row r="4810" spans="1:21">
      <c r="A4810" s="782">
        <v>44630</v>
      </c>
      <c r="B4810" s="783" t="s">
        <v>41</v>
      </c>
      <c r="C4810" s="783" t="s">
        <v>4071</v>
      </c>
      <c r="D4810" s="783" t="s">
        <v>4009</v>
      </c>
      <c r="E4810" s="783" t="s">
        <v>6510</v>
      </c>
      <c r="F4810" s="783" t="s">
        <v>4011</v>
      </c>
      <c r="G4810" s="783" t="str">
        <f t="shared" si="258"/>
        <v>Renewal (30% in 2020)</v>
      </c>
      <c r="H4810" s="783" t="s">
        <v>6511</v>
      </c>
      <c r="I4810" s="783" t="s">
        <v>6512</v>
      </c>
      <c r="J4810" s="783">
        <v>25</v>
      </c>
      <c r="K4810" s="783" t="s">
        <v>356</v>
      </c>
      <c r="L4810" s="783" t="s">
        <v>4096</v>
      </c>
      <c r="M4810" s="784">
        <v>23158.75</v>
      </c>
      <c r="N4810" s="784">
        <v>43.03</v>
      </c>
      <c r="O4810" s="784">
        <v>2.0699999999999998</v>
      </c>
      <c r="P4810" s="783">
        <v>260</v>
      </c>
      <c r="Q4810" s="783">
        <v>1380.26</v>
      </c>
      <c r="R4810" s="783">
        <v>965.04</v>
      </c>
      <c r="S4810" s="783">
        <v>276.27</v>
      </c>
      <c r="T4810" s="783">
        <v>138.94999999999999</v>
      </c>
      <c r="U4810" s="785">
        <v>44631.631307870397</v>
      </c>
    </row>
    <row r="4811" spans="1:21">
      <c r="A4811" s="782">
        <v>44565</v>
      </c>
      <c r="B4811" s="783" t="s">
        <v>41</v>
      </c>
      <c r="C4811" s="783" t="s">
        <v>4071</v>
      </c>
      <c r="D4811" s="783" t="s">
        <v>4009</v>
      </c>
      <c r="E4811" s="783" t="s">
        <v>6516</v>
      </c>
      <c r="F4811" s="783" t="s">
        <v>4011</v>
      </c>
      <c r="G4811" s="783" t="str">
        <f t="shared" si="258"/>
        <v>Renewal (20% in 2020)</v>
      </c>
      <c r="H4811" s="783" t="s">
        <v>6517</v>
      </c>
      <c r="I4811" s="783" t="s">
        <v>6518</v>
      </c>
      <c r="J4811" s="783">
        <v>20</v>
      </c>
      <c r="K4811" s="783" t="s">
        <v>356</v>
      </c>
      <c r="L4811" s="783" t="s">
        <v>4096</v>
      </c>
      <c r="M4811" s="784">
        <v>8572.08</v>
      </c>
      <c r="N4811" s="784">
        <v>14.96</v>
      </c>
      <c r="O4811" s="784">
        <v>1.91</v>
      </c>
      <c r="P4811" s="783">
        <v>300</v>
      </c>
      <c r="Q4811" s="783">
        <v>661.76</v>
      </c>
      <c r="R4811" s="783">
        <v>309.58</v>
      </c>
      <c r="S4811" s="783">
        <v>149.88999999999999</v>
      </c>
      <c r="T4811" s="783">
        <v>202.3</v>
      </c>
      <c r="U4811" s="785">
        <v>44631.632777777799</v>
      </c>
    </row>
    <row r="4812" spans="1:21">
      <c r="A4812" s="782">
        <v>44551</v>
      </c>
      <c r="B4812" s="783" t="s">
        <v>74</v>
      </c>
      <c r="C4812" s="783" t="s">
        <v>4097</v>
      </c>
      <c r="D4812" s="783" t="s">
        <v>4038</v>
      </c>
      <c r="E4812" s="783" t="s">
        <v>6522</v>
      </c>
      <c r="F4812" s="783" t="s">
        <v>4011</v>
      </c>
      <c r="G4812" s="783" t="str">
        <f t="shared" si="258"/>
        <v>New contract</v>
      </c>
      <c r="H4812" s="783" t="s">
        <v>6523</v>
      </c>
      <c r="I4812" s="783" t="s">
        <v>6524</v>
      </c>
      <c r="J4812" s="783">
        <v>20</v>
      </c>
      <c r="K4812" s="783" t="s">
        <v>356</v>
      </c>
      <c r="L4812" s="783" t="s">
        <v>4096</v>
      </c>
      <c r="M4812" s="784">
        <v>3471</v>
      </c>
      <c r="N4812" s="784">
        <v>6.5</v>
      </c>
      <c r="O4812" s="784">
        <v>2.67</v>
      </c>
      <c r="P4812" s="783">
        <v>200</v>
      </c>
      <c r="Q4812" s="783">
        <v>306.83999999999997</v>
      </c>
      <c r="R4812" s="783">
        <v>173.9</v>
      </c>
      <c r="S4812" s="783">
        <v>27.07</v>
      </c>
      <c r="T4812" s="783">
        <v>105.87</v>
      </c>
      <c r="U4812" s="785">
        <v>44631.636874999997</v>
      </c>
    </row>
    <row r="4813" spans="1:21">
      <c r="A4813" s="782">
        <v>44409</v>
      </c>
      <c r="B4813" s="783" t="s">
        <v>41</v>
      </c>
      <c r="C4813" s="783" t="s">
        <v>4008</v>
      </c>
      <c r="D4813" s="783" t="s">
        <v>4009</v>
      </c>
      <c r="E4813" s="783" t="s">
        <v>4010</v>
      </c>
      <c r="F4813" s="783" t="s">
        <v>4011</v>
      </c>
      <c r="G4813" s="783" t="str">
        <f t="shared" si="258"/>
        <v>Renewal (25% in 2020)</v>
      </c>
      <c r="H4813" s="783" t="s">
        <v>4012</v>
      </c>
      <c r="I4813" s="783" t="s">
        <v>4013</v>
      </c>
      <c r="J4813" s="783">
        <v>25</v>
      </c>
      <c r="K4813" s="783" t="s">
        <v>7158</v>
      </c>
      <c r="L4813" s="783" t="s">
        <v>4096</v>
      </c>
      <c r="M4813" s="784">
        <v>6858.5</v>
      </c>
      <c r="N4813" s="784">
        <v>10</v>
      </c>
      <c r="O4813" s="784">
        <v>4.7300000000000004</v>
      </c>
      <c r="P4813" s="783">
        <v>145</v>
      </c>
      <c r="Q4813" s="783">
        <v>432.09</v>
      </c>
      <c r="R4813" s="783">
        <v>296.14</v>
      </c>
      <c r="S4813" s="783">
        <v>65.3</v>
      </c>
      <c r="T4813" s="783">
        <v>70.64</v>
      </c>
      <c r="U4813" s="785">
        <v>44631.509988425903</v>
      </c>
    </row>
    <row r="4814" spans="1:21">
      <c r="A4814" s="782">
        <v>44588</v>
      </c>
      <c r="B4814" s="783" t="s">
        <v>74</v>
      </c>
      <c r="C4814" s="783" t="s">
        <v>6308</v>
      </c>
      <c r="D4814" s="783" t="s">
        <v>4038</v>
      </c>
      <c r="E4814" s="783" t="s">
        <v>2504</v>
      </c>
      <c r="F4814" s="783" t="s">
        <v>4011</v>
      </c>
      <c r="G4814" s="783" t="str">
        <f t="shared" si="258"/>
        <v>Renewal (15% in 2020)</v>
      </c>
      <c r="H4814" s="783" t="s">
        <v>5027</v>
      </c>
      <c r="I4814" s="783" t="s">
        <v>5028</v>
      </c>
      <c r="J4814" s="783">
        <v>15</v>
      </c>
      <c r="K4814" s="783" t="s">
        <v>7158</v>
      </c>
      <c r="L4814" s="783" t="s">
        <v>4096</v>
      </c>
      <c r="M4814" s="784">
        <v>7200</v>
      </c>
      <c r="N4814" s="784">
        <v>9</v>
      </c>
      <c r="O4814" s="784">
        <v>5</v>
      </c>
      <c r="P4814" s="783">
        <v>160</v>
      </c>
      <c r="Q4814" s="783">
        <v>750.96</v>
      </c>
      <c r="R4814" s="783">
        <v>268.79000000000002</v>
      </c>
      <c r="S4814" s="783">
        <v>95.53</v>
      </c>
      <c r="T4814" s="783">
        <v>386.64</v>
      </c>
      <c r="U4814" s="785">
        <v>44631.636319444398</v>
      </c>
    </row>
    <row r="4815" spans="1:21">
      <c r="A4815" s="782">
        <v>44705</v>
      </c>
      <c r="B4815" s="783" t="s">
        <v>41</v>
      </c>
      <c r="C4815" s="783" t="s">
        <v>4139</v>
      </c>
      <c r="D4815" s="783" t="s">
        <v>4009</v>
      </c>
      <c r="E4815" s="783" t="s">
        <v>5090</v>
      </c>
      <c r="F4815" s="783" t="s">
        <v>4011</v>
      </c>
      <c r="G4815" s="783" t="str">
        <f t="shared" si="258"/>
        <v>Renewal (30% in 2020)</v>
      </c>
      <c r="H4815" s="783" t="s">
        <v>5091</v>
      </c>
      <c r="I4815" s="783" t="s">
        <v>5092</v>
      </c>
      <c r="J4815" s="783">
        <v>30</v>
      </c>
      <c r="K4815" s="783" t="s">
        <v>7158</v>
      </c>
      <c r="L4815" s="783" t="s">
        <v>4096</v>
      </c>
      <c r="M4815" s="784">
        <v>27780.5</v>
      </c>
      <c r="N4815" s="784">
        <v>23.54</v>
      </c>
      <c r="O4815" s="784">
        <v>6.63</v>
      </c>
      <c r="P4815" s="783">
        <v>178</v>
      </c>
      <c r="Q4815" s="783">
        <v>1611.27</v>
      </c>
      <c r="R4815" s="783">
        <v>1099.02</v>
      </c>
      <c r="S4815" s="783">
        <v>328.9</v>
      </c>
      <c r="T4815" s="783">
        <v>183.35</v>
      </c>
      <c r="U4815" s="785">
        <v>44708.953414351898</v>
      </c>
    </row>
    <row r="4816" spans="1:21">
      <c r="A4816" s="782">
        <v>44694</v>
      </c>
      <c r="B4816" s="783" t="s">
        <v>2866</v>
      </c>
      <c r="C4816" s="783" t="s">
        <v>4008</v>
      </c>
      <c r="D4816" s="783" t="s">
        <v>4009</v>
      </c>
      <c r="E4816" s="783" t="s">
        <v>5157</v>
      </c>
      <c r="F4816" s="783" t="s">
        <v>4011</v>
      </c>
      <c r="G4816" s="783" t="str">
        <f t="shared" si="258"/>
        <v>Renewal (15% in 2020)</v>
      </c>
      <c r="H4816" s="783" t="s">
        <v>5158</v>
      </c>
      <c r="I4816" s="783" t="s">
        <v>5159</v>
      </c>
      <c r="J4816" s="783">
        <v>15</v>
      </c>
      <c r="K4816" s="783" t="s">
        <v>7158</v>
      </c>
      <c r="L4816" s="783" t="s">
        <v>4096</v>
      </c>
      <c r="M4816" s="784">
        <v>13505.45</v>
      </c>
      <c r="N4816" s="784">
        <v>16.420000000000002</v>
      </c>
      <c r="O4816" s="784">
        <v>4.7</v>
      </c>
      <c r="P4816" s="783">
        <v>175</v>
      </c>
      <c r="Q4816" s="783">
        <v>1431.58</v>
      </c>
      <c r="R4816" s="783">
        <v>483.18</v>
      </c>
      <c r="S4816" s="783">
        <v>228.56</v>
      </c>
      <c r="T4816" s="783">
        <v>719.84</v>
      </c>
      <c r="U4816" s="785">
        <v>44694.529259259303</v>
      </c>
    </row>
    <row r="4817" spans="1:21">
      <c r="A4817" s="782">
        <v>44670</v>
      </c>
      <c r="B4817" s="783" t="s">
        <v>74</v>
      </c>
      <c r="C4817" s="783" t="s">
        <v>4037</v>
      </c>
      <c r="D4817" s="783" t="s">
        <v>4038</v>
      </c>
      <c r="E4817" s="783" t="s">
        <v>7149</v>
      </c>
      <c r="F4817" s="783" t="s">
        <v>4011</v>
      </c>
      <c r="G4817" s="783" t="str">
        <f t="shared" si="258"/>
        <v>New contract</v>
      </c>
      <c r="H4817" s="783" t="s">
        <v>7150</v>
      </c>
      <c r="I4817" s="783" t="s">
        <v>7151</v>
      </c>
      <c r="J4817" s="783">
        <v>15</v>
      </c>
      <c r="K4817" s="783" t="s">
        <v>7158</v>
      </c>
      <c r="L4817" s="783" t="s">
        <v>4096</v>
      </c>
      <c r="M4817" s="784">
        <v>5229</v>
      </c>
      <c r="N4817" s="784">
        <v>6.64</v>
      </c>
      <c r="O4817" s="784">
        <v>5.25</v>
      </c>
      <c r="P4817" s="783">
        <v>150</v>
      </c>
      <c r="Q4817" s="783">
        <v>672.97</v>
      </c>
      <c r="R4817" s="783">
        <v>255.51</v>
      </c>
      <c r="S4817" s="783">
        <v>68.69</v>
      </c>
      <c r="T4817" s="783">
        <v>348.77</v>
      </c>
      <c r="U4817" s="785">
        <v>44673.355497685203</v>
      </c>
    </row>
    <row r="4818" spans="1:21">
      <c r="A4818" s="782">
        <v>44529</v>
      </c>
      <c r="B4818" s="783" t="s">
        <v>41</v>
      </c>
      <c r="C4818" s="783" t="s">
        <v>4139</v>
      </c>
      <c r="D4818" s="783" t="s">
        <v>4009</v>
      </c>
      <c r="E4818" s="783" t="s">
        <v>4202</v>
      </c>
      <c r="F4818" s="783" t="s">
        <v>4011</v>
      </c>
      <c r="G4818" s="783" t="str">
        <f t="shared" si="258"/>
        <v>Renewal (15% in 2020)</v>
      </c>
      <c r="H4818" s="783" t="s">
        <v>4203</v>
      </c>
      <c r="I4818" s="783" t="s">
        <v>4204</v>
      </c>
      <c r="J4818" s="783">
        <v>15</v>
      </c>
      <c r="K4818" s="783" t="s">
        <v>7158</v>
      </c>
      <c r="L4818" s="783" t="s">
        <v>4096</v>
      </c>
      <c r="M4818" s="784">
        <v>27092.22</v>
      </c>
      <c r="N4818" s="784">
        <v>24.3</v>
      </c>
      <c r="O4818" s="784">
        <v>6.26</v>
      </c>
      <c r="P4818" s="783">
        <v>178.1</v>
      </c>
      <c r="Q4818" s="783">
        <v>3088.51</v>
      </c>
      <c r="R4818" s="783">
        <v>1071.18</v>
      </c>
      <c r="S4818" s="783">
        <v>524.54999999999995</v>
      </c>
      <c r="T4818" s="783">
        <v>1492.78</v>
      </c>
      <c r="U4818" s="785">
        <v>44631.632881944402</v>
      </c>
    </row>
    <row r="4819" spans="1:21">
      <c r="A4819" s="782">
        <v>44624</v>
      </c>
      <c r="B4819" s="783" t="s">
        <v>41</v>
      </c>
      <c r="C4819" s="783" t="s">
        <v>4008</v>
      </c>
      <c r="D4819" s="783" t="s">
        <v>4009</v>
      </c>
      <c r="E4819" s="783" t="s">
        <v>6188</v>
      </c>
      <c r="F4819" s="783" t="s">
        <v>4011</v>
      </c>
      <c r="G4819" s="783" t="str">
        <f t="shared" si="258"/>
        <v>Renewal (20% in 2020)</v>
      </c>
      <c r="H4819" s="783" t="s">
        <v>6189</v>
      </c>
      <c r="I4819" s="783" t="s">
        <v>6190</v>
      </c>
      <c r="J4819" s="783">
        <v>20</v>
      </c>
      <c r="K4819" s="783" t="s">
        <v>7158</v>
      </c>
      <c r="L4819" s="783" t="s">
        <v>4096</v>
      </c>
      <c r="M4819" s="784">
        <v>8943</v>
      </c>
      <c r="N4819" s="784">
        <v>10</v>
      </c>
      <c r="O4819" s="784">
        <v>5.42</v>
      </c>
      <c r="P4819" s="783">
        <v>165</v>
      </c>
      <c r="Q4819" s="783">
        <v>718.12</v>
      </c>
      <c r="R4819" s="783">
        <v>339.34</v>
      </c>
      <c r="S4819" s="783">
        <v>131.96</v>
      </c>
      <c r="T4819" s="783">
        <v>246.83</v>
      </c>
      <c r="U4819" s="785">
        <v>44631.638449074097</v>
      </c>
    </row>
    <row r="4820" spans="1:21">
      <c r="A4820" s="782">
        <v>44469</v>
      </c>
      <c r="B4820" s="783" t="s">
        <v>30</v>
      </c>
      <c r="C4820" s="783" t="s">
        <v>4089</v>
      </c>
      <c r="D4820" s="783" t="s">
        <v>4021</v>
      </c>
      <c r="E4820" s="783" t="s">
        <v>125</v>
      </c>
      <c r="F4820" s="783" t="s">
        <v>4011</v>
      </c>
      <c r="G4820" s="783" t="str">
        <f t="shared" si="258"/>
        <v>Renewal (15% in 2020)</v>
      </c>
      <c r="H4820" s="783" t="s">
        <v>6323</v>
      </c>
      <c r="I4820" s="783" t="s">
        <v>6324</v>
      </c>
      <c r="J4820" s="783">
        <v>15</v>
      </c>
      <c r="K4820" s="783" t="s">
        <v>7158</v>
      </c>
      <c r="L4820" s="783" t="s">
        <v>4096</v>
      </c>
      <c r="M4820" s="784">
        <v>18440.580000000002</v>
      </c>
      <c r="N4820" s="784">
        <v>15.15</v>
      </c>
      <c r="O4820" s="784">
        <v>7.16</v>
      </c>
      <c r="P4820" s="783">
        <v>170</v>
      </c>
      <c r="Q4820" s="783">
        <v>1849.59</v>
      </c>
      <c r="R4820" s="783">
        <v>649.41999999999996</v>
      </c>
      <c r="S4820" s="783">
        <v>281.83</v>
      </c>
      <c r="T4820" s="783">
        <v>918.34</v>
      </c>
      <c r="U4820" s="785">
        <v>44631.636736111097</v>
      </c>
    </row>
    <row r="4821" spans="1:21">
      <c r="A4821" s="782">
        <v>44581</v>
      </c>
      <c r="B4821" s="783" t="s">
        <v>30</v>
      </c>
      <c r="C4821" s="783" t="s">
        <v>4239</v>
      </c>
      <c r="D4821" s="783" t="s">
        <v>4021</v>
      </c>
      <c r="E4821" s="783" t="s">
        <v>6380</v>
      </c>
      <c r="F4821" s="783" t="s">
        <v>4011</v>
      </c>
      <c r="G4821" s="783" t="str">
        <f t="shared" si="258"/>
        <v>Renewal (15% in 2020)</v>
      </c>
      <c r="H4821" s="783" t="s">
        <v>6381</v>
      </c>
      <c r="I4821" s="783" t="s">
        <v>6382</v>
      </c>
      <c r="J4821" s="783">
        <v>15</v>
      </c>
      <c r="K4821" s="783" t="s">
        <v>7158</v>
      </c>
      <c r="L4821" s="783" t="s">
        <v>4096</v>
      </c>
      <c r="M4821" s="784">
        <v>20116.8</v>
      </c>
      <c r="N4821" s="784">
        <v>12.7</v>
      </c>
      <c r="O4821" s="784">
        <v>7.2</v>
      </c>
      <c r="P4821" s="783">
        <v>220</v>
      </c>
      <c r="Q4821" s="783">
        <v>1705.9</v>
      </c>
      <c r="R4821" s="783">
        <v>447.22</v>
      </c>
      <c r="S4821" s="783">
        <v>415.79</v>
      </c>
      <c r="T4821" s="783">
        <v>842.89</v>
      </c>
      <c r="U4821" s="785">
        <v>44631.6385532407</v>
      </c>
    </row>
    <row r="4822" spans="1:21">
      <c r="A4822" s="782">
        <v>44559</v>
      </c>
      <c r="B4822" s="783" t="s">
        <v>41</v>
      </c>
      <c r="C4822" s="783" t="s">
        <v>4139</v>
      </c>
      <c r="D4822" s="783" t="s">
        <v>4009</v>
      </c>
      <c r="E4822" s="783" t="s">
        <v>6412</v>
      </c>
      <c r="F4822" s="783" t="s">
        <v>4011</v>
      </c>
      <c r="G4822" s="783" t="str">
        <f t="shared" si="258"/>
        <v>Renewal (20% in 2020)</v>
      </c>
      <c r="H4822" s="783" t="s">
        <v>6413</v>
      </c>
      <c r="I4822" s="783" t="s">
        <v>6414</v>
      </c>
      <c r="J4822" s="783">
        <v>20</v>
      </c>
      <c r="K4822" s="783" t="s">
        <v>7158</v>
      </c>
      <c r="L4822" s="783" t="s">
        <v>4096</v>
      </c>
      <c r="M4822" s="784">
        <v>17605.98</v>
      </c>
      <c r="N4822" s="784">
        <v>15.7</v>
      </c>
      <c r="O4822" s="784">
        <v>6.3</v>
      </c>
      <c r="P4822" s="783">
        <v>178</v>
      </c>
      <c r="Q4822" s="783">
        <v>1498.27</v>
      </c>
      <c r="R4822" s="783">
        <v>696.5</v>
      </c>
      <c r="S4822" s="783">
        <v>340.49</v>
      </c>
      <c r="T4822" s="783">
        <v>461.28</v>
      </c>
      <c r="U4822" s="785">
        <v>44631.638437499998</v>
      </c>
    </row>
    <row r="4823" spans="1:21">
      <c r="A4823" s="782">
        <v>44690</v>
      </c>
      <c r="B4823" s="783" t="s">
        <v>41</v>
      </c>
      <c r="C4823" s="783" t="s">
        <v>4092</v>
      </c>
      <c r="D4823" s="783" t="s">
        <v>4009</v>
      </c>
      <c r="E4823" s="783" t="s">
        <v>7159</v>
      </c>
      <c r="F4823" s="783" t="s">
        <v>7160</v>
      </c>
      <c r="G4823" s="783" t="s">
        <v>4028</v>
      </c>
      <c r="H4823" s="783" t="s">
        <v>7161</v>
      </c>
      <c r="I4823" s="783" t="s">
        <v>7162</v>
      </c>
      <c r="J4823" s="783" t="s">
        <v>7163</v>
      </c>
      <c r="K4823" s="783" t="s">
        <v>7164</v>
      </c>
      <c r="L4823" s="783" t="s">
        <v>7165</v>
      </c>
      <c r="M4823" s="784">
        <v>39847.69</v>
      </c>
      <c r="N4823" s="784">
        <v>4.46</v>
      </c>
      <c r="O4823" s="784">
        <v>88.46</v>
      </c>
      <c r="P4823" s="783">
        <v>101</v>
      </c>
      <c r="Q4823" s="783">
        <v>2522.36</v>
      </c>
      <c r="R4823" s="783">
        <v>1737.36</v>
      </c>
      <c r="S4823" s="783">
        <v>243.07</v>
      </c>
      <c r="T4823" s="783">
        <v>541.92999999999995</v>
      </c>
      <c r="U4823" s="785">
        <v>44708.621909722198</v>
      </c>
    </row>
    <row r="4824" spans="1:21">
      <c r="A4824" s="782">
        <v>44690</v>
      </c>
      <c r="B4824" s="783" t="s">
        <v>41</v>
      </c>
      <c r="C4824" s="783" t="s">
        <v>4092</v>
      </c>
      <c r="D4824" s="783" t="s">
        <v>4009</v>
      </c>
      <c r="E4824" s="783" t="s">
        <v>7159</v>
      </c>
      <c r="F4824" s="783" t="s">
        <v>7160</v>
      </c>
      <c r="G4824" s="783" t="s">
        <v>4028</v>
      </c>
      <c r="H4824" s="783" t="s">
        <v>7161</v>
      </c>
      <c r="I4824" s="783" t="s">
        <v>7162</v>
      </c>
      <c r="J4824" s="783" t="s">
        <v>7163</v>
      </c>
      <c r="K4824" s="783" t="s">
        <v>7164</v>
      </c>
      <c r="L4824" s="783" t="s">
        <v>7165</v>
      </c>
      <c r="M4824" s="784">
        <v>42974.75</v>
      </c>
      <c r="N4824" s="784">
        <v>4.8099999999999996</v>
      </c>
      <c r="O4824" s="784">
        <v>88.46</v>
      </c>
      <c r="P4824" s="783">
        <v>101</v>
      </c>
      <c r="Q4824" s="783">
        <v>2720.3</v>
      </c>
      <c r="R4824" s="783">
        <v>1873.7</v>
      </c>
      <c r="S4824" s="783">
        <v>262.14999999999998</v>
      </c>
      <c r="T4824" s="783">
        <v>584.46</v>
      </c>
      <c r="U4824" s="785">
        <v>44708.621909722198</v>
      </c>
    </row>
    <row r="4825" spans="1:21">
      <c r="A4825" s="782">
        <v>44638</v>
      </c>
      <c r="B4825" s="783" t="s">
        <v>41</v>
      </c>
      <c r="C4825" s="783" t="s">
        <v>4092</v>
      </c>
      <c r="D4825" s="783" t="s">
        <v>4009</v>
      </c>
      <c r="E4825" s="783" t="s">
        <v>7166</v>
      </c>
      <c r="F4825" s="783" t="s">
        <v>7160</v>
      </c>
      <c r="G4825" s="783" t="s">
        <v>4028</v>
      </c>
      <c r="H4825" s="783" t="s">
        <v>7167</v>
      </c>
      <c r="I4825" s="783" t="s">
        <v>7168</v>
      </c>
      <c r="J4825" s="783" t="s">
        <v>7163</v>
      </c>
      <c r="K4825" s="783" t="s">
        <v>7164</v>
      </c>
      <c r="L4825" s="783" t="s">
        <v>7165</v>
      </c>
      <c r="M4825" s="784">
        <v>40325.22</v>
      </c>
      <c r="N4825" s="784">
        <v>2.12</v>
      </c>
      <c r="O4825" s="784">
        <v>188.33</v>
      </c>
      <c r="P4825" s="783">
        <v>101</v>
      </c>
      <c r="Q4825" s="783">
        <v>2552.59</v>
      </c>
      <c r="R4825" s="783">
        <v>1758.18</v>
      </c>
      <c r="S4825" s="783">
        <v>245.98</v>
      </c>
      <c r="T4825" s="783">
        <v>548.41999999999996</v>
      </c>
      <c r="U4825" s="785">
        <v>44638.500324074099</v>
      </c>
    </row>
    <row r="4826" spans="1:21">
      <c r="A4826" s="782">
        <v>44638</v>
      </c>
      <c r="B4826" s="783" t="s">
        <v>41</v>
      </c>
      <c r="C4826" s="783" t="s">
        <v>4092</v>
      </c>
      <c r="D4826" s="783" t="s">
        <v>4009</v>
      </c>
      <c r="E4826" s="783" t="s">
        <v>7166</v>
      </c>
      <c r="F4826" s="783" t="s">
        <v>7160</v>
      </c>
      <c r="G4826" s="783" t="s">
        <v>4028</v>
      </c>
      <c r="H4826" s="783" t="s">
        <v>7167</v>
      </c>
      <c r="I4826" s="783" t="s">
        <v>7168</v>
      </c>
      <c r="J4826" s="783" t="s">
        <v>7163</v>
      </c>
      <c r="K4826" s="783" t="s">
        <v>7164</v>
      </c>
      <c r="L4826" s="783" t="s">
        <v>7165</v>
      </c>
      <c r="M4826" s="784">
        <v>607350.56000000006</v>
      </c>
      <c r="N4826" s="784">
        <v>8.43</v>
      </c>
      <c r="O4826" s="784">
        <v>713.33</v>
      </c>
      <c r="P4826" s="783">
        <v>101</v>
      </c>
      <c r="Q4826" s="783">
        <v>38445.29</v>
      </c>
      <c r="R4826" s="783">
        <v>26480.48</v>
      </c>
      <c r="S4826" s="783">
        <v>3704.84</v>
      </c>
      <c r="T4826" s="783">
        <v>8259.9699999999993</v>
      </c>
      <c r="U4826" s="785">
        <v>44638.500324074099</v>
      </c>
    </row>
    <row r="4827" spans="1:21">
      <c r="A4827" s="782">
        <v>44638</v>
      </c>
      <c r="B4827" s="783" t="s">
        <v>41</v>
      </c>
      <c r="C4827" s="783" t="s">
        <v>4092</v>
      </c>
      <c r="D4827" s="783" t="s">
        <v>4009</v>
      </c>
      <c r="E4827" s="783" t="s">
        <v>7166</v>
      </c>
      <c r="F4827" s="783" t="s">
        <v>7160</v>
      </c>
      <c r="G4827" s="783" t="s">
        <v>4028</v>
      </c>
      <c r="H4827" s="783" t="s">
        <v>7167</v>
      </c>
      <c r="I4827" s="783" t="s">
        <v>7168</v>
      </c>
      <c r="J4827" s="783" t="s">
        <v>7163</v>
      </c>
      <c r="K4827" s="783" t="s">
        <v>7164</v>
      </c>
      <c r="L4827" s="783" t="s">
        <v>7165</v>
      </c>
      <c r="M4827" s="784">
        <v>237308.47</v>
      </c>
      <c r="N4827" s="784">
        <v>5.68</v>
      </c>
      <c r="O4827" s="784">
        <v>413.66</v>
      </c>
      <c r="P4827" s="783">
        <v>101</v>
      </c>
      <c r="Q4827" s="783">
        <v>15021.63</v>
      </c>
      <c r="R4827" s="783">
        <v>10346.65</v>
      </c>
      <c r="S4827" s="783">
        <v>1447.58</v>
      </c>
      <c r="T4827" s="783">
        <v>3227.4</v>
      </c>
      <c r="U4827" s="785">
        <v>44638.500324074099</v>
      </c>
    </row>
    <row r="4828" spans="1:21">
      <c r="A4828" s="782">
        <v>44638</v>
      </c>
      <c r="B4828" s="783" t="s">
        <v>41</v>
      </c>
      <c r="C4828" s="783" t="s">
        <v>4092</v>
      </c>
      <c r="D4828" s="783" t="s">
        <v>4009</v>
      </c>
      <c r="E4828" s="783" t="s">
        <v>7166</v>
      </c>
      <c r="F4828" s="783" t="s">
        <v>7160</v>
      </c>
      <c r="G4828" s="783" t="s">
        <v>4028</v>
      </c>
      <c r="H4828" s="783" t="s">
        <v>7167</v>
      </c>
      <c r="I4828" s="783" t="s">
        <v>7168</v>
      </c>
      <c r="J4828" s="783" t="s">
        <v>7163</v>
      </c>
      <c r="K4828" s="783" t="s">
        <v>7164</v>
      </c>
      <c r="L4828" s="783" t="s">
        <v>7165</v>
      </c>
      <c r="M4828" s="784">
        <v>16111.66</v>
      </c>
      <c r="N4828" s="784">
        <v>1.29</v>
      </c>
      <c r="O4828" s="784">
        <v>123.66</v>
      </c>
      <c r="P4828" s="783">
        <v>101</v>
      </c>
      <c r="Q4828" s="783">
        <v>1019.87</v>
      </c>
      <c r="R4828" s="783">
        <v>702.47</v>
      </c>
      <c r="S4828" s="783">
        <v>98.28</v>
      </c>
      <c r="T4828" s="783">
        <v>219.12</v>
      </c>
      <c r="U4828" s="785">
        <v>44638.500324074099</v>
      </c>
    </row>
    <row r="4829" spans="1:21">
      <c r="A4829" s="782">
        <v>44618</v>
      </c>
      <c r="B4829" s="783" t="s">
        <v>2617</v>
      </c>
      <c r="C4829" s="783" t="s">
        <v>7169</v>
      </c>
      <c r="D4829" s="783" t="s">
        <v>4038</v>
      </c>
      <c r="E4829" s="783" t="s">
        <v>7170</v>
      </c>
      <c r="F4829" s="783" t="s">
        <v>7160</v>
      </c>
      <c r="G4829" s="783" t="s">
        <v>4028</v>
      </c>
      <c r="H4829" s="783" t="s">
        <v>7171</v>
      </c>
      <c r="I4829" s="783" t="s">
        <v>7172</v>
      </c>
      <c r="J4829" s="783" t="s">
        <v>7163</v>
      </c>
      <c r="K4829" s="783" t="s">
        <v>7164</v>
      </c>
      <c r="L4829" s="783" t="s">
        <v>7165</v>
      </c>
      <c r="M4829" s="784">
        <v>65747.75</v>
      </c>
      <c r="N4829" s="784">
        <v>11.59</v>
      </c>
      <c r="O4829" s="784">
        <v>81.040000000000006</v>
      </c>
      <c r="P4829" s="783">
        <v>70</v>
      </c>
      <c r="Q4829" s="783">
        <v>3616.13</v>
      </c>
      <c r="R4829" s="783">
        <v>2163.1</v>
      </c>
      <c r="S4829" s="783">
        <v>276.14</v>
      </c>
      <c r="T4829" s="783">
        <v>1176.8800000000001</v>
      </c>
      <c r="U4829" s="785">
        <v>44631.626354166699</v>
      </c>
    </row>
    <row r="4830" spans="1:21">
      <c r="A4830" s="782">
        <v>44618</v>
      </c>
      <c r="B4830" s="783" t="s">
        <v>2617</v>
      </c>
      <c r="C4830" s="783" t="s">
        <v>7169</v>
      </c>
      <c r="D4830" s="783" t="s">
        <v>4038</v>
      </c>
      <c r="E4830" s="783" t="s">
        <v>7170</v>
      </c>
      <c r="F4830" s="783" t="s">
        <v>7160</v>
      </c>
      <c r="G4830" s="783" t="s">
        <v>4028</v>
      </c>
      <c r="H4830" s="783" t="s">
        <v>7171</v>
      </c>
      <c r="I4830" s="783" t="s">
        <v>7172</v>
      </c>
      <c r="J4830" s="783" t="s">
        <v>7163</v>
      </c>
      <c r="K4830" s="783" t="s">
        <v>7164</v>
      </c>
      <c r="L4830" s="783" t="s">
        <v>7165</v>
      </c>
      <c r="M4830" s="784">
        <v>17165.82</v>
      </c>
      <c r="N4830" s="784">
        <v>4.16</v>
      </c>
      <c r="O4830" s="784">
        <v>51.58</v>
      </c>
      <c r="P4830" s="783">
        <v>80</v>
      </c>
      <c r="Q4830" s="783">
        <v>944.12</v>
      </c>
      <c r="R4830" s="783">
        <v>564.76</v>
      </c>
      <c r="S4830" s="783">
        <v>72.099999999999994</v>
      </c>
      <c r="T4830" s="783">
        <v>307.27</v>
      </c>
      <c r="U4830" s="785">
        <v>44631.626354166699</v>
      </c>
    </row>
    <row r="4831" spans="1:21">
      <c r="A4831" s="782">
        <v>44618</v>
      </c>
      <c r="B4831" s="783" t="s">
        <v>41</v>
      </c>
      <c r="C4831" s="783" t="s">
        <v>4082</v>
      </c>
      <c r="D4831" s="783" t="s">
        <v>4009</v>
      </c>
      <c r="E4831" s="783" t="s">
        <v>7173</v>
      </c>
      <c r="F4831" s="783" t="s">
        <v>7160</v>
      </c>
      <c r="G4831" s="783" t="s">
        <v>4028</v>
      </c>
      <c r="H4831" s="783" t="s">
        <v>7174</v>
      </c>
      <c r="I4831" s="783" t="s">
        <v>7175</v>
      </c>
      <c r="J4831" s="783" t="s">
        <v>7163</v>
      </c>
      <c r="K4831" s="783" t="s">
        <v>7164</v>
      </c>
      <c r="L4831" s="783" t="s">
        <v>7165</v>
      </c>
      <c r="M4831" s="784">
        <v>22622.67</v>
      </c>
      <c r="N4831" s="784">
        <v>2.41</v>
      </c>
      <c r="O4831" s="784">
        <v>93.87</v>
      </c>
      <c r="P4831" s="783">
        <v>100</v>
      </c>
      <c r="Q4831" s="783">
        <v>1719.32</v>
      </c>
      <c r="R4831" s="783">
        <v>1189.95</v>
      </c>
      <c r="S4831" s="783">
        <v>169.67</v>
      </c>
      <c r="T4831" s="783">
        <v>359.7</v>
      </c>
      <c r="U4831" s="785">
        <v>44631.626388888901</v>
      </c>
    </row>
    <row r="4832" spans="1:21">
      <c r="A4832" s="782">
        <v>44618</v>
      </c>
      <c r="B4832" s="783" t="s">
        <v>41</v>
      </c>
      <c r="C4832" s="783" t="s">
        <v>4082</v>
      </c>
      <c r="D4832" s="783" t="s">
        <v>4009</v>
      </c>
      <c r="E4832" s="783" t="s">
        <v>7173</v>
      </c>
      <c r="F4832" s="783" t="s">
        <v>7160</v>
      </c>
      <c r="G4832" s="783" t="s">
        <v>4028</v>
      </c>
      <c r="H4832" s="783" t="s">
        <v>7174</v>
      </c>
      <c r="I4832" s="783" t="s">
        <v>7175</v>
      </c>
      <c r="J4832" s="783" t="s">
        <v>7163</v>
      </c>
      <c r="K4832" s="783" t="s">
        <v>7164</v>
      </c>
      <c r="L4832" s="783" t="s">
        <v>7165</v>
      </c>
      <c r="M4832" s="784">
        <v>1469.1</v>
      </c>
      <c r="N4832" s="784">
        <v>0.15</v>
      </c>
      <c r="O4832" s="784">
        <v>59</v>
      </c>
      <c r="P4832" s="783">
        <v>166</v>
      </c>
      <c r="Q4832" s="783">
        <v>111.65</v>
      </c>
      <c r="R4832" s="783">
        <v>77.27</v>
      </c>
      <c r="S4832" s="783">
        <v>11.02</v>
      </c>
      <c r="T4832" s="783">
        <v>23.36</v>
      </c>
      <c r="U4832" s="785">
        <v>44631.626388888901</v>
      </c>
    </row>
    <row r="4833" spans="1:21">
      <c r="A4833" s="782">
        <v>44618</v>
      </c>
      <c r="B4833" s="783" t="s">
        <v>41</v>
      </c>
      <c r="C4833" s="783" t="s">
        <v>4082</v>
      </c>
      <c r="D4833" s="783" t="s">
        <v>4009</v>
      </c>
      <c r="E4833" s="783" t="s">
        <v>7173</v>
      </c>
      <c r="F4833" s="783" t="s">
        <v>7160</v>
      </c>
      <c r="G4833" s="783" t="s">
        <v>4028</v>
      </c>
      <c r="H4833" s="783" t="s">
        <v>7174</v>
      </c>
      <c r="I4833" s="783" t="s">
        <v>7175</v>
      </c>
      <c r="J4833" s="783" t="s">
        <v>7163</v>
      </c>
      <c r="K4833" s="783" t="s">
        <v>7164</v>
      </c>
      <c r="L4833" s="783" t="s">
        <v>7165</v>
      </c>
      <c r="M4833" s="784">
        <v>9304.2999999999993</v>
      </c>
      <c r="N4833" s="784">
        <v>0.95</v>
      </c>
      <c r="O4833" s="784">
        <v>59</v>
      </c>
      <c r="P4833" s="783">
        <v>166</v>
      </c>
      <c r="Q4833" s="783">
        <v>707.13</v>
      </c>
      <c r="R4833" s="783">
        <v>489.41</v>
      </c>
      <c r="S4833" s="783">
        <v>69.78</v>
      </c>
      <c r="T4833" s="783">
        <v>147.94</v>
      </c>
      <c r="U4833" s="785">
        <v>44631.626388888901</v>
      </c>
    </row>
    <row r="4834" spans="1:21">
      <c r="A4834" s="782">
        <v>44618</v>
      </c>
      <c r="B4834" s="783" t="s">
        <v>41</v>
      </c>
      <c r="C4834" s="783" t="s">
        <v>4082</v>
      </c>
      <c r="D4834" s="783" t="s">
        <v>4009</v>
      </c>
      <c r="E4834" s="783" t="s">
        <v>7173</v>
      </c>
      <c r="F4834" s="783" t="s">
        <v>7160</v>
      </c>
      <c r="G4834" s="783" t="s">
        <v>4028</v>
      </c>
      <c r="H4834" s="783" t="s">
        <v>7174</v>
      </c>
      <c r="I4834" s="783" t="s">
        <v>7175</v>
      </c>
      <c r="J4834" s="783" t="s">
        <v>7163</v>
      </c>
      <c r="K4834" s="783" t="s">
        <v>7164</v>
      </c>
      <c r="L4834" s="783" t="s">
        <v>7165</v>
      </c>
      <c r="M4834" s="784">
        <v>76504.05</v>
      </c>
      <c r="N4834" s="784">
        <v>8.15</v>
      </c>
      <c r="O4834" s="784">
        <v>93.87</v>
      </c>
      <c r="P4834" s="783">
        <v>100</v>
      </c>
      <c r="Q4834" s="783">
        <v>5814.31</v>
      </c>
      <c r="R4834" s="783">
        <v>4024.11</v>
      </c>
      <c r="S4834" s="783">
        <v>573.78</v>
      </c>
      <c r="T4834" s="783">
        <v>1216.4100000000001</v>
      </c>
      <c r="U4834" s="785">
        <v>44631.626388888901</v>
      </c>
    </row>
    <row r="4835" spans="1:21">
      <c r="A4835" s="782">
        <v>44617</v>
      </c>
      <c r="B4835" s="783" t="s">
        <v>2617</v>
      </c>
      <c r="C4835" s="783" t="s">
        <v>7169</v>
      </c>
      <c r="D4835" s="783" t="s">
        <v>4038</v>
      </c>
      <c r="E4835" s="783" t="s">
        <v>7176</v>
      </c>
      <c r="F4835" s="783" t="s">
        <v>7160</v>
      </c>
      <c r="G4835" s="783" t="s">
        <v>4028</v>
      </c>
      <c r="H4835" s="783" t="s">
        <v>7177</v>
      </c>
      <c r="I4835" s="783" t="s">
        <v>7178</v>
      </c>
      <c r="J4835" s="783">
        <v>25</v>
      </c>
      <c r="K4835" s="783" t="s">
        <v>7164</v>
      </c>
      <c r="L4835" s="783" t="s">
        <v>7165</v>
      </c>
      <c r="M4835" s="784">
        <v>61939.33</v>
      </c>
      <c r="N4835" s="784">
        <v>10.36</v>
      </c>
      <c r="O4835" s="784">
        <v>66.430000000000007</v>
      </c>
      <c r="P4835" s="783">
        <v>90</v>
      </c>
      <c r="Q4835" s="783">
        <v>2867.79</v>
      </c>
      <c r="R4835" s="783">
        <v>2037.8</v>
      </c>
      <c r="S4835" s="783">
        <v>260.14999999999998</v>
      </c>
      <c r="T4835" s="783">
        <v>569.84</v>
      </c>
      <c r="U4835" s="785">
        <v>44631.626585648097</v>
      </c>
    </row>
    <row r="4836" spans="1:21">
      <c r="A4836" s="782">
        <v>44617</v>
      </c>
      <c r="B4836" s="783" t="s">
        <v>2617</v>
      </c>
      <c r="C4836" s="783" t="s">
        <v>7169</v>
      </c>
      <c r="D4836" s="783" t="s">
        <v>4038</v>
      </c>
      <c r="E4836" s="783" t="s">
        <v>7176</v>
      </c>
      <c r="F4836" s="783" t="s">
        <v>7160</v>
      </c>
      <c r="G4836" s="783" t="s">
        <v>4028</v>
      </c>
      <c r="H4836" s="783" t="s">
        <v>7177</v>
      </c>
      <c r="I4836" s="783" t="s">
        <v>7178</v>
      </c>
      <c r="J4836" s="783">
        <v>25</v>
      </c>
      <c r="K4836" s="783" t="s">
        <v>7164</v>
      </c>
      <c r="L4836" s="783" t="s">
        <v>7165</v>
      </c>
      <c r="M4836" s="784">
        <v>25761.55</v>
      </c>
      <c r="N4836" s="784">
        <v>2.77</v>
      </c>
      <c r="O4836" s="784">
        <v>66.430000000000007</v>
      </c>
      <c r="P4836" s="783">
        <v>140</v>
      </c>
      <c r="Q4836" s="783">
        <v>1192.76</v>
      </c>
      <c r="R4836" s="783">
        <v>671.99</v>
      </c>
      <c r="S4836" s="783">
        <v>283.76</v>
      </c>
      <c r="T4836" s="783">
        <v>237.01</v>
      </c>
      <c r="U4836" s="785">
        <v>44631.626585648097</v>
      </c>
    </row>
    <row r="4837" spans="1:21">
      <c r="A4837" s="782">
        <v>44620</v>
      </c>
      <c r="B4837" s="783" t="s">
        <v>41</v>
      </c>
      <c r="C4837" s="783" t="s">
        <v>4092</v>
      </c>
      <c r="D4837" s="783" t="s">
        <v>4009</v>
      </c>
      <c r="E4837" s="783" t="s">
        <v>2379</v>
      </c>
      <c r="F4837" s="783" t="s">
        <v>7160</v>
      </c>
      <c r="G4837" s="783" t="s">
        <v>4028</v>
      </c>
      <c r="H4837" s="783" t="s">
        <v>7179</v>
      </c>
      <c r="I4837" s="783" t="s">
        <v>7180</v>
      </c>
      <c r="J4837" s="783" t="s">
        <v>7163</v>
      </c>
      <c r="K4837" s="783" t="s">
        <v>7164</v>
      </c>
      <c r="L4837" s="783" t="s">
        <v>7165</v>
      </c>
      <c r="M4837" s="784">
        <v>9997.59</v>
      </c>
      <c r="N4837" s="784">
        <v>0.86</v>
      </c>
      <c r="O4837" s="784">
        <v>115.1</v>
      </c>
      <c r="P4837" s="783">
        <v>101</v>
      </c>
      <c r="Q4837" s="783">
        <v>632.85</v>
      </c>
      <c r="R4837" s="783">
        <v>435.89</v>
      </c>
      <c r="S4837" s="783">
        <v>60.99</v>
      </c>
      <c r="T4837" s="783">
        <v>135.97</v>
      </c>
      <c r="U4837" s="785">
        <v>44631.626412037003</v>
      </c>
    </row>
    <row r="4838" spans="1:21">
      <c r="A4838" s="782">
        <v>44620</v>
      </c>
      <c r="B4838" s="783" t="s">
        <v>41</v>
      </c>
      <c r="C4838" s="783" t="s">
        <v>4092</v>
      </c>
      <c r="D4838" s="783" t="s">
        <v>4009</v>
      </c>
      <c r="E4838" s="783" t="s">
        <v>2379</v>
      </c>
      <c r="F4838" s="783" t="s">
        <v>7160</v>
      </c>
      <c r="G4838" s="783" t="s">
        <v>4028</v>
      </c>
      <c r="H4838" s="783" t="s">
        <v>7179</v>
      </c>
      <c r="I4838" s="783" t="s">
        <v>7180</v>
      </c>
      <c r="J4838" s="783" t="s">
        <v>7163</v>
      </c>
      <c r="K4838" s="783" t="s">
        <v>7164</v>
      </c>
      <c r="L4838" s="783" t="s">
        <v>7165</v>
      </c>
      <c r="M4838" s="784">
        <v>133223.65</v>
      </c>
      <c r="N4838" s="784">
        <v>11.46</v>
      </c>
      <c r="O4838" s="784">
        <v>115.1</v>
      </c>
      <c r="P4838" s="783">
        <v>101</v>
      </c>
      <c r="Q4838" s="783">
        <v>8433.06</v>
      </c>
      <c r="R4838" s="783">
        <v>5808.55</v>
      </c>
      <c r="S4838" s="783">
        <v>812.66</v>
      </c>
      <c r="T4838" s="783">
        <v>1811.84</v>
      </c>
      <c r="U4838" s="785">
        <v>44631.626412037003</v>
      </c>
    </row>
    <row r="4839" spans="1:21">
      <c r="A4839" s="782">
        <v>44640</v>
      </c>
      <c r="B4839" s="783" t="s">
        <v>2617</v>
      </c>
      <c r="C4839" s="783" t="s">
        <v>7169</v>
      </c>
      <c r="D4839" s="783" t="s">
        <v>4038</v>
      </c>
      <c r="E4839" s="783" t="s">
        <v>7181</v>
      </c>
      <c r="F4839" s="783" t="s">
        <v>7160</v>
      </c>
      <c r="G4839" s="783" t="s">
        <v>4028</v>
      </c>
      <c r="H4839" s="783" t="s">
        <v>7182</v>
      </c>
      <c r="I4839" s="783" t="s">
        <v>7183</v>
      </c>
      <c r="J4839" s="783" t="s">
        <v>7163</v>
      </c>
      <c r="K4839" s="783" t="s">
        <v>7164</v>
      </c>
      <c r="L4839" s="783" t="s">
        <v>7165</v>
      </c>
      <c r="M4839" s="784">
        <v>29522.01</v>
      </c>
      <c r="N4839" s="784">
        <v>10.49</v>
      </c>
      <c r="O4839" s="784">
        <v>93.81</v>
      </c>
      <c r="P4839" s="783">
        <v>30</v>
      </c>
      <c r="Q4839" s="783">
        <v>1623.71</v>
      </c>
      <c r="R4839" s="783">
        <v>971.27</v>
      </c>
      <c r="S4839" s="783">
        <v>123.99</v>
      </c>
      <c r="T4839" s="783">
        <v>528.44000000000005</v>
      </c>
      <c r="U4839" s="785">
        <v>44645.469641203701</v>
      </c>
    </row>
    <row r="4840" spans="1:21">
      <c r="A4840" s="782">
        <v>44640</v>
      </c>
      <c r="B4840" s="783" t="s">
        <v>2617</v>
      </c>
      <c r="C4840" s="783" t="s">
        <v>7169</v>
      </c>
      <c r="D4840" s="783" t="s">
        <v>4038</v>
      </c>
      <c r="E4840" s="783" t="s">
        <v>7181</v>
      </c>
      <c r="F4840" s="783" t="s">
        <v>7160</v>
      </c>
      <c r="G4840" s="783" t="s">
        <v>4028</v>
      </c>
      <c r="H4840" s="783" t="s">
        <v>7182</v>
      </c>
      <c r="I4840" s="783" t="s">
        <v>7183</v>
      </c>
      <c r="J4840" s="783" t="s">
        <v>7163</v>
      </c>
      <c r="K4840" s="783" t="s">
        <v>7164</v>
      </c>
      <c r="L4840" s="783" t="s">
        <v>7165</v>
      </c>
      <c r="M4840" s="784">
        <v>38849.360000000001</v>
      </c>
      <c r="N4840" s="784">
        <v>10.48</v>
      </c>
      <c r="O4840" s="784">
        <v>74.14</v>
      </c>
      <c r="P4840" s="783">
        <v>50</v>
      </c>
      <c r="Q4840" s="783">
        <v>2136.71</v>
      </c>
      <c r="R4840" s="783">
        <v>1278.1400000000001</v>
      </c>
      <c r="S4840" s="783">
        <v>163.16999999999999</v>
      </c>
      <c r="T4840" s="783">
        <v>695.4</v>
      </c>
      <c r="U4840" s="785">
        <v>44645.469641203701</v>
      </c>
    </row>
    <row r="4841" spans="1:21">
      <c r="A4841" s="782">
        <v>44705</v>
      </c>
      <c r="B4841" s="783" t="s">
        <v>65</v>
      </c>
      <c r="C4841" s="783" t="s">
        <v>5313</v>
      </c>
      <c r="D4841" s="783" t="s">
        <v>4009</v>
      </c>
      <c r="E4841" s="783" t="s">
        <v>7184</v>
      </c>
      <c r="F4841" s="783" t="s">
        <v>7160</v>
      </c>
      <c r="G4841" s="783" t="s">
        <v>4028</v>
      </c>
      <c r="H4841" s="783" t="s">
        <v>7185</v>
      </c>
      <c r="I4841" s="783" t="s">
        <v>7186</v>
      </c>
      <c r="J4841" s="783">
        <v>25</v>
      </c>
      <c r="K4841" s="783" t="s">
        <v>7164</v>
      </c>
      <c r="L4841" s="783" t="s">
        <v>7165</v>
      </c>
      <c r="M4841" s="784">
        <v>400154.66</v>
      </c>
      <c r="N4841" s="784">
        <v>82.68</v>
      </c>
      <c r="O4841" s="784">
        <v>34.57</v>
      </c>
      <c r="P4841" s="783">
        <v>140</v>
      </c>
      <c r="Q4841" s="783">
        <v>21808.43</v>
      </c>
      <c r="R4841" s="783">
        <v>16926.54</v>
      </c>
      <c r="S4841" s="783">
        <v>2120.8200000000002</v>
      </c>
      <c r="T4841" s="783">
        <v>2761.07</v>
      </c>
      <c r="U4841" s="785">
        <v>44708.976122685199</v>
      </c>
    </row>
    <row r="4842" spans="1:21">
      <c r="A4842" s="782">
        <v>44705</v>
      </c>
      <c r="B4842" s="783" t="s">
        <v>65</v>
      </c>
      <c r="C4842" s="783" t="s">
        <v>5313</v>
      </c>
      <c r="D4842" s="783" t="s">
        <v>4009</v>
      </c>
      <c r="E4842" s="783" t="s">
        <v>7184</v>
      </c>
      <c r="F4842" s="783" t="s">
        <v>7160</v>
      </c>
      <c r="G4842" s="783" t="s">
        <v>4028</v>
      </c>
      <c r="H4842" s="783" t="s">
        <v>7185</v>
      </c>
      <c r="I4842" s="783" t="s">
        <v>7186</v>
      </c>
      <c r="J4842" s="783">
        <v>25</v>
      </c>
      <c r="K4842" s="783" t="s">
        <v>7164</v>
      </c>
      <c r="L4842" s="783" t="s">
        <v>7165</v>
      </c>
      <c r="M4842" s="784">
        <v>14751.73</v>
      </c>
      <c r="N4842" s="784">
        <v>5.63</v>
      </c>
      <c r="O4842" s="784">
        <v>23.82</v>
      </c>
      <c r="P4842" s="783">
        <v>110</v>
      </c>
      <c r="Q4842" s="783">
        <v>803.97</v>
      </c>
      <c r="R4842" s="783">
        <v>624</v>
      </c>
      <c r="S4842" s="783">
        <v>78.180000000000007</v>
      </c>
      <c r="T4842" s="783">
        <v>101.79</v>
      </c>
      <c r="U4842" s="785">
        <v>44708.976122685199</v>
      </c>
    </row>
    <row r="4843" spans="1:21">
      <c r="A4843" s="782">
        <v>44536</v>
      </c>
      <c r="B4843" s="783" t="s">
        <v>65</v>
      </c>
      <c r="C4843" s="783" t="s">
        <v>4052</v>
      </c>
      <c r="D4843" s="783" t="s">
        <v>4021</v>
      </c>
      <c r="E4843" s="783" t="s">
        <v>7187</v>
      </c>
      <c r="F4843" s="783" t="s">
        <v>7160</v>
      </c>
      <c r="G4843" s="783" t="s">
        <v>4028</v>
      </c>
      <c r="H4843" s="783" t="s">
        <v>7188</v>
      </c>
      <c r="I4843" s="783" t="s">
        <v>7189</v>
      </c>
      <c r="J4843" s="783" t="s">
        <v>7163</v>
      </c>
      <c r="K4843" s="783" t="s">
        <v>7164</v>
      </c>
      <c r="L4843" s="783" t="s">
        <v>7165</v>
      </c>
      <c r="M4843" s="784">
        <v>1124268.53</v>
      </c>
      <c r="N4843" s="784">
        <v>28.12</v>
      </c>
      <c r="O4843" s="784">
        <v>48.17</v>
      </c>
      <c r="P4843" s="783">
        <v>830</v>
      </c>
      <c r="Q4843" s="783">
        <v>70154.36</v>
      </c>
      <c r="R4843" s="783">
        <v>20586.849999999999</v>
      </c>
      <c r="S4843" s="783">
        <v>31354.36</v>
      </c>
      <c r="T4843" s="783">
        <v>18213.150000000001</v>
      </c>
      <c r="U4843" s="785">
        <v>44631.511770833298</v>
      </c>
    </row>
    <row r="4844" spans="1:21">
      <c r="A4844" s="782">
        <v>44536</v>
      </c>
      <c r="B4844" s="783" t="s">
        <v>65</v>
      </c>
      <c r="C4844" s="783" t="s">
        <v>4052</v>
      </c>
      <c r="D4844" s="783" t="s">
        <v>4021</v>
      </c>
      <c r="E4844" s="783" t="s">
        <v>7187</v>
      </c>
      <c r="F4844" s="783" t="s">
        <v>7160</v>
      </c>
      <c r="G4844" s="783" t="s">
        <v>4028</v>
      </c>
      <c r="H4844" s="783" t="s">
        <v>7188</v>
      </c>
      <c r="I4844" s="783" t="s">
        <v>7189</v>
      </c>
      <c r="J4844" s="783" t="s">
        <v>7163</v>
      </c>
      <c r="K4844" s="783" t="s">
        <v>7164</v>
      </c>
      <c r="L4844" s="783" t="s">
        <v>7165</v>
      </c>
      <c r="M4844" s="784">
        <v>2981523.77</v>
      </c>
      <c r="N4844" s="784">
        <v>134.66999999999999</v>
      </c>
      <c r="O4844" s="784">
        <v>30.04</v>
      </c>
      <c r="P4844" s="783">
        <v>737</v>
      </c>
      <c r="Q4844" s="783">
        <v>186047.08</v>
      </c>
      <c r="R4844" s="783">
        <v>59647.06</v>
      </c>
      <c r="S4844" s="783">
        <v>78099.34</v>
      </c>
      <c r="T4844" s="783">
        <v>48300.69</v>
      </c>
      <c r="U4844" s="785">
        <v>44631.511770833298</v>
      </c>
    </row>
    <row r="4845" spans="1:21">
      <c r="A4845" s="782">
        <v>44536</v>
      </c>
      <c r="B4845" s="783" t="s">
        <v>65</v>
      </c>
      <c r="C4845" s="783" t="s">
        <v>4052</v>
      </c>
      <c r="D4845" s="783" t="s">
        <v>4021</v>
      </c>
      <c r="E4845" s="783" t="s">
        <v>7187</v>
      </c>
      <c r="F4845" s="783" t="s">
        <v>7160</v>
      </c>
      <c r="G4845" s="783" t="s">
        <v>4028</v>
      </c>
      <c r="H4845" s="783" t="s">
        <v>7188</v>
      </c>
      <c r="I4845" s="783" t="s">
        <v>7189</v>
      </c>
      <c r="J4845" s="783" t="s">
        <v>7163</v>
      </c>
      <c r="K4845" s="783" t="s">
        <v>7164</v>
      </c>
      <c r="L4845" s="783" t="s">
        <v>7165</v>
      </c>
      <c r="M4845" s="784">
        <v>274291.77</v>
      </c>
      <c r="N4845" s="784">
        <v>30.35</v>
      </c>
      <c r="O4845" s="784">
        <v>13.57</v>
      </c>
      <c r="P4845" s="783">
        <v>666</v>
      </c>
      <c r="Q4845" s="783">
        <v>17115.810000000001</v>
      </c>
      <c r="R4845" s="783">
        <v>6072.35</v>
      </c>
      <c r="S4845" s="783">
        <v>6599.93</v>
      </c>
      <c r="T4845" s="783">
        <v>4443.53</v>
      </c>
      <c r="U4845" s="785">
        <v>44631.511770833298</v>
      </c>
    </row>
    <row r="4846" spans="1:21">
      <c r="A4846" s="782">
        <v>44650</v>
      </c>
      <c r="B4846" s="783" t="s">
        <v>65</v>
      </c>
      <c r="C4846" s="783" t="s">
        <v>4939</v>
      </c>
      <c r="D4846" s="783" t="s">
        <v>4021</v>
      </c>
      <c r="E4846" s="783" t="s">
        <v>7190</v>
      </c>
      <c r="F4846" s="783" t="s">
        <v>7160</v>
      </c>
      <c r="G4846" s="783" t="s">
        <v>4028</v>
      </c>
      <c r="H4846" s="783" t="s">
        <v>7191</v>
      </c>
      <c r="I4846" s="783" t="s">
        <v>7192</v>
      </c>
      <c r="J4846" s="783">
        <v>25</v>
      </c>
      <c r="K4846" s="783" t="s">
        <v>7164</v>
      </c>
      <c r="L4846" s="783" t="s">
        <v>7165</v>
      </c>
      <c r="M4846" s="784">
        <v>16802.37</v>
      </c>
      <c r="N4846" s="784">
        <v>0.39</v>
      </c>
      <c r="O4846" s="784">
        <v>47.87</v>
      </c>
      <c r="P4846" s="783">
        <v>900</v>
      </c>
      <c r="Q4846" s="783">
        <v>1125.76</v>
      </c>
      <c r="R4846" s="783">
        <v>348.73</v>
      </c>
      <c r="S4846" s="783">
        <v>602.29</v>
      </c>
      <c r="T4846" s="783">
        <v>174.74</v>
      </c>
      <c r="U4846" s="785">
        <v>44704.541817129597</v>
      </c>
    </row>
    <row r="4847" spans="1:21">
      <c r="A4847" s="782">
        <v>44650</v>
      </c>
      <c r="B4847" s="783" t="s">
        <v>65</v>
      </c>
      <c r="C4847" s="783" t="s">
        <v>4939</v>
      </c>
      <c r="D4847" s="783" t="s">
        <v>4021</v>
      </c>
      <c r="E4847" s="783" t="s">
        <v>7190</v>
      </c>
      <c r="F4847" s="783" t="s">
        <v>7160</v>
      </c>
      <c r="G4847" s="783" t="s">
        <v>4028</v>
      </c>
      <c r="H4847" s="783" t="s">
        <v>7191</v>
      </c>
      <c r="I4847" s="783" t="s">
        <v>7192</v>
      </c>
      <c r="J4847" s="783">
        <v>25</v>
      </c>
      <c r="K4847" s="783" t="s">
        <v>7164</v>
      </c>
      <c r="L4847" s="783" t="s">
        <v>7165</v>
      </c>
      <c r="M4847" s="784">
        <v>644931.48</v>
      </c>
      <c r="N4847" s="784">
        <v>14.62</v>
      </c>
      <c r="O4847" s="784">
        <v>50.88</v>
      </c>
      <c r="P4847" s="783">
        <v>867</v>
      </c>
      <c r="Q4847" s="783">
        <v>43210.41</v>
      </c>
      <c r="R4847" s="783">
        <v>12282.71</v>
      </c>
      <c r="S4847" s="783">
        <v>24220.41</v>
      </c>
      <c r="T4847" s="783">
        <v>6707.29</v>
      </c>
      <c r="U4847" s="785">
        <v>44704.541817129597</v>
      </c>
    </row>
    <row r="4848" spans="1:21">
      <c r="A4848" s="782">
        <v>44705</v>
      </c>
      <c r="B4848" s="783" t="s">
        <v>65</v>
      </c>
      <c r="C4848" s="783" t="s">
        <v>4582</v>
      </c>
      <c r="D4848" s="783" t="s">
        <v>4193</v>
      </c>
      <c r="E4848" s="783" t="s">
        <v>7193</v>
      </c>
      <c r="F4848" s="783" t="s">
        <v>7160</v>
      </c>
      <c r="G4848" s="783" t="s">
        <v>4028</v>
      </c>
      <c r="H4848" s="783" t="s">
        <v>7194</v>
      </c>
      <c r="I4848" s="783" t="s">
        <v>7195</v>
      </c>
      <c r="J4848" s="783">
        <v>25</v>
      </c>
      <c r="K4848" s="783" t="s">
        <v>7164</v>
      </c>
      <c r="L4848" s="783" t="s">
        <v>7165</v>
      </c>
      <c r="M4848" s="784">
        <v>110277.37</v>
      </c>
      <c r="N4848" s="784">
        <v>12.84</v>
      </c>
      <c r="O4848" s="784">
        <v>47.19</v>
      </c>
      <c r="P4848" s="783">
        <v>182</v>
      </c>
      <c r="Q4848" s="783">
        <v>7884.83</v>
      </c>
      <c r="R4848" s="783">
        <v>6131.42</v>
      </c>
      <c r="S4848" s="783">
        <v>882.22</v>
      </c>
      <c r="T4848" s="783">
        <v>871.19</v>
      </c>
      <c r="U4848" s="785">
        <v>44706.457175925898</v>
      </c>
    </row>
    <row r="4849" spans="1:21">
      <c r="A4849" s="782">
        <v>44705</v>
      </c>
      <c r="B4849" s="783" t="s">
        <v>65</v>
      </c>
      <c r="C4849" s="783" t="s">
        <v>4582</v>
      </c>
      <c r="D4849" s="783" t="s">
        <v>4193</v>
      </c>
      <c r="E4849" s="783" t="s">
        <v>7193</v>
      </c>
      <c r="F4849" s="783" t="s">
        <v>7160</v>
      </c>
      <c r="G4849" s="783" t="s">
        <v>4028</v>
      </c>
      <c r="H4849" s="783" t="s">
        <v>7194</v>
      </c>
      <c r="I4849" s="783" t="s">
        <v>7195</v>
      </c>
      <c r="J4849" s="783">
        <v>25</v>
      </c>
      <c r="K4849" s="783" t="s">
        <v>7164</v>
      </c>
      <c r="L4849" s="783" t="s">
        <v>7165</v>
      </c>
      <c r="M4849" s="784">
        <v>15262.99</v>
      </c>
      <c r="N4849" s="784">
        <v>2.06</v>
      </c>
      <c r="O4849" s="784">
        <v>40.71</v>
      </c>
      <c r="P4849" s="783">
        <v>182</v>
      </c>
      <c r="Q4849" s="783">
        <v>1091.3</v>
      </c>
      <c r="R4849" s="783">
        <v>615.48</v>
      </c>
      <c r="S4849" s="783">
        <v>355.24</v>
      </c>
      <c r="T4849" s="783">
        <v>120.58</v>
      </c>
      <c r="U4849" s="785">
        <v>44706.457175925898</v>
      </c>
    </row>
    <row r="4850" spans="1:21">
      <c r="A4850" s="782">
        <v>44705</v>
      </c>
      <c r="B4850" s="783" t="s">
        <v>65</v>
      </c>
      <c r="C4850" s="783" t="s">
        <v>4582</v>
      </c>
      <c r="D4850" s="783" t="s">
        <v>4193</v>
      </c>
      <c r="E4850" s="783" t="s">
        <v>7193</v>
      </c>
      <c r="F4850" s="783" t="s">
        <v>7160</v>
      </c>
      <c r="G4850" s="783" t="s">
        <v>4028</v>
      </c>
      <c r="H4850" s="783" t="s">
        <v>7194</v>
      </c>
      <c r="I4850" s="783" t="s">
        <v>7195</v>
      </c>
      <c r="J4850" s="783">
        <v>25</v>
      </c>
      <c r="K4850" s="783" t="s">
        <v>7164</v>
      </c>
      <c r="L4850" s="783" t="s">
        <v>7165</v>
      </c>
      <c r="M4850" s="784">
        <v>15767.01</v>
      </c>
      <c r="N4850" s="784">
        <v>2.1</v>
      </c>
      <c r="O4850" s="784">
        <v>43.15</v>
      </c>
      <c r="P4850" s="783">
        <v>174</v>
      </c>
      <c r="Q4850" s="783">
        <v>1127.3399999999999</v>
      </c>
      <c r="R4850" s="783">
        <v>609.62</v>
      </c>
      <c r="S4850" s="783">
        <v>393.16</v>
      </c>
      <c r="T4850" s="783">
        <v>124.56</v>
      </c>
      <c r="U4850" s="785">
        <v>44706.457175925898</v>
      </c>
    </row>
    <row r="4851" spans="1:21">
      <c r="A4851" s="782">
        <v>44705</v>
      </c>
      <c r="B4851" s="783" t="s">
        <v>65</v>
      </c>
      <c r="C4851" s="783" t="s">
        <v>4582</v>
      </c>
      <c r="D4851" s="783" t="s">
        <v>4193</v>
      </c>
      <c r="E4851" s="783" t="s">
        <v>7193</v>
      </c>
      <c r="F4851" s="783" t="s">
        <v>7160</v>
      </c>
      <c r="G4851" s="783" t="s">
        <v>4028</v>
      </c>
      <c r="H4851" s="783" t="s">
        <v>7194</v>
      </c>
      <c r="I4851" s="783" t="s">
        <v>7195</v>
      </c>
      <c r="J4851" s="783">
        <v>25</v>
      </c>
      <c r="K4851" s="783" t="s">
        <v>7164</v>
      </c>
      <c r="L4851" s="783" t="s">
        <v>7165</v>
      </c>
      <c r="M4851" s="784">
        <v>8408.4</v>
      </c>
      <c r="N4851" s="784">
        <v>1.1200000000000001</v>
      </c>
      <c r="O4851" s="784">
        <v>41.25</v>
      </c>
      <c r="P4851" s="783">
        <v>182</v>
      </c>
      <c r="Q4851" s="783">
        <v>601.20000000000005</v>
      </c>
      <c r="R4851" s="783">
        <v>354.48</v>
      </c>
      <c r="S4851" s="783">
        <v>180.29</v>
      </c>
      <c r="T4851" s="783">
        <v>66.430000000000007</v>
      </c>
      <c r="U4851" s="785">
        <v>44706.457175925898</v>
      </c>
    </row>
    <row r="4852" spans="1:21">
      <c r="A4852" s="782">
        <v>44705</v>
      </c>
      <c r="B4852" s="783" t="s">
        <v>65</v>
      </c>
      <c r="C4852" s="783" t="s">
        <v>4582</v>
      </c>
      <c r="D4852" s="783" t="s">
        <v>4193</v>
      </c>
      <c r="E4852" s="783" t="s">
        <v>7193</v>
      </c>
      <c r="F4852" s="783" t="s">
        <v>7160</v>
      </c>
      <c r="G4852" s="783" t="s">
        <v>4028</v>
      </c>
      <c r="H4852" s="783" t="s">
        <v>7194</v>
      </c>
      <c r="I4852" s="783" t="s">
        <v>7195</v>
      </c>
      <c r="J4852" s="783">
        <v>25</v>
      </c>
      <c r="K4852" s="783" t="s">
        <v>7164</v>
      </c>
      <c r="L4852" s="783" t="s">
        <v>7165</v>
      </c>
      <c r="M4852" s="784">
        <v>1802.36</v>
      </c>
      <c r="N4852" s="784">
        <v>0.24</v>
      </c>
      <c r="O4852" s="784">
        <v>43.16</v>
      </c>
      <c r="P4852" s="783">
        <v>174</v>
      </c>
      <c r="Q4852" s="783">
        <v>128.87</v>
      </c>
      <c r="R4852" s="783">
        <v>79.48</v>
      </c>
      <c r="S4852" s="783">
        <v>35.15</v>
      </c>
      <c r="T4852" s="783">
        <v>14.24</v>
      </c>
      <c r="U4852" s="785">
        <v>44706.457175925898</v>
      </c>
    </row>
    <row r="4853" spans="1:21">
      <c r="A4853" s="782">
        <v>44614</v>
      </c>
      <c r="B4853" s="783" t="s">
        <v>65</v>
      </c>
      <c r="C4853" s="783" t="s">
        <v>4582</v>
      </c>
      <c r="D4853" s="783" t="s">
        <v>4193</v>
      </c>
      <c r="E4853" s="783" t="s">
        <v>7196</v>
      </c>
      <c r="F4853" s="783" t="s">
        <v>7160</v>
      </c>
      <c r="G4853" s="783" t="s">
        <v>4028</v>
      </c>
      <c r="H4853" s="783" t="s">
        <v>7197</v>
      </c>
      <c r="I4853" s="783" t="s">
        <v>7198</v>
      </c>
      <c r="J4853" s="783">
        <v>25</v>
      </c>
      <c r="K4853" s="783" t="s">
        <v>7164</v>
      </c>
      <c r="L4853" s="783" t="s">
        <v>7165</v>
      </c>
      <c r="M4853" s="784">
        <v>213928.52</v>
      </c>
      <c r="N4853" s="784">
        <v>21.4</v>
      </c>
      <c r="O4853" s="784">
        <v>42.18</v>
      </c>
      <c r="P4853" s="783">
        <v>237</v>
      </c>
      <c r="Q4853" s="783">
        <v>15295.89</v>
      </c>
      <c r="R4853" s="783">
        <v>10037.49</v>
      </c>
      <c r="S4853" s="783">
        <v>3568.36</v>
      </c>
      <c r="T4853" s="783">
        <v>1690.04</v>
      </c>
      <c r="U4853" s="785">
        <v>44631.634560185201</v>
      </c>
    </row>
    <row r="4854" spans="1:21">
      <c r="A4854" s="782">
        <v>44614</v>
      </c>
      <c r="B4854" s="783" t="s">
        <v>65</v>
      </c>
      <c r="C4854" s="783" t="s">
        <v>4582</v>
      </c>
      <c r="D4854" s="783" t="s">
        <v>4193</v>
      </c>
      <c r="E4854" s="783" t="s">
        <v>7196</v>
      </c>
      <c r="F4854" s="783" t="s">
        <v>7160</v>
      </c>
      <c r="G4854" s="783" t="s">
        <v>4028</v>
      </c>
      <c r="H4854" s="783" t="s">
        <v>7197</v>
      </c>
      <c r="I4854" s="783" t="s">
        <v>7198</v>
      </c>
      <c r="J4854" s="783">
        <v>25</v>
      </c>
      <c r="K4854" s="783" t="s">
        <v>7164</v>
      </c>
      <c r="L4854" s="783" t="s">
        <v>7165</v>
      </c>
      <c r="M4854" s="784">
        <v>132510.65</v>
      </c>
      <c r="N4854" s="784">
        <v>13.87</v>
      </c>
      <c r="O4854" s="784">
        <v>41.18</v>
      </c>
      <c r="P4854" s="783">
        <v>232</v>
      </c>
      <c r="Q4854" s="783">
        <v>9566.5400000000009</v>
      </c>
      <c r="R4854" s="783">
        <v>4232.62</v>
      </c>
      <c r="S4854" s="783">
        <v>4276.92</v>
      </c>
      <c r="T4854" s="783">
        <v>1057</v>
      </c>
      <c r="U4854" s="785">
        <v>44631.634560185201</v>
      </c>
    </row>
    <row r="4855" spans="1:21">
      <c r="A4855" s="782">
        <v>44614</v>
      </c>
      <c r="B4855" s="783" t="s">
        <v>65</v>
      </c>
      <c r="C4855" s="783" t="s">
        <v>4582</v>
      </c>
      <c r="D4855" s="783" t="s">
        <v>4193</v>
      </c>
      <c r="E4855" s="783" t="s">
        <v>7196</v>
      </c>
      <c r="F4855" s="783" t="s">
        <v>7160</v>
      </c>
      <c r="G4855" s="783" t="s">
        <v>4028</v>
      </c>
      <c r="H4855" s="783" t="s">
        <v>7197</v>
      </c>
      <c r="I4855" s="783" t="s">
        <v>7198</v>
      </c>
      <c r="J4855" s="783">
        <v>25</v>
      </c>
      <c r="K4855" s="783" t="s">
        <v>7164</v>
      </c>
      <c r="L4855" s="783" t="s">
        <v>7165</v>
      </c>
      <c r="M4855" s="784">
        <v>44438.06</v>
      </c>
      <c r="N4855" s="784">
        <v>4.45</v>
      </c>
      <c r="O4855" s="784">
        <v>48.01</v>
      </c>
      <c r="P4855" s="783">
        <v>208</v>
      </c>
      <c r="Q4855" s="783">
        <v>3177.32</v>
      </c>
      <c r="R4855" s="783">
        <v>1377.92</v>
      </c>
      <c r="S4855" s="783">
        <v>1448.34</v>
      </c>
      <c r="T4855" s="783">
        <v>351.06</v>
      </c>
      <c r="U4855" s="785">
        <v>44631.634560185201</v>
      </c>
    </row>
    <row r="4856" spans="1:21">
      <c r="A4856" s="782">
        <v>44614</v>
      </c>
      <c r="B4856" s="783" t="s">
        <v>65</v>
      </c>
      <c r="C4856" s="783" t="s">
        <v>4582</v>
      </c>
      <c r="D4856" s="783" t="s">
        <v>4193</v>
      </c>
      <c r="E4856" s="783" t="s">
        <v>7196</v>
      </c>
      <c r="F4856" s="783" t="s">
        <v>7160</v>
      </c>
      <c r="G4856" s="783" t="s">
        <v>4028</v>
      </c>
      <c r="H4856" s="783" t="s">
        <v>7197</v>
      </c>
      <c r="I4856" s="783" t="s">
        <v>7198</v>
      </c>
      <c r="J4856" s="783">
        <v>25</v>
      </c>
      <c r="K4856" s="783" t="s">
        <v>7164</v>
      </c>
      <c r="L4856" s="783" t="s">
        <v>7165</v>
      </c>
      <c r="M4856" s="784">
        <v>55976.25</v>
      </c>
      <c r="N4856" s="784">
        <v>5.59</v>
      </c>
      <c r="O4856" s="784">
        <v>38.22</v>
      </c>
      <c r="P4856" s="783">
        <v>262</v>
      </c>
      <c r="Q4856" s="783">
        <v>4002.3</v>
      </c>
      <c r="R4856" s="783">
        <v>1128.5</v>
      </c>
      <c r="S4856" s="783">
        <v>2431.59</v>
      </c>
      <c r="T4856" s="783">
        <v>442.21</v>
      </c>
      <c r="U4856" s="785">
        <v>44631.634560185201</v>
      </c>
    </row>
    <row r="4857" spans="1:21">
      <c r="A4857" s="782">
        <v>44614</v>
      </c>
      <c r="B4857" s="783" t="s">
        <v>65</v>
      </c>
      <c r="C4857" s="783" t="s">
        <v>4582</v>
      </c>
      <c r="D4857" s="783" t="s">
        <v>4193</v>
      </c>
      <c r="E4857" s="783" t="s">
        <v>7196</v>
      </c>
      <c r="F4857" s="783" t="s">
        <v>7160</v>
      </c>
      <c r="G4857" s="783" t="s">
        <v>4028</v>
      </c>
      <c r="H4857" s="783" t="s">
        <v>7197</v>
      </c>
      <c r="I4857" s="783" t="s">
        <v>7198</v>
      </c>
      <c r="J4857" s="783">
        <v>25</v>
      </c>
      <c r="K4857" s="783" t="s">
        <v>7164</v>
      </c>
      <c r="L4857" s="783" t="s">
        <v>7165</v>
      </c>
      <c r="M4857" s="784">
        <v>22991.279999999999</v>
      </c>
      <c r="N4857" s="784">
        <v>2.2999999999999998</v>
      </c>
      <c r="O4857" s="784">
        <v>34.83</v>
      </c>
      <c r="P4857" s="783">
        <v>287</v>
      </c>
      <c r="Q4857" s="783">
        <v>1643.88</v>
      </c>
      <c r="R4857" s="783">
        <v>1211.5</v>
      </c>
      <c r="S4857" s="783">
        <v>250.74</v>
      </c>
      <c r="T4857" s="783">
        <v>181.63</v>
      </c>
      <c r="U4857" s="785">
        <v>44631.634571759299</v>
      </c>
    </row>
    <row r="4858" spans="1:21">
      <c r="A4858" s="782">
        <v>44614</v>
      </c>
      <c r="B4858" s="783" t="s">
        <v>65</v>
      </c>
      <c r="C4858" s="783" t="s">
        <v>4582</v>
      </c>
      <c r="D4858" s="783" t="s">
        <v>4193</v>
      </c>
      <c r="E4858" s="783" t="s">
        <v>7196</v>
      </c>
      <c r="F4858" s="783" t="s">
        <v>7160</v>
      </c>
      <c r="G4858" s="783" t="s">
        <v>4028</v>
      </c>
      <c r="H4858" s="783" t="s">
        <v>7197</v>
      </c>
      <c r="I4858" s="783" t="s">
        <v>7198</v>
      </c>
      <c r="J4858" s="783">
        <v>25</v>
      </c>
      <c r="K4858" s="783" t="s">
        <v>7164</v>
      </c>
      <c r="L4858" s="783" t="s">
        <v>7165</v>
      </c>
      <c r="M4858" s="784">
        <v>6688.24</v>
      </c>
      <c r="N4858" s="784">
        <v>0.67</v>
      </c>
      <c r="O4858" s="784">
        <v>46.43</v>
      </c>
      <c r="P4858" s="783">
        <v>215</v>
      </c>
      <c r="Q4858" s="783">
        <v>478.21</v>
      </c>
      <c r="R4858" s="783">
        <v>292.3</v>
      </c>
      <c r="S4858" s="783">
        <v>133.07</v>
      </c>
      <c r="T4858" s="783">
        <v>52.84</v>
      </c>
      <c r="U4858" s="785">
        <v>44631.634571759299</v>
      </c>
    </row>
    <row r="4859" spans="1:21">
      <c r="A4859" s="782">
        <v>44614</v>
      </c>
      <c r="B4859" s="783" t="s">
        <v>65</v>
      </c>
      <c r="C4859" s="783" t="s">
        <v>4582</v>
      </c>
      <c r="D4859" s="783" t="s">
        <v>4193</v>
      </c>
      <c r="E4859" s="783" t="s">
        <v>7196</v>
      </c>
      <c r="F4859" s="783" t="s">
        <v>7160</v>
      </c>
      <c r="G4859" s="783" t="s">
        <v>4028</v>
      </c>
      <c r="H4859" s="783" t="s">
        <v>7197</v>
      </c>
      <c r="I4859" s="783" t="s">
        <v>7198</v>
      </c>
      <c r="J4859" s="783">
        <v>25</v>
      </c>
      <c r="K4859" s="783" t="s">
        <v>7164</v>
      </c>
      <c r="L4859" s="783" t="s">
        <v>7165</v>
      </c>
      <c r="M4859" s="784">
        <v>25986.32</v>
      </c>
      <c r="N4859" s="784">
        <v>2.6</v>
      </c>
      <c r="O4859" s="784">
        <v>62.86</v>
      </c>
      <c r="P4859" s="783">
        <v>159</v>
      </c>
      <c r="Q4859" s="783">
        <v>1858.02</v>
      </c>
      <c r="R4859" s="783">
        <v>1254.01</v>
      </c>
      <c r="S4859" s="783">
        <v>398.72</v>
      </c>
      <c r="T4859" s="783">
        <v>205.29</v>
      </c>
      <c r="U4859" s="785">
        <v>44631.634571759299</v>
      </c>
    </row>
    <row r="4860" spans="1:21">
      <c r="A4860" s="782">
        <v>44609</v>
      </c>
      <c r="B4860" s="783" t="s">
        <v>65</v>
      </c>
      <c r="C4860" s="783" t="s">
        <v>4582</v>
      </c>
      <c r="D4860" s="783" t="s">
        <v>4193</v>
      </c>
      <c r="E4860" s="783" t="s">
        <v>7199</v>
      </c>
      <c r="F4860" s="783" t="s">
        <v>7160</v>
      </c>
      <c r="G4860" s="783" t="s">
        <v>4028</v>
      </c>
      <c r="H4860" s="783" t="s">
        <v>7200</v>
      </c>
      <c r="I4860" s="783" t="s">
        <v>7201</v>
      </c>
      <c r="J4860" s="783">
        <v>25</v>
      </c>
      <c r="K4860" s="783" t="s">
        <v>7164</v>
      </c>
      <c r="L4860" s="783" t="s">
        <v>7165</v>
      </c>
      <c r="M4860" s="784">
        <v>95441.919999999998</v>
      </c>
      <c r="N4860" s="784">
        <v>12.8</v>
      </c>
      <c r="O4860" s="784">
        <v>53.26</v>
      </c>
      <c r="P4860" s="783">
        <v>140</v>
      </c>
      <c r="Q4860" s="783">
        <v>6824.1</v>
      </c>
      <c r="R4860" s="783">
        <v>4586.3900000000003</v>
      </c>
      <c r="S4860" s="783">
        <v>1483.71</v>
      </c>
      <c r="T4860" s="783">
        <v>753.99</v>
      </c>
      <c r="U4860" s="785">
        <v>44631.631157407399</v>
      </c>
    </row>
    <row r="4861" spans="1:21">
      <c r="A4861" s="782">
        <v>44609</v>
      </c>
      <c r="B4861" s="783" t="s">
        <v>65</v>
      </c>
      <c r="C4861" s="783" t="s">
        <v>4582</v>
      </c>
      <c r="D4861" s="783" t="s">
        <v>4193</v>
      </c>
      <c r="E4861" s="783" t="s">
        <v>7199</v>
      </c>
      <c r="F4861" s="783" t="s">
        <v>7160</v>
      </c>
      <c r="G4861" s="783" t="s">
        <v>4028</v>
      </c>
      <c r="H4861" s="783" t="s">
        <v>7200</v>
      </c>
      <c r="I4861" s="783" t="s">
        <v>7201</v>
      </c>
      <c r="J4861" s="783">
        <v>25</v>
      </c>
      <c r="K4861" s="783" t="s">
        <v>7164</v>
      </c>
      <c r="L4861" s="783" t="s">
        <v>7165</v>
      </c>
      <c r="M4861" s="784">
        <v>273337.88</v>
      </c>
      <c r="N4861" s="784">
        <v>25.31</v>
      </c>
      <c r="O4861" s="784">
        <v>46.55</v>
      </c>
      <c r="P4861" s="783">
        <v>232</v>
      </c>
      <c r="Q4861" s="783">
        <v>19543.66</v>
      </c>
      <c r="R4861" s="783">
        <v>13101.37</v>
      </c>
      <c r="S4861" s="783">
        <v>4282.92</v>
      </c>
      <c r="T4861" s="783">
        <v>2159.37</v>
      </c>
      <c r="U4861" s="785">
        <v>44631.631157407399</v>
      </c>
    </row>
    <row r="4862" spans="1:21">
      <c r="A4862" s="782">
        <v>44609</v>
      </c>
      <c r="B4862" s="783" t="s">
        <v>65</v>
      </c>
      <c r="C4862" s="783" t="s">
        <v>4582</v>
      </c>
      <c r="D4862" s="783" t="s">
        <v>4193</v>
      </c>
      <c r="E4862" s="783" t="s">
        <v>7199</v>
      </c>
      <c r="F4862" s="783" t="s">
        <v>7160</v>
      </c>
      <c r="G4862" s="783" t="s">
        <v>4028</v>
      </c>
      <c r="H4862" s="783" t="s">
        <v>7200</v>
      </c>
      <c r="I4862" s="783" t="s">
        <v>7201</v>
      </c>
      <c r="J4862" s="783">
        <v>25</v>
      </c>
      <c r="K4862" s="783" t="s">
        <v>7164</v>
      </c>
      <c r="L4862" s="783" t="s">
        <v>7165</v>
      </c>
      <c r="M4862" s="784">
        <v>33244.99</v>
      </c>
      <c r="N4862" s="784">
        <v>2.4</v>
      </c>
      <c r="O4862" s="784">
        <v>46.64</v>
      </c>
      <c r="P4862" s="783">
        <v>297</v>
      </c>
      <c r="Q4862" s="783">
        <v>2377.02</v>
      </c>
      <c r="R4862" s="783">
        <v>1051.8</v>
      </c>
      <c r="S4862" s="783">
        <v>1062.5899999999999</v>
      </c>
      <c r="T4862" s="783">
        <v>262.64</v>
      </c>
      <c r="U4862" s="785">
        <v>44631.631157407399</v>
      </c>
    </row>
    <row r="4863" spans="1:21">
      <c r="A4863" s="782">
        <v>44609</v>
      </c>
      <c r="B4863" s="783" t="s">
        <v>65</v>
      </c>
      <c r="C4863" s="783" t="s">
        <v>4582</v>
      </c>
      <c r="D4863" s="783" t="s">
        <v>4193</v>
      </c>
      <c r="E4863" s="783" t="s">
        <v>7199</v>
      </c>
      <c r="F4863" s="783" t="s">
        <v>7160</v>
      </c>
      <c r="G4863" s="783" t="s">
        <v>4028</v>
      </c>
      <c r="H4863" s="783" t="s">
        <v>7200</v>
      </c>
      <c r="I4863" s="783" t="s">
        <v>7201</v>
      </c>
      <c r="J4863" s="783">
        <v>25</v>
      </c>
      <c r="K4863" s="783" t="s">
        <v>7164</v>
      </c>
      <c r="L4863" s="783" t="s">
        <v>7165</v>
      </c>
      <c r="M4863" s="784">
        <v>51089.98</v>
      </c>
      <c r="N4863" s="784">
        <v>8.35</v>
      </c>
      <c r="O4863" s="784">
        <v>54.63</v>
      </c>
      <c r="P4863" s="783">
        <v>112</v>
      </c>
      <c r="Q4863" s="783">
        <v>3652.93</v>
      </c>
      <c r="R4863" s="783">
        <v>2840.6</v>
      </c>
      <c r="S4863" s="783">
        <v>408.72</v>
      </c>
      <c r="T4863" s="783">
        <v>403.61</v>
      </c>
      <c r="U4863" s="785">
        <v>44631.631157407399</v>
      </c>
    </row>
    <row r="4864" spans="1:21">
      <c r="A4864" s="782">
        <v>44609</v>
      </c>
      <c r="B4864" s="783" t="s">
        <v>65</v>
      </c>
      <c r="C4864" s="783" t="s">
        <v>4582</v>
      </c>
      <c r="D4864" s="783" t="s">
        <v>4193</v>
      </c>
      <c r="E4864" s="783" t="s">
        <v>7199</v>
      </c>
      <c r="F4864" s="783" t="s">
        <v>7160</v>
      </c>
      <c r="G4864" s="783" t="s">
        <v>4028</v>
      </c>
      <c r="H4864" s="783" t="s">
        <v>7200</v>
      </c>
      <c r="I4864" s="783" t="s">
        <v>7201</v>
      </c>
      <c r="J4864" s="783">
        <v>25</v>
      </c>
      <c r="K4864" s="783" t="s">
        <v>7164</v>
      </c>
      <c r="L4864" s="783" t="s">
        <v>7165</v>
      </c>
      <c r="M4864" s="784">
        <v>814.5</v>
      </c>
      <c r="N4864" s="784">
        <v>1.1299999999999999</v>
      </c>
      <c r="O4864" s="784">
        <v>9.01</v>
      </c>
      <c r="P4864" s="783">
        <v>80</v>
      </c>
      <c r="Q4864" s="783">
        <v>58.24</v>
      </c>
      <c r="R4864" s="783">
        <v>40.19</v>
      </c>
      <c r="S4864" s="783">
        <v>11.61</v>
      </c>
      <c r="T4864" s="783">
        <v>6.43</v>
      </c>
      <c r="U4864" s="785">
        <v>44631.631157407399</v>
      </c>
    </row>
    <row r="4865" spans="1:21">
      <c r="A4865" s="782">
        <v>44609</v>
      </c>
      <c r="B4865" s="783" t="s">
        <v>65</v>
      </c>
      <c r="C4865" s="783" t="s">
        <v>4582</v>
      </c>
      <c r="D4865" s="783" t="s">
        <v>4193</v>
      </c>
      <c r="E4865" s="783" t="s">
        <v>7199</v>
      </c>
      <c r="F4865" s="783" t="s">
        <v>7160</v>
      </c>
      <c r="G4865" s="783" t="s">
        <v>4028</v>
      </c>
      <c r="H4865" s="783" t="s">
        <v>7200</v>
      </c>
      <c r="I4865" s="783" t="s">
        <v>7201</v>
      </c>
      <c r="J4865" s="783">
        <v>25</v>
      </c>
      <c r="K4865" s="783" t="s">
        <v>7164</v>
      </c>
      <c r="L4865" s="783" t="s">
        <v>7165</v>
      </c>
      <c r="M4865" s="784">
        <v>1376.47</v>
      </c>
      <c r="N4865" s="784">
        <v>0.55000000000000004</v>
      </c>
      <c r="O4865" s="784">
        <v>32.93</v>
      </c>
      <c r="P4865" s="783">
        <v>76</v>
      </c>
      <c r="Q4865" s="783">
        <v>98.42</v>
      </c>
      <c r="R4865" s="783">
        <v>71.5</v>
      </c>
      <c r="S4865" s="783">
        <v>16.05</v>
      </c>
      <c r="T4865" s="783">
        <v>10.87</v>
      </c>
      <c r="U4865" s="785">
        <v>44631.631157407399</v>
      </c>
    </row>
    <row r="4866" spans="1:21">
      <c r="A4866" s="782">
        <v>44614</v>
      </c>
      <c r="B4866" s="783" t="s">
        <v>65</v>
      </c>
      <c r="C4866" s="783" t="s">
        <v>4491</v>
      </c>
      <c r="D4866" s="783" t="s">
        <v>4193</v>
      </c>
      <c r="E4866" s="783" t="s">
        <v>7202</v>
      </c>
      <c r="F4866" s="783" t="s">
        <v>7160</v>
      </c>
      <c r="G4866" s="783" t="s">
        <v>4028</v>
      </c>
      <c r="H4866" s="783" t="s">
        <v>7203</v>
      </c>
      <c r="I4866" s="783" t="s">
        <v>7204</v>
      </c>
      <c r="J4866" s="783">
        <v>25</v>
      </c>
      <c r="K4866" s="783" t="s">
        <v>7164</v>
      </c>
      <c r="L4866" s="783" t="s">
        <v>7165</v>
      </c>
      <c r="M4866" s="784">
        <v>46839</v>
      </c>
      <c r="N4866" s="784">
        <v>3.75</v>
      </c>
      <c r="O4866" s="784">
        <v>48.04</v>
      </c>
      <c r="P4866" s="783">
        <v>260</v>
      </c>
      <c r="Q4866" s="783">
        <v>3381.78</v>
      </c>
      <c r="R4866" s="783">
        <v>2627.67</v>
      </c>
      <c r="S4866" s="783">
        <v>365.34</v>
      </c>
      <c r="T4866" s="783">
        <v>388.76</v>
      </c>
      <c r="U4866" s="785">
        <v>44631.631261574097</v>
      </c>
    </row>
    <row r="4867" spans="1:21">
      <c r="A4867" s="782">
        <v>44614</v>
      </c>
      <c r="B4867" s="783" t="s">
        <v>65</v>
      </c>
      <c r="C4867" s="783" t="s">
        <v>4491</v>
      </c>
      <c r="D4867" s="783" t="s">
        <v>4193</v>
      </c>
      <c r="E4867" s="783" t="s">
        <v>7202</v>
      </c>
      <c r="F4867" s="783" t="s">
        <v>7160</v>
      </c>
      <c r="G4867" s="783" t="s">
        <v>4028</v>
      </c>
      <c r="H4867" s="783" t="s">
        <v>7203</v>
      </c>
      <c r="I4867" s="783" t="s">
        <v>7204</v>
      </c>
      <c r="J4867" s="783">
        <v>25</v>
      </c>
      <c r="K4867" s="783" t="s">
        <v>7164</v>
      </c>
      <c r="L4867" s="783" t="s">
        <v>7165</v>
      </c>
      <c r="M4867" s="784">
        <v>4862.4399999999996</v>
      </c>
      <c r="N4867" s="784">
        <v>0.39</v>
      </c>
      <c r="O4867" s="784">
        <v>65.62</v>
      </c>
      <c r="P4867" s="783">
        <v>190</v>
      </c>
      <c r="Q4867" s="783">
        <v>351.07</v>
      </c>
      <c r="R4867" s="783">
        <v>198.13</v>
      </c>
      <c r="S4867" s="783">
        <v>112.58</v>
      </c>
      <c r="T4867" s="783">
        <v>40.36</v>
      </c>
      <c r="U4867" s="785">
        <v>44631.631261574097</v>
      </c>
    </row>
    <row r="4868" spans="1:21">
      <c r="A4868" s="782">
        <v>44614</v>
      </c>
      <c r="B4868" s="783" t="s">
        <v>65</v>
      </c>
      <c r="C4868" s="783" t="s">
        <v>4491</v>
      </c>
      <c r="D4868" s="783" t="s">
        <v>4193</v>
      </c>
      <c r="E4868" s="783" t="s">
        <v>7202</v>
      </c>
      <c r="F4868" s="783" t="s">
        <v>7160</v>
      </c>
      <c r="G4868" s="783" t="s">
        <v>4028</v>
      </c>
      <c r="H4868" s="783" t="s">
        <v>7203</v>
      </c>
      <c r="I4868" s="783" t="s">
        <v>7204</v>
      </c>
      <c r="J4868" s="783">
        <v>25</v>
      </c>
      <c r="K4868" s="783" t="s">
        <v>7164</v>
      </c>
      <c r="L4868" s="783" t="s">
        <v>7165</v>
      </c>
      <c r="M4868" s="784">
        <v>35230.82</v>
      </c>
      <c r="N4868" s="784">
        <v>2.82</v>
      </c>
      <c r="O4868" s="784">
        <v>35.9</v>
      </c>
      <c r="P4868" s="783">
        <v>348</v>
      </c>
      <c r="Q4868" s="783">
        <v>2543.67</v>
      </c>
      <c r="R4868" s="783">
        <v>749.69</v>
      </c>
      <c r="S4868" s="783">
        <v>1501.56</v>
      </c>
      <c r="T4868" s="783">
        <v>292.42</v>
      </c>
      <c r="U4868" s="785">
        <v>44631.631261574097</v>
      </c>
    </row>
    <row r="4869" spans="1:21">
      <c r="A4869" s="782">
        <v>44614</v>
      </c>
      <c r="B4869" s="783" t="s">
        <v>65</v>
      </c>
      <c r="C4869" s="783" t="s">
        <v>4491</v>
      </c>
      <c r="D4869" s="783" t="s">
        <v>4193</v>
      </c>
      <c r="E4869" s="783" t="s">
        <v>7202</v>
      </c>
      <c r="F4869" s="783" t="s">
        <v>7160</v>
      </c>
      <c r="G4869" s="783" t="s">
        <v>4028</v>
      </c>
      <c r="H4869" s="783" t="s">
        <v>7203</v>
      </c>
      <c r="I4869" s="783" t="s">
        <v>7204</v>
      </c>
      <c r="J4869" s="783">
        <v>25</v>
      </c>
      <c r="K4869" s="783" t="s">
        <v>7164</v>
      </c>
      <c r="L4869" s="783" t="s">
        <v>7165</v>
      </c>
      <c r="M4869" s="784">
        <v>28632.79</v>
      </c>
      <c r="N4869" s="784">
        <v>2.29</v>
      </c>
      <c r="O4869" s="784">
        <v>48.09</v>
      </c>
      <c r="P4869" s="783">
        <v>260</v>
      </c>
      <c r="Q4869" s="783">
        <v>2067.29</v>
      </c>
      <c r="R4869" s="783">
        <v>815.51</v>
      </c>
      <c r="S4869" s="783">
        <v>1014.13</v>
      </c>
      <c r="T4869" s="783">
        <v>237.65</v>
      </c>
      <c r="U4869" s="785">
        <v>44631.631261574097</v>
      </c>
    </row>
    <row r="4870" spans="1:21">
      <c r="A4870" s="782">
        <v>44614</v>
      </c>
      <c r="B4870" s="783" t="s">
        <v>65</v>
      </c>
      <c r="C4870" s="783" t="s">
        <v>4491</v>
      </c>
      <c r="D4870" s="783" t="s">
        <v>4193</v>
      </c>
      <c r="E4870" s="783" t="s">
        <v>7202</v>
      </c>
      <c r="F4870" s="783" t="s">
        <v>7160</v>
      </c>
      <c r="G4870" s="783" t="s">
        <v>4028</v>
      </c>
      <c r="H4870" s="783" t="s">
        <v>7203</v>
      </c>
      <c r="I4870" s="783" t="s">
        <v>7204</v>
      </c>
      <c r="J4870" s="783">
        <v>25</v>
      </c>
      <c r="K4870" s="783" t="s">
        <v>7164</v>
      </c>
      <c r="L4870" s="783" t="s">
        <v>7165</v>
      </c>
      <c r="M4870" s="784">
        <v>19022.04</v>
      </c>
      <c r="N4870" s="784">
        <v>1.52</v>
      </c>
      <c r="O4870" s="784">
        <v>30.9</v>
      </c>
      <c r="P4870" s="783">
        <v>405</v>
      </c>
      <c r="Q4870" s="783">
        <v>1373.39</v>
      </c>
      <c r="R4870" s="783">
        <v>363.62</v>
      </c>
      <c r="S4870" s="783">
        <v>851.89</v>
      </c>
      <c r="T4870" s="783">
        <v>157.88</v>
      </c>
      <c r="U4870" s="785">
        <v>44631.631261574097</v>
      </c>
    </row>
    <row r="4871" spans="1:21">
      <c r="A4871" s="782">
        <v>44614</v>
      </c>
      <c r="B4871" s="783" t="s">
        <v>65</v>
      </c>
      <c r="C4871" s="783" t="s">
        <v>4491</v>
      </c>
      <c r="D4871" s="783" t="s">
        <v>4193</v>
      </c>
      <c r="E4871" s="783" t="s">
        <v>7202</v>
      </c>
      <c r="F4871" s="783" t="s">
        <v>7160</v>
      </c>
      <c r="G4871" s="783" t="s">
        <v>4028</v>
      </c>
      <c r="H4871" s="783" t="s">
        <v>7203</v>
      </c>
      <c r="I4871" s="783" t="s">
        <v>7204</v>
      </c>
      <c r="J4871" s="783">
        <v>25</v>
      </c>
      <c r="K4871" s="783" t="s">
        <v>7164</v>
      </c>
      <c r="L4871" s="783" t="s">
        <v>7165</v>
      </c>
      <c r="M4871" s="784">
        <v>18977.93</v>
      </c>
      <c r="N4871" s="784">
        <v>1.52</v>
      </c>
      <c r="O4871" s="784">
        <v>51.17</v>
      </c>
      <c r="P4871" s="783">
        <v>244</v>
      </c>
      <c r="Q4871" s="783">
        <v>1370.21</v>
      </c>
      <c r="R4871" s="783">
        <v>575.96</v>
      </c>
      <c r="S4871" s="783">
        <v>636.73</v>
      </c>
      <c r="T4871" s="783">
        <v>157.52000000000001</v>
      </c>
      <c r="U4871" s="785">
        <v>44631.631261574097</v>
      </c>
    </row>
    <row r="4872" spans="1:21">
      <c r="A4872" s="782">
        <v>44614</v>
      </c>
      <c r="B4872" s="783" t="s">
        <v>65</v>
      </c>
      <c r="C4872" s="783" t="s">
        <v>4491</v>
      </c>
      <c r="D4872" s="783" t="s">
        <v>4193</v>
      </c>
      <c r="E4872" s="783" t="s">
        <v>7202</v>
      </c>
      <c r="F4872" s="783" t="s">
        <v>7160</v>
      </c>
      <c r="G4872" s="783" t="s">
        <v>4028</v>
      </c>
      <c r="H4872" s="783" t="s">
        <v>7203</v>
      </c>
      <c r="I4872" s="783" t="s">
        <v>7204</v>
      </c>
      <c r="J4872" s="783">
        <v>25</v>
      </c>
      <c r="K4872" s="783" t="s">
        <v>7164</v>
      </c>
      <c r="L4872" s="783" t="s">
        <v>7165</v>
      </c>
      <c r="M4872" s="784">
        <v>14381.53</v>
      </c>
      <c r="N4872" s="784">
        <v>1.1499999999999999</v>
      </c>
      <c r="O4872" s="784">
        <v>47.37</v>
      </c>
      <c r="P4872" s="783">
        <v>264</v>
      </c>
      <c r="Q4872" s="783">
        <v>1038.3499999999999</v>
      </c>
      <c r="R4872" s="783">
        <v>611.22</v>
      </c>
      <c r="S4872" s="783">
        <v>307.76</v>
      </c>
      <c r="T4872" s="783">
        <v>119.37</v>
      </c>
      <c r="U4872" s="785">
        <v>44631.631261574097</v>
      </c>
    </row>
    <row r="4873" spans="1:21">
      <c r="A4873" s="782">
        <v>44614</v>
      </c>
      <c r="B4873" s="783" t="s">
        <v>65</v>
      </c>
      <c r="C4873" s="783" t="s">
        <v>4491</v>
      </c>
      <c r="D4873" s="783" t="s">
        <v>4193</v>
      </c>
      <c r="E4873" s="783" t="s">
        <v>7202</v>
      </c>
      <c r="F4873" s="783" t="s">
        <v>7160</v>
      </c>
      <c r="G4873" s="783" t="s">
        <v>4028</v>
      </c>
      <c r="H4873" s="783" t="s">
        <v>7203</v>
      </c>
      <c r="I4873" s="783" t="s">
        <v>7204</v>
      </c>
      <c r="J4873" s="783">
        <v>25</v>
      </c>
      <c r="K4873" s="783" t="s">
        <v>7164</v>
      </c>
      <c r="L4873" s="783" t="s">
        <v>7165</v>
      </c>
      <c r="M4873" s="784">
        <v>17500.599999999999</v>
      </c>
      <c r="N4873" s="784">
        <v>1.4</v>
      </c>
      <c r="O4873" s="784">
        <v>46.47</v>
      </c>
      <c r="P4873" s="783">
        <v>269</v>
      </c>
      <c r="Q4873" s="783">
        <v>1263.54</v>
      </c>
      <c r="R4873" s="783">
        <v>981.78</v>
      </c>
      <c r="S4873" s="783">
        <v>136.5</v>
      </c>
      <c r="T4873" s="783">
        <v>145.25</v>
      </c>
      <c r="U4873" s="785">
        <v>44631.631261574097</v>
      </c>
    </row>
    <row r="4874" spans="1:21">
      <c r="A4874" s="782">
        <v>44631</v>
      </c>
      <c r="B4874" s="783" t="s">
        <v>7205</v>
      </c>
      <c r="C4874" s="783" t="s">
        <v>4543</v>
      </c>
      <c r="D4874" s="783" t="s">
        <v>4038</v>
      </c>
      <c r="E4874" s="783" t="s">
        <v>7206</v>
      </c>
      <c r="F4874" s="783" t="s">
        <v>7160</v>
      </c>
      <c r="G4874" s="783" t="s">
        <v>4028</v>
      </c>
      <c r="H4874" s="783" t="s">
        <v>7207</v>
      </c>
      <c r="I4874" s="783" t="s">
        <v>7208</v>
      </c>
      <c r="J4874" s="783" t="s">
        <v>7163</v>
      </c>
      <c r="K4874" s="783" t="s">
        <v>7164</v>
      </c>
      <c r="L4874" s="783" t="s">
        <v>7165</v>
      </c>
      <c r="M4874" s="784">
        <v>60006.67</v>
      </c>
      <c r="N4874" s="784">
        <v>9.4600000000000009</v>
      </c>
      <c r="O4874" s="784">
        <v>70.48</v>
      </c>
      <c r="P4874" s="783">
        <v>90</v>
      </c>
      <c r="Q4874" s="783">
        <v>4530.5</v>
      </c>
      <c r="R4874" s="783">
        <v>3174.35</v>
      </c>
      <c r="S4874" s="783">
        <v>474.05</v>
      </c>
      <c r="T4874" s="783">
        <v>882.1</v>
      </c>
      <c r="U4874" s="785">
        <v>44634.394548611097</v>
      </c>
    </row>
    <row r="4875" spans="1:21">
      <c r="A4875" s="782">
        <v>44631</v>
      </c>
      <c r="B4875" s="783" t="s">
        <v>7205</v>
      </c>
      <c r="C4875" s="783" t="s">
        <v>4543</v>
      </c>
      <c r="D4875" s="783" t="s">
        <v>4038</v>
      </c>
      <c r="E4875" s="783" t="s">
        <v>7206</v>
      </c>
      <c r="F4875" s="783" t="s">
        <v>7160</v>
      </c>
      <c r="G4875" s="783" t="s">
        <v>4028</v>
      </c>
      <c r="H4875" s="783" t="s">
        <v>7207</v>
      </c>
      <c r="I4875" s="783" t="s">
        <v>7208</v>
      </c>
      <c r="J4875" s="783" t="s">
        <v>7163</v>
      </c>
      <c r="K4875" s="783" t="s">
        <v>7164</v>
      </c>
      <c r="L4875" s="783" t="s">
        <v>7165</v>
      </c>
      <c r="M4875" s="784">
        <v>14435.58</v>
      </c>
      <c r="N4875" s="784">
        <v>3.53</v>
      </c>
      <c r="O4875" s="784">
        <v>35.56</v>
      </c>
      <c r="P4875" s="783">
        <v>115</v>
      </c>
      <c r="Q4875" s="783">
        <v>1089.8900000000001</v>
      </c>
      <c r="R4875" s="783">
        <v>630.83000000000004</v>
      </c>
      <c r="S4875" s="783">
        <v>246.85</v>
      </c>
      <c r="T4875" s="783">
        <v>212.2</v>
      </c>
      <c r="U4875" s="785">
        <v>44634.394548611097</v>
      </c>
    </row>
    <row r="4876" spans="1:21">
      <c r="A4876" s="782">
        <v>44631</v>
      </c>
      <c r="B4876" s="783" t="s">
        <v>2617</v>
      </c>
      <c r="C4876" s="783" t="s">
        <v>7169</v>
      </c>
      <c r="D4876" s="783" t="s">
        <v>4038</v>
      </c>
      <c r="E4876" s="783" t="s">
        <v>7209</v>
      </c>
      <c r="F4876" s="783" t="s">
        <v>7160</v>
      </c>
      <c r="G4876" s="783" t="s">
        <v>4028</v>
      </c>
      <c r="H4876" s="783" t="s">
        <v>7210</v>
      </c>
      <c r="I4876" s="783" t="s">
        <v>7211</v>
      </c>
      <c r="J4876" s="783" t="s">
        <v>7163</v>
      </c>
      <c r="K4876" s="783" t="s">
        <v>7164</v>
      </c>
      <c r="L4876" s="783" t="s">
        <v>7165</v>
      </c>
      <c r="M4876" s="784">
        <v>38861.5</v>
      </c>
      <c r="N4876" s="784">
        <v>9.24</v>
      </c>
      <c r="O4876" s="784">
        <v>37.89</v>
      </c>
      <c r="P4876" s="783">
        <v>111</v>
      </c>
      <c r="Q4876" s="783">
        <v>2137.38</v>
      </c>
      <c r="R4876" s="783">
        <v>1278.54</v>
      </c>
      <c r="S4876" s="783">
        <v>163.22</v>
      </c>
      <c r="T4876" s="783">
        <v>695.62</v>
      </c>
      <c r="U4876" s="785">
        <v>44634.391423611101</v>
      </c>
    </row>
    <row r="4877" spans="1:21">
      <c r="A4877" s="782">
        <v>44631</v>
      </c>
      <c r="B4877" s="783" t="s">
        <v>2617</v>
      </c>
      <c r="C4877" s="783" t="s">
        <v>7169</v>
      </c>
      <c r="D4877" s="783" t="s">
        <v>4038</v>
      </c>
      <c r="E4877" s="783" t="s">
        <v>7209</v>
      </c>
      <c r="F4877" s="783" t="s">
        <v>7160</v>
      </c>
      <c r="G4877" s="783" t="s">
        <v>4028</v>
      </c>
      <c r="H4877" s="783" t="s">
        <v>7210</v>
      </c>
      <c r="I4877" s="783" t="s">
        <v>7211</v>
      </c>
      <c r="J4877" s="783" t="s">
        <v>7163</v>
      </c>
      <c r="K4877" s="783" t="s">
        <v>7164</v>
      </c>
      <c r="L4877" s="783" t="s">
        <v>7165</v>
      </c>
      <c r="M4877" s="784">
        <v>2946.44</v>
      </c>
      <c r="N4877" s="784">
        <v>0.5</v>
      </c>
      <c r="O4877" s="784">
        <v>43.33</v>
      </c>
      <c r="P4877" s="783">
        <v>136</v>
      </c>
      <c r="Q4877" s="783">
        <v>162.05000000000001</v>
      </c>
      <c r="R4877" s="783">
        <v>96.94</v>
      </c>
      <c r="S4877" s="783">
        <v>12.38</v>
      </c>
      <c r="T4877" s="783">
        <v>52.74</v>
      </c>
      <c r="U4877" s="785">
        <v>44634.391423611101</v>
      </c>
    </row>
    <row r="4878" spans="1:21">
      <c r="A4878" s="782">
        <v>44631</v>
      </c>
      <c r="B4878" s="783" t="s">
        <v>2617</v>
      </c>
      <c r="C4878" s="783" t="s">
        <v>7169</v>
      </c>
      <c r="D4878" s="783" t="s">
        <v>4038</v>
      </c>
      <c r="E4878" s="783" t="s">
        <v>7209</v>
      </c>
      <c r="F4878" s="783" t="s">
        <v>7160</v>
      </c>
      <c r="G4878" s="783" t="s">
        <v>4028</v>
      </c>
      <c r="H4878" s="783" t="s">
        <v>7210</v>
      </c>
      <c r="I4878" s="783" t="s">
        <v>7211</v>
      </c>
      <c r="J4878" s="783" t="s">
        <v>7163</v>
      </c>
      <c r="K4878" s="783" t="s">
        <v>7164</v>
      </c>
      <c r="L4878" s="783" t="s">
        <v>7165</v>
      </c>
      <c r="M4878" s="784">
        <v>12436.98</v>
      </c>
      <c r="N4878" s="784">
        <v>3.81</v>
      </c>
      <c r="O4878" s="784">
        <v>20.149999999999999</v>
      </c>
      <c r="P4878" s="783">
        <v>162</v>
      </c>
      <c r="Q4878" s="783">
        <v>684.03</v>
      </c>
      <c r="R4878" s="783">
        <v>368.76</v>
      </c>
      <c r="S4878" s="783">
        <v>92.65</v>
      </c>
      <c r="T4878" s="783">
        <v>222.62</v>
      </c>
      <c r="U4878" s="785">
        <v>44634.391423611101</v>
      </c>
    </row>
    <row r="4879" spans="1:21">
      <c r="A4879" s="782">
        <v>44631</v>
      </c>
      <c r="B4879" s="783" t="s">
        <v>2617</v>
      </c>
      <c r="C4879" s="783" t="s">
        <v>7169</v>
      </c>
      <c r="D4879" s="783" t="s">
        <v>4038</v>
      </c>
      <c r="E4879" s="783" t="s">
        <v>7209</v>
      </c>
      <c r="F4879" s="783" t="s">
        <v>7160</v>
      </c>
      <c r="G4879" s="783" t="s">
        <v>4028</v>
      </c>
      <c r="H4879" s="783" t="s">
        <v>7210</v>
      </c>
      <c r="I4879" s="783" t="s">
        <v>7211</v>
      </c>
      <c r="J4879" s="783" t="s">
        <v>7163</v>
      </c>
      <c r="K4879" s="783" t="s">
        <v>7164</v>
      </c>
      <c r="L4879" s="783" t="s">
        <v>7165</v>
      </c>
      <c r="M4879" s="784">
        <v>6733.04</v>
      </c>
      <c r="N4879" s="784">
        <v>1.8</v>
      </c>
      <c r="O4879" s="784">
        <v>23.09</v>
      </c>
      <c r="P4879" s="783">
        <v>162</v>
      </c>
      <c r="Q4879" s="783">
        <v>370.32</v>
      </c>
      <c r="R4879" s="783">
        <v>221.52</v>
      </c>
      <c r="S4879" s="783">
        <v>28.28</v>
      </c>
      <c r="T4879" s="783">
        <v>120.52</v>
      </c>
      <c r="U4879" s="785">
        <v>44634.391423611101</v>
      </c>
    </row>
    <row r="4880" spans="1:21">
      <c r="A4880" s="782">
        <v>44630</v>
      </c>
      <c r="B4880" s="783" t="s">
        <v>65</v>
      </c>
      <c r="C4880" s="783" t="s">
        <v>4582</v>
      </c>
      <c r="D4880" s="783" t="s">
        <v>4193</v>
      </c>
      <c r="E4880" s="783" t="s">
        <v>7212</v>
      </c>
      <c r="F4880" s="783" t="s">
        <v>7160</v>
      </c>
      <c r="G4880" s="783" t="s">
        <v>4028</v>
      </c>
      <c r="H4880" s="783" t="s">
        <v>7213</v>
      </c>
      <c r="I4880" s="783" t="s">
        <v>7214</v>
      </c>
      <c r="J4880" s="783">
        <v>25</v>
      </c>
      <c r="K4880" s="783" t="s">
        <v>7164</v>
      </c>
      <c r="L4880" s="783" t="s">
        <v>7165</v>
      </c>
      <c r="M4880" s="784">
        <v>40349.919999999998</v>
      </c>
      <c r="N4880" s="784">
        <v>2.4700000000000002</v>
      </c>
      <c r="O4880" s="784">
        <v>40.840000000000003</v>
      </c>
      <c r="P4880" s="783">
        <v>400</v>
      </c>
      <c r="Q4880" s="783">
        <v>2885.02</v>
      </c>
      <c r="R4880" s="783">
        <v>740.34</v>
      </c>
      <c r="S4880" s="783">
        <v>1825.91</v>
      </c>
      <c r="T4880" s="783">
        <v>318.76</v>
      </c>
      <c r="U4880" s="785">
        <v>44631.631261574097</v>
      </c>
    </row>
    <row r="4881" spans="1:21">
      <c r="A4881" s="782">
        <v>44630</v>
      </c>
      <c r="B4881" s="783" t="s">
        <v>65</v>
      </c>
      <c r="C4881" s="783" t="s">
        <v>4582</v>
      </c>
      <c r="D4881" s="783" t="s">
        <v>4193</v>
      </c>
      <c r="E4881" s="783" t="s">
        <v>7212</v>
      </c>
      <c r="F4881" s="783" t="s">
        <v>7160</v>
      </c>
      <c r="G4881" s="783" t="s">
        <v>4028</v>
      </c>
      <c r="H4881" s="783" t="s">
        <v>7213</v>
      </c>
      <c r="I4881" s="783" t="s">
        <v>7214</v>
      </c>
      <c r="J4881" s="783">
        <v>25</v>
      </c>
      <c r="K4881" s="783" t="s">
        <v>7164</v>
      </c>
      <c r="L4881" s="783" t="s">
        <v>7165</v>
      </c>
      <c r="M4881" s="784">
        <v>183579.51999999999</v>
      </c>
      <c r="N4881" s="784">
        <v>11.78</v>
      </c>
      <c r="O4881" s="784">
        <v>38.96</v>
      </c>
      <c r="P4881" s="783">
        <v>400</v>
      </c>
      <c r="Q4881" s="783">
        <v>13125.94</v>
      </c>
      <c r="R4881" s="783">
        <v>5103.51</v>
      </c>
      <c r="S4881" s="783">
        <v>6572.15</v>
      </c>
      <c r="T4881" s="783">
        <v>1450.28</v>
      </c>
      <c r="U4881" s="785">
        <v>44631.631261574097</v>
      </c>
    </row>
    <row r="4882" spans="1:21">
      <c r="A4882" s="782">
        <v>44630</v>
      </c>
      <c r="B4882" s="783" t="s">
        <v>65</v>
      </c>
      <c r="C4882" s="783" t="s">
        <v>4582</v>
      </c>
      <c r="D4882" s="783" t="s">
        <v>4193</v>
      </c>
      <c r="E4882" s="783" t="s">
        <v>7212</v>
      </c>
      <c r="F4882" s="783" t="s">
        <v>7160</v>
      </c>
      <c r="G4882" s="783" t="s">
        <v>4028</v>
      </c>
      <c r="H4882" s="783" t="s">
        <v>7213</v>
      </c>
      <c r="I4882" s="783" t="s">
        <v>7214</v>
      </c>
      <c r="J4882" s="783">
        <v>25</v>
      </c>
      <c r="K4882" s="783" t="s">
        <v>7164</v>
      </c>
      <c r="L4882" s="783" t="s">
        <v>7165</v>
      </c>
      <c r="M4882" s="784">
        <v>61934.04</v>
      </c>
      <c r="N4882" s="784">
        <v>4.41</v>
      </c>
      <c r="O4882" s="784">
        <v>35.11</v>
      </c>
      <c r="P4882" s="783">
        <v>400</v>
      </c>
      <c r="Q4882" s="783">
        <v>4428.28</v>
      </c>
      <c r="R4882" s="783">
        <v>1136.3699999999999</v>
      </c>
      <c r="S4882" s="783">
        <v>2802.64</v>
      </c>
      <c r="T4882" s="783">
        <v>489.28</v>
      </c>
      <c r="U4882" s="785">
        <v>44631.631261574097</v>
      </c>
    </row>
    <row r="4883" spans="1:21">
      <c r="A4883" s="782">
        <v>44630</v>
      </c>
      <c r="B4883" s="783" t="s">
        <v>65</v>
      </c>
      <c r="C4883" s="783" t="s">
        <v>4582</v>
      </c>
      <c r="D4883" s="783" t="s">
        <v>4193</v>
      </c>
      <c r="E4883" s="783" t="s">
        <v>7212</v>
      </c>
      <c r="F4883" s="783" t="s">
        <v>7160</v>
      </c>
      <c r="G4883" s="783" t="s">
        <v>4028</v>
      </c>
      <c r="H4883" s="783" t="s">
        <v>7213</v>
      </c>
      <c r="I4883" s="783" t="s">
        <v>7214</v>
      </c>
      <c r="J4883" s="783">
        <v>25</v>
      </c>
      <c r="K4883" s="783" t="s">
        <v>7164</v>
      </c>
      <c r="L4883" s="783" t="s">
        <v>7165</v>
      </c>
      <c r="M4883" s="784">
        <v>5810</v>
      </c>
      <c r="N4883" s="784">
        <v>0.5</v>
      </c>
      <c r="O4883" s="784">
        <v>29.05</v>
      </c>
      <c r="P4883" s="783">
        <v>400</v>
      </c>
      <c r="Q4883" s="783">
        <v>415.42</v>
      </c>
      <c r="R4883" s="783">
        <v>57.34</v>
      </c>
      <c r="S4883" s="783">
        <v>312.18</v>
      </c>
      <c r="T4883" s="783">
        <v>45.9</v>
      </c>
      <c r="U4883" s="785">
        <v>44631.631261574097</v>
      </c>
    </row>
    <row r="4884" spans="1:21">
      <c r="A4884" s="782">
        <v>44630</v>
      </c>
      <c r="B4884" s="783" t="s">
        <v>65</v>
      </c>
      <c r="C4884" s="783" t="s">
        <v>4582</v>
      </c>
      <c r="D4884" s="783" t="s">
        <v>4193</v>
      </c>
      <c r="E4884" s="783" t="s">
        <v>7212</v>
      </c>
      <c r="F4884" s="783" t="s">
        <v>7160</v>
      </c>
      <c r="G4884" s="783" t="s">
        <v>4028</v>
      </c>
      <c r="H4884" s="783" t="s">
        <v>7213</v>
      </c>
      <c r="I4884" s="783" t="s">
        <v>7214</v>
      </c>
      <c r="J4884" s="783">
        <v>25</v>
      </c>
      <c r="K4884" s="783" t="s">
        <v>7164</v>
      </c>
      <c r="L4884" s="783" t="s">
        <v>7165</v>
      </c>
      <c r="M4884" s="784">
        <v>40112.800000000003</v>
      </c>
      <c r="N4884" s="784">
        <v>2.0299999999999998</v>
      </c>
      <c r="O4884" s="784">
        <v>39.520000000000003</v>
      </c>
      <c r="P4884" s="783">
        <v>500</v>
      </c>
      <c r="Q4884" s="783">
        <v>2868.07</v>
      </c>
      <c r="R4884" s="783">
        <v>423.75</v>
      </c>
      <c r="S4884" s="783">
        <v>2127.42</v>
      </c>
      <c r="T4884" s="783">
        <v>316.89</v>
      </c>
      <c r="U4884" s="785">
        <v>44631.631261574097</v>
      </c>
    </row>
    <row r="4885" spans="1:21">
      <c r="A4885" s="782">
        <v>44630</v>
      </c>
      <c r="B4885" s="783" t="s">
        <v>65</v>
      </c>
      <c r="C4885" s="783" t="s">
        <v>4491</v>
      </c>
      <c r="D4885" s="783" t="s">
        <v>4193</v>
      </c>
      <c r="E4885" s="783" t="s">
        <v>7215</v>
      </c>
      <c r="F4885" s="783" t="s">
        <v>7160</v>
      </c>
      <c r="G4885" s="783" t="s">
        <v>4028</v>
      </c>
      <c r="H4885" s="783" t="s">
        <v>7216</v>
      </c>
      <c r="I4885" s="783" t="s">
        <v>7217</v>
      </c>
      <c r="J4885" s="783" t="s">
        <v>7163</v>
      </c>
      <c r="K4885" s="783" t="s">
        <v>7164</v>
      </c>
      <c r="L4885" s="783" t="s">
        <v>7165</v>
      </c>
      <c r="M4885" s="784">
        <v>132253.24</v>
      </c>
      <c r="N4885" s="784">
        <v>13.21</v>
      </c>
      <c r="O4885" s="784">
        <v>32.4</v>
      </c>
      <c r="P4885" s="783">
        <v>309</v>
      </c>
      <c r="Q4885" s="783">
        <v>13899.82</v>
      </c>
      <c r="R4885" s="783">
        <v>7009.94</v>
      </c>
      <c r="S4885" s="783">
        <v>3147.11</v>
      </c>
      <c r="T4885" s="783">
        <v>3742.77</v>
      </c>
      <c r="U4885" s="785">
        <v>44631.6312384259</v>
      </c>
    </row>
    <row r="4886" spans="1:21">
      <c r="A4886" s="782">
        <v>44630</v>
      </c>
      <c r="B4886" s="783" t="s">
        <v>65</v>
      </c>
      <c r="C4886" s="783" t="s">
        <v>4491</v>
      </c>
      <c r="D4886" s="783" t="s">
        <v>4193</v>
      </c>
      <c r="E4886" s="783" t="s">
        <v>7215</v>
      </c>
      <c r="F4886" s="783" t="s">
        <v>7160</v>
      </c>
      <c r="G4886" s="783" t="s">
        <v>4028</v>
      </c>
      <c r="H4886" s="783" t="s">
        <v>7216</v>
      </c>
      <c r="I4886" s="783" t="s">
        <v>7217</v>
      </c>
      <c r="J4886" s="783" t="s">
        <v>7163</v>
      </c>
      <c r="K4886" s="783" t="s">
        <v>7164</v>
      </c>
      <c r="L4886" s="783" t="s">
        <v>7165</v>
      </c>
      <c r="M4886" s="784">
        <v>84140.62</v>
      </c>
      <c r="N4886" s="784">
        <v>8.41</v>
      </c>
      <c r="O4886" s="784">
        <v>47.87</v>
      </c>
      <c r="P4886" s="783">
        <v>209</v>
      </c>
      <c r="Q4886" s="783">
        <v>8843.18</v>
      </c>
      <c r="R4886" s="783">
        <v>5372.6</v>
      </c>
      <c r="S4886" s="783">
        <v>1089.4000000000001</v>
      </c>
      <c r="T4886" s="783">
        <v>2381.1799999999998</v>
      </c>
      <c r="U4886" s="785">
        <v>44631.6312384259</v>
      </c>
    </row>
    <row r="4887" spans="1:21">
      <c r="A4887" s="782">
        <v>44630</v>
      </c>
      <c r="B4887" s="783" t="s">
        <v>65</v>
      </c>
      <c r="C4887" s="783" t="s">
        <v>4491</v>
      </c>
      <c r="D4887" s="783" t="s">
        <v>4193</v>
      </c>
      <c r="E4887" s="783" t="s">
        <v>7215</v>
      </c>
      <c r="F4887" s="783" t="s">
        <v>7160</v>
      </c>
      <c r="G4887" s="783" t="s">
        <v>4028</v>
      </c>
      <c r="H4887" s="783" t="s">
        <v>7216</v>
      </c>
      <c r="I4887" s="783" t="s">
        <v>7217</v>
      </c>
      <c r="J4887" s="783" t="s">
        <v>7163</v>
      </c>
      <c r="K4887" s="783" t="s">
        <v>7164</v>
      </c>
      <c r="L4887" s="783" t="s">
        <v>7165</v>
      </c>
      <c r="M4887" s="784">
        <v>5100</v>
      </c>
      <c r="N4887" s="784">
        <v>0.51</v>
      </c>
      <c r="O4887" s="784">
        <v>40</v>
      </c>
      <c r="P4887" s="783">
        <v>250</v>
      </c>
      <c r="Q4887" s="783">
        <v>536.01</v>
      </c>
      <c r="R4887" s="783">
        <v>97.62</v>
      </c>
      <c r="S4887" s="783">
        <v>294.06</v>
      </c>
      <c r="T4887" s="783">
        <v>144.33000000000001</v>
      </c>
      <c r="U4887" s="785">
        <v>44631.6312384259</v>
      </c>
    </row>
    <row r="4888" spans="1:21">
      <c r="A4888" s="782">
        <v>44628</v>
      </c>
      <c r="B4888" s="783" t="s">
        <v>2617</v>
      </c>
      <c r="C4888" s="783" t="s">
        <v>7169</v>
      </c>
      <c r="D4888" s="783" t="s">
        <v>4038</v>
      </c>
      <c r="E4888" s="783" t="s">
        <v>7218</v>
      </c>
      <c r="F4888" s="783" t="s">
        <v>7160</v>
      </c>
      <c r="G4888" s="783" t="s">
        <v>4028</v>
      </c>
      <c r="H4888" s="783" t="s">
        <v>7219</v>
      </c>
      <c r="I4888" s="783" t="s">
        <v>7220</v>
      </c>
      <c r="J4888" s="783" t="s">
        <v>7163</v>
      </c>
      <c r="K4888" s="783" t="s">
        <v>7164</v>
      </c>
      <c r="L4888" s="783" t="s">
        <v>7165</v>
      </c>
      <c r="M4888" s="784">
        <v>50933.4</v>
      </c>
      <c r="N4888" s="784">
        <v>6.7</v>
      </c>
      <c r="O4888" s="784">
        <v>253.4</v>
      </c>
      <c r="P4888" s="783">
        <v>30</v>
      </c>
      <c r="Q4888" s="783">
        <v>2801.34</v>
      </c>
      <c r="R4888" s="783">
        <v>1675.71</v>
      </c>
      <c r="S4888" s="783">
        <v>213.92</v>
      </c>
      <c r="T4888" s="783">
        <v>911.71</v>
      </c>
      <c r="U4888" s="785">
        <v>44631.6344791667</v>
      </c>
    </row>
    <row r="4889" spans="1:21">
      <c r="A4889" s="782">
        <v>44628</v>
      </c>
      <c r="B4889" s="783" t="s">
        <v>2617</v>
      </c>
      <c r="C4889" s="783" t="s">
        <v>7169</v>
      </c>
      <c r="D4889" s="783" t="s">
        <v>4038</v>
      </c>
      <c r="E4889" s="783" t="s">
        <v>7218</v>
      </c>
      <c r="F4889" s="783" t="s">
        <v>7160</v>
      </c>
      <c r="G4889" s="783" t="s">
        <v>4028</v>
      </c>
      <c r="H4889" s="783" t="s">
        <v>7219</v>
      </c>
      <c r="I4889" s="783" t="s">
        <v>7220</v>
      </c>
      <c r="J4889" s="783" t="s">
        <v>7163</v>
      </c>
      <c r="K4889" s="783" t="s">
        <v>7164</v>
      </c>
      <c r="L4889" s="783" t="s">
        <v>7165</v>
      </c>
      <c r="M4889" s="784">
        <v>129566.43</v>
      </c>
      <c r="N4889" s="784">
        <v>16.829999999999998</v>
      </c>
      <c r="O4889" s="784">
        <v>124.17</v>
      </c>
      <c r="P4889" s="783">
        <v>62</v>
      </c>
      <c r="Q4889" s="783">
        <v>7126.15</v>
      </c>
      <c r="R4889" s="783">
        <v>4262.74</v>
      </c>
      <c r="S4889" s="783">
        <v>544.17999999999995</v>
      </c>
      <c r="T4889" s="783">
        <v>2319.2399999999998</v>
      </c>
      <c r="U4889" s="785">
        <v>44631.6344791667</v>
      </c>
    </row>
    <row r="4890" spans="1:21">
      <c r="A4890" s="782">
        <v>44628</v>
      </c>
      <c r="B4890" s="783" t="s">
        <v>2617</v>
      </c>
      <c r="C4890" s="783" t="s">
        <v>7169</v>
      </c>
      <c r="D4890" s="783" t="s">
        <v>4038</v>
      </c>
      <c r="E4890" s="783" t="s">
        <v>7218</v>
      </c>
      <c r="F4890" s="783" t="s">
        <v>7160</v>
      </c>
      <c r="G4890" s="783" t="s">
        <v>4028</v>
      </c>
      <c r="H4890" s="783" t="s">
        <v>7219</v>
      </c>
      <c r="I4890" s="783" t="s">
        <v>7220</v>
      </c>
      <c r="J4890" s="783" t="s">
        <v>7163</v>
      </c>
      <c r="K4890" s="783" t="s">
        <v>7164</v>
      </c>
      <c r="L4890" s="783" t="s">
        <v>7165</v>
      </c>
      <c r="M4890" s="784">
        <v>195390.52</v>
      </c>
      <c r="N4890" s="784">
        <v>24.8</v>
      </c>
      <c r="O4890" s="784">
        <v>92.69</v>
      </c>
      <c r="P4890" s="783">
        <v>85</v>
      </c>
      <c r="Q4890" s="783">
        <v>10746.48</v>
      </c>
      <c r="R4890" s="783">
        <v>6428.35</v>
      </c>
      <c r="S4890" s="783">
        <v>820.64</v>
      </c>
      <c r="T4890" s="783">
        <v>3497.49</v>
      </c>
      <c r="U4890" s="785">
        <v>44631.6344791667</v>
      </c>
    </row>
    <row r="4891" spans="1:21">
      <c r="A4891" s="782">
        <v>44628</v>
      </c>
      <c r="B4891" s="783" t="s">
        <v>2617</v>
      </c>
      <c r="C4891" s="783" t="s">
        <v>7169</v>
      </c>
      <c r="D4891" s="783" t="s">
        <v>4038</v>
      </c>
      <c r="E4891" s="783" t="s">
        <v>7218</v>
      </c>
      <c r="F4891" s="783" t="s">
        <v>7160</v>
      </c>
      <c r="G4891" s="783" t="s">
        <v>4028</v>
      </c>
      <c r="H4891" s="783" t="s">
        <v>7219</v>
      </c>
      <c r="I4891" s="783" t="s">
        <v>7220</v>
      </c>
      <c r="J4891" s="783" t="s">
        <v>7163</v>
      </c>
      <c r="K4891" s="783" t="s">
        <v>7164</v>
      </c>
      <c r="L4891" s="783" t="s">
        <v>7165</v>
      </c>
      <c r="M4891" s="784">
        <v>449070.44</v>
      </c>
      <c r="N4891" s="784">
        <v>57.65</v>
      </c>
      <c r="O4891" s="784">
        <v>97.37</v>
      </c>
      <c r="P4891" s="783">
        <v>80</v>
      </c>
      <c r="Q4891" s="783">
        <v>24698.87</v>
      </c>
      <c r="R4891" s="783">
        <v>14774.42</v>
      </c>
      <c r="S4891" s="783">
        <v>1886.1</v>
      </c>
      <c r="T4891" s="783">
        <v>8038.36</v>
      </c>
      <c r="U4891" s="785">
        <v>44631.6344791667</v>
      </c>
    </row>
    <row r="4892" spans="1:21">
      <c r="A4892" s="782">
        <v>44628</v>
      </c>
      <c r="B4892" s="783" t="s">
        <v>2617</v>
      </c>
      <c r="C4892" s="783" t="s">
        <v>7169</v>
      </c>
      <c r="D4892" s="783" t="s">
        <v>4038</v>
      </c>
      <c r="E4892" s="783" t="s">
        <v>7218</v>
      </c>
      <c r="F4892" s="783" t="s">
        <v>7160</v>
      </c>
      <c r="G4892" s="783" t="s">
        <v>4028</v>
      </c>
      <c r="H4892" s="783" t="s">
        <v>7219</v>
      </c>
      <c r="I4892" s="783" t="s">
        <v>7220</v>
      </c>
      <c r="J4892" s="783" t="s">
        <v>7163</v>
      </c>
      <c r="K4892" s="783" t="s">
        <v>7164</v>
      </c>
      <c r="L4892" s="783" t="s">
        <v>7165</v>
      </c>
      <c r="M4892" s="784">
        <v>49413.55</v>
      </c>
      <c r="N4892" s="784">
        <v>6.22</v>
      </c>
      <c r="O4892" s="784">
        <v>88.27</v>
      </c>
      <c r="P4892" s="783">
        <v>90</v>
      </c>
      <c r="Q4892" s="783">
        <v>2717.75</v>
      </c>
      <c r="R4892" s="783">
        <v>1625.71</v>
      </c>
      <c r="S4892" s="783">
        <v>207.54</v>
      </c>
      <c r="T4892" s="783">
        <v>884.5</v>
      </c>
      <c r="U4892" s="785">
        <v>44631.6344791667</v>
      </c>
    </row>
    <row r="4893" spans="1:21">
      <c r="A4893" s="782">
        <v>44628</v>
      </c>
      <c r="B4893" s="783" t="s">
        <v>2617</v>
      </c>
      <c r="C4893" s="783" t="s">
        <v>7169</v>
      </c>
      <c r="D4893" s="783" t="s">
        <v>4038</v>
      </c>
      <c r="E4893" s="783" t="s">
        <v>7218</v>
      </c>
      <c r="F4893" s="783" t="s">
        <v>7160</v>
      </c>
      <c r="G4893" s="783" t="s">
        <v>4028</v>
      </c>
      <c r="H4893" s="783" t="s">
        <v>7219</v>
      </c>
      <c r="I4893" s="783" t="s">
        <v>7220</v>
      </c>
      <c r="J4893" s="783" t="s">
        <v>7163</v>
      </c>
      <c r="K4893" s="783" t="s">
        <v>7164</v>
      </c>
      <c r="L4893" s="783" t="s">
        <v>7165</v>
      </c>
      <c r="M4893" s="784">
        <v>187600.78</v>
      </c>
      <c r="N4893" s="784">
        <v>24.23</v>
      </c>
      <c r="O4893" s="784">
        <v>61.94</v>
      </c>
      <c r="P4893" s="783">
        <v>125</v>
      </c>
      <c r="Q4893" s="783">
        <v>10318.040000000001</v>
      </c>
      <c r="R4893" s="783">
        <v>5628.92</v>
      </c>
      <c r="S4893" s="783">
        <v>1331.07</v>
      </c>
      <c r="T4893" s="783">
        <v>3358.05</v>
      </c>
      <c r="U4893" s="785">
        <v>44631.6344791667</v>
      </c>
    </row>
    <row r="4894" spans="1:21">
      <c r="A4894" s="782">
        <v>44601</v>
      </c>
      <c r="B4894" s="783" t="s">
        <v>65</v>
      </c>
      <c r="C4894" s="783" t="s">
        <v>4491</v>
      </c>
      <c r="D4894" s="783" t="s">
        <v>4193</v>
      </c>
      <c r="E4894" s="783" t="s">
        <v>7221</v>
      </c>
      <c r="F4894" s="783" t="s">
        <v>7160</v>
      </c>
      <c r="G4894" s="783" t="s">
        <v>4028</v>
      </c>
      <c r="H4894" s="783" t="s">
        <v>7222</v>
      </c>
      <c r="I4894" s="783" t="s">
        <v>7223</v>
      </c>
      <c r="J4894" s="783" t="s">
        <v>7163</v>
      </c>
      <c r="K4894" s="783" t="s">
        <v>7164</v>
      </c>
      <c r="L4894" s="783" t="s">
        <v>7165</v>
      </c>
      <c r="M4894" s="784">
        <v>75091.8</v>
      </c>
      <c r="N4894" s="784">
        <v>5</v>
      </c>
      <c r="O4894" s="784">
        <v>37.64</v>
      </c>
      <c r="P4894" s="783">
        <v>399</v>
      </c>
      <c r="Q4894" s="783">
        <v>5586.83</v>
      </c>
      <c r="R4894" s="783">
        <v>2181.4499999999998</v>
      </c>
      <c r="S4894" s="783">
        <v>1903.55</v>
      </c>
      <c r="T4894" s="783">
        <v>1501.84</v>
      </c>
      <c r="U4894" s="785">
        <v>44631.634351851899</v>
      </c>
    </row>
    <row r="4895" spans="1:21">
      <c r="A4895" s="782">
        <v>44601</v>
      </c>
      <c r="B4895" s="783" t="s">
        <v>65</v>
      </c>
      <c r="C4895" s="783" t="s">
        <v>4491</v>
      </c>
      <c r="D4895" s="783" t="s">
        <v>4193</v>
      </c>
      <c r="E4895" s="783" t="s">
        <v>7221</v>
      </c>
      <c r="F4895" s="783" t="s">
        <v>7160</v>
      </c>
      <c r="G4895" s="783" t="s">
        <v>4028</v>
      </c>
      <c r="H4895" s="783" t="s">
        <v>7222</v>
      </c>
      <c r="I4895" s="783" t="s">
        <v>7223</v>
      </c>
      <c r="J4895" s="783" t="s">
        <v>7163</v>
      </c>
      <c r="K4895" s="783" t="s">
        <v>7164</v>
      </c>
      <c r="L4895" s="783" t="s">
        <v>7165</v>
      </c>
      <c r="M4895" s="784">
        <v>171979.65</v>
      </c>
      <c r="N4895" s="784">
        <v>11.46</v>
      </c>
      <c r="O4895" s="784">
        <v>40.450000000000003</v>
      </c>
      <c r="P4895" s="783">
        <v>371</v>
      </c>
      <c r="Q4895" s="783">
        <v>12795.29</v>
      </c>
      <c r="R4895" s="783">
        <v>4378.1099999999997</v>
      </c>
      <c r="S4895" s="783">
        <v>4977.58</v>
      </c>
      <c r="T4895" s="783">
        <v>3439.59</v>
      </c>
      <c r="U4895" s="785">
        <v>44631.634351851899</v>
      </c>
    </row>
    <row r="4896" spans="1:21">
      <c r="A4896" s="782">
        <v>44601</v>
      </c>
      <c r="B4896" s="783" t="s">
        <v>65</v>
      </c>
      <c r="C4896" s="783" t="s">
        <v>4491</v>
      </c>
      <c r="D4896" s="783" t="s">
        <v>4193</v>
      </c>
      <c r="E4896" s="783" t="s">
        <v>7221</v>
      </c>
      <c r="F4896" s="783" t="s">
        <v>7160</v>
      </c>
      <c r="G4896" s="783" t="s">
        <v>4028</v>
      </c>
      <c r="H4896" s="783" t="s">
        <v>7222</v>
      </c>
      <c r="I4896" s="783" t="s">
        <v>7223</v>
      </c>
      <c r="J4896" s="783" t="s">
        <v>7163</v>
      </c>
      <c r="K4896" s="783" t="s">
        <v>7164</v>
      </c>
      <c r="L4896" s="783" t="s">
        <v>7165</v>
      </c>
      <c r="M4896" s="784">
        <v>6895.97</v>
      </c>
      <c r="N4896" s="784">
        <v>0.46</v>
      </c>
      <c r="O4896" s="784">
        <v>33.24</v>
      </c>
      <c r="P4896" s="783">
        <v>451</v>
      </c>
      <c r="Q4896" s="783">
        <v>513.05999999999995</v>
      </c>
      <c r="R4896" s="783">
        <v>51.78</v>
      </c>
      <c r="S4896" s="783">
        <v>323.36</v>
      </c>
      <c r="T4896" s="783">
        <v>137.91999999999999</v>
      </c>
      <c r="U4896" s="785">
        <v>44631.634351851899</v>
      </c>
    </row>
    <row r="4897" spans="1:21">
      <c r="A4897" s="782">
        <v>44598</v>
      </c>
      <c r="B4897" s="783" t="s">
        <v>65</v>
      </c>
      <c r="C4897" s="783" t="s">
        <v>4491</v>
      </c>
      <c r="D4897" s="783" t="s">
        <v>4193</v>
      </c>
      <c r="E4897" s="783" t="s">
        <v>7224</v>
      </c>
      <c r="F4897" s="783" t="s">
        <v>7160</v>
      </c>
      <c r="G4897" s="783" t="s">
        <v>4028</v>
      </c>
      <c r="H4897" s="783" t="s">
        <v>7225</v>
      </c>
      <c r="I4897" s="783" t="s">
        <v>7226</v>
      </c>
      <c r="J4897" s="783" t="s">
        <v>7163</v>
      </c>
      <c r="K4897" s="783" t="s">
        <v>7164</v>
      </c>
      <c r="L4897" s="783" t="s">
        <v>7165</v>
      </c>
      <c r="M4897" s="784">
        <v>30003.3</v>
      </c>
      <c r="N4897" s="784">
        <v>3</v>
      </c>
      <c r="O4897" s="784">
        <v>27.03</v>
      </c>
      <c r="P4897" s="783">
        <v>370</v>
      </c>
      <c r="Q4897" s="783">
        <v>2628.29</v>
      </c>
      <c r="R4897" s="783">
        <v>322.99</v>
      </c>
      <c r="S4897" s="783">
        <v>1594.22</v>
      </c>
      <c r="T4897" s="783">
        <v>711.08</v>
      </c>
      <c r="U4897" s="785">
        <v>44631.6312847222</v>
      </c>
    </row>
    <row r="4898" spans="1:21">
      <c r="A4898" s="782">
        <v>44598</v>
      </c>
      <c r="B4898" s="783" t="s">
        <v>65</v>
      </c>
      <c r="C4898" s="783" t="s">
        <v>4491</v>
      </c>
      <c r="D4898" s="783" t="s">
        <v>4193</v>
      </c>
      <c r="E4898" s="783" t="s">
        <v>7224</v>
      </c>
      <c r="F4898" s="783" t="s">
        <v>7160</v>
      </c>
      <c r="G4898" s="783" t="s">
        <v>4028</v>
      </c>
      <c r="H4898" s="783" t="s">
        <v>7225</v>
      </c>
      <c r="I4898" s="783" t="s">
        <v>7226</v>
      </c>
      <c r="J4898" s="783" t="s">
        <v>7163</v>
      </c>
      <c r="K4898" s="783" t="s">
        <v>7164</v>
      </c>
      <c r="L4898" s="783" t="s">
        <v>7165</v>
      </c>
      <c r="M4898" s="784">
        <v>9500.33</v>
      </c>
      <c r="N4898" s="784">
        <v>0.95</v>
      </c>
      <c r="O4898" s="784">
        <v>28.17</v>
      </c>
      <c r="P4898" s="783">
        <v>355</v>
      </c>
      <c r="Q4898" s="783">
        <v>832.23</v>
      </c>
      <c r="R4898" s="783">
        <v>106.59</v>
      </c>
      <c r="S4898" s="783">
        <v>500.48</v>
      </c>
      <c r="T4898" s="783">
        <v>225.16</v>
      </c>
      <c r="U4898" s="785">
        <v>44631.6312847222</v>
      </c>
    </row>
    <row r="4899" spans="1:21">
      <c r="A4899" s="782">
        <v>44620</v>
      </c>
      <c r="B4899" s="783" t="s">
        <v>41</v>
      </c>
      <c r="C4899" s="783" t="s">
        <v>4082</v>
      </c>
      <c r="D4899" s="783" t="s">
        <v>4009</v>
      </c>
      <c r="E4899" s="783" t="s">
        <v>7227</v>
      </c>
      <c r="F4899" s="783" t="s">
        <v>7160</v>
      </c>
      <c r="G4899" s="783" t="s">
        <v>4028</v>
      </c>
      <c r="H4899" s="783" t="s">
        <v>7228</v>
      </c>
      <c r="I4899" s="783" t="s">
        <v>7229</v>
      </c>
      <c r="J4899" s="783" t="s">
        <v>7163</v>
      </c>
      <c r="K4899" s="783" t="s">
        <v>7164</v>
      </c>
      <c r="L4899" s="783" t="s">
        <v>7165</v>
      </c>
      <c r="M4899" s="784">
        <v>124873.41</v>
      </c>
      <c r="N4899" s="784">
        <v>11.32</v>
      </c>
      <c r="O4899" s="784">
        <v>109.22</v>
      </c>
      <c r="P4899" s="783">
        <v>101</v>
      </c>
      <c r="Q4899" s="783">
        <v>13398.92</v>
      </c>
      <c r="R4899" s="783">
        <v>9265.61</v>
      </c>
      <c r="S4899" s="783">
        <v>1323.66</v>
      </c>
      <c r="T4899" s="783">
        <v>2809.65</v>
      </c>
      <c r="U4899" s="785">
        <v>44645.606284722198</v>
      </c>
    </row>
    <row r="4900" spans="1:21">
      <c r="A4900" s="782">
        <v>44620</v>
      </c>
      <c r="B4900" s="783" t="s">
        <v>41</v>
      </c>
      <c r="C4900" s="783" t="s">
        <v>4082</v>
      </c>
      <c r="D4900" s="783" t="s">
        <v>4009</v>
      </c>
      <c r="E4900" s="783" t="s">
        <v>7227</v>
      </c>
      <c r="F4900" s="783" t="s">
        <v>7160</v>
      </c>
      <c r="G4900" s="783" t="s">
        <v>4028</v>
      </c>
      <c r="H4900" s="783" t="s">
        <v>7228</v>
      </c>
      <c r="I4900" s="783" t="s">
        <v>7229</v>
      </c>
      <c r="J4900" s="783" t="s">
        <v>7163</v>
      </c>
      <c r="K4900" s="783" t="s">
        <v>7164</v>
      </c>
      <c r="L4900" s="783" t="s">
        <v>7165</v>
      </c>
      <c r="M4900" s="784">
        <v>772.19</v>
      </c>
      <c r="N4900" s="784">
        <v>7.0000000000000007E-2</v>
      </c>
      <c r="O4900" s="784">
        <v>109.22</v>
      </c>
      <c r="P4900" s="783">
        <v>101</v>
      </c>
      <c r="Q4900" s="783">
        <v>82.86</v>
      </c>
      <c r="R4900" s="783">
        <v>57.3</v>
      </c>
      <c r="S4900" s="783">
        <v>8.19</v>
      </c>
      <c r="T4900" s="783">
        <v>17.37</v>
      </c>
      <c r="U4900" s="785">
        <v>44645.606284722198</v>
      </c>
    </row>
    <row r="4901" spans="1:21">
      <c r="A4901" s="782">
        <v>44622</v>
      </c>
      <c r="B4901" s="783" t="s">
        <v>41</v>
      </c>
      <c r="C4901" s="783" t="s">
        <v>4082</v>
      </c>
      <c r="D4901" s="783" t="s">
        <v>4009</v>
      </c>
      <c r="E4901" s="783" t="s">
        <v>2206</v>
      </c>
      <c r="F4901" s="783" t="s">
        <v>7160</v>
      </c>
      <c r="G4901" s="783" t="s">
        <v>4028</v>
      </c>
      <c r="H4901" s="783" t="s">
        <v>7230</v>
      </c>
      <c r="I4901" s="783" t="s">
        <v>7231</v>
      </c>
      <c r="J4901" s="783" t="s">
        <v>7163</v>
      </c>
      <c r="K4901" s="783" t="s">
        <v>7164</v>
      </c>
      <c r="L4901" s="783" t="s">
        <v>7165</v>
      </c>
      <c r="M4901" s="784">
        <v>527391.15</v>
      </c>
      <c r="N4901" s="784">
        <v>57.18</v>
      </c>
      <c r="O4901" s="784">
        <v>108.51</v>
      </c>
      <c r="P4901" s="783">
        <v>85</v>
      </c>
      <c r="Q4901" s="783">
        <v>47148.77</v>
      </c>
      <c r="R4901" s="783">
        <v>32645.51</v>
      </c>
      <c r="S4901" s="783">
        <v>4641.04</v>
      </c>
      <c r="T4901" s="783">
        <v>9862.2099999999991</v>
      </c>
      <c r="U4901" s="785">
        <v>44638.583518518499</v>
      </c>
    </row>
    <row r="4902" spans="1:21">
      <c r="A4902" s="782">
        <v>44635</v>
      </c>
      <c r="B4902" s="783" t="s">
        <v>65</v>
      </c>
      <c r="C4902" s="783" t="s">
        <v>4026</v>
      </c>
      <c r="D4902" s="783" t="s">
        <v>4021</v>
      </c>
      <c r="E4902" s="783" t="s">
        <v>7232</v>
      </c>
      <c r="F4902" s="783" t="s">
        <v>7160</v>
      </c>
      <c r="G4902" s="783" t="s">
        <v>4028</v>
      </c>
      <c r="H4902" s="783" t="s">
        <v>7233</v>
      </c>
      <c r="I4902" s="783" t="s">
        <v>7234</v>
      </c>
      <c r="J4902" s="783" t="s">
        <v>7163</v>
      </c>
      <c r="K4902" s="783" t="s">
        <v>7164</v>
      </c>
      <c r="L4902" s="783" t="s">
        <v>7165</v>
      </c>
      <c r="M4902" s="784">
        <v>182559.6</v>
      </c>
      <c r="N4902" s="784">
        <v>3.06</v>
      </c>
      <c r="O4902" s="784">
        <v>59.66</v>
      </c>
      <c r="P4902" s="783">
        <v>1000</v>
      </c>
      <c r="Q4902" s="783">
        <v>14896.86</v>
      </c>
      <c r="R4902" s="783">
        <v>3690.39</v>
      </c>
      <c r="S4902" s="783">
        <v>6660.74</v>
      </c>
      <c r="T4902" s="783">
        <v>4545.7299999999996</v>
      </c>
      <c r="U4902" s="785">
        <v>44635.750162037002</v>
      </c>
    </row>
    <row r="4903" spans="1:21">
      <c r="A4903" s="782">
        <v>44635</v>
      </c>
      <c r="B4903" s="783" t="s">
        <v>65</v>
      </c>
      <c r="C4903" s="783" t="s">
        <v>4026</v>
      </c>
      <c r="D4903" s="783" t="s">
        <v>4021</v>
      </c>
      <c r="E4903" s="783" t="s">
        <v>7232</v>
      </c>
      <c r="F4903" s="783" t="s">
        <v>7160</v>
      </c>
      <c r="G4903" s="783" t="s">
        <v>4028</v>
      </c>
      <c r="H4903" s="783" t="s">
        <v>7233</v>
      </c>
      <c r="I4903" s="783" t="s">
        <v>7234</v>
      </c>
      <c r="J4903" s="783" t="s">
        <v>7163</v>
      </c>
      <c r="K4903" s="783" t="s">
        <v>7164</v>
      </c>
      <c r="L4903" s="783" t="s">
        <v>7165</v>
      </c>
      <c r="M4903" s="784">
        <v>28891.5</v>
      </c>
      <c r="N4903" s="784">
        <v>0.51</v>
      </c>
      <c r="O4903" s="784">
        <v>56.65</v>
      </c>
      <c r="P4903" s="783">
        <v>1000</v>
      </c>
      <c r="Q4903" s="783">
        <v>2357.5500000000002</v>
      </c>
      <c r="R4903" s="783">
        <v>601.96</v>
      </c>
      <c r="S4903" s="783">
        <v>1036.19</v>
      </c>
      <c r="T4903" s="783">
        <v>719.4</v>
      </c>
      <c r="U4903" s="785">
        <v>44635.750162037002</v>
      </c>
    </row>
    <row r="4904" spans="1:21">
      <c r="A4904" s="782">
        <v>44635</v>
      </c>
      <c r="B4904" s="783" t="s">
        <v>65</v>
      </c>
      <c r="C4904" s="783" t="s">
        <v>4026</v>
      </c>
      <c r="D4904" s="783" t="s">
        <v>4021</v>
      </c>
      <c r="E4904" s="783" t="s">
        <v>7232</v>
      </c>
      <c r="F4904" s="783" t="s">
        <v>7160</v>
      </c>
      <c r="G4904" s="783" t="s">
        <v>4028</v>
      </c>
      <c r="H4904" s="783" t="s">
        <v>7233</v>
      </c>
      <c r="I4904" s="783" t="s">
        <v>7234</v>
      </c>
      <c r="J4904" s="783" t="s">
        <v>7163</v>
      </c>
      <c r="K4904" s="783" t="s">
        <v>7164</v>
      </c>
      <c r="L4904" s="783" t="s">
        <v>7165</v>
      </c>
      <c r="M4904" s="784">
        <v>32836.519999999997</v>
      </c>
      <c r="N4904" s="784">
        <v>0.86</v>
      </c>
      <c r="O4904" s="784">
        <v>44.92</v>
      </c>
      <c r="P4904" s="783">
        <v>850</v>
      </c>
      <c r="Q4904" s="783">
        <v>2679.46</v>
      </c>
      <c r="R4904" s="783">
        <v>890.77</v>
      </c>
      <c r="S4904" s="783">
        <v>971.06</v>
      </c>
      <c r="T4904" s="783">
        <v>817.63</v>
      </c>
      <c r="U4904" s="785">
        <v>44635.750162037002</v>
      </c>
    </row>
    <row r="4905" spans="1:21">
      <c r="A4905" s="782">
        <v>44635</v>
      </c>
      <c r="B4905" s="783" t="s">
        <v>65</v>
      </c>
      <c r="C4905" s="783" t="s">
        <v>4026</v>
      </c>
      <c r="D4905" s="783" t="s">
        <v>4021</v>
      </c>
      <c r="E4905" s="783" t="s">
        <v>7232</v>
      </c>
      <c r="F4905" s="783" t="s">
        <v>7160</v>
      </c>
      <c r="G4905" s="783" t="s">
        <v>4028</v>
      </c>
      <c r="H4905" s="783" t="s">
        <v>7233</v>
      </c>
      <c r="I4905" s="783" t="s">
        <v>7234</v>
      </c>
      <c r="J4905" s="783" t="s">
        <v>7163</v>
      </c>
      <c r="K4905" s="783" t="s">
        <v>7164</v>
      </c>
      <c r="L4905" s="783" t="s">
        <v>7165</v>
      </c>
      <c r="M4905" s="784">
        <v>13305.6</v>
      </c>
      <c r="N4905" s="784">
        <v>0.33</v>
      </c>
      <c r="O4905" s="784">
        <v>57.6</v>
      </c>
      <c r="P4905" s="783">
        <v>700</v>
      </c>
      <c r="Q4905" s="783">
        <v>1085.74</v>
      </c>
      <c r="R4905" s="783">
        <v>384.24</v>
      </c>
      <c r="S4905" s="783">
        <v>370.19</v>
      </c>
      <c r="T4905" s="783">
        <v>331.31</v>
      </c>
      <c r="U4905" s="785">
        <v>44635.750162037002</v>
      </c>
    </row>
    <row r="4906" spans="1:21">
      <c r="A4906" s="782">
        <v>44635</v>
      </c>
      <c r="B4906" s="783" t="s">
        <v>65</v>
      </c>
      <c r="C4906" s="783" t="s">
        <v>4026</v>
      </c>
      <c r="D4906" s="783" t="s">
        <v>4021</v>
      </c>
      <c r="E4906" s="783" t="s">
        <v>7232</v>
      </c>
      <c r="F4906" s="783" t="s">
        <v>7160</v>
      </c>
      <c r="G4906" s="783" t="s">
        <v>4028</v>
      </c>
      <c r="H4906" s="783" t="s">
        <v>7233</v>
      </c>
      <c r="I4906" s="783" t="s">
        <v>7234</v>
      </c>
      <c r="J4906" s="783" t="s">
        <v>7163</v>
      </c>
      <c r="K4906" s="783" t="s">
        <v>7164</v>
      </c>
      <c r="L4906" s="783" t="s">
        <v>7165</v>
      </c>
      <c r="M4906" s="784">
        <v>8324.4</v>
      </c>
      <c r="N4906" s="784">
        <v>0.42</v>
      </c>
      <c r="O4906" s="784">
        <v>49.55</v>
      </c>
      <c r="P4906" s="783">
        <v>400</v>
      </c>
      <c r="Q4906" s="783">
        <v>679.27</v>
      </c>
      <c r="R4906" s="783">
        <v>332.46</v>
      </c>
      <c r="S4906" s="783">
        <v>139.53</v>
      </c>
      <c r="T4906" s="783">
        <v>207.28</v>
      </c>
      <c r="U4906" s="785">
        <v>44635.750162037002</v>
      </c>
    </row>
    <row r="4907" spans="1:21">
      <c r="A4907" s="782">
        <v>44640</v>
      </c>
      <c r="B4907" s="783" t="s">
        <v>2617</v>
      </c>
      <c r="C4907" s="783" t="s">
        <v>7169</v>
      </c>
      <c r="D4907" s="783" t="s">
        <v>4038</v>
      </c>
      <c r="E4907" s="783" t="s">
        <v>3459</v>
      </c>
      <c r="F4907" s="783" t="s">
        <v>7160</v>
      </c>
      <c r="G4907" s="783" t="s">
        <v>4028</v>
      </c>
      <c r="H4907" s="783" t="s">
        <v>7235</v>
      </c>
      <c r="I4907" s="783" t="s">
        <v>7236</v>
      </c>
      <c r="J4907" s="783">
        <v>25</v>
      </c>
      <c r="K4907" s="783" t="s">
        <v>7164</v>
      </c>
      <c r="L4907" s="783" t="s">
        <v>7165</v>
      </c>
      <c r="M4907" s="784">
        <v>13680</v>
      </c>
      <c r="N4907" s="784">
        <v>2.25</v>
      </c>
      <c r="O4907" s="784">
        <v>76</v>
      </c>
      <c r="P4907" s="783">
        <v>80</v>
      </c>
      <c r="Q4907" s="783">
        <v>566.35</v>
      </c>
      <c r="R4907" s="783">
        <v>425.45</v>
      </c>
      <c r="S4907" s="783">
        <v>54.72</v>
      </c>
      <c r="T4907" s="783">
        <v>86.18</v>
      </c>
      <c r="U4907" s="785">
        <v>44645.417106481502</v>
      </c>
    </row>
    <row r="4908" spans="1:21">
      <c r="A4908" s="782">
        <v>44640</v>
      </c>
      <c r="B4908" s="783" t="s">
        <v>2617</v>
      </c>
      <c r="C4908" s="783" t="s">
        <v>7169</v>
      </c>
      <c r="D4908" s="783" t="s">
        <v>4038</v>
      </c>
      <c r="E4908" s="783" t="s">
        <v>3459</v>
      </c>
      <c r="F4908" s="783" t="s">
        <v>7160</v>
      </c>
      <c r="G4908" s="783" t="s">
        <v>4028</v>
      </c>
      <c r="H4908" s="783" t="s">
        <v>7235</v>
      </c>
      <c r="I4908" s="783" t="s">
        <v>7236</v>
      </c>
      <c r="J4908" s="783">
        <v>25</v>
      </c>
      <c r="K4908" s="783" t="s">
        <v>7164</v>
      </c>
      <c r="L4908" s="783" t="s">
        <v>7165</v>
      </c>
      <c r="M4908" s="784">
        <v>12074.81</v>
      </c>
      <c r="N4908" s="784">
        <v>3.31</v>
      </c>
      <c r="O4908" s="784">
        <v>25.69</v>
      </c>
      <c r="P4908" s="783">
        <v>142</v>
      </c>
      <c r="Q4908" s="783">
        <v>499.9</v>
      </c>
      <c r="R4908" s="783">
        <v>375.53</v>
      </c>
      <c r="S4908" s="783">
        <v>48.3</v>
      </c>
      <c r="T4908" s="783">
        <v>76.069999999999993</v>
      </c>
      <c r="U4908" s="785">
        <v>44645.417106481502</v>
      </c>
    </row>
    <row r="4909" spans="1:21">
      <c r="A4909" s="782">
        <v>44640</v>
      </c>
      <c r="B4909" s="783" t="s">
        <v>2617</v>
      </c>
      <c r="C4909" s="783" t="s">
        <v>7169</v>
      </c>
      <c r="D4909" s="783" t="s">
        <v>4038</v>
      </c>
      <c r="E4909" s="783" t="s">
        <v>3459</v>
      </c>
      <c r="F4909" s="783" t="s">
        <v>7160</v>
      </c>
      <c r="G4909" s="783" t="s">
        <v>4028</v>
      </c>
      <c r="H4909" s="783" t="s">
        <v>7235</v>
      </c>
      <c r="I4909" s="783" t="s">
        <v>7236</v>
      </c>
      <c r="J4909" s="783">
        <v>25</v>
      </c>
      <c r="K4909" s="783" t="s">
        <v>7164</v>
      </c>
      <c r="L4909" s="783" t="s">
        <v>7165</v>
      </c>
      <c r="M4909" s="784">
        <v>35447.040000000001</v>
      </c>
      <c r="N4909" s="784">
        <v>6.12</v>
      </c>
      <c r="O4909" s="784">
        <v>72.400000000000006</v>
      </c>
      <c r="P4909" s="783">
        <v>80</v>
      </c>
      <c r="Q4909" s="783">
        <v>1467.51</v>
      </c>
      <c r="R4909" s="783">
        <v>1102.4000000000001</v>
      </c>
      <c r="S4909" s="783">
        <v>141.79</v>
      </c>
      <c r="T4909" s="783">
        <v>223.32</v>
      </c>
      <c r="U4909" s="785">
        <v>44645.417106481502</v>
      </c>
    </row>
    <row r="4910" spans="1:21">
      <c r="A4910" s="782">
        <v>44640</v>
      </c>
      <c r="B4910" s="783" t="s">
        <v>2617</v>
      </c>
      <c r="C4910" s="783" t="s">
        <v>7169</v>
      </c>
      <c r="D4910" s="783" t="s">
        <v>4038</v>
      </c>
      <c r="E4910" s="783" t="s">
        <v>3459</v>
      </c>
      <c r="F4910" s="783" t="s">
        <v>7160</v>
      </c>
      <c r="G4910" s="783" t="s">
        <v>4028</v>
      </c>
      <c r="H4910" s="783" t="s">
        <v>7235</v>
      </c>
      <c r="I4910" s="783" t="s">
        <v>7236</v>
      </c>
      <c r="J4910" s="783">
        <v>25</v>
      </c>
      <c r="K4910" s="783" t="s">
        <v>7164</v>
      </c>
      <c r="L4910" s="783" t="s">
        <v>7165</v>
      </c>
      <c r="M4910" s="784">
        <v>109075.2</v>
      </c>
      <c r="N4910" s="784">
        <v>17.940000000000001</v>
      </c>
      <c r="O4910" s="784">
        <v>76</v>
      </c>
      <c r="P4910" s="783">
        <v>80</v>
      </c>
      <c r="Q4910" s="783">
        <v>4515.71</v>
      </c>
      <c r="R4910" s="783">
        <v>3392.24</v>
      </c>
      <c r="S4910" s="783">
        <v>436.3</v>
      </c>
      <c r="T4910" s="783">
        <v>687.17</v>
      </c>
      <c r="U4910" s="785">
        <v>44645.417106481502</v>
      </c>
    </row>
    <row r="4911" spans="1:21">
      <c r="A4911" s="782">
        <v>44652</v>
      </c>
      <c r="B4911" s="783" t="s">
        <v>65</v>
      </c>
      <c r="C4911" s="783" t="s">
        <v>5313</v>
      </c>
      <c r="D4911" s="783" t="s">
        <v>4009</v>
      </c>
      <c r="E4911" s="783" t="s">
        <v>7237</v>
      </c>
      <c r="F4911" s="783" t="s">
        <v>7160</v>
      </c>
      <c r="G4911" s="783" t="s">
        <v>4028</v>
      </c>
      <c r="H4911" s="783" t="s">
        <v>7238</v>
      </c>
      <c r="I4911" s="783" t="s">
        <v>7239</v>
      </c>
      <c r="J4911" s="783">
        <v>25</v>
      </c>
      <c r="K4911" s="783" t="s">
        <v>7164</v>
      </c>
      <c r="L4911" s="783" t="s">
        <v>7165</v>
      </c>
      <c r="M4911" s="784">
        <v>74960.38</v>
      </c>
      <c r="N4911" s="784">
        <v>11.78</v>
      </c>
      <c r="O4911" s="784">
        <v>12.96</v>
      </c>
      <c r="P4911" s="783">
        <v>491</v>
      </c>
      <c r="Q4911" s="783">
        <v>4812.46</v>
      </c>
      <c r="R4911" s="783">
        <v>2037.58</v>
      </c>
      <c r="S4911" s="783">
        <v>2160.1999999999998</v>
      </c>
      <c r="T4911" s="783">
        <v>614.67999999999995</v>
      </c>
      <c r="U4911" s="785">
        <v>44662.668449074103</v>
      </c>
    </row>
    <row r="4912" spans="1:21">
      <c r="A4912" s="782">
        <v>44652</v>
      </c>
      <c r="B4912" s="783" t="s">
        <v>65</v>
      </c>
      <c r="C4912" s="783" t="s">
        <v>5313</v>
      </c>
      <c r="D4912" s="783" t="s">
        <v>4009</v>
      </c>
      <c r="E4912" s="783" t="s">
        <v>7237</v>
      </c>
      <c r="F4912" s="783" t="s">
        <v>7160</v>
      </c>
      <c r="G4912" s="783" t="s">
        <v>4028</v>
      </c>
      <c r="H4912" s="783" t="s">
        <v>7238</v>
      </c>
      <c r="I4912" s="783" t="s">
        <v>7239</v>
      </c>
      <c r="J4912" s="783">
        <v>25</v>
      </c>
      <c r="K4912" s="783" t="s">
        <v>7164</v>
      </c>
      <c r="L4912" s="783" t="s">
        <v>7165</v>
      </c>
      <c r="M4912" s="784">
        <v>6408.95</v>
      </c>
      <c r="N4912" s="784">
        <v>2.68</v>
      </c>
      <c r="O4912" s="784">
        <v>21.74</v>
      </c>
      <c r="P4912" s="783">
        <v>110</v>
      </c>
      <c r="Q4912" s="783">
        <v>411.45</v>
      </c>
      <c r="R4912" s="783">
        <v>319.17</v>
      </c>
      <c r="S4912" s="783">
        <v>39.74</v>
      </c>
      <c r="T4912" s="783">
        <v>52.55</v>
      </c>
      <c r="U4912" s="785">
        <v>44662.668449074103</v>
      </c>
    </row>
    <row r="4913" spans="1:21">
      <c r="A4913" s="782">
        <v>44652</v>
      </c>
      <c r="B4913" s="783" t="s">
        <v>65</v>
      </c>
      <c r="C4913" s="783" t="s">
        <v>5313</v>
      </c>
      <c r="D4913" s="783" t="s">
        <v>4009</v>
      </c>
      <c r="E4913" s="783" t="s">
        <v>7237</v>
      </c>
      <c r="F4913" s="783" t="s">
        <v>7160</v>
      </c>
      <c r="G4913" s="783" t="s">
        <v>4028</v>
      </c>
      <c r="H4913" s="783" t="s">
        <v>7238</v>
      </c>
      <c r="I4913" s="783" t="s">
        <v>7239</v>
      </c>
      <c r="J4913" s="783">
        <v>25</v>
      </c>
      <c r="K4913" s="783" t="s">
        <v>7164</v>
      </c>
      <c r="L4913" s="783" t="s">
        <v>7165</v>
      </c>
      <c r="M4913" s="784">
        <v>12624.04</v>
      </c>
      <c r="N4913" s="784">
        <v>2.6</v>
      </c>
      <c r="O4913" s="784">
        <v>44.14</v>
      </c>
      <c r="P4913" s="783">
        <v>110</v>
      </c>
      <c r="Q4913" s="783">
        <v>810.46</v>
      </c>
      <c r="R4913" s="783">
        <v>628.67999999999995</v>
      </c>
      <c r="S4913" s="783">
        <v>78.27</v>
      </c>
      <c r="T4913" s="783">
        <v>103.52</v>
      </c>
      <c r="U4913" s="785">
        <v>44662.668449074103</v>
      </c>
    </row>
    <row r="4914" spans="1:21">
      <c r="A4914" s="782">
        <v>44652</v>
      </c>
      <c r="B4914" s="783" t="s">
        <v>65</v>
      </c>
      <c r="C4914" s="783" t="s">
        <v>5313</v>
      </c>
      <c r="D4914" s="783" t="s">
        <v>4009</v>
      </c>
      <c r="E4914" s="783" t="s">
        <v>7237</v>
      </c>
      <c r="F4914" s="783" t="s">
        <v>7160</v>
      </c>
      <c r="G4914" s="783" t="s">
        <v>4028</v>
      </c>
      <c r="H4914" s="783" t="s">
        <v>7238</v>
      </c>
      <c r="I4914" s="783" t="s">
        <v>7239</v>
      </c>
      <c r="J4914" s="783">
        <v>25</v>
      </c>
      <c r="K4914" s="783" t="s">
        <v>7164</v>
      </c>
      <c r="L4914" s="783" t="s">
        <v>7165</v>
      </c>
      <c r="M4914" s="784">
        <v>65315.25</v>
      </c>
      <c r="N4914" s="784">
        <v>5.22</v>
      </c>
      <c r="O4914" s="784">
        <v>32.5</v>
      </c>
      <c r="P4914" s="783">
        <v>385</v>
      </c>
      <c r="Q4914" s="783">
        <v>4193.24</v>
      </c>
      <c r="R4914" s="783">
        <v>1774.2</v>
      </c>
      <c r="S4914" s="783">
        <v>1883.45</v>
      </c>
      <c r="T4914" s="783">
        <v>535.59</v>
      </c>
      <c r="U4914" s="785">
        <v>44662.668449074103</v>
      </c>
    </row>
    <row r="4915" spans="1:21">
      <c r="A4915" s="782">
        <v>44652</v>
      </c>
      <c r="B4915" s="783" t="s">
        <v>65</v>
      </c>
      <c r="C4915" s="783" t="s">
        <v>5313</v>
      </c>
      <c r="D4915" s="783" t="s">
        <v>4009</v>
      </c>
      <c r="E4915" s="783" t="s">
        <v>7237</v>
      </c>
      <c r="F4915" s="783" t="s">
        <v>7160</v>
      </c>
      <c r="G4915" s="783" t="s">
        <v>4028</v>
      </c>
      <c r="H4915" s="783" t="s">
        <v>7238</v>
      </c>
      <c r="I4915" s="783" t="s">
        <v>7239</v>
      </c>
      <c r="J4915" s="783">
        <v>25</v>
      </c>
      <c r="K4915" s="783" t="s">
        <v>7164</v>
      </c>
      <c r="L4915" s="783" t="s">
        <v>7165</v>
      </c>
      <c r="M4915" s="784">
        <v>12727.76</v>
      </c>
      <c r="N4915" s="784">
        <v>3.52</v>
      </c>
      <c r="O4915" s="784">
        <v>12.96</v>
      </c>
      <c r="P4915" s="783">
        <v>279</v>
      </c>
      <c r="Q4915" s="783">
        <v>980.04</v>
      </c>
      <c r="R4915" s="783">
        <v>761.12</v>
      </c>
      <c r="S4915" s="783">
        <v>95.46</v>
      </c>
      <c r="T4915" s="783">
        <v>123.46</v>
      </c>
      <c r="U4915" s="785">
        <v>44662.668449074103</v>
      </c>
    </row>
    <row r="4916" spans="1:21">
      <c r="A4916" s="782">
        <v>44552</v>
      </c>
      <c r="B4916" s="783" t="s">
        <v>65</v>
      </c>
      <c r="C4916" s="783" t="s">
        <v>4939</v>
      </c>
      <c r="D4916" s="783" t="s">
        <v>4021</v>
      </c>
      <c r="E4916" s="783" t="s">
        <v>7240</v>
      </c>
      <c r="F4916" s="783" t="s">
        <v>7160</v>
      </c>
      <c r="G4916" s="783" t="s">
        <v>4028</v>
      </c>
      <c r="H4916" s="783" t="s">
        <v>7241</v>
      </c>
      <c r="I4916" s="783" t="s">
        <v>7242</v>
      </c>
      <c r="J4916" s="783">
        <v>25</v>
      </c>
      <c r="K4916" s="783" t="s">
        <v>7164</v>
      </c>
      <c r="L4916" s="783" t="s">
        <v>7165</v>
      </c>
      <c r="M4916" s="784">
        <v>48904.9</v>
      </c>
      <c r="N4916" s="784">
        <v>2.17</v>
      </c>
      <c r="O4916" s="784">
        <v>41.89</v>
      </c>
      <c r="P4916" s="783">
        <v>538</v>
      </c>
      <c r="Q4916" s="783">
        <v>3276.63</v>
      </c>
      <c r="R4916" s="783">
        <v>1697.96</v>
      </c>
      <c r="S4916" s="783">
        <v>1070.05</v>
      </c>
      <c r="T4916" s="783">
        <v>508.61</v>
      </c>
      <c r="U4916" s="785">
        <v>44631.511921296304</v>
      </c>
    </row>
    <row r="4917" spans="1:21">
      <c r="A4917" s="782">
        <v>44552</v>
      </c>
      <c r="B4917" s="783" t="s">
        <v>65</v>
      </c>
      <c r="C4917" s="783" t="s">
        <v>4939</v>
      </c>
      <c r="D4917" s="783" t="s">
        <v>4021</v>
      </c>
      <c r="E4917" s="783" t="s">
        <v>7240</v>
      </c>
      <c r="F4917" s="783" t="s">
        <v>7160</v>
      </c>
      <c r="G4917" s="783" t="s">
        <v>4028</v>
      </c>
      <c r="H4917" s="783" t="s">
        <v>7241</v>
      </c>
      <c r="I4917" s="783" t="s">
        <v>7242</v>
      </c>
      <c r="J4917" s="783">
        <v>25</v>
      </c>
      <c r="K4917" s="783" t="s">
        <v>7164</v>
      </c>
      <c r="L4917" s="783" t="s">
        <v>7165</v>
      </c>
      <c r="M4917" s="784">
        <v>291129</v>
      </c>
      <c r="N4917" s="784">
        <v>12.74</v>
      </c>
      <c r="O4917" s="784">
        <v>64.010000000000005</v>
      </c>
      <c r="P4917" s="783">
        <v>357</v>
      </c>
      <c r="Q4917" s="783">
        <v>19505.64</v>
      </c>
      <c r="R4917" s="783">
        <v>14180.67</v>
      </c>
      <c r="S4917" s="783">
        <v>2297.23</v>
      </c>
      <c r="T4917" s="783">
        <v>3027.74</v>
      </c>
      <c r="U4917" s="785">
        <v>44631.511921296304</v>
      </c>
    </row>
    <row r="4918" spans="1:21">
      <c r="A4918" s="782">
        <v>44552</v>
      </c>
      <c r="B4918" s="783" t="s">
        <v>65</v>
      </c>
      <c r="C4918" s="783" t="s">
        <v>4939</v>
      </c>
      <c r="D4918" s="783" t="s">
        <v>4021</v>
      </c>
      <c r="E4918" s="783" t="s">
        <v>7240</v>
      </c>
      <c r="F4918" s="783" t="s">
        <v>7160</v>
      </c>
      <c r="G4918" s="783" t="s">
        <v>4028</v>
      </c>
      <c r="H4918" s="783" t="s">
        <v>7241</v>
      </c>
      <c r="I4918" s="783" t="s">
        <v>7242</v>
      </c>
      <c r="J4918" s="783">
        <v>25</v>
      </c>
      <c r="K4918" s="783" t="s">
        <v>7164</v>
      </c>
      <c r="L4918" s="783" t="s">
        <v>7165</v>
      </c>
      <c r="M4918" s="784">
        <v>11167.23</v>
      </c>
      <c r="N4918" s="784">
        <v>0.5</v>
      </c>
      <c r="O4918" s="784">
        <v>66.67</v>
      </c>
      <c r="P4918" s="783">
        <v>335</v>
      </c>
      <c r="Q4918" s="783">
        <v>748.2</v>
      </c>
      <c r="R4918" s="783">
        <v>550.42999999999995</v>
      </c>
      <c r="S4918" s="783">
        <v>81.64</v>
      </c>
      <c r="T4918" s="783">
        <v>116.14</v>
      </c>
      <c r="U4918" s="785">
        <v>44631.511921296304</v>
      </c>
    </row>
    <row r="4919" spans="1:21">
      <c r="A4919" s="782">
        <v>44592</v>
      </c>
      <c r="B4919" s="783" t="s">
        <v>65</v>
      </c>
      <c r="C4919" s="783" t="s">
        <v>5313</v>
      </c>
      <c r="D4919" s="783" t="s">
        <v>4009</v>
      </c>
      <c r="E4919" s="783" t="s">
        <v>7243</v>
      </c>
      <c r="F4919" s="783" t="s">
        <v>7160</v>
      </c>
      <c r="G4919" s="783" t="s">
        <v>4028</v>
      </c>
      <c r="H4919" s="783" t="s">
        <v>7244</v>
      </c>
      <c r="I4919" s="783" t="s">
        <v>7245</v>
      </c>
      <c r="J4919" s="783" t="s">
        <v>7163</v>
      </c>
      <c r="K4919" s="783" t="s">
        <v>7164</v>
      </c>
      <c r="L4919" s="783" t="s">
        <v>7165</v>
      </c>
      <c r="M4919" s="784">
        <v>57578.25</v>
      </c>
      <c r="N4919" s="784">
        <v>12.43</v>
      </c>
      <c r="O4919" s="784">
        <v>43.7</v>
      </c>
      <c r="P4919" s="783">
        <v>106</v>
      </c>
      <c r="Q4919" s="783">
        <v>4289.58</v>
      </c>
      <c r="R4919" s="783">
        <v>2867.4</v>
      </c>
      <c r="S4919" s="783">
        <v>356.99</v>
      </c>
      <c r="T4919" s="783">
        <v>1065.2</v>
      </c>
      <c r="U4919" s="785">
        <v>44631.511863425898</v>
      </c>
    </row>
    <row r="4920" spans="1:21">
      <c r="A4920" s="782">
        <v>44592</v>
      </c>
      <c r="B4920" s="783" t="s">
        <v>65</v>
      </c>
      <c r="C4920" s="783" t="s">
        <v>5313</v>
      </c>
      <c r="D4920" s="783" t="s">
        <v>4009</v>
      </c>
      <c r="E4920" s="783" t="s">
        <v>7243</v>
      </c>
      <c r="F4920" s="783" t="s">
        <v>7160</v>
      </c>
      <c r="G4920" s="783" t="s">
        <v>4028</v>
      </c>
      <c r="H4920" s="783" t="s">
        <v>7244</v>
      </c>
      <c r="I4920" s="783" t="s">
        <v>7245</v>
      </c>
      <c r="J4920" s="783" t="s">
        <v>7163</v>
      </c>
      <c r="K4920" s="783" t="s">
        <v>7164</v>
      </c>
      <c r="L4920" s="783" t="s">
        <v>7165</v>
      </c>
      <c r="M4920" s="784">
        <v>5702.86</v>
      </c>
      <c r="N4920" s="784">
        <v>4.42</v>
      </c>
      <c r="O4920" s="784">
        <v>23.04</v>
      </c>
      <c r="P4920" s="783">
        <v>56</v>
      </c>
      <c r="Q4920" s="783">
        <v>424.86</v>
      </c>
      <c r="R4920" s="783">
        <v>284</v>
      </c>
      <c r="S4920" s="783">
        <v>35.36</v>
      </c>
      <c r="T4920" s="783">
        <v>105.5</v>
      </c>
      <c r="U4920" s="785">
        <v>44631.511874999997</v>
      </c>
    </row>
    <row r="4921" spans="1:21">
      <c r="A4921" s="782">
        <v>44609</v>
      </c>
      <c r="B4921" s="783" t="s">
        <v>65</v>
      </c>
      <c r="C4921" s="783" t="s">
        <v>5313</v>
      </c>
      <c r="D4921" s="783" t="s">
        <v>4009</v>
      </c>
      <c r="E4921" s="783" t="s">
        <v>7246</v>
      </c>
      <c r="F4921" s="783" t="s">
        <v>7160</v>
      </c>
      <c r="G4921" s="783" t="s">
        <v>4028</v>
      </c>
      <c r="H4921" s="783" t="s">
        <v>7247</v>
      </c>
      <c r="I4921" s="783" t="s">
        <v>7248</v>
      </c>
      <c r="J4921" s="783">
        <v>25</v>
      </c>
      <c r="K4921" s="783" t="s">
        <v>7164</v>
      </c>
      <c r="L4921" s="783" t="s">
        <v>7165</v>
      </c>
      <c r="M4921" s="784">
        <v>448716.45</v>
      </c>
      <c r="N4921" s="784">
        <v>46.3</v>
      </c>
      <c r="O4921" s="784">
        <v>10.65</v>
      </c>
      <c r="P4921" s="783">
        <v>910</v>
      </c>
      <c r="Q4921" s="783">
        <v>28807.599999999999</v>
      </c>
      <c r="R4921" s="783">
        <v>6581.04</v>
      </c>
      <c r="S4921" s="783">
        <v>18547.080000000002</v>
      </c>
      <c r="T4921" s="783">
        <v>3679.47</v>
      </c>
      <c r="U4921" s="785">
        <v>44631.511863425898</v>
      </c>
    </row>
    <row r="4922" spans="1:21">
      <c r="A4922" s="782">
        <v>44609</v>
      </c>
      <c r="B4922" s="783" t="s">
        <v>65</v>
      </c>
      <c r="C4922" s="783" t="s">
        <v>5313</v>
      </c>
      <c r="D4922" s="783" t="s">
        <v>4009</v>
      </c>
      <c r="E4922" s="783" t="s">
        <v>7246</v>
      </c>
      <c r="F4922" s="783" t="s">
        <v>7160</v>
      </c>
      <c r="G4922" s="783" t="s">
        <v>4028</v>
      </c>
      <c r="H4922" s="783" t="s">
        <v>7247</v>
      </c>
      <c r="I4922" s="783" t="s">
        <v>7248</v>
      </c>
      <c r="J4922" s="783">
        <v>25</v>
      </c>
      <c r="K4922" s="783" t="s">
        <v>7164</v>
      </c>
      <c r="L4922" s="783" t="s">
        <v>7165</v>
      </c>
      <c r="M4922" s="784">
        <v>32400</v>
      </c>
      <c r="N4922" s="784">
        <v>4</v>
      </c>
      <c r="O4922" s="784">
        <v>30</v>
      </c>
      <c r="P4922" s="783">
        <v>270</v>
      </c>
      <c r="Q4922" s="783">
        <v>2080.08</v>
      </c>
      <c r="R4922" s="783">
        <v>729.07</v>
      </c>
      <c r="S4922" s="783">
        <v>1085.33</v>
      </c>
      <c r="T4922" s="783">
        <v>265.68</v>
      </c>
      <c r="U4922" s="785">
        <v>44631.511863425898</v>
      </c>
    </row>
    <row r="4923" spans="1:21">
      <c r="A4923" s="782">
        <v>44616</v>
      </c>
      <c r="B4923" s="783" t="s">
        <v>41</v>
      </c>
      <c r="C4923" s="783" t="s">
        <v>4092</v>
      </c>
      <c r="D4923" s="783" t="s">
        <v>4009</v>
      </c>
      <c r="E4923" s="783" t="s">
        <v>7249</v>
      </c>
      <c r="F4923" s="783" t="s">
        <v>7160</v>
      </c>
      <c r="G4923" s="783" t="s">
        <v>4028</v>
      </c>
      <c r="H4923" s="783" t="s">
        <v>7250</v>
      </c>
      <c r="I4923" s="783" t="s">
        <v>7251</v>
      </c>
      <c r="J4923" s="783" t="s">
        <v>7163</v>
      </c>
      <c r="K4923" s="783" t="s">
        <v>7164</v>
      </c>
      <c r="L4923" s="783" t="s">
        <v>7165</v>
      </c>
      <c r="M4923" s="784">
        <v>272150.56</v>
      </c>
      <c r="N4923" s="784">
        <v>22</v>
      </c>
      <c r="O4923" s="784">
        <v>122.48</v>
      </c>
      <c r="P4923" s="783">
        <v>101</v>
      </c>
      <c r="Q4923" s="783">
        <v>17227.13</v>
      </c>
      <c r="R4923" s="783">
        <v>11865.76</v>
      </c>
      <c r="S4923" s="783">
        <v>1660.12</v>
      </c>
      <c r="T4923" s="783">
        <v>3701.25</v>
      </c>
      <c r="U4923" s="785">
        <v>44631.511898148201</v>
      </c>
    </row>
    <row r="4924" spans="1:21">
      <c r="A4924" s="782">
        <v>44616</v>
      </c>
      <c r="B4924" s="783" t="s">
        <v>41</v>
      </c>
      <c r="C4924" s="783" t="s">
        <v>4092</v>
      </c>
      <c r="D4924" s="783" t="s">
        <v>4009</v>
      </c>
      <c r="E4924" s="783" t="s">
        <v>7249</v>
      </c>
      <c r="F4924" s="783" t="s">
        <v>7160</v>
      </c>
      <c r="G4924" s="783" t="s">
        <v>4028</v>
      </c>
      <c r="H4924" s="783" t="s">
        <v>7250</v>
      </c>
      <c r="I4924" s="783" t="s">
        <v>7251</v>
      </c>
      <c r="J4924" s="783" t="s">
        <v>7163</v>
      </c>
      <c r="K4924" s="783" t="s">
        <v>7164</v>
      </c>
      <c r="L4924" s="783" t="s">
        <v>7165</v>
      </c>
      <c r="M4924" s="784">
        <v>24740.959999999999</v>
      </c>
      <c r="N4924" s="784">
        <v>2</v>
      </c>
      <c r="O4924" s="784">
        <v>122.48</v>
      </c>
      <c r="P4924" s="783">
        <v>101</v>
      </c>
      <c r="Q4924" s="783">
        <v>1566.1</v>
      </c>
      <c r="R4924" s="783">
        <v>1078.71</v>
      </c>
      <c r="S4924" s="783">
        <v>150.91999999999999</v>
      </c>
      <c r="T4924" s="783">
        <v>336.48</v>
      </c>
      <c r="U4924" s="785">
        <v>44631.511898148201</v>
      </c>
    </row>
    <row r="4925" spans="1:21">
      <c r="A4925" s="782">
        <v>44616</v>
      </c>
      <c r="B4925" s="783" t="s">
        <v>41</v>
      </c>
      <c r="C4925" s="783" t="s">
        <v>4092</v>
      </c>
      <c r="D4925" s="783" t="s">
        <v>4009</v>
      </c>
      <c r="E4925" s="783" t="s">
        <v>7249</v>
      </c>
      <c r="F4925" s="783" t="s">
        <v>7160</v>
      </c>
      <c r="G4925" s="783" t="s">
        <v>4028</v>
      </c>
      <c r="H4925" s="783" t="s">
        <v>7250</v>
      </c>
      <c r="I4925" s="783" t="s">
        <v>7251</v>
      </c>
      <c r="J4925" s="783" t="s">
        <v>7163</v>
      </c>
      <c r="K4925" s="783" t="s">
        <v>7164</v>
      </c>
      <c r="L4925" s="783" t="s">
        <v>7165</v>
      </c>
      <c r="M4925" s="784">
        <v>8659.34</v>
      </c>
      <c r="N4925" s="784">
        <v>0.7</v>
      </c>
      <c r="O4925" s="784">
        <v>122.48</v>
      </c>
      <c r="P4925" s="783">
        <v>101</v>
      </c>
      <c r="Q4925" s="783">
        <v>548.14</v>
      </c>
      <c r="R4925" s="783">
        <v>377.55</v>
      </c>
      <c r="S4925" s="783">
        <v>52.82</v>
      </c>
      <c r="T4925" s="783">
        <v>117.77</v>
      </c>
      <c r="U4925" s="785">
        <v>44631.511898148201</v>
      </c>
    </row>
    <row r="4926" spans="1:21">
      <c r="A4926" s="782">
        <v>44616</v>
      </c>
      <c r="B4926" s="783" t="s">
        <v>41</v>
      </c>
      <c r="C4926" s="783" t="s">
        <v>4092</v>
      </c>
      <c r="D4926" s="783" t="s">
        <v>4009</v>
      </c>
      <c r="E4926" s="783" t="s">
        <v>7249</v>
      </c>
      <c r="F4926" s="783" t="s">
        <v>7160</v>
      </c>
      <c r="G4926" s="783" t="s">
        <v>4028</v>
      </c>
      <c r="H4926" s="783" t="s">
        <v>7250</v>
      </c>
      <c r="I4926" s="783" t="s">
        <v>7251</v>
      </c>
      <c r="J4926" s="783" t="s">
        <v>7163</v>
      </c>
      <c r="K4926" s="783" t="s">
        <v>7164</v>
      </c>
      <c r="L4926" s="783" t="s">
        <v>7165</v>
      </c>
      <c r="M4926" s="784">
        <v>705117.36</v>
      </c>
      <c r="N4926" s="784">
        <v>57</v>
      </c>
      <c r="O4926" s="784">
        <v>122.48</v>
      </c>
      <c r="P4926" s="783">
        <v>101</v>
      </c>
      <c r="Q4926" s="783">
        <v>44633.93</v>
      </c>
      <c r="R4926" s="783">
        <v>30743.119999999999</v>
      </c>
      <c r="S4926" s="783">
        <v>4301.22</v>
      </c>
      <c r="T4926" s="783">
        <v>9589.6</v>
      </c>
      <c r="U4926" s="785">
        <v>44631.511898148201</v>
      </c>
    </row>
    <row r="4927" spans="1:21">
      <c r="A4927" s="782">
        <v>44592</v>
      </c>
      <c r="B4927" s="783" t="s">
        <v>65</v>
      </c>
      <c r="C4927" s="783" t="s">
        <v>5313</v>
      </c>
      <c r="D4927" s="783" t="s">
        <v>4009</v>
      </c>
      <c r="E4927" s="783" t="s">
        <v>7252</v>
      </c>
      <c r="F4927" s="783" t="s">
        <v>7160</v>
      </c>
      <c r="G4927" s="783" t="s">
        <v>4028</v>
      </c>
      <c r="H4927" s="783" t="s">
        <v>7253</v>
      </c>
      <c r="I4927" s="783" t="s">
        <v>7254</v>
      </c>
      <c r="J4927" s="783" t="s">
        <v>7163</v>
      </c>
      <c r="K4927" s="783" t="s">
        <v>7164</v>
      </c>
      <c r="L4927" s="783" t="s">
        <v>7165</v>
      </c>
      <c r="M4927" s="784">
        <v>56644.03</v>
      </c>
      <c r="N4927" s="784">
        <v>13.12</v>
      </c>
      <c r="O4927" s="784">
        <v>40.729999999999997</v>
      </c>
      <c r="P4927" s="783">
        <v>106</v>
      </c>
      <c r="Q4927" s="783">
        <v>4219.9799999999996</v>
      </c>
      <c r="R4927" s="783">
        <v>2820.87</v>
      </c>
      <c r="S4927" s="783">
        <v>351.19</v>
      </c>
      <c r="T4927" s="783">
        <v>1047.9100000000001</v>
      </c>
      <c r="U4927" s="785">
        <v>44631.511747685203</v>
      </c>
    </row>
    <row r="4928" spans="1:21">
      <c r="A4928" s="782">
        <v>44592</v>
      </c>
      <c r="B4928" s="783" t="s">
        <v>65</v>
      </c>
      <c r="C4928" s="783" t="s">
        <v>5313</v>
      </c>
      <c r="D4928" s="783" t="s">
        <v>4009</v>
      </c>
      <c r="E4928" s="783" t="s">
        <v>7252</v>
      </c>
      <c r="F4928" s="783" t="s">
        <v>7160</v>
      </c>
      <c r="G4928" s="783" t="s">
        <v>4028</v>
      </c>
      <c r="H4928" s="783" t="s">
        <v>7253</v>
      </c>
      <c r="I4928" s="783" t="s">
        <v>7254</v>
      </c>
      <c r="J4928" s="783" t="s">
        <v>7163</v>
      </c>
      <c r="K4928" s="783" t="s">
        <v>7164</v>
      </c>
      <c r="L4928" s="783" t="s">
        <v>7165</v>
      </c>
      <c r="M4928" s="784">
        <v>70694.259999999995</v>
      </c>
      <c r="N4928" s="784">
        <v>4.34</v>
      </c>
      <c r="O4928" s="784">
        <v>35.799999999999997</v>
      </c>
      <c r="P4928" s="783">
        <v>455</v>
      </c>
      <c r="Q4928" s="783">
        <v>5266.72</v>
      </c>
      <c r="R4928" s="783">
        <v>3520.57</v>
      </c>
      <c r="S4928" s="783">
        <v>438.3</v>
      </c>
      <c r="T4928" s="783">
        <v>1307.8399999999999</v>
      </c>
      <c r="U4928" s="785">
        <v>44631.511747685203</v>
      </c>
    </row>
    <row r="4929" spans="1:21">
      <c r="A4929" s="782">
        <v>44627</v>
      </c>
      <c r="B4929" s="783" t="s">
        <v>7255</v>
      </c>
      <c r="C4929" s="783" t="s">
        <v>4543</v>
      </c>
      <c r="D4929" s="783" t="s">
        <v>4038</v>
      </c>
      <c r="E4929" s="783" t="s">
        <v>7256</v>
      </c>
      <c r="F4929" s="783" t="s">
        <v>7160</v>
      </c>
      <c r="G4929" s="783" t="s">
        <v>4028</v>
      </c>
      <c r="H4929" s="783" t="s">
        <v>7257</v>
      </c>
      <c r="I4929" s="783" t="s">
        <v>7258</v>
      </c>
      <c r="J4929" s="783">
        <v>25</v>
      </c>
      <c r="K4929" s="783" t="s">
        <v>7164</v>
      </c>
      <c r="L4929" s="783" t="s">
        <v>7165</v>
      </c>
      <c r="M4929" s="784">
        <v>30136.84</v>
      </c>
      <c r="N4929" s="784">
        <v>5.25</v>
      </c>
      <c r="O4929" s="784">
        <v>80.849999999999994</v>
      </c>
      <c r="P4929" s="783">
        <v>71</v>
      </c>
      <c r="Q4929" s="783">
        <v>2046.29</v>
      </c>
      <c r="R4929" s="783">
        <v>1594.24</v>
      </c>
      <c r="S4929" s="783">
        <v>238.08</v>
      </c>
      <c r="T4929" s="783">
        <v>213.97</v>
      </c>
      <c r="U4929" s="785">
        <v>44631.638368055603</v>
      </c>
    </row>
    <row r="4930" spans="1:21">
      <c r="A4930" s="782">
        <v>44627</v>
      </c>
      <c r="B4930" s="783" t="s">
        <v>7255</v>
      </c>
      <c r="C4930" s="783" t="s">
        <v>4543</v>
      </c>
      <c r="D4930" s="783" t="s">
        <v>4038</v>
      </c>
      <c r="E4930" s="783" t="s">
        <v>7256</v>
      </c>
      <c r="F4930" s="783" t="s">
        <v>7160</v>
      </c>
      <c r="G4930" s="783" t="s">
        <v>4028</v>
      </c>
      <c r="H4930" s="783" t="s">
        <v>7257</v>
      </c>
      <c r="I4930" s="783" t="s">
        <v>7258</v>
      </c>
      <c r="J4930" s="783">
        <v>25</v>
      </c>
      <c r="K4930" s="783" t="s">
        <v>7164</v>
      </c>
      <c r="L4930" s="783" t="s">
        <v>7165</v>
      </c>
      <c r="M4930" s="784">
        <v>166087.51</v>
      </c>
      <c r="N4930" s="784">
        <v>26.72</v>
      </c>
      <c r="O4930" s="784">
        <v>65.430000000000007</v>
      </c>
      <c r="P4930" s="783">
        <v>95</v>
      </c>
      <c r="Q4930" s="783">
        <v>11277.34</v>
      </c>
      <c r="R4930" s="783">
        <v>8786.0300000000007</v>
      </c>
      <c r="S4930" s="783">
        <v>1312.09</v>
      </c>
      <c r="T4930" s="783">
        <v>1179.22</v>
      </c>
      <c r="U4930" s="785">
        <v>44631.638368055603</v>
      </c>
    </row>
    <row r="4931" spans="1:21">
      <c r="A4931" s="782">
        <v>44627</v>
      </c>
      <c r="B4931" s="783" t="s">
        <v>7255</v>
      </c>
      <c r="C4931" s="783" t="s">
        <v>4543</v>
      </c>
      <c r="D4931" s="783" t="s">
        <v>4038</v>
      </c>
      <c r="E4931" s="783" t="s">
        <v>7256</v>
      </c>
      <c r="F4931" s="783" t="s">
        <v>7160</v>
      </c>
      <c r="G4931" s="783" t="s">
        <v>4028</v>
      </c>
      <c r="H4931" s="783" t="s">
        <v>7257</v>
      </c>
      <c r="I4931" s="783" t="s">
        <v>7258</v>
      </c>
      <c r="J4931" s="783">
        <v>25</v>
      </c>
      <c r="K4931" s="783" t="s">
        <v>7164</v>
      </c>
      <c r="L4931" s="783" t="s">
        <v>7165</v>
      </c>
      <c r="M4931" s="784">
        <v>317900.46000000002</v>
      </c>
      <c r="N4931" s="784">
        <v>38.49</v>
      </c>
      <c r="O4931" s="784">
        <v>86.94</v>
      </c>
      <c r="P4931" s="783">
        <v>95</v>
      </c>
      <c r="Q4931" s="783">
        <v>21585.439999999999</v>
      </c>
      <c r="R4931" s="783">
        <v>16816.93</v>
      </c>
      <c r="S4931" s="783">
        <v>2511.41</v>
      </c>
      <c r="T4931" s="783">
        <v>2257.09</v>
      </c>
      <c r="U4931" s="785">
        <v>44631.638368055603</v>
      </c>
    </row>
    <row r="4932" spans="1:21">
      <c r="A4932" s="782">
        <v>44627</v>
      </c>
      <c r="B4932" s="783" t="s">
        <v>7255</v>
      </c>
      <c r="C4932" s="783" t="s">
        <v>4543</v>
      </c>
      <c r="D4932" s="783" t="s">
        <v>4038</v>
      </c>
      <c r="E4932" s="783" t="s">
        <v>7256</v>
      </c>
      <c r="F4932" s="783" t="s">
        <v>7160</v>
      </c>
      <c r="G4932" s="783" t="s">
        <v>4028</v>
      </c>
      <c r="H4932" s="783" t="s">
        <v>7257</v>
      </c>
      <c r="I4932" s="783" t="s">
        <v>7258</v>
      </c>
      <c r="J4932" s="783">
        <v>25</v>
      </c>
      <c r="K4932" s="783" t="s">
        <v>7164</v>
      </c>
      <c r="L4932" s="783" t="s">
        <v>7165</v>
      </c>
      <c r="M4932" s="784">
        <v>199240.38</v>
      </c>
      <c r="N4932" s="784">
        <v>28.48</v>
      </c>
      <c r="O4932" s="784">
        <v>73.64</v>
      </c>
      <c r="P4932" s="783">
        <v>95</v>
      </c>
      <c r="Q4932" s="783">
        <v>13528.42</v>
      </c>
      <c r="R4932" s="783">
        <v>10539.82</v>
      </c>
      <c r="S4932" s="783">
        <v>1574</v>
      </c>
      <c r="T4932" s="783">
        <v>1414.61</v>
      </c>
      <c r="U4932" s="785">
        <v>44631.638368055603</v>
      </c>
    </row>
    <row r="4933" spans="1:21">
      <c r="A4933" s="782">
        <v>44627</v>
      </c>
      <c r="B4933" s="783" t="s">
        <v>7255</v>
      </c>
      <c r="C4933" s="783" t="s">
        <v>4543</v>
      </c>
      <c r="D4933" s="783" t="s">
        <v>4038</v>
      </c>
      <c r="E4933" s="783" t="s">
        <v>7256</v>
      </c>
      <c r="F4933" s="783" t="s">
        <v>7160</v>
      </c>
      <c r="G4933" s="783" t="s">
        <v>4028</v>
      </c>
      <c r="H4933" s="783" t="s">
        <v>7257</v>
      </c>
      <c r="I4933" s="783" t="s">
        <v>7258</v>
      </c>
      <c r="J4933" s="783">
        <v>25</v>
      </c>
      <c r="K4933" s="783" t="s">
        <v>7164</v>
      </c>
      <c r="L4933" s="783" t="s">
        <v>7165</v>
      </c>
      <c r="M4933" s="784">
        <v>60416.28</v>
      </c>
      <c r="N4933" s="784">
        <v>15.66</v>
      </c>
      <c r="O4933" s="784">
        <v>51.44</v>
      </c>
      <c r="P4933" s="783">
        <v>75</v>
      </c>
      <c r="Q4933" s="783">
        <v>4102.2700000000004</v>
      </c>
      <c r="R4933" s="783">
        <v>3196.02</v>
      </c>
      <c r="S4933" s="783">
        <v>477.29</v>
      </c>
      <c r="T4933" s="783">
        <v>428.96</v>
      </c>
      <c r="U4933" s="785">
        <v>44631.638368055603</v>
      </c>
    </row>
    <row r="4934" spans="1:21">
      <c r="A4934" s="782">
        <v>44627</v>
      </c>
      <c r="B4934" s="783" t="s">
        <v>7255</v>
      </c>
      <c r="C4934" s="783" t="s">
        <v>4543</v>
      </c>
      <c r="D4934" s="783" t="s">
        <v>4038</v>
      </c>
      <c r="E4934" s="783" t="s">
        <v>7256</v>
      </c>
      <c r="F4934" s="783" t="s">
        <v>7160</v>
      </c>
      <c r="G4934" s="783" t="s">
        <v>4028</v>
      </c>
      <c r="H4934" s="783" t="s">
        <v>7257</v>
      </c>
      <c r="I4934" s="783" t="s">
        <v>7258</v>
      </c>
      <c r="J4934" s="783">
        <v>25</v>
      </c>
      <c r="K4934" s="783" t="s">
        <v>7164</v>
      </c>
      <c r="L4934" s="783" t="s">
        <v>7165</v>
      </c>
      <c r="M4934" s="784">
        <v>28281.63</v>
      </c>
      <c r="N4934" s="784">
        <v>6.35</v>
      </c>
      <c r="O4934" s="784">
        <v>57.1</v>
      </c>
      <c r="P4934" s="783">
        <v>78</v>
      </c>
      <c r="Q4934" s="783">
        <v>1920.32</v>
      </c>
      <c r="R4934" s="783">
        <v>1496.1</v>
      </c>
      <c r="S4934" s="783">
        <v>223.42</v>
      </c>
      <c r="T4934" s="783">
        <v>200.8</v>
      </c>
      <c r="U4934" s="785">
        <v>44631.638368055603</v>
      </c>
    </row>
    <row r="4935" spans="1:21">
      <c r="A4935" s="782">
        <v>44615</v>
      </c>
      <c r="B4935" s="783" t="s">
        <v>65</v>
      </c>
      <c r="C4935" s="783" t="s">
        <v>4491</v>
      </c>
      <c r="D4935" s="783" t="s">
        <v>4193</v>
      </c>
      <c r="E4935" s="783" t="s">
        <v>826</v>
      </c>
      <c r="F4935" s="783" t="s">
        <v>7160</v>
      </c>
      <c r="G4935" s="783" t="s">
        <v>4028</v>
      </c>
      <c r="H4935" s="783" t="s">
        <v>7259</v>
      </c>
      <c r="I4935" s="783" t="s">
        <v>7260</v>
      </c>
      <c r="J4935" s="783" t="s">
        <v>7163</v>
      </c>
      <c r="K4935" s="783" t="s">
        <v>7164</v>
      </c>
      <c r="L4935" s="783" t="s">
        <v>7165</v>
      </c>
      <c r="M4935" s="784">
        <v>19969.36</v>
      </c>
      <c r="N4935" s="784">
        <v>2</v>
      </c>
      <c r="O4935" s="784">
        <v>44.18</v>
      </c>
      <c r="P4935" s="783">
        <v>226</v>
      </c>
      <c r="Q4935" s="783">
        <v>1485.72</v>
      </c>
      <c r="R4935" s="783">
        <v>834.52</v>
      </c>
      <c r="S4935" s="783">
        <v>251.81</v>
      </c>
      <c r="T4935" s="783">
        <v>399.39</v>
      </c>
      <c r="U4935" s="785">
        <v>44631.6383796296</v>
      </c>
    </row>
    <row r="4936" spans="1:21">
      <c r="A4936" s="782">
        <v>44615</v>
      </c>
      <c r="B4936" s="783" t="s">
        <v>65</v>
      </c>
      <c r="C4936" s="783" t="s">
        <v>4491</v>
      </c>
      <c r="D4936" s="783" t="s">
        <v>4193</v>
      </c>
      <c r="E4936" s="783" t="s">
        <v>826</v>
      </c>
      <c r="F4936" s="783" t="s">
        <v>7160</v>
      </c>
      <c r="G4936" s="783" t="s">
        <v>4028</v>
      </c>
      <c r="H4936" s="783" t="s">
        <v>7259</v>
      </c>
      <c r="I4936" s="783" t="s">
        <v>7260</v>
      </c>
      <c r="J4936" s="783" t="s">
        <v>7163</v>
      </c>
      <c r="K4936" s="783" t="s">
        <v>7164</v>
      </c>
      <c r="L4936" s="783" t="s">
        <v>7165</v>
      </c>
      <c r="M4936" s="784">
        <v>18023.04</v>
      </c>
      <c r="N4936" s="784">
        <v>1.8</v>
      </c>
      <c r="O4936" s="784">
        <v>47.68</v>
      </c>
      <c r="P4936" s="783">
        <v>210</v>
      </c>
      <c r="Q4936" s="783">
        <v>1340.91</v>
      </c>
      <c r="R4936" s="783">
        <v>859.7</v>
      </c>
      <c r="S4936" s="783">
        <v>120.75</v>
      </c>
      <c r="T4936" s="783">
        <v>360.46</v>
      </c>
      <c r="U4936" s="785">
        <v>44631.6383796296</v>
      </c>
    </row>
    <row r="4937" spans="1:21">
      <c r="A4937" s="782">
        <v>44615</v>
      </c>
      <c r="B4937" s="783" t="s">
        <v>65</v>
      </c>
      <c r="C4937" s="783" t="s">
        <v>4491</v>
      </c>
      <c r="D4937" s="783" t="s">
        <v>4193</v>
      </c>
      <c r="E4937" s="783" t="s">
        <v>826</v>
      </c>
      <c r="F4937" s="783" t="s">
        <v>7160</v>
      </c>
      <c r="G4937" s="783" t="s">
        <v>4028</v>
      </c>
      <c r="H4937" s="783" t="s">
        <v>7259</v>
      </c>
      <c r="I4937" s="783" t="s">
        <v>7260</v>
      </c>
      <c r="J4937" s="783" t="s">
        <v>7163</v>
      </c>
      <c r="K4937" s="783" t="s">
        <v>7164</v>
      </c>
      <c r="L4937" s="783" t="s">
        <v>7165</v>
      </c>
      <c r="M4937" s="784">
        <v>384.98</v>
      </c>
      <c r="N4937" s="784">
        <v>0.2</v>
      </c>
      <c r="O4937" s="784">
        <v>53.47</v>
      </c>
      <c r="P4937" s="783">
        <v>36</v>
      </c>
      <c r="Q4937" s="783">
        <v>28.64</v>
      </c>
      <c r="R4937" s="783">
        <v>18.36</v>
      </c>
      <c r="S4937" s="783">
        <v>2.58</v>
      </c>
      <c r="T4937" s="783">
        <v>7.7</v>
      </c>
      <c r="U4937" s="785">
        <v>44631.6383796296</v>
      </c>
    </row>
    <row r="4938" spans="1:21">
      <c r="A4938" s="782">
        <v>44615</v>
      </c>
      <c r="B4938" s="783" t="s">
        <v>65</v>
      </c>
      <c r="C4938" s="783" t="s">
        <v>4491</v>
      </c>
      <c r="D4938" s="783" t="s">
        <v>4193</v>
      </c>
      <c r="E4938" s="783" t="s">
        <v>826</v>
      </c>
      <c r="F4938" s="783" t="s">
        <v>7160</v>
      </c>
      <c r="G4938" s="783" t="s">
        <v>4028</v>
      </c>
      <c r="H4938" s="783" t="s">
        <v>7259</v>
      </c>
      <c r="I4938" s="783" t="s">
        <v>7260</v>
      </c>
      <c r="J4938" s="783" t="s">
        <v>7163</v>
      </c>
      <c r="K4938" s="783" t="s">
        <v>7164</v>
      </c>
      <c r="L4938" s="783" t="s">
        <v>7165</v>
      </c>
      <c r="M4938" s="784">
        <v>5107.67</v>
      </c>
      <c r="N4938" s="784">
        <v>0.51</v>
      </c>
      <c r="O4938" s="784">
        <v>44.71</v>
      </c>
      <c r="P4938" s="783">
        <v>224</v>
      </c>
      <c r="Q4938" s="783">
        <v>380.01</v>
      </c>
      <c r="R4938" s="783">
        <v>150.1</v>
      </c>
      <c r="S4938" s="783">
        <v>127.76</v>
      </c>
      <c r="T4938" s="783">
        <v>102.15</v>
      </c>
      <c r="U4938" s="785">
        <v>44631.6383796296</v>
      </c>
    </row>
    <row r="4939" spans="1:21">
      <c r="A4939" s="782">
        <v>44628</v>
      </c>
      <c r="B4939" s="783" t="s">
        <v>65</v>
      </c>
      <c r="C4939" s="783" t="s">
        <v>7261</v>
      </c>
      <c r="D4939" s="783" t="s">
        <v>7262</v>
      </c>
      <c r="E4939" s="783" t="s">
        <v>7263</v>
      </c>
      <c r="F4939" s="783" t="s">
        <v>7160</v>
      </c>
      <c r="G4939" s="783" t="s">
        <v>4028</v>
      </c>
      <c r="H4939" s="783" t="s">
        <v>7264</v>
      </c>
      <c r="I4939" s="783" t="s">
        <v>7265</v>
      </c>
      <c r="J4939" s="783" t="s">
        <v>7163</v>
      </c>
      <c r="K4939" s="783" t="s">
        <v>7164</v>
      </c>
      <c r="L4939" s="783" t="s">
        <v>7165</v>
      </c>
      <c r="M4939" s="784">
        <v>106565.68</v>
      </c>
      <c r="N4939" s="784">
        <v>19.760000000000002</v>
      </c>
      <c r="O4939" s="784">
        <v>53.93</v>
      </c>
      <c r="P4939" s="783">
        <v>100</v>
      </c>
      <c r="Q4939" s="783">
        <v>7672.73</v>
      </c>
      <c r="R4939" s="783">
        <v>4923.33</v>
      </c>
      <c r="S4939" s="783">
        <v>500.86</v>
      </c>
      <c r="T4939" s="783">
        <v>2248.54</v>
      </c>
      <c r="U4939" s="785">
        <v>44631.638368055603</v>
      </c>
    </row>
    <row r="4940" spans="1:21">
      <c r="A4940" s="782">
        <v>44628</v>
      </c>
      <c r="B4940" s="783" t="s">
        <v>65</v>
      </c>
      <c r="C4940" s="783" t="s">
        <v>7261</v>
      </c>
      <c r="D4940" s="783" t="s">
        <v>7262</v>
      </c>
      <c r="E4940" s="783" t="s">
        <v>7263</v>
      </c>
      <c r="F4940" s="783" t="s">
        <v>7160</v>
      </c>
      <c r="G4940" s="783" t="s">
        <v>4028</v>
      </c>
      <c r="H4940" s="783" t="s">
        <v>7264</v>
      </c>
      <c r="I4940" s="783" t="s">
        <v>7265</v>
      </c>
      <c r="J4940" s="783" t="s">
        <v>7163</v>
      </c>
      <c r="K4940" s="783" t="s">
        <v>7164</v>
      </c>
      <c r="L4940" s="783" t="s">
        <v>7165</v>
      </c>
      <c r="M4940" s="784">
        <v>6602.5</v>
      </c>
      <c r="N4940" s="784">
        <v>1.43</v>
      </c>
      <c r="O4940" s="784">
        <v>65.03</v>
      </c>
      <c r="P4940" s="783">
        <v>71</v>
      </c>
      <c r="Q4940" s="783">
        <v>475.38</v>
      </c>
      <c r="R4940" s="783">
        <v>305.04000000000002</v>
      </c>
      <c r="S4940" s="783">
        <v>31.03</v>
      </c>
      <c r="T4940" s="783">
        <v>139.31</v>
      </c>
      <c r="U4940" s="785">
        <v>44631.638368055603</v>
      </c>
    </row>
    <row r="4941" spans="1:21">
      <c r="A4941" s="782">
        <v>44628</v>
      </c>
      <c r="B4941" s="783" t="s">
        <v>65</v>
      </c>
      <c r="C4941" s="783" t="s">
        <v>7261</v>
      </c>
      <c r="D4941" s="783" t="s">
        <v>7262</v>
      </c>
      <c r="E4941" s="783" t="s">
        <v>7263</v>
      </c>
      <c r="F4941" s="783" t="s">
        <v>7160</v>
      </c>
      <c r="G4941" s="783" t="s">
        <v>4028</v>
      </c>
      <c r="H4941" s="783" t="s">
        <v>7264</v>
      </c>
      <c r="I4941" s="783" t="s">
        <v>7265</v>
      </c>
      <c r="J4941" s="783" t="s">
        <v>7163</v>
      </c>
      <c r="K4941" s="783" t="s">
        <v>7164</v>
      </c>
      <c r="L4941" s="783" t="s">
        <v>7165</v>
      </c>
      <c r="M4941" s="784">
        <v>45013.120000000003</v>
      </c>
      <c r="N4941" s="784">
        <v>4.0999999999999996</v>
      </c>
      <c r="O4941" s="784">
        <v>55.73</v>
      </c>
      <c r="P4941" s="783">
        <v>197</v>
      </c>
      <c r="Q4941" s="783">
        <v>3240.94</v>
      </c>
      <c r="R4941" s="783">
        <v>2079.61</v>
      </c>
      <c r="S4941" s="783">
        <v>211.56</v>
      </c>
      <c r="T4941" s="783">
        <v>949.78</v>
      </c>
      <c r="U4941" s="785">
        <v>44631.638368055603</v>
      </c>
    </row>
    <row r="4942" spans="1:21">
      <c r="A4942" s="782">
        <v>44624</v>
      </c>
      <c r="B4942" s="783" t="s">
        <v>41</v>
      </c>
      <c r="C4942" s="783" t="s">
        <v>4092</v>
      </c>
      <c r="D4942" s="783" t="s">
        <v>4009</v>
      </c>
      <c r="E4942" s="783" t="s">
        <v>7266</v>
      </c>
      <c r="F4942" s="783" t="s">
        <v>7160</v>
      </c>
      <c r="G4942" s="783" t="s">
        <v>4028</v>
      </c>
      <c r="H4942" s="783" t="s">
        <v>7267</v>
      </c>
      <c r="I4942" s="783" t="s">
        <v>7268</v>
      </c>
      <c r="J4942" s="783" t="s">
        <v>7163</v>
      </c>
      <c r="K4942" s="783" t="s">
        <v>7164</v>
      </c>
      <c r="L4942" s="783" t="s">
        <v>7165</v>
      </c>
      <c r="M4942" s="784">
        <v>40282.11</v>
      </c>
      <c r="N4942" s="784">
        <v>3.61</v>
      </c>
      <c r="O4942" s="784">
        <v>110.48</v>
      </c>
      <c r="P4942" s="783">
        <v>101</v>
      </c>
      <c r="Q4942" s="783">
        <v>2549.86</v>
      </c>
      <c r="R4942" s="783">
        <v>1756.3</v>
      </c>
      <c r="S4942" s="783">
        <v>245.72</v>
      </c>
      <c r="T4942" s="783">
        <v>547.84</v>
      </c>
      <c r="U4942" s="785">
        <v>44631.638483796298</v>
      </c>
    </row>
    <row r="4943" spans="1:21">
      <c r="A4943" s="782">
        <v>44624</v>
      </c>
      <c r="B4943" s="783" t="s">
        <v>41</v>
      </c>
      <c r="C4943" s="783" t="s">
        <v>4092</v>
      </c>
      <c r="D4943" s="783" t="s">
        <v>4009</v>
      </c>
      <c r="E4943" s="783" t="s">
        <v>7266</v>
      </c>
      <c r="F4943" s="783" t="s">
        <v>7160</v>
      </c>
      <c r="G4943" s="783" t="s">
        <v>4028</v>
      </c>
      <c r="H4943" s="783" t="s">
        <v>7267</v>
      </c>
      <c r="I4943" s="783" t="s">
        <v>7268</v>
      </c>
      <c r="J4943" s="783" t="s">
        <v>7163</v>
      </c>
      <c r="K4943" s="783" t="s">
        <v>7164</v>
      </c>
      <c r="L4943" s="783" t="s">
        <v>7165</v>
      </c>
      <c r="M4943" s="784">
        <v>34814.46</v>
      </c>
      <c r="N4943" s="784">
        <v>3.12</v>
      </c>
      <c r="O4943" s="784">
        <v>110.48</v>
      </c>
      <c r="P4943" s="783">
        <v>101</v>
      </c>
      <c r="Q4943" s="783">
        <v>2203.7600000000002</v>
      </c>
      <c r="R4943" s="783">
        <v>1517.91</v>
      </c>
      <c r="S4943" s="783">
        <v>212.37</v>
      </c>
      <c r="T4943" s="783">
        <v>473.48</v>
      </c>
      <c r="U4943" s="785">
        <v>44631.638483796298</v>
      </c>
    </row>
    <row r="4944" spans="1:21">
      <c r="A4944" s="782">
        <v>44624</v>
      </c>
      <c r="B4944" s="783" t="s">
        <v>41</v>
      </c>
      <c r="C4944" s="783" t="s">
        <v>4092</v>
      </c>
      <c r="D4944" s="783" t="s">
        <v>4009</v>
      </c>
      <c r="E4944" s="783" t="s">
        <v>7266</v>
      </c>
      <c r="F4944" s="783" t="s">
        <v>7160</v>
      </c>
      <c r="G4944" s="783" t="s">
        <v>4028</v>
      </c>
      <c r="H4944" s="783" t="s">
        <v>7267</v>
      </c>
      <c r="I4944" s="783" t="s">
        <v>7268</v>
      </c>
      <c r="J4944" s="783" t="s">
        <v>7163</v>
      </c>
      <c r="K4944" s="783" t="s">
        <v>7164</v>
      </c>
      <c r="L4944" s="783" t="s">
        <v>7165</v>
      </c>
      <c r="M4944" s="784">
        <v>58582.02</v>
      </c>
      <c r="N4944" s="784">
        <v>5.25</v>
      </c>
      <c r="O4944" s="784">
        <v>110.48</v>
      </c>
      <c r="P4944" s="783">
        <v>101</v>
      </c>
      <c r="Q4944" s="783">
        <v>3708.24</v>
      </c>
      <c r="R4944" s="783">
        <v>2554.1799999999998</v>
      </c>
      <c r="S4944" s="783">
        <v>357.35</v>
      </c>
      <c r="T4944" s="783">
        <v>796.72</v>
      </c>
      <c r="U4944" s="785">
        <v>44631.638483796298</v>
      </c>
    </row>
    <row r="4945" spans="1:21">
      <c r="A4945" s="782">
        <v>44624</v>
      </c>
      <c r="B4945" s="783" t="s">
        <v>41</v>
      </c>
      <c r="C4945" s="783" t="s">
        <v>4092</v>
      </c>
      <c r="D4945" s="783" t="s">
        <v>4009</v>
      </c>
      <c r="E4945" s="783" t="s">
        <v>7266</v>
      </c>
      <c r="F4945" s="783" t="s">
        <v>7160</v>
      </c>
      <c r="G4945" s="783" t="s">
        <v>4028</v>
      </c>
      <c r="H4945" s="783" t="s">
        <v>7267</v>
      </c>
      <c r="I4945" s="783" t="s">
        <v>7268</v>
      </c>
      <c r="J4945" s="783" t="s">
        <v>7163</v>
      </c>
      <c r="K4945" s="783" t="s">
        <v>7164</v>
      </c>
      <c r="L4945" s="783" t="s">
        <v>7165</v>
      </c>
      <c r="M4945" s="784">
        <v>48650.97</v>
      </c>
      <c r="N4945" s="784">
        <v>4.3600000000000003</v>
      </c>
      <c r="O4945" s="784">
        <v>110.48</v>
      </c>
      <c r="P4945" s="783">
        <v>101</v>
      </c>
      <c r="Q4945" s="783">
        <v>3079.61</v>
      </c>
      <c r="R4945" s="783">
        <v>2121.1799999999998</v>
      </c>
      <c r="S4945" s="783">
        <v>296.77</v>
      </c>
      <c r="T4945" s="783">
        <v>661.65</v>
      </c>
      <c r="U4945" s="785">
        <v>44631.638483796298</v>
      </c>
    </row>
    <row r="4946" spans="1:21">
      <c r="A4946" s="782">
        <v>44624</v>
      </c>
      <c r="B4946" s="783" t="s">
        <v>41</v>
      </c>
      <c r="C4946" s="783" t="s">
        <v>4092</v>
      </c>
      <c r="D4946" s="783" t="s">
        <v>4009</v>
      </c>
      <c r="E4946" s="783" t="s">
        <v>7266</v>
      </c>
      <c r="F4946" s="783" t="s">
        <v>7160</v>
      </c>
      <c r="G4946" s="783" t="s">
        <v>4028</v>
      </c>
      <c r="H4946" s="783" t="s">
        <v>7267</v>
      </c>
      <c r="I4946" s="783" t="s">
        <v>7268</v>
      </c>
      <c r="J4946" s="783" t="s">
        <v>7163</v>
      </c>
      <c r="K4946" s="783" t="s">
        <v>7164</v>
      </c>
      <c r="L4946" s="783" t="s">
        <v>7165</v>
      </c>
      <c r="M4946" s="784">
        <v>337767.19</v>
      </c>
      <c r="N4946" s="784">
        <v>30.27</v>
      </c>
      <c r="O4946" s="784">
        <v>110.48</v>
      </c>
      <c r="P4946" s="783">
        <v>101</v>
      </c>
      <c r="Q4946" s="783">
        <v>21380.66</v>
      </c>
      <c r="R4946" s="783">
        <v>14726.65</v>
      </c>
      <c r="S4946" s="783">
        <v>2060.38</v>
      </c>
      <c r="T4946" s="783">
        <v>4593.63</v>
      </c>
      <c r="U4946" s="785">
        <v>44631.638483796298</v>
      </c>
    </row>
    <row r="4947" spans="1:21">
      <c r="A4947" s="782">
        <v>44621</v>
      </c>
      <c r="B4947" s="783" t="s">
        <v>2617</v>
      </c>
      <c r="C4947" s="783" t="s">
        <v>7169</v>
      </c>
      <c r="D4947" s="783" t="s">
        <v>4038</v>
      </c>
      <c r="E4947" s="783" t="s">
        <v>7269</v>
      </c>
      <c r="F4947" s="783" t="s">
        <v>7160</v>
      </c>
      <c r="G4947" s="783" t="s">
        <v>4028</v>
      </c>
      <c r="H4947" s="783" t="s">
        <v>7270</v>
      </c>
      <c r="I4947" s="783" t="s">
        <v>7271</v>
      </c>
      <c r="J4947" s="783" t="s">
        <v>7163</v>
      </c>
      <c r="K4947" s="783" t="s">
        <v>7164</v>
      </c>
      <c r="L4947" s="783" t="s">
        <v>7165</v>
      </c>
      <c r="M4947" s="784">
        <v>15047.97</v>
      </c>
      <c r="N4947" s="784">
        <v>2.62</v>
      </c>
      <c r="O4947" s="784">
        <v>82.05</v>
      </c>
      <c r="P4947" s="783">
        <v>70</v>
      </c>
      <c r="Q4947" s="783">
        <v>827.64</v>
      </c>
      <c r="R4947" s="783">
        <v>495.08</v>
      </c>
      <c r="S4947" s="783">
        <v>63.2</v>
      </c>
      <c r="T4947" s="783">
        <v>269.36</v>
      </c>
      <c r="U4947" s="785">
        <v>44631.6383333333</v>
      </c>
    </row>
    <row r="4948" spans="1:21">
      <c r="A4948" s="782">
        <v>44621</v>
      </c>
      <c r="B4948" s="783" t="s">
        <v>2617</v>
      </c>
      <c r="C4948" s="783" t="s">
        <v>7169</v>
      </c>
      <c r="D4948" s="783" t="s">
        <v>4038</v>
      </c>
      <c r="E4948" s="783" t="s">
        <v>7269</v>
      </c>
      <c r="F4948" s="783" t="s">
        <v>7160</v>
      </c>
      <c r="G4948" s="783" t="s">
        <v>4028</v>
      </c>
      <c r="H4948" s="783" t="s">
        <v>7270</v>
      </c>
      <c r="I4948" s="783" t="s">
        <v>7271</v>
      </c>
      <c r="J4948" s="783" t="s">
        <v>7163</v>
      </c>
      <c r="K4948" s="783" t="s">
        <v>7164</v>
      </c>
      <c r="L4948" s="783" t="s">
        <v>7165</v>
      </c>
      <c r="M4948" s="784">
        <v>3444.01</v>
      </c>
      <c r="N4948" s="784">
        <v>3.51</v>
      </c>
      <c r="O4948" s="784">
        <v>49.06</v>
      </c>
      <c r="P4948" s="783">
        <v>20</v>
      </c>
      <c r="Q4948" s="783">
        <v>189.42</v>
      </c>
      <c r="R4948" s="783">
        <v>113.31</v>
      </c>
      <c r="S4948" s="783">
        <v>14.46</v>
      </c>
      <c r="T4948" s="783">
        <v>61.65</v>
      </c>
      <c r="U4948" s="785">
        <v>44631.6383333333</v>
      </c>
    </row>
    <row r="4949" spans="1:21">
      <c r="A4949" s="782">
        <v>44583</v>
      </c>
      <c r="B4949" s="783" t="s">
        <v>41</v>
      </c>
      <c r="C4949" s="783" t="s">
        <v>4092</v>
      </c>
      <c r="D4949" s="783" t="s">
        <v>4009</v>
      </c>
      <c r="E4949" s="783" t="s">
        <v>7272</v>
      </c>
      <c r="F4949" s="783" t="s">
        <v>7160</v>
      </c>
      <c r="G4949" s="783" t="s">
        <v>4028</v>
      </c>
      <c r="H4949" s="783" t="s">
        <v>7273</v>
      </c>
      <c r="I4949" s="783" t="s">
        <v>7274</v>
      </c>
      <c r="J4949" s="783" t="s">
        <v>7163</v>
      </c>
      <c r="K4949" s="783" t="s">
        <v>7164</v>
      </c>
      <c r="L4949" s="783" t="s">
        <v>7165</v>
      </c>
      <c r="M4949" s="784">
        <v>7992.64</v>
      </c>
      <c r="N4949" s="784">
        <v>0.7</v>
      </c>
      <c r="O4949" s="784">
        <v>113.05</v>
      </c>
      <c r="P4949" s="783">
        <v>101</v>
      </c>
      <c r="Q4949" s="783">
        <v>595.45000000000005</v>
      </c>
      <c r="R4949" s="783">
        <v>409.22</v>
      </c>
      <c r="S4949" s="783">
        <v>56.75</v>
      </c>
      <c r="T4949" s="783">
        <v>129.47999999999999</v>
      </c>
      <c r="U4949" s="785">
        <v>44631.638391203698</v>
      </c>
    </row>
    <row r="4950" spans="1:21">
      <c r="A4950" s="782">
        <v>44583</v>
      </c>
      <c r="B4950" s="783" t="s">
        <v>41</v>
      </c>
      <c r="C4950" s="783" t="s">
        <v>4092</v>
      </c>
      <c r="D4950" s="783" t="s">
        <v>4009</v>
      </c>
      <c r="E4950" s="783" t="s">
        <v>7272</v>
      </c>
      <c r="F4950" s="783" t="s">
        <v>7160</v>
      </c>
      <c r="G4950" s="783" t="s">
        <v>4028</v>
      </c>
      <c r="H4950" s="783" t="s">
        <v>7273</v>
      </c>
      <c r="I4950" s="783" t="s">
        <v>7274</v>
      </c>
      <c r="J4950" s="783" t="s">
        <v>7163</v>
      </c>
      <c r="K4950" s="783" t="s">
        <v>7164</v>
      </c>
      <c r="L4950" s="783" t="s">
        <v>7165</v>
      </c>
      <c r="M4950" s="784">
        <v>46243.1</v>
      </c>
      <c r="N4950" s="784">
        <v>4.05</v>
      </c>
      <c r="O4950" s="784">
        <v>113.05</v>
      </c>
      <c r="P4950" s="783">
        <v>101</v>
      </c>
      <c r="Q4950" s="783">
        <v>3445.11</v>
      </c>
      <c r="R4950" s="783">
        <v>2367.65</v>
      </c>
      <c r="S4950" s="783">
        <v>328.33</v>
      </c>
      <c r="T4950" s="783">
        <v>749.14</v>
      </c>
      <c r="U4950" s="785">
        <v>44631.638391203698</v>
      </c>
    </row>
    <row r="4951" spans="1:21">
      <c r="A4951" s="782">
        <v>44583</v>
      </c>
      <c r="B4951" s="783" t="s">
        <v>41</v>
      </c>
      <c r="C4951" s="783" t="s">
        <v>4092</v>
      </c>
      <c r="D4951" s="783" t="s">
        <v>4009</v>
      </c>
      <c r="E4951" s="783" t="s">
        <v>7272</v>
      </c>
      <c r="F4951" s="783" t="s">
        <v>7160</v>
      </c>
      <c r="G4951" s="783" t="s">
        <v>4028</v>
      </c>
      <c r="H4951" s="783" t="s">
        <v>7273</v>
      </c>
      <c r="I4951" s="783" t="s">
        <v>7274</v>
      </c>
      <c r="J4951" s="783" t="s">
        <v>7163</v>
      </c>
      <c r="K4951" s="783" t="s">
        <v>7164</v>
      </c>
      <c r="L4951" s="783" t="s">
        <v>7165</v>
      </c>
      <c r="M4951" s="784">
        <v>195705.38</v>
      </c>
      <c r="N4951" s="784">
        <v>17.14</v>
      </c>
      <c r="O4951" s="784">
        <v>113.05</v>
      </c>
      <c r="P4951" s="783">
        <v>101</v>
      </c>
      <c r="Q4951" s="783">
        <v>14580.05</v>
      </c>
      <c r="R4951" s="783">
        <v>10020.120000000001</v>
      </c>
      <c r="S4951" s="783">
        <v>1389.51</v>
      </c>
      <c r="T4951" s="783">
        <v>3170.43</v>
      </c>
      <c r="U4951" s="785">
        <v>44631.638391203698</v>
      </c>
    </row>
    <row r="4952" spans="1:21">
      <c r="A4952" s="782">
        <v>44628</v>
      </c>
      <c r="B4952" s="783" t="s">
        <v>2617</v>
      </c>
      <c r="C4952" s="783" t="s">
        <v>7169</v>
      </c>
      <c r="D4952" s="783" t="s">
        <v>4038</v>
      </c>
      <c r="E4952" s="783" t="s">
        <v>7275</v>
      </c>
      <c r="F4952" s="783" t="s">
        <v>7160</v>
      </c>
      <c r="G4952" s="783" t="s">
        <v>4028</v>
      </c>
      <c r="H4952" s="783" t="s">
        <v>7276</v>
      </c>
      <c r="I4952" s="783" t="s">
        <v>7277</v>
      </c>
      <c r="J4952" s="783">
        <v>25</v>
      </c>
      <c r="K4952" s="783" t="s">
        <v>7164</v>
      </c>
      <c r="L4952" s="783" t="s">
        <v>7165</v>
      </c>
      <c r="M4952" s="784">
        <v>10225.61</v>
      </c>
      <c r="N4952" s="784">
        <v>1.3</v>
      </c>
      <c r="O4952" s="784">
        <v>63.95</v>
      </c>
      <c r="P4952" s="783">
        <v>123</v>
      </c>
      <c r="Q4952" s="783">
        <v>473.45</v>
      </c>
      <c r="R4952" s="783">
        <v>259.83999999999997</v>
      </c>
      <c r="S4952" s="783">
        <v>119.53</v>
      </c>
      <c r="T4952" s="783">
        <v>94.08</v>
      </c>
      <c r="U4952" s="785">
        <v>44631.6385069444</v>
      </c>
    </row>
    <row r="4953" spans="1:21">
      <c r="A4953" s="782">
        <v>44628</v>
      </c>
      <c r="B4953" s="783" t="s">
        <v>65</v>
      </c>
      <c r="C4953" s="783" t="s">
        <v>4847</v>
      </c>
      <c r="D4953" s="783" t="s">
        <v>4016</v>
      </c>
      <c r="E4953" s="783" t="s">
        <v>7278</v>
      </c>
      <c r="F4953" s="783" t="s">
        <v>7160</v>
      </c>
      <c r="G4953" s="783" t="s">
        <v>4028</v>
      </c>
      <c r="H4953" s="783" t="s">
        <v>7279</v>
      </c>
      <c r="I4953" s="783" t="s">
        <v>7280</v>
      </c>
      <c r="J4953" s="783" t="s">
        <v>7163</v>
      </c>
      <c r="K4953" s="783" t="s">
        <v>7164</v>
      </c>
      <c r="L4953" s="783" t="s">
        <v>7165</v>
      </c>
      <c r="M4953" s="784">
        <v>9765.7000000000007</v>
      </c>
      <c r="N4953" s="784">
        <v>0.38</v>
      </c>
      <c r="O4953" s="784">
        <v>8031</v>
      </c>
      <c r="P4953" s="783">
        <v>3.2</v>
      </c>
      <c r="Q4953" s="783">
        <v>771.49</v>
      </c>
      <c r="R4953" s="783">
        <v>400.41</v>
      </c>
      <c r="S4953" s="783">
        <v>124.98</v>
      </c>
      <c r="T4953" s="783">
        <v>246.1</v>
      </c>
      <c r="U4953" s="785">
        <v>44631.638356481497</v>
      </c>
    </row>
    <row r="4954" spans="1:21">
      <c r="A4954" s="782">
        <v>44628</v>
      </c>
      <c r="B4954" s="783" t="s">
        <v>65</v>
      </c>
      <c r="C4954" s="783" t="s">
        <v>4847</v>
      </c>
      <c r="D4954" s="783" t="s">
        <v>4016</v>
      </c>
      <c r="E4954" s="783" t="s">
        <v>7278</v>
      </c>
      <c r="F4954" s="783" t="s">
        <v>7160</v>
      </c>
      <c r="G4954" s="783" t="s">
        <v>4028</v>
      </c>
      <c r="H4954" s="783" t="s">
        <v>7279</v>
      </c>
      <c r="I4954" s="783" t="s">
        <v>7280</v>
      </c>
      <c r="J4954" s="783" t="s">
        <v>7163</v>
      </c>
      <c r="K4954" s="783" t="s">
        <v>7164</v>
      </c>
      <c r="L4954" s="783" t="s">
        <v>7165</v>
      </c>
      <c r="M4954" s="784">
        <v>9251.7099999999991</v>
      </c>
      <c r="N4954" s="784">
        <v>0.36</v>
      </c>
      <c r="O4954" s="784">
        <v>8031</v>
      </c>
      <c r="P4954" s="783">
        <v>3.2</v>
      </c>
      <c r="Q4954" s="783">
        <v>730.89</v>
      </c>
      <c r="R4954" s="783">
        <v>379.34</v>
      </c>
      <c r="S4954" s="783">
        <v>118.4</v>
      </c>
      <c r="T4954" s="783">
        <v>233.14</v>
      </c>
      <c r="U4954" s="785">
        <v>44631.638356481497</v>
      </c>
    </row>
    <row r="4955" spans="1:21">
      <c r="A4955" s="786">
        <v>44628</v>
      </c>
      <c r="B4955" s="787" t="s">
        <v>65</v>
      </c>
      <c r="C4955" s="787" t="s">
        <v>4847</v>
      </c>
      <c r="D4955" s="787" t="s">
        <v>4016</v>
      </c>
      <c r="E4955" s="787" t="s">
        <v>7278</v>
      </c>
      <c r="F4955" s="783" t="s">
        <v>7160</v>
      </c>
      <c r="G4955" s="783" t="s">
        <v>4028</v>
      </c>
      <c r="H4955" s="787" t="s">
        <v>7279</v>
      </c>
      <c r="I4955" s="787" t="s">
        <v>7280</v>
      </c>
      <c r="J4955" s="783" t="s">
        <v>7163</v>
      </c>
      <c r="K4955" s="783" t="s">
        <v>7164</v>
      </c>
      <c r="L4955" s="783" t="s">
        <v>7165</v>
      </c>
      <c r="M4955" s="788">
        <v>70672.800000000003</v>
      </c>
      <c r="N4955" s="788">
        <v>2.75</v>
      </c>
      <c r="O4955" s="788">
        <v>8031</v>
      </c>
      <c r="P4955" s="787">
        <v>3.2</v>
      </c>
      <c r="Q4955" s="787">
        <v>5583.15</v>
      </c>
      <c r="R4955" s="787">
        <v>2897.73</v>
      </c>
      <c r="S4955" s="787">
        <v>904.47</v>
      </c>
      <c r="T4955" s="787">
        <v>1780.95</v>
      </c>
      <c r="U4955" s="789">
        <v>44631.638356481497</v>
      </c>
    </row>
    <row r="4956" spans="1:21">
      <c r="A4956" s="782">
        <v>44409</v>
      </c>
      <c r="B4956" s="783" t="s">
        <v>30</v>
      </c>
      <c r="C4956" s="783" t="s">
        <v>4939</v>
      </c>
      <c r="D4956" s="783" t="s">
        <v>4021</v>
      </c>
      <c r="E4956" s="783" t="s">
        <v>3135</v>
      </c>
      <c r="F4956" s="783" t="s">
        <v>4011</v>
      </c>
      <c r="G4956" s="783" t="str">
        <f t="shared" ref="G4956:G4961" si="259">VLOOKUP(I4956,pacage,2,FALSE)</f>
        <v>Renewal (20% in 2020)</v>
      </c>
      <c r="H4956" s="783" t="s">
        <v>7281</v>
      </c>
      <c r="I4956" s="783" t="s">
        <v>7282</v>
      </c>
      <c r="J4956" s="783">
        <v>20</v>
      </c>
      <c r="K4956" s="783" t="s">
        <v>99</v>
      </c>
      <c r="L4956" s="783" t="s">
        <v>4096</v>
      </c>
      <c r="M4956" s="784">
        <v>23835.9</v>
      </c>
      <c r="N4956" s="784">
        <v>25.63</v>
      </c>
      <c r="O4956" s="784">
        <v>6.2</v>
      </c>
      <c r="P4956" s="783">
        <v>150</v>
      </c>
      <c r="Q4956" s="783">
        <v>1561.25</v>
      </c>
      <c r="R4956" s="783">
        <v>886.7</v>
      </c>
      <c r="S4956" s="783">
        <v>178.77</v>
      </c>
      <c r="T4956" s="783">
        <v>495.79</v>
      </c>
      <c r="U4956" s="785">
        <v>44708.662905092599</v>
      </c>
    </row>
    <row r="4957" spans="1:21">
      <c r="A4957" s="782">
        <v>44409</v>
      </c>
      <c r="B4957" s="783" t="s">
        <v>30</v>
      </c>
      <c r="C4957" s="783" t="s">
        <v>4939</v>
      </c>
      <c r="D4957" s="783" t="s">
        <v>4021</v>
      </c>
      <c r="E4957" s="783" t="s">
        <v>3135</v>
      </c>
      <c r="F4957" s="783" t="s">
        <v>4011</v>
      </c>
      <c r="G4957" s="783" t="str">
        <f t="shared" si="259"/>
        <v>Renewal (20% in 2020)</v>
      </c>
      <c r="H4957" s="783" t="s">
        <v>7281</v>
      </c>
      <c r="I4957" s="783" t="s">
        <v>7282</v>
      </c>
      <c r="J4957" s="783">
        <v>20</v>
      </c>
      <c r="K4957" s="783" t="s">
        <v>27</v>
      </c>
      <c r="L4957" s="783" t="s">
        <v>4096</v>
      </c>
      <c r="M4957" s="784">
        <v>3999.1</v>
      </c>
      <c r="N4957" s="784">
        <v>3.94</v>
      </c>
      <c r="O4957" s="784">
        <v>2.9</v>
      </c>
      <c r="P4957" s="783">
        <v>350</v>
      </c>
      <c r="Q4957" s="783">
        <v>330.73</v>
      </c>
      <c r="R4957" s="783">
        <v>153.97</v>
      </c>
      <c r="S4957" s="783">
        <v>45.99</v>
      </c>
      <c r="T4957" s="783">
        <v>130.77000000000001</v>
      </c>
      <c r="U4957" s="785">
        <v>44708.662905092599</v>
      </c>
    </row>
    <row r="4958" spans="1:21">
      <c r="A4958" s="782">
        <v>44409</v>
      </c>
      <c r="B4958" s="783" t="s">
        <v>30</v>
      </c>
      <c r="C4958" s="783" t="s">
        <v>4939</v>
      </c>
      <c r="D4958" s="783" t="s">
        <v>4021</v>
      </c>
      <c r="E4958" s="783" t="s">
        <v>3135</v>
      </c>
      <c r="F4958" s="783" t="s">
        <v>4011</v>
      </c>
      <c r="G4958" s="783" t="str">
        <f t="shared" si="259"/>
        <v>Renewal (20% in 2020)</v>
      </c>
      <c r="H4958" s="783" t="s">
        <v>7281</v>
      </c>
      <c r="I4958" s="783" t="s">
        <v>7282</v>
      </c>
      <c r="J4958" s="783">
        <v>20</v>
      </c>
      <c r="K4958" s="783" t="s">
        <v>898</v>
      </c>
      <c r="L4958" s="783" t="s">
        <v>4014</v>
      </c>
      <c r="M4958" s="784">
        <v>3693.42</v>
      </c>
      <c r="N4958" s="784">
        <v>4.26</v>
      </c>
      <c r="O4958" s="784">
        <v>10.199999999999999</v>
      </c>
      <c r="P4958" s="783">
        <v>85</v>
      </c>
      <c r="Q4958" s="783">
        <v>290.67</v>
      </c>
      <c r="R4958" s="783">
        <v>166.57</v>
      </c>
      <c r="S4958" s="783">
        <v>34.35</v>
      </c>
      <c r="T4958" s="783">
        <v>89.75</v>
      </c>
      <c r="U4958" s="785">
        <v>44708.662905092599</v>
      </c>
    </row>
    <row r="4959" spans="1:21">
      <c r="A4959" s="782">
        <v>44409</v>
      </c>
      <c r="B4959" s="783" t="s">
        <v>30</v>
      </c>
      <c r="C4959" s="783" t="s">
        <v>4939</v>
      </c>
      <c r="D4959" s="783" t="s">
        <v>4021</v>
      </c>
      <c r="E4959" s="783" t="s">
        <v>3135</v>
      </c>
      <c r="F4959" s="783" t="s">
        <v>4011</v>
      </c>
      <c r="G4959" s="783" t="str">
        <f t="shared" si="259"/>
        <v>Renewal (20% in 2020)</v>
      </c>
      <c r="H4959" s="783" t="s">
        <v>7281</v>
      </c>
      <c r="I4959" s="783" t="s">
        <v>7282</v>
      </c>
      <c r="J4959" s="783">
        <v>20</v>
      </c>
      <c r="K4959" s="783" t="s">
        <v>866</v>
      </c>
      <c r="L4959" s="783" t="s">
        <v>4014</v>
      </c>
      <c r="M4959" s="784">
        <v>16575.3</v>
      </c>
      <c r="N4959" s="784">
        <v>17.54</v>
      </c>
      <c r="O4959" s="784">
        <v>6.75</v>
      </c>
      <c r="P4959" s="783">
        <v>140</v>
      </c>
      <c r="Q4959" s="783">
        <v>1534.87</v>
      </c>
      <c r="R4959" s="783">
        <v>871.86</v>
      </c>
      <c r="S4959" s="783">
        <v>187.3</v>
      </c>
      <c r="T4959" s="783">
        <v>475.71</v>
      </c>
      <c r="U4959" s="785">
        <v>44708.662905092599</v>
      </c>
    </row>
    <row r="4960" spans="1:21">
      <c r="A4960" s="782">
        <v>44409</v>
      </c>
      <c r="B4960" s="783" t="s">
        <v>30</v>
      </c>
      <c r="C4960" s="783" t="s">
        <v>4939</v>
      </c>
      <c r="D4960" s="783" t="s">
        <v>4021</v>
      </c>
      <c r="E4960" s="783" t="s">
        <v>3135</v>
      </c>
      <c r="F4960" s="783" t="s">
        <v>4011</v>
      </c>
      <c r="G4960" s="783" t="str">
        <f t="shared" si="259"/>
        <v>Renewal (20% in 2020)</v>
      </c>
      <c r="H4960" s="783" t="s">
        <v>7281</v>
      </c>
      <c r="I4960" s="783" t="s">
        <v>7282</v>
      </c>
      <c r="J4960" s="783">
        <v>20</v>
      </c>
      <c r="K4960" s="783" t="s">
        <v>814</v>
      </c>
      <c r="L4960" s="783" t="s">
        <v>4014</v>
      </c>
      <c r="M4960" s="784">
        <v>9824.64</v>
      </c>
      <c r="N4960" s="784">
        <v>12.9</v>
      </c>
      <c r="O4960" s="784">
        <v>2.38</v>
      </c>
      <c r="P4960" s="783">
        <v>320</v>
      </c>
      <c r="Q4960" s="783">
        <v>768.29</v>
      </c>
      <c r="R4960" s="783">
        <v>401.55</v>
      </c>
      <c r="S4960" s="783">
        <v>103.44</v>
      </c>
      <c r="T4960" s="783">
        <v>263.3</v>
      </c>
      <c r="U4960" s="785">
        <v>44708.662905092599</v>
      </c>
    </row>
    <row r="4961" spans="1:21">
      <c r="A4961" s="786">
        <v>44409</v>
      </c>
      <c r="B4961" s="787" t="s">
        <v>30</v>
      </c>
      <c r="C4961" s="787" t="s">
        <v>4939</v>
      </c>
      <c r="D4961" s="787" t="s">
        <v>4021</v>
      </c>
      <c r="E4961" s="787" t="s">
        <v>3135</v>
      </c>
      <c r="F4961" s="783" t="s">
        <v>4011</v>
      </c>
      <c r="G4961" s="787" t="str">
        <f t="shared" si="259"/>
        <v>Renewal (20% in 2020)</v>
      </c>
      <c r="H4961" s="787" t="s">
        <v>7281</v>
      </c>
      <c r="I4961" s="787" t="s">
        <v>7282</v>
      </c>
      <c r="J4961" s="787">
        <v>20</v>
      </c>
      <c r="K4961" s="787" t="s">
        <v>765</v>
      </c>
      <c r="L4961" s="787" t="s">
        <v>4014</v>
      </c>
      <c r="M4961" s="788">
        <v>7910</v>
      </c>
      <c r="N4961" s="788">
        <v>7.91</v>
      </c>
      <c r="O4961" s="788">
        <v>2.5</v>
      </c>
      <c r="P4961" s="787">
        <v>400</v>
      </c>
      <c r="Q4961" s="787">
        <v>675.51</v>
      </c>
      <c r="R4961" s="787">
        <v>374.93</v>
      </c>
      <c r="S4961" s="787">
        <v>83.06</v>
      </c>
      <c r="T4961" s="787">
        <v>217.53</v>
      </c>
      <c r="U4961" s="789">
        <v>44708.6628935185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A1:DA1048569"/>
  <sheetViews>
    <sheetView topLeftCell="B1" zoomScaleNormal="100" workbookViewId="0">
      <pane ySplit="6" topLeftCell="A7" activePane="bottomLeft" state="frozen"/>
      <selection pane="bottomLeft" activeCell="B6" sqref="A6:XFD6"/>
    </sheetView>
  </sheetViews>
  <sheetFormatPr baseColWidth="10" defaultColWidth="9.33203125" defaultRowHeight="15"/>
  <cols>
    <col min="1" max="1" width="4.5" style="13" customWidth="1"/>
    <col min="2" max="2" width="14.5" style="13" customWidth="1"/>
    <col min="3" max="3" width="10.6640625" style="1" customWidth="1"/>
    <col min="4" max="4" width="10.33203125" style="1" customWidth="1"/>
    <col min="5" max="5" width="12.5" style="35" bestFit="1" customWidth="1"/>
    <col min="6" max="6" width="23.6640625" bestFit="1" customWidth="1"/>
    <col min="7" max="7" width="6.33203125" style="33" customWidth="1"/>
    <col min="8" max="8" width="28.5" bestFit="1" customWidth="1"/>
    <col min="9" max="9" width="46.6640625" bestFit="1" customWidth="1"/>
    <col min="10" max="10" width="13.6640625" style="55" customWidth="1"/>
    <col min="11" max="11" width="6.33203125" style="34" customWidth="1"/>
    <col min="12" max="12" width="8.6640625" style="49" customWidth="1"/>
    <col min="13" max="13" width="8.6640625" style="50" customWidth="1"/>
    <col min="14" max="14" width="15.33203125" bestFit="1" customWidth="1"/>
    <col min="15" max="15" width="6.33203125" style="44" customWidth="1"/>
    <col min="16" max="16" width="6.5" style="1" customWidth="1"/>
    <col min="17" max="17" width="17.5" bestFit="1" customWidth="1"/>
    <col min="18" max="18" width="14.5" customWidth="1"/>
    <col min="19" max="19" width="20.33203125" style="1" bestFit="1" customWidth="1"/>
    <col min="20" max="20" width="6.6640625" style="1" customWidth="1"/>
    <col min="21" max="21" width="14.5" style="50" customWidth="1"/>
    <col min="22" max="22" width="11.5" style="465" customWidth="1"/>
    <col min="23" max="23" width="28.6640625" customWidth="1"/>
    <col min="24" max="24" width="14.6640625" style="84" customWidth="1"/>
    <col min="25" max="25" width="10.6640625" customWidth="1"/>
    <col min="26" max="26" width="12.33203125" customWidth="1"/>
    <col min="27" max="27" width="11.5" customWidth="1"/>
    <col min="28" max="28" width="12.33203125" customWidth="1"/>
    <col min="29" max="29" width="12.6640625" customWidth="1"/>
    <col min="30" max="30" width="13.6640625" customWidth="1"/>
    <col min="31" max="31" width="12.6640625" customWidth="1"/>
    <col min="32" max="32" width="11.6640625" customWidth="1"/>
    <col min="33" max="33" width="13.5" customWidth="1"/>
    <col min="34" max="34" width="13.6640625" style="1" customWidth="1"/>
    <col min="35" max="35" width="14.33203125" style="1" bestFit="1" customWidth="1"/>
    <col min="36" max="36" width="15.6640625" style="1" customWidth="1"/>
    <col min="37" max="37" width="12.5" customWidth="1"/>
    <col min="38" max="38" width="11.33203125" customWidth="1"/>
    <col min="39" max="39" width="11.6640625" customWidth="1"/>
    <col min="40" max="40" width="13" customWidth="1"/>
    <col min="41" max="41" width="14.33203125" customWidth="1"/>
    <col min="42" max="42" width="12.5" customWidth="1"/>
    <col min="43" max="43" width="12.33203125" customWidth="1"/>
    <col min="44" max="44" width="13.5" customWidth="1"/>
    <col min="45" max="45" width="14.6640625" customWidth="1"/>
    <col min="46" max="46" width="15.83203125" customWidth="1"/>
  </cols>
  <sheetData>
    <row r="1" spans="1:77" ht="14.75" customHeight="1">
      <c r="A1"/>
      <c r="B1"/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800"/>
      <c r="V1" s="799"/>
      <c r="W1" s="798"/>
      <c r="X1" s="799"/>
      <c r="Y1" s="798"/>
    </row>
    <row r="2" spans="1:77" ht="14.75" customHeight="1">
      <c r="A2"/>
      <c r="B2"/>
      <c r="C2" s="798"/>
      <c r="D2" s="798"/>
      <c r="E2" s="798"/>
      <c r="F2" s="798"/>
      <c r="G2" s="798"/>
      <c r="H2" s="798"/>
      <c r="I2" s="798"/>
      <c r="J2" s="798"/>
      <c r="K2" s="798"/>
      <c r="L2" s="798"/>
      <c r="M2" s="798"/>
      <c r="N2" s="798"/>
      <c r="O2" s="798"/>
      <c r="P2" s="798"/>
      <c r="Q2" s="798"/>
      <c r="R2" s="798"/>
      <c r="S2" s="798"/>
      <c r="T2" s="798"/>
      <c r="U2" s="800"/>
      <c r="V2" s="799"/>
      <c r="W2" s="798"/>
      <c r="X2" s="799"/>
      <c r="Y2" s="798"/>
    </row>
    <row r="3" spans="1:77" ht="14.75" customHeight="1">
      <c r="A3"/>
      <c r="B3"/>
      <c r="C3" s="798"/>
      <c r="D3" s="798"/>
      <c r="E3" s="798"/>
      <c r="F3" s="798"/>
      <c r="G3" s="798"/>
      <c r="H3" s="798"/>
      <c r="I3" s="798"/>
      <c r="J3" s="798"/>
      <c r="K3" s="798"/>
      <c r="L3" s="798"/>
      <c r="M3" s="798"/>
      <c r="N3" s="798"/>
      <c r="O3" s="798"/>
      <c r="P3" s="798"/>
      <c r="Q3" s="798"/>
      <c r="R3" s="798"/>
      <c r="S3" s="798"/>
      <c r="T3" s="798"/>
      <c r="U3" s="800"/>
      <c r="V3" s="799"/>
      <c r="W3" s="798"/>
      <c r="X3" s="799"/>
      <c r="Y3" s="798"/>
    </row>
    <row r="4" spans="1:77">
      <c r="A4"/>
      <c r="B4"/>
      <c r="C4" s="795" t="s">
        <v>0</v>
      </c>
      <c r="D4" s="796"/>
      <c r="E4" s="796"/>
      <c r="F4" s="796"/>
      <c r="G4" s="796"/>
      <c r="H4" s="796"/>
      <c r="I4" s="796"/>
      <c r="J4" s="796"/>
      <c r="K4" s="796"/>
      <c r="L4" s="796"/>
      <c r="M4" s="796"/>
      <c r="N4" s="796"/>
      <c r="O4" s="796"/>
      <c r="P4" s="796"/>
      <c r="Q4" s="796"/>
      <c r="R4" s="796"/>
      <c r="S4" s="796"/>
      <c r="T4" s="796"/>
      <c r="U4" s="796"/>
      <c r="V4" s="797"/>
      <c r="W4" s="13"/>
      <c r="X4" s="81"/>
      <c r="Y4" s="13"/>
    </row>
    <row r="5" spans="1:77">
      <c r="A5"/>
      <c r="B5"/>
      <c r="C5" s="796"/>
      <c r="D5" s="796"/>
      <c r="E5" s="796"/>
      <c r="F5" s="796"/>
      <c r="G5" s="796"/>
      <c r="H5" s="796"/>
      <c r="I5" s="796"/>
      <c r="J5" s="796"/>
      <c r="K5" s="796"/>
      <c r="L5" s="796"/>
      <c r="M5" s="796"/>
      <c r="N5" s="796"/>
      <c r="O5" s="796"/>
      <c r="P5" s="796"/>
      <c r="Q5" s="796"/>
      <c r="R5" s="796"/>
      <c r="S5" s="796"/>
      <c r="T5" s="796"/>
      <c r="U5" s="796"/>
      <c r="V5" s="797"/>
      <c r="W5" s="13"/>
      <c r="X5" s="81"/>
      <c r="Y5" s="13"/>
    </row>
    <row r="6" spans="1:77" s="78" customFormat="1" ht="88.25" customHeight="1">
      <c r="A6" s="78" t="s">
        <v>24</v>
      </c>
      <c r="B6" s="105" t="s">
        <v>289</v>
      </c>
      <c r="C6" s="74" t="s">
        <v>1</v>
      </c>
      <c r="D6" s="74" t="s">
        <v>2</v>
      </c>
      <c r="E6" s="74" t="s">
        <v>3</v>
      </c>
      <c r="F6" s="74" t="s">
        <v>4</v>
      </c>
      <c r="G6" s="75" t="s">
        <v>5</v>
      </c>
      <c r="H6" s="74" t="s">
        <v>6</v>
      </c>
      <c r="I6" s="74" t="s">
        <v>7</v>
      </c>
      <c r="J6" s="76" t="s">
        <v>8</v>
      </c>
      <c r="K6" s="76" t="s">
        <v>9</v>
      </c>
      <c r="L6" s="76" t="s">
        <v>10</v>
      </c>
      <c r="M6" s="76" t="s">
        <v>11</v>
      </c>
      <c r="N6" s="74" t="s">
        <v>12</v>
      </c>
      <c r="O6" s="77" t="s">
        <v>13</v>
      </c>
      <c r="P6" s="74" t="s">
        <v>14</v>
      </c>
      <c r="Q6" s="74" t="s">
        <v>15</v>
      </c>
      <c r="R6" s="74" t="s">
        <v>16</v>
      </c>
      <c r="S6" s="74" t="s">
        <v>17</v>
      </c>
      <c r="T6" s="74" t="s">
        <v>18</v>
      </c>
      <c r="U6" s="426" t="s">
        <v>19</v>
      </c>
      <c r="V6" s="431" t="s">
        <v>20</v>
      </c>
      <c r="W6" s="74" t="s">
        <v>21</v>
      </c>
      <c r="X6" s="82" t="s">
        <v>22</v>
      </c>
      <c r="Y6" s="74" t="s">
        <v>23</v>
      </c>
      <c r="Z6" s="78" t="s">
        <v>258</v>
      </c>
      <c r="AA6" s="78" t="s">
        <v>278</v>
      </c>
      <c r="AB6" s="78" t="s">
        <v>311</v>
      </c>
      <c r="AC6" s="78" t="s">
        <v>801</v>
      </c>
      <c r="AD6" s="78" t="s">
        <v>1243</v>
      </c>
      <c r="AE6" s="78" t="s">
        <v>2706</v>
      </c>
      <c r="AF6" s="78" t="s">
        <v>3345</v>
      </c>
      <c r="AG6" s="78" t="s">
        <v>3482</v>
      </c>
      <c r="AH6" s="78" t="s">
        <v>3844</v>
      </c>
      <c r="AI6" s="78" t="s">
        <v>3925</v>
      </c>
      <c r="AJ6" s="78" t="s">
        <v>3939</v>
      </c>
      <c r="AK6" s="520" t="s">
        <v>3961</v>
      </c>
      <c r="AL6" s="520" t="s">
        <v>3962</v>
      </c>
      <c r="AM6" s="520" t="s">
        <v>3963</v>
      </c>
      <c r="AN6" s="520" t="s">
        <v>3964</v>
      </c>
      <c r="AO6" s="520" t="s">
        <v>3965</v>
      </c>
      <c r="AP6" s="520" t="s">
        <v>3966</v>
      </c>
      <c r="AQ6" s="520" t="s">
        <v>3967</v>
      </c>
      <c r="AR6" s="520" t="s">
        <v>3968</v>
      </c>
      <c r="AS6" s="520" t="s">
        <v>3969</v>
      </c>
      <c r="AT6" s="520" t="s">
        <v>3970</v>
      </c>
    </row>
    <row r="7" spans="1:77" s="15" customFormat="1" ht="11" customHeight="1">
      <c r="B7" s="15" t="s">
        <v>291</v>
      </c>
      <c r="C7" s="85">
        <v>44434</v>
      </c>
      <c r="D7" s="85">
        <v>44438</v>
      </c>
      <c r="E7" s="72" t="s">
        <v>25</v>
      </c>
      <c r="F7" s="15" t="s">
        <v>26</v>
      </c>
      <c r="G7" s="86">
        <v>3840</v>
      </c>
      <c r="H7" s="15" t="s">
        <v>27</v>
      </c>
      <c r="I7" s="15" t="s">
        <v>28</v>
      </c>
      <c r="J7" s="87">
        <v>86184</v>
      </c>
      <c r="K7" s="88"/>
      <c r="L7" s="87">
        <v>66.5</v>
      </c>
      <c r="M7" s="87">
        <v>22</v>
      </c>
      <c r="N7" s="89">
        <f>1187.02+1132.7+828.66</f>
        <v>3148.38</v>
      </c>
      <c r="O7" s="90">
        <v>0.2</v>
      </c>
      <c r="P7" s="90"/>
      <c r="Q7" s="89">
        <v>3110.4</v>
      </c>
      <c r="R7" s="15" t="s">
        <v>29</v>
      </c>
      <c r="S7" s="91" t="s">
        <v>30</v>
      </c>
      <c r="T7" s="91">
        <v>39</v>
      </c>
      <c r="U7" s="92" t="s">
        <v>164</v>
      </c>
      <c r="V7" s="432">
        <v>3110.4</v>
      </c>
      <c r="W7" s="93"/>
      <c r="X7" s="89">
        <v>3110.4</v>
      </c>
      <c r="Y7" s="89"/>
      <c r="Z7" s="93">
        <f>X7</f>
        <v>3110.4</v>
      </c>
      <c r="AF7" s="93"/>
      <c r="AH7" s="93"/>
      <c r="AI7" s="93"/>
      <c r="AJ7" s="641"/>
    </row>
    <row r="8" spans="1:77" s="379" customFormat="1" ht="11" customHeight="1">
      <c r="B8" s="379" t="s">
        <v>291</v>
      </c>
      <c r="C8" s="381">
        <v>44434</v>
      </c>
      <c r="D8" s="381">
        <v>44441</v>
      </c>
      <c r="E8" s="382" t="s">
        <v>31</v>
      </c>
      <c r="F8" s="379" t="s">
        <v>32</v>
      </c>
      <c r="G8" s="383">
        <v>4101</v>
      </c>
      <c r="H8" s="379" t="s">
        <v>27</v>
      </c>
      <c r="I8" s="379" t="s">
        <v>33</v>
      </c>
      <c r="J8" s="385">
        <v>45364.7</v>
      </c>
      <c r="K8" s="384"/>
      <c r="L8" s="385">
        <v>33.44</v>
      </c>
      <c r="M8" s="385">
        <v>16</v>
      </c>
      <c r="N8" s="386">
        <v>1015</v>
      </c>
      <c r="O8" s="387">
        <v>0.25</v>
      </c>
      <c r="P8" s="387"/>
      <c r="Q8" s="386">
        <v>1015</v>
      </c>
      <c r="R8" s="379" t="s">
        <v>35</v>
      </c>
      <c r="S8" s="388" t="s">
        <v>34</v>
      </c>
      <c r="T8" s="388">
        <v>17</v>
      </c>
      <c r="U8" s="389" t="s">
        <v>164</v>
      </c>
      <c r="V8" s="433">
        <v>1015</v>
      </c>
      <c r="X8" s="390">
        <v>1015</v>
      </c>
      <c r="Y8" s="386"/>
      <c r="AJ8" s="390">
        <v>1015</v>
      </c>
    </row>
    <row r="9" spans="1:77" s="15" customFormat="1" ht="11" customHeight="1">
      <c r="B9" s="15" t="s">
        <v>291</v>
      </c>
      <c r="C9" s="85">
        <v>44442</v>
      </c>
      <c r="D9" s="85">
        <v>44445</v>
      </c>
      <c r="E9" s="72" t="s">
        <v>36</v>
      </c>
      <c r="F9" s="15" t="s">
        <v>37</v>
      </c>
      <c r="G9" s="86">
        <v>3538</v>
      </c>
      <c r="H9" s="15" t="s">
        <v>27</v>
      </c>
      <c r="I9" s="15" t="s">
        <v>38</v>
      </c>
      <c r="J9" s="87">
        <v>16463.48</v>
      </c>
      <c r="K9" s="88"/>
      <c r="L9" s="87">
        <v>14.2</v>
      </c>
      <c r="M9" s="87">
        <v>14</v>
      </c>
      <c r="N9" s="89"/>
      <c r="O9" s="90">
        <v>0.15</v>
      </c>
      <c r="P9" s="90"/>
      <c r="Q9" s="89">
        <v>194.12</v>
      </c>
      <c r="R9" s="15" t="s">
        <v>29</v>
      </c>
      <c r="S9" s="91" t="s">
        <v>30</v>
      </c>
      <c r="T9" s="91">
        <v>70</v>
      </c>
      <c r="U9" s="92" t="s">
        <v>164</v>
      </c>
      <c r="V9" s="432">
        <v>194.12</v>
      </c>
      <c r="X9" s="89">
        <v>194.12</v>
      </c>
      <c r="Y9" s="89"/>
      <c r="Z9" s="93">
        <f>X9</f>
        <v>194.12</v>
      </c>
      <c r="AJ9" s="641"/>
    </row>
    <row r="10" spans="1:77" s="337" customFormat="1" ht="11" customHeight="1">
      <c r="B10" s="337" t="s">
        <v>291</v>
      </c>
      <c r="C10" s="349">
        <v>44449</v>
      </c>
      <c r="D10" s="349">
        <v>44449</v>
      </c>
      <c r="E10" s="350" t="s">
        <v>39</v>
      </c>
      <c r="F10" s="337" t="s">
        <v>44</v>
      </c>
      <c r="G10" s="351">
        <v>3991</v>
      </c>
      <c r="H10" s="337" t="s">
        <v>27</v>
      </c>
      <c r="I10" s="337" t="s">
        <v>33</v>
      </c>
      <c r="J10" s="352">
        <v>47690.78</v>
      </c>
      <c r="K10" s="353"/>
      <c r="L10" s="352">
        <v>28.9</v>
      </c>
      <c r="M10" s="352">
        <v>9</v>
      </c>
      <c r="N10" s="354">
        <v>2160</v>
      </c>
      <c r="O10" s="355">
        <v>0.3</v>
      </c>
      <c r="P10" s="355"/>
      <c r="Q10" s="354">
        <v>2160</v>
      </c>
      <c r="R10" s="337" t="s">
        <v>35</v>
      </c>
      <c r="S10" s="356" t="s">
        <v>41</v>
      </c>
      <c r="T10" s="356">
        <v>79</v>
      </c>
      <c r="U10" s="357" t="s">
        <v>164</v>
      </c>
      <c r="V10" s="434">
        <v>2160</v>
      </c>
      <c r="X10" s="354">
        <v>2160</v>
      </c>
      <c r="Y10" s="354"/>
      <c r="AI10" s="369">
        <f>X10</f>
        <v>2160</v>
      </c>
      <c r="AJ10" s="358"/>
      <c r="AK10" s="369"/>
    </row>
    <row r="11" spans="1:77" s="546" customFormat="1" ht="11" customHeight="1">
      <c r="A11" s="153"/>
      <c r="B11" s="153" t="s">
        <v>291</v>
      </c>
      <c r="C11" s="155">
        <v>44448</v>
      </c>
      <c r="D11" s="155">
        <v>44452</v>
      </c>
      <c r="E11" s="156" t="s">
        <v>43</v>
      </c>
      <c r="F11" s="153" t="s">
        <v>40</v>
      </c>
      <c r="G11" s="157">
        <v>3589</v>
      </c>
      <c r="H11" s="153" t="s">
        <v>27</v>
      </c>
      <c r="I11" s="153" t="s">
        <v>33</v>
      </c>
      <c r="J11" s="158">
        <v>18298.8</v>
      </c>
      <c r="K11" s="163"/>
      <c r="L11" s="158">
        <v>18</v>
      </c>
      <c r="M11" s="158">
        <v>18</v>
      </c>
      <c r="N11" s="159"/>
      <c r="O11" s="160">
        <v>0.15</v>
      </c>
      <c r="P11" s="160"/>
      <c r="Q11" s="159">
        <v>0</v>
      </c>
      <c r="R11" s="153" t="s">
        <v>42</v>
      </c>
      <c r="S11" s="161" t="s">
        <v>41</v>
      </c>
      <c r="T11" s="161">
        <v>79</v>
      </c>
      <c r="U11" s="162" t="s">
        <v>164</v>
      </c>
      <c r="V11" s="435"/>
      <c r="W11" s="153"/>
      <c r="X11" s="159">
        <v>0</v>
      </c>
      <c r="Y11" s="159"/>
      <c r="Z11" s="153"/>
      <c r="AA11" s="153"/>
      <c r="AB11" s="153"/>
      <c r="AC11" s="153"/>
      <c r="AD11" s="176">
        <f>X11</f>
        <v>0</v>
      </c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  <c r="AX11" s="153"/>
      <c r="AY11" s="153"/>
      <c r="AZ11" s="153"/>
      <c r="BA11" s="153"/>
      <c r="BB11" s="153"/>
      <c r="BC11" s="153"/>
      <c r="BD11" s="153"/>
      <c r="BE11" s="153"/>
      <c r="BF11" s="153"/>
      <c r="BG11" s="205"/>
      <c r="BH11" s="205"/>
      <c r="BI11" s="205"/>
      <c r="BJ11" s="205"/>
      <c r="BK11" s="205"/>
      <c r="BL11" s="205"/>
      <c r="BM11" s="205"/>
      <c r="BN11" s="205"/>
      <c r="BO11" s="205"/>
      <c r="BP11" s="205"/>
      <c r="BQ11" s="205"/>
      <c r="BR11" s="205"/>
      <c r="BS11" s="205"/>
      <c r="BT11" s="205"/>
      <c r="BU11" s="205"/>
      <c r="BV11" s="205"/>
      <c r="BW11" s="205"/>
      <c r="BX11" s="205"/>
      <c r="BY11" s="205"/>
    </row>
    <row r="12" spans="1:77" s="473" customFormat="1" ht="11" customHeight="1">
      <c r="B12" s="473" t="s">
        <v>291</v>
      </c>
      <c r="C12" s="487">
        <v>44448</v>
      </c>
      <c r="D12" s="487">
        <v>44453</v>
      </c>
      <c r="E12" s="488" t="s">
        <v>45</v>
      </c>
      <c r="F12" s="473" t="s">
        <v>834</v>
      </c>
      <c r="G12" s="489">
        <v>4519</v>
      </c>
      <c r="H12" s="473" t="s">
        <v>27</v>
      </c>
      <c r="I12" s="473" t="s">
        <v>33</v>
      </c>
      <c r="J12" s="490">
        <v>9948.4</v>
      </c>
      <c r="K12" s="491"/>
      <c r="L12" s="490">
        <v>7.7</v>
      </c>
      <c r="M12" s="490">
        <v>24</v>
      </c>
      <c r="N12" s="492">
        <f>0.25*J12</f>
        <v>2487.1</v>
      </c>
      <c r="O12" s="493">
        <v>0.3</v>
      </c>
      <c r="P12" s="493"/>
      <c r="Q12" s="492">
        <v>0</v>
      </c>
      <c r="R12" s="473" t="s">
        <v>46</v>
      </c>
      <c r="S12" s="481" t="s">
        <v>47</v>
      </c>
      <c r="T12" s="481">
        <v>27</v>
      </c>
      <c r="U12" s="494" t="s">
        <v>164</v>
      </c>
      <c r="V12" s="495"/>
      <c r="X12" s="492">
        <v>0</v>
      </c>
      <c r="Y12" s="492"/>
      <c r="AJ12" s="485"/>
      <c r="AK12" s="473">
        <v>0</v>
      </c>
    </row>
    <row r="13" spans="1:77" s="546" customFormat="1" ht="11" customHeight="1">
      <c r="A13" s="291"/>
      <c r="B13" s="291" t="s">
        <v>291</v>
      </c>
      <c r="C13" s="292">
        <v>44456</v>
      </c>
      <c r="D13" s="292">
        <v>44456</v>
      </c>
      <c r="E13" s="293" t="s">
        <v>48</v>
      </c>
      <c r="F13" s="291" t="s">
        <v>49</v>
      </c>
      <c r="G13" s="294">
        <v>3667</v>
      </c>
      <c r="H13" s="291" t="s">
        <v>27</v>
      </c>
      <c r="I13" s="291" t="s">
        <v>33</v>
      </c>
      <c r="J13" s="296">
        <v>72541.11</v>
      </c>
      <c r="K13" s="295"/>
      <c r="L13" s="296">
        <v>57.28</v>
      </c>
      <c r="M13" s="296">
        <v>57.28</v>
      </c>
      <c r="N13" s="297">
        <f>5562.16056</f>
        <v>5562.1605600000003</v>
      </c>
      <c r="O13" s="298">
        <v>0.2</v>
      </c>
      <c r="P13" s="298"/>
      <c r="Q13" s="297">
        <v>0</v>
      </c>
      <c r="R13" s="291" t="s">
        <v>50</v>
      </c>
      <c r="S13" s="299" t="s">
        <v>51</v>
      </c>
      <c r="T13" s="299">
        <v>55</v>
      </c>
      <c r="U13" s="300" t="s">
        <v>164</v>
      </c>
      <c r="V13" s="333"/>
      <c r="W13" s="291"/>
      <c r="X13" s="297">
        <v>0</v>
      </c>
      <c r="Y13" s="297"/>
      <c r="Z13" s="291"/>
      <c r="AA13" s="291"/>
      <c r="AB13" s="291"/>
      <c r="AC13" s="291"/>
      <c r="AD13" s="291"/>
      <c r="AE13" s="291"/>
      <c r="AF13" s="291"/>
      <c r="AG13" s="291"/>
      <c r="AH13" s="311">
        <f>X13</f>
        <v>0</v>
      </c>
      <c r="AI13" s="311"/>
      <c r="AJ13" s="311"/>
      <c r="AK13" s="311"/>
      <c r="AL13" s="311"/>
      <c r="AM13" s="311"/>
      <c r="AN13" s="311"/>
      <c r="AO13" s="311"/>
      <c r="AP13" s="311"/>
      <c r="AQ13" s="311"/>
      <c r="AR13" s="311"/>
      <c r="AS13" s="311"/>
      <c r="AT13" s="311"/>
      <c r="AU13" s="311"/>
      <c r="AV13" s="311"/>
      <c r="AW13" s="311"/>
      <c r="AX13" s="311"/>
      <c r="AY13" s="311"/>
      <c r="AZ13" s="311"/>
      <c r="BA13" s="311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205"/>
      <c r="BN13" s="205"/>
      <c r="BO13" s="205"/>
      <c r="BP13" s="205"/>
      <c r="BQ13" s="205"/>
      <c r="BR13" s="205"/>
      <c r="BS13" s="205"/>
      <c r="BT13" s="205"/>
      <c r="BU13" s="205"/>
      <c r="BV13" s="205"/>
      <c r="BW13" s="205"/>
      <c r="BX13" s="205"/>
      <c r="BY13" s="205"/>
    </row>
    <row r="14" spans="1:77" s="546" customFormat="1" ht="11" customHeight="1">
      <c r="A14" s="120"/>
      <c r="B14" s="120" t="s">
        <v>291</v>
      </c>
      <c r="C14" s="121">
        <v>44364</v>
      </c>
      <c r="D14" s="121">
        <v>44456</v>
      </c>
      <c r="E14" s="122" t="s">
        <v>52</v>
      </c>
      <c r="F14" s="120" t="s">
        <v>53</v>
      </c>
      <c r="G14" s="123">
        <v>4273</v>
      </c>
      <c r="H14" s="120" t="s">
        <v>27</v>
      </c>
      <c r="I14" s="120" t="s">
        <v>33</v>
      </c>
      <c r="J14" s="124">
        <v>18865.439999999999</v>
      </c>
      <c r="K14" s="125"/>
      <c r="L14" s="124">
        <v>16</v>
      </c>
      <c r="M14" s="124">
        <v>6</v>
      </c>
      <c r="N14" s="126">
        <v>1061</v>
      </c>
      <c r="O14" s="127">
        <v>0.3</v>
      </c>
      <c r="P14" s="127"/>
      <c r="Q14" s="126">
        <v>1060.8</v>
      </c>
      <c r="R14" s="120" t="s">
        <v>54</v>
      </c>
      <c r="S14" s="128" t="s">
        <v>51</v>
      </c>
      <c r="T14" s="128">
        <v>55</v>
      </c>
      <c r="U14" s="129" t="s">
        <v>164</v>
      </c>
      <c r="V14" s="437">
        <v>1060.8</v>
      </c>
      <c r="W14" s="120"/>
      <c r="X14" s="126">
        <v>1060.8</v>
      </c>
      <c r="Y14" s="126"/>
      <c r="Z14" s="120"/>
      <c r="AA14" s="120"/>
      <c r="AB14" s="120"/>
      <c r="AC14" s="143">
        <f>X14</f>
        <v>1060.8</v>
      </c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20"/>
      <c r="BA14" s="120"/>
      <c r="BB14" s="120"/>
      <c r="BC14" s="120"/>
      <c r="BD14" s="120"/>
      <c r="BE14" s="120"/>
      <c r="BF14" s="120"/>
      <c r="BG14" s="120"/>
      <c r="BH14" s="120"/>
      <c r="BI14" s="120"/>
      <c r="BJ14" s="120"/>
      <c r="BK14" s="205"/>
      <c r="BL14" s="205"/>
      <c r="BM14" s="205"/>
      <c r="BN14" s="205"/>
      <c r="BO14" s="205"/>
      <c r="BP14" s="205"/>
      <c r="BQ14" s="205"/>
      <c r="BR14" s="205"/>
      <c r="BS14" s="205"/>
      <c r="BT14" s="205"/>
      <c r="BU14" s="205"/>
      <c r="BV14" s="205"/>
      <c r="BW14" s="205"/>
      <c r="BX14" s="205"/>
      <c r="BY14" s="205"/>
    </row>
    <row r="15" spans="1:77" s="205" customFormat="1" ht="11" customHeight="1">
      <c r="B15" s="205" t="s">
        <v>291</v>
      </c>
      <c r="C15" s="207">
        <v>44452</v>
      </c>
      <c r="D15" s="207">
        <v>44456</v>
      </c>
      <c r="E15" s="208" t="s">
        <v>55</v>
      </c>
      <c r="F15" s="205" t="s">
        <v>56</v>
      </c>
      <c r="G15" s="209">
        <v>3697</v>
      </c>
      <c r="H15" s="205" t="s">
        <v>27</v>
      </c>
      <c r="I15" s="205" t="s">
        <v>33</v>
      </c>
      <c r="J15" s="210">
        <v>80049.279999999999</v>
      </c>
      <c r="K15" s="219"/>
      <c r="L15" s="210">
        <v>65.83</v>
      </c>
      <c r="M15" s="210">
        <v>13.5</v>
      </c>
      <c r="N15" s="213">
        <f>1647.1+0.2*34.2*380*3.2+0.15*4.27*380*3.2</f>
        <v>10743.388000000001</v>
      </c>
      <c r="O15" s="212">
        <v>0.25</v>
      </c>
      <c r="P15" s="212"/>
      <c r="Q15" s="213">
        <v>1647.1</v>
      </c>
      <c r="R15" s="205" t="s">
        <v>54</v>
      </c>
      <c r="S15" s="214" t="s">
        <v>51</v>
      </c>
      <c r="T15" s="214">
        <v>55</v>
      </c>
      <c r="U15" s="215" t="s">
        <v>164</v>
      </c>
      <c r="V15" s="438">
        <v>1647.1</v>
      </c>
      <c r="X15" s="213">
        <v>1647.1</v>
      </c>
      <c r="Y15" s="213"/>
      <c r="AF15" s="230">
        <f>X15</f>
        <v>1647.1</v>
      </c>
    </row>
    <row r="16" spans="1:77" s="120" customFormat="1" ht="11" customHeight="1">
      <c r="B16" s="120" t="s">
        <v>291</v>
      </c>
      <c r="C16" s="121">
        <v>44452</v>
      </c>
      <c r="D16" s="121">
        <v>44456</v>
      </c>
      <c r="E16" s="122" t="s">
        <v>58</v>
      </c>
      <c r="F16" s="120" t="s">
        <v>57</v>
      </c>
      <c r="G16" s="123">
        <v>4253</v>
      </c>
      <c r="H16" s="120" t="s">
        <v>27</v>
      </c>
      <c r="I16" s="120" t="s">
        <v>33</v>
      </c>
      <c r="J16" s="124">
        <v>59304</v>
      </c>
      <c r="K16" s="125"/>
      <c r="L16" s="124">
        <v>42</v>
      </c>
      <c r="M16" s="124">
        <v>43</v>
      </c>
      <c r="N16" s="126">
        <v>8643.6</v>
      </c>
      <c r="O16" s="127">
        <v>0.3</v>
      </c>
      <c r="P16" s="127"/>
      <c r="Q16" s="126">
        <v>8643.6</v>
      </c>
      <c r="R16" s="120" t="s">
        <v>54</v>
      </c>
      <c r="S16" s="128" t="s">
        <v>51</v>
      </c>
      <c r="T16" s="128">
        <v>55</v>
      </c>
      <c r="U16" s="129" t="s">
        <v>164</v>
      </c>
      <c r="V16" s="437">
        <v>8643.6</v>
      </c>
      <c r="X16" s="126">
        <v>8643.6</v>
      </c>
      <c r="Y16" s="126"/>
      <c r="AC16" s="143">
        <f>X16</f>
        <v>8643.6</v>
      </c>
      <c r="BS16" s="205"/>
      <c r="BT16" s="205"/>
      <c r="BU16" s="205"/>
      <c r="BV16" s="205"/>
      <c r="BW16" s="205"/>
      <c r="BX16" s="205"/>
      <c r="BY16" s="205"/>
    </row>
    <row r="17" spans="1:77" s="130" customFormat="1" ht="11" customHeight="1">
      <c r="B17" s="130" t="s">
        <v>291</v>
      </c>
      <c r="C17" s="131">
        <v>44459</v>
      </c>
      <c r="D17" s="131">
        <v>44459</v>
      </c>
      <c r="E17" s="132" t="s">
        <v>59</v>
      </c>
      <c r="F17" s="130" t="s">
        <v>60</v>
      </c>
      <c r="G17" s="133">
        <v>3605</v>
      </c>
      <c r="H17" s="130" t="s">
        <v>27</v>
      </c>
      <c r="I17" s="130" t="s">
        <v>33</v>
      </c>
      <c r="J17" s="134">
        <v>18848.73</v>
      </c>
      <c r="K17" s="135"/>
      <c r="L17" s="134">
        <v>15.17</v>
      </c>
      <c r="M17" s="134">
        <v>15.17</v>
      </c>
      <c r="N17" s="136">
        <v>2544</v>
      </c>
      <c r="O17" s="137">
        <v>0.15</v>
      </c>
      <c r="P17" s="137"/>
      <c r="Q17" s="136">
        <v>0</v>
      </c>
      <c r="R17" s="130" t="s">
        <v>35</v>
      </c>
      <c r="S17" s="138" t="s">
        <v>41</v>
      </c>
      <c r="T17" s="138">
        <v>79</v>
      </c>
      <c r="U17" s="139" t="s">
        <v>164</v>
      </c>
      <c r="V17" s="439"/>
      <c r="W17" s="130" t="s">
        <v>820</v>
      </c>
      <c r="X17" s="136">
        <v>0</v>
      </c>
      <c r="Y17" s="136"/>
      <c r="AC17" s="144">
        <f>X17</f>
        <v>0</v>
      </c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  <c r="BN17" s="120"/>
      <c r="BO17" s="120"/>
      <c r="BP17" s="120"/>
      <c r="BQ17" s="120"/>
      <c r="BR17" s="120"/>
      <c r="BS17" s="205"/>
      <c r="BT17" s="205"/>
      <c r="BU17" s="205"/>
      <c r="BV17" s="205"/>
      <c r="BW17" s="205"/>
      <c r="BX17" s="205"/>
      <c r="BY17" s="205"/>
    </row>
    <row r="18" spans="1:77" s="120" customFormat="1" ht="11" customHeight="1">
      <c r="B18" s="120" t="s">
        <v>291</v>
      </c>
      <c r="C18" s="121">
        <v>44459</v>
      </c>
      <c r="D18" s="121">
        <v>44460</v>
      </c>
      <c r="E18" s="122" t="s">
        <v>61</v>
      </c>
      <c r="F18" s="120" t="s">
        <v>62</v>
      </c>
      <c r="G18" s="123">
        <v>4214</v>
      </c>
      <c r="H18" s="120" t="s">
        <v>27</v>
      </c>
      <c r="I18" s="120" t="s">
        <v>33</v>
      </c>
      <c r="J18" s="124">
        <v>36780.32</v>
      </c>
      <c r="K18" s="125"/>
      <c r="L18" s="124">
        <v>31.49</v>
      </c>
      <c r="M18" s="124">
        <v>31.49</v>
      </c>
      <c r="N18" s="126">
        <v>5436.29</v>
      </c>
      <c r="O18" s="127">
        <v>0.25</v>
      </c>
      <c r="P18" s="127"/>
      <c r="Q18" s="126">
        <v>5436.29</v>
      </c>
      <c r="R18" s="120" t="s">
        <v>54</v>
      </c>
      <c r="S18" s="128" t="s">
        <v>51</v>
      </c>
      <c r="T18" s="128">
        <v>55</v>
      </c>
      <c r="U18" s="129" t="s">
        <v>164</v>
      </c>
      <c r="V18" s="437">
        <v>5436.29</v>
      </c>
      <c r="X18" s="126">
        <v>5436.29</v>
      </c>
      <c r="Y18" s="126"/>
      <c r="AC18" s="143">
        <f>X18</f>
        <v>5436.29</v>
      </c>
      <c r="BS18" s="205"/>
      <c r="BT18" s="205"/>
      <c r="BU18" s="205"/>
      <c r="BV18" s="205"/>
      <c r="BW18" s="205"/>
      <c r="BX18" s="205"/>
      <c r="BY18" s="205"/>
    </row>
    <row r="19" spans="1:77" s="261" customFormat="1" ht="11" customHeight="1">
      <c r="B19" s="261" t="s">
        <v>291</v>
      </c>
      <c r="C19" s="259">
        <v>44460</v>
      </c>
      <c r="D19" s="259">
        <v>44462</v>
      </c>
      <c r="E19" s="260" t="s">
        <v>63</v>
      </c>
      <c r="F19" s="261" t="s">
        <v>64</v>
      </c>
      <c r="G19" s="262">
        <v>4450</v>
      </c>
      <c r="H19" s="261" t="s">
        <v>27</v>
      </c>
      <c r="I19" s="261" t="s">
        <v>33</v>
      </c>
      <c r="J19" s="263">
        <v>16391.34</v>
      </c>
      <c r="K19" s="264"/>
      <c r="L19" s="263">
        <v>10.4</v>
      </c>
      <c r="M19" s="263">
        <v>10.4</v>
      </c>
      <c r="N19" s="265">
        <f>0.2*J19</f>
        <v>3278.268</v>
      </c>
      <c r="O19" s="266">
        <v>0.3</v>
      </c>
      <c r="P19" s="266"/>
      <c r="Q19" s="265">
        <v>0</v>
      </c>
      <c r="R19" s="261" t="s">
        <v>46</v>
      </c>
      <c r="S19" s="267" t="s">
        <v>65</v>
      </c>
      <c r="T19" s="267">
        <v>59</v>
      </c>
      <c r="U19" s="268" t="s">
        <v>164</v>
      </c>
      <c r="V19" s="427"/>
      <c r="W19" s="261" t="s">
        <v>3689</v>
      </c>
      <c r="X19" s="265">
        <v>0</v>
      </c>
      <c r="Y19" s="265"/>
      <c r="AG19" s="257">
        <f>X19</f>
        <v>0</v>
      </c>
      <c r="BS19" s="205"/>
      <c r="BT19" s="205"/>
      <c r="BU19" s="205"/>
      <c r="BV19" s="205"/>
      <c r="BW19" s="205"/>
      <c r="BX19" s="205"/>
      <c r="BY19" s="205"/>
    </row>
    <row r="20" spans="1:77" s="261" customFormat="1" ht="11" customHeight="1">
      <c r="B20" s="261" t="s">
        <v>291</v>
      </c>
      <c r="C20" s="259"/>
      <c r="D20" s="259"/>
      <c r="E20" s="260" t="s">
        <v>63</v>
      </c>
      <c r="F20" s="261" t="s">
        <v>64</v>
      </c>
      <c r="G20" s="262">
        <v>4450</v>
      </c>
      <c r="H20" s="261" t="s">
        <v>27</v>
      </c>
      <c r="I20" s="261" t="s">
        <v>33</v>
      </c>
      <c r="J20" s="263">
        <v>49103.6</v>
      </c>
      <c r="K20" s="264"/>
      <c r="L20" s="263">
        <v>36.4</v>
      </c>
      <c r="M20" s="263">
        <v>36.4</v>
      </c>
      <c r="N20" s="265">
        <f>0.3*J20</f>
        <v>14731.08</v>
      </c>
      <c r="O20" s="266">
        <v>0.3</v>
      </c>
      <c r="P20" s="266"/>
      <c r="Q20" s="265">
        <v>0</v>
      </c>
      <c r="R20" s="261" t="s">
        <v>46</v>
      </c>
      <c r="S20" s="267" t="s">
        <v>65</v>
      </c>
      <c r="T20" s="267">
        <v>27</v>
      </c>
      <c r="U20" s="268" t="s">
        <v>164</v>
      </c>
      <c r="V20" s="427"/>
      <c r="W20" s="261" t="s">
        <v>3689</v>
      </c>
      <c r="X20" s="265">
        <v>0</v>
      </c>
      <c r="Y20" s="265"/>
      <c r="AG20" s="261">
        <f>X20</f>
        <v>0</v>
      </c>
      <c r="BS20" s="205"/>
      <c r="BT20" s="205"/>
      <c r="BU20" s="205"/>
      <c r="BV20" s="205"/>
      <c r="BW20" s="205"/>
      <c r="BX20" s="205"/>
      <c r="BY20" s="205"/>
    </row>
    <row r="21" spans="1:77" s="473" customFormat="1" ht="11" customHeight="1">
      <c r="A21" s="473" t="s">
        <v>3893</v>
      </c>
      <c r="B21" s="473" t="s">
        <v>291</v>
      </c>
      <c r="C21" s="487">
        <v>44462</v>
      </c>
      <c r="D21" s="487">
        <v>44462</v>
      </c>
      <c r="E21" s="488" t="s">
        <v>66</v>
      </c>
      <c r="F21" s="473" t="s">
        <v>67</v>
      </c>
      <c r="G21" s="489">
        <v>3665</v>
      </c>
      <c r="H21" s="473" t="s">
        <v>27</v>
      </c>
      <c r="I21" s="473" t="s">
        <v>33</v>
      </c>
      <c r="J21" s="490">
        <v>51272.55</v>
      </c>
      <c r="K21" s="491"/>
      <c r="L21" s="490">
        <v>45</v>
      </c>
      <c r="M21" s="490">
        <v>45</v>
      </c>
      <c r="N21" s="492">
        <f>1851.50875</f>
        <v>1851.50875</v>
      </c>
      <c r="O21" s="493">
        <v>0.15</v>
      </c>
      <c r="P21" s="493"/>
      <c r="Q21" s="492">
        <v>5337.35</v>
      </c>
      <c r="R21" s="473" t="s">
        <v>50</v>
      </c>
      <c r="S21" s="481" t="s">
        <v>51</v>
      </c>
      <c r="T21" s="481">
        <v>54</v>
      </c>
      <c r="U21" s="494" t="s">
        <v>164</v>
      </c>
      <c r="V21" s="492">
        <v>5337.35</v>
      </c>
      <c r="X21" s="492">
        <v>5337.35</v>
      </c>
      <c r="Y21" s="492"/>
      <c r="AJ21" s="485"/>
      <c r="AK21" s="505">
        <v>5337.35</v>
      </c>
    </row>
    <row r="22" spans="1:77" s="96" customFormat="1" ht="11" customHeight="1">
      <c r="B22" s="96" t="s">
        <v>291</v>
      </c>
      <c r="C22" s="94">
        <v>44462</v>
      </c>
      <c r="D22" s="94">
        <v>44462</v>
      </c>
      <c r="E22" s="95" t="s">
        <v>70</v>
      </c>
      <c r="F22" s="96" t="s">
        <v>68</v>
      </c>
      <c r="G22" s="97">
        <v>3915</v>
      </c>
      <c r="H22" s="96" t="s">
        <v>27</v>
      </c>
      <c r="I22" s="96" t="s">
        <v>33</v>
      </c>
      <c r="J22" s="98">
        <v>13977.58</v>
      </c>
      <c r="K22" s="99"/>
      <c r="L22" s="98">
        <v>9.7799999999999994</v>
      </c>
      <c r="M22" s="98">
        <v>9.7799999999999994</v>
      </c>
      <c r="N22" s="100">
        <v>1951.01</v>
      </c>
      <c r="O22" s="101">
        <v>0.3</v>
      </c>
      <c r="P22" s="101"/>
      <c r="Q22" s="100">
        <v>1951.01</v>
      </c>
      <c r="R22" s="96" t="s">
        <v>69</v>
      </c>
      <c r="S22" s="102" t="s">
        <v>41</v>
      </c>
      <c r="T22" s="102">
        <v>79</v>
      </c>
      <c r="U22" s="103" t="s">
        <v>164</v>
      </c>
      <c r="V22" s="440">
        <v>1951.01</v>
      </c>
      <c r="X22" s="100">
        <v>1951.01</v>
      </c>
      <c r="Y22" s="100"/>
      <c r="AA22" s="104">
        <f>X22</f>
        <v>1951.01</v>
      </c>
      <c r="BX22" s="205"/>
      <c r="BY22" s="205"/>
    </row>
    <row r="23" spans="1:77" s="205" customFormat="1" ht="11" customHeight="1">
      <c r="B23" s="205" t="s">
        <v>291</v>
      </c>
      <c r="C23" s="207">
        <v>44465</v>
      </c>
      <c r="D23" s="207">
        <v>44467</v>
      </c>
      <c r="E23" s="208" t="s">
        <v>71</v>
      </c>
      <c r="F23" s="205" t="s">
        <v>72</v>
      </c>
      <c r="G23" s="209">
        <v>4179</v>
      </c>
      <c r="H23" s="205" t="s">
        <v>27</v>
      </c>
      <c r="I23" s="205" t="s">
        <v>33</v>
      </c>
      <c r="J23" s="210">
        <v>29324.5</v>
      </c>
      <c r="K23" s="219"/>
      <c r="L23" s="210">
        <v>22.3</v>
      </c>
      <c r="M23" s="210">
        <v>22.3</v>
      </c>
      <c r="N23" s="213"/>
      <c r="O23" s="212">
        <v>0.15</v>
      </c>
      <c r="P23" s="212"/>
      <c r="Q23" s="213">
        <v>0</v>
      </c>
      <c r="R23" s="205" t="s">
        <v>73</v>
      </c>
      <c r="S23" s="214" t="s">
        <v>74</v>
      </c>
      <c r="T23" s="214">
        <v>31</v>
      </c>
      <c r="U23" s="215" t="s">
        <v>164</v>
      </c>
      <c r="V23" s="438"/>
      <c r="W23" s="205" t="s">
        <v>3056</v>
      </c>
      <c r="X23" s="213">
        <v>0</v>
      </c>
      <c r="Y23" s="213"/>
      <c r="AF23" s="230">
        <f>X23</f>
        <v>0</v>
      </c>
    </row>
    <row r="24" spans="1:77" s="153" customFormat="1" ht="11" customHeight="1">
      <c r="A24" s="154"/>
      <c r="B24" s="154" t="s">
        <v>291</v>
      </c>
      <c r="C24" s="155">
        <v>44468</v>
      </c>
      <c r="D24" s="155">
        <v>44468</v>
      </c>
      <c r="E24" s="156" t="s">
        <v>75</v>
      </c>
      <c r="F24" s="153" t="s">
        <v>76</v>
      </c>
      <c r="G24" s="157">
        <v>3590</v>
      </c>
      <c r="H24" s="153" t="s">
        <v>27</v>
      </c>
      <c r="I24" s="153" t="s">
        <v>33</v>
      </c>
      <c r="J24" s="158">
        <v>22232</v>
      </c>
      <c r="K24" s="163"/>
      <c r="L24" s="158">
        <v>16</v>
      </c>
      <c r="M24" s="158">
        <v>16</v>
      </c>
      <c r="N24" s="159"/>
      <c r="O24" s="160">
        <v>0.2</v>
      </c>
      <c r="P24" s="160"/>
      <c r="Q24" s="159">
        <v>0</v>
      </c>
      <c r="R24" s="153" t="s">
        <v>42</v>
      </c>
      <c r="S24" s="161" t="s">
        <v>41</v>
      </c>
      <c r="T24" s="161">
        <v>16</v>
      </c>
      <c r="U24" s="162" t="s">
        <v>164</v>
      </c>
      <c r="V24" s="435"/>
      <c r="W24" s="153" t="s">
        <v>1899</v>
      </c>
      <c r="X24" s="159">
        <v>0</v>
      </c>
      <c r="Y24" s="159"/>
      <c r="AD24" s="176">
        <f>X24</f>
        <v>0</v>
      </c>
      <c r="BY24" s="205"/>
    </row>
    <row r="25" spans="1:77" s="130" customFormat="1" ht="11" customHeight="1">
      <c r="B25" s="130" t="s">
        <v>291</v>
      </c>
      <c r="C25" s="131">
        <v>44466</v>
      </c>
      <c r="D25" s="131">
        <v>44468</v>
      </c>
      <c r="E25" s="132" t="s">
        <v>78</v>
      </c>
      <c r="F25" s="130" t="s">
        <v>79</v>
      </c>
      <c r="G25" s="133">
        <v>3586</v>
      </c>
      <c r="H25" s="130" t="s">
        <v>27</v>
      </c>
      <c r="I25" s="130" t="s">
        <v>33</v>
      </c>
      <c r="J25" s="134">
        <v>227800.17</v>
      </c>
      <c r="K25" s="135"/>
      <c r="L25" s="134">
        <v>149.77000000000001</v>
      </c>
      <c r="M25" s="134">
        <v>149</v>
      </c>
      <c r="N25" s="136">
        <v>8000</v>
      </c>
      <c r="O25" s="137">
        <v>0.2</v>
      </c>
      <c r="P25" s="137"/>
      <c r="Q25" s="136">
        <v>8000</v>
      </c>
      <c r="R25" s="130" t="s">
        <v>77</v>
      </c>
      <c r="S25" s="138" t="s">
        <v>41</v>
      </c>
      <c r="T25" s="138">
        <v>16</v>
      </c>
      <c r="U25" s="139" t="s">
        <v>164</v>
      </c>
      <c r="V25" s="439">
        <v>8000</v>
      </c>
      <c r="X25" s="136">
        <v>8000</v>
      </c>
      <c r="Y25" s="136"/>
      <c r="Z25" s="144">
        <f>338</f>
        <v>338</v>
      </c>
      <c r="AC25" s="144">
        <f>8000-Z25</f>
        <v>7662</v>
      </c>
      <c r="AJ25" s="140"/>
    </row>
    <row r="26" spans="1:77" s="15" customFormat="1" ht="11" customHeight="1">
      <c r="B26" s="15" t="s">
        <v>291</v>
      </c>
      <c r="C26" s="85">
        <v>44466</v>
      </c>
      <c r="D26" s="85">
        <v>44468</v>
      </c>
      <c r="E26" s="72" t="s">
        <v>80</v>
      </c>
      <c r="F26" s="15" t="s">
        <v>81</v>
      </c>
      <c r="G26" s="86">
        <v>3577</v>
      </c>
      <c r="H26" s="15" t="s">
        <v>27</v>
      </c>
      <c r="I26" s="15" t="s">
        <v>33</v>
      </c>
      <c r="J26" s="87">
        <v>41184.720000000001</v>
      </c>
      <c r="K26" s="88"/>
      <c r="L26" s="87">
        <v>33.159999999999997</v>
      </c>
      <c r="M26" s="87">
        <v>33</v>
      </c>
      <c r="N26" s="89"/>
      <c r="O26" s="90">
        <v>0.2</v>
      </c>
      <c r="P26" s="90"/>
      <c r="Q26" s="89">
        <v>2500</v>
      </c>
      <c r="R26" s="15" t="s">
        <v>77</v>
      </c>
      <c r="S26" s="91" t="s">
        <v>41</v>
      </c>
      <c r="T26" s="91">
        <v>16</v>
      </c>
      <c r="U26" s="92" t="s">
        <v>164</v>
      </c>
      <c r="V26" s="432">
        <v>2500</v>
      </c>
      <c r="X26" s="89">
        <v>2500</v>
      </c>
      <c r="Y26" s="89"/>
      <c r="Z26" s="93">
        <f>X26</f>
        <v>2500</v>
      </c>
      <c r="AJ26" s="641"/>
    </row>
    <row r="27" spans="1:77" s="181" customFormat="1" ht="11" customHeight="1">
      <c r="B27" s="181" t="s">
        <v>291</v>
      </c>
      <c r="C27" s="179">
        <v>44463</v>
      </c>
      <c r="D27" s="179">
        <v>44468</v>
      </c>
      <c r="E27" s="180" t="s">
        <v>83</v>
      </c>
      <c r="F27" s="181" t="s">
        <v>82</v>
      </c>
      <c r="G27" s="182">
        <v>3874</v>
      </c>
      <c r="H27" s="181" t="s">
        <v>27</v>
      </c>
      <c r="I27" s="181" t="s">
        <v>33</v>
      </c>
      <c r="J27" s="183">
        <v>32346.93</v>
      </c>
      <c r="K27" s="190"/>
      <c r="L27" s="183">
        <v>23.45</v>
      </c>
      <c r="M27" s="183">
        <v>23.45</v>
      </c>
      <c r="N27" s="185">
        <v>0</v>
      </c>
      <c r="O27" s="186">
        <v>0.2</v>
      </c>
      <c r="P27" s="186"/>
      <c r="Q27" s="185">
        <v>0</v>
      </c>
      <c r="R27" s="181" t="s">
        <v>54</v>
      </c>
      <c r="S27" s="187" t="s">
        <v>65</v>
      </c>
      <c r="T27" s="187">
        <v>60</v>
      </c>
      <c r="U27" s="188" t="s">
        <v>164</v>
      </c>
      <c r="V27" s="441"/>
      <c r="W27" s="181" t="s">
        <v>2681</v>
      </c>
      <c r="X27" s="185">
        <v>0</v>
      </c>
      <c r="Y27" s="185"/>
      <c r="AE27" s="204">
        <f>X27</f>
        <v>0</v>
      </c>
      <c r="AJ27" s="189"/>
    </row>
    <row r="28" spans="1:77" s="130" customFormat="1" ht="11" customHeight="1">
      <c r="B28" s="130" t="s">
        <v>291</v>
      </c>
      <c r="C28" s="131">
        <v>44464</v>
      </c>
      <c r="D28" s="131">
        <v>44473</v>
      </c>
      <c r="E28" s="132" t="s">
        <v>84</v>
      </c>
      <c r="F28" s="130" t="s">
        <v>85</v>
      </c>
      <c r="G28" s="133">
        <v>3979</v>
      </c>
      <c r="H28" s="130" t="s">
        <v>27</v>
      </c>
      <c r="I28" s="130" t="s">
        <v>33</v>
      </c>
      <c r="J28" s="134">
        <v>42338.84</v>
      </c>
      <c r="K28" s="135"/>
      <c r="L28" s="134">
        <v>32.770000000000003</v>
      </c>
      <c r="M28" s="134">
        <v>14.4</v>
      </c>
      <c r="N28" s="136">
        <v>2791</v>
      </c>
      <c r="O28" s="137">
        <v>0.3</v>
      </c>
      <c r="P28" s="137"/>
      <c r="Q28" s="136">
        <v>2495.23</v>
      </c>
      <c r="R28" s="130" t="s">
        <v>54</v>
      </c>
      <c r="S28" s="138" t="s">
        <v>51</v>
      </c>
      <c r="T28" s="138">
        <v>55</v>
      </c>
      <c r="U28" s="139" t="s">
        <v>164</v>
      </c>
      <c r="V28" s="439">
        <v>2495.23</v>
      </c>
      <c r="X28" s="136">
        <v>2495.23</v>
      </c>
      <c r="Y28" s="136"/>
      <c r="AC28" s="144">
        <f>X28</f>
        <v>2495.23</v>
      </c>
      <c r="AJ28" s="140"/>
    </row>
    <row r="29" spans="1:77" s="473" customFormat="1" ht="11" customHeight="1">
      <c r="B29" s="473" t="s">
        <v>291</v>
      </c>
      <c r="C29" s="487">
        <v>44468</v>
      </c>
      <c r="D29" s="487">
        <v>44474</v>
      </c>
      <c r="E29" s="488" t="s">
        <v>86</v>
      </c>
      <c r="F29" s="473" t="s">
        <v>87</v>
      </c>
      <c r="G29" s="489">
        <v>3666</v>
      </c>
      <c r="H29" s="473" t="s">
        <v>27</v>
      </c>
      <c r="I29" s="473" t="s">
        <v>33</v>
      </c>
      <c r="J29" s="490">
        <v>40180</v>
      </c>
      <c r="K29" s="491"/>
      <c r="L29" s="490">
        <v>40</v>
      </c>
      <c r="M29" s="490">
        <v>32</v>
      </c>
      <c r="N29" s="492">
        <v>4881.87</v>
      </c>
      <c r="O29" s="493">
        <v>0.2</v>
      </c>
      <c r="P29" s="493"/>
      <c r="Q29" s="492">
        <v>4800</v>
      </c>
      <c r="R29" s="473" t="s">
        <v>50</v>
      </c>
      <c r="S29" s="481" t="s">
        <v>51</v>
      </c>
      <c r="T29" s="481">
        <v>55</v>
      </c>
      <c r="U29" s="494" t="s">
        <v>164</v>
      </c>
      <c r="V29" s="495">
        <v>4800</v>
      </c>
      <c r="X29" s="495">
        <v>4800</v>
      </c>
      <c r="Y29" s="492"/>
      <c r="AJ29" s="485"/>
      <c r="AK29" s="498">
        <v>4800</v>
      </c>
    </row>
    <row r="30" spans="1:77" s="15" customFormat="1" ht="11" customHeight="1">
      <c r="B30" s="15" t="s">
        <v>291</v>
      </c>
      <c r="C30" s="85">
        <v>44477</v>
      </c>
      <c r="D30" s="85">
        <v>44477</v>
      </c>
      <c r="E30" s="72" t="s">
        <v>88</v>
      </c>
      <c r="F30" s="15" t="s">
        <v>89</v>
      </c>
      <c r="G30" s="86">
        <v>3681</v>
      </c>
      <c r="H30" s="15" t="s">
        <v>27</v>
      </c>
      <c r="I30" s="15" t="s">
        <v>33</v>
      </c>
      <c r="J30" s="87">
        <v>33114.9</v>
      </c>
      <c r="K30" s="88"/>
      <c r="L30" s="87">
        <v>27.76</v>
      </c>
      <c r="M30" s="87">
        <v>27.75</v>
      </c>
      <c r="N30" s="89"/>
      <c r="O30" s="90">
        <v>0.2</v>
      </c>
      <c r="P30" s="90"/>
      <c r="Q30" s="89">
        <v>4819.1400000000003</v>
      </c>
      <c r="R30" s="15" t="s">
        <v>29</v>
      </c>
      <c r="S30" s="91" t="s">
        <v>51</v>
      </c>
      <c r="T30" s="91">
        <v>52</v>
      </c>
      <c r="U30" s="92" t="s">
        <v>164</v>
      </c>
      <c r="V30" s="442">
        <v>4819.1400000000003</v>
      </c>
      <c r="X30" s="89">
        <v>4819.1400000000003</v>
      </c>
      <c r="Y30" s="89"/>
      <c r="Z30" s="93">
        <f>X30</f>
        <v>4819.1400000000003</v>
      </c>
      <c r="AJ30" s="641"/>
    </row>
    <row r="31" spans="1:77" s="291" customFormat="1" ht="11" customHeight="1">
      <c r="A31" s="291" t="s">
        <v>3893</v>
      </c>
      <c r="B31" s="291" t="s">
        <v>291</v>
      </c>
      <c r="C31" s="292">
        <v>44480</v>
      </c>
      <c r="D31" s="292">
        <v>44480</v>
      </c>
      <c r="E31" s="293" t="s">
        <v>90</v>
      </c>
      <c r="F31" s="291" t="s">
        <v>91</v>
      </c>
      <c r="G31" s="294" t="s">
        <v>92</v>
      </c>
      <c r="H31" s="291" t="s">
        <v>27</v>
      </c>
      <c r="I31" s="291" t="s">
        <v>33</v>
      </c>
      <c r="J31" s="296">
        <v>20939.37</v>
      </c>
      <c r="K31" s="295"/>
      <c r="L31" s="296">
        <v>17.350000000000001</v>
      </c>
      <c r="M31" s="296">
        <v>12.43</v>
      </c>
      <c r="N31" s="297">
        <v>1810.5</v>
      </c>
      <c r="O31" s="298">
        <v>0.25</v>
      </c>
      <c r="P31" s="298"/>
      <c r="Q31" s="297">
        <v>2026.09</v>
      </c>
      <c r="R31" s="291" t="s">
        <v>35</v>
      </c>
      <c r="S31" s="299" t="s">
        <v>41</v>
      </c>
      <c r="T31" s="299">
        <v>16</v>
      </c>
      <c r="U31" s="300" t="s">
        <v>164</v>
      </c>
      <c r="V31" s="333">
        <v>2026.09</v>
      </c>
      <c r="X31" s="297">
        <v>2026.09</v>
      </c>
      <c r="Y31" s="297"/>
      <c r="AH31" s="291">
        <f>X31</f>
        <v>2026.09</v>
      </c>
      <c r="AI31" s="311"/>
      <c r="AJ31" s="468"/>
    </row>
    <row r="32" spans="1:77" s="473" customFormat="1" ht="11" customHeight="1">
      <c r="B32" s="473" t="s">
        <v>291</v>
      </c>
      <c r="C32" s="487">
        <v>44478</v>
      </c>
      <c r="D32" s="487">
        <v>44481</v>
      </c>
      <c r="E32" s="488" t="s">
        <v>93</v>
      </c>
      <c r="F32" s="473" t="s">
        <v>94</v>
      </c>
      <c r="G32" s="489">
        <v>4377</v>
      </c>
      <c r="H32" s="473" t="s">
        <v>27</v>
      </c>
      <c r="I32" s="473" t="s">
        <v>33</v>
      </c>
      <c r="J32" s="490">
        <v>8658</v>
      </c>
      <c r="K32" s="491"/>
      <c r="L32" s="490">
        <v>11.1</v>
      </c>
      <c r="M32" s="490">
        <v>11.1</v>
      </c>
      <c r="N32" s="492">
        <v>2164.5</v>
      </c>
      <c r="O32" s="493">
        <v>0.25</v>
      </c>
      <c r="P32" s="493"/>
      <c r="Q32" s="492">
        <v>0</v>
      </c>
      <c r="R32" s="473" t="s">
        <v>42</v>
      </c>
      <c r="S32" s="481" t="s">
        <v>41</v>
      </c>
      <c r="T32" s="481">
        <v>17</v>
      </c>
      <c r="U32" s="494" t="s">
        <v>164</v>
      </c>
      <c r="V32" s="495"/>
      <c r="X32" s="492">
        <v>0</v>
      </c>
      <c r="Y32" s="492"/>
      <c r="AB32" s="498">
        <f>X32</f>
        <v>0</v>
      </c>
      <c r="AJ32" s="485"/>
    </row>
    <row r="33" spans="1:77" s="205" customFormat="1" ht="11" customHeight="1">
      <c r="B33" s="205" t="s">
        <v>291</v>
      </c>
      <c r="C33" s="207">
        <v>44483</v>
      </c>
      <c r="D33" s="207">
        <v>44483</v>
      </c>
      <c r="E33" s="208" t="s">
        <v>95</v>
      </c>
      <c r="F33" s="205" t="s">
        <v>96</v>
      </c>
      <c r="G33" s="209">
        <v>3678</v>
      </c>
      <c r="H33" s="205" t="s">
        <v>27</v>
      </c>
      <c r="I33" s="205" t="s">
        <v>33</v>
      </c>
      <c r="J33" s="210">
        <v>45436.65</v>
      </c>
      <c r="K33" s="219"/>
      <c r="L33" s="210">
        <v>35</v>
      </c>
      <c r="M33" s="210">
        <v>35</v>
      </c>
      <c r="N33" s="213">
        <v>4000</v>
      </c>
      <c r="O33" s="212">
        <v>0.2</v>
      </c>
      <c r="P33" s="212"/>
      <c r="Q33" s="213">
        <v>0</v>
      </c>
      <c r="R33" s="205" t="s">
        <v>50</v>
      </c>
      <c r="S33" s="214" t="s">
        <v>51</v>
      </c>
      <c r="T33" s="214">
        <v>54</v>
      </c>
      <c r="U33" s="215" t="s">
        <v>164</v>
      </c>
      <c r="V33" s="438">
        <v>0</v>
      </c>
      <c r="X33" s="213">
        <v>0</v>
      </c>
      <c r="Y33" s="213"/>
      <c r="AF33" s="230">
        <f>X33</f>
        <v>0</v>
      </c>
      <c r="AJ33" s="216"/>
    </row>
    <row r="34" spans="1:77" s="205" customFormat="1" ht="11" customHeight="1">
      <c r="B34" s="205" t="s">
        <v>291</v>
      </c>
      <c r="C34" s="207"/>
      <c r="D34" s="207"/>
      <c r="E34" s="208" t="s">
        <v>95</v>
      </c>
      <c r="F34" s="205" t="s">
        <v>96</v>
      </c>
      <c r="G34" s="209">
        <v>3678</v>
      </c>
      <c r="H34" s="205" t="s">
        <v>27</v>
      </c>
      <c r="I34" s="205" t="s">
        <v>33</v>
      </c>
      <c r="J34" s="210">
        <v>18712.36</v>
      </c>
      <c r="K34" s="219"/>
      <c r="L34" s="210">
        <v>14.24</v>
      </c>
      <c r="M34" s="210">
        <v>14.2</v>
      </c>
      <c r="N34" s="213">
        <v>2000</v>
      </c>
      <c r="O34" s="212">
        <v>0.2</v>
      </c>
      <c r="P34" s="212"/>
      <c r="Q34" s="213">
        <v>776</v>
      </c>
      <c r="R34" s="205" t="s">
        <v>50</v>
      </c>
      <c r="S34" s="214" t="s">
        <v>51</v>
      </c>
      <c r="T34" s="214">
        <v>55</v>
      </c>
      <c r="U34" s="215" t="s">
        <v>164</v>
      </c>
      <c r="V34" s="438">
        <v>776</v>
      </c>
      <c r="X34" s="213">
        <v>776</v>
      </c>
      <c r="Y34" s="213"/>
      <c r="AF34" s="230">
        <f>X34</f>
        <v>776</v>
      </c>
      <c r="AJ34" s="216"/>
    </row>
    <row r="35" spans="1:77" s="15" customFormat="1" ht="11" customHeight="1">
      <c r="A35" s="379"/>
      <c r="B35" s="379" t="s">
        <v>291</v>
      </c>
      <c r="C35" s="381">
        <v>44479</v>
      </c>
      <c r="D35" s="381">
        <v>44484</v>
      </c>
      <c r="E35" s="382" t="s">
        <v>97</v>
      </c>
      <c r="F35" s="379" t="s">
        <v>98</v>
      </c>
      <c r="G35" s="383" t="s">
        <v>100</v>
      </c>
      <c r="H35" s="379" t="s">
        <v>27</v>
      </c>
      <c r="I35" s="379" t="s">
        <v>33</v>
      </c>
      <c r="J35" s="385">
        <v>22868.16</v>
      </c>
      <c r="K35" s="384"/>
      <c r="L35" s="385">
        <v>19.920000000000002</v>
      </c>
      <c r="M35" s="385">
        <v>11</v>
      </c>
      <c r="N35" s="386"/>
      <c r="O35" s="387">
        <v>0.25</v>
      </c>
      <c r="P35" s="387"/>
      <c r="Q35" s="386">
        <v>1815</v>
      </c>
      <c r="R35" s="379" t="s">
        <v>50</v>
      </c>
      <c r="S35" s="388" t="s">
        <v>51</v>
      </c>
      <c r="T35" s="388">
        <v>55</v>
      </c>
      <c r="U35" s="389" t="s">
        <v>164</v>
      </c>
      <c r="V35" s="433">
        <v>1815</v>
      </c>
      <c r="W35" s="379"/>
      <c r="X35" s="390">
        <v>1815</v>
      </c>
      <c r="Y35" s="386"/>
      <c r="Z35" s="379"/>
      <c r="AA35" s="379"/>
      <c r="AB35" s="379"/>
      <c r="AC35" s="379"/>
      <c r="AD35" s="379"/>
      <c r="AE35" s="379"/>
      <c r="AF35" s="379"/>
      <c r="AG35" s="379"/>
      <c r="AH35" s="379"/>
      <c r="AI35" s="379"/>
      <c r="AJ35" s="390">
        <v>1815</v>
      </c>
      <c r="AK35" s="379"/>
      <c r="AL35" s="379"/>
      <c r="AM35" s="379"/>
      <c r="AN35" s="379"/>
      <c r="AO35" s="379"/>
      <c r="AP35" s="379"/>
      <c r="AQ35" s="379"/>
      <c r="AR35" s="379"/>
      <c r="AS35" s="379"/>
      <c r="AT35" s="379"/>
      <c r="AU35" s="379"/>
      <c r="AV35" s="379"/>
      <c r="AW35" s="379"/>
      <c r="AX35" s="379"/>
      <c r="AY35" s="379"/>
      <c r="AZ35" s="379"/>
      <c r="BA35" s="379"/>
      <c r="BB35" s="379"/>
      <c r="BC35" s="379"/>
      <c r="BD35" s="379"/>
      <c r="BE35" s="379"/>
      <c r="BF35" s="379"/>
      <c r="BG35" s="379"/>
      <c r="BH35" s="379"/>
      <c r="BI35" s="379"/>
      <c r="BJ35" s="379"/>
      <c r="BK35" s="379"/>
      <c r="BL35" s="379"/>
      <c r="BM35" s="379"/>
      <c r="BN35" s="379"/>
      <c r="BO35" s="379"/>
      <c r="BP35" s="379"/>
      <c r="BQ35" s="379"/>
      <c r="BR35" s="379"/>
      <c r="BS35" s="379"/>
      <c r="BT35" s="379"/>
      <c r="BU35" s="379"/>
      <c r="BV35" s="379"/>
      <c r="BW35" s="379"/>
      <c r="BX35" s="379"/>
      <c r="BY35" s="379"/>
    </row>
    <row r="36" spans="1:77" s="15" customFormat="1" ht="11" customHeight="1">
      <c r="B36" s="15" t="s">
        <v>291</v>
      </c>
      <c r="C36" s="85">
        <v>44477</v>
      </c>
      <c r="D36" s="85">
        <v>44484</v>
      </c>
      <c r="E36" s="72" t="s">
        <v>97</v>
      </c>
      <c r="F36" s="15" t="s">
        <v>98</v>
      </c>
      <c r="G36" s="86" t="s">
        <v>100</v>
      </c>
      <c r="H36" s="15" t="s">
        <v>99</v>
      </c>
      <c r="I36" s="15" t="s">
        <v>33</v>
      </c>
      <c r="J36" s="87">
        <v>41547.47</v>
      </c>
      <c r="K36" s="88"/>
      <c r="L36" s="87">
        <v>28.03</v>
      </c>
      <c r="M36" s="87">
        <v>11</v>
      </c>
      <c r="N36" s="89"/>
      <c r="O36" s="90">
        <v>0.25</v>
      </c>
      <c r="P36" s="90"/>
      <c r="Q36" s="89">
        <v>0</v>
      </c>
      <c r="R36" s="15" t="s">
        <v>50</v>
      </c>
      <c r="S36" s="91" t="s">
        <v>51</v>
      </c>
      <c r="T36" s="91">
        <v>55</v>
      </c>
      <c r="U36" s="92" t="s">
        <v>164</v>
      </c>
      <c r="V36" s="432"/>
      <c r="X36" s="89">
        <v>0</v>
      </c>
      <c r="Y36" s="89"/>
      <c r="Z36" s="93">
        <f>X36</f>
        <v>0</v>
      </c>
      <c r="AJ36" s="641"/>
    </row>
    <row r="37" spans="1:77" s="205" customFormat="1" ht="11" customHeight="1">
      <c r="B37" s="205" t="s">
        <v>291</v>
      </c>
      <c r="C37" s="207">
        <v>44486</v>
      </c>
      <c r="D37" s="207">
        <v>44490</v>
      </c>
      <c r="E37" s="208" t="s">
        <v>101</v>
      </c>
      <c r="F37" s="205" t="s">
        <v>102</v>
      </c>
      <c r="G37" s="209">
        <v>3682</v>
      </c>
      <c r="H37" s="205" t="s">
        <v>27</v>
      </c>
      <c r="I37" s="205" t="s">
        <v>33</v>
      </c>
      <c r="J37" s="210">
        <v>32106.3</v>
      </c>
      <c r="K37" s="219"/>
      <c r="L37" s="210">
        <v>22.91</v>
      </c>
      <c r="M37" s="210">
        <v>22.91</v>
      </c>
      <c r="N37" s="213">
        <v>6421</v>
      </c>
      <c r="O37" s="212">
        <v>0.15</v>
      </c>
      <c r="P37" s="212"/>
      <c r="Q37" s="213">
        <v>0</v>
      </c>
      <c r="R37" s="205" t="s">
        <v>54</v>
      </c>
      <c r="S37" s="214" t="s">
        <v>51</v>
      </c>
      <c r="T37" s="214">
        <v>55</v>
      </c>
      <c r="U37" s="215" t="s">
        <v>164</v>
      </c>
      <c r="V37" s="438"/>
      <c r="X37" s="213">
        <v>0</v>
      </c>
      <c r="Y37" s="213"/>
      <c r="AF37" s="230">
        <f>X37</f>
        <v>0</v>
      </c>
    </row>
    <row r="38" spans="1:77" s="291" customFormat="1" ht="11" customHeight="1">
      <c r="B38" s="291" t="s">
        <v>291</v>
      </c>
      <c r="C38" s="292">
        <v>44452</v>
      </c>
      <c r="D38" s="292">
        <v>44491</v>
      </c>
      <c r="E38" s="293" t="s">
        <v>103</v>
      </c>
      <c r="F38" s="291" t="s">
        <v>104</v>
      </c>
      <c r="G38" s="294">
        <v>3553</v>
      </c>
      <c r="H38" s="291" t="s">
        <v>27</v>
      </c>
      <c r="I38" s="291" t="s">
        <v>28</v>
      </c>
      <c r="J38" s="296">
        <v>47872.35</v>
      </c>
      <c r="K38" s="295"/>
      <c r="L38" s="296">
        <v>35.44</v>
      </c>
      <c r="M38" s="296">
        <v>15.93</v>
      </c>
      <c r="N38" s="297"/>
      <c r="O38" s="298">
        <v>0.3</v>
      </c>
      <c r="P38" s="298"/>
      <c r="Q38" s="297">
        <v>0</v>
      </c>
      <c r="R38" s="291" t="s">
        <v>105</v>
      </c>
      <c r="S38" s="299" t="s">
        <v>30</v>
      </c>
      <c r="T38" s="299">
        <v>39</v>
      </c>
      <c r="U38" s="300" t="s">
        <v>164</v>
      </c>
      <c r="V38" s="333"/>
      <c r="W38" s="291" t="s">
        <v>3726</v>
      </c>
      <c r="X38" s="297">
        <v>0</v>
      </c>
      <c r="Y38" s="297"/>
      <c r="AH38" s="291">
        <f>X38</f>
        <v>0</v>
      </c>
      <c r="AI38" s="311"/>
      <c r="AJ38" s="468"/>
    </row>
    <row r="39" spans="1:77" s="6" customFormat="1" ht="11" customHeight="1">
      <c r="B39" s="6" t="s">
        <v>291</v>
      </c>
      <c r="C39" s="4">
        <v>44470</v>
      </c>
      <c r="D39" s="4">
        <v>44491</v>
      </c>
      <c r="E39" s="5" t="s">
        <v>114</v>
      </c>
      <c r="F39" s="6" t="s">
        <v>106</v>
      </c>
      <c r="G39" s="79">
        <v>3663</v>
      </c>
      <c r="H39" s="6" t="s">
        <v>27</v>
      </c>
      <c r="I39" s="6" t="s">
        <v>33</v>
      </c>
      <c r="J39" s="24">
        <v>98000</v>
      </c>
      <c r="K39" s="9"/>
      <c r="L39" s="24">
        <v>70</v>
      </c>
      <c r="M39" s="24">
        <v>60</v>
      </c>
      <c r="N39" s="8">
        <v>18200</v>
      </c>
      <c r="O39" s="11">
        <v>0.2</v>
      </c>
      <c r="P39" s="11"/>
      <c r="Q39" s="142">
        <v>1425.9</v>
      </c>
      <c r="R39" s="6" t="s">
        <v>54</v>
      </c>
      <c r="S39" s="3" t="s">
        <v>51</v>
      </c>
      <c r="T39" s="3">
        <v>55</v>
      </c>
      <c r="U39" s="7"/>
      <c r="V39" s="436">
        <v>1425.9</v>
      </c>
      <c r="X39" s="8"/>
      <c r="Y39" s="8"/>
      <c r="AJ39" s="80"/>
    </row>
    <row r="40" spans="1:77" s="130" customFormat="1" ht="11" customHeight="1">
      <c r="B40" s="130" t="s">
        <v>291</v>
      </c>
      <c r="C40" s="131">
        <v>44470</v>
      </c>
      <c r="D40" s="131">
        <v>44491</v>
      </c>
      <c r="E40" s="132" t="s">
        <v>108</v>
      </c>
      <c r="F40" s="130" t="s">
        <v>107</v>
      </c>
      <c r="G40" s="133">
        <v>3657</v>
      </c>
      <c r="H40" s="130" t="s">
        <v>27</v>
      </c>
      <c r="I40" s="130" t="s">
        <v>33</v>
      </c>
      <c r="J40" s="134">
        <v>16944</v>
      </c>
      <c r="K40" s="135"/>
      <c r="L40" s="134">
        <v>12</v>
      </c>
      <c r="M40" s="134">
        <v>12</v>
      </c>
      <c r="N40" s="136">
        <v>2542</v>
      </c>
      <c r="O40" s="137">
        <v>0.15</v>
      </c>
      <c r="P40" s="137"/>
      <c r="Q40" s="136">
        <v>2361.6</v>
      </c>
      <c r="R40" s="130" t="s">
        <v>54</v>
      </c>
      <c r="S40" s="138" t="s">
        <v>51</v>
      </c>
      <c r="T40" s="138">
        <v>55</v>
      </c>
      <c r="U40" s="139" t="s">
        <v>164</v>
      </c>
      <c r="V40" s="439">
        <v>2361.6</v>
      </c>
      <c r="X40" s="136">
        <v>2361.6</v>
      </c>
      <c r="Y40" s="136"/>
      <c r="AC40" s="144">
        <f>X40</f>
        <v>2361.6</v>
      </c>
      <c r="AJ40" s="140"/>
    </row>
    <row r="41" spans="1:77" s="205" customFormat="1" ht="11" customHeight="1">
      <c r="B41" s="205" t="s">
        <v>291</v>
      </c>
      <c r="C41" s="207">
        <v>44489</v>
      </c>
      <c r="D41" s="207">
        <v>44494</v>
      </c>
      <c r="E41" s="208" t="s">
        <v>115</v>
      </c>
      <c r="F41" s="205" t="s">
        <v>109</v>
      </c>
      <c r="G41" s="209" t="s">
        <v>110</v>
      </c>
      <c r="H41" s="205" t="s">
        <v>27</v>
      </c>
      <c r="I41" s="205" t="s">
        <v>111</v>
      </c>
      <c r="J41" s="210">
        <v>2331.1799999999998</v>
      </c>
      <c r="K41" s="219"/>
      <c r="L41" s="210">
        <v>1.6</v>
      </c>
      <c r="M41" s="210">
        <v>0.6</v>
      </c>
      <c r="N41" s="213">
        <v>699.35</v>
      </c>
      <c r="O41" s="212">
        <v>0.2</v>
      </c>
      <c r="P41" s="212"/>
      <c r="Q41" s="213">
        <v>0</v>
      </c>
      <c r="R41" s="205" t="s">
        <v>112</v>
      </c>
      <c r="S41" s="214" t="s">
        <v>113</v>
      </c>
      <c r="T41" s="214">
        <v>64</v>
      </c>
      <c r="U41" s="215" t="s">
        <v>164</v>
      </c>
      <c r="V41" s="215"/>
      <c r="W41" s="205" t="s">
        <v>2996</v>
      </c>
      <c r="X41" s="213">
        <v>0</v>
      </c>
      <c r="Y41" s="232"/>
      <c r="Z41" s="213"/>
      <c r="AF41" s="230">
        <f>X41</f>
        <v>0</v>
      </c>
      <c r="AG41" s="214"/>
    </row>
    <row r="42" spans="1:77" s="291" customFormat="1" ht="11" customHeight="1">
      <c r="A42" s="291" t="s">
        <v>3893</v>
      </c>
      <c r="B42" s="291" t="s">
        <v>291</v>
      </c>
      <c r="C42" s="292">
        <v>44493</v>
      </c>
      <c r="D42" s="292">
        <v>44498</v>
      </c>
      <c r="E42" s="293" t="s">
        <v>116</v>
      </c>
      <c r="F42" s="291" t="s">
        <v>117</v>
      </c>
      <c r="G42" s="294">
        <v>3532</v>
      </c>
      <c r="H42" s="291" t="s">
        <v>27</v>
      </c>
      <c r="I42" s="291" t="s">
        <v>33</v>
      </c>
      <c r="J42" s="296">
        <v>75130.83</v>
      </c>
      <c r="K42" s="295"/>
      <c r="L42" s="296">
        <v>62.95</v>
      </c>
      <c r="M42" s="296">
        <v>62.95</v>
      </c>
      <c r="N42" s="297">
        <v>626.5</v>
      </c>
      <c r="O42" s="298">
        <v>0.15</v>
      </c>
      <c r="P42" s="298"/>
      <c r="Q42" s="297">
        <v>0</v>
      </c>
      <c r="R42" s="291" t="s">
        <v>35</v>
      </c>
      <c r="S42" s="299" t="s">
        <v>118</v>
      </c>
      <c r="T42" s="299">
        <v>79</v>
      </c>
      <c r="U42" s="300" t="s">
        <v>164</v>
      </c>
      <c r="V42" s="333"/>
      <c r="X42" s="297">
        <v>0</v>
      </c>
      <c r="Y42" s="297"/>
      <c r="AH42" s="291">
        <f>X42</f>
        <v>0</v>
      </c>
      <c r="AI42" s="311"/>
      <c r="AJ42" s="468"/>
    </row>
    <row r="43" spans="1:77" s="130" customFormat="1" ht="11" customHeight="1">
      <c r="B43" s="130" t="s">
        <v>291</v>
      </c>
      <c r="C43" s="131">
        <v>44504</v>
      </c>
      <c r="D43" s="131">
        <v>44504</v>
      </c>
      <c r="E43" s="132" t="s">
        <v>119</v>
      </c>
      <c r="F43" s="130" t="s">
        <v>120</v>
      </c>
      <c r="G43" s="133">
        <v>3720</v>
      </c>
      <c r="H43" s="130" t="s">
        <v>27</v>
      </c>
      <c r="I43" s="130" t="s">
        <v>33</v>
      </c>
      <c r="J43" s="134">
        <v>20580</v>
      </c>
      <c r="K43" s="135"/>
      <c r="L43" s="134">
        <v>20</v>
      </c>
      <c r="M43" s="134">
        <v>9</v>
      </c>
      <c r="N43" s="136"/>
      <c r="O43" s="137">
        <v>0.2</v>
      </c>
      <c r="P43" s="137"/>
      <c r="Q43" s="136">
        <v>1381.38</v>
      </c>
      <c r="R43" s="130" t="s">
        <v>50</v>
      </c>
      <c r="S43" s="138" t="s">
        <v>51</v>
      </c>
      <c r="T43" s="138">
        <v>55</v>
      </c>
      <c r="U43" s="139" t="s">
        <v>164</v>
      </c>
      <c r="V43" s="444">
        <v>1381.38</v>
      </c>
      <c r="X43" s="136">
        <v>1381.38</v>
      </c>
      <c r="Y43" s="136"/>
      <c r="AC43" s="144">
        <f>X43</f>
        <v>1381.38</v>
      </c>
      <c r="AJ43" s="140"/>
    </row>
    <row r="44" spans="1:77" s="261" customFormat="1" ht="11" customHeight="1">
      <c r="B44" s="261" t="s">
        <v>291</v>
      </c>
      <c r="C44" s="259">
        <v>44484</v>
      </c>
      <c r="D44" s="259">
        <v>44515</v>
      </c>
      <c r="E44" s="260" t="s">
        <v>121</v>
      </c>
      <c r="F44" s="261" t="s">
        <v>122</v>
      </c>
      <c r="G44" s="262" t="s">
        <v>123</v>
      </c>
      <c r="H44" s="261" t="s">
        <v>27</v>
      </c>
      <c r="I44" s="261" t="s">
        <v>33</v>
      </c>
      <c r="J44" s="263">
        <v>21129.33</v>
      </c>
      <c r="K44" s="264"/>
      <c r="L44" s="263">
        <v>15.25</v>
      </c>
      <c r="M44" s="263">
        <v>5.35</v>
      </c>
      <c r="N44" s="265"/>
      <c r="O44" s="266">
        <v>0.25</v>
      </c>
      <c r="P44" s="266"/>
      <c r="Q44" s="265">
        <v>1096.75</v>
      </c>
      <c r="R44" s="261" t="s">
        <v>35</v>
      </c>
      <c r="S44" s="267" t="s">
        <v>41</v>
      </c>
      <c r="T44" s="267">
        <v>86</v>
      </c>
      <c r="U44" s="268" t="s">
        <v>164</v>
      </c>
      <c r="V44" s="427">
        <v>1096.75</v>
      </c>
      <c r="X44" s="265">
        <v>1096.75</v>
      </c>
      <c r="Y44" s="265"/>
      <c r="AG44" s="261">
        <f>X44</f>
        <v>1096.75</v>
      </c>
      <c r="AJ44" s="642"/>
    </row>
    <row r="45" spans="1:77" s="473" customFormat="1" ht="11" customHeight="1">
      <c r="B45" s="473" t="s">
        <v>291</v>
      </c>
      <c r="C45" s="487">
        <v>44512</v>
      </c>
      <c r="D45" s="487">
        <v>44516</v>
      </c>
      <c r="E45" s="488" t="s">
        <v>124</v>
      </c>
      <c r="F45" s="473" t="s">
        <v>125</v>
      </c>
      <c r="G45" s="489">
        <v>3551</v>
      </c>
      <c r="H45" s="473" t="s">
        <v>27</v>
      </c>
      <c r="I45" s="473" t="s">
        <v>33</v>
      </c>
      <c r="J45" s="490">
        <v>35687.519999999997</v>
      </c>
      <c r="K45" s="491"/>
      <c r="L45" s="490">
        <v>34.19</v>
      </c>
      <c r="M45" s="490">
        <v>18.8</v>
      </c>
      <c r="N45" s="492"/>
      <c r="O45" s="493">
        <v>0.15</v>
      </c>
      <c r="P45" s="493"/>
      <c r="Q45" s="492">
        <v>2458.14</v>
      </c>
      <c r="R45" s="473" t="s">
        <v>29</v>
      </c>
      <c r="S45" s="481" t="s">
        <v>30</v>
      </c>
      <c r="T45" s="481">
        <v>70</v>
      </c>
      <c r="U45" s="494" t="s">
        <v>164</v>
      </c>
      <c r="V45" s="492">
        <v>2458.14</v>
      </c>
      <c r="X45" s="492">
        <v>2458.14</v>
      </c>
      <c r="Y45" s="492"/>
      <c r="AJ45" s="485"/>
      <c r="AK45" s="505">
        <v>2458.14</v>
      </c>
    </row>
    <row r="46" spans="1:77" s="507" customFormat="1" ht="11" customHeight="1">
      <c r="B46" s="507" t="s">
        <v>291</v>
      </c>
      <c r="C46" s="509">
        <v>44502</v>
      </c>
      <c r="D46" s="509">
        <v>44517</v>
      </c>
      <c r="E46" s="510" t="s">
        <v>126</v>
      </c>
      <c r="F46" s="507" t="s">
        <v>127</v>
      </c>
      <c r="G46" s="521">
        <v>4197</v>
      </c>
      <c r="H46" s="507" t="s">
        <v>27</v>
      </c>
      <c r="I46" s="507" t="s">
        <v>33</v>
      </c>
      <c r="J46" s="513">
        <v>41905.89</v>
      </c>
      <c r="K46" s="512"/>
      <c r="L46" s="513">
        <v>32.68</v>
      </c>
      <c r="M46" s="513">
        <v>32.68</v>
      </c>
      <c r="N46" s="514">
        <v>4470.1400000000003</v>
      </c>
      <c r="O46" s="515">
        <v>0.25</v>
      </c>
      <c r="P46" s="515"/>
      <c r="Q46" s="514">
        <v>0</v>
      </c>
      <c r="R46" s="507" t="s">
        <v>42</v>
      </c>
      <c r="S46" s="516" t="s">
        <v>41</v>
      </c>
      <c r="T46" s="516">
        <v>17</v>
      </c>
      <c r="U46" s="517" t="s">
        <v>164</v>
      </c>
      <c r="V46" s="536">
        <v>0</v>
      </c>
      <c r="X46" s="514">
        <v>0</v>
      </c>
      <c r="Y46" s="514"/>
      <c r="AJ46" s="522"/>
      <c r="AL46" s="507">
        <v>0</v>
      </c>
    </row>
    <row r="47" spans="1:77" s="15" customFormat="1" ht="11" customHeight="1">
      <c r="B47" s="15" t="s">
        <v>291</v>
      </c>
      <c r="C47" s="85">
        <v>44508</v>
      </c>
      <c r="D47" s="85">
        <v>44518</v>
      </c>
      <c r="E47" s="72" t="s">
        <v>247</v>
      </c>
      <c r="F47" s="15" t="s">
        <v>129</v>
      </c>
      <c r="G47" s="86">
        <v>3718</v>
      </c>
      <c r="H47" s="15" t="s">
        <v>27</v>
      </c>
      <c r="I47" s="15" t="s">
        <v>28</v>
      </c>
      <c r="J47" s="87">
        <v>12294.75</v>
      </c>
      <c r="K47" s="88"/>
      <c r="L47" s="87">
        <v>9.6999999999999993</v>
      </c>
      <c r="M47" s="87">
        <v>9.76</v>
      </c>
      <c r="N47" s="89"/>
      <c r="O47" s="90">
        <v>0.2</v>
      </c>
      <c r="P47" s="90"/>
      <c r="Q47" s="89">
        <v>962.63</v>
      </c>
      <c r="R47" s="15" t="s">
        <v>50</v>
      </c>
      <c r="S47" s="91" t="s">
        <v>51</v>
      </c>
      <c r="T47" s="91">
        <v>54</v>
      </c>
      <c r="U47" s="92" t="s">
        <v>164</v>
      </c>
      <c r="V47" s="432">
        <v>962.63</v>
      </c>
      <c r="X47" s="89">
        <v>962.63</v>
      </c>
      <c r="Y47" s="89"/>
      <c r="Z47" s="93">
        <f>X47</f>
        <v>962.63</v>
      </c>
      <c r="AJ47" s="641"/>
    </row>
    <row r="48" spans="1:77" s="473" customFormat="1" ht="11" customHeight="1">
      <c r="B48" s="473" t="s">
        <v>291</v>
      </c>
      <c r="C48" s="487">
        <v>44522</v>
      </c>
      <c r="D48" s="487">
        <v>44523</v>
      </c>
      <c r="E48" s="488" t="s">
        <v>130</v>
      </c>
      <c r="F48" s="473" t="s">
        <v>131</v>
      </c>
      <c r="G48" s="489">
        <v>4152</v>
      </c>
      <c r="H48" s="473" t="s">
        <v>27</v>
      </c>
      <c r="I48" s="473" t="s">
        <v>33</v>
      </c>
      <c r="J48" s="490">
        <v>31406.67</v>
      </c>
      <c r="K48" s="491"/>
      <c r="L48" s="490">
        <v>27</v>
      </c>
      <c r="M48" s="490">
        <v>13</v>
      </c>
      <c r="N48" s="492">
        <v>1512.17</v>
      </c>
      <c r="O48" s="493">
        <v>0.15</v>
      </c>
      <c r="P48" s="493"/>
      <c r="Q48" s="492">
        <v>0</v>
      </c>
      <c r="R48" s="473" t="s">
        <v>128</v>
      </c>
      <c r="S48" s="481" t="s">
        <v>41</v>
      </c>
      <c r="T48" s="481">
        <v>86</v>
      </c>
      <c r="U48" s="494" t="s">
        <v>164</v>
      </c>
      <c r="V48" s="495">
        <v>0</v>
      </c>
      <c r="X48" s="492">
        <v>0</v>
      </c>
      <c r="Y48" s="492"/>
      <c r="AJ48" s="485"/>
      <c r="AK48" s="473">
        <v>0</v>
      </c>
    </row>
    <row r="49" spans="2:38" s="181" customFormat="1" ht="11" customHeight="1">
      <c r="B49" s="181" t="s">
        <v>291</v>
      </c>
      <c r="C49" s="179">
        <v>44520</v>
      </c>
      <c r="D49" s="179">
        <v>44533</v>
      </c>
      <c r="E49" s="180" t="s">
        <v>132</v>
      </c>
      <c r="F49" s="181" t="s">
        <v>133</v>
      </c>
      <c r="G49" s="182">
        <v>4441</v>
      </c>
      <c r="H49" s="181" t="s">
        <v>134</v>
      </c>
      <c r="I49" s="181" t="s">
        <v>33</v>
      </c>
      <c r="J49" s="183">
        <v>33507.18</v>
      </c>
      <c r="K49" s="190"/>
      <c r="L49" s="183">
        <v>21</v>
      </c>
      <c r="M49" s="183">
        <v>21</v>
      </c>
      <c r="N49" s="185">
        <v>3571.01</v>
      </c>
      <c r="O49" s="186">
        <v>0.2</v>
      </c>
      <c r="P49" s="186"/>
      <c r="Q49" s="185">
        <v>1226.07</v>
      </c>
      <c r="R49" s="181" t="s">
        <v>42</v>
      </c>
      <c r="S49" s="187" t="s">
        <v>41</v>
      </c>
      <c r="T49" s="187">
        <v>86</v>
      </c>
      <c r="U49" s="188" t="s">
        <v>164</v>
      </c>
      <c r="V49" s="441">
        <v>1226.07</v>
      </c>
      <c r="X49" s="185">
        <v>1226.07</v>
      </c>
      <c r="Y49" s="185"/>
      <c r="AE49" s="204">
        <f>X49</f>
        <v>1226.07</v>
      </c>
      <c r="AJ49" s="189"/>
    </row>
    <row r="50" spans="2:38" s="15" customFormat="1" ht="11" customHeight="1">
      <c r="B50" s="15" t="s">
        <v>291</v>
      </c>
      <c r="C50" s="85">
        <v>44540</v>
      </c>
      <c r="D50" s="85">
        <v>44542</v>
      </c>
      <c r="E50" s="72" t="s">
        <v>135</v>
      </c>
      <c r="F50" s="15" t="s">
        <v>136</v>
      </c>
      <c r="G50" s="86">
        <v>4150</v>
      </c>
      <c r="H50" s="15" t="s">
        <v>137</v>
      </c>
      <c r="I50" s="15" t="s">
        <v>28</v>
      </c>
      <c r="J50" s="87">
        <v>10621.26</v>
      </c>
      <c r="K50" s="88"/>
      <c r="L50" s="87">
        <v>11.57</v>
      </c>
      <c r="M50" s="87">
        <v>11.57</v>
      </c>
      <c r="N50" s="89"/>
      <c r="O50" s="90">
        <v>0.15</v>
      </c>
      <c r="P50" s="90"/>
      <c r="Q50" s="89">
        <v>0</v>
      </c>
      <c r="R50" s="15" t="s">
        <v>73</v>
      </c>
      <c r="S50" s="91" t="s">
        <v>74</v>
      </c>
      <c r="T50" s="91">
        <v>31</v>
      </c>
      <c r="U50" s="92" t="s">
        <v>164</v>
      </c>
      <c r="V50" s="432"/>
      <c r="X50" s="89">
        <v>0</v>
      </c>
      <c r="Y50" s="89"/>
      <c r="Z50" s="93">
        <f>X50</f>
        <v>0</v>
      </c>
      <c r="AJ50" s="641"/>
    </row>
    <row r="51" spans="2:38" s="205" customFormat="1" ht="11.25" customHeight="1">
      <c r="B51" s="205" t="s">
        <v>291</v>
      </c>
      <c r="C51" s="207"/>
      <c r="D51" s="207"/>
      <c r="E51" s="208" t="s">
        <v>135</v>
      </c>
      <c r="F51" s="205" t="s">
        <v>136</v>
      </c>
      <c r="G51" s="209">
        <v>4150</v>
      </c>
      <c r="H51" s="205" t="s">
        <v>138</v>
      </c>
      <c r="I51" s="205" t="s">
        <v>28</v>
      </c>
      <c r="J51" s="210">
        <v>51888.5</v>
      </c>
      <c r="K51" s="219"/>
      <c r="L51" s="210">
        <v>39.25</v>
      </c>
      <c r="M51" s="210">
        <v>39.25</v>
      </c>
      <c r="N51" s="213">
        <v>0</v>
      </c>
      <c r="O51" s="212">
        <v>0.15</v>
      </c>
      <c r="P51" s="212"/>
      <c r="Q51" s="213">
        <v>0</v>
      </c>
      <c r="R51" s="205" t="s">
        <v>73</v>
      </c>
      <c r="S51" s="214" t="s">
        <v>74</v>
      </c>
      <c r="T51" s="214">
        <v>31</v>
      </c>
      <c r="U51" s="215" t="s">
        <v>164</v>
      </c>
      <c r="V51" s="438"/>
      <c r="W51" s="205" t="s">
        <v>3183</v>
      </c>
      <c r="X51" s="213">
        <v>0</v>
      </c>
      <c r="Y51" s="213"/>
      <c r="AF51" s="230">
        <f>X51</f>
        <v>0</v>
      </c>
      <c r="AJ51" s="216"/>
    </row>
    <row r="52" spans="2:38" s="379" customFormat="1" ht="11.25" customHeight="1">
      <c r="B52" s="379" t="s">
        <v>291</v>
      </c>
      <c r="C52" s="381">
        <v>44546</v>
      </c>
      <c r="D52" s="381">
        <v>44546</v>
      </c>
      <c r="E52" s="382" t="s">
        <v>143</v>
      </c>
      <c r="F52" s="379" t="s">
        <v>139</v>
      </c>
      <c r="G52" s="383">
        <v>3738</v>
      </c>
      <c r="H52" s="379" t="s">
        <v>140</v>
      </c>
      <c r="I52" s="379" t="s">
        <v>141</v>
      </c>
      <c r="J52" s="385">
        <v>26056.799999999999</v>
      </c>
      <c r="K52" s="384"/>
      <c r="L52" s="385">
        <v>20</v>
      </c>
      <c r="M52" s="385">
        <v>20</v>
      </c>
      <c r="N52" s="386"/>
      <c r="O52" s="387">
        <v>0.3</v>
      </c>
      <c r="P52" s="387"/>
      <c r="Q52" s="386">
        <v>0</v>
      </c>
      <c r="R52" s="379" t="s">
        <v>142</v>
      </c>
      <c r="S52" s="388" t="s">
        <v>41</v>
      </c>
      <c r="T52" s="388">
        <v>24</v>
      </c>
      <c r="U52" s="389" t="s">
        <v>164</v>
      </c>
      <c r="V52" s="433"/>
      <c r="X52" s="467">
        <v>0</v>
      </c>
      <c r="Y52" s="467"/>
      <c r="AJ52" s="390">
        <v>0</v>
      </c>
    </row>
    <row r="53" spans="2:38" s="507" customFormat="1" ht="11.25" customHeight="1">
      <c r="B53" s="507" t="s">
        <v>291</v>
      </c>
      <c r="C53" s="509">
        <v>44540</v>
      </c>
      <c r="D53" s="509">
        <v>44544</v>
      </c>
      <c r="E53" s="510" t="s">
        <v>144</v>
      </c>
      <c r="F53" s="507" t="s">
        <v>145</v>
      </c>
      <c r="G53" s="521">
        <v>4455</v>
      </c>
      <c r="H53" s="507" t="s">
        <v>99</v>
      </c>
      <c r="I53" s="507" t="s">
        <v>28</v>
      </c>
      <c r="J53" s="513">
        <v>54813.78</v>
      </c>
      <c r="K53" s="512"/>
      <c r="L53" s="513">
        <v>59.48</v>
      </c>
      <c r="M53" s="513">
        <v>59.48</v>
      </c>
      <c r="N53" s="514">
        <v>3860</v>
      </c>
      <c r="O53" s="515">
        <v>0.15</v>
      </c>
      <c r="P53" s="515"/>
      <c r="Q53" s="514">
        <v>22975.08</v>
      </c>
      <c r="R53" s="507" t="s">
        <v>146</v>
      </c>
      <c r="S53" s="516" t="s">
        <v>74</v>
      </c>
      <c r="T53" s="516">
        <v>31</v>
      </c>
      <c r="U53" s="517" t="s">
        <v>164</v>
      </c>
      <c r="V53" s="518"/>
      <c r="X53" s="514">
        <v>22975.08</v>
      </c>
      <c r="Y53" s="514"/>
      <c r="AJ53" s="522"/>
      <c r="AL53" s="514">
        <v>22975.08</v>
      </c>
    </row>
    <row r="54" spans="2:38" s="96" customFormat="1" ht="11.25" customHeight="1">
      <c r="B54" s="96" t="s">
        <v>291</v>
      </c>
      <c r="C54" s="94">
        <v>44535</v>
      </c>
      <c r="D54" s="94">
        <v>44537</v>
      </c>
      <c r="E54" s="95" t="s">
        <v>147</v>
      </c>
      <c r="F54" s="96" t="s">
        <v>612</v>
      </c>
      <c r="G54" s="97">
        <v>4556</v>
      </c>
      <c r="H54" s="96" t="s">
        <v>99</v>
      </c>
      <c r="I54" s="96" t="s">
        <v>148</v>
      </c>
      <c r="J54" s="98">
        <v>36473.230000000003</v>
      </c>
      <c r="K54" s="99"/>
      <c r="L54" s="98">
        <v>29.49</v>
      </c>
      <c r="M54" s="98">
        <v>29.49</v>
      </c>
      <c r="N54" s="100"/>
      <c r="O54" s="101">
        <v>0.3</v>
      </c>
      <c r="P54" s="101">
        <v>0.1</v>
      </c>
      <c r="Q54" s="100">
        <v>206.78</v>
      </c>
      <c r="R54" s="96" t="s">
        <v>149</v>
      </c>
      <c r="S54" s="102" t="s">
        <v>150</v>
      </c>
      <c r="T54" s="102">
        <v>40</v>
      </c>
      <c r="U54" s="103" t="s">
        <v>164</v>
      </c>
      <c r="V54" s="440">
        <v>206.78</v>
      </c>
      <c r="X54" s="100">
        <v>206.78</v>
      </c>
      <c r="Y54" s="100"/>
      <c r="AA54" s="104">
        <f>X54</f>
        <v>206.78</v>
      </c>
      <c r="AJ54" s="643"/>
    </row>
    <row r="55" spans="2:38" s="473" customFormat="1" ht="11.25" customHeight="1">
      <c r="B55" s="473" t="s">
        <v>291</v>
      </c>
      <c r="C55" s="487">
        <v>44537</v>
      </c>
      <c r="D55" s="487">
        <v>44537</v>
      </c>
      <c r="E55" s="488" t="s">
        <v>151</v>
      </c>
      <c r="F55" s="473" t="s">
        <v>152</v>
      </c>
      <c r="G55" s="489">
        <v>3912</v>
      </c>
      <c r="H55" s="473" t="s">
        <v>27</v>
      </c>
      <c r="I55" s="473" t="s">
        <v>33</v>
      </c>
      <c r="J55" s="490">
        <v>21118.42</v>
      </c>
      <c r="K55" s="491"/>
      <c r="L55" s="490">
        <v>21.62</v>
      </c>
      <c r="M55" s="490">
        <v>20</v>
      </c>
      <c r="N55" s="492"/>
      <c r="O55" s="493">
        <v>0.2</v>
      </c>
      <c r="P55" s="493"/>
      <c r="Q55" s="492">
        <v>0</v>
      </c>
      <c r="R55" s="473" t="s">
        <v>77</v>
      </c>
      <c r="S55" s="481" t="s">
        <v>41</v>
      </c>
      <c r="T55" s="481">
        <v>16</v>
      </c>
      <c r="U55" s="494" t="s">
        <v>164</v>
      </c>
      <c r="V55" s="495">
        <v>0</v>
      </c>
      <c r="X55" s="492">
        <v>0</v>
      </c>
      <c r="Y55" s="492"/>
      <c r="AJ55" s="485"/>
      <c r="AK55" s="473">
        <v>0</v>
      </c>
    </row>
    <row r="56" spans="2:38" s="15" customFormat="1" ht="11.25" customHeight="1">
      <c r="B56" s="15" t="s">
        <v>290</v>
      </c>
      <c r="C56" s="85">
        <v>44528</v>
      </c>
      <c r="D56" s="85">
        <v>44532</v>
      </c>
      <c r="E56" s="72" t="s">
        <v>153</v>
      </c>
      <c r="F56" s="15" t="s">
        <v>154</v>
      </c>
      <c r="G56" s="86" t="s">
        <v>155</v>
      </c>
      <c r="H56" s="15" t="s">
        <v>134</v>
      </c>
      <c r="I56" s="15" t="s">
        <v>156</v>
      </c>
      <c r="J56" s="87">
        <v>12285</v>
      </c>
      <c r="K56" s="88"/>
      <c r="L56" s="87">
        <v>4.55</v>
      </c>
      <c r="M56" s="87">
        <v>4.55</v>
      </c>
      <c r="N56" s="89"/>
      <c r="O56" s="90"/>
      <c r="P56" s="90">
        <v>0.05</v>
      </c>
      <c r="Q56" s="89">
        <v>0</v>
      </c>
      <c r="R56" s="15" t="s">
        <v>112</v>
      </c>
      <c r="S56" s="91" t="s">
        <v>113</v>
      </c>
      <c r="T56" s="91">
        <v>64</v>
      </c>
      <c r="U56" s="92" t="s">
        <v>164</v>
      </c>
      <c r="V56" s="432"/>
      <c r="X56" s="89">
        <v>0</v>
      </c>
      <c r="Y56" s="89"/>
      <c r="Z56" s="93">
        <f>X56</f>
        <v>0</v>
      </c>
      <c r="AJ56" s="641"/>
    </row>
    <row r="57" spans="2:38" s="181" customFormat="1" ht="11.25" customHeight="1">
      <c r="B57" s="181" t="s">
        <v>290</v>
      </c>
      <c r="C57" s="179"/>
      <c r="D57" s="179"/>
      <c r="E57" s="180" t="s">
        <v>153</v>
      </c>
      <c r="F57" s="181" t="s">
        <v>154</v>
      </c>
      <c r="G57" s="182" t="s">
        <v>155</v>
      </c>
      <c r="H57" s="181" t="s">
        <v>157</v>
      </c>
      <c r="I57" s="181" t="s">
        <v>156</v>
      </c>
      <c r="J57" s="183">
        <v>16032</v>
      </c>
      <c r="K57" s="190"/>
      <c r="L57" s="183">
        <v>13.36</v>
      </c>
      <c r="M57" s="183">
        <v>13.36</v>
      </c>
      <c r="N57" s="185"/>
      <c r="O57" s="186"/>
      <c r="P57" s="186">
        <v>0.05</v>
      </c>
      <c r="Q57" s="185">
        <v>160.32</v>
      </c>
      <c r="R57" s="181" t="s">
        <v>112</v>
      </c>
      <c r="S57" s="187" t="s">
        <v>113</v>
      </c>
      <c r="T57" s="187">
        <v>64</v>
      </c>
      <c r="U57" s="188" t="s">
        <v>164</v>
      </c>
      <c r="V57" s="441"/>
      <c r="X57" s="185">
        <v>160.32</v>
      </c>
      <c r="Y57" s="185"/>
      <c r="AE57" s="204">
        <f>X57</f>
        <v>160.32</v>
      </c>
      <c r="AJ57" s="189"/>
    </row>
    <row r="58" spans="2:38" s="205" customFormat="1" ht="11.25" customHeight="1">
      <c r="B58" s="205" t="s">
        <v>291</v>
      </c>
      <c r="C58" s="207">
        <v>44540</v>
      </c>
      <c r="D58" s="207">
        <v>44540</v>
      </c>
      <c r="E58" s="208" t="s">
        <v>158</v>
      </c>
      <c r="F58" s="205" t="s">
        <v>159</v>
      </c>
      <c r="G58" s="209">
        <v>3817</v>
      </c>
      <c r="H58" s="205" t="s">
        <v>99</v>
      </c>
      <c r="I58" s="205" t="s">
        <v>28</v>
      </c>
      <c r="J58" s="210">
        <v>10355.69</v>
      </c>
      <c r="K58" s="219"/>
      <c r="L58" s="210">
        <v>7.61</v>
      </c>
      <c r="M58" s="210">
        <v>7.61</v>
      </c>
      <c r="N58" s="213">
        <v>2071.14</v>
      </c>
      <c r="O58" s="212">
        <v>0.15</v>
      </c>
      <c r="P58" s="212"/>
      <c r="Q58" s="213">
        <v>0</v>
      </c>
      <c r="R58" s="205" t="s">
        <v>112</v>
      </c>
      <c r="S58" s="214" t="s">
        <v>113</v>
      </c>
      <c r="T58" s="214">
        <v>64</v>
      </c>
      <c r="U58" s="215" t="s">
        <v>164</v>
      </c>
      <c r="V58" s="438"/>
      <c r="W58" s="205" t="s">
        <v>2812</v>
      </c>
      <c r="X58" s="213">
        <v>0</v>
      </c>
      <c r="Y58" s="213"/>
      <c r="AF58" s="230">
        <f>X58</f>
        <v>0</v>
      </c>
      <c r="AJ58" s="216"/>
    </row>
    <row r="59" spans="2:38" s="130" customFormat="1" ht="11.25" customHeight="1">
      <c r="B59" s="130" t="s">
        <v>291</v>
      </c>
      <c r="C59" s="131"/>
      <c r="D59" s="131"/>
      <c r="E59" s="132" t="s">
        <v>158</v>
      </c>
      <c r="F59" s="130" t="s">
        <v>159</v>
      </c>
      <c r="G59" s="133">
        <v>3817</v>
      </c>
      <c r="H59" s="130" t="s">
        <v>27</v>
      </c>
      <c r="I59" s="130" t="s">
        <v>28</v>
      </c>
      <c r="J59" s="134">
        <v>8964</v>
      </c>
      <c r="K59" s="135"/>
      <c r="L59" s="134">
        <v>6.64</v>
      </c>
      <c r="M59" s="134">
        <v>6.64</v>
      </c>
      <c r="N59" s="136">
        <v>1792.8</v>
      </c>
      <c r="O59" s="137">
        <v>0.15</v>
      </c>
      <c r="P59" s="137"/>
      <c r="Q59" s="136">
        <v>0</v>
      </c>
      <c r="R59" s="130" t="s">
        <v>112</v>
      </c>
      <c r="S59" s="138" t="s">
        <v>113</v>
      </c>
      <c r="T59" s="138">
        <v>64</v>
      </c>
      <c r="U59" s="139" t="s">
        <v>164</v>
      </c>
      <c r="V59" s="439"/>
      <c r="W59" s="130" t="s">
        <v>802</v>
      </c>
      <c r="X59" s="136">
        <v>0</v>
      </c>
      <c r="Y59" s="136"/>
      <c r="AC59" s="144">
        <f>X59</f>
        <v>0</v>
      </c>
      <c r="AJ59" s="140"/>
    </row>
    <row r="60" spans="2:38" s="106" customFormat="1" ht="11.25" customHeight="1">
      <c r="B60" s="106" t="s">
        <v>291</v>
      </c>
      <c r="C60" s="107">
        <v>44558</v>
      </c>
      <c r="D60" s="107">
        <v>44558</v>
      </c>
      <c r="E60" s="108" t="s">
        <v>160</v>
      </c>
      <c r="F60" s="106" t="s">
        <v>161</v>
      </c>
      <c r="G60" s="109">
        <v>3832</v>
      </c>
      <c r="H60" s="106" t="s">
        <v>99</v>
      </c>
      <c r="I60" s="106" t="s">
        <v>28</v>
      </c>
      <c r="J60" s="110">
        <v>45815</v>
      </c>
      <c r="K60" s="111"/>
      <c r="L60" s="110">
        <v>50</v>
      </c>
      <c r="M60" s="110">
        <v>50</v>
      </c>
      <c r="N60" s="112"/>
      <c r="O60" s="113">
        <v>0.15</v>
      </c>
      <c r="P60" s="113"/>
      <c r="Q60" s="112">
        <v>0</v>
      </c>
      <c r="R60" s="106" t="s">
        <v>128</v>
      </c>
      <c r="S60" s="114" t="s">
        <v>41</v>
      </c>
      <c r="T60" s="114">
        <v>86</v>
      </c>
      <c r="U60" s="115" t="s">
        <v>164</v>
      </c>
      <c r="V60" s="443"/>
      <c r="X60" s="112">
        <v>0</v>
      </c>
      <c r="Y60" s="112"/>
      <c r="AB60" s="112">
        <f>X60</f>
        <v>0</v>
      </c>
      <c r="AJ60" s="116"/>
    </row>
    <row r="61" spans="2:38" s="106" customFormat="1" ht="11.25" customHeight="1">
      <c r="B61" s="106" t="s">
        <v>291</v>
      </c>
      <c r="C61" s="107"/>
      <c r="D61" s="107"/>
      <c r="E61" s="108" t="s">
        <v>160</v>
      </c>
      <c r="F61" s="106" t="s">
        <v>161</v>
      </c>
      <c r="G61" s="109">
        <v>3832</v>
      </c>
      <c r="H61" s="106" t="s">
        <v>162</v>
      </c>
      <c r="I61" s="106" t="s">
        <v>28</v>
      </c>
      <c r="J61" s="110">
        <v>5295.84</v>
      </c>
      <c r="K61" s="111"/>
      <c r="L61" s="110">
        <v>18.88</v>
      </c>
      <c r="M61" s="110">
        <v>18.88</v>
      </c>
      <c r="N61" s="112"/>
      <c r="O61" s="113">
        <v>0.15</v>
      </c>
      <c r="P61" s="113"/>
      <c r="Q61" s="112">
        <v>0</v>
      </c>
      <c r="R61" s="106" t="s">
        <v>128</v>
      </c>
      <c r="S61" s="114" t="s">
        <v>41</v>
      </c>
      <c r="T61" s="114">
        <v>86</v>
      </c>
      <c r="U61" s="115" t="s">
        <v>164</v>
      </c>
      <c r="V61" s="443"/>
      <c r="X61" s="112">
        <v>0</v>
      </c>
      <c r="Y61" s="112"/>
      <c r="AB61" s="112">
        <f>X61</f>
        <v>0</v>
      </c>
      <c r="AJ61" s="116"/>
    </row>
    <row r="62" spans="2:38" s="106" customFormat="1" ht="11.25" customHeight="1">
      <c r="B62" s="106" t="s">
        <v>291</v>
      </c>
      <c r="C62" s="107"/>
      <c r="D62" s="107"/>
      <c r="E62" s="108" t="s">
        <v>160</v>
      </c>
      <c r="F62" s="106" t="s">
        <v>161</v>
      </c>
      <c r="G62" s="109">
        <v>3832</v>
      </c>
      <c r="H62" s="106" t="s">
        <v>163</v>
      </c>
      <c r="I62" s="106" t="s">
        <v>28</v>
      </c>
      <c r="J62" s="110">
        <v>20825.64</v>
      </c>
      <c r="K62" s="111"/>
      <c r="L62" s="110">
        <v>34.159999999999997</v>
      </c>
      <c r="M62" s="110">
        <v>34.159999999999997</v>
      </c>
      <c r="N62" s="112"/>
      <c r="O62" s="113">
        <v>0.15</v>
      </c>
      <c r="P62" s="113"/>
      <c r="Q62" s="112">
        <v>0</v>
      </c>
      <c r="R62" s="106" t="s">
        <v>128</v>
      </c>
      <c r="S62" s="114" t="s">
        <v>41</v>
      </c>
      <c r="T62" s="114">
        <v>86</v>
      </c>
      <c r="U62" s="115" t="s">
        <v>164</v>
      </c>
      <c r="V62" s="443"/>
      <c r="X62" s="112">
        <v>0</v>
      </c>
      <c r="Y62" s="112"/>
      <c r="AB62" s="112">
        <f>X62</f>
        <v>0</v>
      </c>
      <c r="AJ62" s="116"/>
    </row>
    <row r="63" spans="2:38" s="106" customFormat="1" ht="11.25" customHeight="1">
      <c r="B63" s="106" t="s">
        <v>291</v>
      </c>
      <c r="C63" s="107"/>
      <c r="D63" s="107"/>
      <c r="E63" s="108" t="s">
        <v>160</v>
      </c>
      <c r="F63" s="106" t="s">
        <v>161</v>
      </c>
      <c r="G63" s="109">
        <v>3832</v>
      </c>
      <c r="H63" s="106" t="s">
        <v>27</v>
      </c>
      <c r="I63" s="106" t="s">
        <v>28</v>
      </c>
      <c r="J63" s="110">
        <v>13748.8</v>
      </c>
      <c r="K63" s="111"/>
      <c r="L63" s="110">
        <v>13.22</v>
      </c>
      <c r="M63" s="110">
        <v>13.22</v>
      </c>
      <c r="N63" s="112"/>
      <c r="O63" s="113">
        <v>0.15</v>
      </c>
      <c r="P63" s="113"/>
      <c r="Q63" s="112">
        <v>0</v>
      </c>
      <c r="R63" s="106" t="s">
        <v>128</v>
      </c>
      <c r="S63" s="114" t="s">
        <v>41</v>
      </c>
      <c r="T63" s="114">
        <v>86</v>
      </c>
      <c r="U63" s="115" t="s">
        <v>164</v>
      </c>
      <c r="V63" s="443"/>
      <c r="X63" s="112">
        <v>0</v>
      </c>
      <c r="Y63" s="112"/>
      <c r="AB63" s="112">
        <f>X63</f>
        <v>0</v>
      </c>
      <c r="AJ63" s="116"/>
    </row>
    <row r="64" spans="2:38" s="236" customFormat="1" ht="11.25" customHeight="1">
      <c r="B64" s="236" t="s">
        <v>291</v>
      </c>
      <c r="C64" s="237">
        <v>44564</v>
      </c>
      <c r="D64" s="237">
        <v>44564</v>
      </c>
      <c r="E64" s="238" t="s">
        <v>165</v>
      </c>
      <c r="F64" s="236" t="s">
        <v>166</v>
      </c>
      <c r="G64" s="239">
        <v>4074</v>
      </c>
      <c r="H64" s="236" t="s">
        <v>138</v>
      </c>
      <c r="I64" s="236" t="s">
        <v>167</v>
      </c>
      <c r="J64" s="240">
        <v>44166.400000000001</v>
      </c>
      <c r="K64" s="241"/>
      <c r="L64" s="240">
        <v>79</v>
      </c>
      <c r="M64" s="240">
        <v>79</v>
      </c>
      <c r="N64" s="242">
        <v>0</v>
      </c>
      <c r="O64" s="243">
        <v>0.2</v>
      </c>
      <c r="P64" s="243"/>
      <c r="Q64" s="242">
        <v>0</v>
      </c>
      <c r="R64" s="236" t="s">
        <v>73</v>
      </c>
      <c r="S64" s="244" t="s">
        <v>74</v>
      </c>
      <c r="T64" s="244">
        <v>31</v>
      </c>
      <c r="U64" s="245" t="s">
        <v>164</v>
      </c>
      <c r="V64" s="446"/>
      <c r="W64" s="236" t="s">
        <v>3649</v>
      </c>
      <c r="X64" s="242">
        <v>0</v>
      </c>
      <c r="Y64" s="242"/>
      <c r="AG64" s="236">
        <f>X64</f>
        <v>0</v>
      </c>
      <c r="AJ64" s="640"/>
    </row>
    <row r="65" spans="2:37" s="473" customFormat="1" ht="11.25" customHeight="1">
      <c r="B65" s="473" t="s">
        <v>291</v>
      </c>
      <c r="C65" s="487">
        <v>44564</v>
      </c>
      <c r="D65" s="487">
        <v>44565</v>
      </c>
      <c r="E65" s="488" t="s">
        <v>168</v>
      </c>
      <c r="F65" s="473" t="s">
        <v>169</v>
      </c>
      <c r="G65" s="489">
        <v>3627</v>
      </c>
      <c r="H65" s="473" t="s">
        <v>27</v>
      </c>
      <c r="I65" s="473" t="s">
        <v>170</v>
      </c>
      <c r="J65" s="490">
        <v>17762.5</v>
      </c>
      <c r="K65" s="491"/>
      <c r="L65" s="490">
        <v>12.5</v>
      </c>
      <c r="M65" s="490">
        <v>12.48</v>
      </c>
      <c r="N65" s="492"/>
      <c r="O65" s="493">
        <v>0.15</v>
      </c>
      <c r="P65" s="493"/>
      <c r="Q65" s="492">
        <v>2645.76</v>
      </c>
      <c r="R65" s="473" t="s">
        <v>35</v>
      </c>
      <c r="S65" s="481" t="s">
        <v>41</v>
      </c>
      <c r="T65" s="481">
        <v>86</v>
      </c>
      <c r="U65" s="494" t="s">
        <v>164</v>
      </c>
      <c r="V65" s="492">
        <v>2645.76</v>
      </c>
      <c r="X65" s="492">
        <v>2645.76</v>
      </c>
      <c r="Y65" s="492"/>
      <c r="AJ65" s="485"/>
      <c r="AK65" s="505">
        <v>2645.76</v>
      </c>
    </row>
    <row r="66" spans="2:37" s="205" customFormat="1" ht="11.25" customHeight="1">
      <c r="B66" s="205" t="s">
        <v>291</v>
      </c>
      <c r="C66" s="207">
        <v>44565</v>
      </c>
      <c r="D66" s="207">
        <v>44566</v>
      </c>
      <c r="E66" s="208" t="s">
        <v>171</v>
      </c>
      <c r="F66" s="205" t="s">
        <v>172</v>
      </c>
      <c r="G66" s="209" t="s">
        <v>173</v>
      </c>
      <c r="H66" s="205" t="s">
        <v>99</v>
      </c>
      <c r="I66" s="205" t="s">
        <v>174</v>
      </c>
      <c r="J66" s="210">
        <v>32055.52</v>
      </c>
      <c r="K66" s="219"/>
      <c r="L66" s="210">
        <v>28.49</v>
      </c>
      <c r="M66" s="210">
        <v>14.62</v>
      </c>
      <c r="N66" s="213">
        <v>0</v>
      </c>
      <c r="O66" s="212">
        <v>0.25</v>
      </c>
      <c r="P66" s="212"/>
      <c r="Q66" s="213">
        <v>0</v>
      </c>
      <c r="R66" s="205" t="s">
        <v>73</v>
      </c>
      <c r="S66" s="214" t="s">
        <v>113</v>
      </c>
      <c r="T66" s="214">
        <v>31</v>
      </c>
      <c r="U66" s="215" t="s">
        <v>164</v>
      </c>
      <c r="V66" s="438"/>
      <c r="W66" s="205" t="s">
        <v>3145</v>
      </c>
      <c r="X66" s="213">
        <v>0</v>
      </c>
      <c r="Y66" s="213"/>
      <c r="AF66" s="230">
        <f>X66</f>
        <v>0</v>
      </c>
      <c r="AJ66" s="216"/>
    </row>
    <row r="67" spans="2:37" s="379" customFormat="1" ht="11.25" customHeight="1">
      <c r="B67" s="379" t="s">
        <v>291</v>
      </c>
      <c r="C67" s="381">
        <v>44569</v>
      </c>
      <c r="D67" s="381">
        <v>44571</v>
      </c>
      <c r="E67" s="382" t="s">
        <v>175</v>
      </c>
      <c r="F67" s="379" t="s">
        <v>176</v>
      </c>
      <c r="G67" s="383">
        <v>4279</v>
      </c>
      <c r="H67" s="379" t="s">
        <v>138</v>
      </c>
      <c r="I67" s="379" t="s">
        <v>28</v>
      </c>
      <c r="J67" s="385">
        <v>14167.3</v>
      </c>
      <c r="K67" s="384"/>
      <c r="L67" s="385">
        <v>14</v>
      </c>
      <c r="M67" s="385">
        <v>5</v>
      </c>
      <c r="N67" s="386">
        <v>0</v>
      </c>
      <c r="O67" s="387">
        <v>0.2</v>
      </c>
      <c r="P67" s="387"/>
      <c r="Q67" s="386">
        <v>0</v>
      </c>
      <c r="R67" s="379" t="s">
        <v>146</v>
      </c>
      <c r="S67" s="388" t="s">
        <v>177</v>
      </c>
      <c r="T67" s="388" t="s">
        <v>178</v>
      </c>
      <c r="U67" s="389" t="s">
        <v>164</v>
      </c>
      <c r="V67" s="433"/>
      <c r="X67" s="386">
        <v>0</v>
      </c>
      <c r="Y67" s="386"/>
      <c r="AJ67" s="390">
        <v>0</v>
      </c>
    </row>
    <row r="68" spans="2:37" s="379" customFormat="1" ht="11.25" customHeight="1">
      <c r="B68" s="379" t="s">
        <v>291</v>
      </c>
      <c r="C68" s="381"/>
      <c r="D68" s="381"/>
      <c r="E68" s="382" t="s">
        <v>175</v>
      </c>
      <c r="F68" s="379" t="s">
        <v>176</v>
      </c>
      <c r="G68" s="383">
        <v>4279</v>
      </c>
      <c r="H68" s="379" t="s">
        <v>99</v>
      </c>
      <c r="I68" s="379" t="s">
        <v>28</v>
      </c>
      <c r="J68" s="385">
        <v>6700.75</v>
      </c>
      <c r="K68" s="384"/>
      <c r="L68" s="385">
        <v>7</v>
      </c>
      <c r="M68" s="385">
        <v>20</v>
      </c>
      <c r="N68" s="386">
        <v>0</v>
      </c>
      <c r="O68" s="387">
        <v>0.2</v>
      </c>
      <c r="P68" s="387"/>
      <c r="Q68" s="386">
        <v>0</v>
      </c>
      <c r="R68" s="379" t="s">
        <v>146</v>
      </c>
      <c r="S68" s="388" t="s">
        <v>177</v>
      </c>
      <c r="T68" s="388" t="s">
        <v>178</v>
      </c>
      <c r="U68" s="389" t="s">
        <v>164</v>
      </c>
      <c r="V68" s="433"/>
      <c r="X68" s="386">
        <v>0</v>
      </c>
      <c r="Y68" s="386"/>
      <c r="AJ68" s="390">
        <v>0</v>
      </c>
    </row>
    <row r="69" spans="2:37" s="205" customFormat="1" ht="11.25" customHeight="1">
      <c r="B69" s="205" t="s">
        <v>291</v>
      </c>
      <c r="C69" s="207">
        <v>44571</v>
      </c>
      <c r="D69" s="207">
        <v>44571</v>
      </c>
      <c r="E69" s="208" t="s">
        <v>181</v>
      </c>
      <c r="F69" s="205" t="s">
        <v>182</v>
      </c>
      <c r="G69" s="209">
        <v>3842</v>
      </c>
      <c r="H69" s="205" t="s">
        <v>163</v>
      </c>
      <c r="I69" s="205" t="s">
        <v>28</v>
      </c>
      <c r="J69" s="210">
        <v>3263.16</v>
      </c>
      <c r="K69" s="219"/>
      <c r="L69" s="210">
        <v>5.68</v>
      </c>
      <c r="M69" s="210">
        <v>5.68</v>
      </c>
      <c r="N69" s="213">
        <v>0</v>
      </c>
      <c r="O69" s="212">
        <v>0.15</v>
      </c>
      <c r="P69" s="212"/>
      <c r="Q69" s="213">
        <v>0</v>
      </c>
      <c r="R69" s="205" t="s">
        <v>73</v>
      </c>
      <c r="S69" s="214" t="s">
        <v>113</v>
      </c>
      <c r="T69" s="214">
        <v>31</v>
      </c>
      <c r="U69" s="215" t="s">
        <v>164</v>
      </c>
      <c r="V69" s="438"/>
      <c r="W69" s="205" t="s">
        <v>3251</v>
      </c>
      <c r="X69" s="213">
        <v>0</v>
      </c>
      <c r="Y69" s="213"/>
      <c r="AF69" s="230">
        <f>X69</f>
        <v>0</v>
      </c>
      <c r="AJ69" s="216"/>
    </row>
    <row r="70" spans="2:37" s="205" customFormat="1" ht="11.25" customHeight="1">
      <c r="B70" s="205" t="s">
        <v>291</v>
      </c>
      <c r="C70" s="207"/>
      <c r="D70" s="207"/>
      <c r="E70" s="208" t="s">
        <v>181</v>
      </c>
      <c r="F70" s="205" t="s">
        <v>182</v>
      </c>
      <c r="G70" s="209">
        <v>3842</v>
      </c>
      <c r="H70" s="205" t="s">
        <v>99</v>
      </c>
      <c r="I70" s="205" t="s">
        <v>28</v>
      </c>
      <c r="J70" s="210">
        <v>97234.35</v>
      </c>
      <c r="K70" s="219"/>
      <c r="L70" s="210">
        <v>91.68</v>
      </c>
      <c r="M70" s="210">
        <v>91.68</v>
      </c>
      <c r="N70" s="213">
        <v>0</v>
      </c>
      <c r="O70" s="212">
        <v>0.15</v>
      </c>
      <c r="P70" s="212"/>
      <c r="Q70" s="213">
        <v>0</v>
      </c>
      <c r="R70" s="205" t="s">
        <v>73</v>
      </c>
      <c r="S70" s="214" t="s">
        <v>113</v>
      </c>
      <c r="T70" s="214">
        <v>31</v>
      </c>
      <c r="U70" s="215" t="s">
        <v>164</v>
      </c>
      <c r="V70" s="438"/>
      <c r="W70" s="205" t="s">
        <v>3251</v>
      </c>
      <c r="X70" s="213">
        <v>0</v>
      </c>
      <c r="Y70" s="213"/>
      <c r="AF70" s="230">
        <f>X70</f>
        <v>0</v>
      </c>
      <c r="AJ70" s="216"/>
    </row>
    <row r="71" spans="2:37" s="205" customFormat="1" ht="11.25" customHeight="1">
      <c r="B71" s="205" t="s">
        <v>291</v>
      </c>
      <c r="C71" s="207"/>
      <c r="D71" s="207"/>
      <c r="E71" s="208" t="s">
        <v>181</v>
      </c>
      <c r="F71" s="205" t="s">
        <v>182</v>
      </c>
      <c r="G71" s="209">
        <v>3842</v>
      </c>
      <c r="H71" s="205" t="s">
        <v>27</v>
      </c>
      <c r="I71" s="205" t="s">
        <v>28</v>
      </c>
      <c r="J71" s="210">
        <v>11226.6</v>
      </c>
      <c r="K71" s="219"/>
      <c r="L71" s="210">
        <v>12.15</v>
      </c>
      <c r="M71" s="210">
        <v>12.15</v>
      </c>
      <c r="N71" s="213"/>
      <c r="O71" s="212">
        <v>0.15</v>
      </c>
      <c r="P71" s="212"/>
      <c r="Q71" s="213">
        <v>0</v>
      </c>
      <c r="R71" s="205" t="s">
        <v>73</v>
      </c>
      <c r="S71" s="214" t="s">
        <v>113</v>
      </c>
      <c r="T71" s="214">
        <v>31</v>
      </c>
      <c r="U71" s="215" t="s">
        <v>164</v>
      </c>
      <c r="V71" s="438"/>
      <c r="W71" s="205" t="s">
        <v>3251</v>
      </c>
      <c r="X71" s="213">
        <v>0</v>
      </c>
      <c r="Y71" s="213"/>
      <c r="AF71" s="230">
        <f>X71</f>
        <v>0</v>
      </c>
      <c r="AJ71" s="216"/>
    </row>
    <row r="72" spans="2:37" s="205" customFormat="1" ht="11.25" customHeight="1">
      <c r="B72" s="205" t="s">
        <v>291</v>
      </c>
      <c r="C72" s="207"/>
      <c r="D72" s="207"/>
      <c r="E72" s="208" t="s">
        <v>181</v>
      </c>
      <c r="F72" s="205" t="s">
        <v>182</v>
      </c>
      <c r="G72" s="209">
        <v>3842</v>
      </c>
      <c r="H72" s="205" t="s">
        <v>183</v>
      </c>
      <c r="I72" s="205" t="s">
        <v>28</v>
      </c>
      <c r="J72" s="210">
        <v>26989.52</v>
      </c>
      <c r="K72" s="219"/>
      <c r="L72" s="210">
        <v>39.200000000000003</v>
      </c>
      <c r="M72" s="210">
        <v>39.200000000000003</v>
      </c>
      <c r="N72" s="213"/>
      <c r="O72" s="212">
        <v>0.15</v>
      </c>
      <c r="P72" s="212"/>
      <c r="Q72" s="213">
        <v>0</v>
      </c>
      <c r="R72" s="205" t="s">
        <v>73</v>
      </c>
      <c r="S72" s="214" t="s">
        <v>113</v>
      </c>
      <c r="T72" s="214">
        <v>31</v>
      </c>
      <c r="U72" s="215" t="s">
        <v>164</v>
      </c>
      <c r="V72" s="438"/>
      <c r="W72" s="205" t="s">
        <v>3327</v>
      </c>
      <c r="X72" s="213">
        <v>0</v>
      </c>
      <c r="Y72" s="213"/>
      <c r="AF72" s="230">
        <f>X72</f>
        <v>0</v>
      </c>
      <c r="AJ72" s="216"/>
    </row>
    <row r="73" spans="2:37" s="379" customFormat="1" ht="11.25" customHeight="1">
      <c r="B73" s="379" t="s">
        <v>291</v>
      </c>
      <c r="C73" s="381">
        <v>44571</v>
      </c>
      <c r="D73" s="381">
        <v>44571</v>
      </c>
      <c r="E73" s="382" t="s">
        <v>184</v>
      </c>
      <c r="F73" s="379" t="s">
        <v>185</v>
      </c>
      <c r="G73" s="383">
        <v>3951</v>
      </c>
      <c r="H73" s="379" t="s">
        <v>138</v>
      </c>
      <c r="I73" s="379" t="s">
        <v>28</v>
      </c>
      <c r="J73" s="385">
        <v>14327.5</v>
      </c>
      <c r="K73" s="384"/>
      <c r="L73" s="385">
        <v>13.56</v>
      </c>
      <c r="M73" s="385">
        <v>13.56</v>
      </c>
      <c r="N73" s="386">
        <v>475</v>
      </c>
      <c r="O73" s="387">
        <v>0.2</v>
      </c>
      <c r="P73" s="387"/>
      <c r="Q73" s="386">
        <v>0</v>
      </c>
      <c r="R73" s="379" t="s">
        <v>146</v>
      </c>
      <c r="S73" s="388" t="s">
        <v>74</v>
      </c>
      <c r="T73" s="388">
        <v>32</v>
      </c>
      <c r="U73" s="389" t="s">
        <v>164</v>
      </c>
      <c r="V73" s="433"/>
      <c r="X73" s="386">
        <v>0</v>
      </c>
      <c r="Y73" s="386"/>
      <c r="AJ73" s="390">
        <v>0</v>
      </c>
    </row>
    <row r="74" spans="2:37" s="379" customFormat="1" ht="11.25" customHeight="1">
      <c r="B74" s="379" t="s">
        <v>291</v>
      </c>
      <c r="C74" s="381"/>
      <c r="D74" s="381"/>
      <c r="E74" s="382" t="s">
        <v>184</v>
      </c>
      <c r="F74" s="379" t="s">
        <v>185</v>
      </c>
      <c r="G74" s="383">
        <v>3951</v>
      </c>
      <c r="H74" s="379" t="s">
        <v>99</v>
      </c>
      <c r="I74" s="379" t="s">
        <v>28</v>
      </c>
      <c r="J74" s="385">
        <v>5808</v>
      </c>
      <c r="K74" s="384"/>
      <c r="L74" s="385">
        <v>5.5</v>
      </c>
      <c r="M74" s="385">
        <v>5.5</v>
      </c>
      <c r="N74" s="386">
        <v>475</v>
      </c>
      <c r="O74" s="387">
        <v>0.2</v>
      </c>
      <c r="P74" s="387"/>
      <c r="Q74" s="386">
        <v>70.400000000000006</v>
      </c>
      <c r="R74" s="379" t="s">
        <v>146</v>
      </c>
      <c r="S74" s="388" t="s">
        <v>74</v>
      </c>
      <c r="T74" s="388">
        <v>32</v>
      </c>
      <c r="U74" s="389" t="s">
        <v>164</v>
      </c>
      <c r="V74" s="433"/>
      <c r="X74" s="386">
        <v>70.400000000000006</v>
      </c>
      <c r="Y74" s="386"/>
      <c r="AJ74" s="390">
        <v>70.400000000000006</v>
      </c>
    </row>
    <row r="75" spans="2:37" s="379" customFormat="1" ht="11.25" customHeight="1">
      <c r="B75" s="379" t="s">
        <v>291</v>
      </c>
      <c r="C75" s="381"/>
      <c r="D75" s="381"/>
      <c r="E75" s="382" t="s">
        <v>184</v>
      </c>
      <c r="F75" s="379" t="s">
        <v>185</v>
      </c>
      <c r="G75" s="383">
        <v>3951</v>
      </c>
      <c r="H75" s="379" t="s">
        <v>140</v>
      </c>
      <c r="I75" s="379" t="s">
        <v>28</v>
      </c>
      <c r="J75" s="385">
        <v>11505.6</v>
      </c>
      <c r="K75" s="384"/>
      <c r="L75" s="385">
        <v>12.24</v>
      </c>
      <c r="M75" s="385">
        <v>12.24</v>
      </c>
      <c r="N75" s="386">
        <v>1548</v>
      </c>
      <c r="O75" s="387">
        <v>0.2</v>
      </c>
      <c r="P75" s="387"/>
      <c r="Q75" s="386">
        <v>0</v>
      </c>
      <c r="R75" s="379" t="s">
        <v>146</v>
      </c>
      <c r="S75" s="388" t="s">
        <v>74</v>
      </c>
      <c r="T75" s="388">
        <v>32</v>
      </c>
      <c r="U75" s="389" t="s">
        <v>164</v>
      </c>
      <c r="V75" s="433"/>
      <c r="X75" s="386">
        <v>0</v>
      </c>
      <c r="Y75" s="386"/>
      <c r="AJ75" s="390">
        <v>0</v>
      </c>
    </row>
    <row r="76" spans="2:37" s="130" customFormat="1" ht="11.25" customHeight="1">
      <c r="B76" s="130" t="s">
        <v>291</v>
      </c>
      <c r="C76" s="131"/>
      <c r="D76" s="131"/>
      <c r="E76" s="132" t="s">
        <v>184</v>
      </c>
      <c r="F76" s="130" t="s">
        <v>185</v>
      </c>
      <c r="G76" s="133">
        <v>3951</v>
      </c>
      <c r="H76" s="130" t="s">
        <v>27</v>
      </c>
      <c r="I76" s="130" t="s">
        <v>28</v>
      </c>
      <c r="J76" s="134">
        <v>45880</v>
      </c>
      <c r="K76" s="135"/>
      <c r="L76" s="134">
        <v>31</v>
      </c>
      <c r="M76" s="134">
        <v>31</v>
      </c>
      <c r="N76" s="136"/>
      <c r="O76" s="137">
        <v>0.2</v>
      </c>
      <c r="P76" s="137"/>
      <c r="Q76" s="136">
        <v>0</v>
      </c>
      <c r="R76" s="130" t="s">
        <v>146</v>
      </c>
      <c r="S76" s="138" t="s">
        <v>74</v>
      </c>
      <c r="T76" s="138">
        <v>32</v>
      </c>
      <c r="U76" s="139" t="s">
        <v>164</v>
      </c>
      <c r="V76" s="439"/>
      <c r="W76" s="136" t="s">
        <v>948</v>
      </c>
      <c r="X76" s="126">
        <v>0</v>
      </c>
      <c r="Y76" s="136"/>
      <c r="AC76" s="144">
        <f>X76</f>
        <v>0</v>
      </c>
    </row>
    <row r="77" spans="2:37" s="205" customFormat="1" ht="11.25" customHeight="1">
      <c r="B77" s="205" t="s">
        <v>291</v>
      </c>
      <c r="C77" s="207">
        <v>44571</v>
      </c>
      <c r="D77" s="207">
        <v>44571</v>
      </c>
      <c r="E77" s="208" t="s">
        <v>186</v>
      </c>
      <c r="F77" s="205" t="s">
        <v>187</v>
      </c>
      <c r="G77" s="209">
        <v>3841</v>
      </c>
      <c r="H77" s="205" t="s">
        <v>162</v>
      </c>
      <c r="I77" s="205" t="s">
        <v>174</v>
      </c>
      <c r="J77" s="210">
        <v>5435.45</v>
      </c>
      <c r="K77" s="219"/>
      <c r="L77" s="210">
        <v>17.510000000000002</v>
      </c>
      <c r="M77" s="210">
        <v>17.510000000000002</v>
      </c>
      <c r="N77" s="213">
        <v>0</v>
      </c>
      <c r="O77" s="212">
        <v>0.15</v>
      </c>
      <c r="P77" s="212"/>
      <c r="Q77" s="213">
        <v>0</v>
      </c>
      <c r="R77" s="205" t="s">
        <v>73</v>
      </c>
      <c r="S77" s="214" t="s">
        <v>113</v>
      </c>
      <c r="T77" s="214">
        <v>31</v>
      </c>
      <c r="U77" s="215" t="s">
        <v>164</v>
      </c>
      <c r="V77" s="438"/>
      <c r="W77" s="205" t="s">
        <v>3080</v>
      </c>
      <c r="X77" s="213">
        <v>0</v>
      </c>
      <c r="Y77" s="213"/>
      <c r="AF77" s="230">
        <f t="shared" ref="AF77:AF91" si="0">X77</f>
        <v>0</v>
      </c>
      <c r="AJ77" s="216"/>
    </row>
    <row r="78" spans="2:37" s="205" customFormat="1" ht="11.25" customHeight="1">
      <c r="B78" s="205" t="s">
        <v>291</v>
      </c>
      <c r="C78" s="207"/>
      <c r="D78" s="207"/>
      <c r="E78" s="208" t="s">
        <v>186</v>
      </c>
      <c r="F78" s="205" t="s">
        <v>187</v>
      </c>
      <c r="G78" s="209">
        <v>3841</v>
      </c>
      <c r="H78" s="205" t="s">
        <v>99</v>
      </c>
      <c r="I78" s="205" t="s">
        <v>174</v>
      </c>
      <c r="J78" s="210">
        <v>39722.129999999997</v>
      </c>
      <c r="K78" s="219"/>
      <c r="L78" s="210">
        <v>39.409999999999997</v>
      </c>
      <c r="M78" s="210">
        <v>39.409999999999997</v>
      </c>
      <c r="N78" s="213">
        <v>0</v>
      </c>
      <c r="O78" s="212">
        <v>0.15</v>
      </c>
      <c r="P78" s="212"/>
      <c r="Q78" s="213">
        <v>0</v>
      </c>
      <c r="R78" s="205" t="s">
        <v>73</v>
      </c>
      <c r="S78" s="214" t="s">
        <v>113</v>
      </c>
      <c r="T78" s="214">
        <v>31</v>
      </c>
      <c r="U78" s="215" t="s">
        <v>164</v>
      </c>
      <c r="V78" s="438"/>
      <c r="W78" s="205" t="s">
        <v>3080</v>
      </c>
      <c r="X78" s="213">
        <v>0</v>
      </c>
      <c r="Y78" s="213"/>
      <c r="AF78" s="230">
        <f t="shared" si="0"/>
        <v>0</v>
      </c>
      <c r="AJ78" s="216"/>
    </row>
    <row r="79" spans="2:37" s="205" customFormat="1" ht="11.25" customHeight="1">
      <c r="B79" s="205" t="s">
        <v>291</v>
      </c>
      <c r="C79" s="207"/>
      <c r="D79" s="207"/>
      <c r="E79" s="208" t="s">
        <v>186</v>
      </c>
      <c r="F79" s="205" t="s">
        <v>187</v>
      </c>
      <c r="G79" s="209">
        <v>3841</v>
      </c>
      <c r="H79" s="205" t="s">
        <v>163</v>
      </c>
      <c r="I79" s="205" t="s">
        <v>174</v>
      </c>
      <c r="J79" s="210">
        <v>14113.56</v>
      </c>
      <c r="K79" s="219"/>
      <c r="L79" s="210">
        <v>26.96</v>
      </c>
      <c r="M79" s="210">
        <v>26.96</v>
      </c>
      <c r="N79" s="213">
        <v>0</v>
      </c>
      <c r="O79" s="212">
        <v>0.15</v>
      </c>
      <c r="P79" s="212"/>
      <c r="Q79" s="213">
        <v>0</v>
      </c>
      <c r="R79" s="205" t="s">
        <v>73</v>
      </c>
      <c r="S79" s="214" t="s">
        <v>113</v>
      </c>
      <c r="T79" s="214">
        <v>31</v>
      </c>
      <c r="U79" s="215" t="s">
        <v>164</v>
      </c>
      <c r="V79" s="438"/>
      <c r="W79" s="205" t="s">
        <v>3080</v>
      </c>
      <c r="X79" s="213">
        <v>0</v>
      </c>
      <c r="Y79" s="213"/>
      <c r="AF79" s="230">
        <f t="shared" si="0"/>
        <v>0</v>
      </c>
      <c r="AJ79" s="216"/>
    </row>
    <row r="80" spans="2:37" s="205" customFormat="1" ht="11.25" customHeight="1">
      <c r="B80" s="205" t="s">
        <v>291</v>
      </c>
      <c r="C80" s="207">
        <v>44571</v>
      </c>
      <c r="D80" s="207">
        <v>44571</v>
      </c>
      <c r="E80" s="208" t="s">
        <v>188</v>
      </c>
      <c r="F80" s="205" t="s">
        <v>189</v>
      </c>
      <c r="G80" s="209">
        <v>3814</v>
      </c>
      <c r="H80" s="205" t="s">
        <v>138</v>
      </c>
      <c r="I80" s="205" t="s">
        <v>174</v>
      </c>
      <c r="J80" s="210">
        <v>29980.57</v>
      </c>
      <c r="K80" s="219"/>
      <c r="L80" s="210">
        <v>24.53</v>
      </c>
      <c r="M80" s="210">
        <v>24.53</v>
      </c>
      <c r="N80" s="213">
        <f>0.1*J80</f>
        <v>2998.0570000000002</v>
      </c>
      <c r="O80" s="212">
        <v>0.15</v>
      </c>
      <c r="P80" s="212"/>
      <c r="Q80" s="213">
        <v>0</v>
      </c>
      <c r="R80" s="205" t="s">
        <v>73</v>
      </c>
      <c r="S80" s="214" t="s">
        <v>113</v>
      </c>
      <c r="T80" s="214">
        <v>31</v>
      </c>
      <c r="U80" s="215" t="s">
        <v>164</v>
      </c>
      <c r="V80" s="438"/>
      <c r="W80" s="205" t="s">
        <v>3298</v>
      </c>
      <c r="X80" s="213">
        <v>0</v>
      </c>
      <c r="Y80" s="213"/>
      <c r="AF80" s="230">
        <f t="shared" si="0"/>
        <v>0</v>
      </c>
      <c r="AJ80" s="216"/>
    </row>
    <row r="81" spans="2:37" s="205" customFormat="1" ht="11.25" customHeight="1">
      <c r="B81" s="205" t="s">
        <v>291</v>
      </c>
      <c r="C81" s="207"/>
      <c r="D81" s="207"/>
      <c r="E81" s="208" t="s">
        <v>188</v>
      </c>
      <c r="F81" s="205" t="s">
        <v>189</v>
      </c>
      <c r="G81" s="209">
        <v>3814</v>
      </c>
      <c r="H81" s="205" t="s">
        <v>140</v>
      </c>
      <c r="I81" s="205" t="s">
        <v>174</v>
      </c>
      <c r="J81" s="210">
        <v>17729.2</v>
      </c>
      <c r="K81" s="219"/>
      <c r="L81" s="210">
        <v>17.45</v>
      </c>
      <c r="M81" s="210">
        <v>17.45</v>
      </c>
      <c r="N81" s="213"/>
      <c r="O81" s="212">
        <v>0.15</v>
      </c>
      <c r="P81" s="212"/>
      <c r="Q81" s="213">
        <v>0</v>
      </c>
      <c r="R81" s="205" t="s">
        <v>73</v>
      </c>
      <c r="S81" s="214" t="s">
        <v>113</v>
      </c>
      <c r="T81" s="214">
        <v>31</v>
      </c>
      <c r="U81" s="215" t="s">
        <v>164</v>
      </c>
      <c r="V81" s="438"/>
      <c r="X81" s="213">
        <v>0</v>
      </c>
      <c r="Y81" s="213"/>
      <c r="AF81" s="230">
        <f t="shared" si="0"/>
        <v>0</v>
      </c>
      <c r="AJ81" s="216"/>
    </row>
    <row r="82" spans="2:37" s="205" customFormat="1" ht="11.25" customHeight="1">
      <c r="B82" s="205" t="s">
        <v>291</v>
      </c>
      <c r="C82" s="207"/>
      <c r="D82" s="207"/>
      <c r="E82" s="208" t="s">
        <v>188</v>
      </c>
      <c r="F82" s="205" t="s">
        <v>189</v>
      </c>
      <c r="G82" s="209">
        <v>3814</v>
      </c>
      <c r="H82" s="205" t="s">
        <v>99</v>
      </c>
      <c r="I82" s="205" t="s">
        <v>174</v>
      </c>
      <c r="J82" s="210">
        <v>47858.9</v>
      </c>
      <c r="K82" s="219"/>
      <c r="L82" s="210">
        <v>46.53</v>
      </c>
      <c r="M82" s="210">
        <v>46.53</v>
      </c>
      <c r="N82" s="213">
        <f>0.15*J82</f>
        <v>7178.835</v>
      </c>
      <c r="O82" s="212">
        <v>0.15</v>
      </c>
      <c r="P82" s="212"/>
      <c r="Q82" s="213">
        <v>0</v>
      </c>
      <c r="R82" s="205" t="s">
        <v>73</v>
      </c>
      <c r="S82" s="214" t="s">
        <v>113</v>
      </c>
      <c r="T82" s="214">
        <v>31</v>
      </c>
      <c r="U82" s="215" t="s">
        <v>164</v>
      </c>
      <c r="V82" s="438"/>
      <c r="W82" s="205" t="s">
        <v>3127</v>
      </c>
      <c r="X82" s="213">
        <v>0</v>
      </c>
      <c r="Y82" s="213"/>
      <c r="AF82" s="230">
        <f t="shared" si="0"/>
        <v>0</v>
      </c>
      <c r="AJ82" s="216"/>
    </row>
    <row r="83" spans="2:37" s="205" customFormat="1" ht="11.25" customHeight="1">
      <c r="B83" s="205" t="s">
        <v>291</v>
      </c>
      <c r="C83" s="207"/>
      <c r="D83" s="207"/>
      <c r="E83" s="208" t="s">
        <v>188</v>
      </c>
      <c r="F83" s="205" t="s">
        <v>189</v>
      </c>
      <c r="G83" s="209">
        <v>3814</v>
      </c>
      <c r="H83" s="205" t="s">
        <v>183</v>
      </c>
      <c r="I83" s="205" t="s">
        <v>174</v>
      </c>
      <c r="J83" s="210">
        <v>14594.31</v>
      </c>
      <c r="K83" s="219"/>
      <c r="L83" s="210">
        <v>16.98</v>
      </c>
      <c r="M83" s="210">
        <v>16.98</v>
      </c>
      <c r="N83" s="213">
        <v>0</v>
      </c>
      <c r="O83" s="212">
        <v>0.15</v>
      </c>
      <c r="P83" s="212"/>
      <c r="Q83" s="213">
        <v>0</v>
      </c>
      <c r="R83" s="205" t="s">
        <v>73</v>
      </c>
      <c r="S83" s="214" t="s">
        <v>113</v>
      </c>
      <c r="T83" s="214">
        <v>31</v>
      </c>
      <c r="U83" s="215" t="s">
        <v>164</v>
      </c>
      <c r="V83" s="438"/>
      <c r="W83" s="205" t="s">
        <v>3126</v>
      </c>
      <c r="X83" s="213">
        <v>0</v>
      </c>
      <c r="Y83" s="213"/>
      <c r="AF83" s="230">
        <f t="shared" si="0"/>
        <v>0</v>
      </c>
      <c r="AJ83" s="216"/>
    </row>
    <row r="84" spans="2:37" s="205" customFormat="1" ht="11.25" customHeight="1">
      <c r="B84" s="205" t="s">
        <v>291</v>
      </c>
      <c r="C84" s="207">
        <v>44571</v>
      </c>
      <c r="D84" s="207">
        <v>44571</v>
      </c>
      <c r="E84" s="208" t="s">
        <v>179</v>
      </c>
      <c r="F84" s="205" t="s">
        <v>180</v>
      </c>
      <c r="G84" s="209">
        <v>3815</v>
      </c>
      <c r="H84" s="205" t="s">
        <v>140</v>
      </c>
      <c r="I84" s="205" t="s">
        <v>28</v>
      </c>
      <c r="J84" s="210">
        <v>10639.32</v>
      </c>
      <c r="K84" s="219"/>
      <c r="L84" s="210">
        <v>10.37</v>
      </c>
      <c r="M84" s="210">
        <v>10.37</v>
      </c>
      <c r="N84" s="213"/>
      <c r="O84" s="212">
        <v>0.15</v>
      </c>
      <c r="P84" s="212"/>
      <c r="Q84" s="213">
        <v>0</v>
      </c>
      <c r="R84" s="205" t="s">
        <v>73</v>
      </c>
      <c r="S84" s="214" t="s">
        <v>113</v>
      </c>
      <c r="T84" s="214">
        <v>31</v>
      </c>
      <c r="U84" s="215" t="s">
        <v>164</v>
      </c>
      <c r="V84" s="438"/>
      <c r="W84" s="205" t="s">
        <v>3123</v>
      </c>
      <c r="X84" s="213">
        <v>0</v>
      </c>
      <c r="Y84" s="213"/>
      <c r="AF84" s="230">
        <f t="shared" si="0"/>
        <v>0</v>
      </c>
      <c r="AJ84" s="216"/>
    </row>
    <row r="85" spans="2:37" s="205" customFormat="1" ht="11.25" customHeight="1">
      <c r="B85" s="205" t="s">
        <v>291</v>
      </c>
      <c r="C85" s="207"/>
      <c r="D85" s="207"/>
      <c r="E85" s="208" t="s">
        <v>179</v>
      </c>
      <c r="F85" s="205" t="s">
        <v>180</v>
      </c>
      <c r="G85" s="209">
        <v>3815</v>
      </c>
      <c r="H85" s="205" t="s">
        <v>99</v>
      </c>
      <c r="I85" s="205" t="s">
        <v>28</v>
      </c>
      <c r="J85" s="210">
        <v>10155.450000000001</v>
      </c>
      <c r="K85" s="219"/>
      <c r="L85" s="210">
        <v>9.89</v>
      </c>
      <c r="M85" s="210">
        <v>9.89</v>
      </c>
      <c r="N85" s="213">
        <v>0</v>
      </c>
      <c r="O85" s="212">
        <v>0.15</v>
      </c>
      <c r="P85" s="212"/>
      <c r="Q85" s="213">
        <v>0</v>
      </c>
      <c r="R85" s="205" t="s">
        <v>73</v>
      </c>
      <c r="S85" s="214" t="s">
        <v>113</v>
      </c>
      <c r="T85" s="214">
        <v>31</v>
      </c>
      <c r="U85" s="215" t="s">
        <v>164</v>
      </c>
      <c r="V85" s="438"/>
      <c r="W85" s="205" t="s">
        <v>3123</v>
      </c>
      <c r="X85" s="213">
        <v>0</v>
      </c>
      <c r="Y85" s="213"/>
      <c r="AF85" s="230">
        <f t="shared" si="0"/>
        <v>0</v>
      </c>
      <c r="AJ85" s="216"/>
    </row>
    <row r="86" spans="2:37" s="205" customFormat="1" ht="11.25" customHeight="1">
      <c r="B86" s="205" t="s">
        <v>291</v>
      </c>
      <c r="C86" s="207">
        <v>44572</v>
      </c>
      <c r="D86" s="207">
        <v>44572</v>
      </c>
      <c r="E86" s="208" t="s">
        <v>190</v>
      </c>
      <c r="F86" s="205" t="s">
        <v>191</v>
      </c>
      <c r="G86" s="209">
        <v>4079</v>
      </c>
      <c r="H86" s="205" t="s">
        <v>192</v>
      </c>
      <c r="I86" s="205" t="s">
        <v>28</v>
      </c>
      <c r="J86" s="210">
        <v>43464.6</v>
      </c>
      <c r="K86" s="219"/>
      <c r="L86" s="210">
        <v>26.83</v>
      </c>
      <c r="M86" s="210">
        <v>26.83</v>
      </c>
      <c r="N86" s="213">
        <v>0</v>
      </c>
      <c r="O86" s="212">
        <v>0.2</v>
      </c>
      <c r="P86" s="212"/>
      <c r="Q86" s="213">
        <v>0</v>
      </c>
      <c r="R86" s="205" t="s">
        <v>73</v>
      </c>
      <c r="S86" s="214" t="s">
        <v>74</v>
      </c>
      <c r="T86" s="214">
        <v>31</v>
      </c>
      <c r="U86" s="215" t="s">
        <v>164</v>
      </c>
      <c r="V86" s="438"/>
      <c r="W86" s="205" t="s">
        <v>2972</v>
      </c>
      <c r="X86" s="213">
        <v>0</v>
      </c>
      <c r="Y86" s="213"/>
      <c r="AF86" s="230">
        <f t="shared" si="0"/>
        <v>0</v>
      </c>
      <c r="AJ86" s="216"/>
    </row>
    <row r="87" spans="2:37" s="205" customFormat="1" ht="11.25" customHeight="1">
      <c r="B87" s="205" t="s">
        <v>291</v>
      </c>
      <c r="C87" s="207">
        <v>44571</v>
      </c>
      <c r="D87" s="207">
        <v>44572</v>
      </c>
      <c r="E87" s="208" t="s">
        <v>193</v>
      </c>
      <c r="F87" s="205" t="s">
        <v>172</v>
      </c>
      <c r="G87" s="209" t="s">
        <v>173</v>
      </c>
      <c r="H87" s="205" t="s">
        <v>99</v>
      </c>
      <c r="I87" s="205" t="s">
        <v>174</v>
      </c>
      <c r="J87" s="210">
        <v>32055.52</v>
      </c>
      <c r="K87" s="219"/>
      <c r="L87" s="210">
        <v>28.49</v>
      </c>
      <c r="M87" s="210">
        <v>14.62</v>
      </c>
      <c r="N87" s="213">
        <v>0</v>
      </c>
      <c r="O87" s="212">
        <v>0.25</v>
      </c>
      <c r="P87" s="212"/>
      <c r="Q87" s="213">
        <v>0</v>
      </c>
      <c r="R87" s="205" t="s">
        <v>73</v>
      </c>
      <c r="S87" s="214" t="s">
        <v>113</v>
      </c>
      <c r="T87" s="214">
        <v>31</v>
      </c>
      <c r="U87" s="215" t="s">
        <v>164</v>
      </c>
      <c r="V87" s="438"/>
      <c r="W87" s="205" t="s">
        <v>3145</v>
      </c>
      <c r="X87" s="213">
        <v>0</v>
      </c>
      <c r="Y87" s="213"/>
      <c r="AF87" s="230">
        <f t="shared" si="0"/>
        <v>0</v>
      </c>
      <c r="AJ87" s="216"/>
    </row>
    <row r="88" spans="2:37" s="205" customFormat="1" ht="11.25" customHeight="1">
      <c r="B88" s="205" t="s">
        <v>291</v>
      </c>
      <c r="C88" s="207"/>
      <c r="D88" s="207"/>
      <c r="E88" s="208" t="s">
        <v>193</v>
      </c>
      <c r="F88" s="205" t="s">
        <v>172</v>
      </c>
      <c r="G88" s="209" t="s">
        <v>173</v>
      </c>
      <c r="H88" s="205" t="s">
        <v>27</v>
      </c>
      <c r="I88" s="205" t="s">
        <v>174</v>
      </c>
      <c r="J88" s="210">
        <v>23098.880000000001</v>
      </c>
      <c r="K88" s="219"/>
      <c r="L88" s="210">
        <v>19.87</v>
      </c>
      <c r="M88" s="210">
        <v>19.87</v>
      </c>
      <c r="N88" s="213">
        <v>0</v>
      </c>
      <c r="O88" s="212">
        <v>0.25</v>
      </c>
      <c r="P88" s="212"/>
      <c r="Q88" s="213">
        <v>0</v>
      </c>
      <c r="R88" s="205" t="s">
        <v>73</v>
      </c>
      <c r="S88" s="214" t="s">
        <v>113</v>
      </c>
      <c r="T88" s="214">
        <v>31</v>
      </c>
      <c r="U88" s="215" t="s">
        <v>164</v>
      </c>
      <c r="V88" s="438"/>
      <c r="W88" s="205" t="s">
        <v>3145</v>
      </c>
      <c r="X88" s="213">
        <v>0</v>
      </c>
      <c r="Y88" s="213"/>
      <c r="AF88" s="230">
        <f t="shared" si="0"/>
        <v>0</v>
      </c>
      <c r="AJ88" s="216"/>
    </row>
    <row r="89" spans="2:37" s="205" customFormat="1" ht="11.25" customHeight="1">
      <c r="B89" s="205" t="s">
        <v>291</v>
      </c>
      <c r="C89" s="207">
        <v>44571</v>
      </c>
      <c r="D89" s="207">
        <v>44572</v>
      </c>
      <c r="E89" s="208" t="s">
        <v>194</v>
      </c>
      <c r="F89" s="205" t="s">
        <v>195</v>
      </c>
      <c r="G89" s="209" t="s">
        <v>196</v>
      </c>
      <c r="H89" s="205" t="s">
        <v>99</v>
      </c>
      <c r="I89" s="205" t="s">
        <v>174</v>
      </c>
      <c r="J89" s="210">
        <v>38947.050000000003</v>
      </c>
      <c r="K89" s="219"/>
      <c r="L89" s="210">
        <v>32.659999999999997</v>
      </c>
      <c r="M89" s="210">
        <v>32.659999999999997</v>
      </c>
      <c r="N89" s="213"/>
      <c r="O89" s="212">
        <v>0.25</v>
      </c>
      <c r="P89" s="212"/>
      <c r="Q89" s="213">
        <v>0</v>
      </c>
      <c r="R89" s="205" t="s">
        <v>73</v>
      </c>
      <c r="S89" s="214" t="s">
        <v>113</v>
      </c>
      <c r="T89" s="214">
        <v>31</v>
      </c>
      <c r="U89" s="215" t="s">
        <v>164</v>
      </c>
      <c r="V89" s="438"/>
      <c r="W89" s="205" t="s">
        <v>3144</v>
      </c>
      <c r="X89" s="213">
        <v>0</v>
      </c>
      <c r="Y89" s="213"/>
      <c r="AF89" s="230">
        <f t="shared" si="0"/>
        <v>0</v>
      </c>
      <c r="AJ89" s="216"/>
    </row>
    <row r="90" spans="2:37" s="205" customFormat="1" ht="11.25" customHeight="1">
      <c r="B90" s="205" t="s">
        <v>291</v>
      </c>
      <c r="C90" s="207">
        <v>44569</v>
      </c>
      <c r="D90" s="207">
        <v>44572</v>
      </c>
      <c r="E90" s="208" t="s">
        <v>197</v>
      </c>
      <c r="F90" s="205" t="s">
        <v>198</v>
      </c>
      <c r="G90" s="209">
        <v>4538</v>
      </c>
      <c r="H90" s="205" t="s">
        <v>183</v>
      </c>
      <c r="I90" s="205" t="s">
        <v>28</v>
      </c>
      <c r="J90" s="210">
        <v>4937.9799999999996</v>
      </c>
      <c r="K90" s="219"/>
      <c r="L90" s="210">
        <v>4.04</v>
      </c>
      <c r="M90" s="210">
        <v>4.04</v>
      </c>
      <c r="N90" s="213">
        <v>0</v>
      </c>
      <c r="O90" s="212">
        <v>0.15</v>
      </c>
      <c r="P90" s="212"/>
      <c r="Q90" s="213">
        <v>0</v>
      </c>
      <c r="R90" s="205" t="s">
        <v>73</v>
      </c>
      <c r="S90" s="214" t="s">
        <v>113</v>
      </c>
      <c r="T90" s="214">
        <v>31</v>
      </c>
      <c r="U90" s="215" t="s">
        <v>164</v>
      </c>
      <c r="V90" s="438"/>
      <c r="W90" s="205" t="s">
        <v>3181</v>
      </c>
      <c r="X90" s="213">
        <v>0</v>
      </c>
      <c r="Y90" s="213"/>
      <c r="AF90" s="230">
        <f t="shared" si="0"/>
        <v>0</v>
      </c>
      <c r="AJ90" s="216"/>
    </row>
    <row r="91" spans="2:37" s="205" customFormat="1" ht="11.25" customHeight="1">
      <c r="B91" s="205" t="s">
        <v>291</v>
      </c>
      <c r="C91" s="207"/>
      <c r="D91" s="207"/>
      <c r="E91" s="208" t="s">
        <v>197</v>
      </c>
      <c r="F91" s="205" t="s">
        <v>198</v>
      </c>
      <c r="G91" s="209">
        <v>4538</v>
      </c>
      <c r="H91" s="205" t="s">
        <v>99</v>
      </c>
      <c r="I91" s="205" t="s">
        <v>28</v>
      </c>
      <c r="J91" s="210">
        <v>23599.03</v>
      </c>
      <c r="K91" s="219"/>
      <c r="L91" s="210">
        <v>21.68</v>
      </c>
      <c r="M91" s="210">
        <v>21.68</v>
      </c>
      <c r="N91" s="213">
        <f>0.2*J91</f>
        <v>4719.8059999999996</v>
      </c>
      <c r="O91" s="212">
        <v>0.15</v>
      </c>
      <c r="P91" s="212"/>
      <c r="Q91" s="213">
        <v>0</v>
      </c>
      <c r="R91" s="205" t="s">
        <v>73</v>
      </c>
      <c r="S91" s="214" t="s">
        <v>113</v>
      </c>
      <c r="T91" s="214">
        <v>31</v>
      </c>
      <c r="U91" s="215" t="s">
        <v>164</v>
      </c>
      <c r="V91" s="438"/>
      <c r="W91" s="205" t="s">
        <v>3181</v>
      </c>
      <c r="X91" s="213">
        <v>0</v>
      </c>
      <c r="Y91" s="213"/>
      <c r="AF91" s="230">
        <f t="shared" si="0"/>
        <v>0</v>
      </c>
      <c r="AJ91" s="216"/>
    </row>
    <row r="92" spans="2:37" s="473" customFormat="1" ht="11.25" customHeight="1">
      <c r="B92" s="473" t="s">
        <v>291</v>
      </c>
      <c r="C92" s="487">
        <v>44573</v>
      </c>
      <c r="D92" s="487">
        <v>44573</v>
      </c>
      <c r="E92" s="488" t="s">
        <v>199</v>
      </c>
      <c r="F92" s="473" t="s">
        <v>202</v>
      </c>
      <c r="G92" s="489">
        <v>3992</v>
      </c>
      <c r="H92" s="473" t="s">
        <v>99</v>
      </c>
      <c r="I92" s="473" t="s">
        <v>203</v>
      </c>
      <c r="J92" s="490">
        <v>17377.72</v>
      </c>
      <c r="K92" s="491"/>
      <c r="L92" s="490">
        <v>15.93</v>
      </c>
      <c r="M92" s="490">
        <v>15.93</v>
      </c>
      <c r="N92" s="492">
        <f>1390.21</f>
        <v>1390.21</v>
      </c>
      <c r="O92" s="493">
        <v>0.15</v>
      </c>
      <c r="P92" s="493"/>
      <c r="Q92" s="492">
        <v>4937.12</v>
      </c>
      <c r="R92" s="473" t="s">
        <v>146</v>
      </c>
      <c r="S92" s="481" t="s">
        <v>74</v>
      </c>
      <c r="T92" s="481">
        <v>31</v>
      </c>
      <c r="U92" s="494" t="s">
        <v>164</v>
      </c>
      <c r="V92" s="495">
        <v>1390.21</v>
      </c>
      <c r="X92" s="492">
        <v>4937.12</v>
      </c>
      <c r="Y92" s="492"/>
      <c r="AJ92" s="485"/>
      <c r="AK92" s="505">
        <v>4937.12</v>
      </c>
    </row>
    <row r="93" spans="2:37" s="473" customFormat="1" ht="11.25" customHeight="1">
      <c r="B93" s="473" t="s">
        <v>291</v>
      </c>
      <c r="C93" s="487"/>
      <c r="D93" s="487"/>
      <c r="E93" s="488" t="s">
        <v>199</v>
      </c>
      <c r="F93" s="473" t="s">
        <v>202</v>
      </c>
      <c r="G93" s="489">
        <v>3992</v>
      </c>
      <c r="H93" s="473" t="s">
        <v>138</v>
      </c>
      <c r="I93" s="473" t="s">
        <v>203</v>
      </c>
      <c r="J93" s="490">
        <v>16755.919999999998</v>
      </c>
      <c r="K93" s="491"/>
      <c r="L93" s="490">
        <v>15.36</v>
      </c>
      <c r="M93" s="490">
        <v>15.36</v>
      </c>
      <c r="N93" s="492">
        <f>418.89+331.62</f>
        <v>750.51</v>
      </c>
      <c r="O93" s="493">
        <v>0.15</v>
      </c>
      <c r="P93" s="493"/>
      <c r="Q93" s="492">
        <v>1340.47</v>
      </c>
      <c r="R93" s="473" t="s">
        <v>146</v>
      </c>
      <c r="S93" s="481" t="s">
        <v>74</v>
      </c>
      <c r="T93" s="481">
        <v>31</v>
      </c>
      <c r="U93" s="494" t="s">
        <v>164</v>
      </c>
      <c r="V93" s="492">
        <v>1340.47</v>
      </c>
      <c r="X93" s="492">
        <v>1340.47</v>
      </c>
      <c r="Y93" s="492"/>
      <c r="AJ93" s="485"/>
      <c r="AK93" s="505">
        <v>1340.47</v>
      </c>
    </row>
    <row r="94" spans="2:37" s="261" customFormat="1" ht="11.25" customHeight="1">
      <c r="B94" s="261" t="s">
        <v>291</v>
      </c>
      <c r="C94" s="259">
        <v>44572</v>
      </c>
      <c r="D94" s="259">
        <v>44573</v>
      </c>
      <c r="E94" s="260" t="s">
        <v>201</v>
      </c>
      <c r="F94" s="261" t="s">
        <v>204</v>
      </c>
      <c r="G94" s="262">
        <v>4081</v>
      </c>
      <c r="H94" s="261" t="s">
        <v>162</v>
      </c>
      <c r="I94" s="261" t="s">
        <v>28</v>
      </c>
      <c r="J94" s="263">
        <v>3434.67</v>
      </c>
      <c r="K94" s="264"/>
      <c r="L94" s="263">
        <v>11.96</v>
      </c>
      <c r="M94" s="263">
        <v>3.5</v>
      </c>
      <c r="N94" s="265">
        <v>141</v>
      </c>
      <c r="O94" s="266">
        <v>0.15</v>
      </c>
      <c r="P94" s="266"/>
      <c r="Q94" s="265">
        <v>139.18</v>
      </c>
      <c r="R94" s="261" t="s">
        <v>146</v>
      </c>
      <c r="S94" s="267" t="s">
        <v>74</v>
      </c>
      <c r="T94" s="267">
        <v>31</v>
      </c>
      <c r="U94" s="268" t="s">
        <v>164</v>
      </c>
      <c r="V94" s="427"/>
      <c r="X94" s="265">
        <v>139.18</v>
      </c>
      <c r="Y94" s="265"/>
      <c r="AG94" s="261">
        <f>X94</f>
        <v>139.18</v>
      </c>
      <c r="AJ94" s="642"/>
    </row>
    <row r="95" spans="2:37" s="261" customFormat="1" ht="11.25" customHeight="1">
      <c r="B95" s="261" t="s">
        <v>291</v>
      </c>
      <c r="C95" s="259"/>
      <c r="D95" s="259"/>
      <c r="E95" s="260" t="s">
        <v>201</v>
      </c>
      <c r="F95" s="261" t="s">
        <v>204</v>
      </c>
      <c r="G95" s="262">
        <v>4081</v>
      </c>
      <c r="H95" s="261" t="s">
        <v>99</v>
      </c>
      <c r="I95" s="261" t="s">
        <v>28</v>
      </c>
      <c r="J95" s="263">
        <v>18358.98</v>
      </c>
      <c r="K95" s="264"/>
      <c r="L95" s="263">
        <v>21.95</v>
      </c>
      <c r="M95" s="263">
        <v>21.95</v>
      </c>
      <c r="N95" s="265">
        <v>2726</v>
      </c>
      <c r="O95" s="266">
        <v>0.15</v>
      </c>
      <c r="P95" s="266"/>
      <c r="Q95" s="265">
        <v>3150.24</v>
      </c>
      <c r="R95" s="261" t="s">
        <v>146</v>
      </c>
      <c r="S95" s="267" t="s">
        <v>74</v>
      </c>
      <c r="T95" s="267">
        <v>31</v>
      </c>
      <c r="U95" s="268" t="s">
        <v>164</v>
      </c>
      <c r="V95" s="427"/>
      <c r="X95" s="265">
        <v>3150.24</v>
      </c>
      <c r="Y95" s="265"/>
      <c r="AG95" s="261">
        <f>X95</f>
        <v>3150.24</v>
      </c>
      <c r="AJ95" s="642"/>
    </row>
    <row r="96" spans="2:37" s="473" customFormat="1" ht="11.25" customHeight="1">
      <c r="B96" s="473" t="s">
        <v>291</v>
      </c>
      <c r="C96" s="487">
        <v>44571</v>
      </c>
      <c r="D96" s="487">
        <v>44604</v>
      </c>
      <c r="E96" s="488" t="s">
        <v>205</v>
      </c>
      <c r="F96" s="473" t="s">
        <v>206</v>
      </c>
      <c r="G96" s="489">
        <v>4337</v>
      </c>
      <c r="H96" s="473" t="s">
        <v>163</v>
      </c>
      <c r="I96" s="473" t="s">
        <v>203</v>
      </c>
      <c r="J96" s="490">
        <v>14845.22</v>
      </c>
      <c r="K96" s="491"/>
      <c r="L96" s="490">
        <v>18.82</v>
      </c>
      <c r="M96" s="490">
        <v>18.82</v>
      </c>
      <c r="N96" s="492">
        <v>3346</v>
      </c>
      <c r="O96" s="493">
        <v>0.2</v>
      </c>
      <c r="P96" s="493"/>
      <c r="Q96" s="492">
        <v>0</v>
      </c>
      <c r="R96" s="473" t="s">
        <v>146</v>
      </c>
      <c r="S96" s="481" t="s">
        <v>74</v>
      </c>
      <c r="T96" s="481">
        <v>31</v>
      </c>
      <c r="U96" s="494" t="s">
        <v>164</v>
      </c>
      <c r="V96" s="495"/>
      <c r="X96" s="492">
        <v>0</v>
      </c>
      <c r="Y96" s="492"/>
      <c r="AJ96" s="485"/>
      <c r="AK96" s="473">
        <v>0</v>
      </c>
    </row>
    <row r="97" spans="1:77" s="236" customFormat="1" ht="11.25" customHeight="1">
      <c r="A97" s="473"/>
      <c r="B97" s="473" t="s">
        <v>291</v>
      </c>
      <c r="C97" s="487"/>
      <c r="D97" s="487"/>
      <c r="E97" s="488" t="s">
        <v>205</v>
      </c>
      <c r="F97" s="473" t="s">
        <v>206</v>
      </c>
      <c r="G97" s="489">
        <v>4337</v>
      </c>
      <c r="H97" s="473" t="s">
        <v>138</v>
      </c>
      <c r="I97" s="473" t="s">
        <v>203</v>
      </c>
      <c r="J97" s="490">
        <v>24102.9</v>
      </c>
      <c r="K97" s="491"/>
      <c r="L97" s="490">
        <v>21.33</v>
      </c>
      <c r="M97" s="490">
        <v>21.33</v>
      </c>
      <c r="N97" s="492">
        <v>0</v>
      </c>
      <c r="O97" s="493">
        <v>0.2</v>
      </c>
      <c r="P97" s="493"/>
      <c r="Q97" s="492">
        <v>0</v>
      </c>
      <c r="R97" s="473" t="s">
        <v>146</v>
      </c>
      <c r="S97" s="481" t="s">
        <v>74</v>
      </c>
      <c r="T97" s="481">
        <v>32</v>
      </c>
      <c r="U97" s="494" t="s">
        <v>164</v>
      </c>
      <c r="V97" s="495"/>
      <c r="W97" s="473"/>
      <c r="X97" s="492">
        <v>0</v>
      </c>
      <c r="Y97" s="492"/>
      <c r="Z97" s="473"/>
      <c r="AA97" s="473"/>
      <c r="AB97" s="473"/>
      <c r="AC97" s="473"/>
      <c r="AD97" s="473"/>
      <c r="AE97" s="473"/>
      <c r="AF97" s="473"/>
      <c r="AG97" s="473"/>
      <c r="AH97" s="473"/>
      <c r="AI97" s="473"/>
      <c r="AJ97" s="485"/>
      <c r="AK97" s="473">
        <v>0</v>
      </c>
      <c r="AL97" s="473"/>
      <c r="AM97" s="473"/>
      <c r="AN97" s="473"/>
      <c r="AO97" s="473"/>
      <c r="AP97" s="473"/>
      <c r="AQ97" s="473"/>
      <c r="AR97" s="473"/>
      <c r="AS97" s="473"/>
      <c r="AT97" s="473"/>
      <c r="AU97" s="473"/>
      <c r="AV97" s="473"/>
      <c r="AW97" s="473"/>
      <c r="AX97" s="473"/>
      <c r="AY97" s="473"/>
      <c r="AZ97" s="473"/>
      <c r="BA97" s="473"/>
      <c r="BB97" s="473"/>
      <c r="BC97" s="473"/>
      <c r="BD97" s="473"/>
      <c r="BE97" s="473"/>
      <c r="BF97" s="473"/>
      <c r="BG97" s="473"/>
      <c r="BH97" s="473"/>
      <c r="BI97" s="473"/>
      <c r="BJ97" s="473"/>
      <c r="BK97" s="473"/>
      <c r="BL97" s="473"/>
      <c r="BM97" s="473"/>
      <c r="BN97" s="473"/>
      <c r="BO97" s="473"/>
      <c r="BP97" s="473"/>
      <c r="BQ97" s="473"/>
      <c r="BR97" s="473"/>
      <c r="BS97" s="473"/>
      <c r="BT97" s="473"/>
      <c r="BU97" s="473"/>
      <c r="BV97" s="473"/>
      <c r="BW97" s="473"/>
      <c r="BX97" s="473"/>
      <c r="BY97" s="473"/>
    </row>
    <row r="98" spans="1:77" s="473" customFormat="1" ht="11.25" customHeight="1">
      <c r="B98" s="473" t="s">
        <v>291</v>
      </c>
      <c r="C98" s="487"/>
      <c r="D98" s="487"/>
      <c r="E98" s="488" t="s">
        <v>205</v>
      </c>
      <c r="F98" s="473" t="s">
        <v>206</v>
      </c>
      <c r="G98" s="489">
        <v>4337</v>
      </c>
      <c r="H98" s="473" t="s">
        <v>183</v>
      </c>
      <c r="I98" s="473" t="s">
        <v>203</v>
      </c>
      <c r="J98" s="490">
        <v>13847.18</v>
      </c>
      <c r="K98" s="491"/>
      <c r="L98" s="490">
        <v>15.21</v>
      </c>
      <c r="M98" s="490">
        <v>15.21</v>
      </c>
      <c r="N98" s="492">
        <v>2769</v>
      </c>
      <c r="O98" s="493">
        <v>0.2</v>
      </c>
      <c r="P98" s="493"/>
      <c r="Q98" s="492">
        <v>0</v>
      </c>
      <c r="R98" s="473" t="s">
        <v>146</v>
      </c>
      <c r="S98" s="481" t="s">
        <v>74</v>
      </c>
      <c r="T98" s="481">
        <v>32</v>
      </c>
      <c r="U98" s="494" t="s">
        <v>164</v>
      </c>
      <c r="V98" s="495"/>
      <c r="X98" s="492">
        <v>0</v>
      </c>
      <c r="Y98" s="492"/>
      <c r="AJ98" s="485"/>
      <c r="AK98" s="473">
        <v>0</v>
      </c>
    </row>
    <row r="99" spans="1:77" s="473" customFormat="1" ht="11.25" customHeight="1">
      <c r="B99" s="473" t="s">
        <v>291</v>
      </c>
      <c r="C99" s="487"/>
      <c r="D99" s="487"/>
      <c r="E99" s="488" t="s">
        <v>205</v>
      </c>
      <c r="F99" s="473" t="s">
        <v>206</v>
      </c>
      <c r="G99" s="489">
        <v>4337</v>
      </c>
      <c r="H99" s="473" t="s">
        <v>163</v>
      </c>
      <c r="I99" s="473" t="s">
        <v>203</v>
      </c>
      <c r="J99" s="490">
        <v>1885.23</v>
      </c>
      <c r="K99" s="491"/>
      <c r="L99" s="490">
        <v>2.39</v>
      </c>
      <c r="M99" s="490">
        <v>2.39</v>
      </c>
      <c r="N99" s="492">
        <v>0</v>
      </c>
      <c r="O99" s="493">
        <v>0.2</v>
      </c>
      <c r="P99" s="493"/>
      <c r="Q99" s="492">
        <v>0</v>
      </c>
      <c r="R99" s="473" t="s">
        <v>146</v>
      </c>
      <c r="S99" s="481" t="s">
        <v>74</v>
      </c>
      <c r="T99" s="481">
        <v>32</v>
      </c>
      <c r="U99" s="494" t="s">
        <v>164</v>
      </c>
      <c r="V99" s="495"/>
      <c r="X99" s="492">
        <v>0</v>
      </c>
      <c r="Y99" s="492"/>
      <c r="AJ99" s="485"/>
      <c r="AK99" s="473">
        <v>0</v>
      </c>
    </row>
    <row r="100" spans="1:77" s="261" customFormat="1" ht="11.25" customHeight="1">
      <c r="B100" s="261" t="s">
        <v>291</v>
      </c>
      <c r="C100" s="259"/>
      <c r="D100" s="259"/>
      <c r="E100" s="260" t="s">
        <v>205</v>
      </c>
      <c r="F100" s="261" t="s">
        <v>206</v>
      </c>
      <c r="G100" s="262">
        <v>4337</v>
      </c>
      <c r="H100" s="261" t="s">
        <v>99</v>
      </c>
      <c r="I100" s="261" t="s">
        <v>203</v>
      </c>
      <c r="J100" s="263">
        <v>20384.82</v>
      </c>
      <c r="K100" s="264"/>
      <c r="L100" s="263">
        <v>21.05</v>
      </c>
      <c r="M100" s="263">
        <v>21.05</v>
      </c>
      <c r="N100" s="265">
        <v>4076</v>
      </c>
      <c r="O100" s="266">
        <v>0.2</v>
      </c>
      <c r="P100" s="266"/>
      <c r="Q100" s="265">
        <v>0</v>
      </c>
      <c r="R100" s="261" t="s">
        <v>146</v>
      </c>
      <c r="S100" s="267" t="s">
        <v>74</v>
      </c>
      <c r="T100" s="267">
        <v>32</v>
      </c>
      <c r="U100" s="268" t="s">
        <v>164</v>
      </c>
      <c r="V100" s="427"/>
      <c r="W100" s="261" t="s">
        <v>3485</v>
      </c>
      <c r="X100" s="265">
        <v>0</v>
      </c>
      <c r="Y100" s="265"/>
      <c r="AG100" s="261">
        <f>X100</f>
        <v>0</v>
      </c>
      <c r="AJ100" s="642"/>
    </row>
    <row r="101" spans="1:77" s="261" customFormat="1" ht="11.25" customHeight="1">
      <c r="B101" s="261" t="s">
        <v>291</v>
      </c>
      <c r="C101" s="259"/>
      <c r="D101" s="259"/>
      <c r="E101" s="260" t="s">
        <v>205</v>
      </c>
      <c r="F101" s="261" t="s">
        <v>206</v>
      </c>
      <c r="G101" s="262">
        <v>4337</v>
      </c>
      <c r="H101" s="261" t="s">
        <v>207</v>
      </c>
      <c r="I101" s="261" t="s">
        <v>203</v>
      </c>
      <c r="J101" s="263">
        <v>3244.61</v>
      </c>
      <c r="K101" s="264"/>
      <c r="L101" s="263">
        <v>5.16</v>
      </c>
      <c r="M101" s="263">
        <v>5.16</v>
      </c>
      <c r="N101" s="265">
        <v>397</v>
      </c>
      <c r="O101" s="266">
        <v>0.2</v>
      </c>
      <c r="P101" s="266"/>
      <c r="Q101" s="265">
        <v>0</v>
      </c>
      <c r="R101" s="261" t="s">
        <v>146</v>
      </c>
      <c r="S101" s="267" t="s">
        <v>74</v>
      </c>
      <c r="T101" s="267">
        <v>32</v>
      </c>
      <c r="U101" s="268" t="s">
        <v>164</v>
      </c>
      <c r="V101" s="427"/>
      <c r="W101" s="261" t="s">
        <v>3485</v>
      </c>
      <c r="X101" s="265">
        <v>0</v>
      </c>
      <c r="Y101" s="265"/>
      <c r="AG101" s="261">
        <f>X101</f>
        <v>0</v>
      </c>
      <c r="AJ101" s="642"/>
    </row>
    <row r="102" spans="1:77" s="205" customFormat="1" ht="11.25" customHeight="1">
      <c r="B102" s="205" t="s">
        <v>291</v>
      </c>
      <c r="C102" s="207">
        <v>44570</v>
      </c>
      <c r="D102" s="207">
        <v>44573</v>
      </c>
      <c r="E102" s="208" t="s">
        <v>208</v>
      </c>
      <c r="F102" s="205" t="s">
        <v>209</v>
      </c>
      <c r="G102" s="209">
        <v>4621</v>
      </c>
      <c r="H102" s="205" t="s">
        <v>138</v>
      </c>
      <c r="I102" s="205" t="s">
        <v>28</v>
      </c>
      <c r="J102" s="210">
        <v>27573.48</v>
      </c>
      <c r="K102" s="219"/>
      <c r="L102" s="210">
        <v>19.8</v>
      </c>
      <c r="M102" s="210">
        <v>19.8</v>
      </c>
      <c r="N102" s="213">
        <v>5230</v>
      </c>
      <c r="O102" s="212">
        <v>0.25</v>
      </c>
      <c r="P102" s="212"/>
      <c r="Q102" s="213">
        <v>0</v>
      </c>
      <c r="R102" s="205" t="s">
        <v>73</v>
      </c>
      <c r="S102" s="214" t="s">
        <v>74</v>
      </c>
      <c r="T102" s="214">
        <v>31</v>
      </c>
      <c r="U102" s="215" t="s">
        <v>164</v>
      </c>
      <c r="V102" s="438"/>
      <c r="W102" s="205" t="s">
        <v>3250</v>
      </c>
      <c r="X102" s="213">
        <v>0</v>
      </c>
      <c r="Y102" s="213"/>
      <c r="AF102" s="230">
        <f>X102</f>
        <v>0</v>
      </c>
      <c r="AJ102" s="216"/>
    </row>
    <row r="103" spans="1:77" s="205" customFormat="1" ht="11.25" customHeight="1">
      <c r="B103" s="205" t="s">
        <v>291</v>
      </c>
      <c r="C103" s="207"/>
      <c r="D103" s="207"/>
      <c r="E103" s="208" t="s">
        <v>208</v>
      </c>
      <c r="F103" s="205" t="s">
        <v>209</v>
      </c>
      <c r="G103" s="209">
        <v>4621</v>
      </c>
      <c r="H103" s="205" t="s">
        <v>99</v>
      </c>
      <c r="I103" s="205" t="s">
        <v>28</v>
      </c>
      <c r="J103" s="210">
        <v>27852</v>
      </c>
      <c r="K103" s="219"/>
      <c r="L103" s="210">
        <v>22</v>
      </c>
      <c r="M103" s="210">
        <v>22</v>
      </c>
      <c r="N103" s="213">
        <v>9313</v>
      </c>
      <c r="O103" s="212">
        <v>0.25</v>
      </c>
      <c r="P103" s="212"/>
      <c r="Q103" s="213">
        <v>0</v>
      </c>
      <c r="R103" s="205" t="s">
        <v>73</v>
      </c>
      <c r="S103" s="214" t="s">
        <v>74</v>
      </c>
      <c r="T103" s="214">
        <v>31</v>
      </c>
      <c r="U103" s="215" t="s">
        <v>164</v>
      </c>
      <c r="V103" s="438"/>
      <c r="W103" s="205" t="s">
        <v>3250</v>
      </c>
      <c r="X103" s="213">
        <v>0</v>
      </c>
      <c r="Y103" s="213"/>
      <c r="AF103" s="230">
        <f>X103</f>
        <v>0</v>
      </c>
      <c r="AJ103" s="216"/>
    </row>
    <row r="104" spans="1:77" s="205" customFormat="1" ht="11.25" customHeight="1">
      <c r="A104" s="473"/>
      <c r="B104" s="473" t="s">
        <v>291</v>
      </c>
      <c r="C104" s="487"/>
      <c r="D104" s="487"/>
      <c r="E104" s="488" t="s">
        <v>210</v>
      </c>
      <c r="F104" s="473" t="s">
        <v>211</v>
      </c>
      <c r="G104" s="489">
        <v>4254</v>
      </c>
      <c r="H104" s="473" t="s">
        <v>140</v>
      </c>
      <c r="I104" s="473" t="s">
        <v>28</v>
      </c>
      <c r="J104" s="490">
        <v>25410.55</v>
      </c>
      <c r="K104" s="491"/>
      <c r="L104" s="490">
        <v>19.66</v>
      </c>
      <c r="M104" s="490">
        <v>19.66</v>
      </c>
      <c r="N104" s="492">
        <v>0</v>
      </c>
      <c r="O104" s="493">
        <v>0.25</v>
      </c>
      <c r="P104" s="493"/>
      <c r="Q104" s="492">
        <v>0</v>
      </c>
      <c r="R104" s="473" t="s">
        <v>73</v>
      </c>
      <c r="S104" s="481" t="s">
        <v>74</v>
      </c>
      <c r="T104" s="481">
        <v>31</v>
      </c>
      <c r="U104" s="494" t="s">
        <v>164</v>
      </c>
      <c r="V104" s="495"/>
      <c r="W104" s="473"/>
      <c r="X104" s="492">
        <v>0</v>
      </c>
      <c r="Y104" s="492"/>
      <c r="Z104" s="473"/>
      <c r="AA104" s="473"/>
      <c r="AB104" s="473"/>
      <c r="AC104" s="473"/>
      <c r="AD104" s="473"/>
      <c r="AE104" s="473"/>
      <c r="AF104" s="473"/>
      <c r="AG104" s="473"/>
      <c r="AH104" s="473"/>
      <c r="AI104" s="473"/>
      <c r="AJ104" s="485"/>
      <c r="AK104" s="473">
        <v>0</v>
      </c>
      <c r="AL104" s="473"/>
      <c r="AM104" s="473"/>
      <c r="AN104" s="473"/>
      <c r="AO104" s="473"/>
      <c r="AP104" s="473"/>
      <c r="AQ104" s="473"/>
      <c r="AR104" s="473"/>
      <c r="AS104" s="473"/>
      <c r="AT104" s="473"/>
      <c r="AU104" s="473"/>
      <c r="AV104" s="473"/>
      <c r="AW104" s="473"/>
      <c r="AX104" s="473"/>
      <c r="AY104" s="473"/>
      <c r="AZ104" s="473"/>
      <c r="BA104" s="473"/>
      <c r="BB104" s="473"/>
      <c r="BC104" s="473"/>
      <c r="BD104" s="473"/>
      <c r="BE104" s="473"/>
      <c r="BF104" s="473"/>
      <c r="BG104" s="473"/>
      <c r="BH104" s="473"/>
      <c r="BI104" s="473"/>
      <c r="BJ104" s="473"/>
      <c r="BK104" s="473"/>
      <c r="BL104" s="473"/>
      <c r="BM104" s="473"/>
      <c r="BN104" s="473"/>
      <c r="BO104" s="473"/>
      <c r="BP104" s="473"/>
      <c r="BQ104" s="473"/>
      <c r="BR104" s="473"/>
      <c r="BS104" s="473"/>
      <c r="BT104" s="473"/>
      <c r="BU104" s="473"/>
      <c r="BV104" s="473"/>
      <c r="BW104" s="473"/>
      <c r="BX104" s="473"/>
      <c r="BY104" s="473"/>
    </row>
    <row r="105" spans="1:77" s="205" customFormat="1" ht="11.25" customHeight="1">
      <c r="B105" s="205" t="s">
        <v>291</v>
      </c>
      <c r="C105" s="207">
        <v>44570</v>
      </c>
      <c r="D105" s="207">
        <v>44573</v>
      </c>
      <c r="E105" s="208" t="s">
        <v>210</v>
      </c>
      <c r="F105" s="205" t="s">
        <v>211</v>
      </c>
      <c r="G105" s="209">
        <v>4254</v>
      </c>
      <c r="H105" s="205" t="s">
        <v>138</v>
      </c>
      <c r="I105" s="205" t="s">
        <v>28</v>
      </c>
      <c r="J105" s="210">
        <v>24691.98</v>
      </c>
      <c r="K105" s="219"/>
      <c r="L105" s="210">
        <v>20.86</v>
      </c>
      <c r="M105" s="210">
        <v>20.86</v>
      </c>
      <c r="N105" s="213">
        <v>0</v>
      </c>
      <c r="O105" s="212">
        <v>0.25</v>
      </c>
      <c r="P105" s="212"/>
      <c r="Q105" s="213">
        <v>0</v>
      </c>
      <c r="R105" s="205" t="s">
        <v>73</v>
      </c>
      <c r="S105" s="214" t="s">
        <v>74</v>
      </c>
      <c r="T105" s="214">
        <v>31</v>
      </c>
      <c r="U105" s="215" t="s">
        <v>164</v>
      </c>
      <c r="V105" s="438"/>
      <c r="W105" s="205" t="s">
        <v>3119</v>
      </c>
      <c r="X105" s="213">
        <v>0</v>
      </c>
      <c r="Y105" s="213"/>
      <c r="AF105" s="230">
        <f>X105</f>
        <v>0</v>
      </c>
      <c r="AJ105" s="216"/>
    </row>
    <row r="106" spans="1:77" s="205" customFormat="1" ht="11.25" customHeight="1">
      <c r="B106" s="205" t="s">
        <v>291</v>
      </c>
      <c r="C106" s="207"/>
      <c r="D106" s="207"/>
      <c r="E106" s="208" t="s">
        <v>210</v>
      </c>
      <c r="F106" s="205" t="s">
        <v>211</v>
      </c>
      <c r="G106" s="209">
        <v>4254</v>
      </c>
      <c r="H106" s="205" t="s">
        <v>99</v>
      </c>
      <c r="I106" s="205" t="s">
        <v>28</v>
      </c>
      <c r="J106" s="210">
        <v>16271.51</v>
      </c>
      <c r="K106" s="219"/>
      <c r="L106" s="210">
        <v>14.51</v>
      </c>
      <c r="M106" s="210">
        <v>14.51</v>
      </c>
      <c r="N106" s="213">
        <v>9461</v>
      </c>
      <c r="O106" s="212">
        <v>0.25</v>
      </c>
      <c r="P106" s="212"/>
      <c r="Q106" s="213">
        <v>0</v>
      </c>
      <c r="R106" s="205" t="s">
        <v>73</v>
      </c>
      <c r="S106" s="214" t="s">
        <v>74</v>
      </c>
      <c r="T106" s="214">
        <v>31</v>
      </c>
      <c r="U106" s="215" t="s">
        <v>164</v>
      </c>
      <c r="V106" s="438"/>
      <c r="W106" s="205" t="s">
        <v>3119</v>
      </c>
      <c r="X106" s="213">
        <v>0</v>
      </c>
      <c r="Y106" s="213"/>
      <c r="AF106" s="230">
        <f>X106</f>
        <v>0</v>
      </c>
      <c r="AJ106" s="216"/>
    </row>
    <row r="107" spans="1:77" s="261" customFormat="1" ht="11.25" customHeight="1">
      <c r="B107" s="261" t="s">
        <v>291</v>
      </c>
      <c r="C107" s="259">
        <v>44571</v>
      </c>
      <c r="D107" s="259">
        <v>44573</v>
      </c>
      <c r="E107" s="260" t="s">
        <v>212</v>
      </c>
      <c r="F107" s="261" t="s">
        <v>213</v>
      </c>
      <c r="G107" s="262">
        <v>4130</v>
      </c>
      <c r="H107" s="261" t="s">
        <v>183</v>
      </c>
      <c r="I107" s="261" t="s">
        <v>28</v>
      </c>
      <c r="J107" s="263">
        <v>7305.75</v>
      </c>
      <c r="K107" s="264"/>
      <c r="L107" s="263">
        <v>8.5</v>
      </c>
      <c r="M107" s="263">
        <v>11.8</v>
      </c>
      <c r="N107" s="265">
        <f>966+773</f>
        <v>1739</v>
      </c>
      <c r="O107" s="266">
        <v>0.2</v>
      </c>
      <c r="P107" s="266"/>
      <c r="Q107" s="265">
        <v>0</v>
      </c>
      <c r="R107" s="261" t="s">
        <v>146</v>
      </c>
      <c r="S107" s="267" t="s">
        <v>74</v>
      </c>
      <c r="T107" s="267">
        <v>31</v>
      </c>
      <c r="U107" s="268" t="s">
        <v>164</v>
      </c>
      <c r="V107" s="427"/>
      <c r="X107" s="265">
        <v>0</v>
      </c>
      <c r="Y107" s="265"/>
      <c r="AG107" s="261">
        <f>X107</f>
        <v>0</v>
      </c>
      <c r="AJ107" s="642"/>
    </row>
    <row r="108" spans="1:77" s="379" customFormat="1" ht="11.25" customHeight="1">
      <c r="B108" s="379" t="s">
        <v>291</v>
      </c>
      <c r="C108" s="381">
        <v>44570</v>
      </c>
      <c r="D108" s="381">
        <v>44573</v>
      </c>
      <c r="E108" s="382" t="s">
        <v>214</v>
      </c>
      <c r="F108" s="379" t="s">
        <v>215</v>
      </c>
      <c r="G108" s="383" t="s">
        <v>216</v>
      </c>
      <c r="H108" s="379" t="s">
        <v>192</v>
      </c>
      <c r="I108" s="379" t="s">
        <v>28</v>
      </c>
      <c r="J108" s="385">
        <v>52250</v>
      </c>
      <c r="K108" s="384"/>
      <c r="L108" s="385">
        <v>55</v>
      </c>
      <c r="M108" s="385">
        <v>55</v>
      </c>
      <c r="N108" s="386">
        <f>3087+2612+3681</f>
        <v>9380</v>
      </c>
      <c r="O108" s="387">
        <v>0.2</v>
      </c>
      <c r="P108" s="387"/>
      <c r="Q108" s="386">
        <v>285</v>
      </c>
      <c r="R108" s="379" t="s">
        <v>146</v>
      </c>
      <c r="S108" s="388" t="s">
        <v>74</v>
      </c>
      <c r="T108" s="388">
        <v>32</v>
      </c>
      <c r="U108" s="389" t="s">
        <v>164</v>
      </c>
      <c r="V108" s="433">
        <v>285</v>
      </c>
      <c r="X108" s="386">
        <v>285</v>
      </c>
      <c r="Y108" s="386"/>
      <c r="AJ108" s="390">
        <v>285</v>
      </c>
    </row>
    <row r="109" spans="1:77" s="205" customFormat="1" ht="11.25" customHeight="1">
      <c r="B109" s="205" t="s">
        <v>291</v>
      </c>
      <c r="C109" s="207">
        <v>44570</v>
      </c>
      <c r="D109" s="207">
        <v>44573</v>
      </c>
      <c r="E109" s="208" t="s">
        <v>217</v>
      </c>
      <c r="F109" s="205" t="s">
        <v>200</v>
      </c>
      <c r="G109" s="209">
        <v>4348</v>
      </c>
      <c r="H109" s="205" t="s">
        <v>138</v>
      </c>
      <c r="I109" s="205" t="s">
        <v>28</v>
      </c>
      <c r="J109" s="210">
        <v>31674.720000000001</v>
      </c>
      <c r="K109" s="219"/>
      <c r="L109" s="210">
        <v>25.71</v>
      </c>
      <c r="M109" s="210">
        <v>25.71</v>
      </c>
      <c r="N109" s="213">
        <v>3785</v>
      </c>
      <c r="O109" s="212">
        <v>0.25</v>
      </c>
      <c r="P109" s="212"/>
      <c r="Q109" s="213">
        <v>0</v>
      </c>
      <c r="R109" s="205" t="s">
        <v>146</v>
      </c>
      <c r="S109" s="214" t="s">
        <v>74</v>
      </c>
      <c r="T109" s="214">
        <v>31</v>
      </c>
      <c r="U109" s="215" t="s">
        <v>164</v>
      </c>
      <c r="V109" s="438"/>
      <c r="X109" s="213">
        <v>0</v>
      </c>
      <c r="Y109" s="213"/>
      <c r="AF109" s="230">
        <f t="shared" ref="AF109:AF114" si="1">X109</f>
        <v>0</v>
      </c>
      <c r="AJ109" s="216"/>
    </row>
    <row r="110" spans="1:77" s="205" customFormat="1" ht="11.25" customHeight="1">
      <c r="B110" s="205" t="s">
        <v>291</v>
      </c>
      <c r="C110" s="207">
        <v>44571</v>
      </c>
      <c r="D110" s="207">
        <v>44573</v>
      </c>
      <c r="E110" s="208" t="s">
        <v>218</v>
      </c>
      <c r="F110" s="205" t="s">
        <v>219</v>
      </c>
      <c r="G110" s="209">
        <v>4141</v>
      </c>
      <c r="H110" s="205" t="s">
        <v>183</v>
      </c>
      <c r="I110" s="205" t="s">
        <v>28</v>
      </c>
      <c r="J110" s="210">
        <v>23740.5</v>
      </c>
      <c r="K110" s="219"/>
      <c r="L110" s="210">
        <v>22.61</v>
      </c>
      <c r="M110" s="210">
        <v>22.61</v>
      </c>
      <c r="N110" s="213">
        <v>0</v>
      </c>
      <c r="O110" s="212">
        <v>0.2</v>
      </c>
      <c r="P110" s="212"/>
      <c r="Q110" s="213">
        <v>0</v>
      </c>
      <c r="R110" s="205" t="s">
        <v>73</v>
      </c>
      <c r="S110" s="214" t="s">
        <v>150</v>
      </c>
      <c r="T110" s="214">
        <v>32</v>
      </c>
      <c r="U110" s="215" t="s">
        <v>164</v>
      </c>
      <c r="V110" s="438"/>
      <c r="W110" s="205" t="s">
        <v>2987</v>
      </c>
      <c r="X110" s="213">
        <v>0</v>
      </c>
      <c r="Y110" s="213"/>
      <c r="AF110" s="230">
        <f t="shared" si="1"/>
        <v>0</v>
      </c>
      <c r="AJ110" s="216"/>
    </row>
    <row r="111" spans="1:77" s="205" customFormat="1" ht="11.25" customHeight="1">
      <c r="B111" s="205" t="s">
        <v>291</v>
      </c>
      <c r="C111" s="207"/>
      <c r="D111" s="207"/>
      <c r="E111" s="208" t="s">
        <v>218</v>
      </c>
      <c r="F111" s="205" t="s">
        <v>219</v>
      </c>
      <c r="G111" s="209">
        <v>4141</v>
      </c>
      <c r="H111" s="205" t="s">
        <v>162</v>
      </c>
      <c r="I111" s="205" t="s">
        <v>28</v>
      </c>
      <c r="J111" s="210">
        <v>5704.38</v>
      </c>
      <c r="K111" s="219"/>
      <c r="L111" s="210">
        <v>12.06</v>
      </c>
      <c r="M111" s="210">
        <v>12.06</v>
      </c>
      <c r="N111" s="213">
        <v>0</v>
      </c>
      <c r="O111" s="212">
        <v>0.2</v>
      </c>
      <c r="P111" s="212"/>
      <c r="Q111" s="213">
        <v>0</v>
      </c>
      <c r="R111" s="205" t="s">
        <v>73</v>
      </c>
      <c r="S111" s="214" t="s">
        <v>150</v>
      </c>
      <c r="T111" s="214">
        <v>31</v>
      </c>
      <c r="U111" s="215" t="s">
        <v>164</v>
      </c>
      <c r="V111" s="438"/>
      <c r="W111" s="205" t="s">
        <v>2987</v>
      </c>
      <c r="X111" s="213">
        <v>0</v>
      </c>
      <c r="Y111" s="213"/>
      <c r="AF111" s="230">
        <f t="shared" si="1"/>
        <v>0</v>
      </c>
      <c r="AJ111" s="216"/>
    </row>
    <row r="112" spans="1:77" s="205" customFormat="1" ht="11" customHeight="1">
      <c r="B112" s="205" t="s">
        <v>291</v>
      </c>
      <c r="C112" s="207"/>
      <c r="D112" s="207"/>
      <c r="E112" s="208" t="s">
        <v>218</v>
      </c>
      <c r="F112" s="205" t="s">
        <v>219</v>
      </c>
      <c r="G112" s="209">
        <v>4141</v>
      </c>
      <c r="H112" s="205" t="s">
        <v>99</v>
      </c>
      <c r="I112" s="205" t="s">
        <v>28</v>
      </c>
      <c r="J112" s="210">
        <v>49308.800000000003</v>
      </c>
      <c r="K112" s="219"/>
      <c r="L112" s="210">
        <v>42.46</v>
      </c>
      <c r="M112" s="210">
        <v>42.46</v>
      </c>
      <c r="N112" s="213">
        <v>0</v>
      </c>
      <c r="O112" s="212">
        <v>0.2</v>
      </c>
      <c r="P112" s="212"/>
      <c r="Q112" s="213">
        <v>0</v>
      </c>
      <c r="R112" s="205" t="s">
        <v>73</v>
      </c>
      <c r="S112" s="214" t="s">
        <v>150</v>
      </c>
      <c r="T112" s="214">
        <v>31</v>
      </c>
      <c r="U112" s="215" t="s">
        <v>164</v>
      </c>
      <c r="V112" s="438"/>
      <c r="W112" s="205" t="s">
        <v>2987</v>
      </c>
      <c r="X112" s="213">
        <v>0</v>
      </c>
      <c r="Y112" s="213"/>
      <c r="AF112" s="230">
        <f t="shared" si="1"/>
        <v>0</v>
      </c>
      <c r="AJ112" s="216"/>
    </row>
    <row r="113" spans="2:37" s="205" customFormat="1" ht="11.25" customHeight="1">
      <c r="B113" s="205" t="s">
        <v>291</v>
      </c>
      <c r="C113" s="207"/>
      <c r="D113" s="207"/>
      <c r="E113" s="208" t="s">
        <v>218</v>
      </c>
      <c r="F113" s="205" t="s">
        <v>219</v>
      </c>
      <c r="G113" s="209">
        <v>4141</v>
      </c>
      <c r="H113" s="205" t="s">
        <v>27</v>
      </c>
      <c r="I113" s="205" t="s">
        <v>28</v>
      </c>
      <c r="J113" s="210">
        <v>12937.5</v>
      </c>
      <c r="K113" s="219"/>
      <c r="L113" s="210">
        <v>9.4600000000000009</v>
      </c>
      <c r="M113" s="210">
        <v>9.4600000000000009</v>
      </c>
      <c r="N113" s="213">
        <v>0</v>
      </c>
      <c r="O113" s="212">
        <v>0.2</v>
      </c>
      <c r="P113" s="212"/>
      <c r="Q113" s="213">
        <v>0</v>
      </c>
      <c r="R113" s="205" t="s">
        <v>73</v>
      </c>
      <c r="S113" s="214" t="s">
        <v>150</v>
      </c>
      <c r="T113" s="214">
        <v>31</v>
      </c>
      <c r="U113" s="215" t="s">
        <v>164</v>
      </c>
      <c r="V113" s="438"/>
      <c r="W113" s="205" t="s">
        <v>2987</v>
      </c>
      <c r="X113" s="213">
        <v>0</v>
      </c>
      <c r="Y113" s="213"/>
      <c r="AF113" s="230">
        <f t="shared" si="1"/>
        <v>0</v>
      </c>
      <c r="AJ113" s="216"/>
    </row>
    <row r="114" spans="2:37" s="205" customFormat="1" ht="11.25" customHeight="1">
      <c r="B114" s="205" t="s">
        <v>291</v>
      </c>
      <c r="C114" s="207"/>
      <c r="D114" s="207"/>
      <c r="E114" s="208" t="s">
        <v>218</v>
      </c>
      <c r="F114" s="205" t="s">
        <v>219</v>
      </c>
      <c r="G114" s="209">
        <v>4141</v>
      </c>
      <c r="H114" s="205" t="s">
        <v>183</v>
      </c>
      <c r="I114" s="205" t="s">
        <v>28</v>
      </c>
      <c r="J114" s="210">
        <v>14697.21</v>
      </c>
      <c r="K114" s="219"/>
      <c r="L114" s="210">
        <v>14.49</v>
      </c>
      <c r="M114" s="210">
        <v>14.49</v>
      </c>
      <c r="N114" s="213">
        <v>0</v>
      </c>
      <c r="O114" s="212">
        <v>0.2</v>
      </c>
      <c r="P114" s="212"/>
      <c r="Q114" s="213">
        <v>0</v>
      </c>
      <c r="R114" s="205" t="s">
        <v>73</v>
      </c>
      <c r="S114" s="214" t="s">
        <v>150</v>
      </c>
      <c r="T114" s="214">
        <v>31</v>
      </c>
      <c r="U114" s="215" t="s">
        <v>164</v>
      </c>
      <c r="V114" s="438"/>
      <c r="W114" s="205" t="s">
        <v>2987</v>
      </c>
      <c r="X114" s="213">
        <v>0</v>
      </c>
      <c r="Y114" s="213"/>
      <c r="AF114" s="230">
        <f t="shared" si="1"/>
        <v>0</v>
      </c>
      <c r="AJ114" s="216"/>
    </row>
    <row r="115" spans="2:37" s="379" customFormat="1" ht="11.25" customHeight="1">
      <c r="B115" s="379" t="s">
        <v>291</v>
      </c>
      <c r="C115" s="381">
        <v>44571</v>
      </c>
      <c r="D115" s="381">
        <v>44573</v>
      </c>
      <c r="E115" s="382" t="s">
        <v>220</v>
      </c>
      <c r="F115" s="379" t="s">
        <v>221</v>
      </c>
      <c r="G115" s="383">
        <v>4540</v>
      </c>
      <c r="H115" s="379" t="s">
        <v>99</v>
      </c>
      <c r="I115" s="379" t="s">
        <v>28</v>
      </c>
      <c r="J115" s="385">
        <v>35934.699999999997</v>
      </c>
      <c r="K115" s="384"/>
      <c r="L115" s="385">
        <v>34.78</v>
      </c>
      <c r="M115" s="385">
        <v>34.78</v>
      </c>
      <c r="N115" s="386">
        <v>2281</v>
      </c>
      <c r="O115" s="387">
        <v>0.2</v>
      </c>
      <c r="P115" s="387"/>
      <c r="Q115" s="386">
        <v>0</v>
      </c>
      <c r="R115" s="379" t="s">
        <v>146</v>
      </c>
      <c r="S115" s="388" t="s">
        <v>113</v>
      </c>
      <c r="T115" s="388">
        <v>31</v>
      </c>
      <c r="U115" s="389" t="s">
        <v>164</v>
      </c>
      <c r="V115" s="433"/>
      <c r="X115" s="386">
        <v>0</v>
      </c>
      <c r="Y115" s="386"/>
      <c r="AJ115" s="390">
        <v>0</v>
      </c>
    </row>
    <row r="116" spans="2:37" s="379" customFormat="1" ht="11.25" customHeight="1">
      <c r="B116" s="379" t="s">
        <v>291</v>
      </c>
      <c r="C116" s="381"/>
      <c r="D116" s="381"/>
      <c r="E116" s="382" t="s">
        <v>220</v>
      </c>
      <c r="F116" s="379" t="s">
        <v>221</v>
      </c>
      <c r="G116" s="383">
        <v>4540</v>
      </c>
      <c r="H116" s="379" t="s">
        <v>27</v>
      </c>
      <c r="I116" s="379" t="s">
        <v>28</v>
      </c>
      <c r="J116" s="385">
        <v>21601.58</v>
      </c>
      <c r="K116" s="384"/>
      <c r="L116" s="385">
        <v>18.260000000000002</v>
      </c>
      <c r="M116" s="385">
        <v>18.260000000000002</v>
      </c>
      <c r="N116" s="386">
        <v>1954</v>
      </c>
      <c r="O116" s="387">
        <v>0.2</v>
      </c>
      <c r="P116" s="387"/>
      <c r="Q116" s="386">
        <v>0</v>
      </c>
      <c r="R116" s="379" t="s">
        <v>146</v>
      </c>
      <c r="S116" s="388" t="s">
        <v>113</v>
      </c>
      <c r="T116" s="388">
        <v>31</v>
      </c>
      <c r="U116" s="389" t="s">
        <v>164</v>
      </c>
      <c r="V116" s="433"/>
      <c r="X116" s="386">
        <v>0</v>
      </c>
      <c r="Y116" s="386"/>
      <c r="AJ116" s="390">
        <v>0</v>
      </c>
    </row>
    <row r="117" spans="2:37" s="205" customFormat="1" ht="11.25" customHeight="1">
      <c r="B117" s="205" t="s">
        <v>291</v>
      </c>
      <c r="C117" s="207">
        <v>44571</v>
      </c>
      <c r="D117" s="207">
        <v>44574</v>
      </c>
      <c r="E117" s="208" t="s">
        <v>222</v>
      </c>
      <c r="F117" s="205" t="s">
        <v>223</v>
      </c>
      <c r="G117" s="209">
        <v>3628</v>
      </c>
      <c r="H117" s="205" t="s">
        <v>27</v>
      </c>
      <c r="I117" s="205" t="s">
        <v>28</v>
      </c>
      <c r="J117" s="210">
        <v>3593.05</v>
      </c>
      <c r="K117" s="219"/>
      <c r="L117" s="210">
        <v>3.09</v>
      </c>
      <c r="M117" s="210">
        <v>3.09</v>
      </c>
      <c r="N117" s="213"/>
      <c r="O117" s="212">
        <v>0.15</v>
      </c>
      <c r="P117" s="212"/>
      <c r="Q117" s="213">
        <v>0</v>
      </c>
      <c r="R117" s="205" t="s">
        <v>73</v>
      </c>
      <c r="S117" s="214" t="s">
        <v>113</v>
      </c>
      <c r="T117" s="214">
        <v>82</v>
      </c>
      <c r="U117" s="215" t="s">
        <v>164</v>
      </c>
      <c r="V117" s="438"/>
      <c r="W117" s="205" t="s">
        <v>3161</v>
      </c>
      <c r="X117" s="213">
        <v>0</v>
      </c>
      <c r="Y117" s="213"/>
      <c r="AF117" s="230">
        <f t="shared" ref="AF117:AF122" si="2">X117</f>
        <v>0</v>
      </c>
      <c r="AJ117" s="216"/>
    </row>
    <row r="118" spans="2:37" s="205" customFormat="1" ht="11.25" customHeight="1">
      <c r="B118" s="205" t="s">
        <v>291</v>
      </c>
      <c r="C118" s="207"/>
      <c r="D118" s="207"/>
      <c r="E118" s="208" t="s">
        <v>222</v>
      </c>
      <c r="F118" s="205" t="s">
        <v>223</v>
      </c>
      <c r="G118" s="209">
        <v>3628</v>
      </c>
      <c r="H118" s="205" t="s">
        <v>99</v>
      </c>
      <c r="I118" s="205" t="s">
        <v>28</v>
      </c>
      <c r="J118" s="210">
        <v>14414.11</v>
      </c>
      <c r="K118" s="219"/>
      <c r="L118" s="210">
        <v>14.94</v>
      </c>
      <c r="M118" s="210">
        <v>14.94</v>
      </c>
      <c r="N118" s="213">
        <v>0</v>
      </c>
      <c r="O118" s="212">
        <v>0.15</v>
      </c>
      <c r="P118" s="212"/>
      <c r="Q118" s="213">
        <v>0</v>
      </c>
      <c r="R118" s="205" t="s">
        <v>73</v>
      </c>
      <c r="S118" s="214" t="s">
        <v>113</v>
      </c>
      <c r="T118" s="214">
        <v>31</v>
      </c>
      <c r="U118" s="215" t="s">
        <v>164</v>
      </c>
      <c r="V118" s="438"/>
      <c r="W118" s="205" t="s">
        <v>3161</v>
      </c>
      <c r="X118" s="213">
        <v>0</v>
      </c>
      <c r="Y118" s="213"/>
      <c r="AF118" s="230">
        <f t="shared" si="2"/>
        <v>0</v>
      </c>
      <c r="AJ118" s="216"/>
    </row>
    <row r="119" spans="2:37" s="205" customFormat="1" ht="11.25" customHeight="1">
      <c r="B119" s="205" t="s">
        <v>291</v>
      </c>
      <c r="C119" s="207"/>
      <c r="D119" s="207"/>
      <c r="E119" s="208" t="s">
        <v>222</v>
      </c>
      <c r="F119" s="205" t="s">
        <v>223</v>
      </c>
      <c r="G119" s="209">
        <v>3628</v>
      </c>
      <c r="H119" s="205" t="s">
        <v>27</v>
      </c>
      <c r="I119" s="205" t="s">
        <v>28</v>
      </c>
      <c r="J119" s="210">
        <v>15186.78</v>
      </c>
      <c r="K119" s="219"/>
      <c r="L119" s="210">
        <v>14.18</v>
      </c>
      <c r="M119" s="210">
        <v>14.18</v>
      </c>
      <c r="N119" s="213"/>
      <c r="O119" s="212">
        <v>0.15</v>
      </c>
      <c r="P119" s="212"/>
      <c r="Q119" s="213">
        <v>0</v>
      </c>
      <c r="R119" s="205" t="s">
        <v>73</v>
      </c>
      <c r="S119" s="214" t="s">
        <v>113</v>
      </c>
      <c r="T119" s="214">
        <v>31</v>
      </c>
      <c r="U119" s="215" t="s">
        <v>164</v>
      </c>
      <c r="V119" s="438"/>
      <c r="W119" s="205" t="s">
        <v>3161</v>
      </c>
      <c r="X119" s="213">
        <v>0</v>
      </c>
      <c r="Y119" s="213"/>
      <c r="AF119" s="230">
        <f t="shared" si="2"/>
        <v>0</v>
      </c>
      <c r="AJ119" s="216"/>
    </row>
    <row r="120" spans="2:37" s="205" customFormat="1" ht="11.25" customHeight="1">
      <c r="B120" s="205" t="s">
        <v>291</v>
      </c>
      <c r="C120" s="207"/>
      <c r="D120" s="207"/>
      <c r="E120" s="208" t="s">
        <v>222</v>
      </c>
      <c r="F120" s="205" t="s">
        <v>223</v>
      </c>
      <c r="G120" s="209">
        <v>3628</v>
      </c>
      <c r="H120" s="205" t="s">
        <v>183</v>
      </c>
      <c r="I120" s="205" t="s">
        <v>28</v>
      </c>
      <c r="J120" s="210">
        <v>15290.35</v>
      </c>
      <c r="K120" s="219"/>
      <c r="L120" s="210">
        <v>21.67</v>
      </c>
      <c r="M120" s="210">
        <v>21.67</v>
      </c>
      <c r="N120" s="213"/>
      <c r="O120" s="212">
        <v>0.15</v>
      </c>
      <c r="P120" s="212"/>
      <c r="Q120" s="213">
        <v>2293.5500000000002</v>
      </c>
      <c r="R120" s="205" t="s">
        <v>73</v>
      </c>
      <c r="S120" s="214" t="s">
        <v>113</v>
      </c>
      <c r="T120" s="214">
        <v>31</v>
      </c>
      <c r="U120" s="215" t="s">
        <v>164</v>
      </c>
      <c r="V120" s="438">
        <v>2293.5500000000002</v>
      </c>
      <c r="X120" s="216">
        <v>2293.5500000000002</v>
      </c>
      <c r="Y120" s="213"/>
      <c r="AF120" s="230">
        <f t="shared" si="2"/>
        <v>2293.5500000000002</v>
      </c>
      <c r="AJ120" s="216"/>
    </row>
    <row r="121" spans="2:37" s="205" customFormat="1" ht="11.25" customHeight="1">
      <c r="B121" s="205" t="s">
        <v>291</v>
      </c>
      <c r="C121" s="207"/>
      <c r="D121" s="207"/>
      <c r="E121" s="208" t="s">
        <v>222</v>
      </c>
      <c r="F121" s="205" t="s">
        <v>223</v>
      </c>
      <c r="G121" s="209">
        <v>3628</v>
      </c>
      <c r="H121" s="205" t="s">
        <v>138</v>
      </c>
      <c r="I121" s="205" t="s">
        <v>28</v>
      </c>
      <c r="J121" s="210">
        <v>11486.87</v>
      </c>
      <c r="K121" s="219"/>
      <c r="L121" s="210">
        <v>12.14</v>
      </c>
      <c r="M121" s="210">
        <v>12.14</v>
      </c>
      <c r="N121" s="213">
        <v>0</v>
      </c>
      <c r="O121" s="212">
        <v>0.15</v>
      </c>
      <c r="P121" s="212"/>
      <c r="Q121" s="213">
        <v>0</v>
      </c>
      <c r="R121" s="205" t="s">
        <v>73</v>
      </c>
      <c r="S121" s="214" t="s">
        <v>113</v>
      </c>
      <c r="T121" s="214">
        <v>82</v>
      </c>
      <c r="U121" s="215" t="s">
        <v>164</v>
      </c>
      <c r="V121" s="438"/>
      <c r="W121" s="205" t="s">
        <v>3161</v>
      </c>
      <c r="X121" s="213">
        <v>0</v>
      </c>
      <c r="Y121" s="213"/>
      <c r="AF121" s="230">
        <f t="shared" si="2"/>
        <v>0</v>
      </c>
      <c r="AJ121" s="216"/>
    </row>
    <row r="122" spans="2:37" s="205" customFormat="1" ht="11.25" customHeight="1">
      <c r="B122" s="205" t="s">
        <v>291</v>
      </c>
      <c r="C122" s="207"/>
      <c r="D122" s="207"/>
      <c r="E122" s="208" t="s">
        <v>222</v>
      </c>
      <c r="F122" s="205" t="s">
        <v>223</v>
      </c>
      <c r="G122" s="209">
        <v>3628</v>
      </c>
      <c r="H122" s="205" t="s">
        <v>99</v>
      </c>
      <c r="I122" s="205" t="s">
        <v>28</v>
      </c>
      <c r="J122" s="210">
        <v>25711.919999999998</v>
      </c>
      <c r="K122" s="219"/>
      <c r="L122" s="210">
        <v>26.65</v>
      </c>
      <c r="M122" s="210">
        <v>26.65</v>
      </c>
      <c r="N122" s="213">
        <v>0</v>
      </c>
      <c r="O122" s="212">
        <v>0.15</v>
      </c>
      <c r="P122" s="212"/>
      <c r="Q122" s="213">
        <v>0</v>
      </c>
      <c r="R122" s="205" t="s">
        <v>73</v>
      </c>
      <c r="S122" s="214" t="s">
        <v>113</v>
      </c>
      <c r="T122" s="214">
        <v>82</v>
      </c>
      <c r="U122" s="215" t="s">
        <v>164</v>
      </c>
      <c r="V122" s="438"/>
      <c r="W122" s="205" t="s">
        <v>3161</v>
      </c>
      <c r="X122" s="213">
        <v>0</v>
      </c>
      <c r="Y122" s="213"/>
      <c r="AF122" s="230">
        <f t="shared" si="2"/>
        <v>0</v>
      </c>
      <c r="AJ122" s="216"/>
    </row>
    <row r="123" spans="2:37" s="153" customFormat="1" ht="11.25" customHeight="1">
      <c r="B123" s="153" t="s">
        <v>291</v>
      </c>
      <c r="C123" s="155">
        <v>44572</v>
      </c>
      <c r="D123" s="155">
        <v>44574</v>
      </c>
      <c r="E123" s="156" t="s">
        <v>224</v>
      </c>
      <c r="F123" s="153" t="s">
        <v>225</v>
      </c>
      <c r="G123" s="157">
        <v>4261</v>
      </c>
      <c r="H123" s="153" t="s">
        <v>99</v>
      </c>
      <c r="I123" s="153" t="s">
        <v>28</v>
      </c>
      <c r="J123" s="158">
        <v>20708.099999999999</v>
      </c>
      <c r="K123" s="163"/>
      <c r="L123" s="158">
        <v>18</v>
      </c>
      <c r="M123" s="158">
        <v>18</v>
      </c>
      <c r="N123" s="159">
        <v>1026.78</v>
      </c>
      <c r="O123" s="160">
        <v>0.2</v>
      </c>
      <c r="P123" s="160"/>
      <c r="Q123" s="159">
        <v>0</v>
      </c>
      <c r="R123" s="153" t="s">
        <v>142</v>
      </c>
      <c r="S123" s="161" t="s">
        <v>41</v>
      </c>
      <c r="T123" s="161">
        <v>24</v>
      </c>
      <c r="U123" s="162" t="s">
        <v>164</v>
      </c>
      <c r="V123" s="435"/>
      <c r="W123" s="153" t="s">
        <v>1245</v>
      </c>
      <c r="X123" s="159">
        <v>0</v>
      </c>
      <c r="Y123" s="159"/>
      <c r="AD123" s="176">
        <f>X123</f>
        <v>0</v>
      </c>
      <c r="AI123" s="164"/>
      <c r="AJ123" s="644"/>
    </row>
    <row r="124" spans="2:37" s="153" customFormat="1" ht="11.25" customHeight="1">
      <c r="B124" s="153" t="s">
        <v>291</v>
      </c>
      <c r="C124" s="155"/>
      <c r="D124" s="155"/>
      <c r="E124" s="156" t="s">
        <v>224</v>
      </c>
      <c r="F124" s="153" t="s">
        <v>225</v>
      </c>
      <c r="G124" s="157">
        <v>4261</v>
      </c>
      <c r="H124" s="153" t="s">
        <v>183</v>
      </c>
      <c r="I124" s="153" t="s">
        <v>28</v>
      </c>
      <c r="J124" s="158">
        <v>3727.44</v>
      </c>
      <c r="K124" s="163"/>
      <c r="L124" s="158">
        <v>4</v>
      </c>
      <c r="M124" s="158">
        <v>3.6</v>
      </c>
      <c r="N124" s="159">
        <v>674.67</v>
      </c>
      <c r="O124" s="160">
        <v>0.2</v>
      </c>
      <c r="P124" s="160"/>
      <c r="Q124" s="159">
        <v>0</v>
      </c>
      <c r="R124" s="153" t="s">
        <v>142</v>
      </c>
      <c r="S124" s="161" t="s">
        <v>41</v>
      </c>
      <c r="T124" s="161">
        <v>24</v>
      </c>
      <c r="U124" s="162" t="s">
        <v>164</v>
      </c>
      <c r="V124" s="435"/>
      <c r="W124" s="153" t="s">
        <v>1245</v>
      </c>
      <c r="X124" s="159">
        <v>0</v>
      </c>
      <c r="Y124" s="159"/>
      <c r="AD124" s="176">
        <f>X124</f>
        <v>0</v>
      </c>
      <c r="AI124" s="164"/>
      <c r="AJ124" s="644"/>
    </row>
    <row r="125" spans="2:37" s="153" customFormat="1" ht="11.25" customHeight="1">
      <c r="B125" s="153" t="s">
        <v>291</v>
      </c>
      <c r="C125" s="155"/>
      <c r="D125" s="155"/>
      <c r="E125" s="156" t="s">
        <v>224</v>
      </c>
      <c r="F125" s="153" t="s">
        <v>225</v>
      </c>
      <c r="G125" s="157">
        <v>4261</v>
      </c>
      <c r="H125" s="153" t="s">
        <v>27</v>
      </c>
      <c r="I125" s="153" t="s">
        <v>28</v>
      </c>
      <c r="J125" s="158">
        <v>10996.9</v>
      </c>
      <c r="K125" s="163"/>
      <c r="L125" s="158">
        <v>10</v>
      </c>
      <c r="M125" s="158">
        <v>10</v>
      </c>
      <c r="N125" s="159">
        <v>3748.84</v>
      </c>
      <c r="O125" s="160">
        <v>0.2</v>
      </c>
      <c r="P125" s="160"/>
      <c r="Q125" s="159">
        <v>0</v>
      </c>
      <c r="R125" s="153" t="s">
        <v>142</v>
      </c>
      <c r="S125" s="161" t="s">
        <v>41</v>
      </c>
      <c r="T125" s="161">
        <v>24</v>
      </c>
      <c r="U125" s="162" t="s">
        <v>164</v>
      </c>
      <c r="V125" s="435"/>
      <c r="W125" s="153" t="s">
        <v>1245</v>
      </c>
      <c r="X125" s="159">
        <v>0</v>
      </c>
      <c r="Y125" s="159"/>
      <c r="AD125" s="176">
        <f>X125</f>
        <v>0</v>
      </c>
      <c r="AI125" s="164"/>
      <c r="AJ125" s="644"/>
    </row>
    <row r="126" spans="2:37" s="337" customFormat="1" ht="11.25" customHeight="1">
      <c r="B126" s="337" t="s">
        <v>291</v>
      </c>
      <c r="C126" s="349">
        <v>44554</v>
      </c>
      <c r="D126" s="349">
        <v>44574</v>
      </c>
      <c r="E126" s="350" t="s">
        <v>226</v>
      </c>
      <c r="F126" s="337" t="s">
        <v>227</v>
      </c>
      <c r="G126" s="351">
        <v>4579</v>
      </c>
      <c r="H126" s="337" t="s">
        <v>99</v>
      </c>
      <c r="I126" s="337" t="s">
        <v>170</v>
      </c>
      <c r="J126" s="352">
        <v>64618.96</v>
      </c>
      <c r="K126" s="353"/>
      <c r="L126" s="352">
        <v>56</v>
      </c>
      <c r="M126" s="352">
        <v>5.5</v>
      </c>
      <c r="N126" s="354"/>
      <c r="O126" s="355">
        <v>0.25</v>
      </c>
      <c r="P126" s="355"/>
      <c r="Q126" s="354">
        <v>0</v>
      </c>
      <c r="R126" s="337" t="s">
        <v>229</v>
      </c>
      <c r="S126" s="356" t="s">
        <v>228</v>
      </c>
      <c r="T126" s="356">
        <v>41</v>
      </c>
      <c r="U126" s="357" t="s">
        <v>164</v>
      </c>
      <c r="V126" s="434"/>
      <c r="W126" s="337" t="s">
        <v>3937</v>
      </c>
      <c r="X126" s="354">
        <v>0</v>
      </c>
      <c r="Y126" s="354"/>
      <c r="AI126" s="337">
        <v>0</v>
      </c>
      <c r="AJ126" s="358"/>
      <c r="AK126" s="369"/>
    </row>
    <row r="127" spans="2:37" s="205" customFormat="1" ht="11.25" customHeight="1">
      <c r="B127" s="205" t="s">
        <v>291</v>
      </c>
      <c r="C127" s="207">
        <v>44571</v>
      </c>
      <c r="D127" s="207">
        <v>44575</v>
      </c>
      <c r="E127" s="208" t="s">
        <v>230</v>
      </c>
      <c r="F127" s="205" t="s">
        <v>72</v>
      </c>
      <c r="G127" s="209">
        <v>4179</v>
      </c>
      <c r="H127" s="205" t="s">
        <v>138</v>
      </c>
      <c r="I127" s="205" t="s">
        <v>28</v>
      </c>
      <c r="J127" s="210">
        <v>58437.66</v>
      </c>
      <c r="K127" s="219"/>
      <c r="L127" s="210">
        <v>53.81</v>
      </c>
      <c r="M127" s="210">
        <v>53.81</v>
      </c>
      <c r="N127" s="213">
        <v>0</v>
      </c>
      <c r="O127" s="212">
        <v>0.15</v>
      </c>
      <c r="P127" s="212"/>
      <c r="Q127" s="213">
        <v>0</v>
      </c>
      <c r="R127" s="205" t="s">
        <v>73</v>
      </c>
      <c r="S127" s="214" t="s">
        <v>74</v>
      </c>
      <c r="T127" s="214">
        <v>31</v>
      </c>
      <c r="U127" s="215" t="s">
        <v>164</v>
      </c>
      <c r="V127" s="438"/>
      <c r="W127" s="205" t="s">
        <v>3056</v>
      </c>
      <c r="X127" s="213">
        <v>0</v>
      </c>
      <c r="Y127" s="213"/>
      <c r="AF127" s="230">
        <f>X127</f>
        <v>0</v>
      </c>
      <c r="AJ127" s="216"/>
    </row>
    <row r="128" spans="2:37" s="205" customFormat="1" ht="11.25" customHeight="1">
      <c r="B128" s="205" t="s">
        <v>291</v>
      </c>
      <c r="C128" s="207"/>
      <c r="D128" s="207"/>
      <c r="E128" s="208" t="s">
        <v>230</v>
      </c>
      <c r="F128" s="205" t="s">
        <v>72</v>
      </c>
      <c r="G128" s="209">
        <v>4179</v>
      </c>
      <c r="H128" s="205" t="s">
        <v>27</v>
      </c>
      <c r="I128" s="205" t="s">
        <v>28</v>
      </c>
      <c r="J128" s="210">
        <v>29324.5</v>
      </c>
      <c r="K128" s="219"/>
      <c r="L128" s="210">
        <v>22.3</v>
      </c>
      <c r="M128" s="210">
        <v>22.3</v>
      </c>
      <c r="N128" s="213">
        <v>0</v>
      </c>
      <c r="O128" s="212">
        <v>0.15</v>
      </c>
      <c r="P128" s="212"/>
      <c r="Q128" s="213">
        <v>0</v>
      </c>
      <c r="R128" s="205" t="s">
        <v>73</v>
      </c>
      <c r="S128" s="214" t="s">
        <v>74</v>
      </c>
      <c r="T128" s="214">
        <v>31</v>
      </c>
      <c r="U128" s="215" t="s">
        <v>164</v>
      </c>
      <c r="V128" s="438"/>
      <c r="W128" s="205" t="s">
        <v>3056</v>
      </c>
      <c r="X128" s="213">
        <v>0</v>
      </c>
      <c r="Y128" s="213"/>
      <c r="AF128" s="230">
        <f>X128</f>
        <v>0</v>
      </c>
      <c r="AJ128" s="216"/>
    </row>
    <row r="129" spans="1:77" s="473" customFormat="1" ht="11.25" customHeight="1">
      <c r="B129" s="473" t="s">
        <v>291</v>
      </c>
      <c r="C129" s="487">
        <v>44571</v>
      </c>
      <c r="D129" s="487">
        <v>44575</v>
      </c>
      <c r="E129" s="488" t="s">
        <v>231</v>
      </c>
      <c r="F129" s="473" t="s">
        <v>232</v>
      </c>
      <c r="G129" s="489">
        <v>4225</v>
      </c>
      <c r="H129" s="473" t="s">
        <v>27</v>
      </c>
      <c r="I129" s="473" t="s">
        <v>167</v>
      </c>
      <c r="J129" s="490">
        <v>9523.2000000000007</v>
      </c>
      <c r="K129" s="491"/>
      <c r="L129" s="490">
        <v>8</v>
      </c>
      <c r="M129" s="490">
        <v>13</v>
      </c>
      <c r="N129" s="495">
        <v>803.52</v>
      </c>
      <c r="O129" s="493">
        <v>0.15</v>
      </c>
      <c r="P129" s="493"/>
      <c r="Q129" s="495">
        <v>0</v>
      </c>
      <c r="R129" s="473" t="s">
        <v>73</v>
      </c>
      <c r="S129" s="481" t="s">
        <v>74</v>
      </c>
      <c r="T129" s="481">
        <v>31</v>
      </c>
      <c r="U129" s="494" t="s">
        <v>164</v>
      </c>
      <c r="V129" s="495"/>
      <c r="X129" s="492">
        <v>0</v>
      </c>
      <c r="Y129" s="492"/>
      <c r="AI129" s="472"/>
      <c r="AJ129" s="485"/>
      <c r="AK129" s="473">
        <v>0</v>
      </c>
    </row>
    <row r="130" spans="1:77" s="473" customFormat="1" ht="11.25" customHeight="1">
      <c r="B130" s="473" t="s">
        <v>291</v>
      </c>
      <c r="C130" s="487"/>
      <c r="D130" s="487"/>
      <c r="E130" s="488" t="s">
        <v>231</v>
      </c>
      <c r="F130" s="473" t="s">
        <v>232</v>
      </c>
      <c r="G130" s="489">
        <v>4225</v>
      </c>
      <c r="H130" s="473" t="s">
        <v>99</v>
      </c>
      <c r="I130" s="473" t="s">
        <v>167</v>
      </c>
      <c r="J130" s="490">
        <v>29521.8</v>
      </c>
      <c r="K130" s="491"/>
      <c r="L130" s="490">
        <v>27</v>
      </c>
      <c r="M130" s="490">
        <v>27.5</v>
      </c>
      <c r="N130" s="492">
        <v>0</v>
      </c>
      <c r="O130" s="493">
        <v>0.15</v>
      </c>
      <c r="P130" s="493"/>
      <c r="Q130" s="492">
        <v>0</v>
      </c>
      <c r="R130" s="473" t="s">
        <v>73</v>
      </c>
      <c r="S130" s="481" t="s">
        <v>74</v>
      </c>
      <c r="T130" s="481">
        <v>31</v>
      </c>
      <c r="U130" s="494" t="s">
        <v>164</v>
      </c>
      <c r="V130" s="495"/>
      <c r="X130" s="492">
        <v>0</v>
      </c>
      <c r="Y130" s="492"/>
      <c r="AI130" s="472"/>
      <c r="AJ130" s="485"/>
      <c r="AK130" s="473">
        <v>0</v>
      </c>
    </row>
    <row r="131" spans="1:77" s="473" customFormat="1" ht="11.25" customHeight="1">
      <c r="B131" s="473" t="s">
        <v>291</v>
      </c>
      <c r="C131" s="487"/>
      <c r="D131" s="487"/>
      <c r="E131" s="488" t="s">
        <v>231</v>
      </c>
      <c r="F131" s="473" t="s">
        <v>232</v>
      </c>
      <c r="G131" s="489">
        <v>4225</v>
      </c>
      <c r="H131" s="473" t="s">
        <v>207</v>
      </c>
      <c r="I131" s="473" t="s">
        <v>167</v>
      </c>
      <c r="J131" s="490">
        <v>6240</v>
      </c>
      <c r="K131" s="491"/>
      <c r="L131" s="490">
        <v>13</v>
      </c>
      <c r="M131" s="490">
        <v>13</v>
      </c>
      <c r="N131" s="492">
        <v>0</v>
      </c>
      <c r="O131" s="493">
        <v>0.15</v>
      </c>
      <c r="P131" s="493"/>
      <c r="Q131" s="492">
        <v>0</v>
      </c>
      <c r="R131" s="473" t="s">
        <v>73</v>
      </c>
      <c r="S131" s="481" t="s">
        <v>74</v>
      </c>
      <c r="T131" s="481">
        <v>31</v>
      </c>
      <c r="U131" s="494" t="s">
        <v>164</v>
      </c>
      <c r="V131" s="495"/>
      <c r="X131" s="492">
        <v>0</v>
      </c>
      <c r="Y131" s="492"/>
      <c r="AI131" s="472"/>
      <c r="AJ131" s="485"/>
      <c r="AK131" s="473">
        <v>0</v>
      </c>
    </row>
    <row r="132" spans="1:77" s="291" customFormat="1" ht="11.25" customHeight="1">
      <c r="B132" s="291" t="s">
        <v>291</v>
      </c>
      <c r="C132" s="292"/>
      <c r="D132" s="292"/>
      <c r="E132" s="293" t="s">
        <v>233</v>
      </c>
      <c r="F132" s="291" t="s">
        <v>146</v>
      </c>
      <c r="G132" s="294">
        <v>3793</v>
      </c>
      <c r="H132" s="291" t="s">
        <v>99</v>
      </c>
      <c r="I132" s="291" t="s">
        <v>28</v>
      </c>
      <c r="J132" s="296">
        <v>32077.71</v>
      </c>
      <c r="K132" s="295"/>
      <c r="L132" s="296">
        <v>25.89</v>
      </c>
      <c r="M132" s="296">
        <v>4</v>
      </c>
      <c r="N132" s="297">
        <v>991.2</v>
      </c>
      <c r="O132" s="298">
        <v>0.2</v>
      </c>
      <c r="P132" s="298"/>
      <c r="Q132" s="297">
        <v>0</v>
      </c>
      <c r="R132" s="291" t="s">
        <v>146</v>
      </c>
      <c r="S132" s="299" t="s">
        <v>74</v>
      </c>
      <c r="T132" s="299">
        <v>32</v>
      </c>
      <c r="U132" s="300" t="s">
        <v>164</v>
      </c>
      <c r="V132" s="333"/>
      <c r="W132" s="291" t="s">
        <v>3898</v>
      </c>
      <c r="X132" s="297">
        <v>0</v>
      </c>
      <c r="Y132" s="297"/>
      <c r="AH132" s="291">
        <f>X132</f>
        <v>0</v>
      </c>
      <c r="AI132" s="311"/>
      <c r="AJ132" s="468"/>
    </row>
    <row r="133" spans="1:77" s="291" customFormat="1" ht="11.25" customHeight="1">
      <c r="A133" s="291" t="s">
        <v>3893</v>
      </c>
      <c r="B133" s="291" t="s">
        <v>291</v>
      </c>
      <c r="C133" s="292">
        <v>44571</v>
      </c>
      <c r="D133" s="292">
        <v>44575</v>
      </c>
      <c r="E133" s="293" t="s">
        <v>233</v>
      </c>
      <c r="F133" s="291" t="s">
        <v>146</v>
      </c>
      <c r="G133" s="294">
        <v>3793</v>
      </c>
      <c r="H133" s="291" t="s">
        <v>183</v>
      </c>
      <c r="I133" s="291" t="s">
        <v>28</v>
      </c>
      <c r="J133" s="296">
        <v>7751.24</v>
      </c>
      <c r="K133" s="295"/>
      <c r="L133" s="296">
        <v>6.58</v>
      </c>
      <c r="M133" s="296">
        <v>3.5</v>
      </c>
      <c r="N133" s="297">
        <v>777.36</v>
      </c>
      <c r="O133" s="298">
        <v>0.2</v>
      </c>
      <c r="P133" s="298"/>
      <c r="Q133" s="297">
        <v>0</v>
      </c>
      <c r="R133" s="291" t="s">
        <v>146</v>
      </c>
      <c r="S133" s="299" t="s">
        <v>74</v>
      </c>
      <c r="T133" s="299">
        <v>32</v>
      </c>
      <c r="U133" s="300" t="s">
        <v>164</v>
      </c>
      <c r="V133" s="333"/>
      <c r="W133" s="291" t="s">
        <v>3886</v>
      </c>
      <c r="X133" s="297">
        <v>0</v>
      </c>
      <c r="Y133" s="297"/>
      <c r="AH133" s="291">
        <f>X133</f>
        <v>0</v>
      </c>
      <c r="AI133" s="311"/>
      <c r="AJ133" s="468"/>
    </row>
    <row r="134" spans="1:77" s="473" customFormat="1" ht="11.25" customHeight="1">
      <c r="B134" s="473" t="s">
        <v>291</v>
      </c>
      <c r="C134" s="487">
        <v>44575</v>
      </c>
      <c r="D134" s="487">
        <v>44575</v>
      </c>
      <c r="E134" s="488" t="s">
        <v>234</v>
      </c>
      <c r="F134" s="473" t="s">
        <v>236</v>
      </c>
      <c r="G134" s="489" t="s">
        <v>235</v>
      </c>
      <c r="H134" s="473" t="s">
        <v>207</v>
      </c>
      <c r="I134" s="473" t="s">
        <v>28</v>
      </c>
      <c r="J134" s="490">
        <v>6685.2</v>
      </c>
      <c r="K134" s="491"/>
      <c r="L134" s="490">
        <v>12.38</v>
      </c>
      <c r="M134" s="490">
        <v>12.38</v>
      </c>
      <c r="N134" s="492">
        <f>435+81</f>
        <v>516</v>
      </c>
      <c r="O134" s="493">
        <v>0.2</v>
      </c>
      <c r="P134" s="493"/>
      <c r="Q134" s="492">
        <v>1645.92</v>
      </c>
      <c r="R134" s="473" t="s">
        <v>146</v>
      </c>
      <c r="S134" s="481" t="s">
        <v>74</v>
      </c>
      <c r="T134" s="481">
        <v>31</v>
      </c>
      <c r="U134" s="494" t="s">
        <v>164</v>
      </c>
      <c r="V134" s="495">
        <v>516.78</v>
      </c>
      <c r="X134" s="492">
        <v>1645.92</v>
      </c>
      <c r="Y134" s="492"/>
      <c r="AJ134" s="485"/>
      <c r="AK134" s="505">
        <v>1645.92</v>
      </c>
    </row>
    <row r="135" spans="1:77" s="379" customFormat="1" ht="11.25" customHeight="1">
      <c r="A135" s="473"/>
      <c r="B135" s="473" t="s">
        <v>291</v>
      </c>
      <c r="C135" s="487"/>
      <c r="D135" s="487"/>
      <c r="E135" s="488" t="s">
        <v>234</v>
      </c>
      <c r="F135" s="473" t="s">
        <v>236</v>
      </c>
      <c r="G135" s="489" t="s">
        <v>235</v>
      </c>
      <c r="H135" s="473" t="s">
        <v>138</v>
      </c>
      <c r="I135" s="473" t="s">
        <v>28</v>
      </c>
      <c r="J135" s="490">
        <v>10692</v>
      </c>
      <c r="K135" s="491"/>
      <c r="L135" s="490">
        <v>8.91</v>
      </c>
      <c r="M135" s="490">
        <v>8.5</v>
      </c>
      <c r="N135" s="492">
        <v>0</v>
      </c>
      <c r="O135" s="493">
        <v>0.2</v>
      </c>
      <c r="P135" s="493"/>
      <c r="Q135" s="492">
        <v>0</v>
      </c>
      <c r="R135" s="473" t="s">
        <v>146</v>
      </c>
      <c r="S135" s="481" t="s">
        <v>74</v>
      </c>
      <c r="T135" s="481">
        <v>31</v>
      </c>
      <c r="U135" s="494" t="s">
        <v>164</v>
      </c>
      <c r="V135" s="495"/>
      <c r="W135" s="473"/>
      <c r="X135" s="492">
        <v>0</v>
      </c>
      <c r="Y135" s="492"/>
      <c r="Z135" s="473"/>
      <c r="AA135" s="473"/>
      <c r="AB135" s="473"/>
      <c r="AC135" s="473"/>
      <c r="AD135" s="473"/>
      <c r="AE135" s="473"/>
      <c r="AF135" s="473"/>
      <c r="AG135" s="473"/>
      <c r="AH135" s="473"/>
      <c r="AI135" s="473"/>
      <c r="AJ135" s="485"/>
      <c r="AK135" s="473">
        <v>0</v>
      </c>
      <c r="AL135" s="473"/>
      <c r="AM135" s="473"/>
      <c r="AN135" s="473"/>
      <c r="AO135" s="473"/>
      <c r="AP135" s="473"/>
      <c r="AQ135" s="473"/>
      <c r="AR135" s="473"/>
      <c r="AS135" s="473"/>
      <c r="AT135" s="473"/>
      <c r="AU135" s="473"/>
      <c r="AV135" s="473"/>
      <c r="AW135" s="473"/>
      <c r="AX135" s="473"/>
      <c r="AY135" s="473"/>
      <c r="AZ135" s="473"/>
      <c r="BA135" s="473"/>
      <c r="BB135" s="473"/>
      <c r="BC135" s="473"/>
      <c r="BD135" s="473"/>
      <c r="BE135" s="473"/>
      <c r="BF135" s="473"/>
      <c r="BG135" s="473"/>
      <c r="BH135" s="473"/>
      <c r="BI135" s="473"/>
      <c r="BJ135" s="473"/>
      <c r="BK135" s="473"/>
      <c r="BL135" s="473"/>
      <c r="BM135" s="473"/>
      <c r="BN135" s="473"/>
      <c r="BO135" s="473"/>
      <c r="BP135" s="473"/>
      <c r="BQ135" s="473"/>
      <c r="BR135" s="473"/>
      <c r="BS135" s="473"/>
      <c r="BT135" s="473"/>
      <c r="BU135" s="473"/>
      <c r="BV135" s="473"/>
      <c r="BW135" s="473"/>
      <c r="BX135" s="473"/>
      <c r="BY135" s="473"/>
    </row>
    <row r="136" spans="1:77" s="473" customFormat="1" ht="11.25" customHeight="1">
      <c r="A136" s="379"/>
      <c r="B136" s="379" t="s">
        <v>291</v>
      </c>
      <c r="C136" s="381"/>
      <c r="D136" s="381"/>
      <c r="E136" s="382" t="s">
        <v>234</v>
      </c>
      <c r="F136" s="379" t="s">
        <v>236</v>
      </c>
      <c r="G136" s="383" t="s">
        <v>235</v>
      </c>
      <c r="H136" s="379" t="s">
        <v>99</v>
      </c>
      <c r="I136" s="379" t="s">
        <v>28</v>
      </c>
      <c r="J136" s="385">
        <v>12085.2</v>
      </c>
      <c r="K136" s="384"/>
      <c r="L136" s="385">
        <v>11.19</v>
      </c>
      <c r="M136" s="385">
        <v>11</v>
      </c>
      <c r="N136" s="386">
        <v>0</v>
      </c>
      <c r="O136" s="387">
        <v>0.2</v>
      </c>
      <c r="P136" s="387"/>
      <c r="Q136" s="386">
        <v>0</v>
      </c>
      <c r="R136" s="379" t="s">
        <v>146</v>
      </c>
      <c r="S136" s="388" t="s">
        <v>74</v>
      </c>
      <c r="T136" s="388">
        <v>31</v>
      </c>
      <c r="U136" s="389" t="s">
        <v>164</v>
      </c>
      <c r="V136" s="433"/>
      <c r="W136" s="379"/>
      <c r="X136" s="386">
        <v>0</v>
      </c>
      <c r="Y136" s="386"/>
      <c r="Z136" s="379"/>
      <c r="AA136" s="379"/>
      <c r="AB136" s="379"/>
      <c r="AC136" s="379"/>
      <c r="AD136" s="379"/>
      <c r="AE136" s="379"/>
      <c r="AF136" s="379"/>
      <c r="AG136" s="379"/>
      <c r="AH136" s="379"/>
      <c r="AI136" s="379"/>
      <c r="AJ136" s="390">
        <v>0</v>
      </c>
      <c r="AK136" s="379"/>
      <c r="AL136" s="379"/>
      <c r="AM136" s="379"/>
      <c r="AN136" s="379"/>
      <c r="AO136" s="379"/>
      <c r="AP136" s="379"/>
      <c r="AQ136" s="379"/>
      <c r="AR136" s="379"/>
      <c r="AS136" s="379"/>
      <c r="AT136" s="379"/>
      <c r="AU136" s="379"/>
      <c r="AV136" s="379"/>
      <c r="AW136" s="379"/>
      <c r="AX136" s="379"/>
      <c r="AY136" s="379"/>
      <c r="AZ136" s="379"/>
      <c r="BA136" s="379"/>
      <c r="BB136" s="379"/>
      <c r="BC136" s="379"/>
      <c r="BD136" s="379"/>
      <c r="BE136" s="379"/>
      <c r="BF136" s="379"/>
      <c r="BG136" s="379"/>
      <c r="BH136" s="379"/>
      <c r="BI136" s="379"/>
      <c r="BJ136" s="379"/>
      <c r="BK136" s="379"/>
      <c r="BL136" s="379"/>
      <c r="BM136" s="379"/>
      <c r="BN136" s="379"/>
      <c r="BO136" s="379"/>
      <c r="BP136" s="379"/>
      <c r="BQ136" s="379"/>
      <c r="BR136" s="379"/>
      <c r="BS136" s="379"/>
      <c r="BT136" s="379"/>
      <c r="BU136" s="379"/>
      <c r="BV136" s="379"/>
      <c r="BW136" s="379"/>
      <c r="BX136" s="379"/>
      <c r="BY136" s="379"/>
    </row>
    <row r="137" spans="1:77" s="379" customFormat="1" ht="11.25" customHeight="1">
      <c r="B137" s="379" t="s">
        <v>291</v>
      </c>
      <c r="C137" s="381"/>
      <c r="D137" s="381"/>
      <c r="E137" s="382" t="s">
        <v>234</v>
      </c>
      <c r="F137" s="379" t="s">
        <v>236</v>
      </c>
      <c r="G137" s="383" t="s">
        <v>235</v>
      </c>
      <c r="H137" s="379" t="s">
        <v>183</v>
      </c>
      <c r="I137" s="379" t="s">
        <v>28</v>
      </c>
      <c r="J137" s="385">
        <v>5112</v>
      </c>
      <c r="K137" s="384"/>
      <c r="L137" s="385">
        <v>5.68</v>
      </c>
      <c r="M137" s="385">
        <v>5.5</v>
      </c>
      <c r="N137" s="386">
        <v>0</v>
      </c>
      <c r="O137" s="387">
        <v>0.2</v>
      </c>
      <c r="P137" s="387"/>
      <c r="Q137" s="386">
        <v>0</v>
      </c>
      <c r="R137" s="379" t="s">
        <v>146</v>
      </c>
      <c r="S137" s="388" t="s">
        <v>74</v>
      </c>
      <c r="T137" s="388">
        <v>31</v>
      </c>
      <c r="U137" s="389" t="s">
        <v>164</v>
      </c>
      <c r="V137" s="433"/>
      <c r="X137" s="386">
        <v>0</v>
      </c>
      <c r="Y137" s="386"/>
      <c r="AI137" s="394"/>
      <c r="AJ137" s="390">
        <v>0</v>
      </c>
    </row>
    <row r="138" spans="1:77" s="205" customFormat="1" ht="11.25" customHeight="1">
      <c r="B138" s="205" t="s">
        <v>291</v>
      </c>
      <c r="C138" s="207">
        <v>44571</v>
      </c>
      <c r="D138" s="207">
        <v>44576</v>
      </c>
      <c r="E138" s="208" t="s">
        <v>237</v>
      </c>
      <c r="F138" s="205" t="s">
        <v>238</v>
      </c>
      <c r="G138" s="209">
        <v>4539</v>
      </c>
      <c r="H138" s="205" t="s">
        <v>99</v>
      </c>
      <c r="I138" s="205" t="s">
        <v>28</v>
      </c>
      <c r="J138" s="210">
        <v>4233.5200000000004</v>
      </c>
      <c r="K138" s="219"/>
      <c r="L138" s="210">
        <v>3.62</v>
      </c>
      <c r="M138" s="210">
        <v>3.62</v>
      </c>
      <c r="N138" s="213"/>
      <c r="O138" s="212">
        <v>0.15</v>
      </c>
      <c r="P138" s="212"/>
      <c r="Q138" s="213">
        <v>0</v>
      </c>
      <c r="R138" s="205" t="s">
        <v>73</v>
      </c>
      <c r="S138" s="214" t="s">
        <v>113</v>
      </c>
      <c r="T138" s="214">
        <v>31</v>
      </c>
      <c r="U138" s="215" t="s">
        <v>164</v>
      </c>
      <c r="V138" s="438"/>
      <c r="W138" s="205" t="s">
        <v>3182</v>
      </c>
      <c r="X138" s="213">
        <v>0</v>
      </c>
      <c r="Y138" s="213"/>
      <c r="AF138" s="230">
        <f>X138</f>
        <v>0</v>
      </c>
      <c r="AI138" s="218"/>
      <c r="AJ138" s="216"/>
    </row>
    <row r="139" spans="1:77" s="205" customFormat="1" ht="11.25" customHeight="1">
      <c r="B139" s="205" t="s">
        <v>291</v>
      </c>
      <c r="C139" s="207">
        <v>44576</v>
      </c>
      <c r="D139" s="207">
        <v>44576</v>
      </c>
      <c r="E139" s="208" t="s">
        <v>240</v>
      </c>
      <c r="F139" s="205" t="s">
        <v>239</v>
      </c>
      <c r="G139" s="209">
        <v>4175</v>
      </c>
      <c r="H139" s="205" t="s">
        <v>138</v>
      </c>
      <c r="I139" s="205" t="s">
        <v>28</v>
      </c>
      <c r="J139" s="210">
        <v>53600</v>
      </c>
      <c r="K139" s="219"/>
      <c r="L139" s="210">
        <v>33.5</v>
      </c>
      <c r="M139" s="210">
        <v>33.5</v>
      </c>
      <c r="N139" s="213">
        <v>11364</v>
      </c>
      <c r="O139" s="212">
        <v>0.2</v>
      </c>
      <c r="P139" s="212"/>
      <c r="Q139" s="230">
        <v>0</v>
      </c>
      <c r="R139" s="205" t="s">
        <v>146</v>
      </c>
      <c r="S139" s="214" t="s">
        <v>74</v>
      </c>
      <c r="T139" s="214">
        <v>31</v>
      </c>
      <c r="U139" s="215" t="s">
        <v>164</v>
      </c>
      <c r="V139" s="438"/>
      <c r="W139" s="205" t="s">
        <v>3120</v>
      </c>
      <c r="X139" s="213">
        <v>0</v>
      </c>
      <c r="Y139" s="213"/>
      <c r="AF139" s="230">
        <f>X139</f>
        <v>0</v>
      </c>
      <c r="AI139" s="218"/>
      <c r="AJ139" s="216"/>
    </row>
    <row r="140" spans="1:77" s="205" customFormat="1" ht="11.25" customHeight="1">
      <c r="B140" s="205" t="s">
        <v>291</v>
      </c>
      <c r="C140" s="207"/>
      <c r="D140" s="207"/>
      <c r="E140" s="208" t="s">
        <v>240</v>
      </c>
      <c r="F140" s="205" t="s">
        <v>239</v>
      </c>
      <c r="G140" s="209">
        <v>4175</v>
      </c>
      <c r="H140" s="205" t="s">
        <v>99</v>
      </c>
      <c r="I140" s="205" t="s">
        <v>28</v>
      </c>
      <c r="J140" s="210">
        <v>45265</v>
      </c>
      <c r="K140" s="219"/>
      <c r="L140" s="210">
        <v>27.5</v>
      </c>
      <c r="M140" s="210">
        <v>27.5</v>
      </c>
      <c r="N140" s="213">
        <v>0</v>
      </c>
      <c r="O140" s="212">
        <v>0.2</v>
      </c>
      <c r="P140" s="212"/>
      <c r="Q140" s="213">
        <v>0</v>
      </c>
      <c r="R140" s="205" t="s">
        <v>146</v>
      </c>
      <c r="S140" s="214" t="s">
        <v>74</v>
      </c>
      <c r="T140" s="214">
        <v>31</v>
      </c>
      <c r="U140" s="215" t="s">
        <v>164</v>
      </c>
      <c r="V140" s="438"/>
      <c r="W140" s="205" t="s">
        <v>3120</v>
      </c>
      <c r="X140" s="213">
        <v>0</v>
      </c>
      <c r="Y140" s="213"/>
      <c r="AF140" s="230">
        <f>X140</f>
        <v>0</v>
      </c>
      <c r="AI140" s="218"/>
      <c r="AJ140" s="216"/>
    </row>
    <row r="141" spans="1:77" s="473" customFormat="1" ht="11.25" customHeight="1">
      <c r="B141" s="473" t="s">
        <v>291</v>
      </c>
      <c r="C141" s="487">
        <v>44574</v>
      </c>
      <c r="D141" s="487">
        <v>44578</v>
      </c>
      <c r="E141" s="488" t="s">
        <v>241</v>
      </c>
      <c r="F141" s="473" t="s">
        <v>242</v>
      </c>
      <c r="G141" s="489" t="s">
        <v>243</v>
      </c>
      <c r="H141" s="473" t="s">
        <v>140</v>
      </c>
      <c r="I141" s="473" t="s">
        <v>28</v>
      </c>
      <c r="J141" s="490">
        <v>19882.8</v>
      </c>
      <c r="K141" s="491"/>
      <c r="L141" s="490">
        <v>15</v>
      </c>
      <c r="M141" s="490">
        <v>15</v>
      </c>
      <c r="N141" s="492">
        <f>0.2*J141</f>
        <v>3976.56</v>
      </c>
      <c r="O141" s="493">
        <v>0.2</v>
      </c>
      <c r="P141" s="493"/>
      <c r="Q141" s="492">
        <v>294.83999999999997</v>
      </c>
      <c r="R141" s="473" t="s">
        <v>73</v>
      </c>
      <c r="S141" s="481" t="s">
        <v>113</v>
      </c>
      <c r="T141" s="481">
        <v>82</v>
      </c>
      <c r="U141" s="494" t="s">
        <v>164</v>
      </c>
      <c r="V141" s="495"/>
      <c r="X141" s="492">
        <v>294.83999999999997</v>
      </c>
      <c r="Y141" s="492"/>
      <c r="AI141" s="472"/>
      <c r="AJ141" s="485"/>
      <c r="AK141" s="505">
        <v>294.83999999999997</v>
      </c>
    </row>
    <row r="142" spans="1:77" s="473" customFormat="1" ht="11.25" customHeight="1">
      <c r="B142" s="473" t="s">
        <v>291</v>
      </c>
      <c r="C142" s="487"/>
      <c r="D142" s="487"/>
      <c r="E142" s="488" t="s">
        <v>241</v>
      </c>
      <c r="F142" s="473" t="s">
        <v>242</v>
      </c>
      <c r="G142" s="489" t="s">
        <v>243</v>
      </c>
      <c r="H142" s="473" t="s">
        <v>27</v>
      </c>
      <c r="I142" s="473" t="s">
        <v>28</v>
      </c>
      <c r="J142" s="490">
        <v>19264</v>
      </c>
      <c r="K142" s="491"/>
      <c r="L142" s="490">
        <v>28</v>
      </c>
      <c r="M142" s="490">
        <v>28</v>
      </c>
      <c r="N142" s="492"/>
      <c r="O142" s="493">
        <v>0.2</v>
      </c>
      <c r="P142" s="493"/>
      <c r="Q142" s="492">
        <v>3411.2</v>
      </c>
      <c r="R142" s="473" t="s">
        <v>73</v>
      </c>
      <c r="S142" s="481" t="s">
        <v>113</v>
      </c>
      <c r="T142" s="481">
        <v>82</v>
      </c>
      <c r="U142" s="494" t="s">
        <v>164</v>
      </c>
      <c r="V142" s="495"/>
      <c r="X142" s="492">
        <v>3411.2</v>
      </c>
      <c r="Y142" s="492"/>
      <c r="AI142" s="472"/>
      <c r="AJ142" s="485"/>
      <c r="AK142" s="505">
        <v>3411.2</v>
      </c>
    </row>
    <row r="143" spans="1:77" s="6" customFormat="1" ht="11.25" customHeight="1">
      <c r="A143" s="379"/>
      <c r="B143" s="379" t="s">
        <v>291</v>
      </c>
      <c r="C143" s="381">
        <v>44576</v>
      </c>
      <c r="D143" s="381">
        <v>44579</v>
      </c>
      <c r="E143" s="382" t="s">
        <v>244</v>
      </c>
      <c r="F143" s="379" t="s">
        <v>245</v>
      </c>
      <c r="G143" s="383">
        <v>4294</v>
      </c>
      <c r="H143" s="379" t="s">
        <v>137</v>
      </c>
      <c r="I143" s="379" t="s">
        <v>141</v>
      </c>
      <c r="J143" s="385">
        <v>10195.200000000001</v>
      </c>
      <c r="K143" s="384"/>
      <c r="L143" s="385">
        <v>10.62</v>
      </c>
      <c r="M143" s="385">
        <v>12</v>
      </c>
      <c r="N143" s="386"/>
      <c r="O143" s="387">
        <v>0.2</v>
      </c>
      <c r="P143" s="387"/>
      <c r="Q143" s="386">
        <v>0</v>
      </c>
      <c r="R143" s="379" t="s">
        <v>35</v>
      </c>
      <c r="S143" s="388" t="s">
        <v>41</v>
      </c>
      <c r="T143" s="388">
        <v>17</v>
      </c>
      <c r="U143" s="389" t="s">
        <v>164</v>
      </c>
      <c r="V143" s="433"/>
      <c r="W143" s="379"/>
      <c r="X143" s="386">
        <v>0</v>
      </c>
      <c r="Y143" s="386"/>
      <c r="Z143" s="379"/>
      <c r="AA143" s="379"/>
      <c r="AB143" s="379"/>
      <c r="AC143" s="379"/>
      <c r="AD143" s="379"/>
      <c r="AE143" s="379"/>
      <c r="AF143" s="379"/>
      <c r="AG143" s="379"/>
      <c r="AH143" s="379"/>
      <c r="AI143" s="394"/>
      <c r="AJ143" s="390">
        <v>0</v>
      </c>
      <c r="AK143" s="379"/>
      <c r="AL143" s="379"/>
      <c r="AM143" s="379"/>
      <c r="AN143" s="379"/>
      <c r="AO143" s="379"/>
      <c r="AP143" s="379"/>
      <c r="AQ143" s="379"/>
      <c r="AR143" s="379"/>
      <c r="AS143" s="379"/>
      <c r="AT143" s="379"/>
      <c r="AU143" s="379"/>
      <c r="AV143" s="379"/>
      <c r="AW143" s="379"/>
      <c r="AX143" s="379"/>
      <c r="AY143" s="379"/>
      <c r="AZ143" s="379"/>
      <c r="BA143" s="379"/>
      <c r="BB143" s="379"/>
      <c r="BC143" s="379"/>
      <c r="BD143" s="379"/>
      <c r="BE143" s="379"/>
      <c r="BF143" s="379"/>
      <c r="BG143" s="379"/>
      <c r="BH143" s="379"/>
      <c r="BI143" s="379"/>
      <c r="BJ143" s="379"/>
      <c r="BK143" s="379"/>
      <c r="BL143" s="379"/>
      <c r="BM143" s="379"/>
      <c r="BN143" s="379"/>
      <c r="BO143" s="379"/>
      <c r="BP143" s="379"/>
      <c r="BQ143" s="379"/>
      <c r="BR143" s="379"/>
      <c r="BS143" s="379"/>
      <c r="BT143" s="379"/>
      <c r="BU143" s="379"/>
      <c r="BV143" s="379"/>
      <c r="BW143" s="379"/>
      <c r="BX143" s="379"/>
      <c r="BY143" s="379"/>
    </row>
    <row r="144" spans="1:77" s="205" customFormat="1" ht="11.25" customHeight="1">
      <c r="B144" s="205" t="s">
        <v>291</v>
      </c>
      <c r="C144" s="207">
        <v>44577</v>
      </c>
      <c r="D144" s="207">
        <v>44579</v>
      </c>
      <c r="E144" s="208" t="s">
        <v>246</v>
      </c>
      <c r="F144" s="205" t="s">
        <v>187</v>
      </c>
      <c r="G144" s="209">
        <v>3841</v>
      </c>
      <c r="H144" s="205" t="s">
        <v>162</v>
      </c>
      <c r="I144" s="205" t="s">
        <v>141</v>
      </c>
      <c r="J144" s="210">
        <v>5435.45</v>
      </c>
      <c r="K144" s="219"/>
      <c r="L144" s="210">
        <v>17.510000000000002</v>
      </c>
      <c r="M144" s="210">
        <v>17.510000000000002</v>
      </c>
      <c r="N144" s="213"/>
      <c r="O144" s="212">
        <v>0.15</v>
      </c>
      <c r="P144" s="212"/>
      <c r="Q144" s="213">
        <v>0</v>
      </c>
      <c r="R144" s="205" t="s">
        <v>73</v>
      </c>
      <c r="S144" s="214" t="s">
        <v>113</v>
      </c>
      <c r="T144" s="214">
        <v>31</v>
      </c>
      <c r="U144" s="215" t="s">
        <v>164</v>
      </c>
      <c r="V144" s="438"/>
      <c r="W144" s="205" t="s">
        <v>3080</v>
      </c>
      <c r="X144" s="213">
        <v>0</v>
      </c>
      <c r="Y144" s="213"/>
      <c r="AF144" s="230">
        <f>X144</f>
        <v>0</v>
      </c>
      <c r="AI144" s="218"/>
      <c r="AJ144" s="216"/>
    </row>
    <row r="145" spans="1:77" s="205" customFormat="1" ht="11.25" customHeight="1">
      <c r="B145" s="205" t="s">
        <v>291</v>
      </c>
      <c r="C145" s="207">
        <v>44584</v>
      </c>
      <c r="D145" s="207">
        <v>44584</v>
      </c>
      <c r="E145" s="208" t="s">
        <v>248</v>
      </c>
      <c r="F145" s="205" t="s">
        <v>527</v>
      </c>
      <c r="G145" s="209" t="s">
        <v>249</v>
      </c>
      <c r="H145" s="205" t="s">
        <v>250</v>
      </c>
      <c r="I145" s="205" t="s">
        <v>28</v>
      </c>
      <c r="J145" s="210">
        <v>4340.7</v>
      </c>
      <c r="K145" s="219"/>
      <c r="L145" s="210">
        <v>13</v>
      </c>
      <c r="M145" s="210">
        <v>4</v>
      </c>
      <c r="N145" s="213">
        <v>934.92</v>
      </c>
      <c r="O145" s="212">
        <v>0.15</v>
      </c>
      <c r="P145" s="212"/>
      <c r="Q145" s="213">
        <v>0</v>
      </c>
      <c r="R145" s="205" t="s">
        <v>251</v>
      </c>
      <c r="S145" s="214" t="s">
        <v>74</v>
      </c>
      <c r="T145" s="214">
        <v>32</v>
      </c>
      <c r="U145" s="215" t="s">
        <v>164</v>
      </c>
      <c r="V145" s="438"/>
      <c r="W145" s="205" t="s">
        <v>2750</v>
      </c>
      <c r="X145" s="213">
        <v>0</v>
      </c>
      <c r="Y145" s="213"/>
      <c r="AF145" s="230">
        <f>X145</f>
        <v>0</v>
      </c>
      <c r="AI145" s="218"/>
      <c r="AJ145" s="216"/>
    </row>
    <row r="146" spans="1:77" s="205" customFormat="1" ht="11.25" customHeight="1">
      <c r="B146" s="205" t="s">
        <v>291</v>
      </c>
      <c r="C146" s="207">
        <v>44585</v>
      </c>
      <c r="D146" s="207">
        <v>44585</v>
      </c>
      <c r="E146" s="208" t="s">
        <v>252</v>
      </c>
      <c r="F146" s="205" t="s">
        <v>253</v>
      </c>
      <c r="G146" s="209">
        <v>3900</v>
      </c>
      <c r="H146" s="205" t="s">
        <v>183</v>
      </c>
      <c r="I146" s="205" t="s">
        <v>203</v>
      </c>
      <c r="J146" s="210">
        <v>9548</v>
      </c>
      <c r="K146" s="219"/>
      <c r="L146" s="210">
        <v>8</v>
      </c>
      <c r="M146" s="210">
        <v>8</v>
      </c>
      <c r="N146" s="213">
        <f>J146*0.2</f>
        <v>1909.6000000000001</v>
      </c>
      <c r="O146" s="212">
        <v>0.15</v>
      </c>
      <c r="P146" s="212"/>
      <c r="Q146" s="213">
        <v>0</v>
      </c>
      <c r="R146" s="205" t="s">
        <v>77</v>
      </c>
      <c r="S146" s="214" t="s">
        <v>41</v>
      </c>
      <c r="T146" s="214">
        <v>17</v>
      </c>
      <c r="U146" s="215" t="s">
        <v>164</v>
      </c>
      <c r="V146" s="438"/>
      <c r="W146" s="205" t="s">
        <v>3125</v>
      </c>
      <c r="X146" s="213">
        <v>0</v>
      </c>
      <c r="Y146" s="213"/>
      <c r="AF146" s="230">
        <f>X146</f>
        <v>0</v>
      </c>
      <c r="AI146" s="218"/>
      <c r="AJ146" s="216"/>
    </row>
    <row r="147" spans="1:77" s="205" customFormat="1" ht="11.25" customHeight="1">
      <c r="B147" s="205" t="s">
        <v>291</v>
      </c>
      <c r="C147" s="207"/>
      <c r="D147" s="207"/>
      <c r="E147" s="208" t="s">
        <v>252</v>
      </c>
      <c r="F147" s="205" t="s">
        <v>253</v>
      </c>
      <c r="G147" s="209">
        <v>3900</v>
      </c>
      <c r="H147" s="205" t="s">
        <v>99</v>
      </c>
      <c r="I147" s="205" t="s">
        <v>203</v>
      </c>
      <c r="J147" s="210">
        <v>13465.09</v>
      </c>
      <c r="K147" s="219"/>
      <c r="L147" s="210">
        <v>13.6</v>
      </c>
      <c r="M147" s="210">
        <v>2</v>
      </c>
      <c r="N147" s="213">
        <v>0</v>
      </c>
      <c r="O147" s="212">
        <v>0.15</v>
      </c>
      <c r="P147" s="212"/>
      <c r="Q147" s="213">
        <v>0</v>
      </c>
      <c r="R147" s="205" t="s">
        <v>77</v>
      </c>
      <c r="S147" s="214" t="s">
        <v>41</v>
      </c>
      <c r="T147" s="214">
        <v>17</v>
      </c>
      <c r="U147" s="215" t="s">
        <v>164</v>
      </c>
      <c r="V147" s="438"/>
      <c r="W147" s="205" t="s">
        <v>3125</v>
      </c>
      <c r="X147" s="213">
        <v>0</v>
      </c>
      <c r="Y147" s="213"/>
      <c r="AF147" s="230">
        <f>X147</f>
        <v>0</v>
      </c>
      <c r="AI147" s="218"/>
      <c r="AJ147" s="216"/>
    </row>
    <row r="148" spans="1:77" s="337" customFormat="1" ht="11.25" customHeight="1">
      <c r="B148" s="337" t="s">
        <v>291</v>
      </c>
      <c r="C148" s="349">
        <v>44583</v>
      </c>
      <c r="D148" s="349">
        <v>44587</v>
      </c>
      <c r="E148" s="350" t="s">
        <v>254</v>
      </c>
      <c r="F148" s="337" t="s">
        <v>255</v>
      </c>
      <c r="G148" s="351" t="s">
        <v>256</v>
      </c>
      <c r="H148" s="337" t="s">
        <v>99</v>
      </c>
      <c r="I148" s="337" t="s">
        <v>170</v>
      </c>
      <c r="J148" s="352">
        <v>23162.58</v>
      </c>
      <c r="K148" s="353"/>
      <c r="L148" s="352">
        <v>21.7</v>
      </c>
      <c r="M148" s="352">
        <v>10</v>
      </c>
      <c r="N148" s="354">
        <v>213</v>
      </c>
      <c r="O148" s="355">
        <v>0.2</v>
      </c>
      <c r="P148" s="355"/>
      <c r="Q148" s="354">
        <v>0</v>
      </c>
      <c r="R148" s="337" t="s">
        <v>257</v>
      </c>
      <c r="S148" s="356" t="s">
        <v>74</v>
      </c>
      <c r="T148" s="356">
        <v>32</v>
      </c>
      <c r="U148" s="357" t="s">
        <v>164</v>
      </c>
      <c r="V148" s="434"/>
      <c r="X148" s="354">
        <v>0</v>
      </c>
      <c r="Y148" s="354"/>
      <c r="AI148" s="341">
        <f>X148</f>
        <v>0</v>
      </c>
      <c r="AJ148" s="358"/>
      <c r="AK148" s="369"/>
    </row>
    <row r="149" spans="1:77" s="181" customFormat="1" ht="11.25" customHeight="1">
      <c r="B149" s="181" t="s">
        <v>291</v>
      </c>
      <c r="C149" s="179">
        <v>44603</v>
      </c>
      <c r="D149" s="179">
        <v>44603</v>
      </c>
      <c r="E149" s="180" t="s">
        <v>259</v>
      </c>
      <c r="F149" s="181" t="s">
        <v>104</v>
      </c>
      <c r="G149" s="182">
        <v>3553</v>
      </c>
      <c r="H149" s="181" t="s">
        <v>99</v>
      </c>
      <c r="I149" s="181" t="s">
        <v>174</v>
      </c>
      <c r="J149" s="183">
        <v>56146.11</v>
      </c>
      <c r="K149" s="190"/>
      <c r="L149" s="183">
        <v>50.71</v>
      </c>
      <c r="M149" s="183">
        <v>9.11</v>
      </c>
      <c r="N149" s="185">
        <v>1111.5</v>
      </c>
      <c r="O149" s="186">
        <v>0.3</v>
      </c>
      <c r="P149" s="186"/>
      <c r="Q149" s="185">
        <v>1111.5</v>
      </c>
      <c r="R149" s="181" t="s">
        <v>105</v>
      </c>
      <c r="S149" s="187" t="s">
        <v>30</v>
      </c>
      <c r="T149" s="187">
        <v>39</v>
      </c>
      <c r="U149" s="188" t="s">
        <v>164</v>
      </c>
      <c r="V149" s="441">
        <v>1111.5</v>
      </c>
      <c r="X149" s="189">
        <v>1111.5</v>
      </c>
      <c r="Y149" s="185"/>
      <c r="AE149" s="204">
        <f>X149</f>
        <v>1111.5</v>
      </c>
      <c r="AI149" s="184"/>
      <c r="AJ149" s="189"/>
    </row>
    <row r="150" spans="1:77" s="106" customFormat="1" ht="11.25" customHeight="1">
      <c r="B150" s="106" t="s">
        <v>291</v>
      </c>
      <c r="C150" s="107">
        <v>44605</v>
      </c>
      <c r="D150" s="107">
        <v>44605</v>
      </c>
      <c r="E150" s="108" t="s">
        <v>260</v>
      </c>
      <c r="F150" s="106" t="s">
        <v>261</v>
      </c>
      <c r="G150" s="109" t="s">
        <v>262</v>
      </c>
      <c r="H150" s="106" t="s">
        <v>99</v>
      </c>
      <c r="I150" s="106" t="s">
        <v>263</v>
      </c>
      <c r="J150" s="110">
        <v>22615.360000000001</v>
      </c>
      <c r="K150" s="111"/>
      <c r="L150" s="110">
        <v>24.37</v>
      </c>
      <c r="M150" s="110">
        <v>24.37</v>
      </c>
      <c r="N150" s="112"/>
      <c r="O150" s="113">
        <v>0.15</v>
      </c>
      <c r="P150" s="113"/>
      <c r="Q150" s="112">
        <v>0</v>
      </c>
      <c r="R150" s="106" t="s">
        <v>128</v>
      </c>
      <c r="S150" s="114" t="s">
        <v>41</v>
      </c>
      <c r="T150" s="114">
        <v>79</v>
      </c>
      <c r="U150" s="115" t="s">
        <v>164</v>
      </c>
      <c r="V150" s="443"/>
      <c r="X150" s="112">
        <v>0</v>
      </c>
      <c r="Y150" s="112"/>
      <c r="AB150" s="112">
        <f>X150</f>
        <v>0</v>
      </c>
      <c r="AI150" s="645"/>
      <c r="AJ150" s="116"/>
    </row>
    <row r="151" spans="1:77" s="106" customFormat="1" ht="11.25" customHeight="1">
      <c r="B151" s="106" t="s">
        <v>291</v>
      </c>
      <c r="C151" s="107">
        <v>44611</v>
      </c>
      <c r="D151" s="107">
        <v>44613</v>
      </c>
      <c r="E151" s="108" t="s">
        <v>264</v>
      </c>
      <c r="F151" s="106" t="s">
        <v>265</v>
      </c>
      <c r="G151" s="109">
        <v>4601</v>
      </c>
      <c r="H151" s="106" t="s">
        <v>192</v>
      </c>
      <c r="I151" s="106" t="s">
        <v>266</v>
      </c>
      <c r="J151" s="110">
        <v>67189.5</v>
      </c>
      <c r="K151" s="111"/>
      <c r="L151" s="110">
        <v>63</v>
      </c>
      <c r="M151" s="110">
        <v>63</v>
      </c>
      <c r="N151" s="112">
        <v>27275.48</v>
      </c>
      <c r="O151" s="113">
        <v>0.2</v>
      </c>
      <c r="P151" s="113"/>
      <c r="Q151" s="112">
        <v>10078.11</v>
      </c>
      <c r="R151" s="106" t="s">
        <v>69</v>
      </c>
      <c r="S151" s="114" t="s">
        <v>41</v>
      </c>
      <c r="T151" s="114">
        <v>86</v>
      </c>
      <c r="U151" s="115" t="s">
        <v>164</v>
      </c>
      <c r="V151" s="443">
        <v>10078.11</v>
      </c>
      <c r="X151" s="116">
        <v>10078.11</v>
      </c>
      <c r="Y151" s="112"/>
      <c r="AB151" s="112">
        <f>X151</f>
        <v>10078.11</v>
      </c>
      <c r="AI151" s="645"/>
      <c r="AJ151" s="116"/>
    </row>
    <row r="152" spans="1:77" s="6" customFormat="1" ht="11.25" customHeight="1">
      <c r="B152" s="6" t="s">
        <v>291</v>
      </c>
      <c r="C152" s="4">
        <v>44613</v>
      </c>
      <c r="D152" s="4">
        <v>44613</v>
      </c>
      <c r="E152" s="5" t="s">
        <v>267</v>
      </c>
      <c r="F152" s="6" t="s">
        <v>268</v>
      </c>
      <c r="G152" s="79">
        <v>3687</v>
      </c>
      <c r="H152" s="6" t="s">
        <v>27</v>
      </c>
      <c r="I152" s="6" t="s">
        <v>269</v>
      </c>
      <c r="J152" s="24">
        <v>31812.77</v>
      </c>
      <c r="K152" s="9"/>
      <c r="L152" s="24">
        <v>28.9</v>
      </c>
      <c r="M152" s="24">
        <v>30.16</v>
      </c>
      <c r="N152" s="8">
        <v>3698.0387999999998</v>
      </c>
      <c r="O152" s="11">
        <v>0.3</v>
      </c>
      <c r="P152" s="11"/>
      <c r="Q152" s="112">
        <v>3582.1</v>
      </c>
      <c r="R152" s="6" t="s">
        <v>50</v>
      </c>
      <c r="S152" s="3" t="s">
        <v>51</v>
      </c>
      <c r="T152" s="3">
        <v>57</v>
      </c>
      <c r="U152" s="7"/>
      <c r="V152" s="445">
        <v>3582.1</v>
      </c>
      <c r="X152" s="8"/>
      <c r="Y152" s="8"/>
      <c r="AI152" s="117"/>
      <c r="AJ152" s="80"/>
    </row>
    <row r="153" spans="1:77" s="473" customFormat="1" ht="11.25" customHeight="1">
      <c r="B153" s="473" t="s">
        <v>291</v>
      </c>
      <c r="C153" s="487">
        <v>44616</v>
      </c>
      <c r="D153" s="487">
        <v>44617</v>
      </c>
      <c r="E153" s="488" t="s">
        <v>270</v>
      </c>
      <c r="F153" s="473" t="s">
        <v>271</v>
      </c>
      <c r="G153" s="489">
        <v>4137</v>
      </c>
      <c r="H153" s="473" t="s">
        <v>27</v>
      </c>
      <c r="I153" s="473" t="s">
        <v>28</v>
      </c>
      <c r="J153" s="490">
        <v>18814</v>
      </c>
      <c r="K153" s="491"/>
      <c r="L153" s="490">
        <v>15.5</v>
      </c>
      <c r="M153" s="490">
        <v>4.5</v>
      </c>
      <c r="N153" s="492"/>
      <c r="O153" s="493">
        <v>0.2</v>
      </c>
      <c r="P153" s="493"/>
      <c r="Q153" s="492">
        <v>818</v>
      </c>
      <c r="R153" s="473" t="s">
        <v>73</v>
      </c>
      <c r="S153" s="481" t="s">
        <v>74</v>
      </c>
      <c r="T153" s="481">
        <v>31</v>
      </c>
      <c r="U153" s="494" t="s">
        <v>164</v>
      </c>
      <c r="V153" s="492">
        <v>818</v>
      </c>
      <c r="X153" s="492">
        <v>818</v>
      </c>
      <c r="Y153" s="492"/>
      <c r="AI153" s="472"/>
      <c r="AJ153" s="485"/>
      <c r="AK153" s="505">
        <v>818</v>
      </c>
    </row>
    <row r="154" spans="1:77" s="6" customFormat="1" ht="11.25" customHeight="1">
      <c r="B154" s="6" t="s">
        <v>291</v>
      </c>
      <c r="C154" s="4">
        <v>44594</v>
      </c>
      <c r="D154" s="4">
        <v>44622</v>
      </c>
      <c r="E154" s="5" t="s">
        <v>272</v>
      </c>
      <c r="F154" s="6" t="s">
        <v>273</v>
      </c>
      <c r="G154" s="79" t="s">
        <v>274</v>
      </c>
      <c r="H154" s="6" t="s">
        <v>99</v>
      </c>
      <c r="I154" s="6" t="s">
        <v>174</v>
      </c>
      <c r="J154" s="24">
        <v>98181.35</v>
      </c>
      <c r="K154" s="9"/>
      <c r="L154" s="24">
        <v>73</v>
      </c>
      <c r="M154" s="24">
        <v>30</v>
      </c>
      <c r="N154" s="8">
        <v>3776</v>
      </c>
      <c r="O154" s="11">
        <v>0.25</v>
      </c>
      <c r="P154" s="11"/>
      <c r="Q154" s="142">
        <v>2411.5</v>
      </c>
      <c r="R154" s="6" t="s">
        <v>105</v>
      </c>
      <c r="S154" s="3" t="s">
        <v>275</v>
      </c>
      <c r="T154" s="3">
        <v>39</v>
      </c>
      <c r="U154" s="7"/>
      <c r="V154" s="436">
        <v>2411.5</v>
      </c>
      <c r="X154" s="8"/>
      <c r="Y154" s="8"/>
      <c r="AI154" s="117"/>
      <c r="AJ154" s="80"/>
    </row>
    <row r="155" spans="1:77" s="473" customFormat="1" ht="11.25" customHeight="1">
      <c r="B155" s="473" t="s">
        <v>291</v>
      </c>
      <c r="C155" s="487">
        <v>44620</v>
      </c>
      <c r="D155" s="487">
        <v>44624</v>
      </c>
      <c r="E155" s="488" t="s">
        <v>276</v>
      </c>
      <c r="F155" s="473" t="s">
        <v>277</v>
      </c>
      <c r="G155" s="489">
        <v>3933</v>
      </c>
      <c r="H155" s="473" t="s">
        <v>99</v>
      </c>
      <c r="I155" s="473" t="s">
        <v>170</v>
      </c>
      <c r="J155" s="490">
        <v>20560.32</v>
      </c>
      <c r="K155" s="491"/>
      <c r="L155" s="490">
        <v>19.8</v>
      </c>
      <c r="M155" s="490">
        <v>0.9</v>
      </c>
      <c r="N155" s="492">
        <v>171</v>
      </c>
      <c r="O155" s="493">
        <v>0.2</v>
      </c>
      <c r="P155" s="493"/>
      <c r="Q155" s="492">
        <v>171</v>
      </c>
      <c r="R155" s="473" t="s">
        <v>105</v>
      </c>
      <c r="S155" s="481" t="s">
        <v>30</v>
      </c>
      <c r="T155" s="481">
        <v>39</v>
      </c>
      <c r="U155" s="494" t="s">
        <v>164</v>
      </c>
      <c r="V155" s="492">
        <v>171</v>
      </c>
      <c r="X155" s="492">
        <v>171</v>
      </c>
      <c r="Y155" s="492"/>
      <c r="AI155" s="472"/>
      <c r="AJ155" s="485"/>
      <c r="AK155" s="505">
        <v>171</v>
      </c>
    </row>
    <row r="156" spans="1:77" s="130" customFormat="1" ht="11.25" customHeight="1">
      <c r="B156" s="130" t="s">
        <v>291</v>
      </c>
      <c r="C156" s="131">
        <v>44615</v>
      </c>
      <c r="D156" s="131">
        <v>44632</v>
      </c>
      <c r="E156" s="132" t="s">
        <v>279</v>
      </c>
      <c r="F156" s="130" t="s">
        <v>875</v>
      </c>
      <c r="G156" s="133" t="s">
        <v>280</v>
      </c>
      <c r="H156" s="130" t="s">
        <v>27</v>
      </c>
      <c r="I156" s="130" t="s">
        <v>141</v>
      </c>
      <c r="J156" s="134">
        <v>47740</v>
      </c>
      <c r="K156" s="135"/>
      <c r="L156" s="134">
        <v>28</v>
      </c>
      <c r="M156" s="134">
        <v>8.65</v>
      </c>
      <c r="N156" s="136">
        <v>0</v>
      </c>
      <c r="O156" s="137">
        <v>0.25</v>
      </c>
      <c r="P156" s="137"/>
      <c r="Q156" s="136">
        <v>0</v>
      </c>
      <c r="R156" s="130" t="s">
        <v>281</v>
      </c>
      <c r="S156" s="138" t="s">
        <v>228</v>
      </c>
      <c r="T156" s="138">
        <v>18</v>
      </c>
      <c r="U156" s="139" t="s">
        <v>164</v>
      </c>
      <c r="V156" s="439"/>
      <c r="X156" s="136">
        <v>0</v>
      </c>
      <c r="Y156" s="136"/>
      <c r="AC156" s="144">
        <f>X156</f>
        <v>0</v>
      </c>
      <c r="AI156" s="646"/>
      <c r="AJ156" s="140"/>
    </row>
    <row r="157" spans="1:77" s="6" customFormat="1" ht="11.25" customHeight="1">
      <c r="A157" s="379"/>
      <c r="B157" s="379" t="s">
        <v>291</v>
      </c>
      <c r="C157" s="381">
        <v>44627</v>
      </c>
      <c r="D157" s="381">
        <v>44634</v>
      </c>
      <c r="E157" s="382" t="s">
        <v>282</v>
      </c>
      <c r="F157" s="379" t="s">
        <v>283</v>
      </c>
      <c r="G157" s="383" t="s">
        <v>284</v>
      </c>
      <c r="H157" s="379" t="s">
        <v>27</v>
      </c>
      <c r="I157" s="379" t="s">
        <v>28</v>
      </c>
      <c r="J157" s="385">
        <v>33882.639999999999</v>
      </c>
      <c r="K157" s="384"/>
      <c r="L157" s="385">
        <v>30.58</v>
      </c>
      <c r="M157" s="385">
        <v>5</v>
      </c>
      <c r="N157" s="386">
        <v>4404.7431999999999</v>
      </c>
      <c r="O157" s="387">
        <v>0.2</v>
      </c>
      <c r="P157" s="387"/>
      <c r="Q157" s="386">
        <v>0</v>
      </c>
      <c r="R157" s="379" t="s">
        <v>285</v>
      </c>
      <c r="S157" s="388" t="s">
        <v>275</v>
      </c>
      <c r="T157" s="388">
        <v>21</v>
      </c>
      <c r="U157" s="389" t="s">
        <v>164</v>
      </c>
      <c r="V157" s="433"/>
      <c r="W157" s="379"/>
      <c r="X157" s="386">
        <v>0</v>
      </c>
      <c r="Y157" s="386"/>
      <c r="Z157" s="384"/>
      <c r="AA157" s="379"/>
      <c r="AB157" s="379"/>
      <c r="AC157" s="379"/>
      <c r="AD157" s="379"/>
      <c r="AE157" s="379"/>
      <c r="AF157" s="379"/>
      <c r="AG157" s="379"/>
      <c r="AH157" s="379"/>
      <c r="AI157" s="394"/>
      <c r="AJ157" s="390">
        <v>0</v>
      </c>
      <c r="AK157" s="379"/>
      <c r="AL157" s="379"/>
      <c r="AM157" s="379"/>
      <c r="AN157" s="379"/>
      <c r="AO157" s="379"/>
      <c r="AP157" s="379"/>
      <c r="AQ157" s="379"/>
      <c r="AR157" s="379"/>
      <c r="AS157" s="379"/>
      <c r="AT157" s="379"/>
      <c r="AU157" s="379"/>
      <c r="AV157" s="379"/>
      <c r="AW157" s="379"/>
      <c r="AX157" s="379"/>
      <c r="AY157" s="379"/>
      <c r="AZ157" s="379"/>
      <c r="BA157" s="379"/>
      <c r="BB157" s="379"/>
      <c r="BC157" s="379"/>
      <c r="BD157" s="379"/>
      <c r="BE157" s="379"/>
      <c r="BF157" s="379"/>
      <c r="BG157" s="379"/>
      <c r="BH157" s="379"/>
      <c r="BI157" s="379"/>
      <c r="BJ157" s="379"/>
      <c r="BK157" s="379"/>
      <c r="BL157" s="379"/>
      <c r="BM157" s="379"/>
      <c r="BN157" s="379"/>
      <c r="BO157" s="379"/>
      <c r="BP157" s="379"/>
      <c r="BQ157" s="379"/>
      <c r="BR157" s="379"/>
      <c r="BS157" s="379"/>
      <c r="BT157" s="379"/>
      <c r="BU157" s="379"/>
      <c r="BV157" s="379"/>
      <c r="BW157" s="379"/>
      <c r="BX157" s="379"/>
      <c r="BY157" s="379"/>
    </row>
    <row r="158" spans="1:77" s="261" customFormat="1" ht="11.25" customHeight="1">
      <c r="B158" s="261" t="s">
        <v>291</v>
      </c>
      <c r="C158" s="259">
        <v>44630</v>
      </c>
      <c r="D158" s="259">
        <v>44635</v>
      </c>
      <c r="E158" s="260" t="s">
        <v>286</v>
      </c>
      <c r="F158" s="261" t="s">
        <v>287</v>
      </c>
      <c r="G158" s="262" t="s">
        <v>288</v>
      </c>
      <c r="H158" s="261" t="s">
        <v>27</v>
      </c>
      <c r="I158" s="261" t="s">
        <v>141</v>
      </c>
      <c r="J158" s="263">
        <v>94240</v>
      </c>
      <c r="K158" s="264"/>
      <c r="L158" s="263">
        <v>76</v>
      </c>
      <c r="M158" s="263">
        <v>20</v>
      </c>
      <c r="N158" s="265">
        <v>5836.68</v>
      </c>
      <c r="O158" s="266">
        <v>0.25</v>
      </c>
      <c r="P158" s="266"/>
      <c r="Q158" s="265">
        <v>368.4</v>
      </c>
      <c r="R158" s="261" t="s">
        <v>29</v>
      </c>
      <c r="S158" s="267" t="s">
        <v>275</v>
      </c>
      <c r="T158" s="267">
        <v>21</v>
      </c>
      <c r="U158" s="268" t="s">
        <v>164</v>
      </c>
      <c r="V158" s="427">
        <v>368.4</v>
      </c>
      <c r="X158" s="265">
        <v>368.4</v>
      </c>
      <c r="Y158" s="265"/>
      <c r="AG158" s="261">
        <f>X158</f>
        <v>368.4</v>
      </c>
      <c r="AI158" s="273"/>
      <c r="AJ158" s="642"/>
    </row>
    <row r="159" spans="1:77" s="291" customFormat="1" ht="11.25" customHeight="1">
      <c r="B159" s="291" t="s">
        <v>291</v>
      </c>
      <c r="C159" s="292"/>
      <c r="D159" s="292"/>
      <c r="E159" s="293" t="s">
        <v>292</v>
      </c>
      <c r="F159" s="291" t="s">
        <v>293</v>
      </c>
      <c r="G159" s="294" t="s">
        <v>294</v>
      </c>
      <c r="H159" s="291" t="s">
        <v>295</v>
      </c>
      <c r="I159" s="291" t="s">
        <v>33</v>
      </c>
      <c r="J159" s="296">
        <v>12957.26</v>
      </c>
      <c r="K159" s="295"/>
      <c r="L159" s="296">
        <v>15.04</v>
      </c>
      <c r="M159" s="296">
        <v>15.04</v>
      </c>
      <c r="N159" s="297"/>
      <c r="O159" s="298">
        <v>0.2</v>
      </c>
      <c r="P159" s="298"/>
      <c r="Q159" s="297">
        <v>0</v>
      </c>
      <c r="R159" s="291" t="s">
        <v>35</v>
      </c>
      <c r="S159" s="299" t="s">
        <v>41</v>
      </c>
      <c r="T159" s="299">
        <v>17</v>
      </c>
      <c r="U159" s="300" t="s">
        <v>164</v>
      </c>
      <c r="V159" s="333"/>
      <c r="X159" s="297">
        <v>0</v>
      </c>
      <c r="Y159" s="297"/>
      <c r="AH159" s="291">
        <f>X159</f>
        <v>0</v>
      </c>
      <c r="AI159" s="311"/>
      <c r="AJ159" s="468"/>
    </row>
    <row r="160" spans="1:77" s="153" customFormat="1" ht="11.25" customHeight="1">
      <c r="B160" s="153" t="s">
        <v>291</v>
      </c>
      <c r="C160" s="155">
        <v>44648</v>
      </c>
      <c r="D160" s="155">
        <v>44648</v>
      </c>
      <c r="E160" s="156" t="s">
        <v>292</v>
      </c>
      <c r="F160" s="153" t="s">
        <v>293</v>
      </c>
      <c r="G160" s="157" t="s">
        <v>294</v>
      </c>
      <c r="H160" s="153" t="s">
        <v>183</v>
      </c>
      <c r="I160" s="153" t="s">
        <v>33</v>
      </c>
      <c r="J160" s="158">
        <v>108767.8</v>
      </c>
      <c r="K160" s="163"/>
      <c r="L160" s="158">
        <v>81.17</v>
      </c>
      <c r="M160" s="158">
        <v>81.17</v>
      </c>
      <c r="N160" s="159"/>
      <c r="O160" s="160">
        <v>0.2</v>
      </c>
      <c r="P160" s="160"/>
      <c r="Q160" s="159">
        <v>0</v>
      </c>
      <c r="R160" s="153" t="s">
        <v>35</v>
      </c>
      <c r="S160" s="161" t="s">
        <v>41</v>
      </c>
      <c r="T160" s="161">
        <v>16</v>
      </c>
      <c r="U160" s="162" t="s">
        <v>164</v>
      </c>
      <c r="V160" s="435"/>
      <c r="W160" s="153" t="s">
        <v>1880</v>
      </c>
      <c r="X160" s="159">
        <v>0</v>
      </c>
      <c r="Y160" s="159"/>
      <c r="AD160" s="176">
        <f>X160</f>
        <v>0</v>
      </c>
      <c r="AI160" s="164"/>
      <c r="AJ160" s="644"/>
    </row>
    <row r="161" spans="2:37" s="153" customFormat="1" ht="11.25" customHeight="1">
      <c r="B161" s="153" t="s">
        <v>291</v>
      </c>
      <c r="C161" s="155"/>
      <c r="D161" s="155"/>
      <c r="E161" s="156" t="s">
        <v>292</v>
      </c>
      <c r="F161" s="153" t="s">
        <v>293</v>
      </c>
      <c r="G161" s="157" t="s">
        <v>294</v>
      </c>
      <c r="H161" s="153" t="s">
        <v>99</v>
      </c>
      <c r="I161" s="153" t="s">
        <v>33</v>
      </c>
      <c r="J161" s="158">
        <v>13104</v>
      </c>
      <c r="K161" s="163"/>
      <c r="L161" s="158">
        <v>9.1</v>
      </c>
      <c r="M161" s="158">
        <v>9.1</v>
      </c>
      <c r="N161" s="159"/>
      <c r="O161" s="160">
        <v>0.2</v>
      </c>
      <c r="P161" s="160"/>
      <c r="Q161" s="159">
        <v>0</v>
      </c>
      <c r="R161" s="153" t="s">
        <v>35</v>
      </c>
      <c r="S161" s="161" t="s">
        <v>41</v>
      </c>
      <c r="T161" s="161">
        <v>16</v>
      </c>
      <c r="U161" s="162" t="s">
        <v>164</v>
      </c>
      <c r="V161" s="435"/>
      <c r="W161" s="153" t="s">
        <v>1880</v>
      </c>
      <c r="X161" s="159">
        <v>0</v>
      </c>
      <c r="Y161" s="159"/>
      <c r="AD161" s="176">
        <f>X161</f>
        <v>0</v>
      </c>
      <c r="AI161" s="164"/>
      <c r="AJ161" s="644"/>
    </row>
    <row r="162" spans="2:37" s="153" customFormat="1" ht="11.25" customHeight="1">
      <c r="B162" s="153" t="s">
        <v>291</v>
      </c>
      <c r="C162" s="155"/>
      <c r="D162" s="155"/>
      <c r="E162" s="156" t="s">
        <v>292</v>
      </c>
      <c r="F162" s="153" t="s">
        <v>293</v>
      </c>
      <c r="G162" s="157" t="s">
        <v>294</v>
      </c>
      <c r="H162" s="153" t="s">
        <v>99</v>
      </c>
      <c r="I162" s="153" t="s">
        <v>33</v>
      </c>
      <c r="J162" s="158">
        <v>216000</v>
      </c>
      <c r="K162" s="163"/>
      <c r="L162" s="158">
        <v>150</v>
      </c>
      <c r="M162" s="158">
        <v>150</v>
      </c>
      <c r="N162" s="159"/>
      <c r="O162" s="160">
        <v>0.2</v>
      </c>
      <c r="P162" s="160"/>
      <c r="Q162" s="159">
        <v>0</v>
      </c>
      <c r="R162" s="153" t="s">
        <v>35</v>
      </c>
      <c r="S162" s="161" t="s">
        <v>41</v>
      </c>
      <c r="T162" s="161">
        <v>17</v>
      </c>
      <c r="U162" s="162" t="s">
        <v>164</v>
      </c>
      <c r="V162" s="435"/>
      <c r="W162" s="153" t="s">
        <v>1880</v>
      </c>
      <c r="X162" s="159">
        <v>0</v>
      </c>
      <c r="Y162" s="159"/>
      <c r="AD162" s="176">
        <f>X162</f>
        <v>0</v>
      </c>
      <c r="AI162" s="164"/>
      <c r="AJ162" s="644"/>
    </row>
    <row r="163" spans="2:37" s="153" customFormat="1" ht="11.25" customHeight="1">
      <c r="B163" s="153" t="s">
        <v>291</v>
      </c>
      <c r="C163" s="155"/>
      <c r="D163" s="155"/>
      <c r="E163" s="156" t="s">
        <v>292</v>
      </c>
      <c r="F163" s="153" t="s">
        <v>293</v>
      </c>
      <c r="G163" s="157" t="s">
        <v>294</v>
      </c>
      <c r="H163" s="153" t="s">
        <v>183</v>
      </c>
      <c r="I163" s="153" t="s">
        <v>33</v>
      </c>
      <c r="J163" s="158">
        <v>10854</v>
      </c>
      <c r="K163" s="163"/>
      <c r="L163" s="158">
        <v>8.1</v>
      </c>
      <c r="M163" s="158">
        <v>8.1</v>
      </c>
      <c r="N163" s="159"/>
      <c r="O163" s="160">
        <v>0.2</v>
      </c>
      <c r="P163" s="160"/>
      <c r="Q163" s="159">
        <v>0</v>
      </c>
      <c r="R163" s="153" t="s">
        <v>35</v>
      </c>
      <c r="S163" s="161" t="s">
        <v>41</v>
      </c>
      <c r="T163" s="161">
        <v>17</v>
      </c>
      <c r="U163" s="162" t="s">
        <v>164</v>
      </c>
      <c r="V163" s="435"/>
      <c r="W163" s="153" t="s">
        <v>1880</v>
      </c>
      <c r="X163" s="159">
        <v>0</v>
      </c>
      <c r="Y163" s="159"/>
      <c r="AD163" s="176">
        <f>X163</f>
        <v>0</v>
      </c>
      <c r="AI163" s="164"/>
      <c r="AJ163" s="644"/>
    </row>
    <row r="164" spans="2:37" s="379" customFormat="1" ht="11.25" customHeight="1">
      <c r="B164" s="379" t="s">
        <v>291</v>
      </c>
      <c r="C164" s="381">
        <v>44645</v>
      </c>
      <c r="D164" s="381">
        <v>44645</v>
      </c>
      <c r="E164" s="382" t="s">
        <v>296</v>
      </c>
      <c r="F164" s="379" t="s">
        <v>169</v>
      </c>
      <c r="G164" s="383">
        <v>3627</v>
      </c>
      <c r="H164" s="379" t="s">
        <v>137</v>
      </c>
      <c r="I164" s="379" t="s">
        <v>33</v>
      </c>
      <c r="J164" s="385">
        <v>12251.8</v>
      </c>
      <c r="K164" s="384"/>
      <c r="L164" s="385">
        <v>13.78</v>
      </c>
      <c r="M164" s="385">
        <v>13.7</v>
      </c>
      <c r="N164" s="386">
        <f>J164*0.3</f>
        <v>3675.5399999999995</v>
      </c>
      <c r="O164" s="387">
        <v>0.15</v>
      </c>
      <c r="P164" s="387"/>
      <c r="Q164" s="386">
        <v>3103.95</v>
      </c>
      <c r="R164" s="379" t="s">
        <v>35</v>
      </c>
      <c r="S164" s="388" t="s">
        <v>41</v>
      </c>
      <c r="T164" s="388">
        <v>86</v>
      </c>
      <c r="U164" s="389" t="s">
        <v>164</v>
      </c>
      <c r="V164" s="433"/>
      <c r="X164" s="386">
        <v>3103.95</v>
      </c>
      <c r="Y164" s="386"/>
      <c r="AI164" s="394"/>
      <c r="AJ164" s="416">
        <v>3103.95</v>
      </c>
    </row>
    <row r="165" spans="2:37" s="291" customFormat="1" ht="11.25" customHeight="1">
      <c r="B165" s="291" t="s">
        <v>291</v>
      </c>
      <c r="C165" s="292">
        <v>44637</v>
      </c>
      <c r="D165" s="292">
        <v>44640</v>
      </c>
      <c r="E165" s="293" t="s">
        <v>298</v>
      </c>
      <c r="F165" s="291" t="s">
        <v>297</v>
      </c>
      <c r="G165" s="294" t="s">
        <v>299</v>
      </c>
      <c r="H165" s="291" t="s">
        <v>207</v>
      </c>
      <c r="I165" s="291" t="s">
        <v>28</v>
      </c>
      <c r="J165" s="296">
        <v>6507.6</v>
      </c>
      <c r="K165" s="295"/>
      <c r="L165" s="296">
        <v>6.6</v>
      </c>
      <c r="M165" s="296">
        <v>1</v>
      </c>
      <c r="N165" s="297">
        <v>484</v>
      </c>
      <c r="O165" s="298">
        <v>0.2</v>
      </c>
      <c r="P165" s="298"/>
      <c r="Q165" s="297">
        <v>469.48</v>
      </c>
      <c r="R165" s="291" t="s">
        <v>112</v>
      </c>
      <c r="S165" s="299" t="s">
        <v>113</v>
      </c>
      <c r="T165" s="299">
        <v>64</v>
      </c>
      <c r="U165" s="300" t="s">
        <v>164</v>
      </c>
      <c r="V165" s="333"/>
      <c r="X165" s="297">
        <v>469.48</v>
      </c>
      <c r="Y165" s="297"/>
      <c r="AF165" s="311"/>
      <c r="AH165" s="291">
        <f>X165</f>
        <v>469.48</v>
      </c>
      <c r="AI165" s="311"/>
      <c r="AJ165" s="468"/>
    </row>
    <row r="166" spans="2:37" s="153" customFormat="1" ht="11.25" customHeight="1">
      <c r="B166" s="153" t="s">
        <v>291</v>
      </c>
      <c r="C166" s="155">
        <v>44633</v>
      </c>
      <c r="D166" s="155">
        <v>44635</v>
      </c>
      <c r="E166" s="156" t="s">
        <v>300</v>
      </c>
      <c r="F166" s="153" t="s">
        <v>301</v>
      </c>
      <c r="G166" s="157">
        <v>3849</v>
      </c>
      <c r="H166" s="153" t="s">
        <v>99</v>
      </c>
      <c r="I166" s="153" t="s">
        <v>28</v>
      </c>
      <c r="J166" s="158">
        <v>5624.64</v>
      </c>
      <c r="K166" s="163"/>
      <c r="L166" s="158">
        <v>5.04</v>
      </c>
      <c r="M166" s="158">
        <v>5.04</v>
      </c>
      <c r="N166" s="159"/>
      <c r="O166" s="160">
        <v>0.2</v>
      </c>
      <c r="P166" s="160"/>
      <c r="Q166" s="159">
        <v>0</v>
      </c>
      <c r="R166" s="153" t="s">
        <v>142</v>
      </c>
      <c r="S166" s="161" t="s">
        <v>41</v>
      </c>
      <c r="T166" s="161">
        <v>17</v>
      </c>
      <c r="U166" s="162" t="s">
        <v>164</v>
      </c>
      <c r="V166" s="435"/>
      <c r="W166" s="153" t="s">
        <v>1244</v>
      </c>
      <c r="X166" s="159">
        <v>0</v>
      </c>
      <c r="Y166" s="159"/>
      <c r="AD166" s="176">
        <f>X166</f>
        <v>0</v>
      </c>
      <c r="AI166" s="164"/>
      <c r="AJ166" s="644"/>
    </row>
    <row r="167" spans="2:37" s="473" customFormat="1" ht="11.25" customHeight="1">
      <c r="B167" s="473" t="s">
        <v>291</v>
      </c>
      <c r="C167" s="487">
        <v>44648</v>
      </c>
      <c r="D167" s="487">
        <v>44650</v>
      </c>
      <c r="E167" s="488" t="s">
        <v>302</v>
      </c>
      <c r="F167" s="473" t="s">
        <v>303</v>
      </c>
      <c r="G167" s="489">
        <v>3889</v>
      </c>
      <c r="H167" s="473" t="s">
        <v>99</v>
      </c>
      <c r="I167" s="473" t="s">
        <v>33</v>
      </c>
      <c r="J167" s="490">
        <v>133071.29999999999</v>
      </c>
      <c r="K167" s="491"/>
      <c r="L167" s="490">
        <v>99.5</v>
      </c>
      <c r="M167" s="490">
        <v>99.5</v>
      </c>
      <c r="N167" s="492">
        <f>J167*0.2</f>
        <v>26614.26</v>
      </c>
      <c r="O167" s="493">
        <v>0.15</v>
      </c>
      <c r="P167" s="493"/>
      <c r="Q167" s="492">
        <v>438.8</v>
      </c>
      <c r="R167" s="473" t="s">
        <v>35</v>
      </c>
      <c r="S167" s="481" t="s">
        <v>41</v>
      </c>
      <c r="T167" s="481">
        <v>86</v>
      </c>
      <c r="U167" s="494" t="s">
        <v>164</v>
      </c>
      <c r="V167" s="495"/>
      <c r="X167" s="492">
        <v>438.8</v>
      </c>
      <c r="Y167" s="492"/>
      <c r="AJ167" s="485"/>
      <c r="AK167" s="505">
        <v>438.8</v>
      </c>
    </row>
    <row r="168" spans="2:37" s="337" customFormat="1" ht="11.25" customHeight="1">
      <c r="B168" s="337" t="s">
        <v>291</v>
      </c>
      <c r="C168" s="349"/>
      <c r="D168" s="349"/>
      <c r="E168" s="350" t="s">
        <v>302</v>
      </c>
      <c r="F168" s="337" t="s">
        <v>303</v>
      </c>
      <c r="G168" s="351">
        <v>3889</v>
      </c>
      <c r="H168" s="337" t="s">
        <v>27</v>
      </c>
      <c r="I168" s="337" t="s">
        <v>33</v>
      </c>
      <c r="J168" s="352">
        <v>98623.2</v>
      </c>
      <c r="K168" s="353"/>
      <c r="L168" s="352">
        <v>65.400000000000006</v>
      </c>
      <c r="M168" s="352">
        <v>65.400000000000006</v>
      </c>
      <c r="N168" s="354"/>
      <c r="O168" s="355">
        <v>0.15</v>
      </c>
      <c r="P168" s="355"/>
      <c r="Q168" s="354">
        <v>0</v>
      </c>
      <c r="R168" s="337" t="s">
        <v>35</v>
      </c>
      <c r="S168" s="356" t="s">
        <v>41</v>
      </c>
      <c r="T168" s="356">
        <v>86</v>
      </c>
      <c r="U168" s="357" t="s">
        <v>164</v>
      </c>
      <c r="V168" s="434"/>
      <c r="X168" s="354">
        <v>0</v>
      </c>
      <c r="Y168" s="354"/>
      <c r="AI168" s="337">
        <v>0</v>
      </c>
      <c r="AJ168" s="358"/>
      <c r="AK168" s="369"/>
    </row>
    <row r="169" spans="2:37" s="337" customFormat="1" ht="11.25" customHeight="1">
      <c r="B169" s="337" t="s">
        <v>291</v>
      </c>
      <c r="C169" s="349"/>
      <c r="D169" s="349"/>
      <c r="E169" s="350" t="s">
        <v>302</v>
      </c>
      <c r="F169" s="337" t="s">
        <v>303</v>
      </c>
      <c r="G169" s="351">
        <v>3889</v>
      </c>
      <c r="H169" s="337" t="s">
        <v>183</v>
      </c>
      <c r="I169" s="337" t="s">
        <v>33</v>
      </c>
      <c r="J169" s="352">
        <v>16787.59</v>
      </c>
      <c r="K169" s="353"/>
      <c r="L169" s="352">
        <v>13.85</v>
      </c>
      <c r="M169" s="352">
        <v>13.85</v>
      </c>
      <c r="N169" s="354">
        <f>J169*0.2</f>
        <v>3357.518</v>
      </c>
      <c r="O169" s="355">
        <v>0.15</v>
      </c>
      <c r="P169" s="355"/>
      <c r="Q169" s="354">
        <v>0</v>
      </c>
      <c r="R169" s="337" t="s">
        <v>35</v>
      </c>
      <c r="S169" s="356" t="s">
        <v>41</v>
      </c>
      <c r="T169" s="356">
        <v>86</v>
      </c>
      <c r="U169" s="357" t="s">
        <v>164</v>
      </c>
      <c r="V169" s="434"/>
      <c r="X169" s="354">
        <v>0</v>
      </c>
      <c r="Y169" s="354"/>
      <c r="AI169" s="337">
        <v>0</v>
      </c>
      <c r="AJ169" s="358"/>
      <c r="AK169" s="369"/>
    </row>
    <row r="170" spans="2:37" s="153" customFormat="1" ht="11.25" customHeight="1">
      <c r="B170" s="153" t="s">
        <v>291</v>
      </c>
      <c r="C170" s="155">
        <v>44650</v>
      </c>
      <c r="D170" s="155">
        <v>44651</v>
      </c>
      <c r="E170" s="156" t="s">
        <v>304</v>
      </c>
      <c r="F170" s="153" t="s">
        <v>305</v>
      </c>
      <c r="G170" s="157">
        <v>3516</v>
      </c>
      <c r="H170" s="153" t="s">
        <v>138</v>
      </c>
      <c r="I170" s="153" t="s">
        <v>33</v>
      </c>
      <c r="J170" s="158">
        <v>6708.8</v>
      </c>
      <c r="K170" s="163"/>
      <c r="L170" s="158">
        <v>5</v>
      </c>
      <c r="M170" s="158">
        <v>5</v>
      </c>
      <c r="N170" s="159"/>
      <c r="O170" s="160">
        <v>0.3</v>
      </c>
      <c r="P170" s="160"/>
      <c r="Q170" s="159">
        <v>0</v>
      </c>
      <c r="R170" s="153" t="s">
        <v>35</v>
      </c>
      <c r="S170" s="161" t="s">
        <v>34</v>
      </c>
      <c r="T170" s="161">
        <v>79</v>
      </c>
      <c r="U170" s="162" t="s">
        <v>164</v>
      </c>
      <c r="V170" s="435"/>
      <c r="W170" s="153" t="s">
        <v>1865</v>
      </c>
      <c r="X170" s="159">
        <v>0</v>
      </c>
      <c r="Y170" s="159"/>
      <c r="AD170" s="176">
        <f>X170</f>
        <v>0</v>
      </c>
      <c r="AJ170" s="644"/>
    </row>
    <row r="171" spans="2:37" s="153" customFormat="1" ht="11.25" customHeight="1">
      <c r="B171" s="153" t="s">
        <v>291</v>
      </c>
      <c r="C171" s="155"/>
      <c r="D171" s="155"/>
      <c r="E171" s="156" t="s">
        <v>304</v>
      </c>
      <c r="F171" s="153" t="s">
        <v>305</v>
      </c>
      <c r="G171" s="157">
        <v>3516</v>
      </c>
      <c r="H171" s="153" t="s">
        <v>99</v>
      </c>
      <c r="I171" s="153" t="s">
        <v>33</v>
      </c>
      <c r="J171" s="158">
        <v>64510.78</v>
      </c>
      <c r="K171" s="163"/>
      <c r="L171" s="158">
        <v>42.87</v>
      </c>
      <c r="M171" s="158">
        <v>42.87</v>
      </c>
      <c r="N171" s="159"/>
      <c r="O171" s="160">
        <v>0.3</v>
      </c>
      <c r="P171" s="160"/>
      <c r="Q171" s="159">
        <v>0</v>
      </c>
      <c r="R171" s="153" t="s">
        <v>35</v>
      </c>
      <c r="S171" s="161" t="s">
        <v>34</v>
      </c>
      <c r="T171" s="161">
        <v>79</v>
      </c>
      <c r="U171" s="162" t="s">
        <v>164</v>
      </c>
      <c r="V171" s="435"/>
      <c r="W171" s="153" t="s">
        <v>1865</v>
      </c>
      <c r="X171" s="159">
        <v>0</v>
      </c>
      <c r="Y171" s="159"/>
      <c r="AD171" s="176">
        <f>X171</f>
        <v>0</v>
      </c>
      <c r="AJ171" s="644"/>
    </row>
    <row r="172" spans="2:37" s="153" customFormat="1" ht="11.25" customHeight="1">
      <c r="B172" s="153" t="s">
        <v>291</v>
      </c>
      <c r="C172" s="155"/>
      <c r="D172" s="155"/>
      <c r="E172" s="156" t="s">
        <v>304</v>
      </c>
      <c r="F172" s="153" t="s">
        <v>305</v>
      </c>
      <c r="G172" s="157">
        <v>3516</v>
      </c>
      <c r="H172" s="153" t="s">
        <v>27</v>
      </c>
      <c r="I172" s="153" t="s">
        <v>33</v>
      </c>
      <c r="J172" s="158">
        <v>39767.49</v>
      </c>
      <c r="K172" s="163"/>
      <c r="L172" s="158">
        <v>23.82</v>
      </c>
      <c r="M172" s="158">
        <v>23.82</v>
      </c>
      <c r="N172" s="159"/>
      <c r="O172" s="160">
        <v>0.3</v>
      </c>
      <c r="P172" s="160"/>
      <c r="Q172" s="159">
        <v>0</v>
      </c>
      <c r="R172" s="153" t="s">
        <v>35</v>
      </c>
      <c r="S172" s="161" t="s">
        <v>34</v>
      </c>
      <c r="T172" s="161">
        <v>79</v>
      </c>
      <c r="U172" s="162" t="s">
        <v>164</v>
      </c>
      <c r="V172" s="435"/>
      <c r="W172" s="153" t="s">
        <v>1888</v>
      </c>
      <c r="X172" s="159">
        <v>0</v>
      </c>
      <c r="Y172" s="159"/>
      <c r="AD172" s="176">
        <f>X172</f>
        <v>0</v>
      </c>
      <c r="AJ172" s="644"/>
    </row>
    <row r="173" spans="2:37" s="205" customFormat="1" ht="11.25" customHeight="1">
      <c r="B173" s="205" t="s">
        <v>291</v>
      </c>
      <c r="C173" s="207">
        <v>44651</v>
      </c>
      <c r="D173" s="207">
        <v>44651</v>
      </c>
      <c r="E173" s="208" t="s">
        <v>306</v>
      </c>
      <c r="F173" s="205" t="s">
        <v>307</v>
      </c>
      <c r="G173" s="209">
        <v>3715</v>
      </c>
      <c r="H173" s="205" t="s">
        <v>27</v>
      </c>
      <c r="I173" s="205" t="s">
        <v>156</v>
      </c>
      <c r="J173" s="210">
        <v>10275</v>
      </c>
      <c r="K173" s="219"/>
      <c r="L173" s="210">
        <v>10.11</v>
      </c>
      <c r="M173" s="210">
        <v>10.11</v>
      </c>
      <c r="N173" s="213">
        <v>513.74976000000004</v>
      </c>
      <c r="O173" s="212">
        <v>0.2</v>
      </c>
      <c r="P173" s="212">
        <v>0.1</v>
      </c>
      <c r="Q173" s="213">
        <v>0</v>
      </c>
      <c r="R173" s="205" t="s">
        <v>128</v>
      </c>
      <c r="S173" s="214" t="s">
        <v>41</v>
      </c>
      <c r="T173" s="214">
        <v>79</v>
      </c>
      <c r="U173" s="215" t="s">
        <v>164</v>
      </c>
      <c r="V173" s="438"/>
      <c r="W173" s="205" t="s">
        <v>3254</v>
      </c>
      <c r="X173" s="213">
        <v>0</v>
      </c>
      <c r="Y173" s="213"/>
      <c r="AF173" s="230">
        <f>X173</f>
        <v>0</v>
      </c>
      <c r="AJ173" s="216"/>
    </row>
    <row r="174" spans="2:37" s="261" customFormat="1" ht="11.25" customHeight="1">
      <c r="B174" s="261" t="s">
        <v>291</v>
      </c>
      <c r="C174" s="259">
        <v>44651</v>
      </c>
      <c r="D174" s="259">
        <v>44651</v>
      </c>
      <c r="E174" s="260" t="s">
        <v>308</v>
      </c>
      <c r="F174" s="261" t="s">
        <v>309</v>
      </c>
      <c r="G174" s="262">
        <v>4382</v>
      </c>
      <c r="H174" s="261" t="s">
        <v>99</v>
      </c>
      <c r="I174" s="261" t="s">
        <v>33</v>
      </c>
      <c r="J174" s="263">
        <v>82429.210000000006</v>
      </c>
      <c r="K174" s="264"/>
      <c r="L174" s="263">
        <v>64.91</v>
      </c>
      <c r="M174" s="263">
        <v>64.91</v>
      </c>
      <c r="N174" s="265"/>
      <c r="O174" s="266">
        <v>0.3</v>
      </c>
      <c r="P174" s="266"/>
      <c r="Q174" s="265">
        <v>1700.42</v>
      </c>
      <c r="R174" s="261" t="s">
        <v>35</v>
      </c>
      <c r="S174" s="267" t="s">
        <v>34</v>
      </c>
      <c r="T174" s="267">
        <v>17</v>
      </c>
      <c r="U174" s="268" t="s">
        <v>164</v>
      </c>
      <c r="V174" s="427"/>
      <c r="X174" s="261">
        <v>1700.42</v>
      </c>
      <c r="Y174" s="265"/>
      <c r="AG174" s="261">
        <f>X174</f>
        <v>1700.42</v>
      </c>
      <c r="AJ174" s="642"/>
    </row>
    <row r="175" spans="2:37" s="261" customFormat="1" ht="11.25" customHeight="1">
      <c r="B175" s="261" t="s">
        <v>291</v>
      </c>
      <c r="C175" s="259"/>
      <c r="D175" s="259"/>
      <c r="E175" s="260" t="s">
        <v>308</v>
      </c>
      <c r="F175" s="261" t="s">
        <v>309</v>
      </c>
      <c r="G175" s="262">
        <v>4382</v>
      </c>
      <c r="H175" s="261" t="s">
        <v>27</v>
      </c>
      <c r="I175" s="261" t="s">
        <v>33</v>
      </c>
      <c r="J175" s="263">
        <v>22400.81</v>
      </c>
      <c r="K175" s="264"/>
      <c r="L175" s="263">
        <v>20.190000000000001</v>
      </c>
      <c r="M175" s="263">
        <v>20.190000000000001</v>
      </c>
      <c r="N175" s="265"/>
      <c r="O175" s="266">
        <v>0.3</v>
      </c>
      <c r="P175" s="266"/>
      <c r="Q175" s="265">
        <v>697.09</v>
      </c>
      <c r="R175" s="261" t="s">
        <v>35</v>
      </c>
      <c r="S175" s="267" t="s">
        <v>34</v>
      </c>
      <c r="T175" s="267">
        <v>17</v>
      </c>
      <c r="U175" s="268" t="s">
        <v>164</v>
      </c>
      <c r="V175" s="427"/>
      <c r="X175" s="261">
        <v>697.09</v>
      </c>
      <c r="Y175" s="265"/>
      <c r="AG175" s="261">
        <f>X175</f>
        <v>697.09</v>
      </c>
      <c r="AI175" s="273"/>
      <c r="AJ175" s="642"/>
    </row>
    <row r="176" spans="2:37" s="261" customFormat="1" ht="11.25" customHeight="1">
      <c r="B176" s="261" t="s">
        <v>291</v>
      </c>
      <c r="C176" s="259"/>
      <c r="D176" s="259"/>
      <c r="E176" s="260" t="s">
        <v>308</v>
      </c>
      <c r="F176" s="261" t="s">
        <v>309</v>
      </c>
      <c r="G176" s="262">
        <v>4382</v>
      </c>
      <c r="H176" s="261" t="s">
        <v>310</v>
      </c>
      <c r="I176" s="261" t="s">
        <v>33</v>
      </c>
      <c r="J176" s="263">
        <v>7761.36</v>
      </c>
      <c r="K176" s="264"/>
      <c r="L176" s="263">
        <v>8.76</v>
      </c>
      <c r="M176" s="263">
        <v>8.76</v>
      </c>
      <c r="N176" s="265">
        <f>J176*0.35</f>
        <v>2716.4759999999997</v>
      </c>
      <c r="O176" s="266">
        <v>0.3</v>
      </c>
      <c r="P176" s="266"/>
      <c r="Q176" s="265">
        <v>304.73</v>
      </c>
      <c r="R176" s="261" t="s">
        <v>35</v>
      </c>
      <c r="S176" s="267" t="s">
        <v>34</v>
      </c>
      <c r="T176" s="267">
        <v>17</v>
      </c>
      <c r="U176" s="268" t="s">
        <v>164</v>
      </c>
      <c r="V176" s="427"/>
      <c r="X176" s="261">
        <v>304.73</v>
      </c>
      <c r="Y176" s="265"/>
      <c r="AG176" s="261">
        <f>X176</f>
        <v>304.73</v>
      </c>
      <c r="AI176" s="273"/>
      <c r="AJ176" s="642"/>
    </row>
    <row r="177" spans="1:77" s="6" customFormat="1" ht="11.25" customHeight="1">
      <c r="A177" s="379"/>
      <c r="B177" s="379" t="s">
        <v>291</v>
      </c>
      <c r="C177" s="381">
        <v>44652</v>
      </c>
      <c r="D177" s="381">
        <v>44652</v>
      </c>
      <c r="E177" s="382" t="s">
        <v>312</v>
      </c>
      <c r="F177" s="379" t="s">
        <v>169</v>
      </c>
      <c r="G177" s="383">
        <v>3627</v>
      </c>
      <c r="H177" s="379" t="s">
        <v>99</v>
      </c>
      <c r="I177" s="379" t="s">
        <v>313</v>
      </c>
      <c r="J177" s="385">
        <v>46299.5</v>
      </c>
      <c r="K177" s="384"/>
      <c r="L177" s="385">
        <v>65</v>
      </c>
      <c r="M177" s="385">
        <v>20.2</v>
      </c>
      <c r="N177" s="386"/>
      <c r="O177" s="387">
        <v>0.15</v>
      </c>
      <c r="P177" s="387">
        <v>0.1</v>
      </c>
      <c r="Q177" s="386">
        <v>0</v>
      </c>
      <c r="R177" s="379" t="s">
        <v>35</v>
      </c>
      <c r="S177" s="388" t="s">
        <v>41</v>
      </c>
      <c r="T177" s="388">
        <v>86</v>
      </c>
      <c r="U177" s="389" t="s">
        <v>164</v>
      </c>
      <c r="V177" s="433"/>
      <c r="W177" s="379"/>
      <c r="X177" s="386">
        <v>0</v>
      </c>
      <c r="Y177" s="386"/>
      <c r="Z177" s="379"/>
      <c r="AA177" s="379"/>
      <c r="AB177" s="379"/>
      <c r="AC177" s="379"/>
      <c r="AD177" s="379"/>
      <c r="AE177" s="379"/>
      <c r="AF177" s="379"/>
      <c r="AG177" s="379"/>
      <c r="AH177" s="379"/>
      <c r="AI177" s="394"/>
      <c r="AJ177" s="390">
        <v>0</v>
      </c>
      <c r="AK177" s="379"/>
      <c r="AL177" s="379"/>
      <c r="AM177" s="379"/>
      <c r="AN177" s="379"/>
      <c r="AO177" s="379"/>
      <c r="AP177" s="379"/>
      <c r="AQ177" s="379"/>
      <c r="AR177" s="379"/>
      <c r="AS177" s="379"/>
      <c r="AT177" s="379"/>
      <c r="AU177" s="379"/>
      <c r="AV177" s="379"/>
      <c r="AW177" s="379"/>
      <c r="AX177" s="379"/>
      <c r="AY177" s="379"/>
      <c r="AZ177" s="379"/>
      <c r="BA177" s="379"/>
      <c r="BB177" s="379"/>
      <c r="BC177" s="379"/>
      <c r="BD177" s="379"/>
      <c r="BE177" s="379"/>
      <c r="BF177" s="379"/>
      <c r="BG177" s="379"/>
      <c r="BH177" s="379"/>
      <c r="BI177" s="379"/>
      <c r="BJ177" s="379"/>
      <c r="BK177" s="379"/>
      <c r="BL177" s="379"/>
      <c r="BM177" s="379"/>
      <c r="BN177" s="379"/>
      <c r="BO177" s="379"/>
      <c r="BP177" s="379"/>
      <c r="BQ177" s="379"/>
      <c r="BR177" s="379"/>
      <c r="BS177" s="379"/>
      <c r="BT177" s="379"/>
      <c r="BU177" s="379"/>
      <c r="BV177" s="379"/>
      <c r="BW177" s="379"/>
      <c r="BX177" s="379"/>
      <c r="BY177" s="379"/>
    </row>
    <row r="178" spans="1:77" s="6" customFormat="1" ht="11.25" customHeight="1">
      <c r="A178" s="379"/>
      <c r="B178" s="379" t="s">
        <v>291</v>
      </c>
      <c r="C178" s="381"/>
      <c r="D178" s="381"/>
      <c r="E178" s="382" t="s">
        <v>312</v>
      </c>
      <c r="F178" s="379" t="s">
        <v>169</v>
      </c>
      <c r="G178" s="383">
        <v>3627</v>
      </c>
      <c r="H178" s="379" t="s">
        <v>295</v>
      </c>
      <c r="I178" s="379" t="s">
        <v>313</v>
      </c>
      <c r="J178" s="385">
        <v>10247.6</v>
      </c>
      <c r="K178" s="384"/>
      <c r="L178" s="385">
        <v>17</v>
      </c>
      <c r="M178" s="385">
        <v>16.98</v>
      </c>
      <c r="N178" s="386"/>
      <c r="O178" s="387">
        <v>0.15</v>
      </c>
      <c r="P178" s="387">
        <v>0.1</v>
      </c>
      <c r="Q178" s="386">
        <v>0</v>
      </c>
      <c r="R178" s="379" t="s">
        <v>35</v>
      </c>
      <c r="S178" s="388" t="s">
        <v>41</v>
      </c>
      <c r="T178" s="388">
        <v>86</v>
      </c>
      <c r="U178" s="389" t="s">
        <v>164</v>
      </c>
      <c r="V178" s="433"/>
      <c r="W178" s="379"/>
      <c r="X178" s="386">
        <v>0</v>
      </c>
      <c r="Y178" s="386"/>
      <c r="Z178" s="379"/>
      <c r="AA178" s="379"/>
      <c r="AB178" s="379"/>
      <c r="AC178" s="379"/>
      <c r="AD178" s="379"/>
      <c r="AE178" s="379"/>
      <c r="AF178" s="379"/>
      <c r="AG178" s="379"/>
      <c r="AH178" s="379"/>
      <c r="AI178" s="394"/>
      <c r="AJ178" s="390">
        <v>0</v>
      </c>
      <c r="AK178" s="379"/>
      <c r="AL178" s="379"/>
      <c r="AM178" s="379"/>
      <c r="AN178" s="379"/>
      <c r="AO178" s="379"/>
      <c r="AP178" s="379"/>
      <c r="AQ178" s="379"/>
      <c r="AR178" s="379"/>
      <c r="AS178" s="379"/>
      <c r="AT178" s="379"/>
      <c r="AU178" s="379"/>
      <c r="AV178" s="379"/>
      <c r="AW178" s="379"/>
      <c r="AX178" s="379"/>
      <c r="AY178" s="379"/>
      <c r="AZ178" s="379"/>
      <c r="BA178" s="379"/>
      <c r="BB178" s="379"/>
      <c r="BC178" s="379"/>
      <c r="BD178" s="379"/>
      <c r="BE178" s="379"/>
      <c r="BF178" s="379"/>
      <c r="BG178" s="379"/>
      <c r="BH178" s="379"/>
      <c r="BI178" s="379"/>
      <c r="BJ178" s="379"/>
      <c r="BK178" s="379"/>
      <c r="BL178" s="379"/>
      <c r="BM178" s="379"/>
      <c r="BN178" s="379"/>
      <c r="BO178" s="379"/>
      <c r="BP178" s="379"/>
      <c r="BQ178" s="379"/>
      <c r="BR178" s="379"/>
      <c r="BS178" s="379"/>
      <c r="BT178" s="379"/>
      <c r="BU178" s="379"/>
      <c r="BV178" s="379"/>
      <c r="BW178" s="379"/>
      <c r="BX178" s="379"/>
      <c r="BY178" s="379"/>
    </row>
    <row r="179" spans="1:77" s="6" customFormat="1" ht="11.25" customHeight="1">
      <c r="A179" s="379"/>
      <c r="B179" s="379" t="s">
        <v>291</v>
      </c>
      <c r="C179" s="381"/>
      <c r="D179" s="381"/>
      <c r="E179" s="382" t="s">
        <v>312</v>
      </c>
      <c r="F179" s="379" t="s">
        <v>169</v>
      </c>
      <c r="G179" s="383">
        <v>3627</v>
      </c>
      <c r="H179" s="379" t="s">
        <v>163</v>
      </c>
      <c r="I179" s="379" t="s">
        <v>313</v>
      </c>
      <c r="J179" s="385">
        <v>14796</v>
      </c>
      <c r="K179" s="384"/>
      <c r="L179" s="385">
        <v>24</v>
      </c>
      <c r="M179" s="385">
        <v>21.53</v>
      </c>
      <c r="N179" s="386"/>
      <c r="O179" s="387">
        <v>0.15</v>
      </c>
      <c r="P179" s="387">
        <v>0.1</v>
      </c>
      <c r="Q179" s="386">
        <v>0</v>
      </c>
      <c r="R179" s="379" t="s">
        <v>35</v>
      </c>
      <c r="S179" s="388" t="s">
        <v>41</v>
      </c>
      <c r="T179" s="388">
        <v>86</v>
      </c>
      <c r="U179" s="389" t="s">
        <v>164</v>
      </c>
      <c r="V179" s="433"/>
      <c r="W179" s="379"/>
      <c r="X179" s="386">
        <v>0</v>
      </c>
      <c r="Y179" s="386"/>
      <c r="Z179" s="379"/>
      <c r="AA179" s="379"/>
      <c r="AB179" s="379"/>
      <c r="AC179" s="379"/>
      <c r="AD179" s="379"/>
      <c r="AE179" s="379"/>
      <c r="AF179" s="379"/>
      <c r="AG179" s="379"/>
      <c r="AH179" s="379"/>
      <c r="AI179" s="394"/>
      <c r="AJ179" s="390">
        <v>0</v>
      </c>
      <c r="AK179" s="379"/>
      <c r="AL179" s="379"/>
      <c r="AM179" s="379"/>
      <c r="AN179" s="379"/>
      <c r="AO179" s="379"/>
      <c r="AP179" s="379"/>
      <c r="AQ179" s="379"/>
      <c r="AR179" s="379"/>
      <c r="AS179" s="379"/>
      <c r="AT179" s="379"/>
      <c r="AU179" s="379"/>
      <c r="AV179" s="379"/>
      <c r="AW179" s="379"/>
      <c r="AX179" s="379"/>
      <c r="AY179" s="379"/>
      <c r="AZ179" s="379"/>
      <c r="BA179" s="379"/>
      <c r="BB179" s="379"/>
      <c r="BC179" s="379"/>
      <c r="BD179" s="379"/>
      <c r="BE179" s="379"/>
      <c r="BF179" s="379"/>
      <c r="BG179" s="379"/>
      <c r="BH179" s="379"/>
      <c r="BI179" s="379"/>
      <c r="BJ179" s="379"/>
      <c r="BK179" s="379"/>
      <c r="BL179" s="379"/>
      <c r="BM179" s="379"/>
      <c r="BN179" s="379"/>
      <c r="BO179" s="379"/>
      <c r="BP179" s="379"/>
      <c r="BQ179" s="379"/>
      <c r="BR179" s="379"/>
      <c r="BS179" s="379"/>
      <c r="BT179" s="379"/>
      <c r="BU179" s="379"/>
      <c r="BV179" s="379"/>
      <c r="BW179" s="379"/>
      <c r="BX179" s="379"/>
      <c r="BY179" s="379"/>
    </row>
    <row r="180" spans="1:77" s="379" customFormat="1" ht="11.25" customHeight="1">
      <c r="B180" s="379" t="s">
        <v>291</v>
      </c>
      <c r="C180" s="381"/>
      <c r="D180" s="381"/>
      <c r="E180" s="382" t="s">
        <v>312</v>
      </c>
      <c r="F180" s="379" t="s">
        <v>169</v>
      </c>
      <c r="G180" s="383">
        <v>3627</v>
      </c>
      <c r="H180" s="379" t="s">
        <v>137</v>
      </c>
      <c r="I180" s="379" t="s">
        <v>313</v>
      </c>
      <c r="J180" s="385">
        <v>12251.8</v>
      </c>
      <c r="K180" s="384"/>
      <c r="L180" s="385">
        <v>13.78</v>
      </c>
      <c r="M180" s="385">
        <v>13.7</v>
      </c>
      <c r="N180" s="386"/>
      <c r="O180" s="387">
        <v>0.15</v>
      </c>
      <c r="P180" s="387">
        <v>0.1</v>
      </c>
      <c r="Q180" s="386">
        <v>0</v>
      </c>
      <c r="R180" s="379" t="s">
        <v>35</v>
      </c>
      <c r="S180" s="388" t="s">
        <v>41</v>
      </c>
      <c r="T180" s="388">
        <v>86</v>
      </c>
      <c r="U180" s="389" t="s">
        <v>164</v>
      </c>
      <c r="V180" s="433"/>
      <c r="X180" s="386">
        <v>0</v>
      </c>
      <c r="Y180" s="386"/>
      <c r="AI180" s="394"/>
      <c r="AJ180" s="390">
        <v>0</v>
      </c>
    </row>
    <row r="181" spans="1:77" s="379" customFormat="1" ht="11.25" customHeight="1">
      <c r="B181" s="379" t="s">
        <v>291</v>
      </c>
      <c r="C181" s="381">
        <v>44651</v>
      </c>
      <c r="D181" s="381">
        <v>44652</v>
      </c>
      <c r="E181" s="382" t="s">
        <v>314</v>
      </c>
      <c r="F181" s="379" t="s">
        <v>315</v>
      </c>
      <c r="G181" s="383">
        <v>3964</v>
      </c>
      <c r="H181" s="379" t="s">
        <v>99</v>
      </c>
      <c r="I181" s="379" t="s">
        <v>33</v>
      </c>
      <c r="J181" s="385">
        <v>32626.880000000001</v>
      </c>
      <c r="K181" s="384"/>
      <c r="L181" s="385">
        <v>22.88</v>
      </c>
      <c r="M181" s="385">
        <v>22.88</v>
      </c>
      <c r="N181" s="386"/>
      <c r="O181" s="387">
        <v>0.3</v>
      </c>
      <c r="P181" s="387"/>
      <c r="Q181" s="386">
        <v>0</v>
      </c>
      <c r="R181" s="379" t="s">
        <v>35</v>
      </c>
      <c r="S181" s="388" t="s">
        <v>41</v>
      </c>
      <c r="T181" s="388">
        <v>79</v>
      </c>
      <c r="U181" s="389" t="s">
        <v>164</v>
      </c>
      <c r="V181" s="433"/>
      <c r="X181" s="386">
        <v>0</v>
      </c>
      <c r="Y181" s="386"/>
      <c r="AI181" s="394"/>
      <c r="AJ181" s="390">
        <v>0</v>
      </c>
    </row>
    <row r="182" spans="1:77" s="379" customFormat="1" ht="11.25" customHeight="1">
      <c r="B182" s="379" t="s">
        <v>291</v>
      </c>
      <c r="C182" s="381"/>
      <c r="D182" s="381"/>
      <c r="E182" s="382" t="s">
        <v>314</v>
      </c>
      <c r="F182" s="379" t="s">
        <v>315</v>
      </c>
      <c r="G182" s="383">
        <v>3964</v>
      </c>
      <c r="H182" s="379" t="s">
        <v>27</v>
      </c>
      <c r="I182" s="379" t="s">
        <v>156</v>
      </c>
      <c r="J182" s="385">
        <v>42660</v>
      </c>
      <c r="K182" s="384"/>
      <c r="L182" s="385">
        <v>27</v>
      </c>
      <c r="M182" s="385">
        <v>27</v>
      </c>
      <c r="N182" s="386"/>
      <c r="O182" s="387">
        <v>0.3</v>
      </c>
      <c r="P182" s="387">
        <v>0.1</v>
      </c>
      <c r="Q182" s="386">
        <v>0</v>
      </c>
      <c r="R182" s="379" t="s">
        <v>35</v>
      </c>
      <c r="S182" s="388" t="s">
        <v>41</v>
      </c>
      <c r="T182" s="388">
        <v>79</v>
      </c>
      <c r="U182" s="389" t="s">
        <v>164</v>
      </c>
      <c r="V182" s="433"/>
      <c r="X182" s="386">
        <v>0</v>
      </c>
      <c r="Y182" s="386"/>
      <c r="AI182" s="394"/>
      <c r="AJ182" s="390">
        <v>0</v>
      </c>
    </row>
    <row r="183" spans="1:77" s="379" customFormat="1" ht="11.25" customHeight="1">
      <c r="B183" s="379" t="s">
        <v>291</v>
      </c>
      <c r="C183" s="381"/>
      <c r="D183" s="381"/>
      <c r="E183" s="382" t="s">
        <v>314</v>
      </c>
      <c r="F183" s="379" t="s">
        <v>315</v>
      </c>
      <c r="G183" s="383">
        <v>3964</v>
      </c>
      <c r="H183" s="379" t="s">
        <v>316</v>
      </c>
      <c r="I183" s="379" t="s">
        <v>33</v>
      </c>
      <c r="J183" s="385">
        <v>27900</v>
      </c>
      <c r="K183" s="384"/>
      <c r="L183" s="385">
        <v>22.5</v>
      </c>
      <c r="M183" s="385">
        <v>22.5</v>
      </c>
      <c r="N183" s="386"/>
      <c r="O183" s="387">
        <v>0.3</v>
      </c>
      <c r="P183" s="387"/>
      <c r="Q183" s="386">
        <v>0</v>
      </c>
      <c r="R183" s="379" t="s">
        <v>35</v>
      </c>
      <c r="S183" s="388" t="s">
        <v>41</v>
      </c>
      <c r="T183" s="388">
        <v>79</v>
      </c>
      <c r="U183" s="389" t="s">
        <v>164</v>
      </c>
      <c r="V183" s="433"/>
      <c r="X183" s="386">
        <v>0</v>
      </c>
      <c r="Y183" s="386"/>
      <c r="AI183" s="394"/>
      <c r="AJ183" s="390">
        <v>0</v>
      </c>
    </row>
    <row r="184" spans="1:77" s="291" customFormat="1" ht="11.25" customHeight="1">
      <c r="B184" s="291" t="s">
        <v>291</v>
      </c>
      <c r="C184" s="292">
        <v>44652</v>
      </c>
      <c r="D184" s="292">
        <v>44652</v>
      </c>
      <c r="E184" s="293" t="s">
        <v>317</v>
      </c>
      <c r="F184" s="291" t="s">
        <v>318</v>
      </c>
      <c r="G184" s="294" t="s">
        <v>319</v>
      </c>
      <c r="H184" s="291" t="s">
        <v>99</v>
      </c>
      <c r="I184" s="291" t="s">
        <v>141</v>
      </c>
      <c r="J184" s="296">
        <v>97383.67</v>
      </c>
      <c r="K184" s="295"/>
      <c r="L184" s="296">
        <v>83.43</v>
      </c>
      <c r="M184" s="296">
        <v>83.43</v>
      </c>
      <c r="N184" s="297">
        <v>0</v>
      </c>
      <c r="O184" s="298">
        <v>0.2</v>
      </c>
      <c r="P184" s="298"/>
      <c r="Q184" s="297">
        <v>0</v>
      </c>
      <c r="R184" s="291" t="s">
        <v>285</v>
      </c>
      <c r="S184" s="299" t="s">
        <v>275</v>
      </c>
      <c r="T184" s="299">
        <v>21</v>
      </c>
      <c r="U184" s="300" t="s">
        <v>164</v>
      </c>
      <c r="V184" s="333"/>
      <c r="W184" s="291" t="s">
        <v>3807</v>
      </c>
      <c r="X184" s="297">
        <v>0</v>
      </c>
      <c r="Y184" s="297"/>
      <c r="AH184" s="291">
        <f>X184</f>
        <v>0</v>
      </c>
      <c r="AI184" s="311"/>
      <c r="AJ184" s="468"/>
    </row>
    <row r="185" spans="1:77" s="291" customFormat="1" ht="11.25" customHeight="1">
      <c r="B185" s="291" t="s">
        <v>291</v>
      </c>
      <c r="C185" s="292"/>
      <c r="D185" s="292"/>
      <c r="E185" s="293" t="s">
        <v>317</v>
      </c>
      <c r="F185" s="291" t="s">
        <v>318</v>
      </c>
      <c r="G185" s="294" t="s">
        <v>319</v>
      </c>
      <c r="H185" s="291" t="s">
        <v>137</v>
      </c>
      <c r="I185" s="291" t="s">
        <v>141</v>
      </c>
      <c r="J185" s="296">
        <v>37767.599999999999</v>
      </c>
      <c r="K185" s="295"/>
      <c r="L185" s="296">
        <v>34.97</v>
      </c>
      <c r="M185" s="296">
        <v>34.97</v>
      </c>
      <c r="N185" s="297">
        <v>0</v>
      </c>
      <c r="O185" s="298">
        <v>0.2</v>
      </c>
      <c r="P185" s="298"/>
      <c r="Q185" s="297">
        <v>0</v>
      </c>
      <c r="R185" s="291" t="s">
        <v>285</v>
      </c>
      <c r="S185" s="299" t="s">
        <v>275</v>
      </c>
      <c r="T185" s="299">
        <v>21</v>
      </c>
      <c r="U185" s="300" t="s">
        <v>164</v>
      </c>
      <c r="V185" s="333"/>
      <c r="W185" s="291" t="s">
        <v>3906</v>
      </c>
      <c r="X185" s="297">
        <v>0</v>
      </c>
      <c r="Y185" s="297"/>
      <c r="AH185" s="291">
        <f>X185</f>
        <v>0</v>
      </c>
      <c r="AI185" s="311"/>
      <c r="AJ185" s="468"/>
    </row>
    <row r="186" spans="1:77" s="291" customFormat="1" ht="11.25" customHeight="1">
      <c r="B186" s="291" t="s">
        <v>291</v>
      </c>
      <c r="C186" s="292"/>
      <c r="D186" s="292"/>
      <c r="E186" s="293" t="s">
        <v>317</v>
      </c>
      <c r="F186" s="291" t="s">
        <v>318</v>
      </c>
      <c r="G186" s="294" t="s">
        <v>319</v>
      </c>
      <c r="H186" s="291" t="s">
        <v>183</v>
      </c>
      <c r="I186" s="291" t="s">
        <v>141</v>
      </c>
      <c r="J186" s="296">
        <v>30792.13</v>
      </c>
      <c r="K186" s="295"/>
      <c r="L186" s="296">
        <v>28.81</v>
      </c>
      <c r="M186" s="296">
        <v>28.81</v>
      </c>
      <c r="N186" s="297">
        <v>0</v>
      </c>
      <c r="O186" s="298">
        <v>0.2</v>
      </c>
      <c r="P186" s="298"/>
      <c r="Q186" s="297">
        <v>0</v>
      </c>
      <c r="R186" s="291" t="s">
        <v>285</v>
      </c>
      <c r="S186" s="299" t="s">
        <v>275</v>
      </c>
      <c r="T186" s="299">
        <v>21</v>
      </c>
      <c r="U186" s="300" t="s">
        <v>164</v>
      </c>
      <c r="V186" s="333"/>
      <c r="W186" s="291" t="s">
        <v>3807</v>
      </c>
      <c r="X186" s="297">
        <v>0</v>
      </c>
      <c r="Y186" s="297"/>
      <c r="AH186" s="291">
        <f>X186</f>
        <v>0</v>
      </c>
      <c r="AI186" s="311"/>
      <c r="AJ186" s="468"/>
    </row>
    <row r="187" spans="1:77" s="291" customFormat="1" ht="11.25" customHeight="1">
      <c r="B187" s="291" t="s">
        <v>291</v>
      </c>
      <c r="C187" s="292"/>
      <c r="D187" s="292"/>
      <c r="E187" s="293" t="s">
        <v>317</v>
      </c>
      <c r="F187" s="291" t="s">
        <v>318</v>
      </c>
      <c r="G187" s="294" t="s">
        <v>319</v>
      </c>
      <c r="H187" s="291" t="s">
        <v>310</v>
      </c>
      <c r="I187" s="291" t="s">
        <v>141</v>
      </c>
      <c r="J187" s="296">
        <v>31919.1</v>
      </c>
      <c r="L187" s="296">
        <v>31.63</v>
      </c>
      <c r="M187" s="296">
        <v>31.63</v>
      </c>
      <c r="N187" s="297">
        <v>0</v>
      </c>
      <c r="O187" s="298">
        <v>0.2</v>
      </c>
      <c r="P187" s="298"/>
      <c r="Q187" s="297">
        <v>0</v>
      </c>
      <c r="R187" s="291" t="s">
        <v>285</v>
      </c>
      <c r="S187" s="299" t="s">
        <v>275</v>
      </c>
      <c r="T187" s="299">
        <v>21</v>
      </c>
      <c r="U187" s="300" t="s">
        <v>164</v>
      </c>
      <c r="V187" s="333"/>
      <c r="W187" s="291" t="s">
        <v>3906</v>
      </c>
      <c r="X187" s="297">
        <v>0</v>
      </c>
      <c r="Y187" s="297"/>
      <c r="AH187" s="291">
        <f>X187</f>
        <v>0</v>
      </c>
      <c r="AI187" s="311"/>
      <c r="AJ187" s="468"/>
    </row>
    <row r="188" spans="1:77" s="236" customFormat="1" ht="11.25" customHeight="1">
      <c r="B188" s="236" t="s">
        <v>291</v>
      </c>
      <c r="C188" s="237"/>
      <c r="D188" s="237"/>
      <c r="E188" s="238" t="s">
        <v>317</v>
      </c>
      <c r="F188" s="236" t="s">
        <v>318</v>
      </c>
      <c r="G188" s="239" t="s">
        <v>319</v>
      </c>
      <c r="H188" s="236" t="s">
        <v>27</v>
      </c>
      <c r="I188" s="236" t="s">
        <v>141</v>
      </c>
      <c r="J188" s="240">
        <v>65758.100000000006</v>
      </c>
      <c r="K188" s="241"/>
      <c r="L188" s="240">
        <v>54.73</v>
      </c>
      <c r="M188" s="240">
        <v>54.73</v>
      </c>
      <c r="N188" s="242">
        <v>0</v>
      </c>
      <c r="O188" s="243">
        <v>0.2</v>
      </c>
      <c r="P188" s="243"/>
      <c r="Q188" s="242">
        <v>0</v>
      </c>
      <c r="R188" s="236" t="s">
        <v>285</v>
      </c>
      <c r="S188" s="244" t="s">
        <v>275</v>
      </c>
      <c r="T188" s="244">
        <v>21</v>
      </c>
      <c r="U188" s="245" t="s">
        <v>164</v>
      </c>
      <c r="V188" s="446"/>
      <c r="W188" s="236" t="s">
        <v>3807</v>
      </c>
      <c r="X188" s="242">
        <v>0</v>
      </c>
      <c r="Y188" s="242"/>
      <c r="AG188" s="236">
        <f>X188</f>
        <v>0</v>
      </c>
      <c r="AJ188" s="640"/>
    </row>
    <row r="189" spans="1:77" s="291" customFormat="1" ht="11.25" customHeight="1">
      <c r="B189" s="291" t="s">
        <v>291</v>
      </c>
      <c r="C189" s="292">
        <v>44651</v>
      </c>
      <c r="D189" s="292">
        <v>44652</v>
      </c>
      <c r="E189" s="293" t="s">
        <v>320</v>
      </c>
      <c r="F189" s="291" t="s">
        <v>321</v>
      </c>
      <c r="G189" s="294">
        <v>3730</v>
      </c>
      <c r="H189" s="291" t="s">
        <v>27</v>
      </c>
      <c r="I189" s="291" t="s">
        <v>156</v>
      </c>
      <c r="J189" s="296">
        <v>31701.599999999999</v>
      </c>
      <c r="L189" s="296">
        <v>20.72</v>
      </c>
      <c r="M189" s="296">
        <v>20.72</v>
      </c>
      <c r="N189" s="297"/>
      <c r="O189" s="298">
        <v>0.25</v>
      </c>
      <c r="P189" s="298">
        <v>0.1</v>
      </c>
      <c r="Q189" s="297">
        <v>0</v>
      </c>
      <c r="R189" s="291" t="s">
        <v>35</v>
      </c>
      <c r="S189" s="299" t="s">
        <v>41</v>
      </c>
      <c r="T189" s="299">
        <v>86</v>
      </c>
      <c r="U189" s="300" t="s">
        <v>164</v>
      </c>
      <c r="V189" s="333"/>
      <c r="X189" s="297">
        <v>0</v>
      </c>
      <c r="Y189" s="297"/>
      <c r="AH189" s="291">
        <f>X189</f>
        <v>0</v>
      </c>
      <c r="AI189" s="311"/>
      <c r="AJ189" s="468"/>
    </row>
    <row r="190" spans="1:77" s="379" customFormat="1" ht="11.25" customHeight="1">
      <c r="B190" s="379" t="s">
        <v>291</v>
      </c>
      <c r="C190" s="381">
        <v>44651</v>
      </c>
      <c r="D190" s="381">
        <v>44652</v>
      </c>
      <c r="E190" s="382" t="s">
        <v>323</v>
      </c>
      <c r="F190" s="379" t="s">
        <v>322</v>
      </c>
      <c r="G190" s="383">
        <v>3648</v>
      </c>
      <c r="H190" s="379" t="s">
        <v>27</v>
      </c>
      <c r="I190" s="379" t="s">
        <v>156</v>
      </c>
      <c r="J190" s="385">
        <v>33300</v>
      </c>
      <c r="L190" s="385">
        <v>20</v>
      </c>
      <c r="M190" s="385">
        <v>20</v>
      </c>
      <c r="N190" s="386"/>
      <c r="O190" s="387">
        <v>0.2</v>
      </c>
      <c r="P190" s="387">
        <v>0.1</v>
      </c>
      <c r="Q190" s="386">
        <v>0</v>
      </c>
      <c r="R190" s="379" t="s">
        <v>35</v>
      </c>
      <c r="S190" s="388" t="s">
        <v>41</v>
      </c>
      <c r="T190" s="388">
        <v>86</v>
      </c>
      <c r="U190" s="389" t="s">
        <v>164</v>
      </c>
      <c r="V190" s="433"/>
      <c r="X190" s="386">
        <v>0</v>
      </c>
      <c r="Y190" s="386"/>
      <c r="AJ190" s="390">
        <v>0</v>
      </c>
    </row>
    <row r="191" spans="1:77" s="236" customFormat="1" ht="11.25" customHeight="1">
      <c r="B191" s="236" t="s">
        <v>291</v>
      </c>
      <c r="C191" s="237">
        <v>44652</v>
      </c>
      <c r="D191" s="237">
        <v>44653</v>
      </c>
      <c r="E191" s="238" t="s">
        <v>324</v>
      </c>
      <c r="F191" s="236" t="s">
        <v>326</v>
      </c>
      <c r="G191" s="239">
        <v>4153</v>
      </c>
      <c r="H191" s="236" t="s">
        <v>27</v>
      </c>
      <c r="I191" s="236" t="s">
        <v>325</v>
      </c>
      <c r="J191" s="240">
        <v>34684.65</v>
      </c>
      <c r="L191" s="240">
        <v>23.1</v>
      </c>
      <c r="M191" s="240">
        <v>23.1</v>
      </c>
      <c r="N191" s="242">
        <v>1734.23</v>
      </c>
      <c r="O191" s="243">
        <v>0.2</v>
      </c>
      <c r="P191" s="243"/>
      <c r="Q191" s="242">
        <v>0</v>
      </c>
      <c r="R191" s="236" t="s">
        <v>46</v>
      </c>
      <c r="S191" s="244" t="s">
        <v>47</v>
      </c>
      <c r="T191" s="244">
        <v>76</v>
      </c>
      <c r="U191" s="245" t="s">
        <v>164</v>
      </c>
      <c r="V191" s="446"/>
      <c r="X191" s="242">
        <v>0</v>
      </c>
      <c r="Y191" s="242"/>
      <c r="AG191" s="236">
        <f>X191</f>
        <v>0</v>
      </c>
      <c r="AJ191" s="640"/>
    </row>
    <row r="192" spans="1:77" s="236" customFormat="1" ht="11.25" customHeight="1">
      <c r="B192" s="236" t="s">
        <v>291</v>
      </c>
      <c r="C192" s="237"/>
      <c r="D192" s="237"/>
      <c r="E192" s="238" t="s">
        <v>324</v>
      </c>
      <c r="F192" s="236" t="s">
        <v>326</v>
      </c>
      <c r="G192" s="239">
        <v>4153</v>
      </c>
      <c r="H192" s="236" t="s">
        <v>99</v>
      </c>
      <c r="I192" s="236" t="s">
        <v>33</v>
      </c>
      <c r="J192" s="240">
        <v>107296.11</v>
      </c>
      <c r="L192" s="240">
        <v>63.92</v>
      </c>
      <c r="M192" s="240">
        <v>63.92</v>
      </c>
      <c r="N192" s="242">
        <v>6437.77</v>
      </c>
      <c r="O192" s="243">
        <v>0.2</v>
      </c>
      <c r="P192" s="243"/>
      <c r="Q192" s="242">
        <v>0</v>
      </c>
      <c r="R192" s="236" t="s">
        <v>46</v>
      </c>
      <c r="S192" s="244" t="s">
        <v>47</v>
      </c>
      <c r="T192" s="244">
        <v>76</v>
      </c>
      <c r="U192" s="245" t="s">
        <v>164</v>
      </c>
      <c r="V192" s="446"/>
      <c r="X192" s="242">
        <v>0</v>
      </c>
      <c r="Y192" s="242"/>
      <c r="AG192" s="236">
        <f>X192</f>
        <v>0</v>
      </c>
      <c r="AJ192" s="640"/>
    </row>
    <row r="193" spans="2:37" s="236" customFormat="1" ht="11.25" customHeight="1">
      <c r="B193" s="236" t="s">
        <v>291</v>
      </c>
      <c r="C193" s="237"/>
      <c r="D193" s="237"/>
      <c r="E193" s="238" t="s">
        <v>324</v>
      </c>
      <c r="F193" s="236" t="s">
        <v>326</v>
      </c>
      <c r="G193" s="239">
        <v>4153</v>
      </c>
      <c r="H193" s="236" t="s">
        <v>183</v>
      </c>
      <c r="I193" s="236" t="s">
        <v>33</v>
      </c>
      <c r="J193" s="240">
        <v>23533.65</v>
      </c>
      <c r="L193" s="240">
        <v>15.5</v>
      </c>
      <c r="M193" s="240">
        <v>15.5</v>
      </c>
      <c r="N193" s="242">
        <v>4706.7299999999996</v>
      </c>
      <c r="O193" s="243">
        <v>0.2</v>
      </c>
      <c r="P193" s="243"/>
      <c r="Q193" s="242">
        <v>0</v>
      </c>
      <c r="R193" s="236" t="s">
        <v>46</v>
      </c>
      <c r="S193" s="244" t="s">
        <v>47</v>
      </c>
      <c r="T193" s="244">
        <v>76</v>
      </c>
      <c r="U193" s="245" t="s">
        <v>164</v>
      </c>
      <c r="V193" s="446"/>
      <c r="X193" s="242">
        <v>0</v>
      </c>
      <c r="Y193" s="242"/>
      <c r="AG193" s="236">
        <f>X193</f>
        <v>0</v>
      </c>
      <c r="AJ193" s="640"/>
    </row>
    <row r="194" spans="2:37" s="236" customFormat="1" ht="11.25" customHeight="1">
      <c r="B194" s="236" t="s">
        <v>291</v>
      </c>
      <c r="C194" s="237">
        <v>44652</v>
      </c>
      <c r="D194" s="237">
        <v>44653</v>
      </c>
      <c r="E194" s="238" t="s">
        <v>327</v>
      </c>
      <c r="F194" s="236" t="s">
        <v>328</v>
      </c>
      <c r="G194" s="239">
        <v>4151</v>
      </c>
      <c r="H194" s="236" t="s">
        <v>99</v>
      </c>
      <c r="I194" s="236" t="s">
        <v>33</v>
      </c>
      <c r="J194" s="240">
        <v>59959.37</v>
      </c>
      <c r="L194" s="240">
        <v>28.81</v>
      </c>
      <c r="M194" s="240">
        <v>28.81</v>
      </c>
      <c r="N194" s="242">
        <v>2997.97</v>
      </c>
      <c r="O194" s="243">
        <v>0.2</v>
      </c>
      <c r="P194" s="243"/>
      <c r="Q194" s="242">
        <v>0</v>
      </c>
      <c r="R194" s="236" t="s">
        <v>46</v>
      </c>
      <c r="S194" s="244" t="s">
        <v>47</v>
      </c>
      <c r="T194" s="244">
        <v>76</v>
      </c>
      <c r="U194" s="245" t="s">
        <v>164</v>
      </c>
      <c r="V194" s="446"/>
      <c r="X194" s="242">
        <v>0</v>
      </c>
      <c r="Y194" s="242"/>
      <c r="AG194" s="236">
        <f>X194</f>
        <v>0</v>
      </c>
      <c r="AJ194" s="640"/>
    </row>
    <row r="195" spans="2:37" s="236" customFormat="1" ht="11.25" customHeight="1">
      <c r="B195" s="236" t="s">
        <v>291</v>
      </c>
      <c r="C195" s="237"/>
      <c r="D195" s="237"/>
      <c r="E195" s="238" t="s">
        <v>327</v>
      </c>
      <c r="F195" s="236" t="s">
        <v>328</v>
      </c>
      <c r="G195" s="239">
        <v>4151</v>
      </c>
      <c r="H195" s="236" t="s">
        <v>183</v>
      </c>
      <c r="I195" s="236" t="s">
        <v>33</v>
      </c>
      <c r="J195" s="240">
        <v>20830.82</v>
      </c>
      <c r="L195" s="240">
        <v>11.98</v>
      </c>
      <c r="M195" s="240">
        <v>11.98</v>
      </c>
      <c r="N195" s="242">
        <v>1041.54</v>
      </c>
      <c r="O195" s="243">
        <v>0.2</v>
      </c>
      <c r="P195" s="243"/>
      <c r="Q195" s="242">
        <v>0</v>
      </c>
      <c r="R195" s="236" t="s">
        <v>46</v>
      </c>
      <c r="S195" s="244" t="s">
        <v>47</v>
      </c>
      <c r="T195" s="244">
        <v>76</v>
      </c>
      <c r="U195" s="245" t="s">
        <v>164</v>
      </c>
      <c r="V195" s="446"/>
      <c r="X195" s="242">
        <v>0</v>
      </c>
      <c r="Y195" s="242"/>
      <c r="AG195" s="236">
        <f>X195</f>
        <v>0</v>
      </c>
      <c r="AJ195" s="640"/>
    </row>
    <row r="196" spans="2:37" s="291" customFormat="1" ht="11.25" customHeight="1">
      <c r="B196" s="291" t="s">
        <v>291</v>
      </c>
      <c r="C196" s="292">
        <v>44651</v>
      </c>
      <c r="D196" s="292">
        <v>44654</v>
      </c>
      <c r="E196" s="293" t="s">
        <v>329</v>
      </c>
      <c r="F196" s="291" t="s">
        <v>330</v>
      </c>
      <c r="G196" s="294">
        <v>3618</v>
      </c>
      <c r="H196" s="291" t="s">
        <v>27</v>
      </c>
      <c r="I196" s="291" t="s">
        <v>156</v>
      </c>
      <c r="J196" s="296">
        <v>29516.13</v>
      </c>
      <c r="L196" s="296">
        <v>28.98</v>
      </c>
      <c r="M196" s="296">
        <v>4.5</v>
      </c>
      <c r="N196" s="297"/>
      <c r="O196" s="298">
        <v>0.15</v>
      </c>
      <c r="P196" s="298">
        <v>0.1</v>
      </c>
      <c r="Q196" s="297">
        <v>0</v>
      </c>
      <c r="R196" s="291" t="s">
        <v>35</v>
      </c>
      <c r="S196" s="299" t="s">
        <v>41</v>
      </c>
      <c r="T196" s="299">
        <v>86</v>
      </c>
      <c r="U196" s="300" t="s">
        <v>164</v>
      </c>
      <c r="V196" s="333"/>
      <c r="W196" s="291" t="s">
        <v>3845</v>
      </c>
      <c r="X196" s="297">
        <v>0</v>
      </c>
      <c r="Y196" s="297"/>
      <c r="AH196" s="291">
        <f>X196</f>
        <v>0</v>
      </c>
      <c r="AI196" s="311"/>
      <c r="AJ196" s="468"/>
    </row>
    <row r="197" spans="2:37" s="181" customFormat="1" ht="11.25" customHeight="1">
      <c r="B197" s="181" t="s">
        <v>291</v>
      </c>
      <c r="C197" s="179">
        <v>44654</v>
      </c>
      <c r="D197" s="179">
        <v>44654</v>
      </c>
      <c r="E197" s="180" t="s">
        <v>331</v>
      </c>
      <c r="F197" s="181" t="s">
        <v>332</v>
      </c>
      <c r="G197" s="182" t="s">
        <v>333</v>
      </c>
      <c r="H197" s="181" t="s">
        <v>99</v>
      </c>
      <c r="I197" s="181" t="s">
        <v>334</v>
      </c>
      <c r="J197" s="183">
        <v>25639.68</v>
      </c>
      <c r="L197" s="183">
        <v>26.4</v>
      </c>
      <c r="M197" s="183">
        <v>26.4</v>
      </c>
      <c r="N197" s="185"/>
      <c r="O197" s="186">
        <v>0.25</v>
      </c>
      <c r="P197" s="186"/>
      <c r="Q197" s="185">
        <v>0</v>
      </c>
      <c r="R197" s="181" t="s">
        <v>142</v>
      </c>
      <c r="S197" s="187" t="s">
        <v>41</v>
      </c>
      <c r="T197" s="187">
        <v>16</v>
      </c>
      <c r="U197" s="188" t="s">
        <v>164</v>
      </c>
      <c r="V197" s="441"/>
      <c r="W197" s="181" t="s">
        <v>1907</v>
      </c>
      <c r="X197" s="185">
        <v>0</v>
      </c>
      <c r="Y197" s="185"/>
      <c r="AE197" s="204">
        <f>X197</f>
        <v>0</v>
      </c>
      <c r="AJ197" s="189"/>
    </row>
    <row r="198" spans="2:37" s="181" customFormat="1" ht="11.25" customHeight="1">
      <c r="B198" s="181" t="s">
        <v>291</v>
      </c>
      <c r="C198" s="179"/>
      <c r="D198" s="179"/>
      <c r="E198" s="180" t="s">
        <v>331</v>
      </c>
      <c r="F198" s="181" t="s">
        <v>332</v>
      </c>
      <c r="G198" s="182" t="s">
        <v>333</v>
      </c>
      <c r="H198" s="181" t="s">
        <v>183</v>
      </c>
      <c r="I198" s="181" t="s">
        <v>334</v>
      </c>
      <c r="J198" s="183">
        <v>6834.77</v>
      </c>
      <c r="L198" s="183">
        <v>8.33</v>
      </c>
      <c r="M198" s="183">
        <v>8.33</v>
      </c>
      <c r="N198" s="185"/>
      <c r="O198" s="186">
        <v>0.25</v>
      </c>
      <c r="P198" s="186"/>
      <c r="Q198" s="185">
        <v>0</v>
      </c>
      <c r="R198" s="181" t="s">
        <v>142</v>
      </c>
      <c r="S198" s="187" t="s">
        <v>41</v>
      </c>
      <c r="T198" s="187">
        <v>16</v>
      </c>
      <c r="U198" s="188" t="s">
        <v>164</v>
      </c>
      <c r="V198" s="441"/>
      <c r="W198" s="181" t="s">
        <v>1907</v>
      </c>
      <c r="X198" s="185">
        <v>0</v>
      </c>
      <c r="Y198" s="185"/>
      <c r="AE198" s="204">
        <f>X198</f>
        <v>0</v>
      </c>
      <c r="AJ198" s="189"/>
    </row>
    <row r="199" spans="2:37" s="181" customFormat="1" ht="11.25" customHeight="1">
      <c r="B199" s="181" t="s">
        <v>291</v>
      </c>
      <c r="C199" s="179"/>
      <c r="D199" s="179"/>
      <c r="E199" s="180" t="s">
        <v>331</v>
      </c>
      <c r="F199" s="181" t="s">
        <v>332</v>
      </c>
      <c r="G199" s="182" t="s">
        <v>333</v>
      </c>
      <c r="H199" s="181" t="s">
        <v>138</v>
      </c>
      <c r="I199" s="181" t="s">
        <v>334</v>
      </c>
      <c r="J199" s="183">
        <v>4072.32</v>
      </c>
      <c r="L199" s="183">
        <v>4.04</v>
      </c>
      <c r="M199" s="183">
        <v>3.33</v>
      </c>
      <c r="N199" s="185"/>
      <c r="O199" s="186">
        <v>0.25</v>
      </c>
      <c r="P199" s="186"/>
      <c r="Q199" s="185">
        <v>0</v>
      </c>
      <c r="R199" s="181" t="s">
        <v>142</v>
      </c>
      <c r="S199" s="187" t="s">
        <v>41</v>
      </c>
      <c r="T199" s="187">
        <v>16</v>
      </c>
      <c r="U199" s="188" t="s">
        <v>164</v>
      </c>
      <c r="V199" s="441"/>
      <c r="W199" s="181" t="s">
        <v>1907</v>
      </c>
      <c r="X199" s="185">
        <v>0</v>
      </c>
      <c r="Y199" s="185"/>
      <c r="AE199" s="204">
        <f>X199</f>
        <v>0</v>
      </c>
      <c r="AJ199" s="189"/>
    </row>
    <row r="200" spans="2:37" s="153" customFormat="1" ht="11.25" customHeight="1">
      <c r="B200" s="153" t="s">
        <v>291</v>
      </c>
      <c r="C200" s="155">
        <v>44651</v>
      </c>
      <c r="D200" s="155">
        <v>44654</v>
      </c>
      <c r="E200" s="156" t="s">
        <v>335</v>
      </c>
      <c r="F200" s="153" t="s">
        <v>245</v>
      </c>
      <c r="G200" s="157">
        <v>4294</v>
      </c>
      <c r="H200" s="153" t="s">
        <v>27</v>
      </c>
      <c r="I200" s="153" t="s">
        <v>33</v>
      </c>
      <c r="J200" s="158">
        <v>7462</v>
      </c>
      <c r="L200" s="158">
        <v>4.55</v>
      </c>
      <c r="M200" s="158">
        <v>4.55</v>
      </c>
      <c r="N200" s="159"/>
      <c r="O200" s="160">
        <v>0.2</v>
      </c>
      <c r="P200" s="160"/>
      <c r="Q200" s="159">
        <v>0</v>
      </c>
      <c r="R200" s="153" t="s">
        <v>35</v>
      </c>
      <c r="S200" s="161" t="s">
        <v>41</v>
      </c>
      <c r="T200" s="161">
        <v>17</v>
      </c>
      <c r="U200" s="162" t="s">
        <v>164</v>
      </c>
      <c r="V200" s="435"/>
      <c r="W200" s="153" t="s">
        <v>1883</v>
      </c>
      <c r="X200" s="159">
        <v>0</v>
      </c>
      <c r="Y200" s="159"/>
      <c r="AD200" s="176">
        <f>X200</f>
        <v>0</v>
      </c>
      <c r="AJ200" s="644"/>
    </row>
    <row r="201" spans="2:37" s="153" customFormat="1" ht="11.25" customHeight="1">
      <c r="B201" s="153" t="s">
        <v>291</v>
      </c>
      <c r="C201" s="155"/>
      <c r="D201" s="155"/>
      <c r="E201" s="156" t="s">
        <v>335</v>
      </c>
      <c r="F201" s="153" t="s">
        <v>245</v>
      </c>
      <c r="G201" s="157">
        <v>4294</v>
      </c>
      <c r="H201" s="153" t="s">
        <v>140</v>
      </c>
      <c r="I201" s="153" t="s">
        <v>33</v>
      </c>
      <c r="J201" s="158">
        <v>37049.49</v>
      </c>
      <c r="L201" s="158">
        <v>19.510000000000002</v>
      </c>
      <c r="M201" s="158">
        <v>19.510000000000002</v>
      </c>
      <c r="N201" s="159"/>
      <c r="O201" s="160">
        <v>0.2</v>
      </c>
      <c r="P201" s="160"/>
      <c r="Q201" s="159">
        <v>0</v>
      </c>
      <c r="R201" s="153" t="s">
        <v>35</v>
      </c>
      <c r="S201" s="161" t="s">
        <v>41</v>
      </c>
      <c r="T201" s="161">
        <v>17</v>
      </c>
      <c r="U201" s="162" t="s">
        <v>164</v>
      </c>
      <c r="V201" s="435"/>
      <c r="W201" s="153" t="s">
        <v>1883</v>
      </c>
      <c r="X201" s="159">
        <v>0</v>
      </c>
      <c r="Y201" s="159"/>
      <c r="AD201" s="176">
        <f>X201</f>
        <v>0</v>
      </c>
      <c r="AJ201" s="644"/>
    </row>
    <row r="202" spans="2:37" s="153" customFormat="1" ht="11.25" customHeight="1">
      <c r="B202" s="153" t="s">
        <v>291</v>
      </c>
      <c r="C202" s="155"/>
      <c r="D202" s="155"/>
      <c r="E202" s="156" t="s">
        <v>335</v>
      </c>
      <c r="F202" s="153" t="s">
        <v>245</v>
      </c>
      <c r="G202" s="157">
        <v>4294</v>
      </c>
      <c r="H202" s="153" t="s">
        <v>336</v>
      </c>
      <c r="I202" s="153" t="s">
        <v>33</v>
      </c>
      <c r="J202" s="158">
        <v>39606.14</v>
      </c>
      <c r="L202" s="158">
        <v>26.91</v>
      </c>
      <c r="M202" s="158">
        <v>26.91</v>
      </c>
      <c r="N202" s="159"/>
      <c r="O202" s="160">
        <v>0.2</v>
      </c>
      <c r="P202" s="160"/>
      <c r="Q202" s="159">
        <v>0</v>
      </c>
      <c r="R202" s="153" t="s">
        <v>35</v>
      </c>
      <c r="S202" s="161" t="s">
        <v>41</v>
      </c>
      <c r="T202" s="161">
        <v>17</v>
      </c>
      <c r="U202" s="162" t="s">
        <v>164</v>
      </c>
      <c r="V202" s="435"/>
      <c r="W202" s="153" t="s">
        <v>1883</v>
      </c>
      <c r="X202" s="159">
        <v>0</v>
      </c>
      <c r="Y202" s="159"/>
      <c r="AD202" s="176">
        <f>X202</f>
        <v>0</v>
      </c>
      <c r="AJ202" s="644"/>
    </row>
    <row r="203" spans="2:37" s="153" customFormat="1" ht="11.25" customHeight="1">
      <c r="B203" s="153" t="s">
        <v>291</v>
      </c>
      <c r="C203" s="155"/>
      <c r="D203" s="155"/>
      <c r="E203" s="156" t="s">
        <v>335</v>
      </c>
      <c r="F203" s="153" t="s">
        <v>245</v>
      </c>
      <c r="G203" s="157">
        <v>4294</v>
      </c>
      <c r="H203" s="153" t="s">
        <v>137</v>
      </c>
      <c r="I203" s="153" t="s">
        <v>33</v>
      </c>
      <c r="J203" s="158">
        <v>14047.6</v>
      </c>
      <c r="L203" s="158">
        <v>12.11</v>
      </c>
      <c r="M203" s="158">
        <v>12.11</v>
      </c>
      <c r="N203" s="159"/>
      <c r="O203" s="160">
        <v>0.2</v>
      </c>
      <c r="P203" s="160"/>
      <c r="Q203" s="159">
        <v>0</v>
      </c>
      <c r="R203" s="153" t="s">
        <v>35</v>
      </c>
      <c r="S203" s="161" t="s">
        <v>41</v>
      </c>
      <c r="T203" s="161">
        <v>17</v>
      </c>
      <c r="U203" s="162" t="s">
        <v>164</v>
      </c>
      <c r="V203" s="435"/>
      <c r="W203" s="153" t="s">
        <v>1883</v>
      </c>
      <c r="X203" s="159">
        <v>0</v>
      </c>
      <c r="Y203" s="159"/>
      <c r="AD203" s="176">
        <f>X203</f>
        <v>0</v>
      </c>
      <c r="AJ203" s="644"/>
    </row>
    <row r="204" spans="2:37" s="153" customFormat="1" ht="11.25" customHeight="1">
      <c r="B204" s="153" t="s">
        <v>291</v>
      </c>
      <c r="C204" s="155"/>
      <c r="D204" s="155"/>
      <c r="E204" s="156" t="s">
        <v>335</v>
      </c>
      <c r="F204" s="153" t="s">
        <v>245</v>
      </c>
      <c r="G204" s="157">
        <v>4294</v>
      </c>
      <c r="H204" s="153" t="s">
        <v>183</v>
      </c>
      <c r="I204" s="153" t="s">
        <v>33</v>
      </c>
      <c r="J204" s="158">
        <v>39703.54</v>
      </c>
      <c r="L204" s="158">
        <v>32.049999999999997</v>
      </c>
      <c r="M204" s="158">
        <v>32.049999999999997</v>
      </c>
      <c r="N204" s="159"/>
      <c r="O204" s="160">
        <v>0.2</v>
      </c>
      <c r="P204" s="160"/>
      <c r="Q204" s="159">
        <v>0</v>
      </c>
      <c r="R204" s="153" t="s">
        <v>35</v>
      </c>
      <c r="S204" s="161" t="s">
        <v>41</v>
      </c>
      <c r="T204" s="161">
        <v>17</v>
      </c>
      <c r="U204" s="162" t="s">
        <v>164</v>
      </c>
      <c r="V204" s="435"/>
      <c r="W204" s="153" t="s">
        <v>1883</v>
      </c>
      <c r="X204" s="159">
        <v>0</v>
      </c>
      <c r="Y204" s="159"/>
      <c r="AD204" s="176">
        <f>X204</f>
        <v>0</v>
      </c>
      <c r="AJ204" s="644"/>
    </row>
    <row r="205" spans="2:37" s="337" customFormat="1" ht="11.25" customHeight="1">
      <c r="B205" s="337" t="s">
        <v>291</v>
      </c>
      <c r="C205" s="349">
        <v>44654</v>
      </c>
      <c r="D205" s="349">
        <v>44654</v>
      </c>
      <c r="E205" s="350" t="s">
        <v>337</v>
      </c>
      <c r="F205" s="337" t="s">
        <v>338</v>
      </c>
      <c r="G205" s="351" t="s">
        <v>339</v>
      </c>
      <c r="H205" s="337" t="s">
        <v>99</v>
      </c>
      <c r="I205" s="337" t="s">
        <v>340</v>
      </c>
      <c r="J205" s="352">
        <v>168341.18</v>
      </c>
      <c r="L205" s="352">
        <v>143.44</v>
      </c>
      <c r="M205" s="352">
        <v>143.44</v>
      </c>
      <c r="N205" s="354">
        <f>0.05*J205</f>
        <v>8417.0589999999993</v>
      </c>
      <c r="O205" s="355">
        <v>0.15</v>
      </c>
      <c r="P205" s="355"/>
      <c r="Q205" s="354">
        <v>0</v>
      </c>
      <c r="R205" s="337" t="s">
        <v>42</v>
      </c>
      <c r="S205" s="356" t="s">
        <v>41</v>
      </c>
      <c r="T205" s="356">
        <v>16</v>
      </c>
      <c r="U205" s="357" t="s">
        <v>164</v>
      </c>
      <c r="V205" s="434"/>
      <c r="X205" s="354">
        <v>0</v>
      </c>
      <c r="Y205" s="354"/>
      <c r="AI205" s="337">
        <v>0</v>
      </c>
      <c r="AJ205" s="358"/>
      <c r="AK205" s="369"/>
    </row>
    <row r="206" spans="2:37" s="379" customFormat="1" ht="11.25" customHeight="1">
      <c r="B206" s="379" t="s">
        <v>291</v>
      </c>
      <c r="C206" s="381"/>
      <c r="D206" s="381"/>
      <c r="E206" s="382" t="s">
        <v>337</v>
      </c>
      <c r="F206" s="379" t="s">
        <v>338</v>
      </c>
      <c r="G206" s="383" t="s">
        <v>339</v>
      </c>
      <c r="H206" s="379" t="s">
        <v>27</v>
      </c>
      <c r="I206" s="379" t="s">
        <v>340</v>
      </c>
      <c r="J206" s="385">
        <v>92883.28</v>
      </c>
      <c r="L206" s="385">
        <v>70.58</v>
      </c>
      <c r="M206" s="385">
        <v>70.58</v>
      </c>
      <c r="N206" s="386">
        <f>0.05*J206</f>
        <v>4644.1639999999998</v>
      </c>
      <c r="O206" s="387">
        <v>0.15</v>
      </c>
      <c r="P206" s="387"/>
      <c r="Q206" s="386">
        <v>0</v>
      </c>
      <c r="R206" s="379" t="s">
        <v>42</v>
      </c>
      <c r="S206" s="388" t="s">
        <v>41</v>
      </c>
      <c r="T206" s="388">
        <v>16</v>
      </c>
      <c r="U206" s="389" t="s">
        <v>164</v>
      </c>
      <c r="V206" s="433"/>
      <c r="X206" s="386">
        <v>0</v>
      </c>
      <c r="Y206" s="386"/>
      <c r="AJ206" s="390">
        <v>0</v>
      </c>
    </row>
    <row r="207" spans="2:37" s="379" customFormat="1" ht="11.25" customHeight="1">
      <c r="B207" s="379" t="s">
        <v>291</v>
      </c>
      <c r="C207" s="381"/>
      <c r="D207" s="381"/>
      <c r="E207" s="382" t="s">
        <v>337</v>
      </c>
      <c r="F207" s="379" t="s">
        <v>338</v>
      </c>
      <c r="G207" s="383" t="s">
        <v>339</v>
      </c>
      <c r="H207" s="379" t="s">
        <v>183</v>
      </c>
      <c r="I207" s="379" t="s">
        <v>340</v>
      </c>
      <c r="J207" s="385">
        <v>2826.72</v>
      </c>
      <c r="L207" s="385">
        <v>4.16</v>
      </c>
      <c r="M207" s="385">
        <v>4.16</v>
      </c>
      <c r="N207" s="386">
        <f>0.05*J207</f>
        <v>141.33599999999998</v>
      </c>
      <c r="O207" s="387">
        <v>0.15</v>
      </c>
      <c r="P207" s="387"/>
      <c r="Q207" s="386">
        <v>0</v>
      </c>
      <c r="R207" s="379" t="s">
        <v>42</v>
      </c>
      <c r="S207" s="388" t="s">
        <v>41</v>
      </c>
      <c r="T207" s="388">
        <v>16</v>
      </c>
      <c r="U207" s="389" t="s">
        <v>164</v>
      </c>
      <c r="V207" s="433"/>
      <c r="X207" s="386">
        <v>0</v>
      </c>
      <c r="Y207" s="386"/>
      <c r="AJ207" s="390">
        <v>0</v>
      </c>
    </row>
    <row r="208" spans="2:37" s="379" customFormat="1" ht="11.25" customHeight="1">
      <c r="B208" s="379" t="s">
        <v>291</v>
      </c>
      <c r="C208" s="381"/>
      <c r="D208" s="381"/>
      <c r="E208" s="382" t="s">
        <v>337</v>
      </c>
      <c r="F208" s="379" t="s">
        <v>338</v>
      </c>
      <c r="G208" s="383" t="s">
        <v>339</v>
      </c>
      <c r="H208" s="379" t="s">
        <v>140</v>
      </c>
      <c r="I208" s="379" t="s">
        <v>340</v>
      </c>
      <c r="J208" s="385">
        <v>31370.63</v>
      </c>
      <c r="L208" s="385">
        <v>25.35</v>
      </c>
      <c r="M208" s="385">
        <v>25.35</v>
      </c>
      <c r="N208" s="386">
        <f>0.05*J208</f>
        <v>1568.5315000000001</v>
      </c>
      <c r="O208" s="387">
        <v>0.15</v>
      </c>
      <c r="P208" s="387"/>
      <c r="Q208" s="386">
        <v>0</v>
      </c>
      <c r="R208" s="379" t="s">
        <v>42</v>
      </c>
      <c r="S208" s="388" t="s">
        <v>41</v>
      </c>
      <c r="T208" s="388">
        <v>16</v>
      </c>
      <c r="U208" s="389" t="s">
        <v>164</v>
      </c>
      <c r="V208" s="433"/>
      <c r="X208" s="386">
        <v>0</v>
      </c>
      <c r="Y208" s="386"/>
      <c r="AJ208" s="390">
        <v>0</v>
      </c>
    </row>
    <row r="209" spans="1:77" s="6" customFormat="1" ht="11.25" customHeight="1">
      <c r="A209" s="379"/>
      <c r="B209" s="379" t="s">
        <v>291</v>
      </c>
      <c r="C209" s="381">
        <v>44651</v>
      </c>
      <c r="D209" s="381">
        <v>44652</v>
      </c>
      <c r="E209" s="382" t="s">
        <v>341</v>
      </c>
      <c r="F209" s="379" t="s">
        <v>342</v>
      </c>
      <c r="G209" s="383" t="s">
        <v>530</v>
      </c>
      <c r="H209" s="379" t="s">
        <v>27</v>
      </c>
      <c r="I209" s="379" t="s">
        <v>156</v>
      </c>
      <c r="J209" s="385">
        <v>21887.88</v>
      </c>
      <c r="K209" s="379"/>
      <c r="L209" s="385">
        <v>16.36</v>
      </c>
      <c r="M209" s="385">
        <v>16.36</v>
      </c>
      <c r="N209" s="386"/>
      <c r="O209" s="387">
        <v>0.2</v>
      </c>
      <c r="P209" s="387">
        <v>0.1</v>
      </c>
      <c r="Q209" s="386">
        <v>0</v>
      </c>
      <c r="R209" s="379" t="s">
        <v>35</v>
      </c>
      <c r="S209" s="388" t="s">
        <v>41</v>
      </c>
      <c r="T209" s="388">
        <v>86</v>
      </c>
      <c r="U209" s="389" t="s">
        <v>164</v>
      </c>
      <c r="V209" s="433"/>
      <c r="W209" s="379"/>
      <c r="X209" s="386">
        <v>0</v>
      </c>
      <c r="Y209" s="386"/>
      <c r="Z209" s="379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90">
        <v>0</v>
      </c>
      <c r="AK209" s="379"/>
      <c r="AL209" s="379"/>
      <c r="AM209" s="379"/>
      <c r="AN209" s="379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9"/>
      <c r="BA209" s="379"/>
      <c r="BB209" s="379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9"/>
      <c r="BQ209" s="379"/>
      <c r="BR209" s="379"/>
      <c r="BS209" s="379"/>
      <c r="BT209" s="379"/>
      <c r="BU209" s="379"/>
      <c r="BV209" s="379"/>
      <c r="BW209" s="379"/>
      <c r="BX209" s="379"/>
      <c r="BY209" s="379"/>
    </row>
    <row r="210" spans="1:77" s="6" customFormat="1" ht="11.25" customHeight="1">
      <c r="A210" s="379"/>
      <c r="B210" s="379" t="s">
        <v>291</v>
      </c>
      <c r="C210" s="381">
        <v>44651</v>
      </c>
      <c r="D210" s="381">
        <v>44652</v>
      </c>
      <c r="E210" s="382" t="s">
        <v>343</v>
      </c>
      <c r="F210" s="379" t="s">
        <v>344</v>
      </c>
      <c r="G210" s="383">
        <v>3606</v>
      </c>
      <c r="H210" s="379" t="s">
        <v>27</v>
      </c>
      <c r="I210" s="379" t="s">
        <v>156</v>
      </c>
      <c r="J210" s="385">
        <v>21600</v>
      </c>
      <c r="K210" s="379"/>
      <c r="L210" s="385">
        <v>20</v>
      </c>
      <c r="M210" s="385">
        <v>20</v>
      </c>
      <c r="N210" s="386"/>
      <c r="O210" s="387">
        <v>0.2</v>
      </c>
      <c r="P210" s="387">
        <v>0.1</v>
      </c>
      <c r="Q210" s="386">
        <v>0</v>
      </c>
      <c r="R210" s="379" t="s">
        <v>35</v>
      </c>
      <c r="S210" s="388" t="s">
        <v>41</v>
      </c>
      <c r="T210" s="388">
        <v>86</v>
      </c>
      <c r="U210" s="389" t="s">
        <v>164</v>
      </c>
      <c r="V210" s="433"/>
      <c r="W210" s="379"/>
      <c r="X210" s="386">
        <v>0</v>
      </c>
      <c r="Y210" s="386"/>
      <c r="Z210" s="379"/>
      <c r="AA210" s="379"/>
      <c r="AB210" s="379"/>
      <c r="AC210" s="379"/>
      <c r="AD210" s="379"/>
      <c r="AE210" s="379"/>
      <c r="AF210" s="379"/>
      <c r="AG210" s="379"/>
      <c r="AH210" s="379"/>
      <c r="AI210" s="379"/>
      <c r="AJ210" s="390">
        <v>0</v>
      </c>
      <c r="AK210" s="379"/>
      <c r="AL210" s="379"/>
      <c r="AM210" s="379"/>
      <c r="AN210" s="379"/>
      <c r="AO210" s="379"/>
      <c r="AP210" s="379"/>
      <c r="AQ210" s="379"/>
      <c r="AR210" s="379"/>
      <c r="AS210" s="379"/>
      <c r="AT210" s="379"/>
      <c r="AU210" s="379"/>
      <c r="AV210" s="379"/>
      <c r="AW210" s="379"/>
      <c r="AX210" s="379"/>
      <c r="AY210" s="379"/>
      <c r="AZ210" s="379"/>
      <c r="BA210" s="379"/>
      <c r="BB210" s="379"/>
      <c r="BC210" s="379"/>
      <c r="BD210" s="379"/>
      <c r="BE210" s="379"/>
      <c r="BF210" s="379"/>
      <c r="BG210" s="379"/>
      <c r="BH210" s="379"/>
      <c r="BI210" s="379"/>
      <c r="BJ210" s="379"/>
      <c r="BK210" s="379"/>
      <c r="BL210" s="379"/>
      <c r="BM210" s="379"/>
      <c r="BN210" s="379"/>
      <c r="BO210" s="379"/>
      <c r="BP210" s="379"/>
      <c r="BQ210" s="379"/>
      <c r="BR210" s="379"/>
      <c r="BS210" s="379"/>
      <c r="BT210" s="379"/>
      <c r="BU210" s="379"/>
      <c r="BV210" s="379"/>
      <c r="BW210" s="379"/>
      <c r="BX210" s="379"/>
      <c r="BY210" s="379"/>
    </row>
    <row r="211" spans="1:77" s="181" customFormat="1" ht="11.25" customHeight="1">
      <c r="B211" s="181" t="s">
        <v>291</v>
      </c>
      <c r="C211" s="179">
        <v>44655</v>
      </c>
      <c r="D211" s="179">
        <v>44655</v>
      </c>
      <c r="E211" s="180" t="s">
        <v>345</v>
      </c>
      <c r="F211" s="181" t="s">
        <v>346</v>
      </c>
      <c r="G211" s="182">
        <v>3521</v>
      </c>
      <c r="H211" s="181" t="s">
        <v>99</v>
      </c>
      <c r="I211" s="181" t="s">
        <v>141</v>
      </c>
      <c r="J211" s="183">
        <v>10832.4</v>
      </c>
      <c r="L211" s="183">
        <v>10.029999999999999</v>
      </c>
      <c r="M211" s="183">
        <v>10.029999999999999</v>
      </c>
      <c r="N211" s="185"/>
      <c r="O211" s="186">
        <v>0.15</v>
      </c>
      <c r="P211" s="186"/>
      <c r="Q211" s="185">
        <v>0</v>
      </c>
      <c r="R211" s="181" t="s">
        <v>128</v>
      </c>
      <c r="S211" s="187" t="s">
        <v>347</v>
      </c>
      <c r="T211" s="187">
        <v>79</v>
      </c>
      <c r="U211" s="188" t="s">
        <v>164</v>
      </c>
      <c r="V211" s="441"/>
      <c r="W211" s="181" t="s">
        <v>2700</v>
      </c>
      <c r="X211" s="185">
        <v>0</v>
      </c>
      <c r="Y211" s="185"/>
      <c r="AE211" s="204">
        <f>X211</f>
        <v>0</v>
      </c>
      <c r="AJ211" s="189"/>
    </row>
    <row r="212" spans="1:77" s="181" customFormat="1" ht="11.25" customHeight="1">
      <c r="B212" s="181" t="s">
        <v>291</v>
      </c>
      <c r="C212" s="179"/>
      <c r="D212" s="179"/>
      <c r="E212" s="180" t="s">
        <v>345</v>
      </c>
      <c r="F212" s="181" t="s">
        <v>346</v>
      </c>
      <c r="G212" s="182">
        <v>3521</v>
      </c>
      <c r="H212" s="181" t="s">
        <v>163</v>
      </c>
      <c r="I212" s="181" t="s">
        <v>141</v>
      </c>
      <c r="J212" s="183">
        <v>8175.14</v>
      </c>
      <c r="L212" s="183">
        <v>14.23</v>
      </c>
      <c r="M212" s="183">
        <v>14.23</v>
      </c>
      <c r="N212" s="185"/>
      <c r="O212" s="186">
        <v>0.15</v>
      </c>
      <c r="P212" s="186"/>
      <c r="Q212" s="185">
        <v>0</v>
      </c>
      <c r="R212" s="181" t="s">
        <v>128</v>
      </c>
      <c r="S212" s="187" t="s">
        <v>347</v>
      </c>
      <c r="T212" s="187">
        <v>79</v>
      </c>
      <c r="U212" s="188" t="s">
        <v>164</v>
      </c>
      <c r="V212" s="441"/>
      <c r="W212" s="181" t="s">
        <v>2700</v>
      </c>
      <c r="X212" s="185">
        <v>0</v>
      </c>
      <c r="Y212" s="185"/>
      <c r="AE212" s="204">
        <f>X212</f>
        <v>0</v>
      </c>
      <c r="AJ212" s="189"/>
    </row>
    <row r="213" spans="1:77" s="181" customFormat="1" ht="11.25" customHeight="1">
      <c r="B213" s="181" t="s">
        <v>291</v>
      </c>
      <c r="C213" s="179">
        <v>44655</v>
      </c>
      <c r="D213" s="179">
        <v>44655</v>
      </c>
      <c r="E213" s="180" t="s">
        <v>348</v>
      </c>
      <c r="F213" s="181" t="s">
        <v>349</v>
      </c>
      <c r="G213" s="182">
        <v>3520</v>
      </c>
      <c r="H213" s="181" t="s">
        <v>99</v>
      </c>
      <c r="I213" s="181" t="s">
        <v>141</v>
      </c>
      <c r="J213" s="183">
        <v>16979.87</v>
      </c>
      <c r="L213" s="183">
        <v>14.58</v>
      </c>
      <c r="M213" s="183">
        <v>14.58</v>
      </c>
      <c r="N213" s="185"/>
      <c r="O213" s="186">
        <v>0.15</v>
      </c>
      <c r="P213" s="186"/>
      <c r="Q213" s="185">
        <v>0</v>
      </c>
      <c r="R213" s="181" t="s">
        <v>128</v>
      </c>
      <c r="S213" s="187" t="s">
        <v>347</v>
      </c>
      <c r="T213" s="187">
        <v>79</v>
      </c>
      <c r="U213" s="188" t="s">
        <v>164</v>
      </c>
      <c r="V213" s="441"/>
      <c r="W213" s="181" t="s">
        <v>2697</v>
      </c>
      <c r="X213" s="185">
        <v>0</v>
      </c>
      <c r="Y213" s="185"/>
      <c r="AE213" s="204">
        <f>X213</f>
        <v>0</v>
      </c>
      <c r="AJ213" s="189"/>
    </row>
    <row r="214" spans="1:77" s="181" customFormat="1" ht="11.25" customHeight="1">
      <c r="B214" s="181" t="s">
        <v>291</v>
      </c>
      <c r="C214" s="179"/>
      <c r="D214" s="179"/>
      <c r="E214" s="180" t="s">
        <v>348</v>
      </c>
      <c r="F214" s="181" t="s">
        <v>349</v>
      </c>
      <c r="G214" s="182">
        <v>3520</v>
      </c>
      <c r="H214" s="181" t="s">
        <v>183</v>
      </c>
      <c r="I214" s="181" t="s">
        <v>141</v>
      </c>
      <c r="J214" s="183">
        <v>13463.47</v>
      </c>
      <c r="L214" s="183">
        <v>14.19</v>
      </c>
      <c r="M214" s="183">
        <v>14.19</v>
      </c>
      <c r="N214" s="185"/>
      <c r="O214" s="186">
        <v>0.15</v>
      </c>
      <c r="P214" s="186"/>
      <c r="Q214" s="185">
        <v>0</v>
      </c>
      <c r="R214" s="181" t="s">
        <v>128</v>
      </c>
      <c r="S214" s="187" t="s">
        <v>347</v>
      </c>
      <c r="T214" s="187">
        <v>79</v>
      </c>
      <c r="U214" s="188" t="s">
        <v>164</v>
      </c>
      <c r="V214" s="441"/>
      <c r="W214" s="181" t="s">
        <v>2697</v>
      </c>
      <c r="X214" s="185">
        <v>0</v>
      </c>
      <c r="Y214" s="185"/>
      <c r="AE214" s="204">
        <f>X214</f>
        <v>0</v>
      </c>
      <c r="AJ214" s="189"/>
    </row>
    <row r="215" spans="1:77" s="261" customFormat="1" ht="11.25" customHeight="1">
      <c r="B215" s="261" t="s">
        <v>291</v>
      </c>
      <c r="C215" s="259">
        <v>44654</v>
      </c>
      <c r="D215" s="259">
        <v>44655</v>
      </c>
      <c r="E215" s="260" t="s">
        <v>350</v>
      </c>
      <c r="F215" s="261" t="s">
        <v>351</v>
      </c>
      <c r="G215" s="262" t="s">
        <v>531</v>
      </c>
      <c r="H215" s="261" t="s">
        <v>99</v>
      </c>
      <c r="I215" s="261" t="s">
        <v>141</v>
      </c>
      <c r="J215" s="263">
        <v>32997</v>
      </c>
      <c r="L215" s="263">
        <v>25.88</v>
      </c>
      <c r="M215" s="263">
        <v>25.88</v>
      </c>
      <c r="N215" s="265">
        <v>3299.7</v>
      </c>
      <c r="O215" s="266">
        <v>0.25</v>
      </c>
      <c r="P215" s="266"/>
      <c r="Q215" s="265">
        <v>0</v>
      </c>
      <c r="R215" s="261" t="s">
        <v>128</v>
      </c>
      <c r="S215" s="267" t="s">
        <v>41</v>
      </c>
      <c r="T215" s="267">
        <v>79</v>
      </c>
      <c r="U215" s="268" t="s">
        <v>164</v>
      </c>
      <c r="V215" s="427"/>
      <c r="X215" s="265">
        <v>0</v>
      </c>
      <c r="Y215" s="265"/>
      <c r="AG215" s="261">
        <f>X215</f>
        <v>0</v>
      </c>
      <c r="AJ215" s="642"/>
    </row>
    <row r="216" spans="1:77" s="261" customFormat="1" ht="11.25" customHeight="1">
      <c r="B216" s="261" t="s">
        <v>291</v>
      </c>
      <c r="C216" s="259"/>
      <c r="D216" s="259"/>
      <c r="E216" s="260" t="s">
        <v>350</v>
      </c>
      <c r="F216" s="261" t="s">
        <v>351</v>
      </c>
      <c r="G216" s="262" t="s">
        <v>531</v>
      </c>
      <c r="H216" s="261" t="s">
        <v>27</v>
      </c>
      <c r="I216" s="261" t="s">
        <v>141</v>
      </c>
      <c r="J216" s="263">
        <v>23819.73</v>
      </c>
      <c r="L216" s="263">
        <v>15.95</v>
      </c>
      <c r="M216" s="263">
        <v>15.95</v>
      </c>
      <c r="N216" s="265">
        <v>2381.973</v>
      </c>
      <c r="O216" s="266">
        <v>0.25</v>
      </c>
      <c r="P216" s="266"/>
      <c r="Q216" s="265">
        <v>0</v>
      </c>
      <c r="R216" s="261" t="s">
        <v>128</v>
      </c>
      <c r="S216" s="267" t="s">
        <v>41</v>
      </c>
      <c r="T216" s="267">
        <v>79</v>
      </c>
      <c r="U216" s="268" t="s">
        <v>164</v>
      </c>
      <c r="V216" s="427"/>
      <c r="X216" s="265">
        <v>0</v>
      </c>
      <c r="Y216" s="265"/>
      <c r="AG216" s="261">
        <f>X216</f>
        <v>0</v>
      </c>
      <c r="AJ216" s="642"/>
    </row>
    <row r="217" spans="1:77" s="337" customFormat="1" ht="11.25" customHeight="1">
      <c r="A217" s="379"/>
      <c r="B217" s="379" t="s">
        <v>291</v>
      </c>
      <c r="C217" s="381"/>
      <c r="D217" s="381"/>
      <c r="E217" s="382" t="s">
        <v>352</v>
      </c>
      <c r="F217" s="379" t="s">
        <v>353</v>
      </c>
      <c r="G217" s="383">
        <v>3587</v>
      </c>
      <c r="H217" s="379" t="s">
        <v>27</v>
      </c>
      <c r="I217" s="379" t="s">
        <v>141</v>
      </c>
      <c r="J217" s="385">
        <v>79794.259999999995</v>
      </c>
      <c r="K217" s="379"/>
      <c r="L217" s="385">
        <v>51.58</v>
      </c>
      <c r="M217" s="385">
        <v>51.58</v>
      </c>
      <c r="N217" s="386"/>
      <c r="O217" s="387">
        <v>0.15</v>
      </c>
      <c r="P217" s="387"/>
      <c r="Q217" s="386">
        <v>0</v>
      </c>
      <c r="R217" s="379" t="s">
        <v>35</v>
      </c>
      <c r="S217" s="388" t="s">
        <v>41</v>
      </c>
      <c r="T217" s="388">
        <v>86</v>
      </c>
      <c r="U217" s="389" t="s">
        <v>164</v>
      </c>
      <c r="V217" s="433"/>
      <c r="W217" s="379"/>
      <c r="X217" s="386">
        <v>0</v>
      </c>
      <c r="Y217" s="386"/>
      <c r="Z217" s="379"/>
      <c r="AA217" s="379"/>
      <c r="AB217" s="379"/>
      <c r="AC217" s="379"/>
      <c r="AD217" s="379"/>
      <c r="AE217" s="379"/>
      <c r="AF217" s="379"/>
      <c r="AG217" s="379"/>
      <c r="AH217" s="379"/>
      <c r="AI217" s="379"/>
      <c r="AJ217" s="390">
        <v>0</v>
      </c>
      <c r="AK217" s="379"/>
      <c r="AL217" s="379"/>
      <c r="AM217" s="379"/>
      <c r="AN217" s="379"/>
      <c r="AO217" s="379"/>
      <c r="AP217" s="379"/>
      <c r="AQ217" s="379"/>
      <c r="AR217" s="379"/>
      <c r="AS217" s="379"/>
      <c r="AT217" s="379"/>
      <c r="AU217" s="379"/>
      <c r="AV217" s="379"/>
      <c r="AW217" s="379"/>
      <c r="AX217" s="379"/>
      <c r="AY217" s="379"/>
      <c r="AZ217" s="379"/>
      <c r="BA217" s="379"/>
      <c r="BB217" s="379"/>
      <c r="BC217" s="379"/>
      <c r="BD217" s="379"/>
      <c r="BE217" s="379"/>
      <c r="BF217" s="379"/>
      <c r="BG217" s="379"/>
      <c r="BH217" s="379"/>
      <c r="BI217" s="379"/>
      <c r="BJ217" s="379"/>
      <c r="BK217" s="379"/>
      <c r="BL217" s="379"/>
      <c r="BM217" s="379"/>
      <c r="BN217" s="379"/>
      <c r="BO217" s="379"/>
      <c r="BP217" s="379"/>
      <c r="BQ217" s="379"/>
      <c r="BR217" s="379"/>
      <c r="BS217" s="379"/>
      <c r="BT217" s="379"/>
      <c r="BU217" s="379"/>
      <c r="BV217" s="379"/>
      <c r="BW217" s="379"/>
      <c r="BX217" s="379"/>
      <c r="BY217" s="379"/>
    </row>
    <row r="218" spans="1:77" s="337" customFormat="1" ht="11.25" customHeight="1">
      <c r="B218" s="337" t="s">
        <v>291</v>
      </c>
      <c r="C218" s="349">
        <v>44655</v>
      </c>
      <c r="D218" s="349">
        <v>44655</v>
      </c>
      <c r="E218" s="350" t="s">
        <v>352</v>
      </c>
      <c r="F218" s="337" t="s">
        <v>353</v>
      </c>
      <c r="G218" s="351">
        <v>3587</v>
      </c>
      <c r="H218" s="337" t="s">
        <v>99</v>
      </c>
      <c r="I218" s="337" t="s">
        <v>141</v>
      </c>
      <c r="J218" s="352">
        <v>88081.05</v>
      </c>
      <c r="L218" s="352">
        <v>74.33</v>
      </c>
      <c r="M218" s="352">
        <v>74.33</v>
      </c>
      <c r="N218" s="354">
        <f>J218*0.25</f>
        <v>22020.262500000001</v>
      </c>
      <c r="O218" s="355">
        <v>0.15</v>
      </c>
      <c r="P218" s="355"/>
      <c r="Q218" s="354">
        <v>0</v>
      </c>
      <c r="R218" s="337" t="s">
        <v>35</v>
      </c>
      <c r="S218" s="356" t="s">
        <v>41</v>
      </c>
      <c r="T218" s="356">
        <v>86</v>
      </c>
      <c r="U218" s="357" t="s">
        <v>164</v>
      </c>
      <c r="V218" s="434"/>
      <c r="X218" s="354">
        <v>0</v>
      </c>
      <c r="Y218" s="354"/>
      <c r="AI218" s="337">
        <v>0</v>
      </c>
      <c r="AJ218" s="358"/>
      <c r="AK218" s="369"/>
    </row>
    <row r="219" spans="1:77" s="130" customFormat="1" ht="11.25" customHeight="1">
      <c r="B219" s="130" t="s">
        <v>291</v>
      </c>
      <c r="C219" s="131">
        <v>44655</v>
      </c>
      <c r="D219" s="131">
        <v>44655</v>
      </c>
      <c r="E219" s="132" t="s">
        <v>354</v>
      </c>
      <c r="F219" s="130" t="s">
        <v>355</v>
      </c>
      <c r="G219" s="133">
        <v>4572</v>
      </c>
      <c r="H219" s="130" t="s">
        <v>192</v>
      </c>
      <c r="I219" s="130" t="s">
        <v>141</v>
      </c>
      <c r="J219" s="134">
        <v>13922.2</v>
      </c>
      <c r="L219" s="134">
        <v>9.2200000000000006</v>
      </c>
      <c r="M219" s="134">
        <v>9.2200000000000006</v>
      </c>
      <c r="N219" s="136"/>
      <c r="O219" s="137">
        <v>0.15</v>
      </c>
      <c r="P219" s="137"/>
      <c r="Q219" s="136">
        <v>0</v>
      </c>
      <c r="R219" s="130" t="s">
        <v>128</v>
      </c>
      <c r="S219" s="138" t="s">
        <v>347</v>
      </c>
      <c r="T219" s="138">
        <v>79</v>
      </c>
      <c r="U219" s="139" t="s">
        <v>164</v>
      </c>
      <c r="V219" s="439"/>
      <c r="X219" s="136">
        <v>0</v>
      </c>
      <c r="Y219" s="136"/>
      <c r="AC219" s="144">
        <f>X219</f>
        <v>0</v>
      </c>
      <c r="AJ219" s="140"/>
    </row>
    <row r="220" spans="1:77" s="130" customFormat="1" ht="11.25" customHeight="1">
      <c r="B220" s="130" t="s">
        <v>291</v>
      </c>
      <c r="C220" s="131"/>
      <c r="D220" s="131"/>
      <c r="E220" s="132" t="s">
        <v>354</v>
      </c>
      <c r="F220" s="130" t="s">
        <v>355</v>
      </c>
      <c r="G220" s="133">
        <v>4572</v>
      </c>
      <c r="H220" s="130" t="s">
        <v>356</v>
      </c>
      <c r="I220" s="130" t="s">
        <v>141</v>
      </c>
      <c r="J220" s="134">
        <v>7534.61</v>
      </c>
      <c r="L220" s="134">
        <v>12.75</v>
      </c>
      <c r="M220" s="134">
        <v>12.75</v>
      </c>
      <c r="N220" s="136"/>
      <c r="O220" s="137">
        <v>0.15</v>
      </c>
      <c r="P220" s="137"/>
      <c r="Q220" s="136">
        <v>0</v>
      </c>
      <c r="R220" s="130" t="s">
        <v>128</v>
      </c>
      <c r="S220" s="138" t="s">
        <v>347</v>
      </c>
      <c r="T220" s="138">
        <v>79</v>
      </c>
      <c r="U220" s="139" t="s">
        <v>164</v>
      </c>
      <c r="V220" s="439"/>
      <c r="X220" s="136">
        <v>0</v>
      </c>
      <c r="Y220" s="136"/>
      <c r="AC220" s="144">
        <f>X220</f>
        <v>0</v>
      </c>
      <c r="AJ220" s="140"/>
    </row>
    <row r="221" spans="1:77" s="337" customFormat="1" ht="11.25" customHeight="1">
      <c r="B221" s="337" t="s">
        <v>291</v>
      </c>
      <c r="C221" s="349">
        <v>44653</v>
      </c>
      <c r="D221" s="349">
        <v>44655</v>
      </c>
      <c r="E221" s="350" t="s">
        <v>357</v>
      </c>
      <c r="F221" s="337" t="s">
        <v>303</v>
      </c>
      <c r="G221" s="351">
        <v>3889</v>
      </c>
      <c r="H221" s="337" t="s">
        <v>27</v>
      </c>
      <c r="I221" s="337" t="s">
        <v>156</v>
      </c>
      <c r="J221" s="352">
        <v>98623.2</v>
      </c>
      <c r="L221" s="352">
        <v>65.400000000000006</v>
      </c>
      <c r="M221" s="352">
        <v>65.400000000000006</v>
      </c>
      <c r="N221" s="354"/>
      <c r="O221" s="355">
        <v>0.15</v>
      </c>
      <c r="P221" s="355">
        <v>0.1</v>
      </c>
      <c r="Q221" s="354">
        <v>0</v>
      </c>
      <c r="R221" s="337" t="s">
        <v>35</v>
      </c>
      <c r="S221" s="356" t="s">
        <v>41</v>
      </c>
      <c r="T221" s="356">
        <v>86</v>
      </c>
      <c r="U221" s="357" t="s">
        <v>164</v>
      </c>
      <c r="V221" s="434"/>
      <c r="X221" s="354">
        <v>0</v>
      </c>
      <c r="Y221" s="354"/>
      <c r="AI221" s="337">
        <v>0</v>
      </c>
      <c r="AJ221" s="358"/>
      <c r="AK221" s="369"/>
    </row>
    <row r="222" spans="1:77" s="106" customFormat="1" ht="11.25" customHeight="1">
      <c r="B222" s="106" t="s">
        <v>291</v>
      </c>
      <c r="C222" s="107">
        <v>44654</v>
      </c>
      <c r="D222" s="107">
        <v>44655</v>
      </c>
      <c r="E222" s="108" t="s">
        <v>358</v>
      </c>
      <c r="F222" s="106" t="s">
        <v>359</v>
      </c>
      <c r="G222" s="109" t="s">
        <v>360</v>
      </c>
      <c r="H222" s="106" t="s">
        <v>99</v>
      </c>
      <c r="I222" s="106" t="s">
        <v>141</v>
      </c>
      <c r="J222" s="110">
        <v>11397.07</v>
      </c>
      <c r="L222" s="110">
        <v>11.3</v>
      </c>
      <c r="M222" s="110">
        <v>11.3</v>
      </c>
      <c r="N222" s="112">
        <v>0</v>
      </c>
      <c r="O222" s="113">
        <v>0.2</v>
      </c>
      <c r="P222" s="113"/>
      <c r="Q222" s="112">
        <v>0</v>
      </c>
      <c r="R222" s="106" t="s">
        <v>142</v>
      </c>
      <c r="S222" s="114" t="s">
        <v>150</v>
      </c>
      <c r="T222" s="114">
        <v>33</v>
      </c>
      <c r="U222" s="115" t="s">
        <v>164</v>
      </c>
      <c r="V222" s="443"/>
      <c r="X222" s="112">
        <v>0</v>
      </c>
      <c r="Y222" s="112"/>
      <c r="AB222" s="112">
        <f>X222</f>
        <v>0</v>
      </c>
      <c r="AJ222" s="116"/>
    </row>
    <row r="223" spans="1:77" s="106" customFormat="1" ht="11.25" customHeight="1">
      <c r="B223" s="106" t="s">
        <v>291</v>
      </c>
      <c r="C223" s="107"/>
      <c r="D223" s="107"/>
      <c r="E223" s="108" t="s">
        <v>358</v>
      </c>
      <c r="F223" s="106" t="s">
        <v>359</v>
      </c>
      <c r="G223" s="109" t="s">
        <v>360</v>
      </c>
      <c r="H223" s="106" t="s">
        <v>163</v>
      </c>
      <c r="I223" s="106" t="s">
        <v>141</v>
      </c>
      <c r="J223" s="110">
        <v>12960.2</v>
      </c>
      <c r="L223" s="110">
        <v>22</v>
      </c>
      <c r="M223" s="110">
        <v>22</v>
      </c>
      <c r="N223" s="112">
        <v>0</v>
      </c>
      <c r="O223" s="113">
        <v>0.2</v>
      </c>
      <c r="P223" s="113"/>
      <c r="Q223" s="112">
        <v>0</v>
      </c>
      <c r="R223" s="106" t="s">
        <v>142</v>
      </c>
      <c r="S223" s="114" t="s">
        <v>150</v>
      </c>
      <c r="T223" s="114">
        <v>33</v>
      </c>
      <c r="U223" s="115" t="s">
        <v>164</v>
      </c>
      <c r="V223" s="443"/>
      <c r="X223" s="112">
        <v>0</v>
      </c>
      <c r="Y223" s="112"/>
      <c r="AB223" s="112">
        <f>X223</f>
        <v>0</v>
      </c>
      <c r="AJ223" s="116"/>
    </row>
    <row r="224" spans="1:77" s="181" customFormat="1" ht="11.25" customHeight="1">
      <c r="B224" s="181" t="s">
        <v>291</v>
      </c>
      <c r="C224" s="179"/>
      <c r="D224" s="179"/>
      <c r="E224" s="180" t="s">
        <v>358</v>
      </c>
      <c r="F224" s="181" t="s">
        <v>359</v>
      </c>
      <c r="G224" s="182" t="s">
        <v>360</v>
      </c>
      <c r="H224" s="181" t="s">
        <v>162</v>
      </c>
      <c r="I224" s="181" t="s">
        <v>141</v>
      </c>
      <c r="J224" s="183">
        <v>7828.56</v>
      </c>
      <c r="L224" s="183">
        <v>12</v>
      </c>
      <c r="M224" s="183">
        <v>12</v>
      </c>
      <c r="N224" s="185"/>
      <c r="O224" s="186">
        <v>0.2</v>
      </c>
      <c r="P224" s="186"/>
      <c r="Q224" s="185">
        <v>0</v>
      </c>
      <c r="R224" s="181" t="s">
        <v>142</v>
      </c>
      <c r="S224" s="187" t="s">
        <v>150</v>
      </c>
      <c r="T224" s="187">
        <v>33</v>
      </c>
      <c r="U224" s="188" t="s">
        <v>164</v>
      </c>
      <c r="V224" s="441"/>
      <c r="W224" s="181" t="s">
        <v>1908</v>
      </c>
      <c r="X224" s="185">
        <v>0</v>
      </c>
      <c r="Y224" s="185"/>
      <c r="AE224" s="204">
        <f>X224</f>
        <v>0</v>
      </c>
      <c r="AJ224" s="189"/>
    </row>
    <row r="225" spans="2:37" s="261" customFormat="1" ht="11.25" customHeight="1">
      <c r="B225" s="261" t="s">
        <v>291</v>
      </c>
      <c r="C225" s="259">
        <v>44655</v>
      </c>
      <c r="D225" s="259">
        <v>44655</v>
      </c>
      <c r="E225" s="260" t="s">
        <v>361</v>
      </c>
      <c r="F225" s="261" t="s">
        <v>362</v>
      </c>
      <c r="G225" s="262">
        <v>3820</v>
      </c>
      <c r="H225" s="261" t="s">
        <v>99</v>
      </c>
      <c r="I225" s="261" t="s">
        <v>141</v>
      </c>
      <c r="J225" s="263">
        <v>13814.71</v>
      </c>
      <c r="L225" s="263">
        <v>13.3</v>
      </c>
      <c r="M225" s="263">
        <v>13.3</v>
      </c>
      <c r="N225" s="265">
        <v>1381.471</v>
      </c>
      <c r="O225" s="266">
        <v>0.2</v>
      </c>
      <c r="P225" s="266"/>
      <c r="Q225" s="265">
        <v>0</v>
      </c>
      <c r="R225" s="261" t="s">
        <v>128</v>
      </c>
      <c r="S225" s="267" t="s">
        <v>347</v>
      </c>
      <c r="T225" s="267">
        <v>79</v>
      </c>
      <c r="U225" s="268" t="s">
        <v>164</v>
      </c>
      <c r="V225" s="427"/>
      <c r="W225" s="261" t="s">
        <v>3547</v>
      </c>
      <c r="X225" s="265">
        <v>0</v>
      </c>
      <c r="Y225" s="265"/>
      <c r="AG225" s="261">
        <f>X225</f>
        <v>0</v>
      </c>
      <c r="AJ225" s="642"/>
    </row>
    <row r="226" spans="2:37" s="261" customFormat="1" ht="11.25" customHeight="1">
      <c r="B226" s="261" t="s">
        <v>291</v>
      </c>
      <c r="C226" s="259"/>
      <c r="D226" s="259"/>
      <c r="E226" s="260" t="s">
        <v>361</v>
      </c>
      <c r="F226" s="261" t="s">
        <v>362</v>
      </c>
      <c r="G226" s="262">
        <v>3820</v>
      </c>
      <c r="H226" s="261" t="s">
        <v>183</v>
      </c>
      <c r="I226" s="261" t="s">
        <v>141</v>
      </c>
      <c r="J226" s="263">
        <v>5654.93</v>
      </c>
      <c r="L226" s="263">
        <v>6.15</v>
      </c>
      <c r="M226" s="263">
        <v>6.15</v>
      </c>
      <c r="N226" s="265">
        <v>565.48249999999996</v>
      </c>
      <c r="O226" s="266">
        <v>0.2</v>
      </c>
      <c r="P226" s="266"/>
      <c r="Q226" s="265">
        <v>0</v>
      </c>
      <c r="R226" s="261" t="s">
        <v>128</v>
      </c>
      <c r="S226" s="267" t="s">
        <v>347</v>
      </c>
      <c r="T226" s="267">
        <v>79</v>
      </c>
      <c r="U226" s="268" t="s">
        <v>164</v>
      </c>
      <c r="V226" s="427"/>
      <c r="W226" s="261" t="s">
        <v>3547</v>
      </c>
      <c r="X226" s="265">
        <v>0</v>
      </c>
      <c r="Y226" s="265"/>
      <c r="AG226" s="261">
        <f>X226</f>
        <v>0</v>
      </c>
      <c r="AJ226" s="642"/>
    </row>
    <row r="227" spans="2:37" s="261" customFormat="1" ht="11.25" customHeight="1">
      <c r="B227" s="261" t="s">
        <v>291</v>
      </c>
      <c r="C227" s="259"/>
      <c r="D227" s="259"/>
      <c r="E227" s="260" t="s">
        <v>361</v>
      </c>
      <c r="F227" s="261" t="s">
        <v>362</v>
      </c>
      <c r="G227" s="262">
        <v>3820</v>
      </c>
      <c r="H227" s="261" t="s">
        <v>163</v>
      </c>
      <c r="I227" s="261" t="s">
        <v>141</v>
      </c>
      <c r="J227" s="263">
        <v>6236.1</v>
      </c>
      <c r="L227" s="263">
        <v>7.8</v>
      </c>
      <c r="M227" s="263">
        <v>7.8</v>
      </c>
      <c r="N227" s="265">
        <v>623.61</v>
      </c>
      <c r="O227" s="266">
        <v>0.2</v>
      </c>
      <c r="P227" s="266"/>
      <c r="Q227" s="265">
        <v>0</v>
      </c>
      <c r="R227" s="261" t="s">
        <v>128</v>
      </c>
      <c r="S227" s="267" t="s">
        <v>347</v>
      </c>
      <c r="T227" s="267">
        <v>79</v>
      </c>
      <c r="U227" s="268" t="s">
        <v>164</v>
      </c>
      <c r="V227" s="427"/>
      <c r="W227" s="261" t="s">
        <v>3547</v>
      </c>
      <c r="X227" s="265">
        <v>0</v>
      </c>
      <c r="Y227" s="265"/>
      <c r="AG227" s="261">
        <f>X227</f>
        <v>0</v>
      </c>
      <c r="AJ227" s="642"/>
    </row>
    <row r="228" spans="2:37" s="205" customFormat="1" ht="11.25" customHeight="1">
      <c r="B228" s="205" t="s">
        <v>291</v>
      </c>
      <c r="C228" s="207">
        <v>44653</v>
      </c>
      <c r="D228" s="207">
        <v>44655</v>
      </c>
      <c r="E228" s="208" t="s">
        <v>363</v>
      </c>
      <c r="F228" s="205" t="s">
        <v>364</v>
      </c>
      <c r="G228" s="209">
        <v>4537</v>
      </c>
      <c r="H228" s="205" t="s">
        <v>27</v>
      </c>
      <c r="I228" s="205" t="s">
        <v>141</v>
      </c>
      <c r="J228" s="210">
        <v>98543.9</v>
      </c>
      <c r="L228" s="210">
        <v>58.31</v>
      </c>
      <c r="M228" s="210">
        <v>58.31</v>
      </c>
      <c r="N228" s="213"/>
      <c r="O228" s="212">
        <v>0.2</v>
      </c>
      <c r="P228" s="212"/>
      <c r="Q228" s="213">
        <v>0</v>
      </c>
      <c r="R228" s="205" t="s">
        <v>73</v>
      </c>
      <c r="S228" s="214" t="s">
        <v>113</v>
      </c>
      <c r="T228" s="214">
        <v>81</v>
      </c>
      <c r="U228" s="215" t="s">
        <v>164</v>
      </c>
      <c r="V228" s="438"/>
      <c r="W228" s="205" t="s">
        <v>2997</v>
      </c>
      <c r="X228" s="213">
        <v>0</v>
      </c>
      <c r="Y228" s="213"/>
      <c r="AF228" s="230">
        <f>X228</f>
        <v>0</v>
      </c>
      <c r="AJ228" s="216"/>
    </row>
    <row r="229" spans="2:37" s="205" customFormat="1" ht="11.25" customHeight="1">
      <c r="B229" s="205" t="s">
        <v>291</v>
      </c>
      <c r="C229" s="207"/>
      <c r="D229" s="207"/>
      <c r="E229" s="208" t="s">
        <v>363</v>
      </c>
      <c r="F229" s="205" t="s">
        <v>364</v>
      </c>
      <c r="G229" s="209">
        <v>4537</v>
      </c>
      <c r="H229" s="205" t="s">
        <v>183</v>
      </c>
      <c r="I229" s="205" t="s">
        <v>141</v>
      </c>
      <c r="J229" s="210">
        <v>88061.74</v>
      </c>
      <c r="L229" s="210">
        <v>75.010000000000005</v>
      </c>
      <c r="M229" s="210">
        <v>75.010000000000005</v>
      </c>
      <c r="N229" s="213"/>
      <c r="O229" s="212">
        <v>0.2</v>
      </c>
      <c r="P229" s="212"/>
      <c r="Q229" s="213">
        <v>0</v>
      </c>
      <c r="R229" s="205" t="s">
        <v>73</v>
      </c>
      <c r="S229" s="214" t="s">
        <v>113</v>
      </c>
      <c r="T229" s="214">
        <v>81</v>
      </c>
      <c r="U229" s="215" t="s">
        <v>164</v>
      </c>
      <c r="V229" s="438"/>
      <c r="W229" s="205" t="s">
        <v>2997</v>
      </c>
      <c r="X229" s="213">
        <v>0</v>
      </c>
      <c r="Y229" s="213"/>
      <c r="AF229" s="230">
        <f>X229</f>
        <v>0</v>
      </c>
      <c r="AJ229" s="216"/>
    </row>
    <row r="230" spans="2:37" s="205" customFormat="1" ht="11.25" customHeight="1">
      <c r="B230" s="205" t="s">
        <v>291</v>
      </c>
      <c r="C230" s="207"/>
      <c r="D230" s="207"/>
      <c r="E230" s="208" t="s">
        <v>363</v>
      </c>
      <c r="F230" s="205" t="s">
        <v>364</v>
      </c>
      <c r="G230" s="209">
        <v>4537</v>
      </c>
      <c r="H230" s="205" t="s">
        <v>99</v>
      </c>
      <c r="I230" s="205" t="s">
        <v>141</v>
      </c>
      <c r="J230" s="210">
        <v>131802.09</v>
      </c>
      <c r="L230" s="210">
        <v>92.74</v>
      </c>
      <c r="M230" s="210">
        <v>92.74</v>
      </c>
      <c r="N230" s="213"/>
      <c r="O230" s="212">
        <v>0.2</v>
      </c>
      <c r="P230" s="212"/>
      <c r="Q230" s="213">
        <v>0</v>
      </c>
      <c r="R230" s="205" t="s">
        <v>73</v>
      </c>
      <c r="S230" s="214" t="s">
        <v>113</v>
      </c>
      <c r="T230" s="214">
        <v>81</v>
      </c>
      <c r="U230" s="215" t="s">
        <v>164</v>
      </c>
      <c r="V230" s="438"/>
      <c r="W230" s="205" t="s">
        <v>2997</v>
      </c>
      <c r="X230" s="213">
        <v>0</v>
      </c>
      <c r="Y230" s="213"/>
      <c r="AF230" s="230">
        <f>X230</f>
        <v>0</v>
      </c>
      <c r="AJ230" s="216"/>
    </row>
    <row r="231" spans="2:37" s="337" customFormat="1" ht="11.25" customHeight="1">
      <c r="B231" s="337" t="s">
        <v>291</v>
      </c>
      <c r="C231" s="349">
        <v>44655</v>
      </c>
      <c r="D231" s="349">
        <v>44655</v>
      </c>
      <c r="E231" s="350" t="s">
        <v>365</v>
      </c>
      <c r="F231" s="337" t="s">
        <v>366</v>
      </c>
      <c r="G231" s="351">
        <v>3564</v>
      </c>
      <c r="H231" s="337" t="s">
        <v>99</v>
      </c>
      <c r="I231" s="337" t="s">
        <v>141</v>
      </c>
      <c r="J231" s="352">
        <v>103578.75</v>
      </c>
      <c r="L231" s="352">
        <v>83.7</v>
      </c>
      <c r="M231" s="352">
        <v>83.7</v>
      </c>
      <c r="N231" s="354">
        <f>0.2*J231</f>
        <v>20715.75</v>
      </c>
      <c r="O231" s="355">
        <v>0.15</v>
      </c>
      <c r="P231" s="355"/>
      <c r="Q231" s="354">
        <v>0</v>
      </c>
      <c r="R231" s="337" t="s">
        <v>35</v>
      </c>
      <c r="S231" s="356" t="s">
        <v>41</v>
      </c>
      <c r="T231" s="356">
        <v>86</v>
      </c>
      <c r="U231" s="357" t="s">
        <v>164</v>
      </c>
      <c r="V231" s="434"/>
      <c r="X231" s="354">
        <v>0</v>
      </c>
      <c r="Y231" s="354"/>
      <c r="AI231" s="337">
        <v>0</v>
      </c>
      <c r="AJ231" s="358"/>
      <c r="AK231" s="369"/>
    </row>
    <row r="232" spans="2:37" s="337" customFormat="1" ht="11.25" customHeight="1">
      <c r="B232" s="337" t="s">
        <v>291</v>
      </c>
      <c r="C232" s="349"/>
      <c r="D232" s="349"/>
      <c r="E232" s="350" t="s">
        <v>365</v>
      </c>
      <c r="F232" s="337" t="s">
        <v>366</v>
      </c>
      <c r="G232" s="351">
        <v>3564</v>
      </c>
      <c r="H232" s="337" t="s">
        <v>27</v>
      </c>
      <c r="I232" s="337" t="s">
        <v>141</v>
      </c>
      <c r="J232" s="352">
        <v>17696.39</v>
      </c>
      <c r="L232" s="352">
        <v>13.38</v>
      </c>
      <c r="M232" s="352">
        <v>13.38</v>
      </c>
      <c r="N232" s="354"/>
      <c r="O232" s="355">
        <v>0.15</v>
      </c>
      <c r="P232" s="355"/>
      <c r="Q232" s="354">
        <v>0</v>
      </c>
      <c r="R232" s="337" t="s">
        <v>35</v>
      </c>
      <c r="S232" s="356" t="s">
        <v>41</v>
      </c>
      <c r="T232" s="356">
        <v>86</v>
      </c>
      <c r="U232" s="357" t="s">
        <v>164</v>
      </c>
      <c r="V232" s="434"/>
      <c r="X232" s="354">
        <v>0</v>
      </c>
      <c r="Y232" s="354"/>
      <c r="AI232" s="337">
        <v>0</v>
      </c>
      <c r="AJ232" s="358"/>
      <c r="AK232" s="369"/>
    </row>
    <row r="233" spans="2:37" s="153" customFormat="1" ht="11.25" customHeight="1">
      <c r="B233" s="153" t="s">
        <v>291</v>
      </c>
      <c r="C233" s="155">
        <v>44654</v>
      </c>
      <c r="D233" s="155">
        <v>44655</v>
      </c>
      <c r="E233" s="156" t="s">
        <v>367</v>
      </c>
      <c r="F233" s="153" t="s">
        <v>368</v>
      </c>
      <c r="G233" s="157">
        <v>4351</v>
      </c>
      <c r="H233" s="153" t="s">
        <v>27</v>
      </c>
      <c r="I233" s="153" t="s">
        <v>340</v>
      </c>
      <c r="J233" s="158">
        <v>39730.5</v>
      </c>
      <c r="L233" s="158">
        <v>27</v>
      </c>
      <c r="M233" s="158">
        <v>27</v>
      </c>
      <c r="N233" s="159"/>
      <c r="O233" s="160">
        <v>0.2</v>
      </c>
      <c r="P233" s="160"/>
      <c r="Q233" s="159">
        <v>0</v>
      </c>
      <c r="R233" s="153" t="s">
        <v>369</v>
      </c>
      <c r="S233" s="161" t="s">
        <v>41</v>
      </c>
      <c r="T233" s="161">
        <v>87</v>
      </c>
      <c r="U233" s="162" t="s">
        <v>164</v>
      </c>
      <c r="V233" s="435"/>
      <c r="X233" s="159">
        <v>0</v>
      </c>
      <c r="Y233" s="159"/>
      <c r="AD233" s="176">
        <f>X233</f>
        <v>0</v>
      </c>
      <c r="AJ233" s="644"/>
    </row>
    <row r="234" spans="2:37" s="106" customFormat="1" ht="11.25" customHeight="1">
      <c r="B234" s="106" t="s">
        <v>291</v>
      </c>
      <c r="C234" s="107">
        <v>44655</v>
      </c>
      <c r="D234" s="107">
        <v>44655</v>
      </c>
      <c r="E234" s="108" t="s">
        <v>370</v>
      </c>
      <c r="F234" s="106" t="s">
        <v>371</v>
      </c>
      <c r="G234" s="109">
        <v>3763</v>
      </c>
      <c r="H234" s="106" t="s">
        <v>99</v>
      </c>
      <c r="I234" s="106" t="s">
        <v>141</v>
      </c>
      <c r="J234" s="110">
        <v>53454.06</v>
      </c>
      <c r="L234" s="110">
        <v>35.31</v>
      </c>
      <c r="M234" s="110">
        <v>35.299999999999997</v>
      </c>
      <c r="N234" s="112"/>
      <c r="O234" s="113">
        <v>0.15</v>
      </c>
      <c r="P234" s="113"/>
      <c r="Q234" s="112">
        <v>0</v>
      </c>
      <c r="R234" s="106" t="s">
        <v>77</v>
      </c>
      <c r="S234" s="114" t="s">
        <v>41</v>
      </c>
      <c r="T234" s="114">
        <v>16</v>
      </c>
      <c r="U234" s="115" t="s">
        <v>164</v>
      </c>
      <c r="V234" s="443"/>
      <c r="X234" s="112">
        <v>0</v>
      </c>
      <c r="Y234" s="112"/>
      <c r="AJ234" s="116"/>
      <c r="AK234" s="106">
        <v>0</v>
      </c>
    </row>
    <row r="235" spans="2:37" s="337" customFormat="1" ht="11.25" customHeight="1">
      <c r="B235" s="337" t="s">
        <v>291</v>
      </c>
      <c r="C235" s="349">
        <v>44654</v>
      </c>
      <c r="D235" s="349">
        <v>44655</v>
      </c>
      <c r="E235" s="350" t="s">
        <v>372</v>
      </c>
      <c r="F235" s="337" t="s">
        <v>373</v>
      </c>
      <c r="G235" s="351" t="s">
        <v>374</v>
      </c>
      <c r="H235" s="337" t="s">
        <v>99</v>
      </c>
      <c r="I235" s="337" t="s">
        <v>340</v>
      </c>
      <c r="J235" s="352">
        <v>98758.77</v>
      </c>
      <c r="L235" s="352">
        <v>82.9</v>
      </c>
      <c r="M235" s="352">
        <v>82.9</v>
      </c>
      <c r="N235" s="354"/>
      <c r="O235" s="355">
        <v>0.25</v>
      </c>
      <c r="P235" s="355"/>
      <c r="Q235" s="354">
        <v>0</v>
      </c>
      <c r="R235" s="337" t="s">
        <v>73</v>
      </c>
      <c r="S235" s="356" t="s">
        <v>113</v>
      </c>
      <c r="T235" s="356">
        <v>81</v>
      </c>
      <c r="U235" s="357" t="s">
        <v>164</v>
      </c>
      <c r="V235" s="434"/>
      <c r="X235" s="354">
        <v>0</v>
      </c>
      <c r="Y235" s="354"/>
      <c r="AI235" s="337">
        <v>0</v>
      </c>
      <c r="AJ235" s="358"/>
      <c r="AK235" s="369"/>
    </row>
    <row r="236" spans="2:37" s="337" customFormat="1" ht="11.25" customHeight="1">
      <c r="B236" s="337" t="s">
        <v>291</v>
      </c>
      <c r="C236" s="349"/>
      <c r="D236" s="349"/>
      <c r="E236" s="350" t="s">
        <v>372</v>
      </c>
      <c r="F236" s="337" t="s">
        <v>373</v>
      </c>
      <c r="G236" s="351" t="s">
        <v>374</v>
      </c>
      <c r="H236" s="337" t="s">
        <v>183</v>
      </c>
      <c r="I236" s="337" t="s">
        <v>340</v>
      </c>
      <c r="J236" s="352">
        <v>46919.25</v>
      </c>
      <c r="L236" s="352">
        <v>49.65</v>
      </c>
      <c r="M236" s="352">
        <v>49.65</v>
      </c>
      <c r="N236" s="354"/>
      <c r="O236" s="355">
        <v>0.25</v>
      </c>
      <c r="P236" s="355"/>
      <c r="Q236" s="354">
        <v>0</v>
      </c>
      <c r="R236" s="337" t="s">
        <v>73</v>
      </c>
      <c r="S236" s="356" t="s">
        <v>113</v>
      </c>
      <c r="T236" s="356">
        <v>81</v>
      </c>
      <c r="U236" s="357" t="s">
        <v>164</v>
      </c>
      <c r="V236" s="434"/>
      <c r="X236" s="354">
        <v>0</v>
      </c>
      <c r="Y236" s="354"/>
      <c r="AI236" s="337">
        <v>0</v>
      </c>
      <c r="AJ236" s="358"/>
      <c r="AK236" s="369"/>
    </row>
    <row r="237" spans="2:37" s="261" customFormat="1" ht="11.25" customHeight="1">
      <c r="B237" s="261" t="s">
        <v>291</v>
      </c>
      <c r="C237" s="259">
        <v>44655</v>
      </c>
      <c r="D237" s="259">
        <v>44655</v>
      </c>
      <c r="E237" s="260" t="s">
        <v>375</v>
      </c>
      <c r="F237" s="261" t="s">
        <v>376</v>
      </c>
      <c r="G237" s="262">
        <v>3797</v>
      </c>
      <c r="H237" s="261" t="s">
        <v>27</v>
      </c>
      <c r="I237" s="261" t="s">
        <v>141</v>
      </c>
      <c r="J237" s="263">
        <v>18593.5</v>
      </c>
      <c r="L237" s="263">
        <v>14.5</v>
      </c>
      <c r="M237" s="263">
        <v>14.5</v>
      </c>
      <c r="N237" s="265">
        <f>0.02*J237</f>
        <v>371.87</v>
      </c>
      <c r="O237" s="266">
        <v>0.15</v>
      </c>
      <c r="P237" s="266"/>
      <c r="Q237" s="265">
        <v>0</v>
      </c>
      <c r="R237" s="261" t="s">
        <v>42</v>
      </c>
      <c r="S237" s="267" t="s">
        <v>41</v>
      </c>
      <c r="T237" s="267">
        <v>16</v>
      </c>
      <c r="U237" s="268" t="s">
        <v>164</v>
      </c>
      <c r="V237" s="427"/>
      <c r="W237" s="261" t="s">
        <v>3548</v>
      </c>
      <c r="X237" s="265">
        <v>0</v>
      </c>
      <c r="Y237" s="265"/>
      <c r="AG237" s="261">
        <f>X237</f>
        <v>0</v>
      </c>
      <c r="AJ237" s="642"/>
    </row>
    <row r="238" spans="2:37" s="261" customFormat="1" ht="11.25" customHeight="1">
      <c r="B238" s="261" t="s">
        <v>291</v>
      </c>
      <c r="C238" s="259"/>
      <c r="D238" s="259"/>
      <c r="E238" s="260" t="s">
        <v>375</v>
      </c>
      <c r="F238" s="261" t="s">
        <v>376</v>
      </c>
      <c r="G238" s="262">
        <v>3797</v>
      </c>
      <c r="H238" s="261" t="s">
        <v>138</v>
      </c>
      <c r="I238" s="261" t="s">
        <v>141</v>
      </c>
      <c r="J238" s="263">
        <v>7657.36</v>
      </c>
      <c r="L238" s="263">
        <v>7.05</v>
      </c>
      <c r="M238" s="263">
        <v>7.05</v>
      </c>
      <c r="N238" s="265">
        <f>0.02*J238</f>
        <v>153.1472</v>
      </c>
      <c r="O238" s="266">
        <v>0.15</v>
      </c>
      <c r="P238" s="266"/>
      <c r="Q238" s="265">
        <v>0</v>
      </c>
      <c r="R238" s="261" t="s">
        <v>42</v>
      </c>
      <c r="S238" s="267" t="s">
        <v>41</v>
      </c>
      <c r="T238" s="267">
        <v>16</v>
      </c>
      <c r="U238" s="268" t="s">
        <v>164</v>
      </c>
      <c r="V238" s="427"/>
      <c r="W238" s="261" t="s">
        <v>3548</v>
      </c>
      <c r="X238" s="265">
        <v>0</v>
      </c>
      <c r="Y238" s="265"/>
      <c r="AG238" s="261">
        <f>X238</f>
        <v>0</v>
      </c>
      <c r="AJ238" s="642"/>
    </row>
    <row r="239" spans="2:37" s="261" customFormat="1" ht="11.25" customHeight="1">
      <c r="B239" s="261" t="s">
        <v>291</v>
      </c>
      <c r="C239" s="259"/>
      <c r="D239" s="259"/>
      <c r="E239" s="260" t="s">
        <v>375</v>
      </c>
      <c r="F239" s="261" t="s">
        <v>376</v>
      </c>
      <c r="G239" s="262">
        <v>3797</v>
      </c>
      <c r="H239" s="261" t="s">
        <v>99</v>
      </c>
      <c r="I239" s="261" t="s">
        <v>141</v>
      </c>
      <c r="J239" s="263">
        <v>15306.32</v>
      </c>
      <c r="L239" s="263">
        <v>14.36</v>
      </c>
      <c r="M239" s="263">
        <v>14.36</v>
      </c>
      <c r="N239" s="265">
        <f>0.02*J239</f>
        <v>306.12639999999999</v>
      </c>
      <c r="O239" s="266">
        <v>0.15</v>
      </c>
      <c r="P239" s="266"/>
      <c r="Q239" s="265">
        <v>0</v>
      </c>
      <c r="R239" s="261" t="s">
        <v>42</v>
      </c>
      <c r="S239" s="267" t="s">
        <v>41</v>
      </c>
      <c r="T239" s="267">
        <v>16</v>
      </c>
      <c r="U239" s="268" t="s">
        <v>164</v>
      </c>
      <c r="V239" s="427"/>
      <c r="W239" s="261" t="s">
        <v>3548</v>
      </c>
      <c r="X239" s="265">
        <v>0</v>
      </c>
      <c r="Y239" s="265"/>
      <c r="AG239" s="261">
        <f>X239</f>
        <v>0</v>
      </c>
      <c r="AJ239" s="642"/>
    </row>
    <row r="240" spans="2:37" s="261" customFormat="1" ht="11.25" customHeight="1">
      <c r="B240" s="261" t="s">
        <v>291</v>
      </c>
      <c r="C240" s="259"/>
      <c r="D240" s="259"/>
      <c r="E240" s="260" t="s">
        <v>375</v>
      </c>
      <c r="F240" s="261" t="s">
        <v>376</v>
      </c>
      <c r="G240" s="262">
        <v>3797</v>
      </c>
      <c r="H240" s="261" t="s">
        <v>183</v>
      </c>
      <c r="I240" s="261" t="s">
        <v>141</v>
      </c>
      <c r="J240" s="263">
        <v>8366.4</v>
      </c>
      <c r="L240" s="263">
        <v>10.5</v>
      </c>
      <c r="M240" s="263">
        <v>10.5</v>
      </c>
      <c r="N240" s="265">
        <f>0.02*J240</f>
        <v>167.328</v>
      </c>
      <c r="O240" s="266">
        <v>0.15</v>
      </c>
      <c r="P240" s="266"/>
      <c r="Q240" s="265">
        <v>0</v>
      </c>
      <c r="R240" s="261" t="s">
        <v>42</v>
      </c>
      <c r="S240" s="267" t="s">
        <v>41</v>
      </c>
      <c r="T240" s="267">
        <v>16</v>
      </c>
      <c r="U240" s="268" t="s">
        <v>164</v>
      </c>
      <c r="V240" s="427"/>
      <c r="W240" s="261" t="s">
        <v>3548</v>
      </c>
      <c r="X240" s="265">
        <v>0</v>
      </c>
      <c r="Y240" s="265"/>
      <c r="AG240" s="261">
        <f>X240</f>
        <v>0</v>
      </c>
      <c r="AJ240" s="642"/>
    </row>
    <row r="241" spans="1:36" s="106" customFormat="1" ht="11.25" customHeight="1">
      <c r="B241" s="106" t="s">
        <v>291</v>
      </c>
      <c r="C241" s="107">
        <v>44654</v>
      </c>
      <c r="D241" s="107">
        <v>44655</v>
      </c>
      <c r="E241" s="108" t="s">
        <v>377</v>
      </c>
      <c r="F241" s="106" t="s">
        <v>378</v>
      </c>
      <c r="G241" s="109" t="s">
        <v>379</v>
      </c>
      <c r="H241" s="106" t="s">
        <v>99</v>
      </c>
      <c r="I241" s="106" t="s">
        <v>141</v>
      </c>
      <c r="J241" s="110">
        <v>158785.1</v>
      </c>
      <c r="L241" s="110">
        <v>131</v>
      </c>
      <c r="M241" s="110">
        <v>131</v>
      </c>
      <c r="N241" s="112">
        <v>0</v>
      </c>
      <c r="O241" s="113">
        <v>0.15</v>
      </c>
      <c r="P241" s="113"/>
      <c r="Q241" s="112">
        <v>0</v>
      </c>
      <c r="R241" s="106" t="s">
        <v>142</v>
      </c>
      <c r="S241" s="114" t="s">
        <v>2866</v>
      </c>
      <c r="T241" s="114">
        <v>24</v>
      </c>
      <c r="U241" s="115" t="s">
        <v>164</v>
      </c>
      <c r="V241" s="443"/>
      <c r="X241" s="112">
        <v>0</v>
      </c>
      <c r="Y241" s="112"/>
      <c r="AB241" s="112">
        <f>X241</f>
        <v>0</v>
      </c>
      <c r="AJ241" s="116"/>
    </row>
    <row r="242" spans="1:36" s="153" customFormat="1" ht="11.25" customHeight="1">
      <c r="B242" s="153" t="s">
        <v>291</v>
      </c>
      <c r="C242" s="155"/>
      <c r="D242" s="155"/>
      <c r="E242" s="156" t="s">
        <v>377</v>
      </c>
      <c r="F242" s="153" t="s">
        <v>378</v>
      </c>
      <c r="G242" s="157" t="s">
        <v>379</v>
      </c>
      <c r="H242" s="153" t="s">
        <v>27</v>
      </c>
      <c r="I242" s="153" t="s">
        <v>141</v>
      </c>
      <c r="J242" s="158">
        <v>38362.5</v>
      </c>
      <c r="L242" s="158">
        <v>33</v>
      </c>
      <c r="M242" s="158">
        <v>33</v>
      </c>
      <c r="N242" s="159">
        <v>6114.75</v>
      </c>
      <c r="O242" s="160">
        <v>0.15</v>
      </c>
      <c r="P242" s="160"/>
      <c r="Q242" s="159">
        <v>0</v>
      </c>
      <c r="R242" s="153" t="s">
        <v>142</v>
      </c>
      <c r="S242" s="161" t="s">
        <v>2866</v>
      </c>
      <c r="T242" s="161">
        <v>24</v>
      </c>
      <c r="U242" s="162" t="s">
        <v>164</v>
      </c>
      <c r="V242" s="435"/>
      <c r="W242" s="153" t="s">
        <v>1855</v>
      </c>
      <c r="X242" s="159">
        <v>0</v>
      </c>
      <c r="Y242" s="159"/>
      <c r="AD242" s="176">
        <f>X242</f>
        <v>0</v>
      </c>
      <c r="AJ242" s="644"/>
    </row>
    <row r="243" spans="1:36" s="291" customFormat="1" ht="11.25" customHeight="1">
      <c r="B243" s="291" t="s">
        <v>291</v>
      </c>
      <c r="C243" s="292">
        <v>44655</v>
      </c>
      <c r="D243" s="292">
        <v>44655</v>
      </c>
      <c r="E243" s="293" t="s">
        <v>380</v>
      </c>
      <c r="F243" s="291" t="s">
        <v>381</v>
      </c>
      <c r="G243" s="294" t="s">
        <v>382</v>
      </c>
      <c r="H243" s="291" t="s">
        <v>99</v>
      </c>
      <c r="I243" s="291" t="s">
        <v>141</v>
      </c>
      <c r="J243" s="296">
        <v>50544</v>
      </c>
      <c r="L243" s="296">
        <v>39</v>
      </c>
      <c r="M243" s="296">
        <v>39</v>
      </c>
      <c r="N243" s="297">
        <v>2527.1999999999998</v>
      </c>
      <c r="O243" s="298">
        <v>0.3</v>
      </c>
      <c r="P243" s="298"/>
      <c r="Q243" s="297">
        <v>0</v>
      </c>
      <c r="R243" s="291" t="s">
        <v>128</v>
      </c>
      <c r="S243" s="299" t="s">
        <v>34</v>
      </c>
      <c r="T243" s="299">
        <v>17</v>
      </c>
      <c r="U243" s="300" t="s">
        <v>164</v>
      </c>
      <c r="V243" s="333"/>
      <c r="X243" s="297">
        <v>0</v>
      </c>
      <c r="Y243" s="297"/>
      <c r="AH243" s="291">
        <f t="shared" ref="AH243:AH249" si="3">X243</f>
        <v>0</v>
      </c>
      <c r="AI243" s="311"/>
      <c r="AJ243" s="468"/>
    </row>
    <row r="244" spans="1:36" s="291" customFormat="1" ht="11.25" customHeight="1">
      <c r="B244" s="291" t="s">
        <v>291</v>
      </c>
      <c r="C244" s="292"/>
      <c r="D244" s="292"/>
      <c r="E244" s="293" t="s">
        <v>380</v>
      </c>
      <c r="F244" s="291" t="s">
        <v>381</v>
      </c>
      <c r="G244" s="294" t="s">
        <v>382</v>
      </c>
      <c r="H244" s="291" t="s">
        <v>27</v>
      </c>
      <c r="I244" s="291" t="s">
        <v>141</v>
      </c>
      <c r="J244" s="296">
        <v>34600</v>
      </c>
      <c r="L244" s="296">
        <v>25</v>
      </c>
      <c r="M244" s="296">
        <v>25</v>
      </c>
      <c r="N244" s="297">
        <v>3460</v>
      </c>
      <c r="O244" s="298">
        <v>0.3</v>
      </c>
      <c r="P244" s="298"/>
      <c r="Q244" s="297">
        <v>0</v>
      </c>
      <c r="R244" s="291" t="s">
        <v>128</v>
      </c>
      <c r="S244" s="299" t="s">
        <v>34</v>
      </c>
      <c r="T244" s="299">
        <v>17</v>
      </c>
      <c r="U244" s="300" t="s">
        <v>164</v>
      </c>
      <c r="V244" s="333"/>
      <c r="X244" s="297">
        <v>0</v>
      </c>
      <c r="Y244" s="297"/>
      <c r="AH244" s="291">
        <f t="shared" si="3"/>
        <v>0</v>
      </c>
      <c r="AI244" s="311"/>
      <c r="AJ244" s="468"/>
    </row>
    <row r="245" spans="1:36" s="291" customFormat="1" ht="11.25" customHeight="1">
      <c r="B245" s="291" t="s">
        <v>291</v>
      </c>
      <c r="C245" s="292"/>
      <c r="D245" s="292"/>
      <c r="E245" s="293" t="s">
        <v>380</v>
      </c>
      <c r="F245" s="291" t="s">
        <v>381</v>
      </c>
      <c r="G245" s="294" t="s">
        <v>382</v>
      </c>
      <c r="H245" s="291" t="s">
        <v>137</v>
      </c>
      <c r="I245" s="291" t="s">
        <v>141</v>
      </c>
      <c r="J245" s="296">
        <v>28080</v>
      </c>
      <c r="L245" s="296">
        <v>25</v>
      </c>
      <c r="M245" s="296">
        <v>25</v>
      </c>
      <c r="N245" s="297">
        <v>9204</v>
      </c>
      <c r="O245" s="298">
        <v>0.3</v>
      </c>
      <c r="P245" s="298"/>
      <c r="Q245" s="297">
        <v>0</v>
      </c>
      <c r="R245" s="291" t="s">
        <v>128</v>
      </c>
      <c r="S245" s="299" t="s">
        <v>34</v>
      </c>
      <c r="T245" s="299">
        <v>17</v>
      </c>
      <c r="U245" s="300" t="s">
        <v>164</v>
      </c>
      <c r="V245" s="333"/>
      <c r="X245" s="297">
        <v>0</v>
      </c>
      <c r="Y245" s="297"/>
      <c r="AH245" s="291">
        <f t="shared" si="3"/>
        <v>0</v>
      </c>
      <c r="AI245" s="311"/>
      <c r="AJ245" s="468"/>
    </row>
    <row r="246" spans="1:36" s="291" customFormat="1" ht="11.25" customHeight="1">
      <c r="B246" s="291" t="s">
        <v>291</v>
      </c>
      <c r="C246" s="292"/>
      <c r="D246" s="292"/>
      <c r="E246" s="293" t="s">
        <v>383</v>
      </c>
      <c r="F246" s="291" t="s">
        <v>117</v>
      </c>
      <c r="G246" s="294">
        <v>3532</v>
      </c>
      <c r="H246" s="291" t="s">
        <v>27</v>
      </c>
      <c r="I246" s="291" t="s">
        <v>703</v>
      </c>
      <c r="J246" s="296">
        <v>75130.83</v>
      </c>
      <c r="L246" s="296">
        <v>62.95</v>
      </c>
      <c r="M246" s="296">
        <v>62.95</v>
      </c>
      <c r="N246" s="297"/>
      <c r="O246" s="298">
        <v>0.15</v>
      </c>
      <c r="P246" s="298"/>
      <c r="Q246" s="297">
        <v>0</v>
      </c>
      <c r="R246" s="291" t="s">
        <v>35</v>
      </c>
      <c r="S246" s="299" t="s">
        <v>118</v>
      </c>
      <c r="T246" s="299">
        <v>79</v>
      </c>
      <c r="U246" s="300" t="s">
        <v>164</v>
      </c>
      <c r="V246" s="333"/>
      <c r="W246" s="291" t="s">
        <v>3900</v>
      </c>
      <c r="X246" s="297">
        <v>0</v>
      </c>
      <c r="Y246" s="297"/>
      <c r="AH246" s="291">
        <f t="shared" si="3"/>
        <v>0</v>
      </c>
      <c r="AI246" s="311"/>
      <c r="AJ246" s="468"/>
    </row>
    <row r="247" spans="1:36" s="291" customFormat="1" ht="11.25" customHeight="1">
      <c r="B247" s="291" t="s">
        <v>291</v>
      </c>
      <c r="C247" s="292"/>
      <c r="D247" s="292"/>
      <c r="E247" s="293" t="s">
        <v>383</v>
      </c>
      <c r="F247" s="291" t="s">
        <v>117</v>
      </c>
      <c r="G247" s="294">
        <v>3532</v>
      </c>
      <c r="H247" s="291" t="s">
        <v>183</v>
      </c>
      <c r="I247" s="291" t="s">
        <v>33</v>
      </c>
      <c r="J247" s="296">
        <v>29206.45</v>
      </c>
      <c r="L247" s="296">
        <v>32.75</v>
      </c>
      <c r="M247" s="296">
        <v>32.79</v>
      </c>
      <c r="N247" s="297">
        <f>J247*0.2</f>
        <v>5841.2900000000009</v>
      </c>
      <c r="O247" s="298">
        <v>0.15</v>
      </c>
      <c r="P247" s="298"/>
      <c r="Q247" s="297">
        <v>0</v>
      </c>
      <c r="R247" s="291" t="s">
        <v>35</v>
      </c>
      <c r="S247" s="299" t="s">
        <v>118</v>
      </c>
      <c r="T247" s="299">
        <v>79</v>
      </c>
      <c r="U247" s="300" t="s">
        <v>164</v>
      </c>
      <c r="V247" s="333"/>
      <c r="W247" s="291" t="s">
        <v>3900</v>
      </c>
      <c r="X247" s="297">
        <v>0</v>
      </c>
      <c r="Y247" s="297"/>
      <c r="AH247" s="291">
        <f t="shared" si="3"/>
        <v>0</v>
      </c>
      <c r="AI247" s="311"/>
      <c r="AJ247" s="468"/>
    </row>
    <row r="248" spans="1:36" s="291" customFormat="1" ht="11.25" customHeight="1">
      <c r="B248" s="291" t="s">
        <v>291</v>
      </c>
      <c r="C248" s="292">
        <v>44655</v>
      </c>
      <c r="D248" s="292">
        <v>44655</v>
      </c>
      <c r="E248" s="293" t="s">
        <v>383</v>
      </c>
      <c r="F248" s="291" t="s">
        <v>117</v>
      </c>
      <c r="G248" s="294">
        <v>3532</v>
      </c>
      <c r="H248" s="291" t="s">
        <v>295</v>
      </c>
      <c r="I248" s="291" t="s">
        <v>33</v>
      </c>
      <c r="J248" s="296">
        <v>5031</v>
      </c>
      <c r="L248" s="296">
        <v>7.74</v>
      </c>
      <c r="M248" s="296">
        <v>7.81</v>
      </c>
      <c r="N248" s="297"/>
      <c r="O248" s="298">
        <v>0.15</v>
      </c>
      <c r="P248" s="298"/>
      <c r="Q248" s="297">
        <v>0</v>
      </c>
      <c r="R248" s="291" t="s">
        <v>35</v>
      </c>
      <c r="S248" s="299" t="s">
        <v>118</v>
      </c>
      <c r="T248" s="299">
        <v>79</v>
      </c>
      <c r="U248" s="300" t="s">
        <v>164</v>
      </c>
      <c r="V248" s="333"/>
      <c r="X248" s="297">
        <v>0</v>
      </c>
      <c r="Y248" s="297"/>
      <c r="AH248" s="291">
        <f t="shared" si="3"/>
        <v>0</v>
      </c>
      <c r="AI248" s="311"/>
      <c r="AJ248" s="468"/>
    </row>
    <row r="249" spans="1:36" s="291" customFormat="1" ht="11.25" customHeight="1">
      <c r="A249" s="291" t="s">
        <v>3893</v>
      </c>
      <c r="B249" s="291" t="s">
        <v>291</v>
      </c>
      <c r="C249" s="292"/>
      <c r="D249" s="292"/>
      <c r="E249" s="293" t="s">
        <v>383</v>
      </c>
      <c r="F249" s="291" t="s">
        <v>117</v>
      </c>
      <c r="G249" s="294">
        <v>3532</v>
      </c>
      <c r="H249" s="291" t="s">
        <v>99</v>
      </c>
      <c r="I249" s="291" t="s">
        <v>33</v>
      </c>
      <c r="J249" s="296">
        <v>207483.6</v>
      </c>
      <c r="L249" s="296">
        <v>201.05</v>
      </c>
      <c r="M249" s="296">
        <v>202.06</v>
      </c>
      <c r="N249" s="297">
        <f>J249*0.2</f>
        <v>41496.720000000001</v>
      </c>
      <c r="O249" s="298">
        <v>0.15</v>
      </c>
      <c r="P249" s="298"/>
      <c r="Q249" s="297">
        <v>0</v>
      </c>
      <c r="R249" s="291" t="s">
        <v>35</v>
      </c>
      <c r="S249" s="299" t="s">
        <v>118</v>
      </c>
      <c r="T249" s="299">
        <v>79</v>
      </c>
      <c r="U249" s="300" t="s">
        <v>164</v>
      </c>
      <c r="V249" s="333"/>
      <c r="X249" s="297">
        <v>0</v>
      </c>
      <c r="Y249" s="297"/>
      <c r="AH249" s="291">
        <f t="shared" si="3"/>
        <v>0</v>
      </c>
      <c r="AI249" s="311"/>
      <c r="AJ249" s="468"/>
    </row>
    <row r="250" spans="1:36" s="379" customFormat="1" ht="11.25" customHeight="1">
      <c r="B250" s="379" t="s">
        <v>291</v>
      </c>
      <c r="C250" s="381">
        <v>44655</v>
      </c>
      <c r="D250" s="381">
        <v>44655</v>
      </c>
      <c r="E250" s="382" t="s">
        <v>384</v>
      </c>
      <c r="F250" s="379" t="s">
        <v>385</v>
      </c>
      <c r="G250" s="383">
        <v>4129</v>
      </c>
      <c r="H250" s="379" t="s">
        <v>356</v>
      </c>
      <c r="I250" s="379" t="s">
        <v>141</v>
      </c>
      <c r="J250" s="385">
        <v>10974.99</v>
      </c>
      <c r="L250" s="385">
        <v>15.26</v>
      </c>
      <c r="M250" s="385">
        <v>15.25</v>
      </c>
      <c r="N250" s="386"/>
      <c r="O250" s="387">
        <v>0.2</v>
      </c>
      <c r="P250" s="387"/>
      <c r="Q250" s="386">
        <v>0</v>
      </c>
      <c r="R250" s="379" t="s">
        <v>77</v>
      </c>
      <c r="S250" s="388" t="s">
        <v>41</v>
      </c>
      <c r="T250" s="388">
        <v>86</v>
      </c>
      <c r="U250" s="389" t="s">
        <v>164</v>
      </c>
      <c r="V250" s="433"/>
      <c r="X250" s="386">
        <v>0</v>
      </c>
      <c r="Y250" s="386"/>
      <c r="AJ250" s="390">
        <v>0</v>
      </c>
    </row>
    <row r="251" spans="1:36" s="153" customFormat="1" ht="11.25" customHeight="1">
      <c r="B251" s="153" t="s">
        <v>291</v>
      </c>
      <c r="C251" s="155"/>
      <c r="D251" s="155"/>
      <c r="E251" s="156" t="s">
        <v>384</v>
      </c>
      <c r="F251" s="153" t="s">
        <v>385</v>
      </c>
      <c r="G251" s="157">
        <v>4129</v>
      </c>
      <c r="H251" s="153" t="s">
        <v>192</v>
      </c>
      <c r="I251" s="153" t="s">
        <v>141</v>
      </c>
      <c r="J251" s="158">
        <v>173297.28</v>
      </c>
      <c r="L251" s="158">
        <v>110.24</v>
      </c>
      <c r="M251" s="158">
        <v>84.89</v>
      </c>
      <c r="N251" s="159"/>
      <c r="O251" s="160">
        <v>0.2</v>
      </c>
      <c r="P251" s="160"/>
      <c r="Q251" s="159">
        <v>0</v>
      </c>
      <c r="R251" s="153" t="s">
        <v>77</v>
      </c>
      <c r="S251" s="161" t="s">
        <v>41</v>
      </c>
      <c r="T251" s="161">
        <v>86</v>
      </c>
      <c r="U251" s="162" t="s">
        <v>164</v>
      </c>
      <c r="V251" s="435"/>
      <c r="W251" s="153" t="s">
        <v>1861</v>
      </c>
      <c r="X251" s="159">
        <v>0</v>
      </c>
      <c r="Y251" s="159"/>
      <c r="AD251" s="176">
        <f>X251</f>
        <v>0</v>
      </c>
      <c r="AJ251" s="644"/>
    </row>
    <row r="252" spans="1:36" s="379" customFormat="1" ht="11.25" customHeight="1">
      <c r="B252" s="379" t="s">
        <v>291</v>
      </c>
      <c r="C252" s="381"/>
      <c r="D252" s="381"/>
      <c r="E252" s="382" t="s">
        <v>384</v>
      </c>
      <c r="F252" s="379" t="s">
        <v>385</v>
      </c>
      <c r="G252" s="383">
        <v>4129</v>
      </c>
      <c r="H252" s="379" t="s">
        <v>134</v>
      </c>
      <c r="I252" s="379" t="s">
        <v>141</v>
      </c>
      <c r="J252" s="385">
        <v>54817</v>
      </c>
      <c r="L252" s="385">
        <v>41</v>
      </c>
      <c r="M252" s="385">
        <v>40.82</v>
      </c>
      <c r="N252" s="386"/>
      <c r="O252" s="387">
        <v>0.2</v>
      </c>
      <c r="P252" s="387"/>
      <c r="Q252" s="386">
        <v>0</v>
      </c>
      <c r="R252" s="379" t="s">
        <v>77</v>
      </c>
      <c r="S252" s="388" t="s">
        <v>41</v>
      </c>
      <c r="T252" s="388">
        <v>86</v>
      </c>
      <c r="U252" s="389" t="s">
        <v>164</v>
      </c>
      <c r="V252" s="433"/>
      <c r="X252" s="386">
        <v>0</v>
      </c>
      <c r="Y252" s="386"/>
      <c r="AJ252" s="390">
        <v>0</v>
      </c>
    </row>
    <row r="253" spans="1:36" s="379" customFormat="1" ht="11.25" customHeight="1">
      <c r="B253" s="379" t="s">
        <v>291</v>
      </c>
      <c r="C253" s="381"/>
      <c r="D253" s="381"/>
      <c r="E253" s="382" t="s">
        <v>384</v>
      </c>
      <c r="F253" s="379" t="s">
        <v>385</v>
      </c>
      <c r="G253" s="383">
        <v>4129</v>
      </c>
      <c r="H253" s="379" t="s">
        <v>157</v>
      </c>
      <c r="I253" s="379" t="s">
        <v>141</v>
      </c>
      <c r="J253" s="385">
        <v>13224.44</v>
      </c>
      <c r="L253" s="385">
        <v>12.47</v>
      </c>
      <c r="M253" s="385">
        <v>12.47</v>
      </c>
      <c r="N253" s="386"/>
      <c r="O253" s="387">
        <v>0.2</v>
      </c>
      <c r="P253" s="387"/>
      <c r="Q253" s="386">
        <v>0</v>
      </c>
      <c r="R253" s="379" t="s">
        <v>77</v>
      </c>
      <c r="S253" s="388" t="s">
        <v>41</v>
      </c>
      <c r="T253" s="388">
        <v>86</v>
      </c>
      <c r="U253" s="389" t="s">
        <v>164</v>
      </c>
      <c r="V253" s="433"/>
      <c r="X253" s="386">
        <v>0</v>
      </c>
      <c r="Y253" s="386"/>
      <c r="AJ253" s="390">
        <v>0</v>
      </c>
    </row>
    <row r="254" spans="1:36" s="153" customFormat="1" ht="11.25" customHeight="1">
      <c r="B254" s="153" t="s">
        <v>291</v>
      </c>
      <c r="C254" s="155"/>
      <c r="D254" s="155"/>
      <c r="E254" s="156" t="s">
        <v>384</v>
      </c>
      <c r="F254" s="153" t="s">
        <v>385</v>
      </c>
      <c r="G254" s="157">
        <v>4129</v>
      </c>
      <c r="H254" s="153" t="s">
        <v>386</v>
      </c>
      <c r="I254" s="153" t="s">
        <v>141</v>
      </c>
      <c r="J254" s="158">
        <v>12015.47</v>
      </c>
      <c r="L254" s="158">
        <v>11.33</v>
      </c>
      <c r="M254" s="158">
        <v>11.33</v>
      </c>
      <c r="N254" s="159"/>
      <c r="O254" s="160">
        <v>0.2</v>
      </c>
      <c r="P254" s="160"/>
      <c r="Q254" s="159">
        <v>0</v>
      </c>
      <c r="R254" s="153" t="s">
        <v>77</v>
      </c>
      <c r="S254" s="161" t="s">
        <v>41</v>
      </c>
      <c r="T254" s="161">
        <v>86</v>
      </c>
      <c r="U254" s="162" t="s">
        <v>164</v>
      </c>
      <c r="V254" s="435"/>
      <c r="W254" s="153" t="s">
        <v>1861</v>
      </c>
      <c r="X254" s="159">
        <v>0</v>
      </c>
      <c r="Y254" s="159"/>
      <c r="AD254" s="176">
        <f>X254</f>
        <v>0</v>
      </c>
      <c r="AJ254" s="644"/>
    </row>
    <row r="255" spans="1:36" s="153" customFormat="1" ht="11.25" customHeight="1">
      <c r="B255" s="153" t="s">
        <v>291</v>
      </c>
      <c r="C255" s="155">
        <v>44655</v>
      </c>
      <c r="D255" s="155">
        <v>44655</v>
      </c>
      <c r="E255" s="156" t="s">
        <v>387</v>
      </c>
      <c r="F255" s="153" t="s">
        <v>305</v>
      </c>
      <c r="G255" s="157">
        <v>3516</v>
      </c>
      <c r="H255" s="153" t="s">
        <v>138</v>
      </c>
      <c r="I255" s="153" t="s">
        <v>141</v>
      </c>
      <c r="J255" s="158">
        <v>6708.8</v>
      </c>
      <c r="L255" s="158">
        <v>5</v>
      </c>
      <c r="M255" s="158">
        <v>5</v>
      </c>
      <c r="N255" s="159"/>
      <c r="O255" s="160">
        <v>0.3</v>
      </c>
      <c r="P255" s="160"/>
      <c r="Q255" s="159">
        <v>0</v>
      </c>
      <c r="R255" s="153" t="s">
        <v>35</v>
      </c>
      <c r="S255" s="161" t="s">
        <v>34</v>
      </c>
      <c r="T255" s="161">
        <v>79</v>
      </c>
      <c r="U255" s="162" t="s">
        <v>164</v>
      </c>
      <c r="V255" s="435"/>
      <c r="W255" s="153" t="s">
        <v>1865</v>
      </c>
      <c r="X255" s="159">
        <v>0</v>
      </c>
      <c r="Y255" s="159"/>
      <c r="AD255" s="176">
        <f>X255</f>
        <v>0</v>
      </c>
      <c r="AJ255" s="644"/>
    </row>
    <row r="256" spans="1:36" s="153" customFormat="1" ht="11.25" customHeight="1">
      <c r="B256" s="153" t="s">
        <v>291</v>
      </c>
      <c r="C256" s="155"/>
      <c r="D256" s="155"/>
      <c r="E256" s="156" t="s">
        <v>387</v>
      </c>
      <c r="F256" s="153" t="s">
        <v>305</v>
      </c>
      <c r="G256" s="157">
        <v>3516</v>
      </c>
      <c r="H256" s="153" t="s">
        <v>99</v>
      </c>
      <c r="I256" s="153" t="s">
        <v>141</v>
      </c>
      <c r="J256" s="158">
        <v>64510.78</v>
      </c>
      <c r="L256" s="158">
        <v>42.87</v>
      </c>
      <c r="M256" s="158">
        <v>42.87</v>
      </c>
      <c r="N256" s="159"/>
      <c r="O256" s="160">
        <v>0.3</v>
      </c>
      <c r="P256" s="160"/>
      <c r="Q256" s="159">
        <v>0</v>
      </c>
      <c r="R256" s="153" t="s">
        <v>35</v>
      </c>
      <c r="S256" s="161" t="s">
        <v>34</v>
      </c>
      <c r="T256" s="161">
        <v>79</v>
      </c>
      <c r="U256" s="162" t="s">
        <v>164</v>
      </c>
      <c r="V256" s="435"/>
      <c r="W256" s="153" t="s">
        <v>1865</v>
      </c>
      <c r="X256" s="159">
        <v>0</v>
      </c>
      <c r="Y256" s="159"/>
      <c r="AD256" s="176">
        <f>X256</f>
        <v>0</v>
      </c>
      <c r="AJ256" s="644"/>
    </row>
    <row r="257" spans="1:77" s="153" customFormat="1" ht="11.25" customHeight="1">
      <c r="B257" s="153" t="s">
        <v>291</v>
      </c>
      <c r="E257" s="156" t="s">
        <v>387</v>
      </c>
      <c r="F257" s="153" t="s">
        <v>305</v>
      </c>
      <c r="G257" s="157">
        <v>3516</v>
      </c>
      <c r="H257" s="153" t="s">
        <v>27</v>
      </c>
      <c r="I257" s="153" t="s">
        <v>141</v>
      </c>
      <c r="J257" s="158">
        <v>39767.49</v>
      </c>
      <c r="L257" s="158">
        <v>23.82</v>
      </c>
      <c r="M257" s="158">
        <v>23.82</v>
      </c>
      <c r="N257" s="159"/>
      <c r="O257" s="160">
        <v>0.3</v>
      </c>
      <c r="P257" s="160"/>
      <c r="Q257" s="159">
        <v>0</v>
      </c>
      <c r="R257" s="153" t="s">
        <v>35</v>
      </c>
      <c r="S257" s="161" t="s">
        <v>34</v>
      </c>
      <c r="T257" s="161">
        <v>79</v>
      </c>
      <c r="U257" s="162" t="s">
        <v>164</v>
      </c>
      <c r="V257" s="435"/>
      <c r="W257" s="153" t="s">
        <v>1888</v>
      </c>
      <c r="X257" s="159">
        <v>0</v>
      </c>
      <c r="Y257" s="159"/>
      <c r="AD257" s="176">
        <f>X257</f>
        <v>0</v>
      </c>
      <c r="AJ257" s="644"/>
    </row>
    <row r="258" spans="1:77" s="337" customFormat="1" ht="11.25" customHeight="1">
      <c r="B258" s="337" t="s">
        <v>291</v>
      </c>
      <c r="C258" s="338">
        <v>44655</v>
      </c>
      <c r="D258" s="338">
        <v>44655</v>
      </c>
      <c r="E258" s="350" t="s">
        <v>388</v>
      </c>
      <c r="F258" s="337" t="s">
        <v>389</v>
      </c>
      <c r="G258" s="351">
        <v>3585</v>
      </c>
      <c r="H258" s="337" t="s">
        <v>27</v>
      </c>
      <c r="I258" s="337" t="s">
        <v>141</v>
      </c>
      <c r="J258" s="352">
        <v>28025</v>
      </c>
      <c r="L258" s="352">
        <v>25</v>
      </c>
      <c r="M258" s="352">
        <v>25</v>
      </c>
      <c r="N258" s="354"/>
      <c r="O258" s="355">
        <v>0.15</v>
      </c>
      <c r="P258" s="355"/>
      <c r="Q258" s="354">
        <v>0</v>
      </c>
      <c r="R258" s="337" t="s">
        <v>42</v>
      </c>
      <c r="S258" s="356" t="s">
        <v>41</v>
      </c>
      <c r="T258" s="356">
        <v>16</v>
      </c>
      <c r="U258" s="357" t="s">
        <v>164</v>
      </c>
      <c r="V258" s="434"/>
      <c r="X258" s="354">
        <v>0</v>
      </c>
      <c r="Y258" s="354"/>
      <c r="AI258" s="341">
        <f>X258</f>
        <v>0</v>
      </c>
      <c r="AJ258" s="358"/>
      <c r="AK258" s="369"/>
    </row>
    <row r="259" spans="1:77" s="153" customFormat="1" ht="11.25" customHeight="1">
      <c r="B259" s="153" t="s">
        <v>291</v>
      </c>
      <c r="C259" s="155">
        <v>44655</v>
      </c>
      <c r="D259" s="155">
        <v>44655</v>
      </c>
      <c r="E259" s="156" t="s">
        <v>395</v>
      </c>
      <c r="F259" s="153" t="s">
        <v>396</v>
      </c>
      <c r="G259" s="157">
        <v>4224</v>
      </c>
      <c r="H259" s="153" t="s">
        <v>27</v>
      </c>
      <c r="I259" s="153" t="s">
        <v>141</v>
      </c>
      <c r="J259" s="158">
        <v>22602.6</v>
      </c>
      <c r="L259" s="158">
        <v>21.65</v>
      </c>
      <c r="M259" s="158">
        <v>21.65</v>
      </c>
      <c r="N259" s="159"/>
      <c r="O259" s="160">
        <v>0.2</v>
      </c>
      <c r="P259" s="160"/>
      <c r="Q259" s="159">
        <v>0</v>
      </c>
      <c r="R259" s="153" t="s">
        <v>281</v>
      </c>
      <c r="S259" s="161" t="s">
        <v>397</v>
      </c>
      <c r="T259" s="161">
        <v>36</v>
      </c>
      <c r="U259" s="162" t="s">
        <v>164</v>
      </c>
      <c r="V259" s="435"/>
      <c r="W259" s="153" t="s">
        <v>1856</v>
      </c>
      <c r="X259" s="159">
        <v>0</v>
      </c>
      <c r="Y259" s="159"/>
      <c r="AD259" s="176">
        <f>X259</f>
        <v>0</v>
      </c>
      <c r="AJ259" s="644"/>
    </row>
    <row r="260" spans="1:77" s="153" customFormat="1" ht="11.25" customHeight="1">
      <c r="B260" s="153" t="s">
        <v>291</v>
      </c>
      <c r="C260" s="155"/>
      <c r="D260" s="155"/>
      <c r="E260" s="156" t="s">
        <v>395</v>
      </c>
      <c r="F260" s="153" t="s">
        <v>396</v>
      </c>
      <c r="G260" s="157">
        <v>4224</v>
      </c>
      <c r="H260" s="153" t="s">
        <v>99</v>
      </c>
      <c r="I260" s="153" t="s">
        <v>141</v>
      </c>
      <c r="J260" s="158">
        <v>38607.1</v>
      </c>
      <c r="L260" s="158">
        <v>38.24</v>
      </c>
      <c r="M260" s="158">
        <v>38.24</v>
      </c>
      <c r="N260" s="159"/>
      <c r="O260" s="160">
        <v>0.2</v>
      </c>
      <c r="P260" s="160"/>
      <c r="Q260" s="159">
        <v>0</v>
      </c>
      <c r="R260" s="153" t="s">
        <v>281</v>
      </c>
      <c r="S260" s="161" t="s">
        <v>397</v>
      </c>
      <c r="T260" s="161">
        <v>36</v>
      </c>
      <c r="U260" s="162" t="s">
        <v>164</v>
      </c>
      <c r="V260" s="435"/>
      <c r="W260" s="153" t="s">
        <v>1856</v>
      </c>
      <c r="X260" s="159">
        <v>0</v>
      </c>
      <c r="Y260" s="159"/>
      <c r="AD260" s="176">
        <f>X260</f>
        <v>0</v>
      </c>
      <c r="AJ260" s="644"/>
    </row>
    <row r="261" spans="1:77" s="153" customFormat="1" ht="11.25" customHeight="1">
      <c r="B261" s="153" t="s">
        <v>291</v>
      </c>
      <c r="C261" s="155"/>
      <c r="D261" s="155"/>
      <c r="E261" s="156" t="s">
        <v>395</v>
      </c>
      <c r="F261" s="153" t="s">
        <v>396</v>
      </c>
      <c r="G261" s="157">
        <v>4224</v>
      </c>
      <c r="H261" s="153" t="s">
        <v>183</v>
      </c>
      <c r="I261" s="153" t="s">
        <v>141</v>
      </c>
      <c r="J261" s="158">
        <v>37258.5</v>
      </c>
      <c r="L261" s="158">
        <v>42.1</v>
      </c>
      <c r="M261" s="158">
        <v>42.1</v>
      </c>
      <c r="N261" s="159"/>
      <c r="O261" s="160">
        <v>0.2</v>
      </c>
      <c r="P261" s="160"/>
      <c r="Q261" s="159">
        <v>0</v>
      </c>
      <c r="R261" s="153" t="s">
        <v>281</v>
      </c>
      <c r="S261" s="161" t="s">
        <v>397</v>
      </c>
      <c r="T261" s="161">
        <v>36</v>
      </c>
      <c r="U261" s="162" t="s">
        <v>164</v>
      </c>
      <c r="V261" s="435"/>
      <c r="W261" s="153" t="s">
        <v>1856</v>
      </c>
      <c r="X261" s="159">
        <v>0</v>
      </c>
      <c r="Y261" s="159"/>
      <c r="AD261" s="176">
        <f>X261</f>
        <v>0</v>
      </c>
      <c r="AJ261" s="644"/>
    </row>
    <row r="262" spans="1:77" s="291" customFormat="1" ht="11.75" customHeight="1">
      <c r="B262" s="291" t="s">
        <v>291</v>
      </c>
      <c r="C262" s="292">
        <v>44655</v>
      </c>
      <c r="D262" s="292">
        <v>44655</v>
      </c>
      <c r="E262" s="293" t="s">
        <v>398</v>
      </c>
      <c r="F262" s="291" t="s">
        <v>399</v>
      </c>
      <c r="G262" s="294" t="s">
        <v>400</v>
      </c>
      <c r="H262" s="291" t="s">
        <v>27</v>
      </c>
      <c r="I262" s="291" t="s">
        <v>141</v>
      </c>
      <c r="J262" s="296">
        <v>76540.800000000003</v>
      </c>
      <c r="L262" s="296">
        <v>42.88</v>
      </c>
      <c r="M262" s="296">
        <v>42.88</v>
      </c>
      <c r="N262" s="297"/>
      <c r="O262" s="298">
        <v>0.2</v>
      </c>
      <c r="P262" s="298"/>
      <c r="Q262" s="297">
        <v>0</v>
      </c>
      <c r="R262" s="291" t="s">
        <v>128</v>
      </c>
      <c r="S262" s="299" t="s">
        <v>41</v>
      </c>
      <c r="T262" s="299">
        <v>86</v>
      </c>
      <c r="U262" s="300" t="s">
        <v>164</v>
      </c>
      <c r="V262" s="333"/>
      <c r="X262" s="297">
        <v>0</v>
      </c>
      <c r="Y262" s="297"/>
      <c r="AH262" s="291">
        <f>X262</f>
        <v>0</v>
      </c>
      <c r="AI262" s="311"/>
      <c r="AJ262" s="468"/>
    </row>
    <row r="263" spans="1:77" s="261" customFormat="1" ht="11.25" customHeight="1">
      <c r="B263" s="261" t="s">
        <v>291</v>
      </c>
      <c r="C263" s="259">
        <v>44654</v>
      </c>
      <c r="D263" s="259">
        <v>44655</v>
      </c>
      <c r="E263" s="260" t="s">
        <v>401</v>
      </c>
      <c r="F263" s="261" t="s">
        <v>402</v>
      </c>
      <c r="G263" s="262">
        <v>3928</v>
      </c>
      <c r="H263" s="261" t="s">
        <v>27</v>
      </c>
      <c r="I263" s="261" t="s">
        <v>141</v>
      </c>
      <c r="J263" s="263">
        <v>28648.49</v>
      </c>
      <c r="L263" s="263">
        <v>19.71</v>
      </c>
      <c r="M263" s="263">
        <v>19.71</v>
      </c>
      <c r="N263" s="265">
        <v>5586.45</v>
      </c>
      <c r="O263" s="266">
        <v>0.15</v>
      </c>
      <c r="P263" s="266"/>
      <c r="Q263" s="265">
        <v>0</v>
      </c>
      <c r="R263" s="261" t="s">
        <v>142</v>
      </c>
      <c r="S263" s="267" t="s">
        <v>41</v>
      </c>
      <c r="T263" s="267">
        <v>16</v>
      </c>
      <c r="U263" s="268" t="s">
        <v>164</v>
      </c>
      <c r="V263" s="427"/>
      <c r="X263" s="265">
        <v>0</v>
      </c>
      <c r="Y263" s="265"/>
      <c r="AG263" s="261">
        <f>X263</f>
        <v>0</v>
      </c>
      <c r="AJ263" s="642"/>
    </row>
    <row r="264" spans="1:77" s="153" customFormat="1" ht="11.25" customHeight="1">
      <c r="B264" s="153" t="s">
        <v>291</v>
      </c>
      <c r="C264" s="155">
        <v>44655</v>
      </c>
      <c r="D264" s="155">
        <v>44655</v>
      </c>
      <c r="E264" s="156" t="s">
        <v>403</v>
      </c>
      <c r="F264" s="153" t="s">
        <v>404</v>
      </c>
      <c r="G264" s="157">
        <v>3604</v>
      </c>
      <c r="H264" s="153" t="s">
        <v>27</v>
      </c>
      <c r="I264" s="153" t="s">
        <v>141</v>
      </c>
      <c r="J264" s="158">
        <v>22908.92</v>
      </c>
      <c r="L264" s="158">
        <v>15.43</v>
      </c>
      <c r="M264" s="158">
        <v>15.43</v>
      </c>
      <c r="N264" s="159"/>
      <c r="O264" s="160">
        <v>0.15</v>
      </c>
      <c r="P264" s="160"/>
      <c r="Q264" s="159">
        <v>0</v>
      </c>
      <c r="R264" s="153" t="s">
        <v>35</v>
      </c>
      <c r="S264" s="161" t="s">
        <v>41</v>
      </c>
      <c r="T264" s="161">
        <v>16</v>
      </c>
      <c r="U264" s="162" t="s">
        <v>164</v>
      </c>
      <c r="V264" s="435"/>
      <c r="W264" s="153" t="s">
        <v>1885</v>
      </c>
      <c r="X264" s="159">
        <v>0</v>
      </c>
      <c r="Y264" s="159"/>
      <c r="AD264" s="176">
        <f>X264</f>
        <v>0</v>
      </c>
      <c r="AJ264" s="644"/>
    </row>
    <row r="265" spans="1:77" s="261" customFormat="1" ht="11.25" customHeight="1">
      <c r="B265" s="261" t="s">
        <v>291</v>
      </c>
      <c r="C265" s="259">
        <v>44654</v>
      </c>
      <c r="D265" s="259">
        <v>44655</v>
      </c>
      <c r="E265" s="260" t="s">
        <v>405</v>
      </c>
      <c r="F265" s="261" t="s">
        <v>406</v>
      </c>
      <c r="G265" s="262">
        <v>3869</v>
      </c>
      <c r="H265" s="261" t="s">
        <v>27</v>
      </c>
      <c r="I265" s="261" t="s">
        <v>141</v>
      </c>
      <c r="J265" s="263">
        <f>28.5*540*3.5</f>
        <v>53865</v>
      </c>
      <c r="L265" s="263">
        <v>28.5</v>
      </c>
      <c r="M265" s="263">
        <v>28.5</v>
      </c>
      <c r="N265" s="265">
        <v>2693.25</v>
      </c>
      <c r="O265" s="266">
        <v>0.2</v>
      </c>
      <c r="P265" s="266"/>
      <c r="Q265" s="265">
        <v>0</v>
      </c>
      <c r="R265" s="261" t="s">
        <v>46</v>
      </c>
      <c r="S265" s="267" t="s">
        <v>47</v>
      </c>
      <c r="T265" s="267">
        <v>27</v>
      </c>
      <c r="U265" s="268" t="s">
        <v>164</v>
      </c>
      <c r="V265" s="427"/>
      <c r="W265" s="261" t="s">
        <v>3606</v>
      </c>
      <c r="X265" s="265">
        <v>0</v>
      </c>
      <c r="Y265" s="265"/>
      <c r="AG265" s="261">
        <f>X265</f>
        <v>0</v>
      </c>
      <c r="AJ265" s="642"/>
    </row>
    <row r="266" spans="1:77" s="6" customFormat="1" ht="11.25" customHeight="1">
      <c r="A266" s="379"/>
      <c r="B266" s="379" t="s">
        <v>291</v>
      </c>
      <c r="C266" s="381"/>
      <c r="D266" s="381"/>
      <c r="E266" s="382" t="s">
        <v>405</v>
      </c>
      <c r="F266" s="379" t="s">
        <v>406</v>
      </c>
      <c r="G266" s="383">
        <v>3869</v>
      </c>
      <c r="H266" s="379" t="s">
        <v>407</v>
      </c>
      <c r="I266" s="379" t="s">
        <v>141</v>
      </c>
      <c r="J266" s="385">
        <f>24*1.24*1400</f>
        <v>41664</v>
      </c>
      <c r="K266" s="379"/>
      <c r="L266" s="385">
        <v>24</v>
      </c>
      <c r="M266" s="385">
        <v>24</v>
      </c>
      <c r="N266" s="386">
        <v>2083.1999999999998</v>
      </c>
      <c r="O266" s="387">
        <v>0.2</v>
      </c>
      <c r="P266" s="387"/>
      <c r="Q266" s="386">
        <v>0</v>
      </c>
      <c r="R266" s="379" t="s">
        <v>46</v>
      </c>
      <c r="S266" s="388" t="s">
        <v>47</v>
      </c>
      <c r="T266" s="388">
        <v>27</v>
      </c>
      <c r="U266" s="389" t="s">
        <v>164</v>
      </c>
      <c r="V266" s="433"/>
      <c r="W266" s="379"/>
      <c r="X266" s="386">
        <v>0</v>
      </c>
      <c r="Y266" s="386"/>
      <c r="Z266" s="379"/>
      <c r="AA266" s="379"/>
      <c r="AB266" s="379"/>
      <c r="AC266" s="379"/>
      <c r="AD266" s="379"/>
      <c r="AE266" s="379"/>
      <c r="AF266" s="379"/>
      <c r="AG266" s="379"/>
      <c r="AH266" s="379"/>
      <c r="AI266" s="379"/>
      <c r="AJ266" s="390">
        <v>0</v>
      </c>
      <c r="AK266" s="379"/>
      <c r="AL266" s="379"/>
      <c r="AM266" s="379"/>
      <c r="AN266" s="379"/>
      <c r="AO266" s="379"/>
      <c r="AP266" s="379"/>
      <c r="AQ266" s="379"/>
      <c r="AR266" s="379"/>
      <c r="AS266" s="379"/>
      <c r="AT266" s="379"/>
      <c r="AU266" s="379"/>
      <c r="AV266" s="379"/>
      <c r="AW266" s="379"/>
      <c r="AX266" s="379"/>
      <c r="AY266" s="379"/>
      <c r="AZ266" s="379"/>
      <c r="BA266" s="379"/>
      <c r="BB266" s="379"/>
      <c r="BC266" s="379"/>
      <c r="BD266" s="379"/>
      <c r="BE266" s="379"/>
      <c r="BF266" s="379"/>
      <c r="BG266" s="379"/>
      <c r="BH266" s="379"/>
      <c r="BI266" s="379"/>
      <c r="BJ266" s="379"/>
      <c r="BK266" s="379"/>
      <c r="BL266" s="379"/>
      <c r="BM266" s="379"/>
      <c r="BN266" s="379"/>
      <c r="BO266" s="379"/>
      <c r="BP266" s="379"/>
      <c r="BQ266" s="379"/>
      <c r="BR266" s="379"/>
      <c r="BS266" s="379"/>
      <c r="BT266" s="379"/>
      <c r="BU266" s="379"/>
      <c r="BV266" s="379"/>
      <c r="BW266" s="379"/>
      <c r="BX266" s="379"/>
      <c r="BY266" s="379"/>
    </row>
    <row r="267" spans="1:77" s="6" customFormat="1" ht="11.25" customHeight="1">
      <c r="A267" s="379"/>
      <c r="B267" s="379" t="s">
        <v>291</v>
      </c>
      <c r="C267" s="381"/>
      <c r="D267" s="381"/>
      <c r="E267" s="382" t="s">
        <v>405</v>
      </c>
      <c r="F267" s="379" t="s">
        <v>406</v>
      </c>
      <c r="G267" s="383">
        <v>3869</v>
      </c>
      <c r="H267" s="379" t="s">
        <v>408</v>
      </c>
      <c r="I267" s="379" t="s">
        <v>141</v>
      </c>
      <c r="J267" s="385">
        <f>46*99.33*25</f>
        <v>114229.5</v>
      </c>
      <c r="K267" s="379"/>
      <c r="L267" s="385">
        <v>46</v>
      </c>
      <c r="M267" s="385">
        <v>46</v>
      </c>
      <c r="N267" s="386">
        <v>5711.48</v>
      </c>
      <c r="O267" s="387">
        <v>0.2</v>
      </c>
      <c r="P267" s="387"/>
      <c r="Q267" s="386">
        <v>0</v>
      </c>
      <c r="R267" s="379" t="s">
        <v>46</v>
      </c>
      <c r="S267" s="388" t="s">
        <v>47</v>
      </c>
      <c r="T267" s="388">
        <v>27</v>
      </c>
      <c r="U267" s="389" t="s">
        <v>164</v>
      </c>
      <c r="V267" s="433"/>
      <c r="W267" s="379"/>
      <c r="X267" s="386">
        <v>0</v>
      </c>
      <c r="Y267" s="386"/>
      <c r="Z267" s="379"/>
      <c r="AA267" s="379"/>
      <c r="AB267" s="379"/>
      <c r="AC267" s="379"/>
      <c r="AD267" s="379"/>
      <c r="AE267" s="379"/>
      <c r="AF267" s="379"/>
      <c r="AG267" s="379"/>
      <c r="AH267" s="379"/>
      <c r="AI267" s="379"/>
      <c r="AJ267" s="390">
        <v>0</v>
      </c>
      <c r="AK267" s="379"/>
      <c r="AL267" s="379"/>
      <c r="AM267" s="379"/>
      <c r="AN267" s="379"/>
      <c r="AO267" s="379"/>
      <c r="AP267" s="379"/>
      <c r="AQ267" s="379"/>
      <c r="AR267" s="379"/>
      <c r="AS267" s="379"/>
      <c r="AT267" s="379"/>
      <c r="AU267" s="379"/>
      <c r="AV267" s="379"/>
      <c r="AW267" s="379"/>
      <c r="AX267" s="379"/>
      <c r="AY267" s="379"/>
      <c r="AZ267" s="379"/>
      <c r="BA267" s="379"/>
      <c r="BB267" s="379"/>
      <c r="BC267" s="379"/>
      <c r="BD267" s="379"/>
      <c r="BE267" s="379"/>
      <c r="BF267" s="379"/>
      <c r="BG267" s="379"/>
      <c r="BH267" s="379"/>
      <c r="BI267" s="379"/>
      <c r="BJ267" s="379"/>
      <c r="BK267" s="379"/>
      <c r="BL267" s="379"/>
      <c r="BM267" s="379"/>
      <c r="BN267" s="379"/>
      <c r="BO267" s="379"/>
      <c r="BP267" s="379"/>
      <c r="BQ267" s="379"/>
      <c r="BR267" s="379"/>
      <c r="BS267" s="379"/>
      <c r="BT267" s="379"/>
      <c r="BU267" s="379"/>
      <c r="BV267" s="379"/>
      <c r="BW267" s="379"/>
      <c r="BX267" s="379"/>
      <c r="BY267" s="379"/>
    </row>
    <row r="268" spans="1:77" s="6" customFormat="1" ht="11.25" customHeight="1">
      <c r="A268" s="379"/>
      <c r="B268" s="379" t="s">
        <v>390</v>
      </c>
      <c r="C268" s="381">
        <v>44655</v>
      </c>
      <c r="D268" s="381">
        <v>44655</v>
      </c>
      <c r="E268" s="382" t="s">
        <v>391</v>
      </c>
      <c r="F268" s="379" t="s">
        <v>392</v>
      </c>
      <c r="G268" s="383" t="s">
        <v>394</v>
      </c>
      <c r="H268" s="379" t="s">
        <v>393</v>
      </c>
      <c r="I268" s="379" t="s">
        <v>340</v>
      </c>
      <c r="J268" s="385">
        <v>82822.44</v>
      </c>
      <c r="K268" s="379"/>
      <c r="L268" s="385">
        <v>9.27</v>
      </c>
      <c r="M268" s="385">
        <v>9.27</v>
      </c>
      <c r="N268" s="386"/>
      <c r="O268" s="387">
        <v>0.25</v>
      </c>
      <c r="P268" s="387"/>
      <c r="Q268" s="386">
        <v>0</v>
      </c>
      <c r="R268" s="379" t="s">
        <v>77</v>
      </c>
      <c r="S268" s="388" t="s">
        <v>41</v>
      </c>
      <c r="T268" s="388">
        <v>16</v>
      </c>
      <c r="U268" s="389" t="s">
        <v>164</v>
      </c>
      <c r="V268" s="433"/>
      <c r="W268" s="379"/>
      <c r="X268" s="386">
        <v>0</v>
      </c>
      <c r="Y268" s="386"/>
      <c r="Z268" s="379"/>
      <c r="AA268" s="379"/>
      <c r="AB268" s="379"/>
      <c r="AC268" s="379"/>
      <c r="AD268" s="379"/>
      <c r="AE268" s="379"/>
      <c r="AF268" s="379"/>
      <c r="AG268" s="379"/>
      <c r="AH268" s="379"/>
      <c r="AI268" s="379"/>
      <c r="AJ268" s="390">
        <v>0</v>
      </c>
      <c r="AK268" s="379"/>
      <c r="AL268" s="379"/>
      <c r="AM268" s="379"/>
      <c r="AN268" s="379"/>
      <c r="AO268" s="379"/>
      <c r="AP268" s="379"/>
      <c r="AQ268" s="379"/>
      <c r="AR268" s="379"/>
      <c r="AS268" s="379"/>
      <c r="AT268" s="379"/>
      <c r="AU268" s="379"/>
      <c r="AV268" s="379"/>
      <c r="AW268" s="379"/>
      <c r="AX268" s="379"/>
      <c r="AY268" s="379"/>
      <c r="AZ268" s="379"/>
      <c r="BA268" s="379"/>
      <c r="BB268" s="379"/>
      <c r="BC268" s="379"/>
      <c r="BD268" s="379"/>
      <c r="BE268" s="379"/>
      <c r="BF268" s="379"/>
      <c r="BG268" s="379"/>
      <c r="BH268" s="379"/>
      <c r="BI268" s="379"/>
      <c r="BJ268" s="379"/>
      <c r="BK268" s="379"/>
      <c r="BL268" s="379"/>
      <c r="BM268" s="379"/>
      <c r="BN268" s="379"/>
      <c r="BO268" s="379"/>
      <c r="BP268" s="379"/>
      <c r="BQ268" s="379"/>
      <c r="BR268" s="379"/>
      <c r="BS268" s="379"/>
      <c r="BT268" s="379"/>
      <c r="BU268" s="379"/>
      <c r="BV268" s="379"/>
      <c r="BW268" s="379"/>
      <c r="BX268" s="379"/>
      <c r="BY268" s="379"/>
    </row>
    <row r="269" spans="1:77" s="291" customFormat="1" ht="11.25" customHeight="1">
      <c r="B269" s="291" t="s">
        <v>291</v>
      </c>
      <c r="C269" s="292">
        <v>44655</v>
      </c>
      <c r="D269" s="292">
        <v>44655</v>
      </c>
      <c r="E269" s="293" t="s">
        <v>409</v>
      </c>
      <c r="F269" s="291" t="s">
        <v>410</v>
      </c>
      <c r="G269" s="294" t="s">
        <v>411</v>
      </c>
      <c r="H269" s="291" t="s">
        <v>27</v>
      </c>
      <c r="I269" s="291" t="s">
        <v>141</v>
      </c>
      <c r="J269" s="296">
        <v>4640</v>
      </c>
      <c r="L269" s="296">
        <v>3.2</v>
      </c>
      <c r="M269" s="296">
        <v>3.2</v>
      </c>
      <c r="N269" s="297"/>
      <c r="O269" s="298">
        <v>0.2</v>
      </c>
      <c r="P269" s="298"/>
      <c r="Q269" s="297">
        <v>48</v>
      </c>
      <c r="R269" s="291" t="s">
        <v>149</v>
      </c>
      <c r="S269" s="299" t="s">
        <v>113</v>
      </c>
      <c r="T269" s="299">
        <v>40</v>
      </c>
      <c r="U269" s="300" t="s">
        <v>164</v>
      </c>
      <c r="V269" s="333"/>
      <c r="X269" s="297">
        <v>48</v>
      </c>
      <c r="Y269" s="297"/>
      <c r="AH269" s="291">
        <f>X269</f>
        <v>48</v>
      </c>
      <c r="AI269" s="311"/>
      <c r="AJ269" s="468"/>
    </row>
    <row r="270" spans="1:77" s="181" customFormat="1" ht="11.25" customHeight="1">
      <c r="B270" s="181" t="s">
        <v>291</v>
      </c>
      <c r="C270" s="179">
        <v>44655</v>
      </c>
      <c r="D270" s="179">
        <v>44655</v>
      </c>
      <c r="E270" s="180" t="s">
        <v>412</v>
      </c>
      <c r="F270" s="181" t="s">
        <v>413</v>
      </c>
      <c r="G270" s="182">
        <v>3645</v>
      </c>
      <c r="H270" s="181" t="s">
        <v>99</v>
      </c>
      <c r="I270" s="181" t="s">
        <v>141</v>
      </c>
      <c r="J270" s="183">
        <v>61897</v>
      </c>
      <c r="L270" s="183">
        <v>55</v>
      </c>
      <c r="M270" s="183">
        <v>55</v>
      </c>
      <c r="N270" s="185"/>
      <c r="O270" s="186">
        <v>0.2</v>
      </c>
      <c r="P270" s="186"/>
      <c r="Q270" s="185">
        <v>0</v>
      </c>
      <c r="R270" s="181" t="s">
        <v>42</v>
      </c>
      <c r="S270" s="187" t="s">
        <v>41</v>
      </c>
      <c r="T270" s="187">
        <v>16</v>
      </c>
      <c r="U270" s="188" t="s">
        <v>164</v>
      </c>
      <c r="V270" s="441"/>
      <c r="W270" s="181" t="s">
        <v>2671</v>
      </c>
      <c r="X270" s="185">
        <v>0</v>
      </c>
      <c r="Y270" s="185"/>
      <c r="AE270" s="204">
        <f>X270</f>
        <v>0</v>
      </c>
      <c r="AJ270" s="189"/>
    </row>
    <row r="271" spans="1:77" s="181" customFormat="1" ht="11.25" customHeight="1">
      <c r="B271" s="181" t="s">
        <v>291</v>
      </c>
      <c r="C271" s="179"/>
      <c r="D271" s="179"/>
      <c r="E271" s="180" t="s">
        <v>412</v>
      </c>
      <c r="F271" s="181" t="s">
        <v>413</v>
      </c>
      <c r="G271" s="182">
        <v>3645</v>
      </c>
      <c r="H271" s="181" t="s">
        <v>27</v>
      </c>
      <c r="I271" s="181" t="s">
        <v>141</v>
      </c>
      <c r="J271" s="183">
        <v>18696</v>
      </c>
      <c r="L271" s="183">
        <v>20</v>
      </c>
      <c r="M271" s="183">
        <v>20</v>
      </c>
      <c r="N271" s="185"/>
      <c r="O271" s="186">
        <v>0.2</v>
      </c>
      <c r="P271" s="186"/>
      <c r="Q271" s="185">
        <v>0</v>
      </c>
      <c r="R271" s="181" t="s">
        <v>42</v>
      </c>
      <c r="S271" s="187" t="s">
        <v>41</v>
      </c>
      <c r="T271" s="187">
        <v>16</v>
      </c>
      <c r="U271" s="188" t="s">
        <v>164</v>
      </c>
      <c r="V271" s="441"/>
      <c r="W271" s="181" t="s">
        <v>2671</v>
      </c>
      <c r="X271" s="185">
        <v>0</v>
      </c>
      <c r="Y271" s="185"/>
      <c r="AE271" s="204">
        <f>X271</f>
        <v>0</v>
      </c>
      <c r="AJ271" s="189"/>
    </row>
    <row r="272" spans="1:77" s="181" customFormat="1" ht="11.25" customHeight="1">
      <c r="B272" s="181" t="s">
        <v>291</v>
      </c>
      <c r="C272" s="179"/>
      <c r="D272" s="179"/>
      <c r="E272" s="180" t="s">
        <v>412</v>
      </c>
      <c r="F272" s="181" t="s">
        <v>413</v>
      </c>
      <c r="G272" s="182">
        <v>3645</v>
      </c>
      <c r="H272" s="181" t="s">
        <v>183</v>
      </c>
      <c r="I272" s="181" t="s">
        <v>141</v>
      </c>
      <c r="J272" s="183">
        <v>20137.5</v>
      </c>
      <c r="L272" s="183">
        <v>25</v>
      </c>
      <c r="M272" s="183">
        <v>25</v>
      </c>
      <c r="N272" s="185"/>
      <c r="O272" s="186">
        <v>0.2</v>
      </c>
      <c r="P272" s="186"/>
      <c r="Q272" s="185">
        <v>0</v>
      </c>
      <c r="R272" s="181" t="s">
        <v>42</v>
      </c>
      <c r="S272" s="187" t="s">
        <v>41</v>
      </c>
      <c r="T272" s="187">
        <v>16</v>
      </c>
      <c r="U272" s="188" t="s">
        <v>164</v>
      </c>
      <c r="V272" s="441"/>
      <c r="W272" s="181" t="s">
        <v>2671</v>
      </c>
      <c r="X272" s="185">
        <v>0</v>
      </c>
      <c r="Y272" s="185"/>
      <c r="AE272" s="204">
        <f>X272</f>
        <v>0</v>
      </c>
      <c r="AJ272" s="189"/>
    </row>
    <row r="273" spans="2:36" s="291" customFormat="1" ht="11.25" customHeight="1">
      <c r="B273" s="291" t="s">
        <v>290</v>
      </c>
      <c r="C273" s="292">
        <v>44652</v>
      </c>
      <c r="D273" s="292">
        <v>44655</v>
      </c>
      <c r="E273" s="293" t="s">
        <v>414</v>
      </c>
      <c r="F273" s="291" t="s">
        <v>154</v>
      </c>
      <c r="G273" s="294" t="s">
        <v>155</v>
      </c>
      <c r="H273" s="291" t="s">
        <v>134</v>
      </c>
      <c r="I273" s="291" t="s">
        <v>156</v>
      </c>
      <c r="J273" s="296">
        <v>12285</v>
      </c>
      <c r="L273" s="296">
        <v>4.55</v>
      </c>
      <c r="M273" s="296">
        <v>4.55</v>
      </c>
      <c r="N273" s="297">
        <v>859.95</v>
      </c>
      <c r="O273" s="298"/>
      <c r="P273" s="298">
        <v>0.05</v>
      </c>
      <c r="Q273" s="297">
        <v>614.25</v>
      </c>
      <c r="R273" s="291" t="s">
        <v>112</v>
      </c>
      <c r="S273" s="299" t="s">
        <v>113</v>
      </c>
      <c r="T273" s="299">
        <v>64</v>
      </c>
      <c r="U273" s="300" t="s">
        <v>164</v>
      </c>
      <c r="V273" s="333"/>
      <c r="X273" s="297">
        <v>614.25</v>
      </c>
      <c r="Y273" s="297"/>
      <c r="AH273" s="333">
        <f>X273</f>
        <v>614.25</v>
      </c>
      <c r="AI273" s="311"/>
      <c r="AJ273" s="468"/>
    </row>
    <row r="274" spans="2:36" s="106" customFormat="1" ht="11.25" customHeight="1">
      <c r="B274" s="106" t="s">
        <v>290</v>
      </c>
      <c r="C274" s="107"/>
      <c r="D274" s="107"/>
      <c r="E274" s="108" t="s">
        <v>414</v>
      </c>
      <c r="F274" s="106" t="s">
        <v>154</v>
      </c>
      <c r="G274" s="109" t="s">
        <v>155</v>
      </c>
      <c r="H274" s="106" t="s">
        <v>157</v>
      </c>
      <c r="I274" s="106" t="s">
        <v>156</v>
      </c>
      <c r="J274" s="110">
        <v>16032</v>
      </c>
      <c r="L274" s="110">
        <v>13.36</v>
      </c>
      <c r="M274" s="110">
        <v>13.36</v>
      </c>
      <c r="N274" s="112"/>
      <c r="O274" s="113"/>
      <c r="P274" s="113">
        <v>0.05</v>
      </c>
      <c r="Q274" s="112">
        <v>0</v>
      </c>
      <c r="R274" s="106" t="s">
        <v>112</v>
      </c>
      <c r="S274" s="114" t="s">
        <v>113</v>
      </c>
      <c r="T274" s="114">
        <v>64</v>
      </c>
      <c r="U274" s="115" t="s">
        <v>164</v>
      </c>
      <c r="V274" s="443"/>
      <c r="X274" s="112">
        <v>0</v>
      </c>
      <c r="Y274" s="112"/>
      <c r="AB274" s="112">
        <f>X274</f>
        <v>0</v>
      </c>
      <c r="AJ274" s="116"/>
    </row>
    <row r="275" spans="2:36" s="205" customFormat="1" ht="11.25" customHeight="1">
      <c r="B275" s="205" t="s">
        <v>291</v>
      </c>
      <c r="C275" s="206">
        <v>44655</v>
      </c>
      <c r="D275" s="206">
        <v>44655</v>
      </c>
      <c r="E275" s="208" t="s">
        <v>415</v>
      </c>
      <c r="F275" s="205" t="s">
        <v>416</v>
      </c>
      <c r="G275" s="209">
        <v>4340</v>
      </c>
      <c r="H275" s="205" t="s">
        <v>140</v>
      </c>
      <c r="I275" s="205" t="s">
        <v>334</v>
      </c>
      <c r="J275" s="210">
        <v>16714.080000000002</v>
      </c>
      <c r="L275" s="210">
        <v>8.76</v>
      </c>
      <c r="M275" s="210">
        <v>8.76</v>
      </c>
      <c r="N275" s="213">
        <v>2507.1120000000001</v>
      </c>
      <c r="O275" s="212">
        <v>0.25</v>
      </c>
      <c r="P275" s="212"/>
      <c r="Q275" s="213">
        <v>0</v>
      </c>
      <c r="R275" s="205" t="s">
        <v>42</v>
      </c>
      <c r="S275" s="214" t="s">
        <v>41</v>
      </c>
      <c r="T275" s="214">
        <v>17</v>
      </c>
      <c r="U275" s="215" t="s">
        <v>164</v>
      </c>
      <c r="V275" s="438"/>
      <c r="X275" s="213">
        <v>0</v>
      </c>
      <c r="Y275" s="213"/>
      <c r="AF275" s="230">
        <f t="shared" ref="AF275:AF281" si="4">X275</f>
        <v>0</v>
      </c>
      <c r="AJ275" s="216"/>
    </row>
    <row r="276" spans="2:36" s="205" customFormat="1" ht="11.25" customHeight="1">
      <c r="B276" s="205" t="s">
        <v>291</v>
      </c>
      <c r="C276" s="206"/>
      <c r="D276" s="206"/>
      <c r="E276" s="208" t="s">
        <v>415</v>
      </c>
      <c r="F276" s="205" t="s">
        <v>416</v>
      </c>
      <c r="G276" s="209">
        <v>4340</v>
      </c>
      <c r="H276" s="205" t="s">
        <v>99</v>
      </c>
      <c r="I276" s="205" t="s">
        <v>334</v>
      </c>
      <c r="J276" s="210">
        <v>44171.95</v>
      </c>
      <c r="L276" s="210">
        <v>24.88</v>
      </c>
      <c r="M276" s="210">
        <v>24.88</v>
      </c>
      <c r="N276" s="213">
        <f>J276*0.1</f>
        <v>4417.1949999999997</v>
      </c>
      <c r="O276" s="212">
        <v>0.25</v>
      </c>
      <c r="P276" s="212"/>
      <c r="Q276" s="213">
        <v>0</v>
      </c>
      <c r="R276" s="205" t="s">
        <v>42</v>
      </c>
      <c r="S276" s="214" t="s">
        <v>41</v>
      </c>
      <c r="T276" s="214">
        <v>17</v>
      </c>
      <c r="U276" s="215" t="s">
        <v>164</v>
      </c>
      <c r="V276" s="438"/>
      <c r="X276" s="213">
        <v>0</v>
      </c>
      <c r="Y276" s="213"/>
      <c r="AF276" s="230">
        <f t="shared" si="4"/>
        <v>0</v>
      </c>
      <c r="AJ276" s="216"/>
    </row>
    <row r="277" spans="2:36" s="205" customFormat="1" ht="11.25" customHeight="1">
      <c r="B277" s="205" t="s">
        <v>291</v>
      </c>
      <c r="C277" s="206"/>
      <c r="D277" s="206"/>
      <c r="E277" s="208" t="s">
        <v>415</v>
      </c>
      <c r="F277" s="205" t="s">
        <v>416</v>
      </c>
      <c r="G277" s="209">
        <v>4340</v>
      </c>
      <c r="H277" s="205" t="s">
        <v>137</v>
      </c>
      <c r="I277" s="205" t="s">
        <v>334</v>
      </c>
      <c r="J277" s="210">
        <v>66427.87</v>
      </c>
      <c r="L277" s="210">
        <v>48.22</v>
      </c>
      <c r="M277" s="210">
        <v>48.22</v>
      </c>
      <c r="N277" s="213">
        <f>J277*0.2</f>
        <v>13285.574000000001</v>
      </c>
      <c r="O277" s="212">
        <v>0.25</v>
      </c>
      <c r="P277" s="212"/>
      <c r="Q277" s="213">
        <v>0</v>
      </c>
      <c r="R277" s="205" t="s">
        <v>42</v>
      </c>
      <c r="S277" s="214" t="s">
        <v>41</v>
      </c>
      <c r="T277" s="214">
        <v>17</v>
      </c>
      <c r="U277" s="215" t="s">
        <v>164</v>
      </c>
      <c r="V277" s="438"/>
      <c r="X277" s="213">
        <v>0</v>
      </c>
      <c r="Y277" s="213"/>
      <c r="AF277" s="230">
        <f t="shared" si="4"/>
        <v>0</v>
      </c>
      <c r="AJ277" s="216"/>
    </row>
    <row r="278" spans="2:36" s="205" customFormat="1" ht="11.25" customHeight="1">
      <c r="B278" s="205" t="s">
        <v>291</v>
      </c>
      <c r="C278" s="206">
        <v>44655</v>
      </c>
      <c r="D278" s="206">
        <v>44655</v>
      </c>
      <c r="E278" s="208" t="s">
        <v>417</v>
      </c>
      <c r="F278" s="205" t="s">
        <v>418</v>
      </c>
      <c r="G278" s="209">
        <v>3983</v>
      </c>
      <c r="H278" s="205" t="s">
        <v>138</v>
      </c>
      <c r="I278" s="205" t="s">
        <v>141</v>
      </c>
      <c r="J278" s="210">
        <v>12254</v>
      </c>
      <c r="L278" s="210">
        <v>11</v>
      </c>
      <c r="M278" s="210">
        <v>11</v>
      </c>
      <c r="N278" s="213"/>
      <c r="O278" s="212">
        <v>0.2</v>
      </c>
      <c r="P278" s="212"/>
      <c r="Q278" s="213">
        <v>0</v>
      </c>
      <c r="R278" s="205" t="s">
        <v>73</v>
      </c>
      <c r="S278" s="214" t="s">
        <v>74</v>
      </c>
      <c r="T278" s="214">
        <v>31</v>
      </c>
      <c r="U278" s="215" t="s">
        <v>164</v>
      </c>
      <c r="V278" s="438"/>
      <c r="W278" s="205" t="s">
        <v>3103</v>
      </c>
      <c r="X278" s="213">
        <v>0</v>
      </c>
      <c r="Y278" s="213"/>
      <c r="AF278" s="230">
        <f t="shared" si="4"/>
        <v>0</v>
      </c>
      <c r="AJ278" s="216"/>
    </row>
    <row r="279" spans="2:36" s="205" customFormat="1" ht="11.25" customHeight="1">
      <c r="B279" s="205" t="s">
        <v>291</v>
      </c>
      <c r="C279" s="206"/>
      <c r="D279" s="206"/>
      <c r="E279" s="208" t="s">
        <v>417</v>
      </c>
      <c r="F279" s="205" t="s">
        <v>418</v>
      </c>
      <c r="G279" s="209">
        <v>3983</v>
      </c>
      <c r="H279" s="205" t="s">
        <v>99</v>
      </c>
      <c r="I279" s="205" t="s">
        <v>141</v>
      </c>
      <c r="J279" s="210">
        <v>28072.799999999999</v>
      </c>
      <c r="L279" s="210">
        <v>28</v>
      </c>
      <c r="M279" s="210">
        <v>28</v>
      </c>
      <c r="N279" s="213"/>
      <c r="O279" s="212">
        <v>0.2</v>
      </c>
      <c r="P279" s="212"/>
      <c r="Q279" s="213">
        <v>0</v>
      </c>
      <c r="R279" s="205" t="s">
        <v>73</v>
      </c>
      <c r="S279" s="214" t="s">
        <v>74</v>
      </c>
      <c r="T279" s="214">
        <v>31</v>
      </c>
      <c r="U279" s="215" t="s">
        <v>164</v>
      </c>
      <c r="V279" s="438"/>
      <c r="W279" s="205" t="s">
        <v>3103</v>
      </c>
      <c r="X279" s="213">
        <v>0</v>
      </c>
      <c r="Y279" s="213"/>
      <c r="AF279" s="230">
        <f t="shared" si="4"/>
        <v>0</v>
      </c>
      <c r="AJ279" s="216"/>
    </row>
    <row r="280" spans="2:36" s="205" customFormat="1" ht="11.25" customHeight="1">
      <c r="B280" s="205" t="s">
        <v>291</v>
      </c>
      <c r="C280" s="206"/>
      <c r="D280" s="206"/>
      <c r="E280" s="208" t="s">
        <v>417</v>
      </c>
      <c r="F280" s="205" t="s">
        <v>418</v>
      </c>
      <c r="G280" s="209">
        <v>3983</v>
      </c>
      <c r="H280" s="205" t="s">
        <v>27</v>
      </c>
      <c r="I280" s="205" t="s">
        <v>141</v>
      </c>
      <c r="J280" s="210">
        <v>26960.639999999999</v>
      </c>
      <c r="L280" s="210">
        <v>18.88</v>
      </c>
      <c r="M280" s="210">
        <v>18.88</v>
      </c>
      <c r="N280" s="213"/>
      <c r="O280" s="212">
        <v>0.2</v>
      </c>
      <c r="P280" s="212"/>
      <c r="Q280" s="213">
        <v>0</v>
      </c>
      <c r="R280" s="205" t="s">
        <v>73</v>
      </c>
      <c r="S280" s="214" t="s">
        <v>74</v>
      </c>
      <c r="T280" s="214">
        <v>31</v>
      </c>
      <c r="U280" s="215" t="s">
        <v>164</v>
      </c>
      <c r="V280" s="438"/>
      <c r="W280" s="205" t="s">
        <v>3103</v>
      </c>
      <c r="X280" s="213">
        <v>0</v>
      </c>
      <c r="Y280" s="213"/>
      <c r="AF280" s="230">
        <f t="shared" si="4"/>
        <v>0</v>
      </c>
      <c r="AJ280" s="216"/>
    </row>
    <row r="281" spans="2:36" s="205" customFormat="1" ht="11.25" customHeight="1">
      <c r="B281" s="205" t="s">
        <v>291</v>
      </c>
      <c r="C281" s="206"/>
      <c r="D281" s="206"/>
      <c r="E281" s="208" t="s">
        <v>417</v>
      </c>
      <c r="F281" s="205" t="s">
        <v>418</v>
      </c>
      <c r="G281" s="209">
        <v>3983</v>
      </c>
      <c r="H281" s="205" t="s">
        <v>183</v>
      </c>
      <c r="I281" s="205" t="s">
        <v>141</v>
      </c>
      <c r="J281" s="210">
        <v>23424.34</v>
      </c>
      <c r="L281" s="210">
        <v>25.22</v>
      </c>
      <c r="M281" s="210">
        <v>25.22</v>
      </c>
      <c r="N281" s="213"/>
      <c r="O281" s="212">
        <v>0.2</v>
      </c>
      <c r="P281" s="212"/>
      <c r="Q281" s="213">
        <v>0</v>
      </c>
      <c r="R281" s="205" t="s">
        <v>73</v>
      </c>
      <c r="S281" s="214" t="s">
        <v>74</v>
      </c>
      <c r="T281" s="214">
        <v>31</v>
      </c>
      <c r="U281" s="215" t="s">
        <v>164</v>
      </c>
      <c r="V281" s="438"/>
      <c r="W281" s="205" t="s">
        <v>3103</v>
      </c>
      <c r="X281" s="213">
        <v>0</v>
      </c>
      <c r="Y281" s="213"/>
      <c r="AF281" s="230">
        <f t="shared" si="4"/>
        <v>0</v>
      </c>
      <c r="AJ281" s="216"/>
    </row>
    <row r="282" spans="2:36" s="291" customFormat="1" ht="11.25" customHeight="1">
      <c r="B282" s="291" t="s">
        <v>291</v>
      </c>
      <c r="C282" s="310">
        <v>44654</v>
      </c>
      <c r="D282" s="310">
        <v>44655</v>
      </c>
      <c r="E282" s="293" t="s">
        <v>427</v>
      </c>
      <c r="F282" s="291" t="s">
        <v>419</v>
      </c>
      <c r="G282" s="294" t="s">
        <v>420</v>
      </c>
      <c r="H282" s="291" t="s">
        <v>192</v>
      </c>
      <c r="I282" s="291" t="s">
        <v>334</v>
      </c>
      <c r="J282" s="296">
        <v>4860</v>
      </c>
      <c r="L282" s="296">
        <v>7.2</v>
      </c>
      <c r="M282" s="296">
        <v>7.2</v>
      </c>
      <c r="N282" s="297"/>
      <c r="O282" s="298">
        <v>0.2</v>
      </c>
      <c r="P282" s="298"/>
      <c r="Q282" s="297">
        <v>0</v>
      </c>
      <c r="R282" s="291" t="s">
        <v>257</v>
      </c>
      <c r="S282" s="299" t="s">
        <v>3078</v>
      </c>
      <c r="T282" s="299">
        <v>47</v>
      </c>
      <c r="U282" s="300" t="s">
        <v>164</v>
      </c>
      <c r="V282" s="333"/>
      <c r="W282" s="291" t="s">
        <v>3892</v>
      </c>
      <c r="X282" s="297">
        <v>0</v>
      </c>
      <c r="Y282" s="297"/>
      <c r="AH282" s="291">
        <f>X282</f>
        <v>0</v>
      </c>
      <c r="AI282" s="311"/>
      <c r="AJ282" s="468"/>
    </row>
    <row r="283" spans="2:36" s="291" customFormat="1" ht="11.25" customHeight="1">
      <c r="B283" s="291" t="s">
        <v>291</v>
      </c>
      <c r="E283" s="293" t="s">
        <v>427</v>
      </c>
      <c r="F283" s="291" t="s">
        <v>419</v>
      </c>
      <c r="G283" s="294" t="s">
        <v>420</v>
      </c>
      <c r="H283" s="291" t="s">
        <v>386</v>
      </c>
      <c r="I283" s="291" t="s">
        <v>334</v>
      </c>
      <c r="J283" s="296">
        <v>50625</v>
      </c>
      <c r="L283" s="296">
        <v>27</v>
      </c>
      <c r="M283" s="296">
        <v>27</v>
      </c>
      <c r="N283" s="297"/>
      <c r="O283" s="298">
        <v>0.2</v>
      </c>
      <c r="P283" s="298"/>
      <c r="Q283" s="297">
        <v>0</v>
      </c>
      <c r="R283" s="291" t="s">
        <v>257</v>
      </c>
      <c r="S283" s="299" t="s">
        <v>3078</v>
      </c>
      <c r="T283" s="299">
        <v>47</v>
      </c>
      <c r="U283" s="300" t="s">
        <v>164</v>
      </c>
      <c r="V283" s="333"/>
      <c r="W283" s="291" t="s">
        <v>3892</v>
      </c>
      <c r="X283" s="297">
        <v>0</v>
      </c>
      <c r="Y283" s="297"/>
      <c r="AH283" s="291">
        <f>X283</f>
        <v>0</v>
      </c>
      <c r="AI283" s="311"/>
      <c r="AJ283" s="468"/>
    </row>
    <row r="284" spans="2:36" s="205" customFormat="1" ht="11.25" customHeight="1">
      <c r="B284" s="205" t="s">
        <v>291</v>
      </c>
      <c r="C284" s="206">
        <v>44655</v>
      </c>
      <c r="D284" s="206">
        <v>44655</v>
      </c>
      <c r="E284" s="208" t="s">
        <v>421</v>
      </c>
      <c r="F284" s="205" t="s">
        <v>422</v>
      </c>
      <c r="G284" s="209">
        <v>4475</v>
      </c>
      <c r="H284" s="205" t="s">
        <v>140</v>
      </c>
      <c r="I284" s="205" t="s">
        <v>334</v>
      </c>
      <c r="J284" s="210">
        <v>126913.5</v>
      </c>
      <c r="L284" s="210">
        <v>91.8</v>
      </c>
      <c r="M284" s="210">
        <v>91.8</v>
      </c>
      <c r="N284" s="213">
        <f>0.15*J284</f>
        <v>19037.024999999998</v>
      </c>
      <c r="O284" s="212">
        <v>0.25</v>
      </c>
      <c r="P284" s="212"/>
      <c r="Q284" s="213">
        <v>0</v>
      </c>
      <c r="R284" s="205" t="s">
        <v>42</v>
      </c>
      <c r="S284" s="214" t="s">
        <v>41</v>
      </c>
      <c r="T284" s="214">
        <v>17</v>
      </c>
      <c r="U284" s="215" t="s">
        <v>164</v>
      </c>
      <c r="V284" s="438"/>
      <c r="X284" s="213">
        <v>0</v>
      </c>
      <c r="Y284" s="213"/>
      <c r="AF284" s="230">
        <f>X284</f>
        <v>0</v>
      </c>
      <c r="AJ284" s="216"/>
    </row>
    <row r="285" spans="2:36" s="153" customFormat="1" ht="11.25" customHeight="1">
      <c r="B285" s="153" t="s">
        <v>291</v>
      </c>
      <c r="C285" s="155">
        <v>44654</v>
      </c>
      <c r="D285" s="155">
        <v>44655</v>
      </c>
      <c r="E285" s="156" t="s">
        <v>423</v>
      </c>
      <c r="F285" s="153" t="s">
        <v>301</v>
      </c>
      <c r="G285" s="157">
        <v>3849</v>
      </c>
      <c r="H285" s="153" t="s">
        <v>99</v>
      </c>
      <c r="I285" s="153" t="s">
        <v>141</v>
      </c>
      <c r="J285" s="158">
        <v>5624.64</v>
      </c>
      <c r="L285" s="158">
        <v>5.04</v>
      </c>
      <c r="M285" s="158">
        <v>5.04</v>
      </c>
      <c r="N285" s="159"/>
      <c r="O285" s="160">
        <v>0.2</v>
      </c>
      <c r="P285" s="160"/>
      <c r="Q285" s="159">
        <v>0</v>
      </c>
      <c r="R285" s="153" t="s">
        <v>142</v>
      </c>
      <c r="S285" s="161" t="s">
        <v>41</v>
      </c>
      <c r="T285" s="161">
        <v>17</v>
      </c>
      <c r="U285" s="162" t="s">
        <v>164</v>
      </c>
      <c r="V285" s="435"/>
      <c r="W285" s="153" t="s">
        <v>1244</v>
      </c>
      <c r="X285" s="159">
        <v>0</v>
      </c>
      <c r="Y285" s="159"/>
      <c r="AD285" s="176">
        <f>X285</f>
        <v>0</v>
      </c>
      <c r="AJ285" s="644"/>
    </row>
    <row r="286" spans="2:36" s="153" customFormat="1" ht="11.25" customHeight="1">
      <c r="B286" s="153" t="s">
        <v>291</v>
      </c>
      <c r="C286" s="154"/>
      <c r="D286" s="154"/>
      <c r="E286" s="156" t="s">
        <v>423</v>
      </c>
      <c r="F286" s="153" t="s">
        <v>301</v>
      </c>
      <c r="G286" s="157">
        <v>3849</v>
      </c>
      <c r="H286" s="153" t="s">
        <v>99</v>
      </c>
      <c r="I286" s="153" t="s">
        <v>141</v>
      </c>
      <c r="J286" s="158">
        <v>15903</v>
      </c>
      <c r="L286" s="158">
        <v>14.25</v>
      </c>
      <c r="M286" s="158">
        <v>14.25</v>
      </c>
      <c r="N286" s="159"/>
      <c r="O286" s="160">
        <v>0.2</v>
      </c>
      <c r="P286" s="160"/>
      <c r="Q286" s="159">
        <v>0</v>
      </c>
      <c r="R286" s="153" t="s">
        <v>142</v>
      </c>
      <c r="S286" s="161" t="s">
        <v>41</v>
      </c>
      <c r="T286" s="161">
        <v>16</v>
      </c>
      <c r="U286" s="162" t="s">
        <v>164</v>
      </c>
      <c r="V286" s="435"/>
      <c r="W286" s="153" t="s">
        <v>1244</v>
      </c>
      <c r="X286" s="159">
        <v>0</v>
      </c>
      <c r="Y286" s="159"/>
      <c r="AD286" s="176">
        <f>X286</f>
        <v>0</v>
      </c>
      <c r="AJ286" s="644"/>
    </row>
    <row r="287" spans="2:36" s="153" customFormat="1" ht="11.25" customHeight="1">
      <c r="B287" s="153" t="s">
        <v>291</v>
      </c>
      <c r="C287" s="154"/>
      <c r="D287" s="154"/>
      <c r="E287" s="156" t="s">
        <v>423</v>
      </c>
      <c r="F287" s="153" t="s">
        <v>301</v>
      </c>
      <c r="G287" s="157">
        <v>3849</v>
      </c>
      <c r="H287" s="153" t="s">
        <v>27</v>
      </c>
      <c r="I287" s="153" t="s">
        <v>141</v>
      </c>
      <c r="J287" s="158">
        <v>8530.7000000000007</v>
      </c>
      <c r="L287" s="158">
        <v>6.47</v>
      </c>
      <c r="M287" s="158">
        <v>6.47</v>
      </c>
      <c r="N287" s="159"/>
      <c r="O287" s="160">
        <v>0.2</v>
      </c>
      <c r="P287" s="160"/>
      <c r="Q287" s="159">
        <v>0</v>
      </c>
      <c r="R287" s="153" t="s">
        <v>142</v>
      </c>
      <c r="S287" s="161" t="s">
        <v>41</v>
      </c>
      <c r="T287" s="161">
        <v>16</v>
      </c>
      <c r="U287" s="162" t="s">
        <v>164</v>
      </c>
      <c r="V287" s="435"/>
      <c r="W287" s="153" t="s">
        <v>1244</v>
      </c>
      <c r="X287" s="159">
        <v>0</v>
      </c>
      <c r="Y287" s="159"/>
      <c r="AD287" s="176">
        <f>X287</f>
        <v>0</v>
      </c>
      <c r="AJ287" s="644"/>
    </row>
    <row r="288" spans="2:36" s="261" customFormat="1" ht="11.25" customHeight="1">
      <c r="B288" s="261" t="s">
        <v>291</v>
      </c>
      <c r="C288" s="258">
        <v>44655</v>
      </c>
      <c r="D288" s="258">
        <v>44655</v>
      </c>
      <c r="E288" s="260" t="s">
        <v>424</v>
      </c>
      <c r="F288" s="261" t="s">
        <v>425</v>
      </c>
      <c r="G288" s="262">
        <v>3522</v>
      </c>
      <c r="H288" s="261" t="s">
        <v>27</v>
      </c>
      <c r="I288" s="261" t="s">
        <v>1717</v>
      </c>
      <c r="J288" s="263">
        <v>26460</v>
      </c>
      <c r="L288" s="263">
        <v>21</v>
      </c>
      <c r="M288" s="263">
        <v>21</v>
      </c>
      <c r="N288" s="265">
        <v>3073.14</v>
      </c>
      <c r="O288" s="266">
        <v>0.3</v>
      </c>
      <c r="P288" s="266"/>
      <c r="Q288" s="265">
        <v>0</v>
      </c>
      <c r="R288" s="261" t="s">
        <v>46</v>
      </c>
      <c r="S288" s="267" t="s">
        <v>426</v>
      </c>
      <c r="T288" s="267">
        <v>76</v>
      </c>
      <c r="U288" s="268" t="s">
        <v>164</v>
      </c>
      <c r="V288" s="427"/>
      <c r="X288" s="265">
        <v>0</v>
      </c>
      <c r="Y288" s="265"/>
      <c r="AG288" s="261">
        <f>X288</f>
        <v>0</v>
      </c>
      <c r="AJ288" s="642"/>
    </row>
    <row r="289" spans="1:77" s="153" customFormat="1" ht="11.25" customHeight="1">
      <c r="B289" s="153" t="s">
        <v>291</v>
      </c>
      <c r="C289" s="155">
        <v>44655</v>
      </c>
      <c r="D289" s="155">
        <v>44655</v>
      </c>
      <c r="E289" s="156" t="s">
        <v>428</v>
      </c>
      <c r="F289" s="153" t="s">
        <v>429</v>
      </c>
      <c r="G289" s="157">
        <v>4398</v>
      </c>
      <c r="H289" s="153" t="s">
        <v>99</v>
      </c>
      <c r="I289" s="153" t="s">
        <v>141</v>
      </c>
      <c r="J289" s="158">
        <v>106247.9</v>
      </c>
      <c r="L289" s="158">
        <v>66.900000000000006</v>
      </c>
      <c r="M289" s="158">
        <v>66.900000000000006</v>
      </c>
      <c r="N289" s="159"/>
      <c r="O289" s="160">
        <v>0.2</v>
      </c>
      <c r="P289" s="160"/>
      <c r="Q289" s="159">
        <v>0</v>
      </c>
      <c r="R289" s="153" t="s">
        <v>35</v>
      </c>
      <c r="S289" s="161" t="s">
        <v>41</v>
      </c>
      <c r="T289" s="161">
        <v>86</v>
      </c>
      <c r="U289" s="162" t="s">
        <v>164</v>
      </c>
      <c r="V289" s="435"/>
      <c r="W289" s="153" t="s">
        <v>1863</v>
      </c>
      <c r="X289" s="159">
        <v>0</v>
      </c>
      <c r="Y289" s="159"/>
      <c r="AD289" s="176">
        <f>X289</f>
        <v>0</v>
      </c>
      <c r="AJ289" s="644"/>
    </row>
    <row r="290" spans="1:77" s="153" customFormat="1" ht="11.25" customHeight="1">
      <c r="B290" s="153" t="s">
        <v>291</v>
      </c>
      <c r="C290" s="155"/>
      <c r="D290" s="155"/>
      <c r="E290" s="156" t="s">
        <v>428</v>
      </c>
      <c r="F290" s="153" t="s">
        <v>429</v>
      </c>
      <c r="G290" s="157">
        <v>4398</v>
      </c>
      <c r="H290" s="153" t="s">
        <v>183</v>
      </c>
      <c r="I290" s="153" t="s">
        <v>141</v>
      </c>
      <c r="J290" s="158">
        <v>59677.17</v>
      </c>
      <c r="L290" s="158">
        <v>44.5</v>
      </c>
      <c r="M290" s="158">
        <v>44.5</v>
      </c>
      <c r="N290" s="159"/>
      <c r="O290" s="160">
        <v>0.2</v>
      </c>
      <c r="P290" s="160"/>
      <c r="Q290" s="159">
        <v>0</v>
      </c>
      <c r="R290" s="153" t="s">
        <v>35</v>
      </c>
      <c r="S290" s="161" t="s">
        <v>41</v>
      </c>
      <c r="T290" s="161">
        <v>86</v>
      </c>
      <c r="U290" s="162" t="s">
        <v>164</v>
      </c>
      <c r="V290" s="435"/>
      <c r="W290" s="153" t="s">
        <v>1863</v>
      </c>
      <c r="X290" s="159">
        <v>0</v>
      </c>
      <c r="Y290" s="159"/>
      <c r="AD290" s="176">
        <f>X290</f>
        <v>0</v>
      </c>
      <c r="AJ290" s="644"/>
    </row>
    <row r="291" spans="1:77" s="153" customFormat="1" ht="11.25" customHeight="1">
      <c r="B291" s="153" t="s">
        <v>291</v>
      </c>
      <c r="C291" s="155"/>
      <c r="D291" s="155"/>
      <c r="E291" s="156" t="s">
        <v>428</v>
      </c>
      <c r="F291" s="153" t="s">
        <v>429</v>
      </c>
      <c r="G291" s="157">
        <v>4398</v>
      </c>
      <c r="H291" s="153" t="s">
        <v>27</v>
      </c>
      <c r="I291" s="153" t="s">
        <v>141</v>
      </c>
      <c r="J291" s="158">
        <v>113737.55</v>
      </c>
      <c r="L291" s="158">
        <v>56.23</v>
      </c>
      <c r="M291" s="158">
        <v>56.23</v>
      </c>
      <c r="N291" s="159"/>
      <c r="O291" s="160">
        <v>0.2</v>
      </c>
      <c r="P291" s="160"/>
      <c r="Q291" s="159">
        <v>0</v>
      </c>
      <c r="R291" s="153" t="s">
        <v>35</v>
      </c>
      <c r="S291" s="161" t="s">
        <v>41</v>
      </c>
      <c r="T291" s="161">
        <v>86</v>
      </c>
      <c r="U291" s="162" t="s">
        <v>164</v>
      </c>
      <c r="V291" s="435"/>
      <c r="W291" s="153" t="s">
        <v>1863</v>
      </c>
      <c r="X291" s="159">
        <v>0</v>
      </c>
      <c r="Y291" s="159"/>
      <c r="AD291" s="176">
        <f>X291</f>
        <v>0</v>
      </c>
      <c r="AJ291" s="644"/>
    </row>
    <row r="292" spans="1:77" s="6" customFormat="1" ht="11.25" customHeight="1">
      <c r="A292" s="379"/>
      <c r="B292" s="379" t="s">
        <v>291</v>
      </c>
      <c r="C292" s="381">
        <v>44655</v>
      </c>
      <c r="D292" s="381">
        <v>44655</v>
      </c>
      <c r="E292" s="382" t="s">
        <v>430</v>
      </c>
      <c r="F292" s="379" t="s">
        <v>431</v>
      </c>
      <c r="G292" s="383">
        <v>4114</v>
      </c>
      <c r="H292" s="379" t="s">
        <v>432</v>
      </c>
      <c r="I292" s="379" t="s">
        <v>334</v>
      </c>
      <c r="J292" s="385">
        <v>3840.14</v>
      </c>
      <c r="K292" s="379"/>
      <c r="L292" s="385">
        <v>5</v>
      </c>
      <c r="M292" s="385">
        <v>5</v>
      </c>
      <c r="N292" s="386"/>
      <c r="O292" s="387">
        <v>0.15</v>
      </c>
      <c r="P292" s="387"/>
      <c r="Q292" s="386">
        <v>0</v>
      </c>
      <c r="R292" s="379" t="s">
        <v>35</v>
      </c>
      <c r="S292" s="388" t="s">
        <v>41</v>
      </c>
      <c r="T292" s="388">
        <v>79</v>
      </c>
      <c r="U292" s="389" t="s">
        <v>164</v>
      </c>
      <c r="V292" s="433"/>
      <c r="W292" s="379"/>
      <c r="X292" s="386">
        <v>0</v>
      </c>
      <c r="Y292" s="386"/>
      <c r="Z292" s="379"/>
      <c r="AA292" s="379"/>
      <c r="AB292" s="379"/>
      <c r="AC292" s="379"/>
      <c r="AD292" s="379"/>
      <c r="AE292" s="379"/>
      <c r="AF292" s="379"/>
      <c r="AG292" s="379"/>
      <c r="AH292" s="379"/>
      <c r="AI292" s="379"/>
      <c r="AJ292" s="390">
        <v>0</v>
      </c>
      <c r="AK292" s="379"/>
      <c r="AL292" s="379"/>
      <c r="AM292" s="379"/>
      <c r="AN292" s="379"/>
      <c r="AO292" s="379"/>
      <c r="AP292" s="379"/>
      <c r="AQ292" s="379"/>
      <c r="AR292" s="379"/>
      <c r="AS292" s="379"/>
      <c r="AT292" s="379"/>
      <c r="AU292" s="379"/>
      <c r="AV292" s="379"/>
      <c r="AW292" s="379"/>
      <c r="AX292" s="379"/>
      <c r="AY292" s="379"/>
      <c r="AZ292" s="379"/>
      <c r="BA292" s="379"/>
      <c r="BB292" s="379"/>
      <c r="BC292" s="379"/>
      <c r="BD292" s="379"/>
      <c r="BE292" s="379"/>
      <c r="BF292" s="379"/>
      <c r="BG292" s="379"/>
      <c r="BH292" s="379"/>
      <c r="BI292" s="379"/>
      <c r="BJ292" s="379"/>
      <c r="BK292" s="379"/>
      <c r="BL292" s="379"/>
      <c r="BM292" s="379"/>
      <c r="BN292" s="379"/>
      <c r="BO292" s="379"/>
      <c r="BP292" s="379"/>
      <c r="BQ292" s="379"/>
      <c r="BR292" s="379"/>
      <c r="BS292" s="379"/>
      <c r="BT292" s="379"/>
      <c r="BU292" s="379"/>
      <c r="BV292" s="379"/>
      <c r="BW292" s="379"/>
      <c r="BX292" s="379"/>
      <c r="BY292" s="379"/>
    </row>
    <row r="293" spans="1:77" s="337" customFormat="1" ht="11.25" customHeight="1">
      <c r="A293" s="379"/>
      <c r="B293" s="379" t="s">
        <v>291</v>
      </c>
      <c r="C293" s="381"/>
      <c r="D293" s="381"/>
      <c r="E293" s="382" t="s">
        <v>430</v>
      </c>
      <c r="F293" s="379" t="s">
        <v>431</v>
      </c>
      <c r="G293" s="383">
        <v>4114</v>
      </c>
      <c r="H293" s="379" t="s">
        <v>295</v>
      </c>
      <c r="I293" s="379" t="s">
        <v>334</v>
      </c>
      <c r="J293" s="385">
        <v>11939.82</v>
      </c>
      <c r="K293" s="379"/>
      <c r="L293" s="385">
        <v>16</v>
      </c>
      <c r="M293" s="385">
        <v>16</v>
      </c>
      <c r="N293" s="386"/>
      <c r="O293" s="387">
        <v>0.15</v>
      </c>
      <c r="P293" s="387"/>
      <c r="Q293" s="386">
        <v>0</v>
      </c>
      <c r="R293" s="379" t="s">
        <v>35</v>
      </c>
      <c r="S293" s="388" t="s">
        <v>41</v>
      </c>
      <c r="T293" s="388">
        <v>79</v>
      </c>
      <c r="U293" s="389" t="s">
        <v>164</v>
      </c>
      <c r="V293" s="433"/>
      <c r="W293" s="379"/>
      <c r="X293" s="386">
        <v>0</v>
      </c>
      <c r="Y293" s="386"/>
      <c r="Z293" s="379"/>
      <c r="AA293" s="379"/>
      <c r="AB293" s="379"/>
      <c r="AC293" s="379"/>
      <c r="AD293" s="379"/>
      <c r="AE293" s="379"/>
      <c r="AF293" s="379"/>
      <c r="AG293" s="379"/>
      <c r="AH293" s="379"/>
      <c r="AI293" s="379"/>
      <c r="AJ293" s="390">
        <v>0</v>
      </c>
      <c r="AK293" s="379"/>
      <c r="AL293" s="379"/>
      <c r="AM293" s="379"/>
      <c r="AN293" s="379"/>
      <c r="AO293" s="379"/>
      <c r="AP293" s="379"/>
      <c r="AQ293" s="379"/>
      <c r="AR293" s="379"/>
      <c r="AS293" s="379"/>
      <c r="AT293" s="379"/>
      <c r="AU293" s="379"/>
      <c r="AV293" s="379"/>
      <c r="AW293" s="379"/>
      <c r="AX293" s="379"/>
      <c r="AY293" s="379"/>
      <c r="AZ293" s="379"/>
      <c r="BA293" s="379"/>
      <c r="BB293" s="379"/>
      <c r="BC293" s="379"/>
      <c r="BD293" s="379"/>
      <c r="BE293" s="379"/>
      <c r="BF293" s="379"/>
      <c r="BG293" s="379"/>
      <c r="BH293" s="379"/>
      <c r="BI293" s="379"/>
      <c r="BJ293" s="379"/>
      <c r="BK293" s="379"/>
      <c r="BL293" s="379"/>
      <c r="BM293" s="379"/>
      <c r="BN293" s="379"/>
      <c r="BO293" s="379"/>
      <c r="BP293" s="379"/>
      <c r="BQ293" s="379"/>
      <c r="BR293" s="379"/>
      <c r="BS293" s="379"/>
      <c r="BT293" s="379"/>
      <c r="BU293" s="379"/>
      <c r="BV293" s="379"/>
      <c r="BW293" s="379"/>
      <c r="BX293" s="379"/>
      <c r="BY293" s="379"/>
    </row>
    <row r="294" spans="1:77" s="6" customFormat="1" ht="11.25" customHeight="1">
      <c r="A294" s="379"/>
      <c r="B294" s="379" t="s">
        <v>291</v>
      </c>
      <c r="C294" s="381"/>
      <c r="D294" s="381"/>
      <c r="E294" s="382" t="s">
        <v>430</v>
      </c>
      <c r="F294" s="379" t="s">
        <v>431</v>
      </c>
      <c r="G294" s="383">
        <v>4114</v>
      </c>
      <c r="H294" s="379" t="s">
        <v>183</v>
      </c>
      <c r="I294" s="379" t="s">
        <v>334</v>
      </c>
      <c r="J294" s="385">
        <v>13264.46</v>
      </c>
      <c r="K294" s="379"/>
      <c r="L294" s="385">
        <v>11.66</v>
      </c>
      <c r="M294" s="385">
        <v>11.66</v>
      </c>
      <c r="N294" s="386"/>
      <c r="O294" s="387">
        <v>0.15</v>
      </c>
      <c r="P294" s="387"/>
      <c r="Q294" s="386">
        <v>0</v>
      </c>
      <c r="R294" s="379" t="s">
        <v>35</v>
      </c>
      <c r="S294" s="388" t="s">
        <v>41</v>
      </c>
      <c r="T294" s="388">
        <v>79</v>
      </c>
      <c r="U294" s="389" t="s">
        <v>164</v>
      </c>
      <c r="V294" s="433"/>
      <c r="W294" s="379"/>
      <c r="X294" s="386">
        <v>0</v>
      </c>
      <c r="Y294" s="386"/>
      <c r="Z294" s="379"/>
      <c r="AA294" s="379"/>
      <c r="AB294" s="379"/>
      <c r="AC294" s="379"/>
      <c r="AD294" s="379"/>
      <c r="AE294" s="379"/>
      <c r="AF294" s="379"/>
      <c r="AG294" s="379"/>
      <c r="AH294" s="379"/>
      <c r="AI294" s="379"/>
      <c r="AJ294" s="390">
        <v>0</v>
      </c>
      <c r="AK294" s="379"/>
      <c r="AL294" s="379"/>
      <c r="AM294" s="379"/>
      <c r="AN294" s="379"/>
      <c r="AO294" s="379"/>
      <c r="AP294" s="379"/>
      <c r="AQ294" s="379"/>
      <c r="AR294" s="379"/>
      <c r="AS294" s="379"/>
      <c r="AT294" s="379"/>
      <c r="AU294" s="379"/>
      <c r="AV294" s="379"/>
      <c r="AW294" s="379"/>
      <c r="AX294" s="379"/>
      <c r="AY294" s="379"/>
      <c r="AZ294" s="379"/>
      <c r="BA294" s="379"/>
      <c r="BB294" s="379"/>
      <c r="BC294" s="379"/>
      <c r="BD294" s="379"/>
      <c r="BE294" s="379"/>
      <c r="BF294" s="379"/>
      <c r="BG294" s="379"/>
      <c r="BH294" s="379"/>
      <c r="BI294" s="379"/>
      <c r="BJ294" s="379"/>
      <c r="BK294" s="379"/>
      <c r="BL294" s="379"/>
      <c r="BM294" s="379"/>
      <c r="BN294" s="379"/>
      <c r="BO294" s="379"/>
      <c r="BP294" s="379"/>
      <c r="BQ294" s="379"/>
      <c r="BR294" s="379"/>
      <c r="BS294" s="379"/>
      <c r="BT294" s="379"/>
      <c r="BU294" s="379"/>
      <c r="BV294" s="379"/>
      <c r="BW294" s="379"/>
      <c r="BX294" s="379"/>
      <c r="BY294" s="379"/>
    </row>
    <row r="295" spans="1:77" s="647" customFormat="1" ht="11.25" customHeight="1">
      <c r="B295" s="647" t="s">
        <v>291</v>
      </c>
      <c r="C295" s="648"/>
      <c r="D295" s="648"/>
      <c r="E295" s="649" t="s">
        <v>430</v>
      </c>
      <c r="F295" s="647" t="s">
        <v>431</v>
      </c>
      <c r="G295" s="650">
        <v>4114</v>
      </c>
      <c r="H295" s="647" t="s">
        <v>1355</v>
      </c>
      <c r="I295" s="647" t="s">
        <v>334</v>
      </c>
      <c r="J295" s="651">
        <v>7574.58</v>
      </c>
      <c r="L295" s="651">
        <v>7.02</v>
      </c>
      <c r="M295" s="651">
        <v>7.02</v>
      </c>
      <c r="N295" s="652">
        <f>J295*0.4</f>
        <v>3029.8320000000003</v>
      </c>
      <c r="O295" s="653">
        <v>0.15</v>
      </c>
      <c r="P295" s="653"/>
      <c r="Q295" s="652">
        <v>0</v>
      </c>
      <c r="R295" s="647" t="s">
        <v>35</v>
      </c>
      <c r="S295" s="654" t="s">
        <v>41</v>
      </c>
      <c r="T295" s="654">
        <v>79</v>
      </c>
      <c r="U295" s="655" t="s">
        <v>164</v>
      </c>
      <c r="V295" s="656"/>
      <c r="W295" s="647" t="s">
        <v>3936</v>
      </c>
      <c r="X295" s="652">
        <v>0</v>
      </c>
      <c r="Y295" s="652"/>
      <c r="AI295" s="647">
        <f>X295</f>
        <v>0</v>
      </c>
      <c r="AJ295" s="657"/>
      <c r="AK295" s="658"/>
    </row>
    <row r="296" spans="1:77" s="647" customFormat="1" ht="11.25" customHeight="1">
      <c r="B296" s="647" t="s">
        <v>291</v>
      </c>
      <c r="C296" s="648"/>
      <c r="D296" s="648"/>
      <c r="E296" s="649" t="s">
        <v>430</v>
      </c>
      <c r="F296" s="647" t="s">
        <v>431</v>
      </c>
      <c r="G296" s="650">
        <v>4114</v>
      </c>
      <c r="H296" s="647" t="s">
        <v>336</v>
      </c>
      <c r="I296" s="647" t="s">
        <v>334</v>
      </c>
      <c r="J296" s="651">
        <v>23435.79</v>
      </c>
      <c r="L296" s="651">
        <v>14.98</v>
      </c>
      <c r="M296" s="651">
        <v>14.98</v>
      </c>
      <c r="N296" s="652"/>
      <c r="O296" s="653">
        <v>0.15</v>
      </c>
      <c r="P296" s="653"/>
      <c r="Q296" s="652">
        <v>4633.72</v>
      </c>
      <c r="R296" s="647" t="s">
        <v>35</v>
      </c>
      <c r="S296" s="654" t="s">
        <v>41</v>
      </c>
      <c r="T296" s="654">
        <v>79</v>
      </c>
      <c r="U296" s="655" t="s">
        <v>164</v>
      </c>
      <c r="V296" s="656"/>
      <c r="X296" s="652">
        <v>4633.72</v>
      </c>
      <c r="Y296" s="652"/>
      <c r="AI296" s="652">
        <v>4633.72</v>
      </c>
      <c r="AJ296" s="657"/>
      <c r="AK296" s="658"/>
    </row>
    <row r="297" spans="1:77" s="647" customFormat="1" ht="11.25" customHeight="1">
      <c r="B297" s="647" t="s">
        <v>291</v>
      </c>
      <c r="C297" s="648"/>
      <c r="D297" s="648"/>
      <c r="E297" s="649" t="s">
        <v>430</v>
      </c>
      <c r="F297" s="647" t="s">
        <v>431</v>
      </c>
      <c r="G297" s="650">
        <v>4114</v>
      </c>
      <c r="H297" s="647" t="s">
        <v>310</v>
      </c>
      <c r="I297" s="647" t="s">
        <v>334</v>
      </c>
      <c r="J297" s="651">
        <v>23275.17</v>
      </c>
      <c r="L297" s="651">
        <v>18.04</v>
      </c>
      <c r="M297" s="651">
        <v>18.04</v>
      </c>
      <c r="N297" s="652">
        <f>J297*0.4</f>
        <v>9310.0679999999993</v>
      </c>
      <c r="O297" s="653">
        <v>0.15</v>
      </c>
      <c r="P297" s="653"/>
      <c r="Q297" s="652">
        <v>1528.86</v>
      </c>
      <c r="R297" s="647" t="s">
        <v>35</v>
      </c>
      <c r="S297" s="654" t="s">
        <v>41</v>
      </c>
      <c r="T297" s="654">
        <v>79</v>
      </c>
      <c r="U297" s="655" t="s">
        <v>164</v>
      </c>
      <c r="V297" s="656"/>
      <c r="X297" s="652">
        <v>1528.86</v>
      </c>
      <c r="Y297" s="652"/>
      <c r="AI297" s="652">
        <v>1528.86</v>
      </c>
      <c r="AJ297" s="657"/>
      <c r="AK297" s="658"/>
    </row>
    <row r="298" spans="1:77" s="647" customFormat="1" ht="11.25" customHeight="1">
      <c r="B298" s="647" t="s">
        <v>291</v>
      </c>
      <c r="C298" s="648"/>
      <c r="D298" s="648"/>
      <c r="E298" s="649" t="s">
        <v>430</v>
      </c>
      <c r="F298" s="647" t="s">
        <v>431</v>
      </c>
      <c r="G298" s="650">
        <v>4114</v>
      </c>
      <c r="H298" s="647" t="s">
        <v>433</v>
      </c>
      <c r="I298" s="647" t="s">
        <v>334</v>
      </c>
      <c r="J298" s="651">
        <v>27092.22</v>
      </c>
      <c r="L298" s="651">
        <v>24.3</v>
      </c>
      <c r="M298" s="651">
        <v>24.3</v>
      </c>
      <c r="N298" s="652"/>
      <c r="O298" s="653">
        <v>0.15</v>
      </c>
      <c r="P298" s="653"/>
      <c r="Q298" s="652">
        <v>7240.46</v>
      </c>
      <c r="R298" s="647" t="s">
        <v>35</v>
      </c>
      <c r="S298" s="654" t="s">
        <v>41</v>
      </c>
      <c r="T298" s="654">
        <v>79</v>
      </c>
      <c r="U298" s="655" t="s">
        <v>164</v>
      </c>
      <c r="V298" s="656"/>
      <c r="X298" s="652">
        <v>7240.46</v>
      </c>
      <c r="Y298" s="652"/>
      <c r="AI298" s="652">
        <v>7240.46</v>
      </c>
      <c r="AJ298" s="657"/>
      <c r="AK298" s="658"/>
    </row>
    <row r="299" spans="1:77" s="205" customFormat="1" ht="11.25" customHeight="1">
      <c r="B299" s="205" t="s">
        <v>291</v>
      </c>
      <c r="C299" s="207">
        <v>44655</v>
      </c>
      <c r="D299" s="207">
        <v>44655</v>
      </c>
      <c r="E299" s="208" t="s">
        <v>434</v>
      </c>
      <c r="F299" s="205" t="s">
        <v>219</v>
      </c>
      <c r="G299" s="209">
        <v>4141</v>
      </c>
      <c r="H299" s="205" t="s">
        <v>316</v>
      </c>
      <c r="I299" s="205" t="s">
        <v>141</v>
      </c>
      <c r="J299" s="210">
        <v>23740.5</v>
      </c>
      <c r="L299" s="210">
        <v>22.61</v>
      </c>
      <c r="M299" s="210">
        <v>22.61</v>
      </c>
      <c r="N299" s="213">
        <v>0</v>
      </c>
      <c r="O299" s="212">
        <v>0.2</v>
      </c>
      <c r="P299" s="212"/>
      <c r="Q299" s="213">
        <v>0</v>
      </c>
      <c r="R299" s="205" t="s">
        <v>73</v>
      </c>
      <c r="S299" s="214" t="s">
        <v>150</v>
      </c>
      <c r="T299" s="214">
        <v>32</v>
      </c>
      <c r="U299" s="215" t="s">
        <v>164</v>
      </c>
      <c r="V299" s="438"/>
      <c r="W299" s="205" t="s">
        <v>2987</v>
      </c>
      <c r="X299" s="213">
        <v>0</v>
      </c>
      <c r="Y299" s="213"/>
      <c r="AF299" s="230">
        <f>X299</f>
        <v>0</v>
      </c>
      <c r="AJ299" s="216"/>
    </row>
    <row r="300" spans="1:77" s="205" customFormat="1" ht="11.25" customHeight="1">
      <c r="B300" s="205" t="s">
        <v>291</v>
      </c>
      <c r="C300" s="207"/>
      <c r="D300" s="207"/>
      <c r="E300" s="208" t="s">
        <v>434</v>
      </c>
      <c r="F300" s="205" t="s">
        <v>219</v>
      </c>
      <c r="G300" s="209">
        <v>4141</v>
      </c>
      <c r="H300" s="205" t="s">
        <v>99</v>
      </c>
      <c r="I300" s="205" t="s">
        <v>141</v>
      </c>
      <c r="J300" s="210">
        <v>49308.800000000003</v>
      </c>
      <c r="L300" s="210">
        <v>42.46</v>
      </c>
      <c r="M300" s="210">
        <v>42.46</v>
      </c>
      <c r="N300" s="213">
        <v>0</v>
      </c>
      <c r="O300" s="212">
        <v>0.2</v>
      </c>
      <c r="P300" s="212"/>
      <c r="Q300" s="213">
        <v>0</v>
      </c>
      <c r="R300" s="205" t="s">
        <v>73</v>
      </c>
      <c r="S300" s="214" t="s">
        <v>150</v>
      </c>
      <c r="T300" s="214">
        <v>31</v>
      </c>
      <c r="U300" s="215" t="s">
        <v>164</v>
      </c>
      <c r="V300" s="438"/>
      <c r="W300" s="205" t="s">
        <v>2987</v>
      </c>
      <c r="X300" s="213">
        <v>0</v>
      </c>
      <c r="Y300" s="213"/>
      <c r="AF300" s="230">
        <f>X300</f>
        <v>0</v>
      </c>
      <c r="AJ300" s="216"/>
    </row>
    <row r="301" spans="1:77" s="205" customFormat="1" ht="11.25" customHeight="1">
      <c r="B301" s="205" t="s">
        <v>291</v>
      </c>
      <c r="C301" s="207"/>
      <c r="D301" s="207"/>
      <c r="E301" s="208" t="s">
        <v>434</v>
      </c>
      <c r="F301" s="205" t="s">
        <v>219</v>
      </c>
      <c r="G301" s="209">
        <v>4141</v>
      </c>
      <c r="H301" s="205" t="s">
        <v>27</v>
      </c>
      <c r="I301" s="205" t="s">
        <v>141</v>
      </c>
      <c r="J301" s="210">
        <v>12937.5</v>
      </c>
      <c r="L301" s="210">
        <v>9.4600000000000009</v>
      </c>
      <c r="M301" s="210">
        <v>9.4600000000000009</v>
      </c>
      <c r="N301" s="213">
        <v>0</v>
      </c>
      <c r="O301" s="212">
        <v>0.2</v>
      </c>
      <c r="P301" s="212"/>
      <c r="Q301" s="213">
        <v>0</v>
      </c>
      <c r="R301" s="205" t="s">
        <v>73</v>
      </c>
      <c r="S301" s="214" t="s">
        <v>150</v>
      </c>
      <c r="T301" s="214">
        <v>31</v>
      </c>
      <c r="U301" s="215" t="s">
        <v>164</v>
      </c>
      <c r="V301" s="438"/>
      <c r="W301" s="205" t="s">
        <v>2987</v>
      </c>
      <c r="X301" s="213">
        <v>0</v>
      </c>
      <c r="Y301" s="213"/>
      <c r="AF301" s="230">
        <f>X301</f>
        <v>0</v>
      </c>
      <c r="AJ301" s="216"/>
    </row>
    <row r="302" spans="1:77" s="205" customFormat="1" ht="11.25" customHeight="1">
      <c r="B302" s="205" t="s">
        <v>291</v>
      </c>
      <c r="C302" s="207"/>
      <c r="D302" s="207"/>
      <c r="E302" s="208" t="s">
        <v>434</v>
      </c>
      <c r="F302" s="205" t="s">
        <v>219</v>
      </c>
      <c r="G302" s="209">
        <v>4141</v>
      </c>
      <c r="H302" s="205" t="s">
        <v>183</v>
      </c>
      <c r="I302" s="205" t="s">
        <v>141</v>
      </c>
      <c r="J302" s="210">
        <v>14697.86</v>
      </c>
      <c r="L302" s="210">
        <v>14.49</v>
      </c>
      <c r="M302" s="210">
        <v>14.49</v>
      </c>
      <c r="N302" s="213">
        <v>0</v>
      </c>
      <c r="O302" s="212">
        <v>0.2</v>
      </c>
      <c r="P302" s="212"/>
      <c r="Q302" s="213">
        <v>0</v>
      </c>
      <c r="R302" s="205" t="s">
        <v>73</v>
      </c>
      <c r="S302" s="214" t="s">
        <v>150</v>
      </c>
      <c r="T302" s="214">
        <v>31</v>
      </c>
      <c r="U302" s="215" t="s">
        <v>164</v>
      </c>
      <c r="V302" s="438"/>
      <c r="W302" s="205" t="s">
        <v>2987</v>
      </c>
      <c r="X302" s="213">
        <v>0</v>
      </c>
      <c r="Y302" s="213"/>
      <c r="AF302" s="230">
        <f>X302</f>
        <v>0</v>
      </c>
      <c r="AJ302" s="216"/>
    </row>
    <row r="303" spans="1:77" s="153" customFormat="1" ht="11.25" customHeight="1">
      <c r="B303" s="153" t="s">
        <v>291</v>
      </c>
      <c r="C303" s="155">
        <v>44655</v>
      </c>
      <c r="D303" s="155">
        <v>44655</v>
      </c>
      <c r="E303" s="156" t="s">
        <v>435</v>
      </c>
      <c r="F303" s="153" t="s">
        <v>436</v>
      </c>
      <c r="G303" s="157" t="s">
        <v>437</v>
      </c>
      <c r="H303" s="153" t="s">
        <v>27</v>
      </c>
      <c r="I303" s="153" t="s">
        <v>141</v>
      </c>
      <c r="J303" s="158">
        <v>20049.89</v>
      </c>
      <c r="L303" s="158">
        <v>19.350000000000001</v>
      </c>
      <c r="M303" s="158">
        <v>19.350000000000001</v>
      </c>
      <c r="N303" s="159"/>
      <c r="O303" s="160">
        <v>0.3</v>
      </c>
      <c r="P303" s="160"/>
      <c r="Q303" s="159">
        <v>0</v>
      </c>
      <c r="R303" s="153" t="s">
        <v>42</v>
      </c>
      <c r="S303" s="161" t="s">
        <v>41</v>
      </c>
      <c r="T303" s="161">
        <v>17</v>
      </c>
      <c r="U303" s="162" t="s">
        <v>164</v>
      </c>
      <c r="V303" s="435"/>
      <c r="X303" s="159">
        <v>0</v>
      </c>
      <c r="Y303" s="159"/>
      <c r="AD303" s="176">
        <f>X303</f>
        <v>0</v>
      </c>
      <c r="AJ303" s="644"/>
    </row>
    <row r="304" spans="1:77" s="153" customFormat="1" ht="11.25" customHeight="1">
      <c r="B304" s="153" t="s">
        <v>291</v>
      </c>
      <c r="C304" s="155"/>
      <c r="D304" s="155"/>
      <c r="E304" s="156" t="s">
        <v>435</v>
      </c>
      <c r="F304" s="153" t="s">
        <v>436</v>
      </c>
      <c r="G304" s="157" t="s">
        <v>437</v>
      </c>
      <c r="H304" s="153" t="s">
        <v>99</v>
      </c>
      <c r="I304" s="153" t="s">
        <v>141</v>
      </c>
      <c r="J304" s="158">
        <v>27646.51</v>
      </c>
      <c r="L304" s="158">
        <v>25.61</v>
      </c>
      <c r="M304" s="158">
        <v>23.32</v>
      </c>
      <c r="N304" s="159"/>
      <c r="O304" s="160">
        <v>0.3</v>
      </c>
      <c r="P304" s="160"/>
      <c r="Q304" s="159">
        <v>0</v>
      </c>
      <c r="R304" s="153" t="s">
        <v>42</v>
      </c>
      <c r="S304" s="161" t="s">
        <v>41</v>
      </c>
      <c r="T304" s="161">
        <v>17</v>
      </c>
      <c r="U304" s="162" t="s">
        <v>164</v>
      </c>
      <c r="V304" s="435"/>
      <c r="W304" s="153" t="s">
        <v>1511</v>
      </c>
      <c r="X304" s="159">
        <v>0</v>
      </c>
      <c r="Y304" s="159"/>
      <c r="AD304" s="176">
        <f>X304</f>
        <v>0</v>
      </c>
      <c r="AJ304" s="644"/>
    </row>
    <row r="305" spans="2:36" s="379" customFormat="1" ht="11.25" customHeight="1">
      <c r="B305" s="379" t="s">
        <v>291</v>
      </c>
      <c r="C305" s="381">
        <v>44655</v>
      </c>
      <c r="D305" s="381">
        <v>44655</v>
      </c>
      <c r="E305" s="382" t="s">
        <v>438</v>
      </c>
      <c r="F305" s="379" t="s">
        <v>439</v>
      </c>
      <c r="G305" s="383">
        <v>3851</v>
      </c>
      <c r="H305" s="379" t="s">
        <v>183</v>
      </c>
      <c r="I305" s="379" t="s">
        <v>141</v>
      </c>
      <c r="J305" s="385">
        <v>19609.12</v>
      </c>
      <c r="L305" s="385">
        <v>22.03</v>
      </c>
      <c r="M305" s="385">
        <v>22.03</v>
      </c>
      <c r="N305" s="386"/>
      <c r="O305" s="387">
        <v>0.15</v>
      </c>
      <c r="P305" s="387"/>
      <c r="Q305" s="386">
        <v>0</v>
      </c>
      <c r="R305" s="379" t="s">
        <v>35</v>
      </c>
      <c r="S305" s="388" t="s">
        <v>41</v>
      </c>
      <c r="T305" s="388">
        <v>16</v>
      </c>
      <c r="U305" s="389" t="s">
        <v>164</v>
      </c>
      <c r="V305" s="433"/>
      <c r="X305" s="386">
        <v>0</v>
      </c>
      <c r="Y305" s="386"/>
      <c r="AJ305" s="390">
        <v>0</v>
      </c>
    </row>
    <row r="306" spans="2:36" s="379" customFormat="1" ht="11.25" customHeight="1">
      <c r="B306" s="379" t="s">
        <v>291</v>
      </c>
      <c r="C306" s="381"/>
      <c r="D306" s="381"/>
      <c r="E306" s="382" t="s">
        <v>438</v>
      </c>
      <c r="F306" s="379" t="s">
        <v>439</v>
      </c>
      <c r="G306" s="383">
        <v>3851</v>
      </c>
      <c r="H306" s="379" t="s">
        <v>99</v>
      </c>
      <c r="I306" s="379" t="s">
        <v>141</v>
      </c>
      <c r="J306" s="385">
        <v>45025.2</v>
      </c>
      <c r="L306" s="385">
        <v>45.48</v>
      </c>
      <c r="M306" s="385">
        <v>45.48</v>
      </c>
      <c r="N306" s="386"/>
      <c r="O306" s="387">
        <v>0.15</v>
      </c>
      <c r="P306" s="387"/>
      <c r="Q306" s="386">
        <v>0</v>
      </c>
      <c r="R306" s="379" t="s">
        <v>35</v>
      </c>
      <c r="S306" s="388" t="s">
        <v>41</v>
      </c>
      <c r="T306" s="388">
        <v>16</v>
      </c>
      <c r="U306" s="389" t="s">
        <v>164</v>
      </c>
      <c r="V306" s="433"/>
      <c r="X306" s="386">
        <v>0</v>
      </c>
      <c r="Y306" s="386"/>
      <c r="AJ306" s="390">
        <v>0</v>
      </c>
    </row>
    <row r="307" spans="2:36" s="379" customFormat="1" ht="11.25" customHeight="1">
      <c r="B307" s="379" t="s">
        <v>291</v>
      </c>
      <c r="C307" s="381"/>
      <c r="D307" s="381"/>
      <c r="E307" s="382" t="s">
        <v>438</v>
      </c>
      <c r="F307" s="379" t="s">
        <v>439</v>
      </c>
      <c r="G307" s="383">
        <v>3851</v>
      </c>
      <c r="H307" s="379" t="s">
        <v>27</v>
      </c>
      <c r="I307" s="379" t="s">
        <v>141</v>
      </c>
      <c r="J307" s="385">
        <v>7283.28</v>
      </c>
      <c r="L307" s="385">
        <v>7.49</v>
      </c>
      <c r="M307" s="385">
        <v>7.49</v>
      </c>
      <c r="N307" s="386"/>
      <c r="O307" s="387">
        <v>0.15</v>
      </c>
      <c r="P307" s="387"/>
      <c r="Q307" s="386">
        <v>0</v>
      </c>
      <c r="R307" s="379" t="s">
        <v>35</v>
      </c>
      <c r="S307" s="388" t="s">
        <v>41</v>
      </c>
      <c r="T307" s="388">
        <v>16</v>
      </c>
      <c r="U307" s="389" t="s">
        <v>164</v>
      </c>
      <c r="V307" s="433"/>
      <c r="X307" s="386">
        <v>0</v>
      </c>
      <c r="Y307" s="386"/>
      <c r="AI307" s="384"/>
      <c r="AJ307" s="390">
        <v>0</v>
      </c>
    </row>
    <row r="308" spans="2:36" s="181" customFormat="1" ht="11.25" customHeight="1">
      <c r="B308" s="181" t="s">
        <v>291</v>
      </c>
      <c r="C308" s="179">
        <v>44654</v>
      </c>
      <c r="D308" s="179">
        <v>44655</v>
      </c>
      <c r="E308" s="180" t="s">
        <v>440</v>
      </c>
      <c r="F308" s="181" t="s">
        <v>441</v>
      </c>
      <c r="G308" s="182">
        <v>4492</v>
      </c>
      <c r="H308" s="181" t="s">
        <v>442</v>
      </c>
      <c r="I308" s="181" t="s">
        <v>334</v>
      </c>
      <c r="J308" s="183">
        <v>5941.67</v>
      </c>
      <c r="L308" s="183">
        <v>8.41</v>
      </c>
      <c r="M308" s="183">
        <v>8.41</v>
      </c>
      <c r="N308" s="185">
        <f>0.1*J308</f>
        <v>594.16700000000003</v>
      </c>
      <c r="O308" s="186">
        <v>0.25</v>
      </c>
      <c r="P308" s="186"/>
      <c r="Q308" s="185">
        <v>0</v>
      </c>
      <c r="R308" s="181" t="s">
        <v>42</v>
      </c>
      <c r="S308" s="187" t="s">
        <v>34</v>
      </c>
      <c r="T308" s="187">
        <v>79</v>
      </c>
      <c r="U308" s="188" t="s">
        <v>164</v>
      </c>
      <c r="V308" s="441"/>
      <c r="W308" s="181" t="s">
        <v>2667</v>
      </c>
      <c r="X308" s="185">
        <v>0</v>
      </c>
      <c r="Y308" s="185"/>
      <c r="AE308" s="204">
        <f>X308</f>
        <v>0</v>
      </c>
      <c r="AI308" s="190"/>
      <c r="AJ308" s="189"/>
    </row>
    <row r="309" spans="2:36" s="181" customFormat="1" ht="11.25" customHeight="1">
      <c r="B309" s="181" t="s">
        <v>291</v>
      </c>
      <c r="C309" s="179"/>
      <c r="D309" s="179"/>
      <c r="E309" s="180" t="s">
        <v>440</v>
      </c>
      <c r="F309" s="181" t="s">
        <v>441</v>
      </c>
      <c r="G309" s="182">
        <v>4492</v>
      </c>
      <c r="H309" s="181" t="s">
        <v>99</v>
      </c>
      <c r="I309" s="181" t="s">
        <v>334</v>
      </c>
      <c r="J309" s="183">
        <v>119600</v>
      </c>
      <c r="L309" s="183">
        <v>100</v>
      </c>
      <c r="M309" s="183">
        <v>100</v>
      </c>
      <c r="N309" s="185">
        <f>0.15*J309</f>
        <v>17940</v>
      </c>
      <c r="O309" s="186">
        <v>0.25</v>
      </c>
      <c r="P309" s="186"/>
      <c r="Q309" s="185">
        <v>0</v>
      </c>
      <c r="R309" s="181" t="s">
        <v>42</v>
      </c>
      <c r="S309" s="187" t="s">
        <v>34</v>
      </c>
      <c r="T309" s="187">
        <v>79</v>
      </c>
      <c r="U309" s="188" t="s">
        <v>164</v>
      </c>
      <c r="V309" s="441"/>
      <c r="W309" s="181" t="s">
        <v>2667</v>
      </c>
      <c r="X309" s="185">
        <v>0</v>
      </c>
      <c r="Y309" s="185"/>
      <c r="AE309" s="204">
        <f>X309</f>
        <v>0</v>
      </c>
      <c r="AJ309" s="189"/>
    </row>
    <row r="310" spans="2:36" s="181" customFormat="1" ht="11.25" customHeight="1">
      <c r="B310" s="181" t="s">
        <v>291</v>
      </c>
      <c r="C310" s="179"/>
      <c r="D310" s="179"/>
      <c r="E310" s="180" t="s">
        <v>440</v>
      </c>
      <c r="F310" s="181" t="s">
        <v>441</v>
      </c>
      <c r="G310" s="182">
        <v>4492</v>
      </c>
      <c r="H310" s="181" t="s">
        <v>27</v>
      </c>
      <c r="I310" s="181" t="s">
        <v>334</v>
      </c>
      <c r="J310" s="183">
        <v>40614.21</v>
      </c>
      <c r="L310" s="183">
        <v>36.54</v>
      </c>
      <c r="M310" s="183">
        <v>36.54</v>
      </c>
      <c r="N310" s="185">
        <f>2514+3434+230+203</f>
        <v>6381</v>
      </c>
      <c r="O310" s="186">
        <v>0.25</v>
      </c>
      <c r="P310" s="186"/>
      <c r="Q310" s="185">
        <v>0</v>
      </c>
      <c r="R310" s="181" t="s">
        <v>42</v>
      </c>
      <c r="S310" s="187" t="s">
        <v>34</v>
      </c>
      <c r="T310" s="187">
        <v>79</v>
      </c>
      <c r="U310" s="188" t="s">
        <v>164</v>
      </c>
      <c r="V310" s="441"/>
      <c r="W310" s="181" t="s">
        <v>2667</v>
      </c>
      <c r="X310" s="185">
        <v>0</v>
      </c>
      <c r="Y310" s="185"/>
      <c r="AE310" s="204">
        <f>X310</f>
        <v>0</v>
      </c>
      <c r="AJ310" s="189"/>
    </row>
    <row r="311" spans="2:36" s="291" customFormat="1" ht="11.25" customHeight="1">
      <c r="B311" s="291" t="s">
        <v>291</v>
      </c>
      <c r="C311" s="292"/>
      <c r="D311" s="292"/>
      <c r="E311" s="293" t="s">
        <v>443</v>
      </c>
      <c r="F311" s="291" t="s">
        <v>330</v>
      </c>
      <c r="G311" s="294">
        <v>3618</v>
      </c>
      <c r="H311" s="291" t="s">
        <v>157</v>
      </c>
      <c r="I311" s="291" t="s">
        <v>141</v>
      </c>
      <c r="J311" s="296">
        <v>7548</v>
      </c>
      <c r="L311" s="296">
        <v>8.5</v>
      </c>
      <c r="M311" s="296">
        <v>8.5</v>
      </c>
      <c r="N311" s="297"/>
      <c r="O311" s="298">
        <v>0.15</v>
      </c>
      <c r="P311" s="298"/>
      <c r="Q311" s="297">
        <v>0</v>
      </c>
      <c r="R311" s="291" t="s">
        <v>35</v>
      </c>
      <c r="S311" s="299" t="s">
        <v>41</v>
      </c>
      <c r="T311" s="299">
        <v>86</v>
      </c>
      <c r="U311" s="300" t="s">
        <v>164</v>
      </c>
      <c r="V311" s="333"/>
      <c r="W311" s="291" t="s">
        <v>1878</v>
      </c>
      <c r="X311" s="297">
        <v>0</v>
      </c>
      <c r="Y311" s="297"/>
      <c r="AH311" s="291">
        <f>X311</f>
        <v>0</v>
      </c>
      <c r="AI311" s="311"/>
      <c r="AJ311" s="468"/>
    </row>
    <row r="312" spans="2:36" s="153" customFormat="1" ht="11.25" customHeight="1">
      <c r="B312" s="153" t="s">
        <v>291</v>
      </c>
      <c r="C312" s="155">
        <v>44655</v>
      </c>
      <c r="D312" s="155">
        <v>44655</v>
      </c>
      <c r="E312" s="156" t="s">
        <v>443</v>
      </c>
      <c r="F312" s="153" t="s">
        <v>330</v>
      </c>
      <c r="G312" s="157">
        <v>3618</v>
      </c>
      <c r="H312" s="153" t="s">
        <v>99</v>
      </c>
      <c r="I312" s="153" t="s">
        <v>141</v>
      </c>
      <c r="J312" s="158">
        <v>63350.01</v>
      </c>
      <c r="L312" s="158">
        <v>61.19</v>
      </c>
      <c r="M312" s="158">
        <v>61.19</v>
      </c>
      <c r="N312" s="159"/>
      <c r="O312" s="160">
        <v>0.15</v>
      </c>
      <c r="P312" s="160"/>
      <c r="Q312" s="159">
        <v>0</v>
      </c>
      <c r="R312" s="153" t="s">
        <v>35</v>
      </c>
      <c r="S312" s="161" t="s">
        <v>41</v>
      </c>
      <c r="T312" s="161">
        <v>86</v>
      </c>
      <c r="U312" s="162" t="s">
        <v>164</v>
      </c>
      <c r="V312" s="435"/>
      <c r="W312" s="153" t="s">
        <v>1878</v>
      </c>
      <c r="X312" s="159">
        <v>0</v>
      </c>
      <c r="Y312" s="159"/>
      <c r="AD312" s="176">
        <f t="shared" ref="AD312:AD317" si="5">X312</f>
        <v>0</v>
      </c>
      <c r="AJ312" s="644"/>
    </row>
    <row r="313" spans="2:36" s="153" customFormat="1" ht="11.25" customHeight="1">
      <c r="B313" s="153" t="s">
        <v>291</v>
      </c>
      <c r="C313" s="155"/>
      <c r="D313" s="155"/>
      <c r="E313" s="156" t="s">
        <v>443</v>
      </c>
      <c r="F313" s="153" t="s">
        <v>330</v>
      </c>
      <c r="G313" s="157">
        <v>3618</v>
      </c>
      <c r="H313" s="153" t="s">
        <v>27</v>
      </c>
      <c r="I313" s="153" t="s">
        <v>141</v>
      </c>
      <c r="J313" s="158">
        <v>29516.13</v>
      </c>
      <c r="L313" s="158">
        <v>28.98</v>
      </c>
      <c r="M313" s="158">
        <v>28.98</v>
      </c>
      <c r="N313" s="159"/>
      <c r="O313" s="160">
        <v>0.15</v>
      </c>
      <c r="P313" s="160"/>
      <c r="Q313" s="159">
        <v>0</v>
      </c>
      <c r="R313" s="153" t="s">
        <v>35</v>
      </c>
      <c r="S313" s="161" t="s">
        <v>41</v>
      </c>
      <c r="T313" s="161">
        <v>86</v>
      </c>
      <c r="U313" s="162" t="s">
        <v>164</v>
      </c>
      <c r="V313" s="435"/>
      <c r="W313" s="153" t="s">
        <v>1878</v>
      </c>
      <c r="X313" s="159">
        <v>0</v>
      </c>
      <c r="Y313" s="159"/>
      <c r="AD313" s="176">
        <f t="shared" si="5"/>
        <v>0</v>
      </c>
      <c r="AJ313" s="644"/>
    </row>
    <row r="314" spans="2:36" s="153" customFormat="1" ht="11.25" customHeight="1">
      <c r="B314" s="153" t="s">
        <v>291</v>
      </c>
      <c r="C314" s="155"/>
      <c r="D314" s="155"/>
      <c r="E314" s="156" t="s">
        <v>443</v>
      </c>
      <c r="F314" s="153" t="s">
        <v>330</v>
      </c>
      <c r="G314" s="157">
        <v>3618</v>
      </c>
      <c r="H314" s="153" t="s">
        <v>162</v>
      </c>
      <c r="I314" s="153" t="s">
        <v>141</v>
      </c>
      <c r="J314" s="158">
        <v>27060.48</v>
      </c>
      <c r="L314" s="158">
        <v>38.880000000000003</v>
      </c>
      <c r="M314" s="158">
        <v>38.880000000000003</v>
      </c>
      <c r="N314" s="159"/>
      <c r="O314" s="160">
        <v>0.15</v>
      </c>
      <c r="P314" s="160"/>
      <c r="Q314" s="159">
        <v>0</v>
      </c>
      <c r="R314" s="153" t="s">
        <v>35</v>
      </c>
      <c r="S314" s="161" t="s">
        <v>41</v>
      </c>
      <c r="T314" s="161">
        <v>86</v>
      </c>
      <c r="U314" s="162" t="s">
        <v>164</v>
      </c>
      <c r="V314" s="435"/>
      <c r="W314" s="153" t="s">
        <v>1878</v>
      </c>
      <c r="X314" s="159">
        <v>0</v>
      </c>
      <c r="Y314" s="159"/>
      <c r="AD314" s="176">
        <f t="shared" si="5"/>
        <v>0</v>
      </c>
      <c r="AJ314" s="644"/>
    </row>
    <row r="315" spans="2:36" s="153" customFormat="1" ht="11.25" customHeight="1">
      <c r="B315" s="153" t="s">
        <v>291</v>
      </c>
      <c r="C315" s="155"/>
      <c r="D315" s="155"/>
      <c r="E315" s="156" t="s">
        <v>443</v>
      </c>
      <c r="F315" s="153" t="s">
        <v>330</v>
      </c>
      <c r="G315" s="157">
        <v>3618</v>
      </c>
      <c r="H315" s="153" t="s">
        <v>444</v>
      </c>
      <c r="I315" s="153" t="s">
        <v>141</v>
      </c>
      <c r="J315" s="158">
        <v>17093.669999999998</v>
      </c>
      <c r="L315" s="158">
        <v>20.57</v>
      </c>
      <c r="M315" s="158">
        <v>20.57</v>
      </c>
      <c r="N315" s="159"/>
      <c r="O315" s="160">
        <v>0.15</v>
      </c>
      <c r="P315" s="160"/>
      <c r="Q315" s="159">
        <v>0</v>
      </c>
      <c r="R315" s="153" t="s">
        <v>35</v>
      </c>
      <c r="S315" s="161" t="s">
        <v>41</v>
      </c>
      <c r="T315" s="161">
        <v>86</v>
      </c>
      <c r="U315" s="162" t="s">
        <v>164</v>
      </c>
      <c r="V315" s="435"/>
      <c r="W315" s="153" t="s">
        <v>1878</v>
      </c>
      <c r="X315" s="159">
        <v>0</v>
      </c>
      <c r="Y315" s="159"/>
      <c r="AD315" s="176">
        <f t="shared" si="5"/>
        <v>0</v>
      </c>
      <c r="AJ315" s="644"/>
    </row>
    <row r="316" spans="2:36" s="153" customFormat="1" ht="11.25" customHeight="1">
      <c r="B316" s="153" t="s">
        <v>291</v>
      </c>
      <c r="C316" s="155"/>
      <c r="D316" s="155"/>
      <c r="E316" s="156" t="s">
        <v>443</v>
      </c>
      <c r="F316" s="153" t="s">
        <v>330</v>
      </c>
      <c r="G316" s="157">
        <v>3618</v>
      </c>
      <c r="H316" s="153" t="s">
        <v>183</v>
      </c>
      <c r="I316" s="153" t="s">
        <v>141</v>
      </c>
      <c r="J316" s="158">
        <v>19094.400000000001</v>
      </c>
      <c r="L316" s="158">
        <v>19.5</v>
      </c>
      <c r="M316" s="158">
        <v>19.5</v>
      </c>
      <c r="N316" s="159"/>
      <c r="O316" s="160">
        <v>0.15</v>
      </c>
      <c r="P316" s="160"/>
      <c r="Q316" s="159">
        <v>0</v>
      </c>
      <c r="R316" s="153" t="s">
        <v>35</v>
      </c>
      <c r="S316" s="161" t="s">
        <v>41</v>
      </c>
      <c r="T316" s="161">
        <v>86</v>
      </c>
      <c r="U316" s="162" t="s">
        <v>164</v>
      </c>
      <c r="V316" s="435"/>
      <c r="W316" s="153" t="s">
        <v>1878</v>
      </c>
      <c r="X316" s="159">
        <v>0</v>
      </c>
      <c r="Y316" s="159"/>
      <c r="AD316" s="176">
        <f t="shared" si="5"/>
        <v>0</v>
      </c>
      <c r="AJ316" s="644"/>
    </row>
    <row r="317" spans="2:36" s="153" customFormat="1" ht="11.25" customHeight="1">
      <c r="B317" s="153" t="s">
        <v>291</v>
      </c>
      <c r="C317" s="155">
        <v>44655</v>
      </c>
      <c r="D317" s="155">
        <v>44655</v>
      </c>
      <c r="E317" s="156" t="s">
        <v>445</v>
      </c>
      <c r="F317" s="153" t="s">
        <v>3826</v>
      </c>
      <c r="G317" s="157">
        <v>3630</v>
      </c>
      <c r="H317" s="153" t="s">
        <v>27</v>
      </c>
      <c r="I317" s="153" t="s">
        <v>141</v>
      </c>
      <c r="J317" s="158">
        <v>13991.25</v>
      </c>
      <c r="L317" s="158">
        <v>12.3</v>
      </c>
      <c r="M317" s="158">
        <v>12.3</v>
      </c>
      <c r="N317" s="159"/>
      <c r="O317" s="160">
        <v>0.15</v>
      </c>
      <c r="P317" s="160"/>
      <c r="Q317" s="159">
        <v>0</v>
      </c>
      <c r="R317" s="153" t="s">
        <v>35</v>
      </c>
      <c r="S317" s="161" t="s">
        <v>41</v>
      </c>
      <c r="T317" s="161">
        <v>16</v>
      </c>
      <c r="U317" s="162" t="s">
        <v>164</v>
      </c>
      <c r="V317" s="435"/>
      <c r="W317" s="153" t="s">
        <v>1893</v>
      </c>
      <c r="X317" s="159">
        <v>0</v>
      </c>
      <c r="Y317" s="159"/>
      <c r="AD317" s="176">
        <f t="shared" si="5"/>
        <v>0</v>
      </c>
      <c r="AJ317" s="644"/>
    </row>
    <row r="318" spans="2:36" s="120" customFormat="1" ht="11.25" customHeight="1">
      <c r="B318" s="120" t="s">
        <v>291</v>
      </c>
      <c r="C318" s="121">
        <v>44655</v>
      </c>
      <c r="D318" s="121">
        <v>44655</v>
      </c>
      <c r="E318" s="122" t="s">
        <v>447</v>
      </c>
      <c r="F318" s="120" t="s">
        <v>448</v>
      </c>
      <c r="G318" s="123">
        <v>3652</v>
      </c>
      <c r="H318" s="120" t="s">
        <v>27</v>
      </c>
      <c r="I318" s="120" t="s">
        <v>141</v>
      </c>
      <c r="J318" s="124">
        <v>3601.8</v>
      </c>
      <c r="L318" s="124">
        <v>3.6</v>
      </c>
      <c r="M318" s="124">
        <v>3.6</v>
      </c>
      <c r="N318" s="126"/>
      <c r="O318" s="127">
        <v>0.15</v>
      </c>
      <c r="P318" s="127"/>
      <c r="Q318" s="126">
        <v>0</v>
      </c>
      <c r="R318" s="120" t="s">
        <v>42</v>
      </c>
      <c r="S318" s="128" t="s">
        <v>41</v>
      </c>
      <c r="T318" s="128">
        <v>17</v>
      </c>
      <c r="U318" s="129" t="s">
        <v>164</v>
      </c>
      <c r="V318" s="437"/>
      <c r="X318" s="126">
        <v>0</v>
      </c>
      <c r="Y318" s="126"/>
      <c r="AC318" s="143">
        <f>X318</f>
        <v>0</v>
      </c>
      <c r="AJ318" s="659"/>
    </row>
    <row r="319" spans="2:36" s="153" customFormat="1" ht="11.25" customHeight="1">
      <c r="B319" s="153" t="s">
        <v>291</v>
      </c>
      <c r="C319" s="154">
        <v>44655</v>
      </c>
      <c r="D319" s="154">
        <v>44656</v>
      </c>
      <c r="E319" s="156" t="s">
        <v>449</v>
      </c>
      <c r="F319" s="153" t="s">
        <v>450</v>
      </c>
      <c r="G319" s="157" t="s">
        <v>451</v>
      </c>
      <c r="H319" s="153" t="s">
        <v>99</v>
      </c>
      <c r="I319" s="153" t="s">
        <v>141</v>
      </c>
      <c r="J319" s="158">
        <v>33145.550000000003</v>
      </c>
      <c r="L319" s="158">
        <v>22.69</v>
      </c>
      <c r="M319" s="158">
        <v>22.69</v>
      </c>
      <c r="N319" s="159"/>
      <c r="O319" s="160">
        <v>0.25</v>
      </c>
      <c r="P319" s="160"/>
      <c r="Q319" s="159">
        <v>0</v>
      </c>
      <c r="R319" s="153" t="s">
        <v>281</v>
      </c>
      <c r="S319" s="161" t="s">
        <v>228</v>
      </c>
      <c r="T319" s="161">
        <v>36</v>
      </c>
      <c r="U319" s="162" t="s">
        <v>164</v>
      </c>
      <c r="V319" s="435"/>
      <c r="W319" s="153" t="s">
        <v>1904</v>
      </c>
      <c r="X319" s="159">
        <v>0</v>
      </c>
      <c r="Y319" s="159"/>
      <c r="AD319" s="176">
        <f>X319</f>
        <v>0</v>
      </c>
      <c r="AJ319" s="644"/>
    </row>
    <row r="320" spans="2:36" s="153" customFormat="1" ht="11.25" customHeight="1">
      <c r="B320" s="153" t="s">
        <v>291</v>
      </c>
      <c r="C320" s="154"/>
      <c r="D320" s="154"/>
      <c r="E320" s="156" t="s">
        <v>449</v>
      </c>
      <c r="F320" s="153" t="s">
        <v>450</v>
      </c>
      <c r="G320" s="157" t="s">
        <v>451</v>
      </c>
      <c r="H320" s="153" t="s">
        <v>27</v>
      </c>
      <c r="I320" s="153" t="s">
        <v>141</v>
      </c>
      <c r="J320" s="158">
        <v>30473.65</v>
      </c>
      <c r="L320" s="158">
        <v>23.33</v>
      </c>
      <c r="M320" s="158">
        <v>23.33</v>
      </c>
      <c r="N320" s="159"/>
      <c r="O320" s="160">
        <v>0.25</v>
      </c>
      <c r="P320" s="160"/>
      <c r="Q320" s="159">
        <v>0</v>
      </c>
      <c r="R320" s="153" t="s">
        <v>281</v>
      </c>
      <c r="S320" s="161" t="s">
        <v>228</v>
      </c>
      <c r="T320" s="161">
        <v>36</v>
      </c>
      <c r="U320" s="162" t="s">
        <v>164</v>
      </c>
      <c r="V320" s="435"/>
      <c r="W320" s="153" t="s">
        <v>1904</v>
      </c>
      <c r="X320" s="159">
        <v>0</v>
      </c>
      <c r="Y320" s="159"/>
      <c r="AD320" s="176">
        <f>X320</f>
        <v>0</v>
      </c>
      <c r="AJ320" s="644"/>
    </row>
    <row r="321" spans="1:77" s="153" customFormat="1" ht="11.25" customHeight="1">
      <c r="B321" s="153" t="s">
        <v>291</v>
      </c>
      <c r="C321" s="154"/>
      <c r="D321" s="154"/>
      <c r="E321" s="156" t="s">
        <v>449</v>
      </c>
      <c r="F321" s="153" t="s">
        <v>450</v>
      </c>
      <c r="G321" s="157" t="s">
        <v>451</v>
      </c>
      <c r="H321" s="153" t="s">
        <v>183</v>
      </c>
      <c r="I321" s="153" t="s">
        <v>141</v>
      </c>
      <c r="J321" s="158">
        <v>28907.42</v>
      </c>
      <c r="L321" s="158">
        <v>22.06</v>
      </c>
      <c r="M321" s="158">
        <v>22.06</v>
      </c>
      <c r="N321" s="159"/>
      <c r="O321" s="160">
        <v>0.25</v>
      </c>
      <c r="P321" s="160"/>
      <c r="Q321" s="159">
        <v>0</v>
      </c>
      <c r="R321" s="153" t="s">
        <v>281</v>
      </c>
      <c r="S321" s="161" t="s">
        <v>228</v>
      </c>
      <c r="T321" s="161">
        <v>36</v>
      </c>
      <c r="U321" s="162" t="s">
        <v>164</v>
      </c>
      <c r="V321" s="435"/>
      <c r="W321" s="153" t="s">
        <v>1904</v>
      </c>
      <c r="X321" s="159">
        <v>0</v>
      </c>
      <c r="Y321" s="159"/>
      <c r="AD321" s="176">
        <f>X321</f>
        <v>0</v>
      </c>
      <c r="AJ321" s="644"/>
    </row>
    <row r="322" spans="1:77" s="106" customFormat="1" ht="11.25" customHeight="1">
      <c r="B322" s="106" t="s">
        <v>291</v>
      </c>
      <c r="C322" s="118">
        <v>44655</v>
      </c>
      <c r="D322" s="118">
        <v>44656</v>
      </c>
      <c r="E322" s="108" t="s">
        <v>452</v>
      </c>
      <c r="F322" s="106" t="s">
        <v>453</v>
      </c>
      <c r="G322" s="109">
        <v>4390</v>
      </c>
      <c r="H322" s="106" t="s">
        <v>99</v>
      </c>
      <c r="I322" s="106" t="s">
        <v>141</v>
      </c>
      <c r="J322" s="110">
        <v>21374.400000000001</v>
      </c>
      <c r="L322" s="110">
        <v>21.9</v>
      </c>
      <c r="M322" s="110">
        <v>15.85</v>
      </c>
      <c r="N322" s="112">
        <v>0</v>
      </c>
      <c r="O322" s="113">
        <v>0.3</v>
      </c>
      <c r="P322" s="113"/>
      <c r="Q322" s="112">
        <v>0</v>
      </c>
      <c r="R322" s="106" t="s">
        <v>142</v>
      </c>
      <c r="S322" s="114" t="s">
        <v>41</v>
      </c>
      <c r="T322" s="114">
        <v>16</v>
      </c>
      <c r="U322" s="115" t="s">
        <v>164</v>
      </c>
      <c r="V322" s="443"/>
      <c r="X322" s="112">
        <v>0</v>
      </c>
      <c r="Y322" s="112"/>
      <c r="AB322" s="112">
        <f>X322</f>
        <v>0</v>
      </c>
      <c r="AJ322" s="116"/>
    </row>
    <row r="323" spans="1:77" s="106" customFormat="1" ht="11.25" customHeight="1">
      <c r="B323" s="106" t="s">
        <v>291</v>
      </c>
      <c r="C323" s="118"/>
      <c r="D323" s="118"/>
      <c r="E323" s="108" t="s">
        <v>452</v>
      </c>
      <c r="F323" s="106" t="s">
        <v>453</v>
      </c>
      <c r="G323" s="109">
        <v>4390</v>
      </c>
      <c r="H323" s="106" t="s">
        <v>183</v>
      </c>
      <c r="I323" s="106" t="s">
        <v>141</v>
      </c>
      <c r="J323" s="110">
        <v>5168.54</v>
      </c>
      <c r="L323" s="110">
        <v>5.87</v>
      </c>
      <c r="M323" s="110">
        <v>14.04</v>
      </c>
      <c r="N323" s="112">
        <v>0</v>
      </c>
      <c r="O323" s="113">
        <v>0.3</v>
      </c>
      <c r="P323" s="113"/>
      <c r="Q323" s="112">
        <v>0</v>
      </c>
      <c r="R323" s="106" t="s">
        <v>142</v>
      </c>
      <c r="S323" s="114" t="s">
        <v>41</v>
      </c>
      <c r="T323" s="114">
        <v>16</v>
      </c>
      <c r="U323" s="115" t="s">
        <v>164</v>
      </c>
      <c r="V323" s="443"/>
      <c r="X323" s="112">
        <v>0</v>
      </c>
      <c r="Y323" s="112"/>
      <c r="AB323" s="112">
        <f>X323</f>
        <v>0</v>
      </c>
      <c r="AJ323" s="116"/>
    </row>
    <row r="324" spans="1:77" s="153" customFormat="1" ht="11.25" customHeight="1">
      <c r="A324" s="379"/>
      <c r="B324" s="379" t="s">
        <v>291</v>
      </c>
      <c r="C324" s="381"/>
      <c r="D324" s="381"/>
      <c r="E324" s="382" t="s">
        <v>454</v>
      </c>
      <c r="F324" s="379" t="s">
        <v>245</v>
      </c>
      <c r="G324" s="383">
        <v>4294</v>
      </c>
      <c r="H324" s="379" t="s">
        <v>140</v>
      </c>
      <c r="I324" s="379" t="s">
        <v>141</v>
      </c>
      <c r="J324" s="385">
        <v>37049.49</v>
      </c>
      <c r="K324" s="379"/>
      <c r="L324" s="385">
        <v>19.510000000000002</v>
      </c>
      <c r="M324" s="385">
        <v>19.510000000000002</v>
      </c>
      <c r="N324" s="386"/>
      <c r="O324" s="387">
        <v>0.2</v>
      </c>
      <c r="P324" s="387"/>
      <c r="Q324" s="386">
        <v>0</v>
      </c>
      <c r="R324" s="379" t="s">
        <v>35</v>
      </c>
      <c r="S324" s="388" t="s">
        <v>41</v>
      </c>
      <c r="T324" s="388">
        <v>17</v>
      </c>
      <c r="U324" s="389" t="s">
        <v>164</v>
      </c>
      <c r="V324" s="433"/>
      <c r="W324" s="379"/>
      <c r="X324" s="386">
        <v>0</v>
      </c>
      <c r="Y324" s="386"/>
      <c r="Z324" s="379"/>
      <c r="AA324" s="379"/>
      <c r="AB324" s="379"/>
      <c r="AC324" s="379"/>
      <c r="AD324" s="379"/>
      <c r="AE324" s="379"/>
      <c r="AF324" s="379"/>
      <c r="AG324" s="379"/>
      <c r="AH324" s="379"/>
      <c r="AI324" s="379"/>
      <c r="AJ324" s="390">
        <v>0</v>
      </c>
      <c r="AK324" s="379"/>
      <c r="AL324" s="379"/>
      <c r="AM324" s="379"/>
      <c r="AN324" s="379"/>
      <c r="AO324" s="379"/>
      <c r="AP324" s="379"/>
      <c r="AQ324" s="379"/>
      <c r="AR324" s="379"/>
      <c r="AS324" s="379"/>
      <c r="AT324" s="379"/>
      <c r="AU324" s="379"/>
      <c r="AV324" s="379"/>
      <c r="AW324" s="379"/>
      <c r="AX324" s="379"/>
      <c r="AY324" s="379"/>
      <c r="AZ324" s="379"/>
      <c r="BA324" s="379"/>
      <c r="BB324" s="379"/>
      <c r="BC324" s="379"/>
      <c r="BD324" s="379"/>
      <c r="BE324" s="379"/>
      <c r="BF324" s="379"/>
      <c r="BG324" s="379"/>
      <c r="BH324" s="379"/>
      <c r="BI324" s="379"/>
      <c r="BJ324" s="379"/>
      <c r="BK324" s="379"/>
      <c r="BL324" s="379"/>
      <c r="BM324" s="379"/>
      <c r="BN324" s="379"/>
      <c r="BO324" s="379"/>
      <c r="BP324" s="379"/>
      <c r="BQ324" s="379"/>
      <c r="BR324" s="379"/>
      <c r="BS324" s="379"/>
      <c r="BT324" s="379"/>
      <c r="BU324" s="379"/>
      <c r="BV324" s="379"/>
      <c r="BW324" s="379"/>
      <c r="BX324" s="379"/>
      <c r="BY324" s="379"/>
    </row>
    <row r="325" spans="1:77" s="6" customFormat="1" ht="11.25" customHeight="1">
      <c r="A325" s="379"/>
      <c r="B325" s="379" t="s">
        <v>291</v>
      </c>
      <c r="C325" s="381"/>
      <c r="D325" s="381"/>
      <c r="E325" s="382" t="s">
        <v>454</v>
      </c>
      <c r="F325" s="379" t="s">
        <v>245</v>
      </c>
      <c r="G325" s="383">
        <v>4294</v>
      </c>
      <c r="H325" s="379" t="s">
        <v>336</v>
      </c>
      <c r="I325" s="379" t="s">
        <v>141</v>
      </c>
      <c r="J325" s="385">
        <v>39606.14</v>
      </c>
      <c r="K325" s="379"/>
      <c r="L325" s="385">
        <v>26.91</v>
      </c>
      <c r="M325" s="385">
        <v>26.91</v>
      </c>
      <c r="N325" s="386"/>
      <c r="O325" s="387">
        <v>0.2</v>
      </c>
      <c r="P325" s="387"/>
      <c r="Q325" s="386">
        <v>0</v>
      </c>
      <c r="R325" s="379" t="s">
        <v>35</v>
      </c>
      <c r="S325" s="388" t="s">
        <v>41</v>
      </c>
      <c r="T325" s="388">
        <v>17</v>
      </c>
      <c r="U325" s="389" t="s">
        <v>164</v>
      </c>
      <c r="V325" s="433"/>
      <c r="W325" s="379"/>
      <c r="X325" s="386">
        <v>0</v>
      </c>
      <c r="Y325" s="386"/>
      <c r="Z325" s="379"/>
      <c r="AA325" s="379"/>
      <c r="AB325" s="379"/>
      <c r="AC325" s="379"/>
      <c r="AD325" s="379"/>
      <c r="AE325" s="379"/>
      <c r="AF325" s="379"/>
      <c r="AG325" s="379"/>
      <c r="AH325" s="379"/>
      <c r="AI325" s="379"/>
      <c r="AJ325" s="390">
        <v>0</v>
      </c>
      <c r="AK325" s="379"/>
      <c r="AL325" s="379"/>
      <c r="AM325" s="379"/>
      <c r="AN325" s="379"/>
      <c r="AO325" s="379"/>
      <c r="AP325" s="379"/>
      <c r="AQ325" s="379"/>
      <c r="AR325" s="379"/>
      <c r="AS325" s="379"/>
      <c r="AT325" s="379"/>
      <c r="AU325" s="379"/>
      <c r="AV325" s="379"/>
      <c r="AW325" s="379"/>
      <c r="AX325" s="379"/>
      <c r="AY325" s="379"/>
      <c r="AZ325" s="379"/>
      <c r="BA325" s="379"/>
      <c r="BB325" s="379"/>
      <c r="BC325" s="379"/>
      <c r="BD325" s="379"/>
      <c r="BE325" s="379"/>
      <c r="BF325" s="379"/>
      <c r="BG325" s="379"/>
      <c r="BH325" s="379"/>
      <c r="BI325" s="379"/>
      <c r="BJ325" s="379"/>
      <c r="BK325" s="379"/>
      <c r="BL325" s="379"/>
      <c r="BM325" s="379"/>
      <c r="BN325" s="379"/>
      <c r="BO325" s="379"/>
      <c r="BP325" s="379"/>
      <c r="BQ325" s="379"/>
      <c r="BR325" s="379"/>
      <c r="BS325" s="379"/>
      <c r="BT325" s="379"/>
      <c r="BU325" s="379"/>
      <c r="BV325" s="379"/>
      <c r="BW325" s="379"/>
      <c r="BX325" s="379"/>
      <c r="BY325" s="379"/>
    </row>
    <row r="326" spans="1:77" s="6" customFormat="1" ht="11.25" customHeight="1">
      <c r="A326" s="379"/>
      <c r="B326" s="379" t="s">
        <v>291</v>
      </c>
      <c r="C326" s="381"/>
      <c r="D326" s="381"/>
      <c r="E326" s="382" t="s">
        <v>454</v>
      </c>
      <c r="F326" s="379" t="s">
        <v>245</v>
      </c>
      <c r="G326" s="383">
        <v>4294</v>
      </c>
      <c r="H326" s="379" t="s">
        <v>137</v>
      </c>
      <c r="I326" s="379" t="s">
        <v>141</v>
      </c>
      <c r="J326" s="385">
        <v>14047.6</v>
      </c>
      <c r="K326" s="379"/>
      <c r="L326" s="385">
        <v>12.11</v>
      </c>
      <c r="M326" s="385">
        <v>12.11</v>
      </c>
      <c r="N326" s="386"/>
      <c r="O326" s="387">
        <v>0.2</v>
      </c>
      <c r="P326" s="387"/>
      <c r="Q326" s="386">
        <v>0</v>
      </c>
      <c r="R326" s="379" t="s">
        <v>35</v>
      </c>
      <c r="S326" s="388" t="s">
        <v>41</v>
      </c>
      <c r="T326" s="388">
        <v>17</v>
      </c>
      <c r="U326" s="389" t="s">
        <v>164</v>
      </c>
      <c r="V326" s="433"/>
      <c r="W326" s="379"/>
      <c r="X326" s="386">
        <v>0</v>
      </c>
      <c r="Y326" s="386"/>
      <c r="Z326" s="379"/>
      <c r="AA326" s="379"/>
      <c r="AB326" s="379"/>
      <c r="AC326" s="379"/>
      <c r="AD326" s="379"/>
      <c r="AE326" s="379"/>
      <c r="AF326" s="379"/>
      <c r="AG326" s="379"/>
      <c r="AH326" s="379"/>
      <c r="AI326" s="379"/>
      <c r="AJ326" s="390">
        <v>0</v>
      </c>
      <c r="AK326" s="379"/>
      <c r="AL326" s="379"/>
      <c r="AM326" s="379"/>
      <c r="AN326" s="379"/>
      <c r="AO326" s="379"/>
      <c r="AP326" s="379"/>
      <c r="AQ326" s="379"/>
      <c r="AR326" s="379"/>
      <c r="AS326" s="379"/>
      <c r="AT326" s="379"/>
      <c r="AU326" s="379"/>
      <c r="AV326" s="379"/>
      <c r="AW326" s="379"/>
      <c r="AX326" s="379"/>
      <c r="AY326" s="379"/>
      <c r="AZ326" s="379"/>
      <c r="BA326" s="379"/>
      <c r="BB326" s="379"/>
      <c r="BC326" s="379"/>
      <c r="BD326" s="379"/>
      <c r="BE326" s="379"/>
      <c r="BF326" s="379"/>
      <c r="BG326" s="379"/>
      <c r="BH326" s="379"/>
      <c r="BI326" s="379"/>
      <c r="BJ326" s="379"/>
      <c r="BK326" s="379"/>
      <c r="BL326" s="379"/>
      <c r="BM326" s="379"/>
      <c r="BN326" s="379"/>
      <c r="BO326" s="379"/>
      <c r="BP326" s="379"/>
      <c r="BQ326" s="379"/>
      <c r="BR326" s="379"/>
      <c r="BS326" s="379"/>
      <c r="BT326" s="379"/>
      <c r="BU326" s="379"/>
      <c r="BV326" s="379"/>
      <c r="BW326" s="379"/>
      <c r="BX326" s="379"/>
      <c r="BY326" s="379"/>
    </row>
    <row r="327" spans="1:77" s="6" customFormat="1" ht="11.25" customHeight="1">
      <c r="A327" s="379"/>
      <c r="B327" s="379" t="s">
        <v>291</v>
      </c>
      <c r="C327" s="381"/>
      <c r="D327" s="381"/>
      <c r="E327" s="382" t="s">
        <v>454</v>
      </c>
      <c r="F327" s="379" t="s">
        <v>245</v>
      </c>
      <c r="G327" s="383">
        <v>4294</v>
      </c>
      <c r="H327" s="379" t="s">
        <v>183</v>
      </c>
      <c r="I327" s="379" t="s">
        <v>141</v>
      </c>
      <c r="J327" s="385">
        <v>39703.54</v>
      </c>
      <c r="K327" s="379"/>
      <c r="L327" s="385">
        <v>32.049999999999997</v>
      </c>
      <c r="M327" s="385">
        <v>32.049999999999997</v>
      </c>
      <c r="N327" s="386"/>
      <c r="O327" s="387">
        <v>0.2</v>
      </c>
      <c r="P327" s="387"/>
      <c r="Q327" s="386">
        <v>0</v>
      </c>
      <c r="R327" s="379" t="s">
        <v>35</v>
      </c>
      <c r="S327" s="388" t="s">
        <v>41</v>
      </c>
      <c r="T327" s="388">
        <v>17</v>
      </c>
      <c r="U327" s="389" t="s">
        <v>164</v>
      </c>
      <c r="V327" s="433"/>
      <c r="W327" s="379"/>
      <c r="X327" s="386">
        <v>0</v>
      </c>
      <c r="Y327" s="386"/>
      <c r="Z327" s="379"/>
      <c r="AA327" s="379"/>
      <c r="AB327" s="379"/>
      <c r="AC327" s="379"/>
      <c r="AD327" s="379"/>
      <c r="AE327" s="379"/>
      <c r="AF327" s="379"/>
      <c r="AG327" s="379"/>
      <c r="AH327" s="379"/>
      <c r="AI327" s="379"/>
      <c r="AJ327" s="390">
        <v>0</v>
      </c>
      <c r="AK327" s="379"/>
      <c r="AL327" s="379"/>
      <c r="AM327" s="379"/>
      <c r="AN327" s="379"/>
      <c r="AO327" s="379"/>
      <c r="AP327" s="379"/>
      <c r="AQ327" s="379"/>
      <c r="AR327" s="379"/>
      <c r="AS327" s="379"/>
      <c r="AT327" s="379"/>
      <c r="AU327" s="379"/>
      <c r="AV327" s="379"/>
      <c r="AW327" s="379"/>
      <c r="AX327" s="379"/>
      <c r="AY327" s="379"/>
      <c r="AZ327" s="379"/>
      <c r="BA327" s="379"/>
      <c r="BB327" s="379"/>
      <c r="BC327" s="379"/>
      <c r="BD327" s="379"/>
      <c r="BE327" s="379"/>
      <c r="BF327" s="379"/>
      <c r="BG327" s="379"/>
      <c r="BH327" s="379"/>
      <c r="BI327" s="379"/>
      <c r="BJ327" s="379"/>
      <c r="BK327" s="379"/>
      <c r="BL327" s="379"/>
      <c r="BM327" s="379"/>
      <c r="BN327" s="379"/>
      <c r="BO327" s="379"/>
      <c r="BP327" s="379"/>
      <c r="BQ327" s="379"/>
      <c r="BR327" s="379"/>
      <c r="BS327" s="379"/>
      <c r="BT327" s="379"/>
      <c r="BU327" s="379"/>
      <c r="BV327" s="379"/>
      <c r="BW327" s="379"/>
      <c r="BX327" s="379"/>
      <c r="BY327" s="379"/>
    </row>
    <row r="328" spans="1:77" s="153" customFormat="1" ht="11.25" customHeight="1">
      <c r="B328" s="153" t="s">
        <v>291</v>
      </c>
      <c r="C328" s="155">
        <v>44655</v>
      </c>
      <c r="D328" s="155">
        <v>44656</v>
      </c>
      <c r="E328" s="156" t="s">
        <v>454</v>
      </c>
      <c r="F328" s="153" t="s">
        <v>245</v>
      </c>
      <c r="G328" s="157">
        <v>4294</v>
      </c>
      <c r="H328" s="153" t="s">
        <v>27</v>
      </c>
      <c r="I328" s="153" t="s">
        <v>141</v>
      </c>
      <c r="J328" s="158">
        <v>7462</v>
      </c>
      <c r="L328" s="158">
        <v>4.55</v>
      </c>
      <c r="M328" s="158">
        <v>4.55</v>
      </c>
      <c r="N328" s="159"/>
      <c r="O328" s="160">
        <v>0.2</v>
      </c>
      <c r="P328" s="160"/>
      <c r="Q328" s="159">
        <v>0</v>
      </c>
      <c r="R328" s="153" t="s">
        <v>35</v>
      </c>
      <c r="S328" s="161" t="s">
        <v>41</v>
      </c>
      <c r="T328" s="161">
        <v>17</v>
      </c>
      <c r="U328" s="162" t="s">
        <v>164</v>
      </c>
      <c r="V328" s="435"/>
      <c r="W328" s="153" t="s">
        <v>1896</v>
      </c>
      <c r="X328" s="159">
        <v>0</v>
      </c>
      <c r="Y328" s="159"/>
      <c r="AD328" s="176">
        <f t="shared" ref="AD328:AD335" si="6">X328</f>
        <v>0</v>
      </c>
      <c r="AJ328" s="644"/>
    </row>
    <row r="329" spans="1:77" s="153" customFormat="1" ht="11.25" customHeight="1">
      <c r="B329" s="153" t="s">
        <v>291</v>
      </c>
      <c r="C329" s="155">
        <v>44655</v>
      </c>
      <c r="D329" s="155">
        <v>44656</v>
      </c>
      <c r="E329" s="156" t="s">
        <v>455</v>
      </c>
      <c r="F329" s="153" t="s">
        <v>456</v>
      </c>
      <c r="G329" s="157">
        <v>3510</v>
      </c>
      <c r="H329" s="153" t="s">
        <v>27</v>
      </c>
      <c r="I329" s="153" t="s">
        <v>141</v>
      </c>
      <c r="J329" s="158">
        <v>11286.36</v>
      </c>
      <c r="L329" s="158">
        <v>10.7</v>
      </c>
      <c r="M329" s="158">
        <v>10.7</v>
      </c>
      <c r="N329" s="159"/>
      <c r="O329" s="160">
        <v>0.2</v>
      </c>
      <c r="P329" s="160"/>
      <c r="Q329" s="159">
        <v>0</v>
      </c>
      <c r="R329" s="153" t="s">
        <v>35</v>
      </c>
      <c r="S329" s="161" t="s">
        <v>34</v>
      </c>
      <c r="T329" s="161">
        <v>79</v>
      </c>
      <c r="U329" s="162" t="s">
        <v>164</v>
      </c>
      <c r="V329" s="435"/>
      <c r="W329" s="153" t="s">
        <v>1877</v>
      </c>
      <c r="X329" s="159">
        <v>0</v>
      </c>
      <c r="Y329" s="159"/>
      <c r="AD329" s="176">
        <f t="shared" si="6"/>
        <v>0</v>
      </c>
      <c r="AJ329" s="644"/>
    </row>
    <row r="330" spans="1:77" s="153" customFormat="1" ht="11.25" customHeight="1">
      <c r="B330" s="153" t="s">
        <v>291</v>
      </c>
      <c r="C330" s="155"/>
      <c r="D330" s="155"/>
      <c r="E330" s="156" t="s">
        <v>455</v>
      </c>
      <c r="F330" s="153" t="s">
        <v>456</v>
      </c>
      <c r="G330" s="157">
        <v>3510</v>
      </c>
      <c r="H330" s="153" t="s">
        <v>99</v>
      </c>
      <c r="I330" s="153" t="s">
        <v>141</v>
      </c>
      <c r="J330" s="158">
        <v>48591.46</v>
      </c>
      <c r="L330" s="158">
        <v>38.47</v>
      </c>
      <c r="M330" s="158">
        <v>31</v>
      </c>
      <c r="N330" s="159"/>
      <c r="O330" s="160">
        <v>0.2</v>
      </c>
      <c r="P330" s="160"/>
      <c r="Q330" s="159">
        <v>0</v>
      </c>
      <c r="R330" s="153" t="s">
        <v>35</v>
      </c>
      <c r="S330" s="161" t="s">
        <v>34</v>
      </c>
      <c r="T330" s="161">
        <v>79</v>
      </c>
      <c r="U330" s="162" t="s">
        <v>164</v>
      </c>
      <c r="V330" s="435"/>
      <c r="W330" s="153" t="s">
        <v>1877</v>
      </c>
      <c r="X330" s="159">
        <v>0</v>
      </c>
      <c r="Y330" s="159"/>
      <c r="AD330" s="176">
        <f t="shared" si="6"/>
        <v>0</v>
      </c>
      <c r="AJ330" s="644"/>
    </row>
    <row r="331" spans="1:77" s="153" customFormat="1" ht="11.25" customHeight="1">
      <c r="B331" s="153" t="s">
        <v>291</v>
      </c>
      <c r="C331" s="155"/>
      <c r="D331" s="155"/>
      <c r="E331" s="156" t="s">
        <v>455</v>
      </c>
      <c r="F331" s="153" t="s">
        <v>456</v>
      </c>
      <c r="G331" s="157">
        <v>3510</v>
      </c>
      <c r="H331" s="153" t="s">
        <v>183</v>
      </c>
      <c r="I331" s="153" t="s">
        <v>141</v>
      </c>
      <c r="J331" s="158">
        <v>4582.8</v>
      </c>
      <c r="L331" s="158">
        <v>4.0199999999999996</v>
      </c>
      <c r="M331" s="158">
        <v>4.0199999999999996</v>
      </c>
      <c r="N331" s="159"/>
      <c r="O331" s="160">
        <v>0.2</v>
      </c>
      <c r="P331" s="160"/>
      <c r="Q331" s="159">
        <v>0</v>
      </c>
      <c r="R331" s="153" t="s">
        <v>35</v>
      </c>
      <c r="S331" s="161" t="s">
        <v>34</v>
      </c>
      <c r="T331" s="161">
        <v>79</v>
      </c>
      <c r="U331" s="162" t="s">
        <v>164</v>
      </c>
      <c r="V331" s="435"/>
      <c r="W331" s="153" t="s">
        <v>1877</v>
      </c>
      <c r="X331" s="159">
        <v>0</v>
      </c>
      <c r="Y331" s="159"/>
      <c r="AD331" s="176">
        <f t="shared" si="6"/>
        <v>0</v>
      </c>
      <c r="AJ331" s="644"/>
    </row>
    <row r="332" spans="1:77" s="153" customFormat="1" ht="11.25" customHeight="1">
      <c r="B332" s="153" t="s">
        <v>291</v>
      </c>
      <c r="C332" s="155">
        <v>44655</v>
      </c>
      <c r="D332" s="155">
        <v>44656</v>
      </c>
      <c r="E332" s="156" t="s">
        <v>457</v>
      </c>
      <c r="F332" s="153" t="s">
        <v>956</v>
      </c>
      <c r="G332" s="157">
        <v>3646</v>
      </c>
      <c r="H332" s="153" t="s">
        <v>99</v>
      </c>
      <c r="I332" s="153" t="s">
        <v>141</v>
      </c>
      <c r="J332" s="158">
        <v>27839.040000000001</v>
      </c>
      <c r="L332" s="158">
        <v>24.68</v>
      </c>
      <c r="M332" s="158">
        <v>24.68</v>
      </c>
      <c r="N332" s="159"/>
      <c r="O332" s="160">
        <v>0.3</v>
      </c>
      <c r="P332" s="160"/>
      <c r="Q332" s="159">
        <v>0</v>
      </c>
      <c r="R332" s="153" t="s">
        <v>42</v>
      </c>
      <c r="S332" s="161" t="s">
        <v>41</v>
      </c>
      <c r="T332" s="161">
        <v>17</v>
      </c>
      <c r="U332" s="162" t="s">
        <v>164</v>
      </c>
      <c r="V332" s="435"/>
      <c r="W332" s="153" t="s">
        <v>1901</v>
      </c>
      <c r="X332" s="159">
        <v>0</v>
      </c>
      <c r="Y332" s="159"/>
      <c r="AD332" s="176">
        <f t="shared" si="6"/>
        <v>0</v>
      </c>
      <c r="AJ332" s="644"/>
    </row>
    <row r="333" spans="1:77" s="153" customFormat="1" ht="11.25" customHeight="1">
      <c r="B333" s="153" t="s">
        <v>291</v>
      </c>
      <c r="C333" s="155"/>
      <c r="D333" s="155"/>
      <c r="E333" s="156" t="s">
        <v>457</v>
      </c>
      <c r="F333" s="153" t="s">
        <v>956</v>
      </c>
      <c r="G333" s="157">
        <v>3646</v>
      </c>
      <c r="H333" s="153" t="s">
        <v>140</v>
      </c>
      <c r="I333" s="153" t="s">
        <v>141</v>
      </c>
      <c r="J333" s="158">
        <v>9182.7999999999993</v>
      </c>
      <c r="L333" s="158">
        <v>11.27</v>
      </c>
      <c r="M333" s="158">
        <v>11.27</v>
      </c>
      <c r="N333" s="159"/>
      <c r="O333" s="160">
        <v>0.3</v>
      </c>
      <c r="P333" s="160"/>
      <c r="Q333" s="159">
        <v>0</v>
      </c>
      <c r="R333" s="153" t="s">
        <v>42</v>
      </c>
      <c r="S333" s="161" t="s">
        <v>41</v>
      </c>
      <c r="T333" s="161">
        <v>17</v>
      </c>
      <c r="U333" s="162" t="s">
        <v>164</v>
      </c>
      <c r="V333" s="435"/>
      <c r="W333" s="153" t="s">
        <v>1901</v>
      </c>
      <c r="X333" s="159">
        <v>0</v>
      </c>
      <c r="Y333" s="159"/>
      <c r="AD333" s="176">
        <f t="shared" si="6"/>
        <v>0</v>
      </c>
      <c r="AJ333" s="644"/>
    </row>
    <row r="334" spans="1:77" s="153" customFormat="1" ht="11.25" customHeight="1">
      <c r="B334" s="153" t="s">
        <v>291</v>
      </c>
      <c r="C334" s="155"/>
      <c r="D334" s="155"/>
      <c r="E334" s="156" t="s">
        <v>457</v>
      </c>
      <c r="F334" s="153" t="s">
        <v>956</v>
      </c>
      <c r="G334" s="157">
        <v>3646</v>
      </c>
      <c r="H334" s="153" t="s">
        <v>27</v>
      </c>
      <c r="I334" s="153" t="s">
        <v>141</v>
      </c>
      <c r="J334" s="158">
        <v>17614.8</v>
      </c>
      <c r="L334" s="158">
        <v>13.98</v>
      </c>
      <c r="M334" s="158">
        <v>13.98</v>
      </c>
      <c r="N334" s="159"/>
      <c r="O334" s="160">
        <v>0.3</v>
      </c>
      <c r="P334" s="160"/>
      <c r="Q334" s="159">
        <v>0</v>
      </c>
      <c r="R334" s="153" t="s">
        <v>42</v>
      </c>
      <c r="S334" s="161" t="s">
        <v>41</v>
      </c>
      <c r="T334" s="161">
        <v>17</v>
      </c>
      <c r="U334" s="162" t="s">
        <v>164</v>
      </c>
      <c r="V334" s="435"/>
      <c r="W334" s="153" t="s">
        <v>1901</v>
      </c>
      <c r="X334" s="159">
        <v>0</v>
      </c>
      <c r="Y334" s="159"/>
      <c r="AD334" s="176">
        <f t="shared" si="6"/>
        <v>0</v>
      </c>
      <c r="AJ334" s="644"/>
    </row>
    <row r="335" spans="1:77" s="153" customFormat="1" ht="11.25" customHeight="1">
      <c r="B335" s="153" t="s">
        <v>291</v>
      </c>
      <c r="C335" s="155"/>
      <c r="D335" s="155"/>
      <c r="E335" s="156" t="s">
        <v>457</v>
      </c>
      <c r="F335" s="153" t="s">
        <v>956</v>
      </c>
      <c r="G335" s="157">
        <v>3646</v>
      </c>
      <c r="H335" s="153" t="s">
        <v>137</v>
      </c>
      <c r="I335" s="153" t="s">
        <v>141</v>
      </c>
      <c r="J335" s="158">
        <v>14819.2</v>
      </c>
      <c r="L335" s="158">
        <v>16.84</v>
      </c>
      <c r="M335" s="158">
        <v>16.84</v>
      </c>
      <c r="N335" s="159"/>
      <c r="O335" s="160">
        <v>0.3</v>
      </c>
      <c r="P335" s="160"/>
      <c r="Q335" s="159">
        <v>0</v>
      </c>
      <c r="R335" s="153" t="s">
        <v>42</v>
      </c>
      <c r="S335" s="161" t="s">
        <v>41</v>
      </c>
      <c r="T335" s="161">
        <v>17</v>
      </c>
      <c r="U335" s="162" t="s">
        <v>164</v>
      </c>
      <c r="V335" s="435"/>
      <c r="W335" s="153" t="s">
        <v>1901</v>
      </c>
      <c r="X335" s="159">
        <v>0</v>
      </c>
      <c r="Y335" s="159"/>
      <c r="AD335" s="176">
        <f t="shared" si="6"/>
        <v>0</v>
      </c>
      <c r="AJ335" s="644"/>
    </row>
    <row r="336" spans="1:77" s="181" customFormat="1" ht="11.25" customHeight="1">
      <c r="B336" s="181" t="s">
        <v>291</v>
      </c>
      <c r="C336" s="179">
        <v>44655</v>
      </c>
      <c r="D336" s="179">
        <v>44656</v>
      </c>
      <c r="E336" s="180" t="s">
        <v>458</v>
      </c>
      <c r="F336" s="181" t="s">
        <v>459</v>
      </c>
      <c r="G336" s="182">
        <v>4189</v>
      </c>
      <c r="H336" s="181" t="s">
        <v>27</v>
      </c>
      <c r="I336" s="181" t="s">
        <v>141</v>
      </c>
      <c r="J336" s="183">
        <v>28795.52</v>
      </c>
      <c r="L336" s="183">
        <v>24.84</v>
      </c>
      <c r="M336" s="183">
        <v>24.84</v>
      </c>
      <c r="N336" s="185"/>
      <c r="O336" s="186">
        <v>0.3</v>
      </c>
      <c r="P336" s="186"/>
      <c r="Q336" s="185">
        <v>0</v>
      </c>
      <c r="R336" s="181" t="s">
        <v>42</v>
      </c>
      <c r="S336" s="187" t="s">
        <v>41</v>
      </c>
      <c r="T336" s="187">
        <v>17</v>
      </c>
      <c r="U336" s="188" t="s">
        <v>164</v>
      </c>
      <c r="V336" s="441"/>
      <c r="W336" s="181" t="s">
        <v>2666</v>
      </c>
      <c r="X336" s="185">
        <v>0</v>
      </c>
      <c r="Y336" s="185"/>
      <c r="AE336" s="204">
        <f>X336</f>
        <v>0</v>
      </c>
      <c r="AJ336" s="189"/>
    </row>
    <row r="337" spans="1:77" s="181" customFormat="1" ht="11.25" customHeight="1">
      <c r="B337" s="181" t="s">
        <v>291</v>
      </c>
      <c r="C337" s="179"/>
      <c r="D337" s="179"/>
      <c r="E337" s="180" t="s">
        <v>458</v>
      </c>
      <c r="F337" s="181" t="s">
        <v>459</v>
      </c>
      <c r="G337" s="182">
        <v>4189</v>
      </c>
      <c r="H337" s="181" t="s">
        <v>140</v>
      </c>
      <c r="I337" s="181" t="s">
        <v>141</v>
      </c>
      <c r="J337" s="183">
        <v>42533.26</v>
      </c>
      <c r="L337" s="183">
        <v>27.23</v>
      </c>
      <c r="M337" s="183">
        <v>27.23</v>
      </c>
      <c r="N337" s="185"/>
      <c r="O337" s="186">
        <v>0.3</v>
      </c>
      <c r="P337" s="186"/>
      <c r="Q337" s="185">
        <v>0</v>
      </c>
      <c r="R337" s="181" t="s">
        <v>42</v>
      </c>
      <c r="S337" s="187" t="s">
        <v>41</v>
      </c>
      <c r="T337" s="187">
        <v>17</v>
      </c>
      <c r="U337" s="188" t="s">
        <v>164</v>
      </c>
      <c r="V337" s="441"/>
      <c r="W337" s="181" t="s">
        <v>2666</v>
      </c>
      <c r="X337" s="185">
        <v>0</v>
      </c>
      <c r="Y337" s="185"/>
      <c r="AE337" s="204">
        <f>X337</f>
        <v>0</v>
      </c>
      <c r="AJ337" s="189"/>
    </row>
    <row r="338" spans="1:77" s="181" customFormat="1" ht="11.25" customHeight="1">
      <c r="B338" s="181" t="s">
        <v>291</v>
      </c>
      <c r="C338" s="179"/>
      <c r="D338" s="179"/>
      <c r="E338" s="180" t="s">
        <v>458</v>
      </c>
      <c r="F338" s="181" t="s">
        <v>459</v>
      </c>
      <c r="G338" s="182">
        <v>4189</v>
      </c>
      <c r="H338" s="181" t="s">
        <v>99</v>
      </c>
      <c r="I338" s="181" t="s">
        <v>141</v>
      </c>
      <c r="J338" s="183">
        <v>27778.17</v>
      </c>
      <c r="L338" s="183">
        <v>21.7</v>
      </c>
      <c r="M338" s="183">
        <v>21.7</v>
      </c>
      <c r="N338" s="185"/>
      <c r="O338" s="186">
        <v>0.3</v>
      </c>
      <c r="P338" s="186"/>
      <c r="Q338" s="185">
        <v>0</v>
      </c>
      <c r="R338" s="181" t="s">
        <v>42</v>
      </c>
      <c r="S338" s="187" t="s">
        <v>41</v>
      </c>
      <c r="T338" s="187">
        <v>17</v>
      </c>
      <c r="U338" s="188" t="s">
        <v>164</v>
      </c>
      <c r="V338" s="441"/>
      <c r="W338" s="181" t="s">
        <v>2666</v>
      </c>
      <c r="X338" s="185">
        <v>0</v>
      </c>
      <c r="Y338" s="185"/>
      <c r="AE338" s="204">
        <f>X338</f>
        <v>0</v>
      </c>
      <c r="AJ338" s="189"/>
    </row>
    <row r="339" spans="1:77" s="181" customFormat="1" ht="11.25" customHeight="1">
      <c r="B339" s="181" t="s">
        <v>291</v>
      </c>
      <c r="C339" s="179"/>
      <c r="D339" s="179"/>
      <c r="E339" s="180" t="s">
        <v>458</v>
      </c>
      <c r="F339" s="181" t="s">
        <v>459</v>
      </c>
      <c r="G339" s="182">
        <v>4189</v>
      </c>
      <c r="H339" s="181" t="s">
        <v>183</v>
      </c>
      <c r="I339" s="181" t="s">
        <v>141</v>
      </c>
      <c r="J339" s="183">
        <v>14087.16</v>
      </c>
      <c r="L339" s="183">
        <v>14.36</v>
      </c>
      <c r="M339" s="183">
        <v>14.36</v>
      </c>
      <c r="N339" s="185"/>
      <c r="O339" s="186">
        <v>0.3</v>
      </c>
      <c r="P339" s="186"/>
      <c r="Q339" s="185">
        <v>0</v>
      </c>
      <c r="R339" s="181" t="s">
        <v>42</v>
      </c>
      <c r="S339" s="187" t="s">
        <v>41</v>
      </c>
      <c r="T339" s="187">
        <v>17</v>
      </c>
      <c r="U339" s="188" t="s">
        <v>164</v>
      </c>
      <c r="V339" s="441"/>
      <c r="W339" s="181" t="s">
        <v>2666</v>
      </c>
      <c r="X339" s="185">
        <v>0</v>
      </c>
      <c r="Y339" s="185"/>
      <c r="AE339" s="204">
        <f>X339</f>
        <v>0</v>
      </c>
      <c r="AJ339" s="189"/>
    </row>
    <row r="340" spans="1:77" s="153" customFormat="1" ht="11.25" customHeight="1">
      <c r="B340" s="153" t="s">
        <v>291</v>
      </c>
      <c r="C340" s="155">
        <v>44656</v>
      </c>
      <c r="D340" s="155">
        <v>44656</v>
      </c>
      <c r="E340" s="156" t="s">
        <v>460</v>
      </c>
      <c r="F340" s="153" t="s">
        <v>461</v>
      </c>
      <c r="G340" s="157">
        <v>3513</v>
      </c>
      <c r="H340" s="153" t="s">
        <v>183</v>
      </c>
      <c r="I340" s="153" t="s">
        <v>141</v>
      </c>
      <c r="J340" s="158">
        <v>23560.22</v>
      </c>
      <c r="L340" s="158">
        <v>22.78</v>
      </c>
      <c r="M340" s="158">
        <v>22.78</v>
      </c>
      <c r="N340" s="153">
        <f>1288.6755+321.65175+745.69425</f>
        <v>2356.0214999999998</v>
      </c>
      <c r="O340" s="160">
        <v>0.2</v>
      </c>
      <c r="P340" s="160"/>
      <c r="Q340" s="159">
        <v>0</v>
      </c>
      <c r="R340" s="153" t="s">
        <v>42</v>
      </c>
      <c r="S340" s="161" t="s">
        <v>34</v>
      </c>
      <c r="T340" s="161">
        <v>17</v>
      </c>
      <c r="U340" s="162" t="s">
        <v>164</v>
      </c>
      <c r="V340" s="435"/>
      <c r="X340" s="159">
        <v>0</v>
      </c>
      <c r="Y340" s="159"/>
      <c r="AD340" s="176">
        <f>X340</f>
        <v>0</v>
      </c>
      <c r="AJ340" s="644"/>
    </row>
    <row r="341" spans="1:77" s="153" customFormat="1" ht="11.25" customHeight="1">
      <c r="B341" s="153" t="s">
        <v>291</v>
      </c>
      <c r="C341" s="155"/>
      <c r="D341" s="155"/>
      <c r="E341" s="156" t="s">
        <v>460</v>
      </c>
      <c r="F341" s="153" t="s">
        <v>461</v>
      </c>
      <c r="G341" s="157">
        <v>3513</v>
      </c>
      <c r="H341" s="153" t="s">
        <v>99</v>
      </c>
      <c r="I341" s="153" t="s">
        <v>141</v>
      </c>
      <c r="J341" s="158">
        <v>45174.7</v>
      </c>
      <c r="L341" s="158">
        <v>40.57</v>
      </c>
      <c r="M341" s="158">
        <v>40.57</v>
      </c>
      <c r="N341" s="159">
        <f>6383.16375-N340-N342</f>
        <v>2081.6882499999997</v>
      </c>
      <c r="O341" s="160">
        <v>0.2</v>
      </c>
      <c r="P341" s="160"/>
      <c r="Q341" s="159">
        <v>0</v>
      </c>
      <c r="R341" s="153" t="s">
        <v>42</v>
      </c>
      <c r="S341" s="161" t="s">
        <v>34</v>
      </c>
      <c r="T341" s="161">
        <v>17</v>
      </c>
      <c r="U341" s="162" t="s">
        <v>164</v>
      </c>
      <c r="V341" s="435"/>
      <c r="X341" s="159">
        <v>0</v>
      </c>
      <c r="Y341" s="159"/>
      <c r="AD341" s="176">
        <f>X341</f>
        <v>0</v>
      </c>
      <c r="AJ341" s="644"/>
    </row>
    <row r="342" spans="1:77" s="153" customFormat="1" ht="11.25" customHeight="1">
      <c r="B342" s="153" t="s">
        <v>291</v>
      </c>
      <c r="C342" s="155"/>
      <c r="D342" s="155"/>
      <c r="E342" s="156" t="s">
        <v>460</v>
      </c>
      <c r="F342" s="153" t="s">
        <v>461</v>
      </c>
      <c r="G342" s="157">
        <v>3513</v>
      </c>
      <c r="H342" s="153" t="s">
        <v>27</v>
      </c>
      <c r="I342" s="153" t="s">
        <v>141</v>
      </c>
      <c r="J342" s="158">
        <v>19764.22</v>
      </c>
      <c r="L342" s="158">
        <v>17.87</v>
      </c>
      <c r="M342" s="158">
        <v>17.87</v>
      </c>
      <c r="N342" s="159">
        <f>211.246+780.836+748.762+204.61</f>
        <v>1945.4540000000002</v>
      </c>
      <c r="O342" s="160">
        <v>0.2</v>
      </c>
      <c r="P342" s="160"/>
      <c r="Q342" s="159">
        <v>0</v>
      </c>
      <c r="R342" s="153" t="s">
        <v>42</v>
      </c>
      <c r="S342" s="161" t="s">
        <v>34</v>
      </c>
      <c r="T342" s="161">
        <v>17</v>
      </c>
      <c r="U342" s="162" t="s">
        <v>164</v>
      </c>
      <c r="V342" s="435"/>
      <c r="X342" s="159">
        <v>0</v>
      </c>
      <c r="Y342" s="159"/>
      <c r="AD342" s="176">
        <f>X342</f>
        <v>0</v>
      </c>
      <c r="AJ342" s="644"/>
    </row>
    <row r="343" spans="1:77" s="379" customFormat="1" ht="11.25" customHeight="1">
      <c r="B343" s="379" t="s">
        <v>291</v>
      </c>
      <c r="C343" s="381">
        <v>44656</v>
      </c>
      <c r="D343" s="381">
        <v>44656</v>
      </c>
      <c r="E343" s="425" t="s">
        <v>462</v>
      </c>
      <c r="F343" s="379" t="s">
        <v>185</v>
      </c>
      <c r="G343" s="383">
        <v>3951</v>
      </c>
      <c r="H343" s="379" t="s">
        <v>27</v>
      </c>
      <c r="I343" s="379" t="s">
        <v>141</v>
      </c>
      <c r="J343" s="385">
        <v>45880</v>
      </c>
      <c r="L343" s="385">
        <v>31</v>
      </c>
      <c r="M343" s="385">
        <v>31</v>
      </c>
      <c r="N343" s="386">
        <f>+J343*0.3</f>
        <v>13764</v>
      </c>
      <c r="O343" s="387">
        <v>0.2</v>
      </c>
      <c r="P343" s="387"/>
      <c r="Q343" s="386">
        <v>0</v>
      </c>
      <c r="R343" s="379" t="s">
        <v>146</v>
      </c>
      <c r="S343" s="388" t="s">
        <v>74</v>
      </c>
      <c r="T343" s="388">
        <v>32</v>
      </c>
      <c r="U343" s="389" t="s">
        <v>164</v>
      </c>
      <c r="V343" s="433"/>
      <c r="X343" s="386">
        <v>0</v>
      </c>
      <c r="Y343" s="386"/>
      <c r="AJ343" s="390">
        <v>0</v>
      </c>
    </row>
    <row r="344" spans="1:77" s="379" customFormat="1" ht="11.25" customHeight="1">
      <c r="B344" s="379" t="s">
        <v>291</v>
      </c>
      <c r="C344" s="381">
        <v>44655</v>
      </c>
      <c r="D344" s="381">
        <v>44656</v>
      </c>
      <c r="E344" s="382" t="s">
        <v>463</v>
      </c>
      <c r="F344" s="379" t="s">
        <v>464</v>
      </c>
      <c r="G344" s="383" t="s">
        <v>465</v>
      </c>
      <c r="H344" s="379" t="s">
        <v>27</v>
      </c>
      <c r="I344" s="379" t="s">
        <v>141</v>
      </c>
      <c r="J344" s="385">
        <v>16808.919999999998</v>
      </c>
      <c r="L344" s="385">
        <v>13.01</v>
      </c>
      <c r="M344" s="385">
        <v>13.01</v>
      </c>
      <c r="N344" s="386">
        <f>J344*34.98%</f>
        <v>5879.7602159999988</v>
      </c>
      <c r="O344" s="387">
        <v>0.25</v>
      </c>
      <c r="P344" s="387"/>
      <c r="Q344" s="386">
        <v>0</v>
      </c>
      <c r="R344" s="379" t="s">
        <v>142</v>
      </c>
      <c r="S344" s="388" t="s">
        <v>41</v>
      </c>
      <c r="T344" s="388">
        <v>16</v>
      </c>
      <c r="U344" s="389" t="s">
        <v>164</v>
      </c>
      <c r="V344" s="433"/>
      <c r="X344" s="386">
        <v>0</v>
      </c>
      <c r="Y344" s="386"/>
      <c r="AJ344" s="390">
        <v>0</v>
      </c>
    </row>
    <row r="345" spans="1:77" s="379" customFormat="1" ht="11.25" customHeight="1">
      <c r="B345" s="379" t="s">
        <v>291</v>
      </c>
      <c r="C345" s="381"/>
      <c r="D345" s="381"/>
      <c r="E345" s="382" t="s">
        <v>463</v>
      </c>
      <c r="F345" s="379" t="s">
        <v>464</v>
      </c>
      <c r="G345" s="383" t="s">
        <v>465</v>
      </c>
      <c r="H345" s="379" t="s">
        <v>99</v>
      </c>
      <c r="I345" s="379" t="s">
        <v>141</v>
      </c>
      <c r="J345" s="385">
        <v>40653.269999999997</v>
      </c>
      <c r="L345" s="385">
        <v>33.57</v>
      </c>
      <c r="M345" s="385">
        <v>33.57</v>
      </c>
      <c r="N345" s="386">
        <f>+J345*17.14%</f>
        <v>6967.9704779999993</v>
      </c>
      <c r="O345" s="387">
        <v>0.25</v>
      </c>
      <c r="P345" s="387"/>
      <c r="Q345" s="386">
        <v>0</v>
      </c>
      <c r="R345" s="379" t="s">
        <v>142</v>
      </c>
      <c r="S345" s="388" t="s">
        <v>41</v>
      </c>
      <c r="T345" s="388">
        <v>16</v>
      </c>
      <c r="U345" s="389" t="s">
        <v>164</v>
      </c>
      <c r="V345" s="433"/>
      <c r="X345" s="386">
        <v>0</v>
      </c>
      <c r="Y345" s="386"/>
      <c r="AJ345" s="390">
        <v>0</v>
      </c>
    </row>
    <row r="346" spans="1:77" s="106" customFormat="1" ht="11.25" customHeight="1">
      <c r="B346" s="106" t="s">
        <v>291</v>
      </c>
      <c r="C346" s="107"/>
      <c r="D346" s="107"/>
      <c r="E346" s="108" t="s">
        <v>463</v>
      </c>
      <c r="F346" s="106" t="s">
        <v>464</v>
      </c>
      <c r="G346" s="109" t="s">
        <v>465</v>
      </c>
      <c r="H346" s="106" t="s">
        <v>183</v>
      </c>
      <c r="I346" s="106" t="s">
        <v>141</v>
      </c>
      <c r="J346" s="110">
        <v>6078.8</v>
      </c>
      <c r="L346" s="110">
        <v>5.6</v>
      </c>
      <c r="M346" s="110">
        <v>5.6</v>
      </c>
      <c r="N346" s="112">
        <v>0</v>
      </c>
      <c r="O346" s="113">
        <v>0.25</v>
      </c>
      <c r="P346" s="113"/>
      <c r="Q346" s="112">
        <v>0</v>
      </c>
      <c r="R346" s="106" t="s">
        <v>142</v>
      </c>
      <c r="S346" s="114" t="s">
        <v>41</v>
      </c>
      <c r="T346" s="114">
        <v>16</v>
      </c>
      <c r="U346" s="115" t="s">
        <v>164</v>
      </c>
      <c r="V346" s="443"/>
      <c r="X346" s="112">
        <v>0</v>
      </c>
      <c r="Y346" s="112"/>
      <c r="AB346" s="112">
        <f>X346</f>
        <v>0</v>
      </c>
      <c r="AJ346" s="116"/>
    </row>
    <row r="347" spans="1:77" s="379" customFormat="1" ht="11.25" customHeight="1">
      <c r="A347" s="473"/>
      <c r="B347" s="473" t="s">
        <v>291</v>
      </c>
      <c r="C347" s="487"/>
      <c r="D347" s="487"/>
      <c r="E347" s="488" t="s">
        <v>466</v>
      </c>
      <c r="F347" s="473" t="s">
        <v>467</v>
      </c>
      <c r="G347" s="489">
        <v>4483</v>
      </c>
      <c r="H347" s="473" t="s">
        <v>140</v>
      </c>
      <c r="I347" s="473" t="s">
        <v>340</v>
      </c>
      <c r="J347" s="490">
        <v>12619.8</v>
      </c>
      <c r="K347" s="473"/>
      <c r="L347" s="490">
        <v>7.38</v>
      </c>
      <c r="M347" s="490">
        <v>7.38</v>
      </c>
      <c r="N347" s="492"/>
      <c r="O347" s="493">
        <v>0.3</v>
      </c>
      <c r="P347" s="493"/>
      <c r="Q347" s="492">
        <v>0</v>
      </c>
      <c r="R347" s="473" t="s">
        <v>35</v>
      </c>
      <c r="S347" s="481" t="s">
        <v>34</v>
      </c>
      <c r="T347" s="481">
        <v>79</v>
      </c>
      <c r="U347" s="494" t="s">
        <v>164</v>
      </c>
      <c r="V347" s="495"/>
      <c r="W347" s="473"/>
      <c r="X347" s="492">
        <v>0</v>
      </c>
      <c r="Y347" s="492"/>
      <c r="Z347" s="473"/>
      <c r="AA347" s="473"/>
      <c r="AB347" s="473"/>
      <c r="AC347" s="473"/>
      <c r="AD347" s="473"/>
      <c r="AE347" s="473"/>
      <c r="AF347" s="473"/>
      <c r="AG347" s="473"/>
      <c r="AH347" s="473"/>
      <c r="AI347" s="473"/>
      <c r="AJ347" s="485"/>
      <c r="AK347" s="473">
        <v>0</v>
      </c>
      <c r="AL347" s="473"/>
      <c r="AM347" s="473"/>
      <c r="AN347" s="473"/>
      <c r="AO347" s="473"/>
      <c r="AP347" s="473"/>
      <c r="AQ347" s="473"/>
      <c r="AR347" s="473"/>
      <c r="AS347" s="473"/>
      <c r="AT347" s="473"/>
      <c r="AU347" s="473"/>
      <c r="AV347" s="473"/>
      <c r="AW347" s="473"/>
      <c r="AX347" s="473"/>
      <c r="AY347" s="473"/>
      <c r="AZ347" s="473"/>
      <c r="BA347" s="473"/>
      <c r="BB347" s="473"/>
      <c r="BC347" s="473"/>
      <c r="BD347" s="473"/>
      <c r="BE347" s="473"/>
      <c r="BF347" s="473"/>
      <c r="BG347" s="473"/>
      <c r="BH347" s="473"/>
      <c r="BI347" s="473"/>
      <c r="BJ347" s="473"/>
      <c r="BK347" s="473"/>
      <c r="BL347" s="473"/>
      <c r="BM347" s="473"/>
      <c r="BN347" s="473"/>
      <c r="BO347" s="473"/>
      <c r="BP347" s="473"/>
      <c r="BQ347" s="473"/>
      <c r="BR347" s="473"/>
      <c r="BS347" s="473"/>
      <c r="BT347" s="473"/>
      <c r="BU347" s="473"/>
      <c r="BV347" s="473"/>
      <c r="BW347" s="473"/>
      <c r="BX347" s="473"/>
      <c r="BY347" s="473"/>
    </row>
    <row r="348" spans="1:77" s="379" customFormat="1" ht="11.25" customHeight="1">
      <c r="B348" s="379" t="s">
        <v>291</v>
      </c>
      <c r="C348" s="381">
        <v>44656</v>
      </c>
      <c r="D348" s="381">
        <v>44656</v>
      </c>
      <c r="E348" s="382" t="s">
        <v>466</v>
      </c>
      <c r="F348" s="379" t="s">
        <v>467</v>
      </c>
      <c r="G348" s="383">
        <v>4483</v>
      </c>
      <c r="H348" s="379" t="s">
        <v>99</v>
      </c>
      <c r="I348" s="379" t="s">
        <v>340</v>
      </c>
      <c r="J348" s="385">
        <v>87429.84</v>
      </c>
      <c r="L348" s="385">
        <v>70.069999999999993</v>
      </c>
      <c r="M348" s="385">
        <v>70.069999999999993</v>
      </c>
      <c r="N348" s="386"/>
      <c r="O348" s="387">
        <v>0.3</v>
      </c>
      <c r="P348" s="387"/>
      <c r="Q348" s="386">
        <v>0</v>
      </c>
      <c r="R348" s="379" t="s">
        <v>35</v>
      </c>
      <c r="S348" s="388" t="s">
        <v>34</v>
      </c>
      <c r="T348" s="388">
        <v>79</v>
      </c>
      <c r="U348" s="389" t="s">
        <v>164</v>
      </c>
      <c r="V348" s="433"/>
      <c r="X348" s="386">
        <v>0</v>
      </c>
      <c r="Y348" s="386"/>
      <c r="AJ348" s="390">
        <v>0</v>
      </c>
    </row>
    <row r="349" spans="1:77" s="153" customFormat="1" ht="11.25" customHeight="1">
      <c r="B349" s="153" t="s">
        <v>291</v>
      </c>
      <c r="C349" s="155"/>
      <c r="D349" s="155"/>
      <c r="E349" s="156" t="s">
        <v>466</v>
      </c>
      <c r="F349" s="153" t="s">
        <v>467</v>
      </c>
      <c r="G349" s="157">
        <v>4483</v>
      </c>
      <c r="H349" s="153" t="s">
        <v>27</v>
      </c>
      <c r="I349" s="153" t="s">
        <v>340</v>
      </c>
      <c r="J349" s="158">
        <v>62953.279999999999</v>
      </c>
      <c r="L349" s="158">
        <v>53.17</v>
      </c>
      <c r="M349" s="158">
        <v>53.17</v>
      </c>
      <c r="N349" s="159"/>
      <c r="O349" s="160">
        <v>0.3</v>
      </c>
      <c r="P349" s="160"/>
      <c r="Q349" s="159">
        <v>0</v>
      </c>
      <c r="R349" s="153" t="s">
        <v>35</v>
      </c>
      <c r="S349" s="161" t="s">
        <v>34</v>
      </c>
      <c r="T349" s="161">
        <v>79</v>
      </c>
      <c r="U349" s="162" t="s">
        <v>164</v>
      </c>
      <c r="V349" s="435"/>
      <c r="W349" s="153" t="s">
        <v>1895</v>
      </c>
      <c r="X349" s="159">
        <v>0</v>
      </c>
      <c r="Y349" s="159"/>
      <c r="AD349" s="176">
        <f>X349</f>
        <v>0</v>
      </c>
      <c r="AJ349" s="644"/>
    </row>
    <row r="350" spans="1:77" s="379" customFormat="1" ht="11.25" customHeight="1">
      <c r="B350" s="379" t="s">
        <v>291</v>
      </c>
      <c r="C350" s="381">
        <v>44653</v>
      </c>
      <c r="D350" s="381">
        <v>44656</v>
      </c>
      <c r="E350" s="382" t="s">
        <v>468</v>
      </c>
      <c r="F350" s="379" t="s">
        <v>3835</v>
      </c>
      <c r="G350" s="383" t="s">
        <v>470</v>
      </c>
      <c r="H350" s="379" t="s">
        <v>99</v>
      </c>
      <c r="I350" s="379" t="s">
        <v>471</v>
      </c>
      <c r="J350" s="385">
        <v>82609.070000000007</v>
      </c>
      <c r="L350" s="385">
        <v>79.47</v>
      </c>
      <c r="M350" s="385">
        <v>79</v>
      </c>
      <c r="N350" s="386"/>
      <c r="O350" s="387">
        <v>0.25</v>
      </c>
      <c r="P350" s="387"/>
      <c r="Q350" s="386">
        <v>0</v>
      </c>
      <c r="R350" s="379" t="s">
        <v>229</v>
      </c>
      <c r="S350" s="388" t="s">
        <v>228</v>
      </c>
      <c r="T350" s="388">
        <v>36</v>
      </c>
      <c r="U350" s="389" t="s">
        <v>164</v>
      </c>
      <c r="V350" s="433"/>
      <c r="X350" s="386">
        <v>0</v>
      </c>
      <c r="Y350" s="386"/>
      <c r="AJ350" s="390">
        <v>0</v>
      </c>
    </row>
    <row r="351" spans="1:77" s="6" customFormat="1" ht="11.25" customHeight="1">
      <c r="A351" s="379"/>
      <c r="B351" s="379" t="s">
        <v>291</v>
      </c>
      <c r="C351" s="381"/>
      <c r="D351" s="381"/>
      <c r="E351" s="382" t="s">
        <v>468</v>
      </c>
      <c r="F351" s="379" t="s">
        <v>3835</v>
      </c>
      <c r="G351" s="383" t="s">
        <v>470</v>
      </c>
      <c r="H351" s="379" t="s">
        <v>162</v>
      </c>
      <c r="I351" s="379" t="s">
        <v>471</v>
      </c>
      <c r="J351" s="385">
        <v>4251.5</v>
      </c>
      <c r="K351" s="379"/>
      <c r="L351" s="385">
        <v>7.27</v>
      </c>
      <c r="M351" s="385">
        <v>7</v>
      </c>
      <c r="N351" s="386"/>
      <c r="O351" s="387">
        <v>0.25</v>
      </c>
      <c r="P351" s="387"/>
      <c r="Q351" s="386">
        <v>0</v>
      </c>
      <c r="R351" s="379" t="s">
        <v>229</v>
      </c>
      <c r="S351" s="388" t="s">
        <v>228</v>
      </c>
      <c r="T351" s="388">
        <v>36</v>
      </c>
      <c r="U351" s="389" t="s">
        <v>164</v>
      </c>
      <c r="V351" s="433"/>
      <c r="W351" s="379"/>
      <c r="X351" s="386">
        <v>0</v>
      </c>
      <c r="Y351" s="386"/>
      <c r="Z351" s="379"/>
      <c r="AA351" s="379"/>
      <c r="AB351" s="379"/>
      <c r="AC351" s="379"/>
      <c r="AD351" s="379"/>
      <c r="AE351" s="379"/>
      <c r="AF351" s="379"/>
      <c r="AG351" s="379"/>
      <c r="AH351" s="379"/>
      <c r="AI351" s="379"/>
      <c r="AJ351" s="390">
        <v>0</v>
      </c>
      <c r="AK351" s="379"/>
      <c r="AL351" s="379"/>
      <c r="AM351" s="379"/>
      <c r="AN351" s="379"/>
      <c r="AO351" s="379"/>
      <c r="AP351" s="379"/>
      <c r="AQ351" s="379"/>
      <c r="AR351" s="379"/>
      <c r="AS351" s="379"/>
      <c r="AT351" s="379"/>
      <c r="AU351" s="379"/>
      <c r="AV351" s="379"/>
      <c r="AW351" s="379"/>
      <c r="AX351" s="379"/>
      <c r="AY351" s="379"/>
      <c r="AZ351" s="379"/>
      <c r="BA351" s="379"/>
      <c r="BB351" s="379"/>
      <c r="BC351" s="379"/>
      <c r="BD351" s="379"/>
      <c r="BE351" s="379"/>
      <c r="BF351" s="379"/>
      <c r="BG351" s="379"/>
      <c r="BH351" s="379"/>
      <c r="BI351" s="379"/>
      <c r="BJ351" s="379"/>
      <c r="BK351" s="379"/>
      <c r="BL351" s="379"/>
      <c r="BM351" s="379"/>
      <c r="BN351" s="379"/>
      <c r="BO351" s="379"/>
      <c r="BP351" s="379"/>
      <c r="BQ351" s="379"/>
      <c r="BR351" s="379"/>
      <c r="BS351" s="379"/>
      <c r="BT351" s="379"/>
      <c r="BU351" s="379"/>
      <c r="BV351" s="379"/>
      <c r="BW351" s="379"/>
      <c r="BX351" s="379"/>
      <c r="BY351" s="379"/>
    </row>
    <row r="352" spans="1:77" s="6" customFormat="1" ht="11.25" customHeight="1">
      <c r="A352" s="379"/>
      <c r="B352" s="379" t="s">
        <v>291</v>
      </c>
      <c r="C352" s="381"/>
      <c r="D352" s="381"/>
      <c r="E352" s="382" t="s">
        <v>468</v>
      </c>
      <c r="F352" s="379" t="s">
        <v>3835</v>
      </c>
      <c r="G352" s="383" t="s">
        <v>470</v>
      </c>
      <c r="H352" s="379" t="s">
        <v>310</v>
      </c>
      <c r="I352" s="379" t="s">
        <v>471</v>
      </c>
      <c r="J352" s="385">
        <v>3563.6</v>
      </c>
      <c r="K352" s="379"/>
      <c r="L352" s="385">
        <v>5.9</v>
      </c>
      <c r="M352" s="385">
        <v>5.8</v>
      </c>
      <c r="N352" s="386"/>
      <c r="O352" s="387">
        <v>0.25</v>
      </c>
      <c r="P352" s="387"/>
      <c r="Q352" s="386">
        <v>0</v>
      </c>
      <c r="R352" s="379" t="s">
        <v>229</v>
      </c>
      <c r="S352" s="388" t="s">
        <v>228</v>
      </c>
      <c r="T352" s="388">
        <v>36</v>
      </c>
      <c r="U352" s="389" t="s">
        <v>164</v>
      </c>
      <c r="V352" s="433"/>
      <c r="W352" s="379"/>
      <c r="X352" s="386">
        <v>0</v>
      </c>
      <c r="Y352" s="386"/>
      <c r="Z352" s="379"/>
      <c r="AA352" s="379"/>
      <c r="AB352" s="379"/>
      <c r="AC352" s="379"/>
      <c r="AD352" s="379"/>
      <c r="AE352" s="379"/>
      <c r="AF352" s="379"/>
      <c r="AG352" s="379"/>
      <c r="AH352" s="379"/>
      <c r="AI352" s="379"/>
      <c r="AJ352" s="390">
        <v>0</v>
      </c>
      <c r="AK352" s="379"/>
      <c r="AL352" s="379"/>
      <c r="AM352" s="379"/>
      <c r="AN352" s="379"/>
      <c r="AO352" s="379"/>
      <c r="AP352" s="379"/>
      <c r="AQ352" s="379"/>
      <c r="AR352" s="379"/>
      <c r="AS352" s="379"/>
      <c r="AT352" s="379"/>
      <c r="AU352" s="379"/>
      <c r="AV352" s="379"/>
      <c r="AW352" s="379"/>
      <c r="AX352" s="379"/>
      <c r="AY352" s="379"/>
      <c r="AZ352" s="379"/>
      <c r="BA352" s="379"/>
      <c r="BB352" s="379"/>
      <c r="BC352" s="379"/>
      <c r="BD352" s="379"/>
      <c r="BE352" s="379"/>
      <c r="BF352" s="379"/>
      <c r="BG352" s="379"/>
      <c r="BH352" s="379"/>
      <c r="BI352" s="379"/>
      <c r="BJ352" s="379"/>
      <c r="BK352" s="379"/>
      <c r="BL352" s="379"/>
      <c r="BM352" s="379"/>
      <c r="BN352" s="379"/>
      <c r="BO352" s="379"/>
      <c r="BP352" s="379"/>
      <c r="BQ352" s="379"/>
      <c r="BR352" s="379"/>
      <c r="BS352" s="379"/>
      <c r="BT352" s="379"/>
      <c r="BU352" s="379"/>
      <c r="BV352" s="379"/>
      <c r="BW352" s="379"/>
      <c r="BX352" s="379"/>
      <c r="BY352" s="379"/>
    </row>
    <row r="353" spans="1:77" s="6" customFormat="1" ht="11.25" customHeight="1">
      <c r="A353" s="379"/>
      <c r="B353" s="379" t="s">
        <v>291</v>
      </c>
      <c r="C353" s="380"/>
      <c r="D353" s="380"/>
      <c r="E353" s="382" t="s">
        <v>468</v>
      </c>
      <c r="F353" s="379" t="s">
        <v>3835</v>
      </c>
      <c r="G353" s="383" t="s">
        <v>470</v>
      </c>
      <c r="H353" s="379" t="s">
        <v>163</v>
      </c>
      <c r="I353" s="379" t="s">
        <v>471</v>
      </c>
      <c r="J353" s="385">
        <v>26114.63</v>
      </c>
      <c r="K353" s="379"/>
      <c r="L353" s="385">
        <v>31.29</v>
      </c>
      <c r="M353" s="385">
        <v>31</v>
      </c>
      <c r="N353" s="386"/>
      <c r="O353" s="387">
        <v>0.25</v>
      </c>
      <c r="P353" s="387"/>
      <c r="Q353" s="386">
        <v>0</v>
      </c>
      <c r="R353" s="379" t="s">
        <v>229</v>
      </c>
      <c r="S353" s="388" t="s">
        <v>228</v>
      </c>
      <c r="T353" s="388">
        <v>36</v>
      </c>
      <c r="U353" s="389" t="s">
        <v>164</v>
      </c>
      <c r="V353" s="433"/>
      <c r="W353" s="379"/>
      <c r="X353" s="386">
        <v>0</v>
      </c>
      <c r="Y353" s="386"/>
      <c r="Z353" s="379"/>
      <c r="AA353" s="379"/>
      <c r="AB353" s="379"/>
      <c r="AC353" s="379"/>
      <c r="AD353" s="379"/>
      <c r="AE353" s="379"/>
      <c r="AF353" s="379"/>
      <c r="AG353" s="379"/>
      <c r="AH353" s="379"/>
      <c r="AI353" s="379"/>
      <c r="AJ353" s="390">
        <v>0</v>
      </c>
      <c r="AK353" s="379"/>
      <c r="AL353" s="379"/>
      <c r="AM353" s="379"/>
      <c r="AN353" s="379"/>
      <c r="AO353" s="379"/>
      <c r="AP353" s="379"/>
      <c r="AQ353" s="379"/>
      <c r="AR353" s="379"/>
      <c r="AS353" s="379"/>
      <c r="AT353" s="379"/>
      <c r="AU353" s="379"/>
      <c r="AV353" s="379"/>
      <c r="AW353" s="379"/>
      <c r="AX353" s="379"/>
      <c r="AY353" s="379"/>
      <c r="AZ353" s="379"/>
      <c r="BA353" s="379"/>
      <c r="BB353" s="379"/>
      <c r="BC353" s="379"/>
      <c r="BD353" s="379"/>
      <c r="BE353" s="379"/>
      <c r="BF353" s="379"/>
      <c r="BG353" s="379"/>
      <c r="BH353" s="379"/>
      <c r="BI353" s="379"/>
      <c r="BJ353" s="379"/>
      <c r="BK353" s="379"/>
      <c r="BL353" s="379"/>
      <c r="BM353" s="379"/>
      <c r="BN353" s="379"/>
      <c r="BO353" s="379"/>
      <c r="BP353" s="379"/>
      <c r="BQ353" s="379"/>
      <c r="BR353" s="379"/>
      <c r="BS353" s="379"/>
      <c r="BT353" s="379"/>
      <c r="BU353" s="379"/>
      <c r="BV353" s="379"/>
      <c r="BW353" s="379"/>
      <c r="BX353" s="379"/>
      <c r="BY353" s="379"/>
    </row>
    <row r="354" spans="1:77" s="6" customFormat="1" ht="11.25" customHeight="1">
      <c r="A354" s="379"/>
      <c r="B354" s="379" t="s">
        <v>291</v>
      </c>
      <c r="C354" s="380"/>
      <c r="D354" s="380"/>
      <c r="E354" s="382" t="s">
        <v>468</v>
      </c>
      <c r="F354" s="379" t="s">
        <v>3835</v>
      </c>
      <c r="G354" s="383" t="s">
        <v>470</v>
      </c>
      <c r="H354" s="379" t="s">
        <v>183</v>
      </c>
      <c r="I354" s="379" t="s">
        <v>471</v>
      </c>
      <c r="J354" s="385">
        <v>13257.22</v>
      </c>
      <c r="K354" s="379"/>
      <c r="L354" s="385">
        <v>16.440000000000001</v>
      </c>
      <c r="M354" s="385">
        <v>16</v>
      </c>
      <c r="N354" s="386"/>
      <c r="O354" s="387">
        <v>0.25</v>
      </c>
      <c r="P354" s="387"/>
      <c r="Q354" s="386">
        <v>0</v>
      </c>
      <c r="R354" s="379" t="s">
        <v>229</v>
      </c>
      <c r="S354" s="388" t="s">
        <v>228</v>
      </c>
      <c r="T354" s="388">
        <v>36</v>
      </c>
      <c r="U354" s="389" t="s">
        <v>164</v>
      </c>
      <c r="V354" s="433"/>
      <c r="W354" s="379"/>
      <c r="X354" s="386">
        <v>0</v>
      </c>
      <c r="Y354" s="386"/>
      <c r="Z354" s="379"/>
      <c r="AA354" s="379"/>
      <c r="AB354" s="379"/>
      <c r="AC354" s="379"/>
      <c r="AD354" s="379"/>
      <c r="AE354" s="379"/>
      <c r="AF354" s="379"/>
      <c r="AG354" s="379"/>
      <c r="AH354" s="379"/>
      <c r="AI354" s="379"/>
      <c r="AJ354" s="390">
        <v>0</v>
      </c>
      <c r="AK354" s="379"/>
      <c r="AL354" s="379"/>
      <c r="AM354" s="379"/>
      <c r="AN354" s="379"/>
      <c r="AO354" s="379"/>
      <c r="AP354" s="379"/>
      <c r="AQ354" s="379"/>
      <c r="AR354" s="379"/>
      <c r="AS354" s="379"/>
      <c r="AT354" s="379"/>
      <c r="AU354" s="379"/>
      <c r="AV354" s="379"/>
      <c r="AW354" s="379"/>
      <c r="AX354" s="379"/>
      <c r="AY354" s="379"/>
      <c r="AZ354" s="379"/>
      <c r="BA354" s="379"/>
      <c r="BB354" s="379"/>
      <c r="BC354" s="379"/>
      <c r="BD354" s="379"/>
      <c r="BE354" s="379"/>
      <c r="BF354" s="379"/>
      <c r="BG354" s="379"/>
      <c r="BH354" s="379"/>
      <c r="BI354" s="379"/>
      <c r="BJ354" s="379"/>
      <c r="BK354" s="379"/>
      <c r="BL354" s="379"/>
      <c r="BM354" s="379"/>
      <c r="BN354" s="379"/>
      <c r="BO354" s="379"/>
      <c r="BP354" s="379"/>
      <c r="BQ354" s="379"/>
      <c r="BR354" s="379"/>
      <c r="BS354" s="379"/>
      <c r="BT354" s="379"/>
      <c r="BU354" s="379"/>
      <c r="BV354" s="379"/>
      <c r="BW354" s="379"/>
      <c r="BX354" s="379"/>
      <c r="BY354" s="379"/>
    </row>
    <row r="355" spans="1:77" s="6" customFormat="1" ht="11.25" customHeight="1">
      <c r="A355" s="379"/>
      <c r="B355" s="379" t="s">
        <v>291</v>
      </c>
      <c r="C355" s="380"/>
      <c r="D355" s="380"/>
      <c r="E355" s="382" t="s">
        <v>468</v>
      </c>
      <c r="F355" s="379" t="s">
        <v>3835</v>
      </c>
      <c r="G355" s="383" t="s">
        <v>470</v>
      </c>
      <c r="H355" s="379" t="s">
        <v>27</v>
      </c>
      <c r="I355" s="379" t="s">
        <v>471</v>
      </c>
      <c r="J355" s="385">
        <v>26081.279999999999</v>
      </c>
      <c r="K355" s="379"/>
      <c r="L355" s="385">
        <v>20.48</v>
      </c>
      <c r="M355" s="385">
        <v>20</v>
      </c>
      <c r="N355" s="386"/>
      <c r="O355" s="387">
        <v>0.25</v>
      </c>
      <c r="P355" s="387"/>
      <c r="Q355" s="386">
        <v>0</v>
      </c>
      <c r="R355" s="379" t="s">
        <v>229</v>
      </c>
      <c r="S355" s="388" t="s">
        <v>228</v>
      </c>
      <c r="T355" s="388">
        <v>36</v>
      </c>
      <c r="U355" s="389" t="s">
        <v>164</v>
      </c>
      <c r="V355" s="433"/>
      <c r="W355" s="379"/>
      <c r="X355" s="386">
        <v>0</v>
      </c>
      <c r="Y355" s="386"/>
      <c r="Z355" s="379"/>
      <c r="AA355" s="379"/>
      <c r="AB355" s="379"/>
      <c r="AC355" s="379"/>
      <c r="AD355" s="379"/>
      <c r="AE355" s="379"/>
      <c r="AF355" s="379"/>
      <c r="AG355" s="379"/>
      <c r="AH355" s="379"/>
      <c r="AI355" s="379"/>
      <c r="AJ355" s="390">
        <v>0</v>
      </c>
      <c r="AK355" s="379"/>
      <c r="AL355" s="379"/>
      <c r="AM355" s="379"/>
      <c r="AN355" s="379"/>
      <c r="AO355" s="379"/>
      <c r="AP355" s="379"/>
      <c r="AQ355" s="379"/>
      <c r="AR355" s="379"/>
      <c r="AS355" s="379"/>
      <c r="AT355" s="379"/>
      <c r="AU355" s="379"/>
      <c r="AV355" s="379"/>
      <c r="AW355" s="379"/>
      <c r="AX355" s="379"/>
      <c r="AY355" s="379"/>
      <c r="AZ355" s="379"/>
      <c r="BA355" s="379"/>
      <c r="BB355" s="379"/>
      <c r="BC355" s="379"/>
      <c r="BD355" s="379"/>
      <c r="BE355" s="379"/>
      <c r="BF355" s="379"/>
      <c r="BG355" s="379"/>
      <c r="BH355" s="379"/>
      <c r="BI355" s="379"/>
      <c r="BJ355" s="379"/>
      <c r="BK355" s="379"/>
      <c r="BL355" s="379"/>
      <c r="BM355" s="379"/>
      <c r="BN355" s="379"/>
      <c r="BO355" s="379"/>
      <c r="BP355" s="379"/>
      <c r="BQ355" s="379"/>
      <c r="BR355" s="379"/>
      <c r="BS355" s="379"/>
      <c r="BT355" s="379"/>
      <c r="BU355" s="379"/>
      <c r="BV355" s="379"/>
      <c r="BW355" s="379"/>
      <c r="BX355" s="379"/>
      <c r="BY355" s="379"/>
    </row>
    <row r="356" spans="1:77" s="153" customFormat="1" ht="11.25" customHeight="1">
      <c r="B356" s="153" t="s">
        <v>291</v>
      </c>
      <c r="C356" s="155">
        <v>44654</v>
      </c>
      <c r="D356" s="155">
        <v>44656</v>
      </c>
      <c r="E356" s="156" t="s">
        <v>472</v>
      </c>
      <c r="F356" s="153" t="s">
        <v>37</v>
      </c>
      <c r="G356" s="157">
        <v>3538</v>
      </c>
      <c r="H356" s="153" t="s">
        <v>99</v>
      </c>
      <c r="I356" s="153" t="s">
        <v>141</v>
      </c>
      <c r="J356" s="158">
        <v>21529.56</v>
      </c>
      <c r="L356" s="158">
        <v>19.239999999999998</v>
      </c>
      <c r="M356" s="158">
        <v>19.239999999999998</v>
      </c>
      <c r="N356" s="159"/>
      <c r="O356" s="160">
        <v>0.15</v>
      </c>
      <c r="P356" s="160"/>
      <c r="Q356" s="159">
        <v>0</v>
      </c>
      <c r="R356" s="153" t="s">
        <v>29</v>
      </c>
      <c r="S356" s="161" t="s">
        <v>30</v>
      </c>
      <c r="T356" s="161">
        <v>70</v>
      </c>
      <c r="U356" s="162" t="s">
        <v>164</v>
      </c>
      <c r="V356" s="435"/>
      <c r="W356" s="153" t="s">
        <v>1853</v>
      </c>
      <c r="X356" s="159">
        <v>0</v>
      </c>
      <c r="Y356" s="159"/>
      <c r="AD356" s="176">
        <f>X356</f>
        <v>0</v>
      </c>
      <c r="AJ356" s="644"/>
    </row>
    <row r="357" spans="1:77" s="153" customFormat="1" ht="11.25" customHeight="1">
      <c r="B357" s="153" t="s">
        <v>291</v>
      </c>
      <c r="C357" s="155"/>
      <c r="D357" s="155"/>
      <c r="E357" s="156" t="s">
        <v>472</v>
      </c>
      <c r="F357" s="153" t="s">
        <v>37</v>
      </c>
      <c r="G357" s="157">
        <v>3538</v>
      </c>
      <c r="H357" s="153" t="s">
        <v>27</v>
      </c>
      <c r="I357" s="153" t="s">
        <v>141</v>
      </c>
      <c r="J357" s="158">
        <v>15755.6</v>
      </c>
      <c r="L357" s="158">
        <v>14</v>
      </c>
      <c r="M357" s="158">
        <v>14</v>
      </c>
      <c r="N357" s="159"/>
      <c r="O357" s="160">
        <v>0.15</v>
      </c>
      <c r="P357" s="160"/>
      <c r="Q357" s="159">
        <v>0</v>
      </c>
      <c r="R357" s="153" t="s">
        <v>29</v>
      </c>
      <c r="S357" s="161" t="s">
        <v>30</v>
      </c>
      <c r="T357" s="161">
        <v>70</v>
      </c>
      <c r="U357" s="162" t="s">
        <v>164</v>
      </c>
      <c r="V357" s="435"/>
      <c r="W357" s="153" t="s">
        <v>1853</v>
      </c>
      <c r="X357" s="159">
        <v>0</v>
      </c>
      <c r="Y357" s="159"/>
      <c r="AD357" s="176">
        <f>X357</f>
        <v>0</v>
      </c>
      <c r="AJ357" s="644"/>
    </row>
    <row r="358" spans="1:77" s="153" customFormat="1" ht="11.25" customHeight="1">
      <c r="B358" s="153" t="s">
        <v>291</v>
      </c>
      <c r="C358" s="155"/>
      <c r="D358" s="155"/>
      <c r="E358" s="156" t="s">
        <v>472</v>
      </c>
      <c r="F358" s="153" t="s">
        <v>37</v>
      </c>
      <c r="G358" s="157">
        <v>3538</v>
      </c>
      <c r="H358" s="153" t="s">
        <v>183</v>
      </c>
      <c r="I358" s="153" t="s">
        <v>141</v>
      </c>
      <c r="J358" s="158">
        <v>13360.8</v>
      </c>
      <c r="L358" s="158">
        <v>14.65</v>
      </c>
      <c r="M358" s="158">
        <v>14.65</v>
      </c>
      <c r="N358" s="159"/>
      <c r="O358" s="160">
        <v>0.15</v>
      </c>
      <c r="P358" s="160"/>
      <c r="Q358" s="159">
        <v>0</v>
      </c>
      <c r="R358" s="153" t="s">
        <v>29</v>
      </c>
      <c r="S358" s="161" t="s">
        <v>30</v>
      </c>
      <c r="T358" s="161">
        <v>70</v>
      </c>
      <c r="U358" s="162" t="s">
        <v>164</v>
      </c>
      <c r="V358" s="435"/>
      <c r="W358" s="153" t="s">
        <v>1853</v>
      </c>
      <c r="X358" s="159">
        <v>0</v>
      </c>
      <c r="Y358" s="159"/>
      <c r="AD358" s="176">
        <f>X358</f>
        <v>0</v>
      </c>
      <c r="AJ358" s="644"/>
    </row>
    <row r="359" spans="1:77" s="205" customFormat="1" ht="11.25" customHeight="1">
      <c r="B359" s="206" t="s">
        <v>291</v>
      </c>
      <c r="C359" s="207">
        <v>44655</v>
      </c>
      <c r="D359" s="207">
        <v>44656</v>
      </c>
      <c r="E359" s="208" t="s">
        <v>485</v>
      </c>
      <c r="F359" s="205" t="s">
        <v>484</v>
      </c>
      <c r="G359" s="209">
        <v>4096</v>
      </c>
      <c r="H359" s="205" t="s">
        <v>27</v>
      </c>
      <c r="I359" s="205" t="s">
        <v>340</v>
      </c>
      <c r="J359" s="210">
        <v>10981.48</v>
      </c>
      <c r="L359" s="210">
        <v>9.77</v>
      </c>
      <c r="M359" s="210">
        <v>9.77</v>
      </c>
      <c r="N359" s="213">
        <f>25%*J359</f>
        <v>2745.37</v>
      </c>
      <c r="O359" s="212">
        <v>0.25</v>
      </c>
      <c r="P359" s="212"/>
      <c r="Q359" s="213">
        <v>0</v>
      </c>
      <c r="R359" s="205" t="s">
        <v>73</v>
      </c>
      <c r="S359" s="214" t="s">
        <v>74</v>
      </c>
      <c r="T359" s="214">
        <v>32</v>
      </c>
      <c r="U359" s="215" t="s">
        <v>164</v>
      </c>
      <c r="V359" s="438"/>
      <c r="W359" s="213" t="s">
        <v>3122</v>
      </c>
      <c r="X359" s="213">
        <v>0</v>
      </c>
      <c r="Y359" s="213"/>
      <c r="AF359" s="230">
        <f>X359</f>
        <v>0</v>
      </c>
      <c r="AJ359" s="216"/>
    </row>
    <row r="360" spans="1:77" s="205" customFormat="1" ht="11.25" customHeight="1">
      <c r="B360" s="205" t="s">
        <v>291</v>
      </c>
      <c r="C360" s="207">
        <v>44656</v>
      </c>
      <c r="D360" s="207">
        <v>44656</v>
      </c>
      <c r="E360" s="208" t="s">
        <v>475</v>
      </c>
      <c r="F360" s="205" t="s">
        <v>476</v>
      </c>
      <c r="G360" s="209">
        <v>4585</v>
      </c>
      <c r="H360" s="205" t="s">
        <v>27</v>
      </c>
      <c r="I360" s="205" t="s">
        <v>334</v>
      </c>
      <c r="J360" s="210">
        <v>15936</v>
      </c>
      <c r="L360" s="210">
        <v>16.600000000000001</v>
      </c>
      <c r="M360" s="210">
        <v>16.600000000000001</v>
      </c>
      <c r="N360" s="213">
        <v>3179.52</v>
      </c>
      <c r="O360" s="212">
        <v>0.25</v>
      </c>
      <c r="P360" s="212"/>
      <c r="Q360" s="213">
        <v>0</v>
      </c>
      <c r="R360" s="205" t="s">
        <v>42</v>
      </c>
      <c r="S360" s="214" t="s">
        <v>41</v>
      </c>
      <c r="T360" s="214">
        <v>17</v>
      </c>
      <c r="U360" s="215" t="s">
        <v>164</v>
      </c>
      <c r="V360" s="438"/>
      <c r="W360" s="205" t="s">
        <v>2922</v>
      </c>
      <c r="X360" s="213">
        <v>0</v>
      </c>
      <c r="Y360" s="213"/>
      <c r="AF360" s="230">
        <f>X360</f>
        <v>0</v>
      </c>
      <c r="AJ360" s="216"/>
    </row>
    <row r="361" spans="1:77" s="205" customFormat="1" ht="11.25" customHeight="1">
      <c r="B361" s="205" t="s">
        <v>291</v>
      </c>
      <c r="C361" s="207"/>
      <c r="D361" s="207"/>
      <c r="E361" s="208" t="s">
        <v>475</v>
      </c>
      <c r="F361" s="205" t="s">
        <v>476</v>
      </c>
      <c r="G361" s="209">
        <v>4585</v>
      </c>
      <c r="H361" s="205" t="s">
        <v>99</v>
      </c>
      <c r="I361" s="205" t="s">
        <v>334</v>
      </c>
      <c r="J361" s="210">
        <v>3482.75</v>
      </c>
      <c r="L361" s="210">
        <v>3.38</v>
      </c>
      <c r="M361" s="210">
        <v>3.38</v>
      </c>
      <c r="N361" s="213">
        <v>522.41</v>
      </c>
      <c r="O361" s="212">
        <v>0.25</v>
      </c>
      <c r="P361" s="212"/>
      <c r="Q361" s="213">
        <v>0</v>
      </c>
      <c r="R361" s="205" t="s">
        <v>42</v>
      </c>
      <c r="S361" s="214" t="s">
        <v>41</v>
      </c>
      <c r="T361" s="214">
        <v>17</v>
      </c>
      <c r="U361" s="215" t="s">
        <v>164</v>
      </c>
      <c r="V361" s="438"/>
      <c r="W361" s="205" t="s">
        <v>2922</v>
      </c>
      <c r="X361" s="213">
        <v>0</v>
      </c>
      <c r="Y361" s="213"/>
      <c r="AF361" s="230">
        <f>X361</f>
        <v>0</v>
      </c>
      <c r="AI361" s="218"/>
      <c r="AJ361" s="216"/>
    </row>
    <row r="362" spans="1:77" s="205" customFormat="1" ht="11.25" customHeight="1">
      <c r="B362" s="205" t="s">
        <v>291</v>
      </c>
      <c r="C362" s="207"/>
      <c r="D362" s="207"/>
      <c r="E362" s="208" t="s">
        <v>475</v>
      </c>
      <c r="F362" s="205" t="s">
        <v>476</v>
      </c>
      <c r="G362" s="209">
        <v>4585</v>
      </c>
      <c r="H362" s="205" t="s">
        <v>336</v>
      </c>
      <c r="I362" s="205" t="s">
        <v>334</v>
      </c>
      <c r="J362" s="210">
        <v>42217.18</v>
      </c>
      <c r="L362" s="210">
        <v>31.33</v>
      </c>
      <c r="M362" s="210">
        <v>31.33</v>
      </c>
      <c r="N362" s="213">
        <v>6332.57</v>
      </c>
      <c r="O362" s="212">
        <v>0.25</v>
      </c>
      <c r="P362" s="212"/>
      <c r="Q362" s="213">
        <v>0</v>
      </c>
      <c r="R362" s="205" t="s">
        <v>42</v>
      </c>
      <c r="S362" s="214" t="s">
        <v>41</v>
      </c>
      <c r="T362" s="214">
        <v>17</v>
      </c>
      <c r="U362" s="215" t="s">
        <v>164</v>
      </c>
      <c r="V362" s="438"/>
      <c r="W362" s="205" t="s">
        <v>2922</v>
      </c>
      <c r="X362" s="213">
        <v>0</v>
      </c>
      <c r="Y362" s="213"/>
      <c r="AF362" s="230">
        <f>X362</f>
        <v>0</v>
      </c>
      <c r="AI362" s="218"/>
      <c r="AJ362" s="216"/>
    </row>
    <row r="363" spans="1:77" s="205" customFormat="1" ht="11.25" customHeight="1">
      <c r="B363" s="205" t="s">
        <v>291</v>
      </c>
      <c r="C363" s="207"/>
      <c r="D363" s="207"/>
      <c r="E363" s="208" t="s">
        <v>475</v>
      </c>
      <c r="F363" s="205" t="s">
        <v>476</v>
      </c>
      <c r="G363" s="209">
        <v>4585</v>
      </c>
      <c r="H363" s="205" t="s">
        <v>137</v>
      </c>
      <c r="I363" s="205" t="s">
        <v>334</v>
      </c>
      <c r="J363" s="210">
        <v>10250.24</v>
      </c>
      <c r="L363" s="210">
        <v>10.4</v>
      </c>
      <c r="M363" s="210">
        <v>10.4</v>
      </c>
      <c r="N363" s="213">
        <v>1537.54</v>
      </c>
      <c r="O363" s="212">
        <v>0.25</v>
      </c>
      <c r="P363" s="212"/>
      <c r="Q363" s="213">
        <v>0</v>
      </c>
      <c r="R363" s="205" t="s">
        <v>42</v>
      </c>
      <c r="S363" s="214" t="s">
        <v>41</v>
      </c>
      <c r="T363" s="214">
        <v>17</v>
      </c>
      <c r="U363" s="215" t="s">
        <v>164</v>
      </c>
      <c r="V363" s="438"/>
      <c r="W363" s="205" t="s">
        <v>2922</v>
      </c>
      <c r="X363" s="213">
        <v>0</v>
      </c>
      <c r="Y363" s="213"/>
      <c r="AF363" s="230">
        <f>X363</f>
        <v>0</v>
      </c>
      <c r="AI363" s="218"/>
      <c r="AJ363" s="216"/>
    </row>
    <row r="364" spans="1:77" s="647" customFormat="1" ht="11.25" customHeight="1">
      <c r="B364" s="647" t="s">
        <v>291</v>
      </c>
      <c r="C364" s="648">
        <v>44655</v>
      </c>
      <c r="D364" s="648">
        <v>44656</v>
      </c>
      <c r="E364" s="649" t="s">
        <v>477</v>
      </c>
      <c r="F364" s="647" t="s">
        <v>486</v>
      </c>
      <c r="G364" s="650">
        <v>3923</v>
      </c>
      <c r="H364" s="647" t="s">
        <v>27</v>
      </c>
      <c r="I364" s="647" t="s">
        <v>141</v>
      </c>
      <c r="J364" s="651">
        <v>10050.06</v>
      </c>
      <c r="L364" s="651">
        <v>8.3000000000000007</v>
      </c>
      <c r="M364" s="651">
        <v>8.3000000000000007</v>
      </c>
      <c r="N364" s="652">
        <v>0</v>
      </c>
      <c r="O364" s="653">
        <v>0.2</v>
      </c>
      <c r="P364" s="653"/>
      <c r="Q364" s="652">
        <v>0</v>
      </c>
      <c r="R364" s="647" t="s">
        <v>77</v>
      </c>
      <c r="S364" s="654" t="s">
        <v>41</v>
      </c>
      <c r="T364" s="654">
        <v>17</v>
      </c>
      <c r="U364" s="655" t="s">
        <v>164</v>
      </c>
      <c r="V364" s="656"/>
      <c r="X364" s="652">
        <v>0</v>
      </c>
      <c r="Y364" s="652"/>
      <c r="AI364" s="660">
        <v>0</v>
      </c>
      <c r="AJ364" s="657"/>
      <c r="AK364" s="658"/>
    </row>
    <row r="365" spans="1:77" s="205" customFormat="1" ht="11.25" customHeight="1">
      <c r="B365" s="205" t="s">
        <v>291</v>
      </c>
      <c r="C365" s="207">
        <v>44655</v>
      </c>
      <c r="D365" s="207">
        <v>44656</v>
      </c>
      <c r="E365" s="208" t="s">
        <v>478</v>
      </c>
      <c r="F365" s="205" t="s">
        <v>479</v>
      </c>
      <c r="G365" s="209">
        <v>3640</v>
      </c>
      <c r="H365" s="205" t="s">
        <v>27</v>
      </c>
      <c r="I365" s="205" t="s">
        <v>141</v>
      </c>
      <c r="J365" s="210">
        <v>18116.3</v>
      </c>
      <c r="L365" s="210">
        <v>11.13</v>
      </c>
      <c r="M365" s="210">
        <v>11.13</v>
      </c>
      <c r="N365" s="213"/>
      <c r="O365" s="212">
        <v>0.2</v>
      </c>
      <c r="P365" s="212"/>
      <c r="Q365" s="213">
        <v>0</v>
      </c>
      <c r="R365" s="205" t="s">
        <v>128</v>
      </c>
      <c r="S365" s="214" t="s">
        <v>41</v>
      </c>
      <c r="T365" s="214">
        <v>79</v>
      </c>
      <c r="U365" s="215" t="s">
        <v>164</v>
      </c>
      <c r="V365" s="438"/>
      <c r="W365" s="205" t="s">
        <v>3255</v>
      </c>
      <c r="X365" s="213">
        <v>0</v>
      </c>
      <c r="Y365" s="213"/>
      <c r="AF365" s="230">
        <f>X365</f>
        <v>0</v>
      </c>
      <c r="AI365" s="218"/>
      <c r="AJ365" s="216"/>
    </row>
    <row r="366" spans="1:77" s="153" customFormat="1" ht="11.25" customHeight="1">
      <c r="B366" s="153" t="s">
        <v>291</v>
      </c>
      <c r="C366" s="155">
        <v>44654</v>
      </c>
      <c r="D366" s="155">
        <v>44656</v>
      </c>
      <c r="E366" s="156" t="s">
        <v>480</v>
      </c>
      <c r="F366" s="153" t="s">
        <v>481</v>
      </c>
      <c r="G366" s="157" t="s">
        <v>482</v>
      </c>
      <c r="H366" s="153" t="s">
        <v>27</v>
      </c>
      <c r="I366" s="153" t="s">
        <v>141</v>
      </c>
      <c r="J366" s="158">
        <v>13505</v>
      </c>
      <c r="L366" s="158">
        <v>9.25</v>
      </c>
      <c r="M366" s="158">
        <v>9.24</v>
      </c>
      <c r="N366" s="159"/>
      <c r="O366" s="160">
        <v>0.25</v>
      </c>
      <c r="P366" s="160"/>
      <c r="Q366" s="159">
        <v>0</v>
      </c>
      <c r="R366" s="153" t="s">
        <v>77</v>
      </c>
      <c r="S366" s="161" t="s">
        <v>41</v>
      </c>
      <c r="T366" s="161">
        <v>17</v>
      </c>
      <c r="U366" s="162" t="s">
        <v>164</v>
      </c>
      <c r="V366" s="435"/>
      <c r="W366" s="153" t="s">
        <v>1874</v>
      </c>
      <c r="X366" s="159">
        <v>0</v>
      </c>
      <c r="Y366" s="159"/>
      <c r="AD366" s="176">
        <f>X366</f>
        <v>0</v>
      </c>
      <c r="AI366" s="164"/>
      <c r="AJ366" s="644"/>
    </row>
    <row r="367" spans="1:77" s="153" customFormat="1" ht="11.25" customHeight="1">
      <c r="B367" s="153" t="s">
        <v>291</v>
      </c>
      <c r="C367" s="155"/>
      <c r="D367" s="155"/>
      <c r="E367" s="156" t="s">
        <v>480</v>
      </c>
      <c r="F367" s="153" t="s">
        <v>481</v>
      </c>
      <c r="G367" s="157" t="s">
        <v>482</v>
      </c>
      <c r="H367" s="153" t="s">
        <v>99</v>
      </c>
      <c r="I367" s="153" t="s">
        <v>141</v>
      </c>
      <c r="J367" s="158">
        <v>9105</v>
      </c>
      <c r="L367" s="158">
        <v>7.5</v>
      </c>
      <c r="M367" s="158">
        <v>7.5</v>
      </c>
      <c r="N367" s="159"/>
      <c r="O367" s="160">
        <v>0.25</v>
      </c>
      <c r="P367" s="160"/>
      <c r="Q367" s="159">
        <v>0</v>
      </c>
      <c r="R367" s="153" t="s">
        <v>77</v>
      </c>
      <c r="S367" s="161" t="s">
        <v>41</v>
      </c>
      <c r="T367" s="161">
        <v>17</v>
      </c>
      <c r="U367" s="162" t="s">
        <v>164</v>
      </c>
      <c r="V367" s="435"/>
      <c r="W367" s="153" t="s">
        <v>1874</v>
      </c>
      <c r="X367" s="159">
        <v>0</v>
      </c>
      <c r="Y367" s="159"/>
      <c r="AD367" s="176">
        <f>X367</f>
        <v>0</v>
      </c>
      <c r="AI367" s="164"/>
      <c r="AJ367" s="644"/>
    </row>
    <row r="368" spans="1:77" s="379" customFormat="1" ht="11.25" customHeight="1">
      <c r="B368" s="380" t="s">
        <v>291</v>
      </c>
      <c r="C368" s="381">
        <v>44655</v>
      </c>
      <c r="D368" s="381">
        <v>44656</v>
      </c>
      <c r="E368" s="382" t="s">
        <v>483</v>
      </c>
      <c r="F368" s="379" t="s">
        <v>76</v>
      </c>
      <c r="G368" s="383">
        <v>3590</v>
      </c>
      <c r="H368" s="379" t="s">
        <v>137</v>
      </c>
      <c r="I368" s="379" t="s">
        <v>334</v>
      </c>
      <c r="J368" s="385">
        <v>16364.7</v>
      </c>
      <c r="L368" s="385">
        <v>14.5</v>
      </c>
      <c r="M368" s="385">
        <v>14.5</v>
      </c>
      <c r="N368" s="386"/>
      <c r="O368" s="387">
        <v>0.2</v>
      </c>
      <c r="P368" s="387"/>
      <c r="Q368" s="386">
        <v>0</v>
      </c>
      <c r="R368" s="379" t="s">
        <v>42</v>
      </c>
      <c r="S368" s="388" t="s">
        <v>41</v>
      </c>
      <c r="T368" s="388">
        <v>16</v>
      </c>
      <c r="U368" s="389" t="s">
        <v>164</v>
      </c>
      <c r="V368" s="433"/>
      <c r="X368" s="386">
        <v>0</v>
      </c>
      <c r="Y368" s="386"/>
      <c r="AI368" s="394"/>
      <c r="AJ368" s="390">
        <v>0</v>
      </c>
    </row>
    <row r="369" spans="2:36" s="379" customFormat="1" ht="11.25" customHeight="1">
      <c r="B369" s="380" t="s">
        <v>291</v>
      </c>
      <c r="C369" s="381"/>
      <c r="D369" s="381"/>
      <c r="E369" s="382" t="s">
        <v>483</v>
      </c>
      <c r="F369" s="379" t="s">
        <v>76</v>
      </c>
      <c r="G369" s="383">
        <v>3590</v>
      </c>
      <c r="H369" s="379" t="s">
        <v>27</v>
      </c>
      <c r="I369" s="379" t="s">
        <v>334</v>
      </c>
      <c r="J369" s="385">
        <v>22232</v>
      </c>
      <c r="L369" s="385">
        <v>16</v>
      </c>
      <c r="M369" s="385">
        <v>16</v>
      </c>
      <c r="N369" s="386"/>
      <c r="O369" s="387">
        <v>0.2</v>
      </c>
      <c r="P369" s="387"/>
      <c r="Q369" s="386">
        <v>0</v>
      </c>
      <c r="R369" s="379" t="s">
        <v>42</v>
      </c>
      <c r="S369" s="388" t="s">
        <v>41</v>
      </c>
      <c r="T369" s="388">
        <v>16</v>
      </c>
      <c r="U369" s="389" t="s">
        <v>164</v>
      </c>
      <c r="V369" s="433"/>
      <c r="X369" s="386">
        <v>0</v>
      </c>
      <c r="Y369" s="386"/>
      <c r="AI369" s="394"/>
      <c r="AJ369" s="390">
        <v>0</v>
      </c>
    </row>
    <row r="370" spans="2:36" s="181" customFormat="1" ht="11.25" customHeight="1">
      <c r="B370" s="178" t="s">
        <v>291</v>
      </c>
      <c r="C370" s="179">
        <v>44655</v>
      </c>
      <c r="D370" s="179">
        <v>44657</v>
      </c>
      <c r="E370" s="180" t="s">
        <v>487</v>
      </c>
      <c r="F370" s="181" t="s">
        <v>448</v>
      </c>
      <c r="G370" s="182">
        <v>3652</v>
      </c>
      <c r="H370" s="181" t="s">
        <v>99</v>
      </c>
      <c r="I370" s="181" t="s">
        <v>141</v>
      </c>
      <c r="J370" s="183">
        <v>12272</v>
      </c>
      <c r="L370" s="183">
        <v>13</v>
      </c>
      <c r="M370" s="183">
        <v>13</v>
      </c>
      <c r="N370" s="185">
        <v>613.6</v>
      </c>
      <c r="O370" s="186">
        <v>0.15</v>
      </c>
      <c r="P370" s="186"/>
      <c r="Q370" s="185">
        <v>0</v>
      </c>
      <c r="R370" s="181" t="s">
        <v>42</v>
      </c>
      <c r="S370" s="187" t="s">
        <v>41</v>
      </c>
      <c r="T370" s="187">
        <v>17</v>
      </c>
      <c r="U370" s="188" t="s">
        <v>164</v>
      </c>
      <c r="V370" s="441"/>
      <c r="W370" s="181" t="s">
        <v>2685</v>
      </c>
      <c r="X370" s="185">
        <v>0</v>
      </c>
      <c r="Y370" s="185"/>
      <c r="AE370" s="204">
        <f>X370</f>
        <v>0</v>
      </c>
      <c r="AI370" s="204"/>
      <c r="AJ370" s="189"/>
    </row>
    <row r="371" spans="2:36" s="291" customFormat="1" ht="11.25" customHeight="1">
      <c r="B371" s="310" t="s">
        <v>291</v>
      </c>
      <c r="C371" s="292">
        <v>44655</v>
      </c>
      <c r="D371" s="292">
        <v>44657</v>
      </c>
      <c r="E371" s="293" t="s">
        <v>488</v>
      </c>
      <c r="F371" s="291" t="s">
        <v>489</v>
      </c>
      <c r="G371" s="294">
        <v>3602</v>
      </c>
      <c r="H371" s="291" t="s">
        <v>99</v>
      </c>
      <c r="I371" s="291" t="s">
        <v>141</v>
      </c>
      <c r="J371" s="296">
        <v>25034.400000000001</v>
      </c>
      <c r="L371" s="296">
        <v>30.5</v>
      </c>
      <c r="M371" s="296">
        <v>30.5</v>
      </c>
      <c r="N371" s="297"/>
      <c r="O371" s="298">
        <v>0.15</v>
      </c>
      <c r="P371" s="298"/>
      <c r="Q371" s="297">
        <v>0</v>
      </c>
      <c r="R371" s="291" t="s">
        <v>35</v>
      </c>
      <c r="S371" s="299" t="s">
        <v>41</v>
      </c>
      <c r="T371" s="299">
        <v>16</v>
      </c>
      <c r="U371" s="300" t="s">
        <v>164</v>
      </c>
      <c r="V371" s="333"/>
      <c r="W371" s="291" t="s">
        <v>3887</v>
      </c>
      <c r="X371" s="297">
        <v>0</v>
      </c>
      <c r="Y371" s="297"/>
      <c r="AH371" s="291">
        <f>X371</f>
        <v>0</v>
      </c>
      <c r="AI371" s="311"/>
      <c r="AJ371" s="468"/>
    </row>
    <row r="372" spans="2:36" s="291" customFormat="1" ht="11.25" customHeight="1">
      <c r="B372" s="310" t="s">
        <v>291</v>
      </c>
      <c r="C372" s="292"/>
      <c r="D372" s="292"/>
      <c r="E372" s="293" t="s">
        <v>488</v>
      </c>
      <c r="F372" s="291" t="s">
        <v>489</v>
      </c>
      <c r="G372" s="294">
        <v>3602</v>
      </c>
      <c r="H372" s="291" t="s">
        <v>27</v>
      </c>
      <c r="I372" s="291" t="s">
        <v>141</v>
      </c>
      <c r="J372" s="296">
        <v>17523.36</v>
      </c>
      <c r="L372" s="296">
        <v>17.2</v>
      </c>
      <c r="M372" s="296">
        <v>17.2</v>
      </c>
      <c r="N372" s="297"/>
      <c r="O372" s="298">
        <v>0.15</v>
      </c>
      <c r="P372" s="298"/>
      <c r="Q372" s="297">
        <v>0</v>
      </c>
      <c r="R372" s="291" t="s">
        <v>35</v>
      </c>
      <c r="S372" s="299" t="s">
        <v>41</v>
      </c>
      <c r="T372" s="299">
        <v>16</v>
      </c>
      <c r="U372" s="300" t="s">
        <v>164</v>
      </c>
      <c r="V372" s="333"/>
      <c r="W372" s="291" t="s">
        <v>3887</v>
      </c>
      <c r="X372" s="297">
        <v>0</v>
      </c>
      <c r="Y372" s="297"/>
      <c r="AH372" s="291">
        <f>X372</f>
        <v>0</v>
      </c>
      <c r="AI372" s="311"/>
      <c r="AJ372" s="468"/>
    </row>
    <row r="373" spans="2:36" s="291" customFormat="1" ht="11.25" customHeight="1">
      <c r="B373" s="310" t="s">
        <v>291</v>
      </c>
      <c r="C373" s="292"/>
      <c r="D373" s="292"/>
      <c r="E373" s="293" t="s">
        <v>488</v>
      </c>
      <c r="F373" s="291" t="s">
        <v>489</v>
      </c>
      <c r="G373" s="294">
        <v>3602</v>
      </c>
      <c r="H373" s="291" t="s">
        <v>183</v>
      </c>
      <c r="I373" s="291" t="s">
        <v>141</v>
      </c>
      <c r="J373" s="296">
        <v>12217.5</v>
      </c>
      <c r="L373" s="296">
        <v>15</v>
      </c>
      <c r="M373" s="296">
        <v>15</v>
      </c>
      <c r="N373" s="297"/>
      <c r="O373" s="298">
        <v>0.15</v>
      </c>
      <c r="P373" s="298"/>
      <c r="Q373" s="297">
        <v>0</v>
      </c>
      <c r="R373" s="291" t="s">
        <v>35</v>
      </c>
      <c r="S373" s="299" t="s">
        <v>41</v>
      </c>
      <c r="T373" s="299">
        <v>16</v>
      </c>
      <c r="U373" s="300" t="s">
        <v>164</v>
      </c>
      <c r="V373" s="333"/>
      <c r="W373" s="291" t="s">
        <v>3887</v>
      </c>
      <c r="X373" s="297">
        <v>0</v>
      </c>
      <c r="Y373" s="297"/>
      <c r="AH373" s="291">
        <f>X373</f>
        <v>0</v>
      </c>
      <c r="AI373" s="311"/>
      <c r="AJ373" s="468"/>
    </row>
    <row r="374" spans="2:36" s="153" customFormat="1" ht="11.25" customHeight="1">
      <c r="B374" s="154" t="s">
        <v>291</v>
      </c>
      <c r="C374" s="155">
        <v>44655</v>
      </c>
      <c r="D374" s="155">
        <v>44657</v>
      </c>
      <c r="E374" s="156" t="s">
        <v>490</v>
      </c>
      <c r="F374" s="153" t="s">
        <v>491</v>
      </c>
      <c r="G374" s="157">
        <v>3653</v>
      </c>
      <c r="H374" s="153" t="s">
        <v>27</v>
      </c>
      <c r="I374" s="153" t="s">
        <v>141</v>
      </c>
      <c r="J374" s="158">
        <v>16823.669999999998</v>
      </c>
      <c r="L374" s="158">
        <v>13.67</v>
      </c>
      <c r="M374" s="158">
        <v>13.67</v>
      </c>
      <c r="N374" s="159"/>
      <c r="O374" s="160">
        <v>0.25</v>
      </c>
      <c r="P374" s="160"/>
      <c r="Q374" s="159">
        <v>0</v>
      </c>
      <c r="R374" s="153" t="s">
        <v>42</v>
      </c>
      <c r="S374" s="161" t="s">
        <v>41</v>
      </c>
      <c r="T374" s="161">
        <v>17</v>
      </c>
      <c r="U374" s="162" t="s">
        <v>164</v>
      </c>
      <c r="V374" s="435"/>
      <c r="W374" s="153" t="s">
        <v>1902</v>
      </c>
      <c r="X374" s="159">
        <v>0</v>
      </c>
      <c r="Y374" s="159"/>
      <c r="AD374" s="176">
        <f t="shared" ref="AD374:AD379" si="7">X374</f>
        <v>0</v>
      </c>
      <c r="AJ374" s="644"/>
    </row>
    <row r="375" spans="2:36" s="153" customFormat="1" ht="11.25" customHeight="1">
      <c r="B375" s="154" t="s">
        <v>291</v>
      </c>
      <c r="C375" s="155"/>
      <c r="D375" s="155"/>
      <c r="E375" s="156" t="s">
        <v>490</v>
      </c>
      <c r="F375" s="153" t="s">
        <v>491</v>
      </c>
      <c r="G375" s="157">
        <v>3653</v>
      </c>
      <c r="H375" s="153" t="s">
        <v>492</v>
      </c>
      <c r="I375" s="153" t="s">
        <v>141</v>
      </c>
      <c r="J375" s="158">
        <v>6586.65</v>
      </c>
      <c r="L375" s="158">
        <v>10.25</v>
      </c>
      <c r="M375" s="158">
        <v>10.25</v>
      </c>
      <c r="N375" s="159"/>
      <c r="O375" s="160">
        <v>0.25</v>
      </c>
      <c r="P375" s="160"/>
      <c r="Q375" s="159">
        <v>0</v>
      </c>
      <c r="R375" s="153" t="s">
        <v>42</v>
      </c>
      <c r="S375" s="161" t="s">
        <v>41</v>
      </c>
      <c r="T375" s="161">
        <v>17</v>
      </c>
      <c r="U375" s="162" t="s">
        <v>164</v>
      </c>
      <c r="V375" s="435"/>
      <c r="W375" s="153" t="s">
        <v>1902</v>
      </c>
      <c r="X375" s="159">
        <v>0</v>
      </c>
      <c r="Y375" s="159"/>
      <c r="AD375" s="176">
        <f t="shared" si="7"/>
        <v>0</v>
      </c>
      <c r="AJ375" s="644"/>
    </row>
    <row r="376" spans="2:36" s="153" customFormat="1" ht="11.25" customHeight="1">
      <c r="B376" s="154" t="s">
        <v>291</v>
      </c>
      <c r="C376" s="155"/>
      <c r="D376" s="155"/>
      <c r="E376" s="156" t="s">
        <v>490</v>
      </c>
      <c r="F376" s="153" t="s">
        <v>491</v>
      </c>
      <c r="G376" s="157">
        <v>3653</v>
      </c>
      <c r="H376" s="153" t="s">
        <v>493</v>
      </c>
      <c r="I376" s="153" t="s">
        <v>141</v>
      </c>
      <c r="J376" s="158">
        <v>8597.66</v>
      </c>
      <c r="L376" s="158">
        <v>9.6300000000000008</v>
      </c>
      <c r="M376" s="158">
        <v>9.6300000000000008</v>
      </c>
      <c r="N376" s="159"/>
      <c r="O376" s="160">
        <v>0.25</v>
      </c>
      <c r="P376" s="160"/>
      <c r="Q376" s="159">
        <v>0</v>
      </c>
      <c r="R376" s="153" t="s">
        <v>42</v>
      </c>
      <c r="S376" s="161" t="s">
        <v>41</v>
      </c>
      <c r="T376" s="161">
        <v>17</v>
      </c>
      <c r="U376" s="162" t="s">
        <v>164</v>
      </c>
      <c r="V376" s="435"/>
      <c r="W376" s="153" t="s">
        <v>1902</v>
      </c>
      <c r="X376" s="159">
        <v>0</v>
      </c>
      <c r="Y376" s="159"/>
      <c r="AD376" s="176">
        <f t="shared" si="7"/>
        <v>0</v>
      </c>
      <c r="AJ376" s="644"/>
    </row>
    <row r="377" spans="2:36" s="153" customFormat="1" ht="11.25" customHeight="1">
      <c r="B377" s="154" t="s">
        <v>291</v>
      </c>
      <c r="C377" s="155"/>
      <c r="D377" s="155"/>
      <c r="E377" s="156" t="s">
        <v>490</v>
      </c>
      <c r="F377" s="153" t="s">
        <v>491</v>
      </c>
      <c r="G377" s="157">
        <v>3653</v>
      </c>
      <c r="H377" s="153" t="s">
        <v>336</v>
      </c>
      <c r="I377" s="153" t="s">
        <v>141</v>
      </c>
      <c r="J377" s="158">
        <v>11036.4</v>
      </c>
      <c r="L377" s="158">
        <v>12</v>
      </c>
      <c r="M377" s="158">
        <v>12</v>
      </c>
      <c r="N377" s="159"/>
      <c r="O377" s="160">
        <v>0.25</v>
      </c>
      <c r="P377" s="160"/>
      <c r="Q377" s="159">
        <v>0</v>
      </c>
      <c r="R377" s="153" t="s">
        <v>42</v>
      </c>
      <c r="S377" s="161" t="s">
        <v>41</v>
      </c>
      <c r="T377" s="161">
        <v>17</v>
      </c>
      <c r="U377" s="162" t="s">
        <v>164</v>
      </c>
      <c r="V377" s="435"/>
      <c r="W377" s="153" t="s">
        <v>1902</v>
      </c>
      <c r="X377" s="159">
        <v>0</v>
      </c>
      <c r="Y377" s="159"/>
      <c r="AD377" s="176">
        <f t="shared" si="7"/>
        <v>0</v>
      </c>
      <c r="AJ377" s="644"/>
    </row>
    <row r="378" spans="2:36" s="153" customFormat="1" ht="11.25" customHeight="1">
      <c r="B378" s="154" t="s">
        <v>291</v>
      </c>
      <c r="C378" s="155"/>
      <c r="D378" s="155"/>
      <c r="E378" s="156" t="s">
        <v>490</v>
      </c>
      <c r="F378" s="153" t="s">
        <v>491</v>
      </c>
      <c r="G378" s="157">
        <v>3653</v>
      </c>
      <c r="H378" s="153" t="s">
        <v>99</v>
      </c>
      <c r="I378" s="153" t="s">
        <v>141</v>
      </c>
      <c r="J378" s="158">
        <v>15126.36</v>
      </c>
      <c r="L378" s="158">
        <v>18.64</v>
      </c>
      <c r="M378" s="158">
        <v>18.64</v>
      </c>
      <c r="N378" s="159"/>
      <c r="O378" s="160">
        <v>0.25</v>
      </c>
      <c r="P378" s="160"/>
      <c r="Q378" s="159">
        <v>0</v>
      </c>
      <c r="R378" s="153" t="s">
        <v>42</v>
      </c>
      <c r="S378" s="161" t="s">
        <v>41</v>
      </c>
      <c r="T378" s="161">
        <v>17</v>
      </c>
      <c r="U378" s="162" t="s">
        <v>164</v>
      </c>
      <c r="V378" s="435"/>
      <c r="W378" s="153" t="s">
        <v>1902</v>
      </c>
      <c r="X378" s="159">
        <v>0</v>
      </c>
      <c r="Y378" s="159"/>
      <c r="AD378" s="176">
        <f t="shared" si="7"/>
        <v>0</v>
      </c>
      <c r="AJ378" s="644"/>
    </row>
    <row r="379" spans="2:36" s="153" customFormat="1" ht="11.25" customHeight="1">
      <c r="B379" s="154" t="s">
        <v>291</v>
      </c>
      <c r="C379" s="155">
        <v>44655</v>
      </c>
      <c r="D379" s="155">
        <v>44657</v>
      </c>
      <c r="E379" s="156" t="s">
        <v>494</v>
      </c>
      <c r="F379" s="153" t="s">
        <v>1592</v>
      </c>
      <c r="G379" s="157">
        <v>4088</v>
      </c>
      <c r="H379" s="153" t="s">
        <v>99</v>
      </c>
      <c r="I379" s="153" t="s">
        <v>141</v>
      </c>
      <c r="J379" s="158">
        <v>124221.52</v>
      </c>
      <c r="L379" s="158">
        <v>111.71</v>
      </c>
      <c r="M379" s="158">
        <v>111.71</v>
      </c>
      <c r="N379" s="159"/>
      <c r="O379" s="160">
        <v>0.2</v>
      </c>
      <c r="P379" s="160"/>
      <c r="Q379" s="159">
        <v>0</v>
      </c>
      <c r="R379" s="153" t="s">
        <v>146</v>
      </c>
      <c r="S379" s="161" t="s">
        <v>74</v>
      </c>
      <c r="T379" s="161">
        <v>31</v>
      </c>
      <c r="U379" s="162" t="s">
        <v>164</v>
      </c>
      <c r="V379" s="435"/>
      <c r="X379" s="159">
        <v>0</v>
      </c>
      <c r="Y379" s="159"/>
      <c r="AD379" s="176">
        <f t="shared" si="7"/>
        <v>0</v>
      </c>
      <c r="AJ379" s="644"/>
    </row>
    <row r="380" spans="2:36" s="205" customFormat="1" ht="11.25" customHeight="1">
      <c r="B380" s="206" t="s">
        <v>291</v>
      </c>
      <c r="C380" s="207"/>
      <c r="D380" s="207"/>
      <c r="E380" s="208" t="s">
        <v>494</v>
      </c>
      <c r="F380" s="218" t="s">
        <v>1592</v>
      </c>
      <c r="G380" s="209">
        <v>4088</v>
      </c>
      <c r="H380" s="205" t="s">
        <v>27</v>
      </c>
      <c r="I380" s="205" t="s">
        <v>141</v>
      </c>
      <c r="J380" s="210">
        <v>54472.56</v>
      </c>
      <c r="L380" s="210">
        <v>51.78</v>
      </c>
      <c r="M380" s="210">
        <v>51.78</v>
      </c>
      <c r="N380" s="213">
        <f>30%*J380</f>
        <v>16341.767999999998</v>
      </c>
      <c r="O380" s="212">
        <v>0.2</v>
      </c>
      <c r="P380" s="212"/>
      <c r="Q380" s="213">
        <v>0</v>
      </c>
      <c r="R380" s="205" t="s">
        <v>146</v>
      </c>
      <c r="S380" s="214" t="s">
        <v>74</v>
      </c>
      <c r="T380" s="214">
        <v>31</v>
      </c>
      <c r="U380" s="215" t="s">
        <v>164</v>
      </c>
      <c r="V380" s="438"/>
      <c r="X380" s="213">
        <v>0</v>
      </c>
      <c r="Y380" s="213"/>
      <c r="AF380" s="230">
        <f>X380</f>
        <v>0</v>
      </c>
      <c r="AJ380" s="216"/>
    </row>
    <row r="381" spans="2:36" s="291" customFormat="1" ht="11.25" customHeight="1">
      <c r="B381" s="310" t="s">
        <v>291</v>
      </c>
      <c r="C381" s="292">
        <v>44655</v>
      </c>
      <c r="D381" s="292">
        <v>44657</v>
      </c>
      <c r="E381" s="293" t="s">
        <v>495</v>
      </c>
      <c r="F381" s="291" t="s">
        <v>399</v>
      </c>
      <c r="G381" s="294" t="s">
        <v>400</v>
      </c>
      <c r="H381" s="291" t="s">
        <v>496</v>
      </c>
      <c r="I381" s="291" t="s">
        <v>141</v>
      </c>
      <c r="J381" s="296">
        <v>76540.800000000003</v>
      </c>
      <c r="L381" s="296">
        <v>42.88</v>
      </c>
      <c r="M381" s="296">
        <v>42.88</v>
      </c>
      <c r="N381" s="297"/>
      <c r="O381" s="298">
        <v>0.2</v>
      </c>
      <c r="P381" s="298"/>
      <c r="Q381" s="297">
        <v>0</v>
      </c>
      <c r="R381" s="291" t="s">
        <v>128</v>
      </c>
      <c r="S381" s="299" t="s">
        <v>41</v>
      </c>
      <c r="T381" s="299">
        <v>86</v>
      </c>
      <c r="U381" s="300" t="s">
        <v>164</v>
      </c>
      <c r="V381" s="333"/>
      <c r="X381" s="297">
        <v>0</v>
      </c>
      <c r="Y381" s="297"/>
      <c r="AH381" s="291">
        <f>X381</f>
        <v>0</v>
      </c>
      <c r="AI381" s="311"/>
      <c r="AJ381" s="468"/>
    </row>
    <row r="382" spans="2:36" s="291" customFormat="1" ht="11.25" customHeight="1">
      <c r="B382" s="310" t="s">
        <v>291</v>
      </c>
      <c r="C382" s="292"/>
      <c r="D382" s="292"/>
      <c r="E382" s="293" t="s">
        <v>495</v>
      </c>
      <c r="F382" s="291" t="s">
        <v>399</v>
      </c>
      <c r="G382" s="294" t="s">
        <v>400</v>
      </c>
      <c r="H382" s="291" t="s">
        <v>183</v>
      </c>
      <c r="I382" s="291" t="s">
        <v>141</v>
      </c>
      <c r="J382" s="296">
        <v>27433.14</v>
      </c>
      <c r="L382" s="296">
        <v>21.07</v>
      </c>
      <c r="M382" s="296">
        <v>21.07</v>
      </c>
      <c r="N382" s="297"/>
      <c r="O382" s="298">
        <v>0.2</v>
      </c>
      <c r="P382" s="298"/>
      <c r="Q382" s="297">
        <v>0</v>
      </c>
      <c r="R382" s="291" t="s">
        <v>128</v>
      </c>
      <c r="S382" s="299" t="s">
        <v>41</v>
      </c>
      <c r="T382" s="299">
        <v>86</v>
      </c>
      <c r="U382" s="300" t="s">
        <v>164</v>
      </c>
      <c r="V382" s="333"/>
      <c r="X382" s="297">
        <v>0</v>
      </c>
      <c r="Y382" s="297"/>
      <c r="AH382" s="291">
        <f>X382</f>
        <v>0</v>
      </c>
      <c r="AI382" s="311"/>
      <c r="AJ382" s="468"/>
    </row>
    <row r="383" spans="2:36" s="291" customFormat="1" ht="11.25" customHeight="1">
      <c r="B383" s="310" t="s">
        <v>291</v>
      </c>
      <c r="C383" s="292"/>
      <c r="D383" s="292"/>
      <c r="E383" s="293" t="s">
        <v>495</v>
      </c>
      <c r="F383" s="291" t="s">
        <v>399</v>
      </c>
      <c r="G383" s="294" t="s">
        <v>400</v>
      </c>
      <c r="H383" s="291" t="s">
        <v>99</v>
      </c>
      <c r="I383" s="291" t="s">
        <v>141</v>
      </c>
      <c r="J383" s="296">
        <v>66761.36</v>
      </c>
      <c r="L383" s="296">
        <v>41.51</v>
      </c>
      <c r="M383" s="296">
        <v>41.51</v>
      </c>
      <c r="N383" s="297"/>
      <c r="O383" s="298">
        <v>0.2</v>
      </c>
      <c r="P383" s="298"/>
      <c r="Q383" s="297">
        <v>0</v>
      </c>
      <c r="R383" s="291" t="s">
        <v>128</v>
      </c>
      <c r="S383" s="299" t="s">
        <v>41</v>
      </c>
      <c r="T383" s="299">
        <v>86</v>
      </c>
      <c r="U383" s="300" t="s">
        <v>164</v>
      </c>
      <c r="V383" s="333"/>
      <c r="X383" s="297">
        <v>0</v>
      </c>
      <c r="Y383" s="297"/>
      <c r="AH383" s="291">
        <f>X383</f>
        <v>0</v>
      </c>
      <c r="AI383" s="311"/>
      <c r="AJ383" s="468"/>
    </row>
    <row r="384" spans="2:36" s="181" customFormat="1" ht="11.25" customHeight="1">
      <c r="B384" s="178" t="s">
        <v>291</v>
      </c>
      <c r="C384" s="179">
        <v>44655</v>
      </c>
      <c r="D384" s="179">
        <v>44657</v>
      </c>
      <c r="E384" s="180" t="s">
        <v>497</v>
      </c>
      <c r="F384" s="181" t="s">
        <v>507</v>
      </c>
      <c r="G384" s="182">
        <v>3578</v>
      </c>
      <c r="H384" s="181" t="s">
        <v>498</v>
      </c>
      <c r="I384" s="181" t="s">
        <v>141</v>
      </c>
      <c r="J384" s="183">
        <v>14720.1</v>
      </c>
      <c r="L384" s="183">
        <v>15</v>
      </c>
      <c r="M384" s="183">
        <v>15</v>
      </c>
      <c r="N384" s="185"/>
      <c r="O384" s="186">
        <v>0.15</v>
      </c>
      <c r="P384" s="186"/>
      <c r="Q384" s="185">
        <v>0</v>
      </c>
      <c r="R384" s="181" t="s">
        <v>42</v>
      </c>
      <c r="S384" s="187" t="s">
        <v>41</v>
      </c>
      <c r="T384" s="187">
        <v>16</v>
      </c>
      <c r="U384" s="188" t="s">
        <v>164</v>
      </c>
      <c r="V384" s="441"/>
      <c r="X384" s="185">
        <v>0</v>
      </c>
      <c r="Y384" s="185"/>
      <c r="AE384" s="204">
        <f>X384</f>
        <v>0</v>
      </c>
      <c r="AJ384" s="189"/>
    </row>
    <row r="385" spans="1:77" s="153" customFormat="1" ht="11.25" customHeight="1">
      <c r="B385" s="154" t="s">
        <v>291</v>
      </c>
      <c r="C385" s="155">
        <v>44655</v>
      </c>
      <c r="D385" s="155">
        <v>44657</v>
      </c>
      <c r="E385" s="156" t="s">
        <v>499</v>
      </c>
      <c r="F385" s="153" t="s">
        <v>500</v>
      </c>
      <c r="G385" s="157">
        <v>4057</v>
      </c>
      <c r="H385" s="153" t="s">
        <v>99</v>
      </c>
      <c r="I385" s="153" t="s">
        <v>141</v>
      </c>
      <c r="J385" s="158">
        <v>100021.5</v>
      </c>
      <c r="L385" s="158">
        <v>93</v>
      </c>
      <c r="M385" s="158">
        <v>93</v>
      </c>
      <c r="N385" s="159">
        <f>7956.918-2934.33</f>
        <v>5022.5879999999997</v>
      </c>
      <c r="O385" s="160">
        <v>0.25</v>
      </c>
      <c r="P385" s="160"/>
      <c r="Q385" s="159">
        <v>0</v>
      </c>
      <c r="R385" s="153" t="s">
        <v>42</v>
      </c>
      <c r="S385" s="161" t="s">
        <v>41</v>
      </c>
      <c r="T385" s="161">
        <v>17</v>
      </c>
      <c r="U385" s="162" t="s">
        <v>164</v>
      </c>
      <c r="V385" s="435"/>
      <c r="X385" s="159">
        <v>0</v>
      </c>
      <c r="Y385" s="159"/>
      <c r="AD385" s="176">
        <f>X385</f>
        <v>0</v>
      </c>
      <c r="AJ385" s="644"/>
    </row>
    <row r="386" spans="1:77" s="153" customFormat="1" ht="11.25" customHeight="1">
      <c r="B386" s="154" t="s">
        <v>291</v>
      </c>
      <c r="C386" s="155"/>
      <c r="D386" s="155"/>
      <c r="E386" s="156" t="s">
        <v>499</v>
      </c>
      <c r="F386" s="153" t="s">
        <v>500</v>
      </c>
      <c r="G386" s="157">
        <v>4057</v>
      </c>
      <c r="H386" s="153" t="s">
        <v>27</v>
      </c>
      <c r="I386" s="153" t="s">
        <v>141</v>
      </c>
      <c r="J386" s="158">
        <v>19482</v>
      </c>
      <c r="L386" s="158">
        <v>17</v>
      </c>
      <c r="M386" s="158">
        <v>17</v>
      </c>
      <c r="N386" s="159">
        <f>1885.743+1048.59</f>
        <v>2934.3329999999996</v>
      </c>
      <c r="O386" s="160">
        <v>0.25</v>
      </c>
      <c r="P386" s="160"/>
      <c r="Q386" s="159">
        <v>0</v>
      </c>
      <c r="R386" s="153" t="s">
        <v>42</v>
      </c>
      <c r="S386" s="161" t="s">
        <v>41</v>
      </c>
      <c r="T386" s="161">
        <v>17</v>
      </c>
      <c r="U386" s="162" t="s">
        <v>164</v>
      </c>
      <c r="V386" s="435"/>
      <c r="X386" s="159">
        <v>0</v>
      </c>
      <c r="Y386" s="159"/>
      <c r="AD386" s="176">
        <f>X386</f>
        <v>0</v>
      </c>
      <c r="AJ386" s="644"/>
    </row>
    <row r="387" spans="1:77" s="647" customFormat="1" ht="11.25" customHeight="1">
      <c r="B387" s="661" t="s">
        <v>291</v>
      </c>
      <c r="C387" s="648">
        <v>44655</v>
      </c>
      <c r="D387" s="648">
        <v>44657</v>
      </c>
      <c r="E387" s="649" t="s">
        <v>501</v>
      </c>
      <c r="F387" s="647" t="s">
        <v>502</v>
      </c>
      <c r="G387" s="650">
        <v>4139</v>
      </c>
      <c r="H387" s="647" t="s">
        <v>503</v>
      </c>
      <c r="I387" s="647" t="s">
        <v>141</v>
      </c>
      <c r="J387" s="651">
        <v>11610.18</v>
      </c>
      <c r="L387" s="651">
        <v>8.91</v>
      </c>
      <c r="M387" s="651">
        <v>8</v>
      </c>
      <c r="N387" s="652">
        <v>0</v>
      </c>
      <c r="O387" s="653">
        <v>0.3</v>
      </c>
      <c r="P387" s="653"/>
      <c r="Q387" s="652">
        <v>0</v>
      </c>
      <c r="R387" s="647" t="s">
        <v>257</v>
      </c>
      <c r="S387" s="654" t="s">
        <v>74</v>
      </c>
      <c r="T387" s="654">
        <v>32</v>
      </c>
      <c r="U387" s="655" t="s">
        <v>164</v>
      </c>
      <c r="V387" s="656"/>
      <c r="X387" s="652">
        <v>0</v>
      </c>
      <c r="Y387" s="652"/>
      <c r="AI387" s="647">
        <v>0</v>
      </c>
      <c r="AJ387" s="657"/>
      <c r="AK387" s="658"/>
    </row>
    <row r="388" spans="1:77" s="647" customFormat="1" ht="11.25" customHeight="1">
      <c r="B388" s="661" t="s">
        <v>291</v>
      </c>
      <c r="C388" s="648"/>
      <c r="D388" s="648"/>
      <c r="E388" s="649" t="s">
        <v>501</v>
      </c>
      <c r="F388" s="647" t="s">
        <v>502</v>
      </c>
      <c r="G388" s="650">
        <v>4139</v>
      </c>
      <c r="H388" s="647" t="s">
        <v>99</v>
      </c>
      <c r="I388" s="647" t="s">
        <v>141</v>
      </c>
      <c r="J388" s="651">
        <v>32620.71</v>
      </c>
      <c r="L388" s="651">
        <v>28.7</v>
      </c>
      <c r="M388" s="651">
        <v>28</v>
      </c>
      <c r="N388" s="652">
        <v>3262</v>
      </c>
      <c r="O388" s="653">
        <v>0.3</v>
      </c>
      <c r="P388" s="653"/>
      <c r="Q388" s="652">
        <v>0</v>
      </c>
      <c r="R388" s="647" t="s">
        <v>257</v>
      </c>
      <c r="S388" s="654" t="s">
        <v>74</v>
      </c>
      <c r="T388" s="654">
        <v>32</v>
      </c>
      <c r="U388" s="655" t="s">
        <v>164</v>
      </c>
      <c r="V388" s="656"/>
      <c r="X388" s="652">
        <v>0</v>
      </c>
      <c r="Y388" s="652"/>
      <c r="AI388" s="647">
        <v>0</v>
      </c>
      <c r="AJ388" s="657"/>
      <c r="AK388" s="658"/>
    </row>
    <row r="389" spans="1:77" s="647" customFormat="1" ht="11.25" customHeight="1">
      <c r="B389" s="661" t="s">
        <v>291</v>
      </c>
      <c r="C389" s="648"/>
      <c r="D389" s="648"/>
      <c r="E389" s="649" t="s">
        <v>501</v>
      </c>
      <c r="F389" s="647" t="s">
        <v>502</v>
      </c>
      <c r="G389" s="650">
        <v>4139</v>
      </c>
      <c r="H389" s="647" t="s">
        <v>183</v>
      </c>
      <c r="I389" s="647" t="s">
        <v>141</v>
      </c>
      <c r="J389" s="651">
        <v>8062.59</v>
      </c>
      <c r="L389" s="651">
        <v>7.7</v>
      </c>
      <c r="M389" s="651">
        <v>7</v>
      </c>
      <c r="N389" s="652">
        <v>1163</v>
      </c>
      <c r="O389" s="653">
        <v>0.3</v>
      </c>
      <c r="P389" s="653"/>
      <c r="Q389" s="652">
        <v>0</v>
      </c>
      <c r="R389" s="647" t="s">
        <v>257</v>
      </c>
      <c r="S389" s="654" t="s">
        <v>74</v>
      </c>
      <c r="T389" s="654">
        <v>32</v>
      </c>
      <c r="U389" s="655" t="s">
        <v>164</v>
      </c>
      <c r="V389" s="656"/>
      <c r="X389" s="652">
        <v>0</v>
      </c>
      <c r="Y389" s="652"/>
      <c r="AI389" s="647">
        <v>0</v>
      </c>
      <c r="AJ389" s="657"/>
      <c r="AK389" s="658"/>
    </row>
    <row r="390" spans="1:77" s="291" customFormat="1" ht="11.25" customHeight="1">
      <c r="A390" s="379" t="s">
        <v>3893</v>
      </c>
      <c r="B390" s="380" t="s">
        <v>291</v>
      </c>
      <c r="C390" s="381"/>
      <c r="D390" s="381"/>
      <c r="E390" s="382" t="s">
        <v>504</v>
      </c>
      <c r="F390" s="379" t="s">
        <v>505</v>
      </c>
      <c r="G390" s="383">
        <v>3643</v>
      </c>
      <c r="H390" s="379" t="s">
        <v>183</v>
      </c>
      <c r="I390" s="379" t="s">
        <v>703</v>
      </c>
      <c r="J390" s="385">
        <v>12820.5</v>
      </c>
      <c r="K390" s="379"/>
      <c r="L390" s="385">
        <v>21</v>
      </c>
      <c r="M390" s="385">
        <v>21</v>
      </c>
      <c r="N390" s="386">
        <v>1923.075</v>
      </c>
      <c r="O390" s="387">
        <v>0.15</v>
      </c>
      <c r="P390" s="387"/>
      <c r="Q390" s="386">
        <v>3493.5</v>
      </c>
      <c r="R390" s="379" t="s">
        <v>69</v>
      </c>
      <c r="S390" s="388" t="s">
        <v>41</v>
      </c>
      <c r="T390" s="388">
        <v>86</v>
      </c>
      <c r="U390" s="389" t="s">
        <v>164</v>
      </c>
      <c r="V390" s="433"/>
      <c r="W390" s="379"/>
      <c r="X390" s="386">
        <v>3493.5</v>
      </c>
      <c r="Y390" s="386"/>
      <c r="Z390" s="379"/>
      <c r="AA390" s="379"/>
      <c r="AB390" s="379"/>
      <c r="AC390" s="379"/>
      <c r="AD390" s="379"/>
      <c r="AE390" s="379"/>
      <c r="AF390" s="379"/>
      <c r="AG390" s="379"/>
      <c r="AH390" s="379"/>
      <c r="AI390" s="391"/>
      <c r="AJ390" s="416">
        <v>3493.5</v>
      </c>
      <c r="AK390" s="379"/>
      <c r="AL390" s="379"/>
      <c r="AM390" s="379"/>
      <c r="AN390" s="379"/>
      <c r="AO390" s="379"/>
      <c r="AP390" s="379"/>
      <c r="AQ390" s="379"/>
      <c r="AR390" s="379"/>
      <c r="AS390" s="379"/>
      <c r="AT390" s="379"/>
      <c r="AU390" s="379"/>
      <c r="AV390" s="379"/>
      <c r="AW390" s="379"/>
      <c r="AX390" s="379"/>
      <c r="AY390" s="379"/>
      <c r="AZ390" s="379"/>
      <c r="BA390" s="379"/>
      <c r="BB390" s="379"/>
      <c r="BC390" s="379"/>
      <c r="BD390" s="379"/>
      <c r="BE390" s="379"/>
      <c r="BF390" s="379"/>
      <c r="BG390" s="379"/>
      <c r="BH390" s="379"/>
      <c r="BI390" s="379"/>
      <c r="BJ390" s="379"/>
      <c r="BK390" s="379"/>
      <c r="BL390" s="379"/>
      <c r="BM390" s="379"/>
      <c r="BN390" s="379"/>
      <c r="BO390" s="379"/>
      <c r="BP390" s="379"/>
      <c r="BQ390" s="379"/>
      <c r="BR390" s="379"/>
      <c r="BS390" s="379"/>
      <c r="BT390" s="379"/>
      <c r="BU390" s="379"/>
      <c r="BV390" s="379"/>
      <c r="BW390" s="379"/>
      <c r="BX390" s="379"/>
      <c r="BY390" s="379"/>
    </row>
    <row r="391" spans="1:77" s="291" customFormat="1" ht="11.25" customHeight="1">
      <c r="A391" s="291" t="s">
        <v>3893</v>
      </c>
      <c r="B391" s="310" t="s">
        <v>291</v>
      </c>
      <c r="C391" s="292">
        <v>44653</v>
      </c>
      <c r="D391" s="292">
        <v>44657</v>
      </c>
      <c r="E391" s="293" t="s">
        <v>504</v>
      </c>
      <c r="F391" s="291" t="s">
        <v>505</v>
      </c>
      <c r="G391" s="294">
        <v>3643</v>
      </c>
      <c r="H391" s="291" t="s">
        <v>442</v>
      </c>
      <c r="I391" s="291" t="s">
        <v>703</v>
      </c>
      <c r="J391" s="296">
        <v>10073.14</v>
      </c>
      <c r="L391" s="296">
        <v>11</v>
      </c>
      <c r="M391" s="296">
        <v>11</v>
      </c>
      <c r="N391" s="297">
        <v>4029.2559999999999</v>
      </c>
      <c r="O391" s="298">
        <v>0.15</v>
      </c>
      <c r="P391" s="298"/>
      <c r="Q391" s="297">
        <v>6303.26</v>
      </c>
      <c r="R391" s="291" t="s">
        <v>69</v>
      </c>
      <c r="S391" s="299" t="s">
        <v>41</v>
      </c>
      <c r="T391" s="299">
        <v>86</v>
      </c>
      <c r="U391" s="300" t="s">
        <v>164</v>
      </c>
      <c r="V391" s="333"/>
      <c r="X391" s="297">
        <v>6303.26</v>
      </c>
      <c r="Y391" s="297"/>
      <c r="AH391" s="297">
        <f>X391</f>
        <v>6303.26</v>
      </c>
      <c r="AI391" s="311"/>
      <c r="AJ391" s="468"/>
    </row>
    <row r="392" spans="1:77" s="291" customFormat="1" ht="11.25" customHeight="1">
      <c r="A392" s="291" t="s">
        <v>3893</v>
      </c>
      <c r="B392" s="310" t="s">
        <v>291</v>
      </c>
      <c r="C392" s="292"/>
      <c r="D392" s="292"/>
      <c r="E392" s="293" t="s">
        <v>504</v>
      </c>
      <c r="F392" s="291" t="s">
        <v>505</v>
      </c>
      <c r="G392" s="294">
        <v>3643</v>
      </c>
      <c r="H392" s="291" t="s">
        <v>27</v>
      </c>
      <c r="I392" s="291" t="s">
        <v>703</v>
      </c>
      <c r="J392" s="296">
        <v>17468</v>
      </c>
      <c r="L392" s="296">
        <v>16</v>
      </c>
      <c r="M392" s="296">
        <v>16</v>
      </c>
      <c r="N392" s="297">
        <v>2620.1999999999998</v>
      </c>
      <c r="O392" s="298">
        <v>0.15</v>
      </c>
      <c r="P392" s="298"/>
      <c r="Q392" s="297">
        <v>3947.86</v>
      </c>
      <c r="R392" s="291" t="s">
        <v>69</v>
      </c>
      <c r="S392" s="299" t="s">
        <v>41</v>
      </c>
      <c r="T392" s="299">
        <v>86</v>
      </c>
      <c r="U392" s="300" t="s">
        <v>164</v>
      </c>
      <c r="V392" s="333"/>
      <c r="X392" s="297">
        <v>3947.86</v>
      </c>
      <c r="Y392" s="297"/>
      <c r="AH392" s="297">
        <f>X392</f>
        <v>3947.86</v>
      </c>
      <c r="AI392" s="311"/>
      <c r="AJ392" s="468"/>
    </row>
    <row r="393" spans="1:77" s="291" customFormat="1" ht="11.25" customHeight="1">
      <c r="B393" s="310" t="s">
        <v>291</v>
      </c>
      <c r="C393" s="292"/>
      <c r="D393" s="292"/>
      <c r="E393" s="293" t="s">
        <v>504</v>
      </c>
      <c r="F393" s="291" t="s">
        <v>505</v>
      </c>
      <c r="G393" s="294">
        <v>3643</v>
      </c>
      <c r="H393" s="291" t="s">
        <v>295</v>
      </c>
      <c r="I393" s="291" t="s">
        <v>703</v>
      </c>
      <c r="J393" s="296">
        <v>24272</v>
      </c>
      <c r="L393" s="296">
        <v>37</v>
      </c>
      <c r="M393" s="296">
        <v>37</v>
      </c>
      <c r="N393" s="297">
        <v>2427.1999999999998</v>
      </c>
      <c r="O393" s="298">
        <v>0.15</v>
      </c>
      <c r="P393" s="298"/>
      <c r="Q393" s="297">
        <v>0</v>
      </c>
      <c r="R393" s="291" t="s">
        <v>69</v>
      </c>
      <c r="S393" s="299" t="s">
        <v>41</v>
      </c>
      <c r="T393" s="299">
        <v>86</v>
      </c>
      <c r="U393" s="300" t="s">
        <v>164</v>
      </c>
      <c r="V393" s="333"/>
      <c r="W393" s="291" t="s">
        <v>3901</v>
      </c>
      <c r="X393" s="297">
        <v>0</v>
      </c>
      <c r="Y393" s="297"/>
      <c r="AH393" s="291">
        <f>X393</f>
        <v>0</v>
      </c>
      <c r="AI393" s="311"/>
      <c r="AJ393" s="468"/>
    </row>
    <row r="394" spans="1:77" s="291" customFormat="1" ht="11.25" customHeight="1">
      <c r="B394" s="310" t="s">
        <v>291</v>
      </c>
      <c r="C394" s="292"/>
      <c r="D394" s="292"/>
      <c r="E394" s="293" t="s">
        <v>504</v>
      </c>
      <c r="F394" s="291" t="s">
        <v>505</v>
      </c>
      <c r="G394" s="294">
        <v>3643</v>
      </c>
      <c r="H394" s="291" t="s">
        <v>99</v>
      </c>
      <c r="I394" s="291" t="s">
        <v>703</v>
      </c>
      <c r="J394" s="296">
        <v>79115.839999999997</v>
      </c>
      <c r="L394" s="296">
        <v>108.99</v>
      </c>
      <c r="M394" s="296">
        <v>108</v>
      </c>
      <c r="N394" s="297">
        <v>7839.72</v>
      </c>
      <c r="O394" s="298">
        <v>0.15</v>
      </c>
      <c r="P394" s="298"/>
      <c r="Q394" s="297">
        <v>0</v>
      </c>
      <c r="R394" s="291" t="s">
        <v>69</v>
      </c>
      <c r="S394" s="299" t="s">
        <v>41</v>
      </c>
      <c r="T394" s="299">
        <v>86</v>
      </c>
      <c r="U394" s="300" t="s">
        <v>164</v>
      </c>
      <c r="V394" s="333"/>
      <c r="W394" s="291" t="s">
        <v>3901</v>
      </c>
      <c r="X394" s="297">
        <v>0</v>
      </c>
      <c r="Y394" s="297"/>
      <c r="AH394" s="291">
        <f>X394</f>
        <v>0</v>
      </c>
      <c r="AI394" s="311"/>
      <c r="AJ394" s="468"/>
    </row>
    <row r="395" spans="1:77" s="291" customFormat="1" ht="11.25" customHeight="1">
      <c r="B395" s="310" t="s">
        <v>291</v>
      </c>
      <c r="C395" s="292">
        <v>44655</v>
      </c>
      <c r="D395" s="292">
        <v>44656</v>
      </c>
      <c r="E395" s="293" t="s">
        <v>506</v>
      </c>
      <c r="F395" s="291" t="s">
        <v>473</v>
      </c>
      <c r="G395" s="294" t="s">
        <v>474</v>
      </c>
      <c r="H395" s="291" t="s">
        <v>27</v>
      </c>
      <c r="I395" s="291" t="s">
        <v>141</v>
      </c>
      <c r="J395" s="296">
        <v>58281.35</v>
      </c>
      <c r="L395" s="296">
        <v>35.46</v>
      </c>
      <c r="M395" s="296">
        <v>35.46</v>
      </c>
      <c r="N395" s="297"/>
      <c r="O395" s="298">
        <v>0.25</v>
      </c>
      <c r="P395" s="298"/>
      <c r="Q395" s="297">
        <v>0</v>
      </c>
      <c r="R395" s="291" t="s">
        <v>35</v>
      </c>
      <c r="S395" s="299" t="s">
        <v>41</v>
      </c>
      <c r="T395" s="299">
        <v>16</v>
      </c>
      <c r="U395" s="300" t="s">
        <v>164</v>
      </c>
      <c r="V395" s="333"/>
      <c r="X395" s="297">
        <v>0</v>
      </c>
      <c r="Y395" s="297"/>
      <c r="AH395" s="291">
        <f>X395</f>
        <v>0</v>
      </c>
      <c r="AI395" s="311"/>
      <c r="AJ395" s="468"/>
    </row>
    <row r="396" spans="1:77" s="153" customFormat="1" ht="11.25" customHeight="1">
      <c r="B396" s="154" t="s">
        <v>291</v>
      </c>
      <c r="C396" s="155">
        <v>44656</v>
      </c>
      <c r="D396" s="155">
        <v>44657</v>
      </c>
      <c r="E396" s="156" t="s">
        <v>508</v>
      </c>
      <c r="F396" s="153" t="s">
        <v>509</v>
      </c>
      <c r="G396" s="157">
        <v>3568</v>
      </c>
      <c r="H396" s="153" t="s">
        <v>510</v>
      </c>
      <c r="I396" s="153" t="s">
        <v>141</v>
      </c>
      <c r="J396" s="158">
        <v>84726.399999999994</v>
      </c>
      <c r="L396" s="158">
        <v>73.040000000000006</v>
      </c>
      <c r="M396" s="158">
        <v>73.040000000000006</v>
      </c>
      <c r="N396" s="159"/>
      <c r="O396" s="160">
        <v>0.15</v>
      </c>
      <c r="P396" s="160"/>
      <c r="Q396" s="159">
        <v>0</v>
      </c>
      <c r="R396" s="153" t="s">
        <v>35</v>
      </c>
      <c r="S396" s="161" t="s">
        <v>41</v>
      </c>
      <c r="T396" s="161">
        <v>17</v>
      </c>
      <c r="U396" s="162" t="s">
        <v>164</v>
      </c>
      <c r="V396" s="435"/>
      <c r="W396" s="153" t="s">
        <v>1860</v>
      </c>
      <c r="X396" s="159">
        <v>0</v>
      </c>
      <c r="Y396" s="159"/>
      <c r="AD396" s="176">
        <f>X396</f>
        <v>0</v>
      </c>
      <c r="AJ396" s="644"/>
    </row>
    <row r="397" spans="1:77" s="153" customFormat="1" ht="11.25" customHeight="1">
      <c r="B397" s="154" t="s">
        <v>291</v>
      </c>
      <c r="C397" s="155"/>
      <c r="D397" s="155"/>
      <c r="E397" s="156" t="s">
        <v>508</v>
      </c>
      <c r="F397" s="153" t="s">
        <v>509</v>
      </c>
      <c r="G397" s="157">
        <v>3568</v>
      </c>
      <c r="H397" s="153" t="s">
        <v>140</v>
      </c>
      <c r="I397" s="153" t="s">
        <v>141</v>
      </c>
      <c r="J397" s="158">
        <v>9438.86</v>
      </c>
      <c r="L397" s="158">
        <v>7.41</v>
      </c>
      <c r="M397" s="158">
        <v>7.41</v>
      </c>
      <c r="N397" s="159"/>
      <c r="O397" s="160">
        <v>0.15</v>
      </c>
      <c r="P397" s="160"/>
      <c r="Q397" s="159">
        <v>0</v>
      </c>
      <c r="R397" s="153" t="s">
        <v>35</v>
      </c>
      <c r="S397" s="161" t="s">
        <v>41</v>
      </c>
      <c r="T397" s="161">
        <v>17</v>
      </c>
      <c r="U397" s="162" t="s">
        <v>164</v>
      </c>
      <c r="V397" s="435"/>
      <c r="W397" s="153" t="s">
        <v>1860</v>
      </c>
      <c r="X397" s="159">
        <v>0</v>
      </c>
      <c r="Y397" s="159"/>
      <c r="AD397" s="176">
        <f>X397</f>
        <v>0</v>
      </c>
      <c r="AJ397" s="644"/>
    </row>
    <row r="398" spans="1:77" s="153" customFormat="1" ht="11.25" customHeight="1">
      <c r="B398" s="154" t="s">
        <v>291</v>
      </c>
      <c r="C398" s="155"/>
      <c r="D398" s="155"/>
      <c r="E398" s="156" t="s">
        <v>508</v>
      </c>
      <c r="F398" s="153" t="s">
        <v>509</v>
      </c>
      <c r="G398" s="157">
        <v>3568</v>
      </c>
      <c r="H398" s="153" t="s">
        <v>27</v>
      </c>
      <c r="I398" s="153" t="s">
        <v>141</v>
      </c>
      <c r="J398" s="158">
        <v>18564.349999999999</v>
      </c>
      <c r="L398" s="158">
        <v>17.11</v>
      </c>
      <c r="M398" s="158">
        <v>17.11</v>
      </c>
      <c r="N398" s="159"/>
      <c r="O398" s="160">
        <v>0.15</v>
      </c>
      <c r="P398" s="160"/>
      <c r="Q398" s="159">
        <v>0</v>
      </c>
      <c r="R398" s="153" t="s">
        <v>35</v>
      </c>
      <c r="S398" s="161" t="s">
        <v>41</v>
      </c>
      <c r="T398" s="161">
        <v>17</v>
      </c>
      <c r="U398" s="162" t="s">
        <v>164</v>
      </c>
      <c r="V398" s="435"/>
      <c r="W398" s="153" t="s">
        <v>1860</v>
      </c>
      <c r="X398" s="159">
        <v>0</v>
      </c>
      <c r="Y398" s="159"/>
      <c r="AD398" s="176">
        <f>X398</f>
        <v>0</v>
      </c>
      <c r="AJ398" s="644"/>
    </row>
    <row r="399" spans="1:77" s="337" customFormat="1" ht="11.25" customHeight="1">
      <c r="A399" s="379"/>
      <c r="B399" s="380" t="s">
        <v>291</v>
      </c>
      <c r="C399" s="381"/>
      <c r="D399" s="381"/>
      <c r="E399" s="382" t="s">
        <v>512</v>
      </c>
      <c r="F399" s="379" t="s">
        <v>511</v>
      </c>
      <c r="G399" s="383">
        <v>4256</v>
      </c>
      <c r="H399" s="379" t="s">
        <v>163</v>
      </c>
      <c r="I399" s="379" t="s">
        <v>141</v>
      </c>
      <c r="J399" s="385">
        <v>7257.6</v>
      </c>
      <c r="K399" s="379"/>
      <c r="L399" s="385">
        <v>9.4499999999999993</v>
      </c>
      <c r="M399" s="385">
        <v>9.4499999999999993</v>
      </c>
      <c r="N399" s="386"/>
      <c r="O399" s="387">
        <v>0.2</v>
      </c>
      <c r="P399" s="387"/>
      <c r="Q399" s="386">
        <v>0</v>
      </c>
      <c r="R399" s="379" t="s">
        <v>35</v>
      </c>
      <c r="S399" s="388" t="s">
        <v>41</v>
      </c>
      <c r="T399" s="388">
        <v>16</v>
      </c>
      <c r="U399" s="389" t="s">
        <v>164</v>
      </c>
      <c r="V399" s="433"/>
      <c r="W399" s="379"/>
      <c r="X399" s="386">
        <v>0</v>
      </c>
      <c r="Y399" s="386"/>
      <c r="Z399" s="379"/>
      <c r="AA399" s="379"/>
      <c r="AB399" s="379"/>
      <c r="AC399" s="379"/>
      <c r="AD399" s="379"/>
      <c r="AE399" s="379"/>
      <c r="AF399" s="379"/>
      <c r="AG399" s="379"/>
      <c r="AH399" s="379"/>
      <c r="AI399" s="379"/>
      <c r="AJ399" s="390">
        <v>0</v>
      </c>
      <c r="AK399" s="379"/>
      <c r="AL399" s="379"/>
      <c r="AM399" s="379"/>
      <c r="AN399" s="379"/>
      <c r="AO399" s="379"/>
      <c r="AP399" s="379"/>
      <c r="AQ399" s="379"/>
      <c r="AR399" s="379"/>
      <c r="AS399" s="379"/>
      <c r="AT399" s="379"/>
      <c r="AU399" s="379"/>
      <c r="AV399" s="379"/>
      <c r="AW399" s="379"/>
      <c r="AX399" s="379"/>
      <c r="AY399" s="379"/>
      <c r="AZ399" s="379"/>
      <c r="BA399" s="379"/>
      <c r="BB399" s="379"/>
      <c r="BC399" s="379"/>
      <c r="BD399" s="379"/>
      <c r="BE399" s="379"/>
      <c r="BF399" s="379"/>
      <c r="BG399" s="379"/>
      <c r="BH399" s="379"/>
      <c r="BI399" s="379"/>
      <c r="BJ399" s="379"/>
      <c r="BK399" s="379"/>
      <c r="BL399" s="379"/>
      <c r="BM399" s="379"/>
      <c r="BN399" s="379"/>
      <c r="BO399" s="379"/>
      <c r="BP399" s="379"/>
      <c r="BQ399" s="379"/>
      <c r="BR399" s="379"/>
      <c r="BS399" s="379"/>
      <c r="BT399" s="379"/>
      <c r="BU399" s="379"/>
      <c r="BV399" s="379"/>
      <c r="BW399" s="379"/>
      <c r="BX399" s="379"/>
      <c r="BY399" s="379"/>
    </row>
    <row r="400" spans="1:77" s="647" customFormat="1" ht="11.25" customHeight="1">
      <c r="B400" s="661" t="s">
        <v>291</v>
      </c>
      <c r="C400" s="648">
        <v>44655</v>
      </c>
      <c r="D400" s="648">
        <v>44657</v>
      </c>
      <c r="E400" s="649" t="s">
        <v>512</v>
      </c>
      <c r="F400" s="647" t="s">
        <v>511</v>
      </c>
      <c r="G400" s="650">
        <v>4256</v>
      </c>
      <c r="H400" s="647" t="s">
        <v>99</v>
      </c>
      <c r="I400" s="647" t="s">
        <v>141</v>
      </c>
      <c r="J400" s="651">
        <v>30784.799999999999</v>
      </c>
      <c r="L400" s="651">
        <v>23.08</v>
      </c>
      <c r="M400" s="651">
        <v>23.21</v>
      </c>
      <c r="N400" s="652"/>
      <c r="O400" s="653">
        <v>0.2</v>
      </c>
      <c r="P400" s="653"/>
      <c r="Q400" s="652">
        <v>0</v>
      </c>
      <c r="R400" s="647" t="s">
        <v>35</v>
      </c>
      <c r="S400" s="654" t="s">
        <v>41</v>
      </c>
      <c r="T400" s="654">
        <v>16</v>
      </c>
      <c r="U400" s="655" t="s">
        <v>164</v>
      </c>
      <c r="V400" s="656"/>
      <c r="X400" s="652">
        <v>0</v>
      </c>
      <c r="Y400" s="652"/>
      <c r="AI400" s="647">
        <v>0</v>
      </c>
      <c r="AJ400" s="657"/>
      <c r="AK400" s="658"/>
    </row>
    <row r="401" spans="2:37" s="647" customFormat="1" ht="11.25" customHeight="1">
      <c r="B401" s="661" t="s">
        <v>291</v>
      </c>
      <c r="C401" s="648"/>
      <c r="D401" s="648"/>
      <c r="E401" s="649" t="s">
        <v>512</v>
      </c>
      <c r="F401" s="647" t="s">
        <v>511</v>
      </c>
      <c r="G401" s="650">
        <v>4256</v>
      </c>
      <c r="H401" s="647" t="s">
        <v>27</v>
      </c>
      <c r="I401" s="647" t="s">
        <v>141</v>
      </c>
      <c r="J401" s="651">
        <v>7676.6</v>
      </c>
      <c r="L401" s="651">
        <v>10.9</v>
      </c>
      <c r="M401" s="651">
        <v>10.44</v>
      </c>
      <c r="N401" s="652"/>
      <c r="O401" s="653">
        <v>0.2</v>
      </c>
      <c r="P401" s="653"/>
      <c r="Q401" s="652">
        <v>0</v>
      </c>
      <c r="R401" s="647" t="s">
        <v>35</v>
      </c>
      <c r="S401" s="654" t="s">
        <v>41</v>
      </c>
      <c r="T401" s="654">
        <v>16</v>
      </c>
      <c r="U401" s="655" t="s">
        <v>164</v>
      </c>
      <c r="V401" s="656"/>
      <c r="X401" s="652">
        <v>0</v>
      </c>
      <c r="Y401" s="652"/>
      <c r="AI401" s="647">
        <v>0</v>
      </c>
      <c r="AJ401" s="657"/>
      <c r="AK401" s="658"/>
    </row>
    <row r="402" spans="2:37" s="473" customFormat="1" ht="11.25" customHeight="1">
      <c r="B402" s="486" t="s">
        <v>291</v>
      </c>
      <c r="C402" s="487">
        <v>44655</v>
      </c>
      <c r="D402" s="487">
        <v>44655</v>
      </c>
      <c r="E402" s="488" t="s">
        <v>513</v>
      </c>
      <c r="F402" s="473" t="s">
        <v>516</v>
      </c>
      <c r="G402" s="489" t="s">
        <v>514</v>
      </c>
      <c r="H402" s="473" t="s">
        <v>99</v>
      </c>
      <c r="I402" s="473" t="s">
        <v>141</v>
      </c>
      <c r="J402" s="490">
        <v>7420</v>
      </c>
      <c r="L402" s="490">
        <v>7</v>
      </c>
      <c r="M402" s="490">
        <v>7</v>
      </c>
      <c r="N402" s="492">
        <v>3932.6</v>
      </c>
      <c r="O402" s="493">
        <v>0.25</v>
      </c>
      <c r="P402" s="493"/>
      <c r="Q402" s="492">
        <v>0</v>
      </c>
      <c r="R402" s="473" t="s">
        <v>281</v>
      </c>
      <c r="S402" s="481" t="s">
        <v>41</v>
      </c>
      <c r="T402" s="481">
        <v>23</v>
      </c>
      <c r="U402" s="494" t="s">
        <v>164</v>
      </c>
      <c r="V402" s="495"/>
      <c r="X402" s="492">
        <v>0</v>
      </c>
      <c r="Y402" s="492"/>
      <c r="AJ402" s="485"/>
      <c r="AK402" s="473">
        <v>0</v>
      </c>
    </row>
    <row r="403" spans="2:37" s="473" customFormat="1" ht="11.25" customHeight="1">
      <c r="B403" s="486" t="s">
        <v>291</v>
      </c>
      <c r="C403" s="487"/>
      <c r="D403" s="487"/>
      <c r="E403" s="488" t="s">
        <v>513</v>
      </c>
      <c r="F403" s="473" t="s">
        <v>516</v>
      </c>
      <c r="G403" s="489" t="s">
        <v>514</v>
      </c>
      <c r="H403" s="473" t="s">
        <v>163</v>
      </c>
      <c r="I403" s="473" t="s">
        <v>141</v>
      </c>
      <c r="J403" s="490">
        <v>4313.75</v>
      </c>
      <c r="L403" s="490">
        <v>5</v>
      </c>
      <c r="M403" s="490">
        <v>5</v>
      </c>
      <c r="N403" s="492">
        <v>0</v>
      </c>
      <c r="O403" s="493">
        <v>0.25</v>
      </c>
      <c r="P403" s="493"/>
      <c r="Q403" s="492">
        <v>0</v>
      </c>
      <c r="R403" s="473" t="s">
        <v>281</v>
      </c>
      <c r="S403" s="481" t="s">
        <v>41</v>
      </c>
      <c r="T403" s="481">
        <v>23</v>
      </c>
      <c r="U403" s="494" t="s">
        <v>164</v>
      </c>
      <c r="V403" s="495"/>
      <c r="X403" s="492">
        <v>0</v>
      </c>
      <c r="Y403" s="492"/>
      <c r="AJ403" s="485"/>
      <c r="AK403" s="473">
        <v>0</v>
      </c>
    </row>
    <row r="404" spans="2:37" s="291" customFormat="1" ht="11.25" customHeight="1">
      <c r="B404" s="310" t="s">
        <v>291</v>
      </c>
      <c r="C404" s="292">
        <v>44655</v>
      </c>
      <c r="D404" s="292">
        <v>44657</v>
      </c>
      <c r="E404" s="293" t="s">
        <v>515</v>
      </c>
      <c r="F404" s="291" t="s">
        <v>146</v>
      </c>
      <c r="G404" s="294">
        <v>3793</v>
      </c>
      <c r="H404" s="291" t="s">
        <v>27</v>
      </c>
      <c r="I404" s="291" t="s">
        <v>141</v>
      </c>
      <c r="J404" s="296">
        <v>7877.73</v>
      </c>
      <c r="L404" s="296">
        <v>8.0500000000000007</v>
      </c>
      <c r="M404" s="296">
        <v>8.0500000000000007</v>
      </c>
      <c r="N404" s="297"/>
      <c r="O404" s="298">
        <v>0.2</v>
      </c>
      <c r="P404" s="298"/>
      <c r="Q404" s="297">
        <v>0</v>
      </c>
      <c r="R404" s="291" t="s">
        <v>146</v>
      </c>
      <c r="S404" s="299" t="s">
        <v>74</v>
      </c>
      <c r="T404" s="299">
        <v>32</v>
      </c>
      <c r="U404" s="300" t="s">
        <v>164</v>
      </c>
      <c r="V404" s="333"/>
      <c r="W404" s="291" t="s">
        <v>3886</v>
      </c>
      <c r="X404" s="297">
        <v>0</v>
      </c>
      <c r="Y404" s="297"/>
      <c r="AH404" s="291">
        <f>X404</f>
        <v>0</v>
      </c>
      <c r="AI404" s="311"/>
      <c r="AJ404" s="468"/>
    </row>
    <row r="405" spans="2:37" s="291" customFormat="1" ht="11.25" customHeight="1">
      <c r="B405" s="310" t="s">
        <v>291</v>
      </c>
      <c r="C405" s="292"/>
      <c r="D405" s="292"/>
      <c r="E405" s="293" t="s">
        <v>515</v>
      </c>
      <c r="F405" s="291" t="s">
        <v>146</v>
      </c>
      <c r="G405" s="294">
        <v>3793</v>
      </c>
      <c r="H405" s="291" t="s">
        <v>183</v>
      </c>
      <c r="I405" s="291" t="s">
        <v>141</v>
      </c>
      <c r="J405" s="296">
        <v>7751.24</v>
      </c>
      <c r="L405" s="296">
        <v>6.58</v>
      </c>
      <c r="M405" s="296">
        <v>5.5</v>
      </c>
      <c r="N405" s="297"/>
      <c r="O405" s="298">
        <v>0.2</v>
      </c>
      <c r="P405" s="298"/>
      <c r="Q405" s="297">
        <v>0</v>
      </c>
      <c r="R405" s="291" t="s">
        <v>146</v>
      </c>
      <c r="S405" s="299" t="s">
        <v>74</v>
      </c>
      <c r="T405" s="299">
        <v>32</v>
      </c>
      <c r="U405" s="300" t="s">
        <v>164</v>
      </c>
      <c r="V405" s="333"/>
      <c r="W405" s="291" t="s">
        <v>3886</v>
      </c>
      <c r="X405" s="297">
        <v>0</v>
      </c>
      <c r="Y405" s="297"/>
      <c r="AH405" s="291">
        <f>X405</f>
        <v>0</v>
      </c>
      <c r="AI405" s="311"/>
      <c r="AJ405" s="468"/>
    </row>
    <row r="406" spans="2:37" s="647" customFormat="1" ht="11.25" customHeight="1">
      <c r="B406" s="661" t="s">
        <v>291</v>
      </c>
      <c r="C406" s="648">
        <v>44655</v>
      </c>
      <c r="D406" s="648">
        <v>44657</v>
      </c>
      <c r="E406" s="649" t="s">
        <v>517</v>
      </c>
      <c r="F406" s="647" t="s">
        <v>44</v>
      </c>
      <c r="G406" s="650">
        <v>3991</v>
      </c>
      <c r="H406" s="647" t="s">
        <v>140</v>
      </c>
      <c r="I406" s="647" t="s">
        <v>141</v>
      </c>
      <c r="J406" s="651">
        <v>43344.05</v>
      </c>
      <c r="L406" s="651">
        <v>24.72</v>
      </c>
      <c r="M406" s="651">
        <v>24.72</v>
      </c>
      <c r="N406" s="652"/>
      <c r="O406" s="653">
        <v>0.3</v>
      </c>
      <c r="P406" s="653"/>
      <c r="Q406" s="652">
        <v>0</v>
      </c>
      <c r="R406" s="647" t="s">
        <v>35</v>
      </c>
      <c r="S406" s="654" t="s">
        <v>41</v>
      </c>
      <c r="T406" s="654">
        <v>79</v>
      </c>
      <c r="U406" s="655" t="s">
        <v>164</v>
      </c>
      <c r="V406" s="656"/>
      <c r="X406" s="652">
        <v>0</v>
      </c>
      <c r="Y406" s="652"/>
      <c r="AI406" s="647">
        <f>X406</f>
        <v>0</v>
      </c>
      <c r="AJ406" s="657"/>
      <c r="AK406" s="658"/>
    </row>
    <row r="407" spans="2:37" s="647" customFormat="1" ht="11.25" customHeight="1">
      <c r="B407" s="661" t="s">
        <v>291</v>
      </c>
      <c r="C407" s="648"/>
      <c r="D407" s="648"/>
      <c r="E407" s="649" t="s">
        <v>517</v>
      </c>
      <c r="F407" s="647" t="s">
        <v>44</v>
      </c>
      <c r="G407" s="650">
        <v>3991</v>
      </c>
      <c r="H407" s="647" t="s">
        <v>99</v>
      </c>
      <c r="I407" s="647" t="s">
        <v>141</v>
      </c>
      <c r="J407" s="651">
        <v>89039.27</v>
      </c>
      <c r="L407" s="651">
        <v>59.79</v>
      </c>
      <c r="M407" s="651">
        <v>59.79</v>
      </c>
      <c r="N407" s="652"/>
      <c r="O407" s="653">
        <v>0.3</v>
      </c>
      <c r="P407" s="653"/>
      <c r="Q407" s="652">
        <v>0</v>
      </c>
      <c r="R407" s="647" t="s">
        <v>35</v>
      </c>
      <c r="S407" s="654" t="s">
        <v>41</v>
      </c>
      <c r="T407" s="654">
        <v>79</v>
      </c>
      <c r="U407" s="655" t="s">
        <v>164</v>
      </c>
      <c r="V407" s="656"/>
      <c r="X407" s="652">
        <v>0</v>
      </c>
      <c r="Y407" s="652"/>
      <c r="AI407" s="647">
        <f>X407</f>
        <v>0</v>
      </c>
      <c r="AJ407" s="657"/>
      <c r="AK407" s="658"/>
    </row>
    <row r="408" spans="2:37" s="153" customFormat="1" ht="11.25" customHeight="1">
      <c r="B408" s="154" t="s">
        <v>291</v>
      </c>
      <c r="C408" s="155"/>
      <c r="D408" s="155"/>
      <c r="E408" s="156" t="s">
        <v>517</v>
      </c>
      <c r="F408" s="153" t="s">
        <v>44</v>
      </c>
      <c r="G408" s="157">
        <v>3991</v>
      </c>
      <c r="H408" s="153" t="s">
        <v>27</v>
      </c>
      <c r="I408" s="153" t="s">
        <v>141</v>
      </c>
      <c r="J408" s="158">
        <v>59370.05</v>
      </c>
      <c r="L408" s="158">
        <v>33.71</v>
      </c>
      <c r="M408" s="158">
        <v>33.71</v>
      </c>
      <c r="N408" s="159"/>
      <c r="O408" s="160">
        <v>0.3</v>
      </c>
      <c r="P408" s="160"/>
      <c r="Q408" s="159">
        <v>0</v>
      </c>
      <c r="R408" s="153" t="s">
        <v>35</v>
      </c>
      <c r="S408" s="161" t="s">
        <v>41</v>
      </c>
      <c r="T408" s="161">
        <v>79</v>
      </c>
      <c r="U408" s="162" t="s">
        <v>164</v>
      </c>
      <c r="V408" s="435"/>
      <c r="W408" s="153" t="s">
        <v>1892</v>
      </c>
      <c r="X408" s="159">
        <v>0</v>
      </c>
      <c r="Y408" s="159"/>
      <c r="AD408" s="176">
        <f>X408</f>
        <v>0</v>
      </c>
      <c r="AJ408" s="644"/>
    </row>
    <row r="409" spans="2:37" s="236" customFormat="1" ht="11.25" customHeight="1">
      <c r="B409" s="246" t="s">
        <v>291</v>
      </c>
      <c r="C409" s="237">
        <v>44655</v>
      </c>
      <c r="D409" s="237">
        <v>44657</v>
      </c>
      <c r="E409" s="238" t="s">
        <v>518</v>
      </c>
      <c r="F409" s="236" t="s">
        <v>519</v>
      </c>
      <c r="G409" s="239">
        <v>4486</v>
      </c>
      <c r="H409" s="236" t="s">
        <v>183</v>
      </c>
      <c r="I409" s="236" t="s">
        <v>141</v>
      </c>
      <c r="J409" s="240">
        <v>15583.85</v>
      </c>
      <c r="L409" s="240">
        <v>12.9</v>
      </c>
      <c r="M409" s="240">
        <v>12.9</v>
      </c>
      <c r="N409" s="242"/>
      <c r="O409" s="243">
        <v>0.2</v>
      </c>
      <c r="P409" s="243"/>
      <c r="Q409" s="242">
        <v>0</v>
      </c>
      <c r="R409" s="236" t="s">
        <v>128</v>
      </c>
      <c r="S409" s="244" t="s">
        <v>41</v>
      </c>
      <c r="T409" s="244">
        <v>79</v>
      </c>
      <c r="U409" s="245" t="s">
        <v>164</v>
      </c>
      <c r="V409" s="446"/>
      <c r="W409" s="236" t="s">
        <v>3546</v>
      </c>
      <c r="X409" s="242">
        <v>0</v>
      </c>
      <c r="Y409" s="242"/>
      <c r="AG409" s="236">
        <f>X409</f>
        <v>0</v>
      </c>
      <c r="AJ409" s="640"/>
    </row>
    <row r="410" spans="2:37" s="153" customFormat="1" ht="11.25" customHeight="1">
      <c r="B410" s="154" t="s">
        <v>291</v>
      </c>
      <c r="C410" s="155">
        <v>44655</v>
      </c>
      <c r="D410" s="155">
        <v>44657</v>
      </c>
      <c r="E410" s="156" t="s">
        <v>520</v>
      </c>
      <c r="F410" s="153" t="s">
        <v>521</v>
      </c>
      <c r="G410" s="157">
        <v>3518</v>
      </c>
      <c r="H410" s="153" t="s">
        <v>99</v>
      </c>
      <c r="I410" s="153" t="s">
        <v>1905</v>
      </c>
      <c r="J410" s="158">
        <v>60228.959999999999</v>
      </c>
      <c r="L410" s="158">
        <v>40.26</v>
      </c>
      <c r="M410" s="158">
        <v>40.200000000000003</v>
      </c>
      <c r="N410" s="159"/>
      <c r="O410" s="160">
        <v>0.3</v>
      </c>
      <c r="P410" s="160"/>
      <c r="Q410" s="159">
        <v>0</v>
      </c>
      <c r="R410" s="153" t="s">
        <v>35</v>
      </c>
      <c r="S410" s="161" t="s">
        <v>34</v>
      </c>
      <c r="T410" s="161">
        <v>17</v>
      </c>
      <c r="U410" s="162" t="s">
        <v>164</v>
      </c>
      <c r="V410" s="435"/>
      <c r="W410" s="153" t="s">
        <v>1859</v>
      </c>
      <c r="X410" s="159">
        <v>0</v>
      </c>
      <c r="Y410" s="159"/>
      <c r="AD410" s="176">
        <f t="shared" ref="AD410:AD415" si="8">X410</f>
        <v>0</v>
      </c>
      <c r="AJ410" s="644"/>
    </row>
    <row r="411" spans="2:37" s="153" customFormat="1" ht="11.25" customHeight="1">
      <c r="B411" s="154" t="s">
        <v>291</v>
      </c>
      <c r="C411" s="155"/>
      <c r="D411" s="155"/>
      <c r="E411" s="156" t="s">
        <v>520</v>
      </c>
      <c r="F411" s="153" t="s">
        <v>521</v>
      </c>
      <c r="G411" s="157">
        <v>3518</v>
      </c>
      <c r="H411" s="153" t="s">
        <v>183</v>
      </c>
      <c r="I411" s="153" t="s">
        <v>1905</v>
      </c>
      <c r="J411" s="158">
        <v>21420</v>
      </c>
      <c r="L411" s="158">
        <v>17</v>
      </c>
      <c r="M411" s="158">
        <v>17</v>
      </c>
      <c r="N411" s="159"/>
      <c r="O411" s="160">
        <v>0.3</v>
      </c>
      <c r="P411" s="160"/>
      <c r="Q411" s="159">
        <v>0</v>
      </c>
      <c r="R411" s="153" t="s">
        <v>35</v>
      </c>
      <c r="S411" s="161" t="s">
        <v>34</v>
      </c>
      <c r="T411" s="161">
        <v>17</v>
      </c>
      <c r="U411" s="162" t="s">
        <v>164</v>
      </c>
      <c r="V411" s="435"/>
      <c r="W411" s="153" t="s">
        <v>1859</v>
      </c>
      <c r="X411" s="159">
        <v>0</v>
      </c>
      <c r="Y411" s="159"/>
      <c r="AD411" s="176">
        <f t="shared" si="8"/>
        <v>0</v>
      </c>
      <c r="AJ411" s="644"/>
    </row>
    <row r="412" spans="2:37" s="153" customFormat="1" ht="11.25" customHeight="1">
      <c r="B412" s="154" t="s">
        <v>291</v>
      </c>
      <c r="C412" s="155"/>
      <c r="D412" s="155"/>
      <c r="E412" s="156" t="s">
        <v>520</v>
      </c>
      <c r="F412" s="153" t="s">
        <v>521</v>
      </c>
      <c r="G412" s="157">
        <v>3518</v>
      </c>
      <c r="H412" s="153" t="s">
        <v>140</v>
      </c>
      <c r="I412" s="153" t="s">
        <v>1905</v>
      </c>
      <c r="J412" s="158">
        <v>16560</v>
      </c>
      <c r="L412" s="158">
        <v>12</v>
      </c>
      <c r="M412" s="158">
        <v>12</v>
      </c>
      <c r="N412" s="159"/>
      <c r="O412" s="160">
        <v>0.3</v>
      </c>
      <c r="P412" s="160"/>
      <c r="Q412" s="159">
        <v>0</v>
      </c>
      <c r="R412" s="153" t="s">
        <v>35</v>
      </c>
      <c r="S412" s="161" t="s">
        <v>34</v>
      </c>
      <c r="T412" s="161">
        <v>17</v>
      </c>
      <c r="U412" s="162" t="s">
        <v>164</v>
      </c>
      <c r="V412" s="435"/>
      <c r="W412" s="153" t="s">
        <v>1859</v>
      </c>
      <c r="X412" s="159">
        <v>0</v>
      </c>
      <c r="Y412" s="159"/>
      <c r="AD412" s="176">
        <f t="shared" si="8"/>
        <v>0</v>
      </c>
      <c r="AJ412" s="644"/>
    </row>
    <row r="413" spans="2:37" s="153" customFormat="1" ht="11.25" customHeight="1">
      <c r="B413" s="154" t="s">
        <v>291</v>
      </c>
      <c r="C413" s="155">
        <v>44655</v>
      </c>
      <c r="D413" s="155">
        <v>44657</v>
      </c>
      <c r="E413" s="156" t="s">
        <v>522</v>
      </c>
      <c r="F413" s="153" t="s">
        <v>3772</v>
      </c>
      <c r="G413" s="157" t="s">
        <v>523</v>
      </c>
      <c r="H413" s="153" t="s">
        <v>140</v>
      </c>
      <c r="I413" s="153" t="s">
        <v>141</v>
      </c>
      <c r="J413" s="158">
        <v>7155</v>
      </c>
      <c r="L413" s="158">
        <v>4.5</v>
      </c>
      <c r="M413" s="158">
        <v>4.5</v>
      </c>
      <c r="N413" s="159"/>
      <c r="O413" s="160">
        <v>0.25</v>
      </c>
      <c r="P413" s="160"/>
      <c r="Q413" s="159">
        <v>0</v>
      </c>
      <c r="R413" s="153" t="s">
        <v>146</v>
      </c>
      <c r="S413" s="161" t="s">
        <v>74</v>
      </c>
      <c r="T413" s="161">
        <v>32</v>
      </c>
      <c r="U413" s="162" t="s">
        <v>164</v>
      </c>
      <c r="V413" s="435"/>
      <c r="X413" s="159">
        <v>0</v>
      </c>
      <c r="Y413" s="159"/>
      <c r="AD413" s="176">
        <f t="shared" si="8"/>
        <v>0</v>
      </c>
      <c r="AJ413" s="644"/>
    </row>
    <row r="414" spans="2:37" s="153" customFormat="1" ht="11.25" customHeight="1">
      <c r="B414" s="154" t="s">
        <v>291</v>
      </c>
      <c r="C414" s="155"/>
      <c r="D414" s="155"/>
      <c r="E414" s="156" t="s">
        <v>522</v>
      </c>
      <c r="F414" s="153" t="s">
        <v>3772</v>
      </c>
      <c r="G414" s="157" t="s">
        <v>523</v>
      </c>
      <c r="H414" s="153" t="s">
        <v>99</v>
      </c>
      <c r="I414" s="153" t="s">
        <v>141</v>
      </c>
      <c r="J414" s="158">
        <v>15002</v>
      </c>
      <c r="L414" s="158">
        <v>13</v>
      </c>
      <c r="M414" s="158">
        <v>13</v>
      </c>
      <c r="N414" s="159"/>
      <c r="O414" s="160">
        <v>0.25</v>
      </c>
      <c r="P414" s="160"/>
      <c r="Q414" s="159">
        <v>0</v>
      </c>
      <c r="R414" s="153" t="s">
        <v>146</v>
      </c>
      <c r="S414" s="161" t="s">
        <v>74</v>
      </c>
      <c r="T414" s="161">
        <v>32</v>
      </c>
      <c r="U414" s="162" t="s">
        <v>164</v>
      </c>
      <c r="V414" s="435"/>
      <c r="X414" s="159">
        <v>0</v>
      </c>
      <c r="Y414" s="159"/>
      <c r="AD414" s="176">
        <f t="shared" si="8"/>
        <v>0</v>
      </c>
      <c r="AJ414" s="644"/>
    </row>
    <row r="415" spans="2:37" s="153" customFormat="1" ht="11.25" customHeight="1">
      <c r="B415" s="154" t="s">
        <v>291</v>
      </c>
      <c r="C415" s="155"/>
      <c r="D415" s="155"/>
      <c r="E415" s="156" t="s">
        <v>522</v>
      </c>
      <c r="F415" s="153" t="s">
        <v>3772</v>
      </c>
      <c r="G415" s="157" t="s">
        <v>523</v>
      </c>
      <c r="H415" s="153" t="s">
        <v>183</v>
      </c>
      <c r="I415" s="153" t="s">
        <v>141</v>
      </c>
      <c r="J415" s="158">
        <v>14587</v>
      </c>
      <c r="L415" s="158">
        <v>14.5</v>
      </c>
      <c r="M415" s="158">
        <v>14.5</v>
      </c>
      <c r="N415" s="159"/>
      <c r="O415" s="160">
        <v>0.25</v>
      </c>
      <c r="P415" s="160"/>
      <c r="Q415" s="159">
        <v>0</v>
      </c>
      <c r="R415" s="153" t="s">
        <v>146</v>
      </c>
      <c r="S415" s="161" t="s">
        <v>74</v>
      </c>
      <c r="T415" s="161">
        <v>32</v>
      </c>
      <c r="U415" s="162" t="s">
        <v>164</v>
      </c>
      <c r="V415" s="435"/>
      <c r="X415" s="159">
        <v>0</v>
      </c>
      <c r="Y415" s="159"/>
      <c r="AD415" s="176">
        <f t="shared" si="8"/>
        <v>0</v>
      </c>
      <c r="AJ415" s="644"/>
    </row>
    <row r="416" spans="2:37" s="205" customFormat="1" ht="11.25" customHeight="1">
      <c r="B416" s="206" t="s">
        <v>291</v>
      </c>
      <c r="C416" s="207">
        <v>44655</v>
      </c>
      <c r="D416" s="207">
        <v>44657</v>
      </c>
      <c r="E416" s="208" t="s">
        <v>524</v>
      </c>
      <c r="F416" s="205" t="s">
        <v>525</v>
      </c>
      <c r="G416" s="209">
        <v>3664</v>
      </c>
      <c r="H416" s="205" t="s">
        <v>27</v>
      </c>
      <c r="I416" s="205" t="s">
        <v>141</v>
      </c>
      <c r="J416" s="210">
        <v>25440</v>
      </c>
      <c r="L416" s="210">
        <v>24</v>
      </c>
      <c r="M416" s="210">
        <v>24</v>
      </c>
      <c r="N416" s="213">
        <v>4975</v>
      </c>
      <c r="O416" s="212">
        <v>0.15</v>
      </c>
      <c r="P416" s="212"/>
      <c r="Q416" s="213">
        <v>0</v>
      </c>
      <c r="R416" s="205" t="s">
        <v>54</v>
      </c>
      <c r="S416" s="214" t="s">
        <v>51</v>
      </c>
      <c r="T416" s="214">
        <v>55</v>
      </c>
      <c r="U416" s="215" t="s">
        <v>164</v>
      </c>
      <c r="V416" s="438"/>
      <c r="X416" s="213">
        <v>0</v>
      </c>
      <c r="Y416" s="213"/>
      <c r="AF416" s="230">
        <f>X416</f>
        <v>0</v>
      </c>
      <c r="AJ416" s="216"/>
    </row>
    <row r="417" spans="2:37" s="205" customFormat="1" ht="11.25" customHeight="1">
      <c r="B417" s="206" t="s">
        <v>291</v>
      </c>
      <c r="C417" s="207">
        <v>44655</v>
      </c>
      <c r="D417" s="207">
        <v>44657</v>
      </c>
      <c r="E417" s="208" t="s">
        <v>526</v>
      </c>
      <c r="F417" s="205" t="s">
        <v>527</v>
      </c>
      <c r="G417" s="209" t="s">
        <v>249</v>
      </c>
      <c r="H417" s="205" t="s">
        <v>250</v>
      </c>
      <c r="I417" s="205" t="s">
        <v>334</v>
      </c>
      <c r="J417" s="210">
        <v>4340.7</v>
      </c>
      <c r="L417" s="210">
        <v>13</v>
      </c>
      <c r="M417" s="210">
        <v>13</v>
      </c>
      <c r="N417" s="213">
        <f>661.122+373.968</f>
        <v>1035.0899999999999</v>
      </c>
      <c r="O417" s="212">
        <v>0.15</v>
      </c>
      <c r="P417" s="212"/>
      <c r="Q417" s="213">
        <v>0</v>
      </c>
      <c r="R417" s="205" t="s">
        <v>251</v>
      </c>
      <c r="S417" s="214" t="s">
        <v>74</v>
      </c>
      <c r="T417" s="214">
        <v>32</v>
      </c>
      <c r="U417" s="215" t="s">
        <v>164</v>
      </c>
      <c r="V417" s="438"/>
      <c r="W417" s="205" t="s">
        <v>2750</v>
      </c>
      <c r="X417" s="213">
        <v>0</v>
      </c>
      <c r="Y417" s="213"/>
      <c r="AF417" s="230">
        <f>X417</f>
        <v>0</v>
      </c>
      <c r="AJ417" s="216"/>
    </row>
    <row r="418" spans="2:37" s="130" customFormat="1" ht="11.25" customHeight="1">
      <c r="B418" s="141" t="s">
        <v>291</v>
      </c>
      <c r="C418" s="131"/>
      <c r="D418" s="131"/>
      <c r="E418" s="132" t="s">
        <v>526</v>
      </c>
      <c r="F418" s="130" t="s">
        <v>527</v>
      </c>
      <c r="G418" s="133" t="s">
        <v>249</v>
      </c>
      <c r="H418" s="130" t="s">
        <v>528</v>
      </c>
      <c r="I418" s="130" t="s">
        <v>334</v>
      </c>
      <c r="J418" s="134">
        <v>25808.76</v>
      </c>
      <c r="L418" s="134">
        <v>20.78</v>
      </c>
      <c r="M418" s="134">
        <v>20.78</v>
      </c>
      <c r="N418" s="136"/>
      <c r="O418" s="137">
        <v>0.15</v>
      </c>
      <c r="P418" s="137"/>
      <c r="Q418" s="136">
        <v>0</v>
      </c>
      <c r="R418" s="130" t="s">
        <v>251</v>
      </c>
      <c r="S418" s="138" t="s">
        <v>74</v>
      </c>
      <c r="T418" s="138">
        <v>32</v>
      </c>
      <c r="U418" s="139" t="s">
        <v>164</v>
      </c>
      <c r="V418" s="439"/>
      <c r="X418" s="136">
        <v>0</v>
      </c>
      <c r="Y418" s="136"/>
      <c r="AC418" s="144">
        <f>X418</f>
        <v>0</v>
      </c>
      <c r="AJ418" s="140"/>
    </row>
    <row r="419" spans="2:37" s="291" customFormat="1" ht="11.25" customHeight="1">
      <c r="B419" s="310" t="s">
        <v>291</v>
      </c>
      <c r="C419" s="292">
        <v>44655</v>
      </c>
      <c r="D419" s="292">
        <v>44657</v>
      </c>
      <c r="E419" s="293" t="s">
        <v>529</v>
      </c>
      <c r="F419" s="291" t="s">
        <v>261</v>
      </c>
      <c r="G419" s="294" t="s">
        <v>262</v>
      </c>
      <c r="H419" s="291" t="s">
        <v>27</v>
      </c>
      <c r="I419" s="291" t="s">
        <v>141</v>
      </c>
      <c r="J419" s="296">
        <v>4724.3</v>
      </c>
      <c r="L419" s="296">
        <v>7.94</v>
      </c>
      <c r="M419" s="296">
        <v>7.94</v>
      </c>
      <c r="N419" s="297">
        <v>1130.768</v>
      </c>
      <c r="O419" s="298">
        <v>0.15</v>
      </c>
      <c r="P419" s="298"/>
      <c r="Q419" s="297">
        <v>0</v>
      </c>
      <c r="R419" s="291" t="s">
        <v>128</v>
      </c>
      <c r="S419" s="299" t="s">
        <v>41</v>
      </c>
      <c r="T419" s="299">
        <v>79</v>
      </c>
      <c r="U419" s="300" t="s">
        <v>164</v>
      </c>
      <c r="V419" s="333"/>
      <c r="W419" s="291" t="s">
        <v>3894</v>
      </c>
      <c r="X419" s="297">
        <v>0</v>
      </c>
      <c r="Y419" s="297"/>
      <c r="AH419" s="291">
        <f>X419</f>
        <v>0</v>
      </c>
      <c r="AI419" s="311"/>
      <c r="AJ419" s="468"/>
    </row>
    <row r="420" spans="2:37" s="379" customFormat="1" ht="11.25" customHeight="1">
      <c r="B420" s="380" t="s">
        <v>291</v>
      </c>
      <c r="C420" s="381">
        <v>44655</v>
      </c>
      <c r="D420" s="381">
        <v>44658</v>
      </c>
      <c r="E420" s="382" t="s">
        <v>532</v>
      </c>
      <c r="F420" s="379" t="s">
        <v>533</v>
      </c>
      <c r="G420" s="383">
        <v>3746</v>
      </c>
      <c r="H420" s="379" t="s">
        <v>137</v>
      </c>
      <c r="I420" s="379" t="s">
        <v>141</v>
      </c>
      <c r="J420" s="385">
        <v>21224.45</v>
      </c>
      <c r="L420" s="385">
        <v>19.739999999999998</v>
      </c>
      <c r="M420" s="385">
        <v>5.36</v>
      </c>
      <c r="N420" s="386">
        <f>J420*0.2</f>
        <v>4244.8900000000003</v>
      </c>
      <c r="O420" s="387">
        <v>0.15</v>
      </c>
      <c r="P420" s="387"/>
      <c r="Q420" s="386">
        <v>0</v>
      </c>
      <c r="R420" s="379" t="s">
        <v>77</v>
      </c>
      <c r="S420" s="388" t="s">
        <v>41</v>
      </c>
      <c r="T420" s="388">
        <v>17</v>
      </c>
      <c r="U420" s="389" t="s">
        <v>164</v>
      </c>
      <c r="V420" s="433"/>
      <c r="X420" s="386">
        <v>0</v>
      </c>
      <c r="Y420" s="386"/>
      <c r="AJ420" s="390">
        <v>0</v>
      </c>
    </row>
    <row r="421" spans="2:37" s="473" customFormat="1" ht="11.25" customHeight="1">
      <c r="B421" s="486" t="s">
        <v>291</v>
      </c>
      <c r="C421" s="487">
        <v>44658</v>
      </c>
      <c r="D421" s="487">
        <v>44658</v>
      </c>
      <c r="E421" s="488" t="s">
        <v>534</v>
      </c>
      <c r="F421" s="473" t="s">
        <v>535</v>
      </c>
      <c r="G421" s="489">
        <v>3624</v>
      </c>
      <c r="H421" s="473" t="s">
        <v>316</v>
      </c>
      <c r="I421" s="473" t="s">
        <v>141</v>
      </c>
      <c r="J421" s="490">
        <v>3824.48</v>
      </c>
      <c r="L421" s="490">
        <v>4.0999999999999996</v>
      </c>
      <c r="M421" s="490">
        <v>4.0999999999999996</v>
      </c>
      <c r="N421" s="492"/>
      <c r="O421" s="493">
        <v>0.2</v>
      </c>
      <c r="P421" s="493"/>
      <c r="Q421" s="492">
        <v>0</v>
      </c>
      <c r="R421" s="473" t="s">
        <v>35</v>
      </c>
      <c r="S421" s="481" t="s">
        <v>41</v>
      </c>
      <c r="T421" s="481">
        <v>17</v>
      </c>
      <c r="U421" s="494" t="s">
        <v>164</v>
      </c>
      <c r="V421" s="495"/>
      <c r="X421" s="492">
        <v>0</v>
      </c>
      <c r="Y421" s="492"/>
      <c r="AH421" s="481"/>
      <c r="AJ421" s="485"/>
      <c r="AK421" s="473">
        <v>0</v>
      </c>
    </row>
    <row r="422" spans="2:37" s="205" customFormat="1" ht="11.25" customHeight="1">
      <c r="B422" s="206" t="s">
        <v>291</v>
      </c>
      <c r="C422" s="207">
        <v>44655</v>
      </c>
      <c r="D422" s="207">
        <v>44658</v>
      </c>
      <c r="E422" s="208" t="s">
        <v>536</v>
      </c>
      <c r="F422" s="205" t="s">
        <v>537</v>
      </c>
      <c r="G422" s="209">
        <v>4611</v>
      </c>
      <c r="H422" s="205" t="s">
        <v>99</v>
      </c>
      <c r="I422" s="205" t="s">
        <v>141</v>
      </c>
      <c r="J422" s="210">
        <v>10297.58</v>
      </c>
      <c r="L422" s="210">
        <v>17.73</v>
      </c>
      <c r="M422" s="210">
        <v>17.73</v>
      </c>
      <c r="N422" s="213"/>
      <c r="O422" s="212">
        <v>0.25</v>
      </c>
      <c r="P422" s="212"/>
      <c r="Q422" s="213">
        <v>0</v>
      </c>
      <c r="R422" s="205" t="s">
        <v>42</v>
      </c>
      <c r="S422" s="214" t="s">
        <v>41</v>
      </c>
      <c r="T422" s="214">
        <v>16</v>
      </c>
      <c r="U422" s="215" t="s">
        <v>164</v>
      </c>
      <c r="V422" s="438"/>
      <c r="W422" s="205" t="s">
        <v>2835</v>
      </c>
      <c r="X422" s="213">
        <v>0</v>
      </c>
      <c r="Y422" s="213"/>
      <c r="AF422" s="230">
        <f>X422</f>
        <v>0</v>
      </c>
      <c r="AJ422" s="216"/>
    </row>
    <row r="423" spans="2:37" s="205" customFormat="1" ht="11.25" customHeight="1">
      <c r="B423" s="206" t="s">
        <v>291</v>
      </c>
      <c r="C423" s="207"/>
      <c r="D423" s="207"/>
      <c r="E423" s="208" t="s">
        <v>536</v>
      </c>
      <c r="F423" s="205" t="s">
        <v>537</v>
      </c>
      <c r="G423" s="209">
        <v>4611</v>
      </c>
      <c r="H423" s="205" t="s">
        <v>140</v>
      </c>
      <c r="I423" s="205" t="s">
        <v>141</v>
      </c>
      <c r="J423" s="210">
        <v>3235.68</v>
      </c>
      <c r="L423" s="210">
        <v>3.36</v>
      </c>
      <c r="M423" s="210">
        <v>3.36</v>
      </c>
      <c r="N423" s="213"/>
      <c r="O423" s="212">
        <v>0.25</v>
      </c>
      <c r="P423" s="212"/>
      <c r="Q423" s="213">
        <v>0</v>
      </c>
      <c r="R423" s="205" t="s">
        <v>42</v>
      </c>
      <c r="S423" s="214" t="s">
        <v>41</v>
      </c>
      <c r="T423" s="214">
        <v>16</v>
      </c>
      <c r="U423" s="215" t="s">
        <v>164</v>
      </c>
      <c r="V423" s="438"/>
      <c r="W423" s="205" t="s">
        <v>2835</v>
      </c>
      <c r="X423" s="213">
        <v>0</v>
      </c>
      <c r="Y423" s="213"/>
      <c r="AF423" s="230">
        <f>X423</f>
        <v>0</v>
      </c>
      <c r="AJ423" s="216"/>
    </row>
    <row r="424" spans="2:37" s="205" customFormat="1" ht="11.25" customHeight="1">
      <c r="B424" s="206" t="s">
        <v>291</v>
      </c>
      <c r="C424" s="207"/>
      <c r="D424" s="207"/>
      <c r="E424" s="208" t="s">
        <v>536</v>
      </c>
      <c r="F424" s="205" t="s">
        <v>537</v>
      </c>
      <c r="G424" s="209">
        <v>4611</v>
      </c>
      <c r="H424" s="205" t="s">
        <v>137</v>
      </c>
      <c r="I424" s="205" t="s">
        <v>141</v>
      </c>
      <c r="J424" s="210">
        <v>10969.11</v>
      </c>
      <c r="L424" s="210">
        <v>14.98</v>
      </c>
      <c r="M424" s="210">
        <v>14.98</v>
      </c>
      <c r="N424" s="213"/>
      <c r="O424" s="212">
        <v>0.25</v>
      </c>
      <c r="P424" s="212"/>
      <c r="Q424" s="213">
        <v>0</v>
      </c>
      <c r="R424" s="205" t="s">
        <v>42</v>
      </c>
      <c r="S424" s="214" t="s">
        <v>41</v>
      </c>
      <c r="T424" s="214">
        <v>16</v>
      </c>
      <c r="U424" s="215" t="s">
        <v>164</v>
      </c>
      <c r="V424" s="438"/>
      <c r="W424" s="205" t="s">
        <v>2835</v>
      </c>
      <c r="X424" s="213">
        <v>0</v>
      </c>
      <c r="Y424" s="213"/>
      <c r="AF424" s="230">
        <f>X424</f>
        <v>0</v>
      </c>
      <c r="AJ424" s="216"/>
    </row>
    <row r="425" spans="2:37" s="647" customFormat="1" ht="11.25" customHeight="1">
      <c r="B425" s="661" t="s">
        <v>291</v>
      </c>
      <c r="C425" s="648">
        <v>44655</v>
      </c>
      <c r="D425" s="648">
        <v>44658</v>
      </c>
      <c r="E425" s="649" t="s">
        <v>538</v>
      </c>
      <c r="F425" s="647" t="s">
        <v>539</v>
      </c>
      <c r="G425" s="650">
        <v>3591</v>
      </c>
      <c r="H425" s="647" t="s">
        <v>27</v>
      </c>
      <c r="I425" s="647" t="s">
        <v>141</v>
      </c>
      <c r="J425" s="651">
        <v>46200</v>
      </c>
      <c r="L425" s="651">
        <v>33</v>
      </c>
      <c r="M425" s="651">
        <v>30.23</v>
      </c>
      <c r="N425" s="652"/>
      <c r="O425" s="653">
        <v>0.15</v>
      </c>
      <c r="P425" s="653"/>
      <c r="Q425" s="652">
        <v>0</v>
      </c>
      <c r="R425" s="647" t="s">
        <v>540</v>
      </c>
      <c r="S425" s="654" t="s">
        <v>41</v>
      </c>
      <c r="T425" s="654">
        <v>16</v>
      </c>
      <c r="U425" s="655" t="s">
        <v>164</v>
      </c>
      <c r="V425" s="656"/>
      <c r="X425" s="652">
        <v>0</v>
      </c>
      <c r="Y425" s="652"/>
      <c r="AI425" s="647">
        <v>0</v>
      </c>
      <c r="AJ425" s="657"/>
      <c r="AK425" s="658"/>
    </row>
    <row r="426" spans="2:37" s="181" customFormat="1" ht="11.25" customHeight="1">
      <c r="B426" s="178" t="s">
        <v>291</v>
      </c>
      <c r="C426" s="179">
        <v>44655</v>
      </c>
      <c r="D426" s="179">
        <v>44658</v>
      </c>
      <c r="E426" s="180" t="s">
        <v>541</v>
      </c>
      <c r="F426" s="181" t="s">
        <v>542</v>
      </c>
      <c r="G426" s="182" t="s">
        <v>543</v>
      </c>
      <c r="H426" s="181" t="s">
        <v>99</v>
      </c>
      <c r="I426" s="181" t="s">
        <v>703</v>
      </c>
      <c r="J426" s="183">
        <v>75141</v>
      </c>
      <c r="L426" s="183">
        <v>60.5</v>
      </c>
      <c r="M426" s="183">
        <v>60.5</v>
      </c>
      <c r="N426" s="185">
        <v>18785.25</v>
      </c>
      <c r="O426" s="186">
        <v>0.2</v>
      </c>
      <c r="P426" s="186"/>
      <c r="Q426" s="185">
        <v>0</v>
      </c>
      <c r="R426" s="181" t="s">
        <v>42</v>
      </c>
      <c r="S426" s="187" t="s">
        <v>41</v>
      </c>
      <c r="T426" s="187">
        <v>79</v>
      </c>
      <c r="U426" s="188" t="s">
        <v>164</v>
      </c>
      <c r="V426" s="441"/>
      <c r="W426" s="181" t="s">
        <v>2683</v>
      </c>
      <c r="X426" s="185">
        <v>0</v>
      </c>
      <c r="Y426" s="185"/>
      <c r="AE426" s="204">
        <f>X426</f>
        <v>0</v>
      </c>
      <c r="AJ426" s="189"/>
    </row>
    <row r="427" spans="2:37" s="181" customFormat="1" ht="11.25" customHeight="1">
      <c r="B427" s="178" t="s">
        <v>291</v>
      </c>
      <c r="C427" s="179"/>
      <c r="D427" s="179"/>
      <c r="E427" s="180" t="s">
        <v>541</v>
      </c>
      <c r="F427" s="181" t="s">
        <v>542</v>
      </c>
      <c r="G427" s="182" t="s">
        <v>543</v>
      </c>
      <c r="H427" s="181" t="s">
        <v>27</v>
      </c>
      <c r="I427" s="181" t="s">
        <v>703</v>
      </c>
      <c r="J427" s="183">
        <v>50075.85</v>
      </c>
      <c r="L427" s="183">
        <v>37.51</v>
      </c>
      <c r="M427" s="183">
        <v>37.51</v>
      </c>
      <c r="N427" s="185">
        <v>5007.585</v>
      </c>
      <c r="O427" s="186">
        <v>0.2</v>
      </c>
      <c r="P427" s="186"/>
      <c r="Q427" s="185">
        <v>0</v>
      </c>
      <c r="R427" s="181" t="s">
        <v>42</v>
      </c>
      <c r="S427" s="187" t="s">
        <v>41</v>
      </c>
      <c r="T427" s="187">
        <v>79</v>
      </c>
      <c r="U427" s="188" t="s">
        <v>164</v>
      </c>
      <c r="V427" s="441"/>
      <c r="W427" s="181" t="s">
        <v>2683</v>
      </c>
      <c r="X427" s="185">
        <v>0</v>
      </c>
      <c r="Y427" s="185"/>
      <c r="AE427" s="204">
        <f>X427</f>
        <v>0</v>
      </c>
      <c r="AJ427" s="189"/>
    </row>
    <row r="428" spans="2:37" s="130" customFormat="1" ht="11.25" customHeight="1">
      <c r="B428" s="141" t="s">
        <v>291</v>
      </c>
      <c r="C428" s="131"/>
      <c r="D428" s="131"/>
      <c r="E428" s="132" t="s">
        <v>541</v>
      </c>
      <c r="F428" s="130" t="s">
        <v>542</v>
      </c>
      <c r="G428" s="133" t="s">
        <v>543</v>
      </c>
      <c r="H428" s="130" t="s">
        <v>310</v>
      </c>
      <c r="I428" s="130" t="s">
        <v>703</v>
      </c>
      <c r="J428" s="134">
        <v>22236.63</v>
      </c>
      <c r="L428" s="134">
        <v>26.13</v>
      </c>
      <c r="M428" s="134">
        <v>26.13</v>
      </c>
      <c r="N428" s="136">
        <v>0</v>
      </c>
      <c r="O428" s="137">
        <v>0.2</v>
      </c>
      <c r="P428" s="137"/>
      <c r="Q428" s="136">
        <v>0</v>
      </c>
      <c r="R428" s="130" t="s">
        <v>42</v>
      </c>
      <c r="S428" s="138" t="s">
        <v>41</v>
      </c>
      <c r="T428" s="138">
        <v>79</v>
      </c>
      <c r="U428" s="139" t="s">
        <v>164</v>
      </c>
      <c r="V428" s="439"/>
      <c r="X428" s="136">
        <v>0</v>
      </c>
      <c r="Y428" s="136"/>
      <c r="AC428" s="144">
        <f>X428</f>
        <v>0</v>
      </c>
      <c r="AJ428" s="140"/>
    </row>
    <row r="429" spans="2:37" s="236" customFormat="1" ht="11.25" customHeight="1">
      <c r="B429" s="246" t="s">
        <v>291</v>
      </c>
      <c r="C429" s="237">
        <v>44656</v>
      </c>
      <c r="D429" s="237">
        <v>44658</v>
      </c>
      <c r="E429" s="238" t="s">
        <v>544</v>
      </c>
      <c r="F429" s="236" t="s">
        <v>545</v>
      </c>
      <c r="G429" s="239">
        <v>4178</v>
      </c>
      <c r="H429" s="236" t="s">
        <v>496</v>
      </c>
      <c r="I429" s="236" t="s">
        <v>141</v>
      </c>
      <c r="J429" s="240">
        <v>19145.5</v>
      </c>
      <c r="L429" s="240">
        <v>14.75</v>
      </c>
      <c r="M429" s="240">
        <v>14.75</v>
      </c>
      <c r="N429" s="242"/>
      <c r="O429" s="243">
        <v>0.15</v>
      </c>
      <c r="P429" s="243"/>
      <c r="Q429" s="242">
        <v>4273.67</v>
      </c>
      <c r="R429" s="236" t="s">
        <v>35</v>
      </c>
      <c r="S429" s="244" t="s">
        <v>41</v>
      </c>
      <c r="T429" s="244">
        <v>79</v>
      </c>
      <c r="U429" s="245" t="s">
        <v>164</v>
      </c>
      <c r="V429" s="446"/>
      <c r="X429" s="242">
        <v>4273.67</v>
      </c>
      <c r="Y429" s="242"/>
      <c r="AG429" s="236">
        <f>X429</f>
        <v>4273.67</v>
      </c>
      <c r="AJ429" s="640"/>
    </row>
    <row r="430" spans="2:37" s="236" customFormat="1" ht="11.25" customHeight="1">
      <c r="B430" s="246" t="s">
        <v>291</v>
      </c>
      <c r="C430" s="237"/>
      <c r="D430" s="237"/>
      <c r="E430" s="238" t="s">
        <v>544</v>
      </c>
      <c r="F430" s="236" t="s">
        <v>545</v>
      </c>
      <c r="G430" s="239">
        <v>4178</v>
      </c>
      <c r="H430" s="236" t="s">
        <v>183</v>
      </c>
      <c r="I430" s="236" t="s">
        <v>141</v>
      </c>
      <c r="J430" s="240">
        <v>11568.95</v>
      </c>
      <c r="L430" s="240">
        <v>17.41</v>
      </c>
      <c r="M430" s="240">
        <v>14.42</v>
      </c>
      <c r="N430" s="242">
        <f>J430*0.2</f>
        <v>2313.7900000000004</v>
      </c>
      <c r="O430" s="243">
        <v>0.15</v>
      </c>
      <c r="P430" s="243"/>
      <c r="Q430" s="242">
        <v>0</v>
      </c>
      <c r="R430" s="236" t="s">
        <v>35</v>
      </c>
      <c r="S430" s="244" t="s">
        <v>41</v>
      </c>
      <c r="T430" s="244">
        <v>79</v>
      </c>
      <c r="U430" s="245" t="s">
        <v>164</v>
      </c>
      <c r="V430" s="446"/>
      <c r="X430" s="242">
        <v>0</v>
      </c>
      <c r="Y430" s="242"/>
      <c r="AG430" s="236">
        <f>X430</f>
        <v>0</v>
      </c>
      <c r="AJ430" s="640"/>
    </row>
    <row r="431" spans="2:37" s="181" customFormat="1" ht="11.25" customHeight="1">
      <c r="B431" s="178" t="s">
        <v>291</v>
      </c>
      <c r="C431" s="179">
        <v>44655</v>
      </c>
      <c r="D431" s="179">
        <v>44657</v>
      </c>
      <c r="E431" s="180" t="s">
        <v>546</v>
      </c>
      <c r="F431" s="181" t="s">
        <v>547</v>
      </c>
      <c r="G431" s="182">
        <v>4546</v>
      </c>
      <c r="H431" s="181" t="s">
        <v>99</v>
      </c>
      <c r="I431" s="181" t="s">
        <v>141</v>
      </c>
      <c r="J431" s="183">
        <v>51256.51</v>
      </c>
      <c r="L431" s="183">
        <v>38.69</v>
      </c>
      <c r="M431" s="183">
        <v>42.75</v>
      </c>
      <c r="N431" s="185">
        <v>5125.6512000000002</v>
      </c>
      <c r="O431" s="186">
        <v>0.15</v>
      </c>
      <c r="P431" s="186"/>
      <c r="Q431" s="185">
        <v>0</v>
      </c>
      <c r="R431" s="181" t="s">
        <v>42</v>
      </c>
      <c r="S431" s="187" t="s">
        <v>41</v>
      </c>
      <c r="T431" s="187">
        <v>79</v>
      </c>
      <c r="U431" s="188" t="s">
        <v>164</v>
      </c>
      <c r="V431" s="441"/>
      <c r="W431" s="181" t="s">
        <v>2668</v>
      </c>
      <c r="X431" s="185">
        <v>0</v>
      </c>
      <c r="Y431" s="185"/>
      <c r="AE431" s="204">
        <f>X431</f>
        <v>0</v>
      </c>
      <c r="AJ431" s="189"/>
    </row>
    <row r="432" spans="2:37" s="181" customFormat="1" ht="11.25" customHeight="1">
      <c r="B432" s="178" t="s">
        <v>291</v>
      </c>
      <c r="C432" s="179"/>
      <c r="D432" s="179"/>
      <c r="E432" s="180" t="s">
        <v>546</v>
      </c>
      <c r="F432" s="181" t="s">
        <v>547</v>
      </c>
      <c r="G432" s="182">
        <v>4546</v>
      </c>
      <c r="H432" s="181" t="s">
        <v>316</v>
      </c>
      <c r="I432" s="181" t="s">
        <v>141</v>
      </c>
      <c r="J432" s="183">
        <v>20082.38</v>
      </c>
      <c r="L432" s="183">
        <v>18.27</v>
      </c>
      <c r="M432" s="183">
        <v>18.13</v>
      </c>
      <c r="N432" s="185">
        <v>2989.2743999999998</v>
      </c>
      <c r="O432" s="186">
        <v>0.15</v>
      </c>
      <c r="P432" s="186"/>
      <c r="Q432" s="185">
        <v>0</v>
      </c>
      <c r="R432" s="181" t="s">
        <v>42</v>
      </c>
      <c r="S432" s="187" t="s">
        <v>41</v>
      </c>
      <c r="T432" s="187">
        <v>79</v>
      </c>
      <c r="U432" s="188" t="s">
        <v>164</v>
      </c>
      <c r="V432" s="441"/>
      <c r="W432" s="181" t="s">
        <v>2668</v>
      </c>
      <c r="X432" s="185">
        <v>0</v>
      </c>
      <c r="Y432" s="185"/>
      <c r="AE432" s="204">
        <f>X432</f>
        <v>0</v>
      </c>
      <c r="AJ432" s="189"/>
    </row>
    <row r="433" spans="2:36" s="181" customFormat="1" ht="11.25" customHeight="1">
      <c r="B433" s="178" t="s">
        <v>291</v>
      </c>
      <c r="C433" s="179"/>
      <c r="D433" s="179"/>
      <c r="E433" s="180" t="s">
        <v>546</v>
      </c>
      <c r="F433" s="181" t="s">
        <v>547</v>
      </c>
      <c r="G433" s="182">
        <v>4546</v>
      </c>
      <c r="H433" s="181" t="s">
        <v>27</v>
      </c>
      <c r="I433" s="181" t="s">
        <v>141</v>
      </c>
      <c r="J433" s="183">
        <v>27047.4</v>
      </c>
      <c r="L433" s="183">
        <v>14.78</v>
      </c>
      <c r="M433" s="183">
        <v>14.78</v>
      </c>
      <c r="N433" s="185">
        <v>2702.91</v>
      </c>
      <c r="O433" s="186">
        <v>0.15</v>
      </c>
      <c r="P433" s="186"/>
      <c r="Q433" s="185">
        <v>0</v>
      </c>
      <c r="R433" s="181" t="s">
        <v>42</v>
      </c>
      <c r="S433" s="187" t="s">
        <v>41</v>
      </c>
      <c r="T433" s="187">
        <v>79</v>
      </c>
      <c r="U433" s="188" t="s">
        <v>164</v>
      </c>
      <c r="V433" s="441"/>
      <c r="W433" s="181" t="s">
        <v>2668</v>
      </c>
      <c r="X433" s="185">
        <v>0</v>
      </c>
      <c r="Y433" s="185"/>
      <c r="AE433" s="204">
        <f>X433</f>
        <v>0</v>
      </c>
      <c r="AJ433" s="189"/>
    </row>
    <row r="434" spans="2:36" s="205" customFormat="1" ht="11.25" customHeight="1">
      <c r="B434" s="206" t="s">
        <v>291</v>
      </c>
      <c r="C434" s="207">
        <v>44655</v>
      </c>
      <c r="D434" s="207">
        <v>44657</v>
      </c>
      <c r="E434" s="208" t="s">
        <v>548</v>
      </c>
      <c r="F434" s="205" t="s">
        <v>549</v>
      </c>
      <c r="G434" s="209">
        <v>3745</v>
      </c>
      <c r="H434" s="205" t="s">
        <v>550</v>
      </c>
      <c r="I434" s="205" t="s">
        <v>334</v>
      </c>
      <c r="J434" s="210">
        <v>3632.16</v>
      </c>
      <c r="L434" s="210">
        <v>6.44</v>
      </c>
      <c r="M434" s="210">
        <v>5.61</v>
      </c>
      <c r="N434" s="213">
        <v>0</v>
      </c>
      <c r="O434" s="212">
        <v>0.25</v>
      </c>
      <c r="P434" s="212"/>
      <c r="Q434" s="213">
        <v>0</v>
      </c>
      <c r="R434" s="205" t="s">
        <v>42</v>
      </c>
      <c r="S434" s="214" t="s">
        <v>41</v>
      </c>
      <c r="T434" s="214">
        <v>79</v>
      </c>
      <c r="U434" s="215" t="s">
        <v>164</v>
      </c>
      <c r="V434" s="438"/>
      <c r="W434" s="205" t="s">
        <v>2839</v>
      </c>
      <c r="X434" s="213">
        <v>0</v>
      </c>
      <c r="Y434" s="213"/>
      <c r="AF434" s="230">
        <f>X434</f>
        <v>0</v>
      </c>
      <c r="AJ434" s="216"/>
    </row>
    <row r="435" spans="2:36" s="236" customFormat="1" ht="11.25" customHeight="1">
      <c r="B435" s="246" t="s">
        <v>291</v>
      </c>
      <c r="C435" s="237"/>
      <c r="D435" s="237"/>
      <c r="E435" s="238" t="s">
        <v>548</v>
      </c>
      <c r="F435" s="236" t="s">
        <v>549</v>
      </c>
      <c r="G435" s="239">
        <v>3745</v>
      </c>
      <c r="H435" s="236" t="s">
        <v>99</v>
      </c>
      <c r="I435" s="236" t="s">
        <v>334</v>
      </c>
      <c r="J435" s="240">
        <v>88744.99</v>
      </c>
      <c r="L435" s="240">
        <v>92.31</v>
      </c>
      <c r="M435" s="240">
        <v>80.45</v>
      </c>
      <c r="N435" s="242">
        <v>11598.569</v>
      </c>
      <c r="O435" s="243">
        <v>0.25</v>
      </c>
      <c r="P435" s="243"/>
      <c r="Q435" s="242">
        <v>6006.19</v>
      </c>
      <c r="R435" s="236" t="s">
        <v>42</v>
      </c>
      <c r="S435" s="244" t="s">
        <v>41</v>
      </c>
      <c r="T435" s="244">
        <v>79</v>
      </c>
      <c r="U435" s="245" t="s">
        <v>164</v>
      </c>
      <c r="V435" s="446"/>
      <c r="X435" s="242">
        <v>6006.19</v>
      </c>
      <c r="Y435" s="242"/>
      <c r="AG435" s="236">
        <f>X435</f>
        <v>6006.19</v>
      </c>
      <c r="AJ435" s="640"/>
    </row>
    <row r="436" spans="2:36" s="236" customFormat="1" ht="11.25" customHeight="1">
      <c r="B436" s="246" t="s">
        <v>291</v>
      </c>
      <c r="C436" s="237"/>
      <c r="D436" s="237"/>
      <c r="E436" s="238" t="s">
        <v>548</v>
      </c>
      <c r="F436" s="236" t="s">
        <v>549</v>
      </c>
      <c r="G436" s="239">
        <v>3745</v>
      </c>
      <c r="H436" s="236" t="s">
        <v>27</v>
      </c>
      <c r="I436" s="236" t="s">
        <v>334</v>
      </c>
      <c r="J436" s="240">
        <v>21935.09</v>
      </c>
      <c r="L436" s="240">
        <v>18.52</v>
      </c>
      <c r="M436" s="240">
        <v>16.37</v>
      </c>
      <c r="N436" s="242">
        <v>4850.1180000000004</v>
      </c>
      <c r="O436" s="243">
        <v>0.25</v>
      </c>
      <c r="P436" s="243"/>
      <c r="Q436" s="242">
        <v>0</v>
      </c>
      <c r="R436" s="236" t="s">
        <v>42</v>
      </c>
      <c r="S436" s="244" t="s">
        <v>41</v>
      </c>
      <c r="T436" s="244">
        <v>79</v>
      </c>
      <c r="U436" s="245" t="s">
        <v>164</v>
      </c>
      <c r="V436" s="446"/>
      <c r="X436" s="242">
        <v>0</v>
      </c>
      <c r="Y436" s="242"/>
      <c r="AG436" s="236">
        <f>X436</f>
        <v>0</v>
      </c>
      <c r="AJ436" s="640"/>
    </row>
    <row r="437" spans="2:36" s="205" customFormat="1" ht="11.25" customHeight="1">
      <c r="B437" s="206" t="s">
        <v>291</v>
      </c>
      <c r="C437" s="207"/>
      <c r="D437" s="207"/>
      <c r="E437" s="208" t="s">
        <v>548</v>
      </c>
      <c r="F437" s="205" t="s">
        <v>549</v>
      </c>
      <c r="G437" s="209">
        <v>3745</v>
      </c>
      <c r="H437" s="205" t="s">
        <v>162</v>
      </c>
      <c r="I437" s="205" t="s">
        <v>334</v>
      </c>
      <c r="J437" s="210">
        <v>12440.55</v>
      </c>
      <c r="L437" s="210">
        <v>17.79</v>
      </c>
      <c r="M437" s="210">
        <v>18.3</v>
      </c>
      <c r="N437" s="213"/>
      <c r="O437" s="212">
        <v>0.25</v>
      </c>
      <c r="P437" s="212"/>
      <c r="Q437" s="213">
        <v>0</v>
      </c>
      <c r="R437" s="205" t="s">
        <v>42</v>
      </c>
      <c r="S437" s="214" t="s">
        <v>41</v>
      </c>
      <c r="T437" s="214">
        <v>79</v>
      </c>
      <c r="U437" s="215" t="s">
        <v>164</v>
      </c>
      <c r="V437" s="438"/>
      <c r="W437" s="205" t="s">
        <v>2839</v>
      </c>
      <c r="X437" s="213">
        <v>0</v>
      </c>
      <c r="Y437" s="213"/>
      <c r="AF437" s="230">
        <f>X437</f>
        <v>0</v>
      </c>
      <c r="AJ437" s="216"/>
    </row>
    <row r="438" spans="2:36" s="236" customFormat="1" ht="11.25" customHeight="1">
      <c r="B438" s="246" t="s">
        <v>291</v>
      </c>
      <c r="C438" s="237"/>
      <c r="D438" s="237"/>
      <c r="E438" s="238" t="s">
        <v>548</v>
      </c>
      <c r="F438" s="236" t="s">
        <v>549</v>
      </c>
      <c r="G438" s="239">
        <v>3745</v>
      </c>
      <c r="H438" s="236" t="s">
        <v>493</v>
      </c>
      <c r="I438" s="236" t="s">
        <v>334</v>
      </c>
      <c r="J438" s="240">
        <v>12828.82</v>
      </c>
      <c r="L438" s="240">
        <v>12.87</v>
      </c>
      <c r="M438" s="240">
        <v>10.75</v>
      </c>
      <c r="N438" s="242">
        <v>1607.34</v>
      </c>
      <c r="O438" s="243">
        <v>0.25</v>
      </c>
      <c r="P438" s="243"/>
      <c r="Q438" s="242">
        <v>0</v>
      </c>
      <c r="R438" s="236" t="s">
        <v>42</v>
      </c>
      <c r="S438" s="244" t="s">
        <v>41</v>
      </c>
      <c r="T438" s="244">
        <v>79</v>
      </c>
      <c r="U438" s="245" t="s">
        <v>164</v>
      </c>
      <c r="V438" s="446"/>
      <c r="X438" s="242">
        <v>0</v>
      </c>
      <c r="Y438" s="242"/>
      <c r="AG438" s="236">
        <f>X438</f>
        <v>0</v>
      </c>
      <c r="AJ438" s="640"/>
    </row>
    <row r="439" spans="2:36" s="205" customFormat="1" ht="11.25" customHeight="1">
      <c r="B439" s="206" t="s">
        <v>291</v>
      </c>
      <c r="C439" s="207"/>
      <c r="D439" s="207"/>
      <c r="E439" s="208" t="s">
        <v>548</v>
      </c>
      <c r="F439" s="205" t="s">
        <v>549</v>
      </c>
      <c r="G439" s="209">
        <v>3745</v>
      </c>
      <c r="H439" s="205" t="s">
        <v>442</v>
      </c>
      <c r="I439" s="205" t="s">
        <v>334</v>
      </c>
      <c r="J439" s="210">
        <v>11123</v>
      </c>
      <c r="L439" s="210">
        <v>15.89</v>
      </c>
      <c r="M439" s="210">
        <v>17.260000000000002</v>
      </c>
      <c r="N439" s="213"/>
      <c r="O439" s="212">
        <v>0.25</v>
      </c>
      <c r="P439" s="212"/>
      <c r="Q439" s="213">
        <v>0</v>
      </c>
      <c r="R439" s="205" t="s">
        <v>42</v>
      </c>
      <c r="S439" s="214" t="s">
        <v>41</v>
      </c>
      <c r="T439" s="214">
        <v>79</v>
      </c>
      <c r="U439" s="215" t="s">
        <v>164</v>
      </c>
      <c r="V439" s="438"/>
      <c r="W439" s="205" t="s">
        <v>2839</v>
      </c>
      <c r="X439" s="213">
        <v>0</v>
      </c>
      <c r="Y439" s="213"/>
      <c r="AF439" s="230">
        <f>X439</f>
        <v>0</v>
      </c>
      <c r="AJ439" s="216"/>
    </row>
    <row r="440" spans="2:36" s="236" customFormat="1" ht="11.25" customHeight="1">
      <c r="B440" s="246" t="s">
        <v>291</v>
      </c>
      <c r="C440" s="237"/>
      <c r="D440" s="237"/>
      <c r="E440" s="238" t="s">
        <v>548</v>
      </c>
      <c r="F440" s="236" t="s">
        <v>549</v>
      </c>
      <c r="G440" s="239">
        <v>3745</v>
      </c>
      <c r="H440" s="236" t="s">
        <v>310</v>
      </c>
      <c r="I440" s="236" t="s">
        <v>334</v>
      </c>
      <c r="J440" s="240">
        <v>5750.71</v>
      </c>
      <c r="L440" s="240">
        <v>11.66</v>
      </c>
      <c r="M440" s="240">
        <v>14.27</v>
      </c>
      <c r="N440" s="242">
        <v>862.60680000000002</v>
      </c>
      <c r="O440" s="243">
        <v>0.25</v>
      </c>
      <c r="P440" s="243"/>
      <c r="Q440" s="242">
        <v>0</v>
      </c>
      <c r="R440" s="236" t="s">
        <v>42</v>
      </c>
      <c r="S440" s="244" t="s">
        <v>41</v>
      </c>
      <c r="T440" s="244">
        <v>79</v>
      </c>
      <c r="U440" s="245" t="s">
        <v>164</v>
      </c>
      <c r="V440" s="446"/>
      <c r="X440" s="242">
        <v>0</v>
      </c>
      <c r="Y440" s="242"/>
      <c r="AG440" s="236">
        <f>X440</f>
        <v>0</v>
      </c>
      <c r="AJ440" s="640"/>
    </row>
    <row r="441" spans="2:36" s="205" customFormat="1" ht="11.25" customHeight="1">
      <c r="B441" s="206" t="s">
        <v>291</v>
      </c>
      <c r="C441" s="207"/>
      <c r="D441" s="207"/>
      <c r="E441" s="208" t="s">
        <v>548</v>
      </c>
      <c r="F441" s="205" t="s">
        <v>549</v>
      </c>
      <c r="G441" s="209">
        <v>3745</v>
      </c>
      <c r="H441" s="205" t="s">
        <v>336</v>
      </c>
      <c r="I441" s="205" t="s">
        <v>334</v>
      </c>
      <c r="J441" s="210">
        <v>31957.17</v>
      </c>
      <c r="L441" s="210">
        <v>29.66</v>
      </c>
      <c r="M441" s="210">
        <v>35.950000000000003</v>
      </c>
      <c r="N441" s="213"/>
      <c r="O441" s="212">
        <v>0.25</v>
      </c>
      <c r="P441" s="212"/>
      <c r="Q441" s="213">
        <v>0</v>
      </c>
      <c r="R441" s="205" t="s">
        <v>42</v>
      </c>
      <c r="S441" s="214" t="s">
        <v>41</v>
      </c>
      <c r="T441" s="214">
        <v>79</v>
      </c>
      <c r="U441" s="215" t="s">
        <v>164</v>
      </c>
      <c r="V441" s="438"/>
      <c r="W441" s="205" t="s">
        <v>2839</v>
      </c>
      <c r="X441" s="213">
        <v>0</v>
      </c>
      <c r="Y441" s="213"/>
      <c r="AF441" s="230">
        <f>X441</f>
        <v>0</v>
      </c>
      <c r="AJ441" s="216"/>
    </row>
    <row r="442" spans="2:36" s="205" customFormat="1" ht="11.25" customHeight="1">
      <c r="B442" s="206" t="s">
        <v>291</v>
      </c>
      <c r="C442" s="207">
        <v>44654</v>
      </c>
      <c r="D442" s="207">
        <v>44658</v>
      </c>
      <c r="E442" s="208" t="s">
        <v>551</v>
      </c>
      <c r="F442" s="205" t="s">
        <v>182</v>
      </c>
      <c r="G442" s="209">
        <v>3842</v>
      </c>
      <c r="H442" s="205" t="s">
        <v>27</v>
      </c>
      <c r="I442" s="205" t="s">
        <v>141</v>
      </c>
      <c r="J442" s="210">
        <v>11226.6</v>
      </c>
      <c r="L442" s="210">
        <v>12.15</v>
      </c>
      <c r="M442" s="210">
        <v>12.15</v>
      </c>
      <c r="N442" s="213">
        <f>50%*J442</f>
        <v>5613.3</v>
      </c>
      <c r="O442" s="212">
        <v>0.15</v>
      </c>
      <c r="P442" s="212"/>
      <c r="Q442" s="213">
        <v>0</v>
      </c>
      <c r="R442" s="205" t="s">
        <v>73</v>
      </c>
      <c r="S442" s="214" t="s">
        <v>113</v>
      </c>
      <c r="T442" s="214">
        <v>31</v>
      </c>
      <c r="U442" s="215" t="s">
        <v>164</v>
      </c>
      <c r="V442" s="438"/>
      <c r="W442" s="205" t="s">
        <v>3251</v>
      </c>
      <c r="X442" s="213">
        <v>0</v>
      </c>
      <c r="Y442" s="213"/>
      <c r="AF442" s="230">
        <f>X442</f>
        <v>0</v>
      </c>
      <c r="AJ442" s="216"/>
    </row>
    <row r="443" spans="2:36" s="379" customFormat="1" ht="11.25" customHeight="1">
      <c r="B443" s="380" t="s">
        <v>291</v>
      </c>
      <c r="C443" s="381">
        <v>44655</v>
      </c>
      <c r="D443" s="381">
        <v>44658</v>
      </c>
      <c r="E443" s="382" t="s">
        <v>552</v>
      </c>
      <c r="F443" s="379" t="s">
        <v>553</v>
      </c>
      <c r="G443" s="383" t="s">
        <v>554</v>
      </c>
      <c r="H443" s="379" t="s">
        <v>336</v>
      </c>
      <c r="I443" s="379" t="s">
        <v>141</v>
      </c>
      <c r="J443" s="385">
        <v>15695.68</v>
      </c>
      <c r="L443" s="385">
        <v>11.44</v>
      </c>
      <c r="M443" s="385">
        <v>11.44</v>
      </c>
      <c r="N443" s="386">
        <v>784.78399999999999</v>
      </c>
      <c r="O443" s="387">
        <v>0.25</v>
      </c>
      <c r="P443" s="387"/>
      <c r="Q443" s="386">
        <v>0</v>
      </c>
      <c r="R443" s="379" t="s">
        <v>42</v>
      </c>
      <c r="S443" s="388" t="s">
        <v>41</v>
      </c>
      <c r="T443" s="388">
        <v>17</v>
      </c>
      <c r="U443" s="389" t="s">
        <v>164</v>
      </c>
      <c r="V443" s="433"/>
      <c r="X443" s="386">
        <v>0</v>
      </c>
      <c r="Y443" s="386"/>
      <c r="AJ443" s="390">
        <v>0</v>
      </c>
    </row>
    <row r="444" spans="2:36" s="379" customFormat="1" ht="11.25" customHeight="1">
      <c r="B444" s="380" t="s">
        <v>291</v>
      </c>
      <c r="C444" s="381"/>
      <c r="D444" s="381"/>
      <c r="E444" s="382" t="s">
        <v>552</v>
      </c>
      <c r="F444" s="379" t="s">
        <v>553</v>
      </c>
      <c r="G444" s="383" t="s">
        <v>554</v>
      </c>
      <c r="H444" s="379" t="s">
        <v>137</v>
      </c>
      <c r="I444" s="379" t="s">
        <v>141</v>
      </c>
      <c r="J444" s="385">
        <v>5773.2</v>
      </c>
      <c r="L444" s="385">
        <v>5.66</v>
      </c>
      <c r="M444" s="385">
        <v>5.66</v>
      </c>
      <c r="N444" s="386">
        <v>865.98</v>
      </c>
      <c r="O444" s="387">
        <v>0.25</v>
      </c>
      <c r="P444" s="387"/>
      <c r="Q444" s="386">
        <v>0</v>
      </c>
      <c r="R444" s="379" t="s">
        <v>42</v>
      </c>
      <c r="S444" s="388" t="s">
        <v>41</v>
      </c>
      <c r="T444" s="388">
        <v>17</v>
      </c>
      <c r="U444" s="389" t="s">
        <v>164</v>
      </c>
      <c r="V444" s="433"/>
      <c r="X444" s="386">
        <v>0</v>
      </c>
      <c r="Y444" s="386"/>
      <c r="AJ444" s="390">
        <v>0</v>
      </c>
    </row>
    <row r="445" spans="2:36" s="153" customFormat="1" ht="11.25" customHeight="1">
      <c r="B445" s="154" t="s">
        <v>291</v>
      </c>
      <c r="C445" s="155">
        <v>44655</v>
      </c>
      <c r="D445" s="155">
        <v>44658</v>
      </c>
      <c r="E445" s="156" t="s">
        <v>583</v>
      </c>
      <c r="F445" s="153" t="s">
        <v>581</v>
      </c>
      <c r="G445" s="157" t="s">
        <v>582</v>
      </c>
      <c r="H445" s="153" t="s">
        <v>138</v>
      </c>
      <c r="I445" s="153" t="s">
        <v>141</v>
      </c>
      <c r="J445" s="158">
        <v>27133.66</v>
      </c>
      <c r="L445" s="158">
        <v>25.79</v>
      </c>
      <c r="M445" s="158">
        <v>25.79</v>
      </c>
      <c r="N445" s="159"/>
      <c r="O445" s="160">
        <v>0.2</v>
      </c>
      <c r="P445" s="160"/>
      <c r="Q445" s="159">
        <v>0</v>
      </c>
      <c r="R445" s="153" t="s">
        <v>146</v>
      </c>
      <c r="S445" s="161" t="s">
        <v>74</v>
      </c>
      <c r="T445" s="161">
        <v>31</v>
      </c>
      <c r="U445" s="162" t="s">
        <v>164</v>
      </c>
      <c r="V445" s="435"/>
      <c r="X445" s="159">
        <v>0</v>
      </c>
      <c r="Y445" s="159"/>
      <c r="AD445" s="176">
        <f>X445</f>
        <v>0</v>
      </c>
      <c r="AJ445" s="644"/>
    </row>
    <row r="446" spans="2:36" s="261" customFormat="1" ht="11.25" customHeight="1">
      <c r="B446" s="258" t="s">
        <v>291</v>
      </c>
      <c r="E446" s="260" t="s">
        <v>583</v>
      </c>
      <c r="F446" s="261" t="s">
        <v>581</v>
      </c>
      <c r="G446" s="262" t="s">
        <v>582</v>
      </c>
      <c r="H446" s="261" t="s">
        <v>27</v>
      </c>
      <c r="I446" s="261" t="s">
        <v>141</v>
      </c>
      <c r="J446" s="263">
        <v>44961.66</v>
      </c>
      <c r="L446" s="263">
        <v>31.82</v>
      </c>
      <c r="M446" s="263">
        <v>31.82</v>
      </c>
      <c r="N446" s="265">
        <f>0.25*J446</f>
        <v>11240.415000000001</v>
      </c>
      <c r="O446" s="266">
        <v>0.2</v>
      </c>
      <c r="P446" s="266"/>
      <c r="Q446" s="265">
        <v>0</v>
      </c>
      <c r="R446" s="261" t="s">
        <v>146</v>
      </c>
      <c r="S446" s="267" t="s">
        <v>74</v>
      </c>
      <c r="T446" s="267">
        <v>31</v>
      </c>
      <c r="U446" s="268" t="s">
        <v>164</v>
      </c>
      <c r="V446" s="427"/>
      <c r="W446" s="261" t="s">
        <v>3487</v>
      </c>
      <c r="X446" s="265">
        <v>0</v>
      </c>
      <c r="Y446" s="265"/>
      <c r="AG446" s="261">
        <f>X446</f>
        <v>0</v>
      </c>
      <c r="AJ446" s="642"/>
    </row>
    <row r="447" spans="2:36" s="261" customFormat="1" ht="11.25" customHeight="1">
      <c r="B447" s="258" t="s">
        <v>291</v>
      </c>
      <c r="C447" s="259"/>
      <c r="D447" s="259"/>
      <c r="E447" s="260" t="s">
        <v>583</v>
      </c>
      <c r="F447" s="261" t="s">
        <v>581</v>
      </c>
      <c r="G447" s="262" t="s">
        <v>582</v>
      </c>
      <c r="H447" s="261" t="s">
        <v>137</v>
      </c>
      <c r="I447" s="261" t="s">
        <v>141</v>
      </c>
      <c r="J447" s="263">
        <v>25029</v>
      </c>
      <c r="L447" s="263">
        <v>30.9</v>
      </c>
      <c r="M447" s="263">
        <v>30.9</v>
      </c>
      <c r="N447" s="265">
        <f>0.2*J447</f>
        <v>5005.8</v>
      </c>
      <c r="O447" s="266">
        <v>0.2</v>
      </c>
      <c r="P447" s="266"/>
      <c r="Q447" s="265">
        <f>N447-J447*O447</f>
        <v>0</v>
      </c>
      <c r="R447" s="261" t="s">
        <v>146</v>
      </c>
      <c r="S447" s="267" t="s">
        <v>74</v>
      </c>
      <c r="T447" s="267">
        <v>31</v>
      </c>
      <c r="U447" s="268" t="s">
        <v>164</v>
      </c>
      <c r="V447" s="427"/>
      <c r="W447" s="261" t="s">
        <v>3487</v>
      </c>
      <c r="X447" s="265">
        <v>0</v>
      </c>
      <c r="Y447" s="265"/>
      <c r="AG447" s="261">
        <f>X447</f>
        <v>0</v>
      </c>
      <c r="AJ447" s="642"/>
    </row>
    <row r="448" spans="2:36" s="261" customFormat="1" ht="11.25" customHeight="1">
      <c r="B448" s="258" t="s">
        <v>291</v>
      </c>
      <c r="C448" s="259">
        <v>44653</v>
      </c>
      <c r="D448" s="259">
        <v>44658</v>
      </c>
      <c r="E448" s="260" t="s">
        <v>555</v>
      </c>
      <c r="F448" s="273" t="s">
        <v>1156</v>
      </c>
      <c r="G448" s="262" t="s">
        <v>556</v>
      </c>
      <c r="H448" s="261" t="s">
        <v>493</v>
      </c>
      <c r="I448" s="261" t="s">
        <v>141</v>
      </c>
      <c r="J448" s="263">
        <v>15150.4</v>
      </c>
      <c r="L448" s="263">
        <v>16</v>
      </c>
      <c r="M448" s="263">
        <v>16</v>
      </c>
      <c r="N448" s="265">
        <v>2234.2105499999998</v>
      </c>
      <c r="O448" s="266">
        <v>0.2</v>
      </c>
      <c r="P448" s="266"/>
      <c r="Q448" s="265">
        <v>0</v>
      </c>
      <c r="R448" s="261" t="s">
        <v>42</v>
      </c>
      <c r="S448" s="267" t="s">
        <v>41</v>
      </c>
      <c r="T448" s="267">
        <v>79</v>
      </c>
      <c r="U448" s="268" t="s">
        <v>164</v>
      </c>
      <c r="V448" s="427"/>
      <c r="X448" s="265">
        <v>0</v>
      </c>
      <c r="Y448" s="265"/>
      <c r="AG448" s="261">
        <f>X448</f>
        <v>0</v>
      </c>
      <c r="AJ448" s="642"/>
    </row>
    <row r="449" spans="2:37" s="291" customFormat="1" ht="11.25" customHeight="1">
      <c r="B449" s="310" t="s">
        <v>291</v>
      </c>
      <c r="C449" s="292">
        <v>44655</v>
      </c>
      <c r="D449" s="292">
        <v>44658</v>
      </c>
      <c r="E449" s="293" t="s">
        <v>557</v>
      </c>
      <c r="F449" s="291" t="s">
        <v>558</v>
      </c>
      <c r="G449" s="294">
        <v>4478</v>
      </c>
      <c r="H449" s="291" t="s">
        <v>99</v>
      </c>
      <c r="I449" s="291" t="s">
        <v>334</v>
      </c>
      <c r="J449" s="296">
        <v>85365.08</v>
      </c>
      <c r="L449" s="296">
        <v>81.650000000000006</v>
      </c>
      <c r="M449" s="296">
        <v>81.650000000000006</v>
      </c>
      <c r="N449" s="297">
        <v>8536.5074999999997</v>
      </c>
      <c r="O449" s="298">
        <v>0.3</v>
      </c>
      <c r="P449" s="298"/>
      <c r="Q449" s="297">
        <v>0</v>
      </c>
      <c r="R449" s="291" t="s">
        <v>69</v>
      </c>
      <c r="S449" s="299" t="s">
        <v>41</v>
      </c>
      <c r="T449" s="299">
        <v>16</v>
      </c>
      <c r="U449" s="300" t="s">
        <v>164</v>
      </c>
      <c r="V449" s="333"/>
      <c r="W449" s="291" t="s">
        <v>3809</v>
      </c>
      <c r="X449" s="297">
        <v>0</v>
      </c>
      <c r="Y449" s="297"/>
      <c r="AH449" s="291">
        <f>X449</f>
        <v>0</v>
      </c>
      <c r="AI449" s="311"/>
      <c r="AJ449" s="468"/>
    </row>
    <row r="450" spans="2:37" s="291" customFormat="1" ht="11.25" customHeight="1">
      <c r="B450" s="310" t="s">
        <v>291</v>
      </c>
      <c r="C450" s="292"/>
      <c r="D450" s="292"/>
      <c r="E450" s="293" t="s">
        <v>557</v>
      </c>
      <c r="F450" s="291" t="s">
        <v>558</v>
      </c>
      <c r="G450" s="294">
        <v>4478</v>
      </c>
      <c r="H450" s="291" t="s">
        <v>310</v>
      </c>
      <c r="I450" s="291" t="s">
        <v>334</v>
      </c>
      <c r="J450" s="296">
        <v>7848.67</v>
      </c>
      <c r="L450" s="296">
        <v>12.16</v>
      </c>
      <c r="M450" s="296">
        <v>12.16</v>
      </c>
      <c r="N450" s="297">
        <v>1177.3008</v>
      </c>
      <c r="O450" s="298">
        <v>0.3</v>
      </c>
      <c r="P450" s="298"/>
      <c r="Q450" s="297">
        <v>0</v>
      </c>
      <c r="R450" s="291" t="s">
        <v>69</v>
      </c>
      <c r="S450" s="299" t="s">
        <v>41</v>
      </c>
      <c r="T450" s="299">
        <v>16</v>
      </c>
      <c r="U450" s="300" t="s">
        <v>164</v>
      </c>
      <c r="V450" s="333"/>
      <c r="W450" s="291" t="s">
        <v>3885</v>
      </c>
      <c r="X450" s="297">
        <v>0</v>
      </c>
      <c r="Y450" s="297"/>
      <c r="AH450" s="291">
        <f>X450</f>
        <v>0</v>
      </c>
      <c r="AI450" s="311"/>
      <c r="AJ450" s="468"/>
    </row>
    <row r="451" spans="2:37" s="261" customFormat="1" ht="11.25" customHeight="1">
      <c r="B451" s="258" t="s">
        <v>291</v>
      </c>
      <c r="C451" s="259"/>
      <c r="D451" s="259"/>
      <c r="E451" s="260" t="s">
        <v>557</v>
      </c>
      <c r="F451" s="261" t="s">
        <v>558</v>
      </c>
      <c r="G451" s="262">
        <v>4478</v>
      </c>
      <c r="H451" s="261" t="s">
        <v>27</v>
      </c>
      <c r="I451" s="261" t="s">
        <v>334</v>
      </c>
      <c r="J451" s="263">
        <v>54652.43</v>
      </c>
      <c r="L451" s="263">
        <v>45.13</v>
      </c>
      <c r="M451" s="263">
        <v>45.13</v>
      </c>
      <c r="N451" s="265">
        <v>8197.8644999999997</v>
      </c>
      <c r="O451" s="266">
        <v>0.3</v>
      </c>
      <c r="P451" s="266"/>
      <c r="Q451" s="265">
        <v>0</v>
      </c>
      <c r="R451" s="261" t="s">
        <v>69</v>
      </c>
      <c r="S451" s="267" t="s">
        <v>41</v>
      </c>
      <c r="T451" s="267">
        <v>16</v>
      </c>
      <c r="U451" s="268" t="s">
        <v>164</v>
      </c>
      <c r="V451" s="427"/>
      <c r="W451" s="261" t="s">
        <v>3809</v>
      </c>
      <c r="X451" s="265">
        <v>0</v>
      </c>
      <c r="Y451" s="265"/>
      <c r="AG451" s="261">
        <f>X451</f>
        <v>0</v>
      </c>
      <c r="AJ451" s="642"/>
    </row>
    <row r="452" spans="2:37" s="261" customFormat="1" ht="11.25" customHeight="1">
      <c r="B452" s="258" t="s">
        <v>291</v>
      </c>
      <c r="C452" s="259"/>
      <c r="D452" s="259"/>
      <c r="E452" s="260" t="s">
        <v>557</v>
      </c>
      <c r="F452" s="261" t="s">
        <v>558</v>
      </c>
      <c r="G452" s="262">
        <v>4478</v>
      </c>
      <c r="H452" s="261" t="s">
        <v>183</v>
      </c>
      <c r="I452" s="261" t="s">
        <v>334</v>
      </c>
      <c r="J452" s="263">
        <v>20458.89</v>
      </c>
      <c r="L452" s="263">
        <v>22.07</v>
      </c>
      <c r="M452" s="263">
        <v>22.07</v>
      </c>
      <c r="N452" s="265">
        <v>2045.8889999999999</v>
      </c>
      <c r="O452" s="266">
        <v>0.3</v>
      </c>
      <c r="P452" s="266"/>
      <c r="Q452" s="265">
        <v>0</v>
      </c>
      <c r="R452" s="261" t="s">
        <v>69</v>
      </c>
      <c r="S452" s="267" t="s">
        <v>41</v>
      </c>
      <c r="T452" s="267">
        <v>16</v>
      </c>
      <c r="U452" s="268" t="s">
        <v>164</v>
      </c>
      <c r="V452" s="427"/>
      <c r="W452" s="261" t="s">
        <v>3809</v>
      </c>
      <c r="X452" s="265">
        <v>0</v>
      </c>
      <c r="Y452" s="265"/>
      <c r="AG452" s="261">
        <f>X452</f>
        <v>0</v>
      </c>
      <c r="AJ452" s="642"/>
    </row>
    <row r="453" spans="2:37" s="205" customFormat="1" ht="11.25" customHeight="1">
      <c r="B453" s="206" t="s">
        <v>291</v>
      </c>
      <c r="C453" s="207">
        <v>44655</v>
      </c>
      <c r="D453" s="207">
        <v>44658</v>
      </c>
      <c r="E453" s="208" t="s">
        <v>559</v>
      </c>
      <c r="F453" s="205" t="s">
        <v>159</v>
      </c>
      <c r="G453" s="209">
        <v>3817</v>
      </c>
      <c r="H453" s="205" t="s">
        <v>27</v>
      </c>
      <c r="I453" s="205" t="s">
        <v>340</v>
      </c>
      <c r="J453" s="210">
        <v>8964</v>
      </c>
      <c r="L453" s="210">
        <v>6.64</v>
      </c>
      <c r="M453" s="210">
        <v>6.64</v>
      </c>
      <c r="N453" s="213">
        <v>1792.8</v>
      </c>
      <c r="O453" s="212">
        <v>0.15</v>
      </c>
      <c r="P453" s="212"/>
      <c r="Q453" s="213">
        <v>0</v>
      </c>
      <c r="R453" s="205" t="s">
        <v>112</v>
      </c>
      <c r="S453" s="214" t="s">
        <v>113</v>
      </c>
      <c r="T453" s="214">
        <v>64</v>
      </c>
      <c r="U453" s="215" t="s">
        <v>164</v>
      </c>
      <c r="V453" s="438"/>
      <c r="W453" s="205" t="s">
        <v>2812</v>
      </c>
      <c r="X453" s="213">
        <v>0</v>
      </c>
      <c r="Y453" s="213"/>
      <c r="AF453" s="230">
        <f>X453</f>
        <v>0</v>
      </c>
      <c r="AJ453" s="216"/>
    </row>
    <row r="454" spans="2:37" s="379" customFormat="1" ht="11.25" customHeight="1">
      <c r="B454" s="380" t="s">
        <v>291</v>
      </c>
      <c r="C454" s="381">
        <v>44654</v>
      </c>
      <c r="D454" s="381">
        <v>44658</v>
      </c>
      <c r="E454" s="382" t="s">
        <v>560</v>
      </c>
      <c r="F454" s="379" t="s">
        <v>561</v>
      </c>
      <c r="G454" s="383" t="s">
        <v>562</v>
      </c>
      <c r="H454" s="379" t="s">
        <v>27</v>
      </c>
      <c r="I454" s="379" t="s">
        <v>141</v>
      </c>
      <c r="J454" s="385">
        <v>47850</v>
      </c>
      <c r="L454" s="385">
        <v>29</v>
      </c>
      <c r="M454" s="385">
        <v>29</v>
      </c>
      <c r="N454" s="386">
        <v>0</v>
      </c>
      <c r="O454" s="387">
        <v>0.2</v>
      </c>
      <c r="P454" s="387"/>
      <c r="Q454" s="386">
        <v>0</v>
      </c>
      <c r="R454" s="379" t="s">
        <v>285</v>
      </c>
      <c r="S454" s="388" t="s">
        <v>275</v>
      </c>
      <c r="T454" s="388">
        <v>21</v>
      </c>
      <c r="U454" s="389" t="s">
        <v>164</v>
      </c>
      <c r="V454" s="433"/>
      <c r="X454" s="386">
        <v>0</v>
      </c>
      <c r="Y454" s="386"/>
      <c r="AJ454" s="390">
        <v>0</v>
      </c>
    </row>
    <row r="455" spans="2:37" s="379" customFormat="1" ht="11.25" customHeight="1">
      <c r="B455" s="380" t="s">
        <v>291</v>
      </c>
      <c r="C455" s="381">
        <v>44648</v>
      </c>
      <c r="D455" s="381">
        <v>44658</v>
      </c>
      <c r="E455" s="382" t="s">
        <v>563</v>
      </c>
      <c r="F455" s="379" t="s">
        <v>161</v>
      </c>
      <c r="G455" s="383">
        <v>3832</v>
      </c>
      <c r="H455" s="379" t="s">
        <v>99</v>
      </c>
      <c r="I455" s="379" t="s">
        <v>334</v>
      </c>
      <c r="J455" s="385">
        <v>45815</v>
      </c>
      <c r="L455" s="385">
        <v>50</v>
      </c>
      <c r="M455" s="385">
        <v>50</v>
      </c>
      <c r="N455" s="386"/>
      <c r="O455" s="387">
        <v>0.15</v>
      </c>
      <c r="P455" s="387"/>
      <c r="Q455" s="386">
        <v>0</v>
      </c>
      <c r="R455" s="379" t="s">
        <v>128</v>
      </c>
      <c r="S455" s="388" t="s">
        <v>41</v>
      </c>
      <c r="T455" s="388">
        <v>86</v>
      </c>
      <c r="U455" s="389" t="s">
        <v>164</v>
      </c>
      <c r="V455" s="433"/>
      <c r="X455" s="386">
        <v>0</v>
      </c>
      <c r="Y455" s="386"/>
      <c r="AJ455" s="390">
        <v>0</v>
      </c>
    </row>
    <row r="456" spans="2:37" s="379" customFormat="1" ht="11.25" customHeight="1">
      <c r="B456" s="380" t="s">
        <v>291</v>
      </c>
      <c r="C456" s="381"/>
      <c r="D456" s="381"/>
      <c r="E456" s="382" t="s">
        <v>563</v>
      </c>
      <c r="F456" s="379" t="s">
        <v>161</v>
      </c>
      <c r="G456" s="383">
        <v>3832</v>
      </c>
      <c r="H456" s="379" t="s">
        <v>162</v>
      </c>
      <c r="I456" s="379" t="s">
        <v>334</v>
      </c>
      <c r="J456" s="385">
        <v>5295.84</v>
      </c>
      <c r="L456" s="385">
        <v>18.88</v>
      </c>
      <c r="M456" s="385">
        <v>18.88</v>
      </c>
      <c r="N456" s="386"/>
      <c r="O456" s="387">
        <v>0.15</v>
      </c>
      <c r="P456" s="387"/>
      <c r="Q456" s="386">
        <v>0</v>
      </c>
      <c r="R456" s="379" t="s">
        <v>128</v>
      </c>
      <c r="S456" s="388" t="s">
        <v>41</v>
      </c>
      <c r="T456" s="388">
        <v>86</v>
      </c>
      <c r="U456" s="389" t="s">
        <v>164</v>
      </c>
      <c r="V456" s="433"/>
      <c r="X456" s="386">
        <v>0</v>
      </c>
      <c r="Y456" s="386"/>
      <c r="AJ456" s="390">
        <v>0</v>
      </c>
    </row>
    <row r="457" spans="2:37" s="379" customFormat="1" ht="11.25" customHeight="1">
      <c r="B457" s="380" t="s">
        <v>291</v>
      </c>
      <c r="C457" s="381"/>
      <c r="D457" s="381"/>
      <c r="E457" s="382" t="s">
        <v>563</v>
      </c>
      <c r="F457" s="379" t="s">
        <v>161</v>
      </c>
      <c r="G457" s="383">
        <v>3832</v>
      </c>
      <c r="H457" s="379" t="s">
        <v>564</v>
      </c>
      <c r="I457" s="379" t="s">
        <v>334</v>
      </c>
      <c r="J457" s="385">
        <v>20825.64</v>
      </c>
      <c r="L457" s="385">
        <v>34.159999999999997</v>
      </c>
      <c r="M457" s="385">
        <v>34.159999999999997</v>
      </c>
      <c r="N457" s="386"/>
      <c r="O457" s="387">
        <v>0.15</v>
      </c>
      <c r="P457" s="387"/>
      <c r="Q457" s="386">
        <v>0</v>
      </c>
      <c r="R457" s="379" t="s">
        <v>128</v>
      </c>
      <c r="S457" s="388" t="s">
        <v>41</v>
      </c>
      <c r="T457" s="388">
        <v>86</v>
      </c>
      <c r="U457" s="389" t="s">
        <v>164</v>
      </c>
      <c r="V457" s="433"/>
      <c r="X457" s="386">
        <v>0</v>
      </c>
      <c r="Y457" s="386"/>
      <c r="AJ457" s="390">
        <v>0</v>
      </c>
    </row>
    <row r="458" spans="2:37" s="379" customFormat="1" ht="11.25" customHeight="1">
      <c r="B458" s="380" t="s">
        <v>291</v>
      </c>
      <c r="C458" s="381"/>
      <c r="D458" s="381"/>
      <c r="E458" s="382" t="s">
        <v>563</v>
      </c>
      <c r="F458" s="379" t="s">
        <v>161</v>
      </c>
      <c r="G458" s="383">
        <v>3832</v>
      </c>
      <c r="H458" s="379" t="s">
        <v>27</v>
      </c>
      <c r="I458" s="379" t="s">
        <v>334</v>
      </c>
      <c r="J458" s="385">
        <v>13748.8</v>
      </c>
      <c r="L458" s="385">
        <v>13.22</v>
      </c>
      <c r="M458" s="385">
        <v>13.22</v>
      </c>
      <c r="N458" s="386"/>
      <c r="O458" s="387">
        <v>0.15</v>
      </c>
      <c r="P458" s="387"/>
      <c r="Q458" s="386">
        <v>0</v>
      </c>
      <c r="R458" s="379" t="s">
        <v>128</v>
      </c>
      <c r="S458" s="388" t="s">
        <v>41</v>
      </c>
      <c r="T458" s="388">
        <v>86</v>
      </c>
      <c r="U458" s="389" t="s">
        <v>164</v>
      </c>
      <c r="V458" s="433"/>
      <c r="X458" s="386">
        <v>0</v>
      </c>
      <c r="Y458" s="386"/>
      <c r="AJ458" s="390">
        <v>0</v>
      </c>
    </row>
    <row r="459" spans="2:37" s="181" customFormat="1" ht="11.25" customHeight="1">
      <c r="B459" s="178" t="s">
        <v>291</v>
      </c>
      <c r="C459" s="179">
        <v>44654</v>
      </c>
      <c r="D459" s="179">
        <v>44655</v>
      </c>
      <c r="E459" s="180" t="s">
        <v>565</v>
      </c>
      <c r="F459" s="181" t="s">
        <v>82</v>
      </c>
      <c r="G459" s="182">
        <v>3874</v>
      </c>
      <c r="H459" s="181" t="s">
        <v>27</v>
      </c>
      <c r="I459" s="181" t="s">
        <v>141</v>
      </c>
      <c r="J459" s="183">
        <v>95723.42</v>
      </c>
      <c r="L459" s="183">
        <v>48.17</v>
      </c>
      <c r="M459" s="183">
        <v>48.17</v>
      </c>
      <c r="N459" s="185">
        <v>0</v>
      </c>
      <c r="O459" s="186">
        <v>0.2</v>
      </c>
      <c r="P459" s="186"/>
      <c r="Q459" s="185">
        <v>0</v>
      </c>
      <c r="R459" s="181" t="s">
        <v>54</v>
      </c>
      <c r="S459" s="187" t="s">
        <v>65</v>
      </c>
      <c r="T459" s="187">
        <v>60</v>
      </c>
      <c r="U459" s="188" t="s">
        <v>164</v>
      </c>
      <c r="V459" s="441"/>
      <c r="W459" s="181" t="s">
        <v>2681</v>
      </c>
      <c r="X459" s="185">
        <v>0</v>
      </c>
      <c r="Y459" s="185"/>
      <c r="AE459" s="204">
        <f>X459</f>
        <v>0</v>
      </c>
      <c r="AJ459" s="189"/>
    </row>
    <row r="460" spans="2:37" s="647" customFormat="1" ht="11.25" customHeight="1">
      <c r="B460" s="661" t="s">
        <v>291</v>
      </c>
      <c r="C460" s="648">
        <v>44654</v>
      </c>
      <c r="D460" s="648">
        <v>44655</v>
      </c>
      <c r="E460" s="649" t="s">
        <v>566</v>
      </c>
      <c r="F460" s="647" t="s">
        <v>567</v>
      </c>
      <c r="G460" s="650">
        <v>4236</v>
      </c>
      <c r="H460" s="647" t="s">
        <v>295</v>
      </c>
      <c r="I460" s="647" t="s">
        <v>141</v>
      </c>
      <c r="J460" s="651">
        <v>12527.09</v>
      </c>
      <c r="L460" s="651">
        <v>16.21</v>
      </c>
      <c r="M460" s="651">
        <v>16.21</v>
      </c>
      <c r="N460" s="652"/>
      <c r="O460" s="653">
        <v>0.15</v>
      </c>
      <c r="P460" s="653"/>
      <c r="Q460" s="652">
        <v>0</v>
      </c>
      <c r="R460" s="647" t="s">
        <v>77</v>
      </c>
      <c r="S460" s="654" t="s">
        <v>41</v>
      </c>
      <c r="T460" s="654">
        <v>87</v>
      </c>
      <c r="U460" s="655" t="s">
        <v>164</v>
      </c>
      <c r="V460" s="656"/>
      <c r="X460" s="652">
        <v>0</v>
      </c>
      <c r="Y460" s="652"/>
      <c r="AI460" s="647">
        <v>0</v>
      </c>
      <c r="AJ460" s="657"/>
      <c r="AK460" s="658"/>
    </row>
    <row r="461" spans="2:37" s="647" customFormat="1" ht="11.25" customHeight="1">
      <c r="B461" s="661" t="s">
        <v>291</v>
      </c>
      <c r="C461" s="648"/>
      <c r="D461" s="648"/>
      <c r="E461" s="649" t="s">
        <v>566</v>
      </c>
      <c r="F461" s="647" t="s">
        <v>567</v>
      </c>
      <c r="G461" s="650">
        <v>4236</v>
      </c>
      <c r="H461" s="647" t="s">
        <v>163</v>
      </c>
      <c r="I461" s="647" t="s">
        <v>141</v>
      </c>
      <c r="J461" s="651">
        <v>21486.6</v>
      </c>
      <c r="L461" s="651">
        <v>27.6</v>
      </c>
      <c r="M461" s="651">
        <v>27.6</v>
      </c>
      <c r="N461" s="652"/>
      <c r="O461" s="653">
        <v>0.15</v>
      </c>
      <c r="P461" s="653"/>
      <c r="Q461" s="652">
        <v>0</v>
      </c>
      <c r="R461" s="647" t="s">
        <v>77</v>
      </c>
      <c r="S461" s="654" t="s">
        <v>41</v>
      </c>
      <c r="T461" s="654">
        <v>87</v>
      </c>
      <c r="U461" s="655" t="s">
        <v>164</v>
      </c>
      <c r="V461" s="656"/>
      <c r="X461" s="652">
        <v>0</v>
      </c>
      <c r="Y461" s="652"/>
      <c r="AI461" s="647">
        <v>0</v>
      </c>
      <c r="AJ461" s="657"/>
      <c r="AK461" s="658"/>
    </row>
    <row r="462" spans="2:37" s="153" customFormat="1" ht="11.25" customHeight="1">
      <c r="B462" s="154" t="s">
        <v>291</v>
      </c>
      <c r="C462" s="155"/>
      <c r="D462" s="155"/>
      <c r="E462" s="156" t="s">
        <v>566</v>
      </c>
      <c r="F462" s="153" t="s">
        <v>567</v>
      </c>
      <c r="G462" s="157">
        <v>4236</v>
      </c>
      <c r="H462" s="153" t="s">
        <v>99</v>
      </c>
      <c r="I462" s="153" t="s">
        <v>141</v>
      </c>
      <c r="J462" s="158">
        <v>9716.82</v>
      </c>
      <c r="L462" s="158">
        <v>10.46</v>
      </c>
      <c r="M462" s="158">
        <v>10.46</v>
      </c>
      <c r="N462" s="159"/>
      <c r="O462" s="160">
        <v>0.15</v>
      </c>
      <c r="P462" s="160"/>
      <c r="Q462" s="159">
        <v>0</v>
      </c>
      <c r="R462" s="153" t="s">
        <v>77</v>
      </c>
      <c r="S462" s="161" t="s">
        <v>41</v>
      </c>
      <c r="T462" s="161">
        <v>87</v>
      </c>
      <c r="U462" s="162" t="s">
        <v>164</v>
      </c>
      <c r="V462" s="435"/>
      <c r="W462" s="153" t="s">
        <v>1873</v>
      </c>
      <c r="X462" s="159">
        <v>0</v>
      </c>
      <c r="Y462" s="159"/>
      <c r="AD462" s="176">
        <f>X462</f>
        <v>0</v>
      </c>
      <c r="AJ462" s="644"/>
    </row>
    <row r="463" spans="2:37" s="153" customFormat="1" ht="11.25" customHeight="1">
      <c r="B463" s="154" t="s">
        <v>291</v>
      </c>
      <c r="C463" s="155"/>
      <c r="D463" s="155"/>
      <c r="E463" s="156" t="s">
        <v>566</v>
      </c>
      <c r="F463" s="153" t="s">
        <v>567</v>
      </c>
      <c r="G463" s="157">
        <v>4236</v>
      </c>
      <c r="H463" s="153" t="s">
        <v>27</v>
      </c>
      <c r="I463" s="153" t="s">
        <v>141</v>
      </c>
      <c r="J463" s="158">
        <v>12973.88</v>
      </c>
      <c r="L463" s="158">
        <v>11.93</v>
      </c>
      <c r="M463" s="158">
        <v>11.93</v>
      </c>
      <c r="N463" s="159"/>
      <c r="O463" s="160">
        <v>0.15</v>
      </c>
      <c r="P463" s="160"/>
      <c r="Q463" s="159">
        <v>0</v>
      </c>
      <c r="R463" s="153" t="s">
        <v>77</v>
      </c>
      <c r="S463" s="161" t="s">
        <v>41</v>
      </c>
      <c r="T463" s="161">
        <v>87</v>
      </c>
      <c r="U463" s="162" t="s">
        <v>164</v>
      </c>
      <c r="V463" s="435"/>
      <c r="W463" s="153" t="s">
        <v>1873</v>
      </c>
      <c r="X463" s="159">
        <v>0</v>
      </c>
      <c r="Y463" s="159"/>
      <c r="AD463" s="176">
        <f>X463</f>
        <v>0</v>
      </c>
      <c r="AJ463" s="644"/>
    </row>
    <row r="464" spans="2:37" s="379" customFormat="1" ht="11.25" customHeight="1">
      <c r="B464" s="380" t="s">
        <v>291</v>
      </c>
      <c r="C464" s="381">
        <v>44653</v>
      </c>
      <c r="D464" s="381">
        <v>44655</v>
      </c>
      <c r="E464" s="382" t="s">
        <v>568</v>
      </c>
      <c r="F464" s="379" t="s">
        <v>569</v>
      </c>
      <c r="G464" s="383">
        <v>3649</v>
      </c>
      <c r="H464" s="379" t="s">
        <v>27</v>
      </c>
      <c r="I464" s="379" t="s">
        <v>141</v>
      </c>
      <c r="J464" s="385">
        <v>21865.54</v>
      </c>
      <c r="L464" s="385">
        <v>14.96</v>
      </c>
      <c r="M464" s="385">
        <v>9</v>
      </c>
      <c r="N464" s="386"/>
      <c r="O464" s="387">
        <v>0.15</v>
      </c>
      <c r="P464" s="387"/>
      <c r="Q464" s="386">
        <v>0</v>
      </c>
      <c r="R464" s="379" t="s">
        <v>35</v>
      </c>
      <c r="S464" s="388" t="s">
        <v>41</v>
      </c>
      <c r="T464" s="388">
        <v>16</v>
      </c>
      <c r="U464" s="389" t="s">
        <v>164</v>
      </c>
      <c r="V464" s="433"/>
      <c r="X464" s="386">
        <v>0</v>
      </c>
      <c r="Y464" s="386"/>
      <c r="AJ464" s="390">
        <v>0</v>
      </c>
    </row>
    <row r="465" spans="1:77" s="6" customFormat="1" ht="11.25" customHeight="1">
      <c r="A465" s="379"/>
      <c r="B465" s="380" t="s">
        <v>291</v>
      </c>
      <c r="C465" s="381"/>
      <c r="D465" s="381"/>
      <c r="E465" s="382" t="s">
        <v>568</v>
      </c>
      <c r="F465" s="379" t="s">
        <v>569</v>
      </c>
      <c r="G465" s="383">
        <v>3649</v>
      </c>
      <c r="H465" s="379" t="s">
        <v>99</v>
      </c>
      <c r="I465" s="379" t="s">
        <v>141</v>
      </c>
      <c r="J465" s="385">
        <v>29682.34</v>
      </c>
      <c r="K465" s="379"/>
      <c r="L465" s="385">
        <v>26.54</v>
      </c>
      <c r="M465" s="385">
        <v>26.5</v>
      </c>
      <c r="N465" s="386"/>
      <c r="O465" s="387">
        <v>0.15</v>
      </c>
      <c r="P465" s="387"/>
      <c r="Q465" s="386">
        <v>0</v>
      </c>
      <c r="R465" s="379" t="s">
        <v>35</v>
      </c>
      <c r="S465" s="388" t="s">
        <v>41</v>
      </c>
      <c r="T465" s="388">
        <v>16</v>
      </c>
      <c r="U465" s="389" t="s">
        <v>164</v>
      </c>
      <c r="V465" s="433"/>
      <c r="W465" s="379"/>
      <c r="X465" s="386">
        <v>0</v>
      </c>
      <c r="Y465" s="386"/>
      <c r="Z465" s="379"/>
      <c r="AA465" s="379"/>
      <c r="AB465" s="379"/>
      <c r="AC465" s="379"/>
      <c r="AD465" s="379"/>
      <c r="AE465" s="379"/>
      <c r="AF465" s="379"/>
      <c r="AG465" s="379"/>
      <c r="AH465" s="379"/>
      <c r="AI465" s="379"/>
      <c r="AJ465" s="390">
        <v>0</v>
      </c>
      <c r="AK465" s="379"/>
      <c r="AL465" s="379"/>
      <c r="AM465" s="379"/>
      <c r="AN465" s="379"/>
      <c r="AO465" s="379"/>
      <c r="AP465" s="379"/>
      <c r="AQ465" s="379"/>
      <c r="AR465" s="379"/>
      <c r="AS465" s="379"/>
      <c r="AT465" s="379"/>
      <c r="AU465" s="379"/>
      <c r="AV465" s="379"/>
      <c r="AW465" s="379"/>
      <c r="AX465" s="379"/>
      <c r="AY465" s="379"/>
      <c r="AZ465" s="379"/>
      <c r="BA465" s="379"/>
      <c r="BB465" s="379"/>
      <c r="BC465" s="379"/>
      <c r="BD465" s="379"/>
      <c r="BE465" s="379"/>
      <c r="BF465" s="379"/>
      <c r="BG465" s="379"/>
      <c r="BH465" s="379"/>
      <c r="BI465" s="379"/>
      <c r="BJ465" s="379"/>
      <c r="BK465" s="379"/>
      <c r="BL465" s="379"/>
      <c r="BM465" s="379"/>
      <c r="BN465" s="379"/>
      <c r="BO465" s="379"/>
      <c r="BP465" s="379"/>
      <c r="BQ465" s="379"/>
      <c r="BR465" s="379"/>
      <c r="BS465" s="379"/>
      <c r="BT465" s="379"/>
      <c r="BU465" s="379"/>
      <c r="BV465" s="379"/>
      <c r="BW465" s="379"/>
      <c r="BX465" s="379"/>
      <c r="BY465" s="379"/>
    </row>
    <row r="466" spans="1:77" s="379" customFormat="1" ht="11.25" customHeight="1">
      <c r="B466" s="380" t="s">
        <v>291</v>
      </c>
      <c r="C466" s="381"/>
      <c r="D466" s="381"/>
      <c r="E466" s="382" t="s">
        <v>568</v>
      </c>
      <c r="F466" s="379" t="s">
        <v>569</v>
      </c>
      <c r="G466" s="383">
        <v>3649</v>
      </c>
      <c r="H466" s="379" t="s">
        <v>183</v>
      </c>
      <c r="I466" s="379" t="s">
        <v>141</v>
      </c>
      <c r="J466" s="385">
        <v>3298.68</v>
      </c>
      <c r="L466" s="385">
        <v>3.74</v>
      </c>
      <c r="M466" s="385">
        <v>4.5999999999999996</v>
      </c>
      <c r="N466" s="386"/>
      <c r="O466" s="387">
        <v>0.15</v>
      </c>
      <c r="P466" s="387"/>
      <c r="Q466" s="386">
        <v>0</v>
      </c>
      <c r="R466" s="379" t="s">
        <v>35</v>
      </c>
      <c r="S466" s="388" t="s">
        <v>41</v>
      </c>
      <c r="T466" s="388">
        <v>16</v>
      </c>
      <c r="U466" s="389" t="s">
        <v>164</v>
      </c>
      <c r="V466" s="433"/>
      <c r="X466" s="386">
        <v>0</v>
      </c>
      <c r="Y466" s="386"/>
      <c r="AJ466" s="390">
        <v>0</v>
      </c>
    </row>
    <row r="467" spans="1:77" s="181" customFormat="1" ht="11.25" customHeight="1">
      <c r="B467" s="178" t="s">
        <v>291</v>
      </c>
      <c r="C467" s="179">
        <v>44655</v>
      </c>
      <c r="D467" s="179">
        <v>44655</v>
      </c>
      <c r="E467" s="180" t="s">
        <v>570</v>
      </c>
      <c r="F467" s="181" t="s">
        <v>571</v>
      </c>
      <c r="G467" s="182">
        <v>4199</v>
      </c>
      <c r="H467" s="181" t="s">
        <v>99</v>
      </c>
      <c r="I467" s="181" t="s">
        <v>141</v>
      </c>
      <c r="J467" s="183">
        <v>105727.61</v>
      </c>
      <c r="L467" s="183">
        <v>72.72</v>
      </c>
      <c r="M467" s="183">
        <v>72.72</v>
      </c>
      <c r="N467" s="185"/>
      <c r="O467" s="186">
        <v>0.2</v>
      </c>
      <c r="P467" s="186"/>
      <c r="Q467" s="185">
        <v>0</v>
      </c>
      <c r="R467" s="181" t="s">
        <v>42</v>
      </c>
      <c r="S467" s="187" t="s">
        <v>41</v>
      </c>
      <c r="T467" s="187">
        <v>16</v>
      </c>
      <c r="U467" s="188" t="s">
        <v>164</v>
      </c>
      <c r="V467" s="441"/>
      <c r="W467" s="181" t="s">
        <v>2423</v>
      </c>
      <c r="X467" s="185">
        <v>0</v>
      </c>
      <c r="Y467" s="185"/>
      <c r="AE467" s="204">
        <f>X467</f>
        <v>0</v>
      </c>
      <c r="AJ467" s="189"/>
    </row>
    <row r="468" spans="1:77" s="261" customFormat="1" ht="11.25" customHeight="1">
      <c r="B468" s="258" t="s">
        <v>291</v>
      </c>
      <c r="C468" s="259">
        <v>44655</v>
      </c>
      <c r="D468" s="259">
        <v>44655</v>
      </c>
      <c r="E468" s="260" t="s">
        <v>572</v>
      </c>
      <c r="F468" s="261" t="s">
        <v>573</v>
      </c>
      <c r="G468" s="262">
        <v>4590</v>
      </c>
      <c r="H468" s="261" t="s">
        <v>140</v>
      </c>
      <c r="I468" s="261" t="s">
        <v>141</v>
      </c>
      <c r="J468" s="263">
        <v>31977.95</v>
      </c>
      <c r="L468" s="263">
        <v>20.27</v>
      </c>
      <c r="M468" s="263">
        <v>20.27</v>
      </c>
      <c r="N468" s="265">
        <f>J468*0.1</f>
        <v>3197.7950000000001</v>
      </c>
      <c r="O468" s="266">
        <v>0.3</v>
      </c>
      <c r="P468" s="266"/>
      <c r="Q468" s="265">
        <v>0</v>
      </c>
      <c r="R468" s="261" t="s">
        <v>42</v>
      </c>
      <c r="S468" s="267" t="s">
        <v>41</v>
      </c>
      <c r="T468" s="267">
        <v>17</v>
      </c>
      <c r="U468" s="268" t="s">
        <v>164</v>
      </c>
      <c r="V468" s="427"/>
      <c r="W468" s="261" t="s">
        <v>3550</v>
      </c>
      <c r="X468" s="265">
        <v>0</v>
      </c>
      <c r="Y468" s="265"/>
      <c r="AG468" s="261">
        <f>X468</f>
        <v>0</v>
      </c>
      <c r="AJ468" s="642"/>
    </row>
    <row r="469" spans="1:77" s="261" customFormat="1" ht="11.25" customHeight="1">
      <c r="B469" s="258" t="s">
        <v>291</v>
      </c>
      <c r="C469" s="259"/>
      <c r="D469" s="259"/>
      <c r="E469" s="260" t="s">
        <v>572</v>
      </c>
      <c r="F469" s="261" t="s">
        <v>573</v>
      </c>
      <c r="G469" s="262">
        <v>4590</v>
      </c>
      <c r="H469" s="261" t="s">
        <v>99</v>
      </c>
      <c r="I469" s="261" t="s">
        <v>141</v>
      </c>
      <c r="J469" s="263">
        <v>13689.48</v>
      </c>
      <c r="L469" s="263">
        <v>11.37</v>
      </c>
      <c r="M469" s="263">
        <v>11.37</v>
      </c>
      <c r="N469" s="265">
        <f>J469*0.05</f>
        <v>684.47400000000005</v>
      </c>
      <c r="O469" s="266">
        <v>0.3</v>
      </c>
      <c r="P469" s="266"/>
      <c r="Q469" s="265">
        <v>0</v>
      </c>
      <c r="R469" s="261" t="s">
        <v>42</v>
      </c>
      <c r="S469" s="267" t="s">
        <v>41</v>
      </c>
      <c r="T469" s="267">
        <v>17</v>
      </c>
      <c r="U469" s="268" t="s">
        <v>164</v>
      </c>
      <c r="V469" s="427"/>
      <c r="W469" s="261" t="s">
        <v>3550</v>
      </c>
      <c r="X469" s="265">
        <v>0</v>
      </c>
      <c r="Y469" s="265"/>
      <c r="AG469" s="261">
        <f>X469</f>
        <v>0</v>
      </c>
      <c r="AJ469" s="642"/>
    </row>
    <row r="470" spans="1:77" s="261" customFormat="1" ht="11.25" customHeight="1">
      <c r="B470" s="258" t="s">
        <v>291</v>
      </c>
      <c r="C470" s="259"/>
      <c r="D470" s="259"/>
      <c r="E470" s="260" t="s">
        <v>572</v>
      </c>
      <c r="F470" s="261" t="s">
        <v>573</v>
      </c>
      <c r="G470" s="262">
        <v>4590</v>
      </c>
      <c r="H470" s="261" t="s">
        <v>27</v>
      </c>
      <c r="I470" s="261" t="s">
        <v>141</v>
      </c>
      <c r="J470" s="263">
        <v>50635.199999999997</v>
      </c>
      <c r="L470" s="263">
        <v>28.77</v>
      </c>
      <c r="M470" s="263">
        <v>28.77</v>
      </c>
      <c r="N470" s="265">
        <f>J470*0.1</f>
        <v>5063.5200000000004</v>
      </c>
      <c r="O470" s="266">
        <v>0.3</v>
      </c>
      <c r="P470" s="266"/>
      <c r="Q470" s="265">
        <v>0</v>
      </c>
      <c r="R470" s="261" t="s">
        <v>42</v>
      </c>
      <c r="S470" s="267" t="s">
        <v>41</v>
      </c>
      <c r="T470" s="267">
        <v>17</v>
      </c>
      <c r="U470" s="268" t="s">
        <v>164</v>
      </c>
      <c r="V470" s="427"/>
      <c r="W470" s="261" t="s">
        <v>3824</v>
      </c>
      <c r="X470" s="265">
        <v>0</v>
      </c>
      <c r="Y470" s="265"/>
      <c r="AG470" s="261">
        <f>X470</f>
        <v>0</v>
      </c>
      <c r="AJ470" s="642"/>
    </row>
    <row r="471" spans="1:77" s="379" customFormat="1" ht="11.25" customHeight="1">
      <c r="B471" s="380" t="s">
        <v>291</v>
      </c>
      <c r="C471" s="381">
        <v>44655</v>
      </c>
      <c r="D471" s="381">
        <v>44655</v>
      </c>
      <c r="E471" s="382" t="s">
        <v>574</v>
      </c>
      <c r="F471" s="379" t="s">
        <v>575</v>
      </c>
      <c r="G471" s="383">
        <v>3787</v>
      </c>
      <c r="H471" s="379" t="s">
        <v>99</v>
      </c>
      <c r="I471" s="379" t="s">
        <v>141</v>
      </c>
      <c r="J471" s="385">
        <v>46867.14</v>
      </c>
      <c r="L471" s="385">
        <v>34.11</v>
      </c>
      <c r="M471" s="385">
        <v>34.11</v>
      </c>
      <c r="N471" s="386">
        <v>7030.0709999999999</v>
      </c>
      <c r="O471" s="387">
        <v>0.25</v>
      </c>
      <c r="P471" s="387"/>
      <c r="Q471" s="386">
        <v>0</v>
      </c>
      <c r="R471" s="379" t="s">
        <v>576</v>
      </c>
      <c r="S471" s="388" t="s">
        <v>347</v>
      </c>
      <c r="T471" s="388">
        <v>79</v>
      </c>
      <c r="U471" s="389" t="s">
        <v>164</v>
      </c>
      <c r="V471" s="433"/>
      <c r="X471" s="386">
        <v>0</v>
      </c>
      <c r="Y471" s="386"/>
      <c r="AJ471" s="390">
        <v>0</v>
      </c>
    </row>
    <row r="472" spans="1:77" s="379" customFormat="1" ht="11.25" customHeight="1">
      <c r="B472" s="380" t="s">
        <v>291</v>
      </c>
      <c r="C472" s="381"/>
      <c r="D472" s="381"/>
      <c r="E472" s="382" t="s">
        <v>574</v>
      </c>
      <c r="F472" s="379" t="s">
        <v>575</v>
      </c>
      <c r="G472" s="383">
        <v>3787</v>
      </c>
      <c r="H472" s="379" t="s">
        <v>27</v>
      </c>
      <c r="I472" s="379" t="s">
        <v>141</v>
      </c>
      <c r="J472" s="385">
        <v>33003.629999999997</v>
      </c>
      <c r="L472" s="385">
        <v>18.02</v>
      </c>
      <c r="M472" s="385">
        <v>18.02</v>
      </c>
      <c r="N472" s="386">
        <v>3300.3629999999998</v>
      </c>
      <c r="O472" s="387">
        <v>0.25</v>
      </c>
      <c r="P472" s="387"/>
      <c r="Q472" s="386">
        <v>0</v>
      </c>
      <c r="R472" s="379" t="s">
        <v>576</v>
      </c>
      <c r="S472" s="388" t="s">
        <v>347</v>
      </c>
      <c r="T472" s="388">
        <v>79</v>
      </c>
      <c r="U472" s="389" t="s">
        <v>164</v>
      </c>
      <c r="V472" s="433"/>
      <c r="X472" s="386">
        <v>0</v>
      </c>
      <c r="Y472" s="386"/>
      <c r="AJ472" s="390">
        <v>0</v>
      </c>
    </row>
    <row r="473" spans="1:77" s="379" customFormat="1" ht="11.25" customHeight="1">
      <c r="B473" s="380" t="s">
        <v>291</v>
      </c>
      <c r="C473" s="381"/>
      <c r="D473" s="381"/>
      <c r="E473" s="382" t="s">
        <v>574</v>
      </c>
      <c r="F473" s="379" t="s">
        <v>575</v>
      </c>
      <c r="G473" s="383">
        <v>3787</v>
      </c>
      <c r="H473" s="379" t="s">
        <v>386</v>
      </c>
      <c r="I473" s="379" t="s">
        <v>141</v>
      </c>
      <c r="J473" s="385">
        <v>18588.53</v>
      </c>
      <c r="L473" s="385">
        <v>17.010000000000002</v>
      </c>
      <c r="M473" s="385">
        <v>17.010000000000002</v>
      </c>
      <c r="N473" s="386">
        <v>2788.2791999999999</v>
      </c>
      <c r="O473" s="387">
        <v>0.25</v>
      </c>
      <c r="P473" s="387"/>
      <c r="Q473" s="386">
        <v>0</v>
      </c>
      <c r="R473" s="379" t="s">
        <v>576</v>
      </c>
      <c r="S473" s="388" t="s">
        <v>347</v>
      </c>
      <c r="T473" s="388">
        <v>79</v>
      </c>
      <c r="U473" s="389" t="s">
        <v>164</v>
      </c>
      <c r="V473" s="433"/>
      <c r="X473" s="386">
        <v>0</v>
      </c>
      <c r="Y473" s="386"/>
      <c r="AJ473" s="390">
        <v>0</v>
      </c>
    </row>
    <row r="474" spans="1:77" s="473" customFormat="1" ht="11.25" customHeight="1">
      <c r="B474" s="486" t="s">
        <v>291</v>
      </c>
      <c r="C474" s="487">
        <v>44655</v>
      </c>
      <c r="D474" s="487">
        <v>44656</v>
      </c>
      <c r="E474" s="488" t="s">
        <v>577</v>
      </c>
      <c r="F474" s="473" t="s">
        <v>578</v>
      </c>
      <c r="G474" s="489">
        <v>3566</v>
      </c>
      <c r="H474" s="473" t="s">
        <v>27</v>
      </c>
      <c r="I474" s="473" t="s">
        <v>141</v>
      </c>
      <c r="J474" s="490">
        <v>29275.57</v>
      </c>
      <c r="L474" s="490">
        <v>21.17</v>
      </c>
      <c r="M474" s="490">
        <v>21.17</v>
      </c>
      <c r="N474" s="492"/>
      <c r="O474" s="493">
        <v>0.2</v>
      </c>
      <c r="P474" s="493"/>
      <c r="Q474" s="492">
        <v>0</v>
      </c>
      <c r="R474" s="473" t="s">
        <v>42</v>
      </c>
      <c r="S474" s="481" t="s">
        <v>41</v>
      </c>
      <c r="T474" s="481">
        <v>16</v>
      </c>
      <c r="U474" s="494" t="s">
        <v>164</v>
      </c>
      <c r="V474" s="495"/>
      <c r="X474" s="492">
        <v>0</v>
      </c>
      <c r="Y474" s="492"/>
      <c r="AJ474" s="485"/>
      <c r="AK474" s="473">
        <v>0</v>
      </c>
    </row>
    <row r="475" spans="1:77" s="181" customFormat="1" ht="11.25" customHeight="1">
      <c r="B475" s="178" t="s">
        <v>291</v>
      </c>
      <c r="C475" s="179"/>
      <c r="D475" s="179"/>
      <c r="E475" s="180" t="s">
        <v>577</v>
      </c>
      <c r="F475" s="181" t="s">
        <v>578</v>
      </c>
      <c r="G475" s="182">
        <v>3566</v>
      </c>
      <c r="H475" s="181" t="s">
        <v>183</v>
      </c>
      <c r="I475" s="181" t="s">
        <v>141</v>
      </c>
      <c r="J475" s="183">
        <v>59986.94</v>
      </c>
      <c r="L475" s="183">
        <v>53.45</v>
      </c>
      <c r="M475" s="183">
        <v>53.45</v>
      </c>
      <c r="N475" s="185"/>
      <c r="O475" s="186">
        <v>0.2</v>
      </c>
      <c r="P475" s="186"/>
      <c r="Q475" s="185">
        <v>0</v>
      </c>
      <c r="R475" s="181" t="s">
        <v>42</v>
      </c>
      <c r="S475" s="187" t="s">
        <v>41</v>
      </c>
      <c r="T475" s="187">
        <v>16</v>
      </c>
      <c r="U475" s="188" t="s">
        <v>164</v>
      </c>
      <c r="V475" s="441"/>
      <c r="W475" s="181" t="s">
        <v>2421</v>
      </c>
      <c r="X475" s="185">
        <v>0</v>
      </c>
      <c r="Y475" s="185"/>
      <c r="AE475" s="204">
        <f>X475</f>
        <v>0</v>
      </c>
      <c r="AJ475" s="189"/>
    </row>
    <row r="476" spans="1:77" s="181" customFormat="1" ht="11.25" customHeight="1">
      <c r="B476" s="178" t="s">
        <v>291</v>
      </c>
      <c r="C476" s="179">
        <v>44655</v>
      </c>
      <c r="D476" s="179">
        <v>44655</v>
      </c>
      <c r="E476" s="180" t="s">
        <v>579</v>
      </c>
      <c r="F476" s="181" t="s">
        <v>580</v>
      </c>
      <c r="G476" s="182">
        <v>4357</v>
      </c>
      <c r="H476" s="181" t="s">
        <v>295</v>
      </c>
      <c r="I476" s="181" t="s">
        <v>141</v>
      </c>
      <c r="J476" s="183">
        <v>4732.8</v>
      </c>
      <c r="L476" s="183">
        <v>8.6999999999999993</v>
      </c>
      <c r="M476" s="183">
        <v>8.6999999999999993</v>
      </c>
      <c r="N476" s="185"/>
      <c r="O476" s="186">
        <v>0.2</v>
      </c>
      <c r="P476" s="186"/>
      <c r="Q476" s="185">
        <v>0</v>
      </c>
      <c r="R476" s="181" t="s">
        <v>42</v>
      </c>
      <c r="S476" s="187" t="s">
        <v>41</v>
      </c>
      <c r="T476" s="187">
        <v>16</v>
      </c>
      <c r="U476" s="188" t="s">
        <v>164</v>
      </c>
      <c r="V476" s="441"/>
      <c r="W476" s="181" t="s">
        <v>2280</v>
      </c>
      <c r="X476" s="185">
        <v>0</v>
      </c>
      <c r="Y476" s="185"/>
      <c r="AE476" s="204">
        <f>X476</f>
        <v>0</v>
      </c>
      <c r="AJ476" s="189"/>
    </row>
    <row r="477" spans="1:77" s="181" customFormat="1" ht="11.25" customHeight="1">
      <c r="B477" s="178" t="s">
        <v>291</v>
      </c>
      <c r="C477" s="179"/>
      <c r="D477" s="179"/>
      <c r="E477" s="180" t="s">
        <v>579</v>
      </c>
      <c r="F477" s="181" t="s">
        <v>580</v>
      </c>
      <c r="G477" s="182">
        <v>4357</v>
      </c>
      <c r="H477" s="181" t="s">
        <v>27</v>
      </c>
      <c r="I477" s="181" t="s">
        <v>141</v>
      </c>
      <c r="J477" s="183">
        <v>11689.7</v>
      </c>
      <c r="L477" s="183">
        <v>10.63</v>
      </c>
      <c r="M477" s="183">
        <v>10.63</v>
      </c>
      <c r="N477" s="185"/>
      <c r="O477" s="186">
        <v>0.2</v>
      </c>
      <c r="P477" s="186"/>
      <c r="Q477" s="185">
        <v>0</v>
      </c>
      <c r="R477" s="181" t="s">
        <v>42</v>
      </c>
      <c r="S477" s="187" t="s">
        <v>41</v>
      </c>
      <c r="T477" s="187">
        <v>16</v>
      </c>
      <c r="U477" s="188" t="s">
        <v>164</v>
      </c>
      <c r="V477" s="441"/>
      <c r="W477" s="181" t="s">
        <v>2280</v>
      </c>
      <c r="X477" s="185">
        <v>0</v>
      </c>
      <c r="Y477" s="185"/>
      <c r="AE477" s="204">
        <f>X477</f>
        <v>0</v>
      </c>
      <c r="AJ477" s="189"/>
    </row>
    <row r="478" spans="1:77" s="181" customFormat="1" ht="11.25" customHeight="1">
      <c r="B478" s="178" t="s">
        <v>291</v>
      </c>
      <c r="C478" s="179"/>
      <c r="D478" s="179"/>
      <c r="E478" s="180" t="s">
        <v>579</v>
      </c>
      <c r="F478" s="181" t="s">
        <v>580</v>
      </c>
      <c r="G478" s="182">
        <v>4357</v>
      </c>
      <c r="H478" s="181" t="s">
        <v>99</v>
      </c>
      <c r="I478" s="181" t="s">
        <v>141</v>
      </c>
      <c r="J478" s="183">
        <v>11789.95</v>
      </c>
      <c r="L478" s="183">
        <v>11.75</v>
      </c>
      <c r="M478" s="183">
        <v>11.75</v>
      </c>
      <c r="N478" s="185"/>
      <c r="O478" s="186">
        <v>0.2</v>
      </c>
      <c r="P478" s="186"/>
      <c r="Q478" s="185">
        <v>0</v>
      </c>
      <c r="R478" s="181" t="s">
        <v>42</v>
      </c>
      <c r="S478" s="187" t="s">
        <v>41</v>
      </c>
      <c r="T478" s="187">
        <v>16</v>
      </c>
      <c r="U478" s="188" t="s">
        <v>164</v>
      </c>
      <c r="V478" s="441"/>
      <c r="W478" s="181" t="s">
        <v>2280</v>
      </c>
      <c r="X478" s="185">
        <v>0</v>
      </c>
      <c r="Y478" s="185"/>
      <c r="AE478" s="204">
        <f>X478</f>
        <v>0</v>
      </c>
      <c r="AJ478" s="189"/>
    </row>
    <row r="479" spans="1:77" s="181" customFormat="1" ht="11.25" customHeight="1">
      <c r="B479" s="178" t="s">
        <v>291</v>
      </c>
      <c r="C479" s="179"/>
      <c r="D479" s="179"/>
      <c r="E479" s="180" t="s">
        <v>579</v>
      </c>
      <c r="F479" s="181" t="s">
        <v>580</v>
      </c>
      <c r="G479" s="182">
        <v>4357</v>
      </c>
      <c r="H479" s="181" t="s">
        <v>183</v>
      </c>
      <c r="I479" s="181" t="s">
        <v>141</v>
      </c>
      <c r="J479" s="183">
        <v>8487.1200000000008</v>
      </c>
      <c r="L479" s="183">
        <v>9.83</v>
      </c>
      <c r="M479" s="183">
        <v>9.83</v>
      </c>
      <c r="N479" s="185"/>
      <c r="O479" s="186">
        <v>0.2</v>
      </c>
      <c r="P479" s="186"/>
      <c r="Q479" s="185">
        <v>0</v>
      </c>
      <c r="R479" s="181" t="s">
        <v>42</v>
      </c>
      <c r="S479" s="187" t="s">
        <v>41</v>
      </c>
      <c r="T479" s="187">
        <v>16</v>
      </c>
      <c r="U479" s="188" t="s">
        <v>164</v>
      </c>
      <c r="V479" s="441"/>
      <c r="W479" s="181" t="s">
        <v>2280</v>
      </c>
      <c r="X479" s="185">
        <v>0</v>
      </c>
      <c r="Y479" s="185"/>
      <c r="AE479" s="204">
        <f>X479</f>
        <v>0</v>
      </c>
      <c r="AJ479" s="189"/>
    </row>
    <row r="480" spans="1:77" s="261" customFormat="1" ht="11.25" customHeight="1">
      <c r="B480" s="258" t="s">
        <v>291</v>
      </c>
      <c r="C480" s="259">
        <v>44655</v>
      </c>
      <c r="D480" s="259">
        <v>44655</v>
      </c>
      <c r="E480" s="260" t="s">
        <v>584</v>
      </c>
      <c r="F480" s="261" t="s">
        <v>585</v>
      </c>
      <c r="G480" s="262" t="s">
        <v>586</v>
      </c>
      <c r="H480" s="261" t="s">
        <v>192</v>
      </c>
      <c r="I480" s="261" t="s">
        <v>141</v>
      </c>
      <c r="J480" s="263">
        <v>18671.400000000001</v>
      </c>
      <c r="L480" s="263">
        <v>16.399999999999999</v>
      </c>
      <c r="M480" s="263">
        <v>16.399999999999999</v>
      </c>
      <c r="N480" s="265">
        <f>O480*J480</f>
        <v>2800.71</v>
      </c>
      <c r="O480" s="266">
        <v>0.15</v>
      </c>
      <c r="P480" s="266"/>
      <c r="Q480" s="265">
        <v>0</v>
      </c>
      <c r="R480" s="261" t="s">
        <v>576</v>
      </c>
      <c r="S480" s="267" t="s">
        <v>347</v>
      </c>
      <c r="T480" s="267">
        <v>79</v>
      </c>
      <c r="U480" s="268" t="s">
        <v>164</v>
      </c>
      <c r="V480" s="427"/>
      <c r="W480" s="261" t="s">
        <v>3757</v>
      </c>
      <c r="X480" s="265">
        <v>0</v>
      </c>
      <c r="Y480" s="265"/>
      <c r="AG480" s="261">
        <f>X480</f>
        <v>0</v>
      </c>
      <c r="AJ480" s="642"/>
    </row>
    <row r="481" spans="2:37" s="261" customFormat="1" ht="11.25" customHeight="1">
      <c r="B481" s="258" t="s">
        <v>291</v>
      </c>
      <c r="C481" s="259"/>
      <c r="D481" s="259"/>
      <c r="E481" s="260" t="s">
        <v>584</v>
      </c>
      <c r="F481" s="261" t="s">
        <v>585</v>
      </c>
      <c r="G481" s="262" t="s">
        <v>586</v>
      </c>
      <c r="H481" s="261" t="s">
        <v>157</v>
      </c>
      <c r="I481" s="261" t="s">
        <v>141</v>
      </c>
      <c r="J481" s="263">
        <v>8388.7999999999993</v>
      </c>
      <c r="L481" s="263">
        <v>7.49</v>
      </c>
      <c r="M481" s="263">
        <v>7.49</v>
      </c>
      <c r="N481" s="265">
        <v>838.88</v>
      </c>
      <c r="O481" s="266">
        <v>0.15</v>
      </c>
      <c r="P481" s="266"/>
      <c r="Q481" s="265">
        <v>0</v>
      </c>
      <c r="R481" s="261" t="s">
        <v>576</v>
      </c>
      <c r="S481" s="267" t="s">
        <v>347</v>
      </c>
      <c r="T481" s="267">
        <v>79</v>
      </c>
      <c r="U481" s="268" t="s">
        <v>164</v>
      </c>
      <c r="V481" s="427"/>
      <c r="W481" s="261" t="s">
        <v>3757</v>
      </c>
      <c r="X481" s="265">
        <v>0</v>
      </c>
      <c r="Y481" s="265"/>
      <c r="AG481" s="261">
        <f>X481</f>
        <v>0</v>
      </c>
      <c r="AJ481" s="642"/>
    </row>
    <row r="482" spans="2:37" s="261" customFormat="1" ht="11.25" customHeight="1">
      <c r="B482" s="258" t="s">
        <v>291</v>
      </c>
      <c r="C482" s="259"/>
      <c r="D482" s="259"/>
      <c r="E482" s="260" t="s">
        <v>584</v>
      </c>
      <c r="F482" s="261" t="s">
        <v>585</v>
      </c>
      <c r="G482" s="262" t="s">
        <v>586</v>
      </c>
      <c r="H482" s="261" t="s">
        <v>157</v>
      </c>
      <c r="I482" s="261" t="s">
        <v>141</v>
      </c>
      <c r="J482" s="263">
        <v>11670.4</v>
      </c>
      <c r="L482" s="263">
        <v>10.42</v>
      </c>
      <c r="M482" s="263">
        <v>10.42</v>
      </c>
      <c r="N482" s="265">
        <v>1750.56</v>
      </c>
      <c r="O482" s="266">
        <v>0.15</v>
      </c>
      <c r="P482" s="266"/>
      <c r="Q482" s="265">
        <v>0</v>
      </c>
      <c r="R482" s="261" t="s">
        <v>576</v>
      </c>
      <c r="S482" s="267" t="s">
        <v>347</v>
      </c>
      <c r="T482" s="267">
        <v>79</v>
      </c>
      <c r="U482" s="268" t="s">
        <v>164</v>
      </c>
      <c r="V482" s="427"/>
      <c r="W482" s="261" t="s">
        <v>3757</v>
      </c>
      <c r="X482" s="265">
        <v>0</v>
      </c>
      <c r="Y482" s="265"/>
      <c r="AG482" s="261">
        <f>X482</f>
        <v>0</v>
      </c>
      <c r="AJ482" s="642"/>
    </row>
    <row r="483" spans="2:37" s="379" customFormat="1" ht="11.25" customHeight="1">
      <c r="B483" s="380" t="s">
        <v>291</v>
      </c>
      <c r="C483" s="381"/>
      <c r="D483" s="381"/>
      <c r="E483" s="382" t="s">
        <v>587</v>
      </c>
      <c r="F483" s="379" t="s">
        <v>588</v>
      </c>
      <c r="G483" s="383">
        <v>4500</v>
      </c>
      <c r="H483" s="379" t="s">
        <v>589</v>
      </c>
      <c r="I483" s="379" t="s">
        <v>141</v>
      </c>
      <c r="J483" s="385">
        <v>10997.91</v>
      </c>
      <c r="L483" s="385">
        <v>10.58</v>
      </c>
      <c r="M483" s="385">
        <v>10.58</v>
      </c>
      <c r="N483" s="386"/>
      <c r="O483" s="387">
        <v>0.2</v>
      </c>
      <c r="P483" s="387"/>
      <c r="Q483" s="386">
        <v>0</v>
      </c>
      <c r="R483" s="379" t="s">
        <v>35</v>
      </c>
      <c r="S483" s="388" t="s">
        <v>41</v>
      </c>
      <c r="T483" s="388">
        <v>86</v>
      </c>
      <c r="U483" s="389" t="s">
        <v>164</v>
      </c>
      <c r="V483" s="433"/>
      <c r="X483" s="386">
        <v>0</v>
      </c>
      <c r="Y483" s="386"/>
      <c r="AJ483" s="390">
        <v>0</v>
      </c>
    </row>
    <row r="484" spans="2:37" s="153" customFormat="1" ht="11.25" customHeight="1">
      <c r="B484" s="154" t="s">
        <v>291</v>
      </c>
      <c r="C484" s="155">
        <v>44655</v>
      </c>
      <c r="D484" s="155">
        <v>44655</v>
      </c>
      <c r="E484" s="156" t="s">
        <v>587</v>
      </c>
      <c r="F484" s="153" t="s">
        <v>588</v>
      </c>
      <c r="G484" s="157">
        <v>4500</v>
      </c>
      <c r="H484" s="153" t="s">
        <v>99</v>
      </c>
      <c r="I484" s="153" t="s">
        <v>141</v>
      </c>
      <c r="J484" s="158">
        <v>51229.64</v>
      </c>
      <c r="L484" s="158">
        <v>49.16</v>
      </c>
      <c r="M484" s="158">
        <v>49.16</v>
      </c>
      <c r="N484" s="159"/>
      <c r="O484" s="160">
        <v>0.2</v>
      </c>
      <c r="P484" s="160"/>
      <c r="Q484" s="159">
        <v>0</v>
      </c>
      <c r="R484" s="153" t="s">
        <v>35</v>
      </c>
      <c r="S484" s="161" t="s">
        <v>41</v>
      </c>
      <c r="T484" s="161">
        <v>86</v>
      </c>
      <c r="U484" s="162" t="s">
        <v>164</v>
      </c>
      <c r="V484" s="435"/>
      <c r="W484" s="153" t="s">
        <v>1866</v>
      </c>
      <c r="X484" s="159">
        <v>0</v>
      </c>
      <c r="Y484" s="159"/>
      <c r="AD484" s="176">
        <f>X484</f>
        <v>0</v>
      </c>
      <c r="AJ484" s="644"/>
    </row>
    <row r="485" spans="2:37" s="153" customFormat="1" ht="11.25" customHeight="1">
      <c r="B485" s="154" t="s">
        <v>291</v>
      </c>
      <c r="C485" s="155"/>
      <c r="D485" s="155"/>
      <c r="E485" s="156" t="s">
        <v>587</v>
      </c>
      <c r="F485" s="153" t="s">
        <v>588</v>
      </c>
      <c r="G485" s="157">
        <v>4500</v>
      </c>
      <c r="H485" s="153" t="s">
        <v>27</v>
      </c>
      <c r="I485" s="153" t="s">
        <v>141</v>
      </c>
      <c r="J485" s="158">
        <v>32717.52</v>
      </c>
      <c r="L485" s="158">
        <v>26.73</v>
      </c>
      <c r="M485" s="158">
        <v>26.73</v>
      </c>
      <c r="N485" s="159"/>
      <c r="O485" s="160">
        <v>0.2</v>
      </c>
      <c r="P485" s="160"/>
      <c r="Q485" s="159">
        <v>0</v>
      </c>
      <c r="R485" s="153" t="s">
        <v>35</v>
      </c>
      <c r="S485" s="161" t="s">
        <v>41</v>
      </c>
      <c r="T485" s="161">
        <v>86</v>
      </c>
      <c r="U485" s="162" t="s">
        <v>164</v>
      </c>
      <c r="V485" s="435"/>
      <c r="W485" s="153" t="s">
        <v>1866</v>
      </c>
      <c r="X485" s="159">
        <v>0</v>
      </c>
      <c r="Y485" s="159"/>
      <c r="AD485" s="176">
        <f>X485</f>
        <v>0</v>
      </c>
      <c r="AJ485" s="644"/>
    </row>
    <row r="486" spans="2:37" s="473" customFormat="1" ht="11.25" customHeight="1">
      <c r="B486" s="486" t="s">
        <v>291</v>
      </c>
      <c r="C486" s="487">
        <v>44655</v>
      </c>
      <c r="D486" s="487">
        <v>44655</v>
      </c>
      <c r="E486" s="488" t="s">
        <v>590</v>
      </c>
      <c r="F486" s="473" t="s">
        <v>591</v>
      </c>
      <c r="G486" s="489">
        <v>3545</v>
      </c>
      <c r="H486" s="473" t="s">
        <v>27</v>
      </c>
      <c r="I486" s="473" t="s">
        <v>141</v>
      </c>
      <c r="J486" s="490">
        <v>125550</v>
      </c>
      <c r="L486" s="490">
        <v>67.5</v>
      </c>
      <c r="M486" s="490">
        <v>67.5</v>
      </c>
      <c r="N486" s="492"/>
      <c r="O486" s="493">
        <v>0.2</v>
      </c>
      <c r="P486" s="493"/>
      <c r="Q486" s="492">
        <v>0</v>
      </c>
      <c r="R486" s="473" t="s">
        <v>77</v>
      </c>
      <c r="S486" s="481" t="s">
        <v>41</v>
      </c>
      <c r="T486" s="481">
        <v>16</v>
      </c>
      <c r="U486" s="494" t="s">
        <v>164</v>
      </c>
      <c r="V486" s="495"/>
      <c r="X486" s="492">
        <v>0</v>
      </c>
      <c r="Y486" s="492"/>
      <c r="AJ486" s="485"/>
      <c r="AK486" s="473">
        <v>0</v>
      </c>
    </row>
    <row r="487" spans="2:37" s="473" customFormat="1" ht="11.25" customHeight="1">
      <c r="B487" s="486" t="s">
        <v>291</v>
      </c>
      <c r="C487" s="487"/>
      <c r="D487" s="487"/>
      <c r="E487" s="488" t="s">
        <v>590</v>
      </c>
      <c r="F487" s="473" t="s">
        <v>591</v>
      </c>
      <c r="G487" s="489">
        <v>3545</v>
      </c>
      <c r="H487" s="473" t="s">
        <v>99</v>
      </c>
      <c r="I487" s="473" t="s">
        <v>141</v>
      </c>
      <c r="J487" s="490">
        <v>11970.56</v>
      </c>
      <c r="L487" s="490">
        <v>11.2</v>
      </c>
      <c r="M487" s="490">
        <v>11.2</v>
      </c>
      <c r="N487" s="492"/>
      <c r="O487" s="493">
        <v>0.2</v>
      </c>
      <c r="P487" s="493"/>
      <c r="Q487" s="492">
        <v>0</v>
      </c>
      <c r="R487" s="473" t="s">
        <v>77</v>
      </c>
      <c r="S487" s="481" t="s">
        <v>41</v>
      </c>
      <c r="T487" s="481">
        <v>16</v>
      </c>
      <c r="U487" s="494" t="s">
        <v>164</v>
      </c>
      <c r="V487" s="495"/>
      <c r="X487" s="492">
        <v>0</v>
      </c>
      <c r="Y487" s="492"/>
      <c r="AJ487" s="485"/>
      <c r="AK487" s="473">
        <v>0</v>
      </c>
    </row>
    <row r="488" spans="2:37" s="473" customFormat="1" ht="11.25" customHeight="1">
      <c r="B488" s="486" t="s">
        <v>291</v>
      </c>
      <c r="C488" s="487"/>
      <c r="D488" s="487"/>
      <c r="E488" s="488" t="s">
        <v>590</v>
      </c>
      <c r="F488" s="473" t="s">
        <v>591</v>
      </c>
      <c r="G488" s="489">
        <v>3545</v>
      </c>
      <c r="H488" s="473" t="s">
        <v>183</v>
      </c>
      <c r="I488" s="473" t="s">
        <v>141</v>
      </c>
      <c r="J488" s="490">
        <v>22210.35</v>
      </c>
      <c r="L488" s="490">
        <v>28.15</v>
      </c>
      <c r="M488" s="490">
        <v>28.15</v>
      </c>
      <c r="N488" s="492"/>
      <c r="O488" s="493">
        <v>0.2</v>
      </c>
      <c r="P488" s="493"/>
      <c r="Q488" s="492">
        <v>0</v>
      </c>
      <c r="R488" s="473" t="s">
        <v>77</v>
      </c>
      <c r="S488" s="481" t="s">
        <v>41</v>
      </c>
      <c r="T488" s="481">
        <v>16</v>
      </c>
      <c r="U488" s="494" t="s">
        <v>164</v>
      </c>
      <c r="V488" s="495"/>
      <c r="X488" s="492">
        <v>0</v>
      </c>
      <c r="Y488" s="492"/>
      <c r="AJ488" s="485"/>
      <c r="AK488" s="473">
        <v>0</v>
      </c>
    </row>
    <row r="489" spans="2:37" s="153" customFormat="1" ht="11.25" customHeight="1">
      <c r="B489" s="154" t="s">
        <v>291</v>
      </c>
      <c r="C489" s="155">
        <v>44655</v>
      </c>
      <c r="D489" s="155">
        <v>44656</v>
      </c>
      <c r="E489" s="156" t="s">
        <v>592</v>
      </c>
      <c r="F489" s="153" t="s">
        <v>593</v>
      </c>
      <c r="G489" s="157">
        <v>3917</v>
      </c>
      <c r="H489" s="153" t="s">
        <v>138</v>
      </c>
      <c r="I489" s="153" t="s">
        <v>141</v>
      </c>
      <c r="J489" s="158">
        <v>3760.02</v>
      </c>
      <c r="L489" s="158">
        <v>2.7</v>
      </c>
      <c r="M489" s="158">
        <v>2.7</v>
      </c>
      <c r="N489" s="159"/>
      <c r="O489" s="160">
        <v>0.15</v>
      </c>
      <c r="P489" s="160"/>
      <c r="Q489" s="159">
        <v>0</v>
      </c>
      <c r="R489" s="153" t="s">
        <v>146</v>
      </c>
      <c r="S489" s="161" t="s">
        <v>74</v>
      </c>
      <c r="T489" s="161">
        <v>31</v>
      </c>
      <c r="U489" s="162" t="s">
        <v>164</v>
      </c>
      <c r="V489" s="435"/>
      <c r="X489" s="159">
        <v>0</v>
      </c>
      <c r="Y489" s="159"/>
      <c r="AD489" s="176">
        <f t="shared" ref="AD489:AD494" si="9">X489</f>
        <v>0</v>
      </c>
      <c r="AJ489" s="644"/>
    </row>
    <row r="490" spans="2:37" s="153" customFormat="1" ht="11.25" customHeight="1">
      <c r="B490" s="154" t="s">
        <v>291</v>
      </c>
      <c r="C490" s="155"/>
      <c r="D490" s="155"/>
      <c r="E490" s="156" t="s">
        <v>592</v>
      </c>
      <c r="F490" s="153" t="s">
        <v>593</v>
      </c>
      <c r="G490" s="157">
        <v>3917</v>
      </c>
      <c r="H490" s="153" t="s">
        <v>99</v>
      </c>
      <c r="I490" s="153" t="s">
        <v>141</v>
      </c>
      <c r="J490" s="158">
        <v>24372</v>
      </c>
      <c r="L490" s="158">
        <v>18</v>
      </c>
      <c r="M490" s="158">
        <v>18</v>
      </c>
      <c r="N490" s="159"/>
      <c r="O490" s="160">
        <v>0.15</v>
      </c>
      <c r="P490" s="160"/>
      <c r="Q490" s="159">
        <v>0</v>
      </c>
      <c r="R490" s="153" t="s">
        <v>146</v>
      </c>
      <c r="S490" s="161" t="s">
        <v>74</v>
      </c>
      <c r="T490" s="161">
        <v>31</v>
      </c>
      <c r="U490" s="162" t="s">
        <v>164</v>
      </c>
      <c r="V490" s="435"/>
      <c r="X490" s="159">
        <v>0</v>
      </c>
      <c r="Y490" s="159"/>
      <c r="AD490" s="176">
        <f t="shared" si="9"/>
        <v>0</v>
      </c>
      <c r="AJ490" s="644"/>
    </row>
    <row r="491" spans="2:37" s="153" customFormat="1" ht="11.25" customHeight="1">
      <c r="B491" s="154" t="s">
        <v>291</v>
      </c>
      <c r="C491" s="155"/>
      <c r="D491" s="155"/>
      <c r="E491" s="156" t="s">
        <v>592</v>
      </c>
      <c r="F491" s="153" t="s">
        <v>593</v>
      </c>
      <c r="G491" s="157">
        <v>3917</v>
      </c>
      <c r="H491" s="153" t="s">
        <v>183</v>
      </c>
      <c r="I491" s="153" t="s">
        <v>141</v>
      </c>
      <c r="J491" s="158">
        <v>11832</v>
      </c>
      <c r="L491" s="158">
        <v>12</v>
      </c>
      <c r="M491" s="158">
        <v>12</v>
      </c>
      <c r="N491" s="159"/>
      <c r="O491" s="160">
        <v>0.15</v>
      </c>
      <c r="P491" s="160"/>
      <c r="Q491" s="159">
        <v>0</v>
      </c>
      <c r="R491" s="153" t="s">
        <v>146</v>
      </c>
      <c r="S491" s="161" t="s">
        <v>74</v>
      </c>
      <c r="T491" s="161">
        <v>31</v>
      </c>
      <c r="U491" s="162" t="s">
        <v>164</v>
      </c>
      <c r="V491" s="435"/>
      <c r="X491" s="159">
        <v>0</v>
      </c>
      <c r="Y491" s="159"/>
      <c r="AD491" s="176">
        <f t="shared" si="9"/>
        <v>0</v>
      </c>
      <c r="AJ491" s="644"/>
    </row>
    <row r="492" spans="2:37" s="153" customFormat="1" ht="11.25" customHeight="1">
      <c r="B492" s="154" t="s">
        <v>291</v>
      </c>
      <c r="C492" s="155"/>
      <c r="D492" s="155"/>
      <c r="E492" s="156" t="s">
        <v>592</v>
      </c>
      <c r="F492" s="153" t="s">
        <v>593</v>
      </c>
      <c r="G492" s="157">
        <v>3917</v>
      </c>
      <c r="H492" s="153" t="s">
        <v>140</v>
      </c>
      <c r="I492" s="153" t="s">
        <v>141</v>
      </c>
      <c r="J492" s="158">
        <v>13292.1</v>
      </c>
      <c r="L492" s="158">
        <v>9</v>
      </c>
      <c r="M492" s="158">
        <v>9</v>
      </c>
      <c r="N492" s="159"/>
      <c r="O492" s="160">
        <v>0.15</v>
      </c>
      <c r="P492" s="160"/>
      <c r="Q492" s="159">
        <v>0</v>
      </c>
      <c r="R492" s="153" t="s">
        <v>146</v>
      </c>
      <c r="S492" s="161" t="s">
        <v>74</v>
      </c>
      <c r="T492" s="161">
        <v>31</v>
      </c>
      <c r="U492" s="162" t="s">
        <v>164</v>
      </c>
      <c r="V492" s="435"/>
      <c r="X492" s="159">
        <v>0</v>
      </c>
      <c r="Y492" s="159"/>
      <c r="AD492" s="176">
        <f t="shared" si="9"/>
        <v>0</v>
      </c>
      <c r="AJ492" s="644"/>
    </row>
    <row r="493" spans="2:37" s="153" customFormat="1" ht="11.25" customHeight="1">
      <c r="B493" s="154" t="s">
        <v>291</v>
      </c>
      <c r="C493" s="155">
        <v>44655</v>
      </c>
      <c r="D493" s="155">
        <v>44655</v>
      </c>
      <c r="E493" s="156" t="s">
        <v>594</v>
      </c>
      <c r="F493" s="153" t="s">
        <v>595</v>
      </c>
      <c r="G493" s="157">
        <v>4507</v>
      </c>
      <c r="H493" s="153" t="s">
        <v>99</v>
      </c>
      <c r="I493" s="153" t="s">
        <v>141</v>
      </c>
      <c r="J493" s="158">
        <v>31005.040000000001</v>
      </c>
      <c r="L493" s="158">
        <v>30.86</v>
      </c>
      <c r="M493" s="158">
        <v>30.86</v>
      </c>
      <c r="N493" s="159"/>
      <c r="O493" s="160">
        <v>0.15</v>
      </c>
      <c r="P493" s="160"/>
      <c r="Q493" s="159">
        <v>0</v>
      </c>
      <c r="R493" s="153" t="s">
        <v>35</v>
      </c>
      <c r="S493" s="161" t="s">
        <v>41</v>
      </c>
      <c r="T493" s="161">
        <v>86</v>
      </c>
      <c r="U493" s="162" t="s">
        <v>164</v>
      </c>
      <c r="V493" s="435"/>
      <c r="W493" s="153" t="s">
        <v>1868</v>
      </c>
      <c r="X493" s="159">
        <v>0</v>
      </c>
      <c r="Y493" s="159"/>
      <c r="AD493" s="176">
        <f t="shared" si="9"/>
        <v>0</v>
      </c>
      <c r="AJ493" s="644"/>
    </row>
    <row r="494" spans="2:37" s="153" customFormat="1" ht="11.25" customHeight="1">
      <c r="B494" s="154" t="s">
        <v>291</v>
      </c>
      <c r="C494" s="155"/>
      <c r="D494" s="155"/>
      <c r="E494" s="156" t="s">
        <v>594</v>
      </c>
      <c r="F494" s="153" t="s">
        <v>595</v>
      </c>
      <c r="G494" s="157">
        <v>4507</v>
      </c>
      <c r="H494" s="153" t="s">
        <v>27</v>
      </c>
      <c r="I494" s="153" t="s">
        <v>141</v>
      </c>
      <c r="J494" s="158">
        <v>3207.6</v>
      </c>
      <c r="L494" s="158">
        <v>2.16</v>
      </c>
      <c r="M494" s="158">
        <v>2.16</v>
      </c>
      <c r="N494" s="159"/>
      <c r="O494" s="160">
        <v>0.15</v>
      </c>
      <c r="P494" s="160"/>
      <c r="Q494" s="159">
        <v>0</v>
      </c>
      <c r="R494" s="153" t="s">
        <v>35</v>
      </c>
      <c r="S494" s="161" t="s">
        <v>41</v>
      </c>
      <c r="T494" s="161">
        <v>86</v>
      </c>
      <c r="U494" s="162" t="s">
        <v>164</v>
      </c>
      <c r="V494" s="435"/>
      <c r="W494" s="153" t="s">
        <v>1868</v>
      </c>
      <c r="X494" s="159">
        <v>0</v>
      </c>
      <c r="Y494" s="159"/>
      <c r="AD494" s="176">
        <f t="shared" si="9"/>
        <v>0</v>
      </c>
      <c r="AJ494" s="644"/>
    </row>
    <row r="495" spans="2:37" s="291" customFormat="1" ht="11.25" customHeight="1">
      <c r="B495" s="310" t="s">
        <v>291</v>
      </c>
      <c r="C495" s="292">
        <v>44655</v>
      </c>
      <c r="D495" s="292">
        <v>44656</v>
      </c>
      <c r="E495" s="293" t="s">
        <v>596</v>
      </c>
      <c r="F495" s="291" t="s">
        <v>597</v>
      </c>
      <c r="G495" s="294">
        <v>3588</v>
      </c>
      <c r="H495" s="291" t="s">
        <v>27</v>
      </c>
      <c r="I495" s="291" t="s">
        <v>141</v>
      </c>
      <c r="J495" s="296">
        <v>54449.64</v>
      </c>
      <c r="L495" s="296">
        <v>38.130000000000003</v>
      </c>
      <c r="M495" s="296">
        <v>38.130000000000003</v>
      </c>
      <c r="N495" s="297"/>
      <c r="O495" s="298">
        <v>0.15</v>
      </c>
      <c r="P495" s="298"/>
      <c r="Q495" s="297">
        <v>0</v>
      </c>
      <c r="R495" s="291" t="s">
        <v>77</v>
      </c>
      <c r="S495" s="299" t="s">
        <v>41</v>
      </c>
      <c r="T495" s="299">
        <v>16</v>
      </c>
      <c r="U495" s="300" t="s">
        <v>164</v>
      </c>
      <c r="V495" s="333"/>
      <c r="W495" s="291" t="s">
        <v>3888</v>
      </c>
      <c r="X495" s="297">
        <v>0</v>
      </c>
      <c r="Y495" s="297"/>
      <c r="AH495" s="291">
        <f>X495</f>
        <v>0</v>
      </c>
      <c r="AI495" s="311"/>
      <c r="AJ495" s="468"/>
    </row>
    <row r="496" spans="2:37" s="291" customFormat="1" ht="11.25" customHeight="1">
      <c r="B496" s="310" t="s">
        <v>291</v>
      </c>
      <c r="C496" s="292"/>
      <c r="D496" s="292"/>
      <c r="E496" s="293" t="s">
        <v>596</v>
      </c>
      <c r="F496" s="291" t="s">
        <v>597</v>
      </c>
      <c r="G496" s="294">
        <v>3588</v>
      </c>
      <c r="H496" s="291" t="s">
        <v>183</v>
      </c>
      <c r="I496" s="291" t="s">
        <v>141</v>
      </c>
      <c r="J496" s="296">
        <v>31761.98</v>
      </c>
      <c r="L496" s="296">
        <v>41.93</v>
      </c>
      <c r="M496" s="296">
        <v>35.71</v>
      </c>
      <c r="N496" s="297"/>
      <c r="O496" s="298">
        <v>0.15</v>
      </c>
      <c r="P496" s="298"/>
      <c r="Q496" s="297">
        <v>0</v>
      </c>
      <c r="R496" s="291" t="s">
        <v>77</v>
      </c>
      <c r="S496" s="299" t="s">
        <v>41</v>
      </c>
      <c r="T496" s="299">
        <v>16</v>
      </c>
      <c r="U496" s="300" t="s">
        <v>164</v>
      </c>
      <c r="V496" s="333"/>
      <c r="W496" s="291" t="s">
        <v>3888</v>
      </c>
      <c r="X496" s="297">
        <v>0</v>
      </c>
      <c r="Y496" s="297"/>
      <c r="AH496" s="291">
        <f>X496</f>
        <v>0</v>
      </c>
      <c r="AI496" s="311"/>
      <c r="AJ496" s="468"/>
    </row>
    <row r="497" spans="2:37" s="153" customFormat="1" ht="11.25" customHeight="1">
      <c r="B497" s="154" t="s">
        <v>291</v>
      </c>
      <c r="C497" s="155">
        <v>44654</v>
      </c>
      <c r="D497" s="155">
        <v>44656</v>
      </c>
      <c r="E497" s="156" t="s">
        <v>598</v>
      </c>
      <c r="F497" s="153" t="s">
        <v>225</v>
      </c>
      <c r="G497" s="157">
        <v>4261</v>
      </c>
      <c r="H497" s="153" t="s">
        <v>99</v>
      </c>
      <c r="I497" s="153" t="s">
        <v>141</v>
      </c>
      <c r="J497" s="158">
        <v>20708.099999999999</v>
      </c>
      <c r="L497" s="158">
        <v>18</v>
      </c>
      <c r="M497" s="158">
        <v>18</v>
      </c>
      <c r="N497" s="159"/>
      <c r="O497" s="160">
        <v>0.2</v>
      </c>
      <c r="P497" s="160"/>
      <c r="Q497" s="159">
        <v>0</v>
      </c>
      <c r="R497" s="153" t="s">
        <v>142</v>
      </c>
      <c r="S497" s="161" t="s">
        <v>41</v>
      </c>
      <c r="T497" s="161">
        <v>24</v>
      </c>
      <c r="U497" s="162" t="s">
        <v>164</v>
      </c>
      <c r="V497" s="435"/>
      <c r="W497" s="153" t="s">
        <v>1245</v>
      </c>
      <c r="X497" s="159">
        <v>0</v>
      </c>
      <c r="Y497" s="159"/>
      <c r="AD497" s="176">
        <f>X497</f>
        <v>0</v>
      </c>
      <c r="AJ497" s="644"/>
    </row>
    <row r="498" spans="2:37" s="153" customFormat="1" ht="11.25" customHeight="1">
      <c r="B498" s="154" t="s">
        <v>291</v>
      </c>
      <c r="C498" s="155"/>
      <c r="D498" s="155"/>
      <c r="E498" s="156" t="s">
        <v>598</v>
      </c>
      <c r="F498" s="153" t="s">
        <v>225</v>
      </c>
      <c r="G498" s="157">
        <v>4261</v>
      </c>
      <c r="H498" s="153" t="s">
        <v>183</v>
      </c>
      <c r="I498" s="153" t="s">
        <v>141</v>
      </c>
      <c r="J498" s="158">
        <v>3727.44</v>
      </c>
      <c r="L498" s="158">
        <v>4</v>
      </c>
      <c r="M498" s="158">
        <v>4</v>
      </c>
      <c r="N498" s="159"/>
      <c r="O498" s="160">
        <v>0.2</v>
      </c>
      <c r="P498" s="160"/>
      <c r="Q498" s="159">
        <v>0</v>
      </c>
      <c r="R498" s="153" t="s">
        <v>142</v>
      </c>
      <c r="S498" s="161" t="s">
        <v>41</v>
      </c>
      <c r="T498" s="161">
        <v>24</v>
      </c>
      <c r="U498" s="162" t="s">
        <v>164</v>
      </c>
      <c r="V498" s="435"/>
      <c r="W498" s="153" t="s">
        <v>1245</v>
      </c>
      <c r="X498" s="159">
        <v>0</v>
      </c>
      <c r="Y498" s="159"/>
      <c r="AD498" s="176">
        <f>X498</f>
        <v>0</v>
      </c>
      <c r="AJ498" s="644"/>
    </row>
    <row r="499" spans="2:37" s="205" customFormat="1" ht="11.25" customHeight="1">
      <c r="B499" s="206" t="s">
        <v>291</v>
      </c>
      <c r="C499" s="207"/>
      <c r="D499" s="207"/>
      <c r="E499" s="208" t="s">
        <v>598</v>
      </c>
      <c r="F499" s="205" t="s">
        <v>225</v>
      </c>
      <c r="G499" s="209">
        <v>4261</v>
      </c>
      <c r="H499" s="205" t="s">
        <v>27</v>
      </c>
      <c r="I499" s="205" t="s">
        <v>141</v>
      </c>
      <c r="J499" s="210">
        <v>10996.9</v>
      </c>
      <c r="L499" s="210">
        <v>10</v>
      </c>
      <c r="M499" s="210">
        <v>10</v>
      </c>
      <c r="N499" s="213">
        <f>O499*J499</f>
        <v>2199.38</v>
      </c>
      <c r="O499" s="212">
        <v>0.2</v>
      </c>
      <c r="P499" s="212"/>
      <c r="Q499" s="213">
        <v>0</v>
      </c>
      <c r="R499" s="205" t="s">
        <v>142</v>
      </c>
      <c r="S499" s="214" t="s">
        <v>41</v>
      </c>
      <c r="T499" s="214">
        <v>24</v>
      </c>
      <c r="U499" s="215" t="s">
        <v>164</v>
      </c>
      <c r="V499" s="438"/>
      <c r="X499" s="213">
        <v>0</v>
      </c>
      <c r="Y499" s="213"/>
      <c r="AF499" s="230">
        <f>X499</f>
        <v>0</v>
      </c>
      <c r="AJ499" s="216"/>
    </row>
    <row r="500" spans="2:37" s="153" customFormat="1" ht="11.25" customHeight="1">
      <c r="B500" s="154" t="s">
        <v>291</v>
      </c>
      <c r="C500" s="155">
        <v>44654</v>
      </c>
      <c r="D500" s="155">
        <v>44655</v>
      </c>
      <c r="E500" s="156" t="s">
        <v>599</v>
      </c>
      <c r="F500" s="153" t="s">
        <v>507</v>
      </c>
      <c r="G500" s="157">
        <v>3578</v>
      </c>
      <c r="H500" s="153" t="s">
        <v>27</v>
      </c>
      <c r="I500" s="153" t="s">
        <v>141</v>
      </c>
      <c r="J500" s="158">
        <v>73746.720000000001</v>
      </c>
      <c r="L500" s="158">
        <v>48</v>
      </c>
      <c r="M500" s="158">
        <v>48</v>
      </c>
      <c r="N500" s="159"/>
      <c r="O500" s="160">
        <v>0.15</v>
      </c>
      <c r="P500" s="160"/>
      <c r="Q500" s="159">
        <v>0</v>
      </c>
      <c r="R500" s="153" t="s">
        <v>42</v>
      </c>
      <c r="S500" s="161" t="s">
        <v>41</v>
      </c>
      <c r="T500" s="161">
        <v>24</v>
      </c>
      <c r="U500" s="162" t="s">
        <v>164</v>
      </c>
      <c r="V500" s="435"/>
      <c r="W500" s="153" t="s">
        <v>1898</v>
      </c>
      <c r="X500" s="159">
        <v>0</v>
      </c>
      <c r="Y500" s="159"/>
      <c r="AD500" s="176">
        <f>X500</f>
        <v>0</v>
      </c>
      <c r="AJ500" s="644"/>
    </row>
    <row r="501" spans="2:37" s="153" customFormat="1" ht="11.25" customHeight="1">
      <c r="B501" s="154" t="s">
        <v>291</v>
      </c>
      <c r="C501" s="155"/>
      <c r="D501" s="155"/>
      <c r="E501" s="156" t="s">
        <v>599</v>
      </c>
      <c r="F501" s="153" t="s">
        <v>507</v>
      </c>
      <c r="G501" s="157">
        <v>3578</v>
      </c>
      <c r="H501" s="153" t="s">
        <v>138</v>
      </c>
      <c r="I501" s="153" t="s">
        <v>141</v>
      </c>
      <c r="J501" s="158">
        <v>13732.74</v>
      </c>
      <c r="L501" s="158">
        <v>14</v>
      </c>
      <c r="M501" s="158">
        <v>14</v>
      </c>
      <c r="N501" s="159"/>
      <c r="O501" s="160">
        <v>0.15</v>
      </c>
      <c r="P501" s="160"/>
      <c r="Q501" s="159">
        <v>0</v>
      </c>
      <c r="R501" s="153" t="s">
        <v>42</v>
      </c>
      <c r="S501" s="161" t="s">
        <v>41</v>
      </c>
      <c r="T501" s="161">
        <v>16</v>
      </c>
      <c r="U501" s="162" t="s">
        <v>164</v>
      </c>
      <c r="V501" s="435"/>
      <c r="W501" s="153" t="s">
        <v>1898</v>
      </c>
      <c r="X501" s="159">
        <v>0</v>
      </c>
      <c r="Y501" s="159"/>
      <c r="AD501" s="176">
        <f>X501</f>
        <v>0</v>
      </c>
      <c r="AJ501" s="644"/>
    </row>
    <row r="502" spans="2:37" s="181" customFormat="1" ht="11.25" customHeight="1">
      <c r="B502" s="178" t="s">
        <v>291</v>
      </c>
      <c r="C502" s="179"/>
      <c r="D502" s="179"/>
      <c r="E502" s="180" t="s">
        <v>599</v>
      </c>
      <c r="F502" s="181" t="s">
        <v>507</v>
      </c>
      <c r="G502" s="182">
        <v>3578</v>
      </c>
      <c r="H502" s="181" t="s">
        <v>99</v>
      </c>
      <c r="I502" s="181" t="s">
        <v>141</v>
      </c>
      <c r="J502" s="183">
        <v>100979.2</v>
      </c>
      <c r="L502" s="183">
        <v>98</v>
      </c>
      <c r="M502" s="183">
        <v>98</v>
      </c>
      <c r="N502" s="185"/>
      <c r="O502" s="186">
        <v>0.15</v>
      </c>
      <c r="P502" s="186"/>
      <c r="Q502" s="185">
        <v>0</v>
      </c>
      <c r="R502" s="181" t="s">
        <v>42</v>
      </c>
      <c r="S502" s="187" t="s">
        <v>41</v>
      </c>
      <c r="T502" s="187">
        <v>16</v>
      </c>
      <c r="U502" s="188" t="s">
        <v>164</v>
      </c>
      <c r="V502" s="441"/>
      <c r="W502" s="181" t="s">
        <v>1898</v>
      </c>
      <c r="X502" s="185">
        <v>0</v>
      </c>
      <c r="Y502" s="185"/>
      <c r="AE502" s="204">
        <f>X502</f>
        <v>0</v>
      </c>
      <c r="AJ502" s="189"/>
    </row>
    <row r="503" spans="2:37" s="181" customFormat="1" ht="11.25" customHeight="1">
      <c r="B503" s="178" t="s">
        <v>291</v>
      </c>
      <c r="C503" s="179"/>
      <c r="D503" s="179"/>
      <c r="E503" s="180" t="s">
        <v>599</v>
      </c>
      <c r="F503" s="181" t="s">
        <v>507</v>
      </c>
      <c r="G503" s="182">
        <v>3578</v>
      </c>
      <c r="H503" s="181" t="s">
        <v>27</v>
      </c>
      <c r="I503" s="181" t="s">
        <v>141</v>
      </c>
      <c r="J503" s="183">
        <v>10861.56</v>
      </c>
      <c r="L503" s="183">
        <v>17</v>
      </c>
      <c r="M503" s="183">
        <v>8.9</v>
      </c>
      <c r="N503" s="185"/>
      <c r="O503" s="186">
        <v>0.15</v>
      </c>
      <c r="P503" s="186"/>
      <c r="Q503" s="185">
        <v>0</v>
      </c>
      <c r="R503" s="181" t="s">
        <v>42</v>
      </c>
      <c r="S503" s="187" t="s">
        <v>41</v>
      </c>
      <c r="T503" s="187">
        <v>16</v>
      </c>
      <c r="U503" s="188" t="s">
        <v>164</v>
      </c>
      <c r="V503" s="441"/>
      <c r="W503" s="181" t="s">
        <v>1898</v>
      </c>
      <c r="X503" s="185">
        <v>0</v>
      </c>
      <c r="Y503" s="185"/>
      <c r="AE503" s="204">
        <f>X503</f>
        <v>0</v>
      </c>
      <c r="AJ503" s="189"/>
    </row>
    <row r="504" spans="2:37" s="181" customFormat="1" ht="11.25" customHeight="1">
      <c r="B504" s="178" t="s">
        <v>291</v>
      </c>
      <c r="C504" s="179"/>
      <c r="D504" s="179"/>
      <c r="E504" s="180" t="s">
        <v>599</v>
      </c>
      <c r="F504" s="181" t="s">
        <v>507</v>
      </c>
      <c r="G504" s="182">
        <v>3578</v>
      </c>
      <c r="H504" s="181" t="s">
        <v>183</v>
      </c>
      <c r="I504" s="181" t="s">
        <v>141</v>
      </c>
      <c r="J504" s="183">
        <v>54756</v>
      </c>
      <c r="L504" s="183">
        <v>54</v>
      </c>
      <c r="M504" s="183">
        <v>54</v>
      </c>
      <c r="N504" s="185"/>
      <c r="O504" s="186">
        <v>0.15</v>
      </c>
      <c r="P504" s="186"/>
      <c r="Q504" s="185">
        <v>0</v>
      </c>
      <c r="R504" s="181" t="s">
        <v>42</v>
      </c>
      <c r="S504" s="187" t="s">
        <v>41</v>
      </c>
      <c r="T504" s="187">
        <v>24</v>
      </c>
      <c r="U504" s="188" t="s">
        <v>164</v>
      </c>
      <c r="V504" s="441"/>
      <c r="W504" s="181" t="s">
        <v>1898</v>
      </c>
      <c r="X504" s="185">
        <v>0</v>
      </c>
      <c r="Y504" s="185"/>
      <c r="AE504" s="204">
        <f>X504</f>
        <v>0</v>
      </c>
      <c r="AJ504" s="189"/>
    </row>
    <row r="505" spans="2:37" s="337" customFormat="1" ht="11.25" customHeight="1">
      <c r="B505" s="338" t="s">
        <v>291</v>
      </c>
      <c r="C505" s="349">
        <v>44655</v>
      </c>
      <c r="D505" s="349">
        <v>44655</v>
      </c>
      <c r="E505" s="350" t="s">
        <v>600</v>
      </c>
      <c r="F505" s="337" t="s">
        <v>601</v>
      </c>
      <c r="G505" s="351">
        <v>3623</v>
      </c>
      <c r="H505" s="337" t="s">
        <v>99</v>
      </c>
      <c r="I505" s="337" t="s">
        <v>141</v>
      </c>
      <c r="J505" s="352">
        <v>57707.1</v>
      </c>
      <c r="L505" s="352">
        <v>58</v>
      </c>
      <c r="M505" s="352">
        <v>58</v>
      </c>
      <c r="N505" s="354"/>
      <c r="O505" s="355">
        <v>0.2</v>
      </c>
      <c r="P505" s="355"/>
      <c r="Q505" s="354">
        <v>0</v>
      </c>
      <c r="R505" s="337" t="s">
        <v>77</v>
      </c>
      <c r="S505" s="356" t="s">
        <v>41</v>
      </c>
      <c r="T505" s="356">
        <v>16</v>
      </c>
      <c r="U505" s="357" t="s">
        <v>164</v>
      </c>
      <c r="V505" s="434"/>
      <c r="X505" s="354">
        <v>0</v>
      </c>
      <c r="Y505" s="354"/>
      <c r="AI505" s="337">
        <f>X505</f>
        <v>0</v>
      </c>
      <c r="AJ505" s="358"/>
      <c r="AK505" s="369"/>
    </row>
    <row r="506" spans="2:37" s="337" customFormat="1" ht="11.25" customHeight="1">
      <c r="B506" s="338" t="s">
        <v>291</v>
      </c>
      <c r="C506" s="349"/>
      <c r="D506" s="349"/>
      <c r="E506" s="350" t="s">
        <v>600</v>
      </c>
      <c r="F506" s="337" t="s">
        <v>601</v>
      </c>
      <c r="G506" s="351">
        <v>3623</v>
      </c>
      <c r="H506" s="337" t="s">
        <v>27</v>
      </c>
      <c r="I506" s="337" t="s">
        <v>141</v>
      </c>
      <c r="J506" s="352">
        <v>30115</v>
      </c>
      <c r="L506" s="352">
        <v>25</v>
      </c>
      <c r="M506" s="352">
        <v>25</v>
      </c>
      <c r="N506" s="354"/>
      <c r="O506" s="355">
        <v>0.2</v>
      </c>
      <c r="P506" s="355"/>
      <c r="Q506" s="354">
        <v>0</v>
      </c>
      <c r="R506" s="337" t="s">
        <v>77</v>
      </c>
      <c r="S506" s="356" t="s">
        <v>41</v>
      </c>
      <c r="T506" s="356">
        <v>16</v>
      </c>
      <c r="U506" s="357" t="s">
        <v>164</v>
      </c>
      <c r="V506" s="434"/>
      <c r="X506" s="354">
        <v>0</v>
      </c>
      <c r="Y506" s="354"/>
      <c r="AI506" s="337">
        <f>X506</f>
        <v>0</v>
      </c>
      <c r="AJ506" s="358"/>
      <c r="AK506" s="369"/>
    </row>
    <row r="507" spans="2:37" s="337" customFormat="1" ht="11.25" customHeight="1">
      <c r="B507" s="338" t="s">
        <v>291</v>
      </c>
      <c r="C507" s="349"/>
      <c r="D507" s="349"/>
      <c r="E507" s="350" t="s">
        <v>600</v>
      </c>
      <c r="F507" s="337" t="s">
        <v>601</v>
      </c>
      <c r="G507" s="351">
        <v>3623</v>
      </c>
      <c r="H507" s="337" t="s">
        <v>183</v>
      </c>
      <c r="I507" s="337" t="s">
        <v>141</v>
      </c>
      <c r="J507" s="352">
        <v>31393.7</v>
      </c>
      <c r="L507" s="352">
        <v>38</v>
      </c>
      <c r="M507" s="352">
        <v>38</v>
      </c>
      <c r="N507" s="354"/>
      <c r="O507" s="355">
        <v>0.2</v>
      </c>
      <c r="P507" s="355"/>
      <c r="Q507" s="354">
        <v>0</v>
      </c>
      <c r="R507" s="337" t="s">
        <v>77</v>
      </c>
      <c r="S507" s="356" t="s">
        <v>41</v>
      </c>
      <c r="T507" s="356">
        <v>16</v>
      </c>
      <c r="U507" s="357" t="s">
        <v>164</v>
      </c>
      <c r="V507" s="434"/>
      <c r="X507" s="354">
        <v>0</v>
      </c>
      <c r="Y507" s="354"/>
      <c r="AI507" s="337">
        <f>X507</f>
        <v>0</v>
      </c>
      <c r="AJ507" s="358"/>
      <c r="AK507" s="369"/>
    </row>
    <row r="508" spans="2:37" s="291" customFormat="1" ht="11.25" customHeight="1">
      <c r="B508" s="310" t="s">
        <v>291</v>
      </c>
      <c r="C508" s="292">
        <v>44655</v>
      </c>
      <c r="D508" s="292">
        <v>44656</v>
      </c>
      <c r="E508" s="293" t="s">
        <v>602</v>
      </c>
      <c r="F508" s="291" t="s">
        <v>603</v>
      </c>
      <c r="G508" s="294">
        <v>3866</v>
      </c>
      <c r="H508" s="291" t="s">
        <v>27</v>
      </c>
      <c r="I508" s="291" t="s">
        <v>141</v>
      </c>
      <c r="J508" s="296">
        <v>16101.26</v>
      </c>
      <c r="L508" s="296">
        <v>10.76</v>
      </c>
      <c r="M508" s="296">
        <v>10.76</v>
      </c>
      <c r="N508" s="297"/>
      <c r="O508" s="298">
        <v>0.2</v>
      </c>
      <c r="P508" s="298"/>
      <c r="Q508" s="297">
        <v>0</v>
      </c>
      <c r="R508" s="291" t="s">
        <v>35</v>
      </c>
      <c r="S508" s="299" t="s">
        <v>41</v>
      </c>
      <c r="T508" s="299">
        <v>86</v>
      </c>
      <c r="U508" s="300" t="s">
        <v>164</v>
      </c>
      <c r="V508" s="333"/>
      <c r="W508" s="291" t="s">
        <v>3889</v>
      </c>
      <c r="X508" s="297">
        <v>0</v>
      </c>
      <c r="Y508" s="297"/>
      <c r="AH508" s="291">
        <f>X508</f>
        <v>0</v>
      </c>
      <c r="AI508" s="311"/>
      <c r="AJ508" s="468"/>
    </row>
    <row r="509" spans="2:37" s="153" customFormat="1" ht="11.25" customHeight="1">
      <c r="B509" s="154" t="s">
        <v>291</v>
      </c>
      <c r="C509" s="155">
        <v>44654</v>
      </c>
      <c r="D509" s="155">
        <v>44656</v>
      </c>
      <c r="E509" s="156" t="s">
        <v>604</v>
      </c>
      <c r="F509" s="153" t="s">
        <v>605</v>
      </c>
      <c r="G509" s="157">
        <v>3584</v>
      </c>
      <c r="H509" s="153" t="s">
        <v>27</v>
      </c>
      <c r="I509" s="153" t="s">
        <v>141</v>
      </c>
      <c r="J509" s="158">
        <v>32841.120000000003</v>
      </c>
      <c r="L509" s="158">
        <v>30.4</v>
      </c>
      <c r="M509" s="158">
        <v>30</v>
      </c>
      <c r="N509" s="159"/>
      <c r="O509" s="160">
        <v>0.15</v>
      </c>
      <c r="P509" s="160"/>
      <c r="Q509" s="159">
        <v>0</v>
      </c>
      <c r="R509" s="153" t="s">
        <v>77</v>
      </c>
      <c r="S509" s="161" t="s">
        <v>41</v>
      </c>
      <c r="T509" s="161">
        <v>16</v>
      </c>
      <c r="U509" s="162" t="s">
        <v>164</v>
      </c>
      <c r="V509" s="435"/>
      <c r="W509" s="153" t="s">
        <v>1891</v>
      </c>
      <c r="X509" s="159">
        <v>0</v>
      </c>
      <c r="Y509" s="159"/>
      <c r="AD509" s="176">
        <f>X509</f>
        <v>0</v>
      </c>
      <c r="AJ509" s="644"/>
    </row>
    <row r="510" spans="2:37" s="205" customFormat="1" ht="11.25" customHeight="1">
      <c r="B510" s="206" t="s">
        <v>291</v>
      </c>
      <c r="C510" s="207">
        <v>44655</v>
      </c>
      <c r="D510" s="207">
        <v>44657</v>
      </c>
      <c r="E510" s="208" t="s">
        <v>606</v>
      </c>
      <c r="F510" s="205" t="s">
        <v>172</v>
      </c>
      <c r="G510" s="209" t="s">
        <v>173</v>
      </c>
      <c r="H510" s="205" t="s">
        <v>27</v>
      </c>
      <c r="I510" s="205" t="s">
        <v>141</v>
      </c>
      <c r="J510" s="210">
        <v>40257.379999999997</v>
      </c>
      <c r="L510" s="210">
        <v>34.630000000000003</v>
      </c>
      <c r="M510" s="210">
        <v>34.630000000000003</v>
      </c>
      <c r="N510" s="213">
        <f>30%*J510</f>
        <v>12077.213999999998</v>
      </c>
      <c r="O510" s="212">
        <v>0.25</v>
      </c>
      <c r="P510" s="212"/>
      <c r="Q510" s="213">
        <v>0</v>
      </c>
      <c r="R510" s="205" t="s">
        <v>73</v>
      </c>
      <c r="S510" s="214" t="s">
        <v>113</v>
      </c>
      <c r="T510" s="214">
        <v>31</v>
      </c>
      <c r="U510" s="215" t="s">
        <v>164</v>
      </c>
      <c r="V510" s="438"/>
      <c r="W510" s="205" t="s">
        <v>3145</v>
      </c>
      <c r="X510" s="213">
        <v>0</v>
      </c>
      <c r="Y510" s="213"/>
      <c r="AF510" s="230">
        <f>X510</f>
        <v>0</v>
      </c>
      <c r="AJ510" s="216"/>
    </row>
    <row r="511" spans="2:37" s="181" customFormat="1" ht="11.25" customHeight="1">
      <c r="B511" s="178" t="s">
        <v>291</v>
      </c>
      <c r="C511" s="179">
        <v>44655</v>
      </c>
      <c r="D511" s="179">
        <v>44656</v>
      </c>
      <c r="E511" s="180" t="s">
        <v>607</v>
      </c>
      <c r="F511" s="181" t="s">
        <v>608</v>
      </c>
      <c r="G511" s="182">
        <v>3573</v>
      </c>
      <c r="H511" s="181" t="s">
        <v>27</v>
      </c>
      <c r="I511" s="181" t="s">
        <v>141</v>
      </c>
      <c r="J511" s="183">
        <v>28768</v>
      </c>
      <c r="L511" s="183">
        <v>31</v>
      </c>
      <c r="M511" s="183">
        <v>31</v>
      </c>
      <c r="N511" s="185"/>
      <c r="O511" s="186">
        <v>0.15</v>
      </c>
      <c r="P511" s="186"/>
      <c r="Q511" s="185">
        <v>0</v>
      </c>
      <c r="R511" s="181" t="s">
        <v>42</v>
      </c>
      <c r="S511" s="187" t="s">
        <v>41</v>
      </c>
      <c r="T511" s="187">
        <v>16</v>
      </c>
      <c r="U511" s="188" t="s">
        <v>164</v>
      </c>
      <c r="V511" s="441"/>
      <c r="X511" s="185">
        <v>0</v>
      </c>
      <c r="Y511" s="185"/>
      <c r="AE511" s="204">
        <f>X511</f>
        <v>0</v>
      </c>
      <c r="AJ511" s="189"/>
    </row>
    <row r="512" spans="2:37" s="181" customFormat="1" ht="11.25" customHeight="1">
      <c r="B512" s="178" t="s">
        <v>291</v>
      </c>
      <c r="C512" s="179"/>
      <c r="D512" s="179"/>
      <c r="E512" s="180" t="s">
        <v>607</v>
      </c>
      <c r="F512" s="181" t="s">
        <v>608</v>
      </c>
      <c r="G512" s="182">
        <v>3573</v>
      </c>
      <c r="H512" s="181" t="s">
        <v>183</v>
      </c>
      <c r="I512" s="181" t="s">
        <v>141</v>
      </c>
      <c r="J512" s="183">
        <v>35208</v>
      </c>
      <c r="L512" s="183">
        <v>36</v>
      </c>
      <c r="M512" s="183">
        <v>36</v>
      </c>
      <c r="N512" s="185"/>
      <c r="O512" s="186">
        <v>0.15</v>
      </c>
      <c r="P512" s="186"/>
      <c r="Q512" s="185">
        <v>0</v>
      </c>
      <c r="R512" s="181" t="s">
        <v>42</v>
      </c>
      <c r="S512" s="187" t="s">
        <v>41</v>
      </c>
      <c r="T512" s="187">
        <v>16</v>
      </c>
      <c r="U512" s="188" t="s">
        <v>164</v>
      </c>
      <c r="V512" s="441"/>
      <c r="X512" s="185">
        <v>0</v>
      </c>
      <c r="Y512" s="185"/>
      <c r="AE512" s="204">
        <f>X512</f>
        <v>0</v>
      </c>
      <c r="AJ512" s="189"/>
    </row>
    <row r="513" spans="1:77" s="546" customFormat="1" ht="11.25" customHeight="1">
      <c r="B513" s="559" t="s">
        <v>291</v>
      </c>
      <c r="C513" s="547">
        <v>44655</v>
      </c>
      <c r="D513" s="547">
        <v>44657</v>
      </c>
      <c r="E513" s="548" t="s">
        <v>609</v>
      </c>
      <c r="F513" s="546" t="s">
        <v>127</v>
      </c>
      <c r="G513" s="549">
        <v>4197</v>
      </c>
      <c r="H513" s="546" t="s">
        <v>27</v>
      </c>
      <c r="I513" s="546" t="s">
        <v>334</v>
      </c>
      <c r="J513" s="550">
        <v>38469.300000000003</v>
      </c>
      <c r="L513" s="550">
        <v>30</v>
      </c>
      <c r="M513" s="550">
        <v>30</v>
      </c>
      <c r="N513" s="552">
        <v>0</v>
      </c>
      <c r="O513" s="553">
        <v>0.25</v>
      </c>
      <c r="P513" s="553"/>
      <c r="Q513" s="552">
        <v>5150.33</v>
      </c>
      <c r="R513" s="546" t="s">
        <v>42</v>
      </c>
      <c r="S513" s="554" t="s">
        <v>41</v>
      </c>
      <c r="T513" s="554">
        <v>17</v>
      </c>
      <c r="U513" s="555" t="s">
        <v>164</v>
      </c>
      <c r="V513" s="556"/>
      <c r="X513" s="552">
        <v>5150.33</v>
      </c>
      <c r="Y513" s="552"/>
      <c r="AJ513" s="557"/>
      <c r="AM513" s="577">
        <v>5150.33</v>
      </c>
    </row>
    <row r="514" spans="1:77" s="379" customFormat="1" ht="11.25" customHeight="1">
      <c r="B514" s="380" t="s">
        <v>291</v>
      </c>
      <c r="C514" s="381"/>
      <c r="D514" s="381"/>
      <c r="E514" s="382" t="s">
        <v>609</v>
      </c>
      <c r="F514" s="379" t="s">
        <v>127</v>
      </c>
      <c r="G514" s="383">
        <v>4197</v>
      </c>
      <c r="H514" s="379" t="s">
        <v>99</v>
      </c>
      <c r="I514" s="379" t="s">
        <v>334</v>
      </c>
      <c r="J514" s="385">
        <v>82348.67</v>
      </c>
      <c r="L514" s="385">
        <v>88.69</v>
      </c>
      <c r="M514" s="385">
        <v>88.68</v>
      </c>
      <c r="N514" s="386">
        <v>12999</v>
      </c>
      <c r="O514" s="387">
        <v>0.25</v>
      </c>
      <c r="P514" s="387"/>
      <c r="Q514" s="386">
        <v>0</v>
      </c>
      <c r="R514" s="379" t="s">
        <v>42</v>
      </c>
      <c r="S514" s="388" t="s">
        <v>41</v>
      </c>
      <c r="T514" s="388">
        <v>17</v>
      </c>
      <c r="U514" s="389" t="s">
        <v>164</v>
      </c>
      <c r="V514" s="433"/>
      <c r="X514" s="386">
        <v>0</v>
      </c>
      <c r="Y514" s="386"/>
      <c r="AJ514" s="390">
        <v>0</v>
      </c>
    </row>
    <row r="515" spans="1:77" s="291" customFormat="1" ht="11.25" customHeight="1">
      <c r="A515" s="379"/>
      <c r="B515" s="380" t="s">
        <v>291</v>
      </c>
      <c r="C515" s="381"/>
      <c r="D515" s="381"/>
      <c r="E515" s="382" t="s">
        <v>610</v>
      </c>
      <c r="F515" s="379" t="s">
        <v>60</v>
      </c>
      <c r="G515" s="383">
        <v>3605</v>
      </c>
      <c r="H515" s="379" t="s">
        <v>310</v>
      </c>
      <c r="I515" s="379" t="s">
        <v>334</v>
      </c>
      <c r="J515" s="385">
        <v>6518.23</v>
      </c>
      <c r="K515" s="379"/>
      <c r="L515" s="385">
        <v>12.25</v>
      </c>
      <c r="M515" s="385">
        <v>12.25</v>
      </c>
      <c r="N515" s="386">
        <f>J515*0.05</f>
        <v>325.91149999999999</v>
      </c>
      <c r="O515" s="387">
        <v>0.15</v>
      </c>
      <c r="P515" s="387"/>
      <c r="Q515" s="386">
        <v>0</v>
      </c>
      <c r="R515" s="379" t="s">
        <v>69</v>
      </c>
      <c r="S515" s="388" t="s">
        <v>41</v>
      </c>
      <c r="T515" s="388">
        <v>79</v>
      </c>
      <c r="U515" s="389" t="s">
        <v>164</v>
      </c>
      <c r="V515" s="433"/>
      <c r="W515" s="379"/>
      <c r="X515" s="386">
        <v>0</v>
      </c>
      <c r="Y515" s="386"/>
      <c r="Z515" s="379"/>
      <c r="AA515" s="379"/>
      <c r="AB515" s="379"/>
      <c r="AC515" s="379"/>
      <c r="AD515" s="379"/>
      <c r="AE515" s="379"/>
      <c r="AF515" s="379"/>
      <c r="AG515" s="379"/>
      <c r="AH515" s="379"/>
      <c r="AI515" s="379"/>
      <c r="AJ515" s="390">
        <v>0</v>
      </c>
      <c r="AK515" s="379"/>
      <c r="AL515" s="379"/>
      <c r="AM515" s="379"/>
      <c r="AN515" s="379"/>
      <c r="AO515" s="379"/>
      <c r="AP515" s="379"/>
      <c r="AQ515" s="379"/>
      <c r="AR515" s="379"/>
      <c r="AS515" s="379"/>
      <c r="AT515" s="379"/>
      <c r="AU515" s="379"/>
      <c r="AV515" s="379"/>
      <c r="AW515" s="379"/>
      <c r="AX515" s="379"/>
      <c r="AY515" s="379"/>
      <c r="AZ515" s="379"/>
      <c r="BA515" s="379"/>
      <c r="BB515" s="379"/>
      <c r="BC515" s="379"/>
      <c r="BD515" s="379"/>
      <c r="BE515" s="379"/>
      <c r="BF515" s="379"/>
      <c r="BG515" s="379"/>
      <c r="BH515" s="379"/>
      <c r="BI515" s="379"/>
      <c r="BJ515" s="379"/>
      <c r="BK515" s="379"/>
      <c r="BL515" s="379"/>
      <c r="BM515" s="379"/>
      <c r="BN515" s="379"/>
      <c r="BO515" s="379"/>
      <c r="BP515" s="379"/>
      <c r="BQ515" s="379"/>
      <c r="BR515" s="379"/>
      <c r="BS515" s="379"/>
      <c r="BT515" s="379"/>
      <c r="BU515" s="379"/>
      <c r="BV515" s="379"/>
      <c r="BW515" s="379"/>
      <c r="BX515" s="379"/>
      <c r="BY515" s="379"/>
    </row>
    <row r="516" spans="1:77" s="291" customFormat="1" ht="11.25" customHeight="1">
      <c r="B516" s="310" t="s">
        <v>291</v>
      </c>
      <c r="C516" s="292">
        <v>44655</v>
      </c>
      <c r="D516" s="292">
        <v>44657</v>
      </c>
      <c r="E516" s="293" t="s">
        <v>610</v>
      </c>
      <c r="F516" s="291" t="s">
        <v>60</v>
      </c>
      <c r="G516" s="294">
        <v>3605</v>
      </c>
      <c r="H516" s="291" t="s">
        <v>99</v>
      </c>
      <c r="I516" s="291" t="s">
        <v>334</v>
      </c>
      <c r="J516" s="296">
        <v>66064.83</v>
      </c>
      <c r="L516" s="296">
        <v>55.54</v>
      </c>
      <c r="M516" s="296">
        <v>55.54</v>
      </c>
      <c r="N516" s="297">
        <v>6606.48</v>
      </c>
      <c r="O516" s="298">
        <v>0.15</v>
      </c>
      <c r="P516" s="298"/>
      <c r="Q516" s="297">
        <v>0</v>
      </c>
      <c r="R516" s="291" t="s">
        <v>69</v>
      </c>
      <c r="S516" s="299" t="s">
        <v>41</v>
      </c>
      <c r="T516" s="299">
        <v>79</v>
      </c>
      <c r="U516" s="300" t="s">
        <v>164</v>
      </c>
      <c r="V516" s="333"/>
      <c r="W516" s="291" t="s">
        <v>3919</v>
      </c>
      <c r="X516" s="297">
        <v>0</v>
      </c>
      <c r="Y516" s="297"/>
      <c r="AH516" s="291">
        <f>X516</f>
        <v>0</v>
      </c>
      <c r="AI516" s="311"/>
      <c r="AJ516" s="468"/>
    </row>
    <row r="517" spans="1:77" s="291" customFormat="1" ht="11.25" customHeight="1">
      <c r="B517" s="310" t="s">
        <v>291</v>
      </c>
      <c r="C517" s="292"/>
      <c r="D517" s="292"/>
      <c r="E517" s="293" t="s">
        <v>610</v>
      </c>
      <c r="F517" s="291" t="s">
        <v>60</v>
      </c>
      <c r="G517" s="294">
        <v>3605</v>
      </c>
      <c r="H517" s="291" t="s">
        <v>27</v>
      </c>
      <c r="I517" s="291" t="s">
        <v>334</v>
      </c>
      <c r="J517" s="296">
        <v>18848.73</v>
      </c>
      <c r="L517" s="296">
        <v>15.17</v>
      </c>
      <c r="M517" s="296">
        <v>15.17</v>
      </c>
      <c r="N517" s="297">
        <v>2827.31</v>
      </c>
      <c r="O517" s="298">
        <v>0.15</v>
      </c>
      <c r="P517" s="298"/>
      <c r="Q517" s="297">
        <v>560</v>
      </c>
      <c r="R517" s="291" t="s">
        <v>69</v>
      </c>
      <c r="S517" s="299" t="s">
        <v>41</v>
      </c>
      <c r="T517" s="299">
        <v>79</v>
      </c>
      <c r="U517" s="300" t="s">
        <v>164</v>
      </c>
      <c r="V517" s="333">
        <v>560</v>
      </c>
      <c r="X517" s="297">
        <v>560</v>
      </c>
      <c r="Y517" s="297"/>
      <c r="AH517" s="311">
        <f>X517</f>
        <v>560</v>
      </c>
      <c r="AI517" s="311"/>
      <c r="AJ517" s="468"/>
    </row>
    <row r="518" spans="1:77" s="261" customFormat="1" ht="11.25" customHeight="1">
      <c r="B518" s="258" t="s">
        <v>291</v>
      </c>
      <c r="C518" s="259">
        <v>44654</v>
      </c>
      <c r="D518" s="259">
        <v>44657</v>
      </c>
      <c r="E518" s="260" t="s">
        <v>611</v>
      </c>
      <c r="F518" s="261" t="s">
        <v>612</v>
      </c>
      <c r="G518" s="262">
        <v>4556</v>
      </c>
      <c r="H518" s="261" t="s">
        <v>99</v>
      </c>
      <c r="I518" s="261" t="s">
        <v>263</v>
      </c>
      <c r="J518" s="263">
        <v>33878.11</v>
      </c>
      <c r="L518" s="263">
        <v>29.49</v>
      </c>
      <c r="M518" s="263">
        <v>29.49</v>
      </c>
      <c r="N518" s="265"/>
      <c r="O518" s="266">
        <v>0.3</v>
      </c>
      <c r="P518" s="266"/>
      <c r="Q518" s="265">
        <v>0</v>
      </c>
      <c r="R518" s="261" t="s">
        <v>149</v>
      </c>
      <c r="S518" s="267" t="s">
        <v>150</v>
      </c>
      <c r="T518" s="267">
        <v>40</v>
      </c>
      <c r="U518" s="268" t="s">
        <v>164</v>
      </c>
      <c r="V518" s="427"/>
      <c r="W518" s="261" t="s">
        <v>3664</v>
      </c>
      <c r="X518" s="265">
        <v>0</v>
      </c>
      <c r="Y518" s="265"/>
      <c r="AG518" s="261">
        <f>X518</f>
        <v>0</v>
      </c>
      <c r="AJ518" s="642"/>
    </row>
    <row r="519" spans="1:77" s="379" customFormat="1" ht="11.25" customHeight="1">
      <c r="B519" s="380" t="s">
        <v>291</v>
      </c>
      <c r="C519" s="381">
        <v>44656</v>
      </c>
      <c r="D519" s="381">
        <v>44658</v>
      </c>
      <c r="E519" s="382" t="s">
        <v>613</v>
      </c>
      <c r="F519" s="379" t="s">
        <v>614</v>
      </c>
      <c r="G519" s="383" t="s">
        <v>615</v>
      </c>
      <c r="H519" s="379" t="s">
        <v>27</v>
      </c>
      <c r="I519" s="379" t="s">
        <v>141</v>
      </c>
      <c r="J519" s="385">
        <v>23062.880000000001</v>
      </c>
      <c r="L519" s="385">
        <v>20.74</v>
      </c>
      <c r="M519" s="385">
        <v>20.5</v>
      </c>
      <c r="N519" s="386">
        <v>5765</v>
      </c>
      <c r="O519" s="387">
        <v>0.2</v>
      </c>
      <c r="P519" s="387"/>
      <c r="Q519" s="386">
        <v>0</v>
      </c>
      <c r="R519" s="379" t="s">
        <v>146</v>
      </c>
      <c r="S519" s="388" t="s">
        <v>74</v>
      </c>
      <c r="T519" s="388">
        <v>31</v>
      </c>
      <c r="U519" s="389" t="s">
        <v>164</v>
      </c>
      <c r="V519" s="433"/>
      <c r="X519" s="386">
        <v>0</v>
      </c>
      <c r="Y519" s="386"/>
      <c r="AJ519" s="390">
        <v>0</v>
      </c>
    </row>
    <row r="520" spans="1:77" s="153" customFormat="1" ht="11.25" customHeight="1">
      <c r="B520" s="154" t="s">
        <v>291</v>
      </c>
      <c r="C520" s="155"/>
      <c r="D520" s="155"/>
      <c r="E520" s="156" t="s">
        <v>613</v>
      </c>
      <c r="F520" s="153" t="s">
        <v>614</v>
      </c>
      <c r="G520" s="157" t="s">
        <v>615</v>
      </c>
      <c r="H520" s="153" t="s">
        <v>138</v>
      </c>
      <c r="I520" s="153" t="s">
        <v>141</v>
      </c>
      <c r="J520" s="158">
        <v>13749.12</v>
      </c>
      <c r="L520" s="158">
        <v>13.02</v>
      </c>
      <c r="M520" s="158">
        <v>13</v>
      </c>
      <c r="O520" s="160">
        <v>0.2</v>
      </c>
      <c r="P520" s="160"/>
      <c r="Q520" s="159">
        <v>0</v>
      </c>
      <c r="R520" s="153" t="s">
        <v>146</v>
      </c>
      <c r="S520" s="161" t="s">
        <v>74</v>
      </c>
      <c r="T520" s="161">
        <v>31</v>
      </c>
      <c r="U520" s="162" t="s">
        <v>164</v>
      </c>
      <c r="V520" s="435"/>
      <c r="X520" s="159">
        <v>0</v>
      </c>
      <c r="Y520" s="159"/>
      <c r="AD520" s="176">
        <f>X520</f>
        <v>0</v>
      </c>
      <c r="AJ520" s="644"/>
    </row>
    <row r="521" spans="1:77" s="379" customFormat="1" ht="11.25" customHeight="1">
      <c r="B521" s="380" t="s">
        <v>291</v>
      </c>
      <c r="C521" s="381"/>
      <c r="D521" s="381"/>
      <c r="E521" s="382" t="s">
        <v>613</v>
      </c>
      <c r="F521" s="379" t="s">
        <v>614</v>
      </c>
      <c r="G521" s="383" t="s">
        <v>615</v>
      </c>
      <c r="H521" s="379" t="s">
        <v>183</v>
      </c>
      <c r="I521" s="379" t="s">
        <v>141</v>
      </c>
      <c r="J521" s="385">
        <v>14605.92</v>
      </c>
      <c r="L521" s="385">
        <v>16.8</v>
      </c>
      <c r="M521" s="385">
        <v>16.8</v>
      </c>
      <c r="N521" s="386">
        <v>2190</v>
      </c>
      <c r="O521" s="387">
        <v>0.2</v>
      </c>
      <c r="P521" s="387"/>
      <c r="Q521" s="386">
        <v>0</v>
      </c>
      <c r="R521" s="379" t="s">
        <v>146</v>
      </c>
      <c r="S521" s="388" t="s">
        <v>74</v>
      </c>
      <c r="T521" s="388">
        <v>31</v>
      </c>
      <c r="U521" s="389" t="s">
        <v>164</v>
      </c>
      <c r="V521" s="433"/>
      <c r="X521" s="386">
        <v>0</v>
      </c>
      <c r="Y521" s="386"/>
      <c r="AJ521" s="390">
        <v>0</v>
      </c>
    </row>
    <row r="522" spans="1:77" s="337" customFormat="1" ht="11.25" customHeight="1">
      <c r="B522" s="338" t="s">
        <v>291</v>
      </c>
      <c r="C522" s="349">
        <v>44654</v>
      </c>
      <c r="D522" s="349">
        <v>44658</v>
      </c>
      <c r="E522" s="350" t="s">
        <v>616</v>
      </c>
      <c r="F522" s="337" t="s">
        <v>617</v>
      </c>
      <c r="G522" s="351">
        <v>4532</v>
      </c>
      <c r="H522" s="337" t="s">
        <v>138</v>
      </c>
      <c r="I522" s="337" t="s">
        <v>141</v>
      </c>
      <c r="J522" s="352">
        <v>13748.4</v>
      </c>
      <c r="L522" s="352">
        <v>13.4</v>
      </c>
      <c r="M522" s="352">
        <v>13.4</v>
      </c>
      <c r="N522" s="354">
        <v>1374</v>
      </c>
      <c r="O522" s="355">
        <v>0.25</v>
      </c>
      <c r="P522" s="355"/>
      <c r="Q522" s="354">
        <v>0</v>
      </c>
      <c r="R522" s="337" t="s">
        <v>257</v>
      </c>
      <c r="S522" s="356" t="s">
        <v>74</v>
      </c>
      <c r="T522" s="356">
        <v>32</v>
      </c>
      <c r="U522" s="357" t="s">
        <v>164</v>
      </c>
      <c r="V522" s="434"/>
      <c r="X522" s="354">
        <v>0</v>
      </c>
      <c r="Y522" s="354"/>
      <c r="AI522" s="341">
        <f>X522</f>
        <v>0</v>
      </c>
      <c r="AJ522" s="358"/>
      <c r="AK522" s="369"/>
    </row>
    <row r="523" spans="1:77" s="337" customFormat="1" ht="11.25" customHeight="1">
      <c r="B523" s="338" t="s">
        <v>291</v>
      </c>
      <c r="C523" s="349"/>
      <c r="D523" s="349"/>
      <c r="E523" s="350" t="s">
        <v>616</v>
      </c>
      <c r="F523" s="337" t="s">
        <v>617</v>
      </c>
      <c r="G523" s="351">
        <v>4532</v>
      </c>
      <c r="H523" s="337" t="s">
        <v>183</v>
      </c>
      <c r="I523" s="337" t="s">
        <v>141</v>
      </c>
      <c r="J523" s="352">
        <v>12500.81</v>
      </c>
      <c r="L523" s="352">
        <v>13.75</v>
      </c>
      <c r="M523" s="352">
        <v>13.75</v>
      </c>
      <c r="N523" s="354">
        <v>1875</v>
      </c>
      <c r="O523" s="355">
        <v>0.25</v>
      </c>
      <c r="P523" s="355"/>
      <c r="Q523" s="354">
        <v>0</v>
      </c>
      <c r="R523" s="337" t="s">
        <v>257</v>
      </c>
      <c r="S523" s="356" t="s">
        <v>74</v>
      </c>
      <c r="T523" s="356">
        <v>32</v>
      </c>
      <c r="U523" s="357" t="s">
        <v>164</v>
      </c>
      <c r="V523" s="434"/>
      <c r="X523" s="354">
        <v>0</v>
      </c>
      <c r="Y523" s="354"/>
      <c r="AI523" s="341">
        <f>X523</f>
        <v>0</v>
      </c>
      <c r="AJ523" s="358"/>
      <c r="AK523" s="369"/>
    </row>
    <row r="524" spans="1:77" s="379" customFormat="1" ht="11.25" customHeight="1">
      <c r="B524" s="380" t="s">
        <v>291</v>
      </c>
      <c r="C524" s="381">
        <v>44655</v>
      </c>
      <c r="D524" s="381">
        <v>44658</v>
      </c>
      <c r="E524" s="382" t="s">
        <v>618</v>
      </c>
      <c r="F524" s="379" t="s">
        <v>619</v>
      </c>
      <c r="G524" s="383">
        <v>3598</v>
      </c>
      <c r="H524" s="379" t="s">
        <v>99</v>
      </c>
      <c r="I524" s="379" t="s">
        <v>141</v>
      </c>
      <c r="J524" s="385">
        <v>31912.27</v>
      </c>
      <c r="L524" s="385">
        <v>36.33</v>
      </c>
      <c r="M524" s="385">
        <v>36.33</v>
      </c>
      <c r="N524" s="386"/>
      <c r="O524" s="387">
        <v>0.15</v>
      </c>
      <c r="P524" s="387"/>
      <c r="Q524" s="386">
        <v>0</v>
      </c>
      <c r="R524" s="379" t="s">
        <v>77</v>
      </c>
      <c r="S524" s="388" t="s">
        <v>41</v>
      </c>
      <c r="T524" s="388">
        <v>16</v>
      </c>
      <c r="U524" s="389" t="s">
        <v>164</v>
      </c>
      <c r="V524" s="433"/>
      <c r="X524" s="386">
        <v>0</v>
      </c>
      <c r="Y524" s="386"/>
      <c r="AJ524" s="390">
        <v>0</v>
      </c>
    </row>
    <row r="525" spans="1:77" s="379" customFormat="1" ht="11.25" customHeight="1">
      <c r="B525" s="380" t="s">
        <v>291</v>
      </c>
      <c r="C525" s="381"/>
      <c r="D525" s="381"/>
      <c r="E525" s="382" t="s">
        <v>618</v>
      </c>
      <c r="F525" s="379" t="s">
        <v>619</v>
      </c>
      <c r="G525" s="383">
        <v>3598</v>
      </c>
      <c r="H525" s="379" t="s">
        <v>27</v>
      </c>
      <c r="I525" s="379" t="s">
        <v>141</v>
      </c>
      <c r="J525" s="385">
        <v>23084.639999999999</v>
      </c>
      <c r="L525" s="385">
        <v>27.88</v>
      </c>
      <c r="M525" s="385">
        <v>27.88</v>
      </c>
      <c r="N525" s="386"/>
      <c r="O525" s="387">
        <v>0.15</v>
      </c>
      <c r="P525" s="387"/>
      <c r="Q525" s="386">
        <v>0</v>
      </c>
      <c r="R525" s="379" t="s">
        <v>77</v>
      </c>
      <c r="S525" s="388" t="s">
        <v>41</v>
      </c>
      <c r="T525" s="388">
        <v>16</v>
      </c>
      <c r="U525" s="389" t="s">
        <v>164</v>
      </c>
      <c r="V525" s="433"/>
      <c r="X525" s="386">
        <v>0</v>
      </c>
      <c r="Y525" s="386"/>
      <c r="AJ525" s="390">
        <v>0</v>
      </c>
    </row>
    <row r="526" spans="1:77" s="379" customFormat="1" ht="11.25" customHeight="1">
      <c r="B526" s="380" t="s">
        <v>291</v>
      </c>
      <c r="C526" s="381"/>
      <c r="D526" s="381"/>
      <c r="E526" s="382" t="s">
        <v>618</v>
      </c>
      <c r="F526" s="379" t="s">
        <v>619</v>
      </c>
      <c r="G526" s="383">
        <v>3598</v>
      </c>
      <c r="H526" s="379" t="s">
        <v>183</v>
      </c>
      <c r="I526" s="379" t="s">
        <v>141</v>
      </c>
      <c r="J526" s="385">
        <v>9681.74</v>
      </c>
      <c r="L526" s="385">
        <v>14.77</v>
      </c>
      <c r="M526" s="385">
        <v>14.77</v>
      </c>
      <c r="N526" s="386"/>
      <c r="O526" s="387">
        <v>0.15</v>
      </c>
      <c r="P526" s="387"/>
      <c r="Q526" s="386">
        <v>0</v>
      </c>
      <c r="R526" s="379" t="s">
        <v>77</v>
      </c>
      <c r="S526" s="388" t="s">
        <v>41</v>
      </c>
      <c r="T526" s="388">
        <v>16</v>
      </c>
      <c r="U526" s="389" t="s">
        <v>164</v>
      </c>
      <c r="V526" s="433"/>
      <c r="X526" s="386">
        <v>0</v>
      </c>
      <c r="Y526" s="386"/>
      <c r="AJ526" s="390">
        <v>0</v>
      </c>
    </row>
    <row r="527" spans="1:77" s="379" customFormat="1" ht="11.25" customHeight="1">
      <c r="B527" s="380" t="s">
        <v>291</v>
      </c>
      <c r="C527" s="381"/>
      <c r="D527" s="381"/>
      <c r="E527" s="382" t="s">
        <v>618</v>
      </c>
      <c r="F527" s="379" t="s">
        <v>619</v>
      </c>
      <c r="G527" s="383">
        <v>3598</v>
      </c>
      <c r="H527" s="379" t="s">
        <v>336</v>
      </c>
      <c r="I527" s="379" t="s">
        <v>141</v>
      </c>
      <c r="J527" s="385">
        <v>14417.64</v>
      </c>
      <c r="L527" s="385">
        <v>13.81</v>
      </c>
      <c r="M527" s="385">
        <v>13.81</v>
      </c>
      <c r="N527" s="386"/>
      <c r="O527" s="387">
        <v>0.15</v>
      </c>
      <c r="P527" s="387"/>
      <c r="Q527" s="386">
        <v>0</v>
      </c>
      <c r="R527" s="379" t="s">
        <v>77</v>
      </c>
      <c r="S527" s="388" t="s">
        <v>41</v>
      </c>
      <c r="T527" s="388">
        <v>16</v>
      </c>
      <c r="U527" s="389" t="s">
        <v>164</v>
      </c>
      <c r="V527" s="433"/>
      <c r="X527" s="386">
        <v>0</v>
      </c>
      <c r="Y527" s="386"/>
      <c r="AJ527" s="390">
        <v>0</v>
      </c>
    </row>
    <row r="528" spans="1:77" s="153" customFormat="1" ht="11.25" customHeight="1">
      <c r="B528" s="154" t="s">
        <v>291</v>
      </c>
      <c r="C528" s="155">
        <v>44655</v>
      </c>
      <c r="D528" s="155">
        <v>44658</v>
      </c>
      <c r="E528" s="156" t="s">
        <v>620</v>
      </c>
      <c r="F528" s="153" t="s">
        <v>621</v>
      </c>
      <c r="G528" s="157">
        <v>3850</v>
      </c>
      <c r="H528" s="153" t="s">
        <v>496</v>
      </c>
      <c r="I528" s="153" t="s">
        <v>141</v>
      </c>
      <c r="J528" s="158">
        <v>27326.03</v>
      </c>
      <c r="L528" s="158">
        <v>21.31</v>
      </c>
      <c r="M528" s="158">
        <v>21.31</v>
      </c>
      <c r="N528" s="159"/>
      <c r="O528" s="160">
        <v>0.15</v>
      </c>
      <c r="P528" s="160"/>
      <c r="Q528" s="159">
        <v>0</v>
      </c>
      <c r="R528" s="153" t="s">
        <v>142</v>
      </c>
      <c r="S528" s="161" t="s">
        <v>41</v>
      </c>
      <c r="T528" s="161">
        <v>16</v>
      </c>
      <c r="U528" s="162" t="s">
        <v>164</v>
      </c>
      <c r="V528" s="435"/>
      <c r="X528" s="159">
        <v>0</v>
      </c>
      <c r="Y528" s="159"/>
      <c r="AD528" s="176">
        <f>X528</f>
        <v>0</v>
      </c>
      <c r="AJ528" s="644"/>
    </row>
    <row r="529" spans="2:37" s="153" customFormat="1" ht="11.25" customHeight="1">
      <c r="B529" s="154" t="s">
        <v>291</v>
      </c>
      <c r="C529" s="155"/>
      <c r="D529" s="155"/>
      <c r="E529" s="156" t="s">
        <v>620</v>
      </c>
      <c r="F529" s="153" t="s">
        <v>621</v>
      </c>
      <c r="G529" s="157">
        <v>3850</v>
      </c>
      <c r="H529" s="153" t="s">
        <v>183</v>
      </c>
      <c r="I529" s="153" t="s">
        <v>141</v>
      </c>
      <c r="J529" s="158">
        <v>20955.34</v>
      </c>
      <c r="L529" s="158">
        <v>20.47</v>
      </c>
      <c r="M529" s="158">
        <v>20.47</v>
      </c>
      <c r="N529" s="159"/>
      <c r="O529" s="160">
        <v>0.15</v>
      </c>
      <c r="P529" s="160"/>
      <c r="Q529" s="159">
        <v>0</v>
      </c>
      <c r="R529" s="153" t="s">
        <v>142</v>
      </c>
      <c r="S529" s="161" t="s">
        <v>41</v>
      </c>
      <c r="T529" s="161">
        <v>16</v>
      </c>
      <c r="U529" s="162" t="s">
        <v>164</v>
      </c>
      <c r="V529" s="435"/>
      <c r="X529" s="159">
        <v>0</v>
      </c>
      <c r="Y529" s="159"/>
      <c r="AD529" s="176">
        <f>X529</f>
        <v>0</v>
      </c>
      <c r="AJ529" s="644"/>
    </row>
    <row r="530" spans="2:37" s="337" customFormat="1" ht="11.25" customHeight="1">
      <c r="B530" s="338" t="s">
        <v>291</v>
      </c>
      <c r="C530" s="349">
        <v>44656</v>
      </c>
      <c r="D530" s="349">
        <v>44658</v>
      </c>
      <c r="E530" s="350" t="s">
        <v>622</v>
      </c>
      <c r="F530" s="337" t="s">
        <v>623</v>
      </c>
      <c r="G530" s="351">
        <v>4290</v>
      </c>
      <c r="H530" s="337" t="s">
        <v>138</v>
      </c>
      <c r="I530" s="337" t="s">
        <v>141</v>
      </c>
      <c r="J530" s="352">
        <v>14363</v>
      </c>
      <c r="L530" s="352">
        <v>13.55</v>
      </c>
      <c r="M530" s="352">
        <v>13.5</v>
      </c>
      <c r="N530" s="354">
        <v>1436</v>
      </c>
      <c r="O530" s="355">
        <v>0.15</v>
      </c>
      <c r="P530" s="355"/>
      <c r="Q530" s="354">
        <v>0</v>
      </c>
      <c r="R530" s="337" t="s">
        <v>257</v>
      </c>
      <c r="S530" s="356" t="s">
        <v>624</v>
      </c>
      <c r="T530" s="356">
        <v>32</v>
      </c>
      <c r="U530" s="357" t="s">
        <v>164</v>
      </c>
      <c r="V530" s="434"/>
      <c r="X530" s="354">
        <v>0</v>
      </c>
      <c r="Y530" s="354"/>
      <c r="AI530" s="337">
        <v>0</v>
      </c>
      <c r="AJ530" s="358"/>
      <c r="AK530" s="369"/>
    </row>
    <row r="531" spans="2:37" s="153" customFormat="1" ht="11.25" customHeight="1">
      <c r="B531" s="154" t="s">
        <v>291</v>
      </c>
      <c r="C531" s="155">
        <v>44655</v>
      </c>
      <c r="D531" s="155">
        <v>44658</v>
      </c>
      <c r="E531" s="156" t="s">
        <v>625</v>
      </c>
      <c r="F531" s="153" t="s">
        <v>626</v>
      </c>
      <c r="G531" s="157" t="s">
        <v>627</v>
      </c>
      <c r="H531" s="153" t="s">
        <v>138</v>
      </c>
      <c r="I531" s="153" t="s">
        <v>141</v>
      </c>
      <c r="J531" s="158">
        <v>12625.2</v>
      </c>
      <c r="L531" s="158">
        <v>12</v>
      </c>
      <c r="M531" s="158">
        <v>12</v>
      </c>
      <c r="N531" s="159"/>
      <c r="O531" s="160">
        <v>0.2</v>
      </c>
      <c r="P531" s="160"/>
      <c r="Q531" s="159">
        <v>0</v>
      </c>
      <c r="R531" s="153" t="s">
        <v>146</v>
      </c>
      <c r="S531" s="161" t="s">
        <v>74</v>
      </c>
      <c r="T531" s="161">
        <v>31</v>
      </c>
      <c r="U531" s="162" t="s">
        <v>164</v>
      </c>
      <c r="V531" s="435"/>
      <c r="X531" s="159">
        <v>0</v>
      </c>
      <c r="Y531" s="159"/>
      <c r="AD531" s="176">
        <f>X531</f>
        <v>0</v>
      </c>
      <c r="AJ531" s="644"/>
    </row>
    <row r="532" spans="2:37" s="261" customFormat="1" ht="11.25" customHeight="1">
      <c r="B532" s="258" t="s">
        <v>291</v>
      </c>
      <c r="C532" s="259"/>
      <c r="D532" s="259"/>
      <c r="E532" s="260" t="s">
        <v>625</v>
      </c>
      <c r="F532" s="261" t="s">
        <v>626</v>
      </c>
      <c r="G532" s="262" t="s">
        <v>627</v>
      </c>
      <c r="H532" s="261" t="s">
        <v>27</v>
      </c>
      <c r="I532" s="261" t="s">
        <v>141</v>
      </c>
      <c r="J532" s="263">
        <v>1497.78</v>
      </c>
      <c r="L532" s="263">
        <v>1.06</v>
      </c>
      <c r="M532" s="263">
        <v>1.06</v>
      </c>
      <c r="N532" s="265">
        <f>J532*0.25</f>
        <v>374.44499999999999</v>
      </c>
      <c r="O532" s="266">
        <v>0.2</v>
      </c>
      <c r="P532" s="266"/>
      <c r="Q532" s="265">
        <v>0</v>
      </c>
      <c r="R532" s="261" t="s">
        <v>146</v>
      </c>
      <c r="S532" s="267" t="s">
        <v>74</v>
      </c>
      <c r="T532" s="267">
        <v>31</v>
      </c>
      <c r="U532" s="268" t="s">
        <v>164</v>
      </c>
      <c r="V532" s="427"/>
      <c r="W532" s="261" t="s">
        <v>3486</v>
      </c>
      <c r="X532" s="265">
        <v>0</v>
      </c>
      <c r="Y532" s="265"/>
      <c r="AG532" s="261">
        <f>X532</f>
        <v>0</v>
      </c>
      <c r="AJ532" s="642"/>
    </row>
    <row r="533" spans="2:37" s="153" customFormat="1" ht="11.25" customHeight="1">
      <c r="B533" s="154" t="s">
        <v>291</v>
      </c>
      <c r="C533" s="155">
        <v>44655</v>
      </c>
      <c r="D533" s="155">
        <v>44658</v>
      </c>
      <c r="E533" s="156" t="s">
        <v>628</v>
      </c>
      <c r="F533" s="153" t="s">
        <v>629</v>
      </c>
      <c r="G533" s="157">
        <v>4362</v>
      </c>
      <c r="H533" s="153" t="s">
        <v>99</v>
      </c>
      <c r="I533" s="153" t="s">
        <v>141</v>
      </c>
      <c r="J533" s="158">
        <v>25778.46</v>
      </c>
      <c r="L533" s="158">
        <v>19.899999999999999</v>
      </c>
      <c r="M533" s="158">
        <v>19.899999999999999</v>
      </c>
      <c r="N533" s="159"/>
      <c r="O533" s="160">
        <v>0.3</v>
      </c>
      <c r="P533" s="160"/>
      <c r="Q533" s="159">
        <v>0</v>
      </c>
      <c r="R533" s="153" t="s">
        <v>142</v>
      </c>
      <c r="S533" s="161" t="s">
        <v>41</v>
      </c>
      <c r="T533" s="161">
        <v>16</v>
      </c>
      <c r="U533" s="162" t="s">
        <v>164</v>
      </c>
      <c r="V533" s="435"/>
      <c r="X533" s="159">
        <v>0</v>
      </c>
      <c r="Y533" s="159"/>
      <c r="AD533" s="176">
        <f>X533</f>
        <v>0</v>
      </c>
      <c r="AJ533" s="644"/>
    </row>
    <row r="534" spans="2:37" s="153" customFormat="1" ht="11.25" customHeight="1">
      <c r="B534" s="154" t="s">
        <v>291</v>
      </c>
      <c r="C534" s="155"/>
      <c r="D534" s="155"/>
      <c r="E534" s="156" t="s">
        <v>628</v>
      </c>
      <c r="F534" s="153" t="s">
        <v>629</v>
      </c>
      <c r="G534" s="157">
        <v>4362</v>
      </c>
      <c r="H534" s="153" t="s">
        <v>27</v>
      </c>
      <c r="I534" s="153" t="s">
        <v>141</v>
      </c>
      <c r="J534" s="158">
        <v>31932.16</v>
      </c>
      <c r="L534" s="158">
        <v>20.2</v>
      </c>
      <c r="M534" s="158">
        <v>20.2</v>
      </c>
      <c r="N534" s="159"/>
      <c r="O534" s="160">
        <v>0.3</v>
      </c>
      <c r="P534" s="160"/>
      <c r="Q534" s="159">
        <v>0</v>
      </c>
      <c r="R534" s="153" t="s">
        <v>142</v>
      </c>
      <c r="S534" s="161" t="s">
        <v>41</v>
      </c>
      <c r="T534" s="161">
        <v>16</v>
      </c>
      <c r="U534" s="162" t="s">
        <v>164</v>
      </c>
      <c r="V534" s="435"/>
      <c r="X534" s="159">
        <v>0</v>
      </c>
      <c r="Y534" s="159"/>
      <c r="AD534" s="176">
        <f>X534</f>
        <v>0</v>
      </c>
      <c r="AJ534" s="644"/>
    </row>
    <row r="535" spans="2:37" s="153" customFormat="1" ht="11.25" customHeight="1">
      <c r="B535" s="154" t="s">
        <v>291</v>
      </c>
      <c r="C535" s="155">
        <v>44655</v>
      </c>
      <c r="D535" s="155">
        <v>44658</v>
      </c>
      <c r="E535" s="156" t="s">
        <v>630</v>
      </c>
      <c r="F535" s="153" t="s">
        <v>631</v>
      </c>
      <c r="G535" s="157">
        <v>3622</v>
      </c>
      <c r="H535" s="153" t="s">
        <v>99</v>
      </c>
      <c r="I535" s="153" t="s">
        <v>141</v>
      </c>
      <c r="J535" s="158">
        <v>41507.199999999997</v>
      </c>
      <c r="L535" s="158">
        <v>34</v>
      </c>
      <c r="M535" s="158">
        <v>34</v>
      </c>
      <c r="N535" s="159"/>
      <c r="O535" s="160">
        <v>0.15</v>
      </c>
      <c r="P535" s="160"/>
      <c r="Q535" s="159">
        <v>0</v>
      </c>
      <c r="R535" s="153" t="s">
        <v>77</v>
      </c>
      <c r="S535" s="161" t="s">
        <v>41</v>
      </c>
      <c r="T535" s="161">
        <v>16</v>
      </c>
      <c r="U535" s="162" t="s">
        <v>164</v>
      </c>
      <c r="V535" s="435"/>
      <c r="W535" s="153" t="s">
        <v>1872</v>
      </c>
      <c r="X535" s="159">
        <v>0</v>
      </c>
      <c r="Y535" s="159"/>
      <c r="AD535" s="176">
        <f>X535</f>
        <v>0</v>
      </c>
      <c r="AJ535" s="644"/>
    </row>
    <row r="536" spans="2:37" s="153" customFormat="1" ht="11.25" customHeight="1">
      <c r="B536" s="154" t="s">
        <v>291</v>
      </c>
      <c r="C536" s="155"/>
      <c r="D536" s="155"/>
      <c r="E536" s="156" t="s">
        <v>630</v>
      </c>
      <c r="F536" s="153" t="s">
        <v>631</v>
      </c>
      <c r="G536" s="157">
        <v>3622</v>
      </c>
      <c r="H536" s="153" t="s">
        <v>27</v>
      </c>
      <c r="I536" s="153" t="s">
        <v>141</v>
      </c>
      <c r="J536" s="158">
        <v>17077.2</v>
      </c>
      <c r="L536" s="158">
        <v>21</v>
      </c>
      <c r="M536" s="158">
        <v>21</v>
      </c>
      <c r="N536" s="159"/>
      <c r="O536" s="160">
        <v>0.15</v>
      </c>
      <c r="P536" s="160"/>
      <c r="Q536" s="159">
        <v>0</v>
      </c>
      <c r="R536" s="153" t="s">
        <v>77</v>
      </c>
      <c r="S536" s="161" t="s">
        <v>41</v>
      </c>
      <c r="T536" s="161">
        <v>16</v>
      </c>
      <c r="U536" s="162" t="s">
        <v>164</v>
      </c>
      <c r="V536" s="435"/>
      <c r="W536" s="153" t="s">
        <v>1872</v>
      </c>
      <c r="X536" s="159">
        <v>0</v>
      </c>
      <c r="Y536" s="159"/>
      <c r="AD536" s="176">
        <f>X536</f>
        <v>0</v>
      </c>
      <c r="AJ536" s="644"/>
    </row>
    <row r="537" spans="2:37" s="153" customFormat="1" ht="11.25" customHeight="1">
      <c r="B537" s="154" t="s">
        <v>291</v>
      </c>
      <c r="C537" s="155"/>
      <c r="D537" s="155"/>
      <c r="E537" s="156" t="s">
        <v>630</v>
      </c>
      <c r="F537" s="153" t="s">
        <v>631</v>
      </c>
      <c r="G537" s="157">
        <v>3622</v>
      </c>
      <c r="H537" s="153" t="s">
        <v>183</v>
      </c>
      <c r="I537" s="153" t="s">
        <v>141</v>
      </c>
      <c r="J537" s="158">
        <v>20706.45</v>
      </c>
      <c r="L537" s="158">
        <v>30.5</v>
      </c>
      <c r="M537" s="158">
        <v>30.5</v>
      </c>
      <c r="N537" s="159"/>
      <c r="O537" s="160">
        <v>0.15</v>
      </c>
      <c r="P537" s="160"/>
      <c r="Q537" s="159">
        <v>0</v>
      </c>
      <c r="R537" s="153" t="s">
        <v>77</v>
      </c>
      <c r="S537" s="161" t="s">
        <v>41</v>
      </c>
      <c r="T537" s="161">
        <v>16</v>
      </c>
      <c r="U537" s="162" t="s">
        <v>164</v>
      </c>
      <c r="V537" s="435"/>
      <c r="W537" s="153" t="s">
        <v>1872</v>
      </c>
      <c r="X537" s="159">
        <v>0</v>
      </c>
      <c r="Y537" s="159"/>
      <c r="AD537" s="176">
        <f>X537</f>
        <v>0</v>
      </c>
      <c r="AJ537" s="644"/>
    </row>
    <row r="538" spans="2:37" s="261" customFormat="1" ht="11.25" customHeight="1">
      <c r="B538" s="258" t="s">
        <v>291</v>
      </c>
      <c r="C538" s="259"/>
      <c r="D538" s="259"/>
      <c r="E538" s="260" t="s">
        <v>630</v>
      </c>
      <c r="F538" s="261" t="s">
        <v>631</v>
      </c>
      <c r="G538" s="262">
        <v>3622</v>
      </c>
      <c r="H538" s="261" t="s">
        <v>442</v>
      </c>
      <c r="I538" s="261" t="s">
        <v>141</v>
      </c>
      <c r="J538" s="263">
        <v>5673.6</v>
      </c>
      <c r="L538" s="263">
        <v>6.4</v>
      </c>
      <c r="M538" s="263">
        <v>6.4</v>
      </c>
      <c r="N538" s="265"/>
      <c r="O538" s="266">
        <v>0.15</v>
      </c>
      <c r="P538" s="266"/>
      <c r="Q538" s="265">
        <v>0</v>
      </c>
      <c r="R538" s="261" t="s">
        <v>77</v>
      </c>
      <c r="S538" s="267" t="s">
        <v>41</v>
      </c>
      <c r="T538" s="267">
        <v>16</v>
      </c>
      <c r="U538" s="268" t="s">
        <v>164</v>
      </c>
      <c r="V538" s="427"/>
      <c r="W538" s="261" t="s">
        <v>1872</v>
      </c>
      <c r="X538" s="265">
        <v>0</v>
      </c>
      <c r="Y538" s="265"/>
      <c r="AG538" s="261">
        <f>X538</f>
        <v>0</v>
      </c>
      <c r="AJ538" s="642"/>
    </row>
    <row r="539" spans="2:37" s="130" customFormat="1" ht="11.25" customHeight="1">
      <c r="B539" s="141" t="s">
        <v>291</v>
      </c>
      <c r="C539" s="131">
        <v>44655</v>
      </c>
      <c r="D539" s="131">
        <v>44658</v>
      </c>
      <c r="E539" s="132" t="s">
        <v>632</v>
      </c>
      <c r="F539" s="130" t="s">
        <v>633</v>
      </c>
      <c r="G539" s="133">
        <v>3597</v>
      </c>
      <c r="H539" s="130" t="s">
        <v>183</v>
      </c>
      <c r="I539" s="130" t="s">
        <v>141</v>
      </c>
      <c r="J539" s="134">
        <v>12241.03</v>
      </c>
      <c r="L539" s="134">
        <v>11.88</v>
      </c>
      <c r="M539" s="134">
        <v>11.88</v>
      </c>
      <c r="N539" s="136"/>
      <c r="O539" s="137">
        <v>0.25</v>
      </c>
      <c r="P539" s="137"/>
      <c r="Q539" s="136">
        <v>0</v>
      </c>
      <c r="R539" s="130" t="s">
        <v>42</v>
      </c>
      <c r="S539" s="138" t="s">
        <v>41</v>
      </c>
      <c r="T539" s="138">
        <v>17</v>
      </c>
      <c r="U539" s="139" t="s">
        <v>164</v>
      </c>
      <c r="V539" s="439"/>
      <c r="X539" s="136">
        <v>0</v>
      </c>
      <c r="Y539" s="136"/>
      <c r="AC539" s="144">
        <f>X539</f>
        <v>0</v>
      </c>
      <c r="AJ539" s="140"/>
    </row>
    <row r="540" spans="2:37" s="205" customFormat="1" ht="11.25" customHeight="1">
      <c r="B540" s="206" t="s">
        <v>291</v>
      </c>
      <c r="C540" s="207"/>
      <c r="D540" s="207"/>
      <c r="E540" s="208" t="s">
        <v>632</v>
      </c>
      <c r="F540" s="205" t="s">
        <v>633</v>
      </c>
      <c r="G540" s="209">
        <v>3597</v>
      </c>
      <c r="H540" s="205" t="s">
        <v>99</v>
      </c>
      <c r="I540" s="205" t="s">
        <v>141</v>
      </c>
      <c r="J540" s="210">
        <v>43031.75</v>
      </c>
      <c r="L540" s="210">
        <v>34.79</v>
      </c>
      <c r="M540" s="210">
        <v>34.79</v>
      </c>
      <c r="N540" s="213"/>
      <c r="O540" s="212">
        <v>0.25</v>
      </c>
      <c r="P540" s="212"/>
      <c r="Q540" s="213">
        <v>0</v>
      </c>
      <c r="R540" s="205" t="s">
        <v>42</v>
      </c>
      <c r="S540" s="214" t="s">
        <v>41</v>
      </c>
      <c r="T540" s="214">
        <v>17</v>
      </c>
      <c r="U540" s="215" t="s">
        <v>164</v>
      </c>
      <c r="V540" s="438"/>
      <c r="W540" s="205" t="s">
        <v>2838</v>
      </c>
      <c r="X540" s="213">
        <v>0</v>
      </c>
      <c r="Y540" s="213"/>
      <c r="AF540" s="230">
        <f>X540</f>
        <v>0</v>
      </c>
      <c r="AJ540" s="216"/>
    </row>
    <row r="541" spans="2:37" s="205" customFormat="1" ht="11.25" customHeight="1">
      <c r="B541" s="206" t="s">
        <v>291</v>
      </c>
      <c r="C541" s="207"/>
      <c r="D541" s="207"/>
      <c r="E541" s="208" t="s">
        <v>632</v>
      </c>
      <c r="F541" s="205" t="s">
        <v>633</v>
      </c>
      <c r="G541" s="209">
        <v>3597</v>
      </c>
      <c r="H541" s="205" t="s">
        <v>27</v>
      </c>
      <c r="I541" s="205" t="s">
        <v>141</v>
      </c>
      <c r="J541" s="210">
        <v>11870.76</v>
      </c>
      <c r="L541" s="210">
        <v>10.58</v>
      </c>
      <c r="M541" s="210">
        <v>10.58</v>
      </c>
      <c r="N541" s="213"/>
      <c r="O541" s="212">
        <v>0.25</v>
      </c>
      <c r="P541" s="212"/>
      <c r="Q541" s="213">
        <v>0</v>
      </c>
      <c r="R541" s="205" t="s">
        <v>42</v>
      </c>
      <c r="S541" s="214" t="s">
        <v>41</v>
      </c>
      <c r="T541" s="214">
        <v>17</v>
      </c>
      <c r="U541" s="215" t="s">
        <v>164</v>
      </c>
      <c r="V541" s="438"/>
      <c r="W541" s="205" t="s">
        <v>2838</v>
      </c>
      <c r="X541" s="213">
        <v>0</v>
      </c>
      <c r="Y541" s="213"/>
      <c r="AF541" s="230">
        <f>X541</f>
        <v>0</v>
      </c>
      <c r="AJ541" s="216"/>
    </row>
    <row r="542" spans="2:37" s="181" customFormat="1" ht="11.25" customHeight="1">
      <c r="B542" s="178" t="s">
        <v>291</v>
      </c>
      <c r="C542" s="179">
        <v>44655</v>
      </c>
      <c r="D542" s="179">
        <v>44658</v>
      </c>
      <c r="E542" s="180" t="s">
        <v>634</v>
      </c>
      <c r="F542" s="181" t="s">
        <v>635</v>
      </c>
      <c r="G542" s="182">
        <v>4031</v>
      </c>
      <c r="H542" s="181" t="s">
        <v>140</v>
      </c>
      <c r="I542" s="181" t="s">
        <v>141</v>
      </c>
      <c r="J542" s="183">
        <v>30370.57</v>
      </c>
      <c r="L542" s="183">
        <v>21.19</v>
      </c>
      <c r="M542" s="183">
        <v>21.19</v>
      </c>
      <c r="N542" s="185">
        <v>6054.05</v>
      </c>
      <c r="O542" s="186">
        <v>0.2</v>
      </c>
      <c r="P542" s="186"/>
      <c r="Q542" s="185">
        <v>0</v>
      </c>
      <c r="R542" s="181" t="s">
        <v>42</v>
      </c>
      <c r="S542" s="187" t="s">
        <v>41</v>
      </c>
      <c r="T542" s="187">
        <v>17</v>
      </c>
      <c r="U542" s="188" t="s">
        <v>164</v>
      </c>
      <c r="V542" s="441"/>
      <c r="W542" s="181" t="s">
        <v>2665</v>
      </c>
      <c r="X542" s="185">
        <v>0</v>
      </c>
      <c r="Y542" s="185"/>
      <c r="AE542" s="204">
        <f>X542</f>
        <v>0</v>
      </c>
      <c r="AJ542" s="189"/>
    </row>
    <row r="543" spans="2:37" s="181" customFormat="1" ht="11.25" customHeight="1">
      <c r="B543" s="178" t="s">
        <v>291</v>
      </c>
      <c r="C543" s="179"/>
      <c r="D543" s="179"/>
      <c r="E543" s="180" t="s">
        <v>634</v>
      </c>
      <c r="F543" s="181" t="s">
        <v>635</v>
      </c>
      <c r="G543" s="182">
        <v>4031</v>
      </c>
      <c r="H543" s="181" t="s">
        <v>99</v>
      </c>
      <c r="I543" s="181" t="s">
        <v>141</v>
      </c>
      <c r="J543" s="183">
        <v>96582.88</v>
      </c>
      <c r="L543" s="183">
        <v>87.54</v>
      </c>
      <c r="M543" s="183">
        <v>87.54</v>
      </c>
      <c r="N543" s="185">
        <v>14474.2</v>
      </c>
      <c r="O543" s="186">
        <v>0.2</v>
      </c>
      <c r="P543" s="186"/>
      <c r="Q543" s="185">
        <v>0</v>
      </c>
      <c r="R543" s="181" t="s">
        <v>42</v>
      </c>
      <c r="S543" s="187" t="s">
        <v>41</v>
      </c>
      <c r="T543" s="187">
        <v>17</v>
      </c>
      <c r="U543" s="188" t="s">
        <v>164</v>
      </c>
      <c r="V543" s="441"/>
      <c r="W543" s="181" t="s">
        <v>2665</v>
      </c>
      <c r="X543" s="185">
        <v>0</v>
      </c>
      <c r="Y543" s="185"/>
      <c r="AE543" s="204">
        <f>X543</f>
        <v>0</v>
      </c>
      <c r="AJ543" s="189"/>
    </row>
    <row r="544" spans="2:37" s="181" customFormat="1" ht="11.25" customHeight="1">
      <c r="B544" s="178" t="s">
        <v>291</v>
      </c>
      <c r="C544" s="179"/>
      <c r="D544" s="179"/>
      <c r="E544" s="180" t="s">
        <v>634</v>
      </c>
      <c r="F544" s="181" t="s">
        <v>635</v>
      </c>
      <c r="G544" s="182">
        <v>4031</v>
      </c>
      <c r="H544" s="181" t="s">
        <v>183</v>
      </c>
      <c r="I544" s="181" t="s">
        <v>141</v>
      </c>
      <c r="J544" s="183">
        <v>7165.04</v>
      </c>
      <c r="L544" s="183">
        <v>6.65</v>
      </c>
      <c r="M544" s="183">
        <v>6.65</v>
      </c>
      <c r="N544" s="185">
        <v>1433</v>
      </c>
      <c r="O544" s="186">
        <v>0.2</v>
      </c>
      <c r="P544" s="186"/>
      <c r="Q544" s="185">
        <v>0</v>
      </c>
      <c r="R544" s="181" t="s">
        <v>42</v>
      </c>
      <c r="S544" s="187" t="s">
        <v>41</v>
      </c>
      <c r="T544" s="187">
        <v>17</v>
      </c>
      <c r="U544" s="188" t="s">
        <v>164</v>
      </c>
      <c r="V544" s="441"/>
      <c r="W544" s="181" t="s">
        <v>2665</v>
      </c>
      <c r="X544" s="185">
        <v>0</v>
      </c>
      <c r="Y544" s="185"/>
      <c r="AE544" s="204">
        <f>X544</f>
        <v>0</v>
      </c>
      <c r="AJ544" s="189"/>
    </row>
    <row r="545" spans="2:37" s="473" customFormat="1" ht="11.25" customHeight="1">
      <c r="B545" s="486" t="s">
        <v>291</v>
      </c>
      <c r="C545" s="487">
        <v>44654</v>
      </c>
      <c r="D545" s="487">
        <v>44658</v>
      </c>
      <c r="E545" s="488" t="s">
        <v>636</v>
      </c>
      <c r="F545" s="473" t="s">
        <v>637</v>
      </c>
      <c r="G545" s="489">
        <v>4250</v>
      </c>
      <c r="H545" s="473" t="s">
        <v>192</v>
      </c>
      <c r="I545" s="473" t="s">
        <v>334</v>
      </c>
      <c r="J545" s="490">
        <v>47996.4</v>
      </c>
      <c r="L545" s="490">
        <v>34.04</v>
      </c>
      <c r="M545" s="490">
        <v>34.04</v>
      </c>
      <c r="N545" s="492">
        <v>7199.46</v>
      </c>
      <c r="O545" s="493">
        <v>0.2</v>
      </c>
      <c r="P545" s="493"/>
      <c r="Q545" s="492">
        <v>0</v>
      </c>
      <c r="R545" s="473" t="s">
        <v>42</v>
      </c>
      <c r="S545" s="481" t="s">
        <v>41</v>
      </c>
      <c r="T545" s="481">
        <v>86</v>
      </c>
      <c r="U545" s="494" t="s">
        <v>164</v>
      </c>
      <c r="V545" s="495"/>
      <c r="X545" s="492">
        <v>0</v>
      </c>
      <c r="Y545" s="492"/>
      <c r="AJ545" s="485"/>
      <c r="AK545" s="473">
        <v>0</v>
      </c>
    </row>
    <row r="546" spans="2:37" s="153" customFormat="1" ht="11.25" customHeight="1">
      <c r="B546" s="154" t="s">
        <v>291</v>
      </c>
      <c r="C546" s="155">
        <v>44655</v>
      </c>
      <c r="D546" s="155">
        <v>44658</v>
      </c>
      <c r="E546" s="156" t="s">
        <v>638</v>
      </c>
      <c r="F546" s="153" t="s">
        <v>639</v>
      </c>
      <c r="G546" s="157" t="s">
        <v>640</v>
      </c>
      <c r="H546" s="153" t="s">
        <v>183</v>
      </c>
      <c r="I546" s="153" t="s">
        <v>141</v>
      </c>
      <c r="J546" s="158">
        <v>14711.44</v>
      </c>
      <c r="L546" s="158">
        <v>12.28</v>
      </c>
      <c r="M546" s="158">
        <v>12.28</v>
      </c>
      <c r="N546" s="159"/>
      <c r="O546" s="160">
        <v>0.15</v>
      </c>
      <c r="P546" s="160"/>
      <c r="Q546" s="159">
        <v>0</v>
      </c>
      <c r="R546" s="153" t="s">
        <v>35</v>
      </c>
      <c r="S546" s="161" t="s">
        <v>41</v>
      </c>
      <c r="T546" s="161">
        <v>79</v>
      </c>
      <c r="U546" s="162" t="s">
        <v>164</v>
      </c>
      <c r="V546" s="435"/>
      <c r="W546" s="153" t="s">
        <v>1875</v>
      </c>
      <c r="X546" s="159">
        <v>0</v>
      </c>
      <c r="Y546" s="159"/>
      <c r="AD546" s="176">
        <f>X546</f>
        <v>0</v>
      </c>
      <c r="AJ546" s="644"/>
    </row>
    <row r="547" spans="2:37" s="153" customFormat="1" ht="11.25" customHeight="1">
      <c r="B547" s="154" t="s">
        <v>291</v>
      </c>
      <c r="C547" s="155"/>
      <c r="D547" s="155"/>
      <c r="E547" s="156" t="s">
        <v>638</v>
      </c>
      <c r="F547" s="153" t="s">
        <v>639</v>
      </c>
      <c r="G547" s="157" t="s">
        <v>640</v>
      </c>
      <c r="H547" s="153" t="s">
        <v>27</v>
      </c>
      <c r="I547" s="153" t="s">
        <v>141</v>
      </c>
      <c r="J547" s="158">
        <v>7847.26</v>
      </c>
      <c r="L547" s="158">
        <v>9.2799999999999994</v>
      </c>
      <c r="M547" s="158">
        <v>9.2799999999999994</v>
      </c>
      <c r="N547" s="159"/>
      <c r="O547" s="160">
        <v>0.15</v>
      </c>
      <c r="P547" s="160"/>
      <c r="Q547" s="159">
        <v>0</v>
      </c>
      <c r="R547" s="153" t="s">
        <v>35</v>
      </c>
      <c r="S547" s="161" t="s">
        <v>41</v>
      </c>
      <c r="T547" s="161">
        <v>79</v>
      </c>
      <c r="U547" s="162" t="s">
        <v>164</v>
      </c>
      <c r="V547" s="435"/>
      <c r="W547" s="153" t="s">
        <v>1875</v>
      </c>
      <c r="X547" s="159">
        <v>0</v>
      </c>
      <c r="Y547" s="159"/>
      <c r="AD547" s="176">
        <f>X547</f>
        <v>0</v>
      </c>
      <c r="AJ547" s="644"/>
    </row>
    <row r="548" spans="2:37" s="153" customFormat="1" ht="11.25" customHeight="1">
      <c r="B548" s="154" t="s">
        <v>291</v>
      </c>
      <c r="C548" s="155"/>
      <c r="D548" s="155"/>
      <c r="E548" s="156" t="s">
        <v>638</v>
      </c>
      <c r="F548" s="153" t="s">
        <v>639</v>
      </c>
      <c r="G548" s="157" t="s">
        <v>640</v>
      </c>
      <c r="H548" s="153" t="s">
        <v>162</v>
      </c>
      <c r="I548" s="153" t="s">
        <v>141</v>
      </c>
      <c r="J548" s="158">
        <v>4749.01</v>
      </c>
      <c r="L548" s="158">
        <v>9.48</v>
      </c>
      <c r="M548" s="158">
        <v>9.48</v>
      </c>
      <c r="N548" s="159"/>
      <c r="O548" s="160">
        <v>0.15</v>
      </c>
      <c r="P548" s="160"/>
      <c r="Q548" s="159">
        <v>0</v>
      </c>
      <c r="R548" s="153" t="s">
        <v>35</v>
      </c>
      <c r="S548" s="161" t="s">
        <v>41</v>
      </c>
      <c r="T548" s="161">
        <v>79</v>
      </c>
      <c r="U548" s="162" t="s">
        <v>164</v>
      </c>
      <c r="V548" s="435"/>
      <c r="W548" s="153" t="s">
        <v>1875</v>
      </c>
      <c r="X548" s="159">
        <v>0</v>
      </c>
      <c r="Y548" s="159"/>
      <c r="AD548" s="176">
        <f>X548</f>
        <v>0</v>
      </c>
      <c r="AJ548" s="644"/>
    </row>
    <row r="549" spans="2:37" s="379" customFormat="1" ht="11.25" customHeight="1">
      <c r="B549" s="380" t="s">
        <v>291</v>
      </c>
      <c r="C549" s="381">
        <v>44655</v>
      </c>
      <c r="D549" s="381">
        <v>44658</v>
      </c>
      <c r="E549" s="382" t="s">
        <v>641</v>
      </c>
      <c r="F549" s="379" t="s">
        <v>642</v>
      </c>
      <c r="G549" s="383">
        <v>4302</v>
      </c>
      <c r="H549" s="379" t="s">
        <v>99</v>
      </c>
      <c r="I549" s="379" t="s">
        <v>334</v>
      </c>
      <c r="J549" s="385">
        <v>42750.84</v>
      </c>
      <c r="L549" s="385">
        <v>30.58</v>
      </c>
      <c r="M549" s="385">
        <v>30.58</v>
      </c>
      <c r="N549" s="386"/>
      <c r="O549" s="387">
        <v>0.2</v>
      </c>
      <c r="P549" s="387"/>
      <c r="Q549" s="386">
        <v>0</v>
      </c>
      <c r="R549" s="379" t="s">
        <v>35</v>
      </c>
      <c r="S549" s="388" t="s">
        <v>41</v>
      </c>
      <c r="T549" s="388">
        <v>16</v>
      </c>
      <c r="U549" s="389" t="s">
        <v>164</v>
      </c>
      <c r="V549" s="433"/>
      <c r="X549" s="386">
        <v>0</v>
      </c>
      <c r="Y549" s="386"/>
      <c r="AJ549" s="390">
        <v>0</v>
      </c>
    </row>
    <row r="550" spans="2:37" s="379" customFormat="1" ht="11.25" customHeight="1">
      <c r="B550" s="380" t="s">
        <v>291</v>
      </c>
      <c r="C550" s="381"/>
      <c r="D550" s="381"/>
      <c r="E550" s="382" t="s">
        <v>641</v>
      </c>
      <c r="F550" s="379" t="s">
        <v>642</v>
      </c>
      <c r="G550" s="383">
        <v>4302</v>
      </c>
      <c r="H550" s="379" t="s">
        <v>27</v>
      </c>
      <c r="I550" s="379" t="s">
        <v>334</v>
      </c>
      <c r="J550" s="385">
        <v>30579.48</v>
      </c>
      <c r="L550" s="385">
        <v>19.64</v>
      </c>
      <c r="M550" s="385">
        <v>19.64</v>
      </c>
      <c r="N550" s="386"/>
      <c r="O550" s="387">
        <v>0.2</v>
      </c>
      <c r="P550" s="387"/>
      <c r="Q550" s="386">
        <v>0</v>
      </c>
      <c r="R550" s="379" t="s">
        <v>35</v>
      </c>
      <c r="S550" s="388" t="s">
        <v>41</v>
      </c>
      <c r="T550" s="388">
        <v>16</v>
      </c>
      <c r="U550" s="389" t="s">
        <v>164</v>
      </c>
      <c r="V550" s="433"/>
      <c r="X550" s="386">
        <v>0</v>
      </c>
      <c r="Y550" s="386"/>
      <c r="AJ550" s="390">
        <v>0</v>
      </c>
    </row>
    <row r="551" spans="2:37" s="153" customFormat="1" ht="11.25" customHeight="1">
      <c r="B551" s="154" t="s">
        <v>291</v>
      </c>
      <c r="C551" s="155">
        <v>44655</v>
      </c>
      <c r="D551" s="155">
        <v>44658</v>
      </c>
      <c r="E551" s="156" t="s">
        <v>643</v>
      </c>
      <c r="F551" s="153" t="s">
        <v>644</v>
      </c>
      <c r="G551" s="157" t="s">
        <v>645</v>
      </c>
      <c r="H551" s="153" t="s">
        <v>99</v>
      </c>
      <c r="I551" s="153" t="s">
        <v>141</v>
      </c>
      <c r="J551" s="158">
        <v>60570</v>
      </c>
      <c r="L551" s="158">
        <v>45</v>
      </c>
      <c r="M551" s="158">
        <v>45</v>
      </c>
      <c r="N551" s="159"/>
      <c r="O551" s="160">
        <v>0.25</v>
      </c>
      <c r="P551" s="160"/>
      <c r="Q551" s="159">
        <v>0</v>
      </c>
      <c r="R551" s="153" t="s">
        <v>35</v>
      </c>
      <c r="S551" s="161" t="s">
        <v>41</v>
      </c>
      <c r="T551" s="161">
        <v>86</v>
      </c>
      <c r="U551" s="162" t="s">
        <v>164</v>
      </c>
      <c r="V551" s="435"/>
      <c r="W551" s="153" t="s">
        <v>1879</v>
      </c>
      <c r="X551" s="159">
        <v>0</v>
      </c>
      <c r="Y551" s="159"/>
      <c r="AD551" s="176">
        <f>X551</f>
        <v>0</v>
      </c>
      <c r="AJ551" s="644"/>
    </row>
    <row r="552" spans="2:37" s="153" customFormat="1" ht="11.25" customHeight="1">
      <c r="B552" s="154" t="s">
        <v>291</v>
      </c>
      <c r="C552" s="155"/>
      <c r="D552" s="155"/>
      <c r="E552" s="156" t="s">
        <v>643</v>
      </c>
      <c r="F552" s="153" t="s">
        <v>644</v>
      </c>
      <c r="G552" s="157" t="s">
        <v>645</v>
      </c>
      <c r="H552" s="153" t="s">
        <v>183</v>
      </c>
      <c r="I552" s="153" t="s">
        <v>141</v>
      </c>
      <c r="J552" s="158">
        <v>10159.200000000001</v>
      </c>
      <c r="L552" s="158">
        <v>8.5</v>
      </c>
      <c r="M552" s="158">
        <v>8.5</v>
      </c>
      <c r="N552" s="159"/>
      <c r="O552" s="160">
        <v>0.25</v>
      </c>
      <c r="P552" s="160"/>
      <c r="Q552" s="159">
        <v>0</v>
      </c>
      <c r="R552" s="153" t="s">
        <v>35</v>
      </c>
      <c r="S552" s="161" t="s">
        <v>41</v>
      </c>
      <c r="T552" s="161">
        <v>86</v>
      </c>
      <c r="U552" s="162" t="s">
        <v>164</v>
      </c>
      <c r="V552" s="435"/>
      <c r="W552" s="153" t="s">
        <v>1879</v>
      </c>
      <c r="X552" s="159">
        <v>0</v>
      </c>
      <c r="Y552" s="159"/>
      <c r="AD552" s="176">
        <f>X552</f>
        <v>0</v>
      </c>
      <c r="AJ552" s="644"/>
    </row>
    <row r="553" spans="2:37" s="153" customFormat="1" ht="11.25" customHeight="1">
      <c r="B553" s="154" t="s">
        <v>291</v>
      </c>
      <c r="C553" s="155"/>
      <c r="D553" s="155"/>
      <c r="E553" s="156" t="s">
        <v>643</v>
      </c>
      <c r="F553" s="153" t="s">
        <v>644</v>
      </c>
      <c r="G553" s="157" t="s">
        <v>645</v>
      </c>
      <c r="H553" s="153" t="s">
        <v>27</v>
      </c>
      <c r="I553" s="153" t="s">
        <v>141</v>
      </c>
      <c r="J553" s="158">
        <v>29664</v>
      </c>
      <c r="L553" s="158">
        <v>24</v>
      </c>
      <c r="M553" s="158">
        <v>24</v>
      </c>
      <c r="N553" s="159"/>
      <c r="O553" s="160">
        <v>0.25</v>
      </c>
      <c r="P553" s="160"/>
      <c r="Q553" s="159">
        <v>0</v>
      </c>
      <c r="R553" s="153" t="s">
        <v>35</v>
      </c>
      <c r="S553" s="161" t="s">
        <v>41</v>
      </c>
      <c r="T553" s="161">
        <v>86</v>
      </c>
      <c r="U553" s="162" t="s">
        <v>164</v>
      </c>
      <c r="V553" s="435"/>
      <c r="W553" s="153" t="s">
        <v>1879</v>
      </c>
      <c r="X553" s="159">
        <v>0</v>
      </c>
      <c r="Y553" s="159"/>
      <c r="AD553" s="176">
        <f>X553</f>
        <v>0</v>
      </c>
      <c r="AJ553" s="644"/>
    </row>
    <row r="554" spans="2:37" s="337" customFormat="1" ht="11.25" customHeight="1">
      <c r="B554" s="338" t="s">
        <v>291</v>
      </c>
      <c r="C554" s="349"/>
      <c r="D554" s="349"/>
      <c r="E554" s="350" t="s">
        <v>646</v>
      </c>
      <c r="F554" s="337" t="s">
        <v>647</v>
      </c>
      <c r="G554" s="351">
        <v>4280</v>
      </c>
      <c r="H554" s="337" t="s">
        <v>27</v>
      </c>
      <c r="I554" s="337" t="s">
        <v>141</v>
      </c>
      <c r="J554" s="352">
        <v>26763.09</v>
      </c>
      <c r="L554" s="352">
        <v>24.35</v>
      </c>
      <c r="M554" s="352">
        <v>24.2</v>
      </c>
      <c r="N554" s="354">
        <v>0</v>
      </c>
      <c r="O554" s="355">
        <v>0.25</v>
      </c>
      <c r="P554" s="355"/>
      <c r="Q554" s="354">
        <v>0</v>
      </c>
      <c r="R554" s="337" t="s">
        <v>35</v>
      </c>
      <c r="S554" s="356" t="s">
        <v>41</v>
      </c>
      <c r="T554" s="356">
        <v>16</v>
      </c>
      <c r="U554" s="357" t="s">
        <v>164</v>
      </c>
      <c r="V554" s="434"/>
      <c r="X554" s="354">
        <v>0</v>
      </c>
      <c r="Y554" s="354"/>
      <c r="AI554" s="337">
        <f>X554</f>
        <v>0</v>
      </c>
      <c r="AJ554" s="358"/>
      <c r="AK554" s="369"/>
    </row>
    <row r="555" spans="2:37" s="337" customFormat="1" ht="11.25" customHeight="1">
      <c r="B555" s="338" t="s">
        <v>291</v>
      </c>
      <c r="C555" s="349"/>
      <c r="D555" s="349"/>
      <c r="E555" s="350" t="s">
        <v>646</v>
      </c>
      <c r="F555" s="337" t="s">
        <v>647</v>
      </c>
      <c r="G555" s="351">
        <v>4280</v>
      </c>
      <c r="H555" s="337" t="s">
        <v>183</v>
      </c>
      <c r="I555" s="337" t="s">
        <v>141</v>
      </c>
      <c r="J555" s="352">
        <v>13152.92</v>
      </c>
      <c r="L555" s="352">
        <v>14.32</v>
      </c>
      <c r="M555" s="352">
        <v>14.1</v>
      </c>
      <c r="N555" s="354">
        <v>0</v>
      </c>
      <c r="O555" s="355">
        <v>0.25</v>
      </c>
      <c r="P555" s="355"/>
      <c r="Q555" s="354">
        <v>0</v>
      </c>
      <c r="R555" s="337" t="s">
        <v>35</v>
      </c>
      <c r="S555" s="356" t="s">
        <v>41</v>
      </c>
      <c r="T555" s="356">
        <v>16</v>
      </c>
      <c r="U555" s="357" t="s">
        <v>164</v>
      </c>
      <c r="V555" s="434"/>
      <c r="X555" s="354">
        <v>0</v>
      </c>
      <c r="Y555" s="354"/>
      <c r="AI555" s="337">
        <f>X555</f>
        <v>0</v>
      </c>
      <c r="AJ555" s="358"/>
      <c r="AK555" s="369"/>
    </row>
    <row r="556" spans="2:37" s="337" customFormat="1" ht="11.25" customHeight="1">
      <c r="B556" s="338" t="s">
        <v>291</v>
      </c>
      <c r="C556" s="349">
        <v>44655</v>
      </c>
      <c r="D556" s="349">
        <v>44658</v>
      </c>
      <c r="E556" s="350" t="s">
        <v>646</v>
      </c>
      <c r="F556" s="337" t="s">
        <v>647</v>
      </c>
      <c r="G556" s="351">
        <v>4280</v>
      </c>
      <c r="H556" s="337" t="s">
        <v>99</v>
      </c>
      <c r="I556" s="337" t="s">
        <v>141</v>
      </c>
      <c r="J556" s="352">
        <v>53606.73</v>
      </c>
      <c r="L556" s="352">
        <v>54.65</v>
      </c>
      <c r="M556" s="352">
        <v>54.5</v>
      </c>
      <c r="N556" s="354"/>
      <c r="O556" s="355">
        <v>0.25</v>
      </c>
      <c r="P556" s="355"/>
      <c r="Q556" s="354">
        <v>0</v>
      </c>
      <c r="R556" s="337" t="s">
        <v>35</v>
      </c>
      <c r="S556" s="356" t="s">
        <v>41</v>
      </c>
      <c r="T556" s="356">
        <v>16</v>
      </c>
      <c r="U556" s="357" t="s">
        <v>164</v>
      </c>
      <c r="V556" s="434"/>
      <c r="X556" s="354">
        <v>0</v>
      </c>
      <c r="Y556" s="354"/>
      <c r="AI556" s="337">
        <v>0</v>
      </c>
      <c r="AJ556" s="358"/>
      <c r="AK556" s="369"/>
    </row>
    <row r="557" spans="2:37" s="291" customFormat="1" ht="11.25" customHeight="1">
      <c r="B557" s="310" t="s">
        <v>291</v>
      </c>
      <c r="C557" s="292">
        <v>44655</v>
      </c>
      <c r="D557" s="292">
        <v>44659</v>
      </c>
      <c r="E557" s="293" t="s">
        <v>648</v>
      </c>
      <c r="F557" s="291" t="s">
        <v>261</v>
      </c>
      <c r="G557" s="294" t="s">
        <v>262</v>
      </c>
      <c r="H557" s="291" t="s">
        <v>99</v>
      </c>
      <c r="I557" s="291" t="s">
        <v>141</v>
      </c>
      <c r="J557" s="296">
        <v>22615.360000000001</v>
      </c>
      <c r="L557" s="296">
        <v>24.37</v>
      </c>
      <c r="M557" s="296">
        <v>24.37</v>
      </c>
      <c r="N557" s="297">
        <v>472.43</v>
      </c>
      <c r="O557" s="298">
        <v>0.15</v>
      </c>
      <c r="P557" s="298"/>
      <c r="Q557" s="297">
        <v>0</v>
      </c>
      <c r="R557" s="291" t="s">
        <v>128</v>
      </c>
      <c r="S557" s="299" t="s">
        <v>41</v>
      </c>
      <c r="T557" s="299">
        <v>79</v>
      </c>
      <c r="U557" s="300" t="s">
        <v>164</v>
      </c>
      <c r="V557" s="333"/>
      <c r="W557" s="291" t="s">
        <v>3894</v>
      </c>
      <c r="X557" s="297">
        <v>0</v>
      </c>
      <c r="Y557" s="297"/>
      <c r="AH557" s="291">
        <f>X557</f>
        <v>0</v>
      </c>
      <c r="AI557" s="311"/>
      <c r="AJ557" s="468"/>
    </row>
    <row r="558" spans="2:37" s="291" customFormat="1" ht="11.25" customHeight="1">
      <c r="B558" s="310" t="s">
        <v>291</v>
      </c>
      <c r="C558" s="292"/>
      <c r="D558" s="292"/>
      <c r="E558" s="293" t="s">
        <v>648</v>
      </c>
      <c r="F558" s="291" t="s">
        <v>261</v>
      </c>
      <c r="G558" s="294" t="s">
        <v>262</v>
      </c>
      <c r="H558" s="291" t="s">
        <v>295</v>
      </c>
      <c r="I558" s="291" t="s">
        <v>141</v>
      </c>
      <c r="J558" s="296">
        <v>8327.9699999999993</v>
      </c>
      <c r="L558" s="296">
        <v>12.98</v>
      </c>
      <c r="M558" s="296">
        <v>12.98</v>
      </c>
      <c r="N558" s="297">
        <v>628.3664</v>
      </c>
      <c r="O558" s="298">
        <v>0.15</v>
      </c>
      <c r="P558" s="298"/>
      <c r="Q558" s="297">
        <v>0</v>
      </c>
      <c r="R558" s="291" t="s">
        <v>128</v>
      </c>
      <c r="S558" s="299" t="s">
        <v>41</v>
      </c>
      <c r="T558" s="299">
        <v>79</v>
      </c>
      <c r="U558" s="300" t="s">
        <v>164</v>
      </c>
      <c r="V558" s="333"/>
      <c r="W558" s="291" t="s">
        <v>3894</v>
      </c>
      <c r="X558" s="297">
        <v>0</v>
      </c>
      <c r="Y558" s="297"/>
      <c r="AH558" s="291">
        <f>X558</f>
        <v>0</v>
      </c>
      <c r="AI558" s="311"/>
      <c r="AJ558" s="468"/>
    </row>
    <row r="559" spans="2:37" s="291" customFormat="1" ht="11.25" customHeight="1">
      <c r="B559" s="310" t="s">
        <v>291</v>
      </c>
      <c r="C559" s="292"/>
      <c r="D559" s="292"/>
      <c r="E559" s="293" t="s">
        <v>648</v>
      </c>
      <c r="F559" s="291" t="s">
        <v>261</v>
      </c>
      <c r="G559" s="294" t="s">
        <v>262</v>
      </c>
      <c r="H559" s="291" t="s">
        <v>183</v>
      </c>
      <c r="I559" s="291" t="s">
        <v>141</v>
      </c>
      <c r="J559" s="296">
        <v>12567.33</v>
      </c>
      <c r="L559" s="296">
        <v>12.94</v>
      </c>
      <c r="M559" s="296">
        <v>12.94</v>
      </c>
      <c r="N559" s="297">
        <v>416.39839999999998</v>
      </c>
      <c r="O559" s="298">
        <v>0.15</v>
      </c>
      <c r="P559" s="298"/>
      <c r="Q559" s="297">
        <v>0</v>
      </c>
      <c r="R559" s="291" t="s">
        <v>128</v>
      </c>
      <c r="S559" s="299" t="s">
        <v>41</v>
      </c>
      <c r="T559" s="299">
        <v>79</v>
      </c>
      <c r="U559" s="300" t="s">
        <v>164</v>
      </c>
      <c r="V559" s="333"/>
      <c r="W559" s="291" t="s">
        <v>3894</v>
      </c>
      <c r="X559" s="297">
        <v>0</v>
      </c>
      <c r="Y559" s="297"/>
      <c r="AH559" s="291">
        <f>X559</f>
        <v>0</v>
      </c>
      <c r="AI559" s="311"/>
      <c r="AJ559" s="468"/>
    </row>
    <row r="560" spans="2:37" s="153" customFormat="1" ht="11.25" customHeight="1">
      <c r="B560" s="154" t="s">
        <v>291</v>
      </c>
      <c r="C560" s="155">
        <v>44655</v>
      </c>
      <c r="D560" s="155">
        <v>44659</v>
      </c>
      <c r="E560" s="156" t="s">
        <v>649</v>
      </c>
      <c r="F560" s="153" t="s">
        <v>650</v>
      </c>
      <c r="G560" s="157">
        <v>3819</v>
      </c>
      <c r="H560" s="153" t="s">
        <v>163</v>
      </c>
      <c r="I560" s="153" t="s">
        <v>141</v>
      </c>
      <c r="J560" s="158">
        <v>8206.35</v>
      </c>
      <c r="L560" s="158">
        <v>6.43</v>
      </c>
      <c r="M560" s="158">
        <v>6.43</v>
      </c>
      <c r="N560" s="159"/>
      <c r="O560" s="160">
        <v>0.15</v>
      </c>
      <c r="P560" s="160"/>
      <c r="Q560" s="159">
        <v>0</v>
      </c>
      <c r="R560" s="153" t="s">
        <v>112</v>
      </c>
      <c r="S560" s="161" t="s">
        <v>113</v>
      </c>
      <c r="T560" s="161">
        <v>64</v>
      </c>
      <c r="U560" s="162" t="s">
        <v>164</v>
      </c>
      <c r="V560" s="435"/>
      <c r="W560" s="153" t="s">
        <v>1857</v>
      </c>
      <c r="X560" s="159">
        <v>0</v>
      </c>
      <c r="Y560" s="159"/>
      <c r="AD560" s="176">
        <f>X560</f>
        <v>0</v>
      </c>
      <c r="AJ560" s="644"/>
    </row>
    <row r="561" spans="2:36" s="205" customFormat="1" ht="11.25" customHeight="1">
      <c r="B561" s="206" t="s">
        <v>291</v>
      </c>
      <c r="C561" s="207">
        <v>44655</v>
      </c>
      <c r="D561" s="207">
        <v>44659</v>
      </c>
      <c r="E561" s="208" t="s">
        <v>651</v>
      </c>
      <c r="F561" s="205" t="s">
        <v>652</v>
      </c>
      <c r="G561" s="209" t="s">
        <v>653</v>
      </c>
      <c r="H561" s="205" t="s">
        <v>27</v>
      </c>
      <c r="I561" s="205" t="s">
        <v>1905</v>
      </c>
      <c r="J561" s="210">
        <v>32729.759999999998</v>
      </c>
      <c r="L561" s="210">
        <v>17.850000000000001</v>
      </c>
      <c r="M561" s="210">
        <v>17.850000000000001</v>
      </c>
      <c r="N561" s="213"/>
      <c r="O561" s="212">
        <v>0.2</v>
      </c>
      <c r="P561" s="212"/>
      <c r="Q561" s="213">
        <v>0</v>
      </c>
      <c r="R561" s="205" t="s">
        <v>42</v>
      </c>
      <c r="S561" s="214" t="s">
        <v>41</v>
      </c>
      <c r="T561" s="214">
        <v>17</v>
      </c>
      <c r="U561" s="215" t="s">
        <v>164</v>
      </c>
      <c r="V561" s="438"/>
      <c r="W561" s="205" t="s">
        <v>2713</v>
      </c>
      <c r="X561" s="213">
        <v>0</v>
      </c>
      <c r="Y561" s="213"/>
      <c r="AF561" s="230">
        <f t="shared" ref="AF561:AF569" si="10">X561</f>
        <v>0</v>
      </c>
      <c r="AJ561" s="216"/>
    </row>
    <row r="562" spans="2:36" s="205" customFormat="1" ht="11.25" customHeight="1">
      <c r="B562" s="206" t="s">
        <v>291</v>
      </c>
      <c r="C562" s="207"/>
      <c r="D562" s="207"/>
      <c r="E562" s="208" t="s">
        <v>651</v>
      </c>
      <c r="F562" s="205" t="s">
        <v>652</v>
      </c>
      <c r="G562" s="209" t="s">
        <v>653</v>
      </c>
      <c r="H562" s="205" t="s">
        <v>99</v>
      </c>
      <c r="I562" s="205" t="s">
        <v>1905</v>
      </c>
      <c r="J562" s="210">
        <v>33251.360000000001</v>
      </c>
      <c r="L562" s="210">
        <v>29.94</v>
      </c>
      <c r="M562" s="210">
        <v>29.94</v>
      </c>
      <c r="N562" s="213"/>
      <c r="O562" s="212">
        <v>0.2</v>
      </c>
      <c r="P562" s="212"/>
      <c r="Q562" s="213">
        <v>0</v>
      </c>
      <c r="R562" s="205" t="s">
        <v>42</v>
      </c>
      <c r="S562" s="214" t="s">
        <v>41</v>
      </c>
      <c r="T562" s="214">
        <v>17</v>
      </c>
      <c r="U562" s="215" t="s">
        <v>164</v>
      </c>
      <c r="V562" s="438"/>
      <c r="W562" s="205" t="s">
        <v>2713</v>
      </c>
      <c r="X562" s="213">
        <v>0</v>
      </c>
      <c r="Y562" s="213"/>
      <c r="AF562" s="230">
        <f t="shared" si="10"/>
        <v>0</v>
      </c>
      <c r="AJ562" s="216"/>
    </row>
    <row r="563" spans="2:36" s="205" customFormat="1" ht="11.25" customHeight="1">
      <c r="B563" s="206" t="s">
        <v>291</v>
      </c>
      <c r="C563" s="207"/>
      <c r="D563" s="207"/>
      <c r="E563" s="208" t="s">
        <v>651</v>
      </c>
      <c r="F563" s="205" t="s">
        <v>652</v>
      </c>
      <c r="G563" s="209" t="s">
        <v>653</v>
      </c>
      <c r="H563" s="205" t="s">
        <v>183</v>
      </c>
      <c r="I563" s="205" t="s">
        <v>1905</v>
      </c>
      <c r="J563" s="210">
        <v>11833.48</v>
      </c>
      <c r="L563" s="210">
        <v>11.43</v>
      </c>
      <c r="M563" s="210">
        <v>11.43</v>
      </c>
      <c r="N563" s="213"/>
      <c r="O563" s="212">
        <v>0.2</v>
      </c>
      <c r="P563" s="212"/>
      <c r="Q563" s="213">
        <v>0</v>
      </c>
      <c r="R563" s="205" t="s">
        <v>42</v>
      </c>
      <c r="S563" s="214" t="s">
        <v>41</v>
      </c>
      <c r="T563" s="214">
        <v>17</v>
      </c>
      <c r="U563" s="215" t="s">
        <v>164</v>
      </c>
      <c r="V563" s="438"/>
      <c r="W563" s="205" t="s">
        <v>2713</v>
      </c>
      <c r="X563" s="213">
        <v>0</v>
      </c>
      <c r="Y563" s="213"/>
      <c r="AF563" s="230">
        <f t="shared" si="10"/>
        <v>0</v>
      </c>
      <c r="AJ563" s="216"/>
    </row>
    <row r="564" spans="2:36" s="205" customFormat="1" ht="11.25" customHeight="1">
      <c r="B564" s="206" t="s">
        <v>291</v>
      </c>
      <c r="C564" s="207">
        <v>44656</v>
      </c>
      <c r="D564" s="207">
        <v>44659</v>
      </c>
      <c r="E564" s="208" t="s">
        <v>654</v>
      </c>
      <c r="F564" s="205" t="s">
        <v>187</v>
      </c>
      <c r="G564" s="209">
        <v>3841</v>
      </c>
      <c r="H564" s="205" t="s">
        <v>162</v>
      </c>
      <c r="I564" s="205" t="s">
        <v>141</v>
      </c>
      <c r="J564" s="210">
        <v>5435.45</v>
      </c>
      <c r="L564" s="210">
        <v>17.510000000000002</v>
      </c>
      <c r="M564" s="210">
        <v>17.510000000000002</v>
      </c>
      <c r="N564" s="213">
        <f>50%*J564</f>
        <v>2717.7249999999999</v>
      </c>
      <c r="O564" s="212">
        <v>0.15</v>
      </c>
      <c r="P564" s="212"/>
      <c r="Q564" s="213">
        <v>0</v>
      </c>
      <c r="R564" s="205" t="s">
        <v>73</v>
      </c>
      <c r="S564" s="214" t="s">
        <v>113</v>
      </c>
      <c r="T564" s="214">
        <v>31</v>
      </c>
      <c r="U564" s="215" t="s">
        <v>164</v>
      </c>
      <c r="V564" s="438"/>
      <c r="W564" s="205" t="s">
        <v>3080</v>
      </c>
      <c r="X564" s="213">
        <v>0</v>
      </c>
      <c r="Y564" s="213"/>
      <c r="AF564" s="230">
        <f t="shared" si="10"/>
        <v>0</v>
      </c>
      <c r="AJ564" s="216"/>
    </row>
    <row r="565" spans="2:36" s="205" customFormat="1" ht="11.25" customHeight="1">
      <c r="B565" s="206" t="s">
        <v>291</v>
      </c>
      <c r="C565" s="207">
        <v>44655</v>
      </c>
      <c r="D565" s="207">
        <v>44659</v>
      </c>
      <c r="E565" s="208" t="s">
        <v>655</v>
      </c>
      <c r="F565" s="205" t="s">
        <v>656</v>
      </c>
      <c r="G565" s="209" t="s">
        <v>657</v>
      </c>
      <c r="H565" s="205" t="s">
        <v>140</v>
      </c>
      <c r="I565" s="205" t="s">
        <v>141</v>
      </c>
      <c r="J565" s="210">
        <v>14322.6</v>
      </c>
      <c r="L565" s="210">
        <v>7.3</v>
      </c>
      <c r="M565" s="210">
        <v>7.3</v>
      </c>
      <c r="N565" s="213">
        <v>0</v>
      </c>
      <c r="O565" s="212">
        <v>0.25</v>
      </c>
      <c r="P565" s="212"/>
      <c r="Q565" s="213">
        <v>0</v>
      </c>
      <c r="R565" s="205" t="s">
        <v>281</v>
      </c>
      <c r="S565" s="214" t="s">
        <v>228</v>
      </c>
      <c r="T565" s="214">
        <v>23</v>
      </c>
      <c r="U565" s="215" t="s">
        <v>164</v>
      </c>
      <c r="V565" s="438"/>
      <c r="W565" s="205" t="s">
        <v>2755</v>
      </c>
      <c r="X565" s="213">
        <v>0</v>
      </c>
      <c r="Y565" s="213"/>
      <c r="AF565" s="230">
        <f t="shared" si="10"/>
        <v>0</v>
      </c>
      <c r="AJ565" s="216"/>
    </row>
    <row r="566" spans="2:36" s="205" customFormat="1" ht="11.25" customHeight="1">
      <c r="B566" s="206" t="s">
        <v>291</v>
      </c>
      <c r="C566" s="207"/>
      <c r="D566" s="207"/>
      <c r="E566" s="208" t="s">
        <v>655</v>
      </c>
      <c r="F566" s="205" t="s">
        <v>656</v>
      </c>
      <c r="G566" s="209" t="s">
        <v>657</v>
      </c>
      <c r="H566" s="205" t="s">
        <v>99</v>
      </c>
      <c r="I566" s="205" t="s">
        <v>141</v>
      </c>
      <c r="J566" s="210">
        <v>14950</v>
      </c>
      <c r="L566" s="210">
        <v>11.5</v>
      </c>
      <c r="M566" s="210">
        <v>11.5</v>
      </c>
      <c r="N566" s="213">
        <v>0</v>
      </c>
      <c r="O566" s="212">
        <v>0.25</v>
      </c>
      <c r="P566" s="212"/>
      <c r="Q566" s="213">
        <v>0</v>
      </c>
      <c r="R566" s="205" t="s">
        <v>281</v>
      </c>
      <c r="S566" s="214" t="s">
        <v>228</v>
      </c>
      <c r="T566" s="214">
        <v>23</v>
      </c>
      <c r="U566" s="215" t="s">
        <v>164</v>
      </c>
      <c r="V566" s="438"/>
      <c r="W566" s="205" t="s">
        <v>2755</v>
      </c>
      <c r="X566" s="213">
        <v>0</v>
      </c>
      <c r="Y566" s="213"/>
      <c r="AF566" s="230">
        <f t="shared" si="10"/>
        <v>0</v>
      </c>
      <c r="AJ566" s="216"/>
    </row>
    <row r="567" spans="2:36" s="205" customFormat="1" ht="11.25" customHeight="1">
      <c r="B567" s="206" t="s">
        <v>291</v>
      </c>
      <c r="C567" s="207"/>
      <c r="D567" s="207"/>
      <c r="E567" s="208" t="s">
        <v>655</v>
      </c>
      <c r="F567" s="205" t="s">
        <v>656</v>
      </c>
      <c r="G567" s="209" t="s">
        <v>657</v>
      </c>
      <c r="H567" s="205" t="s">
        <v>27</v>
      </c>
      <c r="I567" s="205" t="s">
        <v>141</v>
      </c>
      <c r="J567" s="210">
        <v>28875</v>
      </c>
      <c r="L567" s="210">
        <v>16.5</v>
      </c>
      <c r="M567" s="210">
        <v>16.5</v>
      </c>
      <c r="N567" s="213">
        <v>14148.75</v>
      </c>
      <c r="O567" s="212">
        <v>0.25</v>
      </c>
      <c r="P567" s="212"/>
      <c r="Q567" s="213">
        <v>0</v>
      </c>
      <c r="R567" s="205" t="s">
        <v>281</v>
      </c>
      <c r="S567" s="214" t="s">
        <v>228</v>
      </c>
      <c r="T567" s="214">
        <v>23</v>
      </c>
      <c r="U567" s="215" t="s">
        <v>164</v>
      </c>
      <c r="V567" s="438"/>
      <c r="W567" s="205" t="s">
        <v>2755</v>
      </c>
      <c r="X567" s="213">
        <v>0</v>
      </c>
      <c r="Y567" s="213"/>
      <c r="AF567" s="230">
        <f t="shared" si="10"/>
        <v>0</v>
      </c>
      <c r="AJ567" s="216"/>
    </row>
    <row r="568" spans="2:36" s="205" customFormat="1" ht="11.25" customHeight="1">
      <c r="B568" s="206" t="s">
        <v>291</v>
      </c>
      <c r="C568" s="207"/>
      <c r="D568" s="207"/>
      <c r="E568" s="208" t="s">
        <v>655</v>
      </c>
      <c r="F568" s="205" t="s">
        <v>656</v>
      </c>
      <c r="G568" s="209" t="s">
        <v>657</v>
      </c>
      <c r="H568" s="205" t="s">
        <v>137</v>
      </c>
      <c r="I568" s="205" t="s">
        <v>141</v>
      </c>
      <c r="J568" s="210">
        <v>11700</v>
      </c>
      <c r="L568" s="210">
        <v>9</v>
      </c>
      <c r="M568" s="210">
        <v>9</v>
      </c>
      <c r="N568" s="213">
        <v>0</v>
      </c>
      <c r="O568" s="212">
        <v>0.25</v>
      </c>
      <c r="P568" s="212"/>
      <c r="Q568" s="213">
        <v>0</v>
      </c>
      <c r="R568" s="205" t="s">
        <v>281</v>
      </c>
      <c r="S568" s="214" t="s">
        <v>228</v>
      </c>
      <c r="T568" s="214">
        <v>23</v>
      </c>
      <c r="U568" s="215" t="s">
        <v>164</v>
      </c>
      <c r="V568" s="438"/>
      <c r="W568" s="205" t="s">
        <v>2755</v>
      </c>
      <c r="X568" s="213">
        <v>0</v>
      </c>
      <c r="Y568" s="213"/>
      <c r="AF568" s="230">
        <f t="shared" si="10"/>
        <v>0</v>
      </c>
      <c r="AJ568" s="216"/>
    </row>
    <row r="569" spans="2:36" s="205" customFormat="1" ht="11.25" customHeight="1">
      <c r="B569" s="206" t="s">
        <v>291</v>
      </c>
      <c r="C569" s="207">
        <v>44655</v>
      </c>
      <c r="D569" s="207">
        <v>44659</v>
      </c>
      <c r="E569" s="208" t="s">
        <v>658</v>
      </c>
      <c r="F569" s="205" t="s">
        <v>659</v>
      </c>
      <c r="G569" s="209" t="s">
        <v>660</v>
      </c>
      <c r="H569" s="205" t="s">
        <v>27</v>
      </c>
      <c r="I569" s="205" t="s">
        <v>141</v>
      </c>
      <c r="J569" s="210">
        <v>9232.6299999999992</v>
      </c>
      <c r="L569" s="210">
        <v>6.84</v>
      </c>
      <c r="M569" s="210">
        <v>6.84</v>
      </c>
      <c r="N569" s="213">
        <v>1846.53</v>
      </c>
      <c r="O569" s="212">
        <v>0.2</v>
      </c>
      <c r="P569" s="212"/>
      <c r="Q569" s="213">
        <v>0</v>
      </c>
      <c r="R569" s="205" t="s">
        <v>112</v>
      </c>
      <c r="S569" s="214" t="s">
        <v>113</v>
      </c>
      <c r="T569" s="214">
        <v>64</v>
      </c>
      <c r="U569" s="215" t="s">
        <v>164</v>
      </c>
      <c r="V569" s="438"/>
      <c r="W569" s="205" t="s">
        <v>2988</v>
      </c>
      <c r="X569" s="213">
        <v>0</v>
      </c>
      <c r="Y569" s="213"/>
      <c r="AF569" s="230">
        <f t="shared" si="10"/>
        <v>0</v>
      </c>
      <c r="AJ569" s="216"/>
    </row>
    <row r="570" spans="2:36" s="153" customFormat="1" ht="11.25" customHeight="1">
      <c r="B570" s="154" t="s">
        <v>291</v>
      </c>
      <c r="C570" s="155">
        <v>44655</v>
      </c>
      <c r="D570" s="155">
        <v>44659</v>
      </c>
      <c r="E570" s="156" t="s">
        <v>661</v>
      </c>
      <c r="F570" s="153" t="s">
        <v>662</v>
      </c>
      <c r="G570" s="157">
        <v>3856</v>
      </c>
      <c r="H570" s="153" t="s">
        <v>140</v>
      </c>
      <c r="I570" s="153" t="s">
        <v>141</v>
      </c>
      <c r="J570" s="158">
        <v>15669.84</v>
      </c>
      <c r="L570" s="158">
        <v>23.96</v>
      </c>
      <c r="M570" s="158">
        <v>23.95</v>
      </c>
      <c r="N570" s="159"/>
      <c r="O570" s="160">
        <v>0.2</v>
      </c>
      <c r="P570" s="160"/>
      <c r="Q570" s="159">
        <v>0</v>
      </c>
      <c r="R570" s="153" t="s">
        <v>42</v>
      </c>
      <c r="S570" s="161" t="s">
        <v>41</v>
      </c>
      <c r="T570" s="161">
        <v>17</v>
      </c>
      <c r="U570" s="162" t="s">
        <v>164</v>
      </c>
      <c r="V570" s="435"/>
      <c r="W570" s="153" t="s">
        <v>1854</v>
      </c>
      <c r="X570" s="159">
        <v>0</v>
      </c>
      <c r="Y570" s="159"/>
      <c r="AD570" s="176">
        <f>X570</f>
        <v>0</v>
      </c>
      <c r="AJ570" s="644"/>
    </row>
    <row r="571" spans="2:36" s="153" customFormat="1" ht="11.25" customHeight="1">
      <c r="B571" s="154" t="s">
        <v>291</v>
      </c>
      <c r="C571" s="155"/>
      <c r="D571" s="155"/>
      <c r="E571" s="156" t="s">
        <v>661</v>
      </c>
      <c r="F571" s="153" t="s">
        <v>662</v>
      </c>
      <c r="G571" s="157">
        <v>3856</v>
      </c>
      <c r="H571" s="153" t="s">
        <v>99</v>
      </c>
      <c r="I571" s="153" t="s">
        <v>141</v>
      </c>
      <c r="J571" s="158">
        <v>15704.64</v>
      </c>
      <c r="L571" s="158">
        <v>15.96</v>
      </c>
      <c r="M571" s="158">
        <v>15.96</v>
      </c>
      <c r="N571" s="159"/>
      <c r="O571" s="160">
        <v>0.2</v>
      </c>
      <c r="P571" s="160"/>
      <c r="Q571" s="159">
        <v>0</v>
      </c>
      <c r="R571" s="153" t="s">
        <v>42</v>
      </c>
      <c r="S571" s="161" t="s">
        <v>41</v>
      </c>
      <c r="T571" s="161">
        <v>17</v>
      </c>
      <c r="U571" s="162" t="s">
        <v>164</v>
      </c>
      <c r="V571" s="435"/>
      <c r="W571" s="153" t="s">
        <v>1854</v>
      </c>
      <c r="X571" s="159">
        <v>0</v>
      </c>
      <c r="Y571" s="159"/>
      <c r="AD571" s="176">
        <f>X571</f>
        <v>0</v>
      </c>
      <c r="AJ571" s="644"/>
    </row>
    <row r="572" spans="2:36" s="153" customFormat="1" ht="11.25" customHeight="1">
      <c r="B572" s="154" t="s">
        <v>291</v>
      </c>
      <c r="C572" s="155"/>
      <c r="D572" s="155"/>
      <c r="E572" s="156" t="s">
        <v>661</v>
      </c>
      <c r="F572" s="153" t="s">
        <v>662</v>
      </c>
      <c r="G572" s="157">
        <v>3856</v>
      </c>
      <c r="H572" s="153" t="s">
        <v>183</v>
      </c>
      <c r="I572" s="153" t="s">
        <v>141</v>
      </c>
      <c r="J572" s="158">
        <v>15537.77</v>
      </c>
      <c r="L572" s="158">
        <v>15.53</v>
      </c>
      <c r="M572" s="158">
        <v>15.53</v>
      </c>
      <c r="N572" s="159"/>
      <c r="O572" s="160">
        <v>0.2</v>
      </c>
      <c r="P572" s="160"/>
      <c r="Q572" s="159">
        <v>0</v>
      </c>
      <c r="R572" s="153" t="s">
        <v>42</v>
      </c>
      <c r="S572" s="161" t="s">
        <v>41</v>
      </c>
      <c r="T572" s="161">
        <v>17</v>
      </c>
      <c r="U572" s="162" t="s">
        <v>164</v>
      </c>
      <c r="V572" s="435"/>
      <c r="W572" s="153" t="s">
        <v>1854</v>
      </c>
      <c r="X572" s="159">
        <v>0</v>
      </c>
      <c r="Y572" s="159"/>
      <c r="AD572" s="176">
        <f>X572</f>
        <v>0</v>
      </c>
      <c r="AJ572" s="644"/>
    </row>
    <row r="573" spans="2:36" s="153" customFormat="1" ht="11.25" customHeight="1">
      <c r="B573" s="154" t="s">
        <v>291</v>
      </c>
      <c r="C573" s="155">
        <v>44655</v>
      </c>
      <c r="D573" s="155">
        <v>44659</v>
      </c>
      <c r="E573" s="156" t="s">
        <v>663</v>
      </c>
      <c r="F573" s="153" t="s">
        <v>664</v>
      </c>
      <c r="G573" s="157" t="s">
        <v>665</v>
      </c>
      <c r="H573" s="153" t="s">
        <v>27</v>
      </c>
      <c r="I573" s="153" t="s">
        <v>141</v>
      </c>
      <c r="J573" s="158">
        <v>29390.9</v>
      </c>
      <c r="L573" s="158">
        <v>16.940000000000001</v>
      </c>
      <c r="M573" s="158">
        <v>16.940000000000001</v>
      </c>
      <c r="N573" s="159"/>
      <c r="O573" s="160">
        <v>0.25</v>
      </c>
      <c r="P573" s="160"/>
      <c r="Q573" s="159">
        <v>0</v>
      </c>
      <c r="R573" s="153" t="s">
        <v>35</v>
      </c>
      <c r="S573" s="161" t="s">
        <v>41</v>
      </c>
      <c r="T573" s="161">
        <v>16</v>
      </c>
      <c r="U573" s="162" t="s">
        <v>164</v>
      </c>
      <c r="V573" s="435"/>
      <c r="W573" s="153" t="s">
        <v>1894</v>
      </c>
      <c r="X573" s="159">
        <v>0</v>
      </c>
      <c r="Y573" s="159"/>
      <c r="AD573" s="176">
        <f>X573</f>
        <v>0</v>
      </c>
      <c r="AJ573" s="644"/>
    </row>
    <row r="574" spans="2:36" s="205" customFormat="1" ht="11.25" customHeight="1">
      <c r="B574" s="206" t="s">
        <v>291</v>
      </c>
      <c r="C574" s="207">
        <v>44656</v>
      </c>
      <c r="D574" s="207">
        <v>44659</v>
      </c>
      <c r="E574" s="208" t="s">
        <v>666</v>
      </c>
      <c r="F574" s="205" t="s">
        <v>72</v>
      </c>
      <c r="G574" s="209">
        <v>4179</v>
      </c>
      <c r="H574" s="205" t="s">
        <v>27</v>
      </c>
      <c r="I574" s="205" t="s">
        <v>141</v>
      </c>
      <c r="J574" s="210">
        <v>29324.5</v>
      </c>
      <c r="L574" s="210">
        <v>22.3</v>
      </c>
      <c r="M574" s="210">
        <v>22</v>
      </c>
      <c r="N574" s="213"/>
      <c r="O574" s="212">
        <v>0.15</v>
      </c>
      <c r="P574" s="212"/>
      <c r="Q574" s="213">
        <v>0</v>
      </c>
      <c r="R574" s="205" t="s">
        <v>73</v>
      </c>
      <c r="S574" s="214" t="s">
        <v>74</v>
      </c>
      <c r="T574" s="214">
        <v>31</v>
      </c>
      <c r="U574" s="215" t="s">
        <v>164</v>
      </c>
      <c r="V574" s="438"/>
      <c r="W574" s="205" t="s">
        <v>3056</v>
      </c>
      <c r="X574" s="213">
        <v>0</v>
      </c>
      <c r="Y574" s="213"/>
      <c r="AF574" s="230">
        <f>X574</f>
        <v>0</v>
      </c>
      <c r="AJ574" s="216"/>
    </row>
    <row r="575" spans="2:36" s="181" customFormat="1" ht="11.25" customHeight="1">
      <c r="B575" s="178" t="s">
        <v>291</v>
      </c>
      <c r="C575" s="179">
        <v>44655</v>
      </c>
      <c r="D575" s="179">
        <v>44659</v>
      </c>
      <c r="E575" s="180" t="s">
        <v>667</v>
      </c>
      <c r="F575" s="181" t="s">
        <v>668</v>
      </c>
      <c r="G575" s="182">
        <v>3855</v>
      </c>
      <c r="H575" s="181" t="s">
        <v>295</v>
      </c>
      <c r="I575" s="181" t="s">
        <v>141</v>
      </c>
      <c r="J575" s="183">
        <v>2400</v>
      </c>
      <c r="L575" s="183">
        <v>4</v>
      </c>
      <c r="M575" s="183">
        <v>4</v>
      </c>
      <c r="N575" s="185">
        <v>360</v>
      </c>
      <c r="O575" s="186">
        <v>0.2</v>
      </c>
      <c r="P575" s="186"/>
      <c r="Q575" s="185">
        <v>0</v>
      </c>
      <c r="R575" s="181" t="s">
        <v>42</v>
      </c>
      <c r="S575" s="187" t="s">
        <v>41</v>
      </c>
      <c r="T575" s="187">
        <v>17</v>
      </c>
      <c r="U575" s="188" t="s">
        <v>164</v>
      </c>
      <c r="V575" s="441"/>
      <c r="W575" s="181" t="s">
        <v>2669</v>
      </c>
      <c r="X575" s="185">
        <v>0</v>
      </c>
      <c r="Y575" s="185"/>
      <c r="AE575" s="204">
        <f>X575</f>
        <v>0</v>
      </c>
      <c r="AJ575" s="189"/>
    </row>
    <row r="576" spans="2:36" s="181" customFormat="1" ht="11.25" customHeight="1">
      <c r="B576" s="178" t="s">
        <v>291</v>
      </c>
      <c r="C576" s="179"/>
      <c r="D576" s="179"/>
      <c r="E576" s="180" t="s">
        <v>667</v>
      </c>
      <c r="F576" s="181" t="s">
        <v>668</v>
      </c>
      <c r="G576" s="182">
        <v>3855</v>
      </c>
      <c r="H576" s="181" t="s">
        <v>207</v>
      </c>
      <c r="I576" s="181" t="s">
        <v>141</v>
      </c>
      <c r="J576" s="183">
        <v>4653</v>
      </c>
      <c r="L576" s="183">
        <v>6</v>
      </c>
      <c r="M576" s="183">
        <v>6</v>
      </c>
      <c r="N576" s="185">
        <v>409.47</v>
      </c>
      <c r="O576" s="186">
        <v>0.2</v>
      </c>
      <c r="P576" s="186"/>
      <c r="Q576" s="185">
        <v>0</v>
      </c>
      <c r="R576" s="181" t="s">
        <v>42</v>
      </c>
      <c r="S576" s="187" t="s">
        <v>41</v>
      </c>
      <c r="T576" s="187">
        <v>17</v>
      </c>
      <c r="U576" s="188" t="s">
        <v>164</v>
      </c>
      <c r="V576" s="441"/>
      <c r="W576" s="181" t="s">
        <v>2669</v>
      </c>
      <c r="X576" s="185">
        <v>0</v>
      </c>
      <c r="Y576" s="185"/>
      <c r="AE576" s="204">
        <f>X576</f>
        <v>0</v>
      </c>
      <c r="AJ576" s="189"/>
    </row>
    <row r="577" spans="1:77" s="181" customFormat="1" ht="11.25" customHeight="1">
      <c r="B577" s="178" t="s">
        <v>291</v>
      </c>
      <c r="C577" s="179"/>
      <c r="D577" s="179"/>
      <c r="E577" s="180" t="s">
        <v>667</v>
      </c>
      <c r="F577" s="181" t="s">
        <v>668</v>
      </c>
      <c r="G577" s="182">
        <v>3855</v>
      </c>
      <c r="H577" s="181" t="s">
        <v>140</v>
      </c>
      <c r="I577" s="181" t="s">
        <v>141</v>
      </c>
      <c r="J577" s="183">
        <v>7939.56</v>
      </c>
      <c r="L577" s="183">
        <v>6.54</v>
      </c>
      <c r="M577" s="183">
        <v>6.54</v>
      </c>
      <c r="N577" s="185">
        <v>1180</v>
      </c>
      <c r="O577" s="186">
        <v>0.2</v>
      </c>
      <c r="P577" s="186"/>
      <c r="Q577" s="185">
        <v>0</v>
      </c>
      <c r="R577" s="181" t="s">
        <v>42</v>
      </c>
      <c r="S577" s="187" t="s">
        <v>41</v>
      </c>
      <c r="T577" s="187">
        <v>17</v>
      </c>
      <c r="U577" s="188" t="s">
        <v>164</v>
      </c>
      <c r="V577" s="441"/>
      <c r="W577" s="181" t="s">
        <v>2669</v>
      </c>
      <c r="X577" s="185">
        <v>0</v>
      </c>
      <c r="Y577" s="185"/>
      <c r="AE577" s="204">
        <f>X577</f>
        <v>0</v>
      </c>
      <c r="AJ577" s="189"/>
    </row>
    <row r="578" spans="1:77" s="291" customFormat="1" ht="11.25" customHeight="1">
      <c r="B578" s="310" t="s">
        <v>291</v>
      </c>
      <c r="C578" s="292"/>
      <c r="D578" s="292"/>
      <c r="E578" s="293" t="s">
        <v>669</v>
      </c>
      <c r="F578" s="291" t="s">
        <v>670</v>
      </c>
      <c r="G578" s="294">
        <v>4185</v>
      </c>
      <c r="H578" s="291" t="s">
        <v>138</v>
      </c>
      <c r="I578" s="291" t="s">
        <v>141</v>
      </c>
      <c r="J578" s="296">
        <v>13991.04</v>
      </c>
      <c r="L578" s="296">
        <v>13.88</v>
      </c>
      <c r="M578" s="296">
        <v>13.88</v>
      </c>
      <c r="N578" s="297"/>
      <c r="O578" s="298">
        <v>0.3</v>
      </c>
      <c r="P578" s="298"/>
      <c r="Q578" s="297">
        <v>0</v>
      </c>
      <c r="R578" s="291" t="s">
        <v>35</v>
      </c>
      <c r="S578" s="299" t="s">
        <v>41</v>
      </c>
      <c r="T578" s="299">
        <v>79</v>
      </c>
      <c r="U578" s="300" t="s">
        <v>164</v>
      </c>
      <c r="V578" s="333"/>
      <c r="X578" s="297">
        <v>0</v>
      </c>
      <c r="Y578" s="297"/>
      <c r="AH578" s="291">
        <f>X578</f>
        <v>0</v>
      </c>
      <c r="AI578" s="311"/>
      <c r="AJ578" s="468"/>
    </row>
    <row r="579" spans="1:77" s="291" customFormat="1" ht="11.25" customHeight="1">
      <c r="B579" s="310" t="s">
        <v>291</v>
      </c>
      <c r="C579" s="292"/>
      <c r="D579" s="292"/>
      <c r="E579" s="293" t="s">
        <v>669</v>
      </c>
      <c r="F579" s="291" t="s">
        <v>670</v>
      </c>
      <c r="G579" s="294">
        <v>4185</v>
      </c>
      <c r="H579" s="291" t="s">
        <v>27</v>
      </c>
      <c r="I579" s="291" t="s">
        <v>141</v>
      </c>
      <c r="J579" s="296">
        <v>13610.76</v>
      </c>
      <c r="L579" s="296">
        <v>11.23</v>
      </c>
      <c r="M579" s="296">
        <v>8.19</v>
      </c>
      <c r="N579" s="297"/>
      <c r="O579" s="298">
        <v>0.3</v>
      </c>
      <c r="P579" s="298"/>
      <c r="Q579" s="297">
        <v>0</v>
      </c>
      <c r="R579" s="291" t="s">
        <v>35</v>
      </c>
      <c r="S579" s="299" t="s">
        <v>41</v>
      </c>
      <c r="T579" s="299">
        <v>79</v>
      </c>
      <c r="U579" s="300" t="s">
        <v>164</v>
      </c>
      <c r="V579" s="333"/>
      <c r="X579" s="297">
        <v>0</v>
      </c>
      <c r="Y579" s="297"/>
      <c r="AH579" s="291">
        <f>X579</f>
        <v>0</v>
      </c>
      <c r="AI579" s="311"/>
      <c r="AJ579" s="468"/>
    </row>
    <row r="580" spans="1:77" s="291" customFormat="1" ht="11.25" customHeight="1">
      <c r="B580" s="310" t="s">
        <v>291</v>
      </c>
      <c r="C580" s="292"/>
      <c r="D580" s="292"/>
      <c r="E580" s="293" t="s">
        <v>669</v>
      </c>
      <c r="F580" s="291" t="s">
        <v>670</v>
      </c>
      <c r="G580" s="294">
        <v>4185</v>
      </c>
      <c r="H580" s="291" t="s">
        <v>183</v>
      </c>
      <c r="I580" s="291" t="s">
        <v>141</v>
      </c>
      <c r="J580" s="296">
        <v>19036.72</v>
      </c>
      <c r="L580" s="296">
        <v>19.89</v>
      </c>
      <c r="M580" s="296">
        <v>18</v>
      </c>
      <c r="N580" s="297"/>
      <c r="O580" s="298">
        <v>0.3</v>
      </c>
      <c r="P580" s="298"/>
      <c r="Q580" s="297">
        <v>0</v>
      </c>
      <c r="R580" s="291" t="s">
        <v>35</v>
      </c>
      <c r="S580" s="299" t="s">
        <v>41</v>
      </c>
      <c r="T580" s="299">
        <v>79</v>
      </c>
      <c r="U580" s="300" t="s">
        <v>164</v>
      </c>
      <c r="V580" s="333"/>
      <c r="X580" s="297">
        <v>0</v>
      </c>
      <c r="Y580" s="297"/>
      <c r="AH580" s="291">
        <f>X580</f>
        <v>0</v>
      </c>
      <c r="AI580" s="311"/>
      <c r="AJ580" s="468"/>
    </row>
    <row r="581" spans="1:77" s="261" customFormat="1" ht="11.25" customHeight="1">
      <c r="B581" s="258" t="s">
        <v>291</v>
      </c>
      <c r="C581" s="259">
        <v>44656</v>
      </c>
      <c r="D581" s="259">
        <v>44659</v>
      </c>
      <c r="E581" s="260" t="s">
        <v>669</v>
      </c>
      <c r="F581" s="261" t="s">
        <v>670</v>
      </c>
      <c r="G581" s="262">
        <v>4185</v>
      </c>
      <c r="H581" s="261" t="s">
        <v>99</v>
      </c>
      <c r="I581" s="261" t="s">
        <v>141</v>
      </c>
      <c r="J581" s="263">
        <v>53001</v>
      </c>
      <c r="L581" s="263">
        <v>45.3</v>
      </c>
      <c r="M581" s="263">
        <v>45.3</v>
      </c>
      <c r="N581" s="265"/>
      <c r="O581" s="266">
        <v>0.3</v>
      </c>
      <c r="P581" s="266"/>
      <c r="Q581" s="265">
        <v>0</v>
      </c>
      <c r="R581" s="261" t="s">
        <v>35</v>
      </c>
      <c r="S581" s="267" t="s">
        <v>41</v>
      </c>
      <c r="T581" s="267">
        <v>79</v>
      </c>
      <c r="U581" s="268" t="s">
        <v>164</v>
      </c>
      <c r="V581" s="427"/>
      <c r="W581" s="265" t="s">
        <v>3788</v>
      </c>
      <c r="X581" s="265">
        <v>0</v>
      </c>
      <c r="Y581" s="265"/>
      <c r="AG581" s="261">
        <f>X581</f>
        <v>0</v>
      </c>
      <c r="AJ581" s="642"/>
    </row>
    <row r="582" spans="1:77" s="153" customFormat="1" ht="11.25" customHeight="1">
      <c r="B582" s="154" t="s">
        <v>291</v>
      </c>
      <c r="C582" s="155">
        <v>44656</v>
      </c>
      <c r="D582" s="155">
        <v>44659</v>
      </c>
      <c r="E582" s="156" t="s">
        <v>671</v>
      </c>
      <c r="F582" s="153" t="s">
        <v>672</v>
      </c>
      <c r="G582" s="157">
        <v>3601</v>
      </c>
      <c r="H582" s="153" t="s">
        <v>99</v>
      </c>
      <c r="I582" s="153" t="s">
        <v>141</v>
      </c>
      <c r="J582" s="158">
        <v>76762.45</v>
      </c>
      <c r="L582" s="158">
        <v>59.32</v>
      </c>
      <c r="M582" s="158">
        <v>59.32</v>
      </c>
      <c r="N582" s="159"/>
      <c r="O582" s="160">
        <v>0.2</v>
      </c>
      <c r="P582" s="160"/>
      <c r="Q582" s="159">
        <v>0</v>
      </c>
      <c r="R582" s="153" t="s">
        <v>35</v>
      </c>
      <c r="S582" s="161" t="s">
        <v>41</v>
      </c>
      <c r="T582" s="161">
        <v>79</v>
      </c>
      <c r="U582" s="162" t="s">
        <v>164</v>
      </c>
      <c r="V582" s="435"/>
      <c r="W582" s="153" t="s">
        <v>1862</v>
      </c>
      <c r="X582" s="159">
        <v>0</v>
      </c>
      <c r="Y582" s="159"/>
      <c r="AD582" s="176">
        <f>X582</f>
        <v>0</v>
      </c>
      <c r="AJ582" s="644"/>
    </row>
    <row r="583" spans="1:77" s="153" customFormat="1" ht="11.25" customHeight="1">
      <c r="B583" s="154" t="s">
        <v>291</v>
      </c>
      <c r="C583" s="155"/>
      <c r="D583" s="155"/>
      <c r="E583" s="156" t="s">
        <v>671</v>
      </c>
      <c r="F583" s="153" t="s">
        <v>672</v>
      </c>
      <c r="G583" s="157">
        <v>3601</v>
      </c>
      <c r="H583" s="153" t="s">
        <v>27</v>
      </c>
      <c r="I583" s="153" t="s">
        <v>141</v>
      </c>
      <c r="J583" s="158">
        <v>14395.92</v>
      </c>
      <c r="L583" s="158">
        <v>13.2</v>
      </c>
      <c r="M583" s="158">
        <v>13.2</v>
      </c>
      <c r="N583" s="159"/>
      <c r="O583" s="160">
        <v>0.2</v>
      </c>
      <c r="P583" s="160"/>
      <c r="Q583" s="159">
        <v>0</v>
      </c>
      <c r="R583" s="153" t="s">
        <v>35</v>
      </c>
      <c r="S583" s="161" t="s">
        <v>41</v>
      </c>
      <c r="T583" s="161">
        <v>79</v>
      </c>
      <c r="U583" s="162" t="s">
        <v>164</v>
      </c>
      <c r="V583" s="435"/>
      <c r="W583" s="153" t="s">
        <v>1862</v>
      </c>
      <c r="X583" s="159">
        <v>0</v>
      </c>
      <c r="Y583" s="159"/>
      <c r="AD583" s="176">
        <f>X583</f>
        <v>0</v>
      </c>
      <c r="AJ583" s="644"/>
    </row>
    <row r="584" spans="1:77" s="153" customFormat="1" ht="11.25" customHeight="1">
      <c r="B584" s="154" t="s">
        <v>291</v>
      </c>
      <c r="C584" s="155"/>
      <c r="D584" s="155"/>
      <c r="E584" s="156" t="s">
        <v>671</v>
      </c>
      <c r="F584" s="153" t="s">
        <v>672</v>
      </c>
      <c r="G584" s="157">
        <v>3601</v>
      </c>
      <c r="H584" s="153" t="s">
        <v>183</v>
      </c>
      <c r="I584" s="153" t="s">
        <v>141</v>
      </c>
      <c r="J584" s="158">
        <v>20185.57</v>
      </c>
      <c r="L584" s="158">
        <v>16.489999999999998</v>
      </c>
      <c r="M584" s="158">
        <v>16.489999999999998</v>
      </c>
      <c r="N584" s="159"/>
      <c r="O584" s="160">
        <v>0.2</v>
      </c>
      <c r="P584" s="160"/>
      <c r="Q584" s="159">
        <v>0</v>
      </c>
      <c r="R584" s="153" t="s">
        <v>35</v>
      </c>
      <c r="S584" s="161" t="s">
        <v>41</v>
      </c>
      <c r="T584" s="161">
        <v>79</v>
      </c>
      <c r="U584" s="162" t="s">
        <v>164</v>
      </c>
      <c r="V584" s="435"/>
      <c r="W584" s="153" t="s">
        <v>1862</v>
      </c>
      <c r="X584" s="159">
        <v>0</v>
      </c>
      <c r="Y584" s="159"/>
      <c r="AD584" s="176">
        <f>X584</f>
        <v>0</v>
      </c>
      <c r="AJ584" s="644"/>
    </row>
    <row r="585" spans="1:77" s="261" customFormat="1" ht="11.25" customHeight="1">
      <c r="B585" s="258" t="s">
        <v>291</v>
      </c>
      <c r="C585" s="259">
        <v>44652</v>
      </c>
      <c r="D585" s="259">
        <v>44653</v>
      </c>
      <c r="E585" s="260" t="s">
        <v>673</v>
      </c>
      <c r="F585" s="261" t="s">
        <v>328</v>
      </c>
      <c r="G585" s="262">
        <v>4151</v>
      </c>
      <c r="H585" s="261" t="s">
        <v>27</v>
      </c>
      <c r="I585" s="261" t="s">
        <v>325</v>
      </c>
      <c r="J585" s="263">
        <v>25540.9</v>
      </c>
      <c r="L585" s="263">
        <v>14.98</v>
      </c>
      <c r="M585" s="263">
        <v>14.98</v>
      </c>
      <c r="N585" s="265">
        <v>1277.05</v>
      </c>
      <c r="O585" s="266">
        <v>0.2</v>
      </c>
      <c r="P585" s="266"/>
      <c r="Q585" s="265">
        <v>0</v>
      </c>
      <c r="R585" s="261" t="s">
        <v>46</v>
      </c>
      <c r="S585" s="267" t="s">
        <v>47</v>
      </c>
      <c r="T585" s="267">
        <v>76</v>
      </c>
      <c r="U585" s="268" t="s">
        <v>164</v>
      </c>
      <c r="V585" s="427"/>
      <c r="X585" s="265">
        <v>0</v>
      </c>
      <c r="Y585" s="265"/>
      <c r="AG585" s="261">
        <f>X585</f>
        <v>0</v>
      </c>
      <c r="AJ585" s="642"/>
    </row>
    <row r="586" spans="1:77" s="337" customFormat="1" ht="11" customHeight="1">
      <c r="B586" s="338" t="s">
        <v>291</v>
      </c>
      <c r="C586" s="349">
        <v>44654</v>
      </c>
      <c r="D586" s="349">
        <v>44659</v>
      </c>
      <c r="E586" s="350" t="s">
        <v>674</v>
      </c>
      <c r="F586" s="337" t="s">
        <v>675</v>
      </c>
      <c r="G586" s="351" t="s">
        <v>676</v>
      </c>
      <c r="H586" s="337" t="s">
        <v>163</v>
      </c>
      <c r="I586" s="337" t="s">
        <v>141</v>
      </c>
      <c r="J586" s="352">
        <v>10730.91</v>
      </c>
      <c r="L586" s="352">
        <v>14.02</v>
      </c>
      <c r="M586" s="352">
        <v>14.02</v>
      </c>
      <c r="N586" s="354"/>
      <c r="O586" s="355">
        <v>0.15</v>
      </c>
      <c r="P586" s="355"/>
      <c r="Q586" s="354">
        <v>0</v>
      </c>
      <c r="R586" s="337" t="s">
        <v>35</v>
      </c>
      <c r="S586" s="356" t="s">
        <v>41</v>
      </c>
      <c r="T586" s="356">
        <v>86</v>
      </c>
      <c r="U586" s="357" t="s">
        <v>164</v>
      </c>
      <c r="V586" s="434"/>
      <c r="X586" s="354">
        <v>0</v>
      </c>
      <c r="Y586" s="354"/>
      <c r="AI586" s="341">
        <f>X586</f>
        <v>0</v>
      </c>
      <c r="AJ586" s="358"/>
      <c r="AK586" s="369"/>
    </row>
    <row r="587" spans="1:77" s="337" customFormat="1" ht="11.25" customHeight="1">
      <c r="B587" s="338" t="s">
        <v>291</v>
      </c>
      <c r="C587" s="349"/>
      <c r="D587" s="349"/>
      <c r="E587" s="350" t="s">
        <v>674</v>
      </c>
      <c r="F587" s="337" t="s">
        <v>675</v>
      </c>
      <c r="G587" s="351" t="s">
        <v>676</v>
      </c>
      <c r="H587" s="337" t="s">
        <v>99</v>
      </c>
      <c r="I587" s="337" t="s">
        <v>141</v>
      </c>
      <c r="J587" s="352">
        <v>14641</v>
      </c>
      <c r="L587" s="352">
        <v>12.1</v>
      </c>
      <c r="M587" s="352">
        <v>12.1</v>
      </c>
      <c r="N587" s="354">
        <f>J587*0.3</f>
        <v>4392.3</v>
      </c>
      <c r="O587" s="355">
        <v>0.15</v>
      </c>
      <c r="P587" s="355"/>
      <c r="Q587" s="354">
        <v>0</v>
      </c>
      <c r="R587" s="337" t="s">
        <v>35</v>
      </c>
      <c r="S587" s="356" t="s">
        <v>41</v>
      </c>
      <c r="T587" s="356">
        <v>86</v>
      </c>
      <c r="U587" s="357" t="s">
        <v>164</v>
      </c>
      <c r="V587" s="434"/>
      <c r="X587" s="354">
        <v>0</v>
      </c>
      <c r="Y587" s="354"/>
      <c r="AI587" s="341">
        <f>X587</f>
        <v>0</v>
      </c>
      <c r="AJ587" s="358"/>
      <c r="AK587" s="369"/>
    </row>
    <row r="588" spans="1:77" s="337" customFormat="1" ht="11.25" customHeight="1">
      <c r="B588" s="338" t="s">
        <v>291</v>
      </c>
      <c r="C588" s="349">
        <v>44655</v>
      </c>
      <c r="D588" s="349">
        <v>44659</v>
      </c>
      <c r="E588" s="350" t="s">
        <v>677</v>
      </c>
      <c r="F588" s="337" t="s">
        <v>678</v>
      </c>
      <c r="G588" s="351">
        <v>3918</v>
      </c>
      <c r="H588" s="337" t="s">
        <v>27</v>
      </c>
      <c r="I588" s="337" t="s">
        <v>141</v>
      </c>
      <c r="J588" s="352">
        <v>13041.6</v>
      </c>
      <c r="L588" s="352">
        <v>9.5</v>
      </c>
      <c r="M588" s="352">
        <v>9.5399999999999991</v>
      </c>
      <c r="N588" s="354"/>
      <c r="O588" s="355">
        <v>0.15</v>
      </c>
      <c r="P588" s="355"/>
      <c r="Q588" s="354">
        <v>0</v>
      </c>
      <c r="R588" s="337" t="s">
        <v>35</v>
      </c>
      <c r="S588" s="356" t="s">
        <v>41</v>
      </c>
      <c r="T588" s="356">
        <v>86</v>
      </c>
      <c r="U588" s="357" t="s">
        <v>164</v>
      </c>
      <c r="V588" s="434"/>
      <c r="X588" s="354">
        <v>0</v>
      </c>
      <c r="Y588" s="354"/>
      <c r="AI588" s="341">
        <f>X588</f>
        <v>0</v>
      </c>
      <c r="AJ588" s="358"/>
      <c r="AK588" s="369"/>
    </row>
    <row r="589" spans="1:77" s="337" customFormat="1" ht="11.25" customHeight="1">
      <c r="B589" s="338" t="s">
        <v>291</v>
      </c>
      <c r="C589" s="349"/>
      <c r="D589" s="349"/>
      <c r="E589" s="350" t="s">
        <v>677</v>
      </c>
      <c r="F589" s="337" t="s">
        <v>678</v>
      </c>
      <c r="G589" s="351">
        <v>3918</v>
      </c>
      <c r="H589" s="337" t="s">
        <v>99</v>
      </c>
      <c r="I589" s="337" t="s">
        <v>141</v>
      </c>
      <c r="J589" s="352">
        <v>16659.98</v>
      </c>
      <c r="L589" s="352">
        <v>16.03</v>
      </c>
      <c r="M589" s="352">
        <v>14.98</v>
      </c>
      <c r="N589" s="354"/>
      <c r="O589" s="355">
        <v>0.15</v>
      </c>
      <c r="P589" s="355"/>
      <c r="Q589" s="354">
        <v>0</v>
      </c>
      <c r="R589" s="337" t="s">
        <v>35</v>
      </c>
      <c r="S589" s="356" t="s">
        <v>41</v>
      </c>
      <c r="T589" s="356">
        <v>86</v>
      </c>
      <c r="U589" s="357" t="s">
        <v>164</v>
      </c>
      <c r="V589" s="434"/>
      <c r="X589" s="354">
        <v>0</v>
      </c>
      <c r="Y589" s="354"/>
      <c r="AI589" s="341">
        <f>X589</f>
        <v>0</v>
      </c>
      <c r="AJ589" s="358"/>
      <c r="AK589" s="369"/>
    </row>
    <row r="590" spans="1:77" s="291" customFormat="1" ht="11.25" customHeight="1">
      <c r="B590" s="310" t="s">
        <v>291</v>
      </c>
      <c r="C590" s="292">
        <v>44655</v>
      </c>
      <c r="D590" s="292">
        <v>44659</v>
      </c>
      <c r="E590" s="293" t="s">
        <v>679</v>
      </c>
      <c r="F590" s="291" t="s">
        <v>680</v>
      </c>
      <c r="G590" s="294">
        <v>4347</v>
      </c>
      <c r="H590" s="291" t="s">
        <v>99</v>
      </c>
      <c r="I590" s="291" t="s">
        <v>141</v>
      </c>
      <c r="J590" s="296">
        <v>27341.439999999999</v>
      </c>
      <c r="L590" s="296">
        <v>25.13</v>
      </c>
      <c r="M590" s="296">
        <v>24.87</v>
      </c>
      <c r="N590" s="297">
        <f>2482.272+868.224+750.72</f>
        <v>4101.2160000000003</v>
      </c>
      <c r="O590" s="298">
        <v>0.25</v>
      </c>
      <c r="P590" s="298"/>
      <c r="Q590" s="297">
        <v>0</v>
      </c>
      <c r="R590" s="291" t="s">
        <v>42</v>
      </c>
      <c r="S590" s="299" t="s">
        <v>41</v>
      </c>
      <c r="T590" s="299">
        <v>79</v>
      </c>
      <c r="U590" s="300" t="s">
        <v>164</v>
      </c>
      <c r="V590" s="333"/>
      <c r="X590" s="297">
        <v>0</v>
      </c>
      <c r="Y590" s="297"/>
      <c r="AH590" s="291">
        <f>X590</f>
        <v>0</v>
      </c>
      <c r="AI590" s="311"/>
      <c r="AJ590" s="468"/>
    </row>
    <row r="591" spans="1:77" s="291" customFormat="1" ht="11.25" customHeight="1">
      <c r="B591" s="310" t="s">
        <v>291</v>
      </c>
      <c r="C591" s="292"/>
      <c r="D591" s="292"/>
      <c r="E591" s="293" t="s">
        <v>679</v>
      </c>
      <c r="F591" s="291" t="s">
        <v>680</v>
      </c>
      <c r="G591" s="294">
        <v>4347</v>
      </c>
      <c r="H591" s="291" t="s">
        <v>27</v>
      </c>
      <c r="I591" s="291" t="s">
        <v>141</v>
      </c>
      <c r="J591" s="296">
        <v>6942.94</v>
      </c>
      <c r="L591" s="296">
        <v>6.03</v>
      </c>
      <c r="M591" s="296">
        <v>6.03</v>
      </c>
      <c r="N591" s="297">
        <f>974.0844+414.504</f>
        <v>1388.5884000000001</v>
      </c>
      <c r="O591" s="298">
        <v>0.25</v>
      </c>
      <c r="P591" s="298"/>
      <c r="Q591" s="297">
        <v>0</v>
      </c>
      <c r="R591" s="291" t="s">
        <v>42</v>
      </c>
      <c r="S591" s="299" t="s">
        <v>41</v>
      </c>
      <c r="T591" s="299">
        <v>79</v>
      </c>
      <c r="U591" s="300" t="s">
        <v>164</v>
      </c>
      <c r="V591" s="333"/>
      <c r="X591" s="297">
        <v>0</v>
      </c>
      <c r="Y591" s="297"/>
      <c r="AH591" s="291">
        <f>X591</f>
        <v>0</v>
      </c>
      <c r="AI591" s="311"/>
      <c r="AJ591" s="468"/>
    </row>
    <row r="592" spans="1:77" s="153" customFormat="1" ht="11.25" customHeight="1">
      <c r="A592" s="379"/>
      <c r="B592" s="380" t="s">
        <v>291</v>
      </c>
      <c r="C592" s="381"/>
      <c r="D592" s="381"/>
      <c r="E592" s="382" t="s">
        <v>681</v>
      </c>
      <c r="F592" s="379" t="s">
        <v>682</v>
      </c>
      <c r="G592" s="383" t="s">
        <v>683</v>
      </c>
      <c r="H592" s="379" t="s">
        <v>684</v>
      </c>
      <c r="I592" s="379" t="s">
        <v>334</v>
      </c>
      <c r="J592" s="385">
        <v>31285.200000000001</v>
      </c>
      <c r="K592" s="379"/>
      <c r="L592" s="385">
        <v>17.98</v>
      </c>
      <c r="M592" s="385">
        <v>17.98</v>
      </c>
      <c r="N592" s="386"/>
      <c r="O592" s="387">
        <v>0.25</v>
      </c>
      <c r="P592" s="387"/>
      <c r="Q592" s="386">
        <v>0</v>
      </c>
      <c r="R592" s="379" t="s">
        <v>35</v>
      </c>
      <c r="S592" s="388" t="s">
        <v>34</v>
      </c>
      <c r="T592" s="388">
        <v>17</v>
      </c>
      <c r="U592" s="389" t="s">
        <v>164</v>
      </c>
      <c r="V592" s="433"/>
      <c r="W592" s="379"/>
      <c r="X592" s="386">
        <v>0</v>
      </c>
      <c r="Y592" s="386"/>
      <c r="Z592" s="379"/>
      <c r="AA592" s="379"/>
      <c r="AB592" s="379"/>
      <c r="AC592" s="379"/>
      <c r="AD592" s="379"/>
      <c r="AE592" s="379"/>
      <c r="AF592" s="379"/>
      <c r="AG592" s="379"/>
      <c r="AH592" s="379"/>
      <c r="AI592" s="379"/>
      <c r="AJ592" s="390">
        <v>0</v>
      </c>
      <c r="AK592" s="379"/>
      <c r="AL592" s="379"/>
      <c r="AM592" s="379"/>
      <c r="AN592" s="379"/>
      <c r="AO592" s="379"/>
      <c r="AP592" s="379"/>
      <c r="AQ592" s="379"/>
      <c r="AR592" s="379"/>
      <c r="AS592" s="379"/>
      <c r="AT592" s="379"/>
      <c r="AU592" s="379"/>
      <c r="AV592" s="379"/>
      <c r="AW592" s="379"/>
      <c r="AX592" s="379"/>
      <c r="AY592" s="379"/>
      <c r="AZ592" s="379"/>
      <c r="BA592" s="379"/>
      <c r="BB592" s="379"/>
      <c r="BC592" s="379"/>
      <c r="BD592" s="379"/>
      <c r="BE592" s="379"/>
      <c r="BF592" s="379"/>
      <c r="BG592" s="379"/>
      <c r="BH592" s="379"/>
      <c r="BI592" s="379"/>
      <c r="BJ592" s="379"/>
      <c r="BK592" s="379"/>
      <c r="BL592" s="379"/>
      <c r="BM592" s="379"/>
      <c r="BN592" s="379"/>
      <c r="BO592" s="379"/>
      <c r="BP592" s="379"/>
      <c r="BQ592" s="379"/>
      <c r="BR592" s="379"/>
      <c r="BS592" s="379"/>
      <c r="BT592" s="379"/>
      <c r="BU592" s="379"/>
      <c r="BV592" s="379"/>
      <c r="BW592" s="379"/>
      <c r="BX592" s="379"/>
      <c r="BY592" s="379"/>
    </row>
    <row r="593" spans="1:77" s="153" customFormat="1" ht="11.25" customHeight="1">
      <c r="A593" s="379"/>
      <c r="B593" s="380" t="s">
        <v>291</v>
      </c>
      <c r="C593" s="381"/>
      <c r="D593" s="381"/>
      <c r="E593" s="382" t="s">
        <v>681</v>
      </c>
      <c r="F593" s="379" t="s">
        <v>682</v>
      </c>
      <c r="G593" s="383" t="s">
        <v>683</v>
      </c>
      <c r="H593" s="379" t="s">
        <v>685</v>
      </c>
      <c r="I593" s="379" t="s">
        <v>334</v>
      </c>
      <c r="J593" s="385">
        <v>32680.38</v>
      </c>
      <c r="K593" s="379"/>
      <c r="L593" s="385">
        <v>15.78</v>
      </c>
      <c r="M593" s="385">
        <v>15.78</v>
      </c>
      <c r="N593" s="386"/>
      <c r="O593" s="387">
        <v>0.25</v>
      </c>
      <c r="P593" s="387"/>
      <c r="Q593" s="386">
        <v>0</v>
      </c>
      <c r="R593" s="379" t="s">
        <v>35</v>
      </c>
      <c r="S593" s="388" t="s">
        <v>34</v>
      </c>
      <c r="T593" s="388">
        <v>17</v>
      </c>
      <c r="U593" s="389" t="s">
        <v>164</v>
      </c>
      <c r="V593" s="433"/>
      <c r="W593" s="379"/>
      <c r="X593" s="386">
        <v>0</v>
      </c>
      <c r="Y593" s="386"/>
      <c r="Z593" s="379"/>
      <c r="AA593" s="379"/>
      <c r="AB593" s="379"/>
      <c r="AC593" s="379"/>
      <c r="AD593" s="379"/>
      <c r="AE593" s="379"/>
      <c r="AF593" s="379"/>
      <c r="AG593" s="379"/>
      <c r="AH593" s="379"/>
      <c r="AI593" s="379"/>
      <c r="AJ593" s="390">
        <v>0</v>
      </c>
      <c r="AK593" s="379"/>
      <c r="AL593" s="379"/>
      <c r="AM593" s="379"/>
      <c r="AN593" s="379"/>
      <c r="AO593" s="379"/>
      <c r="AP593" s="379"/>
      <c r="AQ593" s="379"/>
      <c r="AR593" s="379"/>
      <c r="AS593" s="379"/>
      <c r="AT593" s="379"/>
      <c r="AU593" s="379"/>
      <c r="AV593" s="379"/>
      <c r="AW593" s="379"/>
      <c r="AX593" s="379"/>
      <c r="AY593" s="379"/>
      <c r="AZ593" s="379"/>
      <c r="BA593" s="379"/>
      <c r="BB593" s="379"/>
      <c r="BC593" s="379"/>
      <c r="BD593" s="379"/>
      <c r="BE593" s="379"/>
      <c r="BF593" s="379"/>
      <c r="BG593" s="379"/>
      <c r="BH593" s="379"/>
      <c r="BI593" s="379"/>
      <c r="BJ593" s="379"/>
      <c r="BK593" s="379"/>
      <c r="BL593" s="379"/>
      <c r="BM593" s="379"/>
      <c r="BN593" s="379"/>
      <c r="BO593" s="379"/>
      <c r="BP593" s="379"/>
      <c r="BQ593" s="379"/>
      <c r="BR593" s="379"/>
      <c r="BS593" s="379"/>
      <c r="BT593" s="379"/>
      <c r="BU593" s="379"/>
      <c r="BV593" s="379"/>
      <c r="BW593" s="379"/>
      <c r="BX593" s="379"/>
      <c r="BY593" s="379"/>
    </row>
    <row r="594" spans="1:77" s="153" customFormat="1" ht="11.25" customHeight="1">
      <c r="B594" s="154" t="s">
        <v>291</v>
      </c>
      <c r="C594" s="155">
        <v>44655</v>
      </c>
      <c r="D594" s="155">
        <v>44659</v>
      </c>
      <c r="E594" s="156" t="s">
        <v>681</v>
      </c>
      <c r="F594" s="153" t="s">
        <v>682</v>
      </c>
      <c r="G594" s="157" t="s">
        <v>683</v>
      </c>
      <c r="H594" s="153" t="s">
        <v>192</v>
      </c>
      <c r="I594" s="153" t="s">
        <v>334</v>
      </c>
      <c r="J594" s="158">
        <v>35486.21</v>
      </c>
      <c r="L594" s="158">
        <v>24.48</v>
      </c>
      <c r="M594" s="158">
        <v>24.48</v>
      </c>
      <c r="N594" s="159"/>
      <c r="O594" s="160">
        <v>0.25</v>
      </c>
      <c r="P594" s="160"/>
      <c r="Q594" s="159">
        <v>0</v>
      </c>
      <c r="R594" s="153" t="s">
        <v>35</v>
      </c>
      <c r="S594" s="161" t="s">
        <v>34</v>
      </c>
      <c r="T594" s="161">
        <v>17</v>
      </c>
      <c r="U594" s="162" t="s">
        <v>164</v>
      </c>
      <c r="V594" s="435"/>
      <c r="W594" s="153" t="s">
        <v>1881</v>
      </c>
      <c r="X594" s="159">
        <v>0</v>
      </c>
      <c r="Y594" s="159"/>
      <c r="AD594" s="176">
        <f>X594</f>
        <v>0</v>
      </c>
      <c r="AJ594" s="644"/>
    </row>
    <row r="595" spans="1:77" s="153" customFormat="1" ht="11.25" customHeight="1">
      <c r="B595" s="154" t="s">
        <v>291</v>
      </c>
      <c r="C595" s="155"/>
      <c r="D595" s="155"/>
      <c r="E595" s="156" t="s">
        <v>681</v>
      </c>
      <c r="F595" s="153" t="s">
        <v>682</v>
      </c>
      <c r="G595" s="157" t="s">
        <v>683</v>
      </c>
      <c r="H595" s="153" t="s">
        <v>444</v>
      </c>
      <c r="I595" s="153" t="s">
        <v>334</v>
      </c>
      <c r="J595" s="158">
        <v>19653.3</v>
      </c>
      <c r="L595" s="158">
        <v>15.06</v>
      </c>
      <c r="M595" s="158">
        <v>13.77</v>
      </c>
      <c r="N595" s="159"/>
      <c r="O595" s="160">
        <v>0.25</v>
      </c>
      <c r="P595" s="160"/>
      <c r="Q595" s="159">
        <v>0</v>
      </c>
      <c r="R595" s="153" t="s">
        <v>35</v>
      </c>
      <c r="S595" s="161" t="s">
        <v>34</v>
      </c>
      <c r="T595" s="161">
        <v>17</v>
      </c>
      <c r="U595" s="162" t="s">
        <v>164</v>
      </c>
      <c r="V595" s="435"/>
      <c r="W595" s="153" t="s">
        <v>1881</v>
      </c>
      <c r="X595" s="159">
        <v>0</v>
      </c>
      <c r="Y595" s="159"/>
      <c r="AD595" s="176">
        <f>X595</f>
        <v>0</v>
      </c>
      <c r="AJ595" s="644"/>
    </row>
    <row r="596" spans="1:77" s="153" customFormat="1" ht="11.25" customHeight="1">
      <c r="B596" s="154" t="s">
        <v>291</v>
      </c>
      <c r="C596" s="155"/>
      <c r="D596" s="155"/>
      <c r="E596" s="156" t="s">
        <v>681</v>
      </c>
      <c r="F596" s="153" t="s">
        <v>682</v>
      </c>
      <c r="G596" s="157" t="s">
        <v>683</v>
      </c>
      <c r="H596" s="153" t="s">
        <v>386</v>
      </c>
      <c r="I596" s="153" t="s">
        <v>334</v>
      </c>
      <c r="J596" s="158">
        <v>30058.82</v>
      </c>
      <c r="L596" s="158">
        <v>23.41</v>
      </c>
      <c r="M596" s="158">
        <v>23.41</v>
      </c>
      <c r="N596" s="159"/>
      <c r="O596" s="160">
        <v>0.25</v>
      </c>
      <c r="P596" s="160"/>
      <c r="Q596" s="159">
        <v>0</v>
      </c>
      <c r="R596" s="153" t="s">
        <v>35</v>
      </c>
      <c r="S596" s="161" t="s">
        <v>34</v>
      </c>
      <c r="T596" s="161">
        <v>17</v>
      </c>
      <c r="U596" s="162" t="s">
        <v>164</v>
      </c>
      <c r="V596" s="435"/>
      <c r="W596" s="153" t="s">
        <v>1881</v>
      </c>
      <c r="X596" s="159">
        <v>0</v>
      </c>
      <c r="Y596" s="159"/>
      <c r="AD596" s="176">
        <f>X596</f>
        <v>0</v>
      </c>
      <c r="AJ596" s="644"/>
    </row>
    <row r="597" spans="1:77" s="379" customFormat="1" ht="11.25" customHeight="1">
      <c r="B597" s="380" t="s">
        <v>291</v>
      </c>
      <c r="C597" s="381">
        <v>44655</v>
      </c>
      <c r="D597" s="381">
        <v>44659</v>
      </c>
      <c r="E597" s="382" t="s">
        <v>686</v>
      </c>
      <c r="F597" s="379" t="s">
        <v>687</v>
      </c>
      <c r="G597" s="383">
        <v>3644</v>
      </c>
      <c r="H597" s="379" t="s">
        <v>295</v>
      </c>
      <c r="I597" s="379" t="s">
        <v>141</v>
      </c>
      <c r="J597" s="385">
        <v>25500.1</v>
      </c>
      <c r="L597" s="385">
        <v>28.09</v>
      </c>
      <c r="M597" s="385">
        <v>28.09</v>
      </c>
      <c r="N597" s="386"/>
      <c r="O597" s="387">
        <v>0.15</v>
      </c>
      <c r="P597" s="387"/>
      <c r="Q597" s="386">
        <v>1882.08</v>
      </c>
      <c r="R597" s="379" t="s">
        <v>35</v>
      </c>
      <c r="S597" s="388" t="s">
        <v>41</v>
      </c>
      <c r="T597" s="388">
        <v>86</v>
      </c>
      <c r="U597" s="389" t="s">
        <v>164</v>
      </c>
      <c r="V597" s="433"/>
      <c r="X597" s="386">
        <v>1882.08</v>
      </c>
      <c r="Y597" s="386"/>
      <c r="AJ597" s="416">
        <v>1882.08</v>
      </c>
    </row>
    <row r="598" spans="1:77" s="6" customFormat="1" ht="11.25" customHeight="1">
      <c r="A598" s="379"/>
      <c r="B598" s="380" t="s">
        <v>291</v>
      </c>
      <c r="C598" s="381"/>
      <c r="D598" s="381"/>
      <c r="E598" s="382" t="s">
        <v>686</v>
      </c>
      <c r="F598" s="379" t="s">
        <v>687</v>
      </c>
      <c r="G598" s="383">
        <v>3644</v>
      </c>
      <c r="H598" s="379" t="s">
        <v>99</v>
      </c>
      <c r="I598" s="379" t="s">
        <v>141</v>
      </c>
      <c r="J598" s="385">
        <v>32102.400000000001</v>
      </c>
      <c r="K598" s="379"/>
      <c r="L598" s="385">
        <v>25.6</v>
      </c>
      <c r="M598" s="385">
        <v>25.6</v>
      </c>
      <c r="N598" s="386"/>
      <c r="O598" s="387">
        <v>0.15</v>
      </c>
      <c r="P598" s="387"/>
      <c r="Q598" s="386">
        <v>0</v>
      </c>
      <c r="R598" s="379" t="s">
        <v>35</v>
      </c>
      <c r="S598" s="388" t="s">
        <v>41</v>
      </c>
      <c r="T598" s="388">
        <v>86</v>
      </c>
      <c r="U598" s="389" t="s">
        <v>164</v>
      </c>
      <c r="V598" s="433"/>
      <c r="W598" s="379"/>
      <c r="X598" s="386">
        <v>0</v>
      </c>
      <c r="Y598" s="386"/>
      <c r="Z598" s="379"/>
      <c r="AA598" s="379"/>
      <c r="AB598" s="379"/>
      <c r="AC598" s="379"/>
      <c r="AD598" s="379"/>
      <c r="AE598" s="379"/>
      <c r="AF598" s="379"/>
      <c r="AG598" s="379"/>
      <c r="AH598" s="379"/>
      <c r="AI598" s="379"/>
      <c r="AJ598" s="390">
        <v>0</v>
      </c>
      <c r="AK598" s="379"/>
      <c r="AL598" s="379"/>
      <c r="AM598" s="379"/>
      <c r="AN598" s="379"/>
      <c r="AO598" s="379"/>
      <c r="AP598" s="379"/>
      <c r="AQ598" s="379"/>
      <c r="AR598" s="379"/>
      <c r="AS598" s="379"/>
      <c r="AT598" s="379"/>
      <c r="AU598" s="379"/>
      <c r="AV598" s="379"/>
      <c r="AW598" s="379"/>
      <c r="AX598" s="379"/>
      <c r="AY598" s="379"/>
      <c r="AZ598" s="379"/>
      <c r="BA598" s="379"/>
      <c r="BB598" s="379"/>
      <c r="BC598" s="379"/>
      <c r="BD598" s="379"/>
      <c r="BE598" s="379"/>
      <c r="BF598" s="379"/>
      <c r="BG598" s="379"/>
      <c r="BH598" s="379"/>
      <c r="BI598" s="379"/>
      <c r="BJ598" s="379"/>
      <c r="BK598" s="379"/>
      <c r="BL598" s="379"/>
      <c r="BM598" s="379"/>
      <c r="BN598" s="379"/>
      <c r="BO598" s="379"/>
      <c r="BP598" s="379"/>
      <c r="BQ598" s="379"/>
      <c r="BR598" s="379"/>
      <c r="BS598" s="379"/>
      <c r="BT598" s="379"/>
      <c r="BU598" s="379"/>
      <c r="BV598" s="379"/>
      <c r="BW598" s="379"/>
      <c r="BX598" s="379"/>
      <c r="BY598" s="379"/>
    </row>
    <row r="599" spans="1:77" s="379" customFormat="1" ht="11.25" customHeight="1">
      <c r="B599" s="380" t="s">
        <v>291</v>
      </c>
      <c r="C599" s="381"/>
      <c r="D599" s="381"/>
      <c r="E599" s="382" t="s">
        <v>686</v>
      </c>
      <c r="F599" s="379" t="s">
        <v>687</v>
      </c>
      <c r="G599" s="383">
        <v>3644</v>
      </c>
      <c r="H599" s="379" t="s">
        <v>163</v>
      </c>
      <c r="I599" s="379" t="s">
        <v>141</v>
      </c>
      <c r="J599" s="385">
        <v>23318</v>
      </c>
      <c r="L599" s="385">
        <v>26.2</v>
      </c>
      <c r="M599" s="385">
        <v>26.2</v>
      </c>
      <c r="N599" s="386"/>
      <c r="O599" s="387">
        <v>0.15</v>
      </c>
      <c r="P599" s="387"/>
      <c r="Q599" s="386">
        <v>2485.86</v>
      </c>
      <c r="R599" s="379" t="s">
        <v>35</v>
      </c>
      <c r="S599" s="388" t="s">
        <v>41</v>
      </c>
      <c r="T599" s="388">
        <v>86</v>
      </c>
      <c r="U599" s="389" t="s">
        <v>164</v>
      </c>
      <c r="V599" s="433"/>
      <c r="X599" s="386">
        <v>2485.86</v>
      </c>
      <c r="Y599" s="386"/>
      <c r="AJ599" s="416">
        <v>2485.86</v>
      </c>
    </row>
    <row r="600" spans="1:77" s="153" customFormat="1" ht="11.25" customHeight="1">
      <c r="B600" s="154" t="s">
        <v>291</v>
      </c>
      <c r="C600" s="155"/>
      <c r="D600" s="155"/>
      <c r="E600" s="156" t="s">
        <v>686</v>
      </c>
      <c r="F600" s="153" t="s">
        <v>687</v>
      </c>
      <c r="G600" s="157">
        <v>3644</v>
      </c>
      <c r="H600" s="153" t="s">
        <v>27</v>
      </c>
      <c r="I600" s="153" t="s">
        <v>141</v>
      </c>
      <c r="J600" s="158">
        <v>10159.4</v>
      </c>
      <c r="L600" s="158">
        <v>6.43</v>
      </c>
      <c r="M600" s="158">
        <v>6.43</v>
      </c>
      <c r="N600" s="159"/>
      <c r="O600" s="160">
        <v>0.15</v>
      </c>
      <c r="P600" s="160"/>
      <c r="Q600" s="159">
        <v>0</v>
      </c>
      <c r="R600" s="153" t="s">
        <v>35</v>
      </c>
      <c r="S600" s="161" t="s">
        <v>41</v>
      </c>
      <c r="T600" s="161">
        <v>86</v>
      </c>
      <c r="U600" s="162" t="s">
        <v>164</v>
      </c>
      <c r="V600" s="435"/>
      <c r="W600" s="153" t="s">
        <v>1889</v>
      </c>
      <c r="X600" s="159">
        <v>0</v>
      </c>
      <c r="Y600" s="159"/>
      <c r="AD600" s="176">
        <f t="shared" ref="AD600:AD609" si="11">X600</f>
        <v>0</v>
      </c>
      <c r="AJ600" s="644"/>
    </row>
    <row r="601" spans="1:77" s="153" customFormat="1" ht="11.25" customHeight="1">
      <c r="B601" s="154" t="s">
        <v>291</v>
      </c>
      <c r="C601" s="155">
        <v>44655</v>
      </c>
      <c r="D601" s="155">
        <v>44660</v>
      </c>
      <c r="E601" s="156" t="s">
        <v>688</v>
      </c>
      <c r="F601" s="153" t="s">
        <v>689</v>
      </c>
      <c r="G601" s="157">
        <v>3938</v>
      </c>
      <c r="H601" s="153" t="s">
        <v>183</v>
      </c>
      <c r="I601" s="153" t="s">
        <v>141</v>
      </c>
      <c r="J601" s="158">
        <v>13521.66</v>
      </c>
      <c r="L601" s="158">
        <v>13.96</v>
      </c>
      <c r="M601" s="158">
        <v>13.96</v>
      </c>
      <c r="N601" s="159"/>
      <c r="O601" s="160">
        <v>0.15</v>
      </c>
      <c r="P601" s="160"/>
      <c r="Q601" s="159">
        <v>0</v>
      </c>
      <c r="R601" s="153" t="s">
        <v>35</v>
      </c>
      <c r="S601" s="161" t="s">
        <v>41</v>
      </c>
      <c r="T601" s="161">
        <v>79</v>
      </c>
      <c r="U601" s="162" t="s">
        <v>164</v>
      </c>
      <c r="V601" s="435"/>
      <c r="W601" s="153" t="s">
        <v>1870</v>
      </c>
      <c r="X601" s="159">
        <v>0</v>
      </c>
      <c r="Y601" s="159"/>
      <c r="AD601" s="176">
        <f t="shared" si="11"/>
        <v>0</v>
      </c>
      <c r="AJ601" s="644"/>
    </row>
    <row r="602" spans="1:77" s="153" customFormat="1" ht="11.25" customHeight="1">
      <c r="B602" s="154" t="s">
        <v>291</v>
      </c>
      <c r="C602" s="155"/>
      <c r="D602" s="155"/>
      <c r="E602" s="156" t="s">
        <v>688</v>
      </c>
      <c r="F602" s="153" t="s">
        <v>689</v>
      </c>
      <c r="G602" s="157">
        <v>3938</v>
      </c>
      <c r="H602" s="153" t="s">
        <v>99</v>
      </c>
      <c r="I602" s="153" t="s">
        <v>141</v>
      </c>
      <c r="J602" s="158">
        <v>50013.33</v>
      </c>
      <c r="L602" s="158">
        <v>43.02</v>
      </c>
      <c r="M602" s="158">
        <v>43.02</v>
      </c>
      <c r="N602" s="159"/>
      <c r="O602" s="160">
        <v>0.15</v>
      </c>
      <c r="P602" s="160"/>
      <c r="Q602" s="159">
        <v>0</v>
      </c>
      <c r="R602" s="153" t="s">
        <v>35</v>
      </c>
      <c r="S602" s="161" t="s">
        <v>41</v>
      </c>
      <c r="T602" s="161">
        <v>79</v>
      </c>
      <c r="U602" s="162" t="s">
        <v>164</v>
      </c>
      <c r="V602" s="435"/>
      <c r="W602" s="153" t="s">
        <v>1870</v>
      </c>
      <c r="X602" s="159">
        <v>0</v>
      </c>
      <c r="Y602" s="159"/>
      <c r="AD602" s="176">
        <f t="shared" si="11"/>
        <v>0</v>
      </c>
      <c r="AJ602" s="644"/>
    </row>
    <row r="603" spans="1:77" s="153" customFormat="1" ht="11.25" customHeight="1">
      <c r="B603" s="154" t="s">
        <v>291</v>
      </c>
      <c r="C603" s="155"/>
      <c r="D603" s="155"/>
      <c r="E603" s="156" t="s">
        <v>688</v>
      </c>
      <c r="F603" s="153" t="s">
        <v>689</v>
      </c>
      <c r="G603" s="157">
        <v>3938</v>
      </c>
      <c r="H603" s="153" t="s">
        <v>27</v>
      </c>
      <c r="I603" s="153" t="s">
        <v>141</v>
      </c>
      <c r="J603" s="158">
        <v>29447.87</v>
      </c>
      <c r="L603" s="158">
        <v>24.4</v>
      </c>
      <c r="M603" s="158">
        <v>24.4</v>
      </c>
      <c r="N603" s="159"/>
      <c r="O603" s="160">
        <v>0.15</v>
      </c>
      <c r="P603" s="160"/>
      <c r="Q603" s="159">
        <v>0</v>
      </c>
      <c r="R603" s="153" t="s">
        <v>35</v>
      </c>
      <c r="S603" s="161" t="s">
        <v>41</v>
      </c>
      <c r="T603" s="161">
        <v>79</v>
      </c>
      <c r="U603" s="162" t="s">
        <v>164</v>
      </c>
      <c r="V603" s="435"/>
      <c r="W603" s="153" t="s">
        <v>1870</v>
      </c>
      <c r="X603" s="159">
        <v>0</v>
      </c>
      <c r="Y603" s="159"/>
      <c r="AD603" s="176">
        <f t="shared" si="11"/>
        <v>0</v>
      </c>
      <c r="AJ603" s="644"/>
    </row>
    <row r="604" spans="1:77" s="153" customFormat="1" ht="11.25" customHeight="1">
      <c r="B604" s="154" t="s">
        <v>291</v>
      </c>
      <c r="C604" s="155">
        <v>44656</v>
      </c>
      <c r="D604" s="155">
        <v>44660</v>
      </c>
      <c r="E604" s="156" t="s">
        <v>690</v>
      </c>
      <c r="F604" s="153" t="s">
        <v>206</v>
      </c>
      <c r="G604" s="157">
        <v>4337</v>
      </c>
      <c r="H604" s="153" t="s">
        <v>163</v>
      </c>
      <c r="I604" s="153" t="s">
        <v>340</v>
      </c>
      <c r="J604" s="158">
        <v>14845.22</v>
      </c>
      <c r="L604" s="158">
        <v>18.82</v>
      </c>
      <c r="M604" s="158">
        <v>18.82</v>
      </c>
      <c r="N604" s="159"/>
      <c r="O604" s="160">
        <v>0.2</v>
      </c>
      <c r="P604" s="160"/>
      <c r="Q604" s="159">
        <v>0</v>
      </c>
      <c r="R604" s="153" t="s">
        <v>146</v>
      </c>
      <c r="S604" s="161" t="s">
        <v>74</v>
      </c>
      <c r="T604" s="161">
        <v>31</v>
      </c>
      <c r="U604" s="162" t="s">
        <v>164</v>
      </c>
      <c r="V604" s="435"/>
      <c r="X604" s="159">
        <v>0</v>
      </c>
      <c r="Y604" s="159"/>
      <c r="AD604" s="176">
        <f t="shared" si="11"/>
        <v>0</v>
      </c>
      <c r="AJ604" s="644"/>
    </row>
    <row r="605" spans="1:77" s="153" customFormat="1" ht="11.25" customHeight="1">
      <c r="B605" s="154" t="s">
        <v>291</v>
      </c>
      <c r="C605" s="155"/>
      <c r="D605" s="155"/>
      <c r="E605" s="156" t="s">
        <v>690</v>
      </c>
      <c r="F605" s="153" t="s">
        <v>206</v>
      </c>
      <c r="G605" s="157">
        <v>4337</v>
      </c>
      <c r="H605" s="153" t="s">
        <v>99</v>
      </c>
      <c r="I605" s="153" t="s">
        <v>340</v>
      </c>
      <c r="J605" s="158">
        <v>20384.82</v>
      </c>
      <c r="L605" s="158">
        <v>21.05</v>
      </c>
      <c r="M605" s="158">
        <v>21.05</v>
      </c>
      <c r="N605" s="159"/>
      <c r="O605" s="160">
        <v>0.2</v>
      </c>
      <c r="P605" s="160"/>
      <c r="Q605" s="159">
        <v>0</v>
      </c>
      <c r="R605" s="153" t="s">
        <v>146</v>
      </c>
      <c r="S605" s="161" t="s">
        <v>74</v>
      </c>
      <c r="T605" s="161">
        <v>32</v>
      </c>
      <c r="U605" s="162" t="s">
        <v>164</v>
      </c>
      <c r="V605" s="435"/>
      <c r="X605" s="159">
        <v>0</v>
      </c>
      <c r="Y605" s="159"/>
      <c r="AD605" s="176">
        <f t="shared" si="11"/>
        <v>0</v>
      </c>
      <c r="AJ605" s="644"/>
    </row>
    <row r="606" spans="1:77" s="153" customFormat="1" ht="11.25" customHeight="1">
      <c r="B606" s="154" t="s">
        <v>291</v>
      </c>
      <c r="C606" s="155"/>
      <c r="D606" s="155"/>
      <c r="E606" s="156" t="s">
        <v>690</v>
      </c>
      <c r="F606" s="153" t="s">
        <v>206</v>
      </c>
      <c r="G606" s="157">
        <v>4337</v>
      </c>
      <c r="H606" s="153" t="s">
        <v>138</v>
      </c>
      <c r="I606" s="153" t="s">
        <v>340</v>
      </c>
      <c r="J606" s="158">
        <v>24102.9</v>
      </c>
      <c r="L606" s="158">
        <v>21.33</v>
      </c>
      <c r="M606" s="158">
        <v>21.33</v>
      </c>
      <c r="N606" s="159"/>
      <c r="O606" s="160">
        <v>0.2</v>
      </c>
      <c r="P606" s="160"/>
      <c r="Q606" s="159">
        <v>0</v>
      </c>
      <c r="R606" s="153" t="s">
        <v>146</v>
      </c>
      <c r="S606" s="161" t="s">
        <v>74</v>
      </c>
      <c r="T606" s="161">
        <v>32</v>
      </c>
      <c r="U606" s="162" t="s">
        <v>164</v>
      </c>
      <c r="V606" s="435"/>
      <c r="X606" s="159">
        <v>0</v>
      </c>
      <c r="Y606" s="159"/>
      <c r="AD606" s="176">
        <f t="shared" si="11"/>
        <v>0</v>
      </c>
      <c r="AJ606" s="644"/>
    </row>
    <row r="607" spans="1:77" s="153" customFormat="1" ht="11.25" customHeight="1">
      <c r="B607" s="154" t="s">
        <v>291</v>
      </c>
      <c r="C607" s="155"/>
      <c r="D607" s="155"/>
      <c r="E607" s="156" t="s">
        <v>690</v>
      </c>
      <c r="F607" s="153" t="s">
        <v>206</v>
      </c>
      <c r="G607" s="157">
        <v>4337</v>
      </c>
      <c r="H607" s="153" t="s">
        <v>183</v>
      </c>
      <c r="I607" s="153" t="s">
        <v>340</v>
      </c>
      <c r="J607" s="158">
        <v>13847.18</v>
      </c>
      <c r="L607" s="158">
        <v>15.21</v>
      </c>
      <c r="M607" s="158">
        <v>15.21</v>
      </c>
      <c r="N607" s="159"/>
      <c r="O607" s="160">
        <v>0.2</v>
      </c>
      <c r="P607" s="160"/>
      <c r="Q607" s="159">
        <v>0</v>
      </c>
      <c r="R607" s="153" t="s">
        <v>146</v>
      </c>
      <c r="S607" s="161" t="s">
        <v>74</v>
      </c>
      <c r="T607" s="161">
        <v>32</v>
      </c>
      <c r="U607" s="162" t="s">
        <v>164</v>
      </c>
      <c r="V607" s="435"/>
      <c r="X607" s="159">
        <v>0</v>
      </c>
      <c r="Y607" s="159"/>
      <c r="AD607" s="176">
        <f t="shared" si="11"/>
        <v>0</v>
      </c>
      <c r="AJ607" s="644"/>
    </row>
    <row r="608" spans="1:77" s="153" customFormat="1" ht="11.25" customHeight="1">
      <c r="B608" s="154" t="s">
        <v>291</v>
      </c>
      <c r="C608" s="155"/>
      <c r="D608" s="155"/>
      <c r="E608" s="156" t="s">
        <v>690</v>
      </c>
      <c r="F608" s="153" t="s">
        <v>206</v>
      </c>
      <c r="G608" s="157">
        <v>4337</v>
      </c>
      <c r="H608" s="153" t="s">
        <v>163</v>
      </c>
      <c r="I608" s="153" t="s">
        <v>340</v>
      </c>
      <c r="J608" s="158">
        <v>1885.23</v>
      </c>
      <c r="L608" s="158">
        <v>2.39</v>
      </c>
      <c r="M608" s="158">
        <v>2.39</v>
      </c>
      <c r="N608" s="159"/>
      <c r="O608" s="160">
        <v>0.2</v>
      </c>
      <c r="P608" s="160"/>
      <c r="Q608" s="159">
        <v>0</v>
      </c>
      <c r="R608" s="153" t="s">
        <v>146</v>
      </c>
      <c r="S608" s="161" t="s">
        <v>74</v>
      </c>
      <c r="T608" s="161">
        <v>32</v>
      </c>
      <c r="U608" s="162" t="s">
        <v>164</v>
      </c>
      <c r="V608" s="435"/>
      <c r="X608" s="159">
        <v>0</v>
      </c>
      <c r="Y608" s="159"/>
      <c r="AD608" s="176">
        <f t="shared" si="11"/>
        <v>0</v>
      </c>
      <c r="AJ608" s="644"/>
    </row>
    <row r="609" spans="2:37" s="153" customFormat="1" ht="11.25" customHeight="1">
      <c r="B609" s="154" t="s">
        <v>291</v>
      </c>
      <c r="C609" s="155"/>
      <c r="D609" s="155"/>
      <c r="E609" s="156" t="s">
        <v>690</v>
      </c>
      <c r="F609" s="153" t="s">
        <v>206</v>
      </c>
      <c r="G609" s="157">
        <v>4337</v>
      </c>
      <c r="H609" s="153" t="s">
        <v>207</v>
      </c>
      <c r="I609" s="153" t="s">
        <v>340</v>
      </c>
      <c r="J609" s="158">
        <v>3244.61</v>
      </c>
      <c r="L609" s="158">
        <v>5.16</v>
      </c>
      <c r="M609" s="158">
        <v>5.16</v>
      </c>
      <c r="N609" s="159"/>
      <c r="O609" s="160">
        <v>0.2</v>
      </c>
      <c r="P609" s="160"/>
      <c r="Q609" s="159">
        <v>0</v>
      </c>
      <c r="R609" s="153" t="s">
        <v>146</v>
      </c>
      <c r="S609" s="161" t="s">
        <v>74</v>
      </c>
      <c r="T609" s="161">
        <v>32</v>
      </c>
      <c r="U609" s="162" t="s">
        <v>164</v>
      </c>
      <c r="V609" s="435"/>
      <c r="X609" s="159">
        <v>0</v>
      </c>
      <c r="Y609" s="159"/>
      <c r="AD609" s="176">
        <f t="shared" si="11"/>
        <v>0</v>
      </c>
      <c r="AJ609" s="644"/>
    </row>
    <row r="610" spans="2:37" s="291" customFormat="1" ht="11.25" customHeight="1">
      <c r="B610" s="310" t="s">
        <v>691</v>
      </c>
      <c r="C610" s="292">
        <v>44659</v>
      </c>
      <c r="D610" s="292">
        <v>44660</v>
      </c>
      <c r="E610" s="293" t="s">
        <v>692</v>
      </c>
      <c r="F610" s="291" t="s">
        <v>693</v>
      </c>
      <c r="G610" s="294" t="s">
        <v>694</v>
      </c>
      <c r="H610" s="291" t="s">
        <v>99</v>
      </c>
      <c r="I610" s="291" t="s">
        <v>695</v>
      </c>
      <c r="J610" s="296">
        <v>91392</v>
      </c>
      <c r="L610" s="296">
        <v>51</v>
      </c>
      <c r="M610" s="296">
        <v>22.3</v>
      </c>
      <c r="N610" s="297"/>
      <c r="O610" s="298">
        <v>0.3</v>
      </c>
      <c r="P610" s="298">
        <v>0.05</v>
      </c>
      <c r="Q610" s="297">
        <v>0</v>
      </c>
      <c r="R610" s="291" t="s">
        <v>35</v>
      </c>
      <c r="S610" s="299" t="s">
        <v>118</v>
      </c>
      <c r="T610" s="299">
        <v>79</v>
      </c>
      <c r="U610" s="300" t="s">
        <v>164</v>
      </c>
      <c r="V610" s="333"/>
      <c r="W610" s="291" t="s">
        <v>3890</v>
      </c>
      <c r="X610" s="297">
        <v>0</v>
      </c>
      <c r="Y610" s="297"/>
      <c r="AH610" s="291">
        <f>X610</f>
        <v>0</v>
      </c>
      <c r="AI610" s="311"/>
      <c r="AJ610" s="468"/>
    </row>
    <row r="611" spans="2:37" s="291" customFormat="1" ht="11.25" customHeight="1">
      <c r="B611" s="310" t="s">
        <v>691</v>
      </c>
      <c r="C611" s="292"/>
      <c r="D611" s="292"/>
      <c r="E611" s="293" t="s">
        <v>692</v>
      </c>
      <c r="F611" s="291" t="s">
        <v>693</v>
      </c>
      <c r="G611" s="294" t="s">
        <v>694</v>
      </c>
      <c r="H611" s="291" t="s">
        <v>27</v>
      </c>
      <c r="I611" s="291" t="s">
        <v>695</v>
      </c>
      <c r="J611" s="296">
        <v>42840</v>
      </c>
      <c r="L611" s="296">
        <v>21</v>
      </c>
      <c r="M611" s="296">
        <v>21</v>
      </c>
      <c r="N611" s="297"/>
      <c r="O611" s="298">
        <v>0.3</v>
      </c>
      <c r="P611" s="298">
        <v>0.05</v>
      </c>
      <c r="Q611" s="297">
        <v>0</v>
      </c>
      <c r="R611" s="291" t="s">
        <v>35</v>
      </c>
      <c r="S611" s="299" t="s">
        <v>118</v>
      </c>
      <c r="T611" s="299">
        <v>79</v>
      </c>
      <c r="U611" s="300" t="s">
        <v>164</v>
      </c>
      <c r="V611" s="333"/>
      <c r="W611" s="291" t="s">
        <v>3890</v>
      </c>
      <c r="X611" s="297">
        <v>0</v>
      </c>
      <c r="Y611" s="297"/>
      <c r="AH611" s="291">
        <f>X611</f>
        <v>0</v>
      </c>
      <c r="AI611" s="311"/>
      <c r="AJ611" s="468"/>
    </row>
    <row r="612" spans="2:37" s="205" customFormat="1" ht="11.25" customHeight="1">
      <c r="B612" s="206" t="s">
        <v>291</v>
      </c>
      <c r="C612" s="207">
        <v>44659</v>
      </c>
      <c r="D612" s="207">
        <v>44660</v>
      </c>
      <c r="E612" s="208" t="s">
        <v>696</v>
      </c>
      <c r="F612" s="205" t="s">
        <v>479</v>
      </c>
      <c r="G612" s="209">
        <v>3640</v>
      </c>
      <c r="H612" s="205" t="s">
        <v>27</v>
      </c>
      <c r="I612" s="205" t="s">
        <v>697</v>
      </c>
      <c r="J612" s="210">
        <v>18116.3</v>
      </c>
      <c r="L612" s="210">
        <v>11.13</v>
      </c>
      <c r="M612" s="210">
        <v>11.13</v>
      </c>
      <c r="N612" s="213">
        <v>1811.6301000000001</v>
      </c>
      <c r="O612" s="212">
        <v>0.2</v>
      </c>
      <c r="P612" s="212"/>
      <c r="Q612" s="213">
        <v>0</v>
      </c>
      <c r="R612" s="205" t="s">
        <v>128</v>
      </c>
      <c r="S612" s="214" t="s">
        <v>41</v>
      </c>
      <c r="T612" s="214">
        <v>79</v>
      </c>
      <c r="U612" s="215" t="s">
        <v>164</v>
      </c>
      <c r="V612" s="438"/>
      <c r="X612" s="213">
        <v>0</v>
      </c>
      <c r="Y612" s="213"/>
      <c r="AF612" s="230">
        <f>X612</f>
        <v>0</v>
      </c>
      <c r="AJ612" s="216"/>
    </row>
    <row r="613" spans="2:37" s="379" customFormat="1" ht="11.25" customHeight="1">
      <c r="B613" s="380" t="s">
        <v>291</v>
      </c>
      <c r="C613" s="381">
        <v>44659</v>
      </c>
      <c r="D613" s="381">
        <v>44661</v>
      </c>
      <c r="E613" s="382" t="s">
        <v>698</v>
      </c>
      <c r="F613" s="379" t="s">
        <v>353</v>
      </c>
      <c r="G613" s="383">
        <v>3587</v>
      </c>
      <c r="H613" s="379" t="s">
        <v>27</v>
      </c>
      <c r="I613" s="379" t="s">
        <v>699</v>
      </c>
      <c r="J613" s="385">
        <v>79794.259999999995</v>
      </c>
      <c r="L613" s="385">
        <v>51.58</v>
      </c>
      <c r="M613" s="385">
        <v>51.58</v>
      </c>
      <c r="N613" s="386"/>
      <c r="O613" s="387">
        <v>0.15</v>
      </c>
      <c r="P613" s="387"/>
      <c r="Q613" s="386">
        <v>9724.3799999999992</v>
      </c>
      <c r="R613" s="379" t="s">
        <v>35</v>
      </c>
      <c r="S613" s="388" t="s">
        <v>41</v>
      </c>
      <c r="T613" s="388">
        <v>86</v>
      </c>
      <c r="U613" s="389" t="s">
        <v>164</v>
      </c>
      <c r="V613" s="433"/>
      <c r="X613" s="386">
        <v>9724.3799999999992</v>
      </c>
      <c r="Y613" s="386"/>
      <c r="AJ613" s="416">
        <v>9724.3799999999992</v>
      </c>
    </row>
    <row r="614" spans="2:37" s="337" customFormat="1" ht="11.25" customHeight="1">
      <c r="B614" s="338" t="s">
        <v>291</v>
      </c>
      <c r="C614" s="349">
        <v>44659</v>
      </c>
      <c r="D614" s="349">
        <v>44661</v>
      </c>
      <c r="E614" s="350" t="s">
        <v>700</v>
      </c>
      <c r="F614" s="337" t="s">
        <v>366</v>
      </c>
      <c r="G614" s="351">
        <v>3564</v>
      </c>
      <c r="H614" s="337" t="s">
        <v>27</v>
      </c>
      <c r="I614" s="337" t="s">
        <v>699</v>
      </c>
      <c r="J614" s="352">
        <v>17696.39</v>
      </c>
      <c r="L614" s="352">
        <v>13.38</v>
      </c>
      <c r="M614" s="352">
        <v>13.38</v>
      </c>
      <c r="N614" s="354"/>
      <c r="O614" s="355">
        <v>0.15</v>
      </c>
      <c r="P614" s="355"/>
      <c r="Q614" s="354">
        <v>0</v>
      </c>
      <c r="R614" s="337" t="s">
        <v>35</v>
      </c>
      <c r="S614" s="356" t="s">
        <v>41</v>
      </c>
      <c r="T614" s="356">
        <v>86</v>
      </c>
      <c r="U614" s="357" t="s">
        <v>164</v>
      </c>
      <c r="V614" s="434"/>
      <c r="X614" s="354">
        <v>0</v>
      </c>
      <c r="Y614" s="354"/>
      <c r="AI614" s="337">
        <v>0</v>
      </c>
      <c r="AJ614" s="358"/>
      <c r="AK614" s="369"/>
    </row>
    <row r="615" spans="2:37" s="205" customFormat="1" ht="11.25" customHeight="1">
      <c r="B615" s="206" t="s">
        <v>291</v>
      </c>
      <c r="C615" s="207">
        <v>44655</v>
      </c>
      <c r="D615" s="207">
        <v>44661</v>
      </c>
      <c r="E615" s="208" t="s">
        <v>701</v>
      </c>
      <c r="F615" s="205" t="s">
        <v>702</v>
      </c>
      <c r="G615" s="209">
        <v>4317</v>
      </c>
      <c r="H615" s="205" t="s">
        <v>183</v>
      </c>
      <c r="I615" s="205" t="s">
        <v>703</v>
      </c>
      <c r="J615" s="210">
        <v>2469.73</v>
      </c>
      <c r="L615" s="210">
        <v>2.08</v>
      </c>
      <c r="M615" s="210">
        <v>2.08</v>
      </c>
      <c r="N615" s="213">
        <f>J615*0.15</f>
        <v>370.45949999999999</v>
      </c>
      <c r="O615" s="212">
        <v>0.15</v>
      </c>
      <c r="P615" s="212"/>
      <c r="Q615" s="213">
        <v>219.36</v>
      </c>
      <c r="R615" s="205" t="s">
        <v>128</v>
      </c>
      <c r="S615" s="214" t="s">
        <v>41</v>
      </c>
      <c r="T615" s="214">
        <v>79</v>
      </c>
      <c r="U615" s="215" t="s">
        <v>164</v>
      </c>
      <c r="V615" s="438"/>
      <c r="X615" s="213">
        <v>219.36</v>
      </c>
      <c r="Y615" s="213"/>
      <c r="AF615" s="230">
        <f t="shared" ref="AF615:AF621" si="12">X615</f>
        <v>219.36</v>
      </c>
      <c r="AJ615" s="216"/>
    </row>
    <row r="616" spans="2:37" s="205" customFormat="1" ht="11.25" customHeight="1">
      <c r="B616" s="206" t="s">
        <v>291</v>
      </c>
      <c r="C616" s="207"/>
      <c r="D616" s="207"/>
      <c r="E616" s="208" t="s">
        <v>701</v>
      </c>
      <c r="F616" s="205" t="s">
        <v>702</v>
      </c>
      <c r="G616" s="209">
        <v>4317</v>
      </c>
      <c r="H616" s="205" t="s">
        <v>99</v>
      </c>
      <c r="I616" s="205" t="s">
        <v>703</v>
      </c>
      <c r="J616" s="210">
        <v>19080.05</v>
      </c>
      <c r="L616" s="210">
        <v>17.59</v>
      </c>
      <c r="M616" s="210">
        <v>17.59</v>
      </c>
      <c r="N616" s="213">
        <v>2862.01</v>
      </c>
      <c r="O616" s="212">
        <v>0.15</v>
      </c>
      <c r="P616" s="212"/>
      <c r="Q616" s="213">
        <v>3893.61</v>
      </c>
      <c r="R616" s="205" t="s">
        <v>128</v>
      </c>
      <c r="S616" s="214" t="s">
        <v>41</v>
      </c>
      <c r="T616" s="214">
        <v>79</v>
      </c>
      <c r="U616" s="215" t="s">
        <v>164</v>
      </c>
      <c r="V616" s="438"/>
      <c r="X616" s="213">
        <v>3893.61</v>
      </c>
      <c r="Y616" s="213"/>
      <c r="AF616" s="230">
        <f t="shared" si="12"/>
        <v>3893.61</v>
      </c>
      <c r="AJ616" s="216"/>
    </row>
    <row r="617" spans="2:37" s="205" customFormat="1" ht="11.25" customHeight="1">
      <c r="B617" s="206" t="s">
        <v>291</v>
      </c>
      <c r="C617" s="207"/>
      <c r="D617" s="207"/>
      <c r="E617" s="208" t="s">
        <v>701</v>
      </c>
      <c r="F617" s="205" t="s">
        <v>702</v>
      </c>
      <c r="G617" s="209">
        <v>4317</v>
      </c>
      <c r="H617" s="205" t="s">
        <v>336</v>
      </c>
      <c r="I617" s="205" t="s">
        <v>703</v>
      </c>
      <c r="J617" s="210">
        <v>27386.1</v>
      </c>
      <c r="L617" s="210">
        <v>22.05</v>
      </c>
      <c r="M617" s="210">
        <v>22.05</v>
      </c>
      <c r="N617" s="213">
        <v>4107.91</v>
      </c>
      <c r="O617" s="212">
        <v>0.15</v>
      </c>
      <c r="P617" s="212"/>
      <c r="Q617" s="213">
        <v>6449.63</v>
      </c>
      <c r="R617" s="205" t="s">
        <v>128</v>
      </c>
      <c r="S617" s="214" t="s">
        <v>41</v>
      </c>
      <c r="T617" s="214">
        <v>79</v>
      </c>
      <c r="U617" s="215" t="s">
        <v>164</v>
      </c>
      <c r="V617" s="438"/>
      <c r="X617" s="213">
        <v>6449.63</v>
      </c>
      <c r="Y617" s="213"/>
      <c r="AF617" s="230">
        <f t="shared" si="12"/>
        <v>6449.63</v>
      </c>
      <c r="AJ617" s="216"/>
    </row>
    <row r="618" spans="2:37" s="205" customFormat="1" ht="11.25" customHeight="1">
      <c r="B618" s="206" t="s">
        <v>291</v>
      </c>
      <c r="C618" s="207"/>
      <c r="D618" s="207"/>
      <c r="E618" s="208" t="s">
        <v>701</v>
      </c>
      <c r="F618" s="205" t="s">
        <v>702</v>
      </c>
      <c r="G618" s="209">
        <v>4317</v>
      </c>
      <c r="H618" s="205" t="s">
        <v>493</v>
      </c>
      <c r="I618" s="205" t="s">
        <v>703</v>
      </c>
      <c r="J618" s="210">
        <v>9705.86</v>
      </c>
      <c r="L618" s="210">
        <v>8.0299999999999994</v>
      </c>
      <c r="M618" s="210">
        <v>8.0299999999999994</v>
      </c>
      <c r="N618" s="213">
        <f>J618*0.15</f>
        <v>1455.8790000000001</v>
      </c>
      <c r="O618" s="212">
        <v>0.15</v>
      </c>
      <c r="P618" s="212"/>
      <c r="Q618" s="213">
        <v>0</v>
      </c>
      <c r="R618" s="205" t="s">
        <v>128</v>
      </c>
      <c r="S618" s="214" t="s">
        <v>41</v>
      </c>
      <c r="T618" s="214">
        <v>79</v>
      </c>
      <c r="U618" s="215" t="s">
        <v>164</v>
      </c>
      <c r="V618" s="438"/>
      <c r="X618" s="213">
        <v>0</v>
      </c>
      <c r="Y618" s="213"/>
      <c r="AF618" s="230">
        <f t="shared" si="12"/>
        <v>0</v>
      </c>
      <c r="AJ618" s="216"/>
    </row>
    <row r="619" spans="2:37" s="205" customFormat="1" ht="11.25" customHeight="1">
      <c r="B619" s="206" t="s">
        <v>291</v>
      </c>
      <c r="C619" s="207">
        <v>44661</v>
      </c>
      <c r="D619" s="207">
        <v>44661</v>
      </c>
      <c r="E619" s="208" t="s">
        <v>716</v>
      </c>
      <c r="F619" s="205" t="s">
        <v>364</v>
      </c>
      <c r="G619" s="209">
        <v>4537</v>
      </c>
      <c r="H619" s="205" t="s">
        <v>99</v>
      </c>
      <c r="I619" s="205" t="s">
        <v>33</v>
      </c>
      <c r="J619" s="210">
        <v>131802.09</v>
      </c>
      <c r="L619" s="210">
        <v>92.74</v>
      </c>
      <c r="M619" s="210">
        <v>92.74</v>
      </c>
      <c r="N619" s="213"/>
      <c r="O619" s="212">
        <v>0.2</v>
      </c>
      <c r="P619" s="212"/>
      <c r="Q619" s="213">
        <v>0</v>
      </c>
      <c r="R619" s="205" t="s">
        <v>73</v>
      </c>
      <c r="S619" s="214" t="s">
        <v>113</v>
      </c>
      <c r="T619" s="214">
        <v>81</v>
      </c>
      <c r="U619" s="215" t="s">
        <v>164</v>
      </c>
      <c r="V619" s="438"/>
      <c r="W619" s="205" t="s">
        <v>2997</v>
      </c>
      <c r="X619" s="213">
        <v>0</v>
      </c>
      <c r="Y619" s="213"/>
      <c r="AF619" s="230">
        <f t="shared" si="12"/>
        <v>0</v>
      </c>
      <c r="AJ619" s="216"/>
    </row>
    <row r="620" spans="2:37" s="205" customFormat="1" ht="11.25" customHeight="1">
      <c r="B620" s="206" t="s">
        <v>291</v>
      </c>
      <c r="C620" s="207"/>
      <c r="D620" s="207"/>
      <c r="E620" s="208" t="s">
        <v>716</v>
      </c>
      <c r="F620" s="205" t="s">
        <v>364</v>
      </c>
      <c r="G620" s="209">
        <v>4537</v>
      </c>
      <c r="H620" s="205" t="s">
        <v>27</v>
      </c>
      <c r="I620" s="205" t="s">
        <v>33</v>
      </c>
      <c r="J620" s="210">
        <v>73531.55</v>
      </c>
      <c r="L620" s="210">
        <v>58.31</v>
      </c>
      <c r="M620" s="210">
        <v>58.31</v>
      </c>
      <c r="N620" s="213"/>
      <c r="O620" s="212">
        <v>0.2</v>
      </c>
      <c r="P620" s="212"/>
      <c r="Q620" s="213">
        <v>0</v>
      </c>
      <c r="R620" s="205" t="s">
        <v>73</v>
      </c>
      <c r="S620" s="214" t="s">
        <v>113</v>
      </c>
      <c r="T620" s="214">
        <v>81</v>
      </c>
      <c r="U620" s="215" t="s">
        <v>164</v>
      </c>
      <c r="V620" s="438"/>
      <c r="W620" s="205" t="s">
        <v>2997</v>
      </c>
      <c r="X620" s="213">
        <v>0</v>
      </c>
      <c r="Y620" s="213"/>
      <c r="AF620" s="230">
        <f t="shared" si="12"/>
        <v>0</v>
      </c>
      <c r="AJ620" s="216"/>
    </row>
    <row r="621" spans="2:37" s="205" customFormat="1" ht="11.25" customHeight="1">
      <c r="B621" s="206" t="s">
        <v>291</v>
      </c>
      <c r="C621" s="207"/>
      <c r="D621" s="207"/>
      <c r="E621" s="208" t="s">
        <v>716</v>
      </c>
      <c r="F621" s="205" t="s">
        <v>364</v>
      </c>
      <c r="G621" s="209">
        <v>4537</v>
      </c>
      <c r="H621" s="205" t="s">
        <v>183</v>
      </c>
      <c r="I621" s="205" t="s">
        <v>33</v>
      </c>
      <c r="J621" s="210">
        <v>88061.74</v>
      </c>
      <c r="L621" s="210">
        <v>75.010000000000005</v>
      </c>
      <c r="M621" s="210">
        <v>75.010000000000005</v>
      </c>
      <c r="N621" s="213"/>
      <c r="O621" s="212">
        <v>0.2</v>
      </c>
      <c r="P621" s="212"/>
      <c r="Q621" s="213">
        <v>0</v>
      </c>
      <c r="R621" s="205" t="s">
        <v>73</v>
      </c>
      <c r="S621" s="214" t="s">
        <v>113</v>
      </c>
      <c r="T621" s="214">
        <v>81</v>
      </c>
      <c r="U621" s="215" t="s">
        <v>164</v>
      </c>
      <c r="V621" s="438"/>
      <c r="W621" s="205" t="s">
        <v>2997</v>
      </c>
      <c r="X621" s="213">
        <v>0</v>
      </c>
      <c r="Y621" s="213"/>
      <c r="AF621" s="230">
        <f t="shared" si="12"/>
        <v>0</v>
      </c>
      <c r="AJ621" s="216"/>
    </row>
    <row r="622" spans="2:37" s="153" customFormat="1" ht="11.25" customHeight="1">
      <c r="B622" s="154" t="s">
        <v>291</v>
      </c>
      <c r="C622" s="155">
        <v>44661</v>
      </c>
      <c r="D622" s="155">
        <v>44661</v>
      </c>
      <c r="E622" s="156" t="s">
        <v>704</v>
      </c>
      <c r="F622" s="153" t="s">
        <v>705</v>
      </c>
      <c r="G622" s="157">
        <v>3509</v>
      </c>
      <c r="H622" s="153" t="s">
        <v>27</v>
      </c>
      <c r="I622" s="153" t="s">
        <v>141</v>
      </c>
      <c r="J622" s="158">
        <v>15047.76</v>
      </c>
      <c r="L622" s="158">
        <v>12.72</v>
      </c>
      <c r="M622" s="158">
        <v>12.71</v>
      </c>
      <c r="N622" s="159"/>
      <c r="O622" s="160">
        <v>0.3</v>
      </c>
      <c r="P622" s="160"/>
      <c r="Q622" s="159">
        <v>0</v>
      </c>
      <c r="R622" s="153" t="s">
        <v>35</v>
      </c>
      <c r="S622" s="161" t="s">
        <v>34</v>
      </c>
      <c r="T622" s="161">
        <v>17</v>
      </c>
      <c r="U622" s="162" t="s">
        <v>164</v>
      </c>
      <c r="V622" s="435"/>
      <c r="W622" s="153" t="s">
        <v>1886</v>
      </c>
      <c r="X622" s="159">
        <v>0</v>
      </c>
      <c r="Y622" s="159"/>
      <c r="AD622" s="176">
        <f>X622</f>
        <v>0</v>
      </c>
      <c r="AJ622" s="644"/>
    </row>
    <row r="623" spans="2:37" s="153" customFormat="1" ht="11.25" customHeight="1">
      <c r="B623" s="154" t="s">
        <v>291</v>
      </c>
      <c r="C623" s="155">
        <v>44655</v>
      </c>
      <c r="D623" s="155">
        <v>44662</v>
      </c>
      <c r="E623" s="156" t="s">
        <v>706</v>
      </c>
      <c r="F623" s="153" t="s">
        <v>707</v>
      </c>
      <c r="G623" s="157">
        <v>4356</v>
      </c>
      <c r="H623" s="153" t="s">
        <v>27</v>
      </c>
      <c r="I623" s="153" t="s">
        <v>141</v>
      </c>
      <c r="J623" s="158">
        <v>25078.81</v>
      </c>
      <c r="L623" s="158">
        <v>21.56</v>
      </c>
      <c r="M623" s="158">
        <v>21.55</v>
      </c>
      <c r="N623" s="159"/>
      <c r="O623" s="160">
        <v>0.2</v>
      </c>
      <c r="P623" s="160"/>
      <c r="Q623" s="159">
        <v>0</v>
      </c>
      <c r="R623" s="153" t="s">
        <v>35</v>
      </c>
      <c r="S623" s="161" t="s">
        <v>41</v>
      </c>
      <c r="T623" s="161">
        <v>79</v>
      </c>
      <c r="U623" s="162" t="s">
        <v>164</v>
      </c>
      <c r="V623" s="435"/>
      <c r="W623" s="153" t="s">
        <v>1890</v>
      </c>
      <c r="X623" s="159">
        <v>0</v>
      </c>
      <c r="Y623" s="159"/>
      <c r="AD623" s="176">
        <f>X623</f>
        <v>0</v>
      </c>
      <c r="AJ623" s="644"/>
    </row>
    <row r="624" spans="2:37" s="153" customFormat="1" ht="11.25" customHeight="1">
      <c r="B624" s="154" t="s">
        <v>291</v>
      </c>
      <c r="C624" s="155"/>
      <c r="D624" s="155"/>
      <c r="E624" s="156" t="s">
        <v>706</v>
      </c>
      <c r="F624" s="153" t="s">
        <v>707</v>
      </c>
      <c r="G624" s="157">
        <v>4356</v>
      </c>
      <c r="H624" s="153" t="s">
        <v>27</v>
      </c>
      <c r="I624" s="153" t="s">
        <v>141</v>
      </c>
      <c r="J624" s="158">
        <v>2973.95</v>
      </c>
      <c r="L624" s="158">
        <v>2.9</v>
      </c>
      <c r="M624" s="158">
        <v>2.89</v>
      </c>
      <c r="N624" s="159"/>
      <c r="O624" s="160">
        <v>0.2</v>
      </c>
      <c r="P624" s="160"/>
      <c r="Q624" s="159">
        <v>0</v>
      </c>
      <c r="R624" s="153" t="s">
        <v>35</v>
      </c>
      <c r="S624" s="161" t="s">
        <v>41</v>
      </c>
      <c r="T624" s="161">
        <v>17</v>
      </c>
      <c r="U624" s="162" t="s">
        <v>164</v>
      </c>
      <c r="V624" s="435"/>
      <c r="W624" s="153" t="s">
        <v>1890</v>
      </c>
      <c r="X624" s="159">
        <v>0</v>
      </c>
      <c r="Y624" s="159"/>
      <c r="AD624" s="176">
        <f>X624</f>
        <v>0</v>
      </c>
      <c r="AJ624" s="644"/>
    </row>
    <row r="625" spans="1:77" s="473" customFormat="1" ht="11.25" customHeight="1">
      <c r="A625" s="546"/>
      <c r="B625" s="559" t="s">
        <v>291</v>
      </c>
      <c r="C625" s="547"/>
      <c r="D625" s="547"/>
      <c r="E625" s="548" t="s">
        <v>708</v>
      </c>
      <c r="F625" s="546" t="s">
        <v>133</v>
      </c>
      <c r="G625" s="549">
        <v>4441</v>
      </c>
      <c r="H625" s="546" t="s">
        <v>192</v>
      </c>
      <c r="I625" s="546" t="s">
        <v>334</v>
      </c>
      <c r="J625" s="550">
        <v>58715.8</v>
      </c>
      <c r="K625" s="546"/>
      <c r="L625" s="550">
        <v>41.06</v>
      </c>
      <c r="M625" s="550">
        <v>41.06</v>
      </c>
      <c r="N625" s="552">
        <f>0.2*J625</f>
        <v>11743.160000000002</v>
      </c>
      <c r="O625" s="553">
        <v>0.2</v>
      </c>
      <c r="P625" s="553"/>
      <c r="Q625" s="552">
        <v>0</v>
      </c>
      <c r="R625" s="546" t="s">
        <v>42</v>
      </c>
      <c r="S625" s="554" t="s">
        <v>41</v>
      </c>
      <c r="T625" s="554">
        <v>86</v>
      </c>
      <c r="U625" s="555" t="s">
        <v>164</v>
      </c>
      <c r="V625" s="556"/>
      <c r="W625" s="546"/>
      <c r="X625" s="552">
        <v>0</v>
      </c>
      <c r="Y625" s="552"/>
      <c r="Z625" s="546"/>
      <c r="AA625" s="546"/>
      <c r="AB625" s="546"/>
      <c r="AC625" s="546"/>
      <c r="AD625" s="546"/>
      <c r="AE625" s="546"/>
      <c r="AF625" s="546"/>
      <c r="AG625" s="546"/>
      <c r="AH625" s="546"/>
      <c r="AI625" s="546"/>
      <c r="AJ625" s="557"/>
      <c r="AK625" s="546"/>
      <c r="AL625" s="546"/>
      <c r="AM625" s="546">
        <v>0</v>
      </c>
      <c r="AN625" s="546"/>
      <c r="AO625" s="546"/>
      <c r="AP625" s="546"/>
      <c r="AQ625" s="546"/>
      <c r="AR625" s="546"/>
      <c r="AS625" s="546"/>
      <c r="AT625" s="546"/>
      <c r="AU625" s="546"/>
      <c r="AV625" s="546"/>
      <c r="AW625" s="546"/>
      <c r="AX625" s="546"/>
      <c r="AY625" s="546"/>
      <c r="AZ625" s="546"/>
      <c r="BA625" s="546"/>
      <c r="BB625" s="546"/>
      <c r="BC625" s="546"/>
      <c r="BD625" s="546"/>
      <c r="BE625" s="546"/>
      <c r="BF625" s="546"/>
      <c r="BG625" s="546"/>
      <c r="BH625" s="546"/>
      <c r="BI625" s="546"/>
      <c r="BJ625" s="546"/>
      <c r="BK625" s="546"/>
      <c r="BL625" s="546"/>
      <c r="BM625" s="546"/>
      <c r="BN625" s="546"/>
      <c r="BO625" s="546"/>
      <c r="BP625" s="546"/>
      <c r="BQ625" s="546"/>
      <c r="BR625" s="546"/>
      <c r="BS625" s="546"/>
      <c r="BT625" s="546"/>
      <c r="BU625" s="546"/>
      <c r="BV625" s="546"/>
      <c r="BW625" s="546"/>
      <c r="BX625" s="546"/>
      <c r="BY625" s="546"/>
    </row>
    <row r="626" spans="1:77" s="571" customFormat="1" ht="11.25" customHeight="1">
      <c r="A626" s="473"/>
      <c r="B626" s="486" t="s">
        <v>291</v>
      </c>
      <c r="C626" s="487">
        <v>44655</v>
      </c>
      <c r="D626" s="487">
        <v>44662</v>
      </c>
      <c r="E626" s="488" t="s">
        <v>708</v>
      </c>
      <c r="F626" s="473" t="s">
        <v>133</v>
      </c>
      <c r="G626" s="489">
        <v>4441</v>
      </c>
      <c r="H626" s="473" t="s">
        <v>134</v>
      </c>
      <c r="I626" s="473" t="s">
        <v>334</v>
      </c>
      <c r="J626" s="490">
        <v>43659</v>
      </c>
      <c r="K626" s="473"/>
      <c r="L626" s="490">
        <v>21</v>
      </c>
      <c r="M626" s="490">
        <v>21</v>
      </c>
      <c r="N626" s="492">
        <f>0.25*J626</f>
        <v>10914.75</v>
      </c>
      <c r="O626" s="493">
        <v>0.2</v>
      </c>
      <c r="P626" s="493"/>
      <c r="Q626" s="492">
        <v>17789.080000000002</v>
      </c>
      <c r="R626" s="473" t="s">
        <v>42</v>
      </c>
      <c r="S626" s="481" t="s">
        <v>41</v>
      </c>
      <c r="T626" s="481">
        <v>86</v>
      </c>
      <c r="U626" s="494" t="s">
        <v>164</v>
      </c>
      <c r="V626" s="495"/>
      <c r="W626" s="473"/>
      <c r="X626" s="492">
        <v>17789.080000000002</v>
      </c>
      <c r="Y626" s="492"/>
      <c r="Z626" s="473"/>
      <c r="AA626" s="473"/>
      <c r="AB626" s="473"/>
      <c r="AC626" s="473"/>
      <c r="AD626" s="473"/>
      <c r="AE626" s="473"/>
      <c r="AF626" s="473"/>
      <c r="AG626" s="473"/>
      <c r="AH626" s="473"/>
      <c r="AI626" s="473"/>
      <c r="AJ626" s="485"/>
      <c r="AK626" s="505">
        <v>17789.080000000002</v>
      </c>
      <c r="AL626" s="473"/>
      <c r="AM626" s="473"/>
      <c r="AN626" s="473"/>
      <c r="AO626" s="473"/>
      <c r="AP626" s="473"/>
      <c r="AQ626" s="473"/>
      <c r="AR626" s="473"/>
      <c r="AS626" s="473"/>
      <c r="AT626" s="473"/>
      <c r="AU626" s="473"/>
      <c r="AV626" s="473"/>
      <c r="AW626" s="473"/>
      <c r="AX626" s="473"/>
      <c r="AY626" s="473"/>
      <c r="AZ626" s="473"/>
      <c r="BA626" s="473"/>
      <c r="BB626" s="473"/>
      <c r="BC626" s="473"/>
      <c r="BD626" s="473"/>
      <c r="BE626" s="473"/>
      <c r="BF626" s="473"/>
      <c r="BG626" s="473"/>
      <c r="BH626" s="473"/>
      <c r="BI626" s="473"/>
      <c r="BJ626" s="473"/>
      <c r="BK626" s="473"/>
      <c r="BL626" s="473"/>
      <c r="BM626" s="473"/>
      <c r="BN626" s="473"/>
      <c r="BO626" s="473"/>
      <c r="BP626" s="473"/>
      <c r="BQ626" s="473"/>
      <c r="BR626" s="473"/>
      <c r="BS626" s="473"/>
      <c r="BT626" s="473"/>
      <c r="BU626" s="473"/>
      <c r="BV626" s="473"/>
      <c r="BW626" s="473"/>
      <c r="BX626" s="473"/>
      <c r="BY626" s="473"/>
    </row>
    <row r="627" spans="1:77" s="261" customFormat="1" ht="11.25" customHeight="1">
      <c r="B627" s="258" t="s">
        <v>291</v>
      </c>
      <c r="C627" s="259">
        <v>44659</v>
      </c>
      <c r="D627" s="259">
        <v>44662</v>
      </c>
      <c r="E627" s="260" t="s">
        <v>709</v>
      </c>
      <c r="F627" s="261" t="s">
        <v>64</v>
      </c>
      <c r="G627" s="262">
        <v>4450</v>
      </c>
      <c r="H627" s="261" t="s">
        <v>27</v>
      </c>
      <c r="I627" s="261" t="s">
        <v>313</v>
      </c>
      <c r="J627" s="263">
        <v>49103.6</v>
      </c>
      <c r="L627" s="263">
        <v>36.4</v>
      </c>
      <c r="M627" s="263">
        <v>36.4</v>
      </c>
      <c r="N627" s="265">
        <v>7365.54</v>
      </c>
      <c r="O627" s="266">
        <v>0.3</v>
      </c>
      <c r="P627" s="266">
        <v>0.1</v>
      </c>
      <c r="Q627" s="265">
        <v>0</v>
      </c>
      <c r="R627" s="261" t="s">
        <v>46</v>
      </c>
      <c r="S627" s="267" t="s">
        <v>65</v>
      </c>
      <c r="T627" s="267">
        <v>27</v>
      </c>
      <c r="U627" s="268" t="s">
        <v>164</v>
      </c>
      <c r="V627" s="427"/>
      <c r="W627" s="261" t="s">
        <v>3689</v>
      </c>
      <c r="X627" s="265">
        <v>0</v>
      </c>
      <c r="Y627" s="265"/>
      <c r="AG627" s="261">
        <f>X627</f>
        <v>0</v>
      </c>
      <c r="AJ627" s="642"/>
    </row>
    <row r="628" spans="1:77" s="261" customFormat="1" ht="11.25" customHeight="1">
      <c r="B628" s="258" t="s">
        <v>291</v>
      </c>
      <c r="C628" s="259"/>
      <c r="D628" s="259"/>
      <c r="E628" s="260" t="s">
        <v>709</v>
      </c>
      <c r="F628" s="261" t="s">
        <v>64</v>
      </c>
      <c r="G628" s="262">
        <v>4450</v>
      </c>
      <c r="H628" s="261" t="s">
        <v>27</v>
      </c>
      <c r="I628" s="261" t="s">
        <v>141</v>
      </c>
      <c r="J628" s="263">
        <v>16391.34</v>
      </c>
      <c r="L628" s="263">
        <v>10.4</v>
      </c>
      <c r="M628" s="263">
        <v>10.4</v>
      </c>
      <c r="N628" s="265">
        <v>0</v>
      </c>
      <c r="O628" s="266">
        <v>0.3</v>
      </c>
      <c r="P628" s="266"/>
      <c r="Q628" s="265">
        <v>0</v>
      </c>
      <c r="R628" s="261" t="s">
        <v>46</v>
      </c>
      <c r="S628" s="267" t="s">
        <v>65</v>
      </c>
      <c r="T628" s="267">
        <v>59</v>
      </c>
      <c r="U628" s="268" t="s">
        <v>164</v>
      </c>
      <c r="V628" s="427"/>
      <c r="W628" s="261" t="s">
        <v>3689</v>
      </c>
      <c r="X628" s="265">
        <v>0</v>
      </c>
      <c r="Y628" s="265"/>
      <c r="AG628" s="261">
        <f>X628</f>
        <v>0</v>
      </c>
      <c r="AJ628" s="642"/>
    </row>
    <row r="629" spans="1:77" s="261" customFormat="1" ht="11.25" customHeight="1">
      <c r="B629" s="258" t="s">
        <v>291</v>
      </c>
      <c r="C629" s="259">
        <v>44662</v>
      </c>
      <c r="D629" s="259">
        <v>44662</v>
      </c>
      <c r="E629" s="260" t="s">
        <v>710</v>
      </c>
      <c r="F629" s="261" t="s">
        <v>711</v>
      </c>
      <c r="G629" s="262" t="s">
        <v>712</v>
      </c>
      <c r="H629" s="261" t="s">
        <v>192</v>
      </c>
      <c r="I629" s="261" t="s">
        <v>33</v>
      </c>
      <c r="J629" s="263">
        <v>29436</v>
      </c>
      <c r="L629" s="263">
        <v>33</v>
      </c>
      <c r="M629" s="263">
        <v>33</v>
      </c>
      <c r="N629" s="265"/>
      <c r="O629" s="266">
        <v>0.25</v>
      </c>
      <c r="P629" s="266"/>
      <c r="Q629" s="265">
        <v>0</v>
      </c>
      <c r="R629" s="261" t="s">
        <v>257</v>
      </c>
      <c r="S629" s="267" t="s">
        <v>74</v>
      </c>
      <c r="T629" s="267">
        <v>32</v>
      </c>
      <c r="U629" s="268" t="s">
        <v>164</v>
      </c>
      <c r="V629" s="427"/>
      <c r="W629" s="261" t="s">
        <v>1903</v>
      </c>
      <c r="X629" s="265">
        <v>0</v>
      </c>
      <c r="Y629" s="265"/>
      <c r="AD629" s="257">
        <f>X629</f>
        <v>0</v>
      </c>
      <c r="AJ629" s="642"/>
    </row>
    <row r="630" spans="1:77" s="205" customFormat="1" ht="11.25" customHeight="1">
      <c r="B630" s="206" t="s">
        <v>291</v>
      </c>
      <c r="C630" s="207">
        <v>44659</v>
      </c>
      <c r="D630" s="207">
        <v>44662</v>
      </c>
      <c r="E630" s="208" t="s">
        <v>713</v>
      </c>
      <c r="F630" s="205" t="s">
        <v>714</v>
      </c>
      <c r="G630" s="209">
        <v>3505</v>
      </c>
      <c r="H630" s="205" t="s">
        <v>27</v>
      </c>
      <c r="I630" s="205" t="s">
        <v>156</v>
      </c>
      <c r="J630" s="210">
        <v>75582</v>
      </c>
      <c r="L630" s="210">
        <v>65</v>
      </c>
      <c r="M630" s="210">
        <v>40</v>
      </c>
      <c r="N630" s="213">
        <v>4667.3900000000003</v>
      </c>
      <c r="O630" s="212">
        <v>0.15</v>
      </c>
      <c r="P630" s="212">
        <v>0.1</v>
      </c>
      <c r="Q630" s="213">
        <v>339.45</v>
      </c>
      <c r="R630" s="205" t="s">
        <v>50</v>
      </c>
      <c r="S630" s="214" t="s">
        <v>715</v>
      </c>
      <c r="T630" s="214">
        <v>55</v>
      </c>
      <c r="U630" s="215" t="s">
        <v>164</v>
      </c>
      <c r="V630" s="438"/>
      <c r="X630" s="213">
        <v>339.45</v>
      </c>
      <c r="Y630" s="213"/>
      <c r="AF630" s="230">
        <f>X630</f>
        <v>339.45</v>
      </c>
      <c r="AJ630" s="216"/>
    </row>
    <row r="631" spans="1:77" s="205" customFormat="1" ht="11.25" customHeight="1">
      <c r="B631" s="206" t="s">
        <v>291</v>
      </c>
      <c r="C631" s="207">
        <v>44656</v>
      </c>
      <c r="D631" s="207">
        <v>44662</v>
      </c>
      <c r="E631" s="208" t="s">
        <v>717</v>
      </c>
      <c r="F631" s="205" t="s">
        <v>718</v>
      </c>
      <c r="G631" s="209">
        <v>4142</v>
      </c>
      <c r="H631" s="205" t="s">
        <v>27</v>
      </c>
      <c r="I631" s="205" t="s">
        <v>141</v>
      </c>
      <c r="J631" s="210">
        <v>48211.68</v>
      </c>
      <c r="L631" s="210">
        <v>48</v>
      </c>
      <c r="M631" s="210">
        <v>48</v>
      </c>
      <c r="N631" s="213">
        <v>0</v>
      </c>
      <c r="O631" s="212">
        <v>0.3</v>
      </c>
      <c r="P631" s="212"/>
      <c r="Q631" s="213">
        <v>0</v>
      </c>
      <c r="R631" s="205" t="s">
        <v>73</v>
      </c>
      <c r="S631" s="214" t="s">
        <v>74</v>
      </c>
      <c r="T631" s="214">
        <v>81</v>
      </c>
      <c r="U631" s="215" t="s">
        <v>164</v>
      </c>
      <c r="V631" s="438"/>
      <c r="W631" s="205" t="s">
        <v>3044</v>
      </c>
      <c r="X631" s="213">
        <v>0</v>
      </c>
      <c r="Y631" s="213"/>
      <c r="AF631" s="230">
        <f>X631</f>
        <v>0</v>
      </c>
      <c r="AJ631" s="216"/>
    </row>
    <row r="632" spans="1:77" s="153" customFormat="1" ht="11.25" customHeight="1">
      <c r="B632" s="154" t="s">
        <v>291</v>
      </c>
      <c r="C632" s="155">
        <v>44654</v>
      </c>
      <c r="D632" s="155">
        <v>44662</v>
      </c>
      <c r="E632" s="156" t="s">
        <v>719</v>
      </c>
      <c r="F632" s="153" t="s">
        <v>91</v>
      </c>
      <c r="G632" s="157" t="s">
        <v>92</v>
      </c>
      <c r="H632" s="153" t="s">
        <v>27</v>
      </c>
      <c r="I632" s="153" t="s">
        <v>141</v>
      </c>
      <c r="J632" s="158">
        <v>13597.25</v>
      </c>
      <c r="L632" s="158">
        <v>12.5</v>
      </c>
      <c r="M632" s="158">
        <v>12.5</v>
      </c>
      <c r="N632" s="159"/>
      <c r="O632" s="160">
        <v>0.25</v>
      </c>
      <c r="P632" s="160"/>
      <c r="Q632" s="159">
        <v>0</v>
      </c>
      <c r="R632" s="153" t="s">
        <v>35</v>
      </c>
      <c r="S632" s="161" t="s">
        <v>41</v>
      </c>
      <c r="T632" s="161">
        <v>16</v>
      </c>
      <c r="U632" s="162" t="s">
        <v>164</v>
      </c>
      <c r="V632" s="435"/>
      <c r="W632" s="153" t="s">
        <v>1887</v>
      </c>
      <c r="X632" s="159">
        <v>0</v>
      </c>
      <c r="Y632" s="159"/>
      <c r="AD632" s="176">
        <f>X632</f>
        <v>0</v>
      </c>
      <c r="AJ632" s="644"/>
    </row>
    <row r="633" spans="1:77" s="181" customFormat="1" ht="11.25" customHeight="1">
      <c r="B633" s="178" t="s">
        <v>291</v>
      </c>
      <c r="C633" s="179">
        <v>44657</v>
      </c>
      <c r="D633" s="179">
        <v>44662</v>
      </c>
      <c r="E633" s="180" t="s">
        <v>720</v>
      </c>
      <c r="F633" s="181" t="s">
        <v>721</v>
      </c>
      <c r="G633" s="182">
        <v>4447</v>
      </c>
      <c r="H633" s="181" t="s">
        <v>99</v>
      </c>
      <c r="I633" s="181" t="s">
        <v>334</v>
      </c>
      <c r="J633" s="183">
        <v>14316.23</v>
      </c>
      <c r="L633" s="183">
        <v>12.95</v>
      </c>
      <c r="M633" s="183">
        <v>12.95</v>
      </c>
      <c r="N633" s="185">
        <v>1398.4575</v>
      </c>
      <c r="O633" s="186">
        <v>0.2</v>
      </c>
      <c r="P633" s="186"/>
      <c r="Q633" s="185">
        <v>0</v>
      </c>
      <c r="R633" s="181" t="s">
        <v>42</v>
      </c>
      <c r="S633" s="187" t="s">
        <v>41</v>
      </c>
      <c r="T633" s="187">
        <v>79</v>
      </c>
      <c r="U633" s="188" t="s">
        <v>164</v>
      </c>
      <c r="V633" s="441"/>
      <c r="W633" s="181" t="s">
        <v>2686</v>
      </c>
      <c r="X633" s="185">
        <v>0</v>
      </c>
      <c r="Y633" s="185"/>
      <c r="AE633" s="204">
        <f>X633</f>
        <v>0</v>
      </c>
      <c r="AJ633" s="189"/>
    </row>
    <row r="634" spans="1:77" s="181" customFormat="1" ht="11.25" customHeight="1">
      <c r="B634" s="178" t="s">
        <v>291</v>
      </c>
      <c r="C634" s="179"/>
      <c r="D634" s="179"/>
      <c r="E634" s="180" t="s">
        <v>720</v>
      </c>
      <c r="F634" s="181" t="s">
        <v>721</v>
      </c>
      <c r="G634" s="182">
        <v>4447</v>
      </c>
      <c r="H634" s="181" t="s">
        <v>336</v>
      </c>
      <c r="I634" s="181" t="s">
        <v>334</v>
      </c>
      <c r="J634" s="183">
        <v>25570.22</v>
      </c>
      <c r="L634" s="183">
        <v>23.13</v>
      </c>
      <c r="M634" s="183">
        <v>23.13</v>
      </c>
      <c r="N634" s="185">
        <v>2557.0214999999998</v>
      </c>
      <c r="O634" s="186">
        <v>0.2</v>
      </c>
      <c r="P634" s="186"/>
      <c r="Q634" s="185">
        <v>0</v>
      </c>
      <c r="R634" s="181" t="s">
        <v>42</v>
      </c>
      <c r="S634" s="187" t="s">
        <v>41</v>
      </c>
      <c r="T634" s="187">
        <v>79</v>
      </c>
      <c r="U634" s="188" t="s">
        <v>164</v>
      </c>
      <c r="V634" s="441"/>
      <c r="W634" s="181" t="s">
        <v>2686</v>
      </c>
      <c r="X634" s="185">
        <v>0</v>
      </c>
      <c r="Y634" s="185"/>
      <c r="AE634" s="204">
        <f>X634</f>
        <v>0</v>
      </c>
      <c r="AJ634" s="189"/>
    </row>
    <row r="635" spans="1:77" s="181" customFormat="1" ht="11.25" customHeight="1">
      <c r="B635" s="178" t="s">
        <v>291</v>
      </c>
      <c r="C635" s="179"/>
      <c r="D635" s="179"/>
      <c r="E635" s="180" t="s">
        <v>720</v>
      </c>
      <c r="F635" s="181" t="s">
        <v>721</v>
      </c>
      <c r="G635" s="182">
        <v>4447</v>
      </c>
      <c r="H635" s="181" t="s">
        <v>27</v>
      </c>
      <c r="I635" s="181" t="s">
        <v>334</v>
      </c>
      <c r="J635" s="183">
        <v>67091.199999999997</v>
      </c>
      <c r="L635" s="183">
        <v>38.119999999999997</v>
      </c>
      <c r="M635" s="183">
        <v>38.119999999999997</v>
      </c>
      <c r="N635" s="185">
        <v>5367.2960000000003</v>
      </c>
      <c r="O635" s="186">
        <v>0.2</v>
      </c>
      <c r="P635" s="186"/>
      <c r="Q635" s="185">
        <v>0</v>
      </c>
      <c r="R635" s="181" t="s">
        <v>42</v>
      </c>
      <c r="S635" s="187" t="s">
        <v>41</v>
      </c>
      <c r="T635" s="187">
        <v>79</v>
      </c>
      <c r="U635" s="188" t="s">
        <v>164</v>
      </c>
      <c r="V635" s="441"/>
      <c r="W635" s="181" t="s">
        <v>2686</v>
      </c>
      <c r="X635" s="185">
        <v>0</v>
      </c>
      <c r="Y635" s="185"/>
      <c r="AE635" s="204">
        <f>X635</f>
        <v>0</v>
      </c>
      <c r="AJ635" s="189"/>
    </row>
    <row r="636" spans="1:77" s="181" customFormat="1" ht="11.25" customHeight="1">
      <c r="B636" s="178" t="s">
        <v>291</v>
      </c>
      <c r="C636" s="179"/>
      <c r="D636" s="179"/>
      <c r="E636" s="180" t="s">
        <v>720</v>
      </c>
      <c r="F636" s="181" t="s">
        <v>721</v>
      </c>
      <c r="G636" s="182">
        <v>4447</v>
      </c>
      <c r="H636" s="181" t="s">
        <v>493</v>
      </c>
      <c r="I636" s="181" t="s">
        <v>334</v>
      </c>
      <c r="J636" s="183">
        <v>14428.8</v>
      </c>
      <c r="L636" s="183">
        <v>15.03</v>
      </c>
      <c r="M636" s="183">
        <v>15.03</v>
      </c>
      <c r="N636" s="185">
        <v>2164.3200000000002</v>
      </c>
      <c r="O636" s="186">
        <v>0.2</v>
      </c>
      <c r="P636" s="186"/>
      <c r="Q636" s="185">
        <v>0</v>
      </c>
      <c r="R636" s="181" t="s">
        <v>42</v>
      </c>
      <c r="S636" s="187" t="s">
        <v>41</v>
      </c>
      <c r="T636" s="187">
        <v>79</v>
      </c>
      <c r="U636" s="188" t="s">
        <v>164</v>
      </c>
      <c r="V636" s="441"/>
      <c r="W636" s="181" t="s">
        <v>2686</v>
      </c>
      <c r="X636" s="185">
        <v>0</v>
      </c>
      <c r="Y636" s="185"/>
      <c r="AE636" s="204">
        <f>X636</f>
        <v>0</v>
      </c>
      <c r="AJ636" s="189"/>
    </row>
    <row r="637" spans="1:77" s="181" customFormat="1" ht="11.25" customHeight="1">
      <c r="B637" s="178" t="s">
        <v>291</v>
      </c>
      <c r="C637" s="179"/>
      <c r="D637" s="179"/>
      <c r="E637" s="180" t="s">
        <v>720</v>
      </c>
      <c r="F637" s="181" t="s">
        <v>721</v>
      </c>
      <c r="G637" s="182">
        <v>4447</v>
      </c>
      <c r="H637" s="181" t="s">
        <v>442</v>
      </c>
      <c r="I637" s="181" t="s">
        <v>334</v>
      </c>
      <c r="J637" s="183">
        <v>19380</v>
      </c>
      <c r="L637" s="183">
        <v>16.149999999999999</v>
      </c>
      <c r="M637" s="183">
        <v>16.149999999999999</v>
      </c>
      <c r="N637" s="185">
        <v>969</v>
      </c>
      <c r="O637" s="186">
        <v>0.2</v>
      </c>
      <c r="P637" s="186"/>
      <c r="Q637" s="185">
        <v>0</v>
      </c>
      <c r="R637" s="181" t="s">
        <v>42</v>
      </c>
      <c r="S637" s="187" t="s">
        <v>41</v>
      </c>
      <c r="T637" s="187">
        <v>79</v>
      </c>
      <c r="U637" s="188" t="s">
        <v>164</v>
      </c>
      <c r="V637" s="441"/>
      <c r="W637" s="181" t="s">
        <v>2686</v>
      </c>
      <c r="X637" s="185">
        <v>0</v>
      </c>
      <c r="Y637" s="185"/>
      <c r="AE637" s="204">
        <f>X637</f>
        <v>0</v>
      </c>
      <c r="AJ637" s="189"/>
    </row>
    <row r="638" spans="1:77" s="337" customFormat="1" ht="11.25" customHeight="1">
      <c r="B638" s="338" t="s">
        <v>291</v>
      </c>
      <c r="C638" s="349">
        <v>44655</v>
      </c>
      <c r="D638" s="349">
        <v>44657</v>
      </c>
      <c r="E638" s="350" t="s">
        <v>722</v>
      </c>
      <c r="F638" s="337" t="s">
        <v>94</v>
      </c>
      <c r="G638" s="351">
        <v>4377</v>
      </c>
      <c r="H638" s="337" t="s">
        <v>140</v>
      </c>
      <c r="I638" s="337" t="s">
        <v>334</v>
      </c>
      <c r="J638" s="352">
        <v>18707.72</v>
      </c>
      <c r="L638" s="352">
        <v>12.17</v>
      </c>
      <c r="M638" s="352">
        <v>12.17</v>
      </c>
      <c r="N638" s="354">
        <v>2806.16</v>
      </c>
      <c r="O638" s="355">
        <v>0.25</v>
      </c>
      <c r="P638" s="355"/>
      <c r="Q638" s="354">
        <v>0</v>
      </c>
      <c r="R638" s="337" t="s">
        <v>42</v>
      </c>
      <c r="S638" s="356" t="s">
        <v>41</v>
      </c>
      <c r="T638" s="356">
        <v>17</v>
      </c>
      <c r="U638" s="357" t="s">
        <v>164</v>
      </c>
      <c r="V638" s="434"/>
      <c r="X638" s="354">
        <v>0</v>
      </c>
      <c r="Y638" s="354"/>
      <c r="AI638" s="337">
        <v>0</v>
      </c>
      <c r="AJ638" s="358"/>
      <c r="AK638" s="369"/>
    </row>
    <row r="639" spans="1:77" s="337" customFormat="1" ht="11.25" customHeight="1">
      <c r="B639" s="338" t="s">
        <v>291</v>
      </c>
      <c r="C639" s="349"/>
      <c r="D639" s="349"/>
      <c r="E639" s="350" t="s">
        <v>722</v>
      </c>
      <c r="F639" s="337" t="s">
        <v>94</v>
      </c>
      <c r="G639" s="351">
        <v>4377</v>
      </c>
      <c r="H639" s="337" t="s">
        <v>27</v>
      </c>
      <c r="I639" s="337" t="s">
        <v>334</v>
      </c>
      <c r="J639" s="352">
        <v>8658</v>
      </c>
      <c r="L639" s="352">
        <v>11.1</v>
      </c>
      <c r="M639" s="352">
        <v>11.1</v>
      </c>
      <c r="N639" s="354">
        <v>2141.1</v>
      </c>
      <c r="O639" s="355">
        <v>0.25</v>
      </c>
      <c r="P639" s="355"/>
      <c r="Q639" s="354">
        <v>0</v>
      </c>
      <c r="R639" s="337" t="s">
        <v>42</v>
      </c>
      <c r="S639" s="356" t="s">
        <v>41</v>
      </c>
      <c r="T639" s="356">
        <v>17</v>
      </c>
      <c r="U639" s="357" t="s">
        <v>164</v>
      </c>
      <c r="V639" s="434"/>
      <c r="X639" s="354">
        <v>0</v>
      </c>
      <c r="Y639" s="354"/>
      <c r="AI639" s="337">
        <v>0</v>
      </c>
      <c r="AJ639" s="358"/>
      <c r="AK639" s="369"/>
    </row>
    <row r="640" spans="1:77" s="337" customFormat="1" ht="11.25" customHeight="1">
      <c r="B640" s="338" t="s">
        <v>291</v>
      </c>
      <c r="C640" s="349"/>
      <c r="D640" s="349"/>
      <c r="E640" s="350" t="s">
        <v>722</v>
      </c>
      <c r="F640" s="337" t="s">
        <v>94</v>
      </c>
      <c r="G640" s="351">
        <v>4377</v>
      </c>
      <c r="H640" s="337" t="s">
        <v>183</v>
      </c>
      <c r="I640" s="337" t="s">
        <v>334</v>
      </c>
      <c r="J640" s="352">
        <v>11475.75</v>
      </c>
      <c r="L640" s="352">
        <v>13.91</v>
      </c>
      <c r="M640" s="352">
        <v>13.91</v>
      </c>
      <c r="N640" s="354">
        <v>2295.15</v>
      </c>
      <c r="O640" s="355">
        <v>0.25</v>
      </c>
      <c r="P640" s="355"/>
      <c r="Q640" s="354">
        <v>0</v>
      </c>
      <c r="R640" s="337" t="s">
        <v>42</v>
      </c>
      <c r="S640" s="356" t="s">
        <v>41</v>
      </c>
      <c r="T640" s="356">
        <v>17</v>
      </c>
      <c r="U640" s="357" t="s">
        <v>164</v>
      </c>
      <c r="V640" s="434"/>
      <c r="X640" s="354">
        <v>0</v>
      </c>
      <c r="Y640" s="354"/>
      <c r="AI640" s="337">
        <v>0</v>
      </c>
      <c r="AJ640" s="358"/>
      <c r="AK640" s="369"/>
    </row>
    <row r="641" spans="1:37" s="337" customFormat="1" ht="11.25" customHeight="1">
      <c r="B641" s="338" t="s">
        <v>291</v>
      </c>
      <c r="C641" s="349"/>
      <c r="D641" s="349"/>
      <c r="E641" s="350" t="s">
        <v>722</v>
      </c>
      <c r="F641" s="337" t="s">
        <v>94</v>
      </c>
      <c r="G641" s="351">
        <v>4377</v>
      </c>
      <c r="H641" s="337" t="s">
        <v>99</v>
      </c>
      <c r="I641" s="337" t="s">
        <v>334</v>
      </c>
      <c r="J641" s="352">
        <v>28384.29</v>
      </c>
      <c r="L641" s="352">
        <v>30.18</v>
      </c>
      <c r="M641" s="352">
        <v>30.18</v>
      </c>
      <c r="N641" s="354">
        <v>4257.6400000000003</v>
      </c>
      <c r="O641" s="355">
        <v>0.25</v>
      </c>
      <c r="P641" s="355"/>
      <c r="Q641" s="354">
        <v>229.4</v>
      </c>
      <c r="R641" s="337" t="s">
        <v>42</v>
      </c>
      <c r="S641" s="356" t="s">
        <v>41</v>
      </c>
      <c r="T641" s="356">
        <v>17</v>
      </c>
      <c r="U641" s="357" t="s">
        <v>164</v>
      </c>
      <c r="V641" s="434"/>
      <c r="X641" s="354">
        <v>229.4</v>
      </c>
      <c r="Y641" s="354"/>
      <c r="AI641" s="337">
        <v>229.4</v>
      </c>
      <c r="AJ641" s="358"/>
      <c r="AK641" s="369"/>
    </row>
    <row r="642" spans="1:37" s="379" customFormat="1" ht="11.25" customHeight="1">
      <c r="B642" s="380" t="s">
        <v>291</v>
      </c>
      <c r="C642" s="381">
        <v>44655</v>
      </c>
      <c r="D642" s="381">
        <v>44657</v>
      </c>
      <c r="E642" s="382" t="s">
        <v>723</v>
      </c>
      <c r="F642" s="379" t="s">
        <v>724</v>
      </c>
      <c r="G642" s="383">
        <v>4102</v>
      </c>
      <c r="H642" s="379" t="s">
        <v>27</v>
      </c>
      <c r="I642" s="379" t="s">
        <v>340</v>
      </c>
      <c r="J642" s="385">
        <v>7960.52</v>
      </c>
      <c r="L642" s="385">
        <v>7.51</v>
      </c>
      <c r="M642" s="385">
        <v>7.51</v>
      </c>
      <c r="N642" s="386">
        <f>O642*J642</f>
        <v>1592.1040000000003</v>
      </c>
      <c r="O642" s="387">
        <v>0.2</v>
      </c>
      <c r="P642" s="387"/>
      <c r="Q642" s="386">
        <v>0</v>
      </c>
      <c r="R642" s="379" t="s">
        <v>146</v>
      </c>
      <c r="S642" s="388" t="s">
        <v>74</v>
      </c>
      <c r="T642" s="388">
        <v>31</v>
      </c>
      <c r="U642" s="389" t="s">
        <v>164</v>
      </c>
      <c r="V642" s="433"/>
      <c r="X642" s="386">
        <v>0</v>
      </c>
      <c r="Y642" s="386"/>
      <c r="AJ642" s="390">
        <v>0</v>
      </c>
    </row>
    <row r="643" spans="1:37" s="153" customFormat="1" ht="11.25" customHeight="1">
      <c r="B643" s="154" t="s">
        <v>291</v>
      </c>
      <c r="C643" s="155"/>
      <c r="D643" s="155"/>
      <c r="E643" s="156" t="s">
        <v>723</v>
      </c>
      <c r="F643" s="153" t="s">
        <v>724</v>
      </c>
      <c r="G643" s="157">
        <v>4102</v>
      </c>
      <c r="H643" s="153" t="s">
        <v>295</v>
      </c>
      <c r="I643" s="153" t="s">
        <v>340</v>
      </c>
      <c r="J643" s="158">
        <v>3658.74</v>
      </c>
      <c r="L643" s="158">
        <v>5.78</v>
      </c>
      <c r="M643" s="158">
        <v>5.78</v>
      </c>
      <c r="N643" s="159"/>
      <c r="O643" s="160">
        <v>0.2</v>
      </c>
      <c r="P643" s="160"/>
      <c r="Q643" s="159">
        <v>0</v>
      </c>
      <c r="R643" s="153" t="s">
        <v>146</v>
      </c>
      <c r="S643" s="161" t="s">
        <v>74</v>
      </c>
      <c r="T643" s="161">
        <v>31</v>
      </c>
      <c r="U643" s="162" t="s">
        <v>164</v>
      </c>
      <c r="V643" s="435"/>
      <c r="X643" s="159">
        <v>0</v>
      </c>
      <c r="Y643" s="159"/>
      <c r="AD643" s="176">
        <f t="shared" ref="AD643:AD649" si="13">X643</f>
        <v>0</v>
      </c>
      <c r="AJ643" s="644"/>
    </row>
    <row r="644" spans="1:37" s="153" customFormat="1" ht="11.25" customHeight="1">
      <c r="B644" s="154" t="s">
        <v>291</v>
      </c>
      <c r="C644" s="155"/>
      <c r="D644" s="155"/>
      <c r="E644" s="156" t="s">
        <v>723</v>
      </c>
      <c r="F644" s="153" t="s">
        <v>724</v>
      </c>
      <c r="G644" s="157">
        <v>4102</v>
      </c>
      <c r="H644" s="153" t="s">
        <v>140</v>
      </c>
      <c r="I644" s="153" t="s">
        <v>340</v>
      </c>
      <c r="J644" s="158">
        <v>13600</v>
      </c>
      <c r="L644" s="158">
        <v>10</v>
      </c>
      <c r="M644" s="158">
        <v>10</v>
      </c>
      <c r="N644" s="159"/>
      <c r="O644" s="160">
        <v>0.2</v>
      </c>
      <c r="P644" s="160"/>
      <c r="Q644" s="159">
        <v>0</v>
      </c>
      <c r="R644" s="153" t="s">
        <v>146</v>
      </c>
      <c r="S644" s="161" t="s">
        <v>74</v>
      </c>
      <c r="T644" s="161">
        <v>31</v>
      </c>
      <c r="U644" s="162" t="s">
        <v>164</v>
      </c>
      <c r="V644" s="435"/>
      <c r="X644" s="159">
        <v>0</v>
      </c>
      <c r="Y644" s="159"/>
      <c r="AD644" s="176">
        <f t="shared" si="13"/>
        <v>0</v>
      </c>
      <c r="AJ644" s="644"/>
    </row>
    <row r="645" spans="1:37" s="153" customFormat="1" ht="11.25" customHeight="1">
      <c r="B645" s="154" t="s">
        <v>291</v>
      </c>
      <c r="C645" s="155"/>
      <c r="D645" s="155"/>
      <c r="E645" s="156" t="s">
        <v>723</v>
      </c>
      <c r="F645" s="153" t="s">
        <v>724</v>
      </c>
      <c r="G645" s="157">
        <v>4102</v>
      </c>
      <c r="H645" s="153" t="s">
        <v>99</v>
      </c>
      <c r="I645" s="153" t="s">
        <v>340</v>
      </c>
      <c r="J645" s="158">
        <v>72647.58</v>
      </c>
      <c r="L645" s="158">
        <v>59.14</v>
      </c>
      <c r="M645" s="158">
        <v>59.14</v>
      </c>
      <c r="N645" s="159"/>
      <c r="O645" s="160">
        <v>0.2</v>
      </c>
      <c r="P645" s="160"/>
      <c r="Q645" s="159">
        <v>0</v>
      </c>
      <c r="R645" s="153" t="s">
        <v>146</v>
      </c>
      <c r="S645" s="161" t="s">
        <v>74</v>
      </c>
      <c r="T645" s="161">
        <v>31</v>
      </c>
      <c r="U645" s="162" t="s">
        <v>164</v>
      </c>
      <c r="V645" s="435"/>
      <c r="X645" s="159">
        <v>0</v>
      </c>
      <c r="Y645" s="159"/>
      <c r="AD645" s="176">
        <f t="shared" si="13"/>
        <v>0</v>
      </c>
      <c r="AJ645" s="644"/>
    </row>
    <row r="646" spans="1:37" s="153" customFormat="1" ht="11.25" customHeight="1">
      <c r="B646" s="154" t="s">
        <v>291</v>
      </c>
      <c r="C646" s="155"/>
      <c r="D646" s="155"/>
      <c r="E646" s="156" t="s">
        <v>723</v>
      </c>
      <c r="F646" s="153" t="s">
        <v>724</v>
      </c>
      <c r="G646" s="157">
        <v>4102</v>
      </c>
      <c r="H646" s="153" t="s">
        <v>183</v>
      </c>
      <c r="I646" s="153" t="s">
        <v>340</v>
      </c>
      <c r="J646" s="158">
        <v>22188.79</v>
      </c>
      <c r="L646" s="158">
        <v>19.98</v>
      </c>
      <c r="M646" s="158">
        <v>19.98</v>
      </c>
      <c r="N646" s="159"/>
      <c r="O646" s="160">
        <v>0.2</v>
      </c>
      <c r="P646" s="160"/>
      <c r="Q646" s="159">
        <v>0</v>
      </c>
      <c r="R646" s="153" t="s">
        <v>146</v>
      </c>
      <c r="S646" s="161" t="s">
        <v>74</v>
      </c>
      <c r="T646" s="161">
        <v>31</v>
      </c>
      <c r="U646" s="162" t="s">
        <v>164</v>
      </c>
      <c r="V646" s="435"/>
      <c r="X646" s="159">
        <v>0</v>
      </c>
      <c r="Y646" s="159"/>
      <c r="AD646" s="176">
        <f t="shared" si="13"/>
        <v>0</v>
      </c>
      <c r="AJ646" s="644"/>
    </row>
    <row r="647" spans="1:37" s="153" customFormat="1" ht="11.25" customHeight="1">
      <c r="B647" s="154" t="s">
        <v>291</v>
      </c>
      <c r="C647" s="155">
        <v>44655</v>
      </c>
      <c r="D647" s="155">
        <v>44657</v>
      </c>
      <c r="E647" s="156" t="s">
        <v>725</v>
      </c>
      <c r="F647" s="153" t="s">
        <v>726</v>
      </c>
      <c r="G647" s="157">
        <v>3647</v>
      </c>
      <c r="H647" s="153" t="s">
        <v>27</v>
      </c>
      <c r="I647" s="153" t="s">
        <v>141</v>
      </c>
      <c r="J647" s="158">
        <v>23413.47</v>
      </c>
      <c r="L647" s="158">
        <v>18.43</v>
      </c>
      <c r="M647" s="158">
        <v>18.43</v>
      </c>
      <c r="N647" s="159"/>
      <c r="O647" s="160">
        <v>0.15</v>
      </c>
      <c r="P647" s="160"/>
      <c r="Q647" s="159">
        <v>0</v>
      </c>
      <c r="R647" s="153" t="s">
        <v>77</v>
      </c>
      <c r="S647" s="161" t="s">
        <v>41</v>
      </c>
      <c r="T647" s="161">
        <v>16</v>
      </c>
      <c r="U647" s="162" t="s">
        <v>164</v>
      </c>
      <c r="V647" s="435"/>
      <c r="W647" s="153" t="s">
        <v>1867</v>
      </c>
      <c r="X647" s="159">
        <v>0</v>
      </c>
      <c r="Y647" s="159"/>
      <c r="AD647" s="176">
        <f t="shared" si="13"/>
        <v>0</v>
      </c>
      <c r="AJ647" s="644"/>
    </row>
    <row r="648" spans="1:37" s="153" customFormat="1" ht="11.25" customHeight="1">
      <c r="B648" s="154" t="s">
        <v>291</v>
      </c>
      <c r="C648" s="155"/>
      <c r="D648" s="155"/>
      <c r="E648" s="156" t="s">
        <v>725</v>
      </c>
      <c r="F648" s="153" t="s">
        <v>726</v>
      </c>
      <c r="G648" s="157">
        <v>3647</v>
      </c>
      <c r="H648" s="153" t="s">
        <v>99</v>
      </c>
      <c r="I648" s="153" t="s">
        <v>141</v>
      </c>
      <c r="J648" s="158">
        <v>51040.7</v>
      </c>
      <c r="L648" s="158">
        <v>43.94</v>
      </c>
      <c r="M648" s="158">
        <v>43.94</v>
      </c>
      <c r="N648" s="159"/>
      <c r="O648" s="160">
        <v>0.15</v>
      </c>
      <c r="P648" s="160"/>
      <c r="Q648" s="159">
        <v>0</v>
      </c>
      <c r="R648" s="153" t="s">
        <v>77</v>
      </c>
      <c r="S648" s="161" t="s">
        <v>41</v>
      </c>
      <c r="T648" s="161">
        <v>16</v>
      </c>
      <c r="U648" s="162" t="s">
        <v>164</v>
      </c>
      <c r="V648" s="435"/>
      <c r="W648" s="153" t="s">
        <v>1867</v>
      </c>
      <c r="X648" s="159">
        <v>0</v>
      </c>
      <c r="Y648" s="159"/>
      <c r="AD648" s="176">
        <f t="shared" si="13"/>
        <v>0</v>
      </c>
      <c r="AJ648" s="644"/>
    </row>
    <row r="649" spans="1:37" s="153" customFormat="1" ht="11.25" customHeight="1">
      <c r="B649" s="154" t="s">
        <v>291</v>
      </c>
      <c r="C649" s="155"/>
      <c r="D649" s="155"/>
      <c r="E649" s="156" t="s">
        <v>725</v>
      </c>
      <c r="F649" s="153" t="s">
        <v>726</v>
      </c>
      <c r="G649" s="157">
        <v>3647</v>
      </c>
      <c r="H649" s="153" t="s">
        <v>183</v>
      </c>
      <c r="I649" s="153" t="s">
        <v>141</v>
      </c>
      <c r="J649" s="158">
        <v>16530.63</v>
      </c>
      <c r="L649" s="158">
        <v>18.579999999999998</v>
      </c>
      <c r="M649" s="158">
        <v>18.579999999999998</v>
      </c>
      <c r="N649" s="159"/>
      <c r="O649" s="160">
        <v>0.15</v>
      </c>
      <c r="P649" s="160"/>
      <c r="Q649" s="159">
        <v>0</v>
      </c>
      <c r="R649" s="153" t="s">
        <v>77</v>
      </c>
      <c r="S649" s="161" t="s">
        <v>41</v>
      </c>
      <c r="T649" s="161">
        <v>16</v>
      </c>
      <c r="U649" s="162" t="s">
        <v>164</v>
      </c>
      <c r="V649" s="435"/>
      <c r="W649" s="153" t="s">
        <v>1867</v>
      </c>
      <c r="X649" s="159">
        <v>0</v>
      </c>
      <c r="Y649" s="159"/>
      <c r="AD649" s="176">
        <f t="shared" si="13"/>
        <v>0</v>
      </c>
      <c r="AJ649" s="644"/>
    </row>
    <row r="650" spans="1:37" s="379" customFormat="1" ht="11.25" customHeight="1">
      <c r="B650" s="380" t="s">
        <v>291</v>
      </c>
      <c r="C650" s="381">
        <v>44655</v>
      </c>
      <c r="D650" s="381">
        <v>44662</v>
      </c>
      <c r="E650" s="382" t="s">
        <v>727</v>
      </c>
      <c r="F650" s="379" t="s">
        <v>728</v>
      </c>
      <c r="G650" s="383">
        <v>4461</v>
      </c>
      <c r="H650" s="379" t="s">
        <v>140</v>
      </c>
      <c r="I650" s="379" t="s">
        <v>334</v>
      </c>
      <c r="J650" s="385">
        <v>18520</v>
      </c>
      <c r="L650" s="385">
        <v>10</v>
      </c>
      <c r="M650" s="385">
        <v>10</v>
      </c>
      <c r="N650" s="386"/>
      <c r="O650" s="387">
        <v>0.25</v>
      </c>
      <c r="P650" s="387"/>
      <c r="Q650" s="386">
        <v>0</v>
      </c>
      <c r="R650" s="379" t="s">
        <v>257</v>
      </c>
      <c r="S650" s="388" t="s">
        <v>74</v>
      </c>
      <c r="T650" s="388">
        <v>32</v>
      </c>
      <c r="U650" s="389" t="s">
        <v>164</v>
      </c>
      <c r="V650" s="433"/>
      <c r="X650" s="386">
        <v>0</v>
      </c>
      <c r="Y650" s="386"/>
      <c r="AJ650" s="390">
        <v>0</v>
      </c>
    </row>
    <row r="651" spans="1:37" s="379" customFormat="1" ht="11.25" customHeight="1">
      <c r="B651" s="380" t="s">
        <v>291</v>
      </c>
      <c r="C651" s="381"/>
      <c r="D651" s="381"/>
      <c r="E651" s="382" t="s">
        <v>727</v>
      </c>
      <c r="F651" s="379" t="s">
        <v>728</v>
      </c>
      <c r="G651" s="383">
        <v>4461</v>
      </c>
      <c r="H651" s="379" t="s">
        <v>99</v>
      </c>
      <c r="I651" s="379" t="s">
        <v>334</v>
      </c>
      <c r="J651" s="385">
        <v>81796</v>
      </c>
      <c r="L651" s="385">
        <v>55</v>
      </c>
      <c r="M651" s="385">
        <v>55</v>
      </c>
      <c r="N651" s="386"/>
      <c r="O651" s="387">
        <v>0.25</v>
      </c>
      <c r="P651" s="387"/>
      <c r="Q651" s="386">
        <v>0</v>
      </c>
      <c r="R651" s="379" t="s">
        <v>257</v>
      </c>
      <c r="S651" s="388" t="s">
        <v>74</v>
      </c>
      <c r="T651" s="388">
        <v>32</v>
      </c>
      <c r="U651" s="389" t="s">
        <v>164</v>
      </c>
      <c r="V651" s="433"/>
      <c r="X651" s="386">
        <v>0</v>
      </c>
      <c r="Y651" s="386"/>
      <c r="AJ651" s="390">
        <v>0</v>
      </c>
    </row>
    <row r="652" spans="1:37" s="379" customFormat="1" ht="11.25" customHeight="1">
      <c r="B652" s="380" t="s">
        <v>291</v>
      </c>
      <c r="C652" s="381"/>
      <c r="D652" s="381"/>
      <c r="E652" s="382" t="s">
        <v>727</v>
      </c>
      <c r="F652" s="379" t="s">
        <v>728</v>
      </c>
      <c r="G652" s="383">
        <v>4461</v>
      </c>
      <c r="H652" s="379" t="s">
        <v>729</v>
      </c>
      <c r="I652" s="379" t="s">
        <v>334</v>
      </c>
      <c r="J652" s="385">
        <v>15984</v>
      </c>
      <c r="L652" s="385">
        <v>4</v>
      </c>
      <c r="M652" s="385">
        <v>4</v>
      </c>
      <c r="N652" s="386"/>
      <c r="O652" s="387">
        <v>0.25</v>
      </c>
      <c r="P652" s="387"/>
      <c r="Q652" s="386">
        <v>0</v>
      </c>
      <c r="R652" s="379" t="s">
        <v>257</v>
      </c>
      <c r="S652" s="388" t="s">
        <v>74</v>
      </c>
      <c r="T652" s="388">
        <v>32</v>
      </c>
      <c r="U652" s="389" t="s">
        <v>164</v>
      </c>
      <c r="V652" s="433"/>
      <c r="X652" s="386">
        <v>0</v>
      </c>
      <c r="Y652" s="386"/>
      <c r="AJ652" s="390">
        <v>0</v>
      </c>
    </row>
    <row r="653" spans="1:37" s="379" customFormat="1" ht="11.25" customHeight="1">
      <c r="B653" s="380" t="s">
        <v>291</v>
      </c>
      <c r="C653" s="381"/>
      <c r="D653" s="381"/>
      <c r="E653" s="382" t="s">
        <v>727</v>
      </c>
      <c r="F653" s="379" t="s">
        <v>728</v>
      </c>
      <c r="G653" s="383">
        <v>4461</v>
      </c>
      <c r="H653" s="379" t="s">
        <v>183</v>
      </c>
      <c r="I653" s="379" t="s">
        <v>334</v>
      </c>
      <c r="J653" s="385">
        <v>25760</v>
      </c>
      <c r="L653" s="385">
        <v>28</v>
      </c>
      <c r="M653" s="385">
        <v>28</v>
      </c>
      <c r="N653" s="386"/>
      <c r="O653" s="387">
        <v>0.25</v>
      </c>
      <c r="P653" s="387"/>
      <c r="Q653" s="386">
        <v>0</v>
      </c>
      <c r="R653" s="379" t="s">
        <v>257</v>
      </c>
      <c r="S653" s="388" t="s">
        <v>74</v>
      </c>
      <c r="T653" s="388">
        <v>32</v>
      </c>
      <c r="U653" s="389" t="s">
        <v>164</v>
      </c>
      <c r="V653" s="433"/>
      <c r="X653" s="386">
        <v>0</v>
      </c>
      <c r="Y653" s="386"/>
      <c r="AJ653" s="390">
        <v>0</v>
      </c>
    </row>
    <row r="654" spans="1:37" s="647" customFormat="1" ht="11.25" customHeight="1">
      <c r="B654" s="661" t="s">
        <v>291</v>
      </c>
      <c r="C654" s="648">
        <v>44659</v>
      </c>
      <c r="D654" s="648">
        <v>44663</v>
      </c>
      <c r="E654" s="649" t="s">
        <v>730</v>
      </c>
      <c r="F654" s="647" t="s">
        <v>44</v>
      </c>
      <c r="G654" s="650">
        <v>3991</v>
      </c>
      <c r="H654" s="647" t="s">
        <v>731</v>
      </c>
      <c r="I654" s="647" t="s">
        <v>732</v>
      </c>
      <c r="J654" s="651">
        <v>25846.720000000001</v>
      </c>
      <c r="L654" s="651">
        <v>13.69</v>
      </c>
      <c r="M654" s="651">
        <v>8.98</v>
      </c>
      <c r="N654" s="652"/>
      <c r="O654" s="653">
        <v>0.3</v>
      </c>
      <c r="P654" s="653"/>
      <c r="Q654" s="652">
        <v>0</v>
      </c>
      <c r="R654" s="647" t="s">
        <v>35</v>
      </c>
      <c r="S654" s="654" t="s">
        <v>41</v>
      </c>
      <c r="T654" s="654">
        <v>79</v>
      </c>
      <c r="U654" s="655" t="s">
        <v>164</v>
      </c>
      <c r="V654" s="656">
        <v>0</v>
      </c>
      <c r="X654" s="652">
        <v>0</v>
      </c>
      <c r="Y654" s="652"/>
      <c r="AI654" s="647">
        <f>X654</f>
        <v>0</v>
      </c>
      <c r="AJ654" s="657"/>
      <c r="AK654" s="658"/>
    </row>
    <row r="655" spans="1:37" s="291" customFormat="1" ht="11.25" customHeight="1">
      <c r="A655" s="291" t="s">
        <v>3911</v>
      </c>
      <c r="B655" s="310" t="s">
        <v>691</v>
      </c>
      <c r="C655" s="292">
        <v>44659</v>
      </c>
      <c r="D655" s="292">
        <v>44663</v>
      </c>
      <c r="E655" s="293" t="s">
        <v>733</v>
      </c>
      <c r="F655" s="291" t="s">
        <v>734</v>
      </c>
      <c r="G655" s="294" t="s">
        <v>735</v>
      </c>
      <c r="H655" s="291" t="s">
        <v>27</v>
      </c>
      <c r="I655" s="291" t="s">
        <v>699</v>
      </c>
      <c r="J655" s="296">
        <v>142310</v>
      </c>
      <c r="L655" s="296">
        <v>81.319999999999993</v>
      </c>
      <c r="M655" s="296">
        <v>45</v>
      </c>
      <c r="N655" s="297"/>
      <c r="O655" s="298">
        <v>0.3</v>
      </c>
      <c r="P655" s="298"/>
      <c r="Q655" s="297">
        <v>0</v>
      </c>
      <c r="R655" s="291" t="s">
        <v>35</v>
      </c>
      <c r="S655" s="299" t="s">
        <v>41</v>
      </c>
      <c r="T655" s="299">
        <v>79</v>
      </c>
      <c r="U655" s="300" t="s">
        <v>164</v>
      </c>
      <c r="V655" s="333"/>
      <c r="X655" s="297">
        <v>0</v>
      </c>
      <c r="Y655" s="297"/>
      <c r="AH655" s="291">
        <f>X655</f>
        <v>0</v>
      </c>
      <c r="AI655" s="311"/>
      <c r="AJ655" s="468"/>
    </row>
    <row r="656" spans="1:37" s="181" customFormat="1" ht="11.25" customHeight="1">
      <c r="B656" s="178" t="s">
        <v>291</v>
      </c>
      <c r="C656" s="179">
        <v>44657</v>
      </c>
      <c r="D656" s="179">
        <v>44663</v>
      </c>
      <c r="E656" s="180" t="s">
        <v>736</v>
      </c>
      <c r="F656" s="181" t="s">
        <v>737</v>
      </c>
      <c r="G656" s="182">
        <v>3637</v>
      </c>
      <c r="H656" s="181" t="s">
        <v>99</v>
      </c>
      <c r="I656" s="181" t="s">
        <v>141</v>
      </c>
      <c r="J656" s="183">
        <v>61111.6</v>
      </c>
      <c r="L656" s="183">
        <v>58.48</v>
      </c>
      <c r="M656" s="183">
        <v>58.48</v>
      </c>
      <c r="N656" s="185">
        <v>91.667400000000001</v>
      </c>
      <c r="O656" s="186">
        <v>0.2</v>
      </c>
      <c r="P656" s="186"/>
      <c r="Q656" s="185">
        <v>0</v>
      </c>
      <c r="R656" s="181" t="s">
        <v>42</v>
      </c>
      <c r="S656" s="187" t="s">
        <v>41</v>
      </c>
      <c r="T656" s="187">
        <v>79</v>
      </c>
      <c r="U656" s="188" t="s">
        <v>164</v>
      </c>
      <c r="V656" s="441"/>
      <c r="W656" s="181" t="s">
        <v>2670</v>
      </c>
      <c r="X656" s="185">
        <v>0</v>
      </c>
      <c r="Y656" s="185"/>
      <c r="AE656" s="204">
        <f>X656</f>
        <v>0</v>
      </c>
      <c r="AJ656" s="189"/>
    </row>
    <row r="657" spans="1:77" s="473" customFormat="1" ht="11.25" customHeight="1">
      <c r="B657" s="486" t="s">
        <v>291</v>
      </c>
      <c r="C657" s="487">
        <v>44655</v>
      </c>
      <c r="D657" s="487">
        <v>44663</v>
      </c>
      <c r="E657" s="488" t="s">
        <v>738</v>
      </c>
      <c r="F657" s="473" t="s">
        <v>739</v>
      </c>
      <c r="G657" s="489">
        <v>4162</v>
      </c>
      <c r="H657" s="473" t="s">
        <v>310</v>
      </c>
      <c r="I657" s="473" t="s">
        <v>141</v>
      </c>
      <c r="J657" s="490">
        <v>5119.2</v>
      </c>
      <c r="L657" s="490">
        <v>7.11</v>
      </c>
      <c r="M657" s="490">
        <v>5.64</v>
      </c>
      <c r="N657" s="492">
        <f>J657*0.4</f>
        <v>2047.68</v>
      </c>
      <c r="O657" s="493">
        <v>0.2</v>
      </c>
      <c r="P657" s="493"/>
      <c r="Q657" s="492">
        <v>0</v>
      </c>
      <c r="R657" s="473" t="s">
        <v>35</v>
      </c>
      <c r="S657" s="481" t="s">
        <v>41</v>
      </c>
      <c r="T657" s="481">
        <v>16</v>
      </c>
      <c r="U657" s="494" t="s">
        <v>164</v>
      </c>
      <c r="V657" s="495"/>
      <c r="X657" s="492">
        <v>0</v>
      </c>
      <c r="Y657" s="492"/>
      <c r="AJ657" s="485"/>
      <c r="AK657" s="473">
        <v>0</v>
      </c>
    </row>
    <row r="658" spans="1:77" s="261" customFormat="1" ht="11.25" customHeight="1">
      <c r="B658" s="258" t="s">
        <v>291</v>
      </c>
      <c r="C658" s="259">
        <v>44659</v>
      </c>
      <c r="D658" s="259">
        <v>44663</v>
      </c>
      <c r="E658" s="260" t="s">
        <v>740</v>
      </c>
      <c r="F658" s="261" t="s">
        <v>64</v>
      </c>
      <c r="G658" s="262">
        <v>4450</v>
      </c>
      <c r="H658" s="261" t="s">
        <v>407</v>
      </c>
      <c r="I658" s="261" t="s">
        <v>174</v>
      </c>
      <c r="J658" s="263">
        <v>33341.199999999997</v>
      </c>
      <c r="L658" s="263">
        <v>16.399999999999999</v>
      </c>
      <c r="M658" s="263">
        <v>16.399999999999999</v>
      </c>
      <c r="N658" s="265">
        <v>3334.12</v>
      </c>
      <c r="O658" s="266">
        <v>0.3</v>
      </c>
      <c r="P658" s="266"/>
      <c r="Q658" s="265">
        <v>0</v>
      </c>
      <c r="R658" s="261" t="s">
        <v>46</v>
      </c>
      <c r="S658" s="267" t="s">
        <v>65</v>
      </c>
      <c r="T658" s="267">
        <v>27</v>
      </c>
      <c r="U658" s="268" t="s">
        <v>164</v>
      </c>
      <c r="V658" s="427"/>
      <c r="W658" s="261" t="s">
        <v>3689</v>
      </c>
      <c r="X658" s="265">
        <v>0</v>
      </c>
      <c r="Y658" s="265"/>
      <c r="AG658" s="261">
        <f>X658</f>
        <v>0</v>
      </c>
      <c r="AJ658" s="642"/>
    </row>
    <row r="659" spans="1:77" s="205" customFormat="1" ht="11.25" customHeight="1">
      <c r="B659" s="206" t="s">
        <v>291</v>
      </c>
      <c r="C659" s="207">
        <v>44659</v>
      </c>
      <c r="D659" s="207">
        <v>44663</v>
      </c>
      <c r="E659" s="208" t="s">
        <v>741</v>
      </c>
      <c r="F659" s="205" t="s">
        <v>742</v>
      </c>
      <c r="G659" s="209">
        <v>3670</v>
      </c>
      <c r="H659" s="205" t="s">
        <v>99</v>
      </c>
      <c r="I659" s="205" t="s">
        <v>334</v>
      </c>
      <c r="J659" s="210">
        <v>15921</v>
      </c>
      <c r="L659" s="210">
        <v>17.690000000000001</v>
      </c>
      <c r="M659" s="210">
        <v>17.690000000000001</v>
      </c>
      <c r="N659" s="213">
        <v>2388.15</v>
      </c>
      <c r="O659" s="212">
        <v>0.2</v>
      </c>
      <c r="P659" s="212"/>
      <c r="Q659" s="213">
        <v>0</v>
      </c>
      <c r="R659" s="205" t="s">
        <v>42</v>
      </c>
      <c r="S659" s="214" t="s">
        <v>41</v>
      </c>
      <c r="T659" s="214">
        <v>17</v>
      </c>
      <c r="U659" s="215" t="s">
        <v>164</v>
      </c>
      <c r="V659" s="438"/>
      <c r="W659" s="205" t="s">
        <v>3101</v>
      </c>
      <c r="X659" s="213">
        <v>0</v>
      </c>
      <c r="Y659" s="213"/>
      <c r="AF659" s="230">
        <f>X659</f>
        <v>0</v>
      </c>
      <c r="AJ659" s="216"/>
    </row>
    <row r="660" spans="1:77" s="205" customFormat="1" ht="11.25" customHeight="1">
      <c r="B660" s="206" t="s">
        <v>291</v>
      </c>
      <c r="C660" s="207"/>
      <c r="D660" s="207"/>
      <c r="E660" s="208" t="s">
        <v>741</v>
      </c>
      <c r="F660" s="205" t="s">
        <v>742</v>
      </c>
      <c r="G660" s="209">
        <v>3670</v>
      </c>
      <c r="H660" s="205" t="s">
        <v>183</v>
      </c>
      <c r="I660" s="205" t="s">
        <v>334</v>
      </c>
      <c r="J660" s="210">
        <v>5855.99</v>
      </c>
      <c r="L660" s="210">
        <v>7.27</v>
      </c>
      <c r="M660" s="210">
        <v>7.27</v>
      </c>
      <c r="N660" s="213">
        <v>873.54</v>
      </c>
      <c r="O660" s="212">
        <v>0.2</v>
      </c>
      <c r="P660" s="212"/>
      <c r="Q660" s="213">
        <v>80.7</v>
      </c>
      <c r="R660" s="205" t="s">
        <v>42</v>
      </c>
      <c r="S660" s="214" t="s">
        <v>41</v>
      </c>
      <c r="T660" s="214">
        <v>17</v>
      </c>
      <c r="U660" s="215" t="s">
        <v>164</v>
      </c>
      <c r="V660" s="438"/>
      <c r="X660" s="213">
        <v>80.7</v>
      </c>
      <c r="Y660" s="213"/>
      <c r="AF660" s="230">
        <f>X660</f>
        <v>80.7</v>
      </c>
      <c r="AJ660" s="216"/>
    </row>
    <row r="661" spans="1:77" s="153" customFormat="1" ht="11.25" customHeight="1">
      <c r="A661" s="379"/>
      <c r="B661" s="380" t="s">
        <v>291</v>
      </c>
      <c r="C661" s="381"/>
      <c r="D661" s="381"/>
      <c r="E661" s="382" t="s">
        <v>743</v>
      </c>
      <c r="F661" s="379" t="s">
        <v>744</v>
      </c>
      <c r="G661" s="383" t="s">
        <v>745</v>
      </c>
      <c r="H661" s="379" t="s">
        <v>134</v>
      </c>
      <c r="I661" s="379" t="s">
        <v>141</v>
      </c>
      <c r="J661" s="385">
        <v>13896</v>
      </c>
      <c r="K661" s="379"/>
      <c r="L661" s="385">
        <v>9</v>
      </c>
      <c r="M661" s="385">
        <v>9</v>
      </c>
      <c r="N661" s="386"/>
      <c r="O661" s="387">
        <v>0.2</v>
      </c>
      <c r="P661" s="387"/>
      <c r="Q661" s="386">
        <v>0</v>
      </c>
      <c r="R661" s="379" t="s">
        <v>146</v>
      </c>
      <c r="S661" s="388" t="s">
        <v>74</v>
      </c>
      <c r="T661" s="388">
        <v>65</v>
      </c>
      <c r="U661" s="389" t="s">
        <v>164</v>
      </c>
      <c r="V661" s="433"/>
      <c r="W661" s="379"/>
      <c r="X661" s="386">
        <v>0</v>
      </c>
      <c r="Y661" s="386"/>
      <c r="Z661" s="379"/>
      <c r="AA661" s="379"/>
      <c r="AB661" s="379"/>
      <c r="AC661" s="379"/>
      <c r="AD661" s="379"/>
      <c r="AE661" s="379"/>
      <c r="AF661" s="379"/>
      <c r="AG661" s="379"/>
      <c r="AH661" s="379"/>
      <c r="AI661" s="379"/>
      <c r="AJ661" s="390">
        <v>0</v>
      </c>
      <c r="AK661" s="379"/>
      <c r="AL661" s="379"/>
      <c r="AM661" s="379"/>
      <c r="AN661" s="379"/>
      <c r="AO661" s="379"/>
      <c r="AP661" s="379"/>
      <c r="AQ661" s="379"/>
      <c r="AR661" s="379"/>
      <c r="AS661" s="379"/>
      <c r="AT661" s="379"/>
      <c r="AU661" s="379"/>
      <c r="AV661" s="379"/>
      <c r="AW661" s="379"/>
      <c r="AX661" s="379"/>
      <c r="AY661" s="379"/>
      <c r="AZ661" s="379"/>
      <c r="BA661" s="379"/>
      <c r="BB661" s="379"/>
      <c r="BC661" s="379"/>
      <c r="BD661" s="379"/>
      <c r="BE661" s="379"/>
      <c r="BF661" s="379"/>
      <c r="BG661" s="379"/>
      <c r="BH661" s="379"/>
      <c r="BI661" s="379"/>
      <c r="BJ661" s="379"/>
      <c r="BK661" s="379"/>
      <c r="BL661" s="379"/>
      <c r="BM661" s="379"/>
      <c r="BN661" s="379"/>
      <c r="BO661" s="379"/>
      <c r="BP661" s="379"/>
      <c r="BQ661" s="379"/>
      <c r="BR661" s="379"/>
      <c r="BS661" s="379"/>
      <c r="BT661" s="379"/>
      <c r="BU661" s="379"/>
      <c r="BV661" s="379"/>
      <c r="BW661" s="379"/>
      <c r="BX661" s="379"/>
      <c r="BY661" s="379"/>
    </row>
    <row r="662" spans="1:77" s="153" customFormat="1" ht="11.25" customHeight="1">
      <c r="B662" s="154" t="s">
        <v>291</v>
      </c>
      <c r="C662" s="155">
        <v>44656</v>
      </c>
      <c r="D662" s="155">
        <v>44664</v>
      </c>
      <c r="E662" s="156" t="s">
        <v>743</v>
      </c>
      <c r="F662" s="153" t="s">
        <v>744</v>
      </c>
      <c r="G662" s="157" t="s">
        <v>745</v>
      </c>
      <c r="H662" s="153" t="s">
        <v>192</v>
      </c>
      <c r="I662" s="153" t="s">
        <v>141</v>
      </c>
      <c r="J662" s="158">
        <v>24523.61</v>
      </c>
      <c r="L662" s="158">
        <v>22.48</v>
      </c>
      <c r="M662" s="158">
        <v>22.48</v>
      </c>
      <c r="N662" s="159"/>
      <c r="O662" s="160">
        <v>0.2</v>
      </c>
      <c r="P662" s="160"/>
      <c r="Q662" s="159">
        <v>0</v>
      </c>
      <c r="R662" s="153" t="s">
        <v>146</v>
      </c>
      <c r="S662" s="161" t="s">
        <v>74</v>
      </c>
      <c r="T662" s="161">
        <v>65</v>
      </c>
      <c r="U662" s="162" t="s">
        <v>164</v>
      </c>
      <c r="V662" s="435"/>
      <c r="X662" s="159">
        <v>0</v>
      </c>
      <c r="Y662" s="159"/>
      <c r="AD662" s="176">
        <f>X662</f>
        <v>0</v>
      </c>
      <c r="AJ662" s="644"/>
    </row>
    <row r="663" spans="1:77" s="6" customFormat="1" ht="11.25" customHeight="1">
      <c r="A663" s="379"/>
      <c r="B663" s="380" t="s">
        <v>291</v>
      </c>
      <c r="C663" s="381">
        <v>44655</v>
      </c>
      <c r="D663" s="381">
        <v>44664</v>
      </c>
      <c r="E663" s="382" t="s">
        <v>746</v>
      </c>
      <c r="F663" s="379" t="s">
        <v>747</v>
      </c>
      <c r="G663" s="383" t="s">
        <v>748</v>
      </c>
      <c r="H663" s="379" t="s">
        <v>192</v>
      </c>
      <c r="I663" s="379" t="s">
        <v>334</v>
      </c>
      <c r="J663" s="385">
        <v>37835</v>
      </c>
      <c r="K663" s="379"/>
      <c r="L663" s="385">
        <v>35</v>
      </c>
      <c r="M663" s="385">
        <v>12</v>
      </c>
      <c r="N663" s="386"/>
      <c r="O663" s="387">
        <v>0.2</v>
      </c>
      <c r="P663" s="387"/>
      <c r="Q663" s="386">
        <v>0</v>
      </c>
      <c r="R663" s="379" t="s">
        <v>257</v>
      </c>
      <c r="S663" s="388" t="s">
        <v>65</v>
      </c>
      <c r="T663" s="388">
        <v>82</v>
      </c>
      <c r="U663" s="389" t="s">
        <v>164</v>
      </c>
      <c r="V663" s="433"/>
      <c r="W663" s="379"/>
      <c r="X663" s="386">
        <v>0</v>
      </c>
      <c r="Y663" s="386"/>
      <c r="Z663" s="379"/>
      <c r="AA663" s="379"/>
      <c r="AB663" s="379"/>
      <c r="AC663" s="379"/>
      <c r="AD663" s="379"/>
      <c r="AE663" s="379"/>
      <c r="AF663" s="379"/>
      <c r="AG663" s="379"/>
      <c r="AH663" s="379"/>
      <c r="AI663" s="379"/>
      <c r="AJ663" s="390">
        <v>0</v>
      </c>
      <c r="AK663" s="379"/>
      <c r="AL663" s="379"/>
      <c r="AM663" s="379"/>
      <c r="AN663" s="379"/>
      <c r="AO663" s="379"/>
      <c r="AP663" s="379"/>
      <c r="AQ663" s="379"/>
      <c r="AR663" s="379"/>
      <c r="AS663" s="379"/>
      <c r="AT663" s="379"/>
      <c r="AU663" s="379"/>
      <c r="AV663" s="379"/>
      <c r="AW663" s="379"/>
      <c r="AX663" s="379"/>
      <c r="AY663" s="379"/>
      <c r="AZ663" s="379"/>
      <c r="BA663" s="379"/>
      <c r="BB663" s="379"/>
      <c r="BC663" s="379"/>
      <c r="BD663" s="379"/>
      <c r="BE663" s="379"/>
      <c r="BF663" s="379"/>
      <c r="BG663" s="379"/>
      <c r="BH663" s="379"/>
      <c r="BI663" s="379"/>
      <c r="BJ663" s="379"/>
      <c r="BK663" s="379"/>
      <c r="BL663" s="379"/>
      <c r="BM663" s="379"/>
      <c r="BN663" s="379"/>
      <c r="BO663" s="379"/>
      <c r="BP663" s="379"/>
      <c r="BQ663" s="379"/>
      <c r="BR663" s="379"/>
      <c r="BS663" s="379"/>
      <c r="BT663" s="379"/>
      <c r="BU663" s="379"/>
      <c r="BV663" s="379"/>
      <c r="BW663" s="379"/>
      <c r="BX663" s="379"/>
      <c r="BY663" s="379"/>
    </row>
    <row r="664" spans="1:77" s="6" customFormat="1" ht="11.25" customHeight="1">
      <c r="A664" s="379"/>
      <c r="B664" s="380" t="s">
        <v>291</v>
      </c>
      <c r="C664" s="381"/>
      <c r="D664" s="381"/>
      <c r="E664" s="382" t="s">
        <v>746</v>
      </c>
      <c r="F664" s="379" t="s">
        <v>747</v>
      </c>
      <c r="G664" s="383" t="s">
        <v>748</v>
      </c>
      <c r="H664" s="379" t="s">
        <v>134</v>
      </c>
      <c r="I664" s="379" t="s">
        <v>334</v>
      </c>
      <c r="J664" s="385">
        <v>27000</v>
      </c>
      <c r="K664" s="379"/>
      <c r="L664" s="385">
        <v>25</v>
      </c>
      <c r="M664" s="385">
        <v>12.5</v>
      </c>
      <c r="N664" s="386"/>
      <c r="O664" s="387">
        <v>0.2</v>
      </c>
      <c r="P664" s="387"/>
      <c r="Q664" s="386">
        <v>6785.02</v>
      </c>
      <c r="R664" s="379" t="s">
        <v>257</v>
      </c>
      <c r="S664" s="388" t="s">
        <v>65</v>
      </c>
      <c r="T664" s="388">
        <v>82</v>
      </c>
      <c r="U664" s="389" t="s">
        <v>164</v>
      </c>
      <c r="V664" s="433"/>
      <c r="W664" s="379"/>
      <c r="X664" s="386">
        <v>6785.02</v>
      </c>
      <c r="Y664" s="386"/>
      <c r="Z664" s="379"/>
      <c r="AA664" s="379"/>
      <c r="AB664" s="379"/>
      <c r="AC664" s="379"/>
      <c r="AD664" s="379"/>
      <c r="AE664" s="379"/>
      <c r="AF664" s="379"/>
      <c r="AG664" s="379"/>
      <c r="AH664" s="379"/>
      <c r="AI664" s="379"/>
      <c r="AJ664" s="416">
        <v>6785.02</v>
      </c>
      <c r="AK664" s="379"/>
      <c r="AL664" s="379"/>
      <c r="AM664" s="379"/>
      <c r="AN664" s="379"/>
      <c r="AO664" s="379"/>
      <c r="AP664" s="379"/>
      <c r="AQ664" s="379"/>
      <c r="AR664" s="379"/>
      <c r="AS664" s="379"/>
      <c r="AT664" s="379"/>
      <c r="AU664" s="379"/>
      <c r="AV664" s="379"/>
      <c r="AW664" s="379"/>
      <c r="AX664" s="379"/>
      <c r="AY664" s="379"/>
      <c r="AZ664" s="379"/>
      <c r="BA664" s="379"/>
      <c r="BB664" s="379"/>
      <c r="BC664" s="379"/>
      <c r="BD664" s="379"/>
      <c r="BE664" s="379"/>
      <c r="BF664" s="379"/>
      <c r="BG664" s="379"/>
      <c r="BH664" s="379"/>
      <c r="BI664" s="379"/>
      <c r="BJ664" s="379"/>
      <c r="BK664" s="379"/>
      <c r="BL664" s="379"/>
      <c r="BM664" s="379"/>
      <c r="BN664" s="379"/>
      <c r="BO664" s="379"/>
      <c r="BP664" s="379"/>
      <c r="BQ664" s="379"/>
      <c r="BR664" s="379"/>
      <c r="BS664" s="379"/>
      <c r="BT664" s="379"/>
      <c r="BU664" s="379"/>
      <c r="BV664" s="379"/>
      <c r="BW664" s="379"/>
      <c r="BX664" s="379"/>
      <c r="BY664" s="379"/>
    </row>
    <row r="665" spans="1:77" s="647" customFormat="1" ht="11.25" customHeight="1">
      <c r="B665" s="661" t="s">
        <v>291</v>
      </c>
      <c r="C665" s="648"/>
      <c r="D665" s="648"/>
      <c r="E665" s="649" t="s">
        <v>746</v>
      </c>
      <c r="F665" s="647" t="s">
        <v>747</v>
      </c>
      <c r="G665" s="650" t="s">
        <v>748</v>
      </c>
      <c r="H665" s="647" t="s">
        <v>685</v>
      </c>
      <c r="I665" s="647" t="s">
        <v>334</v>
      </c>
      <c r="J665" s="651">
        <v>9000</v>
      </c>
      <c r="L665" s="651">
        <v>5</v>
      </c>
      <c r="M665" s="651">
        <v>10</v>
      </c>
      <c r="N665" s="652"/>
      <c r="O665" s="653">
        <v>0.2</v>
      </c>
      <c r="P665" s="653"/>
      <c r="Q665" s="652">
        <v>0</v>
      </c>
      <c r="R665" s="647" t="s">
        <v>257</v>
      </c>
      <c r="S665" s="654" t="s">
        <v>65</v>
      </c>
      <c r="T665" s="654">
        <v>82</v>
      </c>
      <c r="U665" s="655" t="s">
        <v>164</v>
      </c>
      <c r="V665" s="656"/>
      <c r="X665" s="652">
        <v>0</v>
      </c>
      <c r="Y665" s="652"/>
      <c r="AI665" s="647">
        <v>0</v>
      </c>
      <c r="AJ665" s="657"/>
      <c r="AK665" s="658"/>
    </row>
    <row r="666" spans="1:77" s="261" customFormat="1" ht="11.25" customHeight="1">
      <c r="B666" s="258" t="s">
        <v>291</v>
      </c>
      <c r="C666" s="259">
        <v>44655</v>
      </c>
      <c r="D666" s="259">
        <v>44665</v>
      </c>
      <c r="E666" s="260" t="s">
        <v>749</v>
      </c>
      <c r="F666" s="261" t="s">
        <v>750</v>
      </c>
      <c r="G666" s="262" t="s">
        <v>751</v>
      </c>
      <c r="H666" s="261" t="s">
        <v>27</v>
      </c>
      <c r="I666" s="261" t="s">
        <v>141</v>
      </c>
      <c r="J666" s="263">
        <v>19022.64</v>
      </c>
      <c r="L666" s="263">
        <v>17.420000000000002</v>
      </c>
      <c r="M666" s="263">
        <v>5.22</v>
      </c>
      <c r="N666" s="265">
        <v>1024.8399999999999</v>
      </c>
      <c r="O666" s="266">
        <v>0.25</v>
      </c>
      <c r="P666" s="266"/>
      <c r="Q666" s="265">
        <v>0</v>
      </c>
      <c r="R666" s="261" t="s">
        <v>105</v>
      </c>
      <c r="S666" s="267" t="s">
        <v>275</v>
      </c>
      <c r="T666" s="267">
        <v>21</v>
      </c>
      <c r="U666" s="268" t="s">
        <v>164</v>
      </c>
      <c r="V666" s="427"/>
      <c r="W666" s="268" t="s">
        <v>3790</v>
      </c>
      <c r="X666" s="265">
        <v>0</v>
      </c>
      <c r="Y666" s="265"/>
      <c r="AG666" s="261">
        <f>X666</f>
        <v>0</v>
      </c>
      <c r="AJ666" s="642"/>
    </row>
    <row r="667" spans="1:77" s="205" customFormat="1" ht="11.25" customHeight="1">
      <c r="B667" s="206" t="s">
        <v>291</v>
      </c>
      <c r="C667" s="207">
        <v>44654</v>
      </c>
      <c r="D667" s="207">
        <v>44665</v>
      </c>
      <c r="E667" s="208" t="s">
        <v>752</v>
      </c>
      <c r="F667" s="205" t="s">
        <v>753</v>
      </c>
      <c r="G667" s="209">
        <v>4361</v>
      </c>
      <c r="H667" s="205" t="s">
        <v>140</v>
      </c>
      <c r="I667" s="205" t="s">
        <v>141</v>
      </c>
      <c r="J667" s="210">
        <v>5956.5</v>
      </c>
      <c r="L667" s="210">
        <v>5</v>
      </c>
      <c r="M667" s="210">
        <v>5</v>
      </c>
      <c r="N667" s="213"/>
      <c r="O667" s="212">
        <v>0.25</v>
      </c>
      <c r="P667" s="212"/>
      <c r="Q667" s="213">
        <v>0</v>
      </c>
      <c r="R667" s="205" t="s">
        <v>42</v>
      </c>
      <c r="S667" s="214" t="s">
        <v>41</v>
      </c>
      <c r="T667" s="214">
        <v>17</v>
      </c>
      <c r="U667" s="215" t="s">
        <v>164</v>
      </c>
      <c r="V667" s="438"/>
      <c r="W667" s="205" t="s">
        <v>2938</v>
      </c>
      <c r="X667" s="213">
        <v>0</v>
      </c>
      <c r="Y667" s="213"/>
      <c r="AF667" s="230">
        <f>X667</f>
        <v>0</v>
      </c>
      <c r="AJ667" s="216"/>
    </row>
    <row r="668" spans="1:77" s="205" customFormat="1" ht="11.25" customHeight="1">
      <c r="B668" s="206" t="s">
        <v>291</v>
      </c>
      <c r="C668" s="207"/>
      <c r="D668" s="207"/>
      <c r="E668" s="208" t="s">
        <v>752</v>
      </c>
      <c r="F668" s="205" t="s">
        <v>753</v>
      </c>
      <c r="G668" s="209">
        <v>4361</v>
      </c>
      <c r="H668" s="205" t="s">
        <v>140</v>
      </c>
      <c r="I668" s="205" t="s">
        <v>141</v>
      </c>
      <c r="J668" s="210">
        <v>14772.12</v>
      </c>
      <c r="L668" s="210">
        <v>12.4</v>
      </c>
      <c r="M668" s="210">
        <v>12.4</v>
      </c>
      <c r="N668" s="213"/>
      <c r="O668" s="212">
        <v>0.25</v>
      </c>
      <c r="P668" s="212"/>
      <c r="Q668" s="213">
        <v>0</v>
      </c>
      <c r="R668" s="205" t="s">
        <v>42</v>
      </c>
      <c r="S668" s="214" t="s">
        <v>41</v>
      </c>
      <c r="T668" s="214">
        <v>16</v>
      </c>
      <c r="U668" s="215" t="s">
        <v>164</v>
      </c>
      <c r="V668" s="438"/>
      <c r="W668" s="205" t="s">
        <v>2938</v>
      </c>
      <c r="X668" s="213">
        <v>0</v>
      </c>
      <c r="Y668" s="213"/>
      <c r="AF668" s="230">
        <f>X668</f>
        <v>0</v>
      </c>
      <c r="AJ668" s="216"/>
    </row>
    <row r="669" spans="1:77" s="205" customFormat="1" ht="11.25" customHeight="1">
      <c r="B669" s="206" t="s">
        <v>291</v>
      </c>
      <c r="C669" s="207"/>
      <c r="D669" s="207"/>
      <c r="E669" s="208" t="s">
        <v>752</v>
      </c>
      <c r="F669" s="205" t="s">
        <v>753</v>
      </c>
      <c r="G669" s="209">
        <v>4361</v>
      </c>
      <c r="H669" s="205" t="s">
        <v>99</v>
      </c>
      <c r="I669" s="205" t="s">
        <v>141</v>
      </c>
      <c r="J669" s="210">
        <v>18328.05</v>
      </c>
      <c r="L669" s="210">
        <v>16.899999999999999</v>
      </c>
      <c r="M669" s="210">
        <v>16.899999999999999</v>
      </c>
      <c r="N669" s="213"/>
      <c r="O669" s="212">
        <v>0.25</v>
      </c>
      <c r="P669" s="212"/>
      <c r="Q669" s="213">
        <v>0</v>
      </c>
      <c r="R669" s="205" t="s">
        <v>42</v>
      </c>
      <c r="S669" s="214" t="s">
        <v>41</v>
      </c>
      <c r="T669" s="214">
        <v>16</v>
      </c>
      <c r="U669" s="215" t="s">
        <v>164</v>
      </c>
      <c r="V669" s="438"/>
      <c r="W669" s="205" t="s">
        <v>2938</v>
      </c>
      <c r="X669" s="213">
        <v>0</v>
      </c>
      <c r="Y669" s="213"/>
      <c r="AF669" s="230">
        <f>X669</f>
        <v>0</v>
      </c>
      <c r="AJ669" s="216"/>
    </row>
    <row r="670" spans="1:77" s="205" customFormat="1" ht="11.25" customHeight="1">
      <c r="B670" s="206" t="s">
        <v>291</v>
      </c>
      <c r="C670" s="207"/>
      <c r="D670" s="207"/>
      <c r="E670" s="208" t="s">
        <v>752</v>
      </c>
      <c r="F670" s="205" t="s">
        <v>753</v>
      </c>
      <c r="G670" s="209">
        <v>4361</v>
      </c>
      <c r="H670" s="205" t="s">
        <v>137</v>
      </c>
      <c r="I670" s="205" t="s">
        <v>141</v>
      </c>
      <c r="J670" s="210">
        <v>11278.5</v>
      </c>
      <c r="L670" s="210">
        <v>10.3</v>
      </c>
      <c r="M670" s="210">
        <v>10.3</v>
      </c>
      <c r="N670" s="213"/>
      <c r="O670" s="212">
        <v>0.25</v>
      </c>
      <c r="P670" s="212"/>
      <c r="Q670" s="213">
        <v>0</v>
      </c>
      <c r="R670" s="205" t="s">
        <v>42</v>
      </c>
      <c r="S670" s="214" t="s">
        <v>41</v>
      </c>
      <c r="T670" s="214">
        <v>16</v>
      </c>
      <c r="U670" s="215" t="s">
        <v>164</v>
      </c>
      <c r="V670" s="438"/>
      <c r="W670" s="205" t="s">
        <v>2938</v>
      </c>
      <c r="X670" s="213">
        <v>0</v>
      </c>
      <c r="Y670" s="213"/>
      <c r="AF670" s="230">
        <f>X670</f>
        <v>0</v>
      </c>
      <c r="AJ670" s="216"/>
    </row>
    <row r="671" spans="1:77" s="181" customFormat="1" ht="11.25" customHeight="1">
      <c r="B671" s="178" t="s">
        <v>291</v>
      </c>
      <c r="C671" s="179">
        <v>44665</v>
      </c>
      <c r="D671" s="179">
        <v>44665</v>
      </c>
      <c r="E671" s="180" t="s">
        <v>754</v>
      </c>
      <c r="F671" s="181" t="s">
        <v>755</v>
      </c>
      <c r="G671" s="182" t="s">
        <v>756</v>
      </c>
      <c r="H671" s="181" t="s">
        <v>140</v>
      </c>
      <c r="I671" s="181" t="s">
        <v>141</v>
      </c>
      <c r="J671" s="183">
        <v>25792.5</v>
      </c>
      <c r="L671" s="183">
        <v>19</v>
      </c>
      <c r="M671" s="183">
        <v>19</v>
      </c>
      <c r="N671" s="185"/>
      <c r="O671" s="186">
        <v>0.25</v>
      </c>
      <c r="P671" s="186"/>
      <c r="Q671" s="185">
        <v>0</v>
      </c>
      <c r="R671" s="181" t="s">
        <v>42</v>
      </c>
      <c r="S671" s="187" t="s">
        <v>41</v>
      </c>
      <c r="T671" s="187">
        <v>16</v>
      </c>
      <c r="U671" s="188" t="s">
        <v>164</v>
      </c>
      <c r="V671" s="441"/>
      <c r="W671" s="181" t="s">
        <v>2424</v>
      </c>
      <c r="X671" s="185">
        <v>0</v>
      </c>
      <c r="Y671" s="185"/>
      <c r="AE671" s="204">
        <f>X671</f>
        <v>0</v>
      </c>
      <c r="AJ671" s="189"/>
    </row>
    <row r="672" spans="1:77" s="181" customFormat="1" ht="11.25" customHeight="1">
      <c r="B672" s="178" t="s">
        <v>291</v>
      </c>
      <c r="C672" s="179"/>
      <c r="D672" s="179"/>
      <c r="E672" s="180" t="s">
        <v>754</v>
      </c>
      <c r="F672" s="181" t="s">
        <v>755</v>
      </c>
      <c r="G672" s="182" t="s">
        <v>756</v>
      </c>
      <c r="H672" s="181" t="s">
        <v>138</v>
      </c>
      <c r="I672" s="181" t="s">
        <v>141</v>
      </c>
      <c r="J672" s="183">
        <v>9720</v>
      </c>
      <c r="L672" s="183">
        <v>9</v>
      </c>
      <c r="M672" s="183">
        <v>9</v>
      </c>
      <c r="N672" s="185"/>
      <c r="O672" s="186">
        <v>0.25</v>
      </c>
      <c r="P672" s="186"/>
      <c r="Q672" s="185">
        <v>0</v>
      </c>
      <c r="R672" s="181" t="s">
        <v>42</v>
      </c>
      <c r="S672" s="187" t="s">
        <v>41</v>
      </c>
      <c r="T672" s="187">
        <v>16</v>
      </c>
      <c r="U672" s="188" t="s">
        <v>164</v>
      </c>
      <c r="V672" s="441"/>
      <c r="W672" s="181" t="s">
        <v>2424</v>
      </c>
      <c r="X672" s="185">
        <v>0</v>
      </c>
      <c r="Y672" s="185"/>
      <c r="AE672" s="204">
        <f>X672</f>
        <v>0</v>
      </c>
      <c r="AJ672" s="189"/>
    </row>
    <row r="673" spans="2:37" s="181" customFormat="1" ht="11.25" customHeight="1">
      <c r="B673" s="178" t="s">
        <v>291</v>
      </c>
      <c r="C673" s="179"/>
      <c r="D673" s="179"/>
      <c r="E673" s="180" t="s">
        <v>754</v>
      </c>
      <c r="F673" s="181" t="s">
        <v>755</v>
      </c>
      <c r="G673" s="182" t="s">
        <v>756</v>
      </c>
      <c r="H673" s="181" t="s">
        <v>99</v>
      </c>
      <c r="I673" s="181" t="s">
        <v>141</v>
      </c>
      <c r="J673" s="183">
        <v>3133.5</v>
      </c>
      <c r="L673" s="183">
        <v>30</v>
      </c>
      <c r="M673" s="183">
        <v>30</v>
      </c>
      <c r="N673" s="185"/>
      <c r="O673" s="186">
        <v>0.25</v>
      </c>
      <c r="P673" s="186"/>
      <c r="Q673" s="185">
        <v>0</v>
      </c>
      <c r="R673" s="181" t="s">
        <v>42</v>
      </c>
      <c r="S673" s="187" t="s">
        <v>41</v>
      </c>
      <c r="T673" s="187">
        <v>16</v>
      </c>
      <c r="U673" s="188" t="s">
        <v>164</v>
      </c>
      <c r="V673" s="441"/>
      <c r="W673" s="181" t="s">
        <v>2424</v>
      </c>
      <c r="X673" s="185">
        <v>0</v>
      </c>
      <c r="Y673" s="185"/>
      <c r="AE673" s="204">
        <f>X673</f>
        <v>0</v>
      </c>
      <c r="AJ673" s="189"/>
    </row>
    <row r="674" spans="2:37" s="181" customFormat="1" ht="11.25" customHeight="1">
      <c r="B674" s="178" t="s">
        <v>291</v>
      </c>
      <c r="C674" s="179"/>
      <c r="D674" s="179"/>
      <c r="E674" s="180" t="s">
        <v>754</v>
      </c>
      <c r="F674" s="181" t="s">
        <v>755</v>
      </c>
      <c r="G674" s="182" t="s">
        <v>756</v>
      </c>
      <c r="H674" s="181" t="s">
        <v>27</v>
      </c>
      <c r="I674" s="181" t="s">
        <v>141</v>
      </c>
      <c r="J674" s="183">
        <v>11200</v>
      </c>
      <c r="L674" s="183">
        <v>10</v>
      </c>
      <c r="M674" s="183">
        <v>10</v>
      </c>
      <c r="N674" s="185"/>
      <c r="O674" s="186">
        <v>0.25</v>
      </c>
      <c r="P674" s="186"/>
      <c r="Q674" s="185">
        <v>0</v>
      </c>
      <c r="R674" s="181" t="s">
        <v>42</v>
      </c>
      <c r="S674" s="187" t="s">
        <v>41</v>
      </c>
      <c r="T674" s="187">
        <v>16</v>
      </c>
      <c r="U674" s="188" t="s">
        <v>164</v>
      </c>
      <c r="V674" s="441"/>
      <c r="W674" s="181" t="s">
        <v>2424</v>
      </c>
      <c r="X674" s="185">
        <v>0</v>
      </c>
      <c r="Y674" s="185"/>
      <c r="AE674" s="204">
        <f>X674</f>
        <v>0</v>
      </c>
      <c r="AJ674" s="189"/>
    </row>
    <row r="675" spans="2:37" s="153" customFormat="1" ht="11.25" customHeight="1">
      <c r="B675" s="154" t="s">
        <v>291</v>
      </c>
      <c r="C675" s="155">
        <v>44655</v>
      </c>
      <c r="D675" s="155">
        <v>44665</v>
      </c>
      <c r="E675" s="156" t="s">
        <v>757</v>
      </c>
      <c r="F675" s="153" t="s">
        <v>758</v>
      </c>
      <c r="G675" s="157">
        <v>4126</v>
      </c>
      <c r="H675" s="153" t="s">
        <v>99</v>
      </c>
      <c r="I675" s="153" t="s">
        <v>141</v>
      </c>
      <c r="J675" s="158">
        <v>97053.33</v>
      </c>
      <c r="L675" s="158">
        <v>75.900000000000006</v>
      </c>
      <c r="M675" s="158">
        <v>75.900000000000006</v>
      </c>
      <c r="N675" s="159"/>
      <c r="O675" s="160">
        <v>0.15</v>
      </c>
      <c r="P675" s="160"/>
      <c r="Q675" s="159">
        <v>0</v>
      </c>
      <c r="R675" s="153" t="s">
        <v>35</v>
      </c>
      <c r="S675" s="161" t="s">
        <v>41</v>
      </c>
      <c r="T675" s="161">
        <v>79</v>
      </c>
      <c r="U675" s="162" t="s">
        <v>164</v>
      </c>
      <c r="V675" s="435"/>
      <c r="W675" s="153" t="s">
        <v>1884</v>
      </c>
      <c r="X675" s="159">
        <v>0</v>
      </c>
      <c r="Y675" s="159"/>
      <c r="AD675" s="176">
        <f>X675</f>
        <v>0</v>
      </c>
      <c r="AJ675" s="644"/>
    </row>
    <row r="676" spans="2:37" s="153" customFormat="1" ht="11.25" customHeight="1">
      <c r="B676" s="154" t="s">
        <v>291</v>
      </c>
      <c r="C676" s="155"/>
      <c r="D676" s="155"/>
      <c r="E676" s="156" t="s">
        <v>757</v>
      </c>
      <c r="F676" s="153" t="s">
        <v>758</v>
      </c>
      <c r="G676" s="157">
        <v>4126</v>
      </c>
      <c r="H676" s="153" t="s">
        <v>27</v>
      </c>
      <c r="I676" s="153" t="s">
        <v>141</v>
      </c>
      <c r="J676" s="158">
        <v>24700</v>
      </c>
      <c r="L676" s="158">
        <v>24.7</v>
      </c>
      <c r="M676" s="158">
        <v>24.7</v>
      </c>
      <c r="N676" s="159"/>
      <c r="O676" s="160">
        <v>0.15</v>
      </c>
      <c r="P676" s="160"/>
      <c r="Q676" s="159">
        <v>0</v>
      </c>
      <c r="R676" s="153" t="s">
        <v>35</v>
      </c>
      <c r="S676" s="161" t="s">
        <v>41</v>
      </c>
      <c r="T676" s="161">
        <v>79</v>
      </c>
      <c r="U676" s="162" t="s">
        <v>164</v>
      </c>
      <c r="V676" s="435"/>
      <c r="W676" s="153" t="s">
        <v>1884</v>
      </c>
      <c r="X676" s="159">
        <v>0</v>
      </c>
      <c r="Y676" s="159"/>
      <c r="AD676" s="176">
        <f>X676</f>
        <v>0</v>
      </c>
      <c r="AJ676" s="644"/>
    </row>
    <row r="677" spans="2:37" s="153" customFormat="1" ht="11.25" customHeight="1">
      <c r="B677" s="154" t="s">
        <v>291</v>
      </c>
      <c r="C677" s="155"/>
      <c r="D677" s="155"/>
      <c r="E677" s="156" t="s">
        <v>757</v>
      </c>
      <c r="F677" s="153" t="s">
        <v>758</v>
      </c>
      <c r="G677" s="157">
        <v>4126</v>
      </c>
      <c r="H677" s="153" t="s">
        <v>183</v>
      </c>
      <c r="I677" s="153" t="s">
        <v>141</v>
      </c>
      <c r="J677" s="158">
        <v>27672.3</v>
      </c>
      <c r="L677" s="158">
        <v>27.7</v>
      </c>
      <c r="M677" s="158">
        <v>27.7</v>
      </c>
      <c r="N677" s="159"/>
      <c r="O677" s="160">
        <v>0.15</v>
      </c>
      <c r="P677" s="160"/>
      <c r="Q677" s="159">
        <v>0</v>
      </c>
      <c r="R677" s="153" t="s">
        <v>35</v>
      </c>
      <c r="S677" s="161" t="s">
        <v>41</v>
      </c>
      <c r="T677" s="161">
        <v>79</v>
      </c>
      <c r="U677" s="162" t="s">
        <v>164</v>
      </c>
      <c r="V677" s="435"/>
      <c r="W677" s="153" t="s">
        <v>1884</v>
      </c>
      <c r="X677" s="159">
        <v>0</v>
      </c>
      <c r="Y677" s="159"/>
      <c r="AD677" s="176">
        <f>X677</f>
        <v>0</v>
      </c>
      <c r="AJ677" s="644"/>
    </row>
    <row r="678" spans="2:37" s="153" customFormat="1" ht="11.25" customHeight="1">
      <c r="B678" s="154" t="s">
        <v>291</v>
      </c>
      <c r="C678" s="155"/>
      <c r="D678" s="155"/>
      <c r="E678" s="156" t="s">
        <v>757</v>
      </c>
      <c r="F678" s="153" t="s">
        <v>758</v>
      </c>
      <c r="G678" s="157">
        <v>4126</v>
      </c>
      <c r="H678" s="153" t="s">
        <v>336</v>
      </c>
      <c r="I678" s="153" t="s">
        <v>141</v>
      </c>
      <c r="J678" s="158">
        <v>14531.01</v>
      </c>
      <c r="L678" s="158">
        <v>12.13</v>
      </c>
      <c r="M678" s="158">
        <v>12.13</v>
      </c>
      <c r="N678" s="159"/>
      <c r="O678" s="160">
        <v>0.15</v>
      </c>
      <c r="P678" s="160"/>
      <c r="Q678" s="159">
        <v>0</v>
      </c>
      <c r="R678" s="153" t="s">
        <v>35</v>
      </c>
      <c r="S678" s="161" t="s">
        <v>41</v>
      </c>
      <c r="T678" s="161">
        <v>79</v>
      </c>
      <c r="U678" s="162" t="s">
        <v>164</v>
      </c>
      <c r="V678" s="435"/>
      <c r="W678" s="153" t="s">
        <v>1884</v>
      </c>
      <c r="X678" s="159">
        <v>0</v>
      </c>
      <c r="Y678" s="159"/>
      <c r="AD678" s="176">
        <f>X678</f>
        <v>0</v>
      </c>
      <c r="AJ678" s="644"/>
    </row>
    <row r="679" spans="2:37" s="130" customFormat="1" ht="11.25" customHeight="1">
      <c r="B679" s="141" t="s">
        <v>691</v>
      </c>
      <c r="C679" s="131">
        <v>44660</v>
      </c>
      <c r="D679" s="131">
        <v>44665</v>
      </c>
      <c r="E679" s="132" t="s">
        <v>759</v>
      </c>
      <c r="F679" s="130" t="s">
        <v>760</v>
      </c>
      <c r="G679" s="133" t="s">
        <v>761</v>
      </c>
      <c r="H679" s="130" t="s">
        <v>27</v>
      </c>
      <c r="I679" s="130" t="s">
        <v>156</v>
      </c>
      <c r="J679" s="134">
        <v>197009.6</v>
      </c>
      <c r="L679" s="134">
        <v>72.430000000000007</v>
      </c>
      <c r="M679" s="134">
        <v>72.430000000000007</v>
      </c>
      <c r="N679" s="136">
        <v>0</v>
      </c>
      <c r="O679" s="137">
        <v>0.3</v>
      </c>
      <c r="P679" s="137">
        <v>0.05</v>
      </c>
      <c r="Q679" s="136">
        <v>0</v>
      </c>
      <c r="R679" s="130" t="s">
        <v>54</v>
      </c>
      <c r="S679" s="138" t="s">
        <v>65</v>
      </c>
      <c r="T679" s="138">
        <v>60</v>
      </c>
      <c r="U679" s="139" t="s">
        <v>164</v>
      </c>
      <c r="V679" s="439"/>
      <c r="X679" s="136">
        <v>0</v>
      </c>
      <c r="Y679" s="136"/>
      <c r="AC679" s="144">
        <f>X679</f>
        <v>0</v>
      </c>
      <c r="AJ679" s="140"/>
    </row>
    <row r="680" spans="2:37" s="153" customFormat="1" ht="11.25" customHeight="1">
      <c r="B680" s="154" t="s">
        <v>291</v>
      </c>
      <c r="C680" s="155">
        <v>44655</v>
      </c>
      <c r="D680" s="155">
        <v>44665</v>
      </c>
      <c r="E680" s="156" t="s">
        <v>762</v>
      </c>
      <c r="F680" s="153" t="s">
        <v>763</v>
      </c>
      <c r="G680" s="157">
        <v>3639</v>
      </c>
      <c r="H680" s="153" t="s">
        <v>99</v>
      </c>
      <c r="I680" s="153" t="s">
        <v>141</v>
      </c>
      <c r="J680" s="158">
        <v>38909.449999999997</v>
      </c>
      <c r="L680" s="158">
        <v>38.89</v>
      </c>
      <c r="M680" s="158">
        <v>38.89</v>
      </c>
      <c r="N680" s="159">
        <v>3891.9450000000002</v>
      </c>
      <c r="O680" s="160">
        <v>0.2</v>
      </c>
      <c r="P680" s="160"/>
      <c r="Q680" s="159">
        <v>0</v>
      </c>
      <c r="R680" s="153" t="s">
        <v>42</v>
      </c>
      <c r="S680" s="161" t="s">
        <v>41</v>
      </c>
      <c r="T680" s="161">
        <v>17</v>
      </c>
      <c r="U680" s="162" t="s">
        <v>164</v>
      </c>
      <c r="V680" s="435"/>
      <c r="X680" s="159">
        <v>0</v>
      </c>
      <c r="Y680" s="159"/>
      <c r="AD680" s="176">
        <f>X680</f>
        <v>0</v>
      </c>
      <c r="AJ680" s="644"/>
    </row>
    <row r="681" spans="2:37" s="473" customFormat="1" ht="11.25" customHeight="1">
      <c r="B681" s="486" t="s">
        <v>291</v>
      </c>
      <c r="C681" s="487">
        <v>44663</v>
      </c>
      <c r="D681" s="487">
        <v>44665</v>
      </c>
      <c r="E681" s="488" t="s">
        <v>764</v>
      </c>
      <c r="F681" s="473" t="s">
        <v>277</v>
      </c>
      <c r="G681" s="489">
        <v>3933</v>
      </c>
      <c r="H681" s="473" t="s">
        <v>765</v>
      </c>
      <c r="I681" s="473" t="s">
        <v>174</v>
      </c>
      <c r="J681" s="490">
        <v>12306</v>
      </c>
      <c r="L681" s="490">
        <v>12</v>
      </c>
      <c r="M681" s="490">
        <v>12</v>
      </c>
      <c r="N681" s="492">
        <v>0</v>
      </c>
      <c r="O681" s="493">
        <v>0.2</v>
      </c>
      <c r="P681" s="493"/>
      <c r="Q681" s="492">
        <v>0</v>
      </c>
      <c r="R681" s="473" t="s">
        <v>105</v>
      </c>
      <c r="S681" s="481" t="s">
        <v>30</v>
      </c>
      <c r="T681" s="481">
        <v>39</v>
      </c>
      <c r="U681" s="494" t="s">
        <v>164</v>
      </c>
      <c r="V681" s="495"/>
      <c r="X681" s="492">
        <v>0</v>
      </c>
      <c r="Y681" s="492"/>
      <c r="AJ681" s="485"/>
      <c r="AK681" s="473">
        <v>0</v>
      </c>
    </row>
    <row r="682" spans="2:37" s="473" customFormat="1" ht="11.25" customHeight="1">
      <c r="B682" s="486" t="s">
        <v>291</v>
      </c>
      <c r="C682" s="487">
        <v>44661</v>
      </c>
      <c r="D682" s="487">
        <v>44666</v>
      </c>
      <c r="E682" s="488" t="s">
        <v>766</v>
      </c>
      <c r="F682" s="473" t="s">
        <v>767</v>
      </c>
      <c r="G682" s="489" t="s">
        <v>768</v>
      </c>
      <c r="H682" s="473" t="s">
        <v>27</v>
      </c>
      <c r="I682" s="473" t="s">
        <v>769</v>
      </c>
      <c r="J682" s="490">
        <v>8819.5</v>
      </c>
      <c r="L682" s="490">
        <v>5.69</v>
      </c>
      <c r="M682" s="490">
        <v>5.69</v>
      </c>
      <c r="N682" s="492">
        <v>881.95</v>
      </c>
      <c r="O682" s="493">
        <v>0.25</v>
      </c>
      <c r="P682" s="493"/>
      <c r="Q682" s="492">
        <v>0</v>
      </c>
      <c r="R682" s="473" t="s">
        <v>281</v>
      </c>
      <c r="S682" s="481" t="s">
        <v>41</v>
      </c>
      <c r="T682" s="481">
        <v>23</v>
      </c>
      <c r="U682" s="494" t="s">
        <v>164</v>
      </c>
      <c r="V682" s="495"/>
      <c r="X682" s="492">
        <v>0</v>
      </c>
      <c r="Y682" s="492"/>
      <c r="AJ682" s="485"/>
      <c r="AK682" s="473">
        <v>0</v>
      </c>
    </row>
    <row r="683" spans="2:37" s="153" customFormat="1" ht="11.25" customHeight="1">
      <c r="B683" s="154" t="s">
        <v>291</v>
      </c>
      <c r="C683" s="155">
        <v>44655</v>
      </c>
      <c r="D683" s="155">
        <v>44666</v>
      </c>
      <c r="E683" s="156" t="s">
        <v>770</v>
      </c>
      <c r="F683" s="153" t="s">
        <v>771</v>
      </c>
      <c r="G683" s="157" t="s">
        <v>772</v>
      </c>
      <c r="H683" s="153" t="s">
        <v>192</v>
      </c>
      <c r="I683" s="153" t="s">
        <v>141</v>
      </c>
      <c r="J683" s="158">
        <v>66800.63</v>
      </c>
      <c r="L683" s="158">
        <v>37.700000000000003</v>
      </c>
      <c r="M683" s="158">
        <v>37.700000000000003</v>
      </c>
      <c r="N683" s="159"/>
      <c r="O683" s="160">
        <v>0.25</v>
      </c>
      <c r="P683" s="160"/>
      <c r="Q683" s="159">
        <v>0</v>
      </c>
      <c r="R683" s="153" t="s">
        <v>35</v>
      </c>
      <c r="S683" s="161" t="s">
        <v>34</v>
      </c>
      <c r="T683" s="161">
        <v>17</v>
      </c>
      <c r="U683" s="162" t="s">
        <v>164</v>
      </c>
      <c r="V683" s="435"/>
      <c r="W683" s="153" t="s">
        <v>1869</v>
      </c>
      <c r="X683" s="159">
        <v>0</v>
      </c>
      <c r="Y683" s="159"/>
      <c r="AD683" s="176">
        <f>X683</f>
        <v>0</v>
      </c>
      <c r="AJ683" s="644"/>
    </row>
    <row r="684" spans="2:37" s="153" customFormat="1" ht="11.25" customHeight="1">
      <c r="B684" s="154" t="s">
        <v>291</v>
      </c>
      <c r="C684" s="155"/>
      <c r="D684" s="155"/>
      <c r="E684" s="156" t="s">
        <v>770</v>
      </c>
      <c r="F684" s="153" t="s">
        <v>771</v>
      </c>
      <c r="G684" s="157" t="s">
        <v>772</v>
      </c>
      <c r="H684" s="153" t="s">
        <v>137</v>
      </c>
      <c r="I684" s="153" t="s">
        <v>141</v>
      </c>
      <c r="J684" s="158">
        <v>48505.08</v>
      </c>
      <c r="L684" s="158">
        <v>46.02</v>
      </c>
      <c r="M684" s="158">
        <v>46.02</v>
      </c>
      <c r="N684" s="159"/>
      <c r="O684" s="160">
        <v>0.25</v>
      </c>
      <c r="P684" s="160"/>
      <c r="Q684" s="159">
        <v>0</v>
      </c>
      <c r="R684" s="153" t="s">
        <v>35</v>
      </c>
      <c r="S684" s="161" t="s">
        <v>34</v>
      </c>
      <c r="T684" s="161">
        <v>17</v>
      </c>
      <c r="U684" s="162" t="s">
        <v>164</v>
      </c>
      <c r="V684" s="435"/>
      <c r="W684" s="153" t="s">
        <v>1869</v>
      </c>
      <c r="X684" s="159">
        <v>0</v>
      </c>
      <c r="Y684" s="159"/>
      <c r="AD684" s="176">
        <f>X684</f>
        <v>0</v>
      </c>
      <c r="AJ684" s="644"/>
    </row>
    <row r="685" spans="2:37" s="379" customFormat="1" ht="11.25" customHeight="1">
      <c r="B685" s="380" t="s">
        <v>291</v>
      </c>
      <c r="C685" s="381">
        <v>44655</v>
      </c>
      <c r="D685" s="381">
        <v>44666</v>
      </c>
      <c r="E685" s="382" t="s">
        <v>773</v>
      </c>
      <c r="F685" s="379" t="s">
        <v>774</v>
      </c>
      <c r="G685" s="383">
        <v>4155</v>
      </c>
      <c r="H685" s="379" t="s">
        <v>99</v>
      </c>
      <c r="I685" s="379" t="s">
        <v>141</v>
      </c>
      <c r="J685" s="385">
        <v>81000</v>
      </c>
      <c r="L685" s="385">
        <v>54</v>
      </c>
      <c r="M685" s="385">
        <v>54</v>
      </c>
      <c r="N685" s="386"/>
      <c r="O685" s="387">
        <v>0.3</v>
      </c>
      <c r="P685" s="387"/>
      <c r="Q685" s="386">
        <v>24300</v>
      </c>
      <c r="R685" s="379" t="s">
        <v>77</v>
      </c>
      <c r="S685" s="388" t="s">
        <v>41</v>
      </c>
      <c r="T685" s="388">
        <v>17</v>
      </c>
      <c r="U685" s="389" t="s">
        <v>164</v>
      </c>
      <c r="V685" s="433"/>
      <c r="X685" s="386">
        <v>24300</v>
      </c>
      <c r="Y685" s="386"/>
      <c r="AJ685" s="416">
        <v>24300</v>
      </c>
    </row>
    <row r="686" spans="2:37" s="379" customFormat="1" ht="11.25" customHeight="1">
      <c r="B686" s="380" t="s">
        <v>291</v>
      </c>
      <c r="C686" s="381">
        <v>44655</v>
      </c>
      <c r="D686" s="381">
        <v>44666</v>
      </c>
      <c r="E686" s="382" t="s">
        <v>775</v>
      </c>
      <c r="F686" s="379" t="s">
        <v>776</v>
      </c>
      <c r="G686" s="383">
        <v>4156</v>
      </c>
      <c r="H686" s="379" t="s">
        <v>99</v>
      </c>
      <c r="I686" s="379" t="s">
        <v>141</v>
      </c>
      <c r="J686" s="385">
        <v>22869</v>
      </c>
      <c r="L686" s="385">
        <v>16.5</v>
      </c>
      <c r="M686" s="385">
        <v>16.5</v>
      </c>
      <c r="N686" s="386"/>
      <c r="O686" s="387">
        <v>0.3</v>
      </c>
      <c r="P686" s="387"/>
      <c r="Q686" s="386">
        <v>0</v>
      </c>
      <c r="R686" s="379" t="s">
        <v>77</v>
      </c>
      <c r="S686" s="388" t="s">
        <v>41</v>
      </c>
      <c r="T686" s="388">
        <v>17</v>
      </c>
      <c r="U686" s="389" t="s">
        <v>164</v>
      </c>
      <c r="V686" s="433"/>
      <c r="X686" s="386">
        <v>0</v>
      </c>
      <c r="Y686" s="386"/>
      <c r="AJ686" s="390">
        <v>0</v>
      </c>
    </row>
    <row r="687" spans="2:37" s="153" customFormat="1" ht="11.25" customHeight="1">
      <c r="B687" s="154" t="s">
        <v>291</v>
      </c>
      <c r="C687" s="155">
        <v>44655</v>
      </c>
      <c r="D687" s="155">
        <v>44671</v>
      </c>
      <c r="E687" s="156" t="s">
        <v>777</v>
      </c>
      <c r="F687" s="153" t="s">
        <v>778</v>
      </c>
      <c r="G687" s="157">
        <v>4502</v>
      </c>
      <c r="H687" s="153" t="s">
        <v>99</v>
      </c>
      <c r="I687" s="153" t="s">
        <v>141</v>
      </c>
      <c r="J687" s="158">
        <v>105792</v>
      </c>
      <c r="L687" s="158">
        <v>96</v>
      </c>
      <c r="M687" s="158">
        <v>96</v>
      </c>
      <c r="N687" s="159"/>
      <c r="O687" s="160">
        <v>0.3</v>
      </c>
      <c r="P687" s="160"/>
      <c r="Q687" s="159">
        <v>0</v>
      </c>
      <c r="R687" s="153" t="s">
        <v>35</v>
      </c>
      <c r="S687" s="161" t="s">
        <v>41</v>
      </c>
      <c r="T687" s="161">
        <v>86</v>
      </c>
      <c r="U687" s="162" t="s">
        <v>164</v>
      </c>
      <c r="V687" s="435"/>
      <c r="W687" s="153" t="s">
        <v>1871</v>
      </c>
      <c r="X687" s="159">
        <v>0</v>
      </c>
      <c r="Y687" s="159"/>
      <c r="AD687" s="176">
        <f>X687</f>
        <v>0</v>
      </c>
      <c r="AJ687" s="644"/>
    </row>
    <row r="688" spans="2:37" s="153" customFormat="1" ht="11.25" customHeight="1">
      <c r="B688" s="154" t="s">
        <v>291</v>
      </c>
      <c r="C688" s="155"/>
      <c r="D688" s="155"/>
      <c r="E688" s="156" t="s">
        <v>777</v>
      </c>
      <c r="F688" s="153" t="s">
        <v>778</v>
      </c>
      <c r="G688" s="157">
        <v>4502</v>
      </c>
      <c r="H688" s="153" t="s">
        <v>183</v>
      </c>
      <c r="I688" s="153" t="s">
        <v>141</v>
      </c>
      <c r="J688" s="158">
        <v>89329.5</v>
      </c>
      <c r="L688" s="158">
        <v>90</v>
      </c>
      <c r="M688" s="158">
        <v>90</v>
      </c>
      <c r="N688" s="159"/>
      <c r="O688" s="160">
        <v>0.3</v>
      </c>
      <c r="P688" s="160"/>
      <c r="Q688" s="159">
        <v>0</v>
      </c>
      <c r="R688" s="153" t="s">
        <v>35</v>
      </c>
      <c r="S688" s="161" t="s">
        <v>41</v>
      </c>
      <c r="T688" s="161">
        <v>86</v>
      </c>
      <c r="U688" s="162" t="s">
        <v>164</v>
      </c>
      <c r="V688" s="435"/>
      <c r="W688" s="153" t="s">
        <v>1871</v>
      </c>
      <c r="X688" s="159">
        <v>0</v>
      </c>
      <c r="Y688" s="159"/>
      <c r="AD688" s="176">
        <f>X688</f>
        <v>0</v>
      </c>
      <c r="AJ688" s="644"/>
    </row>
    <row r="689" spans="1:77" s="153" customFormat="1" ht="11.25" customHeight="1">
      <c r="B689" s="154" t="s">
        <v>291</v>
      </c>
      <c r="C689" s="155"/>
      <c r="D689" s="155"/>
      <c r="E689" s="156" t="s">
        <v>777</v>
      </c>
      <c r="F689" s="153" t="s">
        <v>778</v>
      </c>
      <c r="G689" s="157">
        <v>4502</v>
      </c>
      <c r="H689" s="153" t="s">
        <v>27</v>
      </c>
      <c r="I689" s="153" t="s">
        <v>141</v>
      </c>
      <c r="J689" s="158">
        <v>111833.71</v>
      </c>
      <c r="L689" s="158">
        <v>93</v>
      </c>
      <c r="M689" s="158">
        <v>93</v>
      </c>
      <c r="N689" s="159"/>
      <c r="O689" s="160">
        <v>0.3</v>
      </c>
      <c r="P689" s="160"/>
      <c r="Q689" s="159">
        <v>0</v>
      </c>
      <c r="R689" s="153" t="s">
        <v>35</v>
      </c>
      <c r="S689" s="161" t="s">
        <v>41</v>
      </c>
      <c r="T689" s="161">
        <v>86</v>
      </c>
      <c r="U689" s="162" t="s">
        <v>164</v>
      </c>
      <c r="V689" s="435"/>
      <c r="W689" s="153" t="s">
        <v>1871</v>
      </c>
      <c r="X689" s="159">
        <v>0</v>
      </c>
      <c r="Y689" s="159"/>
      <c r="AD689" s="176">
        <f>X689</f>
        <v>0</v>
      </c>
      <c r="AJ689" s="644"/>
    </row>
    <row r="690" spans="1:77" s="6" customFormat="1" ht="11.25" customHeight="1">
      <c r="A690" s="379"/>
      <c r="B690" s="380" t="s">
        <v>390</v>
      </c>
      <c r="C690" s="381">
        <v>44661</v>
      </c>
      <c r="D690" s="381">
        <v>44670</v>
      </c>
      <c r="E690" s="382" t="s">
        <v>779</v>
      </c>
      <c r="F690" s="379" t="s">
        <v>780</v>
      </c>
      <c r="G690" s="383" t="s">
        <v>781</v>
      </c>
      <c r="H690" s="379" t="s">
        <v>393</v>
      </c>
      <c r="I690" s="379" t="s">
        <v>141</v>
      </c>
      <c r="J690" s="385">
        <v>89690.61</v>
      </c>
      <c r="K690" s="379"/>
      <c r="L690" s="385">
        <v>3.49</v>
      </c>
      <c r="M690" s="385">
        <v>3.49</v>
      </c>
      <c r="N690" s="386">
        <f>(0.15*0.3746/3.49+0.1*3.1154/3.49)*J690</f>
        <v>9450.4091734383965</v>
      </c>
      <c r="O690" s="387">
        <v>0.25</v>
      </c>
      <c r="P690" s="387"/>
      <c r="Q690" s="386">
        <v>0</v>
      </c>
      <c r="R690" s="379" t="s">
        <v>782</v>
      </c>
      <c r="S690" s="388" t="s">
        <v>65</v>
      </c>
      <c r="T690" s="388">
        <v>51</v>
      </c>
      <c r="U690" s="389" t="s">
        <v>164</v>
      </c>
      <c r="V690" s="433"/>
      <c r="W690" s="379"/>
      <c r="X690" s="386">
        <v>0</v>
      </c>
      <c r="Y690" s="386"/>
      <c r="Z690" s="379"/>
      <c r="AA690" s="379"/>
      <c r="AB690" s="379"/>
      <c r="AC690" s="379"/>
      <c r="AD690" s="379"/>
      <c r="AE690" s="379"/>
      <c r="AF690" s="379"/>
      <c r="AG690" s="379"/>
      <c r="AH690" s="379"/>
      <c r="AI690" s="379"/>
      <c r="AJ690" s="390">
        <v>0</v>
      </c>
      <c r="AK690" s="379"/>
      <c r="AL690" s="379"/>
      <c r="AM690" s="379"/>
      <c r="AN690" s="379"/>
      <c r="AO690" s="379"/>
      <c r="AP690" s="379"/>
      <c r="AQ690" s="379"/>
      <c r="AR690" s="379"/>
      <c r="AS690" s="379"/>
      <c r="AT690" s="379"/>
      <c r="AU690" s="379"/>
      <c r="AV690" s="379"/>
      <c r="AW690" s="379"/>
      <c r="AX690" s="379"/>
      <c r="AY690" s="379"/>
      <c r="AZ690" s="379"/>
      <c r="BA690" s="379"/>
      <c r="BB690" s="379"/>
      <c r="BC690" s="379"/>
      <c r="BD690" s="379"/>
      <c r="BE690" s="379"/>
      <c r="BF690" s="379"/>
      <c r="BG690" s="379"/>
      <c r="BH690" s="379"/>
      <c r="BI690" s="379"/>
      <c r="BJ690" s="379"/>
      <c r="BK690" s="379"/>
      <c r="BL690" s="379"/>
      <c r="BM690" s="379"/>
      <c r="BN690" s="379"/>
      <c r="BO690" s="379"/>
      <c r="BP690" s="379"/>
      <c r="BQ690" s="379"/>
      <c r="BR690" s="379"/>
      <c r="BS690" s="379"/>
      <c r="BT690" s="379"/>
      <c r="BU690" s="379"/>
      <c r="BV690" s="379"/>
      <c r="BW690" s="379"/>
      <c r="BX690" s="379"/>
      <c r="BY690" s="379"/>
    </row>
    <row r="691" spans="1:77" s="6" customFormat="1" ht="11.25" customHeight="1">
      <c r="A691" s="379"/>
      <c r="B691" s="380" t="s">
        <v>291</v>
      </c>
      <c r="C691" s="381">
        <v>44668</v>
      </c>
      <c r="D691" s="381">
        <v>44671</v>
      </c>
      <c r="E691" s="382" t="s">
        <v>783</v>
      </c>
      <c r="F691" s="379" t="s">
        <v>784</v>
      </c>
      <c r="G691" s="383" t="s">
        <v>785</v>
      </c>
      <c r="H691" s="379" t="s">
        <v>27</v>
      </c>
      <c r="I691" s="379" t="s">
        <v>141</v>
      </c>
      <c r="J691" s="385">
        <v>20068.349999999999</v>
      </c>
      <c r="K691" s="379"/>
      <c r="L691" s="385">
        <v>15</v>
      </c>
      <c r="M691" s="385">
        <v>6</v>
      </c>
      <c r="N691" s="386"/>
      <c r="O691" s="387">
        <v>0.2</v>
      </c>
      <c r="P691" s="387"/>
      <c r="Q691" s="386">
        <v>0</v>
      </c>
      <c r="R691" s="379" t="s">
        <v>35</v>
      </c>
      <c r="S691" s="388" t="s">
        <v>41</v>
      </c>
      <c r="T691" s="388">
        <v>17</v>
      </c>
      <c r="U691" s="389" t="s">
        <v>164</v>
      </c>
      <c r="V691" s="433"/>
      <c r="W691" s="379"/>
      <c r="X691" s="386">
        <v>0</v>
      </c>
      <c r="Y691" s="386"/>
      <c r="Z691" s="379"/>
      <c r="AA691" s="379"/>
      <c r="AB691" s="379"/>
      <c r="AC691" s="379"/>
      <c r="AD691" s="379"/>
      <c r="AE691" s="379"/>
      <c r="AF691" s="379"/>
      <c r="AG691" s="379"/>
      <c r="AH691" s="379"/>
      <c r="AI691" s="379"/>
      <c r="AJ691" s="390">
        <v>0</v>
      </c>
      <c r="AK691" s="379"/>
      <c r="AL691" s="379"/>
      <c r="AM691" s="379"/>
      <c r="AN691" s="379"/>
      <c r="AO691" s="379"/>
      <c r="AP691" s="379"/>
      <c r="AQ691" s="379"/>
      <c r="AR691" s="379"/>
      <c r="AS691" s="379"/>
      <c r="AT691" s="379"/>
      <c r="AU691" s="379"/>
      <c r="AV691" s="379"/>
      <c r="AW691" s="379"/>
      <c r="AX691" s="379"/>
      <c r="AY691" s="379"/>
      <c r="AZ691" s="379"/>
      <c r="BA691" s="379"/>
      <c r="BB691" s="379"/>
      <c r="BC691" s="379"/>
      <c r="BD691" s="379"/>
      <c r="BE691" s="379"/>
      <c r="BF691" s="379"/>
      <c r="BG691" s="379"/>
      <c r="BH691" s="379"/>
      <c r="BI691" s="379"/>
      <c r="BJ691" s="379"/>
      <c r="BK691" s="379"/>
      <c r="BL691" s="379"/>
      <c r="BM691" s="379"/>
      <c r="BN691" s="379"/>
      <c r="BO691" s="379"/>
      <c r="BP691" s="379"/>
      <c r="BQ691" s="379"/>
      <c r="BR691" s="379"/>
      <c r="BS691" s="379"/>
      <c r="BT691" s="379"/>
      <c r="BU691" s="379"/>
      <c r="BV691" s="379"/>
      <c r="BW691" s="379"/>
      <c r="BX691" s="379"/>
      <c r="BY691" s="379"/>
    </row>
    <row r="692" spans="1:77" s="261" customFormat="1" ht="11.25" customHeight="1">
      <c r="B692" s="258" t="s">
        <v>291</v>
      </c>
      <c r="C692" s="259">
        <v>44620</v>
      </c>
      <c r="D692" s="259">
        <v>44625</v>
      </c>
      <c r="E692" s="260" t="s">
        <v>786</v>
      </c>
      <c r="F692" s="261" t="s">
        <v>787</v>
      </c>
      <c r="G692" s="262">
        <v>3547</v>
      </c>
      <c r="H692" s="261" t="s">
        <v>99</v>
      </c>
      <c r="I692" s="261" t="s">
        <v>174</v>
      </c>
      <c r="J692" s="263">
        <v>130750.68</v>
      </c>
      <c r="L692" s="263">
        <v>112.04</v>
      </c>
      <c r="M692" s="263">
        <v>4.3499999999999996</v>
      </c>
      <c r="N692" s="265">
        <v>933</v>
      </c>
      <c r="O692" s="266">
        <v>0.15</v>
      </c>
      <c r="P692" s="266"/>
      <c r="Q692" s="265">
        <v>0</v>
      </c>
      <c r="R692" s="261" t="s">
        <v>105</v>
      </c>
      <c r="S692" s="267" t="s">
        <v>30</v>
      </c>
      <c r="T692" s="267">
        <v>39</v>
      </c>
      <c r="U692" s="268" t="s">
        <v>164</v>
      </c>
      <c r="V692" s="427"/>
      <c r="W692" s="261" t="s">
        <v>3755</v>
      </c>
      <c r="X692" s="265">
        <v>0</v>
      </c>
      <c r="Y692" s="265"/>
      <c r="AG692" s="261">
        <f>X692</f>
        <v>0</v>
      </c>
      <c r="AJ692" s="642"/>
    </row>
    <row r="693" spans="1:77" s="291" customFormat="1" ht="11.25" customHeight="1">
      <c r="B693" s="310" t="s">
        <v>291</v>
      </c>
      <c r="C693" s="292">
        <v>44655</v>
      </c>
      <c r="D693" s="292">
        <v>44655</v>
      </c>
      <c r="E693" s="293" t="s">
        <v>788</v>
      </c>
      <c r="F693" s="291" t="s">
        <v>293</v>
      </c>
      <c r="G693" s="294" t="s">
        <v>294</v>
      </c>
      <c r="H693" s="291" t="s">
        <v>183</v>
      </c>
      <c r="I693" s="291" t="s">
        <v>141</v>
      </c>
      <c r="J693" s="296">
        <v>84579.14</v>
      </c>
      <c r="L693" s="296">
        <v>81.17</v>
      </c>
      <c r="M693" s="296">
        <v>81.17</v>
      </c>
      <c r="N693" s="297"/>
      <c r="O693" s="298">
        <v>0.2</v>
      </c>
      <c r="P693" s="298"/>
      <c r="Q693" s="297">
        <v>0</v>
      </c>
      <c r="R693" s="291" t="s">
        <v>35</v>
      </c>
      <c r="S693" s="299" t="s">
        <v>41</v>
      </c>
      <c r="T693" s="299">
        <v>16</v>
      </c>
      <c r="U693" s="300" t="s">
        <v>164</v>
      </c>
      <c r="V693" s="333"/>
      <c r="X693" s="297">
        <v>0</v>
      </c>
      <c r="Y693" s="297"/>
      <c r="AH693" s="291">
        <f>X693</f>
        <v>0</v>
      </c>
      <c r="AI693" s="311"/>
      <c r="AJ693" s="468"/>
    </row>
    <row r="694" spans="1:77" s="291" customFormat="1" ht="11.25" customHeight="1">
      <c r="B694" s="310" t="s">
        <v>291</v>
      </c>
      <c r="C694" s="292"/>
      <c r="D694" s="292"/>
      <c r="E694" s="293" t="s">
        <v>788</v>
      </c>
      <c r="F694" s="291" t="s">
        <v>293</v>
      </c>
      <c r="G694" s="294" t="s">
        <v>294</v>
      </c>
      <c r="H694" s="291" t="s">
        <v>99</v>
      </c>
      <c r="I694" s="291" t="s">
        <v>141</v>
      </c>
      <c r="J694" s="296">
        <v>11939.2</v>
      </c>
      <c r="L694" s="296">
        <v>9.1</v>
      </c>
      <c r="M694" s="296">
        <v>9.1</v>
      </c>
      <c r="N694" s="297"/>
      <c r="O694" s="298">
        <v>0.2</v>
      </c>
      <c r="P694" s="298"/>
      <c r="Q694" s="297">
        <v>0</v>
      </c>
      <c r="R694" s="291" t="s">
        <v>35</v>
      </c>
      <c r="S694" s="299" t="s">
        <v>41</v>
      </c>
      <c r="T694" s="299">
        <v>16</v>
      </c>
      <c r="U694" s="300" t="s">
        <v>164</v>
      </c>
      <c r="V694" s="333"/>
      <c r="X694" s="297">
        <v>0</v>
      </c>
      <c r="Y694" s="297"/>
      <c r="AH694" s="291">
        <f>X694</f>
        <v>0</v>
      </c>
      <c r="AI694" s="311"/>
      <c r="AJ694" s="468"/>
    </row>
    <row r="695" spans="1:77" s="291" customFormat="1" ht="11.25" customHeight="1">
      <c r="B695" s="310" t="s">
        <v>291</v>
      </c>
      <c r="C695" s="292"/>
      <c r="D695" s="292"/>
      <c r="E695" s="293" t="s">
        <v>788</v>
      </c>
      <c r="F695" s="291" t="s">
        <v>293</v>
      </c>
      <c r="G695" s="294" t="s">
        <v>294</v>
      </c>
      <c r="H695" s="291" t="s">
        <v>295</v>
      </c>
      <c r="I695" s="291" t="s">
        <v>141</v>
      </c>
      <c r="J695" s="296">
        <v>15179.27</v>
      </c>
      <c r="L695" s="296">
        <v>15.04</v>
      </c>
      <c r="M695" s="296">
        <v>15.04</v>
      </c>
      <c r="N695" s="297"/>
      <c r="O695" s="298">
        <v>0.2</v>
      </c>
      <c r="P695" s="298"/>
      <c r="Q695" s="297">
        <v>0</v>
      </c>
      <c r="R695" s="291" t="s">
        <v>35</v>
      </c>
      <c r="S695" s="299" t="s">
        <v>41</v>
      </c>
      <c r="T695" s="299">
        <v>17</v>
      </c>
      <c r="U695" s="300" t="s">
        <v>164</v>
      </c>
      <c r="V695" s="333"/>
      <c r="X695" s="297">
        <v>0</v>
      </c>
      <c r="Y695" s="297"/>
      <c r="AH695" s="291">
        <f>X695</f>
        <v>0</v>
      </c>
      <c r="AI695" s="311"/>
      <c r="AJ695" s="468"/>
    </row>
    <row r="696" spans="1:77" s="291" customFormat="1" ht="11.25" customHeight="1">
      <c r="B696" s="310" t="s">
        <v>291</v>
      </c>
      <c r="C696" s="292"/>
      <c r="D696" s="292"/>
      <c r="E696" s="293" t="s">
        <v>788</v>
      </c>
      <c r="F696" s="291" t="s">
        <v>293</v>
      </c>
      <c r="G696" s="294" t="s">
        <v>294</v>
      </c>
      <c r="H696" s="291" t="s">
        <v>99</v>
      </c>
      <c r="I696" s="291" t="s">
        <v>141</v>
      </c>
      <c r="J696" s="296">
        <v>196800</v>
      </c>
      <c r="L696" s="296">
        <v>150</v>
      </c>
      <c r="M696" s="296">
        <v>150</v>
      </c>
      <c r="N696" s="297"/>
      <c r="O696" s="298">
        <v>0.2</v>
      </c>
      <c r="P696" s="298"/>
      <c r="Q696" s="297">
        <v>0</v>
      </c>
      <c r="R696" s="291" t="s">
        <v>35</v>
      </c>
      <c r="S696" s="299" t="s">
        <v>41</v>
      </c>
      <c r="T696" s="299">
        <v>17</v>
      </c>
      <c r="U696" s="300" t="s">
        <v>164</v>
      </c>
      <c r="V696" s="333"/>
      <c r="X696" s="297">
        <v>0</v>
      </c>
      <c r="Y696" s="297"/>
      <c r="AH696" s="291">
        <f>X696</f>
        <v>0</v>
      </c>
      <c r="AI696" s="311"/>
      <c r="AJ696" s="468"/>
    </row>
    <row r="697" spans="1:77" s="291" customFormat="1" ht="11.25" customHeight="1">
      <c r="B697" s="310" t="s">
        <v>291</v>
      </c>
      <c r="C697" s="292"/>
      <c r="D697" s="292"/>
      <c r="E697" s="293" t="s">
        <v>788</v>
      </c>
      <c r="F697" s="291" t="s">
        <v>293</v>
      </c>
      <c r="G697" s="294" t="s">
        <v>294</v>
      </c>
      <c r="H697" s="291" t="s">
        <v>183</v>
      </c>
      <c r="I697" s="291" t="s">
        <v>141</v>
      </c>
      <c r="J697" s="296">
        <v>8440.2000000000007</v>
      </c>
      <c r="L697" s="296">
        <v>8.1</v>
      </c>
      <c r="M697" s="296">
        <v>8.1</v>
      </c>
      <c r="N697" s="297"/>
      <c r="O697" s="298">
        <v>0.2</v>
      </c>
      <c r="P697" s="298"/>
      <c r="Q697" s="297">
        <v>0</v>
      </c>
      <c r="R697" s="291" t="s">
        <v>35</v>
      </c>
      <c r="S697" s="299" t="s">
        <v>41</v>
      </c>
      <c r="T697" s="299">
        <v>17</v>
      </c>
      <c r="U697" s="300" t="s">
        <v>164</v>
      </c>
      <c r="V697" s="333"/>
      <c r="X697" s="297">
        <v>0</v>
      </c>
      <c r="Y697" s="297"/>
      <c r="AH697" s="291">
        <f>X697</f>
        <v>0</v>
      </c>
      <c r="AI697" s="311"/>
      <c r="AJ697" s="468"/>
    </row>
    <row r="698" spans="1:77" s="473" customFormat="1" ht="11.25" customHeight="1">
      <c r="B698" s="486" t="s">
        <v>390</v>
      </c>
      <c r="C698" s="487">
        <v>44654</v>
      </c>
      <c r="D698" s="487">
        <v>44657</v>
      </c>
      <c r="E698" s="488" t="s">
        <v>789</v>
      </c>
      <c r="F698" s="473" t="s">
        <v>790</v>
      </c>
      <c r="G698" s="489" t="s">
        <v>791</v>
      </c>
      <c r="H698" s="473" t="s">
        <v>393</v>
      </c>
      <c r="I698" s="473" t="s">
        <v>141</v>
      </c>
      <c r="J698" s="490">
        <v>481116.45</v>
      </c>
      <c r="L698" s="490">
        <v>50.3</v>
      </c>
      <c r="M698" s="490">
        <v>50.3</v>
      </c>
      <c r="N698" s="492">
        <v>146244.74</v>
      </c>
      <c r="O698" s="493">
        <v>0.25</v>
      </c>
      <c r="P698" s="493"/>
      <c r="Q698" s="492">
        <v>0</v>
      </c>
      <c r="R698" s="473" t="s">
        <v>142</v>
      </c>
      <c r="S698" s="481" t="s">
        <v>65</v>
      </c>
      <c r="T698" s="481">
        <v>33</v>
      </c>
      <c r="U698" s="494" t="s">
        <v>164</v>
      </c>
      <c r="V698" s="495"/>
      <c r="X698" s="492">
        <v>0</v>
      </c>
      <c r="Y698" s="492"/>
      <c r="AJ698" s="485">
        <v>0</v>
      </c>
    </row>
    <row r="699" spans="1:77" s="473" customFormat="1" ht="11.25" customHeight="1">
      <c r="B699" s="486" t="s">
        <v>390</v>
      </c>
      <c r="C699" s="487">
        <v>44653</v>
      </c>
      <c r="D699" s="487">
        <v>44662</v>
      </c>
      <c r="E699" s="488" t="s">
        <v>792</v>
      </c>
      <c r="F699" s="473" t="s">
        <v>793</v>
      </c>
      <c r="G699" s="489" t="s">
        <v>794</v>
      </c>
      <c r="H699" s="473" t="s">
        <v>393</v>
      </c>
      <c r="I699" s="473" t="s">
        <v>141</v>
      </c>
      <c r="J699" s="490">
        <v>172036.38</v>
      </c>
      <c r="L699" s="490">
        <v>25.799999999999997</v>
      </c>
      <c r="M699" s="490">
        <v>25.799999999999997</v>
      </c>
      <c r="N699" s="490">
        <v>31308.51</v>
      </c>
      <c r="O699" s="493">
        <v>0.25</v>
      </c>
      <c r="P699" s="493"/>
      <c r="Q699" s="490">
        <v>0</v>
      </c>
      <c r="R699" s="473" t="s">
        <v>142</v>
      </c>
      <c r="S699" s="481" t="s">
        <v>65</v>
      </c>
      <c r="T699" s="481">
        <v>33</v>
      </c>
      <c r="U699" s="494" t="s">
        <v>164</v>
      </c>
      <c r="V699" s="495"/>
      <c r="X699" s="492">
        <v>0</v>
      </c>
      <c r="Y699" s="492"/>
      <c r="AJ699" s="485"/>
      <c r="AK699" s="473">
        <v>0</v>
      </c>
    </row>
    <row r="700" spans="1:77" s="205" customFormat="1" ht="11.25" customHeight="1">
      <c r="B700" s="206" t="s">
        <v>291</v>
      </c>
      <c r="C700" s="207">
        <v>44673</v>
      </c>
      <c r="D700" s="207">
        <v>44673</v>
      </c>
      <c r="E700" s="208" t="s">
        <v>795</v>
      </c>
      <c r="F700" s="205" t="s">
        <v>796</v>
      </c>
      <c r="G700" s="209" t="s">
        <v>797</v>
      </c>
      <c r="H700" s="205" t="s">
        <v>137</v>
      </c>
      <c r="I700" s="205" t="s">
        <v>141</v>
      </c>
      <c r="J700" s="210">
        <v>77002.61</v>
      </c>
      <c r="L700" s="210">
        <v>47.43</v>
      </c>
      <c r="M700" s="210">
        <v>20</v>
      </c>
      <c r="N700" s="213"/>
      <c r="O700" s="212">
        <v>0.25</v>
      </c>
      <c r="P700" s="212"/>
      <c r="Q700" s="213">
        <v>0</v>
      </c>
      <c r="R700" s="205" t="s">
        <v>42</v>
      </c>
      <c r="S700" s="214" t="s">
        <v>41</v>
      </c>
      <c r="T700" s="214">
        <v>17</v>
      </c>
      <c r="U700" s="215" t="s">
        <v>164</v>
      </c>
      <c r="V700" s="438"/>
      <c r="W700" s="205" t="s">
        <v>2837</v>
      </c>
      <c r="X700" s="213">
        <v>0</v>
      </c>
      <c r="Y700" s="213"/>
      <c r="AF700" s="230">
        <f>X700</f>
        <v>0</v>
      </c>
      <c r="AJ700" s="216"/>
    </row>
    <row r="701" spans="1:77" s="130" customFormat="1" ht="11.25" customHeight="1">
      <c r="B701" s="141" t="s">
        <v>291</v>
      </c>
      <c r="C701" s="131">
        <v>44655</v>
      </c>
      <c r="D701" s="131">
        <v>44673</v>
      </c>
      <c r="E701" s="132" t="s">
        <v>798</v>
      </c>
      <c r="F701" s="130" t="s">
        <v>799</v>
      </c>
      <c r="G701" s="133" t="s">
        <v>800</v>
      </c>
      <c r="H701" s="130" t="s">
        <v>27</v>
      </c>
      <c r="I701" s="130" t="s">
        <v>141</v>
      </c>
      <c r="J701" s="134">
        <v>4065.28</v>
      </c>
      <c r="L701" s="134">
        <v>3.2</v>
      </c>
      <c r="M701" s="134">
        <v>3.2</v>
      </c>
      <c r="N701" s="136"/>
      <c r="O701" s="137">
        <v>0.2</v>
      </c>
      <c r="P701" s="137"/>
      <c r="Q701" s="136">
        <v>0</v>
      </c>
      <c r="R701" s="130" t="s">
        <v>142</v>
      </c>
      <c r="S701" s="138" t="s">
        <v>41</v>
      </c>
      <c r="T701" s="138">
        <v>16</v>
      </c>
      <c r="U701" s="139" t="s">
        <v>164</v>
      </c>
      <c r="V701" s="439"/>
      <c r="X701" s="136">
        <v>0</v>
      </c>
      <c r="Y701" s="136"/>
      <c r="AC701" s="144">
        <f>X701</f>
        <v>0</v>
      </c>
      <c r="AJ701" s="140"/>
    </row>
    <row r="702" spans="1:77" s="130" customFormat="1" ht="11.25" customHeight="1">
      <c r="B702" s="141" t="s">
        <v>291</v>
      </c>
      <c r="C702" s="131">
        <v>44673</v>
      </c>
      <c r="D702" s="131">
        <v>44673</v>
      </c>
      <c r="E702" s="132" t="s">
        <v>803</v>
      </c>
      <c r="F702" s="130" t="s">
        <v>804</v>
      </c>
      <c r="G702" s="133">
        <v>4389</v>
      </c>
      <c r="H702" s="130" t="s">
        <v>99</v>
      </c>
      <c r="I702" s="130" t="s">
        <v>141</v>
      </c>
      <c r="J702" s="134">
        <v>19868.849999999999</v>
      </c>
      <c r="L702" s="134">
        <v>20.100000000000001</v>
      </c>
      <c r="M702" s="134">
        <v>20.100000000000001</v>
      </c>
      <c r="N702" s="136"/>
      <c r="O702" s="137">
        <v>0.2</v>
      </c>
      <c r="P702" s="137"/>
      <c r="Q702" s="136">
        <v>0</v>
      </c>
      <c r="R702" s="130" t="s">
        <v>142</v>
      </c>
      <c r="S702" s="138" t="s">
        <v>41</v>
      </c>
      <c r="T702" s="138">
        <v>16</v>
      </c>
      <c r="U702" s="139" t="s">
        <v>164</v>
      </c>
      <c r="V702" s="439"/>
      <c r="X702" s="136">
        <v>0</v>
      </c>
      <c r="Y702" s="136"/>
      <c r="AC702" s="144">
        <f>X702</f>
        <v>0</v>
      </c>
      <c r="AJ702" s="140"/>
    </row>
    <row r="703" spans="1:77" s="153" customFormat="1" ht="11.25" customHeight="1">
      <c r="B703" s="154" t="s">
        <v>291</v>
      </c>
      <c r="C703" s="155">
        <v>44673</v>
      </c>
      <c r="D703" s="155">
        <v>44673</v>
      </c>
      <c r="E703" s="156" t="s">
        <v>805</v>
      </c>
      <c r="F703" s="153" t="s">
        <v>806</v>
      </c>
      <c r="G703" s="157" t="s">
        <v>807</v>
      </c>
      <c r="H703" s="153" t="s">
        <v>27</v>
      </c>
      <c r="I703" s="153" t="s">
        <v>141</v>
      </c>
      <c r="J703" s="158">
        <v>68515.199999999997</v>
      </c>
      <c r="L703" s="158">
        <v>47.58</v>
      </c>
      <c r="M703" s="158">
        <v>47.58</v>
      </c>
      <c r="N703" s="159"/>
      <c r="O703" s="160">
        <v>0.3</v>
      </c>
      <c r="P703" s="160"/>
      <c r="Q703" s="159">
        <v>0</v>
      </c>
      <c r="R703" s="153" t="s">
        <v>35</v>
      </c>
      <c r="S703" s="161" t="s">
        <v>41</v>
      </c>
      <c r="T703" s="161">
        <v>16</v>
      </c>
      <c r="U703" s="162" t="s">
        <v>164</v>
      </c>
      <c r="V703" s="435"/>
      <c r="W703" s="153" t="s">
        <v>1897</v>
      </c>
      <c r="X703" s="159">
        <v>0</v>
      </c>
      <c r="Y703" s="159"/>
      <c r="AD703" s="176">
        <f>X703</f>
        <v>0</v>
      </c>
      <c r="AJ703" s="644"/>
    </row>
    <row r="704" spans="1:77" s="379" customFormat="1" ht="11.25" customHeight="1">
      <c r="B704" s="380" t="s">
        <v>291</v>
      </c>
      <c r="C704" s="381">
        <v>44655</v>
      </c>
      <c r="D704" s="381">
        <v>44673</v>
      </c>
      <c r="E704" s="382" t="s">
        <v>808</v>
      </c>
      <c r="F704" s="379" t="s">
        <v>809</v>
      </c>
      <c r="G704" s="383">
        <v>4029</v>
      </c>
      <c r="H704" s="379" t="s">
        <v>99</v>
      </c>
      <c r="I704" s="379" t="s">
        <v>141</v>
      </c>
      <c r="J704" s="385">
        <v>10200.75</v>
      </c>
      <c r="L704" s="385">
        <v>10.15</v>
      </c>
      <c r="M704" s="385">
        <v>9.1</v>
      </c>
      <c r="N704" s="386"/>
      <c r="O704" s="387">
        <v>0.15</v>
      </c>
      <c r="P704" s="387"/>
      <c r="Q704" s="386">
        <v>0</v>
      </c>
      <c r="R704" s="379" t="s">
        <v>77</v>
      </c>
      <c r="S704" s="388" t="s">
        <v>41</v>
      </c>
      <c r="T704" s="388">
        <v>17</v>
      </c>
      <c r="U704" s="389" t="s">
        <v>164</v>
      </c>
      <c r="V704" s="433"/>
      <c r="X704" s="386">
        <v>0</v>
      </c>
      <c r="Y704" s="386"/>
      <c r="AJ704" s="390">
        <v>0</v>
      </c>
    </row>
    <row r="705" spans="1:77" s="291" customFormat="1" ht="11.25" customHeight="1">
      <c r="B705" s="310" t="s">
        <v>291</v>
      </c>
      <c r="C705" s="292">
        <v>44667</v>
      </c>
      <c r="D705" s="292">
        <v>44673</v>
      </c>
      <c r="E705" s="293" t="s">
        <v>810</v>
      </c>
      <c r="F705" s="291" t="s">
        <v>535</v>
      </c>
      <c r="G705" s="294">
        <v>3624</v>
      </c>
      <c r="H705" s="291" t="s">
        <v>99</v>
      </c>
      <c r="I705" s="291" t="s">
        <v>141</v>
      </c>
      <c r="J705" s="296">
        <v>16400.400000000001</v>
      </c>
      <c r="L705" s="296">
        <v>12</v>
      </c>
      <c r="M705" s="296">
        <v>8</v>
      </c>
      <c r="N705" s="297"/>
      <c r="O705" s="298">
        <v>0.2</v>
      </c>
      <c r="P705" s="298"/>
      <c r="Q705" s="297">
        <v>0</v>
      </c>
      <c r="R705" s="291" t="s">
        <v>35</v>
      </c>
      <c r="S705" s="299" t="s">
        <v>41</v>
      </c>
      <c r="T705" s="299">
        <v>17</v>
      </c>
      <c r="U705" s="300" t="s">
        <v>164</v>
      </c>
      <c r="V705" s="333"/>
      <c r="W705" s="291" t="s">
        <v>3899</v>
      </c>
      <c r="X705" s="297">
        <v>0</v>
      </c>
      <c r="Y705" s="297"/>
      <c r="AH705" s="299">
        <f>X705</f>
        <v>0</v>
      </c>
      <c r="AI705" s="311"/>
      <c r="AJ705" s="468"/>
    </row>
    <row r="706" spans="1:77" s="291" customFormat="1" ht="11.25" customHeight="1">
      <c r="B706" s="310" t="s">
        <v>291</v>
      </c>
      <c r="C706" s="292">
        <v>44671</v>
      </c>
      <c r="D706" s="292">
        <v>44674</v>
      </c>
      <c r="E706" s="293" t="s">
        <v>811</v>
      </c>
      <c r="F706" s="291" t="s">
        <v>812</v>
      </c>
      <c r="G706" s="294" t="s">
        <v>813</v>
      </c>
      <c r="H706" s="291" t="s">
        <v>814</v>
      </c>
      <c r="I706" s="291" t="s">
        <v>815</v>
      </c>
      <c r="J706" s="296">
        <v>21910</v>
      </c>
      <c r="L706" s="296">
        <v>20</v>
      </c>
      <c r="M706" s="296">
        <v>20</v>
      </c>
      <c r="N706" s="297">
        <v>5696.6</v>
      </c>
      <c r="O706" s="298">
        <v>0.15</v>
      </c>
      <c r="P706" s="298"/>
      <c r="Q706" s="297">
        <v>0</v>
      </c>
      <c r="R706" s="291" t="s">
        <v>112</v>
      </c>
      <c r="S706" s="299" t="s">
        <v>113</v>
      </c>
      <c r="T706" s="299">
        <v>64</v>
      </c>
      <c r="U706" s="300" t="s">
        <v>164</v>
      </c>
      <c r="V706" s="333"/>
      <c r="X706" s="297">
        <v>0</v>
      </c>
      <c r="Y706" s="297"/>
      <c r="AH706" s="291">
        <f>X706</f>
        <v>0</v>
      </c>
      <c r="AI706" s="311"/>
      <c r="AJ706" s="468"/>
    </row>
    <row r="707" spans="1:77" s="261" customFormat="1" ht="11.25" customHeight="1">
      <c r="B707" s="258" t="s">
        <v>291</v>
      </c>
      <c r="C707" s="259">
        <v>44676</v>
      </c>
      <c r="D707" s="259">
        <v>44676</v>
      </c>
      <c r="E707" s="260" t="s">
        <v>816</v>
      </c>
      <c r="F707" s="261" t="s">
        <v>545</v>
      </c>
      <c r="G707" s="262">
        <v>4178</v>
      </c>
      <c r="H707" s="261" t="s">
        <v>99</v>
      </c>
      <c r="I707" s="261" t="s">
        <v>141</v>
      </c>
      <c r="J707" s="263">
        <v>46287.360000000001</v>
      </c>
      <c r="L707" s="263">
        <v>45.92</v>
      </c>
      <c r="M707" s="263">
        <v>45.92</v>
      </c>
      <c r="N707" s="265">
        <f>J707*0.2</f>
        <v>9257.4719999999998</v>
      </c>
      <c r="O707" s="266">
        <v>0.15</v>
      </c>
      <c r="P707" s="266"/>
      <c r="Q707" s="265">
        <v>3422.13</v>
      </c>
      <c r="R707" s="261" t="s">
        <v>35</v>
      </c>
      <c r="S707" s="267" t="s">
        <v>41</v>
      </c>
      <c r="T707" s="267">
        <v>79</v>
      </c>
      <c r="U707" s="268" t="s">
        <v>164</v>
      </c>
      <c r="V707" s="427"/>
      <c r="X707" s="265">
        <v>3422.13</v>
      </c>
      <c r="Y707" s="265"/>
      <c r="AG707" s="261">
        <f>X707</f>
        <v>3422.13</v>
      </c>
      <c r="AJ707" s="642"/>
    </row>
    <row r="708" spans="1:77" s="337" customFormat="1" ht="11.25" customHeight="1">
      <c r="B708" s="338" t="s">
        <v>291</v>
      </c>
      <c r="C708" s="349"/>
      <c r="D708" s="349"/>
      <c r="E708" s="350" t="s">
        <v>817</v>
      </c>
      <c r="F708" s="337" t="s">
        <v>818</v>
      </c>
      <c r="G708" s="351">
        <v>4451</v>
      </c>
      <c r="H708" s="337" t="s">
        <v>27</v>
      </c>
      <c r="I708" s="337" t="s">
        <v>819</v>
      </c>
      <c r="J708" s="352">
        <v>28884</v>
      </c>
      <c r="L708" s="352">
        <v>24.07</v>
      </c>
      <c r="M708" s="352">
        <v>24</v>
      </c>
      <c r="N708" s="354">
        <f>40%*J708</f>
        <v>11553.6</v>
      </c>
      <c r="O708" s="355">
        <v>0.15</v>
      </c>
      <c r="P708" s="355">
        <v>0.1</v>
      </c>
      <c r="Q708" s="354">
        <v>0</v>
      </c>
      <c r="R708" s="337" t="s">
        <v>73</v>
      </c>
      <c r="S708" s="356" t="s">
        <v>74</v>
      </c>
      <c r="T708" s="356">
        <v>31</v>
      </c>
      <c r="U708" s="357" t="s">
        <v>164</v>
      </c>
      <c r="V708" s="434"/>
      <c r="X708" s="354">
        <v>0</v>
      </c>
      <c r="Y708" s="354"/>
      <c r="AI708" s="337">
        <v>0</v>
      </c>
      <c r="AJ708" s="358"/>
      <c r="AK708" s="369"/>
    </row>
    <row r="709" spans="1:77" s="337" customFormat="1" ht="11.25" customHeight="1">
      <c r="B709" s="338" t="s">
        <v>291</v>
      </c>
      <c r="C709" s="349">
        <v>44674</v>
      </c>
      <c r="D709" s="349">
        <v>44676</v>
      </c>
      <c r="E709" s="350" t="s">
        <v>817</v>
      </c>
      <c r="F709" s="337" t="s">
        <v>818</v>
      </c>
      <c r="G709" s="351">
        <v>4451</v>
      </c>
      <c r="H709" s="337" t="s">
        <v>140</v>
      </c>
      <c r="I709" s="337" t="s">
        <v>819</v>
      </c>
      <c r="J709" s="352">
        <v>27684</v>
      </c>
      <c r="L709" s="352">
        <v>15.38</v>
      </c>
      <c r="M709" s="352">
        <v>15.3</v>
      </c>
      <c r="N709" s="354"/>
      <c r="O709" s="355">
        <v>0.15</v>
      </c>
      <c r="P709" s="355">
        <v>0.1</v>
      </c>
      <c r="Q709" s="354">
        <v>0</v>
      </c>
      <c r="R709" s="337" t="s">
        <v>73</v>
      </c>
      <c r="S709" s="356" t="s">
        <v>74</v>
      </c>
      <c r="T709" s="356">
        <v>31</v>
      </c>
      <c r="U709" s="357" t="s">
        <v>164</v>
      </c>
      <c r="V709" s="434"/>
      <c r="X709" s="354">
        <v>0</v>
      </c>
      <c r="Y709" s="354"/>
      <c r="AI709" s="337">
        <v>0</v>
      </c>
      <c r="AJ709" s="358"/>
      <c r="AK709" s="369"/>
    </row>
    <row r="710" spans="1:77" s="337" customFormat="1" ht="11.25" customHeight="1">
      <c r="B710" s="338" t="s">
        <v>291</v>
      </c>
      <c r="C710" s="349"/>
      <c r="D710" s="349"/>
      <c r="E710" s="350" t="s">
        <v>817</v>
      </c>
      <c r="F710" s="337" t="s">
        <v>818</v>
      </c>
      <c r="G710" s="351">
        <v>4451</v>
      </c>
      <c r="H710" s="337" t="s">
        <v>99</v>
      </c>
      <c r="I710" s="337" t="s">
        <v>819</v>
      </c>
      <c r="J710" s="352">
        <v>79872</v>
      </c>
      <c r="L710" s="352">
        <v>66.56</v>
      </c>
      <c r="M710" s="352">
        <v>66</v>
      </c>
      <c r="N710" s="354"/>
      <c r="O710" s="355">
        <v>0.15</v>
      </c>
      <c r="P710" s="355">
        <v>0.1</v>
      </c>
      <c r="Q710" s="354">
        <v>0</v>
      </c>
      <c r="R710" s="337" t="s">
        <v>73</v>
      </c>
      <c r="S710" s="356" t="s">
        <v>74</v>
      </c>
      <c r="T710" s="356">
        <v>31</v>
      </c>
      <c r="U710" s="357" t="s">
        <v>164</v>
      </c>
      <c r="V710" s="434"/>
      <c r="X710" s="354">
        <v>0</v>
      </c>
      <c r="Y710" s="354"/>
      <c r="AI710" s="337">
        <v>0</v>
      </c>
      <c r="AJ710" s="358"/>
      <c r="AK710" s="369"/>
    </row>
    <row r="711" spans="1:77" s="291" customFormat="1" ht="11.25" customHeight="1">
      <c r="B711" s="310" t="s">
        <v>390</v>
      </c>
      <c r="C711" s="292">
        <v>44655</v>
      </c>
      <c r="D711" s="292">
        <v>44676</v>
      </c>
      <c r="E711" s="293" t="s">
        <v>821</v>
      </c>
      <c r="F711" s="291" t="s">
        <v>826</v>
      </c>
      <c r="G711" s="294" t="s">
        <v>822</v>
      </c>
      <c r="H711" s="291" t="s">
        <v>393</v>
      </c>
      <c r="I711" s="291" t="s">
        <v>141</v>
      </c>
      <c r="J711" s="296">
        <v>43485.05</v>
      </c>
      <c r="L711" s="296">
        <v>4.51</v>
      </c>
      <c r="M711" s="296">
        <v>4.51</v>
      </c>
      <c r="N711" s="296">
        <v>9617.4110000000001</v>
      </c>
      <c r="O711" s="298">
        <v>0.25</v>
      </c>
      <c r="P711" s="298"/>
      <c r="Q711" s="296">
        <v>0</v>
      </c>
      <c r="R711" s="291" t="s">
        <v>69</v>
      </c>
      <c r="S711" s="299" t="s">
        <v>65</v>
      </c>
      <c r="T711" s="299">
        <v>37</v>
      </c>
      <c r="U711" s="300" t="s">
        <v>164</v>
      </c>
      <c r="V711" s="333"/>
      <c r="X711" s="297">
        <v>0</v>
      </c>
      <c r="Y711" s="297"/>
      <c r="AH711" s="291">
        <f>X711</f>
        <v>0</v>
      </c>
      <c r="AI711" s="311"/>
      <c r="AJ711" s="468"/>
    </row>
    <row r="712" spans="1:77" s="291" customFormat="1" ht="11.25" customHeight="1">
      <c r="B712" s="310" t="s">
        <v>390</v>
      </c>
      <c r="C712" s="292">
        <v>44655</v>
      </c>
      <c r="D712" s="292">
        <v>44659</v>
      </c>
      <c r="E712" s="293" t="s">
        <v>823</v>
      </c>
      <c r="F712" s="291" t="s">
        <v>824</v>
      </c>
      <c r="G712" s="294" t="s">
        <v>825</v>
      </c>
      <c r="H712" s="291" t="s">
        <v>393</v>
      </c>
      <c r="I712" s="291" t="s">
        <v>141</v>
      </c>
      <c r="J712" s="296">
        <v>221493.86</v>
      </c>
      <c r="L712" s="296">
        <v>22.130000000000003</v>
      </c>
      <c r="M712" s="296">
        <v>22.130000000000003</v>
      </c>
      <c r="N712" s="296">
        <v>48505.803</v>
      </c>
      <c r="O712" s="298">
        <v>0.25</v>
      </c>
      <c r="P712" s="298"/>
      <c r="Q712" s="296">
        <v>0</v>
      </c>
      <c r="R712" s="291" t="s">
        <v>69</v>
      </c>
      <c r="S712" s="299" t="s">
        <v>65</v>
      </c>
      <c r="T712" s="299">
        <v>37</v>
      </c>
      <c r="U712" s="300" t="s">
        <v>164</v>
      </c>
      <c r="V712" s="333"/>
      <c r="X712" s="297">
        <v>0</v>
      </c>
      <c r="Y712" s="297"/>
      <c r="AH712" s="291">
        <f>X712</f>
        <v>0</v>
      </c>
      <c r="AI712" s="311"/>
      <c r="AJ712" s="468"/>
    </row>
    <row r="713" spans="1:77" s="205" customFormat="1" ht="11.25" customHeight="1">
      <c r="B713" s="206" t="s">
        <v>291</v>
      </c>
      <c r="C713" s="207">
        <v>44674</v>
      </c>
      <c r="D713" s="207">
        <v>44676</v>
      </c>
      <c r="E713" s="208" t="s">
        <v>827</v>
      </c>
      <c r="F713" s="205" t="s">
        <v>418</v>
      </c>
      <c r="G713" s="209">
        <v>3983</v>
      </c>
      <c r="H713" s="205" t="s">
        <v>138</v>
      </c>
      <c r="I713" s="205" t="s">
        <v>156</v>
      </c>
      <c r="J713" s="210">
        <v>12254</v>
      </c>
      <c r="L713" s="210">
        <v>11</v>
      </c>
      <c r="M713" s="210">
        <v>11</v>
      </c>
      <c r="N713" s="213"/>
      <c r="O713" s="212">
        <v>0.2</v>
      </c>
      <c r="P713" s="212">
        <v>0.1</v>
      </c>
      <c r="Q713" s="213">
        <v>0</v>
      </c>
      <c r="R713" s="205" t="s">
        <v>73</v>
      </c>
      <c r="S713" s="214" t="s">
        <v>74</v>
      </c>
      <c r="T713" s="214">
        <v>31</v>
      </c>
      <c r="U713" s="215" t="s">
        <v>164</v>
      </c>
      <c r="V713" s="438"/>
      <c r="W713" s="205" t="s">
        <v>3103</v>
      </c>
      <c r="X713" s="213">
        <v>0</v>
      </c>
      <c r="Y713" s="213"/>
      <c r="AF713" s="230">
        <f>X713</f>
        <v>0</v>
      </c>
      <c r="AJ713" s="216"/>
    </row>
    <row r="714" spans="1:77" s="205" customFormat="1" ht="11.25" customHeight="1">
      <c r="B714" s="206" t="s">
        <v>291</v>
      </c>
      <c r="C714" s="207"/>
      <c r="D714" s="207"/>
      <c r="E714" s="208" t="s">
        <v>827</v>
      </c>
      <c r="F714" s="205" t="s">
        <v>418</v>
      </c>
      <c r="G714" s="209">
        <v>3983</v>
      </c>
      <c r="H714" s="205" t="s">
        <v>99</v>
      </c>
      <c r="I714" s="205" t="s">
        <v>156</v>
      </c>
      <c r="J714" s="210">
        <v>28072.799999999999</v>
      </c>
      <c r="L714" s="210">
        <v>28</v>
      </c>
      <c r="M714" s="210">
        <v>28</v>
      </c>
      <c r="N714" s="213"/>
      <c r="O714" s="212">
        <v>0.2</v>
      </c>
      <c r="P714" s="212">
        <v>0.1</v>
      </c>
      <c r="Q714" s="213">
        <v>0</v>
      </c>
      <c r="R714" s="205" t="s">
        <v>73</v>
      </c>
      <c r="S714" s="214" t="s">
        <v>74</v>
      </c>
      <c r="T714" s="214">
        <v>31</v>
      </c>
      <c r="U714" s="215" t="s">
        <v>164</v>
      </c>
      <c r="V714" s="438"/>
      <c r="W714" s="205" t="s">
        <v>3103</v>
      </c>
      <c r="X714" s="213">
        <v>0</v>
      </c>
      <c r="Y714" s="213"/>
      <c r="AF714" s="230">
        <f>X714</f>
        <v>0</v>
      </c>
      <c r="AJ714" s="216"/>
    </row>
    <row r="715" spans="1:77" s="205" customFormat="1" ht="11.25" customHeight="1">
      <c r="B715" s="206" t="s">
        <v>291</v>
      </c>
      <c r="C715" s="207"/>
      <c r="D715" s="207"/>
      <c r="E715" s="208" t="s">
        <v>827</v>
      </c>
      <c r="F715" s="205" t="s">
        <v>418</v>
      </c>
      <c r="G715" s="209">
        <v>3983</v>
      </c>
      <c r="H715" s="205" t="s">
        <v>27</v>
      </c>
      <c r="I715" s="205" t="s">
        <v>156</v>
      </c>
      <c r="J715" s="210">
        <v>26960.639999999999</v>
      </c>
      <c r="L715" s="210">
        <v>18.88</v>
      </c>
      <c r="M715" s="210">
        <v>18.88</v>
      </c>
      <c r="N715" s="213"/>
      <c r="O715" s="212">
        <v>0.2</v>
      </c>
      <c r="P715" s="212">
        <v>0.1</v>
      </c>
      <c r="Q715" s="213">
        <v>0</v>
      </c>
      <c r="R715" s="205" t="s">
        <v>73</v>
      </c>
      <c r="S715" s="214" t="s">
        <v>74</v>
      </c>
      <c r="T715" s="214">
        <v>31</v>
      </c>
      <c r="U715" s="215" t="s">
        <v>164</v>
      </c>
      <c r="V715" s="438"/>
      <c r="W715" s="205" t="s">
        <v>3103</v>
      </c>
      <c r="X715" s="213">
        <v>0</v>
      </c>
      <c r="Y715" s="213"/>
      <c r="AF715" s="230">
        <f>X715</f>
        <v>0</v>
      </c>
      <c r="AJ715" s="216"/>
    </row>
    <row r="716" spans="1:77" s="205" customFormat="1" ht="11.25" customHeight="1">
      <c r="B716" s="206" t="s">
        <v>291</v>
      </c>
      <c r="C716" s="207"/>
      <c r="D716" s="207"/>
      <c r="E716" s="208" t="s">
        <v>827</v>
      </c>
      <c r="F716" s="205" t="s">
        <v>418</v>
      </c>
      <c r="G716" s="209">
        <v>3983</v>
      </c>
      <c r="H716" s="205" t="s">
        <v>183</v>
      </c>
      <c r="I716" s="205" t="s">
        <v>156</v>
      </c>
      <c r="J716" s="210">
        <v>23424.34</v>
      </c>
      <c r="L716" s="210">
        <v>25.22</v>
      </c>
      <c r="M716" s="210">
        <v>25.22</v>
      </c>
      <c r="N716" s="213"/>
      <c r="O716" s="212">
        <v>0.2</v>
      </c>
      <c r="P716" s="212">
        <v>0.1</v>
      </c>
      <c r="Q716" s="213">
        <v>0</v>
      </c>
      <c r="R716" s="205" t="s">
        <v>73</v>
      </c>
      <c r="S716" s="214" t="s">
        <v>74</v>
      </c>
      <c r="T716" s="214">
        <v>31</v>
      </c>
      <c r="U716" s="215" t="s">
        <v>164</v>
      </c>
      <c r="V716" s="438"/>
      <c r="W716" s="205" t="s">
        <v>3103</v>
      </c>
      <c r="X716" s="213">
        <v>0</v>
      </c>
      <c r="Y716" s="213"/>
      <c r="AF716" s="230">
        <f>X716</f>
        <v>0</v>
      </c>
      <c r="AJ716" s="216"/>
    </row>
    <row r="717" spans="1:77" s="153" customFormat="1" ht="11.25" customHeight="1">
      <c r="B717" s="154" t="s">
        <v>291</v>
      </c>
      <c r="C717" s="155">
        <v>44655</v>
      </c>
      <c r="D717" s="155">
        <v>44676</v>
      </c>
      <c r="E717" s="156" t="s">
        <v>828</v>
      </c>
      <c r="F717" s="153" t="s">
        <v>829</v>
      </c>
      <c r="G717" s="157" t="s">
        <v>830</v>
      </c>
      <c r="H717" s="153" t="s">
        <v>140</v>
      </c>
      <c r="I717" s="153" t="s">
        <v>141</v>
      </c>
      <c r="J717" s="158">
        <v>23012</v>
      </c>
      <c r="L717" s="158">
        <v>22</v>
      </c>
      <c r="M717" s="158">
        <v>22</v>
      </c>
      <c r="N717" s="159">
        <v>0</v>
      </c>
      <c r="O717" s="160">
        <v>0.25</v>
      </c>
      <c r="P717" s="160"/>
      <c r="Q717" s="159">
        <v>0</v>
      </c>
      <c r="R717" s="153" t="s">
        <v>77</v>
      </c>
      <c r="S717" s="161" t="s">
        <v>41</v>
      </c>
      <c r="T717" s="161">
        <v>17</v>
      </c>
      <c r="U717" s="162" t="s">
        <v>164</v>
      </c>
      <c r="V717" s="435"/>
      <c r="W717" s="153" t="s">
        <v>1858</v>
      </c>
      <c r="X717" s="159">
        <v>0</v>
      </c>
      <c r="Y717" s="159"/>
      <c r="AD717" s="176">
        <f>X717</f>
        <v>0</v>
      </c>
      <c r="AJ717" s="644"/>
    </row>
    <row r="718" spans="1:77" s="153" customFormat="1" ht="11.25" customHeight="1">
      <c r="B718" s="154" t="s">
        <v>291</v>
      </c>
      <c r="C718" s="155"/>
      <c r="D718" s="155"/>
      <c r="E718" s="156" t="s">
        <v>828</v>
      </c>
      <c r="F718" s="153" t="s">
        <v>829</v>
      </c>
      <c r="G718" s="157" t="s">
        <v>830</v>
      </c>
      <c r="H718" s="153" t="s">
        <v>137</v>
      </c>
      <c r="I718" s="153" t="s">
        <v>141</v>
      </c>
      <c r="J718" s="158">
        <v>8246.7000000000007</v>
      </c>
      <c r="L718" s="158">
        <v>7.7</v>
      </c>
      <c r="M718" s="158">
        <v>7.7</v>
      </c>
      <c r="N718" s="159"/>
      <c r="O718" s="160">
        <v>0.25</v>
      </c>
      <c r="P718" s="160"/>
      <c r="Q718" s="159">
        <v>0</v>
      </c>
      <c r="R718" s="153" t="s">
        <v>77</v>
      </c>
      <c r="S718" s="161" t="s">
        <v>41</v>
      </c>
      <c r="T718" s="161">
        <v>17</v>
      </c>
      <c r="U718" s="162" t="s">
        <v>164</v>
      </c>
      <c r="V718" s="435"/>
      <c r="W718" s="153" t="s">
        <v>1858</v>
      </c>
      <c r="X718" s="159">
        <v>0</v>
      </c>
      <c r="Y718" s="159"/>
      <c r="AD718" s="176">
        <f>X718</f>
        <v>0</v>
      </c>
      <c r="AJ718" s="644"/>
    </row>
    <row r="719" spans="1:77" s="6" customFormat="1" ht="11.25" customHeight="1">
      <c r="A719" s="379"/>
      <c r="B719" s="379" t="s">
        <v>291</v>
      </c>
      <c r="C719" s="381">
        <v>44674</v>
      </c>
      <c r="D719" s="381">
        <v>44677</v>
      </c>
      <c r="E719" s="382" t="s">
        <v>831</v>
      </c>
      <c r="F719" s="379" t="s">
        <v>221</v>
      </c>
      <c r="G719" s="383">
        <v>4540</v>
      </c>
      <c r="H719" s="379" t="s">
        <v>27</v>
      </c>
      <c r="I719" s="379" t="s">
        <v>156</v>
      </c>
      <c r="J719" s="385">
        <v>21601.58</v>
      </c>
      <c r="K719" s="379"/>
      <c r="L719" s="385">
        <v>18.260000000000002</v>
      </c>
      <c r="M719" s="385">
        <v>18.260000000000002</v>
      </c>
      <c r="N719" s="386"/>
      <c r="O719" s="387">
        <v>0.2</v>
      </c>
      <c r="P719" s="387">
        <v>0.1</v>
      </c>
      <c r="Q719" s="386">
        <v>0</v>
      </c>
      <c r="R719" s="379" t="s">
        <v>146</v>
      </c>
      <c r="S719" s="388" t="s">
        <v>113</v>
      </c>
      <c r="T719" s="388">
        <v>31</v>
      </c>
      <c r="U719" s="389" t="s">
        <v>164</v>
      </c>
      <c r="V719" s="433"/>
      <c r="W719" s="379"/>
      <c r="X719" s="386">
        <v>0</v>
      </c>
      <c r="Y719" s="386"/>
      <c r="Z719" s="379"/>
      <c r="AA719" s="379"/>
      <c r="AB719" s="379"/>
      <c r="AC719" s="379"/>
      <c r="AD719" s="379"/>
      <c r="AE719" s="379"/>
      <c r="AF719" s="379"/>
      <c r="AG719" s="379"/>
      <c r="AH719" s="379"/>
      <c r="AI719" s="379"/>
      <c r="AJ719" s="390">
        <v>0</v>
      </c>
      <c r="AK719" s="379"/>
      <c r="AL719" s="379"/>
      <c r="AM719" s="379"/>
      <c r="AN719" s="379"/>
      <c r="AO719" s="379"/>
      <c r="AP719" s="379"/>
      <c r="AQ719" s="379"/>
      <c r="AR719" s="379"/>
      <c r="AS719" s="379"/>
      <c r="AT719" s="379"/>
      <c r="AU719" s="379"/>
      <c r="AV719" s="379"/>
      <c r="AW719" s="379"/>
      <c r="AX719" s="379"/>
      <c r="AY719" s="379"/>
      <c r="AZ719" s="379"/>
      <c r="BA719" s="379"/>
      <c r="BB719" s="379"/>
      <c r="BC719" s="379"/>
      <c r="BD719" s="379"/>
      <c r="BE719" s="379"/>
      <c r="BF719" s="379"/>
      <c r="BG719" s="379"/>
      <c r="BH719" s="379"/>
      <c r="BI719" s="379"/>
      <c r="BJ719" s="379"/>
      <c r="BK719" s="379"/>
      <c r="BL719" s="379"/>
      <c r="BM719" s="379"/>
      <c r="BN719" s="379"/>
      <c r="BO719" s="379"/>
      <c r="BP719" s="379"/>
      <c r="BQ719" s="379"/>
      <c r="BR719" s="379"/>
      <c r="BS719" s="379"/>
      <c r="BT719" s="379"/>
      <c r="BU719" s="379"/>
      <c r="BV719" s="379"/>
      <c r="BW719" s="379"/>
      <c r="BX719" s="379"/>
      <c r="BY719" s="379"/>
    </row>
    <row r="720" spans="1:77" s="181" customFormat="1" ht="11.25" customHeight="1">
      <c r="B720" s="181" t="s">
        <v>291</v>
      </c>
      <c r="C720" s="179">
        <v>44676</v>
      </c>
      <c r="D720" s="179">
        <v>44677</v>
      </c>
      <c r="E720" s="180" t="s">
        <v>832</v>
      </c>
      <c r="F720" s="181" t="s">
        <v>402</v>
      </c>
      <c r="G720" s="182">
        <v>3928</v>
      </c>
      <c r="H720" s="181" t="s">
        <v>99</v>
      </c>
      <c r="I720" s="181" t="s">
        <v>141</v>
      </c>
      <c r="J720" s="183">
        <v>26536.37</v>
      </c>
      <c r="L720" s="183">
        <v>20.63</v>
      </c>
      <c r="M720" s="183">
        <v>20.63</v>
      </c>
      <c r="N720" s="185">
        <f>8151.93</f>
        <v>8151.93</v>
      </c>
      <c r="O720" s="186">
        <v>0.15</v>
      </c>
      <c r="P720" s="186"/>
      <c r="Q720" s="185">
        <v>0</v>
      </c>
      <c r="R720" s="181" t="s">
        <v>142</v>
      </c>
      <c r="S720" s="187" t="s">
        <v>41</v>
      </c>
      <c r="T720" s="187">
        <v>16</v>
      </c>
      <c r="U720" s="188" t="s">
        <v>164</v>
      </c>
      <c r="V720" s="441"/>
      <c r="W720" s="181" t="s">
        <v>2279</v>
      </c>
      <c r="X720" s="185">
        <v>0</v>
      </c>
      <c r="Y720" s="185"/>
      <c r="AE720" s="204">
        <f>X720</f>
        <v>0</v>
      </c>
      <c r="AJ720" s="189"/>
    </row>
    <row r="721" spans="2:37" s="473" customFormat="1" ht="11.25" customHeight="1">
      <c r="B721" s="473" t="s">
        <v>291</v>
      </c>
      <c r="C721" s="487">
        <v>44671</v>
      </c>
      <c r="D721" s="487">
        <v>44676</v>
      </c>
      <c r="E721" s="488" t="s">
        <v>833</v>
      </c>
      <c r="F721" s="473" t="s">
        <v>834</v>
      </c>
      <c r="G721" s="489">
        <v>4519</v>
      </c>
      <c r="H721" s="473" t="s">
        <v>310</v>
      </c>
      <c r="I721" s="473" t="s">
        <v>28</v>
      </c>
      <c r="J721" s="490">
        <v>9432</v>
      </c>
      <c r="L721" s="490">
        <v>12</v>
      </c>
      <c r="M721" s="490">
        <v>11</v>
      </c>
      <c r="N721" s="492">
        <v>1235.5899999999999</v>
      </c>
      <c r="O721" s="493">
        <v>0.3</v>
      </c>
      <c r="P721" s="493"/>
      <c r="Q721" s="492">
        <v>1298.47</v>
      </c>
      <c r="R721" s="473" t="s">
        <v>46</v>
      </c>
      <c r="S721" s="481" t="s">
        <v>47</v>
      </c>
      <c r="T721" s="481">
        <v>27</v>
      </c>
      <c r="U721" s="494" t="s">
        <v>164</v>
      </c>
      <c r="V721" s="495">
        <v>1298.47</v>
      </c>
      <c r="X721" s="495">
        <v>1298.47</v>
      </c>
      <c r="Y721" s="492"/>
      <c r="AJ721" s="485"/>
      <c r="AK721" s="498">
        <v>1298.47</v>
      </c>
    </row>
    <row r="722" spans="2:37" s="261" customFormat="1" ht="11.25" customHeight="1">
      <c r="B722" s="261" t="s">
        <v>291</v>
      </c>
      <c r="C722" s="259">
        <v>44646</v>
      </c>
      <c r="D722" s="259">
        <v>44677</v>
      </c>
      <c r="E722" s="260" t="s">
        <v>835</v>
      </c>
      <c r="F722" s="261" t="s">
        <v>836</v>
      </c>
      <c r="G722" s="262">
        <v>4438</v>
      </c>
      <c r="H722" s="261" t="s">
        <v>27</v>
      </c>
      <c r="I722" s="261" t="s">
        <v>141</v>
      </c>
      <c r="J722" s="263">
        <v>20808</v>
      </c>
      <c r="L722" s="263">
        <v>17</v>
      </c>
      <c r="M722" s="263">
        <v>17</v>
      </c>
      <c r="N722" s="265">
        <v>0</v>
      </c>
      <c r="O722" s="266">
        <v>0.2</v>
      </c>
      <c r="P722" s="266"/>
      <c r="Q722" s="265">
        <v>0</v>
      </c>
      <c r="R722" s="261" t="s">
        <v>281</v>
      </c>
      <c r="S722" s="267" t="s">
        <v>228</v>
      </c>
      <c r="T722" s="267">
        <v>58</v>
      </c>
      <c r="U722" s="268" t="s">
        <v>164</v>
      </c>
      <c r="V722" s="427"/>
      <c r="X722" s="265">
        <v>0</v>
      </c>
      <c r="Y722" s="265"/>
      <c r="AG722" s="261">
        <f>X722</f>
        <v>0</v>
      </c>
      <c r="AJ722" s="642"/>
    </row>
    <row r="723" spans="2:37" s="291" customFormat="1" ht="11.25" customHeight="1">
      <c r="B723" s="291" t="s">
        <v>291</v>
      </c>
      <c r="C723" s="292">
        <v>44646</v>
      </c>
      <c r="D723" s="292">
        <v>44677</v>
      </c>
      <c r="E723" s="293" t="s">
        <v>837</v>
      </c>
      <c r="F723" s="291" t="s">
        <v>838</v>
      </c>
      <c r="G723" s="294">
        <v>4446</v>
      </c>
      <c r="H723" s="291" t="s">
        <v>27</v>
      </c>
      <c r="I723" s="291" t="s">
        <v>141</v>
      </c>
      <c r="J723" s="296">
        <v>19584</v>
      </c>
      <c r="L723" s="296">
        <v>16</v>
      </c>
      <c r="M723" s="296">
        <v>16</v>
      </c>
      <c r="N723" s="297">
        <v>7441.92</v>
      </c>
      <c r="O723" s="298">
        <v>0.25</v>
      </c>
      <c r="P723" s="298"/>
      <c r="Q723" s="297">
        <v>2924.34</v>
      </c>
      <c r="R723" s="291" t="s">
        <v>281</v>
      </c>
      <c r="S723" s="299" t="s">
        <v>228</v>
      </c>
      <c r="T723" s="299">
        <v>58</v>
      </c>
      <c r="U723" s="300" t="s">
        <v>164</v>
      </c>
      <c r="V723" s="333"/>
      <c r="X723" s="297">
        <v>2924.34</v>
      </c>
      <c r="Y723" s="297"/>
      <c r="AH723" s="291">
        <f>X723</f>
        <v>2924.34</v>
      </c>
      <c r="AI723" s="311"/>
      <c r="AJ723" s="468"/>
    </row>
    <row r="724" spans="2:37" s="379" customFormat="1" ht="11.25" customHeight="1">
      <c r="B724" s="380" t="s">
        <v>291</v>
      </c>
      <c r="C724" s="381">
        <v>44655</v>
      </c>
      <c r="D724" s="381">
        <v>44677</v>
      </c>
      <c r="E724" s="382" t="s">
        <v>839</v>
      </c>
      <c r="F724" s="379" t="s">
        <v>533</v>
      </c>
      <c r="G724" s="383">
        <v>3746</v>
      </c>
      <c r="H724" s="379" t="s">
        <v>99</v>
      </c>
      <c r="I724" s="379" t="s">
        <v>141</v>
      </c>
      <c r="J724" s="385">
        <v>12901.27</v>
      </c>
      <c r="L724" s="385">
        <v>12.16</v>
      </c>
      <c r="M724" s="385">
        <v>12.16</v>
      </c>
      <c r="N724" s="386">
        <f>J724*0.2</f>
        <v>2580.2540000000004</v>
      </c>
      <c r="O724" s="387">
        <v>0.15</v>
      </c>
      <c r="P724" s="387"/>
      <c r="Q724" s="386">
        <v>0</v>
      </c>
      <c r="R724" s="379" t="s">
        <v>77</v>
      </c>
      <c r="S724" s="388" t="s">
        <v>41</v>
      </c>
      <c r="T724" s="388">
        <v>17</v>
      </c>
      <c r="U724" s="389" t="s">
        <v>164</v>
      </c>
      <c r="V724" s="433"/>
      <c r="X724" s="386">
        <v>0</v>
      </c>
      <c r="Y724" s="386"/>
      <c r="AJ724" s="390">
        <v>0</v>
      </c>
    </row>
    <row r="725" spans="2:37" s="379" customFormat="1" ht="11.25" customHeight="1">
      <c r="B725" s="380" t="s">
        <v>291</v>
      </c>
      <c r="C725" s="381"/>
      <c r="D725" s="381"/>
      <c r="E725" s="382" t="s">
        <v>839</v>
      </c>
      <c r="F725" s="379" t="s">
        <v>533</v>
      </c>
      <c r="G725" s="383">
        <v>3746</v>
      </c>
      <c r="H725" s="379" t="s">
        <v>336</v>
      </c>
      <c r="I725" s="379" t="s">
        <v>141</v>
      </c>
      <c r="J725" s="385">
        <v>7702.57</v>
      </c>
      <c r="L725" s="385">
        <v>7.26</v>
      </c>
      <c r="M725" s="385">
        <v>7.26</v>
      </c>
      <c r="N725" s="386">
        <f>J725*0.2</f>
        <v>1540.5140000000001</v>
      </c>
      <c r="O725" s="387">
        <v>0.15</v>
      </c>
      <c r="P725" s="387"/>
      <c r="Q725" s="386">
        <v>6.29</v>
      </c>
      <c r="R725" s="379" t="s">
        <v>77</v>
      </c>
      <c r="S725" s="388" t="s">
        <v>41</v>
      </c>
      <c r="T725" s="388">
        <v>17</v>
      </c>
      <c r="U725" s="389" t="s">
        <v>164</v>
      </c>
      <c r="V725" s="433"/>
      <c r="X725" s="386">
        <v>6.29</v>
      </c>
      <c r="Y725" s="386"/>
      <c r="AJ725" s="390">
        <v>6.29</v>
      </c>
    </row>
    <row r="726" spans="2:37" s="153" customFormat="1" ht="11.25" customHeight="1">
      <c r="B726" s="154" t="s">
        <v>291</v>
      </c>
      <c r="C726" s="155">
        <v>44674</v>
      </c>
      <c r="D726" s="155">
        <v>44677</v>
      </c>
      <c r="E726" s="156" t="s">
        <v>840</v>
      </c>
      <c r="F726" s="153" t="s">
        <v>841</v>
      </c>
      <c r="G726" s="157">
        <v>3813</v>
      </c>
      <c r="H726" s="153" t="s">
        <v>99</v>
      </c>
      <c r="I726" s="153" t="s">
        <v>156</v>
      </c>
      <c r="J726" s="158">
        <v>24245.65</v>
      </c>
      <c r="L726" s="158">
        <v>30.49</v>
      </c>
      <c r="M726" s="158">
        <v>30.48</v>
      </c>
      <c r="N726" s="159"/>
      <c r="O726" s="160">
        <v>0.15</v>
      </c>
      <c r="P726" s="160">
        <v>0.1</v>
      </c>
      <c r="Q726" s="159">
        <v>0</v>
      </c>
      <c r="R726" s="153" t="s">
        <v>146</v>
      </c>
      <c r="S726" s="161" t="s">
        <v>113</v>
      </c>
      <c r="T726" s="161">
        <v>31</v>
      </c>
      <c r="U726" s="162" t="s">
        <v>164</v>
      </c>
      <c r="V726" s="435"/>
      <c r="X726" s="159">
        <v>0</v>
      </c>
      <c r="Y726" s="159"/>
      <c r="AD726" s="176">
        <f>X726</f>
        <v>0</v>
      </c>
      <c r="AJ726" s="644"/>
    </row>
    <row r="727" spans="2:37" s="153" customFormat="1" ht="11.25" customHeight="1">
      <c r="B727" s="154" t="s">
        <v>291</v>
      </c>
      <c r="C727" s="155"/>
      <c r="D727" s="155"/>
      <c r="E727" s="156" t="s">
        <v>840</v>
      </c>
      <c r="F727" s="153" t="s">
        <v>841</v>
      </c>
      <c r="G727" s="157">
        <v>3813</v>
      </c>
      <c r="H727" s="153" t="s">
        <v>27</v>
      </c>
      <c r="I727" s="153" t="s">
        <v>156</v>
      </c>
      <c r="J727" s="158">
        <v>16762.52</v>
      </c>
      <c r="L727" s="158">
        <v>18.93</v>
      </c>
      <c r="M727" s="158">
        <v>18.920000000000002</v>
      </c>
      <c r="N727" s="159"/>
      <c r="O727" s="160">
        <v>0.15</v>
      </c>
      <c r="P727" s="160">
        <v>0.1</v>
      </c>
      <c r="Q727" s="159">
        <v>0</v>
      </c>
      <c r="R727" s="153" t="s">
        <v>146</v>
      </c>
      <c r="S727" s="161" t="s">
        <v>113</v>
      </c>
      <c r="T727" s="161">
        <v>31</v>
      </c>
      <c r="U727" s="162" t="s">
        <v>164</v>
      </c>
      <c r="V727" s="435"/>
      <c r="X727" s="159">
        <v>0</v>
      </c>
      <c r="Y727" s="159"/>
      <c r="AD727" s="176">
        <f>X727</f>
        <v>0</v>
      </c>
      <c r="AJ727" s="644"/>
    </row>
    <row r="728" spans="2:37" s="205" customFormat="1" ht="11.25" customHeight="1">
      <c r="B728" s="206" t="s">
        <v>291</v>
      </c>
      <c r="C728" s="207">
        <v>44674</v>
      </c>
      <c r="D728" s="207">
        <v>44678</v>
      </c>
      <c r="E728" s="208" t="s">
        <v>842</v>
      </c>
      <c r="F728" s="205" t="s">
        <v>211</v>
      </c>
      <c r="G728" s="209">
        <v>4254</v>
      </c>
      <c r="H728" s="205" t="s">
        <v>27</v>
      </c>
      <c r="I728" s="205" t="s">
        <v>156</v>
      </c>
      <c r="J728" s="210">
        <v>59850</v>
      </c>
      <c r="L728" s="210">
        <v>35</v>
      </c>
      <c r="M728" s="210">
        <v>35</v>
      </c>
      <c r="N728" s="213"/>
      <c r="O728" s="212">
        <v>0.25</v>
      </c>
      <c r="P728" s="212">
        <v>0.1</v>
      </c>
      <c r="Q728" s="213">
        <v>0</v>
      </c>
      <c r="R728" s="205" t="s">
        <v>73</v>
      </c>
      <c r="S728" s="214" t="s">
        <v>74</v>
      </c>
      <c r="T728" s="214">
        <v>31</v>
      </c>
      <c r="U728" s="215" t="s">
        <v>164</v>
      </c>
      <c r="V728" s="438"/>
      <c r="W728" s="205" t="s">
        <v>3119</v>
      </c>
      <c r="X728" s="213">
        <v>0</v>
      </c>
      <c r="Y728" s="213"/>
      <c r="AF728" s="230">
        <f>X728</f>
        <v>0</v>
      </c>
      <c r="AJ728" s="216"/>
    </row>
    <row r="729" spans="2:37" s="291" customFormat="1" ht="11.25" customHeight="1">
      <c r="B729" s="310" t="s">
        <v>291</v>
      </c>
      <c r="C729" s="292">
        <v>44669</v>
      </c>
      <c r="D729" s="292">
        <v>44678</v>
      </c>
      <c r="E729" s="293" t="s">
        <v>843</v>
      </c>
      <c r="F729" s="291" t="s">
        <v>844</v>
      </c>
      <c r="G729" s="294">
        <v>4449</v>
      </c>
      <c r="H729" s="291" t="s">
        <v>99</v>
      </c>
      <c r="I729" s="291" t="s">
        <v>334</v>
      </c>
      <c r="J729" s="296">
        <v>28560</v>
      </c>
      <c r="L729" s="296">
        <v>28</v>
      </c>
      <c r="M729" s="296">
        <v>24.95</v>
      </c>
      <c r="N729" s="297"/>
      <c r="O729" s="298">
        <v>0.25</v>
      </c>
      <c r="P729" s="298"/>
      <c r="Q729" s="297">
        <v>0</v>
      </c>
      <c r="R729" s="291" t="s">
        <v>128</v>
      </c>
      <c r="S729" s="299" t="s">
        <v>41</v>
      </c>
      <c r="T729" s="299">
        <v>79</v>
      </c>
      <c r="U729" s="300" t="s">
        <v>164</v>
      </c>
      <c r="V729" s="333"/>
      <c r="X729" s="297">
        <v>0</v>
      </c>
      <c r="Y729" s="297"/>
      <c r="AH729" s="291">
        <f>X729</f>
        <v>0</v>
      </c>
      <c r="AI729" s="311"/>
      <c r="AJ729" s="468"/>
    </row>
    <row r="730" spans="2:37" s="291" customFormat="1" ht="11.25" customHeight="1">
      <c r="B730" s="310" t="s">
        <v>291</v>
      </c>
      <c r="C730" s="292"/>
      <c r="D730" s="292"/>
      <c r="E730" s="293" t="s">
        <v>843</v>
      </c>
      <c r="F730" s="291" t="s">
        <v>844</v>
      </c>
      <c r="G730" s="294">
        <v>4449</v>
      </c>
      <c r="H730" s="291" t="s">
        <v>27</v>
      </c>
      <c r="I730" s="291" t="s">
        <v>334</v>
      </c>
      <c r="J730" s="296">
        <v>18631.62</v>
      </c>
      <c r="L730" s="296">
        <v>14.31</v>
      </c>
      <c r="M730" s="296">
        <v>14.62</v>
      </c>
      <c r="N730" s="297"/>
      <c r="O730" s="298">
        <v>0.25</v>
      </c>
      <c r="P730" s="298"/>
      <c r="Q730" s="297">
        <v>3366.98</v>
      </c>
      <c r="R730" s="291" t="s">
        <v>128</v>
      </c>
      <c r="S730" s="299" t="s">
        <v>41</v>
      </c>
      <c r="T730" s="299">
        <v>79</v>
      </c>
      <c r="U730" s="300" t="s">
        <v>164</v>
      </c>
      <c r="V730" s="333"/>
      <c r="X730" s="297">
        <v>3366.98</v>
      </c>
      <c r="Y730" s="297"/>
      <c r="AH730" s="291">
        <f>X730</f>
        <v>3366.98</v>
      </c>
      <c r="AI730" s="311"/>
      <c r="AJ730" s="468"/>
    </row>
    <row r="731" spans="2:37" s="291" customFormat="1" ht="11.25" customHeight="1">
      <c r="B731" s="310" t="s">
        <v>291</v>
      </c>
      <c r="C731" s="292"/>
      <c r="D731" s="292"/>
      <c r="E731" s="293" t="s">
        <v>843</v>
      </c>
      <c r="F731" s="291" t="s">
        <v>844</v>
      </c>
      <c r="G731" s="294">
        <v>4449</v>
      </c>
      <c r="H731" s="291" t="s">
        <v>310</v>
      </c>
      <c r="I731" s="291" t="s">
        <v>334</v>
      </c>
      <c r="J731" s="296">
        <v>12137.56</v>
      </c>
      <c r="L731" s="296">
        <v>16.7</v>
      </c>
      <c r="M731" s="296">
        <v>16.12</v>
      </c>
      <c r="N731" s="297"/>
      <c r="O731" s="298">
        <v>0.25</v>
      </c>
      <c r="P731" s="298"/>
      <c r="Q731" s="297">
        <v>726.69</v>
      </c>
      <c r="R731" s="291" t="s">
        <v>128</v>
      </c>
      <c r="S731" s="299" t="s">
        <v>41</v>
      </c>
      <c r="T731" s="299">
        <v>79</v>
      </c>
      <c r="U731" s="300" t="s">
        <v>164</v>
      </c>
      <c r="V731" s="333"/>
      <c r="X731" s="297">
        <v>726.69</v>
      </c>
      <c r="Y731" s="297"/>
      <c r="AH731" s="291">
        <f>X731</f>
        <v>726.69</v>
      </c>
      <c r="AI731" s="311"/>
      <c r="AJ731" s="468"/>
    </row>
    <row r="732" spans="2:37" s="291" customFormat="1" ht="11.25" customHeight="1">
      <c r="B732" s="310" t="s">
        <v>291</v>
      </c>
      <c r="C732" s="292"/>
      <c r="D732" s="292"/>
      <c r="E732" s="293" t="s">
        <v>845</v>
      </c>
      <c r="F732" s="291" t="s">
        <v>846</v>
      </c>
      <c r="G732" s="294" t="s">
        <v>847</v>
      </c>
      <c r="H732" s="291" t="s">
        <v>183</v>
      </c>
      <c r="I732" s="291" t="s">
        <v>141</v>
      </c>
      <c r="J732" s="296">
        <v>14539.77</v>
      </c>
      <c r="L732" s="296">
        <v>14.13</v>
      </c>
      <c r="M732" s="296">
        <v>14.31</v>
      </c>
      <c r="N732" s="297">
        <f>J732*15%</f>
        <v>2180.9654999999998</v>
      </c>
      <c r="O732" s="298">
        <v>0.25</v>
      </c>
      <c r="P732" s="298"/>
      <c r="Q732" s="297">
        <v>0</v>
      </c>
      <c r="R732" s="291" t="s">
        <v>146</v>
      </c>
      <c r="S732" s="299" t="s">
        <v>74</v>
      </c>
      <c r="T732" s="299">
        <v>31</v>
      </c>
      <c r="U732" s="300" t="s">
        <v>164</v>
      </c>
      <c r="V732" s="333"/>
      <c r="W732" s="291" t="s">
        <v>3883</v>
      </c>
      <c r="X732" s="297">
        <v>0</v>
      </c>
      <c r="Y732" s="297"/>
      <c r="AH732" s="291">
        <f>X732</f>
        <v>0</v>
      </c>
      <c r="AI732" s="311"/>
      <c r="AJ732" s="468"/>
    </row>
    <row r="733" spans="2:37" s="153" customFormat="1" ht="11.25" customHeight="1">
      <c r="B733" s="154" t="s">
        <v>291</v>
      </c>
      <c r="C733" s="155">
        <v>44666</v>
      </c>
      <c r="D733" s="155">
        <v>44678</v>
      </c>
      <c r="E733" s="156" t="s">
        <v>845</v>
      </c>
      <c r="F733" s="153" t="s">
        <v>846</v>
      </c>
      <c r="G733" s="157" t="s">
        <v>847</v>
      </c>
      <c r="H733" s="153" t="s">
        <v>99</v>
      </c>
      <c r="I733" s="153" t="s">
        <v>141</v>
      </c>
      <c r="J733" s="158">
        <v>21580.74</v>
      </c>
      <c r="L733" s="158">
        <v>15.22</v>
      </c>
      <c r="M733" s="158">
        <v>15.22</v>
      </c>
      <c r="N733" s="159"/>
      <c r="O733" s="160">
        <v>0.25</v>
      </c>
      <c r="P733" s="160"/>
      <c r="Q733" s="159">
        <v>0</v>
      </c>
      <c r="R733" s="153" t="s">
        <v>146</v>
      </c>
      <c r="S733" s="161" t="s">
        <v>74</v>
      </c>
      <c r="T733" s="161">
        <v>31</v>
      </c>
      <c r="U733" s="162" t="s">
        <v>164</v>
      </c>
      <c r="V733" s="435"/>
      <c r="X733" s="159">
        <v>0</v>
      </c>
      <c r="Y733" s="159"/>
      <c r="AD733" s="176">
        <f>X733</f>
        <v>0</v>
      </c>
      <c r="AJ733" s="644"/>
    </row>
    <row r="734" spans="2:37" s="337" customFormat="1" ht="11.25" customHeight="1">
      <c r="B734" s="337" t="s">
        <v>291</v>
      </c>
      <c r="C734" s="349">
        <v>44655</v>
      </c>
      <c r="D734" s="349">
        <v>44678</v>
      </c>
      <c r="E734" s="350" t="s">
        <v>848</v>
      </c>
      <c r="F734" s="337" t="s">
        <v>486</v>
      </c>
      <c r="G734" s="351">
        <v>3923</v>
      </c>
      <c r="H734" s="337" t="s">
        <v>99</v>
      </c>
      <c r="I734" s="337" t="s">
        <v>141</v>
      </c>
      <c r="J734" s="352">
        <v>43943.199999999997</v>
      </c>
      <c r="L734" s="352">
        <v>41.3</v>
      </c>
      <c r="M734" s="352">
        <v>41.3</v>
      </c>
      <c r="N734" s="354"/>
      <c r="O734" s="355">
        <v>0.2</v>
      </c>
      <c r="P734" s="355"/>
      <c r="Q734" s="354">
        <v>0</v>
      </c>
      <c r="R734" s="337" t="s">
        <v>77</v>
      </c>
      <c r="S734" s="356" t="s">
        <v>41</v>
      </c>
      <c r="T734" s="356">
        <v>17</v>
      </c>
      <c r="U734" s="357" t="s">
        <v>164</v>
      </c>
      <c r="V734" s="434"/>
      <c r="X734" s="354">
        <v>0</v>
      </c>
      <c r="Y734" s="354"/>
      <c r="AI734" s="337">
        <v>0</v>
      </c>
      <c r="AJ734" s="358"/>
      <c r="AK734" s="369"/>
    </row>
    <row r="735" spans="2:37" s="379" customFormat="1" ht="11.25" customHeight="1">
      <c r="B735" s="380" t="s">
        <v>291</v>
      </c>
      <c r="C735" s="381">
        <v>44655</v>
      </c>
      <c r="D735" s="381">
        <v>44679</v>
      </c>
      <c r="E735" s="382" t="s">
        <v>849</v>
      </c>
      <c r="F735" s="379" t="s">
        <v>774</v>
      </c>
      <c r="G735" s="383">
        <v>4155</v>
      </c>
      <c r="H735" s="379" t="s">
        <v>183</v>
      </c>
      <c r="I735" s="379" t="s">
        <v>141</v>
      </c>
      <c r="J735" s="385">
        <v>29138.080000000002</v>
      </c>
      <c r="L735" s="385">
        <v>21.52</v>
      </c>
      <c r="M735" s="385">
        <v>21.52</v>
      </c>
      <c r="N735" s="386"/>
      <c r="O735" s="387">
        <v>0.3</v>
      </c>
      <c r="P735" s="387"/>
      <c r="Q735" s="386">
        <v>0</v>
      </c>
      <c r="R735" s="379" t="s">
        <v>77</v>
      </c>
      <c r="S735" s="388" t="s">
        <v>41</v>
      </c>
      <c r="T735" s="388">
        <v>17</v>
      </c>
      <c r="U735" s="389" t="s">
        <v>164</v>
      </c>
      <c r="V735" s="433"/>
      <c r="X735" s="386">
        <v>0</v>
      </c>
      <c r="Y735" s="386"/>
      <c r="AJ735" s="390">
        <v>0</v>
      </c>
    </row>
    <row r="736" spans="2:37" s="379" customFormat="1" ht="11.25" customHeight="1">
      <c r="B736" s="380" t="s">
        <v>291</v>
      </c>
      <c r="C736" s="381">
        <v>44655</v>
      </c>
      <c r="D736" s="381">
        <v>44679</v>
      </c>
      <c r="E736" s="382" t="s">
        <v>850</v>
      </c>
      <c r="F736" s="379" t="s">
        <v>776</v>
      </c>
      <c r="G736" s="383">
        <v>4156</v>
      </c>
      <c r="H736" s="379" t="s">
        <v>183</v>
      </c>
      <c r="I736" s="379" t="s">
        <v>141</v>
      </c>
      <c r="J736" s="385">
        <v>3554.25</v>
      </c>
      <c r="L736" s="385">
        <v>2.5</v>
      </c>
      <c r="M736" s="385">
        <v>2.5</v>
      </c>
      <c r="N736" s="386"/>
      <c r="O736" s="387">
        <v>0.3</v>
      </c>
      <c r="P736" s="387"/>
      <c r="Q736" s="386">
        <v>0</v>
      </c>
      <c r="R736" s="379" t="s">
        <v>77</v>
      </c>
      <c r="S736" s="388" t="s">
        <v>41</v>
      </c>
      <c r="T736" s="388">
        <v>17</v>
      </c>
      <c r="U736" s="389" t="s">
        <v>164</v>
      </c>
      <c r="V736" s="433"/>
      <c r="X736" s="386">
        <v>0</v>
      </c>
      <c r="Y736" s="386"/>
      <c r="AJ736" s="390">
        <v>0</v>
      </c>
    </row>
    <row r="737" spans="2:37" s="205" customFormat="1" ht="11.25" customHeight="1">
      <c r="B737" s="206" t="s">
        <v>291</v>
      </c>
      <c r="C737" s="207">
        <v>44656</v>
      </c>
      <c r="D737" s="207">
        <v>44679</v>
      </c>
      <c r="E737" s="208" t="s">
        <v>851</v>
      </c>
      <c r="F737" s="205" t="s">
        <v>796</v>
      </c>
      <c r="G737" s="209" t="s">
        <v>797</v>
      </c>
      <c r="H737" s="205" t="s">
        <v>140</v>
      </c>
      <c r="I737" s="205" t="s">
        <v>340</v>
      </c>
      <c r="J737" s="210">
        <v>12242.36</v>
      </c>
      <c r="L737" s="210">
        <v>6.98</v>
      </c>
      <c r="M737" s="210">
        <v>6.98</v>
      </c>
      <c r="N737" s="213"/>
      <c r="O737" s="212">
        <v>0.25</v>
      </c>
      <c r="P737" s="212"/>
      <c r="Q737" s="213">
        <v>0</v>
      </c>
      <c r="R737" s="205" t="s">
        <v>42</v>
      </c>
      <c r="S737" s="214" t="s">
        <v>41</v>
      </c>
      <c r="T737" s="214">
        <v>17</v>
      </c>
      <c r="U737" s="215" t="s">
        <v>164</v>
      </c>
      <c r="V737" s="438"/>
      <c r="W737" s="205" t="s">
        <v>2837</v>
      </c>
      <c r="X737" s="213">
        <v>0</v>
      </c>
      <c r="Y737" s="213"/>
      <c r="AF737" s="230">
        <f>X737</f>
        <v>0</v>
      </c>
      <c r="AJ737" s="216"/>
    </row>
    <row r="738" spans="2:37" s="205" customFormat="1" ht="11.25" customHeight="1">
      <c r="B738" s="206" t="s">
        <v>291</v>
      </c>
      <c r="C738" s="207"/>
      <c r="D738" s="207"/>
      <c r="E738" s="208" t="s">
        <v>851</v>
      </c>
      <c r="F738" s="205" t="s">
        <v>796</v>
      </c>
      <c r="G738" s="209" t="s">
        <v>797</v>
      </c>
      <c r="H738" s="205" t="s">
        <v>99</v>
      </c>
      <c r="I738" s="205" t="s">
        <v>340</v>
      </c>
      <c r="J738" s="210">
        <v>70574.14</v>
      </c>
      <c r="L738" s="210">
        <v>52.1</v>
      </c>
      <c r="M738" s="210">
        <v>52.1</v>
      </c>
      <c r="N738" s="213"/>
      <c r="O738" s="212">
        <v>0.25</v>
      </c>
      <c r="P738" s="212"/>
      <c r="Q738" s="213">
        <v>0</v>
      </c>
      <c r="R738" s="205" t="s">
        <v>42</v>
      </c>
      <c r="S738" s="214" t="s">
        <v>41</v>
      </c>
      <c r="T738" s="214">
        <v>17</v>
      </c>
      <c r="U738" s="215" t="s">
        <v>164</v>
      </c>
      <c r="V738" s="438"/>
      <c r="W738" s="205" t="s">
        <v>2837</v>
      </c>
      <c r="X738" s="213">
        <v>0</v>
      </c>
      <c r="Y738" s="213"/>
      <c r="AF738" s="230">
        <f>X738</f>
        <v>0</v>
      </c>
      <c r="AJ738" s="216"/>
    </row>
    <row r="739" spans="2:37" s="379" customFormat="1" ht="11.25" customHeight="1">
      <c r="B739" s="380" t="s">
        <v>291</v>
      </c>
      <c r="C739" s="381">
        <v>44678</v>
      </c>
      <c r="D739" s="381">
        <v>44679</v>
      </c>
      <c r="E739" s="382" t="s">
        <v>852</v>
      </c>
      <c r="F739" s="379" t="s">
        <v>705</v>
      </c>
      <c r="G739" s="383">
        <v>3509</v>
      </c>
      <c r="H739" s="379" t="s">
        <v>140</v>
      </c>
      <c r="I739" s="379" t="s">
        <v>33</v>
      </c>
      <c r="J739" s="385">
        <v>11874.46</v>
      </c>
      <c r="L739" s="385">
        <v>9.57</v>
      </c>
      <c r="M739" s="385">
        <v>9.56</v>
      </c>
      <c r="N739" s="386"/>
      <c r="O739" s="387">
        <v>0.3</v>
      </c>
      <c r="P739" s="387"/>
      <c r="Q739" s="386">
        <v>0</v>
      </c>
      <c r="R739" s="379" t="s">
        <v>35</v>
      </c>
      <c r="S739" s="388" t="s">
        <v>34</v>
      </c>
      <c r="T739" s="388">
        <v>17</v>
      </c>
      <c r="U739" s="389" t="s">
        <v>164</v>
      </c>
      <c r="V739" s="433"/>
      <c r="X739" s="386">
        <v>0</v>
      </c>
      <c r="Y739" s="386"/>
      <c r="AJ739" s="390">
        <v>0</v>
      </c>
    </row>
    <row r="740" spans="2:37" s="379" customFormat="1" ht="11.25" customHeight="1">
      <c r="B740" s="380" t="s">
        <v>291</v>
      </c>
      <c r="C740" s="381"/>
      <c r="D740" s="381"/>
      <c r="E740" s="382" t="s">
        <v>852</v>
      </c>
      <c r="F740" s="379" t="s">
        <v>705</v>
      </c>
      <c r="G740" s="383">
        <v>3509</v>
      </c>
      <c r="H740" s="379" t="s">
        <v>99</v>
      </c>
      <c r="I740" s="379" t="s">
        <v>33</v>
      </c>
      <c r="J740" s="385">
        <v>38530.269999999997</v>
      </c>
      <c r="L740" s="385">
        <v>35.31</v>
      </c>
      <c r="M740" s="385">
        <v>35.299999999999997</v>
      </c>
      <c r="N740" s="386"/>
      <c r="O740" s="387">
        <v>0.3</v>
      </c>
      <c r="P740" s="387"/>
      <c r="Q740" s="386">
        <v>0</v>
      </c>
      <c r="R740" s="379" t="s">
        <v>35</v>
      </c>
      <c r="S740" s="388" t="s">
        <v>34</v>
      </c>
      <c r="T740" s="388">
        <v>17</v>
      </c>
      <c r="U740" s="389" t="s">
        <v>164</v>
      </c>
      <c r="V740" s="433"/>
      <c r="X740" s="386">
        <v>0</v>
      </c>
      <c r="Y740" s="386"/>
      <c r="AJ740" s="390">
        <v>0</v>
      </c>
    </row>
    <row r="741" spans="2:37" s="379" customFormat="1" ht="11.25" customHeight="1">
      <c r="B741" s="380" t="s">
        <v>291</v>
      </c>
      <c r="C741" s="381"/>
      <c r="D741" s="381"/>
      <c r="E741" s="382" t="s">
        <v>852</v>
      </c>
      <c r="F741" s="379" t="s">
        <v>705</v>
      </c>
      <c r="G741" s="383">
        <v>3509</v>
      </c>
      <c r="H741" s="379" t="s">
        <v>27</v>
      </c>
      <c r="I741" s="379" t="s">
        <v>33</v>
      </c>
      <c r="J741" s="385">
        <v>15047.76</v>
      </c>
      <c r="L741" s="385">
        <v>12.72</v>
      </c>
      <c r="M741" s="385">
        <v>12.71</v>
      </c>
      <c r="N741" s="386"/>
      <c r="O741" s="387">
        <v>0.3</v>
      </c>
      <c r="P741" s="387"/>
      <c r="Q741" s="386">
        <v>0</v>
      </c>
      <c r="R741" s="379" t="s">
        <v>35</v>
      </c>
      <c r="S741" s="388" t="s">
        <v>34</v>
      </c>
      <c r="T741" s="388">
        <v>17</v>
      </c>
      <c r="U741" s="389" t="s">
        <v>164</v>
      </c>
      <c r="V741" s="433"/>
      <c r="X741" s="386">
        <v>0</v>
      </c>
      <c r="Y741" s="386"/>
      <c r="AJ741" s="390">
        <v>0</v>
      </c>
    </row>
    <row r="742" spans="2:37" s="379" customFormat="1" ht="11.25" customHeight="1">
      <c r="B742" s="380" t="s">
        <v>291</v>
      </c>
      <c r="C742" s="381"/>
      <c r="D742" s="381"/>
      <c r="E742" s="382" t="s">
        <v>852</v>
      </c>
      <c r="F742" s="379" t="s">
        <v>705</v>
      </c>
      <c r="G742" s="383">
        <v>3509</v>
      </c>
      <c r="H742" s="379" t="s">
        <v>183</v>
      </c>
      <c r="I742" s="379" t="s">
        <v>33</v>
      </c>
      <c r="J742" s="385">
        <v>3907.03</v>
      </c>
      <c r="L742" s="385">
        <v>4.25</v>
      </c>
      <c r="M742" s="385">
        <v>4.24</v>
      </c>
      <c r="N742" s="386"/>
      <c r="O742" s="387">
        <v>0.3</v>
      </c>
      <c r="P742" s="387"/>
      <c r="Q742" s="386">
        <v>0</v>
      </c>
      <c r="R742" s="379" t="s">
        <v>35</v>
      </c>
      <c r="S742" s="388" t="s">
        <v>34</v>
      </c>
      <c r="T742" s="388">
        <v>17</v>
      </c>
      <c r="U742" s="389" t="s">
        <v>164</v>
      </c>
      <c r="V742" s="433"/>
      <c r="X742" s="386">
        <v>0</v>
      </c>
      <c r="Y742" s="386"/>
      <c r="AJ742" s="390">
        <v>0</v>
      </c>
    </row>
    <row r="743" spans="2:37" s="130" customFormat="1" ht="11.25" customHeight="1">
      <c r="B743" s="130" t="s">
        <v>291</v>
      </c>
      <c r="C743" s="131">
        <v>44675</v>
      </c>
      <c r="D743" s="131">
        <v>44679</v>
      </c>
      <c r="E743" s="132" t="s">
        <v>853</v>
      </c>
      <c r="F743" s="130" t="s">
        <v>56</v>
      </c>
      <c r="G743" s="133">
        <v>3697</v>
      </c>
      <c r="H743" s="130" t="s">
        <v>765</v>
      </c>
      <c r="I743" s="130" t="s">
        <v>854</v>
      </c>
      <c r="J743" s="134">
        <v>10722.17</v>
      </c>
      <c r="K743" s="135"/>
      <c r="L743" s="134">
        <v>9.0500000000000007</v>
      </c>
      <c r="M743" s="134">
        <v>1.4</v>
      </c>
      <c r="N743" s="136"/>
      <c r="O743" s="137">
        <v>0.25</v>
      </c>
      <c r="P743" s="137"/>
      <c r="Q743" s="136">
        <v>247.8</v>
      </c>
      <c r="R743" s="130" t="s">
        <v>54</v>
      </c>
      <c r="S743" s="138" t="s">
        <v>51</v>
      </c>
      <c r="T743" s="138">
        <v>55</v>
      </c>
      <c r="U743" s="139" t="s">
        <v>164</v>
      </c>
      <c r="V743" s="439">
        <v>247.8</v>
      </c>
      <c r="X743" s="136">
        <v>247.8</v>
      </c>
      <c r="Y743" s="136"/>
      <c r="AC743" s="144">
        <f>X743</f>
        <v>247.8</v>
      </c>
      <c r="AJ743" s="140"/>
    </row>
    <row r="744" spans="2:37" s="153" customFormat="1" ht="11.25" customHeight="1">
      <c r="B744" s="153" t="s">
        <v>291</v>
      </c>
      <c r="C744" s="155">
        <v>44676</v>
      </c>
      <c r="D744" s="155">
        <v>44680</v>
      </c>
      <c r="E744" s="156" t="s">
        <v>855</v>
      </c>
      <c r="F744" s="153" t="s">
        <v>856</v>
      </c>
      <c r="G744" s="157">
        <v>4268</v>
      </c>
      <c r="H744" s="153" t="s">
        <v>99</v>
      </c>
      <c r="I744" s="153" t="s">
        <v>141</v>
      </c>
      <c r="J744" s="158">
        <v>12067.27</v>
      </c>
      <c r="L744" s="158">
        <v>10.41</v>
      </c>
      <c r="M744" s="158">
        <v>10.41</v>
      </c>
      <c r="N744" s="174"/>
      <c r="O744" s="160">
        <v>0.15</v>
      </c>
      <c r="P744" s="160"/>
      <c r="Q744" s="159">
        <v>0</v>
      </c>
      <c r="R744" s="153" t="s">
        <v>77</v>
      </c>
      <c r="S744" s="161" t="s">
        <v>41</v>
      </c>
      <c r="T744" s="161">
        <v>17</v>
      </c>
      <c r="U744" s="162" t="s">
        <v>164</v>
      </c>
      <c r="V744" s="435"/>
      <c r="W744" s="153" t="s">
        <v>1876</v>
      </c>
      <c r="X744" s="159">
        <v>0</v>
      </c>
      <c r="Y744" s="159"/>
      <c r="AD744" s="176">
        <f>X744</f>
        <v>0</v>
      </c>
      <c r="AJ744" s="644"/>
    </row>
    <row r="745" spans="2:37" s="337" customFormat="1" ht="11.25" customHeight="1">
      <c r="B745" s="337" t="s">
        <v>291</v>
      </c>
      <c r="C745" s="349"/>
      <c r="D745" s="349"/>
      <c r="E745" s="350" t="s">
        <v>855</v>
      </c>
      <c r="F745" s="337" t="s">
        <v>856</v>
      </c>
      <c r="G745" s="351">
        <v>4268</v>
      </c>
      <c r="H745" s="337" t="s">
        <v>183</v>
      </c>
      <c r="I745" s="337" t="s">
        <v>141</v>
      </c>
      <c r="J745" s="352">
        <v>13026.18</v>
      </c>
      <c r="L745" s="352">
        <v>13.66</v>
      </c>
      <c r="M745" s="352">
        <v>13.66</v>
      </c>
      <c r="N745" s="360"/>
      <c r="O745" s="355">
        <v>0.15</v>
      </c>
      <c r="P745" s="355"/>
      <c r="Q745" s="354">
        <v>0</v>
      </c>
      <c r="R745" s="337" t="s">
        <v>77</v>
      </c>
      <c r="S745" s="356" t="s">
        <v>41</v>
      </c>
      <c r="T745" s="356">
        <v>17</v>
      </c>
      <c r="U745" s="357" t="s">
        <v>164</v>
      </c>
      <c r="V745" s="434"/>
      <c r="X745" s="354">
        <v>0</v>
      </c>
      <c r="Y745" s="354"/>
      <c r="AI745" s="337">
        <v>0</v>
      </c>
      <c r="AJ745" s="358"/>
      <c r="AK745" s="369"/>
    </row>
    <row r="746" spans="2:37" s="181" customFormat="1" ht="11.25" customHeight="1">
      <c r="B746" s="181" t="s">
        <v>691</v>
      </c>
      <c r="C746" s="179">
        <v>44674</v>
      </c>
      <c r="D746" s="179">
        <v>44681</v>
      </c>
      <c r="E746" s="180" t="s">
        <v>857</v>
      </c>
      <c r="F746" s="181" t="s">
        <v>858</v>
      </c>
      <c r="G746" s="182" t="s">
        <v>859</v>
      </c>
      <c r="H746" s="181" t="s">
        <v>99</v>
      </c>
      <c r="I746" s="181" t="s">
        <v>156</v>
      </c>
      <c r="J746" s="183">
        <v>60550</v>
      </c>
      <c r="L746" s="183">
        <v>50</v>
      </c>
      <c r="M746" s="183">
        <v>50</v>
      </c>
      <c r="N746" s="191"/>
      <c r="O746" s="186">
        <v>0.3</v>
      </c>
      <c r="P746" s="186">
        <v>0.1</v>
      </c>
      <c r="Q746" s="185">
        <v>0</v>
      </c>
      <c r="R746" s="181" t="s">
        <v>73</v>
      </c>
      <c r="S746" s="187" t="s">
        <v>113</v>
      </c>
      <c r="T746" s="187">
        <v>31</v>
      </c>
      <c r="U746" s="188" t="s">
        <v>164</v>
      </c>
      <c r="V746" s="441"/>
      <c r="W746" s="181" t="s">
        <v>2704</v>
      </c>
      <c r="X746" s="185">
        <v>0</v>
      </c>
      <c r="Y746" s="185"/>
      <c r="AE746" s="204">
        <f>X746</f>
        <v>0</v>
      </c>
      <c r="AJ746" s="189"/>
    </row>
    <row r="747" spans="2:37" s="181" customFormat="1" ht="11.25" customHeight="1">
      <c r="B747" s="181" t="s">
        <v>691</v>
      </c>
      <c r="C747" s="179"/>
      <c r="D747" s="179"/>
      <c r="E747" s="180" t="s">
        <v>857</v>
      </c>
      <c r="F747" s="181" t="s">
        <v>858</v>
      </c>
      <c r="G747" s="182" t="s">
        <v>859</v>
      </c>
      <c r="H747" s="181" t="s">
        <v>183</v>
      </c>
      <c r="I747" s="181" t="s">
        <v>156</v>
      </c>
      <c r="J747" s="183">
        <v>17535</v>
      </c>
      <c r="L747" s="183">
        <v>15</v>
      </c>
      <c r="M747" s="183">
        <v>15</v>
      </c>
      <c r="N747" s="191"/>
      <c r="O747" s="186">
        <v>0.3</v>
      </c>
      <c r="P747" s="186">
        <v>0.1</v>
      </c>
      <c r="Q747" s="185">
        <v>0</v>
      </c>
      <c r="R747" s="181" t="s">
        <v>73</v>
      </c>
      <c r="S747" s="187" t="s">
        <v>113</v>
      </c>
      <c r="T747" s="187">
        <v>31</v>
      </c>
      <c r="U747" s="188" t="s">
        <v>164</v>
      </c>
      <c r="V747" s="441"/>
      <c r="W747" s="181" t="s">
        <v>2704</v>
      </c>
      <c r="X747" s="185">
        <v>0</v>
      </c>
      <c r="Y747" s="185"/>
      <c r="AE747" s="204">
        <f>X747</f>
        <v>0</v>
      </c>
      <c r="AJ747" s="189"/>
    </row>
    <row r="748" spans="2:37" s="181" customFormat="1" ht="11.25" customHeight="1">
      <c r="B748" s="181" t="s">
        <v>691</v>
      </c>
      <c r="C748" s="179"/>
      <c r="D748" s="179"/>
      <c r="E748" s="180" t="s">
        <v>857</v>
      </c>
      <c r="F748" s="181" t="s">
        <v>858</v>
      </c>
      <c r="G748" s="182" t="s">
        <v>859</v>
      </c>
      <c r="H748" s="181" t="s">
        <v>27</v>
      </c>
      <c r="I748" s="181" t="s">
        <v>156</v>
      </c>
      <c r="J748" s="183">
        <v>16674</v>
      </c>
      <c r="L748" s="183">
        <v>14</v>
      </c>
      <c r="M748" s="183">
        <v>14</v>
      </c>
      <c r="N748" s="191"/>
      <c r="O748" s="186">
        <v>0.3</v>
      </c>
      <c r="P748" s="186">
        <v>0.1</v>
      </c>
      <c r="Q748" s="185">
        <v>0</v>
      </c>
      <c r="R748" s="181" t="s">
        <v>73</v>
      </c>
      <c r="S748" s="187" t="s">
        <v>113</v>
      </c>
      <c r="T748" s="187">
        <v>31</v>
      </c>
      <c r="U748" s="188" t="s">
        <v>164</v>
      </c>
      <c r="V748" s="441"/>
      <c r="W748" s="181" t="s">
        <v>2704</v>
      </c>
      <c r="X748" s="185">
        <v>0</v>
      </c>
      <c r="Y748" s="185"/>
      <c r="AE748" s="204">
        <f>X748</f>
        <v>0</v>
      </c>
      <c r="AJ748" s="189"/>
    </row>
    <row r="749" spans="2:37" s="153" customFormat="1" ht="11.25" customHeight="1">
      <c r="B749" s="154" t="s">
        <v>291</v>
      </c>
      <c r="C749" s="155">
        <v>44674</v>
      </c>
      <c r="D749" s="155">
        <v>44683</v>
      </c>
      <c r="E749" s="156" t="s">
        <v>860</v>
      </c>
      <c r="F749" s="153" t="s">
        <v>581</v>
      </c>
      <c r="G749" s="157" t="s">
        <v>582</v>
      </c>
      <c r="H749" s="153" t="s">
        <v>138</v>
      </c>
      <c r="I749" s="153" t="s">
        <v>156</v>
      </c>
      <c r="J749" s="158">
        <v>27133.66</v>
      </c>
      <c r="L749" s="158">
        <v>25.79</v>
      </c>
      <c r="M749" s="158">
        <v>25.79</v>
      </c>
      <c r="O749" s="160">
        <v>0.2</v>
      </c>
      <c r="P749" s="160">
        <v>0.1</v>
      </c>
      <c r="Q749" s="159">
        <v>0</v>
      </c>
      <c r="R749" s="153" t="s">
        <v>146</v>
      </c>
      <c r="S749" s="161" t="s">
        <v>74</v>
      </c>
      <c r="T749" s="161">
        <v>31</v>
      </c>
      <c r="U749" s="162" t="s">
        <v>164</v>
      </c>
      <c r="V749" s="435"/>
      <c r="X749" s="159">
        <v>0</v>
      </c>
      <c r="Y749" s="159"/>
      <c r="AD749" s="176">
        <f>X749</f>
        <v>0</v>
      </c>
      <c r="AJ749" s="644"/>
    </row>
    <row r="750" spans="2:37" s="153" customFormat="1" ht="11.25" customHeight="1">
      <c r="B750" s="154" t="s">
        <v>291</v>
      </c>
      <c r="C750" s="155"/>
      <c r="D750" s="155"/>
      <c r="E750" s="156" t="s">
        <v>860</v>
      </c>
      <c r="F750" s="153" t="s">
        <v>581</v>
      </c>
      <c r="G750" s="157" t="s">
        <v>582</v>
      </c>
      <c r="H750" s="153" t="s">
        <v>27</v>
      </c>
      <c r="I750" s="153" t="s">
        <v>156</v>
      </c>
      <c r="J750" s="158">
        <v>44961.66</v>
      </c>
      <c r="L750" s="158">
        <v>31.82</v>
      </c>
      <c r="M750" s="158">
        <v>31.82</v>
      </c>
      <c r="N750" s="174"/>
      <c r="O750" s="160">
        <v>0.2</v>
      </c>
      <c r="P750" s="160">
        <v>0.1</v>
      </c>
      <c r="Q750" s="159">
        <v>0</v>
      </c>
      <c r="R750" s="153" t="s">
        <v>146</v>
      </c>
      <c r="S750" s="161" t="s">
        <v>74</v>
      </c>
      <c r="T750" s="161">
        <v>31</v>
      </c>
      <c r="U750" s="162" t="s">
        <v>164</v>
      </c>
      <c r="V750" s="435"/>
      <c r="X750" s="159">
        <v>0</v>
      </c>
      <c r="Y750" s="159"/>
      <c r="AD750" s="176">
        <f>X750</f>
        <v>0</v>
      </c>
      <c r="AJ750" s="644"/>
    </row>
    <row r="751" spans="2:37" s="153" customFormat="1" ht="11.25" customHeight="1">
      <c r="B751" s="154" t="s">
        <v>291</v>
      </c>
      <c r="C751" s="155"/>
      <c r="D751" s="155"/>
      <c r="E751" s="156" t="s">
        <v>860</v>
      </c>
      <c r="F751" s="153" t="s">
        <v>581</v>
      </c>
      <c r="G751" s="157" t="s">
        <v>582</v>
      </c>
      <c r="H751" s="153" t="s">
        <v>137</v>
      </c>
      <c r="I751" s="153" t="s">
        <v>156</v>
      </c>
      <c r="J751" s="158">
        <v>25029</v>
      </c>
      <c r="L751" s="158">
        <v>30.9</v>
      </c>
      <c r="M751" s="158">
        <v>30.9</v>
      </c>
      <c r="N751" s="174"/>
      <c r="O751" s="160">
        <v>0.2</v>
      </c>
      <c r="P751" s="160">
        <v>0.1</v>
      </c>
      <c r="Q751" s="159">
        <v>0</v>
      </c>
      <c r="R751" s="153" t="s">
        <v>146</v>
      </c>
      <c r="S751" s="161" t="s">
        <v>74</v>
      </c>
      <c r="T751" s="161">
        <v>31</v>
      </c>
      <c r="U751" s="162" t="s">
        <v>164</v>
      </c>
      <c r="V751" s="435"/>
      <c r="X751" s="159">
        <v>0</v>
      </c>
      <c r="Y751" s="159"/>
      <c r="AD751" s="176">
        <f>X751</f>
        <v>0</v>
      </c>
      <c r="AJ751" s="644"/>
    </row>
    <row r="752" spans="2:37" s="153" customFormat="1" ht="11.25" customHeight="1">
      <c r="B752" s="154" t="s">
        <v>291</v>
      </c>
      <c r="C752" s="155">
        <v>44674</v>
      </c>
      <c r="D752" s="155">
        <v>44683</v>
      </c>
      <c r="E752" s="156" t="s">
        <v>861</v>
      </c>
      <c r="F752" s="153" t="s">
        <v>626</v>
      </c>
      <c r="G752" s="157" t="s">
        <v>627</v>
      </c>
      <c r="H752" s="153" t="s">
        <v>138</v>
      </c>
      <c r="I752" s="153" t="s">
        <v>156</v>
      </c>
      <c r="J752" s="158">
        <v>12625.2</v>
      </c>
      <c r="L752" s="158">
        <v>12</v>
      </c>
      <c r="M752" s="158">
        <v>12</v>
      </c>
      <c r="N752" s="174"/>
      <c r="O752" s="160">
        <v>0.2</v>
      </c>
      <c r="P752" s="160">
        <v>0.1</v>
      </c>
      <c r="Q752" s="159">
        <v>0</v>
      </c>
      <c r="R752" s="153" t="s">
        <v>146</v>
      </c>
      <c r="S752" s="161" t="s">
        <v>74</v>
      </c>
      <c r="T752" s="161">
        <v>31</v>
      </c>
      <c r="U752" s="162" t="s">
        <v>164</v>
      </c>
      <c r="V752" s="435"/>
      <c r="X752" s="159">
        <v>0</v>
      </c>
      <c r="Y752" s="159"/>
      <c r="AD752" s="176">
        <f>X752</f>
        <v>0</v>
      </c>
      <c r="AJ752" s="644"/>
    </row>
    <row r="753" spans="1:37" s="153" customFormat="1" ht="11.25" customHeight="1">
      <c r="B753" s="154" t="s">
        <v>291</v>
      </c>
      <c r="C753" s="155"/>
      <c r="D753" s="155"/>
      <c r="E753" s="156" t="s">
        <v>861</v>
      </c>
      <c r="F753" s="153" t="s">
        <v>626</v>
      </c>
      <c r="G753" s="157" t="s">
        <v>627</v>
      </c>
      <c r="H753" s="153" t="s">
        <v>27</v>
      </c>
      <c r="I753" s="153" t="s">
        <v>156</v>
      </c>
      <c r="J753" s="158">
        <v>1497.78</v>
      </c>
      <c r="L753" s="158">
        <v>1.06</v>
      </c>
      <c r="M753" s="158">
        <v>1.06</v>
      </c>
      <c r="N753" s="174"/>
      <c r="O753" s="160">
        <v>0.2</v>
      </c>
      <c r="P753" s="160">
        <v>0.1</v>
      </c>
      <c r="Q753" s="159">
        <v>0</v>
      </c>
      <c r="R753" s="153" t="s">
        <v>146</v>
      </c>
      <c r="S753" s="161" t="s">
        <v>74</v>
      </c>
      <c r="T753" s="161">
        <v>31</v>
      </c>
      <c r="U753" s="162" t="s">
        <v>164</v>
      </c>
      <c r="V753" s="435"/>
      <c r="X753" s="159">
        <v>0</v>
      </c>
      <c r="Y753" s="159"/>
      <c r="AD753" s="176">
        <f>X753</f>
        <v>0</v>
      </c>
      <c r="AJ753" s="644"/>
    </row>
    <row r="754" spans="1:37" s="337" customFormat="1" ht="11.25" customHeight="1">
      <c r="B754" s="338" t="s">
        <v>291</v>
      </c>
      <c r="C754" s="349">
        <v>44680</v>
      </c>
      <c r="D754" s="349">
        <v>44683</v>
      </c>
      <c r="E754" s="350" t="s">
        <v>862</v>
      </c>
      <c r="F754" s="337" t="s">
        <v>863</v>
      </c>
      <c r="G754" s="351" t="s">
        <v>864</v>
      </c>
      <c r="H754" s="337" t="s">
        <v>865</v>
      </c>
      <c r="I754" s="337" t="s">
        <v>28</v>
      </c>
      <c r="J754" s="352">
        <v>7700</v>
      </c>
      <c r="L754" s="352">
        <v>4</v>
      </c>
      <c r="M754" s="352">
        <v>1</v>
      </c>
      <c r="N754" s="360">
        <v>156</v>
      </c>
      <c r="O754" s="355">
        <v>0.25</v>
      </c>
      <c r="P754" s="355"/>
      <c r="Q754" s="354">
        <v>156</v>
      </c>
      <c r="R754" s="337" t="s">
        <v>112</v>
      </c>
      <c r="S754" s="356" t="s">
        <v>113</v>
      </c>
      <c r="T754" s="356">
        <v>64</v>
      </c>
      <c r="U754" s="357" t="s">
        <v>164</v>
      </c>
      <c r="V754" s="434">
        <v>156</v>
      </c>
      <c r="X754" s="354">
        <v>156</v>
      </c>
      <c r="Y754" s="354"/>
      <c r="AI754" s="337">
        <v>156</v>
      </c>
      <c r="AJ754" s="358"/>
      <c r="AK754" s="369"/>
    </row>
    <row r="755" spans="1:37" s="181" customFormat="1" ht="11.25" customHeight="1">
      <c r="B755" s="178" t="s">
        <v>291</v>
      </c>
      <c r="C755" s="179"/>
      <c r="D755" s="179"/>
      <c r="E755" s="180" t="s">
        <v>862</v>
      </c>
      <c r="F755" s="181" t="s">
        <v>863</v>
      </c>
      <c r="G755" s="182" t="s">
        <v>864</v>
      </c>
      <c r="H755" s="181" t="s">
        <v>866</v>
      </c>
      <c r="I755" s="181" t="s">
        <v>28</v>
      </c>
      <c r="J755" s="183">
        <v>57750</v>
      </c>
      <c r="L755" s="183">
        <v>30</v>
      </c>
      <c r="M755" s="183">
        <v>2</v>
      </c>
      <c r="N755" s="191">
        <v>0</v>
      </c>
      <c r="O755" s="186">
        <v>0.25</v>
      </c>
      <c r="P755" s="186"/>
      <c r="Q755" s="185">
        <v>746.7</v>
      </c>
      <c r="R755" s="181" t="s">
        <v>112</v>
      </c>
      <c r="S755" s="187" t="s">
        <v>113</v>
      </c>
      <c r="T755" s="187">
        <v>64</v>
      </c>
      <c r="U755" s="188" t="s">
        <v>164</v>
      </c>
      <c r="V755" s="441">
        <v>746.7</v>
      </c>
      <c r="X755" s="185">
        <v>746.7</v>
      </c>
      <c r="Y755" s="185"/>
      <c r="AE755" s="204">
        <f>X755</f>
        <v>746.7</v>
      </c>
      <c r="AJ755" s="189"/>
    </row>
    <row r="756" spans="1:37" s="236" customFormat="1" ht="11.25" customHeight="1">
      <c r="B756" s="246" t="s">
        <v>291</v>
      </c>
      <c r="C756" s="237">
        <v>44681</v>
      </c>
      <c r="D756" s="237">
        <v>44683</v>
      </c>
      <c r="E756" s="238" t="s">
        <v>867</v>
      </c>
      <c r="F756" s="236" t="s">
        <v>868</v>
      </c>
      <c r="G756" s="239">
        <v>3533</v>
      </c>
      <c r="H756" s="236" t="s">
        <v>27</v>
      </c>
      <c r="I756" s="236" t="s">
        <v>33</v>
      </c>
      <c r="J756" s="240">
        <v>22575.040000000001</v>
      </c>
      <c r="L756" s="240">
        <v>15.01</v>
      </c>
      <c r="M756" s="240">
        <v>15.01</v>
      </c>
      <c r="N756" s="247"/>
      <c r="O756" s="243">
        <v>0.15</v>
      </c>
      <c r="P756" s="243"/>
      <c r="Q756" s="242">
        <v>0</v>
      </c>
      <c r="R756" s="236" t="s">
        <v>128</v>
      </c>
      <c r="S756" s="244" t="s">
        <v>118</v>
      </c>
      <c r="T756" s="244">
        <v>79</v>
      </c>
      <c r="U756" s="245" t="s">
        <v>164</v>
      </c>
      <c r="V756" s="446"/>
      <c r="X756" s="242">
        <v>0</v>
      </c>
      <c r="Y756" s="242"/>
      <c r="AG756" s="236">
        <f>X756</f>
        <v>0</v>
      </c>
      <c r="AJ756" s="640"/>
    </row>
    <row r="757" spans="1:37" s="236" customFormat="1" ht="11.25" customHeight="1">
      <c r="B757" s="246" t="s">
        <v>291</v>
      </c>
      <c r="C757" s="237"/>
      <c r="D757" s="237"/>
      <c r="E757" s="238" t="s">
        <v>867</v>
      </c>
      <c r="F757" s="236" t="s">
        <v>868</v>
      </c>
      <c r="G757" s="239">
        <v>3533</v>
      </c>
      <c r="H757" s="236" t="s">
        <v>99</v>
      </c>
      <c r="I757" s="236" t="s">
        <v>33</v>
      </c>
      <c r="J757" s="240">
        <v>29457.89</v>
      </c>
      <c r="L757" s="240">
        <v>25.21</v>
      </c>
      <c r="M757" s="240">
        <v>25.21</v>
      </c>
      <c r="N757" s="247"/>
      <c r="O757" s="243">
        <v>0.15</v>
      </c>
      <c r="P757" s="243"/>
      <c r="Q757" s="242">
        <v>318.52999999999997</v>
      </c>
      <c r="R757" s="236" t="s">
        <v>128</v>
      </c>
      <c r="S757" s="244" t="s">
        <v>118</v>
      </c>
      <c r="T757" s="244">
        <v>79</v>
      </c>
      <c r="U757" s="245" t="s">
        <v>164</v>
      </c>
      <c r="V757" s="446"/>
      <c r="X757" s="242">
        <v>318.52999999999997</v>
      </c>
      <c r="Y757" s="242"/>
      <c r="AG757" s="236">
        <f>X757</f>
        <v>318.52999999999997</v>
      </c>
      <c r="AJ757" s="640"/>
    </row>
    <row r="758" spans="1:37" s="236" customFormat="1" ht="11.25" customHeight="1">
      <c r="B758" s="246" t="s">
        <v>291</v>
      </c>
      <c r="C758" s="237">
        <v>44683</v>
      </c>
      <c r="D758" s="237">
        <v>44683</v>
      </c>
      <c r="E758" s="238" t="s">
        <v>869</v>
      </c>
      <c r="F758" s="236" t="s">
        <v>870</v>
      </c>
      <c r="G758" s="239">
        <v>3671</v>
      </c>
      <c r="H758" s="236" t="s">
        <v>27</v>
      </c>
      <c r="I758" s="236" t="s">
        <v>33</v>
      </c>
      <c r="J758" s="240">
        <v>25509.27</v>
      </c>
      <c r="L758" s="240">
        <v>20.93</v>
      </c>
      <c r="M758" s="240">
        <v>20.74</v>
      </c>
      <c r="N758" s="247">
        <f>J758*0.1</f>
        <v>2550.9270000000001</v>
      </c>
      <c r="O758" s="243">
        <v>0.2</v>
      </c>
      <c r="P758" s="243"/>
      <c r="Q758" s="242">
        <v>0</v>
      </c>
      <c r="R758" s="236" t="s">
        <v>42</v>
      </c>
      <c r="S758" s="244" t="s">
        <v>41</v>
      </c>
      <c r="T758" s="244">
        <v>17</v>
      </c>
      <c r="U758" s="245" t="s">
        <v>164</v>
      </c>
      <c r="V758" s="446"/>
      <c r="X758" s="242">
        <v>0</v>
      </c>
      <c r="Y758" s="242"/>
      <c r="AG758" s="236">
        <f>X758</f>
        <v>0</v>
      </c>
      <c r="AJ758" s="640"/>
    </row>
    <row r="759" spans="1:37" s="236" customFormat="1" ht="11.25" customHeight="1">
      <c r="B759" s="246" t="s">
        <v>291</v>
      </c>
      <c r="C759" s="237"/>
      <c r="D759" s="237"/>
      <c r="E759" s="238" t="s">
        <v>869</v>
      </c>
      <c r="F759" s="236" t="s">
        <v>870</v>
      </c>
      <c r="G759" s="239">
        <v>3671</v>
      </c>
      <c r="H759" s="236" t="s">
        <v>162</v>
      </c>
      <c r="I759" s="236" t="s">
        <v>33</v>
      </c>
      <c r="J759" s="240">
        <v>8130.81</v>
      </c>
      <c r="L759" s="240">
        <v>19.36</v>
      </c>
      <c r="M759" s="240">
        <v>19.34</v>
      </c>
      <c r="N759" s="247">
        <f>J759*0.2</f>
        <v>1626.1620000000003</v>
      </c>
      <c r="O759" s="243">
        <v>0.2</v>
      </c>
      <c r="P759" s="243"/>
      <c r="Q759" s="242">
        <f>N759-J759*O759</f>
        <v>0</v>
      </c>
      <c r="R759" s="236" t="s">
        <v>42</v>
      </c>
      <c r="S759" s="244" t="s">
        <v>41</v>
      </c>
      <c r="T759" s="244">
        <v>17</v>
      </c>
      <c r="U759" s="245" t="s">
        <v>164</v>
      </c>
      <c r="V759" s="446"/>
      <c r="X759" s="242">
        <v>0</v>
      </c>
      <c r="Y759" s="242"/>
      <c r="AG759" s="236">
        <f>X759</f>
        <v>0</v>
      </c>
      <c r="AJ759" s="640"/>
    </row>
    <row r="760" spans="1:37" s="236" customFormat="1" ht="11.25" customHeight="1">
      <c r="B760" s="246" t="s">
        <v>291</v>
      </c>
      <c r="C760" s="237"/>
      <c r="D760" s="237"/>
      <c r="E760" s="238" t="s">
        <v>869</v>
      </c>
      <c r="F760" s="236" t="s">
        <v>870</v>
      </c>
      <c r="G760" s="239">
        <v>3671</v>
      </c>
      <c r="H760" s="236" t="s">
        <v>99</v>
      </c>
      <c r="I760" s="236" t="s">
        <v>33</v>
      </c>
      <c r="J760" s="240">
        <v>35730.75</v>
      </c>
      <c r="L760" s="240">
        <v>39.049999999999997</v>
      </c>
      <c r="M760" s="240">
        <v>39.03</v>
      </c>
      <c r="N760" s="247">
        <f>J760*0.1</f>
        <v>3573.0750000000003</v>
      </c>
      <c r="O760" s="243">
        <v>0.2</v>
      </c>
      <c r="P760" s="243"/>
      <c r="Q760" s="242">
        <v>0</v>
      </c>
      <c r="R760" s="236" t="s">
        <v>42</v>
      </c>
      <c r="S760" s="244" t="s">
        <v>41</v>
      </c>
      <c r="T760" s="244">
        <v>17</v>
      </c>
      <c r="U760" s="245" t="s">
        <v>164</v>
      </c>
      <c r="V760" s="446"/>
      <c r="X760" s="242">
        <v>0</v>
      </c>
      <c r="Y760" s="242"/>
      <c r="AG760" s="236">
        <f>X760</f>
        <v>0</v>
      </c>
      <c r="AJ760" s="640"/>
    </row>
    <row r="761" spans="1:37" s="205" customFormat="1" ht="11.25" customHeight="1">
      <c r="B761" s="206" t="s">
        <v>291</v>
      </c>
      <c r="C761" s="207">
        <v>44683</v>
      </c>
      <c r="D761" s="207">
        <v>44683</v>
      </c>
      <c r="E761" s="208" t="s">
        <v>871</v>
      </c>
      <c r="F761" s="205" t="s">
        <v>2971</v>
      </c>
      <c r="G761" s="209" t="s">
        <v>872</v>
      </c>
      <c r="H761" s="205" t="s">
        <v>866</v>
      </c>
      <c r="I761" s="205" t="s">
        <v>28</v>
      </c>
      <c r="J761" s="210">
        <v>94137.51</v>
      </c>
      <c r="L761" s="210">
        <v>43.78</v>
      </c>
      <c r="M761" s="210">
        <v>43.78</v>
      </c>
      <c r="N761" s="211">
        <v>4733.3999999999996</v>
      </c>
      <c r="O761" s="212">
        <v>0.2</v>
      </c>
      <c r="P761" s="212"/>
      <c r="Q761" s="213">
        <v>2576</v>
      </c>
      <c r="R761" s="205" t="s">
        <v>112</v>
      </c>
      <c r="S761" s="214" t="s">
        <v>150</v>
      </c>
      <c r="T761" s="214">
        <v>64</v>
      </c>
      <c r="U761" s="215" t="s">
        <v>164</v>
      </c>
      <c r="V761" s="438">
        <v>2576</v>
      </c>
      <c r="X761" s="216">
        <v>2576</v>
      </c>
      <c r="Y761" s="213"/>
      <c r="AF761" s="230">
        <f>X761</f>
        <v>2576</v>
      </c>
      <c r="AJ761" s="216"/>
    </row>
    <row r="762" spans="1:37" s="181" customFormat="1" ht="11.25" customHeight="1">
      <c r="B762" s="178" t="s">
        <v>291</v>
      </c>
      <c r="C762" s="179">
        <v>44683</v>
      </c>
      <c r="D762" s="179">
        <v>44683</v>
      </c>
      <c r="E762" s="180" t="s">
        <v>873</v>
      </c>
      <c r="F762" s="181" t="s">
        <v>874</v>
      </c>
      <c r="G762" s="182">
        <v>4477</v>
      </c>
      <c r="H762" s="181" t="s">
        <v>866</v>
      </c>
      <c r="I762" s="181" t="s">
        <v>28</v>
      </c>
      <c r="J762" s="183">
        <v>151742.44</v>
      </c>
      <c r="L762" s="183">
        <v>70.569999999999993</v>
      </c>
      <c r="M762" s="183">
        <v>70.569999999999993</v>
      </c>
      <c r="N762" s="191">
        <v>3864</v>
      </c>
      <c r="O762" s="186">
        <v>0.2</v>
      </c>
      <c r="P762" s="186"/>
      <c r="Q762" s="185">
        <v>3864</v>
      </c>
      <c r="R762" s="181" t="s">
        <v>112</v>
      </c>
      <c r="S762" s="187" t="s">
        <v>150</v>
      </c>
      <c r="T762" s="187">
        <v>64</v>
      </c>
      <c r="U762" s="188" t="s">
        <v>164</v>
      </c>
      <c r="V762" s="441">
        <v>3864</v>
      </c>
      <c r="X762" s="189">
        <v>3864</v>
      </c>
      <c r="Y762" s="185"/>
      <c r="AE762" s="204">
        <f>X762</f>
        <v>3864</v>
      </c>
      <c r="AJ762" s="189"/>
    </row>
    <row r="763" spans="1:37" s="291" customFormat="1" ht="11.25" customHeight="1">
      <c r="A763" s="291" t="s">
        <v>3893</v>
      </c>
      <c r="B763" s="310" t="s">
        <v>291</v>
      </c>
      <c r="C763" s="292">
        <v>44684</v>
      </c>
      <c r="D763" s="292">
        <v>44684</v>
      </c>
      <c r="E763" s="293" t="s">
        <v>876</v>
      </c>
      <c r="F763" s="291" t="s">
        <v>261</v>
      </c>
      <c r="G763" s="294" t="s">
        <v>262</v>
      </c>
      <c r="H763" s="291" t="s">
        <v>99</v>
      </c>
      <c r="I763" s="291" t="s">
        <v>33</v>
      </c>
      <c r="J763" s="296">
        <v>22615.360000000001</v>
      </c>
      <c r="L763" s="296">
        <v>24.37</v>
      </c>
      <c r="M763" s="296">
        <v>24.36</v>
      </c>
      <c r="N763" s="312"/>
      <c r="O763" s="298">
        <v>0.15</v>
      </c>
      <c r="P763" s="298"/>
      <c r="Q763" s="297">
        <v>8025.16</v>
      </c>
      <c r="R763" s="291" t="s">
        <v>128</v>
      </c>
      <c r="S763" s="299" t="s">
        <v>41</v>
      </c>
      <c r="T763" s="299">
        <v>79</v>
      </c>
      <c r="U763" s="300" t="s">
        <v>164</v>
      </c>
      <c r="V763" s="333"/>
      <c r="X763" s="297">
        <v>8025.16</v>
      </c>
      <c r="Y763" s="297"/>
      <c r="AH763" s="297">
        <f>X763</f>
        <v>8025.16</v>
      </c>
      <c r="AI763" s="311"/>
      <c r="AJ763" s="468"/>
    </row>
    <row r="764" spans="1:37" s="291" customFormat="1" ht="11.25" customHeight="1">
      <c r="A764" s="291" t="s">
        <v>3893</v>
      </c>
      <c r="B764" s="310" t="s">
        <v>291</v>
      </c>
      <c r="C764" s="292"/>
      <c r="D764" s="292"/>
      <c r="E764" s="293" t="s">
        <v>876</v>
      </c>
      <c r="F764" s="291" t="s">
        <v>261</v>
      </c>
      <c r="G764" s="294" t="s">
        <v>262</v>
      </c>
      <c r="H764" s="291" t="s">
        <v>295</v>
      </c>
      <c r="I764" s="291" t="s">
        <v>33</v>
      </c>
      <c r="J764" s="296">
        <v>8327.9699999999993</v>
      </c>
      <c r="L764" s="296">
        <v>12.98</v>
      </c>
      <c r="M764" s="296">
        <v>12.98</v>
      </c>
      <c r="N764" s="312"/>
      <c r="O764" s="298">
        <v>0.15</v>
      </c>
      <c r="P764" s="298"/>
      <c r="Q764" s="297">
        <v>2752.8</v>
      </c>
      <c r="R764" s="291" t="s">
        <v>128</v>
      </c>
      <c r="S764" s="299" t="s">
        <v>41</v>
      </c>
      <c r="T764" s="299">
        <v>79</v>
      </c>
      <c r="U764" s="300" t="s">
        <v>164</v>
      </c>
      <c r="V764" s="333"/>
      <c r="X764" s="297">
        <v>2752.8</v>
      </c>
      <c r="Y764" s="297"/>
      <c r="AH764" s="297">
        <f>X764</f>
        <v>2752.8</v>
      </c>
      <c r="AI764" s="311"/>
      <c r="AJ764" s="468"/>
    </row>
    <row r="765" spans="1:37" s="291" customFormat="1" ht="11.25" customHeight="1">
      <c r="A765" s="291" t="s">
        <v>3893</v>
      </c>
      <c r="B765" s="310" t="s">
        <v>291</v>
      </c>
      <c r="C765" s="292"/>
      <c r="D765" s="292"/>
      <c r="E765" s="293" t="s">
        <v>876</v>
      </c>
      <c r="F765" s="291" t="s">
        <v>261</v>
      </c>
      <c r="G765" s="294" t="s">
        <v>262</v>
      </c>
      <c r="H765" s="291" t="s">
        <v>183</v>
      </c>
      <c r="I765" s="291" t="s">
        <v>33</v>
      </c>
      <c r="J765" s="296">
        <v>12567.33</v>
      </c>
      <c r="L765" s="296">
        <v>12.94</v>
      </c>
      <c r="M765" s="296">
        <v>12.94</v>
      </c>
      <c r="N765" s="312"/>
      <c r="O765" s="298">
        <v>0.15</v>
      </c>
      <c r="P765" s="298"/>
      <c r="Q765" s="297">
        <v>1460.67</v>
      </c>
      <c r="R765" s="291" t="s">
        <v>128</v>
      </c>
      <c r="S765" s="299" t="s">
        <v>41</v>
      </c>
      <c r="T765" s="299">
        <v>79</v>
      </c>
      <c r="U765" s="300" t="s">
        <v>164</v>
      </c>
      <c r="V765" s="333"/>
      <c r="X765" s="297">
        <v>1460.67</v>
      </c>
      <c r="Y765" s="297"/>
      <c r="AH765" s="297">
        <f>X765</f>
        <v>1460.67</v>
      </c>
      <c r="AI765" s="311"/>
      <c r="AJ765" s="468"/>
    </row>
    <row r="766" spans="1:37" s="291" customFormat="1" ht="11.25" customHeight="1">
      <c r="A766" s="291" t="s">
        <v>3893</v>
      </c>
      <c r="B766" s="310" t="s">
        <v>291</v>
      </c>
      <c r="C766" s="292"/>
      <c r="D766" s="292"/>
      <c r="E766" s="293" t="s">
        <v>876</v>
      </c>
      <c r="F766" s="291" t="s">
        <v>261</v>
      </c>
      <c r="G766" s="294" t="s">
        <v>262</v>
      </c>
      <c r="H766" s="291" t="s">
        <v>27</v>
      </c>
      <c r="I766" s="291" t="s">
        <v>33</v>
      </c>
      <c r="J766" s="296">
        <v>4724.3</v>
      </c>
      <c r="L766" s="296">
        <v>7.94</v>
      </c>
      <c r="M766" s="296">
        <v>7.95</v>
      </c>
      <c r="N766" s="312"/>
      <c r="O766" s="298">
        <v>0.15</v>
      </c>
      <c r="P766" s="298"/>
      <c r="Q766" s="297">
        <v>0</v>
      </c>
      <c r="R766" s="291" t="s">
        <v>128</v>
      </c>
      <c r="S766" s="299" t="s">
        <v>41</v>
      </c>
      <c r="T766" s="299">
        <v>79</v>
      </c>
      <c r="U766" s="300" t="s">
        <v>164</v>
      </c>
      <c r="V766" s="333"/>
      <c r="X766" s="297">
        <v>0</v>
      </c>
      <c r="Y766" s="297"/>
      <c r="AH766" s="291">
        <f>X766</f>
        <v>0</v>
      </c>
      <c r="AI766" s="311"/>
      <c r="AJ766" s="468"/>
    </row>
    <row r="767" spans="1:37" s="291" customFormat="1" ht="11.25" customHeight="1">
      <c r="A767" s="291" t="s">
        <v>3893</v>
      </c>
      <c r="B767" s="310" t="s">
        <v>291</v>
      </c>
      <c r="C767" s="292"/>
      <c r="D767" s="292"/>
      <c r="E767" s="293" t="s">
        <v>876</v>
      </c>
      <c r="F767" s="291" t="s">
        <v>261</v>
      </c>
      <c r="G767" s="294" t="s">
        <v>262</v>
      </c>
      <c r="H767" s="291" t="s">
        <v>310</v>
      </c>
      <c r="I767" s="291" t="s">
        <v>33</v>
      </c>
      <c r="J767" s="296">
        <v>5936</v>
      </c>
      <c r="L767" s="296">
        <v>10.6</v>
      </c>
      <c r="M767" s="296">
        <v>10.65</v>
      </c>
      <c r="N767" s="312"/>
      <c r="O767" s="298">
        <v>0.15</v>
      </c>
      <c r="P767" s="298"/>
      <c r="Q767" s="297">
        <v>2590.6799999999998</v>
      </c>
      <c r="R767" s="291" t="s">
        <v>128</v>
      </c>
      <c r="S767" s="299" t="s">
        <v>41</v>
      </c>
      <c r="T767" s="299">
        <v>17</v>
      </c>
      <c r="U767" s="300" t="s">
        <v>164</v>
      </c>
      <c r="V767" s="333"/>
      <c r="X767" s="297">
        <v>2590.6799999999998</v>
      </c>
      <c r="Y767" s="297"/>
      <c r="AH767" s="297">
        <f>X767</f>
        <v>2590.6799999999998</v>
      </c>
      <c r="AI767" s="311"/>
      <c r="AJ767" s="468"/>
    </row>
    <row r="768" spans="1:37" s="379" customFormat="1" ht="11.25" customHeight="1">
      <c r="B768" s="380" t="s">
        <v>291</v>
      </c>
      <c r="C768" s="381">
        <v>44684</v>
      </c>
      <c r="D768" s="381">
        <v>44684</v>
      </c>
      <c r="E768" s="382" t="s">
        <v>877</v>
      </c>
      <c r="F768" s="379" t="s">
        <v>639</v>
      </c>
      <c r="G768" s="383" t="s">
        <v>640</v>
      </c>
      <c r="H768" s="379" t="s">
        <v>183</v>
      </c>
      <c r="I768" s="379" t="s">
        <v>33</v>
      </c>
      <c r="J768" s="385">
        <v>14711.44</v>
      </c>
      <c r="L768" s="385">
        <v>12.28</v>
      </c>
      <c r="M768" s="385">
        <v>12.28</v>
      </c>
      <c r="N768" s="407"/>
      <c r="O768" s="387">
        <v>0.15</v>
      </c>
      <c r="P768" s="387"/>
      <c r="Q768" s="386">
        <v>0</v>
      </c>
      <c r="R768" s="379" t="s">
        <v>35</v>
      </c>
      <c r="S768" s="388" t="s">
        <v>41</v>
      </c>
      <c r="T768" s="388">
        <v>79</v>
      </c>
      <c r="U768" s="389" t="s">
        <v>164</v>
      </c>
      <c r="V768" s="433"/>
      <c r="X768" s="386">
        <v>0</v>
      </c>
      <c r="Y768" s="386"/>
      <c r="AJ768" s="390">
        <v>0</v>
      </c>
    </row>
    <row r="769" spans="1:77" s="379" customFormat="1" ht="11.25" customHeight="1">
      <c r="B769" s="380" t="s">
        <v>291</v>
      </c>
      <c r="C769" s="381"/>
      <c r="D769" s="381"/>
      <c r="E769" s="382" t="s">
        <v>877</v>
      </c>
      <c r="F769" s="379" t="s">
        <v>639</v>
      </c>
      <c r="G769" s="383" t="s">
        <v>640</v>
      </c>
      <c r="H769" s="379" t="s">
        <v>27</v>
      </c>
      <c r="I769" s="379" t="s">
        <v>33</v>
      </c>
      <c r="J769" s="385">
        <v>7847.26</v>
      </c>
      <c r="L769" s="385">
        <v>9.2799999999999994</v>
      </c>
      <c r="M769" s="385">
        <v>9.2799999999999994</v>
      </c>
      <c r="N769" s="407"/>
      <c r="O769" s="387">
        <v>0.15</v>
      </c>
      <c r="P769" s="387"/>
      <c r="Q769" s="386">
        <v>0</v>
      </c>
      <c r="R769" s="379" t="s">
        <v>35</v>
      </c>
      <c r="S769" s="388" t="s">
        <v>41</v>
      </c>
      <c r="T769" s="388">
        <v>79</v>
      </c>
      <c r="U769" s="389" t="s">
        <v>164</v>
      </c>
      <c r="V769" s="433"/>
      <c r="X769" s="386">
        <v>0</v>
      </c>
      <c r="Y769" s="386"/>
      <c r="AJ769" s="390">
        <v>0</v>
      </c>
    </row>
    <row r="770" spans="1:77" s="379" customFormat="1" ht="11.25" customHeight="1">
      <c r="B770" s="380" t="s">
        <v>291</v>
      </c>
      <c r="C770" s="381"/>
      <c r="D770" s="381"/>
      <c r="E770" s="382" t="s">
        <v>877</v>
      </c>
      <c r="F770" s="379" t="s">
        <v>639</v>
      </c>
      <c r="G770" s="383" t="s">
        <v>640</v>
      </c>
      <c r="H770" s="379" t="s">
        <v>310</v>
      </c>
      <c r="I770" s="379" t="s">
        <v>33</v>
      </c>
      <c r="J770" s="385">
        <v>9663.2199999999993</v>
      </c>
      <c r="L770" s="385">
        <v>11.07</v>
      </c>
      <c r="M770" s="385">
        <v>11.07</v>
      </c>
      <c r="N770" s="407">
        <f>J770*0.4</f>
        <v>3865.288</v>
      </c>
      <c r="O770" s="387">
        <v>0.15</v>
      </c>
      <c r="P770" s="387"/>
      <c r="Q770" s="386">
        <f>N770-J770*O770</f>
        <v>2415.8050000000003</v>
      </c>
      <c r="R770" s="379" t="s">
        <v>35</v>
      </c>
      <c r="S770" s="388" t="s">
        <v>41</v>
      </c>
      <c r="T770" s="388">
        <v>79</v>
      </c>
      <c r="U770" s="389" t="s">
        <v>164</v>
      </c>
      <c r="V770" s="433"/>
      <c r="X770" s="386">
        <v>2415.81</v>
      </c>
      <c r="Y770" s="386"/>
      <c r="AJ770" s="390">
        <v>2415.81</v>
      </c>
    </row>
    <row r="771" spans="1:77" s="379" customFormat="1" ht="11.25" customHeight="1">
      <c r="B771" s="380" t="s">
        <v>291</v>
      </c>
      <c r="C771" s="381"/>
      <c r="D771" s="381"/>
      <c r="E771" s="382" t="s">
        <v>877</v>
      </c>
      <c r="F771" s="379" t="s">
        <v>639</v>
      </c>
      <c r="G771" s="383" t="s">
        <v>640</v>
      </c>
      <c r="H771" s="379" t="s">
        <v>162</v>
      </c>
      <c r="I771" s="379" t="s">
        <v>33</v>
      </c>
      <c r="J771" s="385">
        <v>4749.01</v>
      </c>
      <c r="L771" s="385">
        <v>9.48</v>
      </c>
      <c r="M771" s="385">
        <v>9.48</v>
      </c>
      <c r="N771" s="407">
        <f>J771*0.4</f>
        <v>1899.6040000000003</v>
      </c>
      <c r="O771" s="387">
        <v>0.15</v>
      </c>
      <c r="P771" s="387"/>
      <c r="Q771" s="386">
        <f>N771-J771*O771</f>
        <v>1187.2525000000003</v>
      </c>
      <c r="R771" s="379" t="s">
        <v>35</v>
      </c>
      <c r="S771" s="388" t="s">
        <v>41</v>
      </c>
      <c r="T771" s="388">
        <v>79</v>
      </c>
      <c r="U771" s="389" t="s">
        <v>164</v>
      </c>
      <c r="V771" s="433"/>
      <c r="X771" s="386">
        <v>1187.25</v>
      </c>
      <c r="Y771" s="386"/>
      <c r="AJ771" s="390">
        <v>1187.25</v>
      </c>
    </row>
    <row r="772" spans="1:77" s="181" customFormat="1" ht="11.25" customHeight="1">
      <c r="B772" s="178" t="s">
        <v>291</v>
      </c>
      <c r="C772" s="179">
        <v>44667</v>
      </c>
      <c r="D772" s="179">
        <v>44685</v>
      </c>
      <c r="E772" s="180" t="s">
        <v>878</v>
      </c>
      <c r="F772" s="181" t="s">
        <v>879</v>
      </c>
      <c r="G772" s="182" t="s">
        <v>880</v>
      </c>
      <c r="H772" s="181" t="s">
        <v>765</v>
      </c>
      <c r="I772" s="181" t="s">
        <v>881</v>
      </c>
      <c r="J772" s="183">
        <v>39780.61</v>
      </c>
      <c r="L772" s="183">
        <v>30.6</v>
      </c>
      <c r="M772" s="183">
        <v>30.6</v>
      </c>
      <c r="N772" s="191"/>
      <c r="O772" s="186">
        <v>0.25</v>
      </c>
      <c r="P772" s="186"/>
      <c r="Q772" s="185">
        <v>3355.95</v>
      </c>
      <c r="R772" s="181" t="s">
        <v>54</v>
      </c>
      <c r="S772" s="187" t="s">
        <v>882</v>
      </c>
      <c r="T772" s="187">
        <v>77</v>
      </c>
      <c r="U772" s="188" t="s">
        <v>164</v>
      </c>
      <c r="V772" s="441">
        <v>3355.95</v>
      </c>
      <c r="X772" s="189">
        <v>3355.95</v>
      </c>
      <c r="Y772" s="185"/>
      <c r="AE772" s="204">
        <f>X772</f>
        <v>3355.95</v>
      </c>
      <c r="AJ772" s="189"/>
    </row>
    <row r="773" spans="1:77" s="6" customFormat="1" ht="11.25" customHeight="1">
      <c r="A773" s="473"/>
      <c r="B773" s="486" t="s">
        <v>291</v>
      </c>
      <c r="C773" s="487">
        <v>44683</v>
      </c>
      <c r="D773" s="487">
        <v>44685</v>
      </c>
      <c r="E773" s="488" t="s">
        <v>883</v>
      </c>
      <c r="F773" s="473" t="s">
        <v>784</v>
      </c>
      <c r="G773" s="489" t="s">
        <v>785</v>
      </c>
      <c r="H773" s="473" t="s">
        <v>99</v>
      </c>
      <c r="I773" s="473" t="s">
        <v>33</v>
      </c>
      <c r="J773" s="490">
        <v>49336.14</v>
      </c>
      <c r="K773" s="473"/>
      <c r="L773" s="490">
        <v>42</v>
      </c>
      <c r="M773" s="490">
        <v>42</v>
      </c>
      <c r="N773" s="500"/>
      <c r="O773" s="493">
        <v>0.2</v>
      </c>
      <c r="P773" s="493"/>
      <c r="Q773" s="492">
        <v>0</v>
      </c>
      <c r="R773" s="473" t="s">
        <v>35</v>
      </c>
      <c r="S773" s="481" t="s">
        <v>41</v>
      </c>
      <c r="T773" s="481">
        <v>17</v>
      </c>
      <c r="U773" s="494" t="s">
        <v>164</v>
      </c>
      <c r="V773" s="495"/>
      <c r="W773" s="473"/>
      <c r="X773" s="492">
        <v>0</v>
      </c>
      <c r="Y773" s="492"/>
      <c r="Z773" s="473"/>
      <c r="AA773" s="473"/>
      <c r="AB773" s="473"/>
      <c r="AC773" s="473"/>
      <c r="AD773" s="473"/>
      <c r="AE773" s="473"/>
      <c r="AF773" s="473"/>
      <c r="AG773" s="473"/>
      <c r="AH773" s="473"/>
      <c r="AI773" s="473"/>
      <c r="AJ773" s="485"/>
      <c r="AK773" s="473">
        <v>0</v>
      </c>
      <c r="AL773" s="473"/>
      <c r="AM773" s="473"/>
      <c r="AN773" s="473"/>
      <c r="AO773" s="473"/>
      <c r="AP773" s="473"/>
      <c r="AQ773" s="473"/>
      <c r="AR773" s="473"/>
      <c r="AS773" s="473"/>
      <c r="AT773" s="473"/>
      <c r="AU773" s="473"/>
      <c r="AV773" s="473"/>
      <c r="AW773" s="473"/>
      <c r="AX773" s="473"/>
      <c r="AY773" s="473"/>
      <c r="AZ773" s="473"/>
      <c r="BA773" s="473"/>
      <c r="BB773" s="473"/>
      <c r="BC773" s="473"/>
      <c r="BD773" s="473"/>
      <c r="BE773" s="473"/>
      <c r="BF773" s="473"/>
      <c r="BG773" s="473"/>
      <c r="BH773" s="473"/>
      <c r="BI773" s="473"/>
      <c r="BJ773" s="473"/>
      <c r="BK773" s="473"/>
      <c r="BL773" s="473"/>
      <c r="BM773" s="473"/>
      <c r="BN773" s="473"/>
      <c r="BO773" s="473"/>
      <c r="BP773" s="473"/>
      <c r="BQ773" s="473"/>
      <c r="BR773" s="473"/>
      <c r="BS773" s="473"/>
      <c r="BT773" s="473"/>
      <c r="BU773" s="473"/>
      <c r="BV773" s="473"/>
      <c r="BW773" s="473"/>
      <c r="BX773" s="473"/>
      <c r="BY773" s="473"/>
    </row>
    <row r="774" spans="1:77" s="473" customFormat="1" ht="11.25" customHeight="1">
      <c r="B774" s="486" t="s">
        <v>291</v>
      </c>
      <c r="C774" s="487"/>
      <c r="D774" s="487"/>
      <c r="E774" s="488" t="s">
        <v>883</v>
      </c>
      <c r="F774" s="473" t="s">
        <v>784</v>
      </c>
      <c r="G774" s="489" t="s">
        <v>785</v>
      </c>
      <c r="H774" s="473" t="s">
        <v>27</v>
      </c>
      <c r="I774" s="473" t="s">
        <v>33</v>
      </c>
      <c r="J774" s="490">
        <v>20068.349999999999</v>
      </c>
      <c r="L774" s="490">
        <v>15</v>
      </c>
      <c r="M774" s="490">
        <v>15</v>
      </c>
      <c r="N774" s="500"/>
      <c r="O774" s="493">
        <v>0.2</v>
      </c>
      <c r="P774" s="493"/>
      <c r="Q774" s="492">
        <v>1956.61</v>
      </c>
      <c r="R774" s="473" t="s">
        <v>35</v>
      </c>
      <c r="S774" s="481" t="s">
        <v>41</v>
      </c>
      <c r="T774" s="481">
        <v>17</v>
      </c>
      <c r="U774" s="494" t="s">
        <v>164</v>
      </c>
      <c r="V774" s="495"/>
      <c r="X774" s="492">
        <v>1956.61</v>
      </c>
      <c r="Y774" s="492"/>
      <c r="AJ774" s="485"/>
      <c r="AK774" s="505">
        <v>1956.61</v>
      </c>
    </row>
    <row r="775" spans="1:77" s="473" customFormat="1" ht="11.25" customHeight="1">
      <c r="B775" s="486" t="s">
        <v>291</v>
      </c>
      <c r="C775" s="487"/>
      <c r="D775" s="487"/>
      <c r="E775" s="488" t="s">
        <v>883</v>
      </c>
      <c r="F775" s="473" t="s">
        <v>784</v>
      </c>
      <c r="G775" s="489" t="s">
        <v>785</v>
      </c>
      <c r="H775" s="473" t="s">
        <v>310</v>
      </c>
      <c r="I775" s="473" t="s">
        <v>33</v>
      </c>
      <c r="J775" s="490">
        <v>8773.68</v>
      </c>
      <c r="L775" s="490">
        <v>12</v>
      </c>
      <c r="M775" s="490">
        <v>12</v>
      </c>
      <c r="N775" s="500">
        <f>J775*0.4</f>
        <v>3509.4720000000002</v>
      </c>
      <c r="O775" s="493">
        <v>0.2</v>
      </c>
      <c r="P775" s="493"/>
      <c r="Q775" s="492">
        <v>0</v>
      </c>
      <c r="R775" s="473" t="s">
        <v>35</v>
      </c>
      <c r="S775" s="481" t="s">
        <v>41</v>
      </c>
      <c r="T775" s="481">
        <v>17</v>
      </c>
      <c r="U775" s="494" t="s">
        <v>164</v>
      </c>
      <c r="V775" s="495"/>
      <c r="X775" s="492">
        <v>0</v>
      </c>
      <c r="Y775" s="492"/>
      <c r="AJ775" s="485"/>
      <c r="AK775" s="473">
        <v>0</v>
      </c>
    </row>
    <row r="776" spans="1:77" s="473" customFormat="1" ht="11.25" customHeight="1">
      <c r="B776" s="486" t="s">
        <v>291</v>
      </c>
      <c r="C776" s="487"/>
      <c r="D776" s="487"/>
      <c r="E776" s="488" t="s">
        <v>883</v>
      </c>
      <c r="F776" s="473" t="s">
        <v>784</v>
      </c>
      <c r="G776" s="489" t="s">
        <v>785</v>
      </c>
      <c r="H776" s="473" t="s">
        <v>137</v>
      </c>
      <c r="I776" s="473" t="s">
        <v>33</v>
      </c>
      <c r="J776" s="490">
        <v>21692</v>
      </c>
      <c r="L776" s="490">
        <v>22</v>
      </c>
      <c r="M776" s="490">
        <v>22</v>
      </c>
      <c r="N776" s="500">
        <f>0.3*J776</f>
        <v>6507.5999999999995</v>
      </c>
      <c r="O776" s="493">
        <v>0.2</v>
      </c>
      <c r="P776" s="493"/>
      <c r="Q776" s="492">
        <v>5825.93</v>
      </c>
      <c r="R776" s="473" t="s">
        <v>35</v>
      </c>
      <c r="S776" s="481" t="s">
        <v>41</v>
      </c>
      <c r="T776" s="481">
        <v>17</v>
      </c>
      <c r="U776" s="494" t="s">
        <v>164</v>
      </c>
      <c r="V776" s="495"/>
      <c r="X776" s="492">
        <v>5825.93</v>
      </c>
      <c r="Y776" s="492"/>
      <c r="AJ776" s="485"/>
      <c r="AK776" s="505">
        <v>5825.93</v>
      </c>
    </row>
    <row r="777" spans="1:77" s="647" customFormat="1" ht="11.25" customHeight="1">
      <c r="B777" s="661" t="s">
        <v>291</v>
      </c>
      <c r="C777" s="648"/>
      <c r="D777" s="648"/>
      <c r="E777" s="649" t="s">
        <v>883</v>
      </c>
      <c r="F777" s="647" t="s">
        <v>784</v>
      </c>
      <c r="G777" s="650" t="s">
        <v>785</v>
      </c>
      <c r="H777" s="647" t="s">
        <v>765</v>
      </c>
      <c r="I777" s="647" t="s">
        <v>33</v>
      </c>
      <c r="J777" s="651">
        <v>13101.62</v>
      </c>
      <c r="L777" s="651">
        <v>14</v>
      </c>
      <c r="M777" s="651">
        <v>14</v>
      </c>
      <c r="N777" s="662"/>
      <c r="O777" s="653">
        <v>0.2</v>
      </c>
      <c r="P777" s="653"/>
      <c r="Q777" s="652">
        <v>0</v>
      </c>
      <c r="R777" s="647" t="s">
        <v>35</v>
      </c>
      <c r="S777" s="654" t="s">
        <v>41</v>
      </c>
      <c r="T777" s="654">
        <v>17</v>
      </c>
      <c r="U777" s="655" t="s">
        <v>164</v>
      </c>
      <c r="V777" s="656"/>
      <c r="X777" s="652">
        <v>0</v>
      </c>
      <c r="Y777" s="652"/>
      <c r="AI777" s="660">
        <f>X777</f>
        <v>0</v>
      </c>
      <c r="AJ777" s="657"/>
      <c r="AK777" s="658"/>
    </row>
    <row r="778" spans="1:77" s="647" customFormat="1" ht="11.25" customHeight="1">
      <c r="B778" s="661" t="s">
        <v>291</v>
      </c>
      <c r="C778" s="648"/>
      <c r="D778" s="648"/>
      <c r="E778" s="649" t="s">
        <v>884</v>
      </c>
      <c r="F778" s="647" t="s">
        <v>885</v>
      </c>
      <c r="G778" s="650">
        <v>4063</v>
      </c>
      <c r="H778" s="647" t="s">
        <v>310</v>
      </c>
      <c r="I778" s="647" t="s">
        <v>334</v>
      </c>
      <c r="J778" s="651">
        <v>12247.2</v>
      </c>
      <c r="L778" s="651">
        <v>17.010000000000002</v>
      </c>
      <c r="M778" s="651">
        <v>2.34</v>
      </c>
      <c r="N778" s="662">
        <f>J778*0.4</f>
        <v>4898.88</v>
      </c>
      <c r="O778" s="653">
        <v>0.2</v>
      </c>
      <c r="P778" s="653"/>
      <c r="Q778" s="652">
        <v>0</v>
      </c>
      <c r="R778" s="647" t="s">
        <v>35</v>
      </c>
      <c r="S778" s="654" t="s">
        <v>34</v>
      </c>
      <c r="T778" s="654">
        <v>17</v>
      </c>
      <c r="U778" s="655" t="s">
        <v>164</v>
      </c>
      <c r="V778" s="656"/>
      <c r="X778" s="652">
        <v>0</v>
      </c>
      <c r="Y778" s="652"/>
      <c r="AI778" s="647">
        <v>0</v>
      </c>
      <c r="AJ778" s="657"/>
      <c r="AK778" s="658"/>
    </row>
    <row r="779" spans="1:77" s="153" customFormat="1" ht="11.25" customHeight="1">
      <c r="B779" s="154" t="s">
        <v>291</v>
      </c>
      <c r="C779" s="155">
        <v>44683</v>
      </c>
      <c r="D779" s="155">
        <v>44685</v>
      </c>
      <c r="E779" s="156" t="s">
        <v>884</v>
      </c>
      <c r="F779" s="153" t="s">
        <v>885</v>
      </c>
      <c r="G779" s="157">
        <v>4063</v>
      </c>
      <c r="H779" s="153" t="s">
        <v>99</v>
      </c>
      <c r="I779" s="153" t="s">
        <v>334</v>
      </c>
      <c r="J779" s="158">
        <v>24762.39</v>
      </c>
      <c r="L779" s="158">
        <v>21.97</v>
      </c>
      <c r="M779" s="158">
        <v>20.69</v>
      </c>
      <c r="N779" s="174"/>
      <c r="O779" s="160">
        <v>0.2</v>
      </c>
      <c r="P779" s="160"/>
      <c r="Q779" s="159">
        <v>0</v>
      </c>
      <c r="R779" s="153" t="s">
        <v>35</v>
      </c>
      <c r="S779" s="161" t="s">
        <v>34</v>
      </c>
      <c r="T779" s="161">
        <v>17</v>
      </c>
      <c r="U779" s="162" t="s">
        <v>164</v>
      </c>
      <c r="V779" s="435"/>
      <c r="W779" s="153" t="s">
        <v>1882</v>
      </c>
      <c r="X779" s="159">
        <v>0</v>
      </c>
      <c r="Y779" s="159"/>
      <c r="AD779" s="176">
        <f>X779</f>
        <v>0</v>
      </c>
      <c r="AJ779" s="644"/>
    </row>
    <row r="780" spans="1:77" s="153" customFormat="1" ht="11.25" customHeight="1">
      <c r="B780" s="154" t="s">
        <v>291</v>
      </c>
      <c r="C780" s="155"/>
      <c r="D780" s="155"/>
      <c r="E780" s="156" t="s">
        <v>884</v>
      </c>
      <c r="F780" s="153" t="s">
        <v>885</v>
      </c>
      <c r="G780" s="157">
        <v>4063</v>
      </c>
      <c r="H780" s="153" t="s">
        <v>140</v>
      </c>
      <c r="I780" s="153" t="s">
        <v>334</v>
      </c>
      <c r="J780" s="158">
        <v>11850.25</v>
      </c>
      <c r="L780" s="158">
        <v>10.7</v>
      </c>
      <c r="M780" s="158">
        <v>2.96</v>
      </c>
      <c r="N780" s="174"/>
      <c r="O780" s="160">
        <v>0.2</v>
      </c>
      <c r="P780" s="160"/>
      <c r="Q780" s="159">
        <v>0</v>
      </c>
      <c r="R780" s="153" t="s">
        <v>35</v>
      </c>
      <c r="S780" s="161" t="s">
        <v>34</v>
      </c>
      <c r="T780" s="161">
        <v>17</v>
      </c>
      <c r="U780" s="162" t="s">
        <v>164</v>
      </c>
      <c r="V780" s="435"/>
      <c r="W780" s="153" t="s">
        <v>1882</v>
      </c>
      <c r="X780" s="159">
        <v>0</v>
      </c>
      <c r="Y780" s="159"/>
      <c r="AD780" s="176">
        <f>X780</f>
        <v>0</v>
      </c>
      <c r="AJ780" s="644"/>
    </row>
    <row r="781" spans="1:77" s="153" customFormat="1" ht="11.25" customHeight="1">
      <c r="B781" s="154" t="s">
        <v>291</v>
      </c>
      <c r="C781" s="155"/>
      <c r="D781" s="155"/>
      <c r="E781" s="156" t="s">
        <v>884</v>
      </c>
      <c r="F781" s="153" t="s">
        <v>885</v>
      </c>
      <c r="G781" s="157">
        <v>4063</v>
      </c>
      <c r="H781" s="153" t="s">
        <v>183</v>
      </c>
      <c r="I781" s="153" t="s">
        <v>334</v>
      </c>
      <c r="J781" s="158">
        <v>10751.55</v>
      </c>
      <c r="L781" s="158">
        <v>11.45</v>
      </c>
      <c r="M781" s="158">
        <v>8.64</v>
      </c>
      <c r="N781" s="174"/>
      <c r="O781" s="160">
        <v>0.2</v>
      </c>
      <c r="P781" s="160"/>
      <c r="Q781" s="159">
        <v>0</v>
      </c>
      <c r="R781" s="153" t="s">
        <v>35</v>
      </c>
      <c r="S781" s="161" t="s">
        <v>34</v>
      </c>
      <c r="T781" s="161">
        <v>17</v>
      </c>
      <c r="U781" s="162" t="s">
        <v>164</v>
      </c>
      <c r="V781" s="435"/>
      <c r="W781" s="153" t="s">
        <v>1882</v>
      </c>
      <c r="X781" s="159">
        <v>0</v>
      </c>
      <c r="Y781" s="159"/>
      <c r="AD781" s="176">
        <f>X781</f>
        <v>0</v>
      </c>
      <c r="AJ781" s="644"/>
    </row>
    <row r="782" spans="1:77" s="291" customFormat="1" ht="11.25" customHeight="1">
      <c r="B782" s="310" t="s">
        <v>291</v>
      </c>
      <c r="C782" s="292"/>
      <c r="D782" s="292"/>
      <c r="E782" s="293" t="s">
        <v>884</v>
      </c>
      <c r="F782" s="291" t="s">
        <v>885</v>
      </c>
      <c r="G782" s="294">
        <v>4063</v>
      </c>
      <c r="H782" s="291" t="s">
        <v>356</v>
      </c>
      <c r="I782" s="291" t="s">
        <v>334</v>
      </c>
      <c r="J782" s="296">
        <v>9411.9500000000007</v>
      </c>
      <c r="L782" s="296">
        <v>21.97</v>
      </c>
      <c r="M782" s="296">
        <v>4.62</v>
      </c>
      <c r="N782" s="312"/>
      <c r="O782" s="298">
        <v>0.2</v>
      </c>
      <c r="P782" s="298"/>
      <c r="Q782" s="297">
        <v>0</v>
      </c>
      <c r="R782" s="291" t="s">
        <v>35</v>
      </c>
      <c r="S782" s="299" t="s">
        <v>34</v>
      </c>
      <c r="T782" s="299">
        <v>17</v>
      </c>
      <c r="U782" s="300" t="s">
        <v>164</v>
      </c>
      <c r="V782" s="333"/>
      <c r="X782" s="297">
        <v>0</v>
      </c>
      <c r="Y782" s="297"/>
      <c r="AH782" s="291">
        <f>X782</f>
        <v>0</v>
      </c>
      <c r="AI782" s="311"/>
      <c r="AJ782" s="468"/>
    </row>
    <row r="783" spans="1:77" s="291" customFormat="1" ht="11.25" customHeight="1">
      <c r="A783" s="473"/>
      <c r="B783" s="486" t="s">
        <v>291</v>
      </c>
      <c r="C783" s="487"/>
      <c r="D783" s="487"/>
      <c r="E783" s="488" t="s">
        <v>886</v>
      </c>
      <c r="F783" s="473" t="s">
        <v>3825</v>
      </c>
      <c r="G783" s="489">
        <v>3592</v>
      </c>
      <c r="H783" s="473" t="s">
        <v>99</v>
      </c>
      <c r="I783" s="473" t="s">
        <v>33</v>
      </c>
      <c r="J783" s="490">
        <v>51986.17</v>
      </c>
      <c r="K783" s="473"/>
      <c r="L783" s="490">
        <v>48.85</v>
      </c>
      <c r="M783" s="490">
        <v>48.85</v>
      </c>
      <c r="N783" s="500"/>
      <c r="O783" s="493">
        <v>0.15</v>
      </c>
      <c r="P783" s="493"/>
      <c r="Q783" s="492">
        <v>483.45</v>
      </c>
      <c r="R783" s="473" t="s">
        <v>35</v>
      </c>
      <c r="S783" s="481" t="s">
        <v>41</v>
      </c>
      <c r="T783" s="481">
        <v>17</v>
      </c>
      <c r="U783" s="494" t="s">
        <v>164</v>
      </c>
      <c r="V783" s="495"/>
      <c r="W783" s="473"/>
      <c r="X783" s="492">
        <v>483.45</v>
      </c>
      <c r="Y783" s="492"/>
      <c r="Z783" s="473"/>
      <c r="AA783" s="473"/>
      <c r="AB783" s="473"/>
      <c r="AC783" s="473"/>
      <c r="AD783" s="473"/>
      <c r="AE783" s="473"/>
      <c r="AF783" s="473"/>
      <c r="AG783" s="473"/>
      <c r="AH783" s="473"/>
      <c r="AI783" s="473"/>
      <c r="AJ783" s="485"/>
      <c r="AK783" s="505">
        <v>483.45</v>
      </c>
      <c r="AL783" s="473"/>
      <c r="AM783" s="473"/>
      <c r="AN783" s="473"/>
      <c r="AO783" s="473"/>
      <c r="AP783" s="473"/>
      <c r="AQ783" s="473"/>
      <c r="AR783" s="473"/>
      <c r="AS783" s="473"/>
      <c r="AT783" s="473"/>
      <c r="AU783" s="473"/>
      <c r="AV783" s="473"/>
      <c r="AW783" s="473"/>
      <c r="AX783" s="473"/>
      <c r="AY783" s="473"/>
      <c r="AZ783" s="473"/>
      <c r="BA783" s="473"/>
      <c r="BB783" s="473"/>
      <c r="BC783" s="473"/>
      <c r="BD783" s="473"/>
      <c r="BE783" s="473"/>
      <c r="BF783" s="473"/>
      <c r="BG783" s="473"/>
      <c r="BH783" s="473"/>
      <c r="BI783" s="473"/>
      <c r="BJ783" s="473"/>
      <c r="BK783" s="473"/>
      <c r="BL783" s="473"/>
      <c r="BM783" s="473"/>
      <c r="BN783" s="473"/>
      <c r="BO783" s="473"/>
      <c r="BP783" s="473"/>
      <c r="BQ783" s="473"/>
      <c r="BR783" s="473"/>
      <c r="BS783" s="473"/>
      <c r="BT783" s="473"/>
      <c r="BU783" s="473"/>
      <c r="BV783" s="473"/>
      <c r="BW783" s="473"/>
      <c r="BX783" s="473"/>
      <c r="BY783" s="473"/>
    </row>
    <row r="784" spans="1:77" s="291" customFormat="1" ht="11.25" customHeight="1">
      <c r="B784" s="310" t="s">
        <v>291</v>
      </c>
      <c r="C784" s="292">
        <v>44683</v>
      </c>
      <c r="D784" s="292">
        <v>44685</v>
      </c>
      <c r="E784" s="293" t="s">
        <v>886</v>
      </c>
      <c r="F784" s="291" t="s">
        <v>3825</v>
      </c>
      <c r="G784" s="294">
        <v>3592</v>
      </c>
      <c r="H784" s="291" t="s">
        <v>183</v>
      </c>
      <c r="I784" s="291" t="s">
        <v>33</v>
      </c>
      <c r="J784" s="296">
        <v>21908.58</v>
      </c>
      <c r="L784" s="296">
        <v>24.43</v>
      </c>
      <c r="M784" s="296">
        <v>24.43</v>
      </c>
      <c r="N784" s="312"/>
      <c r="O784" s="298">
        <v>0.15</v>
      </c>
      <c r="P784" s="298"/>
      <c r="Q784" s="297">
        <v>1400.1</v>
      </c>
      <c r="R784" s="291" t="s">
        <v>35</v>
      </c>
      <c r="S784" s="299" t="s">
        <v>41</v>
      </c>
      <c r="T784" s="299">
        <v>79</v>
      </c>
      <c r="U784" s="300" t="s">
        <v>164</v>
      </c>
      <c r="V784" s="333"/>
      <c r="X784" s="297">
        <v>1400.1</v>
      </c>
      <c r="Y784" s="297"/>
      <c r="AH784" s="291">
        <f>X784</f>
        <v>1400.1</v>
      </c>
      <c r="AI784" s="311"/>
      <c r="AJ784" s="468"/>
    </row>
    <row r="785" spans="1:77" s="291" customFormat="1" ht="11.25" customHeight="1">
      <c r="B785" s="310" t="s">
        <v>291</v>
      </c>
      <c r="C785" s="292"/>
      <c r="D785" s="292"/>
      <c r="E785" s="293" t="s">
        <v>886</v>
      </c>
      <c r="F785" s="291" t="s">
        <v>3825</v>
      </c>
      <c r="G785" s="294">
        <v>3592</v>
      </c>
      <c r="H785" s="291" t="s">
        <v>27</v>
      </c>
      <c r="I785" s="291" t="s">
        <v>33</v>
      </c>
      <c r="J785" s="296">
        <v>18391.78</v>
      </c>
      <c r="L785" s="296">
        <v>14.75</v>
      </c>
      <c r="M785" s="296">
        <v>14.75</v>
      </c>
      <c r="N785" s="312"/>
      <c r="O785" s="298">
        <v>0.15</v>
      </c>
      <c r="P785" s="298"/>
      <c r="Q785" s="297">
        <v>1561.35</v>
      </c>
      <c r="R785" s="291" t="s">
        <v>35</v>
      </c>
      <c r="S785" s="299" t="s">
        <v>41</v>
      </c>
      <c r="T785" s="299">
        <v>17</v>
      </c>
      <c r="U785" s="300" t="s">
        <v>164</v>
      </c>
      <c r="V785" s="333"/>
      <c r="X785" s="297">
        <v>1561.35</v>
      </c>
      <c r="Y785" s="297"/>
      <c r="AH785" s="291">
        <f>X785</f>
        <v>1561.35</v>
      </c>
      <c r="AI785" s="311"/>
      <c r="AJ785" s="468"/>
    </row>
    <row r="786" spans="1:77" s="291" customFormat="1" ht="11.25" customHeight="1">
      <c r="B786" s="310" t="s">
        <v>291</v>
      </c>
      <c r="C786" s="292"/>
      <c r="D786" s="292"/>
      <c r="E786" s="293" t="s">
        <v>886</v>
      </c>
      <c r="F786" s="291" t="s">
        <v>3825</v>
      </c>
      <c r="G786" s="294">
        <v>3592</v>
      </c>
      <c r="H786" s="291" t="s">
        <v>162</v>
      </c>
      <c r="I786" s="291" t="s">
        <v>33</v>
      </c>
      <c r="J786" s="296">
        <v>3322.4</v>
      </c>
      <c r="L786" s="296">
        <v>7.37</v>
      </c>
      <c r="M786" s="296">
        <v>7.37</v>
      </c>
      <c r="N786" s="312">
        <f>J786*0.2</f>
        <v>664.48</v>
      </c>
      <c r="O786" s="298">
        <v>0.15</v>
      </c>
      <c r="P786" s="298"/>
      <c r="Q786" s="297">
        <v>156.11000000000001</v>
      </c>
      <c r="R786" s="291" t="s">
        <v>35</v>
      </c>
      <c r="S786" s="299" t="s">
        <v>41</v>
      </c>
      <c r="T786" s="299">
        <v>17</v>
      </c>
      <c r="U786" s="300" t="s">
        <v>164</v>
      </c>
      <c r="V786" s="333"/>
      <c r="X786" s="297">
        <v>156.11000000000001</v>
      </c>
      <c r="Y786" s="297"/>
      <c r="AH786" s="291">
        <f>X786</f>
        <v>156.11000000000001</v>
      </c>
      <c r="AI786" s="311"/>
      <c r="AJ786" s="468"/>
    </row>
    <row r="787" spans="1:77" s="236" customFormat="1" ht="11.25" customHeight="1">
      <c r="B787" s="246" t="s">
        <v>291</v>
      </c>
      <c r="C787" s="237"/>
      <c r="D787" s="237"/>
      <c r="E787" s="238" t="s">
        <v>886</v>
      </c>
      <c r="F787" s="236" t="s">
        <v>3825</v>
      </c>
      <c r="G787" s="239">
        <v>3592</v>
      </c>
      <c r="H787" s="236" t="s">
        <v>310</v>
      </c>
      <c r="I787" s="236" t="s">
        <v>33</v>
      </c>
      <c r="J787" s="240">
        <v>4351.16</v>
      </c>
      <c r="L787" s="240">
        <v>8.99</v>
      </c>
      <c r="M787" s="240">
        <v>14.23</v>
      </c>
      <c r="N787" s="247">
        <f>J787*0.2</f>
        <v>870.23199999999997</v>
      </c>
      <c r="O787" s="243">
        <v>0.15</v>
      </c>
      <c r="P787" s="243"/>
      <c r="Q787" s="242">
        <v>0</v>
      </c>
      <c r="R787" s="236" t="s">
        <v>35</v>
      </c>
      <c r="S787" s="244" t="s">
        <v>41</v>
      </c>
      <c r="T787" s="244">
        <v>17</v>
      </c>
      <c r="U787" s="245" t="s">
        <v>164</v>
      </c>
      <c r="V787" s="446"/>
      <c r="X787" s="242">
        <v>0</v>
      </c>
      <c r="Y787" s="242"/>
      <c r="AG787" s="236">
        <f>X787</f>
        <v>0</v>
      </c>
      <c r="AJ787" s="640"/>
    </row>
    <row r="788" spans="1:77" s="236" customFormat="1" ht="11.25" customHeight="1">
      <c r="A788" s="473"/>
      <c r="B788" s="473" t="s">
        <v>291</v>
      </c>
      <c r="C788" s="487"/>
      <c r="D788" s="487"/>
      <c r="E788" s="488" t="s">
        <v>887</v>
      </c>
      <c r="F788" s="473" t="s">
        <v>456</v>
      </c>
      <c r="G788" s="489">
        <v>3510</v>
      </c>
      <c r="H788" s="473" t="s">
        <v>137</v>
      </c>
      <c r="I788" s="473" t="s">
        <v>888</v>
      </c>
      <c r="J788" s="490">
        <v>7525.9</v>
      </c>
      <c r="K788" s="473"/>
      <c r="L788" s="490">
        <v>9.5</v>
      </c>
      <c r="M788" s="490">
        <v>9.5</v>
      </c>
      <c r="N788" s="500"/>
      <c r="O788" s="493">
        <v>0.2</v>
      </c>
      <c r="P788" s="493"/>
      <c r="Q788" s="492">
        <v>1042.5</v>
      </c>
      <c r="R788" s="473" t="s">
        <v>35</v>
      </c>
      <c r="S788" s="481" t="s">
        <v>34</v>
      </c>
      <c r="T788" s="481">
        <v>79</v>
      </c>
      <c r="U788" s="494" t="s">
        <v>164</v>
      </c>
      <c r="V788" s="492">
        <v>1042.5</v>
      </c>
      <c r="W788" s="473"/>
      <c r="X788" s="492">
        <v>1042.5</v>
      </c>
      <c r="Y788" s="492"/>
      <c r="Z788" s="473"/>
      <c r="AA788" s="473"/>
      <c r="AB788" s="473"/>
      <c r="AC788" s="473"/>
      <c r="AD788" s="473"/>
      <c r="AE788" s="473"/>
      <c r="AF788" s="473"/>
      <c r="AG788" s="473"/>
      <c r="AH788" s="473"/>
      <c r="AI788" s="473"/>
      <c r="AJ788" s="485"/>
      <c r="AK788" s="505">
        <v>1042.5</v>
      </c>
      <c r="AL788" s="473"/>
      <c r="AM788" s="473"/>
      <c r="AN788" s="473"/>
      <c r="AO788" s="473"/>
      <c r="AP788" s="473"/>
      <c r="AQ788" s="473"/>
      <c r="AR788" s="473"/>
      <c r="AS788" s="473"/>
      <c r="AT788" s="473"/>
      <c r="AU788" s="473"/>
      <c r="AV788" s="473"/>
      <c r="AW788" s="473"/>
      <c r="AX788" s="473"/>
      <c r="AY788" s="473"/>
      <c r="AZ788" s="473"/>
      <c r="BA788" s="473"/>
      <c r="BB788" s="473"/>
      <c r="BC788" s="473"/>
      <c r="BD788" s="473"/>
      <c r="BE788" s="473"/>
      <c r="BF788" s="473"/>
      <c r="BG788" s="473"/>
      <c r="BH788" s="473"/>
      <c r="BI788" s="473"/>
      <c r="BJ788" s="473"/>
      <c r="BK788" s="473"/>
      <c r="BL788" s="473"/>
      <c r="BM788" s="473"/>
      <c r="BN788" s="473"/>
      <c r="BO788" s="473"/>
      <c r="BP788" s="473"/>
      <c r="BQ788" s="473"/>
      <c r="BR788" s="473"/>
      <c r="BS788" s="473"/>
      <c r="BT788" s="473"/>
      <c r="BU788" s="473"/>
      <c r="BV788" s="473"/>
      <c r="BW788" s="473"/>
      <c r="BX788" s="473"/>
      <c r="BY788" s="473"/>
    </row>
    <row r="789" spans="1:77" s="236" customFormat="1" ht="11.25" customHeight="1">
      <c r="B789" s="236" t="s">
        <v>291</v>
      </c>
      <c r="C789" s="237">
        <v>44685</v>
      </c>
      <c r="D789" s="237">
        <v>44685</v>
      </c>
      <c r="E789" s="238" t="s">
        <v>887</v>
      </c>
      <c r="F789" s="236" t="s">
        <v>456</v>
      </c>
      <c r="G789" s="239">
        <v>3510</v>
      </c>
      <c r="H789" s="236" t="s">
        <v>27</v>
      </c>
      <c r="I789" s="236" t="s">
        <v>888</v>
      </c>
      <c r="J789" s="240">
        <v>10978.2</v>
      </c>
      <c r="L789" s="240">
        <v>10.7</v>
      </c>
      <c r="M789" s="240">
        <v>10.7</v>
      </c>
      <c r="N789" s="247"/>
      <c r="O789" s="243">
        <v>0.2</v>
      </c>
      <c r="P789" s="243"/>
      <c r="Q789" s="242">
        <v>0</v>
      </c>
      <c r="R789" s="236" t="s">
        <v>35</v>
      </c>
      <c r="S789" s="244" t="s">
        <v>34</v>
      </c>
      <c r="T789" s="244">
        <v>79</v>
      </c>
      <c r="U789" s="245" t="s">
        <v>164</v>
      </c>
      <c r="V789" s="446"/>
      <c r="X789" s="242">
        <v>0</v>
      </c>
      <c r="Y789" s="242"/>
      <c r="AG789" s="236">
        <f>X789</f>
        <v>0</v>
      </c>
      <c r="AJ789" s="640"/>
    </row>
    <row r="790" spans="1:77" s="236" customFormat="1" ht="11.25" customHeight="1">
      <c r="B790" s="236" t="s">
        <v>291</v>
      </c>
      <c r="C790" s="237"/>
      <c r="D790" s="237"/>
      <c r="E790" s="238" t="s">
        <v>887</v>
      </c>
      <c r="F790" s="236" t="s">
        <v>456</v>
      </c>
      <c r="G790" s="239">
        <v>3510</v>
      </c>
      <c r="H790" s="236" t="s">
        <v>99</v>
      </c>
      <c r="I790" s="236" t="s">
        <v>888</v>
      </c>
      <c r="J790" s="240">
        <v>39156.1</v>
      </c>
      <c r="L790" s="240">
        <v>31</v>
      </c>
      <c r="M790" s="240">
        <v>31</v>
      </c>
      <c r="N790" s="247"/>
      <c r="O790" s="243">
        <v>0.2</v>
      </c>
      <c r="P790" s="243"/>
      <c r="Q790" s="242">
        <v>2798.37</v>
      </c>
      <c r="R790" s="236" t="s">
        <v>35</v>
      </c>
      <c r="S790" s="244" t="s">
        <v>34</v>
      </c>
      <c r="T790" s="244">
        <v>79</v>
      </c>
      <c r="U790" s="245" t="s">
        <v>164</v>
      </c>
      <c r="V790" s="446"/>
      <c r="X790" s="242">
        <v>2798.37</v>
      </c>
      <c r="Y790" s="242"/>
      <c r="AG790" s="236">
        <f>X790</f>
        <v>2798.37</v>
      </c>
      <c r="AJ790" s="640"/>
    </row>
    <row r="791" spans="1:77" s="236" customFormat="1" ht="11.25" customHeight="1">
      <c r="B791" s="236" t="s">
        <v>291</v>
      </c>
      <c r="C791" s="237"/>
      <c r="D791" s="237"/>
      <c r="E791" s="238" t="s">
        <v>887</v>
      </c>
      <c r="F791" s="236" t="s">
        <v>456</v>
      </c>
      <c r="G791" s="239">
        <v>3510</v>
      </c>
      <c r="H791" s="236" t="s">
        <v>183</v>
      </c>
      <c r="I791" s="236" t="s">
        <v>888</v>
      </c>
      <c r="J791" s="240">
        <v>4582.8</v>
      </c>
      <c r="L791" s="240">
        <v>4.0199999999999996</v>
      </c>
      <c r="M791" s="240">
        <v>4.0199999999999996</v>
      </c>
      <c r="N791" s="247"/>
      <c r="O791" s="243">
        <v>0.2</v>
      </c>
      <c r="P791" s="243"/>
      <c r="Q791" s="242">
        <v>0</v>
      </c>
      <c r="R791" s="236" t="s">
        <v>35</v>
      </c>
      <c r="S791" s="244" t="s">
        <v>34</v>
      </c>
      <c r="T791" s="244">
        <v>79</v>
      </c>
      <c r="U791" s="245" t="s">
        <v>164</v>
      </c>
      <c r="V791" s="446"/>
      <c r="X791" s="242">
        <v>0</v>
      </c>
      <c r="Y791" s="242"/>
      <c r="AG791" s="236">
        <f>X791</f>
        <v>0</v>
      </c>
      <c r="AJ791" s="640"/>
    </row>
    <row r="792" spans="1:77" s="236" customFormat="1" ht="11.25" customHeight="1">
      <c r="B792" s="236" t="s">
        <v>291</v>
      </c>
      <c r="C792" s="237"/>
      <c r="D792" s="237"/>
      <c r="E792" s="238" t="s">
        <v>887</v>
      </c>
      <c r="F792" s="236" t="s">
        <v>456</v>
      </c>
      <c r="G792" s="239">
        <v>3510</v>
      </c>
      <c r="H792" s="236" t="s">
        <v>310</v>
      </c>
      <c r="I792" s="236" t="s">
        <v>888</v>
      </c>
      <c r="J792" s="240">
        <v>8379.5</v>
      </c>
      <c r="L792" s="240">
        <v>12.24</v>
      </c>
      <c r="M792" s="240">
        <v>12.24</v>
      </c>
      <c r="N792" s="242">
        <f>J792*0.4</f>
        <v>3351.8</v>
      </c>
      <c r="O792" s="243">
        <v>0.2</v>
      </c>
      <c r="P792" s="243"/>
      <c r="Q792" s="242">
        <v>2123.15</v>
      </c>
      <c r="R792" s="236" t="s">
        <v>35</v>
      </c>
      <c r="S792" s="244" t="s">
        <v>34</v>
      </c>
      <c r="T792" s="244">
        <v>79</v>
      </c>
      <c r="U792" s="245" t="s">
        <v>164</v>
      </c>
      <c r="V792" s="446"/>
      <c r="X792" s="242">
        <v>2123.15</v>
      </c>
      <c r="Y792" s="242"/>
      <c r="AG792" s="236">
        <f>X792</f>
        <v>2123.15</v>
      </c>
      <c r="AJ792" s="640"/>
    </row>
    <row r="793" spans="1:77" s="205" customFormat="1" ht="11.25" customHeight="1">
      <c r="B793" s="205" t="s">
        <v>291</v>
      </c>
      <c r="C793" s="207">
        <v>44685</v>
      </c>
      <c r="D793" s="207">
        <v>44685</v>
      </c>
      <c r="E793" s="208" t="s">
        <v>889</v>
      </c>
      <c r="F793" s="205" t="s">
        <v>479</v>
      </c>
      <c r="G793" s="209">
        <v>3640</v>
      </c>
      <c r="H793" s="205" t="s">
        <v>99</v>
      </c>
      <c r="I793" s="205" t="s">
        <v>33</v>
      </c>
      <c r="J793" s="210">
        <v>23268.83</v>
      </c>
      <c r="L793" s="210">
        <v>20.41</v>
      </c>
      <c r="M793" s="210">
        <v>20.41</v>
      </c>
      <c r="N793" s="211">
        <v>2326.8828699999999</v>
      </c>
      <c r="O793" s="212">
        <v>0.2</v>
      </c>
      <c r="P793" s="212"/>
      <c r="Q793" s="213">
        <v>0</v>
      </c>
      <c r="R793" s="205" t="s">
        <v>128</v>
      </c>
      <c r="S793" s="214" t="s">
        <v>41</v>
      </c>
      <c r="T793" s="214">
        <v>79</v>
      </c>
      <c r="U793" s="215" t="s">
        <v>164</v>
      </c>
      <c r="V793" s="438"/>
      <c r="X793" s="213">
        <v>0</v>
      </c>
      <c r="Y793" s="213"/>
      <c r="AF793" s="230">
        <f>X793</f>
        <v>0</v>
      </c>
      <c r="AJ793" s="216"/>
    </row>
    <row r="794" spans="1:77" s="205" customFormat="1" ht="11.25" customHeight="1">
      <c r="B794" s="205" t="s">
        <v>291</v>
      </c>
      <c r="C794" s="207"/>
      <c r="D794" s="207"/>
      <c r="E794" s="208" t="s">
        <v>889</v>
      </c>
      <c r="F794" s="205" t="s">
        <v>479</v>
      </c>
      <c r="G794" s="209">
        <v>3640</v>
      </c>
      <c r="H794" s="205" t="s">
        <v>163</v>
      </c>
      <c r="I794" s="205" t="s">
        <v>33</v>
      </c>
      <c r="J794" s="210">
        <v>7527.68</v>
      </c>
      <c r="L794" s="210">
        <v>10.69</v>
      </c>
      <c r="M794" s="210">
        <v>10.69</v>
      </c>
      <c r="N794" s="211">
        <v>1129.15263</v>
      </c>
      <c r="O794" s="212">
        <v>0.2</v>
      </c>
      <c r="P794" s="212"/>
      <c r="Q794" s="213">
        <v>0</v>
      </c>
      <c r="R794" s="205" t="s">
        <v>128</v>
      </c>
      <c r="S794" s="214" t="s">
        <v>41</v>
      </c>
      <c r="T794" s="214">
        <v>79</v>
      </c>
      <c r="U794" s="215" t="s">
        <v>164</v>
      </c>
      <c r="V794" s="438"/>
      <c r="X794" s="213">
        <v>0</v>
      </c>
      <c r="Y794" s="213"/>
      <c r="AF794" s="230">
        <f>X794</f>
        <v>0</v>
      </c>
      <c r="AJ794" s="216"/>
    </row>
    <row r="795" spans="1:77" s="153" customFormat="1" ht="11.25" customHeight="1">
      <c r="B795" s="153" t="s">
        <v>291</v>
      </c>
      <c r="C795" s="155">
        <v>44685</v>
      </c>
      <c r="D795" s="155">
        <v>44685</v>
      </c>
      <c r="E795" s="156" t="s">
        <v>890</v>
      </c>
      <c r="F795" s="153" t="s">
        <v>891</v>
      </c>
      <c r="G795" s="157">
        <v>3615</v>
      </c>
      <c r="H795" s="153" t="s">
        <v>183</v>
      </c>
      <c r="I795" s="153" t="s">
        <v>141</v>
      </c>
      <c r="J795" s="158">
        <v>1280.08</v>
      </c>
      <c r="L795" s="158">
        <v>17.12</v>
      </c>
      <c r="M795" s="158">
        <v>17.12</v>
      </c>
      <c r="N795" s="174"/>
      <c r="O795" s="160">
        <v>0.15</v>
      </c>
      <c r="P795" s="160"/>
      <c r="Q795" s="159">
        <v>0</v>
      </c>
      <c r="R795" s="153" t="s">
        <v>77</v>
      </c>
      <c r="S795" s="161" t="s">
        <v>41</v>
      </c>
      <c r="T795" s="161">
        <v>16</v>
      </c>
      <c r="U795" s="162" t="s">
        <v>164</v>
      </c>
      <c r="V795" s="435"/>
      <c r="W795" s="153" t="s">
        <v>1864</v>
      </c>
      <c r="X795" s="159">
        <v>0</v>
      </c>
      <c r="Y795" s="159"/>
      <c r="AD795" s="176">
        <f>X795</f>
        <v>0</v>
      </c>
      <c r="AJ795" s="644"/>
    </row>
    <row r="796" spans="1:77" s="181" customFormat="1" ht="11.25" customHeight="1">
      <c r="B796" s="181" t="s">
        <v>291</v>
      </c>
      <c r="C796" s="179">
        <v>44679</v>
      </c>
      <c r="D796" s="179">
        <v>44685</v>
      </c>
      <c r="E796" s="180" t="s">
        <v>892</v>
      </c>
      <c r="F796" s="181" t="s">
        <v>893</v>
      </c>
      <c r="G796" s="182" t="s">
        <v>894</v>
      </c>
      <c r="H796" s="181" t="s">
        <v>765</v>
      </c>
      <c r="I796" s="181" t="s">
        <v>895</v>
      </c>
      <c r="J796" s="183">
        <v>11165.36</v>
      </c>
      <c r="L796" s="183">
        <v>8</v>
      </c>
      <c r="M796" s="183">
        <v>8</v>
      </c>
      <c r="N796" s="191"/>
      <c r="O796" s="186">
        <v>0.25</v>
      </c>
      <c r="P796" s="186"/>
      <c r="Q796" s="185">
        <v>0</v>
      </c>
      <c r="R796" s="181" t="s">
        <v>112</v>
      </c>
      <c r="S796" s="187" t="s">
        <v>113</v>
      </c>
      <c r="T796" s="187">
        <v>64</v>
      </c>
      <c r="U796" s="188" t="s">
        <v>164</v>
      </c>
      <c r="V796" s="441"/>
      <c r="X796" s="185">
        <v>0</v>
      </c>
      <c r="Y796" s="185"/>
      <c r="AE796" s="204">
        <f>X796</f>
        <v>0</v>
      </c>
      <c r="AJ796" s="189"/>
    </row>
    <row r="797" spans="1:77" s="291" customFormat="1" ht="11.25" customHeight="1">
      <c r="B797" s="310" t="s">
        <v>291</v>
      </c>
      <c r="C797" s="292">
        <v>44684</v>
      </c>
      <c r="D797" s="292">
        <v>44684</v>
      </c>
      <c r="E797" s="293" t="s">
        <v>896</v>
      </c>
      <c r="F797" s="291" t="s">
        <v>680</v>
      </c>
      <c r="G797" s="294">
        <v>4347</v>
      </c>
      <c r="H797" s="291" t="s">
        <v>310</v>
      </c>
      <c r="I797" s="291" t="s">
        <v>33</v>
      </c>
      <c r="J797" s="296">
        <v>20830.18</v>
      </c>
      <c r="L797" s="296">
        <v>18.41</v>
      </c>
      <c r="M797" s="296">
        <v>18.41</v>
      </c>
      <c r="N797" s="312">
        <v>10403.7747</v>
      </c>
      <c r="O797" s="298">
        <v>0.25</v>
      </c>
      <c r="P797" s="298"/>
      <c r="Q797" s="297">
        <v>0</v>
      </c>
      <c r="R797" s="291" t="s">
        <v>42</v>
      </c>
      <c r="S797" s="299" t="s">
        <v>41</v>
      </c>
      <c r="T797" s="299">
        <v>79</v>
      </c>
      <c r="U797" s="300" t="s">
        <v>164</v>
      </c>
      <c r="V797" s="333"/>
      <c r="X797" s="297">
        <v>0</v>
      </c>
      <c r="Y797" s="297"/>
      <c r="AH797" s="291">
        <f>X797</f>
        <v>0</v>
      </c>
      <c r="AI797" s="311"/>
      <c r="AJ797" s="468"/>
    </row>
    <row r="798" spans="1:77" s="291" customFormat="1" ht="11.25" customHeight="1">
      <c r="B798" s="310" t="s">
        <v>291</v>
      </c>
      <c r="C798" s="292"/>
      <c r="D798" s="292"/>
      <c r="E798" s="293" t="s">
        <v>896</v>
      </c>
      <c r="F798" s="291" t="s">
        <v>680</v>
      </c>
      <c r="G798" s="294">
        <v>4347</v>
      </c>
      <c r="H798" s="291" t="s">
        <v>99</v>
      </c>
      <c r="I798" s="291" t="s">
        <v>33</v>
      </c>
      <c r="J798" s="296">
        <v>27058.560000000001</v>
      </c>
      <c r="L798" s="296">
        <v>24.87</v>
      </c>
      <c r="M798" s="296">
        <v>25.13</v>
      </c>
      <c r="N798" s="312">
        <v>4012</v>
      </c>
      <c r="O798" s="298">
        <v>0.25</v>
      </c>
      <c r="P798" s="298"/>
      <c r="Q798" s="297">
        <v>0</v>
      </c>
      <c r="R798" s="291" t="s">
        <v>42</v>
      </c>
      <c r="S798" s="299" t="s">
        <v>41</v>
      </c>
      <c r="T798" s="299">
        <v>79</v>
      </c>
      <c r="U798" s="300" t="s">
        <v>164</v>
      </c>
      <c r="V798" s="333"/>
      <c r="X798" s="297">
        <v>0</v>
      </c>
      <c r="Y798" s="297"/>
      <c r="AH798" s="291">
        <f>X798</f>
        <v>0</v>
      </c>
      <c r="AI798" s="311"/>
      <c r="AJ798" s="468"/>
    </row>
    <row r="799" spans="1:77" s="291" customFormat="1" ht="11.25" customHeight="1">
      <c r="B799" s="310" t="s">
        <v>291</v>
      </c>
      <c r="C799" s="292"/>
      <c r="D799" s="292"/>
      <c r="E799" s="293" t="s">
        <v>896</v>
      </c>
      <c r="F799" s="291" t="s">
        <v>680</v>
      </c>
      <c r="G799" s="294">
        <v>4347</v>
      </c>
      <c r="H799" s="291" t="s">
        <v>27</v>
      </c>
      <c r="I799" s="291" t="s">
        <v>33</v>
      </c>
      <c r="J799" s="296">
        <v>6942.94</v>
      </c>
      <c r="L799" s="296">
        <v>6.03</v>
      </c>
      <c r="M799" s="296">
        <v>6.03</v>
      </c>
      <c r="N799" s="312">
        <f>0.3*J799</f>
        <v>2082.8819999999996</v>
      </c>
      <c r="O799" s="298">
        <v>0.25</v>
      </c>
      <c r="P799" s="298"/>
      <c r="Q799" s="297">
        <v>0</v>
      </c>
      <c r="R799" s="291" t="s">
        <v>42</v>
      </c>
      <c r="S799" s="299" t="s">
        <v>41</v>
      </c>
      <c r="T799" s="299">
        <v>79</v>
      </c>
      <c r="U799" s="300" t="s">
        <v>164</v>
      </c>
      <c r="V799" s="333"/>
      <c r="X799" s="297">
        <v>0</v>
      </c>
      <c r="Y799" s="297"/>
      <c r="AH799" s="291">
        <f>X799</f>
        <v>0</v>
      </c>
      <c r="AI799" s="311"/>
      <c r="AJ799" s="468"/>
    </row>
    <row r="800" spans="1:77" s="291" customFormat="1" ht="11.25" customHeight="1">
      <c r="B800" s="310" t="s">
        <v>291</v>
      </c>
      <c r="C800" s="292"/>
      <c r="D800" s="292"/>
      <c r="E800" s="293" t="s">
        <v>896</v>
      </c>
      <c r="F800" s="291" t="s">
        <v>680</v>
      </c>
      <c r="G800" s="294">
        <v>4347</v>
      </c>
      <c r="H800" s="291" t="s">
        <v>765</v>
      </c>
      <c r="I800" s="291" t="s">
        <v>33</v>
      </c>
      <c r="J800" s="296">
        <v>12511.54</v>
      </c>
      <c r="L800" s="296">
        <v>11.5</v>
      </c>
      <c r="M800" s="296">
        <v>11.5</v>
      </c>
      <c r="N800" s="312">
        <v>10403.7747</v>
      </c>
      <c r="O800" s="298">
        <v>0.25</v>
      </c>
      <c r="P800" s="298"/>
      <c r="Q800" s="297">
        <v>0</v>
      </c>
      <c r="R800" s="291" t="s">
        <v>42</v>
      </c>
      <c r="S800" s="299" t="s">
        <v>41</v>
      </c>
      <c r="T800" s="299">
        <v>79</v>
      </c>
      <c r="U800" s="300" t="s">
        <v>164</v>
      </c>
      <c r="V800" s="333"/>
      <c r="X800" s="297">
        <v>0</v>
      </c>
      <c r="Y800" s="297"/>
      <c r="AH800" s="291">
        <f>X800</f>
        <v>0</v>
      </c>
      <c r="AI800" s="311"/>
      <c r="AJ800" s="468"/>
    </row>
    <row r="801" spans="1:77" s="6" customFormat="1" ht="11.25" customHeight="1">
      <c r="A801" s="379"/>
      <c r="B801" s="379" t="s">
        <v>291</v>
      </c>
      <c r="C801" s="381">
        <v>44685</v>
      </c>
      <c r="D801" s="381">
        <v>44685</v>
      </c>
      <c r="E801" s="382" t="s">
        <v>897</v>
      </c>
      <c r="F801" s="379" t="s">
        <v>169</v>
      </c>
      <c r="G801" s="383">
        <v>3627</v>
      </c>
      <c r="H801" s="379" t="s">
        <v>99</v>
      </c>
      <c r="I801" s="379" t="s">
        <v>888</v>
      </c>
      <c r="J801" s="385">
        <v>39391.129999999997</v>
      </c>
      <c r="K801" s="379"/>
      <c r="L801" s="385">
        <v>61.79</v>
      </c>
      <c r="M801" s="385">
        <v>61.7</v>
      </c>
      <c r="N801" s="407">
        <f>0.2*J801</f>
        <v>7878.2259999999997</v>
      </c>
      <c r="O801" s="387">
        <v>0.15</v>
      </c>
      <c r="P801" s="387"/>
      <c r="Q801" s="386">
        <v>0</v>
      </c>
      <c r="R801" s="379" t="s">
        <v>35</v>
      </c>
      <c r="S801" s="388" t="s">
        <v>41</v>
      </c>
      <c r="T801" s="388">
        <v>86</v>
      </c>
      <c r="U801" s="389" t="s">
        <v>164</v>
      </c>
      <c r="V801" s="433"/>
      <c r="W801" s="379"/>
      <c r="X801" s="386">
        <v>0</v>
      </c>
      <c r="Y801" s="386"/>
      <c r="Z801" s="379"/>
      <c r="AA801" s="379"/>
      <c r="AB801" s="379"/>
      <c r="AC801" s="379"/>
      <c r="AD801" s="379"/>
      <c r="AE801" s="379"/>
      <c r="AF801" s="379"/>
      <c r="AG801" s="379"/>
      <c r="AH801" s="379"/>
      <c r="AI801" s="379"/>
      <c r="AJ801" s="390">
        <v>0</v>
      </c>
      <c r="AK801" s="379"/>
      <c r="AL801" s="379"/>
      <c r="AM801" s="379"/>
      <c r="AN801" s="379"/>
      <c r="AO801" s="379"/>
      <c r="AP801" s="379"/>
      <c r="AQ801" s="379"/>
      <c r="AR801" s="379"/>
      <c r="AS801" s="379"/>
      <c r="AT801" s="379"/>
      <c r="AU801" s="379"/>
      <c r="AV801" s="379"/>
      <c r="AW801" s="379"/>
      <c r="AX801" s="379"/>
      <c r="AY801" s="379"/>
      <c r="AZ801" s="379"/>
      <c r="BA801" s="379"/>
      <c r="BB801" s="379"/>
      <c r="BC801" s="379"/>
      <c r="BD801" s="379"/>
      <c r="BE801" s="379"/>
      <c r="BF801" s="379"/>
      <c r="BG801" s="379"/>
      <c r="BH801" s="379"/>
      <c r="BI801" s="379"/>
      <c r="BJ801" s="379"/>
      <c r="BK801" s="379"/>
      <c r="BL801" s="379"/>
      <c r="BM801" s="379"/>
      <c r="BN801" s="379"/>
      <c r="BO801" s="379"/>
      <c r="BP801" s="379"/>
      <c r="BQ801" s="379"/>
      <c r="BR801" s="379"/>
      <c r="BS801" s="379"/>
      <c r="BT801" s="379"/>
      <c r="BU801" s="379"/>
      <c r="BV801" s="379"/>
      <c r="BW801" s="379"/>
      <c r="BX801" s="379"/>
      <c r="BY801" s="379"/>
    </row>
    <row r="802" spans="1:77" s="6" customFormat="1" ht="11.25" customHeight="1">
      <c r="A802" s="379"/>
      <c r="B802" s="379" t="s">
        <v>291</v>
      </c>
      <c r="C802" s="381"/>
      <c r="D802" s="381"/>
      <c r="E802" s="382" t="s">
        <v>897</v>
      </c>
      <c r="F802" s="379" t="s">
        <v>169</v>
      </c>
      <c r="G802" s="383">
        <v>3627</v>
      </c>
      <c r="H802" s="379" t="s">
        <v>295</v>
      </c>
      <c r="I802" s="379" t="s">
        <v>888</v>
      </c>
      <c r="J802" s="385">
        <v>12756.89</v>
      </c>
      <c r="K802" s="379"/>
      <c r="L802" s="385">
        <v>19.09</v>
      </c>
      <c r="M802" s="385">
        <v>19.09</v>
      </c>
      <c r="N802" s="407"/>
      <c r="O802" s="387">
        <v>0.15</v>
      </c>
      <c r="P802" s="387"/>
      <c r="Q802" s="386">
        <v>0</v>
      </c>
      <c r="R802" s="379" t="s">
        <v>35</v>
      </c>
      <c r="S802" s="388" t="s">
        <v>41</v>
      </c>
      <c r="T802" s="388">
        <v>86</v>
      </c>
      <c r="U802" s="389" t="s">
        <v>164</v>
      </c>
      <c r="V802" s="433"/>
      <c r="W802" s="379"/>
      <c r="X802" s="386">
        <v>0</v>
      </c>
      <c r="Y802" s="386"/>
      <c r="Z802" s="379"/>
      <c r="AA802" s="379"/>
      <c r="AB802" s="379"/>
      <c r="AC802" s="379"/>
      <c r="AD802" s="379"/>
      <c r="AE802" s="379"/>
      <c r="AF802" s="379"/>
      <c r="AG802" s="379"/>
      <c r="AH802" s="379"/>
      <c r="AI802" s="379"/>
      <c r="AJ802" s="390">
        <v>0</v>
      </c>
      <c r="AK802" s="379"/>
      <c r="AL802" s="379"/>
      <c r="AM802" s="379"/>
      <c r="AN802" s="379"/>
      <c r="AO802" s="379"/>
      <c r="AP802" s="379"/>
      <c r="AQ802" s="379"/>
      <c r="AR802" s="379"/>
      <c r="AS802" s="379"/>
      <c r="AT802" s="379"/>
      <c r="AU802" s="379"/>
      <c r="AV802" s="379"/>
      <c r="AW802" s="379"/>
      <c r="AX802" s="379"/>
      <c r="AY802" s="379"/>
      <c r="AZ802" s="379"/>
      <c r="BA802" s="379"/>
      <c r="BB802" s="379"/>
      <c r="BC802" s="379"/>
      <c r="BD802" s="379"/>
      <c r="BE802" s="379"/>
      <c r="BF802" s="379"/>
      <c r="BG802" s="379"/>
      <c r="BH802" s="379"/>
      <c r="BI802" s="379"/>
      <c r="BJ802" s="379"/>
      <c r="BK802" s="379"/>
      <c r="BL802" s="379"/>
      <c r="BM802" s="379"/>
      <c r="BN802" s="379"/>
      <c r="BO802" s="379"/>
      <c r="BP802" s="379"/>
      <c r="BQ802" s="379"/>
      <c r="BR802" s="379"/>
      <c r="BS802" s="379"/>
      <c r="BT802" s="379"/>
      <c r="BU802" s="379"/>
      <c r="BV802" s="379"/>
      <c r="BW802" s="379"/>
      <c r="BX802" s="379"/>
      <c r="BY802" s="379"/>
    </row>
    <row r="803" spans="1:77" s="6" customFormat="1" ht="11.25" customHeight="1">
      <c r="A803" s="379"/>
      <c r="B803" s="379" t="s">
        <v>291</v>
      </c>
      <c r="C803" s="381"/>
      <c r="D803" s="381"/>
      <c r="E803" s="382" t="s">
        <v>897</v>
      </c>
      <c r="F803" s="379" t="s">
        <v>169</v>
      </c>
      <c r="G803" s="383">
        <v>3627</v>
      </c>
      <c r="H803" s="379" t="s">
        <v>163</v>
      </c>
      <c r="I803" s="379" t="s">
        <v>888</v>
      </c>
      <c r="J803" s="385">
        <v>12291.48</v>
      </c>
      <c r="K803" s="379"/>
      <c r="L803" s="385">
        <v>21.53</v>
      </c>
      <c r="M803" s="385">
        <v>21.53</v>
      </c>
      <c r="N803" s="407"/>
      <c r="O803" s="387">
        <v>0.15</v>
      </c>
      <c r="P803" s="387"/>
      <c r="Q803" s="386">
        <v>0</v>
      </c>
      <c r="R803" s="379" t="s">
        <v>35</v>
      </c>
      <c r="S803" s="388" t="s">
        <v>41</v>
      </c>
      <c r="T803" s="388">
        <v>86</v>
      </c>
      <c r="U803" s="389" t="s">
        <v>164</v>
      </c>
      <c r="V803" s="433"/>
      <c r="W803" s="379"/>
      <c r="X803" s="386">
        <v>0</v>
      </c>
      <c r="Y803" s="386"/>
      <c r="Z803" s="379"/>
      <c r="AA803" s="379"/>
      <c r="AB803" s="379"/>
      <c r="AC803" s="379"/>
      <c r="AD803" s="379"/>
      <c r="AE803" s="379"/>
      <c r="AF803" s="379"/>
      <c r="AG803" s="379"/>
      <c r="AH803" s="379"/>
      <c r="AI803" s="379"/>
      <c r="AJ803" s="390">
        <v>0</v>
      </c>
      <c r="AK803" s="379"/>
      <c r="AL803" s="379"/>
      <c r="AM803" s="379"/>
      <c r="AN803" s="379"/>
      <c r="AO803" s="379"/>
      <c r="AP803" s="379"/>
      <c r="AQ803" s="379"/>
      <c r="AR803" s="379"/>
      <c r="AS803" s="379"/>
      <c r="AT803" s="379"/>
      <c r="AU803" s="379"/>
      <c r="AV803" s="379"/>
      <c r="AW803" s="379"/>
      <c r="AX803" s="379"/>
      <c r="AY803" s="379"/>
      <c r="AZ803" s="379"/>
      <c r="BA803" s="379"/>
      <c r="BB803" s="379"/>
      <c r="BC803" s="379"/>
      <c r="BD803" s="379"/>
      <c r="BE803" s="379"/>
      <c r="BF803" s="379"/>
      <c r="BG803" s="379"/>
      <c r="BH803" s="379"/>
      <c r="BI803" s="379"/>
      <c r="BJ803" s="379"/>
      <c r="BK803" s="379"/>
      <c r="BL803" s="379"/>
      <c r="BM803" s="379"/>
      <c r="BN803" s="379"/>
      <c r="BO803" s="379"/>
      <c r="BP803" s="379"/>
      <c r="BQ803" s="379"/>
      <c r="BR803" s="379"/>
      <c r="BS803" s="379"/>
      <c r="BT803" s="379"/>
      <c r="BU803" s="379"/>
      <c r="BV803" s="379"/>
      <c r="BW803" s="379"/>
      <c r="BX803" s="379"/>
      <c r="BY803" s="379"/>
    </row>
    <row r="804" spans="1:77" s="6" customFormat="1" ht="11.25" customHeight="1">
      <c r="A804" s="379"/>
      <c r="B804" s="379" t="s">
        <v>291</v>
      </c>
      <c r="C804" s="381"/>
      <c r="D804" s="381"/>
      <c r="E804" s="382" t="s">
        <v>897</v>
      </c>
      <c r="F804" s="379" t="s">
        <v>169</v>
      </c>
      <c r="G804" s="383">
        <v>3627</v>
      </c>
      <c r="H804" s="379" t="s">
        <v>866</v>
      </c>
      <c r="I804" s="379" t="s">
        <v>888</v>
      </c>
      <c r="J804" s="385">
        <v>8359.16</v>
      </c>
      <c r="K804" s="379"/>
      <c r="L804" s="385">
        <v>12.12</v>
      </c>
      <c r="M804" s="385">
        <v>12.12</v>
      </c>
      <c r="N804" s="407"/>
      <c r="O804" s="387">
        <v>0.15</v>
      </c>
      <c r="P804" s="387"/>
      <c r="Q804" s="386">
        <v>0</v>
      </c>
      <c r="R804" s="379" t="s">
        <v>35</v>
      </c>
      <c r="S804" s="388" t="s">
        <v>41</v>
      </c>
      <c r="T804" s="388">
        <v>86</v>
      </c>
      <c r="U804" s="389" t="s">
        <v>164</v>
      </c>
      <c r="V804" s="433"/>
      <c r="W804" s="379"/>
      <c r="X804" s="386">
        <v>0</v>
      </c>
      <c r="Y804" s="386"/>
      <c r="Z804" s="379"/>
      <c r="AA804" s="379"/>
      <c r="AB804" s="379"/>
      <c r="AC804" s="379"/>
      <c r="AD804" s="379"/>
      <c r="AE804" s="379"/>
      <c r="AF804" s="379"/>
      <c r="AG804" s="379"/>
      <c r="AH804" s="379"/>
      <c r="AI804" s="379"/>
      <c r="AJ804" s="390">
        <v>0</v>
      </c>
      <c r="AK804" s="379"/>
      <c r="AL804" s="379"/>
      <c r="AM804" s="379"/>
      <c r="AN804" s="379"/>
      <c r="AO804" s="379"/>
      <c r="AP804" s="379"/>
      <c r="AQ804" s="379"/>
      <c r="AR804" s="379"/>
      <c r="AS804" s="379"/>
      <c r="AT804" s="379"/>
      <c r="AU804" s="379"/>
      <c r="AV804" s="379"/>
      <c r="AW804" s="379"/>
      <c r="AX804" s="379"/>
      <c r="AY804" s="379"/>
      <c r="AZ804" s="379"/>
      <c r="BA804" s="379"/>
      <c r="BB804" s="379"/>
      <c r="BC804" s="379"/>
      <c r="BD804" s="379"/>
      <c r="BE804" s="379"/>
      <c r="BF804" s="379"/>
      <c r="BG804" s="379"/>
      <c r="BH804" s="379"/>
      <c r="BI804" s="379"/>
      <c r="BJ804" s="379"/>
      <c r="BK804" s="379"/>
      <c r="BL804" s="379"/>
      <c r="BM804" s="379"/>
      <c r="BN804" s="379"/>
      <c r="BO804" s="379"/>
      <c r="BP804" s="379"/>
      <c r="BQ804" s="379"/>
      <c r="BR804" s="379"/>
      <c r="BS804" s="379"/>
      <c r="BT804" s="379"/>
      <c r="BU804" s="379"/>
      <c r="BV804" s="379"/>
      <c r="BW804" s="379"/>
      <c r="BX804" s="379"/>
      <c r="BY804" s="379"/>
    </row>
    <row r="805" spans="1:77" s="379" customFormat="1" ht="11.25" customHeight="1">
      <c r="B805" s="379" t="s">
        <v>291</v>
      </c>
      <c r="C805" s="381"/>
      <c r="D805" s="381"/>
      <c r="E805" s="382" t="s">
        <v>897</v>
      </c>
      <c r="F805" s="379" t="s">
        <v>169</v>
      </c>
      <c r="G805" s="383">
        <v>3627</v>
      </c>
      <c r="H805" s="379" t="s">
        <v>765</v>
      </c>
      <c r="I805" s="379" t="s">
        <v>888</v>
      </c>
      <c r="J805" s="385">
        <v>30208.799999999999</v>
      </c>
      <c r="L805" s="385">
        <v>61.4</v>
      </c>
      <c r="M805" s="385">
        <v>61.4</v>
      </c>
      <c r="N805" s="407"/>
      <c r="O805" s="387">
        <v>0.15</v>
      </c>
      <c r="P805" s="387"/>
      <c r="Q805" s="386">
        <v>0</v>
      </c>
      <c r="R805" s="379" t="s">
        <v>35</v>
      </c>
      <c r="S805" s="388" t="s">
        <v>41</v>
      </c>
      <c r="T805" s="388">
        <v>86</v>
      </c>
      <c r="U805" s="389" t="s">
        <v>164</v>
      </c>
      <c r="V805" s="433"/>
      <c r="X805" s="386">
        <v>0</v>
      </c>
      <c r="Y805" s="386"/>
      <c r="AJ805" s="390">
        <v>0</v>
      </c>
    </row>
    <row r="806" spans="1:77" s="379" customFormat="1" ht="11.25" customHeight="1">
      <c r="B806" s="379" t="s">
        <v>291</v>
      </c>
      <c r="C806" s="381"/>
      <c r="D806" s="381"/>
      <c r="E806" s="382" t="s">
        <v>897</v>
      </c>
      <c r="F806" s="379" t="s">
        <v>169</v>
      </c>
      <c r="G806" s="383">
        <v>3627</v>
      </c>
      <c r="H806" s="379" t="s">
        <v>898</v>
      </c>
      <c r="I806" s="379" t="s">
        <v>888</v>
      </c>
      <c r="J806" s="385">
        <v>10582</v>
      </c>
      <c r="L806" s="385">
        <v>11</v>
      </c>
      <c r="M806" s="385">
        <v>11</v>
      </c>
      <c r="N806" s="407"/>
      <c r="O806" s="387">
        <v>0.15</v>
      </c>
      <c r="P806" s="387"/>
      <c r="Q806" s="386">
        <v>0</v>
      </c>
      <c r="R806" s="379" t="s">
        <v>35</v>
      </c>
      <c r="S806" s="388" t="s">
        <v>41</v>
      </c>
      <c r="T806" s="388">
        <v>86</v>
      </c>
      <c r="U806" s="389" t="s">
        <v>164</v>
      </c>
      <c r="V806" s="433"/>
      <c r="X806" s="386">
        <v>0</v>
      </c>
      <c r="Y806" s="386"/>
      <c r="AJ806" s="390">
        <v>0</v>
      </c>
    </row>
    <row r="807" spans="1:77" s="379" customFormat="1" ht="11.25" customHeight="1">
      <c r="B807" s="379" t="s">
        <v>291</v>
      </c>
      <c r="C807" s="381"/>
      <c r="D807" s="381"/>
      <c r="E807" s="382" t="s">
        <v>897</v>
      </c>
      <c r="F807" s="379" t="s">
        <v>169</v>
      </c>
      <c r="G807" s="383">
        <v>3627</v>
      </c>
      <c r="H807" s="379" t="s">
        <v>183</v>
      </c>
      <c r="I807" s="379" t="s">
        <v>888</v>
      </c>
      <c r="J807" s="385">
        <v>56324.27</v>
      </c>
      <c r="L807" s="385">
        <v>67.73</v>
      </c>
      <c r="M807" s="385">
        <v>67.73</v>
      </c>
      <c r="N807" s="407">
        <f>0.2*J807</f>
        <v>11264.853999999999</v>
      </c>
      <c r="O807" s="387">
        <v>0.15</v>
      </c>
      <c r="P807" s="387"/>
      <c r="Q807" s="386">
        <v>4291.37</v>
      </c>
      <c r="R807" s="379" t="s">
        <v>35</v>
      </c>
      <c r="S807" s="388" t="s">
        <v>41</v>
      </c>
      <c r="T807" s="388">
        <v>86</v>
      </c>
      <c r="U807" s="389" t="s">
        <v>164</v>
      </c>
      <c r="V807" s="433"/>
      <c r="X807" s="386">
        <v>4291.37</v>
      </c>
      <c r="Y807" s="386"/>
      <c r="AJ807" s="416">
        <v>4291.37</v>
      </c>
    </row>
    <row r="808" spans="1:77" s="337" customFormat="1" ht="11.25" customHeight="1">
      <c r="B808" s="338" t="s">
        <v>291</v>
      </c>
      <c r="C808" s="349">
        <v>44655</v>
      </c>
      <c r="D808" s="349">
        <v>44686</v>
      </c>
      <c r="E808" s="350" t="s">
        <v>899</v>
      </c>
      <c r="F808" s="337" t="s">
        <v>539</v>
      </c>
      <c r="G808" s="351">
        <v>3591</v>
      </c>
      <c r="H808" s="337" t="s">
        <v>99</v>
      </c>
      <c r="I808" s="337" t="s">
        <v>141</v>
      </c>
      <c r="J808" s="352">
        <v>34617.300000000003</v>
      </c>
      <c r="L808" s="352">
        <v>30</v>
      </c>
      <c r="M808" s="352">
        <v>30</v>
      </c>
      <c r="N808" s="360"/>
      <c r="O808" s="355">
        <v>0.15</v>
      </c>
      <c r="P808" s="355"/>
      <c r="Q808" s="354">
        <v>0</v>
      </c>
      <c r="R808" s="337" t="s">
        <v>540</v>
      </c>
      <c r="S808" s="356" t="s">
        <v>41</v>
      </c>
      <c r="T808" s="356">
        <v>16</v>
      </c>
      <c r="U808" s="357" t="s">
        <v>164</v>
      </c>
      <c r="V808" s="434"/>
      <c r="X808" s="354">
        <v>0</v>
      </c>
      <c r="Y808" s="354"/>
      <c r="AI808" s="337">
        <v>0</v>
      </c>
      <c r="AJ808" s="358"/>
      <c r="AK808" s="369"/>
    </row>
    <row r="809" spans="1:77" s="379" customFormat="1" ht="11.25" customHeight="1">
      <c r="B809" s="380" t="s">
        <v>390</v>
      </c>
      <c r="C809" s="381">
        <v>44655</v>
      </c>
      <c r="D809" s="381">
        <v>44686</v>
      </c>
      <c r="E809" s="382" t="s">
        <v>900</v>
      </c>
      <c r="F809" s="379" t="s">
        <v>901</v>
      </c>
      <c r="G809" s="383" t="s">
        <v>902</v>
      </c>
      <c r="H809" s="379" t="s">
        <v>393</v>
      </c>
      <c r="I809" s="379" t="s">
        <v>141</v>
      </c>
      <c r="J809" s="385">
        <v>241948.48</v>
      </c>
      <c r="L809" s="385">
        <v>21.19</v>
      </c>
      <c r="M809" s="385">
        <v>21.19</v>
      </c>
      <c r="N809" s="385"/>
      <c r="O809" s="387">
        <v>0.25</v>
      </c>
      <c r="P809" s="387"/>
      <c r="Q809" s="385">
        <v>0</v>
      </c>
      <c r="R809" s="379" t="s">
        <v>77</v>
      </c>
      <c r="S809" s="388" t="s">
        <v>41</v>
      </c>
      <c r="T809" s="388">
        <v>16</v>
      </c>
      <c r="U809" s="389" t="s">
        <v>164</v>
      </c>
      <c r="V809" s="433"/>
      <c r="X809" s="386">
        <v>0</v>
      </c>
      <c r="Y809" s="386"/>
      <c r="AJ809" s="390">
        <v>0</v>
      </c>
    </row>
    <row r="810" spans="1:77" s="153" customFormat="1" ht="11.25" customHeight="1">
      <c r="B810" s="154" t="s">
        <v>291</v>
      </c>
      <c r="C810" s="155">
        <v>44676</v>
      </c>
      <c r="D810" s="155">
        <v>44686</v>
      </c>
      <c r="E810" s="156" t="s">
        <v>903</v>
      </c>
      <c r="F810" s="153" t="s">
        <v>771</v>
      </c>
      <c r="G810" s="157" t="s">
        <v>772</v>
      </c>
      <c r="H810" s="153" t="s">
        <v>192</v>
      </c>
      <c r="I810" s="153" t="s">
        <v>141</v>
      </c>
      <c r="J810" s="158">
        <v>66800.63</v>
      </c>
      <c r="L810" s="158">
        <v>37.700000000000003</v>
      </c>
      <c r="M810" s="158">
        <v>37.700000000000003</v>
      </c>
      <c r="N810" s="174"/>
      <c r="O810" s="160">
        <v>0.25</v>
      </c>
      <c r="P810" s="160"/>
      <c r="Q810" s="159">
        <v>0</v>
      </c>
      <c r="R810" s="153" t="s">
        <v>35</v>
      </c>
      <c r="S810" s="161" t="s">
        <v>34</v>
      </c>
      <c r="T810" s="161">
        <v>17</v>
      </c>
      <c r="U810" s="162" t="s">
        <v>164</v>
      </c>
      <c r="V810" s="435"/>
      <c r="W810" s="153" t="s">
        <v>1869</v>
      </c>
      <c r="X810" s="159">
        <v>0</v>
      </c>
      <c r="Y810" s="159"/>
      <c r="AD810" s="176">
        <f>X810</f>
        <v>0</v>
      </c>
      <c r="AJ810" s="644"/>
    </row>
    <row r="811" spans="1:77" s="153" customFormat="1" ht="11.25" customHeight="1">
      <c r="B811" s="154" t="s">
        <v>291</v>
      </c>
      <c r="C811" s="155"/>
      <c r="D811" s="155"/>
      <c r="E811" s="156" t="s">
        <v>903</v>
      </c>
      <c r="F811" s="153" t="s">
        <v>771</v>
      </c>
      <c r="G811" s="157" t="s">
        <v>772</v>
      </c>
      <c r="H811" s="153" t="s">
        <v>137</v>
      </c>
      <c r="I811" s="153" t="s">
        <v>141</v>
      </c>
      <c r="J811" s="158">
        <v>48505.08</v>
      </c>
      <c r="L811" s="158">
        <v>46.02</v>
      </c>
      <c r="M811" s="158">
        <v>46.02</v>
      </c>
      <c r="N811" s="174"/>
      <c r="O811" s="160">
        <v>0.25</v>
      </c>
      <c r="P811" s="160"/>
      <c r="Q811" s="159">
        <v>0</v>
      </c>
      <c r="R811" s="153" t="s">
        <v>35</v>
      </c>
      <c r="S811" s="161" t="s">
        <v>34</v>
      </c>
      <c r="T811" s="161">
        <v>17</v>
      </c>
      <c r="U811" s="162" t="s">
        <v>164</v>
      </c>
      <c r="V811" s="435"/>
      <c r="W811" s="153" t="s">
        <v>1869</v>
      </c>
      <c r="X811" s="159">
        <v>0</v>
      </c>
      <c r="Y811" s="159"/>
      <c r="AD811" s="176">
        <f>X811</f>
        <v>0</v>
      </c>
      <c r="AJ811" s="644"/>
    </row>
    <row r="812" spans="1:77" s="473" customFormat="1" ht="11.25" customHeight="1">
      <c r="B812" s="486" t="s">
        <v>291</v>
      </c>
      <c r="C812" s="487">
        <v>44684</v>
      </c>
      <c r="D812" s="487">
        <v>44686</v>
      </c>
      <c r="E812" s="488" t="s">
        <v>904</v>
      </c>
      <c r="F812" s="473" t="s">
        <v>72</v>
      </c>
      <c r="G812" s="489">
        <v>4179</v>
      </c>
      <c r="H812" s="473" t="s">
        <v>814</v>
      </c>
      <c r="I812" s="473" t="s">
        <v>881</v>
      </c>
      <c r="J812" s="490">
        <v>32000.400000000001</v>
      </c>
      <c r="L812" s="490">
        <v>29.63</v>
      </c>
      <c r="M812" s="490">
        <v>13</v>
      </c>
      <c r="N812" s="500"/>
      <c r="O812" s="493">
        <v>0.15</v>
      </c>
      <c r="P812" s="493"/>
      <c r="Q812" s="492">
        <v>0</v>
      </c>
      <c r="R812" s="473" t="s">
        <v>73</v>
      </c>
      <c r="S812" s="481" t="s">
        <v>74</v>
      </c>
      <c r="T812" s="481">
        <v>31</v>
      </c>
      <c r="U812" s="494" t="s">
        <v>164</v>
      </c>
      <c r="V812" s="495"/>
      <c r="X812" s="492">
        <v>0</v>
      </c>
      <c r="Y812" s="492"/>
      <c r="AJ812" s="485"/>
      <c r="AK812" s="473">
        <v>0</v>
      </c>
    </row>
    <row r="813" spans="1:77" s="379" customFormat="1" ht="11.25" customHeight="1">
      <c r="B813" s="380" t="s">
        <v>291</v>
      </c>
      <c r="C813" s="381">
        <v>44686</v>
      </c>
      <c r="D813" s="381">
        <v>44686</v>
      </c>
      <c r="E813" s="382" t="s">
        <v>905</v>
      </c>
      <c r="F813" s="379" t="s">
        <v>353</v>
      </c>
      <c r="G813" s="383">
        <v>3587</v>
      </c>
      <c r="H813" s="379" t="s">
        <v>310</v>
      </c>
      <c r="I813" s="379" t="s">
        <v>33</v>
      </c>
      <c r="J813" s="385">
        <v>12185.12</v>
      </c>
      <c r="L813" s="385">
        <v>17.38</v>
      </c>
      <c r="M813" s="385">
        <v>17.38</v>
      </c>
      <c r="N813" s="407">
        <f>J813*0.4</f>
        <v>4874.0480000000007</v>
      </c>
      <c r="O813" s="387">
        <v>0.15</v>
      </c>
      <c r="P813" s="387"/>
      <c r="Q813" s="386">
        <v>5440.37</v>
      </c>
      <c r="R813" s="379" t="s">
        <v>35</v>
      </c>
      <c r="S813" s="388" t="s">
        <v>41</v>
      </c>
      <c r="T813" s="388">
        <v>86</v>
      </c>
      <c r="U813" s="389" t="s">
        <v>164</v>
      </c>
      <c r="V813" s="433"/>
      <c r="X813" s="386">
        <v>5440.37</v>
      </c>
      <c r="Y813" s="386"/>
      <c r="AJ813" s="416">
        <v>5440.37</v>
      </c>
    </row>
    <row r="814" spans="1:77" s="337" customFormat="1" ht="11.25" customHeight="1">
      <c r="B814" s="338" t="s">
        <v>291</v>
      </c>
      <c r="C814" s="349"/>
      <c r="D814" s="349"/>
      <c r="E814" s="350" t="s">
        <v>905</v>
      </c>
      <c r="F814" s="337" t="s">
        <v>353</v>
      </c>
      <c r="G814" s="351">
        <v>3587</v>
      </c>
      <c r="H814" s="337" t="s">
        <v>866</v>
      </c>
      <c r="I814" s="337" t="s">
        <v>33</v>
      </c>
      <c r="J814" s="352">
        <v>15731.72</v>
      </c>
      <c r="L814" s="352">
        <v>14.45</v>
      </c>
      <c r="M814" s="352">
        <v>14.45</v>
      </c>
      <c r="N814" s="360"/>
      <c r="O814" s="355">
        <v>0.15</v>
      </c>
      <c r="P814" s="355"/>
      <c r="Q814" s="354">
        <v>0</v>
      </c>
      <c r="R814" s="337" t="s">
        <v>35</v>
      </c>
      <c r="S814" s="356" t="s">
        <v>41</v>
      </c>
      <c r="T814" s="356">
        <v>86</v>
      </c>
      <c r="U814" s="357" t="s">
        <v>164</v>
      </c>
      <c r="V814" s="434"/>
      <c r="X814" s="354">
        <v>0</v>
      </c>
      <c r="Y814" s="354"/>
      <c r="AI814" s="337">
        <v>0</v>
      </c>
      <c r="AJ814" s="358"/>
      <c r="AK814" s="369"/>
    </row>
    <row r="815" spans="1:77" s="6" customFormat="1" ht="11.25" customHeight="1">
      <c r="A815" s="379"/>
      <c r="B815" s="379" t="s">
        <v>291</v>
      </c>
      <c r="C815" s="381">
        <v>44681</v>
      </c>
      <c r="D815" s="381">
        <v>44686</v>
      </c>
      <c r="E815" s="382" t="s">
        <v>906</v>
      </c>
      <c r="F815" s="379" t="s">
        <v>342</v>
      </c>
      <c r="G815" s="383" t="s">
        <v>530</v>
      </c>
      <c r="H815" s="379" t="s">
        <v>765</v>
      </c>
      <c r="I815" s="379" t="s">
        <v>881</v>
      </c>
      <c r="J815" s="385">
        <v>18925.43</v>
      </c>
      <c r="K815" s="379"/>
      <c r="L815" s="385">
        <v>18.05</v>
      </c>
      <c r="M815" s="385">
        <v>18.05</v>
      </c>
      <c r="N815" s="407"/>
      <c r="O815" s="387">
        <v>0.2</v>
      </c>
      <c r="P815" s="387"/>
      <c r="Q815" s="386">
        <v>0</v>
      </c>
      <c r="R815" s="379" t="s">
        <v>35</v>
      </c>
      <c r="S815" s="388" t="s">
        <v>41</v>
      </c>
      <c r="T815" s="388">
        <v>86</v>
      </c>
      <c r="U815" s="389" t="s">
        <v>164</v>
      </c>
      <c r="V815" s="433"/>
      <c r="W815" s="379"/>
      <c r="X815" s="386">
        <v>0</v>
      </c>
      <c r="Y815" s="386"/>
      <c r="Z815" s="379"/>
      <c r="AA815" s="379"/>
      <c r="AB815" s="379"/>
      <c r="AC815" s="379"/>
      <c r="AD815" s="379"/>
      <c r="AE815" s="379"/>
      <c r="AF815" s="379"/>
      <c r="AG815" s="379"/>
      <c r="AH815" s="379"/>
      <c r="AI815" s="379"/>
      <c r="AJ815" s="390">
        <v>0</v>
      </c>
      <c r="AK815" s="379"/>
      <c r="AL815" s="379"/>
      <c r="AM815" s="379"/>
      <c r="AN815" s="379"/>
      <c r="AO815" s="379"/>
      <c r="AP815" s="379"/>
      <c r="AQ815" s="379"/>
      <c r="AR815" s="379"/>
      <c r="AS815" s="379"/>
      <c r="AT815" s="379"/>
      <c r="AU815" s="379"/>
      <c r="AV815" s="379"/>
      <c r="AW815" s="379"/>
      <c r="AX815" s="379"/>
      <c r="AY815" s="379"/>
      <c r="AZ815" s="379"/>
      <c r="BA815" s="379"/>
      <c r="BB815" s="379"/>
      <c r="BC815" s="379"/>
      <c r="BD815" s="379"/>
      <c r="BE815" s="379"/>
      <c r="BF815" s="379"/>
      <c r="BG815" s="379"/>
      <c r="BH815" s="379"/>
      <c r="BI815" s="379"/>
      <c r="BJ815" s="379"/>
      <c r="BK815" s="379"/>
      <c r="BL815" s="379"/>
      <c r="BM815" s="379"/>
      <c r="BN815" s="379"/>
      <c r="BO815" s="379"/>
      <c r="BP815" s="379"/>
      <c r="BQ815" s="379"/>
      <c r="BR815" s="379"/>
      <c r="BS815" s="379"/>
      <c r="BT815" s="379"/>
      <c r="BU815" s="379"/>
      <c r="BV815" s="379"/>
      <c r="BW815" s="379"/>
      <c r="BX815" s="379"/>
      <c r="BY815" s="379"/>
    </row>
    <row r="816" spans="1:77" s="205" customFormat="1" ht="11.25" customHeight="1">
      <c r="B816" s="205" t="s">
        <v>291</v>
      </c>
      <c r="C816" s="207">
        <v>44684</v>
      </c>
      <c r="D816" s="207">
        <v>44687</v>
      </c>
      <c r="E816" s="208" t="s">
        <v>907</v>
      </c>
      <c r="F816" s="205" t="s">
        <v>908</v>
      </c>
      <c r="G816" s="209">
        <v>3673</v>
      </c>
      <c r="H816" s="205" t="s">
        <v>765</v>
      </c>
      <c r="I816" s="205" t="s">
        <v>28</v>
      </c>
      <c r="J816" s="210">
        <v>18210.400000000001</v>
      </c>
      <c r="L816" s="210">
        <v>26</v>
      </c>
      <c r="M816" s="210">
        <v>3</v>
      </c>
      <c r="N816" s="211"/>
      <c r="O816" s="212">
        <v>0.2</v>
      </c>
      <c r="P816" s="212"/>
      <c r="Q816" s="213">
        <v>331.8</v>
      </c>
      <c r="R816" s="205" t="s">
        <v>50</v>
      </c>
      <c r="S816" s="214" t="s">
        <v>51</v>
      </c>
      <c r="T816" s="214">
        <v>55</v>
      </c>
      <c r="U816" s="215" t="s">
        <v>164</v>
      </c>
      <c r="V816" s="438">
        <v>331.8</v>
      </c>
      <c r="X816" s="213">
        <v>331.8</v>
      </c>
      <c r="Y816" s="213"/>
      <c r="AF816" s="230">
        <f>X816</f>
        <v>331.8</v>
      </c>
      <c r="AJ816" s="216"/>
    </row>
    <row r="817" spans="1:77" s="6" customFormat="1" ht="11.25" customHeight="1">
      <c r="A817" s="546"/>
      <c r="B817" s="546" t="s">
        <v>291</v>
      </c>
      <c r="C817" s="547">
        <v>44687</v>
      </c>
      <c r="D817" s="547">
        <v>44687</v>
      </c>
      <c r="E817" s="548" t="s">
        <v>909</v>
      </c>
      <c r="F817" s="546" t="s">
        <v>664</v>
      </c>
      <c r="G817" s="549" t="s">
        <v>665</v>
      </c>
      <c r="H817" s="546" t="s">
        <v>99</v>
      </c>
      <c r="I817" s="546" t="s">
        <v>33</v>
      </c>
      <c r="J817" s="550">
        <v>64974</v>
      </c>
      <c r="K817" s="546"/>
      <c r="L817" s="550">
        <v>49</v>
      </c>
      <c r="M817" s="550">
        <v>49</v>
      </c>
      <c r="N817" s="578"/>
      <c r="O817" s="553">
        <v>0.25</v>
      </c>
      <c r="P817" s="553"/>
      <c r="Q817" s="552">
        <v>0</v>
      </c>
      <c r="R817" s="546" t="s">
        <v>35</v>
      </c>
      <c r="S817" s="554" t="s">
        <v>41</v>
      </c>
      <c r="T817" s="554">
        <v>16</v>
      </c>
      <c r="U817" s="555" t="s">
        <v>164</v>
      </c>
      <c r="V817" s="556"/>
      <c r="W817" s="546"/>
      <c r="X817" s="552">
        <v>0</v>
      </c>
      <c r="Y817" s="552"/>
      <c r="Z817" s="546"/>
      <c r="AA817" s="546"/>
      <c r="AB817" s="546"/>
      <c r="AC817" s="546"/>
      <c r="AD817" s="546"/>
      <c r="AE817" s="546"/>
      <c r="AF817" s="546"/>
      <c r="AG817" s="546"/>
      <c r="AH817" s="546"/>
      <c r="AI817" s="546"/>
      <c r="AJ817" s="557"/>
      <c r="AK817" s="546"/>
      <c r="AL817" s="546"/>
      <c r="AM817" s="546">
        <v>0</v>
      </c>
      <c r="AN817" s="546"/>
      <c r="AO817" s="546"/>
      <c r="AP817" s="546"/>
      <c r="AQ817" s="546"/>
      <c r="AR817" s="546"/>
      <c r="AS817" s="546"/>
      <c r="AT817" s="546"/>
      <c r="AU817" s="546"/>
      <c r="AV817" s="546"/>
      <c r="AW817" s="546"/>
      <c r="AX817" s="546"/>
      <c r="AY817" s="546"/>
      <c r="AZ817" s="546"/>
      <c r="BA817" s="546"/>
      <c r="BB817" s="546"/>
      <c r="BC817" s="546"/>
      <c r="BD817" s="546"/>
      <c r="BE817" s="546"/>
      <c r="BF817" s="546"/>
      <c r="BG817" s="546"/>
      <c r="BH817" s="546"/>
      <c r="BI817" s="546"/>
      <c r="BJ817" s="546"/>
      <c r="BK817" s="546"/>
      <c r="BL817" s="546"/>
      <c r="BM817" s="546"/>
      <c r="BN817" s="546"/>
      <c r="BO817" s="546"/>
      <c r="BP817" s="546"/>
      <c r="BQ817" s="546"/>
      <c r="BR817" s="546"/>
      <c r="BS817" s="546"/>
      <c r="BT817" s="546"/>
      <c r="BU817" s="546"/>
      <c r="BV817" s="546"/>
      <c r="BW817" s="546"/>
      <c r="BX817" s="546"/>
      <c r="BY817" s="546"/>
    </row>
    <row r="818" spans="1:77" s="546" customFormat="1" ht="11.25" customHeight="1">
      <c r="A818" s="473"/>
      <c r="B818" s="473" t="s">
        <v>291</v>
      </c>
      <c r="C818" s="487"/>
      <c r="D818" s="487"/>
      <c r="E818" s="488" t="s">
        <v>909</v>
      </c>
      <c r="F818" s="473" t="s">
        <v>664</v>
      </c>
      <c r="G818" s="489" t="s">
        <v>665</v>
      </c>
      <c r="H818" s="473" t="s">
        <v>336</v>
      </c>
      <c r="I818" s="473" t="s">
        <v>33</v>
      </c>
      <c r="J818" s="490">
        <v>36634.32</v>
      </c>
      <c r="K818" s="473"/>
      <c r="L818" s="490">
        <v>27.88</v>
      </c>
      <c r="M818" s="490">
        <v>27.88</v>
      </c>
      <c r="N818" s="500"/>
      <c r="O818" s="493">
        <v>0.25</v>
      </c>
      <c r="P818" s="493"/>
      <c r="Q818" s="492">
        <v>465.6</v>
      </c>
      <c r="R818" s="473" t="s">
        <v>35</v>
      </c>
      <c r="S818" s="481" t="s">
        <v>41</v>
      </c>
      <c r="T818" s="481">
        <v>16</v>
      </c>
      <c r="U818" s="494" t="s">
        <v>164</v>
      </c>
      <c r="V818" s="495"/>
      <c r="W818" s="473"/>
      <c r="X818" s="492">
        <v>465.6</v>
      </c>
      <c r="Y818" s="492"/>
      <c r="Z818" s="473"/>
      <c r="AA818" s="473"/>
      <c r="AB818" s="473"/>
      <c r="AC818" s="473"/>
      <c r="AD818" s="473"/>
      <c r="AE818" s="473"/>
      <c r="AF818" s="473"/>
      <c r="AG818" s="473"/>
      <c r="AH818" s="473"/>
      <c r="AI818" s="473"/>
      <c r="AJ818" s="485"/>
      <c r="AK818" s="505">
        <v>465.6</v>
      </c>
      <c r="AL818" s="473"/>
      <c r="AM818" s="473"/>
      <c r="AN818" s="473"/>
      <c r="AO818" s="473"/>
      <c r="AP818" s="473"/>
      <c r="AQ818" s="473"/>
      <c r="AR818" s="473"/>
      <c r="AS818" s="473"/>
      <c r="AT818" s="473"/>
      <c r="AU818" s="473"/>
      <c r="AV818" s="473"/>
      <c r="AW818" s="473"/>
      <c r="AX818" s="473"/>
      <c r="AY818" s="473"/>
      <c r="AZ818" s="473"/>
      <c r="BA818" s="473"/>
      <c r="BB818" s="473"/>
      <c r="BC818" s="473"/>
      <c r="BD818" s="473"/>
      <c r="BE818" s="473"/>
      <c r="BF818" s="473"/>
      <c r="BG818" s="473"/>
      <c r="BH818" s="473"/>
      <c r="BI818" s="473"/>
      <c r="BJ818" s="473"/>
      <c r="BK818" s="473"/>
      <c r="BL818" s="473"/>
      <c r="BM818" s="473"/>
      <c r="BN818" s="473"/>
      <c r="BO818" s="473"/>
      <c r="BP818" s="473"/>
      <c r="BQ818" s="473"/>
      <c r="BR818" s="473"/>
      <c r="BS818" s="473"/>
      <c r="BT818" s="473"/>
      <c r="BU818" s="473"/>
      <c r="BV818" s="473"/>
      <c r="BW818" s="473"/>
      <c r="BX818" s="473"/>
      <c r="BY818" s="473"/>
    </row>
    <row r="819" spans="1:77" s="379" customFormat="1" ht="11.25" customHeight="1">
      <c r="B819" s="379" t="s">
        <v>291</v>
      </c>
      <c r="C819" s="381"/>
      <c r="D819" s="381"/>
      <c r="E819" s="382" t="s">
        <v>909</v>
      </c>
      <c r="F819" s="379" t="s">
        <v>664</v>
      </c>
      <c r="G819" s="383" t="s">
        <v>665</v>
      </c>
      <c r="H819" s="379" t="s">
        <v>27</v>
      </c>
      <c r="I819" s="379" t="s">
        <v>33</v>
      </c>
      <c r="J819" s="385">
        <v>29390.9</v>
      </c>
      <c r="L819" s="385">
        <v>16.940000000000001</v>
      </c>
      <c r="M819" s="385">
        <v>16.940000000000001</v>
      </c>
      <c r="N819" s="407"/>
      <c r="O819" s="387">
        <v>0.25</v>
      </c>
      <c r="P819" s="387"/>
      <c r="Q819" s="386">
        <v>0</v>
      </c>
      <c r="R819" s="379" t="s">
        <v>35</v>
      </c>
      <c r="S819" s="388" t="s">
        <v>41</v>
      </c>
      <c r="T819" s="388">
        <v>16</v>
      </c>
      <c r="U819" s="389" t="s">
        <v>164</v>
      </c>
      <c r="V819" s="433"/>
      <c r="X819" s="386">
        <v>0</v>
      </c>
      <c r="Y819" s="386"/>
      <c r="AJ819" s="390">
        <v>0</v>
      </c>
    </row>
    <row r="820" spans="1:77" s="379" customFormat="1" ht="11.25" customHeight="1">
      <c r="B820" s="379" t="s">
        <v>291</v>
      </c>
      <c r="C820" s="381"/>
      <c r="D820" s="381"/>
      <c r="E820" s="382" t="s">
        <v>909</v>
      </c>
      <c r="F820" s="379" t="s">
        <v>664</v>
      </c>
      <c r="G820" s="383" t="s">
        <v>665</v>
      </c>
      <c r="H820" s="379" t="s">
        <v>910</v>
      </c>
      <c r="I820" s="379" t="s">
        <v>33</v>
      </c>
      <c r="J820" s="385">
        <v>27739.96</v>
      </c>
      <c r="L820" s="385">
        <v>14.23</v>
      </c>
      <c r="M820" s="385">
        <v>14.23</v>
      </c>
      <c r="N820" s="407"/>
      <c r="O820" s="387">
        <v>0.25</v>
      </c>
      <c r="P820" s="387"/>
      <c r="Q820" s="386">
        <v>0</v>
      </c>
      <c r="R820" s="379" t="s">
        <v>35</v>
      </c>
      <c r="S820" s="388" t="s">
        <v>41</v>
      </c>
      <c r="T820" s="388">
        <v>16</v>
      </c>
      <c r="U820" s="389" t="s">
        <v>164</v>
      </c>
      <c r="V820" s="433"/>
      <c r="X820" s="386">
        <v>0</v>
      </c>
      <c r="Y820" s="386"/>
      <c r="AJ820" s="390">
        <v>0</v>
      </c>
    </row>
    <row r="821" spans="1:77" s="379" customFormat="1" ht="11.25" customHeight="1">
      <c r="B821" s="379" t="s">
        <v>291</v>
      </c>
      <c r="C821" s="381"/>
      <c r="D821" s="381"/>
      <c r="E821" s="382" t="s">
        <v>909</v>
      </c>
      <c r="F821" s="379" t="s">
        <v>664</v>
      </c>
      <c r="G821" s="383" t="s">
        <v>665</v>
      </c>
      <c r="H821" s="379" t="s">
        <v>866</v>
      </c>
      <c r="I821" s="379" t="s">
        <v>33</v>
      </c>
      <c r="J821" s="385">
        <v>11560.37</v>
      </c>
      <c r="L821" s="385">
        <v>7.71</v>
      </c>
      <c r="M821" s="385">
        <v>7.71</v>
      </c>
      <c r="N821" s="407"/>
      <c r="O821" s="387">
        <v>0.25</v>
      </c>
      <c r="P821" s="387"/>
      <c r="Q821" s="386">
        <v>0</v>
      </c>
      <c r="R821" s="379" t="s">
        <v>35</v>
      </c>
      <c r="S821" s="388" t="s">
        <v>41</v>
      </c>
      <c r="T821" s="388">
        <v>16</v>
      </c>
      <c r="U821" s="389" t="s">
        <v>164</v>
      </c>
      <c r="V821" s="433"/>
      <c r="X821" s="386">
        <v>0</v>
      </c>
      <c r="Y821" s="386"/>
      <c r="AJ821" s="390">
        <v>0</v>
      </c>
    </row>
    <row r="822" spans="1:77" s="379" customFormat="1" ht="11.25" customHeight="1">
      <c r="B822" s="379" t="s">
        <v>291</v>
      </c>
      <c r="C822" s="381"/>
      <c r="D822" s="381"/>
      <c r="E822" s="382" t="s">
        <v>909</v>
      </c>
      <c r="F822" s="379" t="s">
        <v>664</v>
      </c>
      <c r="G822" s="383" t="s">
        <v>665</v>
      </c>
      <c r="H822" s="379" t="s">
        <v>911</v>
      </c>
      <c r="I822" s="379" t="s">
        <v>33</v>
      </c>
      <c r="J822" s="385">
        <v>35776.400000000001</v>
      </c>
      <c r="L822" s="385">
        <v>20</v>
      </c>
      <c r="M822" s="385">
        <v>20</v>
      </c>
      <c r="N822" s="407"/>
      <c r="O822" s="387">
        <v>0.25</v>
      </c>
      <c r="P822" s="387"/>
      <c r="Q822" s="386">
        <v>0</v>
      </c>
      <c r="R822" s="379" t="s">
        <v>35</v>
      </c>
      <c r="S822" s="388" t="s">
        <v>41</v>
      </c>
      <c r="T822" s="388">
        <v>16</v>
      </c>
      <c r="U822" s="389" t="s">
        <v>164</v>
      </c>
      <c r="V822" s="433"/>
      <c r="X822" s="386">
        <v>0</v>
      </c>
      <c r="Y822" s="386"/>
      <c r="AJ822" s="390">
        <v>0</v>
      </c>
    </row>
    <row r="823" spans="1:77" s="379" customFormat="1" ht="11.25" customHeight="1">
      <c r="B823" s="379" t="s">
        <v>291</v>
      </c>
      <c r="C823" s="381"/>
      <c r="D823" s="381"/>
      <c r="E823" s="382" t="s">
        <v>909</v>
      </c>
      <c r="F823" s="379" t="s">
        <v>664</v>
      </c>
      <c r="G823" s="383" t="s">
        <v>665</v>
      </c>
      <c r="H823" s="379" t="s">
        <v>765</v>
      </c>
      <c r="I823" s="379" t="s">
        <v>33</v>
      </c>
      <c r="J823" s="385">
        <v>22312.400000000001</v>
      </c>
      <c r="L823" s="385">
        <v>22</v>
      </c>
      <c r="M823" s="385">
        <v>22</v>
      </c>
      <c r="N823" s="407"/>
      <c r="O823" s="387">
        <v>0.25</v>
      </c>
      <c r="P823" s="387"/>
      <c r="Q823" s="386">
        <v>172.41</v>
      </c>
      <c r="R823" s="379" t="s">
        <v>35</v>
      </c>
      <c r="S823" s="388" t="s">
        <v>41</v>
      </c>
      <c r="T823" s="388">
        <v>16</v>
      </c>
      <c r="U823" s="389" t="s">
        <v>164</v>
      </c>
      <c r="V823" s="433"/>
      <c r="X823" s="386">
        <v>172.41</v>
      </c>
      <c r="Y823" s="386"/>
      <c r="AJ823" s="416">
        <v>172.41</v>
      </c>
    </row>
    <row r="824" spans="1:77" s="379" customFormat="1" ht="11.25" customHeight="1">
      <c r="B824" s="379" t="s">
        <v>291</v>
      </c>
      <c r="C824" s="381"/>
      <c r="D824" s="381"/>
      <c r="E824" s="382" t="s">
        <v>909</v>
      </c>
      <c r="F824" s="379" t="s">
        <v>664</v>
      </c>
      <c r="G824" s="383" t="s">
        <v>665</v>
      </c>
      <c r="H824" s="379" t="s">
        <v>310</v>
      </c>
      <c r="I824" s="379" t="s">
        <v>33</v>
      </c>
      <c r="J824" s="385">
        <v>8581.86</v>
      </c>
      <c r="L824" s="385">
        <v>8.82</v>
      </c>
      <c r="M824" s="385">
        <v>8.82</v>
      </c>
      <c r="N824" s="386">
        <f>J824*0.35</f>
        <v>3003.6509999999998</v>
      </c>
      <c r="O824" s="387">
        <v>0.25</v>
      </c>
      <c r="P824" s="387"/>
      <c r="Q824" s="386">
        <v>262.36</v>
      </c>
      <c r="R824" s="379" t="s">
        <v>35</v>
      </c>
      <c r="S824" s="388" t="s">
        <v>41</v>
      </c>
      <c r="T824" s="388">
        <v>16</v>
      </c>
      <c r="U824" s="389" t="s">
        <v>164</v>
      </c>
      <c r="V824" s="433"/>
      <c r="X824" s="386">
        <v>262.36</v>
      </c>
      <c r="Y824" s="386"/>
      <c r="AJ824" s="416">
        <v>262.36</v>
      </c>
    </row>
    <row r="825" spans="1:77" s="379" customFormat="1" ht="11.25" customHeight="1">
      <c r="B825" s="379" t="s">
        <v>291</v>
      </c>
      <c r="C825" s="381"/>
      <c r="D825" s="381"/>
      <c r="E825" s="382" t="s">
        <v>909</v>
      </c>
      <c r="F825" s="379" t="s">
        <v>664</v>
      </c>
      <c r="G825" s="383" t="s">
        <v>665</v>
      </c>
      <c r="H825" s="379" t="s">
        <v>912</v>
      </c>
      <c r="I825" s="379" t="s">
        <v>33</v>
      </c>
      <c r="J825" s="385">
        <v>17388.8</v>
      </c>
      <c r="L825" s="385">
        <v>12.8</v>
      </c>
      <c r="M825" s="385">
        <v>12.8</v>
      </c>
      <c r="N825" s="386">
        <f>J825*0.35</f>
        <v>6086.079999999999</v>
      </c>
      <c r="O825" s="387">
        <v>0.25</v>
      </c>
      <c r="P825" s="387"/>
      <c r="Q825" s="386">
        <v>813.12</v>
      </c>
      <c r="R825" s="379" t="s">
        <v>35</v>
      </c>
      <c r="S825" s="388" t="s">
        <v>41</v>
      </c>
      <c r="T825" s="388">
        <v>16</v>
      </c>
      <c r="U825" s="389" t="s">
        <v>164</v>
      </c>
      <c r="V825" s="433"/>
      <c r="X825" s="386">
        <v>813.12</v>
      </c>
      <c r="Y825" s="386"/>
      <c r="AJ825" s="416">
        <v>813.12</v>
      </c>
    </row>
    <row r="826" spans="1:77" s="379" customFormat="1" ht="11.25" customHeight="1">
      <c r="B826" s="379" t="s">
        <v>291</v>
      </c>
      <c r="C826" s="381">
        <v>44687</v>
      </c>
      <c r="D826" s="381">
        <v>44687</v>
      </c>
      <c r="E826" s="382" t="s">
        <v>913</v>
      </c>
      <c r="F826" s="379" t="s">
        <v>914</v>
      </c>
      <c r="G826" s="383" t="s">
        <v>915</v>
      </c>
      <c r="H826" s="379" t="s">
        <v>99</v>
      </c>
      <c r="I826" s="379" t="s">
        <v>33</v>
      </c>
      <c r="J826" s="385">
        <v>12504.18</v>
      </c>
      <c r="L826" s="385">
        <v>9.43</v>
      </c>
      <c r="M826" s="385">
        <v>9.43</v>
      </c>
      <c r="N826" s="407"/>
      <c r="O826" s="387">
        <v>0.25</v>
      </c>
      <c r="P826" s="387"/>
      <c r="Q826" s="386">
        <v>0</v>
      </c>
      <c r="R826" s="379" t="s">
        <v>35</v>
      </c>
      <c r="S826" s="388" t="s">
        <v>41</v>
      </c>
      <c r="T826" s="388">
        <v>16</v>
      </c>
      <c r="U826" s="389" t="s">
        <v>164</v>
      </c>
      <c r="V826" s="433"/>
      <c r="X826" s="386">
        <v>0</v>
      </c>
      <c r="Y826" s="386"/>
      <c r="AJ826" s="390">
        <v>0</v>
      </c>
    </row>
    <row r="827" spans="1:77" s="379" customFormat="1" ht="11.25" customHeight="1">
      <c r="B827" s="379" t="s">
        <v>291</v>
      </c>
      <c r="C827" s="381"/>
      <c r="D827" s="381"/>
      <c r="E827" s="382" t="s">
        <v>913</v>
      </c>
      <c r="F827" s="379" t="s">
        <v>914</v>
      </c>
      <c r="G827" s="383" t="s">
        <v>915</v>
      </c>
      <c r="H827" s="379" t="s">
        <v>916</v>
      </c>
      <c r="I827" s="379" t="s">
        <v>33</v>
      </c>
      <c r="J827" s="385">
        <v>22913.94</v>
      </c>
      <c r="L827" s="385">
        <v>12.26</v>
      </c>
      <c r="M827" s="385">
        <v>12.26</v>
      </c>
      <c r="N827" s="407"/>
      <c r="O827" s="387">
        <v>0.25</v>
      </c>
      <c r="P827" s="387"/>
      <c r="Q827" s="386">
        <v>582.96</v>
      </c>
      <c r="R827" s="379" t="s">
        <v>35</v>
      </c>
      <c r="S827" s="388" t="s">
        <v>41</v>
      </c>
      <c r="T827" s="388">
        <v>16</v>
      </c>
      <c r="U827" s="389" t="s">
        <v>164</v>
      </c>
      <c r="V827" s="433"/>
      <c r="X827" s="386">
        <v>582.96</v>
      </c>
      <c r="Y827" s="386"/>
      <c r="AJ827" s="416">
        <v>582.96</v>
      </c>
    </row>
    <row r="828" spans="1:77" s="379" customFormat="1" ht="11.25" customHeight="1">
      <c r="B828" s="379" t="s">
        <v>291</v>
      </c>
      <c r="C828" s="381"/>
      <c r="D828" s="381"/>
      <c r="E828" s="382" t="s">
        <v>913</v>
      </c>
      <c r="F828" s="379" t="s">
        <v>914</v>
      </c>
      <c r="G828" s="383" t="s">
        <v>915</v>
      </c>
      <c r="H828" s="379" t="s">
        <v>917</v>
      </c>
      <c r="I828" s="379" t="s">
        <v>33</v>
      </c>
      <c r="J828" s="385">
        <v>59527.44</v>
      </c>
      <c r="L828" s="385">
        <v>26.67</v>
      </c>
      <c r="M828" s="385">
        <v>26.67</v>
      </c>
      <c r="N828" s="407"/>
      <c r="O828" s="387">
        <v>0.25</v>
      </c>
      <c r="P828" s="387"/>
      <c r="Q828" s="386">
        <v>0</v>
      </c>
      <c r="R828" s="379" t="s">
        <v>35</v>
      </c>
      <c r="S828" s="388" t="s">
        <v>41</v>
      </c>
      <c r="T828" s="388">
        <v>16</v>
      </c>
      <c r="U828" s="389" t="s">
        <v>164</v>
      </c>
      <c r="V828" s="433"/>
      <c r="X828" s="386">
        <v>0</v>
      </c>
      <c r="Y828" s="386"/>
      <c r="AJ828" s="390">
        <v>0</v>
      </c>
    </row>
    <row r="829" spans="1:77" s="379" customFormat="1" ht="11.25" customHeight="1">
      <c r="B829" s="379" t="s">
        <v>291</v>
      </c>
      <c r="C829" s="381"/>
      <c r="D829" s="381"/>
      <c r="E829" s="382" t="s">
        <v>913</v>
      </c>
      <c r="F829" s="379" t="s">
        <v>914</v>
      </c>
      <c r="G829" s="383" t="s">
        <v>915</v>
      </c>
      <c r="H829" s="379" t="s">
        <v>310</v>
      </c>
      <c r="I829" s="379" t="s">
        <v>33</v>
      </c>
      <c r="J829" s="385">
        <v>4550.3</v>
      </c>
      <c r="L829" s="385">
        <v>4.96</v>
      </c>
      <c r="M829" s="385">
        <v>4.96</v>
      </c>
      <c r="N829" s="386">
        <f>J829*0.4</f>
        <v>1820.1200000000001</v>
      </c>
      <c r="O829" s="387">
        <v>0.25</v>
      </c>
      <c r="P829" s="387"/>
      <c r="Q829" s="386">
        <v>220.62</v>
      </c>
      <c r="R829" s="379" t="s">
        <v>35</v>
      </c>
      <c r="S829" s="388" t="s">
        <v>41</v>
      </c>
      <c r="T829" s="388">
        <v>16</v>
      </c>
      <c r="U829" s="389" t="s">
        <v>164</v>
      </c>
      <c r="V829" s="433"/>
      <c r="X829" s="386">
        <v>220.62</v>
      </c>
      <c r="Y829" s="386"/>
      <c r="AJ829" s="416">
        <v>220.62</v>
      </c>
    </row>
    <row r="830" spans="1:77" s="379" customFormat="1" ht="11.25" customHeight="1">
      <c r="B830" s="379" t="s">
        <v>291</v>
      </c>
      <c r="C830" s="381"/>
      <c r="D830" s="381"/>
      <c r="E830" s="382" t="s">
        <v>913</v>
      </c>
      <c r="F830" s="379" t="s">
        <v>914</v>
      </c>
      <c r="G830" s="383" t="s">
        <v>915</v>
      </c>
      <c r="H830" s="379" t="s">
        <v>765</v>
      </c>
      <c r="I830" s="379" t="s">
        <v>33</v>
      </c>
      <c r="J830" s="385">
        <v>11202.3</v>
      </c>
      <c r="L830" s="385">
        <v>10</v>
      </c>
      <c r="M830" s="385">
        <v>10</v>
      </c>
      <c r="N830" s="407"/>
      <c r="O830" s="387">
        <v>0.25</v>
      </c>
      <c r="P830" s="387"/>
      <c r="Q830" s="386">
        <v>0</v>
      </c>
      <c r="R830" s="379" t="s">
        <v>35</v>
      </c>
      <c r="S830" s="388" t="s">
        <v>41</v>
      </c>
      <c r="T830" s="388">
        <v>16</v>
      </c>
      <c r="U830" s="389" t="s">
        <v>164</v>
      </c>
      <c r="V830" s="433"/>
      <c r="X830" s="386">
        <v>0</v>
      </c>
      <c r="Y830" s="386"/>
      <c r="AJ830" s="390">
        <v>0</v>
      </c>
    </row>
    <row r="831" spans="1:77" s="379" customFormat="1" ht="11.25" customHeight="1">
      <c r="A831" s="473"/>
      <c r="B831" s="473" t="s">
        <v>291</v>
      </c>
      <c r="C831" s="487"/>
      <c r="D831" s="487"/>
      <c r="E831" s="488" t="s">
        <v>918</v>
      </c>
      <c r="F831" s="473" t="s">
        <v>919</v>
      </c>
      <c r="G831" s="489" t="s">
        <v>920</v>
      </c>
      <c r="H831" s="473" t="s">
        <v>183</v>
      </c>
      <c r="I831" s="473" t="s">
        <v>33</v>
      </c>
      <c r="J831" s="490">
        <v>11776.17</v>
      </c>
      <c r="K831" s="473"/>
      <c r="L831" s="490">
        <v>11.56</v>
      </c>
      <c r="M831" s="490">
        <v>11.56</v>
      </c>
      <c r="N831" s="500"/>
      <c r="O831" s="493">
        <v>0.2</v>
      </c>
      <c r="P831" s="493"/>
      <c r="Q831" s="492">
        <v>637.07000000000005</v>
      </c>
      <c r="R831" s="473" t="s">
        <v>35</v>
      </c>
      <c r="S831" s="481" t="s">
        <v>41</v>
      </c>
      <c r="T831" s="481">
        <v>16</v>
      </c>
      <c r="U831" s="494" t="s">
        <v>164</v>
      </c>
      <c r="V831" s="495"/>
      <c r="W831" s="473"/>
      <c r="X831" s="492">
        <v>637.07000000000005</v>
      </c>
      <c r="Y831" s="492"/>
      <c r="Z831" s="473"/>
      <c r="AA831" s="473"/>
      <c r="AB831" s="473"/>
      <c r="AC831" s="473"/>
      <c r="AD831" s="473"/>
      <c r="AE831" s="473"/>
      <c r="AF831" s="473"/>
      <c r="AG831" s="473"/>
      <c r="AH831" s="473"/>
      <c r="AI831" s="473"/>
      <c r="AJ831" s="485"/>
      <c r="AK831" s="505">
        <v>637.07000000000005</v>
      </c>
      <c r="AL831" s="473"/>
      <c r="AM831" s="473"/>
      <c r="AN831" s="473"/>
      <c r="AO831" s="473"/>
      <c r="AP831" s="473"/>
      <c r="AQ831" s="473"/>
      <c r="AR831" s="473"/>
      <c r="AS831" s="473"/>
      <c r="AT831" s="473"/>
      <c r="AU831" s="473"/>
      <c r="AV831" s="473"/>
      <c r="AW831" s="473"/>
      <c r="AX831" s="473"/>
      <c r="AY831" s="473"/>
      <c r="AZ831" s="473"/>
      <c r="BA831" s="473"/>
      <c r="BB831" s="473"/>
      <c r="BC831" s="473"/>
      <c r="BD831" s="473"/>
      <c r="BE831" s="473"/>
      <c r="BF831" s="473"/>
      <c r="BG831" s="473"/>
      <c r="BH831" s="473"/>
      <c r="BI831" s="473"/>
      <c r="BJ831" s="473"/>
      <c r="BK831" s="473"/>
      <c r="BL831" s="473"/>
      <c r="BM831" s="473"/>
      <c r="BN831" s="473"/>
      <c r="BO831" s="473"/>
      <c r="BP831" s="473"/>
      <c r="BQ831" s="473"/>
      <c r="BR831" s="473"/>
      <c r="BS831" s="473"/>
      <c r="BT831" s="473"/>
      <c r="BU831" s="473"/>
      <c r="BV831" s="473"/>
      <c r="BW831" s="473"/>
      <c r="BX831" s="473"/>
      <c r="BY831" s="473"/>
    </row>
    <row r="832" spans="1:77" s="379" customFormat="1" ht="11.25" customHeight="1">
      <c r="B832" s="379" t="s">
        <v>291</v>
      </c>
      <c r="C832" s="381">
        <v>44687</v>
      </c>
      <c r="D832" s="381">
        <v>44687</v>
      </c>
      <c r="E832" s="382" t="s">
        <v>918</v>
      </c>
      <c r="F832" s="379" t="s">
        <v>919</v>
      </c>
      <c r="G832" s="383" t="s">
        <v>920</v>
      </c>
      <c r="H832" s="379" t="s">
        <v>99</v>
      </c>
      <c r="I832" s="379" t="s">
        <v>33</v>
      </c>
      <c r="J832" s="385">
        <v>29880.560000000001</v>
      </c>
      <c r="L832" s="385">
        <v>25.4</v>
      </c>
      <c r="M832" s="385">
        <v>25.4</v>
      </c>
      <c r="N832" s="407"/>
      <c r="O832" s="387">
        <v>0.2</v>
      </c>
      <c r="P832" s="387"/>
      <c r="Q832" s="386">
        <v>0</v>
      </c>
      <c r="R832" s="379" t="s">
        <v>35</v>
      </c>
      <c r="S832" s="388" t="s">
        <v>41</v>
      </c>
      <c r="T832" s="388">
        <v>16</v>
      </c>
      <c r="U832" s="389" t="s">
        <v>164</v>
      </c>
      <c r="V832" s="433"/>
      <c r="X832" s="386">
        <v>0</v>
      </c>
      <c r="Y832" s="386"/>
      <c r="AJ832" s="390">
        <v>0</v>
      </c>
    </row>
    <row r="833" spans="1:77" s="473" customFormat="1" ht="11.25" customHeight="1">
      <c r="A833" s="379"/>
      <c r="B833" s="379" t="s">
        <v>291</v>
      </c>
      <c r="C833" s="381"/>
      <c r="D833" s="381"/>
      <c r="E833" s="382" t="s">
        <v>918</v>
      </c>
      <c r="F833" s="379" t="s">
        <v>919</v>
      </c>
      <c r="G833" s="383" t="s">
        <v>920</v>
      </c>
      <c r="H833" s="379" t="s">
        <v>27</v>
      </c>
      <c r="I833" s="379" t="s">
        <v>33</v>
      </c>
      <c r="J833" s="385">
        <v>25939.58</v>
      </c>
      <c r="K833" s="379"/>
      <c r="L833" s="385">
        <v>22.3</v>
      </c>
      <c r="M833" s="385">
        <v>22.3</v>
      </c>
      <c r="N833" s="407"/>
      <c r="O833" s="387">
        <v>0.2</v>
      </c>
      <c r="P833" s="387"/>
      <c r="Q833" s="386">
        <v>0</v>
      </c>
      <c r="R833" s="379" t="s">
        <v>35</v>
      </c>
      <c r="S833" s="388" t="s">
        <v>41</v>
      </c>
      <c r="T833" s="388">
        <v>16</v>
      </c>
      <c r="U833" s="389" t="s">
        <v>164</v>
      </c>
      <c r="V833" s="433"/>
      <c r="W833" s="379"/>
      <c r="X833" s="386">
        <v>0</v>
      </c>
      <c r="Y833" s="386"/>
      <c r="Z833" s="379"/>
      <c r="AA833" s="379"/>
      <c r="AB833" s="379"/>
      <c r="AC833" s="379"/>
      <c r="AD833" s="379"/>
      <c r="AE833" s="379"/>
      <c r="AF833" s="379"/>
      <c r="AG833" s="379"/>
      <c r="AH833" s="379"/>
      <c r="AI833" s="379"/>
      <c r="AJ833" s="390">
        <v>0</v>
      </c>
      <c r="AK833" s="379"/>
      <c r="AL833" s="379"/>
      <c r="AM833" s="379"/>
      <c r="AN833" s="379"/>
      <c r="AO833" s="379"/>
      <c r="AP833" s="379"/>
      <c r="AQ833" s="379"/>
      <c r="AR833" s="379"/>
      <c r="AS833" s="379"/>
      <c r="AT833" s="379"/>
      <c r="AU833" s="379"/>
      <c r="AV833" s="379"/>
      <c r="AW833" s="379"/>
      <c r="AX833" s="379"/>
      <c r="AY833" s="379"/>
      <c r="AZ833" s="379"/>
      <c r="BA833" s="379"/>
      <c r="BB833" s="379"/>
      <c r="BC833" s="379"/>
      <c r="BD833" s="379"/>
      <c r="BE833" s="379"/>
      <c r="BF833" s="379"/>
      <c r="BG833" s="379"/>
      <c r="BH833" s="379"/>
      <c r="BI833" s="379"/>
      <c r="BJ833" s="379"/>
      <c r="BK833" s="379"/>
      <c r="BL833" s="379"/>
      <c r="BM833" s="379"/>
      <c r="BN833" s="379"/>
      <c r="BO833" s="379"/>
      <c r="BP833" s="379"/>
      <c r="BQ833" s="379"/>
      <c r="BR833" s="379"/>
      <c r="BS833" s="379"/>
      <c r="BT833" s="379"/>
      <c r="BU833" s="379"/>
      <c r="BV833" s="379"/>
      <c r="BW833" s="379"/>
      <c r="BX833" s="379"/>
      <c r="BY833" s="379"/>
    </row>
    <row r="834" spans="1:77" s="205" customFormat="1" ht="11.25" customHeight="1">
      <c r="B834" s="205" t="s">
        <v>291</v>
      </c>
      <c r="C834" s="207">
        <v>44686</v>
      </c>
      <c r="D834" s="207">
        <v>44687</v>
      </c>
      <c r="E834" s="208" t="s">
        <v>921</v>
      </c>
      <c r="F834" s="205" t="s">
        <v>922</v>
      </c>
      <c r="G834" s="209">
        <v>4545</v>
      </c>
      <c r="H834" s="205" t="s">
        <v>140</v>
      </c>
      <c r="I834" s="205" t="s">
        <v>33</v>
      </c>
      <c r="J834" s="210">
        <v>36185.82</v>
      </c>
      <c r="L834" s="210">
        <v>22</v>
      </c>
      <c r="M834" s="210">
        <v>22</v>
      </c>
      <c r="N834" s="211"/>
      <c r="O834" s="212">
        <v>0.3</v>
      </c>
      <c r="P834" s="212"/>
      <c r="Q834" s="213">
        <v>0</v>
      </c>
      <c r="R834" s="205" t="s">
        <v>281</v>
      </c>
      <c r="S834" s="214" t="s">
        <v>397</v>
      </c>
      <c r="T834" s="214" t="s">
        <v>923</v>
      </c>
      <c r="U834" s="215" t="s">
        <v>164</v>
      </c>
      <c r="V834" s="438"/>
      <c r="W834" s="205" t="s">
        <v>2753</v>
      </c>
      <c r="X834" s="213">
        <v>0</v>
      </c>
      <c r="Y834" s="213"/>
      <c r="AF834" s="230">
        <f>X834</f>
        <v>0</v>
      </c>
      <c r="AJ834" s="216"/>
    </row>
    <row r="835" spans="1:77" s="205" customFormat="1" ht="11.25" customHeight="1">
      <c r="B835" s="205" t="s">
        <v>291</v>
      </c>
      <c r="C835" s="207"/>
      <c r="D835" s="207"/>
      <c r="E835" s="208" t="s">
        <v>921</v>
      </c>
      <c r="F835" s="205" t="s">
        <v>922</v>
      </c>
      <c r="G835" s="209">
        <v>4545</v>
      </c>
      <c r="H835" s="205" t="s">
        <v>99</v>
      </c>
      <c r="I835" s="205" t="s">
        <v>33</v>
      </c>
      <c r="J835" s="210">
        <v>28147.84</v>
      </c>
      <c r="L835" s="210">
        <v>20.6</v>
      </c>
      <c r="M835" s="210">
        <v>20.6</v>
      </c>
      <c r="N835" s="211"/>
      <c r="O835" s="212">
        <v>0.3</v>
      </c>
      <c r="P835" s="212"/>
      <c r="Q835" s="213">
        <v>0</v>
      </c>
      <c r="R835" s="205" t="s">
        <v>281</v>
      </c>
      <c r="S835" s="214" t="s">
        <v>397</v>
      </c>
      <c r="T835" s="214" t="s">
        <v>923</v>
      </c>
      <c r="U835" s="215" t="s">
        <v>164</v>
      </c>
      <c r="V835" s="438"/>
      <c r="W835" s="205" t="s">
        <v>2753</v>
      </c>
      <c r="X835" s="213">
        <v>0</v>
      </c>
      <c r="Y835" s="213"/>
      <c r="AF835" s="230">
        <f>X835</f>
        <v>0</v>
      </c>
      <c r="AJ835" s="216"/>
    </row>
    <row r="836" spans="1:77" s="205" customFormat="1" ht="11.25" customHeight="1">
      <c r="B836" s="205" t="s">
        <v>291</v>
      </c>
      <c r="C836" s="207"/>
      <c r="D836" s="207"/>
      <c r="E836" s="208" t="s">
        <v>921</v>
      </c>
      <c r="F836" s="205" t="s">
        <v>922</v>
      </c>
      <c r="G836" s="209">
        <v>4545</v>
      </c>
      <c r="H836" s="205" t="s">
        <v>27</v>
      </c>
      <c r="I836" s="205" t="s">
        <v>33</v>
      </c>
      <c r="J836" s="210">
        <v>34056</v>
      </c>
      <c r="L836" s="210">
        <v>30</v>
      </c>
      <c r="M836" s="210">
        <v>30</v>
      </c>
      <c r="N836" s="211"/>
      <c r="O836" s="212">
        <v>0.3</v>
      </c>
      <c r="P836" s="212"/>
      <c r="Q836" s="213">
        <v>0</v>
      </c>
      <c r="R836" s="205" t="s">
        <v>281</v>
      </c>
      <c r="S836" s="214" t="s">
        <v>397</v>
      </c>
      <c r="T836" s="214" t="s">
        <v>923</v>
      </c>
      <c r="U836" s="215" t="s">
        <v>164</v>
      </c>
      <c r="V836" s="438"/>
      <c r="W836" s="205" t="s">
        <v>2753</v>
      </c>
      <c r="X836" s="213">
        <v>0</v>
      </c>
      <c r="Y836" s="213"/>
      <c r="AF836" s="230">
        <f>X836</f>
        <v>0</v>
      </c>
      <c r="AJ836" s="216"/>
    </row>
    <row r="837" spans="1:77" s="205" customFormat="1" ht="11.25" customHeight="1">
      <c r="B837" s="205" t="s">
        <v>291</v>
      </c>
      <c r="C837" s="207"/>
      <c r="D837" s="207"/>
      <c r="E837" s="208" t="s">
        <v>921</v>
      </c>
      <c r="F837" s="205" t="s">
        <v>922</v>
      </c>
      <c r="G837" s="209">
        <v>4545</v>
      </c>
      <c r="H837" s="205" t="s">
        <v>137</v>
      </c>
      <c r="I837" s="205" t="s">
        <v>33</v>
      </c>
      <c r="J837" s="210">
        <v>50195.199999999997</v>
      </c>
      <c r="L837" s="210">
        <v>32</v>
      </c>
      <c r="M837" s="210">
        <v>32</v>
      </c>
      <c r="N837" s="211"/>
      <c r="O837" s="212">
        <v>0.3</v>
      </c>
      <c r="P837" s="212"/>
      <c r="Q837" s="213">
        <v>0</v>
      </c>
      <c r="R837" s="205" t="s">
        <v>281</v>
      </c>
      <c r="S837" s="214" t="s">
        <v>397</v>
      </c>
      <c r="T837" s="214" t="s">
        <v>923</v>
      </c>
      <c r="U837" s="215" t="s">
        <v>164</v>
      </c>
      <c r="V837" s="438"/>
      <c r="W837" s="205" t="s">
        <v>2753</v>
      </c>
      <c r="X837" s="213">
        <v>0</v>
      </c>
      <c r="Y837" s="213"/>
      <c r="AF837" s="230">
        <f>X837</f>
        <v>0</v>
      </c>
      <c r="AJ837" s="216"/>
    </row>
    <row r="838" spans="1:77" s="205" customFormat="1" ht="11.25" customHeight="1">
      <c r="B838" s="205" t="s">
        <v>291</v>
      </c>
      <c r="C838" s="207"/>
      <c r="D838" s="207"/>
      <c r="E838" s="208" t="s">
        <v>921</v>
      </c>
      <c r="F838" s="205" t="s">
        <v>922</v>
      </c>
      <c r="G838" s="209">
        <v>4545</v>
      </c>
      <c r="H838" s="205" t="s">
        <v>183</v>
      </c>
      <c r="I838" s="205" t="s">
        <v>33</v>
      </c>
      <c r="J838" s="210">
        <v>22542</v>
      </c>
      <c r="L838" s="210">
        <v>17</v>
      </c>
      <c r="M838" s="210">
        <v>17</v>
      </c>
      <c r="N838" s="211"/>
      <c r="O838" s="212">
        <v>0.3</v>
      </c>
      <c r="P838" s="212"/>
      <c r="Q838" s="213">
        <v>0</v>
      </c>
      <c r="R838" s="205" t="s">
        <v>281</v>
      </c>
      <c r="S838" s="214" t="s">
        <v>397</v>
      </c>
      <c r="T838" s="214" t="s">
        <v>923</v>
      </c>
      <c r="U838" s="215" t="s">
        <v>164</v>
      </c>
      <c r="V838" s="438"/>
      <c r="W838" s="205" t="s">
        <v>2753</v>
      </c>
      <c r="X838" s="213">
        <v>0</v>
      </c>
      <c r="Y838" s="213"/>
      <c r="AF838" s="230">
        <f>X838</f>
        <v>0</v>
      </c>
      <c r="AJ838" s="216"/>
    </row>
    <row r="839" spans="1:77" s="6" customFormat="1" ht="11.25" customHeight="1">
      <c r="A839" s="473"/>
      <c r="B839" s="486" t="s">
        <v>291</v>
      </c>
      <c r="C839" s="487">
        <v>44687</v>
      </c>
      <c r="D839" s="487">
        <v>44687</v>
      </c>
      <c r="E839" s="488" t="s">
        <v>924</v>
      </c>
      <c r="F839" s="473" t="s">
        <v>161</v>
      </c>
      <c r="G839" s="489">
        <v>3832</v>
      </c>
      <c r="H839" s="473" t="s">
        <v>99</v>
      </c>
      <c r="I839" s="473" t="s">
        <v>33</v>
      </c>
      <c r="J839" s="490">
        <v>45815</v>
      </c>
      <c r="K839" s="473"/>
      <c r="L839" s="490">
        <v>50</v>
      </c>
      <c r="M839" s="490">
        <v>50</v>
      </c>
      <c r="N839" s="500"/>
      <c r="O839" s="493">
        <v>0.15</v>
      </c>
      <c r="P839" s="493"/>
      <c r="Q839" s="492">
        <v>905.25</v>
      </c>
      <c r="R839" s="473" t="s">
        <v>128</v>
      </c>
      <c r="S839" s="481" t="s">
        <v>41</v>
      </c>
      <c r="T839" s="481">
        <v>86</v>
      </c>
      <c r="U839" s="494" t="s">
        <v>164</v>
      </c>
      <c r="V839" s="495"/>
      <c r="W839" s="473"/>
      <c r="X839" s="492">
        <v>905.25</v>
      </c>
      <c r="Y839" s="492"/>
      <c r="Z839" s="473"/>
      <c r="AA839" s="473"/>
      <c r="AB839" s="473"/>
      <c r="AC839" s="473"/>
      <c r="AD839" s="473"/>
      <c r="AE839" s="473"/>
      <c r="AF839" s="473"/>
      <c r="AG839" s="473"/>
      <c r="AH839" s="473"/>
      <c r="AI839" s="473"/>
      <c r="AJ839" s="485"/>
      <c r="AK839" s="505">
        <v>905.25</v>
      </c>
      <c r="AL839" s="473"/>
      <c r="AM839" s="473"/>
      <c r="AN839" s="473"/>
      <c r="AO839" s="473"/>
      <c r="AP839" s="473"/>
      <c r="AQ839" s="473"/>
      <c r="AR839" s="473"/>
      <c r="AS839" s="473"/>
      <c r="AT839" s="473"/>
      <c r="AU839" s="473"/>
      <c r="AV839" s="473"/>
      <c r="AW839" s="473"/>
      <c r="AX839" s="473"/>
      <c r="AY839" s="473"/>
      <c r="AZ839" s="473"/>
      <c r="BA839" s="473"/>
      <c r="BB839" s="473"/>
      <c r="BC839" s="473"/>
      <c r="BD839" s="473"/>
      <c r="BE839" s="473"/>
      <c r="BF839" s="473"/>
      <c r="BG839" s="473"/>
      <c r="BH839" s="473"/>
      <c r="BI839" s="473"/>
      <c r="BJ839" s="473"/>
      <c r="BK839" s="473"/>
      <c r="BL839" s="473"/>
      <c r="BM839" s="473"/>
      <c r="BN839" s="473"/>
      <c r="BO839" s="473"/>
      <c r="BP839" s="473"/>
      <c r="BQ839" s="473"/>
      <c r="BR839" s="473"/>
      <c r="BS839" s="473"/>
      <c r="BT839" s="473"/>
      <c r="BU839" s="473"/>
      <c r="BV839" s="473"/>
      <c r="BW839" s="473"/>
      <c r="BX839" s="473"/>
      <c r="BY839" s="473"/>
    </row>
    <row r="840" spans="1:77" s="379" customFormat="1" ht="11.25" customHeight="1">
      <c r="A840" s="473"/>
      <c r="B840" s="486" t="s">
        <v>291</v>
      </c>
      <c r="C840" s="487"/>
      <c r="D840" s="487"/>
      <c r="E840" s="488" t="s">
        <v>924</v>
      </c>
      <c r="F840" s="473" t="s">
        <v>161</v>
      </c>
      <c r="G840" s="489">
        <v>3832</v>
      </c>
      <c r="H840" s="473" t="s">
        <v>564</v>
      </c>
      <c r="I840" s="473" t="s">
        <v>33</v>
      </c>
      <c r="J840" s="490">
        <v>20825.64</v>
      </c>
      <c r="K840" s="473"/>
      <c r="L840" s="490">
        <v>34.159999999999997</v>
      </c>
      <c r="M840" s="490">
        <v>34.159999999999997</v>
      </c>
      <c r="N840" s="500"/>
      <c r="O840" s="493">
        <v>0.15</v>
      </c>
      <c r="P840" s="493"/>
      <c r="Q840" s="492">
        <v>3259.56</v>
      </c>
      <c r="R840" s="473" t="s">
        <v>128</v>
      </c>
      <c r="S840" s="481" t="s">
        <v>41</v>
      </c>
      <c r="T840" s="481">
        <v>86</v>
      </c>
      <c r="U840" s="494" t="s">
        <v>164</v>
      </c>
      <c r="V840" s="495"/>
      <c r="W840" s="473"/>
      <c r="X840" s="492">
        <v>3259.56</v>
      </c>
      <c r="Y840" s="492"/>
      <c r="Z840" s="473"/>
      <c r="AA840" s="473"/>
      <c r="AB840" s="473"/>
      <c r="AC840" s="473"/>
      <c r="AD840" s="473"/>
      <c r="AE840" s="473"/>
      <c r="AF840" s="473"/>
      <c r="AG840" s="473"/>
      <c r="AH840" s="473"/>
      <c r="AI840" s="473"/>
      <c r="AJ840" s="485"/>
      <c r="AK840" s="505">
        <v>3259.56</v>
      </c>
      <c r="AL840" s="473"/>
      <c r="AM840" s="473"/>
      <c r="AN840" s="473"/>
      <c r="AO840" s="473"/>
      <c r="AP840" s="473"/>
      <c r="AQ840" s="473"/>
      <c r="AR840" s="473"/>
      <c r="AS840" s="473"/>
      <c r="AT840" s="473"/>
      <c r="AU840" s="473"/>
      <c r="AV840" s="473"/>
      <c r="AW840" s="473"/>
      <c r="AX840" s="473"/>
      <c r="AY840" s="473"/>
      <c r="AZ840" s="473"/>
      <c r="BA840" s="473"/>
      <c r="BB840" s="473"/>
      <c r="BC840" s="473"/>
      <c r="BD840" s="473"/>
      <c r="BE840" s="473"/>
      <c r="BF840" s="473"/>
      <c r="BG840" s="473"/>
      <c r="BH840" s="473"/>
      <c r="BI840" s="473"/>
      <c r="BJ840" s="473"/>
      <c r="BK840" s="473"/>
      <c r="BL840" s="473"/>
      <c r="BM840" s="473"/>
      <c r="BN840" s="473"/>
      <c r="BO840" s="473"/>
      <c r="BP840" s="473"/>
      <c r="BQ840" s="473"/>
      <c r="BR840" s="473"/>
      <c r="BS840" s="473"/>
      <c r="BT840" s="473"/>
      <c r="BU840" s="473"/>
      <c r="BV840" s="473"/>
      <c r="BW840" s="473"/>
      <c r="BX840" s="473"/>
      <c r="BY840" s="473"/>
    </row>
    <row r="841" spans="1:77" s="473" customFormat="1" ht="11.25" customHeight="1">
      <c r="A841" s="379"/>
      <c r="B841" s="380" t="s">
        <v>291</v>
      </c>
      <c r="C841" s="381"/>
      <c r="D841" s="381"/>
      <c r="E841" s="382" t="s">
        <v>924</v>
      </c>
      <c r="F841" s="379" t="s">
        <v>161</v>
      </c>
      <c r="G841" s="383">
        <v>3832</v>
      </c>
      <c r="H841" s="379" t="s">
        <v>162</v>
      </c>
      <c r="I841" s="379" t="s">
        <v>33</v>
      </c>
      <c r="J841" s="385">
        <v>5295.84</v>
      </c>
      <c r="K841" s="379"/>
      <c r="L841" s="385">
        <v>18.88</v>
      </c>
      <c r="M841" s="385">
        <v>18.88</v>
      </c>
      <c r="N841" s="407"/>
      <c r="O841" s="387">
        <v>0.15</v>
      </c>
      <c r="P841" s="387"/>
      <c r="Q841" s="386">
        <v>0</v>
      </c>
      <c r="R841" s="379" t="s">
        <v>128</v>
      </c>
      <c r="S841" s="388" t="s">
        <v>41</v>
      </c>
      <c r="T841" s="388">
        <v>86</v>
      </c>
      <c r="U841" s="389" t="s">
        <v>164</v>
      </c>
      <c r="V841" s="433"/>
      <c r="W841" s="379"/>
      <c r="X841" s="386">
        <v>0</v>
      </c>
      <c r="Y841" s="386"/>
      <c r="Z841" s="379"/>
      <c r="AA841" s="379"/>
      <c r="AB841" s="379"/>
      <c r="AC841" s="379"/>
      <c r="AD841" s="379"/>
      <c r="AE841" s="379"/>
      <c r="AF841" s="379"/>
      <c r="AG841" s="379"/>
      <c r="AH841" s="379"/>
      <c r="AI841" s="379"/>
      <c r="AJ841" s="390">
        <v>0</v>
      </c>
      <c r="AK841" s="379"/>
      <c r="AL841" s="379"/>
      <c r="AM841" s="379"/>
      <c r="AN841" s="379"/>
      <c r="AO841" s="379"/>
      <c r="AP841" s="379"/>
      <c r="AQ841" s="379"/>
      <c r="AR841" s="379"/>
      <c r="AS841" s="379"/>
      <c r="AT841" s="379"/>
      <c r="AU841" s="379"/>
      <c r="AV841" s="379"/>
      <c r="AW841" s="379"/>
      <c r="AX841" s="379"/>
      <c r="AY841" s="379"/>
      <c r="AZ841" s="379"/>
      <c r="BA841" s="379"/>
      <c r="BB841" s="379"/>
      <c r="BC841" s="379"/>
      <c r="BD841" s="379"/>
      <c r="BE841" s="379"/>
      <c r="BF841" s="379"/>
      <c r="BG841" s="379"/>
      <c r="BH841" s="379"/>
      <c r="BI841" s="379"/>
      <c r="BJ841" s="379"/>
      <c r="BK841" s="379"/>
      <c r="BL841" s="379"/>
      <c r="BM841" s="379"/>
      <c r="BN841" s="379"/>
      <c r="BO841" s="379"/>
      <c r="BP841" s="379"/>
      <c r="BQ841" s="379"/>
      <c r="BR841" s="379"/>
      <c r="BS841" s="379"/>
      <c r="BT841" s="379"/>
      <c r="BU841" s="379"/>
      <c r="BV841" s="379"/>
      <c r="BW841" s="379"/>
      <c r="BX841" s="379"/>
      <c r="BY841" s="379"/>
    </row>
    <row r="842" spans="1:77" s="473" customFormat="1" ht="11.25" customHeight="1">
      <c r="A842" s="379"/>
      <c r="B842" s="380" t="s">
        <v>291</v>
      </c>
      <c r="C842" s="381"/>
      <c r="D842" s="381"/>
      <c r="E842" s="382" t="s">
        <v>924</v>
      </c>
      <c r="F842" s="379" t="s">
        <v>161</v>
      </c>
      <c r="G842" s="383">
        <v>3832</v>
      </c>
      <c r="H842" s="379" t="s">
        <v>27</v>
      </c>
      <c r="I842" s="379" t="s">
        <v>33</v>
      </c>
      <c r="J842" s="385">
        <v>13748.8</v>
      </c>
      <c r="K842" s="379"/>
      <c r="L842" s="385">
        <v>13.22</v>
      </c>
      <c r="M842" s="385">
        <v>13.22</v>
      </c>
      <c r="N842" s="407"/>
      <c r="O842" s="387">
        <v>0.15</v>
      </c>
      <c r="P842" s="387"/>
      <c r="Q842" s="386">
        <v>0</v>
      </c>
      <c r="R842" s="379" t="s">
        <v>128</v>
      </c>
      <c r="S842" s="388" t="s">
        <v>41</v>
      </c>
      <c r="T842" s="388">
        <v>86</v>
      </c>
      <c r="U842" s="389" t="s">
        <v>164</v>
      </c>
      <c r="V842" s="433"/>
      <c r="W842" s="379"/>
      <c r="X842" s="386">
        <v>0</v>
      </c>
      <c r="Y842" s="386"/>
      <c r="Z842" s="379"/>
      <c r="AA842" s="379"/>
      <c r="AB842" s="379"/>
      <c r="AC842" s="379"/>
      <c r="AD842" s="379"/>
      <c r="AE842" s="379"/>
      <c r="AF842" s="379"/>
      <c r="AG842" s="379"/>
      <c r="AH842" s="379"/>
      <c r="AI842" s="379"/>
      <c r="AJ842" s="390">
        <v>0</v>
      </c>
      <c r="AK842" s="379"/>
      <c r="AL842" s="379"/>
      <c r="AM842" s="379"/>
      <c r="AN842" s="379"/>
      <c r="AO842" s="379"/>
      <c r="AP842" s="379"/>
      <c r="AQ842" s="379"/>
      <c r="AR842" s="379"/>
      <c r="AS842" s="379"/>
      <c r="AT842" s="379"/>
      <c r="AU842" s="379"/>
      <c r="AV842" s="379"/>
      <c r="AW842" s="379"/>
      <c r="AX842" s="379"/>
      <c r="AY842" s="379"/>
      <c r="AZ842" s="379"/>
      <c r="BA842" s="379"/>
      <c r="BB842" s="379"/>
      <c r="BC842" s="379"/>
      <c r="BD842" s="379"/>
      <c r="BE842" s="379"/>
      <c r="BF842" s="379"/>
      <c r="BG842" s="379"/>
      <c r="BH842" s="379"/>
      <c r="BI842" s="379"/>
      <c r="BJ842" s="379"/>
      <c r="BK842" s="379"/>
      <c r="BL842" s="379"/>
      <c r="BM842" s="379"/>
      <c r="BN842" s="379"/>
      <c r="BO842" s="379"/>
      <c r="BP842" s="379"/>
      <c r="BQ842" s="379"/>
      <c r="BR842" s="379"/>
      <c r="BS842" s="379"/>
      <c r="BT842" s="379"/>
      <c r="BU842" s="379"/>
      <c r="BV842" s="379"/>
      <c r="BW842" s="379"/>
      <c r="BX842" s="379"/>
      <c r="BY842" s="379"/>
    </row>
    <row r="843" spans="1:77" s="337" customFormat="1" ht="11.25" customHeight="1">
      <c r="A843" s="473"/>
      <c r="B843" s="486" t="s">
        <v>291</v>
      </c>
      <c r="C843" s="487"/>
      <c r="D843" s="487"/>
      <c r="E843" s="488" t="s">
        <v>925</v>
      </c>
      <c r="F843" s="473" t="s">
        <v>806</v>
      </c>
      <c r="G843" s="489" t="s">
        <v>807</v>
      </c>
      <c r="H843" s="473" t="s">
        <v>27</v>
      </c>
      <c r="I843" s="473" t="s">
        <v>33</v>
      </c>
      <c r="J843" s="490">
        <v>68515.199999999997</v>
      </c>
      <c r="K843" s="473"/>
      <c r="L843" s="490">
        <v>47.58</v>
      </c>
      <c r="M843" s="490">
        <v>47.58</v>
      </c>
      <c r="N843" s="500"/>
      <c r="O843" s="493">
        <v>0.3</v>
      </c>
      <c r="P843" s="493"/>
      <c r="Q843" s="492">
        <v>0</v>
      </c>
      <c r="R843" s="473" t="s">
        <v>35</v>
      </c>
      <c r="S843" s="481" t="s">
        <v>41</v>
      </c>
      <c r="T843" s="481">
        <v>16</v>
      </c>
      <c r="U843" s="494" t="s">
        <v>164</v>
      </c>
      <c r="V843" s="495"/>
      <c r="W843" s="473"/>
      <c r="X843" s="492">
        <v>0</v>
      </c>
      <c r="Y843" s="492"/>
      <c r="Z843" s="473"/>
      <c r="AA843" s="473"/>
      <c r="AB843" s="473"/>
      <c r="AC843" s="473"/>
      <c r="AD843" s="473"/>
      <c r="AE843" s="473"/>
      <c r="AF843" s="473"/>
      <c r="AG843" s="473"/>
      <c r="AH843" s="473"/>
      <c r="AI843" s="473"/>
      <c r="AJ843" s="485"/>
      <c r="AK843" s="498">
        <v>0</v>
      </c>
      <c r="AL843" s="473"/>
      <c r="AM843" s="473"/>
      <c r="AN843" s="473"/>
      <c r="AO843" s="473"/>
      <c r="AP843" s="473"/>
      <c r="AQ843" s="473"/>
      <c r="AR843" s="473"/>
      <c r="AS843" s="473"/>
      <c r="AT843" s="473"/>
      <c r="AU843" s="473"/>
      <c r="AV843" s="473"/>
      <c r="AW843" s="473"/>
      <c r="AX843" s="473"/>
      <c r="AY843" s="473"/>
      <c r="AZ843" s="473"/>
      <c r="BA843" s="473"/>
      <c r="BB843" s="473"/>
      <c r="BC843" s="473"/>
      <c r="BD843" s="473"/>
      <c r="BE843" s="473"/>
      <c r="BF843" s="473"/>
      <c r="BG843" s="473"/>
      <c r="BH843" s="473"/>
      <c r="BI843" s="473"/>
      <c r="BJ843" s="473"/>
      <c r="BK843" s="473"/>
      <c r="BL843" s="473"/>
      <c r="BM843" s="473"/>
      <c r="BN843" s="473"/>
      <c r="BO843" s="473"/>
      <c r="BP843" s="473"/>
      <c r="BQ843" s="473"/>
      <c r="BR843" s="473"/>
      <c r="BS843" s="473"/>
      <c r="BT843" s="473"/>
      <c r="BU843" s="473"/>
      <c r="BV843" s="473"/>
      <c r="BW843" s="473"/>
      <c r="BX843" s="473"/>
      <c r="BY843" s="473"/>
    </row>
    <row r="844" spans="1:77" s="647" customFormat="1" ht="11.25" customHeight="1">
      <c r="B844" s="661" t="s">
        <v>291</v>
      </c>
      <c r="C844" s="648">
        <v>44687</v>
      </c>
      <c r="D844" s="648">
        <v>44687</v>
      </c>
      <c r="E844" s="649" t="s">
        <v>925</v>
      </c>
      <c r="F844" s="647" t="s">
        <v>806</v>
      </c>
      <c r="G844" s="650" t="s">
        <v>807</v>
      </c>
      <c r="H844" s="647" t="s">
        <v>99</v>
      </c>
      <c r="I844" s="647" t="s">
        <v>33</v>
      </c>
      <c r="J844" s="651">
        <v>67502</v>
      </c>
      <c r="L844" s="651">
        <v>91.33</v>
      </c>
      <c r="M844" s="651">
        <v>91.33</v>
      </c>
      <c r="N844" s="662"/>
      <c r="O844" s="653">
        <v>0.3</v>
      </c>
      <c r="P844" s="653"/>
      <c r="Q844" s="652">
        <v>0</v>
      </c>
      <c r="R844" s="647" t="s">
        <v>35</v>
      </c>
      <c r="S844" s="654" t="s">
        <v>41</v>
      </c>
      <c r="T844" s="654">
        <v>16</v>
      </c>
      <c r="U844" s="655" t="s">
        <v>164</v>
      </c>
      <c r="V844" s="656"/>
      <c r="X844" s="652">
        <v>0</v>
      </c>
      <c r="Y844" s="652"/>
      <c r="AI844" s="660">
        <f>X844</f>
        <v>0</v>
      </c>
      <c r="AJ844" s="657"/>
      <c r="AK844" s="658"/>
    </row>
    <row r="845" spans="1:77" s="473" customFormat="1" ht="11.25" customHeight="1">
      <c r="B845" s="486" t="s">
        <v>291</v>
      </c>
      <c r="C845" s="487">
        <v>44687</v>
      </c>
      <c r="D845" s="487">
        <v>44687</v>
      </c>
      <c r="E845" s="488" t="s">
        <v>926</v>
      </c>
      <c r="F845" s="473" t="s">
        <v>927</v>
      </c>
      <c r="G845" s="489">
        <v>3625</v>
      </c>
      <c r="H845" s="473" t="s">
        <v>928</v>
      </c>
      <c r="I845" s="473" t="s">
        <v>33</v>
      </c>
      <c r="J845" s="490">
        <v>4147.5</v>
      </c>
      <c r="L845" s="490">
        <v>5</v>
      </c>
      <c r="M845" s="490">
        <v>5</v>
      </c>
      <c r="N845" s="500"/>
      <c r="O845" s="493">
        <v>0.15</v>
      </c>
      <c r="P845" s="493"/>
      <c r="Q845" s="492">
        <v>442.39</v>
      </c>
      <c r="R845" s="473" t="s">
        <v>35</v>
      </c>
      <c r="S845" s="481" t="s">
        <v>41</v>
      </c>
      <c r="T845" s="481">
        <v>16</v>
      </c>
      <c r="U845" s="494" t="s">
        <v>164</v>
      </c>
      <c r="V845" s="495"/>
      <c r="X845" s="492">
        <v>442.39</v>
      </c>
      <c r="Y845" s="492"/>
      <c r="AJ845" s="485"/>
      <c r="AK845" s="505">
        <v>442.39</v>
      </c>
    </row>
    <row r="846" spans="1:77" s="6" customFormat="1" ht="11.25" customHeight="1">
      <c r="A846" s="473"/>
      <c r="B846" s="486" t="s">
        <v>291</v>
      </c>
      <c r="C846" s="487"/>
      <c r="D846" s="487"/>
      <c r="E846" s="488" t="s">
        <v>926</v>
      </c>
      <c r="F846" s="473" t="s">
        <v>927</v>
      </c>
      <c r="G846" s="489">
        <v>3625</v>
      </c>
      <c r="H846" s="473" t="s">
        <v>765</v>
      </c>
      <c r="I846" s="473" t="s">
        <v>33</v>
      </c>
      <c r="J846" s="490">
        <v>10710</v>
      </c>
      <c r="K846" s="473"/>
      <c r="L846" s="490">
        <v>20</v>
      </c>
      <c r="M846" s="490">
        <v>20</v>
      </c>
      <c r="N846" s="500"/>
      <c r="O846" s="493">
        <v>0.15</v>
      </c>
      <c r="P846" s="493"/>
      <c r="Q846" s="492">
        <v>240</v>
      </c>
      <c r="R846" s="473" t="s">
        <v>35</v>
      </c>
      <c r="S846" s="481" t="s">
        <v>41</v>
      </c>
      <c r="T846" s="481">
        <v>16</v>
      </c>
      <c r="U846" s="494" t="s">
        <v>164</v>
      </c>
      <c r="V846" s="495"/>
      <c r="W846" s="473"/>
      <c r="X846" s="492">
        <v>240</v>
      </c>
      <c r="Y846" s="492"/>
      <c r="Z846" s="473"/>
      <c r="AA846" s="473"/>
      <c r="AB846" s="473"/>
      <c r="AC846" s="473"/>
      <c r="AD846" s="473"/>
      <c r="AE846" s="473"/>
      <c r="AF846" s="473"/>
      <c r="AG846" s="473"/>
      <c r="AH846" s="473"/>
      <c r="AI846" s="473"/>
      <c r="AJ846" s="485"/>
      <c r="AK846" s="505">
        <v>240</v>
      </c>
      <c r="AL846" s="473"/>
      <c r="AM846" s="473"/>
      <c r="AN846" s="473"/>
      <c r="AO846" s="473"/>
      <c r="AP846" s="473"/>
      <c r="AQ846" s="473"/>
      <c r="AR846" s="473"/>
      <c r="AS846" s="473"/>
      <c r="AT846" s="473"/>
      <c r="AU846" s="473"/>
      <c r="AV846" s="473"/>
      <c r="AW846" s="473"/>
      <c r="AX846" s="473"/>
      <c r="AY846" s="473"/>
      <c r="AZ846" s="473"/>
      <c r="BA846" s="473"/>
      <c r="BB846" s="473"/>
      <c r="BC846" s="473"/>
      <c r="BD846" s="473"/>
      <c r="BE846" s="473"/>
      <c r="BF846" s="473"/>
      <c r="BG846" s="473"/>
      <c r="BH846" s="473"/>
      <c r="BI846" s="473"/>
      <c r="BJ846" s="473"/>
      <c r="BK846" s="473"/>
      <c r="BL846" s="473"/>
      <c r="BM846" s="473"/>
      <c r="BN846" s="473"/>
      <c r="BO846" s="473"/>
      <c r="BP846" s="473"/>
      <c r="BQ846" s="473"/>
      <c r="BR846" s="473"/>
      <c r="BS846" s="473"/>
      <c r="BT846" s="473"/>
      <c r="BU846" s="473"/>
      <c r="BV846" s="473"/>
      <c r="BW846" s="473"/>
      <c r="BX846" s="473"/>
      <c r="BY846" s="473"/>
    </row>
    <row r="847" spans="1:77" s="507" customFormat="1" ht="11.25" customHeight="1">
      <c r="B847" s="508" t="s">
        <v>291</v>
      </c>
      <c r="C847" s="509"/>
      <c r="D847" s="509"/>
      <c r="E847" s="510" t="s">
        <v>926</v>
      </c>
      <c r="F847" s="507" t="s">
        <v>927</v>
      </c>
      <c r="G847" s="521">
        <v>3625</v>
      </c>
      <c r="H847" s="507" t="s">
        <v>442</v>
      </c>
      <c r="I847" s="507" t="s">
        <v>33</v>
      </c>
      <c r="J847" s="513">
        <v>15975</v>
      </c>
      <c r="L847" s="513">
        <v>25</v>
      </c>
      <c r="M847" s="513">
        <v>25</v>
      </c>
      <c r="N847" s="541"/>
      <c r="O847" s="515">
        <v>0.15</v>
      </c>
      <c r="P847" s="515"/>
      <c r="Q847" s="514">
        <v>9531.5300000000007</v>
      </c>
      <c r="R847" s="507" t="s">
        <v>35</v>
      </c>
      <c r="S847" s="516" t="s">
        <v>41</v>
      </c>
      <c r="T847" s="516">
        <v>16</v>
      </c>
      <c r="U847" s="517" t="s">
        <v>164</v>
      </c>
      <c r="V847" s="518"/>
      <c r="X847" s="514">
        <v>9531.5300000000007</v>
      </c>
      <c r="Y847" s="514"/>
      <c r="AJ847" s="522"/>
      <c r="AL847" s="514">
        <v>9531.5300000000007</v>
      </c>
    </row>
    <row r="848" spans="1:77" s="379" customFormat="1" ht="11.25" customHeight="1">
      <c r="B848" s="380" t="s">
        <v>291</v>
      </c>
      <c r="C848" s="381">
        <v>44687</v>
      </c>
      <c r="D848" s="381">
        <v>44687</v>
      </c>
      <c r="E848" s="382" t="s">
        <v>929</v>
      </c>
      <c r="F848" s="379" t="s">
        <v>707</v>
      </c>
      <c r="G848" s="383">
        <v>4356</v>
      </c>
      <c r="H848" s="379" t="s">
        <v>140</v>
      </c>
      <c r="I848" s="379" t="s">
        <v>33</v>
      </c>
      <c r="J848" s="385">
        <v>7382.63</v>
      </c>
      <c r="L848" s="385">
        <v>6.18</v>
      </c>
      <c r="M848" s="385">
        <v>6.18</v>
      </c>
      <c r="N848" s="407"/>
      <c r="O848" s="387">
        <v>0.2</v>
      </c>
      <c r="P848" s="387"/>
      <c r="Q848" s="386">
        <v>806.24</v>
      </c>
      <c r="R848" s="379" t="s">
        <v>35</v>
      </c>
      <c r="S848" s="388" t="s">
        <v>41</v>
      </c>
      <c r="T848" s="388">
        <v>79</v>
      </c>
      <c r="U848" s="389" t="s">
        <v>164</v>
      </c>
      <c r="V848" s="433"/>
      <c r="X848" s="386">
        <v>806.24</v>
      </c>
      <c r="Y848" s="386"/>
      <c r="AJ848" s="416">
        <v>806.24</v>
      </c>
    </row>
    <row r="849" spans="2:36" s="379" customFormat="1" ht="11.25" customHeight="1">
      <c r="B849" s="380" t="s">
        <v>291</v>
      </c>
      <c r="C849" s="381"/>
      <c r="D849" s="381"/>
      <c r="E849" s="382" t="s">
        <v>929</v>
      </c>
      <c r="F849" s="379" t="s">
        <v>707</v>
      </c>
      <c r="G849" s="383">
        <v>4356</v>
      </c>
      <c r="H849" s="379" t="s">
        <v>99</v>
      </c>
      <c r="I849" s="379" t="s">
        <v>33</v>
      </c>
      <c r="J849" s="385">
        <v>17935.78</v>
      </c>
      <c r="L849" s="385">
        <v>16.25</v>
      </c>
      <c r="M849" s="385">
        <v>16.25</v>
      </c>
      <c r="N849" s="407"/>
      <c r="O849" s="387">
        <v>0.2</v>
      </c>
      <c r="P849" s="387"/>
      <c r="Q849" s="386">
        <v>0</v>
      </c>
      <c r="R849" s="379" t="s">
        <v>35</v>
      </c>
      <c r="S849" s="388" t="s">
        <v>41</v>
      </c>
      <c r="T849" s="388">
        <v>17</v>
      </c>
      <c r="U849" s="389" t="s">
        <v>164</v>
      </c>
      <c r="V849" s="433"/>
      <c r="X849" s="386">
        <v>0</v>
      </c>
      <c r="Y849" s="386"/>
      <c r="AJ849" s="390">
        <v>0</v>
      </c>
    </row>
    <row r="850" spans="2:36" s="379" customFormat="1" ht="11.25" customHeight="1">
      <c r="B850" s="380" t="s">
        <v>291</v>
      </c>
      <c r="C850" s="381"/>
      <c r="D850" s="381"/>
      <c r="E850" s="382" t="s">
        <v>929</v>
      </c>
      <c r="F850" s="379" t="s">
        <v>707</v>
      </c>
      <c r="G850" s="383">
        <v>4356</v>
      </c>
      <c r="H850" s="379" t="s">
        <v>99</v>
      </c>
      <c r="I850" s="379" t="s">
        <v>33</v>
      </c>
      <c r="J850" s="385">
        <v>27990.85</v>
      </c>
      <c r="L850" s="385">
        <v>25.36</v>
      </c>
      <c r="M850" s="385">
        <v>25.36</v>
      </c>
      <c r="N850" s="407"/>
      <c r="O850" s="387">
        <v>0.2</v>
      </c>
      <c r="P850" s="387"/>
      <c r="Q850" s="386">
        <v>2922.6</v>
      </c>
      <c r="R850" s="379" t="s">
        <v>35</v>
      </c>
      <c r="S850" s="388" t="s">
        <v>41</v>
      </c>
      <c r="T850" s="388">
        <v>79</v>
      </c>
      <c r="U850" s="389" t="s">
        <v>164</v>
      </c>
      <c r="V850" s="433"/>
      <c r="X850" s="386">
        <v>2922.6</v>
      </c>
      <c r="Y850" s="386"/>
      <c r="AJ850" s="416">
        <v>2922.6</v>
      </c>
    </row>
    <row r="851" spans="2:36" s="379" customFormat="1" ht="11.25" customHeight="1">
      <c r="B851" s="380" t="s">
        <v>291</v>
      </c>
      <c r="C851" s="381"/>
      <c r="D851" s="381"/>
      <c r="E851" s="382" t="s">
        <v>929</v>
      </c>
      <c r="F851" s="379" t="s">
        <v>707</v>
      </c>
      <c r="G851" s="383">
        <v>4356</v>
      </c>
      <c r="H851" s="379" t="s">
        <v>27</v>
      </c>
      <c r="I851" s="379" t="s">
        <v>33</v>
      </c>
      <c r="J851" s="385">
        <v>25078.81</v>
      </c>
      <c r="L851" s="385">
        <v>21.56</v>
      </c>
      <c r="M851" s="385">
        <v>21.56</v>
      </c>
      <c r="N851" s="407"/>
      <c r="O851" s="387">
        <v>0.2</v>
      </c>
      <c r="P851" s="387"/>
      <c r="Q851" s="386">
        <v>8105.68</v>
      </c>
      <c r="R851" s="379" t="s">
        <v>35</v>
      </c>
      <c r="S851" s="388" t="s">
        <v>41</v>
      </c>
      <c r="T851" s="388">
        <v>79</v>
      </c>
      <c r="U851" s="389" t="s">
        <v>164</v>
      </c>
      <c r="V851" s="433"/>
      <c r="X851" s="386">
        <v>8105.68</v>
      </c>
      <c r="Y851" s="386"/>
      <c r="AJ851" s="416">
        <v>8105.68</v>
      </c>
    </row>
    <row r="852" spans="2:36" s="379" customFormat="1" ht="11.25" customHeight="1">
      <c r="B852" s="380" t="s">
        <v>291</v>
      </c>
      <c r="C852" s="381"/>
      <c r="D852" s="381"/>
      <c r="E852" s="382" t="s">
        <v>929</v>
      </c>
      <c r="F852" s="379" t="s">
        <v>707</v>
      </c>
      <c r="G852" s="383">
        <v>4356</v>
      </c>
      <c r="H852" s="379" t="s">
        <v>27</v>
      </c>
      <c r="I852" s="379" t="s">
        <v>33</v>
      </c>
      <c r="J852" s="385">
        <v>2973.95</v>
      </c>
      <c r="L852" s="385">
        <v>2.9</v>
      </c>
      <c r="M852" s="385">
        <v>2.9</v>
      </c>
      <c r="N852" s="407"/>
      <c r="O852" s="387">
        <v>0.2</v>
      </c>
      <c r="P852" s="387"/>
      <c r="Q852" s="386">
        <v>961.21</v>
      </c>
      <c r="R852" s="379" t="s">
        <v>35</v>
      </c>
      <c r="S852" s="388" t="s">
        <v>41</v>
      </c>
      <c r="T852" s="388">
        <v>17</v>
      </c>
      <c r="U852" s="389" t="s">
        <v>164</v>
      </c>
      <c r="V852" s="433"/>
      <c r="X852" s="386">
        <v>961.21</v>
      </c>
      <c r="Y852" s="386"/>
      <c r="AJ852" s="416">
        <v>961.21</v>
      </c>
    </row>
    <row r="853" spans="2:36" s="379" customFormat="1" ht="11.25" customHeight="1">
      <c r="B853" s="380" t="s">
        <v>291</v>
      </c>
      <c r="C853" s="381"/>
      <c r="D853" s="381"/>
      <c r="E853" s="382" t="s">
        <v>929</v>
      </c>
      <c r="F853" s="379" t="s">
        <v>707</v>
      </c>
      <c r="G853" s="383">
        <v>4356</v>
      </c>
      <c r="H853" s="379" t="s">
        <v>183</v>
      </c>
      <c r="I853" s="379" t="s">
        <v>33</v>
      </c>
      <c r="J853" s="385">
        <v>3429.45</v>
      </c>
      <c r="L853" s="385">
        <v>3.27</v>
      </c>
      <c r="M853" s="385">
        <v>3.27</v>
      </c>
      <c r="N853" s="407"/>
      <c r="O853" s="387">
        <v>0.2</v>
      </c>
      <c r="P853" s="387"/>
      <c r="Q853" s="386">
        <v>1013</v>
      </c>
      <c r="R853" s="379" t="s">
        <v>35</v>
      </c>
      <c r="S853" s="388" t="s">
        <v>41</v>
      </c>
      <c r="T853" s="388">
        <v>16</v>
      </c>
      <c r="U853" s="389" t="s">
        <v>164</v>
      </c>
      <c r="V853" s="433"/>
      <c r="X853" s="386">
        <v>1013</v>
      </c>
      <c r="Y853" s="386"/>
      <c r="AJ853" s="390">
        <v>1013</v>
      </c>
    </row>
    <row r="854" spans="2:36" s="379" customFormat="1" ht="11.25" customHeight="1">
      <c r="B854" s="380" t="s">
        <v>291</v>
      </c>
      <c r="C854" s="381"/>
      <c r="D854" s="381"/>
      <c r="E854" s="382" t="s">
        <v>929</v>
      </c>
      <c r="F854" s="379" t="s">
        <v>707</v>
      </c>
      <c r="G854" s="383">
        <v>4356</v>
      </c>
      <c r="H854" s="379" t="s">
        <v>183</v>
      </c>
      <c r="I854" s="379" t="s">
        <v>33</v>
      </c>
      <c r="J854" s="385">
        <v>8582.7800000000007</v>
      </c>
      <c r="L854" s="385">
        <v>8.24</v>
      </c>
      <c r="M854" s="385">
        <v>8.24</v>
      </c>
      <c r="N854" s="407"/>
      <c r="O854" s="387">
        <v>0.2</v>
      </c>
      <c r="P854" s="387"/>
      <c r="Q854" s="386">
        <v>0</v>
      </c>
      <c r="R854" s="379" t="s">
        <v>35</v>
      </c>
      <c r="S854" s="388" t="s">
        <v>41</v>
      </c>
      <c r="T854" s="388">
        <v>17</v>
      </c>
      <c r="U854" s="389" t="s">
        <v>164</v>
      </c>
      <c r="V854" s="433"/>
      <c r="X854" s="386">
        <v>0</v>
      </c>
      <c r="Y854" s="386"/>
      <c r="AJ854" s="390">
        <v>0</v>
      </c>
    </row>
    <row r="855" spans="2:36" s="379" customFormat="1" ht="11.25" customHeight="1">
      <c r="B855" s="380" t="s">
        <v>291</v>
      </c>
      <c r="C855" s="381"/>
      <c r="D855" s="381"/>
      <c r="E855" s="382" t="s">
        <v>929</v>
      </c>
      <c r="F855" s="379" t="s">
        <v>707</v>
      </c>
      <c r="G855" s="383">
        <v>4356</v>
      </c>
      <c r="H855" s="379" t="s">
        <v>183</v>
      </c>
      <c r="I855" s="379" t="s">
        <v>33</v>
      </c>
      <c r="J855" s="385">
        <v>8884.85</v>
      </c>
      <c r="L855" s="385">
        <v>8.5299999999999994</v>
      </c>
      <c r="M855" s="385">
        <v>8.5299999999999994</v>
      </c>
      <c r="N855" s="407"/>
      <c r="O855" s="387">
        <v>0.2</v>
      </c>
      <c r="P855" s="387"/>
      <c r="Q855" s="386">
        <v>2924.69</v>
      </c>
      <c r="R855" s="379" t="s">
        <v>35</v>
      </c>
      <c r="S855" s="388" t="s">
        <v>41</v>
      </c>
      <c r="T855" s="388">
        <v>79</v>
      </c>
      <c r="U855" s="389" t="s">
        <v>164</v>
      </c>
      <c r="V855" s="433"/>
      <c r="X855" s="386">
        <v>2924.69</v>
      </c>
      <c r="Y855" s="386"/>
      <c r="AJ855" s="416">
        <v>2924.69</v>
      </c>
    </row>
    <row r="856" spans="2:36" s="291" customFormat="1" ht="11.25" customHeight="1">
      <c r="B856" s="310" t="s">
        <v>291</v>
      </c>
      <c r="C856" s="292">
        <v>44690</v>
      </c>
      <c r="D856" s="292">
        <v>44690</v>
      </c>
      <c r="E856" s="293" t="s">
        <v>930</v>
      </c>
      <c r="F856" s="291" t="s">
        <v>644</v>
      </c>
      <c r="G856" s="294" t="s">
        <v>645</v>
      </c>
      <c r="H856" s="291" t="s">
        <v>99</v>
      </c>
      <c r="I856" s="291" t="s">
        <v>33</v>
      </c>
      <c r="J856" s="296">
        <v>60570</v>
      </c>
      <c r="L856" s="296">
        <v>45</v>
      </c>
      <c r="M856" s="296">
        <v>45</v>
      </c>
      <c r="N856" s="297">
        <f>J856*0.3</f>
        <v>18171</v>
      </c>
      <c r="O856" s="298">
        <v>0.25</v>
      </c>
      <c r="P856" s="298"/>
      <c r="Q856" s="297">
        <v>0</v>
      </c>
      <c r="R856" s="291" t="s">
        <v>35</v>
      </c>
      <c r="S856" s="299" t="s">
        <v>41</v>
      </c>
      <c r="T856" s="299">
        <v>86</v>
      </c>
      <c r="U856" s="300" t="s">
        <v>164</v>
      </c>
      <c r="V856" s="333"/>
      <c r="X856" s="297">
        <v>0</v>
      </c>
      <c r="Y856" s="297"/>
      <c r="AH856" s="291">
        <f t="shared" ref="AH856:AH861" si="14">X856</f>
        <v>0</v>
      </c>
      <c r="AI856" s="311"/>
      <c r="AJ856" s="468"/>
    </row>
    <row r="857" spans="2:36" s="291" customFormat="1" ht="11.25" customHeight="1">
      <c r="B857" s="310" t="s">
        <v>291</v>
      </c>
      <c r="C857" s="292"/>
      <c r="D857" s="292"/>
      <c r="E857" s="293" t="s">
        <v>930</v>
      </c>
      <c r="F857" s="291" t="s">
        <v>644</v>
      </c>
      <c r="G857" s="294" t="s">
        <v>645</v>
      </c>
      <c r="H857" s="291" t="s">
        <v>183</v>
      </c>
      <c r="I857" s="291" t="s">
        <v>33</v>
      </c>
      <c r="J857" s="296">
        <v>10159.200000000001</v>
      </c>
      <c r="L857" s="296">
        <v>8.5</v>
      </c>
      <c r="M857" s="296">
        <v>8.5</v>
      </c>
      <c r="N857" s="297">
        <f>J857*0.3</f>
        <v>3047.76</v>
      </c>
      <c r="O857" s="298">
        <v>0.25</v>
      </c>
      <c r="P857" s="298"/>
      <c r="Q857" s="297">
        <v>0</v>
      </c>
      <c r="R857" s="291" t="s">
        <v>35</v>
      </c>
      <c r="S857" s="299" t="s">
        <v>41</v>
      </c>
      <c r="T857" s="299">
        <v>86</v>
      </c>
      <c r="U857" s="300" t="s">
        <v>164</v>
      </c>
      <c r="V857" s="333"/>
      <c r="X857" s="297">
        <v>0</v>
      </c>
      <c r="Y857" s="297"/>
      <c r="AH857" s="291">
        <f t="shared" si="14"/>
        <v>0</v>
      </c>
      <c r="AI857" s="311"/>
      <c r="AJ857" s="468"/>
    </row>
    <row r="858" spans="2:36" s="291" customFormat="1" ht="11.25" customHeight="1">
      <c r="B858" s="310" t="s">
        <v>291</v>
      </c>
      <c r="C858" s="292"/>
      <c r="D858" s="292"/>
      <c r="E858" s="293" t="s">
        <v>930</v>
      </c>
      <c r="F858" s="291" t="s">
        <v>644</v>
      </c>
      <c r="G858" s="294" t="s">
        <v>645</v>
      </c>
      <c r="H858" s="291" t="s">
        <v>27</v>
      </c>
      <c r="I858" s="291" t="s">
        <v>33</v>
      </c>
      <c r="J858" s="296">
        <v>29664</v>
      </c>
      <c r="L858" s="296">
        <v>24</v>
      </c>
      <c r="M858" s="296">
        <v>24</v>
      </c>
      <c r="N858" s="297"/>
      <c r="O858" s="298">
        <v>0.25</v>
      </c>
      <c r="P858" s="298"/>
      <c r="Q858" s="297">
        <v>0</v>
      </c>
      <c r="R858" s="291" t="s">
        <v>35</v>
      </c>
      <c r="S858" s="299" t="s">
        <v>41</v>
      </c>
      <c r="T858" s="299">
        <v>86</v>
      </c>
      <c r="U858" s="300" t="s">
        <v>164</v>
      </c>
      <c r="V858" s="333"/>
      <c r="X858" s="297">
        <v>0</v>
      </c>
      <c r="Y858" s="297"/>
      <c r="AH858" s="291">
        <f t="shared" si="14"/>
        <v>0</v>
      </c>
      <c r="AI858" s="311"/>
      <c r="AJ858" s="468"/>
    </row>
    <row r="859" spans="2:36" s="291" customFormat="1" ht="11.25" customHeight="1">
      <c r="B859" s="310" t="s">
        <v>291</v>
      </c>
      <c r="C859" s="292"/>
      <c r="D859" s="292"/>
      <c r="E859" s="293" t="s">
        <v>931</v>
      </c>
      <c r="F859" s="291" t="s">
        <v>670</v>
      </c>
      <c r="G859" s="294">
        <v>4185</v>
      </c>
      <c r="H859" s="291" t="s">
        <v>138</v>
      </c>
      <c r="I859" s="291" t="s">
        <v>33</v>
      </c>
      <c r="J859" s="296">
        <v>13991.04</v>
      </c>
      <c r="L859" s="296">
        <v>13.88</v>
      </c>
      <c r="M859" s="296">
        <v>13.88</v>
      </c>
      <c r="N859" s="312"/>
      <c r="O859" s="298">
        <v>0.3</v>
      </c>
      <c r="P859" s="298"/>
      <c r="Q859" s="297">
        <v>2128.64</v>
      </c>
      <c r="R859" s="291" t="s">
        <v>35</v>
      </c>
      <c r="S859" s="299" t="s">
        <v>41</v>
      </c>
      <c r="T859" s="299">
        <v>79</v>
      </c>
      <c r="U859" s="300" t="s">
        <v>164</v>
      </c>
      <c r="V859" s="333"/>
      <c r="X859" s="291">
        <v>2128.64</v>
      </c>
      <c r="Y859" s="297"/>
      <c r="AH859" s="291">
        <f t="shared" si="14"/>
        <v>2128.64</v>
      </c>
      <c r="AI859" s="311"/>
      <c r="AJ859" s="468"/>
    </row>
    <row r="860" spans="2:36" s="291" customFormat="1" ht="11.25" customHeight="1">
      <c r="B860" s="310" t="s">
        <v>291</v>
      </c>
      <c r="C860" s="292"/>
      <c r="D860" s="292"/>
      <c r="E860" s="293" t="s">
        <v>931</v>
      </c>
      <c r="F860" s="291" t="s">
        <v>670</v>
      </c>
      <c r="G860" s="294">
        <v>4185</v>
      </c>
      <c r="H860" s="291" t="s">
        <v>27</v>
      </c>
      <c r="I860" s="291" t="s">
        <v>33</v>
      </c>
      <c r="J860" s="296">
        <v>9950.52</v>
      </c>
      <c r="L860" s="296">
        <v>8.2100000000000009</v>
      </c>
      <c r="M860" s="296">
        <v>8.2100000000000009</v>
      </c>
      <c r="N860" s="312"/>
      <c r="O860" s="298">
        <v>0.3</v>
      </c>
      <c r="P860" s="298"/>
      <c r="Q860" s="297">
        <v>2881.38</v>
      </c>
      <c r="R860" s="291" t="s">
        <v>35</v>
      </c>
      <c r="S860" s="299" t="s">
        <v>41</v>
      </c>
      <c r="T860" s="299">
        <v>79</v>
      </c>
      <c r="U860" s="300" t="s">
        <v>164</v>
      </c>
      <c r="V860" s="333"/>
      <c r="X860" s="297">
        <v>2881.38</v>
      </c>
      <c r="Y860" s="297"/>
      <c r="AH860" s="297">
        <f t="shared" si="14"/>
        <v>2881.38</v>
      </c>
      <c r="AI860" s="311"/>
      <c r="AJ860" s="468"/>
    </row>
    <row r="861" spans="2:36" s="291" customFormat="1" ht="11.25" customHeight="1">
      <c r="B861" s="310" t="s">
        <v>291</v>
      </c>
      <c r="C861" s="292"/>
      <c r="D861" s="292"/>
      <c r="E861" s="293" t="s">
        <v>931</v>
      </c>
      <c r="F861" s="291" t="s">
        <v>670</v>
      </c>
      <c r="G861" s="294">
        <v>4185</v>
      </c>
      <c r="H861" s="291" t="s">
        <v>183</v>
      </c>
      <c r="I861" s="291" t="s">
        <v>33</v>
      </c>
      <c r="J861" s="296">
        <v>16213.27</v>
      </c>
      <c r="L861" s="296">
        <v>16.940000000000001</v>
      </c>
      <c r="M861" s="296">
        <v>16.940000000000001</v>
      </c>
      <c r="N861" s="312"/>
      <c r="O861" s="298">
        <v>0.3</v>
      </c>
      <c r="P861" s="298"/>
      <c r="Q861" s="297">
        <v>0</v>
      </c>
      <c r="R861" s="291" t="s">
        <v>35</v>
      </c>
      <c r="S861" s="299" t="s">
        <v>41</v>
      </c>
      <c r="T861" s="299">
        <v>79</v>
      </c>
      <c r="U861" s="300" t="s">
        <v>164</v>
      </c>
      <c r="V861" s="333"/>
      <c r="X861" s="297">
        <v>0</v>
      </c>
      <c r="Y861" s="297"/>
      <c r="AH861" s="291">
        <f t="shared" si="14"/>
        <v>0</v>
      </c>
      <c r="AI861" s="311"/>
      <c r="AJ861" s="468"/>
    </row>
    <row r="862" spans="2:36" s="261" customFormat="1" ht="11.25" customHeight="1">
      <c r="B862" s="258" t="s">
        <v>291</v>
      </c>
      <c r="C862" s="259">
        <v>44690</v>
      </c>
      <c r="D862" s="259">
        <v>44690</v>
      </c>
      <c r="E862" s="260" t="s">
        <v>931</v>
      </c>
      <c r="F862" s="261" t="s">
        <v>670</v>
      </c>
      <c r="G862" s="262">
        <v>4185</v>
      </c>
      <c r="H862" s="261" t="s">
        <v>99</v>
      </c>
      <c r="I862" s="261" t="s">
        <v>33</v>
      </c>
      <c r="J862" s="263">
        <v>52673.4</v>
      </c>
      <c r="L862" s="263">
        <v>45.02</v>
      </c>
      <c r="M862" s="263">
        <v>45.02</v>
      </c>
      <c r="N862" s="281"/>
      <c r="O862" s="266">
        <v>0.3</v>
      </c>
      <c r="P862" s="266"/>
      <c r="Q862" s="265">
        <v>0</v>
      </c>
      <c r="R862" s="261" t="s">
        <v>35</v>
      </c>
      <c r="S862" s="267" t="s">
        <v>41</v>
      </c>
      <c r="T862" s="267">
        <v>79</v>
      </c>
      <c r="U862" s="427" t="s">
        <v>164</v>
      </c>
      <c r="V862" s="427"/>
      <c r="X862" s="265">
        <v>0</v>
      </c>
      <c r="Y862" s="265"/>
      <c r="AG862" s="261">
        <f>X862</f>
        <v>0</v>
      </c>
      <c r="AJ862" s="642"/>
    </row>
    <row r="863" spans="2:36" s="379" customFormat="1" ht="11.25" customHeight="1">
      <c r="B863" s="380" t="s">
        <v>291</v>
      </c>
      <c r="C863" s="381">
        <v>44689</v>
      </c>
      <c r="D863" s="381">
        <v>44690</v>
      </c>
      <c r="E863" s="382" t="s">
        <v>932</v>
      </c>
      <c r="F863" s="379" t="s">
        <v>631</v>
      </c>
      <c r="G863" s="383">
        <v>3622</v>
      </c>
      <c r="H863" s="379" t="s">
        <v>99</v>
      </c>
      <c r="I863" s="379" t="s">
        <v>33</v>
      </c>
      <c r="J863" s="385">
        <v>41507.199999999997</v>
      </c>
      <c r="L863" s="385">
        <v>34</v>
      </c>
      <c r="M863" s="385">
        <v>34</v>
      </c>
      <c r="N863" s="407">
        <f>J863*0.2</f>
        <v>8301.44</v>
      </c>
      <c r="O863" s="387">
        <v>0.15</v>
      </c>
      <c r="P863" s="387"/>
      <c r="Q863" s="386">
        <v>3524.41</v>
      </c>
      <c r="R863" s="379" t="s">
        <v>77</v>
      </c>
      <c r="S863" s="388" t="s">
        <v>41</v>
      </c>
      <c r="T863" s="388">
        <v>16</v>
      </c>
      <c r="U863" s="389" t="s">
        <v>164</v>
      </c>
      <c r="V863" s="433"/>
      <c r="X863" s="386">
        <v>3524.41</v>
      </c>
      <c r="Y863" s="386"/>
      <c r="AJ863" s="416">
        <v>3524.41</v>
      </c>
    </row>
    <row r="864" spans="2:36" s="261" customFormat="1" ht="11.25" customHeight="1">
      <c r="B864" s="258" t="s">
        <v>291</v>
      </c>
      <c r="C864" s="259"/>
      <c r="D864" s="259"/>
      <c r="E864" s="260" t="s">
        <v>932</v>
      </c>
      <c r="F864" s="261" t="s">
        <v>631</v>
      </c>
      <c r="G864" s="262">
        <v>3622</v>
      </c>
      <c r="H864" s="261" t="s">
        <v>27</v>
      </c>
      <c r="I864" s="261" t="s">
        <v>33</v>
      </c>
      <c r="J864" s="263">
        <v>17077.2</v>
      </c>
      <c r="L864" s="263">
        <v>21</v>
      </c>
      <c r="M864" s="263">
        <v>21</v>
      </c>
      <c r="N864" s="281"/>
      <c r="O864" s="266">
        <v>0.15</v>
      </c>
      <c r="P864" s="266"/>
      <c r="Q864" s="265">
        <v>0</v>
      </c>
      <c r="R864" s="261" t="s">
        <v>77</v>
      </c>
      <c r="S864" s="267" t="s">
        <v>41</v>
      </c>
      <c r="T864" s="267">
        <v>16</v>
      </c>
      <c r="U864" s="268" t="s">
        <v>164</v>
      </c>
      <c r="V864" s="427"/>
      <c r="X864" s="265">
        <v>0</v>
      </c>
      <c r="Y864" s="265"/>
      <c r="AG864" s="261">
        <f>X864</f>
        <v>0</v>
      </c>
      <c r="AJ864" s="642"/>
    </row>
    <row r="865" spans="1:77" s="261" customFormat="1" ht="11.25" customHeight="1">
      <c r="B865" s="258" t="s">
        <v>291</v>
      </c>
      <c r="C865" s="259"/>
      <c r="D865" s="259"/>
      <c r="E865" s="260" t="s">
        <v>932</v>
      </c>
      <c r="F865" s="261" t="s">
        <v>631</v>
      </c>
      <c r="G865" s="262">
        <v>3622</v>
      </c>
      <c r="H865" s="261" t="s">
        <v>183</v>
      </c>
      <c r="I865" s="261" t="s">
        <v>33</v>
      </c>
      <c r="J865" s="263">
        <v>20706.45</v>
      </c>
      <c r="L865" s="263">
        <v>30.5</v>
      </c>
      <c r="M865" s="263">
        <v>30.5</v>
      </c>
      <c r="N865" s="281">
        <f>J865*0.2</f>
        <v>4141.29</v>
      </c>
      <c r="O865" s="266">
        <v>0.15</v>
      </c>
      <c r="P865" s="266"/>
      <c r="Q865" s="265">
        <v>0</v>
      </c>
      <c r="R865" s="261" t="s">
        <v>77</v>
      </c>
      <c r="S865" s="267" t="s">
        <v>41</v>
      </c>
      <c r="T865" s="267">
        <v>16</v>
      </c>
      <c r="U865" s="268" t="s">
        <v>164</v>
      </c>
      <c r="V865" s="427"/>
      <c r="X865" s="265">
        <v>0</v>
      </c>
      <c r="Y865" s="265"/>
      <c r="AG865" s="261">
        <f>X865</f>
        <v>0</v>
      </c>
      <c r="AJ865" s="642"/>
    </row>
    <row r="866" spans="1:77" s="261" customFormat="1" ht="11.25" customHeight="1">
      <c r="B866" s="258" t="s">
        <v>291</v>
      </c>
      <c r="C866" s="259"/>
      <c r="D866" s="259"/>
      <c r="E866" s="260" t="s">
        <v>932</v>
      </c>
      <c r="F866" s="261" t="s">
        <v>631</v>
      </c>
      <c r="G866" s="262">
        <v>3622</v>
      </c>
      <c r="H866" s="261" t="s">
        <v>442</v>
      </c>
      <c r="I866" s="261" t="s">
        <v>33</v>
      </c>
      <c r="J866" s="263">
        <v>5673.6</v>
      </c>
      <c r="L866" s="263">
        <v>6.4</v>
      </c>
      <c r="M866" s="263">
        <v>6.4</v>
      </c>
      <c r="N866" s="281"/>
      <c r="O866" s="266">
        <v>0.15</v>
      </c>
      <c r="P866" s="266"/>
      <c r="Q866" s="265">
        <v>0</v>
      </c>
      <c r="R866" s="261" t="s">
        <v>77</v>
      </c>
      <c r="S866" s="267" t="s">
        <v>41</v>
      </c>
      <c r="T866" s="267">
        <v>16</v>
      </c>
      <c r="U866" s="268" t="s">
        <v>164</v>
      </c>
      <c r="V866" s="427"/>
      <c r="X866" s="265">
        <v>0</v>
      </c>
      <c r="Y866" s="265"/>
      <c r="AG866" s="261">
        <f>X866</f>
        <v>0</v>
      </c>
      <c r="AJ866" s="642"/>
    </row>
    <row r="867" spans="1:77" s="291" customFormat="1" ht="11.25" customHeight="1">
      <c r="B867" s="310" t="s">
        <v>291</v>
      </c>
      <c r="C867" s="292">
        <v>44690</v>
      </c>
      <c r="D867" s="292">
        <v>44690</v>
      </c>
      <c r="E867" s="293" t="s">
        <v>933</v>
      </c>
      <c r="F867" s="291" t="s">
        <v>261</v>
      </c>
      <c r="G867" s="294" t="s">
        <v>262</v>
      </c>
      <c r="H867" s="291" t="s">
        <v>866</v>
      </c>
      <c r="I867" s="291" t="s">
        <v>33</v>
      </c>
      <c r="J867" s="296">
        <v>9213.7000000000007</v>
      </c>
      <c r="L867" s="296">
        <v>5.49</v>
      </c>
      <c r="M867" s="296">
        <v>5.49</v>
      </c>
      <c r="N867" s="312"/>
      <c r="O867" s="298">
        <v>0.15</v>
      </c>
      <c r="P867" s="298"/>
      <c r="Q867" s="297">
        <v>0</v>
      </c>
      <c r="R867" s="291" t="s">
        <v>128</v>
      </c>
      <c r="S867" s="299" t="s">
        <v>41</v>
      </c>
      <c r="T867" s="299">
        <v>79</v>
      </c>
      <c r="U867" s="300" t="s">
        <v>164</v>
      </c>
      <c r="V867" s="333"/>
      <c r="X867" s="297">
        <v>0</v>
      </c>
      <c r="Y867" s="297"/>
      <c r="AH867" s="291">
        <f>X867</f>
        <v>0</v>
      </c>
      <c r="AI867" s="311"/>
      <c r="AJ867" s="468"/>
    </row>
    <row r="868" spans="1:77" s="337" customFormat="1" ht="11.25" customHeight="1">
      <c r="B868" s="338" t="s">
        <v>291</v>
      </c>
      <c r="C868" s="349">
        <v>44690</v>
      </c>
      <c r="D868" s="349">
        <v>44690</v>
      </c>
      <c r="E868" s="350" t="s">
        <v>934</v>
      </c>
      <c r="F868" s="337" t="s">
        <v>935</v>
      </c>
      <c r="G868" s="351">
        <v>3946</v>
      </c>
      <c r="H868" s="341" t="s">
        <v>912</v>
      </c>
      <c r="I868" s="337" t="s">
        <v>33</v>
      </c>
      <c r="J868" s="352">
        <v>3852.2</v>
      </c>
      <c r="L868" s="352">
        <v>5.15</v>
      </c>
      <c r="M868" s="352">
        <v>5.15</v>
      </c>
      <c r="N868" s="360">
        <v>1926.1</v>
      </c>
      <c r="O868" s="355">
        <v>0.25</v>
      </c>
      <c r="P868" s="355"/>
      <c r="Q868" s="354">
        <v>0</v>
      </c>
      <c r="R868" s="337" t="s">
        <v>42</v>
      </c>
      <c r="S868" s="356" t="s">
        <v>41</v>
      </c>
      <c r="T868" s="356">
        <v>16</v>
      </c>
      <c r="U868" s="357" t="s">
        <v>164</v>
      </c>
      <c r="V868" s="434"/>
      <c r="X868" s="354">
        <v>0</v>
      </c>
      <c r="Y868" s="354"/>
      <c r="AI868" s="341">
        <f>X868</f>
        <v>0</v>
      </c>
      <c r="AJ868" s="358"/>
      <c r="AK868" s="369"/>
    </row>
    <row r="869" spans="1:77" s="337" customFormat="1" ht="11.25" customHeight="1">
      <c r="B869" s="338" t="s">
        <v>291</v>
      </c>
      <c r="C869" s="349"/>
      <c r="D869" s="349"/>
      <c r="E869" s="350" t="s">
        <v>934</v>
      </c>
      <c r="F869" s="337" t="s">
        <v>935</v>
      </c>
      <c r="G869" s="351">
        <v>3946</v>
      </c>
      <c r="H869" s="337" t="s">
        <v>99</v>
      </c>
      <c r="I869" s="337" t="s">
        <v>33</v>
      </c>
      <c r="J869" s="352">
        <v>52780.15</v>
      </c>
      <c r="L869" s="352">
        <v>42.61</v>
      </c>
      <c r="M869" s="352">
        <v>42.61</v>
      </c>
      <c r="N869" s="360">
        <v>0</v>
      </c>
      <c r="O869" s="355">
        <v>0.25</v>
      </c>
      <c r="P869" s="355"/>
      <c r="Q869" s="354">
        <v>0</v>
      </c>
      <c r="R869" s="337" t="s">
        <v>42</v>
      </c>
      <c r="S869" s="356" t="s">
        <v>41</v>
      </c>
      <c r="T869" s="356">
        <v>16</v>
      </c>
      <c r="U869" s="357" t="s">
        <v>164</v>
      </c>
      <c r="V869" s="434"/>
      <c r="X869" s="354">
        <v>0</v>
      </c>
      <c r="Y869" s="354"/>
      <c r="AI869" s="337">
        <v>0</v>
      </c>
      <c r="AJ869" s="358"/>
      <c r="AK869" s="369"/>
    </row>
    <row r="870" spans="1:77" s="337" customFormat="1" ht="11.25" customHeight="1">
      <c r="B870" s="338" t="s">
        <v>291</v>
      </c>
      <c r="C870" s="349"/>
      <c r="D870" s="349"/>
      <c r="E870" s="350" t="s">
        <v>934</v>
      </c>
      <c r="F870" s="337" t="s">
        <v>935</v>
      </c>
      <c r="G870" s="351">
        <v>3946</v>
      </c>
      <c r="H870" s="337" t="s">
        <v>183</v>
      </c>
      <c r="I870" s="337" t="s">
        <v>33</v>
      </c>
      <c r="J870" s="352">
        <v>7312.45</v>
      </c>
      <c r="L870" s="352">
        <v>7.19</v>
      </c>
      <c r="M870" s="352">
        <v>7.19</v>
      </c>
      <c r="N870" s="360">
        <v>3556.2228500000001</v>
      </c>
      <c r="O870" s="355">
        <v>0.25</v>
      </c>
      <c r="P870" s="355"/>
      <c r="Q870" s="354">
        <v>356.02</v>
      </c>
      <c r="R870" s="337" t="s">
        <v>42</v>
      </c>
      <c r="S870" s="356" t="s">
        <v>41</v>
      </c>
      <c r="T870" s="356">
        <v>16</v>
      </c>
      <c r="U870" s="357" t="s">
        <v>164</v>
      </c>
      <c r="V870" s="434"/>
      <c r="X870" s="354">
        <v>356.02</v>
      </c>
      <c r="Y870" s="354"/>
      <c r="AI870" s="354">
        <v>356.02</v>
      </c>
      <c r="AJ870" s="358"/>
      <c r="AK870" s="369"/>
    </row>
    <row r="871" spans="1:77" s="337" customFormat="1" ht="11.25" customHeight="1">
      <c r="B871" s="338" t="s">
        <v>291</v>
      </c>
      <c r="C871" s="349"/>
      <c r="D871" s="349"/>
      <c r="E871" s="350" t="s">
        <v>934</v>
      </c>
      <c r="F871" s="337" t="s">
        <v>935</v>
      </c>
      <c r="G871" s="351">
        <v>3946</v>
      </c>
      <c r="H871" s="337" t="s">
        <v>310</v>
      </c>
      <c r="I871" s="337" t="s">
        <v>33</v>
      </c>
      <c r="J871" s="352">
        <v>12389.46</v>
      </c>
      <c r="L871" s="352">
        <v>14.66</v>
      </c>
      <c r="M871" s="352">
        <v>14.66</v>
      </c>
      <c r="N871" s="360">
        <v>3097.3647999999998</v>
      </c>
      <c r="O871" s="355">
        <v>0.25</v>
      </c>
      <c r="P871" s="355"/>
      <c r="Q871" s="354">
        <v>607.25</v>
      </c>
      <c r="R871" s="337" t="s">
        <v>42</v>
      </c>
      <c r="S871" s="356" t="s">
        <v>41</v>
      </c>
      <c r="T871" s="356">
        <v>16</v>
      </c>
      <c r="U871" s="357" t="s">
        <v>164</v>
      </c>
      <c r="V871" s="434"/>
      <c r="X871" s="354">
        <v>607.25</v>
      </c>
      <c r="Y871" s="354"/>
      <c r="AI871" s="354">
        <v>607.25</v>
      </c>
      <c r="AJ871" s="358"/>
      <c r="AK871" s="369"/>
    </row>
    <row r="872" spans="1:77" s="291" customFormat="1" ht="11.25" customHeight="1">
      <c r="B872" s="291" t="s">
        <v>291</v>
      </c>
      <c r="C872" s="292">
        <v>44691</v>
      </c>
      <c r="D872" s="292">
        <v>44691</v>
      </c>
      <c r="E872" s="293" t="s">
        <v>936</v>
      </c>
      <c r="F872" s="291" t="s">
        <v>131</v>
      </c>
      <c r="G872" s="294">
        <v>4152</v>
      </c>
      <c r="H872" s="291" t="s">
        <v>27</v>
      </c>
      <c r="I872" s="291" t="s">
        <v>33</v>
      </c>
      <c r="J872" s="296">
        <v>15121.73</v>
      </c>
      <c r="L872" s="296">
        <v>13</v>
      </c>
      <c r="M872" s="296">
        <v>13</v>
      </c>
      <c r="N872" s="312"/>
      <c r="O872" s="298">
        <v>0.15</v>
      </c>
      <c r="P872" s="298"/>
      <c r="Q872" s="297">
        <v>0</v>
      </c>
      <c r="R872" s="291" t="s">
        <v>128</v>
      </c>
      <c r="S872" s="299" t="s">
        <v>41</v>
      </c>
      <c r="T872" s="299">
        <v>86</v>
      </c>
      <c r="U872" s="300" t="s">
        <v>164</v>
      </c>
      <c r="V872" s="333"/>
      <c r="W872" s="291" t="s">
        <v>3882</v>
      </c>
      <c r="X872" s="297">
        <v>0</v>
      </c>
      <c r="Y872" s="297"/>
      <c r="AH872" s="291">
        <f>X872</f>
        <v>0</v>
      </c>
      <c r="AI872" s="311"/>
      <c r="AJ872" s="468"/>
    </row>
    <row r="873" spans="1:77" s="291" customFormat="1" ht="11.25" customHeight="1">
      <c r="B873" s="310" t="s">
        <v>291</v>
      </c>
      <c r="C873" s="292"/>
      <c r="D873" s="292"/>
      <c r="E873" s="293" t="s">
        <v>936</v>
      </c>
      <c r="F873" s="291" t="s">
        <v>131</v>
      </c>
      <c r="G873" s="294">
        <v>4152</v>
      </c>
      <c r="H873" s="291" t="s">
        <v>99</v>
      </c>
      <c r="I873" s="291" t="s">
        <v>33</v>
      </c>
      <c r="J873" s="296">
        <v>28407</v>
      </c>
      <c r="L873" s="296">
        <v>30</v>
      </c>
      <c r="M873" s="296">
        <v>30</v>
      </c>
      <c r="N873" s="312"/>
      <c r="O873" s="298">
        <v>0.15</v>
      </c>
      <c r="P873" s="298"/>
      <c r="Q873" s="297">
        <f>0</f>
        <v>0</v>
      </c>
      <c r="R873" s="291" t="s">
        <v>128</v>
      </c>
      <c r="S873" s="299" t="s">
        <v>41</v>
      </c>
      <c r="T873" s="299">
        <v>86</v>
      </c>
      <c r="U873" s="300" t="s">
        <v>164</v>
      </c>
      <c r="V873" s="333"/>
      <c r="X873" s="297">
        <v>0</v>
      </c>
      <c r="Y873" s="297"/>
      <c r="AH873" s="291">
        <f>X873</f>
        <v>0</v>
      </c>
      <c r="AI873" s="311"/>
      <c r="AJ873" s="468"/>
    </row>
    <row r="874" spans="1:77" s="337" customFormat="1" ht="11.25" customHeight="1">
      <c r="A874" s="379"/>
      <c r="B874" s="380" t="s">
        <v>291</v>
      </c>
      <c r="C874" s="381"/>
      <c r="D874" s="381"/>
      <c r="E874" s="382" t="s">
        <v>937</v>
      </c>
      <c r="F874" s="379" t="s">
        <v>758</v>
      </c>
      <c r="G874" s="383">
        <v>4126</v>
      </c>
      <c r="H874" s="379" t="s">
        <v>492</v>
      </c>
      <c r="I874" s="379" t="s">
        <v>33</v>
      </c>
      <c r="J874" s="385">
        <v>16124.1</v>
      </c>
      <c r="K874" s="379"/>
      <c r="L874" s="385">
        <v>14.27</v>
      </c>
      <c r="M874" s="385">
        <v>14.27</v>
      </c>
      <c r="N874" s="407">
        <f>J874*0.4</f>
        <v>6449.64</v>
      </c>
      <c r="O874" s="387">
        <v>0.15</v>
      </c>
      <c r="P874" s="387"/>
      <c r="Q874" s="386">
        <v>6248.73</v>
      </c>
      <c r="R874" s="379" t="s">
        <v>35</v>
      </c>
      <c r="S874" s="388" t="s">
        <v>41</v>
      </c>
      <c r="T874" s="388">
        <v>79</v>
      </c>
      <c r="U874" s="389" t="s">
        <v>164</v>
      </c>
      <c r="V874" s="433"/>
      <c r="W874" s="379"/>
      <c r="X874" s="386">
        <v>6248.73</v>
      </c>
      <c r="Y874" s="386"/>
      <c r="Z874" s="379"/>
      <c r="AA874" s="379"/>
      <c r="AB874" s="379"/>
      <c r="AC874" s="379"/>
      <c r="AD874" s="379"/>
      <c r="AE874" s="379"/>
      <c r="AF874" s="379"/>
      <c r="AG874" s="379"/>
      <c r="AH874" s="379"/>
      <c r="AI874" s="379"/>
      <c r="AJ874" s="416">
        <v>6248.73</v>
      </c>
      <c r="AK874" s="379"/>
      <c r="AL874" s="379"/>
      <c r="AM874" s="379"/>
      <c r="AN874" s="379"/>
      <c r="AO874" s="379"/>
      <c r="AP874" s="379"/>
      <c r="AQ874" s="379"/>
      <c r="AR874" s="379"/>
      <c r="AS874" s="379"/>
      <c r="AT874" s="379"/>
      <c r="AU874" s="379"/>
      <c r="AV874" s="379"/>
      <c r="AW874" s="379"/>
      <c r="AX874" s="379"/>
      <c r="AY874" s="379"/>
      <c r="AZ874" s="379"/>
      <c r="BA874" s="379"/>
      <c r="BB874" s="379"/>
      <c r="BC874" s="379"/>
      <c r="BD874" s="379"/>
      <c r="BE874" s="379"/>
      <c r="BF874" s="379"/>
      <c r="BG874" s="379"/>
      <c r="BH874" s="379"/>
      <c r="BI874" s="379"/>
      <c r="BJ874" s="379"/>
      <c r="BK874" s="379"/>
      <c r="BL874" s="379"/>
      <c r="BM874" s="379"/>
      <c r="BN874" s="379"/>
      <c r="BO874" s="379"/>
      <c r="BP874" s="379"/>
      <c r="BQ874" s="379"/>
      <c r="BR874" s="379"/>
      <c r="BS874" s="379"/>
      <c r="BT874" s="379"/>
      <c r="BU874" s="379"/>
      <c r="BV874" s="379"/>
      <c r="BW874" s="379"/>
      <c r="BX874" s="379"/>
      <c r="BY874" s="379"/>
    </row>
    <row r="875" spans="1:77" s="337" customFormat="1" ht="11.25" customHeight="1">
      <c r="B875" s="338" t="s">
        <v>291</v>
      </c>
      <c r="C875" s="349">
        <v>44691</v>
      </c>
      <c r="D875" s="349">
        <v>44691</v>
      </c>
      <c r="E875" s="350" t="s">
        <v>937</v>
      </c>
      <c r="F875" s="337" t="s">
        <v>758</v>
      </c>
      <c r="G875" s="351">
        <v>4126</v>
      </c>
      <c r="H875" s="337" t="s">
        <v>99</v>
      </c>
      <c r="I875" s="337" t="s">
        <v>33</v>
      </c>
      <c r="J875" s="352">
        <v>97053.33</v>
      </c>
      <c r="L875" s="352">
        <v>12.13</v>
      </c>
      <c r="M875" s="352">
        <v>75.900000000000006</v>
      </c>
      <c r="N875" s="360">
        <f>J875*0.2</f>
        <v>19410.666000000001</v>
      </c>
      <c r="O875" s="355">
        <v>0.15</v>
      </c>
      <c r="P875" s="355"/>
      <c r="Q875" s="354">
        <v>14630.1</v>
      </c>
      <c r="R875" s="337" t="s">
        <v>35</v>
      </c>
      <c r="S875" s="356" t="s">
        <v>41</v>
      </c>
      <c r="T875" s="356">
        <v>79</v>
      </c>
      <c r="U875" s="357" t="s">
        <v>164</v>
      </c>
      <c r="V875" s="434"/>
      <c r="X875" s="354">
        <v>14630.1</v>
      </c>
      <c r="Y875" s="354"/>
      <c r="AI875" s="354">
        <v>14630.1</v>
      </c>
      <c r="AJ875" s="358"/>
      <c r="AK875" s="369"/>
    </row>
    <row r="876" spans="1:77" s="337" customFormat="1" ht="11.25" customHeight="1">
      <c r="B876" s="338" t="s">
        <v>291</v>
      </c>
      <c r="C876" s="349"/>
      <c r="D876" s="349"/>
      <c r="E876" s="350" t="s">
        <v>937</v>
      </c>
      <c r="F876" s="337" t="s">
        <v>758</v>
      </c>
      <c r="G876" s="351">
        <v>4126</v>
      </c>
      <c r="H876" s="337" t="s">
        <v>27</v>
      </c>
      <c r="I876" s="337" t="s">
        <v>33</v>
      </c>
      <c r="J876" s="352">
        <v>24700</v>
      </c>
      <c r="L876" s="352">
        <v>24.7</v>
      </c>
      <c r="M876" s="352">
        <v>24.7</v>
      </c>
      <c r="N876" s="360"/>
      <c r="O876" s="355">
        <v>0.15</v>
      </c>
      <c r="P876" s="355"/>
      <c r="Q876" s="354">
        <v>197.6</v>
      </c>
      <c r="R876" s="337" t="s">
        <v>35</v>
      </c>
      <c r="S876" s="356" t="s">
        <v>41</v>
      </c>
      <c r="T876" s="356">
        <v>79</v>
      </c>
      <c r="U876" s="357" t="s">
        <v>164</v>
      </c>
      <c r="V876" s="434"/>
      <c r="X876" s="354">
        <v>197.6</v>
      </c>
      <c r="Y876" s="354"/>
      <c r="AI876" s="354">
        <v>197.6</v>
      </c>
      <c r="AJ876" s="358"/>
      <c r="AK876" s="369"/>
    </row>
    <row r="877" spans="1:77" s="337" customFormat="1" ht="11.25" customHeight="1">
      <c r="B877" s="338" t="s">
        <v>291</v>
      </c>
      <c r="C877" s="349"/>
      <c r="D877" s="349"/>
      <c r="E877" s="350" t="s">
        <v>937</v>
      </c>
      <c r="F877" s="337" t="s">
        <v>758</v>
      </c>
      <c r="G877" s="351">
        <v>4126</v>
      </c>
      <c r="H877" s="337" t="s">
        <v>183</v>
      </c>
      <c r="I877" s="337" t="s">
        <v>33</v>
      </c>
      <c r="J877" s="352">
        <v>27672.3</v>
      </c>
      <c r="L877" s="352">
        <v>27.7</v>
      </c>
      <c r="M877" s="352">
        <v>27.7</v>
      </c>
      <c r="N877" s="360">
        <f>J877*0.2</f>
        <v>5534.46</v>
      </c>
      <c r="O877" s="355">
        <v>0.15</v>
      </c>
      <c r="P877" s="355"/>
      <c r="Q877" s="354">
        <v>321.60000000000002</v>
      </c>
      <c r="R877" s="337" t="s">
        <v>35</v>
      </c>
      <c r="S877" s="356" t="s">
        <v>41</v>
      </c>
      <c r="T877" s="356">
        <v>79</v>
      </c>
      <c r="U877" s="357" t="s">
        <v>164</v>
      </c>
      <c r="V877" s="434"/>
      <c r="X877" s="354">
        <v>321.60000000000002</v>
      </c>
      <c r="Y877" s="354"/>
      <c r="AI877" s="354">
        <v>321.60000000000002</v>
      </c>
      <c r="AJ877" s="358"/>
      <c r="AK877" s="369"/>
    </row>
    <row r="878" spans="1:77" s="337" customFormat="1" ht="11.25" customHeight="1">
      <c r="B878" s="338" t="s">
        <v>291</v>
      </c>
      <c r="C878" s="349"/>
      <c r="D878" s="349"/>
      <c r="E878" s="350" t="s">
        <v>937</v>
      </c>
      <c r="F878" s="337" t="s">
        <v>758</v>
      </c>
      <c r="G878" s="351">
        <v>4126</v>
      </c>
      <c r="H878" s="337" t="s">
        <v>310</v>
      </c>
      <c r="I878" s="337" t="s">
        <v>33</v>
      </c>
      <c r="J878" s="352">
        <v>9887.15</v>
      </c>
      <c r="L878" s="352">
        <v>9.19</v>
      </c>
      <c r="M878" s="352">
        <v>9.19</v>
      </c>
      <c r="N878" s="360">
        <f>J878*0.4</f>
        <v>3954.86</v>
      </c>
      <c r="O878" s="355">
        <v>0.15</v>
      </c>
      <c r="P878" s="355"/>
      <c r="Q878" s="354">
        <v>4571.8500000000004</v>
      </c>
      <c r="R878" s="337" t="s">
        <v>35</v>
      </c>
      <c r="S878" s="356" t="s">
        <v>41</v>
      </c>
      <c r="T878" s="356">
        <v>79</v>
      </c>
      <c r="U878" s="357" t="s">
        <v>164</v>
      </c>
      <c r="V878" s="434"/>
      <c r="X878" s="354">
        <v>4571.8500000000004</v>
      </c>
      <c r="Y878" s="354"/>
      <c r="AI878" s="354">
        <v>4571.8500000000004</v>
      </c>
      <c r="AJ878" s="358"/>
      <c r="AK878" s="369"/>
    </row>
    <row r="879" spans="1:77" s="337" customFormat="1" ht="11.25" customHeight="1">
      <c r="B879" s="338" t="s">
        <v>291</v>
      </c>
      <c r="C879" s="349"/>
      <c r="D879" s="349"/>
      <c r="E879" s="350" t="s">
        <v>937</v>
      </c>
      <c r="F879" s="337" t="s">
        <v>758</v>
      </c>
      <c r="G879" s="351">
        <v>4126</v>
      </c>
      <c r="H879" s="337" t="s">
        <v>336</v>
      </c>
      <c r="I879" s="337" t="s">
        <v>33</v>
      </c>
      <c r="J879" s="352">
        <v>14531.01</v>
      </c>
      <c r="L879" s="352">
        <v>12.13</v>
      </c>
      <c r="M879" s="352">
        <v>12.13</v>
      </c>
      <c r="N879" s="360">
        <f>J879*0.2</f>
        <v>2906.2020000000002</v>
      </c>
      <c r="O879" s="355">
        <v>0.15</v>
      </c>
      <c r="P879" s="355"/>
      <c r="Q879" s="354">
        <v>3749.35</v>
      </c>
      <c r="R879" s="337" t="s">
        <v>35</v>
      </c>
      <c r="S879" s="356" t="s">
        <v>41</v>
      </c>
      <c r="T879" s="356">
        <v>79</v>
      </c>
      <c r="U879" s="357" t="s">
        <v>164</v>
      </c>
      <c r="V879" s="434"/>
      <c r="X879" s="354">
        <v>3749.35</v>
      </c>
      <c r="Y879" s="354"/>
      <c r="AI879" s="354">
        <v>3749.35</v>
      </c>
      <c r="AJ879" s="358"/>
      <c r="AK879" s="369"/>
    </row>
    <row r="880" spans="1:77" s="291" customFormat="1" ht="11.25" customHeight="1">
      <c r="B880" s="310" t="s">
        <v>291</v>
      </c>
      <c r="C880" s="292">
        <v>44691</v>
      </c>
      <c r="D880" s="292">
        <v>44691</v>
      </c>
      <c r="E880" s="293" t="s">
        <v>938</v>
      </c>
      <c r="F880" s="291" t="s">
        <v>778</v>
      </c>
      <c r="G880" s="294">
        <v>4502</v>
      </c>
      <c r="H880" s="291" t="s">
        <v>99</v>
      </c>
      <c r="I880" s="291" t="s">
        <v>33</v>
      </c>
      <c r="J880" s="296">
        <v>105792</v>
      </c>
      <c r="L880" s="296">
        <v>96</v>
      </c>
      <c r="M880" s="296">
        <v>96</v>
      </c>
      <c r="N880" s="312"/>
      <c r="O880" s="298">
        <v>0.3</v>
      </c>
      <c r="P880" s="298"/>
      <c r="Q880" s="297">
        <v>0</v>
      </c>
      <c r="R880" s="291" t="s">
        <v>35</v>
      </c>
      <c r="S880" s="299" t="s">
        <v>41</v>
      </c>
      <c r="T880" s="299">
        <v>86</v>
      </c>
      <c r="U880" s="300" t="s">
        <v>164</v>
      </c>
      <c r="V880" s="333"/>
      <c r="X880" s="297">
        <v>0</v>
      </c>
      <c r="Y880" s="297"/>
      <c r="AH880" s="291">
        <f>X880</f>
        <v>0</v>
      </c>
      <c r="AI880" s="311"/>
      <c r="AJ880" s="468"/>
    </row>
    <row r="881" spans="1:77" s="291" customFormat="1" ht="11.25" customHeight="1">
      <c r="B881" s="310" t="s">
        <v>291</v>
      </c>
      <c r="C881" s="292"/>
      <c r="D881" s="292"/>
      <c r="E881" s="293" t="s">
        <v>938</v>
      </c>
      <c r="F881" s="291" t="s">
        <v>778</v>
      </c>
      <c r="G881" s="294">
        <v>4502</v>
      </c>
      <c r="H881" s="291" t="s">
        <v>183</v>
      </c>
      <c r="I881" s="291" t="s">
        <v>33</v>
      </c>
      <c r="J881" s="296">
        <v>89329.5</v>
      </c>
      <c r="L881" s="296">
        <v>90</v>
      </c>
      <c r="M881" s="296">
        <v>90</v>
      </c>
      <c r="N881" s="312"/>
      <c r="O881" s="298">
        <v>0.3</v>
      </c>
      <c r="P881" s="298"/>
      <c r="Q881" s="297">
        <v>0</v>
      </c>
      <c r="R881" s="291" t="s">
        <v>35</v>
      </c>
      <c r="S881" s="299" t="s">
        <v>41</v>
      </c>
      <c r="T881" s="299">
        <v>86</v>
      </c>
      <c r="U881" s="300" t="s">
        <v>164</v>
      </c>
      <c r="V881" s="333"/>
      <c r="X881" s="297">
        <v>0</v>
      </c>
      <c r="Y881" s="297"/>
      <c r="AH881" s="291">
        <f>X881</f>
        <v>0</v>
      </c>
      <c r="AI881" s="311"/>
      <c r="AJ881" s="468"/>
    </row>
    <row r="882" spans="1:77" s="291" customFormat="1" ht="11.25" customHeight="1">
      <c r="B882" s="310" t="s">
        <v>291</v>
      </c>
      <c r="C882" s="292"/>
      <c r="D882" s="292"/>
      <c r="E882" s="293" t="s">
        <v>938</v>
      </c>
      <c r="F882" s="291" t="s">
        <v>778</v>
      </c>
      <c r="G882" s="294">
        <v>4502</v>
      </c>
      <c r="H882" s="291" t="s">
        <v>27</v>
      </c>
      <c r="I882" s="291" t="s">
        <v>33</v>
      </c>
      <c r="J882" s="296">
        <v>111833.71</v>
      </c>
      <c r="L882" s="296">
        <v>93</v>
      </c>
      <c r="M882" s="296">
        <v>93</v>
      </c>
      <c r="N882" s="312"/>
      <c r="O882" s="298">
        <v>0.3</v>
      </c>
      <c r="P882" s="298"/>
      <c r="Q882" s="297">
        <v>0</v>
      </c>
      <c r="R882" s="291" t="s">
        <v>35</v>
      </c>
      <c r="S882" s="299" t="s">
        <v>41</v>
      </c>
      <c r="T882" s="299">
        <v>86</v>
      </c>
      <c r="U882" s="300" t="s">
        <v>164</v>
      </c>
      <c r="V882" s="333"/>
      <c r="X882" s="297">
        <v>0</v>
      </c>
      <c r="Y882" s="297"/>
      <c r="AH882" s="291">
        <f>X882</f>
        <v>0</v>
      </c>
      <c r="AI882" s="311"/>
      <c r="AJ882" s="468"/>
    </row>
    <row r="883" spans="1:77" s="337" customFormat="1" ht="11.25" customHeight="1">
      <c r="B883" s="338" t="s">
        <v>291</v>
      </c>
      <c r="C883" s="349">
        <v>44691</v>
      </c>
      <c r="D883" s="349">
        <v>44691</v>
      </c>
      <c r="E883" s="350" t="s">
        <v>939</v>
      </c>
      <c r="F883" s="337" t="s">
        <v>940</v>
      </c>
      <c r="G883" s="351">
        <v>3966</v>
      </c>
      <c r="H883" s="337" t="s">
        <v>941</v>
      </c>
      <c r="I883" s="337" t="s">
        <v>888</v>
      </c>
      <c r="J883" s="352">
        <v>7480.2</v>
      </c>
      <c r="L883" s="352">
        <v>14</v>
      </c>
      <c r="M883" s="352">
        <v>14</v>
      </c>
      <c r="N883" s="360">
        <v>1122.03</v>
      </c>
      <c r="O883" s="355">
        <v>0.15</v>
      </c>
      <c r="P883" s="355"/>
      <c r="Q883" s="354">
        <v>788.3</v>
      </c>
      <c r="R883" s="337" t="s">
        <v>128</v>
      </c>
      <c r="S883" s="356" t="s">
        <v>41</v>
      </c>
      <c r="T883" s="356">
        <v>86</v>
      </c>
      <c r="U883" s="357" t="s">
        <v>164</v>
      </c>
      <c r="V883" s="434"/>
      <c r="X883" s="354">
        <v>788.3</v>
      </c>
      <c r="Y883" s="354"/>
      <c r="AI883" s="354">
        <v>788.3</v>
      </c>
      <c r="AJ883" s="358"/>
      <c r="AK883" s="369"/>
    </row>
    <row r="884" spans="1:77" s="337" customFormat="1" ht="11.25" customHeight="1">
      <c r="B884" s="338" t="s">
        <v>291</v>
      </c>
      <c r="C884" s="349"/>
      <c r="D884" s="349"/>
      <c r="E884" s="350" t="s">
        <v>939</v>
      </c>
      <c r="F884" s="337" t="s">
        <v>940</v>
      </c>
      <c r="G884" s="351">
        <v>3966</v>
      </c>
      <c r="H884" s="337" t="s">
        <v>99</v>
      </c>
      <c r="I884" s="337" t="s">
        <v>888</v>
      </c>
      <c r="J884" s="352">
        <v>14076</v>
      </c>
      <c r="L884" s="352">
        <v>18</v>
      </c>
      <c r="M884" s="352">
        <v>18</v>
      </c>
      <c r="N884" s="360">
        <v>2111.4</v>
      </c>
      <c r="O884" s="355">
        <v>0.15</v>
      </c>
      <c r="P884" s="355"/>
      <c r="Q884" s="354">
        <v>3411.9</v>
      </c>
      <c r="R884" s="337" t="s">
        <v>128</v>
      </c>
      <c r="S884" s="356" t="s">
        <v>41</v>
      </c>
      <c r="T884" s="356">
        <v>86</v>
      </c>
      <c r="U884" s="357" t="s">
        <v>164</v>
      </c>
      <c r="V884" s="434"/>
      <c r="X884" s="354">
        <v>3411.9</v>
      </c>
      <c r="Y884" s="354"/>
      <c r="AI884" s="354">
        <v>3411.9</v>
      </c>
      <c r="AJ884" s="358"/>
      <c r="AK884" s="369"/>
    </row>
    <row r="885" spans="1:77" s="337" customFormat="1" ht="11.25" customHeight="1">
      <c r="B885" s="338" t="s">
        <v>291</v>
      </c>
      <c r="C885" s="349"/>
      <c r="D885" s="349"/>
      <c r="E885" s="350" t="s">
        <v>939</v>
      </c>
      <c r="F885" s="337" t="s">
        <v>940</v>
      </c>
      <c r="G885" s="351">
        <v>3966</v>
      </c>
      <c r="H885" s="337" t="s">
        <v>183</v>
      </c>
      <c r="I885" s="337" t="s">
        <v>888</v>
      </c>
      <c r="J885" s="352">
        <v>13765.5</v>
      </c>
      <c r="L885" s="352">
        <v>19</v>
      </c>
      <c r="M885" s="352">
        <v>19</v>
      </c>
      <c r="N885" s="360">
        <v>2064.8200000000002</v>
      </c>
      <c r="O885" s="355">
        <v>0.15</v>
      </c>
      <c r="P885" s="355"/>
      <c r="Q885" s="354">
        <v>5111.4799999999996</v>
      </c>
      <c r="R885" s="337" t="s">
        <v>128</v>
      </c>
      <c r="S885" s="356" t="s">
        <v>41</v>
      </c>
      <c r="T885" s="356">
        <v>86</v>
      </c>
      <c r="U885" s="357" t="s">
        <v>164</v>
      </c>
      <c r="V885" s="434"/>
      <c r="X885" s="354">
        <v>5111.4799999999996</v>
      </c>
      <c r="Y885" s="354"/>
      <c r="AI885" s="354">
        <v>5111.4799999999996</v>
      </c>
      <c r="AJ885" s="358"/>
      <c r="AK885" s="369"/>
    </row>
    <row r="886" spans="1:77" s="337" customFormat="1" ht="11.25" customHeight="1">
      <c r="B886" s="338" t="s">
        <v>291</v>
      </c>
      <c r="C886" s="349"/>
      <c r="D886" s="349"/>
      <c r="E886" s="350" t="s">
        <v>939</v>
      </c>
      <c r="F886" s="337" t="s">
        <v>940</v>
      </c>
      <c r="G886" s="351">
        <v>3966</v>
      </c>
      <c r="H886" s="337" t="s">
        <v>137</v>
      </c>
      <c r="I886" s="337" t="s">
        <v>888</v>
      </c>
      <c r="J886" s="352">
        <v>5155.2</v>
      </c>
      <c r="L886" s="352">
        <v>6</v>
      </c>
      <c r="M886" s="352">
        <v>6</v>
      </c>
      <c r="N886" s="360">
        <v>773.28</v>
      </c>
      <c r="O886" s="355">
        <v>0.15</v>
      </c>
      <c r="P886" s="355"/>
      <c r="Q886" s="354">
        <v>2162.4</v>
      </c>
      <c r="R886" s="337" t="s">
        <v>128</v>
      </c>
      <c r="S886" s="356" t="s">
        <v>41</v>
      </c>
      <c r="T886" s="356">
        <v>86</v>
      </c>
      <c r="U886" s="357" t="s">
        <v>164</v>
      </c>
      <c r="V886" s="434"/>
      <c r="X886" s="354">
        <v>2162.4</v>
      </c>
      <c r="Y886" s="354"/>
      <c r="AI886" s="354">
        <v>2162.4</v>
      </c>
      <c r="AJ886" s="358"/>
      <c r="AK886" s="369"/>
    </row>
    <row r="887" spans="1:77" s="379" customFormat="1" ht="11.25" customHeight="1">
      <c r="B887" s="380" t="s">
        <v>390</v>
      </c>
      <c r="C887" s="381">
        <v>44685</v>
      </c>
      <c r="D887" s="381">
        <v>44690</v>
      </c>
      <c r="E887" s="382" t="s">
        <v>942</v>
      </c>
      <c r="F887" s="379" t="s">
        <v>943</v>
      </c>
      <c r="G887" s="383" t="s">
        <v>944</v>
      </c>
      <c r="H887" s="379" t="s">
        <v>393</v>
      </c>
      <c r="I887" s="379" t="s">
        <v>141</v>
      </c>
      <c r="J887" s="385">
        <v>1010668.22</v>
      </c>
      <c r="L887" s="385">
        <v>81.7</v>
      </c>
      <c r="M887" s="385">
        <f>15+2+57</f>
        <v>74</v>
      </c>
      <c r="N887" s="407"/>
      <c r="O887" s="387">
        <v>0.25</v>
      </c>
      <c r="P887" s="387"/>
      <c r="Q887" s="386">
        <v>0</v>
      </c>
      <c r="R887" s="379" t="s">
        <v>77</v>
      </c>
      <c r="S887" s="388" t="s">
        <v>41</v>
      </c>
      <c r="T887" s="388">
        <v>16</v>
      </c>
      <c r="U887" s="389" t="s">
        <v>164</v>
      </c>
      <c r="V887" s="433"/>
      <c r="X887" s="386">
        <v>0</v>
      </c>
      <c r="Y887" s="386"/>
      <c r="AJ887" s="390">
        <v>0</v>
      </c>
    </row>
    <row r="888" spans="1:77" s="337" customFormat="1" ht="11.25" customHeight="1">
      <c r="B888" s="338" t="s">
        <v>291</v>
      </c>
      <c r="C888" s="349">
        <v>44691</v>
      </c>
      <c r="D888" s="349">
        <v>44691</v>
      </c>
      <c r="E888" s="350" t="s">
        <v>945</v>
      </c>
      <c r="F888" s="337" t="s">
        <v>946</v>
      </c>
      <c r="G888" s="351">
        <v>4123</v>
      </c>
      <c r="H888" s="337" t="s">
        <v>163</v>
      </c>
      <c r="I888" s="337" t="s">
        <v>33</v>
      </c>
      <c r="J888" s="352">
        <v>19172.330000000002</v>
      </c>
      <c r="L888" s="352">
        <v>28.556000000000001</v>
      </c>
      <c r="M888" s="352">
        <v>28.56</v>
      </c>
      <c r="N888" s="360">
        <v>3834.47</v>
      </c>
      <c r="O888" s="355">
        <v>0.15</v>
      </c>
      <c r="P888" s="355"/>
      <c r="Q888" s="354">
        <v>2316.33</v>
      </c>
      <c r="R888" s="337" t="s">
        <v>128</v>
      </c>
      <c r="S888" s="356" t="s">
        <v>41</v>
      </c>
      <c r="T888" s="356">
        <v>86</v>
      </c>
      <c r="U888" s="357" t="s">
        <v>164</v>
      </c>
      <c r="V888" s="434"/>
      <c r="X888" s="354">
        <v>2316.33</v>
      </c>
      <c r="Y888" s="354"/>
      <c r="AI888" s="337">
        <v>2316.33</v>
      </c>
      <c r="AJ888" s="358"/>
      <c r="AK888" s="369"/>
    </row>
    <row r="889" spans="1:77" s="337" customFormat="1" ht="11.25" customHeight="1">
      <c r="B889" s="338" t="s">
        <v>291</v>
      </c>
      <c r="C889" s="349"/>
      <c r="D889" s="349"/>
      <c r="E889" s="350" t="s">
        <v>945</v>
      </c>
      <c r="F889" s="337" t="s">
        <v>946</v>
      </c>
      <c r="G889" s="351">
        <v>4123</v>
      </c>
      <c r="H889" s="337" t="s">
        <v>183</v>
      </c>
      <c r="I889" s="337" t="s">
        <v>33</v>
      </c>
      <c r="J889" s="352">
        <v>44119.86</v>
      </c>
      <c r="L889" s="352">
        <v>48.21</v>
      </c>
      <c r="M889" s="352">
        <v>17.59</v>
      </c>
      <c r="N889" s="360">
        <v>6617.98</v>
      </c>
      <c r="O889" s="355">
        <v>0.15</v>
      </c>
      <c r="P889" s="355"/>
      <c r="Q889" s="354">
        <v>1229.55</v>
      </c>
      <c r="R889" s="337" t="s">
        <v>128</v>
      </c>
      <c r="S889" s="356" t="s">
        <v>41</v>
      </c>
      <c r="T889" s="356">
        <v>86</v>
      </c>
      <c r="U889" s="357" t="s">
        <v>164</v>
      </c>
      <c r="V889" s="434"/>
      <c r="X889" s="354">
        <v>1229.55</v>
      </c>
      <c r="Y889" s="354"/>
      <c r="AI889" s="337">
        <v>1229.55</v>
      </c>
      <c r="AJ889" s="358"/>
      <c r="AK889" s="369"/>
    </row>
    <row r="890" spans="1:77" s="261" customFormat="1" ht="11.25" customHeight="1">
      <c r="B890" s="258" t="s">
        <v>291</v>
      </c>
      <c r="C890" s="259"/>
      <c r="D890" s="259"/>
      <c r="E890" s="260" t="s">
        <v>945</v>
      </c>
      <c r="F890" s="261" t="s">
        <v>946</v>
      </c>
      <c r="G890" s="262">
        <v>4123</v>
      </c>
      <c r="H890" s="261" t="s">
        <v>99</v>
      </c>
      <c r="I890" s="261" t="s">
        <v>33</v>
      </c>
      <c r="J890" s="263">
        <v>81982.62</v>
      </c>
      <c r="L890" s="263">
        <v>100.4</v>
      </c>
      <c r="M890" s="263">
        <v>100.4</v>
      </c>
      <c r="N890" s="281">
        <v>16396.52</v>
      </c>
      <c r="O890" s="266">
        <v>0.15</v>
      </c>
      <c r="P890" s="266"/>
      <c r="Q890" s="265">
        <v>0</v>
      </c>
      <c r="R890" s="261" t="s">
        <v>128</v>
      </c>
      <c r="S890" s="267" t="s">
        <v>41</v>
      </c>
      <c r="T890" s="267">
        <v>86</v>
      </c>
      <c r="U890" s="268" t="s">
        <v>164</v>
      </c>
      <c r="V890" s="427"/>
      <c r="X890" s="265">
        <v>0</v>
      </c>
      <c r="Y890" s="265"/>
      <c r="AG890" s="261">
        <f>X890</f>
        <v>0</v>
      </c>
      <c r="AJ890" s="642"/>
    </row>
    <row r="891" spans="1:77" s="379" customFormat="1" ht="11.25" customHeight="1">
      <c r="A891" s="473"/>
      <c r="B891" s="473" t="s">
        <v>291</v>
      </c>
      <c r="C891" s="487"/>
      <c r="D891" s="487"/>
      <c r="E891" s="488" t="s">
        <v>947</v>
      </c>
      <c r="F891" s="473" t="s">
        <v>32</v>
      </c>
      <c r="G891" s="489">
        <v>4101</v>
      </c>
      <c r="H891" s="473" t="s">
        <v>27</v>
      </c>
      <c r="I891" s="473" t="s">
        <v>33</v>
      </c>
      <c r="J891" s="490">
        <v>45364.7</v>
      </c>
      <c r="K891" s="473"/>
      <c r="L891" s="490">
        <v>33.44</v>
      </c>
      <c r="M891" s="490">
        <v>33.44</v>
      </c>
      <c r="N891" s="500"/>
      <c r="O891" s="493">
        <v>0.25</v>
      </c>
      <c r="P891" s="493"/>
      <c r="Q891" s="492">
        <v>0</v>
      </c>
      <c r="R891" s="473" t="s">
        <v>35</v>
      </c>
      <c r="S891" s="481" t="s">
        <v>34</v>
      </c>
      <c r="T891" s="481">
        <v>17</v>
      </c>
      <c r="U891" s="494" t="s">
        <v>164</v>
      </c>
      <c r="V891" s="495"/>
      <c r="W891" s="473"/>
      <c r="X891" s="492">
        <v>0</v>
      </c>
      <c r="Y891" s="492"/>
      <c r="Z891" s="473"/>
      <c r="AA891" s="473"/>
      <c r="AB891" s="473"/>
      <c r="AC891" s="473"/>
      <c r="AD891" s="473"/>
      <c r="AE891" s="473"/>
      <c r="AF891" s="473"/>
      <c r="AG891" s="473"/>
      <c r="AH891" s="473"/>
      <c r="AI891" s="473"/>
      <c r="AJ891" s="485"/>
      <c r="AK891" s="473">
        <v>0</v>
      </c>
      <c r="AL891" s="473"/>
      <c r="AM891" s="473"/>
      <c r="AN891" s="473"/>
      <c r="AO891" s="473"/>
      <c r="AP891" s="473"/>
      <c r="AQ891" s="473"/>
      <c r="AR891" s="473"/>
      <c r="AS891" s="473"/>
      <c r="AT891" s="473"/>
      <c r="AU891" s="473"/>
      <c r="AV891" s="473"/>
      <c r="AW891" s="473"/>
      <c r="AX891" s="473"/>
      <c r="AY891" s="473"/>
      <c r="AZ891" s="473"/>
      <c r="BA891" s="473"/>
      <c r="BB891" s="473"/>
      <c r="BC891" s="473"/>
      <c r="BD891" s="473"/>
      <c r="BE891" s="473"/>
      <c r="BF891" s="473"/>
      <c r="BG891" s="473"/>
      <c r="BH891" s="473"/>
      <c r="BI891" s="473"/>
      <c r="BJ891" s="473"/>
      <c r="BK891" s="473"/>
      <c r="BL891" s="473"/>
      <c r="BM891" s="473"/>
      <c r="BN891" s="473"/>
      <c r="BO891" s="473"/>
      <c r="BP891" s="473"/>
      <c r="BQ891" s="473"/>
      <c r="BR891" s="473"/>
      <c r="BS891" s="473"/>
      <c r="BT891" s="473"/>
      <c r="BU891" s="473"/>
      <c r="BV891" s="473"/>
      <c r="BW891" s="473"/>
      <c r="BX891" s="473"/>
      <c r="BY891" s="473"/>
    </row>
    <row r="892" spans="1:77" s="473" customFormat="1" ht="11.25" customHeight="1">
      <c r="A892" s="379"/>
      <c r="B892" s="379" t="s">
        <v>291</v>
      </c>
      <c r="C892" s="381">
        <v>44691</v>
      </c>
      <c r="D892" s="381">
        <v>44691</v>
      </c>
      <c r="E892" s="382" t="s">
        <v>947</v>
      </c>
      <c r="F892" s="379" t="s">
        <v>32</v>
      </c>
      <c r="G892" s="383">
        <v>4101</v>
      </c>
      <c r="H892" s="379" t="s">
        <v>99</v>
      </c>
      <c r="I892" s="379" t="s">
        <v>33</v>
      </c>
      <c r="J892" s="385">
        <v>56607.040000000001</v>
      </c>
      <c r="K892" s="379"/>
      <c r="L892" s="385">
        <v>51.8</v>
      </c>
      <c r="M892" s="385">
        <v>51.8</v>
      </c>
      <c r="N892" s="386">
        <f>0.2*J892</f>
        <v>11321.408000000001</v>
      </c>
      <c r="O892" s="387">
        <v>0.25</v>
      </c>
      <c r="P892" s="387"/>
      <c r="Q892" s="386">
        <v>0</v>
      </c>
      <c r="R892" s="379" t="s">
        <v>35</v>
      </c>
      <c r="S892" s="388" t="s">
        <v>34</v>
      </c>
      <c r="T892" s="388">
        <v>17</v>
      </c>
      <c r="U892" s="389" t="s">
        <v>164</v>
      </c>
      <c r="V892" s="433"/>
      <c r="W892" s="379"/>
      <c r="X892" s="386">
        <v>0</v>
      </c>
      <c r="Y892" s="386"/>
      <c r="Z892" s="379"/>
      <c r="AA892" s="379"/>
      <c r="AB892" s="379"/>
      <c r="AC892" s="379"/>
      <c r="AD892" s="379"/>
      <c r="AE892" s="379"/>
      <c r="AF892" s="379"/>
      <c r="AG892" s="379"/>
      <c r="AH892" s="379"/>
      <c r="AI892" s="379"/>
      <c r="AJ892" s="390">
        <v>0</v>
      </c>
      <c r="AK892" s="379"/>
      <c r="AL892" s="379"/>
      <c r="AM892" s="379"/>
      <c r="AN892" s="379"/>
      <c r="AO892" s="379"/>
      <c r="AP892" s="379"/>
      <c r="AQ892" s="379"/>
      <c r="AR892" s="379"/>
      <c r="AS892" s="379"/>
      <c r="AT892" s="379"/>
      <c r="AU892" s="379"/>
      <c r="AV892" s="379"/>
      <c r="AW892" s="379"/>
      <c r="AX892" s="379"/>
      <c r="AY892" s="379"/>
      <c r="AZ892" s="379"/>
      <c r="BA892" s="379"/>
      <c r="BB892" s="379"/>
      <c r="BC892" s="379"/>
      <c r="BD892" s="379"/>
      <c r="BE892" s="379"/>
      <c r="BF892" s="379"/>
      <c r="BG892" s="379"/>
      <c r="BH892" s="379"/>
      <c r="BI892" s="379"/>
      <c r="BJ892" s="379"/>
      <c r="BK892" s="379"/>
      <c r="BL892" s="379"/>
      <c r="BM892" s="379"/>
      <c r="BN892" s="379"/>
      <c r="BO892" s="379"/>
      <c r="BP892" s="379"/>
      <c r="BQ892" s="379"/>
      <c r="BR892" s="379"/>
      <c r="BS892" s="379"/>
      <c r="BT892" s="379"/>
      <c r="BU892" s="379"/>
      <c r="BV892" s="379"/>
      <c r="BW892" s="379"/>
      <c r="BX892" s="379"/>
      <c r="BY892" s="379"/>
    </row>
    <row r="893" spans="1:77" s="153" customFormat="1" ht="11.25" customHeight="1">
      <c r="B893" s="153" t="s">
        <v>291</v>
      </c>
      <c r="C893" s="155">
        <v>44691</v>
      </c>
      <c r="D893" s="155">
        <v>44691</v>
      </c>
      <c r="E893" s="156" t="s">
        <v>949</v>
      </c>
      <c r="F893" s="153" t="s">
        <v>950</v>
      </c>
      <c r="G893" s="157">
        <v>3600</v>
      </c>
      <c r="H893" s="153" t="s">
        <v>99</v>
      </c>
      <c r="I893" s="153" t="s">
        <v>33</v>
      </c>
      <c r="J893" s="158">
        <v>53960</v>
      </c>
      <c r="L893" s="158">
        <v>50</v>
      </c>
      <c r="M893" s="158">
        <v>59.35</v>
      </c>
      <c r="N893" s="174">
        <v>0</v>
      </c>
      <c r="O893" s="160">
        <v>0.15</v>
      </c>
      <c r="P893" s="160"/>
      <c r="Q893" s="159">
        <v>0</v>
      </c>
      <c r="R893" s="153" t="s">
        <v>128</v>
      </c>
      <c r="S893" s="161" t="s">
        <v>41</v>
      </c>
      <c r="T893" s="161">
        <v>86</v>
      </c>
      <c r="U893" s="162" t="s">
        <v>164</v>
      </c>
      <c r="V893" s="435"/>
      <c r="W893" s="153" t="s">
        <v>1466</v>
      </c>
      <c r="X893" s="159">
        <v>0</v>
      </c>
      <c r="Y893" s="159"/>
      <c r="AD893" s="176">
        <f>X893</f>
        <v>0</v>
      </c>
      <c r="AJ893" s="644"/>
    </row>
    <row r="894" spans="1:77" s="153" customFormat="1" ht="11.25" customHeight="1">
      <c r="B894" s="153" t="s">
        <v>291</v>
      </c>
      <c r="C894" s="155"/>
      <c r="D894" s="155"/>
      <c r="E894" s="156" t="s">
        <v>949</v>
      </c>
      <c r="F894" s="153" t="s">
        <v>950</v>
      </c>
      <c r="G894" s="157">
        <v>3600</v>
      </c>
      <c r="H894" s="153" t="s">
        <v>27</v>
      </c>
      <c r="I894" s="153" t="s">
        <v>33</v>
      </c>
      <c r="J894" s="158">
        <v>25620</v>
      </c>
      <c r="L894" s="158">
        <v>30</v>
      </c>
      <c r="M894" s="158">
        <v>27.6</v>
      </c>
      <c r="N894" s="174">
        <v>0</v>
      </c>
      <c r="O894" s="160">
        <v>0.15</v>
      </c>
      <c r="P894" s="160"/>
      <c r="Q894" s="159">
        <v>0</v>
      </c>
      <c r="R894" s="153" t="s">
        <v>128</v>
      </c>
      <c r="S894" s="161" t="s">
        <v>41</v>
      </c>
      <c r="T894" s="161">
        <v>86</v>
      </c>
      <c r="U894" s="162" t="s">
        <v>164</v>
      </c>
      <c r="V894" s="435"/>
      <c r="W894" s="153" t="s">
        <v>1466</v>
      </c>
      <c r="X894" s="159">
        <v>0</v>
      </c>
      <c r="Y894" s="159"/>
      <c r="AD894" s="176">
        <f>X894</f>
        <v>0</v>
      </c>
      <c r="AJ894" s="644"/>
    </row>
    <row r="895" spans="1:77" s="153" customFormat="1" ht="11.25" customHeight="1">
      <c r="B895" s="153" t="s">
        <v>291</v>
      </c>
      <c r="C895" s="155"/>
      <c r="D895" s="155"/>
      <c r="E895" s="156" t="s">
        <v>949</v>
      </c>
      <c r="F895" s="153" t="s">
        <v>950</v>
      </c>
      <c r="G895" s="157">
        <v>3600</v>
      </c>
      <c r="H895" s="153" t="s">
        <v>183</v>
      </c>
      <c r="I895" s="153" t="s">
        <v>33</v>
      </c>
      <c r="J895" s="158">
        <v>12889.5</v>
      </c>
      <c r="L895" s="158">
        <v>15</v>
      </c>
      <c r="M895" s="158">
        <v>20.03</v>
      </c>
      <c r="N895" s="174">
        <v>0</v>
      </c>
      <c r="O895" s="160">
        <v>0.15</v>
      </c>
      <c r="P895" s="160"/>
      <c r="Q895" s="159">
        <v>0</v>
      </c>
      <c r="R895" s="153" t="s">
        <v>128</v>
      </c>
      <c r="S895" s="161" t="s">
        <v>41</v>
      </c>
      <c r="T895" s="161">
        <v>86</v>
      </c>
      <c r="U895" s="162" t="s">
        <v>164</v>
      </c>
      <c r="V895" s="435"/>
      <c r="W895" s="153" t="s">
        <v>1466</v>
      </c>
      <c r="X895" s="159">
        <v>0</v>
      </c>
      <c r="Y895" s="159"/>
      <c r="AD895" s="176">
        <f>X895</f>
        <v>0</v>
      </c>
      <c r="AJ895" s="644"/>
    </row>
    <row r="896" spans="1:77" s="153" customFormat="1" ht="11.25" customHeight="1">
      <c r="B896" s="153" t="s">
        <v>291</v>
      </c>
      <c r="C896" s="155"/>
      <c r="D896" s="155"/>
      <c r="E896" s="156" t="s">
        <v>949</v>
      </c>
      <c r="F896" s="153" t="s">
        <v>950</v>
      </c>
      <c r="G896" s="157">
        <v>3600</v>
      </c>
      <c r="H896" s="153" t="s">
        <v>442</v>
      </c>
      <c r="I896" s="153" t="s">
        <v>33</v>
      </c>
      <c r="J896" s="158">
        <v>5122</v>
      </c>
      <c r="L896" s="158">
        <v>6.5</v>
      </c>
      <c r="M896" s="158">
        <v>6.34</v>
      </c>
      <c r="N896" s="174">
        <v>0</v>
      </c>
      <c r="O896" s="160">
        <v>0.15</v>
      </c>
      <c r="P896" s="160"/>
      <c r="Q896" s="159">
        <v>0</v>
      </c>
      <c r="R896" s="153" t="s">
        <v>128</v>
      </c>
      <c r="S896" s="161" t="s">
        <v>41</v>
      </c>
      <c r="T896" s="161">
        <v>86</v>
      </c>
      <c r="U896" s="162" t="s">
        <v>164</v>
      </c>
      <c r="V896" s="435"/>
      <c r="W896" s="153" t="s">
        <v>1466</v>
      </c>
      <c r="X896" s="159">
        <v>0</v>
      </c>
      <c r="Y896" s="159"/>
      <c r="AD896" s="176">
        <f>X896</f>
        <v>0</v>
      </c>
      <c r="AJ896" s="644"/>
    </row>
    <row r="897" spans="1:77" s="153" customFormat="1" ht="11.25" customHeight="1">
      <c r="B897" s="153" t="s">
        <v>291</v>
      </c>
      <c r="C897" s="155"/>
      <c r="D897" s="155"/>
      <c r="E897" s="156" t="s">
        <v>949</v>
      </c>
      <c r="F897" s="153" t="s">
        <v>950</v>
      </c>
      <c r="G897" s="157">
        <v>3600</v>
      </c>
      <c r="H897" s="153" t="s">
        <v>162</v>
      </c>
      <c r="I897" s="153" t="s">
        <v>33</v>
      </c>
      <c r="J897" s="158">
        <v>2926</v>
      </c>
      <c r="L897" s="158">
        <v>5</v>
      </c>
      <c r="M897" s="158">
        <v>2.97</v>
      </c>
      <c r="N897" s="174">
        <v>0</v>
      </c>
      <c r="O897" s="160">
        <v>0.15</v>
      </c>
      <c r="P897" s="160"/>
      <c r="Q897" s="159">
        <v>0</v>
      </c>
      <c r="R897" s="153" t="s">
        <v>128</v>
      </c>
      <c r="S897" s="161" t="s">
        <v>41</v>
      </c>
      <c r="T897" s="161">
        <v>86</v>
      </c>
      <c r="U897" s="162" t="s">
        <v>164</v>
      </c>
      <c r="V897" s="435"/>
      <c r="W897" s="153" t="s">
        <v>1466</v>
      </c>
      <c r="X897" s="159">
        <v>0</v>
      </c>
      <c r="Y897" s="159"/>
      <c r="AD897" s="176">
        <f>X897</f>
        <v>0</v>
      </c>
      <c r="AJ897" s="644"/>
    </row>
    <row r="898" spans="1:77" s="205" customFormat="1" ht="11.25" customHeight="1">
      <c r="A898" s="379"/>
      <c r="B898" s="379" t="s">
        <v>291</v>
      </c>
      <c r="C898" s="381"/>
      <c r="D898" s="381"/>
      <c r="E898" s="382" t="s">
        <v>951</v>
      </c>
      <c r="F898" s="379" t="s">
        <v>952</v>
      </c>
      <c r="G898" s="383">
        <v>4620</v>
      </c>
      <c r="H898" s="379" t="s">
        <v>765</v>
      </c>
      <c r="I898" s="379" t="s">
        <v>33</v>
      </c>
      <c r="J898" s="385">
        <v>11014.97</v>
      </c>
      <c r="K898" s="379"/>
      <c r="L898" s="385">
        <v>9.91</v>
      </c>
      <c r="M898" s="385">
        <v>9.91</v>
      </c>
      <c r="N898" s="407">
        <v>0</v>
      </c>
      <c r="O898" s="387">
        <v>0.25</v>
      </c>
      <c r="P898" s="387"/>
      <c r="Q898" s="386">
        <v>55.74</v>
      </c>
      <c r="R898" s="379" t="s">
        <v>128</v>
      </c>
      <c r="S898" s="388" t="s">
        <v>41</v>
      </c>
      <c r="T898" s="388">
        <v>86</v>
      </c>
      <c r="U898" s="389" t="s">
        <v>164</v>
      </c>
      <c r="V898" s="433"/>
      <c r="W898" s="379"/>
      <c r="X898" s="386">
        <v>55.74</v>
      </c>
      <c r="Y898" s="386"/>
      <c r="Z898" s="379"/>
      <c r="AA898" s="379"/>
      <c r="AB898" s="379"/>
      <c r="AC898" s="379"/>
      <c r="AD898" s="379"/>
      <c r="AE898" s="379"/>
      <c r="AF898" s="379"/>
      <c r="AG898" s="379"/>
      <c r="AH898" s="379"/>
      <c r="AI898" s="379"/>
      <c r="AJ898" s="416">
        <v>55.74</v>
      </c>
      <c r="AK898" s="379"/>
      <c r="AL898" s="379"/>
      <c r="AM898" s="379"/>
      <c r="AN898" s="379"/>
      <c r="AO898" s="379"/>
      <c r="AP898" s="379"/>
      <c r="AQ898" s="379"/>
      <c r="AR898" s="379"/>
      <c r="AS898" s="379"/>
      <c r="AT898" s="379"/>
      <c r="AU898" s="379"/>
      <c r="AV898" s="379"/>
      <c r="AW898" s="379"/>
      <c r="AX898" s="379"/>
      <c r="AY898" s="379"/>
      <c r="AZ898" s="379"/>
      <c r="BA898" s="379"/>
      <c r="BB898" s="379"/>
      <c r="BC898" s="379"/>
      <c r="BD898" s="379"/>
      <c r="BE898" s="379"/>
      <c r="BF898" s="379"/>
      <c r="BG898" s="379"/>
      <c r="BH898" s="379"/>
      <c r="BI898" s="379"/>
      <c r="BJ898" s="379"/>
      <c r="BK898" s="379"/>
      <c r="BL898" s="379"/>
      <c r="BM898" s="379"/>
      <c r="BN898" s="379"/>
      <c r="BO898" s="379"/>
      <c r="BP898" s="379"/>
      <c r="BQ898" s="379"/>
      <c r="BR898" s="379"/>
      <c r="BS898" s="379"/>
      <c r="BT898" s="379"/>
      <c r="BU898" s="379"/>
      <c r="BV898" s="379"/>
      <c r="BW898" s="379"/>
      <c r="BX898" s="379"/>
      <c r="BY898" s="379"/>
    </row>
    <row r="899" spans="1:77" s="205" customFormat="1" ht="11.25" customHeight="1">
      <c r="B899" s="205" t="s">
        <v>291</v>
      </c>
      <c r="C899" s="207">
        <v>44683</v>
      </c>
      <c r="D899" s="207">
        <v>44690</v>
      </c>
      <c r="E899" s="208" t="s">
        <v>951</v>
      </c>
      <c r="F899" s="205" t="s">
        <v>952</v>
      </c>
      <c r="G899" s="209">
        <v>4620</v>
      </c>
      <c r="H899" s="205" t="s">
        <v>99</v>
      </c>
      <c r="I899" s="205" t="s">
        <v>33</v>
      </c>
      <c r="J899" s="210">
        <v>24409.79</v>
      </c>
      <c r="L899" s="210">
        <v>20.66</v>
      </c>
      <c r="M899" s="210">
        <v>20.66</v>
      </c>
      <c r="N899" s="211">
        <v>4881.96</v>
      </c>
      <c r="O899" s="212">
        <v>0.25</v>
      </c>
      <c r="P899" s="212"/>
      <c r="Q899" s="213">
        <v>0</v>
      </c>
      <c r="R899" s="205" t="s">
        <v>128</v>
      </c>
      <c r="S899" s="214" t="s">
        <v>41</v>
      </c>
      <c r="T899" s="214">
        <v>86</v>
      </c>
      <c r="U899" s="215" t="s">
        <v>164</v>
      </c>
      <c r="V899" s="438"/>
      <c r="X899" s="213">
        <v>0</v>
      </c>
      <c r="Y899" s="213"/>
      <c r="AF899" s="230">
        <f>X899</f>
        <v>0</v>
      </c>
      <c r="AJ899" s="216"/>
    </row>
    <row r="900" spans="1:77" s="205" customFormat="1" ht="11.25" customHeight="1">
      <c r="B900" s="205" t="s">
        <v>291</v>
      </c>
      <c r="C900" s="207"/>
      <c r="D900" s="207"/>
      <c r="E900" s="208" t="s">
        <v>951</v>
      </c>
      <c r="F900" s="205" t="s">
        <v>952</v>
      </c>
      <c r="G900" s="209">
        <v>4620</v>
      </c>
      <c r="H900" s="205" t="s">
        <v>27</v>
      </c>
      <c r="I900" s="205" t="s">
        <v>33</v>
      </c>
      <c r="J900" s="210">
        <v>15537.6</v>
      </c>
      <c r="L900" s="210">
        <v>13.28</v>
      </c>
      <c r="M900" s="210">
        <v>13.28</v>
      </c>
      <c r="N900" s="211">
        <v>3107.52</v>
      </c>
      <c r="O900" s="212">
        <v>0.25</v>
      </c>
      <c r="P900" s="212"/>
      <c r="Q900" s="213">
        <v>0</v>
      </c>
      <c r="R900" s="205" t="s">
        <v>128</v>
      </c>
      <c r="S900" s="214" t="s">
        <v>41</v>
      </c>
      <c r="T900" s="214">
        <v>86</v>
      </c>
      <c r="U900" s="215" t="s">
        <v>164</v>
      </c>
      <c r="V900" s="438"/>
      <c r="X900" s="213">
        <v>0</v>
      </c>
      <c r="Y900" s="213"/>
      <c r="AF900" s="230">
        <f>X900</f>
        <v>0</v>
      </c>
      <c r="AJ900" s="216"/>
    </row>
    <row r="901" spans="1:77" s="6" customFormat="1" ht="11.25" customHeight="1">
      <c r="A901" s="473"/>
      <c r="B901" s="473" t="s">
        <v>291</v>
      </c>
      <c r="C901" s="487">
        <v>44691</v>
      </c>
      <c r="D901" s="487">
        <v>44691</v>
      </c>
      <c r="E901" s="488" t="s">
        <v>953</v>
      </c>
      <c r="F901" s="473" t="s">
        <v>954</v>
      </c>
      <c r="G901" s="489">
        <v>3864</v>
      </c>
      <c r="H901" s="473" t="s">
        <v>295</v>
      </c>
      <c r="I901" s="473" t="s">
        <v>33</v>
      </c>
      <c r="J901" s="490">
        <v>4654.07</v>
      </c>
      <c r="K901" s="473"/>
      <c r="L901" s="490">
        <v>8.24</v>
      </c>
      <c r="M901" s="490">
        <v>8.23</v>
      </c>
      <c r="N901" s="500"/>
      <c r="O901" s="493">
        <v>0.15</v>
      </c>
      <c r="P901" s="493"/>
      <c r="Q901" s="492">
        <v>474.67</v>
      </c>
      <c r="R901" s="473" t="s">
        <v>128</v>
      </c>
      <c r="S901" s="481" t="s">
        <v>41</v>
      </c>
      <c r="T901" s="481">
        <v>79</v>
      </c>
      <c r="U901" s="494" t="s">
        <v>164</v>
      </c>
      <c r="V901" s="495"/>
      <c r="W901" s="473"/>
      <c r="X901" s="492">
        <v>474.67</v>
      </c>
      <c r="Y901" s="492"/>
      <c r="Z901" s="473"/>
      <c r="AA901" s="473"/>
      <c r="AB901" s="473"/>
      <c r="AC901" s="473"/>
      <c r="AD901" s="473"/>
      <c r="AE901" s="473"/>
      <c r="AF901" s="473"/>
      <c r="AG901" s="473"/>
      <c r="AH901" s="473"/>
      <c r="AI901" s="473"/>
      <c r="AJ901" s="485"/>
      <c r="AK901" s="505">
        <v>474.67</v>
      </c>
      <c r="AL901" s="473"/>
      <c r="AM901" s="473"/>
      <c r="AN901" s="473"/>
      <c r="AO901" s="473"/>
      <c r="AP901" s="473"/>
      <c r="AQ901" s="473"/>
      <c r="AR901" s="473"/>
      <c r="AS901" s="473"/>
      <c r="AT901" s="473"/>
      <c r="AU901" s="473"/>
      <c r="AV901" s="473"/>
      <c r="AW901" s="473"/>
      <c r="AX901" s="473"/>
      <c r="AY901" s="473"/>
      <c r="AZ901" s="473"/>
      <c r="BA901" s="473"/>
      <c r="BB901" s="473"/>
      <c r="BC901" s="473"/>
      <c r="BD901" s="473"/>
      <c r="BE901" s="473"/>
      <c r="BF901" s="473"/>
      <c r="BG901" s="473"/>
      <c r="BH901" s="473"/>
      <c r="BI901" s="473"/>
      <c r="BJ901" s="473"/>
      <c r="BK901" s="473"/>
      <c r="BL901" s="473"/>
      <c r="BM901" s="473"/>
      <c r="BN901" s="473"/>
      <c r="BO901" s="473"/>
      <c r="BP901" s="473"/>
      <c r="BQ901" s="473"/>
      <c r="BR901" s="473"/>
      <c r="BS901" s="473"/>
      <c r="BT901" s="473"/>
      <c r="BU901" s="473"/>
      <c r="BV901" s="473"/>
      <c r="BW901" s="473"/>
      <c r="BX901" s="473"/>
      <c r="BY901" s="473"/>
    </row>
    <row r="902" spans="1:77" s="291" customFormat="1" ht="11.25" customHeight="1">
      <c r="A902" s="473"/>
      <c r="B902" s="473" t="s">
        <v>291</v>
      </c>
      <c r="C902" s="487"/>
      <c r="D902" s="487"/>
      <c r="E902" s="488" t="s">
        <v>953</v>
      </c>
      <c r="F902" s="473" t="s">
        <v>954</v>
      </c>
      <c r="G902" s="489">
        <v>3864</v>
      </c>
      <c r="H902" s="473" t="s">
        <v>163</v>
      </c>
      <c r="I902" s="473" t="s">
        <v>33</v>
      </c>
      <c r="J902" s="490">
        <v>7130.45</v>
      </c>
      <c r="K902" s="473"/>
      <c r="L902" s="490">
        <v>8.6999999999999993</v>
      </c>
      <c r="M902" s="490">
        <v>8.7899999999999991</v>
      </c>
      <c r="N902" s="500"/>
      <c r="O902" s="493">
        <v>0.15</v>
      </c>
      <c r="P902" s="493"/>
      <c r="Q902" s="492">
        <v>224.99</v>
      </c>
      <c r="R902" s="473" t="s">
        <v>128</v>
      </c>
      <c r="S902" s="481" t="s">
        <v>41</v>
      </c>
      <c r="T902" s="481">
        <v>79</v>
      </c>
      <c r="U902" s="494" t="s">
        <v>164</v>
      </c>
      <c r="V902" s="495"/>
      <c r="W902" s="473"/>
      <c r="X902" s="492">
        <v>224.99</v>
      </c>
      <c r="Y902" s="492"/>
      <c r="Z902" s="473"/>
      <c r="AA902" s="473"/>
      <c r="AB902" s="473"/>
      <c r="AC902" s="473"/>
      <c r="AD902" s="473"/>
      <c r="AE902" s="473"/>
      <c r="AF902" s="473"/>
      <c r="AG902" s="473"/>
      <c r="AH902" s="473"/>
      <c r="AI902" s="473"/>
      <c r="AJ902" s="485"/>
      <c r="AK902" s="505">
        <v>224.99</v>
      </c>
      <c r="AL902" s="473"/>
      <c r="AM902" s="473"/>
      <c r="AN902" s="473"/>
      <c r="AO902" s="473"/>
      <c r="AP902" s="473"/>
      <c r="AQ902" s="473"/>
      <c r="AR902" s="473"/>
      <c r="AS902" s="473"/>
      <c r="AT902" s="473"/>
      <c r="AU902" s="473"/>
      <c r="AV902" s="473"/>
      <c r="AW902" s="473"/>
      <c r="AX902" s="473"/>
      <c r="AY902" s="473"/>
      <c r="AZ902" s="473"/>
      <c r="BA902" s="473"/>
      <c r="BB902" s="473"/>
      <c r="BC902" s="473"/>
      <c r="BD902" s="473"/>
      <c r="BE902" s="473"/>
      <c r="BF902" s="473"/>
      <c r="BG902" s="473"/>
      <c r="BH902" s="473"/>
      <c r="BI902" s="473"/>
      <c r="BJ902" s="473"/>
      <c r="BK902" s="473"/>
      <c r="BL902" s="473"/>
      <c r="BM902" s="473"/>
      <c r="BN902" s="473"/>
      <c r="BO902" s="473"/>
      <c r="BP902" s="473"/>
      <c r="BQ902" s="473"/>
      <c r="BR902" s="473"/>
      <c r="BS902" s="473"/>
      <c r="BT902" s="473"/>
      <c r="BU902" s="473"/>
      <c r="BV902" s="473"/>
      <c r="BW902" s="473"/>
      <c r="BX902" s="473"/>
      <c r="BY902" s="473"/>
    </row>
    <row r="903" spans="1:77" s="291" customFormat="1" ht="11.25" customHeight="1">
      <c r="B903" s="291" t="s">
        <v>291</v>
      </c>
      <c r="C903" s="292"/>
      <c r="D903" s="292"/>
      <c r="E903" s="293" t="s">
        <v>953</v>
      </c>
      <c r="F903" s="291" t="s">
        <v>954</v>
      </c>
      <c r="G903" s="294">
        <v>3864</v>
      </c>
      <c r="H903" s="291" t="s">
        <v>99</v>
      </c>
      <c r="I903" s="291" t="s">
        <v>33</v>
      </c>
      <c r="J903" s="296">
        <v>12502.68</v>
      </c>
      <c r="L903" s="296">
        <v>11.66</v>
      </c>
      <c r="M903" s="296">
        <v>11.77</v>
      </c>
      <c r="N903" s="312"/>
      <c r="O903" s="298">
        <v>0.15</v>
      </c>
      <c r="P903" s="298"/>
      <c r="Q903" s="297">
        <v>843.47</v>
      </c>
      <c r="R903" s="291" t="s">
        <v>128</v>
      </c>
      <c r="S903" s="299" t="s">
        <v>41</v>
      </c>
      <c r="T903" s="299">
        <v>79</v>
      </c>
      <c r="U903" s="300" t="s">
        <v>164</v>
      </c>
      <c r="V903" s="333"/>
      <c r="X903" s="297">
        <v>843.47</v>
      </c>
      <c r="Y903" s="297"/>
      <c r="AH903" s="297">
        <f>X903</f>
        <v>843.47</v>
      </c>
      <c r="AI903" s="311"/>
      <c r="AJ903" s="468"/>
    </row>
    <row r="904" spans="1:77" s="291" customFormat="1" ht="11.25" customHeight="1">
      <c r="B904" s="291" t="s">
        <v>291</v>
      </c>
      <c r="C904" s="292"/>
      <c r="D904" s="292"/>
      <c r="E904" s="293" t="s">
        <v>953</v>
      </c>
      <c r="F904" s="291" t="s">
        <v>954</v>
      </c>
      <c r="G904" s="294">
        <v>3864</v>
      </c>
      <c r="H904" s="291" t="s">
        <v>183</v>
      </c>
      <c r="I904" s="291" t="s">
        <v>33</v>
      </c>
      <c r="J904" s="296">
        <v>13397.06</v>
      </c>
      <c r="L904" s="296">
        <v>14.07</v>
      </c>
      <c r="M904" s="296">
        <v>14.12</v>
      </c>
      <c r="N904" s="312"/>
      <c r="O904" s="298">
        <v>0.15</v>
      </c>
      <c r="P904" s="298"/>
      <c r="Q904" s="297">
        <v>543.29999999999995</v>
      </c>
      <c r="R904" s="291" t="s">
        <v>128</v>
      </c>
      <c r="S904" s="299" t="s">
        <v>41</v>
      </c>
      <c r="T904" s="299">
        <v>79</v>
      </c>
      <c r="U904" s="300" t="s">
        <v>164</v>
      </c>
      <c r="V904" s="333"/>
      <c r="X904" s="297">
        <v>543.29999999999995</v>
      </c>
      <c r="Y904" s="297"/>
      <c r="AH904" s="297">
        <f>X904</f>
        <v>543.29999999999995</v>
      </c>
      <c r="AI904" s="311"/>
      <c r="AJ904" s="468"/>
    </row>
    <row r="905" spans="1:77" s="291" customFormat="1" ht="11.25" customHeight="1">
      <c r="B905" s="291" t="s">
        <v>291</v>
      </c>
      <c r="C905" s="292"/>
      <c r="D905" s="292"/>
      <c r="E905" s="293" t="s">
        <v>953</v>
      </c>
      <c r="F905" s="291" t="s">
        <v>954</v>
      </c>
      <c r="G905" s="294">
        <v>3864</v>
      </c>
      <c r="H905" s="291" t="s">
        <v>310</v>
      </c>
      <c r="I905" s="291" t="s">
        <v>33</v>
      </c>
      <c r="J905" s="296">
        <v>10303.200000000001</v>
      </c>
      <c r="L905" s="296">
        <v>14.25</v>
      </c>
      <c r="M905" s="296">
        <v>14.31</v>
      </c>
      <c r="N905" s="312"/>
      <c r="O905" s="298">
        <v>0.15</v>
      </c>
      <c r="P905" s="298"/>
      <c r="Q905" s="297">
        <v>4121.28</v>
      </c>
      <c r="R905" s="291" t="s">
        <v>128</v>
      </c>
      <c r="S905" s="299" t="s">
        <v>41</v>
      </c>
      <c r="T905" s="299">
        <v>79</v>
      </c>
      <c r="U905" s="300" t="s">
        <v>164</v>
      </c>
      <c r="V905" s="333"/>
      <c r="X905" s="297">
        <v>4121.28</v>
      </c>
      <c r="Y905" s="297"/>
      <c r="AH905" s="297">
        <f>X905</f>
        <v>4121.28</v>
      </c>
      <c r="AI905" s="311"/>
      <c r="AJ905" s="468"/>
    </row>
    <row r="906" spans="1:77" s="261" customFormat="1" ht="11.25" customHeight="1">
      <c r="B906" s="261" t="s">
        <v>291</v>
      </c>
      <c r="C906" s="259">
        <v>44691</v>
      </c>
      <c r="D906" s="259">
        <v>44691</v>
      </c>
      <c r="E906" s="260" t="s">
        <v>955</v>
      </c>
      <c r="F906" s="261" t="s">
        <v>956</v>
      </c>
      <c r="G906" s="262">
        <v>3646</v>
      </c>
      <c r="H906" s="261" t="s">
        <v>99</v>
      </c>
      <c r="I906" s="261" t="s">
        <v>33</v>
      </c>
      <c r="J906" s="263">
        <v>27839.040000000001</v>
      </c>
      <c r="L906" s="263">
        <v>24.68</v>
      </c>
      <c r="M906" s="263">
        <v>24.68</v>
      </c>
      <c r="N906" s="281"/>
      <c r="O906" s="266">
        <v>0.3</v>
      </c>
      <c r="P906" s="266"/>
      <c r="Q906" s="265">
        <v>0</v>
      </c>
      <c r="R906" s="261" t="s">
        <v>42</v>
      </c>
      <c r="S906" s="267" t="s">
        <v>41</v>
      </c>
      <c r="T906" s="267">
        <v>17</v>
      </c>
      <c r="U906" s="268" t="s">
        <v>164</v>
      </c>
      <c r="V906" s="427"/>
      <c r="X906" s="265">
        <v>0</v>
      </c>
      <c r="Y906" s="265"/>
      <c r="AG906" s="261">
        <f>X906</f>
        <v>0</v>
      </c>
      <c r="AJ906" s="642"/>
    </row>
    <row r="907" spans="1:77" s="261" customFormat="1" ht="11.25" customHeight="1">
      <c r="B907" s="261" t="s">
        <v>291</v>
      </c>
      <c r="C907" s="259"/>
      <c r="D907" s="259"/>
      <c r="E907" s="260" t="s">
        <v>955</v>
      </c>
      <c r="F907" s="261" t="s">
        <v>956</v>
      </c>
      <c r="G907" s="262">
        <v>3646</v>
      </c>
      <c r="H907" s="261" t="s">
        <v>140</v>
      </c>
      <c r="I907" s="261" t="s">
        <v>33</v>
      </c>
      <c r="J907" s="263">
        <v>9182.7999999999993</v>
      </c>
      <c r="L907" s="263">
        <v>11.27</v>
      </c>
      <c r="M907" s="263">
        <v>11.27</v>
      </c>
      <c r="N907" s="281"/>
      <c r="O907" s="266">
        <v>0.3</v>
      </c>
      <c r="P907" s="266"/>
      <c r="Q907" s="265">
        <v>0</v>
      </c>
      <c r="R907" s="261" t="s">
        <v>42</v>
      </c>
      <c r="S907" s="267" t="s">
        <v>41</v>
      </c>
      <c r="T907" s="267">
        <v>17</v>
      </c>
      <c r="U907" s="268" t="s">
        <v>164</v>
      </c>
      <c r="V907" s="427"/>
      <c r="X907" s="265">
        <v>0</v>
      </c>
      <c r="Y907" s="265"/>
      <c r="AG907" s="261">
        <f>X907</f>
        <v>0</v>
      </c>
      <c r="AJ907" s="642"/>
    </row>
    <row r="908" spans="1:77" s="261" customFormat="1" ht="11.25" customHeight="1">
      <c r="B908" s="261" t="s">
        <v>291</v>
      </c>
      <c r="C908" s="259"/>
      <c r="D908" s="259"/>
      <c r="E908" s="260" t="s">
        <v>955</v>
      </c>
      <c r="F908" s="261" t="s">
        <v>956</v>
      </c>
      <c r="G908" s="262">
        <v>3646</v>
      </c>
      <c r="H908" s="261" t="s">
        <v>27</v>
      </c>
      <c r="I908" s="261" t="s">
        <v>33</v>
      </c>
      <c r="J908" s="263">
        <v>17614.8</v>
      </c>
      <c r="L908" s="263">
        <v>13.98</v>
      </c>
      <c r="M908" s="263">
        <v>13.98</v>
      </c>
      <c r="N908" s="281">
        <f>7807.59</f>
        <v>7807.59</v>
      </c>
      <c r="O908" s="266">
        <v>0.3</v>
      </c>
      <c r="P908" s="266"/>
      <c r="Q908" s="265">
        <v>0</v>
      </c>
      <c r="R908" s="261" t="s">
        <v>42</v>
      </c>
      <c r="S908" s="267" t="s">
        <v>41</v>
      </c>
      <c r="T908" s="267">
        <v>17</v>
      </c>
      <c r="U908" s="268" t="s">
        <v>164</v>
      </c>
      <c r="V908" s="427"/>
      <c r="X908" s="265">
        <v>0</v>
      </c>
      <c r="Y908" s="265"/>
      <c r="AG908" s="261">
        <f>X908</f>
        <v>0</v>
      </c>
      <c r="AJ908" s="642"/>
    </row>
    <row r="909" spans="1:77" s="261" customFormat="1" ht="11.25" customHeight="1">
      <c r="B909" s="261" t="s">
        <v>291</v>
      </c>
      <c r="C909" s="259"/>
      <c r="D909" s="259"/>
      <c r="E909" s="260" t="s">
        <v>955</v>
      </c>
      <c r="F909" s="261" t="s">
        <v>956</v>
      </c>
      <c r="G909" s="262">
        <v>3646</v>
      </c>
      <c r="H909" s="261" t="s">
        <v>137</v>
      </c>
      <c r="I909" s="261" t="s">
        <v>33</v>
      </c>
      <c r="J909" s="263">
        <v>14819.2</v>
      </c>
      <c r="L909" s="263">
        <v>16.84</v>
      </c>
      <c r="M909" s="263">
        <v>16.84</v>
      </c>
      <c r="N909" s="281"/>
      <c r="O909" s="266">
        <v>0.3</v>
      </c>
      <c r="P909" s="266"/>
      <c r="Q909" s="265">
        <v>0</v>
      </c>
      <c r="R909" s="261" t="s">
        <v>42</v>
      </c>
      <c r="S909" s="267" t="s">
        <v>41</v>
      </c>
      <c r="T909" s="267">
        <v>17</v>
      </c>
      <c r="U909" s="268" t="s">
        <v>164</v>
      </c>
      <c r="V909" s="427"/>
      <c r="X909" s="265">
        <v>0</v>
      </c>
      <c r="Y909" s="265"/>
      <c r="AG909" s="261">
        <f>X909</f>
        <v>0</v>
      </c>
      <c r="AJ909" s="642"/>
    </row>
    <row r="910" spans="1:77" s="261" customFormat="1" ht="11.25" customHeight="1">
      <c r="B910" s="261" t="s">
        <v>291</v>
      </c>
      <c r="C910" s="259">
        <v>44691</v>
      </c>
      <c r="D910" s="259">
        <v>44691</v>
      </c>
      <c r="E910" s="260" t="s">
        <v>957</v>
      </c>
      <c r="F910" s="261" t="s">
        <v>3823</v>
      </c>
      <c r="G910" s="262">
        <v>4000</v>
      </c>
      <c r="H910" s="261" t="s">
        <v>99</v>
      </c>
      <c r="I910" s="261" t="s">
        <v>958</v>
      </c>
      <c r="J910" s="263">
        <v>86227.39</v>
      </c>
      <c r="L910" s="263">
        <v>78.739999999999995</v>
      </c>
      <c r="M910" s="263">
        <v>56.37</v>
      </c>
      <c r="N910" s="281"/>
      <c r="O910" s="266">
        <v>0.15</v>
      </c>
      <c r="P910" s="266"/>
      <c r="Q910" s="265">
        <v>0</v>
      </c>
      <c r="R910" s="261" t="s">
        <v>128</v>
      </c>
      <c r="S910" s="267" t="s">
        <v>41</v>
      </c>
      <c r="T910" s="267">
        <v>86</v>
      </c>
      <c r="U910" s="268" t="s">
        <v>164</v>
      </c>
      <c r="V910" s="427"/>
      <c r="X910" s="265">
        <v>0</v>
      </c>
      <c r="Y910" s="265"/>
      <c r="AG910" s="261">
        <f>X910</f>
        <v>0</v>
      </c>
      <c r="AJ910" s="642"/>
    </row>
    <row r="911" spans="1:77" s="291" customFormat="1" ht="11.25" customHeight="1">
      <c r="B911" s="291" t="s">
        <v>291</v>
      </c>
      <c r="C911" s="292"/>
      <c r="D911" s="292"/>
      <c r="E911" s="293" t="s">
        <v>957</v>
      </c>
      <c r="F911" s="291" t="s">
        <v>3823</v>
      </c>
      <c r="G911" s="294">
        <v>4000</v>
      </c>
      <c r="H911" s="291" t="s">
        <v>163</v>
      </c>
      <c r="I911" s="291" t="s">
        <v>958</v>
      </c>
      <c r="J911" s="296">
        <v>19622.740000000002</v>
      </c>
      <c r="L911" s="296">
        <v>24.72</v>
      </c>
      <c r="M911" s="296">
        <v>24.72</v>
      </c>
      <c r="N911" s="312"/>
      <c r="O911" s="298">
        <v>0.15</v>
      </c>
      <c r="P911" s="298"/>
      <c r="Q911" s="297">
        <v>3377.29</v>
      </c>
      <c r="R911" s="291" t="s">
        <v>128</v>
      </c>
      <c r="S911" s="299" t="s">
        <v>41</v>
      </c>
      <c r="T911" s="299">
        <v>86</v>
      </c>
      <c r="U911" s="309" t="s">
        <v>164</v>
      </c>
      <c r="V911" s="333"/>
      <c r="X911" s="297">
        <v>3377.29</v>
      </c>
      <c r="Y911" s="297"/>
      <c r="AH911" s="291">
        <f>X911</f>
        <v>3377.29</v>
      </c>
      <c r="AI911" s="311"/>
      <c r="AJ911" s="468"/>
    </row>
    <row r="912" spans="1:77" s="261" customFormat="1" ht="11.25" customHeight="1">
      <c r="B912" s="261" t="s">
        <v>291</v>
      </c>
      <c r="C912" s="259">
        <v>44692</v>
      </c>
      <c r="D912" s="259">
        <v>44692</v>
      </c>
      <c r="E912" s="260" t="s">
        <v>959</v>
      </c>
      <c r="F912" s="261" t="s">
        <v>960</v>
      </c>
      <c r="G912" s="262">
        <v>3638</v>
      </c>
      <c r="H912" s="261" t="s">
        <v>99</v>
      </c>
      <c r="I912" s="261" t="s">
        <v>961</v>
      </c>
      <c r="J912" s="263">
        <v>87282</v>
      </c>
      <c r="L912" s="263">
        <v>89.52</v>
      </c>
      <c r="M912" s="263">
        <v>89.52</v>
      </c>
      <c r="N912" s="281"/>
      <c r="O912" s="266">
        <v>0.15</v>
      </c>
      <c r="P912" s="266"/>
      <c r="Q912" s="265">
        <v>7920.66</v>
      </c>
      <c r="R912" s="261" t="s">
        <v>42</v>
      </c>
      <c r="S912" s="267" t="s">
        <v>41</v>
      </c>
      <c r="T912" s="267">
        <v>17</v>
      </c>
      <c r="U912" s="268" t="s">
        <v>164</v>
      </c>
      <c r="V912" s="427"/>
      <c r="X912" s="265">
        <v>7920.66</v>
      </c>
      <c r="Y912" s="265"/>
      <c r="AG912" s="261">
        <f>X912</f>
        <v>7920.66</v>
      </c>
      <c r="AJ912" s="642"/>
    </row>
    <row r="913" spans="1:77" s="261" customFormat="1" ht="11.25" customHeight="1">
      <c r="B913" s="261" t="s">
        <v>291</v>
      </c>
      <c r="C913" s="259"/>
      <c r="D913" s="259"/>
      <c r="E913" s="260" t="s">
        <v>959</v>
      </c>
      <c r="F913" s="261" t="s">
        <v>960</v>
      </c>
      <c r="G913" s="262">
        <v>3638</v>
      </c>
      <c r="H913" s="261" t="s">
        <v>27</v>
      </c>
      <c r="I913" s="261" t="s">
        <v>961</v>
      </c>
      <c r="J913" s="263">
        <v>17337.599999999999</v>
      </c>
      <c r="L913" s="263">
        <v>20.64</v>
      </c>
      <c r="M913" s="263">
        <v>20.64</v>
      </c>
      <c r="N913" s="281"/>
      <c r="O913" s="266">
        <v>0.15</v>
      </c>
      <c r="P913" s="266"/>
      <c r="Q913" s="265">
        <v>1582.63</v>
      </c>
      <c r="R913" s="261" t="s">
        <v>42</v>
      </c>
      <c r="S913" s="267" t="s">
        <v>41</v>
      </c>
      <c r="T913" s="267">
        <v>17</v>
      </c>
      <c r="U913" s="268" t="s">
        <v>164</v>
      </c>
      <c r="V913" s="427"/>
      <c r="X913" s="265">
        <v>1582.63</v>
      </c>
      <c r="Y913" s="265"/>
      <c r="AG913" s="261">
        <f>X913</f>
        <v>1582.63</v>
      </c>
      <c r="AJ913" s="642"/>
    </row>
    <row r="914" spans="1:77" s="291" customFormat="1" ht="11.25" customHeight="1">
      <c r="A914" s="291" t="s">
        <v>3893</v>
      </c>
      <c r="B914" s="291" t="s">
        <v>291</v>
      </c>
      <c r="C914" s="292">
        <v>44692</v>
      </c>
      <c r="D914" s="292">
        <v>44692</v>
      </c>
      <c r="E914" s="293" t="s">
        <v>962</v>
      </c>
      <c r="F914" s="291" t="s">
        <v>963</v>
      </c>
      <c r="G914" s="294">
        <v>4131</v>
      </c>
      <c r="H914" s="291" t="s">
        <v>99</v>
      </c>
      <c r="I914" s="291" t="s">
        <v>33</v>
      </c>
      <c r="J914" s="296">
        <v>104566.15</v>
      </c>
      <c r="L914" s="296">
        <v>94.63</v>
      </c>
      <c r="M914" s="296">
        <v>94.63</v>
      </c>
      <c r="N914" s="312">
        <v>29278</v>
      </c>
      <c r="O914" s="298">
        <v>0.2</v>
      </c>
      <c r="P914" s="298"/>
      <c r="Q914" s="297">
        <v>0</v>
      </c>
      <c r="R914" s="291" t="s">
        <v>229</v>
      </c>
      <c r="S914" s="299" t="s">
        <v>228</v>
      </c>
      <c r="T914" s="299">
        <v>36</v>
      </c>
      <c r="U914" s="300" t="s">
        <v>164</v>
      </c>
      <c r="V914" s="333"/>
      <c r="W914" s="291" t="s">
        <v>3922</v>
      </c>
      <c r="X914" s="297">
        <v>0</v>
      </c>
      <c r="Y914" s="297"/>
      <c r="AH914" s="311">
        <f t="shared" ref="AH914:AH919" si="15">X914</f>
        <v>0</v>
      </c>
      <c r="AI914" s="311"/>
      <c r="AJ914" s="468"/>
    </row>
    <row r="915" spans="1:77" s="291" customFormat="1" ht="11.25" customHeight="1">
      <c r="A915" s="291" t="s">
        <v>3893</v>
      </c>
      <c r="B915" s="291" t="s">
        <v>291</v>
      </c>
      <c r="C915" s="292"/>
      <c r="D915" s="292"/>
      <c r="E915" s="293" t="s">
        <v>962</v>
      </c>
      <c r="F915" s="291" t="s">
        <v>963</v>
      </c>
      <c r="G915" s="294">
        <v>4131</v>
      </c>
      <c r="H915" s="291" t="s">
        <v>27</v>
      </c>
      <c r="I915" s="291" t="s">
        <v>33</v>
      </c>
      <c r="J915" s="296">
        <v>100175.4</v>
      </c>
      <c r="L915" s="296">
        <v>71.349999999999994</v>
      </c>
      <c r="M915" s="296">
        <v>71.349999999999994</v>
      </c>
      <c r="N915" s="312">
        <v>11019</v>
      </c>
      <c r="O915" s="298">
        <v>0.2</v>
      </c>
      <c r="P915" s="298"/>
      <c r="Q915" s="297">
        <v>0</v>
      </c>
      <c r="R915" s="291" t="s">
        <v>229</v>
      </c>
      <c r="S915" s="299" t="s">
        <v>228</v>
      </c>
      <c r="T915" s="299">
        <v>36</v>
      </c>
      <c r="U915" s="300" t="s">
        <v>164</v>
      </c>
      <c r="V915" s="333"/>
      <c r="W915" s="291" t="s">
        <v>3922</v>
      </c>
      <c r="X915" s="297">
        <v>0</v>
      </c>
      <c r="Y915" s="297"/>
      <c r="AH915" s="311">
        <f t="shared" si="15"/>
        <v>0</v>
      </c>
      <c r="AI915" s="311"/>
      <c r="AJ915" s="468"/>
    </row>
    <row r="916" spans="1:77" s="291" customFormat="1" ht="11.25" customHeight="1">
      <c r="A916" s="291" t="s">
        <v>3893</v>
      </c>
      <c r="B916" s="291" t="s">
        <v>291</v>
      </c>
      <c r="C916" s="292"/>
      <c r="D916" s="292"/>
      <c r="E916" s="293" t="s">
        <v>962</v>
      </c>
      <c r="F916" s="291" t="s">
        <v>963</v>
      </c>
      <c r="G916" s="294">
        <v>4131</v>
      </c>
      <c r="H916" s="291" t="s">
        <v>162</v>
      </c>
      <c r="I916" s="291" t="s">
        <v>33</v>
      </c>
      <c r="J916" s="296">
        <v>6953.8</v>
      </c>
      <c r="L916" s="296">
        <v>20.77</v>
      </c>
      <c r="M916" s="296">
        <v>20.77</v>
      </c>
      <c r="N916" s="312">
        <v>2086</v>
      </c>
      <c r="O916" s="298">
        <v>0.2</v>
      </c>
      <c r="P916" s="298"/>
      <c r="Q916" s="297">
        <v>0</v>
      </c>
      <c r="R916" s="291" t="s">
        <v>229</v>
      </c>
      <c r="S916" s="299" t="s">
        <v>228</v>
      </c>
      <c r="T916" s="299">
        <v>36</v>
      </c>
      <c r="U916" s="300" t="s">
        <v>164</v>
      </c>
      <c r="V916" s="333"/>
      <c r="W916" s="291" t="s">
        <v>3922</v>
      </c>
      <c r="X916" s="297">
        <v>0</v>
      </c>
      <c r="Y916" s="297"/>
      <c r="AH916" s="311">
        <f t="shared" si="15"/>
        <v>0</v>
      </c>
      <c r="AI916" s="311"/>
      <c r="AJ916" s="468"/>
    </row>
    <row r="917" spans="1:77" s="291" customFormat="1" ht="11.25" customHeight="1">
      <c r="A917" s="291" t="s">
        <v>3893</v>
      </c>
      <c r="B917" s="291" t="s">
        <v>291</v>
      </c>
      <c r="C917" s="292"/>
      <c r="D917" s="292"/>
      <c r="E917" s="293" t="s">
        <v>962</v>
      </c>
      <c r="F917" s="291" t="s">
        <v>963</v>
      </c>
      <c r="G917" s="294">
        <v>4131</v>
      </c>
      <c r="H917" s="291" t="s">
        <v>137</v>
      </c>
      <c r="I917" s="291" t="s">
        <v>33</v>
      </c>
      <c r="J917" s="296">
        <v>23122.94</v>
      </c>
      <c r="L917" s="296">
        <v>30.88</v>
      </c>
      <c r="M917" s="296">
        <v>30.88</v>
      </c>
      <c r="N917" s="312">
        <v>7167</v>
      </c>
      <c r="O917" s="298">
        <v>0.2</v>
      </c>
      <c r="P917" s="298"/>
      <c r="Q917" s="297">
        <v>0</v>
      </c>
      <c r="R917" s="291" t="s">
        <v>229</v>
      </c>
      <c r="S917" s="299" t="s">
        <v>228</v>
      </c>
      <c r="T917" s="299">
        <v>36</v>
      </c>
      <c r="U917" s="300" t="s">
        <v>164</v>
      </c>
      <c r="V917" s="333"/>
      <c r="W917" s="291" t="s">
        <v>3922</v>
      </c>
      <c r="X917" s="297">
        <v>0</v>
      </c>
      <c r="Y917" s="297"/>
      <c r="AH917" s="311">
        <f t="shared" si="15"/>
        <v>0</v>
      </c>
      <c r="AI917" s="311"/>
      <c r="AJ917" s="468"/>
    </row>
    <row r="918" spans="1:77" s="291" customFormat="1" ht="11.25" customHeight="1">
      <c r="A918" s="291" t="s">
        <v>3893</v>
      </c>
      <c r="B918" s="291" t="s">
        <v>291</v>
      </c>
      <c r="C918" s="292"/>
      <c r="D918" s="292"/>
      <c r="E918" s="293" t="s">
        <v>962</v>
      </c>
      <c r="F918" s="291" t="s">
        <v>963</v>
      </c>
      <c r="G918" s="294">
        <v>4131</v>
      </c>
      <c r="H918" s="291" t="s">
        <v>183</v>
      </c>
      <c r="I918" s="291" t="s">
        <v>33</v>
      </c>
      <c r="J918" s="296">
        <v>33768</v>
      </c>
      <c r="L918" s="296">
        <v>37.520000000000003</v>
      </c>
      <c r="M918" s="296">
        <v>37.520000000000003</v>
      </c>
      <c r="N918" s="312">
        <v>8779</v>
      </c>
      <c r="O918" s="298">
        <v>0.2</v>
      </c>
      <c r="P918" s="298"/>
      <c r="Q918" s="297">
        <v>0</v>
      </c>
      <c r="R918" s="291" t="s">
        <v>229</v>
      </c>
      <c r="S918" s="299" t="s">
        <v>228</v>
      </c>
      <c r="T918" s="299">
        <v>36</v>
      </c>
      <c r="U918" s="300" t="s">
        <v>164</v>
      </c>
      <c r="V918" s="333"/>
      <c r="W918" s="291" t="s">
        <v>3922</v>
      </c>
      <c r="X918" s="297">
        <v>0</v>
      </c>
      <c r="Y918" s="297"/>
      <c r="AH918" s="311">
        <f t="shared" si="15"/>
        <v>0</v>
      </c>
      <c r="AI918" s="311"/>
      <c r="AJ918" s="468"/>
    </row>
    <row r="919" spans="1:77" s="291" customFormat="1" ht="11.25" customHeight="1">
      <c r="A919" s="291" t="s">
        <v>3893</v>
      </c>
      <c r="B919" s="291" t="s">
        <v>291</v>
      </c>
      <c r="C919" s="292"/>
      <c r="D919" s="292"/>
      <c r="E919" s="293" t="s">
        <v>962</v>
      </c>
      <c r="F919" s="291" t="s">
        <v>963</v>
      </c>
      <c r="G919" s="294">
        <v>4131</v>
      </c>
      <c r="H919" s="291" t="s">
        <v>310</v>
      </c>
      <c r="I919" s="291" t="s">
        <v>33</v>
      </c>
      <c r="J919" s="296">
        <v>13212.4</v>
      </c>
      <c r="L919" s="296">
        <v>29</v>
      </c>
      <c r="M919" s="296">
        <v>29</v>
      </c>
      <c r="N919" s="312">
        <v>5945</v>
      </c>
      <c r="O919" s="298">
        <v>0.2</v>
      </c>
      <c r="P919" s="298"/>
      <c r="Q919" s="297">
        <v>0</v>
      </c>
      <c r="R919" s="291" t="s">
        <v>229</v>
      </c>
      <c r="S919" s="299" t="s">
        <v>228</v>
      </c>
      <c r="T919" s="299">
        <v>36</v>
      </c>
      <c r="U919" s="300" t="s">
        <v>164</v>
      </c>
      <c r="V919" s="333"/>
      <c r="W919" s="291" t="s">
        <v>3922</v>
      </c>
      <c r="X919" s="297">
        <v>0</v>
      </c>
      <c r="Y919" s="297"/>
      <c r="AH919" s="311">
        <f t="shared" si="15"/>
        <v>0</v>
      </c>
      <c r="AI919" s="311"/>
      <c r="AJ919" s="468"/>
    </row>
    <row r="920" spans="1:77" s="379" customFormat="1" ht="11.25" customHeight="1">
      <c r="B920" s="380" t="s">
        <v>291</v>
      </c>
      <c r="C920" s="381">
        <v>44691</v>
      </c>
      <c r="D920" s="381">
        <v>44692</v>
      </c>
      <c r="E920" s="382" t="s">
        <v>964</v>
      </c>
      <c r="F920" s="379" t="s">
        <v>511</v>
      </c>
      <c r="G920" s="383">
        <v>4256</v>
      </c>
      <c r="H920" s="379" t="s">
        <v>99</v>
      </c>
      <c r="I920" s="379" t="s">
        <v>33</v>
      </c>
      <c r="J920" s="385">
        <v>30784.799999999999</v>
      </c>
      <c r="L920" s="385">
        <v>23.08</v>
      </c>
      <c r="M920" s="385">
        <v>23.08</v>
      </c>
      <c r="N920" s="407"/>
      <c r="O920" s="387">
        <v>0.2</v>
      </c>
      <c r="P920" s="387"/>
      <c r="Q920" s="386">
        <v>2463.58</v>
      </c>
      <c r="R920" s="379" t="s">
        <v>35</v>
      </c>
      <c r="S920" s="388" t="s">
        <v>41</v>
      </c>
      <c r="T920" s="388">
        <v>16</v>
      </c>
      <c r="U920" s="389" t="s">
        <v>164</v>
      </c>
      <c r="V920" s="433"/>
      <c r="X920" s="386">
        <v>2463.58</v>
      </c>
      <c r="Y920" s="386"/>
      <c r="AJ920" s="416">
        <v>2463.58</v>
      </c>
    </row>
    <row r="921" spans="1:77" s="337" customFormat="1" ht="11.25" customHeight="1">
      <c r="B921" s="338" t="s">
        <v>291</v>
      </c>
      <c r="C921" s="349"/>
      <c r="D921" s="349"/>
      <c r="E921" s="350" t="s">
        <v>964</v>
      </c>
      <c r="F921" s="337" t="s">
        <v>511</v>
      </c>
      <c r="G921" s="351">
        <v>4256</v>
      </c>
      <c r="H921" s="337" t="s">
        <v>27</v>
      </c>
      <c r="I921" s="337" t="s">
        <v>33</v>
      </c>
      <c r="J921" s="352">
        <v>7673.6</v>
      </c>
      <c r="L921" s="352">
        <v>10.9</v>
      </c>
      <c r="M921" s="352">
        <v>10.9</v>
      </c>
      <c r="N921" s="360"/>
      <c r="O921" s="355">
        <v>0.2</v>
      </c>
      <c r="P921" s="355"/>
      <c r="Q921" s="354">
        <v>0</v>
      </c>
      <c r="R921" s="337" t="s">
        <v>35</v>
      </c>
      <c r="S921" s="356" t="s">
        <v>41</v>
      </c>
      <c r="T921" s="356">
        <v>16</v>
      </c>
      <c r="U921" s="357" t="s">
        <v>164</v>
      </c>
      <c r="V921" s="434"/>
      <c r="X921" s="354">
        <v>0</v>
      </c>
      <c r="Y921" s="354"/>
      <c r="AI921" s="337">
        <v>0</v>
      </c>
      <c r="AJ921" s="358"/>
      <c r="AK921" s="369"/>
    </row>
    <row r="922" spans="1:77" s="337" customFormat="1" ht="11.25" customHeight="1">
      <c r="B922" s="338" t="s">
        <v>291</v>
      </c>
      <c r="C922" s="349"/>
      <c r="D922" s="349"/>
      <c r="E922" s="350" t="s">
        <v>964</v>
      </c>
      <c r="F922" s="337" t="s">
        <v>511</v>
      </c>
      <c r="G922" s="351">
        <v>4256</v>
      </c>
      <c r="H922" s="337" t="s">
        <v>162</v>
      </c>
      <c r="I922" s="337" t="s">
        <v>33</v>
      </c>
      <c r="J922" s="352">
        <v>2294.25</v>
      </c>
      <c r="L922" s="352">
        <v>4.75</v>
      </c>
      <c r="M922" s="352">
        <v>4.75</v>
      </c>
      <c r="N922" s="360">
        <f>J922*0.35</f>
        <v>802.98749999999995</v>
      </c>
      <c r="O922" s="355">
        <v>0.2</v>
      </c>
      <c r="P922" s="355"/>
      <c r="Q922" s="354">
        <v>0</v>
      </c>
      <c r="R922" s="337" t="s">
        <v>35</v>
      </c>
      <c r="S922" s="356" t="s">
        <v>41</v>
      </c>
      <c r="T922" s="356">
        <v>16</v>
      </c>
      <c r="U922" s="357" t="s">
        <v>164</v>
      </c>
      <c r="V922" s="434"/>
      <c r="X922" s="354">
        <v>0</v>
      </c>
      <c r="Y922" s="354"/>
      <c r="AI922" s="337">
        <v>0</v>
      </c>
      <c r="AJ922" s="358"/>
      <c r="AK922" s="369"/>
    </row>
    <row r="923" spans="1:77" s="379" customFormat="1" ht="11.25" customHeight="1">
      <c r="A923" s="473"/>
      <c r="B923" s="473" t="s">
        <v>291</v>
      </c>
      <c r="C923" s="487"/>
      <c r="D923" s="487"/>
      <c r="E923" s="488" t="s">
        <v>965</v>
      </c>
      <c r="F923" s="473" t="s">
        <v>321</v>
      </c>
      <c r="G923" s="489">
        <v>3730</v>
      </c>
      <c r="H923" s="473" t="s">
        <v>765</v>
      </c>
      <c r="I923" s="473" t="s">
        <v>33</v>
      </c>
      <c r="J923" s="490">
        <v>13615.68</v>
      </c>
      <c r="K923" s="473"/>
      <c r="L923" s="490">
        <v>10.91</v>
      </c>
      <c r="M923" s="490">
        <v>10.91</v>
      </c>
      <c r="N923" s="500"/>
      <c r="O923" s="493">
        <v>0.25</v>
      </c>
      <c r="P923" s="493"/>
      <c r="Q923" s="492">
        <v>1523.91</v>
      </c>
      <c r="R923" s="473" t="s">
        <v>35</v>
      </c>
      <c r="S923" s="481" t="s">
        <v>41</v>
      </c>
      <c r="T923" s="481">
        <v>86</v>
      </c>
      <c r="U923" s="494" t="s">
        <v>164</v>
      </c>
      <c r="V923" s="495"/>
      <c r="W923" s="473"/>
      <c r="X923" s="492">
        <v>1523.91</v>
      </c>
      <c r="Y923" s="492"/>
      <c r="Z923" s="473"/>
      <c r="AA923" s="473"/>
      <c r="AB923" s="473"/>
      <c r="AC923" s="473"/>
      <c r="AD923" s="473"/>
      <c r="AE923" s="473"/>
      <c r="AF923" s="473"/>
      <c r="AG923" s="473"/>
      <c r="AH923" s="473"/>
      <c r="AI923" s="473"/>
      <c r="AJ923" s="485"/>
      <c r="AK923" s="505">
        <v>1523.91</v>
      </c>
      <c r="AL923" s="473"/>
      <c r="AM923" s="473"/>
      <c r="AN923" s="473"/>
      <c r="AO923" s="473"/>
      <c r="AP923" s="473"/>
      <c r="AQ923" s="473"/>
      <c r="AR923" s="473"/>
      <c r="AS923" s="473"/>
      <c r="AT923" s="473"/>
      <c r="AU923" s="473"/>
      <c r="AV923" s="473"/>
      <c r="AW923" s="473"/>
      <c r="AX923" s="473"/>
      <c r="AY923" s="473"/>
      <c r="AZ923" s="473"/>
      <c r="BA923" s="473"/>
      <c r="BB923" s="473"/>
      <c r="BC923" s="473"/>
      <c r="BD923" s="473"/>
      <c r="BE923" s="473"/>
      <c r="BF923" s="473"/>
      <c r="BG923" s="473"/>
      <c r="BH923" s="473"/>
      <c r="BI923" s="473"/>
      <c r="BJ923" s="473"/>
      <c r="BK923" s="473"/>
      <c r="BL923" s="473"/>
      <c r="BM923" s="473"/>
      <c r="BN923" s="473"/>
      <c r="BO923" s="473"/>
      <c r="BP923" s="473"/>
      <c r="BQ923" s="473"/>
      <c r="BR923" s="473"/>
      <c r="BS923" s="473"/>
      <c r="BT923" s="473"/>
      <c r="BU923" s="473"/>
      <c r="BV923" s="473"/>
      <c r="BW923" s="473"/>
      <c r="BX923" s="473"/>
      <c r="BY923" s="473"/>
    </row>
    <row r="924" spans="1:77" s="379" customFormat="1" ht="11.25" customHeight="1">
      <c r="A924" s="473"/>
      <c r="B924" s="473" t="s">
        <v>291</v>
      </c>
      <c r="C924" s="487"/>
      <c r="D924" s="487"/>
      <c r="E924" s="488" t="s">
        <v>965</v>
      </c>
      <c r="F924" s="473" t="s">
        <v>321</v>
      </c>
      <c r="G924" s="489">
        <v>3730</v>
      </c>
      <c r="H924" s="473" t="s">
        <v>183</v>
      </c>
      <c r="I924" s="473" t="s">
        <v>33</v>
      </c>
      <c r="J924" s="490">
        <v>10878.34</v>
      </c>
      <c r="K924" s="473"/>
      <c r="L924" s="490">
        <v>10.64</v>
      </c>
      <c r="M924" s="490">
        <v>10.64</v>
      </c>
      <c r="N924" s="500"/>
      <c r="O924" s="493">
        <v>0.25</v>
      </c>
      <c r="P924" s="493"/>
      <c r="Q924" s="492">
        <v>1059.74</v>
      </c>
      <c r="R924" s="473" t="s">
        <v>35</v>
      </c>
      <c r="S924" s="481" t="s">
        <v>41</v>
      </c>
      <c r="T924" s="481">
        <v>86</v>
      </c>
      <c r="U924" s="494" t="s">
        <v>164</v>
      </c>
      <c r="V924" s="495"/>
      <c r="W924" s="473"/>
      <c r="X924" s="492">
        <v>1059.74</v>
      </c>
      <c r="Y924" s="492"/>
      <c r="Z924" s="473"/>
      <c r="AA924" s="473"/>
      <c r="AB924" s="473"/>
      <c r="AC924" s="473"/>
      <c r="AD924" s="473"/>
      <c r="AE924" s="473"/>
      <c r="AF924" s="473"/>
      <c r="AG924" s="473"/>
      <c r="AH924" s="473"/>
      <c r="AI924" s="473"/>
      <c r="AJ924" s="485"/>
      <c r="AK924" s="505">
        <v>1059.74</v>
      </c>
      <c r="AL924" s="473"/>
      <c r="AM924" s="473"/>
      <c r="AN924" s="473"/>
      <c r="AO924" s="473"/>
      <c r="AP924" s="473"/>
      <c r="AQ924" s="473"/>
      <c r="AR924" s="473"/>
      <c r="AS924" s="473"/>
      <c r="AT924" s="473"/>
      <c r="AU924" s="473"/>
      <c r="AV924" s="473"/>
      <c r="AW924" s="473"/>
      <c r="AX924" s="473"/>
      <c r="AY924" s="473"/>
      <c r="AZ924" s="473"/>
      <c r="BA924" s="473"/>
      <c r="BB924" s="473"/>
      <c r="BC924" s="473"/>
      <c r="BD924" s="473"/>
      <c r="BE924" s="473"/>
      <c r="BF924" s="473"/>
      <c r="BG924" s="473"/>
      <c r="BH924" s="473"/>
      <c r="BI924" s="473"/>
      <c r="BJ924" s="473"/>
      <c r="BK924" s="473"/>
      <c r="BL924" s="473"/>
      <c r="BM924" s="473"/>
      <c r="BN924" s="473"/>
      <c r="BO924" s="473"/>
      <c r="BP924" s="473"/>
      <c r="BQ924" s="473"/>
      <c r="BR924" s="473"/>
      <c r="BS924" s="473"/>
      <c r="BT924" s="473"/>
      <c r="BU924" s="473"/>
      <c r="BV924" s="473"/>
      <c r="BW924" s="473"/>
      <c r="BX924" s="473"/>
      <c r="BY924" s="473"/>
    </row>
    <row r="925" spans="1:77" s="473" customFormat="1" ht="11.25" customHeight="1">
      <c r="A925" s="379"/>
      <c r="B925" s="379" t="s">
        <v>291</v>
      </c>
      <c r="C925" s="381">
        <v>44691</v>
      </c>
      <c r="D925" s="381">
        <v>44692</v>
      </c>
      <c r="E925" s="382" t="s">
        <v>965</v>
      </c>
      <c r="F925" s="379" t="s">
        <v>321</v>
      </c>
      <c r="G925" s="383">
        <v>3730</v>
      </c>
      <c r="H925" s="379" t="s">
        <v>99</v>
      </c>
      <c r="I925" s="379" t="s">
        <v>33</v>
      </c>
      <c r="J925" s="385">
        <v>73427.210000000006</v>
      </c>
      <c r="K925" s="379"/>
      <c r="L925" s="385">
        <v>55.04</v>
      </c>
      <c r="M925" s="385">
        <v>55.04</v>
      </c>
      <c r="N925" s="407"/>
      <c r="O925" s="387">
        <v>0.25</v>
      </c>
      <c r="P925" s="387"/>
      <c r="Q925" s="386">
        <v>0</v>
      </c>
      <c r="R925" s="379" t="s">
        <v>35</v>
      </c>
      <c r="S925" s="388" t="s">
        <v>41</v>
      </c>
      <c r="T925" s="388">
        <v>86</v>
      </c>
      <c r="U925" s="389" t="s">
        <v>164</v>
      </c>
      <c r="V925" s="433"/>
      <c r="W925" s="379"/>
      <c r="X925" s="386">
        <v>0</v>
      </c>
      <c r="Y925" s="386"/>
      <c r="Z925" s="379"/>
      <c r="AA925" s="379"/>
      <c r="AB925" s="379"/>
      <c r="AC925" s="379"/>
      <c r="AD925" s="379"/>
      <c r="AE925" s="379"/>
      <c r="AF925" s="379"/>
      <c r="AG925" s="379"/>
      <c r="AH925" s="379"/>
      <c r="AI925" s="379"/>
      <c r="AJ925" s="390">
        <v>0</v>
      </c>
      <c r="AK925" s="379"/>
      <c r="AL925" s="379"/>
      <c r="AM925" s="379"/>
      <c r="AN925" s="379"/>
      <c r="AO925" s="379"/>
      <c r="AP925" s="379"/>
      <c r="AQ925" s="379"/>
      <c r="AR925" s="379"/>
      <c r="AS925" s="379"/>
      <c r="AT925" s="379"/>
      <c r="AU925" s="379"/>
      <c r="AV925" s="379"/>
      <c r="AW925" s="379"/>
      <c r="AX925" s="379"/>
      <c r="AY925" s="379"/>
      <c r="AZ925" s="379"/>
      <c r="BA925" s="379"/>
      <c r="BB925" s="379"/>
      <c r="BC925" s="379"/>
      <c r="BD925" s="379"/>
      <c r="BE925" s="379"/>
      <c r="BF925" s="379"/>
      <c r="BG925" s="379"/>
      <c r="BH925" s="379"/>
      <c r="BI925" s="379"/>
      <c r="BJ925" s="379"/>
      <c r="BK925" s="379"/>
      <c r="BL925" s="379"/>
      <c r="BM925" s="379"/>
      <c r="BN925" s="379"/>
      <c r="BO925" s="379"/>
      <c r="BP925" s="379"/>
      <c r="BQ925" s="379"/>
      <c r="BR925" s="379"/>
      <c r="BS925" s="379"/>
      <c r="BT925" s="379"/>
      <c r="BU925" s="379"/>
      <c r="BV925" s="379"/>
      <c r="BW925" s="379"/>
      <c r="BX925" s="379"/>
      <c r="BY925" s="379"/>
    </row>
    <row r="926" spans="1:77" s="379" customFormat="1" ht="11.25" customHeight="1">
      <c r="B926" s="379" t="s">
        <v>291</v>
      </c>
      <c r="C926" s="381"/>
      <c r="D926" s="381"/>
      <c r="E926" s="382" t="s">
        <v>965</v>
      </c>
      <c r="F926" s="379" t="s">
        <v>321</v>
      </c>
      <c r="G926" s="383">
        <v>3730</v>
      </c>
      <c r="H926" s="379" t="s">
        <v>27</v>
      </c>
      <c r="I926" s="379" t="s">
        <v>33</v>
      </c>
      <c r="J926" s="385">
        <v>31701.599999999999</v>
      </c>
      <c r="L926" s="385">
        <v>20.72</v>
      </c>
      <c r="M926" s="385">
        <v>20.72</v>
      </c>
      <c r="N926" s="407"/>
      <c r="O926" s="387">
        <v>0.25</v>
      </c>
      <c r="P926" s="387"/>
      <c r="Q926" s="386">
        <v>0</v>
      </c>
      <c r="R926" s="379" t="s">
        <v>35</v>
      </c>
      <c r="S926" s="388" t="s">
        <v>41</v>
      </c>
      <c r="T926" s="388">
        <v>86</v>
      </c>
      <c r="U926" s="389" t="s">
        <v>164</v>
      </c>
      <c r="V926" s="433"/>
      <c r="X926" s="386">
        <v>0</v>
      </c>
      <c r="Y926" s="386"/>
      <c r="AJ926" s="390">
        <v>0</v>
      </c>
    </row>
    <row r="927" spans="1:77" s="473" customFormat="1" ht="11.25" customHeight="1">
      <c r="A927" s="379"/>
      <c r="B927" s="379" t="s">
        <v>291</v>
      </c>
      <c r="C927" s="381"/>
      <c r="D927" s="381"/>
      <c r="E927" s="382" t="s">
        <v>965</v>
      </c>
      <c r="F927" s="379" t="s">
        <v>321</v>
      </c>
      <c r="G927" s="383">
        <v>3730</v>
      </c>
      <c r="H927" s="379" t="s">
        <v>898</v>
      </c>
      <c r="I927" s="379" t="s">
        <v>33</v>
      </c>
      <c r="J927" s="385">
        <v>30464.93</v>
      </c>
      <c r="K927" s="379"/>
      <c r="L927" s="385">
        <v>24.91</v>
      </c>
      <c r="M927" s="385">
        <v>24.91</v>
      </c>
      <c r="N927" s="407"/>
      <c r="O927" s="387">
        <v>0.25</v>
      </c>
      <c r="P927" s="387"/>
      <c r="Q927" s="386">
        <v>0</v>
      </c>
      <c r="R927" s="379" t="s">
        <v>35</v>
      </c>
      <c r="S927" s="388" t="s">
        <v>41</v>
      </c>
      <c r="T927" s="388">
        <v>86</v>
      </c>
      <c r="U927" s="389" t="s">
        <v>164</v>
      </c>
      <c r="V927" s="433"/>
      <c r="W927" s="379"/>
      <c r="X927" s="386">
        <v>0</v>
      </c>
      <c r="Y927" s="386"/>
      <c r="Z927" s="379"/>
      <c r="AA927" s="379"/>
      <c r="AB927" s="379"/>
      <c r="AC927" s="379"/>
      <c r="AD927" s="379"/>
      <c r="AE927" s="379"/>
      <c r="AF927" s="379"/>
      <c r="AG927" s="379"/>
      <c r="AH927" s="379"/>
      <c r="AI927" s="379"/>
      <c r="AJ927" s="390">
        <v>0</v>
      </c>
      <c r="AK927" s="379"/>
      <c r="AL927" s="379"/>
      <c r="AM927" s="379"/>
      <c r="AN927" s="379"/>
      <c r="AO927" s="379"/>
      <c r="AP927" s="379"/>
      <c r="AQ927" s="379"/>
      <c r="AR927" s="379"/>
      <c r="AS927" s="379"/>
      <c r="AT927" s="379"/>
      <c r="AU927" s="379"/>
      <c r="AV927" s="379"/>
      <c r="AW927" s="379"/>
      <c r="AX927" s="379"/>
      <c r="AY927" s="379"/>
      <c r="AZ927" s="379"/>
      <c r="BA927" s="379"/>
      <c r="BB927" s="379"/>
      <c r="BC927" s="379"/>
      <c r="BD927" s="379"/>
      <c r="BE927" s="379"/>
      <c r="BF927" s="379"/>
      <c r="BG927" s="379"/>
      <c r="BH927" s="379"/>
      <c r="BI927" s="379"/>
      <c r="BJ927" s="379"/>
      <c r="BK927" s="379"/>
      <c r="BL927" s="379"/>
      <c r="BM927" s="379"/>
      <c r="BN927" s="379"/>
      <c r="BO927" s="379"/>
      <c r="BP927" s="379"/>
      <c r="BQ927" s="379"/>
      <c r="BR927" s="379"/>
      <c r="BS927" s="379"/>
      <c r="BT927" s="379"/>
      <c r="BU927" s="379"/>
      <c r="BV927" s="379"/>
      <c r="BW927" s="379"/>
      <c r="BX927" s="379"/>
      <c r="BY927" s="379"/>
    </row>
    <row r="928" spans="1:77" s="291" customFormat="1" ht="11.25" customHeight="1">
      <c r="B928" s="291" t="s">
        <v>291</v>
      </c>
      <c r="C928" s="292"/>
      <c r="D928" s="292"/>
      <c r="E928" s="293" t="s">
        <v>966</v>
      </c>
      <c r="F928" s="291" t="s">
        <v>305</v>
      </c>
      <c r="G928" s="294">
        <v>3516</v>
      </c>
      <c r="H928" s="291" t="s">
        <v>27</v>
      </c>
      <c r="I928" s="291" t="s">
        <v>33</v>
      </c>
      <c r="J928" s="296">
        <v>39767.49</v>
      </c>
      <c r="L928" s="296">
        <v>23.82</v>
      </c>
      <c r="M928" s="296">
        <v>23.8</v>
      </c>
      <c r="N928" s="312"/>
      <c r="O928" s="298">
        <v>0.3</v>
      </c>
      <c r="P928" s="298"/>
      <c r="Q928" s="297">
        <v>0</v>
      </c>
      <c r="R928" s="291" t="s">
        <v>35</v>
      </c>
      <c r="S928" s="299" t="s">
        <v>34</v>
      </c>
      <c r="T928" s="299">
        <v>79</v>
      </c>
      <c r="U928" s="300" t="s">
        <v>164</v>
      </c>
      <c r="V928" s="333"/>
      <c r="X928" s="297">
        <v>0</v>
      </c>
      <c r="Y928" s="297"/>
      <c r="AH928" s="291">
        <f>X928</f>
        <v>0</v>
      </c>
      <c r="AI928" s="311"/>
      <c r="AJ928" s="468"/>
    </row>
    <row r="929" spans="1:77" s="291" customFormat="1" ht="11.25" customHeight="1">
      <c r="B929" s="291" t="s">
        <v>291</v>
      </c>
      <c r="C929" s="292"/>
      <c r="D929" s="292"/>
      <c r="E929" s="293" t="s">
        <v>966</v>
      </c>
      <c r="F929" s="291" t="s">
        <v>305</v>
      </c>
      <c r="G929" s="294">
        <v>3516</v>
      </c>
      <c r="H929" s="291" t="s">
        <v>765</v>
      </c>
      <c r="I929" s="291" t="s">
        <v>33</v>
      </c>
      <c r="J929" s="296">
        <v>10098</v>
      </c>
      <c r="L929" s="296">
        <v>11</v>
      </c>
      <c r="M929" s="296">
        <v>11</v>
      </c>
      <c r="N929" s="312"/>
      <c r="O929" s="298">
        <v>0.3</v>
      </c>
      <c r="P929" s="298"/>
      <c r="Q929" s="297">
        <v>0</v>
      </c>
      <c r="R929" s="291" t="s">
        <v>35</v>
      </c>
      <c r="S929" s="299" t="s">
        <v>34</v>
      </c>
      <c r="T929" s="299">
        <v>79</v>
      </c>
      <c r="U929" s="300" t="s">
        <v>164</v>
      </c>
      <c r="V929" s="333"/>
      <c r="X929" s="297">
        <v>0</v>
      </c>
      <c r="Y929" s="297"/>
      <c r="AH929" s="291">
        <f>X929</f>
        <v>0</v>
      </c>
      <c r="AI929" s="311"/>
      <c r="AJ929" s="468"/>
    </row>
    <row r="930" spans="1:77" s="291" customFormat="1" ht="11.25" customHeight="1">
      <c r="B930" s="291" t="s">
        <v>291</v>
      </c>
      <c r="C930" s="292"/>
      <c r="D930" s="292"/>
      <c r="E930" s="293" t="s">
        <v>966</v>
      </c>
      <c r="F930" s="291" t="s">
        <v>305</v>
      </c>
      <c r="G930" s="294">
        <v>3516</v>
      </c>
      <c r="H930" s="291" t="s">
        <v>898</v>
      </c>
      <c r="I930" s="291" t="s">
        <v>33</v>
      </c>
      <c r="J930" s="296">
        <v>28587.19</v>
      </c>
      <c r="L930" s="296">
        <v>24.85</v>
      </c>
      <c r="M930" s="296">
        <v>20.85</v>
      </c>
      <c r="N930" s="312"/>
      <c r="O930" s="298">
        <v>0.3</v>
      </c>
      <c r="P930" s="298"/>
      <c r="Q930" s="297">
        <v>0</v>
      </c>
      <c r="R930" s="291" t="s">
        <v>35</v>
      </c>
      <c r="S930" s="299" t="s">
        <v>34</v>
      </c>
      <c r="T930" s="299">
        <v>79</v>
      </c>
      <c r="U930" s="300" t="s">
        <v>164</v>
      </c>
      <c r="V930" s="333"/>
      <c r="X930" s="297">
        <v>0</v>
      </c>
      <c r="Y930" s="297"/>
      <c r="AH930" s="291">
        <f>X930</f>
        <v>0</v>
      </c>
      <c r="AI930" s="311"/>
      <c r="AJ930" s="468"/>
    </row>
    <row r="931" spans="1:77" s="153" customFormat="1" ht="11.25" customHeight="1">
      <c r="B931" s="153" t="s">
        <v>291</v>
      </c>
      <c r="C931" s="155">
        <v>44692</v>
      </c>
      <c r="D931" s="155">
        <v>44692</v>
      </c>
      <c r="E931" s="156" t="s">
        <v>966</v>
      </c>
      <c r="F931" s="153" t="s">
        <v>305</v>
      </c>
      <c r="G931" s="157">
        <v>3516</v>
      </c>
      <c r="H931" s="153" t="s">
        <v>138</v>
      </c>
      <c r="I931" s="153" t="s">
        <v>33</v>
      </c>
      <c r="J931" s="158">
        <v>6708.8</v>
      </c>
      <c r="L931" s="158">
        <v>5</v>
      </c>
      <c r="M931" s="158">
        <v>5</v>
      </c>
      <c r="N931" s="174"/>
      <c r="O931" s="160">
        <v>0.3</v>
      </c>
      <c r="P931" s="160"/>
      <c r="Q931" s="159">
        <v>0</v>
      </c>
      <c r="R931" s="153" t="s">
        <v>35</v>
      </c>
      <c r="S931" s="161" t="s">
        <v>34</v>
      </c>
      <c r="T931" s="161">
        <v>79</v>
      </c>
      <c r="U931" s="162" t="s">
        <v>164</v>
      </c>
      <c r="V931" s="435"/>
      <c r="W931" s="153" t="s">
        <v>1865</v>
      </c>
      <c r="X931" s="159">
        <v>0</v>
      </c>
      <c r="Y931" s="159"/>
      <c r="AD931" s="176">
        <f>X931</f>
        <v>0</v>
      </c>
      <c r="AJ931" s="644"/>
    </row>
    <row r="932" spans="1:77" s="153" customFormat="1" ht="11.25" customHeight="1">
      <c r="B932" s="153" t="s">
        <v>291</v>
      </c>
      <c r="C932" s="155"/>
      <c r="D932" s="155"/>
      <c r="E932" s="156" t="s">
        <v>966</v>
      </c>
      <c r="F932" s="153" t="s">
        <v>305</v>
      </c>
      <c r="G932" s="157">
        <v>3516</v>
      </c>
      <c r="H932" s="153" t="s">
        <v>99</v>
      </c>
      <c r="I932" s="153" t="s">
        <v>33</v>
      </c>
      <c r="J932" s="158">
        <v>64510.78</v>
      </c>
      <c r="L932" s="158">
        <v>42.87</v>
      </c>
      <c r="M932" s="158">
        <v>42.87</v>
      </c>
      <c r="N932" s="174"/>
      <c r="O932" s="160">
        <v>0.3</v>
      </c>
      <c r="P932" s="160"/>
      <c r="Q932" s="159">
        <v>0</v>
      </c>
      <c r="R932" s="153" t="s">
        <v>35</v>
      </c>
      <c r="S932" s="161" t="s">
        <v>34</v>
      </c>
      <c r="T932" s="161">
        <v>79</v>
      </c>
      <c r="U932" s="162" t="s">
        <v>164</v>
      </c>
      <c r="V932" s="435"/>
      <c r="W932" s="153" t="s">
        <v>1865</v>
      </c>
      <c r="X932" s="159">
        <v>0</v>
      </c>
      <c r="Y932" s="159"/>
      <c r="AD932" s="176">
        <f>X932</f>
        <v>0</v>
      </c>
      <c r="AJ932" s="644"/>
    </row>
    <row r="933" spans="1:77" s="337" customFormat="1" ht="11.25" customHeight="1">
      <c r="B933" s="338" t="s">
        <v>291</v>
      </c>
      <c r="C933" s="349"/>
      <c r="D933" s="349"/>
      <c r="E933" s="350" t="s">
        <v>967</v>
      </c>
      <c r="F933" s="337" t="s">
        <v>675</v>
      </c>
      <c r="G933" s="351" t="s">
        <v>676</v>
      </c>
      <c r="H933" s="337" t="s">
        <v>163</v>
      </c>
      <c r="I933" s="337" t="s">
        <v>33</v>
      </c>
      <c r="J933" s="352">
        <v>10730.91</v>
      </c>
      <c r="L933" s="352">
        <v>14.02</v>
      </c>
      <c r="M933" s="352">
        <v>14.02</v>
      </c>
      <c r="N933" s="360"/>
      <c r="O933" s="355">
        <v>0.15</v>
      </c>
      <c r="P933" s="355"/>
      <c r="Q933" s="354">
        <v>0</v>
      </c>
      <c r="R933" s="337" t="s">
        <v>35</v>
      </c>
      <c r="S933" s="356" t="s">
        <v>41</v>
      </c>
      <c r="T933" s="356">
        <v>86</v>
      </c>
      <c r="U933" s="357" t="s">
        <v>164</v>
      </c>
      <c r="V933" s="434"/>
      <c r="X933" s="354">
        <v>0</v>
      </c>
      <c r="Y933" s="354"/>
      <c r="AI933" s="341">
        <f>X933</f>
        <v>0</v>
      </c>
      <c r="AJ933" s="358"/>
      <c r="AK933" s="369"/>
    </row>
    <row r="934" spans="1:77" s="337" customFormat="1" ht="11.25" customHeight="1">
      <c r="B934" s="338" t="s">
        <v>291</v>
      </c>
      <c r="C934" s="349"/>
      <c r="D934" s="349"/>
      <c r="E934" s="350" t="s">
        <v>967</v>
      </c>
      <c r="F934" s="337" t="s">
        <v>675</v>
      </c>
      <c r="G934" s="351" t="s">
        <v>676</v>
      </c>
      <c r="H934" s="337" t="s">
        <v>99</v>
      </c>
      <c r="I934" s="337" t="s">
        <v>33</v>
      </c>
      <c r="J934" s="352">
        <v>14641</v>
      </c>
      <c r="L934" s="352">
        <v>12.1</v>
      </c>
      <c r="M934" s="352">
        <v>12.1</v>
      </c>
      <c r="N934" s="354">
        <f>J934*0.3</f>
        <v>4392.3</v>
      </c>
      <c r="O934" s="355">
        <v>0.15</v>
      </c>
      <c r="P934" s="355"/>
      <c r="Q934" s="354">
        <v>0</v>
      </c>
      <c r="R934" s="337" t="s">
        <v>35</v>
      </c>
      <c r="S934" s="356" t="s">
        <v>41</v>
      </c>
      <c r="T934" s="356">
        <v>86</v>
      </c>
      <c r="U934" s="357" t="s">
        <v>164</v>
      </c>
      <c r="V934" s="434"/>
      <c r="X934" s="354">
        <v>0</v>
      </c>
      <c r="Y934" s="354"/>
      <c r="AI934" s="341">
        <f>X934</f>
        <v>0</v>
      </c>
      <c r="AJ934" s="358"/>
      <c r="AK934" s="369"/>
    </row>
    <row r="935" spans="1:77" s="337" customFormat="1" ht="11.25" customHeight="1">
      <c r="A935" s="6"/>
      <c r="B935" s="39" t="s">
        <v>291</v>
      </c>
      <c r="C935" s="4">
        <v>44691</v>
      </c>
      <c r="D935" s="4">
        <v>44693</v>
      </c>
      <c r="E935" s="5" t="s">
        <v>967</v>
      </c>
      <c r="F935" s="6" t="s">
        <v>675</v>
      </c>
      <c r="G935" s="79" t="s">
        <v>676</v>
      </c>
      <c r="H935" s="6" t="s">
        <v>310</v>
      </c>
      <c r="I935" s="6" t="s">
        <v>33</v>
      </c>
      <c r="J935" s="24">
        <v>5119.66</v>
      </c>
      <c r="K935" s="6"/>
      <c r="L935" s="24">
        <v>3.88</v>
      </c>
      <c r="M935" s="24">
        <v>3.88</v>
      </c>
      <c r="N935" s="8">
        <f>J935*0.4</f>
        <v>2047.864</v>
      </c>
      <c r="O935" s="11">
        <v>0.15</v>
      </c>
      <c r="P935" s="11"/>
      <c r="Q935" s="175">
        <f>N935-J935*O935</f>
        <v>1279.915</v>
      </c>
      <c r="R935" s="6" t="s">
        <v>35</v>
      </c>
      <c r="S935" s="3" t="s">
        <v>41</v>
      </c>
      <c r="T935" s="3">
        <v>86</v>
      </c>
      <c r="U935" s="7"/>
      <c r="V935" s="436"/>
      <c r="W935" s="6"/>
      <c r="X935" s="8"/>
      <c r="Y935" s="8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80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</row>
    <row r="936" spans="1:77" s="337" customFormat="1" ht="11.25" customHeight="1">
      <c r="B936" s="338" t="s">
        <v>291</v>
      </c>
      <c r="C936" s="349"/>
      <c r="D936" s="349"/>
      <c r="E936" s="350" t="s">
        <v>967</v>
      </c>
      <c r="F936" s="337" t="s">
        <v>675</v>
      </c>
      <c r="G936" s="351" t="s">
        <v>676</v>
      </c>
      <c r="H936" s="337" t="s">
        <v>765</v>
      </c>
      <c r="I936" s="337" t="s">
        <v>33</v>
      </c>
      <c r="J936" s="352">
        <v>19481</v>
      </c>
      <c r="L936" s="352">
        <v>14</v>
      </c>
      <c r="M936" s="352">
        <v>14</v>
      </c>
      <c r="N936" s="360">
        <v>6856.16</v>
      </c>
      <c r="O936" s="355">
        <v>0.15</v>
      </c>
      <c r="P936" s="355"/>
      <c r="Q936" s="354">
        <v>6856.16</v>
      </c>
      <c r="R936" s="337" t="s">
        <v>35</v>
      </c>
      <c r="S936" s="356" t="s">
        <v>41</v>
      </c>
      <c r="T936" s="356">
        <v>86</v>
      </c>
      <c r="U936" s="357" t="s">
        <v>164</v>
      </c>
      <c r="V936" s="434"/>
      <c r="X936" s="354">
        <v>6856.16</v>
      </c>
      <c r="Y936" s="354"/>
      <c r="AI936" s="354">
        <v>6856.16</v>
      </c>
      <c r="AJ936" s="358"/>
      <c r="AK936" s="369"/>
    </row>
    <row r="937" spans="1:77" s="205" customFormat="1" ht="11.25" customHeight="1">
      <c r="B937" s="205" t="s">
        <v>291</v>
      </c>
      <c r="C937" s="207">
        <v>44692</v>
      </c>
      <c r="D937" s="207">
        <v>44692</v>
      </c>
      <c r="E937" s="208" t="s">
        <v>968</v>
      </c>
      <c r="F937" s="205" t="s">
        <v>219</v>
      </c>
      <c r="G937" s="209">
        <v>4141</v>
      </c>
      <c r="H937" s="205" t="s">
        <v>183</v>
      </c>
      <c r="I937" s="205" t="s">
        <v>33</v>
      </c>
      <c r="J937" s="210">
        <v>23740.5</v>
      </c>
      <c r="L937" s="210">
        <v>22.61</v>
      </c>
      <c r="M937" s="210">
        <v>22.61</v>
      </c>
      <c r="N937" s="213">
        <f>0.5*J937</f>
        <v>11870.25</v>
      </c>
      <c r="O937" s="212">
        <v>0.2</v>
      </c>
      <c r="P937" s="212"/>
      <c r="Q937" s="213">
        <v>0</v>
      </c>
      <c r="R937" s="205" t="s">
        <v>73</v>
      </c>
      <c r="S937" s="214" t="s">
        <v>150</v>
      </c>
      <c r="T937" s="214">
        <v>32</v>
      </c>
      <c r="U937" s="215" t="s">
        <v>164</v>
      </c>
      <c r="V937" s="438"/>
      <c r="X937" s="213">
        <v>0</v>
      </c>
      <c r="Y937" s="213"/>
      <c r="AF937" s="230">
        <f>X937</f>
        <v>0</v>
      </c>
      <c r="AJ937" s="468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</row>
    <row r="938" spans="1:77" s="205" customFormat="1" ht="11.25" customHeight="1">
      <c r="B938" s="205" t="s">
        <v>291</v>
      </c>
      <c r="C938" s="207"/>
      <c r="D938" s="207"/>
      <c r="E938" s="208" t="s">
        <v>968</v>
      </c>
      <c r="F938" s="205" t="s">
        <v>219</v>
      </c>
      <c r="G938" s="209">
        <v>4141</v>
      </c>
      <c r="H938" s="205" t="s">
        <v>99</v>
      </c>
      <c r="I938" s="205" t="s">
        <v>33</v>
      </c>
      <c r="J938" s="210">
        <v>49285.57</v>
      </c>
      <c r="L938" s="210">
        <v>42.44</v>
      </c>
      <c r="M938" s="210">
        <v>42.44</v>
      </c>
      <c r="N938" s="213">
        <f>0.8*J938</f>
        <v>39428.456000000006</v>
      </c>
      <c r="O938" s="212">
        <v>0.2</v>
      </c>
      <c r="P938" s="212"/>
      <c r="Q938" s="213">
        <v>16256.22</v>
      </c>
      <c r="R938" s="205" t="s">
        <v>73</v>
      </c>
      <c r="S938" s="214" t="s">
        <v>150</v>
      </c>
      <c r="T938" s="214">
        <v>31</v>
      </c>
      <c r="U938" s="215" t="s">
        <v>164</v>
      </c>
      <c r="V938" s="438"/>
      <c r="X938" s="213">
        <v>16256.22</v>
      </c>
      <c r="Y938" s="213"/>
      <c r="AF938" s="230">
        <f>X938</f>
        <v>16256.22</v>
      </c>
      <c r="AI938" s="153"/>
      <c r="AJ938" s="468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</row>
    <row r="939" spans="1:77" s="205" customFormat="1" ht="11.25" customHeight="1">
      <c r="B939" s="205" t="s">
        <v>291</v>
      </c>
      <c r="C939" s="207"/>
      <c r="D939" s="207"/>
      <c r="E939" s="208" t="s">
        <v>968</v>
      </c>
      <c r="F939" s="205" t="s">
        <v>219</v>
      </c>
      <c r="G939" s="209">
        <v>4141</v>
      </c>
      <c r="H939" s="205" t="s">
        <v>27</v>
      </c>
      <c r="I939" s="205" t="s">
        <v>33</v>
      </c>
      <c r="J939" s="210">
        <v>13060.58</v>
      </c>
      <c r="L939" s="210">
        <v>9.5500000000000007</v>
      </c>
      <c r="M939" s="210">
        <v>9.5500000000000007</v>
      </c>
      <c r="N939" s="213">
        <f>0.5*J939</f>
        <v>6530.29</v>
      </c>
      <c r="O939" s="212">
        <v>0.2</v>
      </c>
      <c r="P939" s="212"/>
      <c r="Q939" s="213">
        <v>0</v>
      </c>
      <c r="R939" s="205" t="s">
        <v>73</v>
      </c>
      <c r="S939" s="214" t="s">
        <v>150</v>
      </c>
      <c r="T939" s="214">
        <v>31</v>
      </c>
      <c r="U939" s="215" t="s">
        <v>164</v>
      </c>
      <c r="V939" s="438"/>
      <c r="X939" s="213">
        <v>0</v>
      </c>
      <c r="Y939" s="213"/>
      <c r="AF939" s="230">
        <f>X939</f>
        <v>0</v>
      </c>
      <c r="AI939" s="153"/>
      <c r="AJ939" s="468"/>
    </row>
    <row r="940" spans="1:77" s="205" customFormat="1" ht="11.25" customHeight="1">
      <c r="B940" s="205" t="s">
        <v>291</v>
      </c>
      <c r="C940" s="207"/>
      <c r="D940" s="207"/>
      <c r="E940" s="208" t="s">
        <v>968</v>
      </c>
      <c r="F940" s="205" t="s">
        <v>219</v>
      </c>
      <c r="G940" s="209">
        <v>4141</v>
      </c>
      <c r="H940" s="205" t="s">
        <v>183</v>
      </c>
      <c r="I940" s="205" t="s">
        <v>33</v>
      </c>
      <c r="J940" s="210">
        <v>14697.21</v>
      </c>
      <c r="L940" s="210">
        <v>14.49</v>
      </c>
      <c r="M940" s="210">
        <v>14.49</v>
      </c>
      <c r="N940" s="213">
        <f>0.7*J940</f>
        <v>10288.046999999999</v>
      </c>
      <c r="O940" s="212">
        <v>0.2</v>
      </c>
      <c r="P940" s="212"/>
      <c r="Q940" s="213">
        <v>5671.97</v>
      </c>
      <c r="R940" s="205" t="s">
        <v>73</v>
      </c>
      <c r="S940" s="214" t="s">
        <v>150</v>
      </c>
      <c r="T940" s="214">
        <v>31</v>
      </c>
      <c r="U940" s="215" t="s">
        <v>164</v>
      </c>
      <c r="V940" s="438"/>
      <c r="X940" s="213">
        <v>5671.97</v>
      </c>
      <c r="Y940" s="213"/>
      <c r="AF940" s="230">
        <f>X940</f>
        <v>5671.97</v>
      </c>
      <c r="AJ940" s="216"/>
    </row>
    <row r="941" spans="1:77" s="337" customFormat="1" ht="11.25" customHeight="1">
      <c r="B941" s="337" t="s">
        <v>291</v>
      </c>
      <c r="C941" s="349"/>
      <c r="D941" s="349"/>
      <c r="E941" s="350" t="s">
        <v>968</v>
      </c>
      <c r="F941" s="337" t="s">
        <v>219</v>
      </c>
      <c r="G941" s="351">
        <v>4141</v>
      </c>
      <c r="H941" s="337" t="s">
        <v>765</v>
      </c>
      <c r="I941" s="337" t="s">
        <v>33</v>
      </c>
      <c r="J941" s="352">
        <v>38176.86</v>
      </c>
      <c r="L941" s="352">
        <v>28.03</v>
      </c>
      <c r="M941" s="352">
        <v>28.03</v>
      </c>
      <c r="N941" s="354"/>
      <c r="O941" s="355">
        <v>0.2</v>
      </c>
      <c r="P941" s="355"/>
      <c r="Q941" s="354">
        <v>10359.89</v>
      </c>
      <c r="R941" s="337" t="s">
        <v>73</v>
      </c>
      <c r="S941" s="356" t="s">
        <v>150</v>
      </c>
      <c r="T941" s="356">
        <v>31</v>
      </c>
      <c r="U941" s="357" t="s">
        <v>164</v>
      </c>
      <c r="V941" s="434"/>
      <c r="X941" s="354">
        <v>10359.89</v>
      </c>
      <c r="Y941" s="354"/>
      <c r="AI941" s="354">
        <v>10359.89</v>
      </c>
      <c r="AJ941" s="358"/>
      <c r="AK941" s="369"/>
    </row>
    <row r="942" spans="1:77" s="337" customFormat="1" ht="11.25" customHeight="1">
      <c r="B942" s="337" t="s">
        <v>291</v>
      </c>
      <c r="C942" s="349">
        <v>44692</v>
      </c>
      <c r="D942" s="349">
        <v>44692</v>
      </c>
      <c r="E942" s="350" t="s">
        <v>969</v>
      </c>
      <c r="F942" s="337" t="s">
        <v>970</v>
      </c>
      <c r="G942" s="351">
        <v>3876</v>
      </c>
      <c r="H942" s="337" t="s">
        <v>99</v>
      </c>
      <c r="I942" s="337" t="s">
        <v>33</v>
      </c>
      <c r="J942" s="352">
        <v>17880.91</v>
      </c>
      <c r="L942" s="352">
        <v>10.9</v>
      </c>
      <c r="M942" s="352">
        <v>10.9</v>
      </c>
      <c r="N942" s="360"/>
      <c r="O942" s="355">
        <v>0.2</v>
      </c>
      <c r="P942" s="355"/>
      <c r="Q942" s="354">
        <v>0</v>
      </c>
      <c r="R942" s="337" t="s">
        <v>35</v>
      </c>
      <c r="S942" s="356" t="s">
        <v>971</v>
      </c>
      <c r="T942" s="356">
        <v>16</v>
      </c>
      <c r="U942" s="357" t="s">
        <v>164</v>
      </c>
      <c r="V942" s="434"/>
      <c r="X942" s="354">
        <v>0</v>
      </c>
      <c r="Y942" s="354"/>
      <c r="AI942" s="337">
        <v>0</v>
      </c>
      <c r="AJ942" s="358"/>
      <c r="AK942" s="369"/>
    </row>
    <row r="943" spans="1:77" s="337" customFormat="1" ht="11.25" customHeight="1">
      <c r="B943" s="337" t="s">
        <v>291</v>
      </c>
      <c r="C943" s="349"/>
      <c r="D943" s="349"/>
      <c r="E943" s="350" t="s">
        <v>969</v>
      </c>
      <c r="F943" s="337" t="s">
        <v>970</v>
      </c>
      <c r="G943" s="351">
        <v>3876</v>
      </c>
      <c r="H943" s="337" t="s">
        <v>99</v>
      </c>
      <c r="I943" s="337" t="s">
        <v>33</v>
      </c>
      <c r="J943" s="352">
        <v>58039.12</v>
      </c>
      <c r="L943" s="352">
        <v>35.380000000000003</v>
      </c>
      <c r="M943" s="352">
        <v>35.380000000000003</v>
      </c>
      <c r="N943" s="360"/>
      <c r="O943" s="355">
        <v>0.2</v>
      </c>
      <c r="P943" s="355"/>
      <c r="Q943" s="354">
        <v>8198.9599999999991</v>
      </c>
      <c r="R943" s="337" t="s">
        <v>35</v>
      </c>
      <c r="S943" s="356" t="s">
        <v>971</v>
      </c>
      <c r="T943" s="356">
        <v>17</v>
      </c>
      <c r="U943" s="357" t="s">
        <v>164</v>
      </c>
      <c r="V943" s="434"/>
      <c r="X943" s="354">
        <v>8198.9599999999991</v>
      </c>
      <c r="Y943" s="354"/>
      <c r="AI943" s="354">
        <v>8198.9599999999991</v>
      </c>
      <c r="AJ943" s="358"/>
      <c r="AK943" s="369"/>
    </row>
    <row r="944" spans="1:77" s="337" customFormat="1" ht="11.25" customHeight="1">
      <c r="B944" s="337" t="s">
        <v>291</v>
      </c>
      <c r="C944" s="349"/>
      <c r="D944" s="349"/>
      <c r="E944" s="350" t="s">
        <v>969</v>
      </c>
      <c r="F944" s="337" t="s">
        <v>970</v>
      </c>
      <c r="G944" s="351">
        <v>3876</v>
      </c>
      <c r="H944" s="337" t="s">
        <v>183</v>
      </c>
      <c r="I944" s="337" t="s">
        <v>33</v>
      </c>
      <c r="J944" s="352">
        <v>24805.24</v>
      </c>
      <c r="L944" s="352">
        <v>17.059999999999999</v>
      </c>
      <c r="M944" s="352">
        <v>17.059999999999999</v>
      </c>
      <c r="N944" s="360"/>
      <c r="O944" s="355">
        <v>0.2</v>
      </c>
      <c r="P944" s="355"/>
      <c r="Q944" s="354">
        <v>907.59</v>
      </c>
      <c r="R944" s="337" t="s">
        <v>35</v>
      </c>
      <c r="S944" s="356" t="s">
        <v>971</v>
      </c>
      <c r="T944" s="356">
        <v>17</v>
      </c>
      <c r="U944" s="357" t="s">
        <v>164</v>
      </c>
      <c r="V944" s="434"/>
      <c r="X944" s="354">
        <v>907.59</v>
      </c>
      <c r="Y944" s="354"/>
      <c r="AI944" s="354">
        <v>907.59</v>
      </c>
      <c r="AJ944" s="358"/>
      <c r="AK944" s="369"/>
    </row>
    <row r="945" spans="1:77" s="337" customFormat="1" ht="11.25" customHeight="1">
      <c r="B945" s="337" t="s">
        <v>291</v>
      </c>
      <c r="C945" s="349"/>
      <c r="D945" s="349"/>
      <c r="E945" s="350" t="s">
        <v>969</v>
      </c>
      <c r="F945" s="337" t="s">
        <v>970</v>
      </c>
      <c r="G945" s="351">
        <v>3876</v>
      </c>
      <c r="H945" s="337" t="s">
        <v>310</v>
      </c>
      <c r="I945" s="337" t="s">
        <v>33</v>
      </c>
      <c r="J945" s="352">
        <v>5727.12</v>
      </c>
      <c r="L945" s="352">
        <v>4.82</v>
      </c>
      <c r="M945" s="352">
        <v>4.82</v>
      </c>
      <c r="N945" s="360">
        <f>J945*0.4</f>
        <v>2290.848</v>
      </c>
      <c r="O945" s="355">
        <v>0.2</v>
      </c>
      <c r="P945" s="355"/>
      <c r="Q945" s="354">
        <v>1799.6</v>
      </c>
      <c r="R945" s="337" t="s">
        <v>35</v>
      </c>
      <c r="S945" s="356" t="s">
        <v>971</v>
      </c>
      <c r="T945" s="356">
        <v>17</v>
      </c>
      <c r="U945" s="357" t="s">
        <v>164</v>
      </c>
      <c r="V945" s="434"/>
      <c r="X945" s="354">
        <v>1799.6</v>
      </c>
      <c r="Y945" s="354"/>
      <c r="AI945" s="354">
        <v>1799.6</v>
      </c>
      <c r="AJ945" s="358"/>
      <c r="AK945" s="369"/>
    </row>
    <row r="946" spans="1:77" s="291" customFormat="1" ht="11.25" customHeight="1">
      <c r="B946" s="291" t="s">
        <v>291</v>
      </c>
      <c r="C946" s="292">
        <v>44693</v>
      </c>
      <c r="D946" s="292">
        <v>44693</v>
      </c>
      <c r="E946" s="293" t="s">
        <v>972</v>
      </c>
      <c r="F946" s="291" t="s">
        <v>479</v>
      </c>
      <c r="G946" s="294">
        <v>3640</v>
      </c>
      <c r="H946" s="291" t="s">
        <v>765</v>
      </c>
      <c r="I946" s="291" t="s">
        <v>973</v>
      </c>
      <c r="J946" s="296">
        <v>12482.68</v>
      </c>
      <c r="L946" s="296">
        <v>9.2100000000000009</v>
      </c>
      <c r="M946" s="296">
        <v>2</v>
      </c>
      <c r="N946" s="312"/>
      <c r="O946" s="298">
        <v>0.2</v>
      </c>
      <c r="P946" s="298"/>
      <c r="Q946" s="297">
        <v>1285.03</v>
      </c>
      <c r="R946" s="291" t="s">
        <v>128</v>
      </c>
      <c r="S946" s="299" t="s">
        <v>41</v>
      </c>
      <c r="T946" s="299">
        <v>79</v>
      </c>
      <c r="U946" s="300" t="s">
        <v>164</v>
      </c>
      <c r="V946" s="333">
        <v>300</v>
      </c>
      <c r="X946" s="297">
        <v>1285.03</v>
      </c>
      <c r="Y946" s="297"/>
      <c r="AH946" s="297">
        <f>X946</f>
        <v>1285.03</v>
      </c>
      <c r="AI946" s="311"/>
      <c r="AJ946" s="468"/>
    </row>
    <row r="947" spans="1:77" s="6" customFormat="1" ht="11.25" customHeight="1">
      <c r="A947" s="379"/>
      <c r="B947" s="379" t="s">
        <v>291</v>
      </c>
      <c r="C947" s="381">
        <v>44692</v>
      </c>
      <c r="D947" s="381">
        <v>44693</v>
      </c>
      <c r="E947" s="382" t="s">
        <v>974</v>
      </c>
      <c r="F947" s="379" t="s">
        <v>283</v>
      </c>
      <c r="G947" s="383" t="s">
        <v>284</v>
      </c>
      <c r="H947" s="379" t="s">
        <v>866</v>
      </c>
      <c r="I947" s="379" t="s">
        <v>33</v>
      </c>
      <c r="J947" s="385">
        <v>9981.74</v>
      </c>
      <c r="K947" s="379"/>
      <c r="L947" s="385">
        <v>7.67</v>
      </c>
      <c r="M947" s="385">
        <v>7.23</v>
      </c>
      <c r="N947" s="407">
        <v>1497.26</v>
      </c>
      <c r="O947" s="387">
        <v>0.2</v>
      </c>
      <c r="P947" s="387"/>
      <c r="Q947" s="390">
        <v>1267.3900000000001</v>
      </c>
      <c r="R947" s="379" t="s">
        <v>285</v>
      </c>
      <c r="S947" s="388" t="s">
        <v>275</v>
      </c>
      <c r="T947" s="388">
        <v>21</v>
      </c>
      <c r="U947" s="389" t="s">
        <v>164</v>
      </c>
      <c r="V947" s="433">
        <v>1267.3900000000001</v>
      </c>
      <c r="W947" s="379"/>
      <c r="X947" s="390">
        <v>1267.3900000000001</v>
      </c>
      <c r="Y947" s="386"/>
      <c r="Z947" s="379"/>
      <c r="AA947" s="379"/>
      <c r="AB947" s="379"/>
      <c r="AC947" s="379"/>
      <c r="AD947" s="379"/>
      <c r="AE947" s="379"/>
      <c r="AF947" s="379"/>
      <c r="AG947" s="379"/>
      <c r="AH947" s="379"/>
      <c r="AI947" s="379"/>
      <c r="AJ947" s="390">
        <v>1267.3900000000001</v>
      </c>
      <c r="AK947" s="379"/>
      <c r="AL947" s="379"/>
      <c r="AM947" s="379"/>
      <c r="AN947" s="379"/>
      <c r="AO947" s="379"/>
      <c r="AP947" s="379"/>
      <c r="AQ947" s="379"/>
      <c r="AR947" s="379"/>
      <c r="AS947" s="379"/>
      <c r="AT947" s="379"/>
      <c r="AU947" s="379"/>
      <c r="AV947" s="379"/>
      <c r="AW947" s="379"/>
      <c r="AX947" s="379"/>
      <c r="AY947" s="379"/>
      <c r="AZ947" s="379"/>
      <c r="BA947" s="379"/>
      <c r="BB947" s="379"/>
      <c r="BC947" s="379"/>
      <c r="BD947" s="379"/>
      <c r="BE947" s="379"/>
      <c r="BF947" s="379"/>
      <c r="BG947" s="379"/>
      <c r="BH947" s="379"/>
      <c r="BI947" s="379"/>
      <c r="BJ947" s="379"/>
      <c r="BK947" s="379"/>
      <c r="BL947" s="379"/>
      <c r="BM947" s="379"/>
      <c r="BN947" s="379"/>
      <c r="BO947" s="379"/>
      <c r="BP947" s="379"/>
      <c r="BQ947" s="379"/>
      <c r="BR947" s="379"/>
      <c r="BS947" s="379"/>
      <c r="BT947" s="379"/>
      <c r="BU947" s="379"/>
      <c r="BV947" s="379"/>
      <c r="BW947" s="379"/>
      <c r="BX947" s="379"/>
      <c r="BY947" s="379"/>
    </row>
    <row r="948" spans="1:77" s="261" customFormat="1" ht="11.25" customHeight="1">
      <c r="B948" s="258" t="s">
        <v>291</v>
      </c>
      <c r="C948" s="259">
        <v>44691</v>
      </c>
      <c r="D948" s="259">
        <v>44693</v>
      </c>
      <c r="E948" s="260" t="s">
        <v>975</v>
      </c>
      <c r="F948" s="261" t="s">
        <v>509</v>
      </c>
      <c r="G948" s="262">
        <v>3568</v>
      </c>
      <c r="H948" s="261" t="s">
        <v>99</v>
      </c>
      <c r="I948" s="261" t="s">
        <v>33</v>
      </c>
      <c r="J948" s="263">
        <v>84726.399999999994</v>
      </c>
      <c r="L948" s="263">
        <v>73.040000000000006</v>
      </c>
      <c r="M948" s="263">
        <v>73.040000000000006</v>
      </c>
      <c r="N948" s="281">
        <f>J948*0.2</f>
        <v>16945.28</v>
      </c>
      <c r="O948" s="266">
        <v>0.15</v>
      </c>
      <c r="P948" s="266"/>
      <c r="Q948" s="265">
        <v>3079.37</v>
      </c>
      <c r="R948" s="261" t="s">
        <v>35</v>
      </c>
      <c r="S948" s="267" t="s">
        <v>41</v>
      </c>
      <c r="T948" s="267">
        <v>17</v>
      </c>
      <c r="U948" s="268" t="s">
        <v>164</v>
      </c>
      <c r="V948" s="427"/>
      <c r="X948" s="265">
        <v>3079.37</v>
      </c>
      <c r="Y948" s="265"/>
      <c r="AG948" s="261">
        <f>X948</f>
        <v>3079.37</v>
      </c>
      <c r="AJ948" s="642"/>
    </row>
    <row r="949" spans="1:77" s="261" customFormat="1" ht="11.25" customHeight="1">
      <c r="B949" s="258" t="s">
        <v>291</v>
      </c>
      <c r="C949" s="259"/>
      <c r="D949" s="259"/>
      <c r="E949" s="260" t="s">
        <v>975</v>
      </c>
      <c r="F949" s="261" t="s">
        <v>509</v>
      </c>
      <c r="G949" s="262">
        <v>3568</v>
      </c>
      <c r="H949" s="261" t="s">
        <v>140</v>
      </c>
      <c r="I949" s="261" t="s">
        <v>33</v>
      </c>
      <c r="J949" s="263">
        <v>9438.86</v>
      </c>
      <c r="L949" s="263">
        <v>7.41</v>
      </c>
      <c r="M949" s="263">
        <v>7.41</v>
      </c>
      <c r="N949" s="281">
        <f>J949*0.2</f>
        <v>1887.7720000000002</v>
      </c>
      <c r="O949" s="266">
        <v>0.15</v>
      </c>
      <c r="P949" s="266"/>
      <c r="Q949" s="265">
        <v>2061.39</v>
      </c>
      <c r="R949" s="261" t="s">
        <v>35</v>
      </c>
      <c r="S949" s="267" t="s">
        <v>41</v>
      </c>
      <c r="T949" s="267">
        <v>17</v>
      </c>
      <c r="U949" s="268" t="s">
        <v>164</v>
      </c>
      <c r="V949" s="427"/>
      <c r="X949" s="265">
        <v>2061.39</v>
      </c>
      <c r="Y949" s="265"/>
      <c r="AG949" s="261">
        <f>X949</f>
        <v>2061.39</v>
      </c>
      <c r="AJ949" s="642"/>
    </row>
    <row r="950" spans="1:77" s="261" customFormat="1" ht="11.25" customHeight="1">
      <c r="B950" s="258" t="s">
        <v>291</v>
      </c>
      <c r="C950" s="259"/>
      <c r="D950" s="259"/>
      <c r="E950" s="260" t="s">
        <v>975</v>
      </c>
      <c r="F950" s="261" t="s">
        <v>509</v>
      </c>
      <c r="G950" s="262">
        <v>3568</v>
      </c>
      <c r="H950" s="261" t="s">
        <v>310</v>
      </c>
      <c r="I950" s="261" t="s">
        <v>33</v>
      </c>
      <c r="J950" s="263">
        <v>6141.96</v>
      </c>
      <c r="L950" s="263">
        <v>8.4600000000000009</v>
      </c>
      <c r="M950" s="263">
        <v>8.4600000000000009</v>
      </c>
      <c r="N950" s="281">
        <f>0.4*J950</f>
        <v>2456.7840000000001</v>
      </c>
      <c r="O950" s="266">
        <v>0.15</v>
      </c>
      <c r="P950" s="266"/>
      <c r="Q950" s="265">
        <v>2513.4699999999998</v>
      </c>
      <c r="R950" s="261" t="s">
        <v>35</v>
      </c>
      <c r="S950" s="267" t="s">
        <v>41</v>
      </c>
      <c r="T950" s="267">
        <v>17</v>
      </c>
      <c r="U950" s="268" t="s">
        <v>164</v>
      </c>
      <c r="V950" s="427"/>
      <c r="X950" s="265">
        <v>2513.4699999999998</v>
      </c>
      <c r="Y950" s="265"/>
      <c r="AG950" s="261">
        <f>X950</f>
        <v>2513.4699999999998</v>
      </c>
      <c r="AJ950" s="642"/>
    </row>
    <row r="951" spans="1:77" s="261" customFormat="1" ht="11.25" customHeight="1">
      <c r="B951" s="258" t="s">
        <v>291</v>
      </c>
      <c r="C951" s="259"/>
      <c r="D951" s="259"/>
      <c r="E951" s="260" t="s">
        <v>975</v>
      </c>
      <c r="F951" s="261" t="s">
        <v>509</v>
      </c>
      <c r="G951" s="262">
        <v>3568</v>
      </c>
      <c r="H951" s="261" t="s">
        <v>27</v>
      </c>
      <c r="I951" s="261" t="s">
        <v>33</v>
      </c>
      <c r="J951" s="263">
        <v>18564.349999999999</v>
      </c>
      <c r="L951" s="263">
        <v>17.11</v>
      </c>
      <c r="M951" s="263">
        <v>17.11</v>
      </c>
      <c r="N951" s="281"/>
      <c r="O951" s="266">
        <v>0.15</v>
      </c>
      <c r="P951" s="266"/>
      <c r="Q951" s="265">
        <v>4772.83</v>
      </c>
      <c r="R951" s="261" t="s">
        <v>35</v>
      </c>
      <c r="S951" s="267" t="s">
        <v>41</v>
      </c>
      <c r="T951" s="267">
        <v>17</v>
      </c>
      <c r="U951" s="268" t="s">
        <v>164</v>
      </c>
      <c r="V951" s="427"/>
      <c r="X951" s="265">
        <v>4772.83</v>
      </c>
      <c r="Y951" s="265"/>
      <c r="AG951" s="261">
        <f>X951</f>
        <v>4772.83</v>
      </c>
      <c r="AJ951" s="642"/>
    </row>
    <row r="952" spans="1:77" s="205" customFormat="1" ht="11.25" customHeight="1">
      <c r="B952" s="206" t="s">
        <v>291</v>
      </c>
      <c r="C952" s="207">
        <v>44691</v>
      </c>
      <c r="D952" s="207">
        <v>44691</v>
      </c>
      <c r="E952" s="208" t="s">
        <v>976</v>
      </c>
      <c r="F952" s="205" t="s">
        <v>977</v>
      </c>
      <c r="G952" s="209">
        <v>3881</v>
      </c>
      <c r="H952" s="205" t="s">
        <v>99</v>
      </c>
      <c r="I952" s="205" t="s">
        <v>33</v>
      </c>
      <c r="J952" s="210">
        <v>13991.6</v>
      </c>
      <c r="L952" s="210">
        <v>13.3</v>
      </c>
      <c r="M952" s="210">
        <v>13.3</v>
      </c>
      <c r="N952" s="211">
        <v>2623.81</v>
      </c>
      <c r="O952" s="212">
        <v>0.15</v>
      </c>
      <c r="P952" s="212"/>
      <c r="Q952" s="213">
        <v>525.26</v>
      </c>
      <c r="R952" s="205" t="s">
        <v>142</v>
      </c>
      <c r="S952" s="214" t="s">
        <v>41</v>
      </c>
      <c r="T952" s="214">
        <v>16</v>
      </c>
      <c r="U952" s="215" t="s">
        <v>164</v>
      </c>
      <c r="V952" s="438"/>
      <c r="X952" s="213">
        <v>525.26</v>
      </c>
      <c r="Y952" s="213"/>
      <c r="AF952" s="230">
        <f>X952</f>
        <v>525.26</v>
      </c>
      <c r="AJ952" s="216"/>
    </row>
    <row r="953" spans="1:77" s="205" customFormat="1" ht="11.25" customHeight="1">
      <c r="B953" s="206" t="s">
        <v>291</v>
      </c>
      <c r="C953" s="207"/>
      <c r="D953" s="207"/>
      <c r="E953" s="208" t="s">
        <v>976</v>
      </c>
      <c r="F953" s="205" t="s">
        <v>977</v>
      </c>
      <c r="G953" s="209">
        <v>3881</v>
      </c>
      <c r="H953" s="205" t="s">
        <v>163</v>
      </c>
      <c r="I953" s="205" t="s">
        <v>33</v>
      </c>
      <c r="J953" s="210">
        <v>6862.71</v>
      </c>
      <c r="L953" s="210">
        <v>9.41</v>
      </c>
      <c r="M953" s="210">
        <v>9.41</v>
      </c>
      <c r="N953" s="211">
        <v>192.16</v>
      </c>
      <c r="O953" s="212">
        <v>0.15</v>
      </c>
      <c r="P953" s="212"/>
      <c r="Q953" s="213">
        <v>0</v>
      </c>
      <c r="R953" s="205" t="s">
        <v>142</v>
      </c>
      <c r="S953" s="214" t="s">
        <v>41</v>
      </c>
      <c r="T953" s="214">
        <v>16</v>
      </c>
      <c r="U953" s="215" t="s">
        <v>164</v>
      </c>
      <c r="V953" s="438"/>
      <c r="X953" s="213">
        <v>0</v>
      </c>
      <c r="Y953" s="213"/>
      <c r="AF953" s="230">
        <f>X953</f>
        <v>0</v>
      </c>
      <c r="AJ953" s="216"/>
    </row>
    <row r="954" spans="1:77" s="647" customFormat="1" ht="11.25" customHeight="1">
      <c r="B954" s="661" t="s">
        <v>291</v>
      </c>
      <c r="C954" s="648">
        <v>44691</v>
      </c>
      <c r="D954" s="648">
        <v>44691</v>
      </c>
      <c r="E954" s="649" t="s">
        <v>979</v>
      </c>
      <c r="F954" s="647" t="s">
        <v>978</v>
      </c>
      <c r="G954" s="650">
        <v>4479</v>
      </c>
      <c r="H954" s="647" t="s">
        <v>99</v>
      </c>
      <c r="I954" s="647" t="s">
        <v>33</v>
      </c>
      <c r="J954" s="651">
        <v>23512.01</v>
      </c>
      <c r="L954" s="651">
        <v>22.3</v>
      </c>
      <c r="M954" s="651">
        <v>22.3</v>
      </c>
      <c r="N954" s="662">
        <v>4702.3999999999996</v>
      </c>
      <c r="O954" s="653">
        <v>0.15</v>
      </c>
      <c r="P954" s="653"/>
      <c r="Q954" s="652">
        <v>2956.48</v>
      </c>
      <c r="R954" s="647" t="s">
        <v>128</v>
      </c>
      <c r="S954" s="654" t="s">
        <v>34</v>
      </c>
      <c r="T954" s="654">
        <v>79</v>
      </c>
      <c r="U954" s="655" t="s">
        <v>164</v>
      </c>
      <c r="V954" s="663"/>
      <c r="X954" s="652">
        <v>2956.48</v>
      </c>
      <c r="Y954" s="652"/>
      <c r="AI954" s="652">
        <v>2956.48</v>
      </c>
      <c r="AJ954" s="657"/>
      <c r="AK954" s="658"/>
    </row>
    <row r="955" spans="1:77" s="647" customFormat="1" ht="11.25" customHeight="1">
      <c r="B955" s="661" t="s">
        <v>291</v>
      </c>
      <c r="C955" s="648"/>
      <c r="D955" s="648"/>
      <c r="E955" s="649" t="s">
        <v>979</v>
      </c>
      <c r="F955" s="647" t="s">
        <v>978</v>
      </c>
      <c r="G955" s="650">
        <v>4479</v>
      </c>
      <c r="H955" s="647" t="s">
        <v>183</v>
      </c>
      <c r="I955" s="647" t="s">
        <v>33</v>
      </c>
      <c r="J955" s="651">
        <v>10880.19</v>
      </c>
      <c r="L955" s="651">
        <v>10.62</v>
      </c>
      <c r="M955" s="651">
        <v>10.62</v>
      </c>
      <c r="N955" s="662">
        <v>1632.03</v>
      </c>
      <c r="O955" s="653">
        <v>0.15</v>
      </c>
      <c r="P955" s="653"/>
      <c r="Q955" s="652">
        <v>1807.26</v>
      </c>
      <c r="R955" s="647" t="s">
        <v>128</v>
      </c>
      <c r="S955" s="654" t="s">
        <v>34</v>
      </c>
      <c r="T955" s="654">
        <v>79</v>
      </c>
      <c r="U955" s="655" t="s">
        <v>164</v>
      </c>
      <c r="V955" s="656"/>
      <c r="X955" s="652">
        <v>1807.26</v>
      </c>
      <c r="Y955" s="652"/>
      <c r="AI955" s="652">
        <v>1807.26</v>
      </c>
      <c r="AJ955" s="657"/>
      <c r="AK955" s="658"/>
    </row>
    <row r="956" spans="1:77" s="647" customFormat="1" ht="11.75" customHeight="1">
      <c r="B956" s="661" t="s">
        <v>291</v>
      </c>
      <c r="C956" s="648"/>
      <c r="D956" s="648"/>
      <c r="E956" s="649" t="s">
        <v>979</v>
      </c>
      <c r="F956" s="647" t="s">
        <v>978</v>
      </c>
      <c r="G956" s="650">
        <v>4479</v>
      </c>
      <c r="H956" s="647" t="s">
        <v>765</v>
      </c>
      <c r="I956" s="647" t="s">
        <v>33</v>
      </c>
      <c r="J956" s="651">
        <v>22128</v>
      </c>
      <c r="L956" s="651">
        <v>27.66</v>
      </c>
      <c r="M956" s="651">
        <v>11.87</v>
      </c>
      <c r="N956" s="662">
        <v>1072.8</v>
      </c>
      <c r="O956" s="653">
        <v>0.15</v>
      </c>
      <c r="P956" s="653"/>
      <c r="Q956" s="652">
        <v>1073</v>
      </c>
      <c r="R956" s="647" t="s">
        <v>128</v>
      </c>
      <c r="S956" s="654" t="s">
        <v>34</v>
      </c>
      <c r="T956" s="654">
        <v>79</v>
      </c>
      <c r="U956" s="655" t="s">
        <v>164</v>
      </c>
      <c r="V956" s="656">
        <v>1073</v>
      </c>
      <c r="X956" s="657">
        <v>1073</v>
      </c>
      <c r="Y956" s="652"/>
      <c r="AI956" s="657">
        <v>1073</v>
      </c>
      <c r="AJ956" s="657"/>
      <c r="AK956" s="658"/>
    </row>
    <row r="957" spans="1:77" s="647" customFormat="1" ht="11.25" customHeight="1">
      <c r="B957" s="661" t="s">
        <v>291</v>
      </c>
      <c r="C957" s="648"/>
      <c r="D957" s="648"/>
      <c r="E957" s="649" t="s">
        <v>979</v>
      </c>
      <c r="F957" s="647" t="s">
        <v>978</v>
      </c>
      <c r="G957" s="650">
        <v>4479</v>
      </c>
      <c r="H957" s="647" t="s">
        <v>310</v>
      </c>
      <c r="I957" s="647" t="s">
        <v>33</v>
      </c>
      <c r="J957" s="651">
        <v>3786.92</v>
      </c>
      <c r="L957" s="651">
        <v>4.9000000000000004</v>
      </c>
      <c r="M957" s="651">
        <v>4.9000000000000004</v>
      </c>
      <c r="N957" s="662">
        <v>946.73</v>
      </c>
      <c r="O957" s="653">
        <v>0.15</v>
      </c>
      <c r="P957" s="653"/>
      <c r="Q957" s="652">
        <v>900.41</v>
      </c>
      <c r="R957" s="647" t="s">
        <v>128</v>
      </c>
      <c r="S957" s="654" t="s">
        <v>34</v>
      </c>
      <c r="T957" s="654">
        <v>79</v>
      </c>
      <c r="U957" s="655" t="s">
        <v>164</v>
      </c>
      <c r="V957" s="656"/>
      <c r="X957" s="652">
        <v>900.41</v>
      </c>
      <c r="Y957" s="652"/>
      <c r="AI957" s="652">
        <v>900.41</v>
      </c>
      <c r="AJ957" s="657"/>
      <c r="AK957" s="658"/>
    </row>
    <row r="958" spans="1:77" s="647" customFormat="1" ht="11.25" customHeight="1">
      <c r="B958" s="661" t="s">
        <v>291</v>
      </c>
      <c r="C958" s="648"/>
      <c r="D958" s="648"/>
      <c r="E958" s="649" t="s">
        <v>979</v>
      </c>
      <c r="F958" s="647" t="s">
        <v>978</v>
      </c>
      <c r="G958" s="650">
        <v>4479</v>
      </c>
      <c r="H958" s="647" t="s">
        <v>550</v>
      </c>
      <c r="I958" s="647" t="s">
        <v>33</v>
      </c>
      <c r="J958" s="651">
        <v>2119.92</v>
      </c>
      <c r="L958" s="651">
        <v>3.65</v>
      </c>
      <c r="M958" s="651">
        <v>3.65</v>
      </c>
      <c r="N958" s="662">
        <v>317.99</v>
      </c>
      <c r="O958" s="653">
        <v>0.15</v>
      </c>
      <c r="P958" s="653"/>
      <c r="Q958" s="652">
        <v>1075.3800000000001</v>
      </c>
      <c r="R958" s="647" t="s">
        <v>128</v>
      </c>
      <c r="S958" s="654" t="s">
        <v>34</v>
      </c>
      <c r="T958" s="654">
        <v>79</v>
      </c>
      <c r="U958" s="655" t="s">
        <v>164</v>
      </c>
      <c r="V958" s="656"/>
      <c r="X958" s="652">
        <v>1075.3800000000001</v>
      </c>
      <c r="Y958" s="652"/>
      <c r="AI958" s="652">
        <v>1075.3800000000001</v>
      </c>
      <c r="AJ958" s="657"/>
      <c r="AK958" s="658"/>
    </row>
    <row r="959" spans="1:77" s="647" customFormat="1" ht="11.25" customHeight="1">
      <c r="B959" s="661" t="s">
        <v>291</v>
      </c>
      <c r="C959" s="648"/>
      <c r="D959" s="648"/>
      <c r="E959" s="649" t="s">
        <v>980</v>
      </c>
      <c r="F959" s="647" t="s">
        <v>994</v>
      </c>
      <c r="G959" s="650">
        <v>3823</v>
      </c>
      <c r="H959" s="647" t="s">
        <v>310</v>
      </c>
      <c r="I959" s="647" t="s">
        <v>961</v>
      </c>
      <c r="J959" s="651">
        <v>7338.32</v>
      </c>
      <c r="L959" s="651">
        <v>10.76</v>
      </c>
      <c r="M959" s="651">
        <v>10.76</v>
      </c>
      <c r="N959" s="662">
        <v>1467.664</v>
      </c>
      <c r="O959" s="653">
        <v>0.15</v>
      </c>
      <c r="P959" s="653"/>
      <c r="Q959" s="652">
        <v>127.47</v>
      </c>
      <c r="R959" s="647" t="s">
        <v>42</v>
      </c>
      <c r="S959" s="654" t="s">
        <v>41</v>
      </c>
      <c r="T959" s="654">
        <v>17</v>
      </c>
      <c r="U959" s="655" t="s">
        <v>164</v>
      </c>
      <c r="V959" s="656"/>
      <c r="X959" s="652">
        <v>127.47</v>
      </c>
      <c r="Y959" s="652"/>
      <c r="AI959" s="652">
        <v>127.47</v>
      </c>
      <c r="AJ959" s="657"/>
      <c r="AK959" s="658"/>
    </row>
    <row r="960" spans="1:77" s="205" customFormat="1" ht="11.25" customHeight="1">
      <c r="B960" s="206" t="s">
        <v>291</v>
      </c>
      <c r="C960" s="207">
        <v>44693</v>
      </c>
      <c r="D960" s="207">
        <v>44693</v>
      </c>
      <c r="E960" s="208" t="s">
        <v>980</v>
      </c>
      <c r="F960" s="205" t="s">
        <v>994</v>
      </c>
      <c r="G960" s="209">
        <v>3823</v>
      </c>
      <c r="H960" s="205" t="s">
        <v>27</v>
      </c>
      <c r="I960" s="205" t="s">
        <v>961</v>
      </c>
      <c r="J960" s="210">
        <v>22562.3</v>
      </c>
      <c r="L960" s="210">
        <v>17.760000000000002</v>
      </c>
      <c r="M960" s="210">
        <v>17.760000000000002</v>
      </c>
      <c r="N960" s="211"/>
      <c r="O960" s="212">
        <v>0.15</v>
      </c>
      <c r="P960" s="212"/>
      <c r="Q960" s="213">
        <v>0</v>
      </c>
      <c r="R960" s="205" t="s">
        <v>42</v>
      </c>
      <c r="S960" s="214" t="s">
        <v>41</v>
      </c>
      <c r="T960" s="214">
        <v>17</v>
      </c>
      <c r="U960" s="215" t="s">
        <v>164</v>
      </c>
      <c r="V960" s="438"/>
      <c r="W960" s="205" t="s">
        <v>2712</v>
      </c>
      <c r="X960" s="213">
        <v>0</v>
      </c>
      <c r="Y960" s="213"/>
      <c r="AF960" s="230">
        <f>X960</f>
        <v>0</v>
      </c>
      <c r="AJ960" s="216"/>
    </row>
    <row r="961" spans="1:41" s="205" customFormat="1" ht="11.25" customHeight="1">
      <c r="B961" s="206" t="s">
        <v>291</v>
      </c>
      <c r="C961" s="207"/>
      <c r="D961" s="207"/>
      <c r="E961" s="208" t="s">
        <v>980</v>
      </c>
      <c r="F961" s="205" t="s">
        <v>994</v>
      </c>
      <c r="G961" s="209">
        <v>3823</v>
      </c>
      <c r="H961" s="205" t="s">
        <v>99</v>
      </c>
      <c r="I961" s="205" t="s">
        <v>961</v>
      </c>
      <c r="J961" s="210">
        <v>9153.56</v>
      </c>
      <c r="L961" s="210">
        <v>12.14</v>
      </c>
      <c r="M961" s="210">
        <v>12.14</v>
      </c>
      <c r="N961" s="211"/>
      <c r="O961" s="212">
        <v>0.15</v>
      </c>
      <c r="P961" s="212"/>
      <c r="Q961" s="213">
        <v>0</v>
      </c>
      <c r="R961" s="205" t="s">
        <v>42</v>
      </c>
      <c r="S961" s="214" t="s">
        <v>41</v>
      </c>
      <c r="T961" s="214">
        <v>17</v>
      </c>
      <c r="U961" s="215" t="s">
        <v>164</v>
      </c>
      <c r="V961" s="438"/>
      <c r="W961" s="205" t="s">
        <v>2712</v>
      </c>
      <c r="X961" s="213">
        <v>0</v>
      </c>
      <c r="Y961" s="213"/>
      <c r="AF961" s="230">
        <f>X961</f>
        <v>0</v>
      </c>
      <c r="AJ961" s="216"/>
    </row>
    <row r="962" spans="1:41" s="205" customFormat="1" ht="11.25" customHeight="1">
      <c r="B962" s="206" t="s">
        <v>291</v>
      </c>
      <c r="C962" s="207"/>
      <c r="D962" s="207"/>
      <c r="E962" s="208" t="s">
        <v>980</v>
      </c>
      <c r="F962" s="205" t="s">
        <v>994</v>
      </c>
      <c r="G962" s="209">
        <v>3823</v>
      </c>
      <c r="H962" s="205" t="s">
        <v>765</v>
      </c>
      <c r="I962" s="205" t="s">
        <v>961</v>
      </c>
      <c r="J962" s="210">
        <v>6180.75</v>
      </c>
      <c r="L962" s="210">
        <v>10.050000000000001</v>
      </c>
      <c r="M962" s="210">
        <v>10.050000000000001</v>
      </c>
      <c r="N962" s="211"/>
      <c r="O962" s="212">
        <v>0.15</v>
      </c>
      <c r="P962" s="212"/>
      <c r="Q962" s="213">
        <v>0</v>
      </c>
      <c r="R962" s="205" t="s">
        <v>42</v>
      </c>
      <c r="S962" s="214" t="s">
        <v>41</v>
      </c>
      <c r="T962" s="214">
        <v>17</v>
      </c>
      <c r="U962" s="215" t="s">
        <v>164</v>
      </c>
      <c r="V962" s="438"/>
      <c r="W962" s="205" t="s">
        <v>2712</v>
      </c>
      <c r="X962" s="213">
        <v>0</v>
      </c>
      <c r="Y962" s="213"/>
      <c r="AF962" s="230">
        <f>X962</f>
        <v>0</v>
      </c>
      <c r="AJ962" s="216"/>
    </row>
    <row r="963" spans="1:41" s="379" customFormat="1" ht="11.25" customHeight="1">
      <c r="B963" s="379" t="s">
        <v>291</v>
      </c>
      <c r="C963" s="381">
        <v>44691</v>
      </c>
      <c r="D963" s="381">
        <v>44693</v>
      </c>
      <c r="E963" s="382" t="s">
        <v>981</v>
      </c>
      <c r="F963" s="379" t="s">
        <v>3825</v>
      </c>
      <c r="G963" s="383">
        <v>3592</v>
      </c>
      <c r="H963" s="379" t="s">
        <v>765</v>
      </c>
      <c r="I963" s="379" t="s">
        <v>33</v>
      </c>
      <c r="J963" s="385">
        <v>19187.87</v>
      </c>
      <c r="L963" s="385">
        <v>28.69</v>
      </c>
      <c r="M963" s="385">
        <v>28.69</v>
      </c>
      <c r="N963" s="407"/>
      <c r="O963" s="387">
        <v>0.15</v>
      </c>
      <c r="P963" s="387"/>
      <c r="Q963" s="386">
        <v>16769.66</v>
      </c>
      <c r="R963" s="379" t="s">
        <v>35</v>
      </c>
      <c r="S963" s="388" t="s">
        <v>41</v>
      </c>
      <c r="T963" s="388">
        <v>17</v>
      </c>
      <c r="U963" s="389" t="s">
        <v>164</v>
      </c>
      <c r="V963" s="433">
        <v>1920.89</v>
      </c>
      <c r="X963" s="386">
        <v>16769.66</v>
      </c>
      <c r="Y963" s="386"/>
      <c r="AJ963" s="416">
        <v>16769.66</v>
      </c>
    </row>
    <row r="964" spans="1:41" s="291" customFormat="1" ht="11.25" customHeight="1">
      <c r="A964" s="291" t="s">
        <v>3893</v>
      </c>
      <c r="B964" s="310" t="s">
        <v>291</v>
      </c>
      <c r="C964" s="292">
        <v>44692</v>
      </c>
      <c r="D964" s="292">
        <v>44692</v>
      </c>
      <c r="E964" s="293" t="s">
        <v>982</v>
      </c>
      <c r="F964" s="291" t="s">
        <v>461</v>
      </c>
      <c r="G964" s="294">
        <v>3513</v>
      </c>
      <c r="H964" s="291" t="s">
        <v>866</v>
      </c>
      <c r="I964" s="291" t="s">
        <v>33</v>
      </c>
      <c r="J964" s="296">
        <v>1654.38</v>
      </c>
      <c r="L964" s="296">
        <v>1.3</v>
      </c>
      <c r="M964" s="296">
        <v>1.3</v>
      </c>
      <c r="N964" s="312">
        <v>82.718999999999994</v>
      </c>
      <c r="O964" s="298">
        <v>0.2</v>
      </c>
      <c r="P964" s="298"/>
      <c r="Q964" s="297">
        <v>963.61</v>
      </c>
      <c r="R964" s="291" t="s">
        <v>42</v>
      </c>
      <c r="S964" s="299" t="s">
        <v>34</v>
      </c>
      <c r="T964" s="299">
        <v>17</v>
      </c>
      <c r="U964" s="300" t="s">
        <v>164</v>
      </c>
      <c r="V964" s="333"/>
      <c r="X964" s="297">
        <v>963.61</v>
      </c>
      <c r="Y964" s="297"/>
      <c r="AH964" s="291">
        <f>X964</f>
        <v>963.61</v>
      </c>
      <c r="AI964" s="311"/>
      <c r="AJ964" s="468"/>
    </row>
    <row r="965" spans="1:41" s="261" customFormat="1" ht="11.25" customHeight="1">
      <c r="B965" s="258" t="s">
        <v>291</v>
      </c>
      <c r="C965" s="259"/>
      <c r="D965" s="259"/>
      <c r="E965" s="260" t="s">
        <v>982</v>
      </c>
      <c r="F965" s="261" t="s">
        <v>461</v>
      </c>
      <c r="G965" s="262">
        <v>3513</v>
      </c>
      <c r="H965" s="261" t="s">
        <v>183</v>
      </c>
      <c r="I965" s="261" t="s">
        <v>33</v>
      </c>
      <c r="J965" s="263">
        <v>23560.22</v>
      </c>
      <c r="L965" s="263">
        <v>22.78</v>
      </c>
      <c r="M965" s="263">
        <v>22.78</v>
      </c>
      <c r="N965" s="281">
        <f>J965*0.2</f>
        <v>4712.0440000000008</v>
      </c>
      <c r="O965" s="266">
        <v>0.2</v>
      </c>
      <c r="P965" s="266"/>
      <c r="Q965" s="265">
        <v>0</v>
      </c>
      <c r="R965" s="261" t="s">
        <v>42</v>
      </c>
      <c r="S965" s="267" t="s">
        <v>34</v>
      </c>
      <c r="T965" s="267">
        <v>17</v>
      </c>
      <c r="U965" s="268" t="s">
        <v>164</v>
      </c>
      <c r="V965" s="427"/>
      <c r="X965" s="265">
        <v>0</v>
      </c>
      <c r="Y965" s="265"/>
      <c r="AG965" s="261">
        <f>X965</f>
        <v>0</v>
      </c>
      <c r="AJ965" s="642"/>
    </row>
    <row r="966" spans="1:41" s="261" customFormat="1" ht="11.25" customHeight="1">
      <c r="B966" s="258" t="s">
        <v>291</v>
      </c>
      <c r="C966" s="259"/>
      <c r="D966" s="259"/>
      <c r="E966" s="260" t="s">
        <v>982</v>
      </c>
      <c r="F966" s="261" t="s">
        <v>461</v>
      </c>
      <c r="G966" s="262">
        <v>3513</v>
      </c>
      <c r="H966" s="261" t="s">
        <v>99</v>
      </c>
      <c r="I966" s="261" t="s">
        <v>33</v>
      </c>
      <c r="J966" s="263">
        <v>41443.08</v>
      </c>
      <c r="L966" s="263">
        <v>37.39</v>
      </c>
      <c r="M966" s="263">
        <v>37.39</v>
      </c>
      <c r="N966" s="281">
        <f>J966*0.1</f>
        <v>4144.308</v>
      </c>
      <c r="O966" s="266">
        <v>0.2</v>
      </c>
      <c r="P966" s="266"/>
      <c r="Q966" s="265">
        <f>1945.03+2663.29</f>
        <v>4608.32</v>
      </c>
      <c r="R966" s="261" t="s">
        <v>42</v>
      </c>
      <c r="S966" s="267" t="s">
        <v>34</v>
      </c>
      <c r="T966" s="267">
        <v>17</v>
      </c>
      <c r="U966" s="268" t="s">
        <v>164</v>
      </c>
      <c r="V966" s="427"/>
      <c r="W966" s="261" t="s">
        <v>3920</v>
      </c>
      <c r="X966" s="265">
        <f>1945.03+2663.29</f>
        <v>4608.32</v>
      </c>
      <c r="Y966" s="265"/>
      <c r="AG966" s="261">
        <v>1945.03</v>
      </c>
      <c r="AH966" s="265">
        <v>2663.29</v>
      </c>
      <c r="AI966" s="257"/>
      <c r="AJ966" s="642"/>
    </row>
    <row r="967" spans="1:41" s="291" customFormat="1" ht="11.25" customHeight="1">
      <c r="A967" s="291" t="s">
        <v>3893</v>
      </c>
      <c r="B967" s="310" t="s">
        <v>291</v>
      </c>
      <c r="C967" s="292"/>
      <c r="D967" s="292"/>
      <c r="E967" s="293" t="s">
        <v>982</v>
      </c>
      <c r="F967" s="291" t="s">
        <v>461</v>
      </c>
      <c r="G967" s="294">
        <v>3513</v>
      </c>
      <c r="H967" s="291" t="s">
        <v>765</v>
      </c>
      <c r="I967" s="291" t="s">
        <v>33</v>
      </c>
      <c r="J967" s="296">
        <v>17127.18</v>
      </c>
      <c r="L967" s="296">
        <v>24.84</v>
      </c>
      <c r="M967" s="296">
        <v>24.84</v>
      </c>
      <c r="N967" s="312">
        <f>J967*0.05</f>
        <v>856.35900000000004</v>
      </c>
      <c r="O967" s="298">
        <v>0.2</v>
      </c>
      <c r="P967" s="298"/>
      <c r="Q967" s="297">
        <v>4207.8999999999996</v>
      </c>
      <c r="R967" s="291" t="s">
        <v>42</v>
      </c>
      <c r="S967" s="299" t="s">
        <v>34</v>
      </c>
      <c r="T967" s="299">
        <v>17</v>
      </c>
      <c r="U967" s="300" t="s">
        <v>164</v>
      </c>
      <c r="V967" s="333"/>
      <c r="X967" s="297">
        <v>4207.8999999999996</v>
      </c>
      <c r="Y967" s="297"/>
      <c r="AH967" s="297">
        <f>X967</f>
        <v>4207.8999999999996</v>
      </c>
      <c r="AI967" s="311"/>
      <c r="AJ967" s="468"/>
    </row>
    <row r="968" spans="1:41" s="261" customFormat="1" ht="11.25" customHeight="1">
      <c r="B968" s="258" t="s">
        <v>291</v>
      </c>
      <c r="C968" s="259"/>
      <c r="D968" s="259"/>
      <c r="E968" s="260" t="s">
        <v>982</v>
      </c>
      <c r="F968" s="261" t="s">
        <v>461</v>
      </c>
      <c r="G968" s="262">
        <v>3513</v>
      </c>
      <c r="H968" s="261" t="s">
        <v>27</v>
      </c>
      <c r="I968" s="261" t="s">
        <v>33</v>
      </c>
      <c r="J968" s="263">
        <v>19454.54</v>
      </c>
      <c r="L968" s="263">
        <v>17.59</v>
      </c>
      <c r="M968" s="263">
        <v>17.59</v>
      </c>
      <c r="N968" s="281">
        <f>J968*0.2</f>
        <v>3890.9080000000004</v>
      </c>
      <c r="O968" s="266">
        <v>0.2</v>
      </c>
      <c r="P968" s="266"/>
      <c r="Q968" s="265">
        <v>1680.72</v>
      </c>
      <c r="R968" s="261" t="s">
        <v>42</v>
      </c>
      <c r="S968" s="267" t="s">
        <v>34</v>
      </c>
      <c r="T968" s="267">
        <v>17</v>
      </c>
      <c r="U968" s="268" t="s">
        <v>164</v>
      </c>
      <c r="V968" s="427"/>
      <c r="X968" s="265">
        <v>1680.72</v>
      </c>
      <c r="Y968" s="265"/>
      <c r="AG968" s="261">
        <f>X968</f>
        <v>1680.72</v>
      </c>
      <c r="AJ968" s="642"/>
    </row>
    <row r="969" spans="1:41" s="647" customFormat="1" ht="11.25" customHeight="1">
      <c r="B969" s="661" t="s">
        <v>291</v>
      </c>
      <c r="C969" s="648"/>
      <c r="D969" s="648"/>
      <c r="E969" s="649" t="s">
        <v>983</v>
      </c>
      <c r="F969" s="647" t="s">
        <v>984</v>
      </c>
      <c r="G969" s="650" t="s">
        <v>985</v>
      </c>
      <c r="H969" s="647" t="s">
        <v>765</v>
      </c>
      <c r="I969" s="647" t="s">
        <v>28</v>
      </c>
      <c r="J969" s="651">
        <v>17964.87</v>
      </c>
      <c r="L969" s="651">
        <v>10.78</v>
      </c>
      <c r="M969" s="651">
        <v>10.78</v>
      </c>
      <c r="N969" s="662">
        <f>3449.65+1124.89</f>
        <v>4574.54</v>
      </c>
      <c r="O969" s="653">
        <v>0.2</v>
      </c>
      <c r="P969" s="653"/>
      <c r="Q969" s="652">
        <v>0</v>
      </c>
      <c r="R969" s="647" t="s">
        <v>112</v>
      </c>
      <c r="S969" s="654" t="s">
        <v>113</v>
      </c>
      <c r="T969" s="654">
        <v>64</v>
      </c>
      <c r="U969" s="655" t="s">
        <v>164</v>
      </c>
      <c r="V969" s="656"/>
      <c r="X969" s="652">
        <v>0</v>
      </c>
      <c r="Y969" s="652"/>
      <c r="AI969" s="647">
        <v>0</v>
      </c>
      <c r="AJ969" s="657"/>
      <c r="AK969" s="658"/>
    </row>
    <row r="970" spans="1:41" s="618" customFormat="1" ht="11.25" customHeight="1">
      <c r="B970" s="619" t="s">
        <v>291</v>
      </c>
      <c r="C970" s="620">
        <v>44693</v>
      </c>
      <c r="D970" s="620">
        <v>44693</v>
      </c>
      <c r="E970" s="621" t="s">
        <v>983</v>
      </c>
      <c r="F970" s="618" t="s">
        <v>984</v>
      </c>
      <c r="G970" s="634" t="s">
        <v>985</v>
      </c>
      <c r="H970" s="618" t="s">
        <v>731</v>
      </c>
      <c r="I970" s="618" t="s">
        <v>28</v>
      </c>
      <c r="J970" s="635">
        <v>82308.36</v>
      </c>
      <c r="L970" s="635">
        <v>32.74</v>
      </c>
      <c r="M970" s="635">
        <v>32.74</v>
      </c>
      <c r="N970" s="682">
        <v>0</v>
      </c>
      <c r="O970" s="628">
        <v>0.2</v>
      </c>
      <c r="P970" s="628"/>
      <c r="Q970" s="627">
        <v>0</v>
      </c>
      <c r="R970" s="618" t="s">
        <v>112</v>
      </c>
      <c r="S970" s="629" t="s">
        <v>113</v>
      </c>
      <c r="T970" s="629">
        <v>64</v>
      </c>
      <c r="U970" s="631" t="s">
        <v>164</v>
      </c>
      <c r="V970" s="632"/>
      <c r="W970" s="618" t="s">
        <v>3959</v>
      </c>
      <c r="X970" s="627">
        <v>0</v>
      </c>
      <c r="Y970" s="627"/>
      <c r="AJ970" s="633"/>
      <c r="AO970" s="618">
        <v>0</v>
      </c>
    </row>
    <row r="971" spans="1:41" s="181" customFormat="1" ht="11.25" customHeight="1">
      <c r="B971" s="178" t="s">
        <v>291</v>
      </c>
      <c r="C971" s="179"/>
      <c r="D971" s="179"/>
      <c r="E971" s="180" t="s">
        <v>983</v>
      </c>
      <c r="F971" s="181" t="s">
        <v>984</v>
      </c>
      <c r="G971" s="182" t="s">
        <v>985</v>
      </c>
      <c r="H971" s="181" t="s">
        <v>866</v>
      </c>
      <c r="I971" s="181" t="s">
        <v>28</v>
      </c>
      <c r="J971" s="183">
        <v>46112</v>
      </c>
      <c r="L971" s="183">
        <v>20.96</v>
      </c>
      <c r="M971" s="183">
        <v>20.96</v>
      </c>
      <c r="N971" s="191"/>
      <c r="O971" s="186">
        <v>0.2</v>
      </c>
      <c r="P971" s="186"/>
      <c r="Q971" s="185">
        <v>266</v>
      </c>
      <c r="R971" s="181" t="s">
        <v>112</v>
      </c>
      <c r="S971" s="187" t="s">
        <v>113</v>
      </c>
      <c r="T971" s="187">
        <v>64</v>
      </c>
      <c r="U971" s="188" t="s">
        <v>164</v>
      </c>
      <c r="V971" s="441">
        <v>266</v>
      </c>
      <c r="X971" s="185">
        <v>266</v>
      </c>
      <c r="Y971" s="185"/>
      <c r="AE971" s="204">
        <f>X971</f>
        <v>266</v>
      </c>
      <c r="AJ971" s="189"/>
    </row>
    <row r="972" spans="1:41" s="205" customFormat="1" ht="11.25" customHeight="1">
      <c r="B972" s="206" t="s">
        <v>291</v>
      </c>
      <c r="C972" s="207">
        <v>44693</v>
      </c>
      <c r="D972" s="207">
        <v>44693</v>
      </c>
      <c r="E972" s="208" t="s">
        <v>987</v>
      </c>
      <c r="F972" s="205" t="s">
        <v>988</v>
      </c>
      <c r="G972" s="209">
        <v>3997</v>
      </c>
      <c r="H972" s="205" t="s">
        <v>99</v>
      </c>
      <c r="I972" s="205" t="s">
        <v>33</v>
      </c>
      <c r="J972" s="210">
        <v>37977.120000000003</v>
      </c>
      <c r="L972" s="210">
        <v>40.840000000000003</v>
      </c>
      <c r="M972" s="210">
        <v>40.840000000000003</v>
      </c>
      <c r="N972" s="211">
        <v>9448.7099999999991</v>
      </c>
      <c r="O972" s="212">
        <v>0.2</v>
      </c>
      <c r="P972" s="212"/>
      <c r="Q972" s="213">
        <v>1853.73</v>
      </c>
      <c r="R972" s="205" t="s">
        <v>142</v>
      </c>
      <c r="S972" s="214" t="s">
        <v>41</v>
      </c>
      <c r="T972" s="214">
        <v>24</v>
      </c>
      <c r="U972" s="215" t="s">
        <v>164</v>
      </c>
      <c r="V972" s="438"/>
      <c r="X972" s="213">
        <v>1853.73</v>
      </c>
      <c r="Y972" s="213"/>
      <c r="AF972" s="230">
        <f>X972</f>
        <v>1853.73</v>
      </c>
      <c r="AJ972" s="216"/>
    </row>
    <row r="973" spans="1:41" s="291" customFormat="1" ht="11.25" customHeight="1">
      <c r="B973" s="310" t="s">
        <v>291</v>
      </c>
      <c r="C973" s="292">
        <v>44693</v>
      </c>
      <c r="D973" s="292">
        <v>44693</v>
      </c>
      <c r="E973" s="293" t="s">
        <v>989</v>
      </c>
      <c r="F973" s="291" t="s">
        <v>558</v>
      </c>
      <c r="G973" s="294">
        <v>4478</v>
      </c>
      <c r="H973" s="291" t="s">
        <v>99</v>
      </c>
      <c r="I973" s="291" t="s">
        <v>33</v>
      </c>
      <c r="J973" s="296">
        <v>85365.08</v>
      </c>
      <c r="L973" s="296">
        <v>81.650000000000006</v>
      </c>
      <c r="M973" s="296">
        <v>83.56</v>
      </c>
      <c r="N973" s="312"/>
      <c r="O973" s="298">
        <v>0.3</v>
      </c>
      <c r="P973" s="298"/>
      <c r="Q973" s="297">
        <v>0</v>
      </c>
      <c r="R973" s="291" t="s">
        <v>69</v>
      </c>
      <c r="S973" s="299" t="s">
        <v>41</v>
      </c>
      <c r="T973" s="299">
        <v>16</v>
      </c>
      <c r="U973" s="300" t="s">
        <v>164</v>
      </c>
      <c r="V973" s="333"/>
      <c r="X973" s="297">
        <v>0</v>
      </c>
      <c r="Y973" s="297"/>
      <c r="AH973" s="291">
        <f>X973</f>
        <v>0</v>
      </c>
      <c r="AI973" s="311"/>
      <c r="AJ973" s="468"/>
    </row>
    <row r="974" spans="1:41" s="291" customFormat="1" ht="11.25" customHeight="1">
      <c r="B974" s="310" t="s">
        <v>291</v>
      </c>
      <c r="C974" s="292"/>
      <c r="D974" s="292"/>
      <c r="E974" s="293" t="s">
        <v>989</v>
      </c>
      <c r="F974" s="291" t="s">
        <v>558</v>
      </c>
      <c r="G974" s="294">
        <v>4478</v>
      </c>
      <c r="H974" s="291" t="s">
        <v>310</v>
      </c>
      <c r="I974" s="291" t="s">
        <v>33</v>
      </c>
      <c r="J974" s="296">
        <v>7848.67</v>
      </c>
      <c r="L974" s="296">
        <v>12.16</v>
      </c>
      <c r="M974" s="296">
        <v>12.14</v>
      </c>
      <c r="N974" s="312"/>
      <c r="O974" s="298">
        <v>0.3</v>
      </c>
      <c r="P974" s="298"/>
      <c r="Q974" s="297">
        <v>0</v>
      </c>
      <c r="R974" s="291" t="s">
        <v>69</v>
      </c>
      <c r="S974" s="299" t="s">
        <v>41</v>
      </c>
      <c r="T974" s="299">
        <v>16</v>
      </c>
      <c r="U974" s="300" t="s">
        <v>164</v>
      </c>
      <c r="V974" s="333"/>
      <c r="W974" s="291" t="s">
        <v>3885</v>
      </c>
      <c r="X974" s="297">
        <v>0</v>
      </c>
      <c r="Y974" s="297"/>
      <c r="AH974" s="291">
        <f>X974</f>
        <v>0</v>
      </c>
      <c r="AI974" s="311"/>
      <c r="AJ974" s="468"/>
    </row>
    <row r="975" spans="1:41" s="261" customFormat="1" ht="11.25" customHeight="1">
      <c r="B975" s="258" t="s">
        <v>291</v>
      </c>
      <c r="C975" s="259"/>
      <c r="D975" s="259"/>
      <c r="E975" s="260" t="s">
        <v>989</v>
      </c>
      <c r="F975" s="261" t="s">
        <v>558</v>
      </c>
      <c r="G975" s="262">
        <v>4478</v>
      </c>
      <c r="H975" s="261" t="s">
        <v>27</v>
      </c>
      <c r="I975" s="261" t="s">
        <v>33</v>
      </c>
      <c r="J975" s="263">
        <v>54652.43</v>
      </c>
      <c r="L975" s="263">
        <v>45.13</v>
      </c>
      <c r="M975" s="263">
        <v>45.47</v>
      </c>
      <c r="N975" s="281"/>
      <c r="O975" s="266">
        <v>0.3</v>
      </c>
      <c r="P975" s="266"/>
      <c r="Q975" s="265">
        <v>0</v>
      </c>
      <c r="R975" s="261" t="s">
        <v>69</v>
      </c>
      <c r="S975" s="267" t="s">
        <v>41</v>
      </c>
      <c r="T975" s="267">
        <v>16</v>
      </c>
      <c r="U975" s="268" t="s">
        <v>164</v>
      </c>
      <c r="V975" s="427"/>
      <c r="X975" s="265">
        <v>0</v>
      </c>
      <c r="Y975" s="265"/>
      <c r="AG975" s="261">
        <f>X975</f>
        <v>0</v>
      </c>
      <c r="AJ975" s="642"/>
    </row>
    <row r="976" spans="1:41" s="261" customFormat="1" ht="11.25" customHeight="1">
      <c r="B976" s="258" t="s">
        <v>291</v>
      </c>
      <c r="C976" s="259"/>
      <c r="D976" s="259"/>
      <c r="E976" s="260" t="s">
        <v>989</v>
      </c>
      <c r="F976" s="261" t="s">
        <v>558</v>
      </c>
      <c r="G976" s="262">
        <v>4478</v>
      </c>
      <c r="H976" s="261" t="s">
        <v>183</v>
      </c>
      <c r="I976" s="261" t="s">
        <v>33</v>
      </c>
      <c r="J976" s="263">
        <v>20458.89</v>
      </c>
      <c r="L976" s="263">
        <v>22.07</v>
      </c>
      <c r="M976" s="263">
        <v>22.14</v>
      </c>
      <c r="N976" s="281"/>
      <c r="O976" s="266">
        <v>0.3</v>
      </c>
      <c r="P976" s="266"/>
      <c r="Q976" s="265">
        <v>0</v>
      </c>
      <c r="R976" s="261" t="s">
        <v>69</v>
      </c>
      <c r="S976" s="267" t="s">
        <v>41</v>
      </c>
      <c r="T976" s="267">
        <v>16</v>
      </c>
      <c r="U976" s="268" t="s">
        <v>164</v>
      </c>
      <c r="V976" s="427"/>
      <c r="X976" s="265">
        <v>0</v>
      </c>
      <c r="Y976" s="265"/>
      <c r="AG976" s="261">
        <f>X976</f>
        <v>0</v>
      </c>
      <c r="AJ976" s="642"/>
    </row>
    <row r="977" spans="1:77" s="379" customFormat="1" ht="11.25" customHeight="1">
      <c r="B977" s="380" t="s">
        <v>291</v>
      </c>
      <c r="C977" s="381"/>
      <c r="D977" s="381"/>
      <c r="E977" s="382" t="s">
        <v>989</v>
      </c>
      <c r="F977" s="379" t="s">
        <v>558</v>
      </c>
      <c r="G977" s="383">
        <v>4478</v>
      </c>
      <c r="H977" s="379" t="s">
        <v>765</v>
      </c>
      <c r="I977" s="379" t="s">
        <v>33</v>
      </c>
      <c r="J977" s="385">
        <v>35020.730000000003</v>
      </c>
      <c r="L977" s="385">
        <v>44.42</v>
      </c>
      <c r="M977" s="385">
        <v>36.83</v>
      </c>
      <c r="N977" s="407"/>
      <c r="O977" s="387">
        <v>0.3</v>
      </c>
      <c r="P977" s="387"/>
      <c r="Q977" s="386">
        <v>0</v>
      </c>
      <c r="R977" s="379" t="s">
        <v>69</v>
      </c>
      <c r="S977" s="388" t="s">
        <v>41</v>
      </c>
      <c r="T977" s="388">
        <v>16</v>
      </c>
      <c r="U977" s="389" t="s">
        <v>164</v>
      </c>
      <c r="V977" s="433"/>
      <c r="X977" s="386">
        <v>0</v>
      </c>
      <c r="Y977" s="386"/>
      <c r="AJ977" s="390">
        <v>0</v>
      </c>
    </row>
    <row r="978" spans="1:77" s="647" customFormat="1" ht="11.25" customHeight="1">
      <c r="B978" s="661" t="s">
        <v>291</v>
      </c>
      <c r="C978" s="648">
        <v>44689</v>
      </c>
      <c r="D978" s="648">
        <v>44693</v>
      </c>
      <c r="E978" s="649" t="s">
        <v>990</v>
      </c>
      <c r="F978" s="647" t="s">
        <v>40</v>
      </c>
      <c r="G978" s="650">
        <v>3589</v>
      </c>
      <c r="H978" s="647" t="s">
        <v>99</v>
      </c>
      <c r="I978" s="647" t="s">
        <v>33</v>
      </c>
      <c r="J978" s="651">
        <v>64278.77</v>
      </c>
      <c r="L978" s="651">
        <v>42.58</v>
      </c>
      <c r="M978" s="651">
        <v>42.58</v>
      </c>
      <c r="N978" s="662">
        <v>6409.76</v>
      </c>
      <c r="O978" s="653">
        <v>0.15</v>
      </c>
      <c r="P978" s="653"/>
      <c r="Q978" s="652">
        <v>7072.11</v>
      </c>
      <c r="R978" s="647" t="s">
        <v>42</v>
      </c>
      <c r="S978" s="654" t="s">
        <v>41</v>
      </c>
      <c r="T978" s="654">
        <v>79</v>
      </c>
      <c r="U978" s="655" t="s">
        <v>164</v>
      </c>
      <c r="V978" s="656"/>
      <c r="X978" s="652">
        <v>7072.11</v>
      </c>
      <c r="Y978" s="652"/>
      <c r="AI978" s="652">
        <v>7072.11</v>
      </c>
      <c r="AJ978" s="657"/>
      <c r="AK978" s="658"/>
    </row>
    <row r="979" spans="1:77" s="647" customFormat="1" ht="11.25" customHeight="1">
      <c r="B979" s="661" t="s">
        <v>291</v>
      </c>
      <c r="C979" s="648"/>
      <c r="D979" s="648"/>
      <c r="E979" s="649" t="s">
        <v>990</v>
      </c>
      <c r="F979" s="647" t="s">
        <v>40</v>
      </c>
      <c r="G979" s="650">
        <v>3589</v>
      </c>
      <c r="H979" s="647" t="s">
        <v>183</v>
      </c>
      <c r="I979" s="647" t="s">
        <v>33</v>
      </c>
      <c r="J979" s="651">
        <v>22535.24</v>
      </c>
      <c r="L979" s="651">
        <v>22.96</v>
      </c>
      <c r="M979" s="651">
        <v>22.96</v>
      </c>
      <c r="N979" s="662">
        <v>3384.71</v>
      </c>
      <c r="O979" s="653">
        <v>0.15</v>
      </c>
      <c r="P979" s="653"/>
      <c r="Q979" s="652">
        <v>3693.69</v>
      </c>
      <c r="R979" s="647" t="s">
        <v>42</v>
      </c>
      <c r="S979" s="654" t="s">
        <v>41</v>
      </c>
      <c r="T979" s="654">
        <v>79</v>
      </c>
      <c r="U979" s="655" t="s">
        <v>164</v>
      </c>
      <c r="V979" s="656"/>
      <c r="X979" s="652">
        <v>3693.69</v>
      </c>
      <c r="Y979" s="652"/>
      <c r="AI979" s="652">
        <v>3693.69</v>
      </c>
      <c r="AJ979" s="657"/>
      <c r="AK979" s="658"/>
    </row>
    <row r="980" spans="1:77" s="261" customFormat="1" ht="11.25" customHeight="1">
      <c r="B980" s="258" t="s">
        <v>291</v>
      </c>
      <c r="C980" s="259"/>
      <c r="D980" s="259"/>
      <c r="E980" s="260" t="s">
        <v>990</v>
      </c>
      <c r="F980" s="261" t="s">
        <v>40</v>
      </c>
      <c r="G980" s="262">
        <v>3589</v>
      </c>
      <c r="H980" s="261" t="s">
        <v>27</v>
      </c>
      <c r="I980" s="261" t="s">
        <v>33</v>
      </c>
      <c r="J980" s="263">
        <v>18298.8</v>
      </c>
      <c r="L980" s="263">
        <v>18</v>
      </c>
      <c r="M980" s="263">
        <v>18</v>
      </c>
      <c r="N980" s="281">
        <v>1829.88</v>
      </c>
      <c r="O980" s="266">
        <v>0.15</v>
      </c>
      <c r="P980" s="266"/>
      <c r="Q980" s="265">
        <v>0</v>
      </c>
      <c r="R980" s="261" t="s">
        <v>42</v>
      </c>
      <c r="S980" s="267" t="s">
        <v>41</v>
      </c>
      <c r="T980" s="267">
        <v>79</v>
      </c>
      <c r="U980" s="268" t="s">
        <v>164</v>
      </c>
      <c r="V980" s="427"/>
      <c r="X980" s="265">
        <v>0</v>
      </c>
      <c r="Y980" s="265"/>
      <c r="AG980" s="261">
        <f>X980</f>
        <v>0</v>
      </c>
      <c r="AJ980" s="642"/>
    </row>
    <row r="981" spans="1:77" s="337" customFormat="1" ht="11.25" customHeight="1">
      <c r="A981" s="379"/>
      <c r="B981" s="380" t="s">
        <v>291</v>
      </c>
      <c r="C981" s="381"/>
      <c r="D981" s="381"/>
      <c r="E981" s="382" t="s">
        <v>991</v>
      </c>
      <c r="F981" s="379" t="s">
        <v>986</v>
      </c>
      <c r="G981" s="383">
        <v>4614</v>
      </c>
      <c r="H981" s="379" t="s">
        <v>99</v>
      </c>
      <c r="I981" s="379" t="s">
        <v>888</v>
      </c>
      <c r="J981" s="385">
        <v>25500</v>
      </c>
      <c r="K981" s="379"/>
      <c r="L981" s="385">
        <v>25</v>
      </c>
      <c r="M981" s="385">
        <v>25</v>
      </c>
      <c r="N981" s="407">
        <v>5508</v>
      </c>
      <c r="O981" s="387">
        <v>0.3</v>
      </c>
      <c r="P981" s="387"/>
      <c r="Q981" s="386">
        <v>667.25</v>
      </c>
      <c r="R981" s="379" t="s">
        <v>128</v>
      </c>
      <c r="S981" s="388" t="s">
        <v>34</v>
      </c>
      <c r="T981" s="388">
        <v>79</v>
      </c>
      <c r="U981" s="389" t="s">
        <v>164</v>
      </c>
      <c r="V981" s="433"/>
      <c r="W981" s="379"/>
      <c r="X981" s="386">
        <v>667.25</v>
      </c>
      <c r="Y981" s="386"/>
      <c r="Z981" s="379"/>
      <c r="AA981" s="379"/>
      <c r="AB981" s="379"/>
      <c r="AC981" s="379"/>
      <c r="AD981" s="379"/>
      <c r="AE981" s="379"/>
      <c r="AF981" s="379"/>
      <c r="AG981" s="379"/>
      <c r="AH981" s="379"/>
      <c r="AI981" s="379"/>
      <c r="AJ981" s="416">
        <v>667.25</v>
      </c>
      <c r="AK981" s="379"/>
      <c r="AL981" s="379"/>
      <c r="AM981" s="379"/>
      <c r="AN981" s="379"/>
      <c r="AO981" s="379"/>
      <c r="AP981" s="379"/>
      <c r="AQ981" s="379"/>
      <c r="AR981" s="379"/>
      <c r="AS981" s="379"/>
      <c r="AT981" s="379"/>
      <c r="AU981" s="379"/>
      <c r="AV981" s="379"/>
      <c r="AW981" s="379"/>
      <c r="AX981" s="379"/>
      <c r="AY981" s="379"/>
      <c r="AZ981" s="379"/>
      <c r="BA981" s="379"/>
      <c r="BB981" s="379"/>
      <c r="BC981" s="379"/>
      <c r="BD981" s="379"/>
      <c r="BE981" s="379"/>
      <c r="BF981" s="379"/>
      <c r="BG981" s="379"/>
      <c r="BH981" s="379"/>
      <c r="BI981" s="379"/>
      <c r="BJ981" s="379"/>
      <c r="BK981" s="379"/>
      <c r="BL981" s="379"/>
      <c r="BM981" s="379"/>
      <c r="BN981" s="379"/>
      <c r="BO981" s="379"/>
      <c r="BP981" s="379"/>
      <c r="BQ981" s="379"/>
      <c r="BR981" s="379"/>
      <c r="BS981" s="379"/>
      <c r="BT981" s="379"/>
      <c r="BU981" s="379"/>
      <c r="BV981" s="379"/>
      <c r="BW981" s="379"/>
      <c r="BX981" s="379"/>
      <c r="BY981" s="379"/>
    </row>
    <row r="982" spans="1:77" s="379" customFormat="1" ht="11.25" customHeight="1">
      <c r="B982" s="380" t="s">
        <v>291</v>
      </c>
      <c r="C982" s="381"/>
      <c r="D982" s="381"/>
      <c r="E982" s="382" t="s">
        <v>991</v>
      </c>
      <c r="F982" s="379" t="s">
        <v>986</v>
      </c>
      <c r="G982" s="383">
        <v>4614</v>
      </c>
      <c r="H982" s="379" t="s">
        <v>866</v>
      </c>
      <c r="I982" s="379" t="s">
        <v>888</v>
      </c>
      <c r="J982" s="385">
        <v>17139.900000000001</v>
      </c>
      <c r="L982" s="385">
        <v>18.43</v>
      </c>
      <c r="M982" s="385">
        <v>18.43</v>
      </c>
      <c r="N982" s="407">
        <f>J982*0.2</f>
        <v>3427.9800000000005</v>
      </c>
      <c r="O982" s="387">
        <v>0.3</v>
      </c>
      <c r="P982" s="387"/>
      <c r="Q982" s="386">
        <v>2813.99</v>
      </c>
      <c r="R982" s="379" t="s">
        <v>128</v>
      </c>
      <c r="S982" s="388" t="s">
        <v>34</v>
      </c>
      <c r="T982" s="388">
        <v>79</v>
      </c>
      <c r="U982" s="389" t="s">
        <v>164</v>
      </c>
      <c r="V982" s="433"/>
      <c r="X982" s="386">
        <v>2813.99</v>
      </c>
      <c r="Y982" s="386"/>
      <c r="AJ982" s="416">
        <v>2813.99</v>
      </c>
    </row>
    <row r="983" spans="1:77" s="337" customFormat="1" ht="11.25" customHeight="1">
      <c r="A983" s="379"/>
      <c r="B983" s="380" t="s">
        <v>291</v>
      </c>
      <c r="C983" s="381"/>
      <c r="D983" s="381"/>
      <c r="E983" s="382" t="s">
        <v>991</v>
      </c>
      <c r="F983" s="379" t="s">
        <v>986</v>
      </c>
      <c r="G983" s="383">
        <v>4614</v>
      </c>
      <c r="H983" s="379" t="s">
        <v>765</v>
      </c>
      <c r="I983" s="379" t="s">
        <v>888</v>
      </c>
      <c r="J983" s="385">
        <v>12400</v>
      </c>
      <c r="K983" s="379"/>
      <c r="L983" s="385">
        <v>12.4</v>
      </c>
      <c r="M983" s="385">
        <v>12.4</v>
      </c>
      <c r="N983" s="407">
        <f>J983*0.2</f>
        <v>2480</v>
      </c>
      <c r="O983" s="387">
        <v>0.3</v>
      </c>
      <c r="P983" s="387"/>
      <c r="Q983" s="386">
        <v>3038.88</v>
      </c>
      <c r="R983" s="379" t="s">
        <v>128</v>
      </c>
      <c r="S983" s="388" t="s">
        <v>34</v>
      </c>
      <c r="T983" s="388">
        <v>79</v>
      </c>
      <c r="U983" s="389" t="s">
        <v>164</v>
      </c>
      <c r="V983" s="433"/>
      <c r="W983" s="379"/>
      <c r="X983" s="386">
        <v>3038.88</v>
      </c>
      <c r="Y983" s="386"/>
      <c r="Z983" s="379"/>
      <c r="AA983" s="379"/>
      <c r="AB983" s="379"/>
      <c r="AC983" s="379"/>
      <c r="AD983" s="379"/>
      <c r="AE983" s="379"/>
      <c r="AF983" s="379"/>
      <c r="AG983" s="379"/>
      <c r="AH983" s="379"/>
      <c r="AI983" s="379"/>
      <c r="AJ983" s="416">
        <v>3038.88</v>
      </c>
      <c r="AK983" s="379"/>
      <c r="AL983" s="379"/>
      <c r="AM983" s="379"/>
      <c r="AN983" s="379"/>
      <c r="AO983" s="379"/>
      <c r="AP983" s="379"/>
      <c r="AQ983" s="379"/>
      <c r="AR983" s="379"/>
      <c r="AS983" s="379"/>
      <c r="AT983" s="379"/>
      <c r="AU983" s="379"/>
      <c r="AV983" s="379"/>
      <c r="AW983" s="379"/>
      <c r="AX983" s="379"/>
      <c r="AY983" s="379"/>
      <c r="AZ983" s="379"/>
      <c r="BA983" s="379"/>
      <c r="BB983" s="379"/>
      <c r="BC983" s="379"/>
      <c r="BD983" s="379"/>
      <c r="BE983" s="379"/>
      <c r="BF983" s="379"/>
      <c r="BG983" s="379"/>
      <c r="BH983" s="379"/>
      <c r="BI983" s="379"/>
      <c r="BJ983" s="379"/>
      <c r="BK983" s="379"/>
      <c r="BL983" s="379"/>
      <c r="BM983" s="379"/>
      <c r="BN983" s="379"/>
      <c r="BO983" s="379"/>
      <c r="BP983" s="379"/>
      <c r="BQ983" s="379"/>
      <c r="BR983" s="379"/>
      <c r="BS983" s="379"/>
      <c r="BT983" s="379"/>
      <c r="BU983" s="379"/>
      <c r="BV983" s="379"/>
      <c r="BW983" s="379"/>
      <c r="BX983" s="379"/>
      <c r="BY983" s="379"/>
    </row>
    <row r="984" spans="1:77" s="647" customFormat="1" ht="11.25" customHeight="1">
      <c r="B984" s="661" t="s">
        <v>291</v>
      </c>
      <c r="C984" s="648">
        <v>44693</v>
      </c>
      <c r="D984" s="648">
        <v>44693</v>
      </c>
      <c r="E984" s="649" t="s">
        <v>991</v>
      </c>
      <c r="F984" s="647" t="s">
        <v>986</v>
      </c>
      <c r="G984" s="650">
        <v>4614</v>
      </c>
      <c r="H984" s="647" t="s">
        <v>183</v>
      </c>
      <c r="I984" s="647" t="s">
        <v>888</v>
      </c>
      <c r="J984" s="651">
        <v>13208.03</v>
      </c>
      <c r="L984" s="651">
        <v>14.38</v>
      </c>
      <c r="M984" s="651">
        <v>14.38</v>
      </c>
      <c r="N984" s="662">
        <v>1791.07</v>
      </c>
      <c r="O984" s="653">
        <v>0.3</v>
      </c>
      <c r="P984" s="653"/>
      <c r="Q984" s="652">
        <v>0</v>
      </c>
      <c r="R984" s="647" t="s">
        <v>128</v>
      </c>
      <c r="S984" s="654" t="s">
        <v>34</v>
      </c>
      <c r="T984" s="654">
        <v>79</v>
      </c>
      <c r="U984" s="655" t="s">
        <v>164</v>
      </c>
      <c r="V984" s="656"/>
      <c r="X984" s="652">
        <v>0</v>
      </c>
      <c r="Y984" s="652"/>
      <c r="AI984" s="647">
        <v>0</v>
      </c>
      <c r="AJ984" s="657"/>
      <c r="AK984" s="658"/>
    </row>
    <row r="985" spans="1:77" s="647" customFormat="1" ht="11.25" customHeight="1">
      <c r="B985" s="661" t="s">
        <v>291</v>
      </c>
      <c r="C985" s="648"/>
      <c r="D985" s="648"/>
      <c r="E985" s="649" t="s">
        <v>991</v>
      </c>
      <c r="F985" s="647" t="s">
        <v>986</v>
      </c>
      <c r="G985" s="650">
        <v>4614</v>
      </c>
      <c r="H985" s="647" t="s">
        <v>138</v>
      </c>
      <c r="I985" s="647" t="s">
        <v>888</v>
      </c>
      <c r="J985" s="651">
        <v>16380</v>
      </c>
      <c r="L985" s="651">
        <v>14</v>
      </c>
      <c r="M985" s="651">
        <v>14</v>
      </c>
      <c r="N985" s="662">
        <f>J985*0.2</f>
        <v>3276</v>
      </c>
      <c r="O985" s="653">
        <v>0.3</v>
      </c>
      <c r="P985" s="653"/>
      <c r="Q985" s="652">
        <v>0</v>
      </c>
      <c r="R985" s="647" t="s">
        <v>128</v>
      </c>
      <c r="S985" s="654" t="s">
        <v>34</v>
      </c>
      <c r="T985" s="654">
        <v>79</v>
      </c>
      <c r="U985" s="655" t="s">
        <v>164</v>
      </c>
      <c r="V985" s="656"/>
      <c r="X985" s="652">
        <v>0</v>
      </c>
      <c r="Y985" s="652"/>
      <c r="AI985" s="647">
        <v>0</v>
      </c>
      <c r="AJ985" s="657"/>
      <c r="AK985" s="658"/>
    </row>
    <row r="986" spans="1:77" s="647" customFormat="1" ht="11.25" customHeight="1">
      <c r="B986" s="661" t="s">
        <v>291</v>
      </c>
      <c r="C986" s="648"/>
      <c r="D986" s="648"/>
      <c r="E986" s="649" t="s">
        <v>991</v>
      </c>
      <c r="F986" s="647" t="s">
        <v>986</v>
      </c>
      <c r="G986" s="650">
        <v>4614</v>
      </c>
      <c r="H986" s="647" t="s">
        <v>27</v>
      </c>
      <c r="I986" s="647" t="s">
        <v>888</v>
      </c>
      <c r="J986" s="651">
        <v>13554</v>
      </c>
      <c r="L986" s="651">
        <v>15.06</v>
      </c>
      <c r="M986" s="651">
        <v>15.06</v>
      </c>
      <c r="N986" s="662">
        <v>2033.1</v>
      </c>
      <c r="O986" s="653">
        <v>0.3</v>
      </c>
      <c r="P986" s="653"/>
      <c r="Q986" s="652">
        <v>0</v>
      </c>
      <c r="R986" s="647" t="s">
        <v>128</v>
      </c>
      <c r="S986" s="654" t="s">
        <v>34</v>
      </c>
      <c r="T986" s="654">
        <v>79</v>
      </c>
      <c r="U986" s="655" t="s">
        <v>164</v>
      </c>
      <c r="V986" s="656"/>
      <c r="X986" s="652">
        <v>0</v>
      </c>
      <c r="Y986" s="652"/>
      <c r="AI986" s="647">
        <v>0</v>
      </c>
      <c r="AJ986" s="657"/>
      <c r="AK986" s="658"/>
    </row>
    <row r="987" spans="1:77" s="291" customFormat="1" ht="11.25" customHeight="1">
      <c r="B987" s="291" t="s">
        <v>291</v>
      </c>
      <c r="C987" s="292"/>
      <c r="D987" s="292"/>
      <c r="E987" s="293" t="s">
        <v>992</v>
      </c>
      <c r="F987" s="291" t="s">
        <v>330</v>
      </c>
      <c r="G987" s="294">
        <v>3618</v>
      </c>
      <c r="H987" s="291" t="s">
        <v>99</v>
      </c>
      <c r="I987" s="291" t="s">
        <v>888</v>
      </c>
      <c r="J987" s="296">
        <v>63350.01</v>
      </c>
      <c r="L987" s="296">
        <v>61.19</v>
      </c>
      <c r="M987" s="296">
        <v>61.19</v>
      </c>
      <c r="N987" s="297">
        <f>J987*0.2</f>
        <v>12670.002</v>
      </c>
      <c r="O987" s="298">
        <v>0.15</v>
      </c>
      <c r="P987" s="298"/>
      <c r="Q987" s="297">
        <v>0</v>
      </c>
      <c r="R987" s="291" t="s">
        <v>35</v>
      </c>
      <c r="S987" s="299" t="s">
        <v>41</v>
      </c>
      <c r="T987" s="299">
        <v>86</v>
      </c>
      <c r="U987" s="300" t="s">
        <v>164</v>
      </c>
      <c r="V987" s="333"/>
      <c r="W987" s="291" t="s">
        <v>3845</v>
      </c>
      <c r="X987" s="297">
        <v>0</v>
      </c>
      <c r="Y987" s="297"/>
      <c r="AH987" s="291">
        <f t="shared" ref="AH987:AH992" si="16">X987</f>
        <v>0</v>
      </c>
      <c r="AI987" s="311"/>
      <c r="AJ987" s="468"/>
    </row>
    <row r="988" spans="1:77" s="291" customFormat="1" ht="11.25" customHeight="1">
      <c r="B988" s="291" t="s">
        <v>291</v>
      </c>
      <c r="C988" s="292"/>
      <c r="D988" s="292"/>
      <c r="E988" s="293" t="s">
        <v>992</v>
      </c>
      <c r="F988" s="291" t="s">
        <v>330</v>
      </c>
      <c r="G988" s="294">
        <v>3618</v>
      </c>
      <c r="H988" s="291" t="s">
        <v>27</v>
      </c>
      <c r="I988" s="291" t="s">
        <v>888</v>
      </c>
      <c r="J988" s="296">
        <v>29516.13</v>
      </c>
      <c r="L988" s="296">
        <v>28.98</v>
      </c>
      <c r="M988" s="296">
        <v>28.98</v>
      </c>
      <c r="N988" s="297"/>
      <c r="O988" s="298">
        <v>0.15</v>
      </c>
      <c r="P988" s="298"/>
      <c r="Q988" s="297">
        <v>0</v>
      </c>
      <c r="R988" s="291" t="s">
        <v>35</v>
      </c>
      <c r="S988" s="299" t="s">
        <v>41</v>
      </c>
      <c r="T988" s="299">
        <v>86</v>
      </c>
      <c r="U988" s="300" t="s">
        <v>164</v>
      </c>
      <c r="V988" s="333"/>
      <c r="W988" s="291" t="s">
        <v>3845</v>
      </c>
      <c r="X988" s="297">
        <v>0</v>
      </c>
      <c r="Y988" s="297"/>
      <c r="AH988" s="291">
        <f t="shared" si="16"/>
        <v>0</v>
      </c>
      <c r="AI988" s="311"/>
      <c r="AJ988" s="468"/>
    </row>
    <row r="989" spans="1:77" s="291" customFormat="1" ht="11.25" customHeight="1">
      <c r="B989" s="291" t="s">
        <v>291</v>
      </c>
      <c r="C989" s="292"/>
      <c r="D989" s="292"/>
      <c r="E989" s="293" t="s">
        <v>992</v>
      </c>
      <c r="F989" s="291" t="s">
        <v>330</v>
      </c>
      <c r="G989" s="294">
        <v>3618</v>
      </c>
      <c r="H989" s="291" t="s">
        <v>162</v>
      </c>
      <c r="I989" s="291" t="s">
        <v>888</v>
      </c>
      <c r="J989" s="296">
        <v>27060.48</v>
      </c>
      <c r="L989" s="296">
        <v>38.880000000000003</v>
      </c>
      <c r="M989" s="296">
        <v>38.880000000000003</v>
      </c>
      <c r="N989" s="297">
        <f>J989*0.35</f>
        <v>9471.1679999999997</v>
      </c>
      <c r="O989" s="298">
        <v>0.15</v>
      </c>
      <c r="P989" s="298"/>
      <c r="Q989" s="297">
        <v>0</v>
      </c>
      <c r="R989" s="291" t="s">
        <v>35</v>
      </c>
      <c r="S989" s="299" t="s">
        <v>41</v>
      </c>
      <c r="T989" s="299">
        <v>86</v>
      </c>
      <c r="U989" s="300" t="s">
        <v>164</v>
      </c>
      <c r="V989" s="333"/>
      <c r="W989" s="291" t="s">
        <v>3845</v>
      </c>
      <c r="X989" s="297">
        <v>0</v>
      </c>
      <c r="Y989" s="297"/>
      <c r="AH989" s="291">
        <f t="shared" si="16"/>
        <v>0</v>
      </c>
      <c r="AI989" s="311"/>
      <c r="AJ989" s="468"/>
    </row>
    <row r="990" spans="1:77" s="291" customFormat="1" ht="11.25" customHeight="1">
      <c r="B990" s="291" t="s">
        <v>291</v>
      </c>
      <c r="C990" s="292"/>
      <c r="D990" s="292"/>
      <c r="E990" s="293" t="s">
        <v>992</v>
      </c>
      <c r="F990" s="291" t="s">
        <v>330</v>
      </c>
      <c r="G990" s="294">
        <v>3618</v>
      </c>
      <c r="H990" s="291" t="s">
        <v>157</v>
      </c>
      <c r="I990" s="291" t="s">
        <v>888</v>
      </c>
      <c r="J990" s="296">
        <v>7548</v>
      </c>
      <c r="L990" s="296">
        <v>8.5</v>
      </c>
      <c r="M990" s="296">
        <v>8.5</v>
      </c>
      <c r="N990" s="297"/>
      <c r="O990" s="298">
        <v>0.15</v>
      </c>
      <c r="P990" s="298"/>
      <c r="Q990" s="297">
        <v>0</v>
      </c>
      <c r="R990" s="291" t="s">
        <v>35</v>
      </c>
      <c r="S990" s="299" t="s">
        <v>41</v>
      </c>
      <c r="T990" s="299">
        <v>86</v>
      </c>
      <c r="U990" s="300" t="s">
        <v>164</v>
      </c>
      <c r="V990" s="333"/>
      <c r="X990" s="297">
        <v>0</v>
      </c>
      <c r="Y990" s="297"/>
      <c r="AH990" s="291">
        <f t="shared" si="16"/>
        <v>0</v>
      </c>
      <c r="AI990" s="311"/>
      <c r="AJ990" s="468"/>
    </row>
    <row r="991" spans="1:77" s="291" customFormat="1" ht="11.25" customHeight="1">
      <c r="B991" s="291" t="s">
        <v>291</v>
      </c>
      <c r="C991" s="292"/>
      <c r="D991" s="292"/>
      <c r="E991" s="293" t="s">
        <v>992</v>
      </c>
      <c r="F991" s="291" t="s">
        <v>330</v>
      </c>
      <c r="G991" s="294">
        <v>3618</v>
      </c>
      <c r="H991" s="291" t="s">
        <v>444</v>
      </c>
      <c r="I991" s="291" t="s">
        <v>888</v>
      </c>
      <c r="J991" s="296">
        <v>17093.669999999998</v>
      </c>
      <c r="L991" s="296">
        <v>20.57</v>
      </c>
      <c r="M991" s="296">
        <v>20.57</v>
      </c>
      <c r="N991" s="297">
        <f>J991*0.35</f>
        <v>5982.7844999999988</v>
      </c>
      <c r="O991" s="298">
        <v>0.15</v>
      </c>
      <c r="P991" s="298"/>
      <c r="Q991" s="297">
        <v>0</v>
      </c>
      <c r="R991" s="291" t="s">
        <v>35</v>
      </c>
      <c r="S991" s="299" t="s">
        <v>41</v>
      </c>
      <c r="T991" s="299">
        <v>86</v>
      </c>
      <c r="U991" s="300" t="s">
        <v>164</v>
      </c>
      <c r="V991" s="333"/>
      <c r="X991" s="297">
        <v>0</v>
      </c>
      <c r="Y991" s="297"/>
      <c r="AH991" s="291">
        <f t="shared" si="16"/>
        <v>0</v>
      </c>
      <c r="AI991" s="311"/>
      <c r="AJ991" s="468"/>
    </row>
    <row r="992" spans="1:77" s="291" customFormat="1" ht="11.25" customHeight="1">
      <c r="B992" s="291" t="s">
        <v>291</v>
      </c>
      <c r="C992" s="292">
        <v>44692</v>
      </c>
      <c r="D992" s="292">
        <v>44693</v>
      </c>
      <c r="E992" s="293" t="s">
        <v>992</v>
      </c>
      <c r="F992" s="291" t="s">
        <v>330</v>
      </c>
      <c r="G992" s="294">
        <v>3618</v>
      </c>
      <c r="H992" s="291" t="s">
        <v>183</v>
      </c>
      <c r="I992" s="291" t="s">
        <v>888</v>
      </c>
      <c r="J992" s="296">
        <v>19094.400000000001</v>
      </c>
      <c r="L992" s="296">
        <v>19.5</v>
      </c>
      <c r="M992" s="296">
        <v>19.5</v>
      </c>
      <c r="N992" s="297">
        <f>J992*0.2</f>
        <v>3818.8800000000006</v>
      </c>
      <c r="O992" s="298">
        <v>0.15</v>
      </c>
      <c r="P992" s="298"/>
      <c r="Q992" s="297">
        <v>2911.83</v>
      </c>
      <c r="R992" s="291" t="s">
        <v>35</v>
      </c>
      <c r="S992" s="299" t="s">
        <v>41</v>
      </c>
      <c r="T992" s="299">
        <v>86</v>
      </c>
      <c r="U992" s="300" t="s">
        <v>164</v>
      </c>
      <c r="V992" s="333"/>
      <c r="X992" s="297">
        <v>2911.83</v>
      </c>
      <c r="Y992" s="297"/>
      <c r="AH992" s="291">
        <f t="shared" si="16"/>
        <v>2911.83</v>
      </c>
      <c r="AI992" s="311"/>
      <c r="AJ992" s="468"/>
    </row>
    <row r="993" spans="1:77" s="379" customFormat="1" ht="11.25" customHeight="1">
      <c r="B993" s="379" t="s">
        <v>291</v>
      </c>
      <c r="C993" s="381"/>
      <c r="D993" s="381"/>
      <c r="E993" s="382" t="s">
        <v>992</v>
      </c>
      <c r="F993" s="379" t="s">
        <v>330</v>
      </c>
      <c r="G993" s="383">
        <v>3618</v>
      </c>
      <c r="H993" s="379" t="s">
        <v>993</v>
      </c>
      <c r="I993" s="379" t="s">
        <v>888</v>
      </c>
      <c r="J993" s="385">
        <v>29738.16</v>
      </c>
      <c r="L993" s="385">
        <v>12.36</v>
      </c>
      <c r="M993" s="385">
        <v>12.36</v>
      </c>
      <c r="N993" s="386"/>
      <c r="O993" s="387">
        <v>0.15</v>
      </c>
      <c r="P993" s="387"/>
      <c r="Q993" s="386">
        <v>0</v>
      </c>
      <c r="R993" s="379" t="s">
        <v>35</v>
      </c>
      <c r="S993" s="388" t="s">
        <v>41</v>
      </c>
      <c r="T993" s="388">
        <v>86</v>
      </c>
      <c r="U993" s="389" t="s">
        <v>164</v>
      </c>
      <c r="V993" s="433"/>
      <c r="X993" s="386">
        <v>0</v>
      </c>
      <c r="Y993" s="386"/>
      <c r="AJ993" s="390">
        <v>0</v>
      </c>
    </row>
    <row r="994" spans="1:77" s="291" customFormat="1" ht="11.25" customHeight="1">
      <c r="A994" s="473" t="s">
        <v>3893</v>
      </c>
      <c r="B994" s="486" t="s">
        <v>291</v>
      </c>
      <c r="C994" s="487"/>
      <c r="D994" s="487"/>
      <c r="E994" s="488" t="s">
        <v>995</v>
      </c>
      <c r="F994" s="473" t="s">
        <v>771</v>
      </c>
      <c r="G994" s="489" t="s">
        <v>772</v>
      </c>
      <c r="H994" s="473" t="s">
        <v>765</v>
      </c>
      <c r="I994" s="473" t="s">
        <v>961</v>
      </c>
      <c r="J994" s="490">
        <v>42212.73</v>
      </c>
      <c r="K994" s="473"/>
      <c r="L994" s="490">
        <v>30.64</v>
      </c>
      <c r="M994" s="490">
        <v>30.64</v>
      </c>
      <c r="N994" s="492"/>
      <c r="O994" s="493">
        <v>0.25</v>
      </c>
      <c r="P994" s="493"/>
      <c r="Q994" s="492">
        <v>21528.49</v>
      </c>
      <c r="R994" s="473" t="s">
        <v>35</v>
      </c>
      <c r="S994" s="481" t="s">
        <v>34</v>
      </c>
      <c r="T994" s="481">
        <v>17</v>
      </c>
      <c r="U994" s="494" t="s">
        <v>164</v>
      </c>
      <c r="V994" s="495"/>
      <c r="W994" s="473" t="s">
        <v>3956</v>
      </c>
      <c r="X994" s="492">
        <v>21528.49</v>
      </c>
      <c r="Y994" s="492"/>
      <c r="Z994" s="473"/>
      <c r="AA994" s="473"/>
      <c r="AB994" s="473"/>
      <c r="AC994" s="473"/>
      <c r="AD994" s="473"/>
      <c r="AE994" s="473"/>
      <c r="AF994" s="473"/>
      <c r="AG994" s="473"/>
      <c r="AH994" s="498">
        <v>3542.2</v>
      </c>
      <c r="AI994" s="498"/>
      <c r="AJ994" s="485"/>
      <c r="AK994" s="473">
        <v>17986.29</v>
      </c>
      <c r="AL994" s="473"/>
      <c r="AM994" s="473"/>
      <c r="AN994" s="473"/>
      <c r="AO994" s="473"/>
      <c r="AP994" s="473"/>
      <c r="AQ994" s="473"/>
      <c r="AR994" s="473"/>
      <c r="AS994" s="473"/>
      <c r="AT994" s="473"/>
      <c r="AU994" s="473"/>
      <c r="AV994" s="473"/>
      <c r="AW994" s="473"/>
      <c r="AX994" s="473"/>
      <c r="AY994" s="473"/>
      <c r="AZ994" s="473"/>
      <c r="BA994" s="473"/>
      <c r="BB994" s="473"/>
      <c r="BC994" s="473"/>
      <c r="BD994" s="473"/>
      <c r="BE994" s="473"/>
      <c r="BF994" s="473"/>
      <c r="BG994" s="473"/>
      <c r="BH994" s="473"/>
      <c r="BI994" s="473"/>
      <c r="BJ994" s="473"/>
      <c r="BK994" s="473"/>
      <c r="BL994" s="473"/>
      <c r="BM994" s="473"/>
      <c r="BN994" s="473"/>
      <c r="BO994" s="473"/>
      <c r="BP994" s="473"/>
      <c r="BQ994" s="473"/>
      <c r="BR994" s="473"/>
      <c r="BS994" s="473"/>
      <c r="BT994" s="473"/>
      <c r="BU994" s="473"/>
      <c r="BV994" s="473"/>
      <c r="BW994" s="473"/>
      <c r="BX994" s="473"/>
      <c r="BY994" s="473"/>
    </row>
    <row r="995" spans="1:77" s="291" customFormat="1" ht="11.25" customHeight="1">
      <c r="A995" s="291" t="s">
        <v>3893</v>
      </c>
      <c r="B995" s="310" t="s">
        <v>291</v>
      </c>
      <c r="C995" s="292">
        <v>44692</v>
      </c>
      <c r="D995" s="292">
        <v>44694</v>
      </c>
      <c r="E995" s="293" t="s">
        <v>995</v>
      </c>
      <c r="F995" s="291" t="s">
        <v>771</v>
      </c>
      <c r="G995" s="294" t="s">
        <v>772</v>
      </c>
      <c r="H995" s="291" t="s">
        <v>192</v>
      </c>
      <c r="I995" s="291" t="s">
        <v>961</v>
      </c>
      <c r="J995" s="296">
        <v>66800.63</v>
      </c>
      <c r="L995" s="296">
        <v>37.700000000000003</v>
      </c>
      <c r="M995" s="296">
        <v>37.700000000000003</v>
      </c>
      <c r="N995" s="297">
        <f>J995*0.3</f>
        <v>20040.189000000002</v>
      </c>
      <c r="O995" s="298">
        <v>0.25</v>
      </c>
      <c r="P995" s="298"/>
      <c r="Q995" s="297">
        <v>859.37</v>
      </c>
      <c r="R995" s="291" t="s">
        <v>35</v>
      </c>
      <c r="S995" s="299" t="s">
        <v>34</v>
      </c>
      <c r="T995" s="299">
        <v>17</v>
      </c>
      <c r="U995" s="300" t="s">
        <v>164</v>
      </c>
      <c r="V995" s="333"/>
      <c r="X995" s="297">
        <v>859.37</v>
      </c>
      <c r="Y995" s="297"/>
      <c r="AH995" s="311">
        <f>X995</f>
        <v>859.37</v>
      </c>
      <c r="AI995" s="311"/>
      <c r="AJ995" s="468"/>
    </row>
    <row r="996" spans="1:77" s="261" customFormat="1" ht="11.25" customHeight="1">
      <c r="B996" s="258" t="s">
        <v>291</v>
      </c>
      <c r="C996" s="259"/>
      <c r="D996" s="259"/>
      <c r="E996" s="260" t="s">
        <v>995</v>
      </c>
      <c r="F996" s="261" t="s">
        <v>771</v>
      </c>
      <c r="G996" s="262" t="s">
        <v>772</v>
      </c>
      <c r="H996" s="261" t="s">
        <v>137</v>
      </c>
      <c r="I996" s="261" t="s">
        <v>961</v>
      </c>
      <c r="J996" s="263">
        <v>48505.08</v>
      </c>
      <c r="L996" s="263">
        <v>46.02</v>
      </c>
      <c r="M996" s="263">
        <v>46.02</v>
      </c>
      <c r="N996" s="265"/>
      <c r="O996" s="266">
        <v>0.25</v>
      </c>
      <c r="P996" s="266"/>
      <c r="Q996" s="265">
        <v>0</v>
      </c>
      <c r="R996" s="261" t="s">
        <v>35</v>
      </c>
      <c r="S996" s="267" t="s">
        <v>34</v>
      </c>
      <c r="T996" s="267">
        <v>17</v>
      </c>
      <c r="U996" s="268" t="s">
        <v>164</v>
      </c>
      <c r="V996" s="427"/>
      <c r="X996" s="265">
        <v>0</v>
      </c>
      <c r="Y996" s="265"/>
      <c r="AG996" s="261">
        <f>X996</f>
        <v>0</v>
      </c>
      <c r="AJ996" s="642"/>
    </row>
    <row r="997" spans="1:77" s="379" customFormat="1" ht="11.25" customHeight="1">
      <c r="B997" s="380" t="s">
        <v>291</v>
      </c>
      <c r="C997" s="381">
        <v>44692</v>
      </c>
      <c r="D997" s="381">
        <v>44694</v>
      </c>
      <c r="E997" s="382" t="s">
        <v>996</v>
      </c>
      <c r="F997" s="379" t="s">
        <v>997</v>
      </c>
      <c r="G997" s="383" t="s">
        <v>998</v>
      </c>
      <c r="H997" s="379" t="s">
        <v>765</v>
      </c>
      <c r="I997" s="379" t="s">
        <v>33</v>
      </c>
      <c r="J997" s="385">
        <v>49625.67</v>
      </c>
      <c r="L997" s="385">
        <v>35.49</v>
      </c>
      <c r="M997" s="385">
        <v>35.49</v>
      </c>
      <c r="N997" s="386"/>
      <c r="O997" s="387">
        <v>0.25</v>
      </c>
      <c r="P997" s="387"/>
      <c r="Q997" s="386">
        <v>1204</v>
      </c>
      <c r="R997" s="379" t="s">
        <v>285</v>
      </c>
      <c r="S997" s="388" t="s">
        <v>275</v>
      </c>
      <c r="T997" s="388">
        <v>21</v>
      </c>
      <c r="U997" s="389" t="s">
        <v>164</v>
      </c>
      <c r="V997" s="433"/>
      <c r="X997" s="386">
        <v>1204</v>
      </c>
      <c r="Y997" s="386"/>
      <c r="AJ997" s="416">
        <v>1204</v>
      </c>
    </row>
    <row r="998" spans="1:77" s="261" customFormat="1" ht="11.25" customHeight="1">
      <c r="B998" s="258" t="s">
        <v>291</v>
      </c>
      <c r="C998" s="259"/>
      <c r="D998" s="259"/>
      <c r="E998" s="260" t="s">
        <v>996</v>
      </c>
      <c r="F998" s="261" t="s">
        <v>997</v>
      </c>
      <c r="G998" s="262" t="s">
        <v>998</v>
      </c>
      <c r="H998" s="261" t="s">
        <v>99</v>
      </c>
      <c r="I998" s="261" t="s">
        <v>33</v>
      </c>
      <c r="J998" s="263">
        <v>75783.5</v>
      </c>
      <c r="L998" s="263">
        <v>57.85</v>
      </c>
      <c r="M998" s="263">
        <v>57.85</v>
      </c>
      <c r="N998" s="265"/>
      <c r="O998" s="266">
        <v>0.25</v>
      </c>
      <c r="P998" s="266"/>
      <c r="Q998" s="265">
        <v>0</v>
      </c>
      <c r="R998" s="261" t="s">
        <v>285</v>
      </c>
      <c r="S998" s="267" t="s">
        <v>275</v>
      </c>
      <c r="T998" s="267">
        <v>21</v>
      </c>
      <c r="U998" s="268" t="s">
        <v>164</v>
      </c>
      <c r="V998" s="427"/>
      <c r="X998" s="265">
        <v>0</v>
      </c>
      <c r="Y998" s="265"/>
      <c r="AG998" s="261">
        <f>X998</f>
        <v>0</v>
      </c>
      <c r="AJ998" s="642"/>
    </row>
    <row r="999" spans="1:77" s="261" customFormat="1" ht="11.25" customHeight="1">
      <c r="B999" s="258" t="s">
        <v>291</v>
      </c>
      <c r="C999" s="259"/>
      <c r="D999" s="259"/>
      <c r="E999" s="260" t="s">
        <v>996</v>
      </c>
      <c r="F999" s="261" t="s">
        <v>997</v>
      </c>
      <c r="G999" s="262" t="s">
        <v>998</v>
      </c>
      <c r="H999" s="261" t="s">
        <v>183</v>
      </c>
      <c r="I999" s="261" t="s">
        <v>33</v>
      </c>
      <c r="J999" s="263">
        <v>48212.14</v>
      </c>
      <c r="L999" s="263">
        <v>37.49</v>
      </c>
      <c r="M999" s="263">
        <v>37.49</v>
      </c>
      <c r="N999" s="265"/>
      <c r="O999" s="266">
        <v>0.25</v>
      </c>
      <c r="P999" s="266"/>
      <c r="Q999" s="265">
        <v>0</v>
      </c>
      <c r="R999" s="261" t="s">
        <v>285</v>
      </c>
      <c r="S999" s="267" t="s">
        <v>275</v>
      </c>
      <c r="T999" s="267">
        <v>21</v>
      </c>
      <c r="U999" s="268" t="s">
        <v>164</v>
      </c>
      <c r="V999" s="427"/>
      <c r="X999" s="265">
        <v>0</v>
      </c>
      <c r="Y999" s="265"/>
      <c r="AG999" s="261">
        <f>X999</f>
        <v>0</v>
      </c>
      <c r="AJ999" s="642"/>
    </row>
    <row r="1000" spans="1:77" s="379" customFormat="1" ht="11.25" customHeight="1">
      <c r="B1000" s="380" t="s">
        <v>291</v>
      </c>
      <c r="C1000" s="381"/>
      <c r="D1000" s="381"/>
      <c r="E1000" s="382" t="s">
        <v>996</v>
      </c>
      <c r="F1000" s="379" t="s">
        <v>997</v>
      </c>
      <c r="G1000" s="383" t="s">
        <v>998</v>
      </c>
      <c r="H1000" s="379" t="s">
        <v>137</v>
      </c>
      <c r="I1000" s="379" t="s">
        <v>33</v>
      </c>
      <c r="J1000" s="385">
        <v>57410.400000000001</v>
      </c>
      <c r="L1000" s="385">
        <v>50.36</v>
      </c>
      <c r="M1000" s="385">
        <v>50.36</v>
      </c>
      <c r="N1000" s="386">
        <f>4514.14+1550.4+153.9</f>
        <v>6218.4400000000005</v>
      </c>
      <c r="O1000" s="387">
        <v>0.25</v>
      </c>
      <c r="P1000" s="387"/>
      <c r="Q1000" s="386">
        <v>9920.92</v>
      </c>
      <c r="R1000" s="379" t="s">
        <v>285</v>
      </c>
      <c r="S1000" s="388" t="s">
        <v>275</v>
      </c>
      <c r="T1000" s="388">
        <v>21</v>
      </c>
      <c r="U1000" s="389" t="s">
        <v>164</v>
      </c>
      <c r="V1000" s="433"/>
      <c r="X1000" s="386">
        <v>9920.92</v>
      </c>
      <c r="Y1000" s="386"/>
      <c r="AJ1000" s="416">
        <v>9920.92</v>
      </c>
    </row>
    <row r="1001" spans="1:77" s="647" customFormat="1" ht="11.25" customHeight="1">
      <c r="B1001" s="661" t="s">
        <v>291</v>
      </c>
      <c r="C1001" s="648"/>
      <c r="D1001" s="648"/>
      <c r="E1001" s="649" t="s">
        <v>999</v>
      </c>
      <c r="F1001" s="647" t="s">
        <v>547</v>
      </c>
      <c r="G1001" s="650">
        <v>4546</v>
      </c>
      <c r="H1001" s="647" t="s">
        <v>765</v>
      </c>
      <c r="I1001" s="647" t="s">
        <v>33</v>
      </c>
      <c r="J1001" s="651">
        <v>18769.52</v>
      </c>
      <c r="L1001" s="651">
        <v>19.39</v>
      </c>
      <c r="M1001" s="651">
        <v>19.39</v>
      </c>
      <c r="N1001" s="652">
        <f>J1001*0.15</f>
        <v>2815.4279999999999</v>
      </c>
      <c r="O1001" s="653">
        <v>0.15</v>
      </c>
      <c r="P1001" s="653"/>
      <c r="Q1001" s="652">
        <f>N1001-J1001*O1001</f>
        <v>0</v>
      </c>
      <c r="R1001" s="647" t="s">
        <v>42</v>
      </c>
      <c r="S1001" s="654" t="s">
        <v>41</v>
      </c>
      <c r="T1001" s="654">
        <v>79</v>
      </c>
      <c r="U1001" s="655" t="s">
        <v>164</v>
      </c>
      <c r="V1001" s="656"/>
      <c r="X1001" s="652">
        <v>0</v>
      </c>
      <c r="Y1001" s="652"/>
      <c r="AI1001" s="647">
        <v>0</v>
      </c>
      <c r="AJ1001" s="657"/>
      <c r="AK1001" s="658"/>
    </row>
    <row r="1002" spans="1:77" s="647" customFormat="1" ht="11.25" customHeight="1">
      <c r="B1002" s="661" t="s">
        <v>291</v>
      </c>
      <c r="C1002" s="648">
        <v>44691</v>
      </c>
      <c r="D1002" s="648">
        <v>44693</v>
      </c>
      <c r="E1002" s="649" t="s">
        <v>999</v>
      </c>
      <c r="F1002" s="647" t="s">
        <v>547</v>
      </c>
      <c r="G1002" s="650">
        <v>4546</v>
      </c>
      <c r="H1002" s="647" t="s">
        <v>99</v>
      </c>
      <c r="I1002" s="647" t="s">
        <v>33</v>
      </c>
      <c r="J1002" s="651">
        <v>56635.199999999997</v>
      </c>
      <c r="L1002" s="651">
        <v>42.75</v>
      </c>
      <c r="M1002" s="651">
        <v>42.75</v>
      </c>
      <c r="N1002" s="652">
        <v>16990.560000000001</v>
      </c>
      <c r="O1002" s="653">
        <v>0.15</v>
      </c>
      <c r="P1002" s="653"/>
      <c r="Q1002" s="652">
        <v>6230.37</v>
      </c>
      <c r="R1002" s="647" t="s">
        <v>42</v>
      </c>
      <c r="S1002" s="654" t="s">
        <v>41</v>
      </c>
      <c r="T1002" s="654">
        <v>79</v>
      </c>
      <c r="U1002" s="655" t="s">
        <v>164</v>
      </c>
      <c r="V1002" s="656"/>
      <c r="X1002" s="652">
        <v>6230.37</v>
      </c>
      <c r="Y1002" s="652"/>
      <c r="AI1002" s="652">
        <v>6230.37</v>
      </c>
      <c r="AJ1002" s="657"/>
      <c r="AK1002" s="658"/>
    </row>
    <row r="1003" spans="1:77" s="647" customFormat="1" ht="11.25" customHeight="1">
      <c r="B1003" s="661" t="s">
        <v>291</v>
      </c>
      <c r="C1003" s="648"/>
      <c r="D1003" s="648"/>
      <c r="E1003" s="649" t="s">
        <v>999</v>
      </c>
      <c r="F1003" s="647" t="s">
        <v>547</v>
      </c>
      <c r="G1003" s="650">
        <v>4546</v>
      </c>
      <c r="H1003" s="647" t="s">
        <v>183</v>
      </c>
      <c r="I1003" s="647" t="s">
        <v>33</v>
      </c>
      <c r="J1003" s="651">
        <v>19928.5</v>
      </c>
      <c r="L1003" s="651">
        <v>18.13</v>
      </c>
      <c r="M1003" s="651">
        <v>18.13</v>
      </c>
      <c r="N1003" s="652">
        <v>6974.9736000000003</v>
      </c>
      <c r="O1003" s="653">
        <v>0.15</v>
      </c>
      <c r="P1003" s="653"/>
      <c r="Q1003" s="652">
        <v>706.34</v>
      </c>
      <c r="R1003" s="647" t="s">
        <v>42</v>
      </c>
      <c r="S1003" s="654" t="s">
        <v>41</v>
      </c>
      <c r="T1003" s="654">
        <v>79</v>
      </c>
      <c r="U1003" s="655" t="s">
        <v>164</v>
      </c>
      <c r="V1003" s="656"/>
      <c r="X1003" s="652">
        <v>706.34</v>
      </c>
      <c r="Y1003" s="652"/>
      <c r="AI1003" s="652">
        <v>706.34</v>
      </c>
      <c r="AJ1003" s="657"/>
      <c r="AK1003" s="658"/>
    </row>
    <row r="1004" spans="1:77" s="647" customFormat="1" ht="11.25" customHeight="1">
      <c r="B1004" s="661" t="s">
        <v>291</v>
      </c>
      <c r="C1004" s="648"/>
      <c r="D1004" s="648"/>
      <c r="E1004" s="649" t="s">
        <v>999</v>
      </c>
      <c r="F1004" s="647" t="s">
        <v>547</v>
      </c>
      <c r="G1004" s="650">
        <v>4546</v>
      </c>
      <c r="H1004" s="647" t="s">
        <v>27</v>
      </c>
      <c r="I1004" s="647" t="s">
        <v>33</v>
      </c>
      <c r="J1004" s="651">
        <v>27047.4</v>
      </c>
      <c r="L1004" s="651">
        <v>14.78</v>
      </c>
      <c r="M1004" s="651">
        <v>14.77</v>
      </c>
      <c r="N1004" s="652">
        <v>8108.73</v>
      </c>
      <c r="O1004" s="653">
        <v>0.15</v>
      </c>
      <c r="P1004" s="653"/>
      <c r="Q1004" s="652">
        <v>4216.84</v>
      </c>
      <c r="R1004" s="647" t="s">
        <v>42</v>
      </c>
      <c r="S1004" s="654" t="s">
        <v>41</v>
      </c>
      <c r="T1004" s="654">
        <v>79</v>
      </c>
      <c r="U1004" s="655" t="s">
        <v>164</v>
      </c>
      <c r="V1004" s="656"/>
      <c r="X1004" s="652">
        <v>4216.84</v>
      </c>
      <c r="Y1004" s="652"/>
      <c r="AI1004" s="652">
        <v>4216.84</v>
      </c>
      <c r="AJ1004" s="657"/>
      <c r="AK1004" s="658"/>
    </row>
    <row r="1005" spans="1:77" s="647" customFormat="1" ht="11.25" customHeight="1">
      <c r="B1005" s="661" t="s">
        <v>291</v>
      </c>
      <c r="C1005" s="648"/>
      <c r="D1005" s="648"/>
      <c r="E1005" s="649" t="s">
        <v>999</v>
      </c>
      <c r="F1005" s="647" t="s">
        <v>547</v>
      </c>
      <c r="G1005" s="650">
        <v>4546</v>
      </c>
      <c r="H1005" s="647" t="s">
        <v>898</v>
      </c>
      <c r="I1005" s="647" t="s">
        <v>33</v>
      </c>
      <c r="J1005" s="651">
        <v>10721.53</v>
      </c>
      <c r="L1005" s="651">
        <v>10.07</v>
      </c>
      <c r="M1005" s="651">
        <v>10.07</v>
      </c>
      <c r="N1005" s="652">
        <f>2144.3058</f>
        <v>2144.3058000000001</v>
      </c>
      <c r="O1005" s="653">
        <v>0.15</v>
      </c>
      <c r="P1005" s="653"/>
      <c r="Q1005" s="652">
        <v>2908.94</v>
      </c>
      <c r="R1005" s="647" t="s">
        <v>42</v>
      </c>
      <c r="S1005" s="654" t="s">
        <v>41</v>
      </c>
      <c r="T1005" s="654">
        <v>79</v>
      </c>
      <c r="U1005" s="655" t="s">
        <v>164</v>
      </c>
      <c r="V1005" s="656"/>
      <c r="X1005" s="652">
        <v>2908.94</v>
      </c>
      <c r="Y1005" s="652"/>
      <c r="AI1005" s="652">
        <v>2908.94</v>
      </c>
      <c r="AJ1005" s="657"/>
      <c r="AK1005" s="658"/>
    </row>
    <row r="1006" spans="1:77" s="647" customFormat="1" ht="11.25" customHeight="1">
      <c r="B1006" s="661" t="s">
        <v>291</v>
      </c>
      <c r="C1006" s="648"/>
      <c r="D1006" s="648"/>
      <c r="E1006" s="649" t="s">
        <v>999</v>
      </c>
      <c r="F1006" s="647" t="s">
        <v>547</v>
      </c>
      <c r="G1006" s="650">
        <v>4546</v>
      </c>
      <c r="H1006" s="647" t="s">
        <v>866</v>
      </c>
      <c r="I1006" s="647" t="s">
        <v>33</v>
      </c>
      <c r="J1006" s="651">
        <v>32618.61</v>
      </c>
      <c r="L1006" s="651">
        <v>35.54</v>
      </c>
      <c r="M1006" s="651">
        <v>35.54</v>
      </c>
      <c r="N1006" s="652">
        <v>3604.2006000000001</v>
      </c>
      <c r="O1006" s="653">
        <v>0.15</v>
      </c>
      <c r="P1006" s="653"/>
      <c r="Q1006" s="652">
        <v>11646.58</v>
      </c>
      <c r="R1006" s="647" t="s">
        <v>42</v>
      </c>
      <c r="S1006" s="654" t="s">
        <v>41</v>
      </c>
      <c r="T1006" s="654">
        <v>79</v>
      </c>
      <c r="U1006" s="655" t="s">
        <v>164</v>
      </c>
      <c r="V1006" s="656"/>
      <c r="X1006" s="652">
        <v>11646.58</v>
      </c>
      <c r="Y1006" s="652"/>
      <c r="AI1006" s="652">
        <v>11646.58</v>
      </c>
      <c r="AJ1006" s="657"/>
      <c r="AK1006" s="658"/>
    </row>
    <row r="1007" spans="1:77" s="647" customFormat="1" ht="11.25" customHeight="1">
      <c r="B1007" s="661" t="s">
        <v>291</v>
      </c>
      <c r="C1007" s="648"/>
      <c r="D1007" s="648"/>
      <c r="E1007" s="649" t="s">
        <v>999</v>
      </c>
      <c r="F1007" s="647" t="s">
        <v>547</v>
      </c>
      <c r="G1007" s="650">
        <v>4546</v>
      </c>
      <c r="H1007" s="647" t="s">
        <v>310</v>
      </c>
      <c r="I1007" s="647" t="s">
        <v>33</v>
      </c>
      <c r="J1007" s="651">
        <v>7911.33</v>
      </c>
      <c r="L1007" s="651">
        <v>7.07</v>
      </c>
      <c r="M1007" s="651">
        <v>7.07</v>
      </c>
      <c r="N1007" s="652">
        <v>3160.056</v>
      </c>
      <c r="O1007" s="653">
        <v>0.15</v>
      </c>
      <c r="P1007" s="653"/>
      <c r="Q1007" s="652">
        <v>2161.42</v>
      </c>
      <c r="R1007" s="647" t="s">
        <v>42</v>
      </c>
      <c r="S1007" s="654" t="s">
        <v>41</v>
      </c>
      <c r="T1007" s="654">
        <v>79</v>
      </c>
      <c r="U1007" s="655" t="s">
        <v>164</v>
      </c>
      <c r="V1007" s="656"/>
      <c r="X1007" s="652">
        <v>2161.42</v>
      </c>
      <c r="Y1007" s="652"/>
      <c r="AI1007" s="652">
        <v>2161.42</v>
      </c>
      <c r="AJ1007" s="657"/>
      <c r="AK1007" s="658"/>
    </row>
    <row r="1008" spans="1:77" s="291" customFormat="1" ht="11" customHeight="1">
      <c r="B1008" s="310" t="s">
        <v>291</v>
      </c>
      <c r="C1008" s="292">
        <v>44694</v>
      </c>
      <c r="D1008" s="292">
        <v>44694</v>
      </c>
      <c r="E1008" s="293" t="s">
        <v>1000</v>
      </c>
      <c r="F1008" s="291" t="s">
        <v>521</v>
      </c>
      <c r="G1008" s="294">
        <v>3518</v>
      </c>
      <c r="H1008" s="291" t="s">
        <v>99</v>
      </c>
      <c r="I1008" s="291" t="s">
        <v>33</v>
      </c>
      <c r="J1008" s="296">
        <v>60228.959999999999</v>
      </c>
      <c r="L1008" s="296">
        <v>40.26</v>
      </c>
      <c r="M1008" s="296">
        <v>40.26</v>
      </c>
      <c r="N1008" s="297">
        <f>0.2*J1008</f>
        <v>12045.792000000001</v>
      </c>
      <c r="O1008" s="298">
        <v>0.3</v>
      </c>
      <c r="P1008" s="298"/>
      <c r="Q1008" s="297">
        <v>0</v>
      </c>
      <c r="R1008" s="291" t="s">
        <v>35</v>
      </c>
      <c r="S1008" s="299" t="s">
        <v>34</v>
      </c>
      <c r="T1008" s="299">
        <v>17</v>
      </c>
      <c r="U1008" s="300" t="s">
        <v>164</v>
      </c>
      <c r="V1008" s="333"/>
      <c r="X1008" s="297">
        <v>0</v>
      </c>
      <c r="Y1008" s="297"/>
      <c r="AH1008" s="291">
        <f>X1008</f>
        <v>0</v>
      </c>
      <c r="AI1008" s="311"/>
      <c r="AJ1008" s="468"/>
    </row>
    <row r="1009" spans="2:37" s="291" customFormat="1" ht="11.25" customHeight="1">
      <c r="B1009" s="310" t="s">
        <v>291</v>
      </c>
      <c r="C1009" s="292"/>
      <c r="D1009" s="292"/>
      <c r="E1009" s="293" t="s">
        <v>1000</v>
      </c>
      <c r="F1009" s="291" t="s">
        <v>521</v>
      </c>
      <c r="G1009" s="294">
        <v>3518</v>
      </c>
      <c r="H1009" s="291" t="s">
        <v>183</v>
      </c>
      <c r="I1009" s="291" t="s">
        <v>33</v>
      </c>
      <c r="J1009" s="296">
        <v>21420</v>
      </c>
      <c r="L1009" s="296">
        <v>17</v>
      </c>
      <c r="M1009" s="296">
        <v>17</v>
      </c>
      <c r="N1009" s="297">
        <f>0.2*J1009</f>
        <v>4284</v>
      </c>
      <c r="O1009" s="298">
        <v>0.3</v>
      </c>
      <c r="P1009" s="298"/>
      <c r="Q1009" s="297">
        <v>0</v>
      </c>
      <c r="R1009" s="291" t="s">
        <v>35</v>
      </c>
      <c r="S1009" s="299" t="s">
        <v>34</v>
      </c>
      <c r="T1009" s="299">
        <v>17</v>
      </c>
      <c r="U1009" s="300" t="s">
        <v>164</v>
      </c>
      <c r="V1009" s="333"/>
      <c r="X1009" s="297">
        <v>0</v>
      </c>
      <c r="Y1009" s="297"/>
      <c r="AH1009" s="291">
        <f>X1009</f>
        <v>0</v>
      </c>
      <c r="AI1009" s="311"/>
      <c r="AJ1009" s="468"/>
    </row>
    <row r="1010" spans="2:37" s="291" customFormat="1" ht="11.25" customHeight="1">
      <c r="B1010" s="310" t="s">
        <v>291</v>
      </c>
      <c r="C1010" s="292"/>
      <c r="D1010" s="292"/>
      <c r="E1010" s="293" t="s">
        <v>1000</v>
      </c>
      <c r="F1010" s="291" t="s">
        <v>521</v>
      </c>
      <c r="G1010" s="294">
        <v>3518</v>
      </c>
      <c r="H1010" s="291" t="s">
        <v>310</v>
      </c>
      <c r="I1010" s="291" t="s">
        <v>33</v>
      </c>
      <c r="J1010" s="296">
        <v>8603.1</v>
      </c>
      <c r="L1010" s="296">
        <v>11.85</v>
      </c>
      <c r="M1010" s="296">
        <v>11.85</v>
      </c>
      <c r="N1010" s="297">
        <f>0.4*J1010</f>
        <v>3441.2400000000002</v>
      </c>
      <c r="O1010" s="298">
        <v>0.3</v>
      </c>
      <c r="P1010" s="298"/>
      <c r="Q1010" s="297">
        <v>1353.27</v>
      </c>
      <c r="R1010" s="291" t="s">
        <v>35</v>
      </c>
      <c r="S1010" s="299" t="s">
        <v>34</v>
      </c>
      <c r="T1010" s="299">
        <v>17</v>
      </c>
      <c r="U1010" s="300" t="s">
        <v>164</v>
      </c>
      <c r="V1010" s="333"/>
      <c r="X1010" s="297">
        <v>1353.27</v>
      </c>
      <c r="Y1010" s="297"/>
      <c r="AH1010" s="291">
        <f>X1010</f>
        <v>1353.27</v>
      </c>
      <c r="AI1010" s="311"/>
      <c r="AJ1010" s="468"/>
    </row>
    <row r="1011" spans="2:37" s="291" customFormat="1" ht="11.25" customHeight="1">
      <c r="B1011" s="310" t="s">
        <v>291</v>
      </c>
      <c r="C1011" s="292"/>
      <c r="D1011" s="292"/>
      <c r="E1011" s="293" t="s">
        <v>1000</v>
      </c>
      <c r="F1011" s="291" t="s">
        <v>521</v>
      </c>
      <c r="G1011" s="294">
        <v>3518</v>
      </c>
      <c r="H1011" s="291" t="s">
        <v>765</v>
      </c>
      <c r="I1011" s="291" t="s">
        <v>33</v>
      </c>
      <c r="J1011" s="296">
        <v>24880.91</v>
      </c>
      <c r="L1011" s="296">
        <v>23.73</v>
      </c>
      <c r="M1011" s="296">
        <v>23.73</v>
      </c>
      <c r="N1011" s="297"/>
      <c r="O1011" s="298">
        <v>0.3</v>
      </c>
      <c r="P1011" s="298"/>
      <c r="Q1011" s="297">
        <v>4484.97</v>
      </c>
      <c r="R1011" s="291" t="s">
        <v>35</v>
      </c>
      <c r="S1011" s="299" t="s">
        <v>34</v>
      </c>
      <c r="T1011" s="299">
        <v>17</v>
      </c>
      <c r="U1011" s="300" t="s">
        <v>164</v>
      </c>
      <c r="V1011" s="333"/>
      <c r="X1011" s="297">
        <v>4484.97</v>
      </c>
      <c r="Y1011" s="297"/>
      <c r="AH1011" s="311">
        <f>X1011</f>
        <v>4484.97</v>
      </c>
      <c r="AI1011" s="311"/>
      <c r="AJ1011" s="468"/>
    </row>
    <row r="1012" spans="2:37" s="291" customFormat="1" ht="11.25" customHeight="1">
      <c r="B1012" s="310" t="s">
        <v>291</v>
      </c>
      <c r="C1012" s="292"/>
      <c r="D1012" s="292"/>
      <c r="E1012" s="293" t="s">
        <v>1000</v>
      </c>
      <c r="F1012" s="291" t="s">
        <v>521</v>
      </c>
      <c r="G1012" s="294">
        <v>3518</v>
      </c>
      <c r="H1012" s="291" t="s">
        <v>140</v>
      </c>
      <c r="I1012" s="291" t="s">
        <v>33</v>
      </c>
      <c r="J1012" s="296">
        <v>16560</v>
      </c>
      <c r="L1012" s="296">
        <v>12</v>
      </c>
      <c r="M1012" s="296">
        <v>12</v>
      </c>
      <c r="N1012" s="297">
        <f>0.2*J1012</f>
        <v>3312</v>
      </c>
      <c r="O1012" s="298">
        <v>0.3</v>
      </c>
      <c r="P1012" s="298"/>
      <c r="Q1012" s="297">
        <v>282.72000000000003</v>
      </c>
      <c r="R1012" s="291" t="s">
        <v>35</v>
      </c>
      <c r="S1012" s="299" t="s">
        <v>34</v>
      </c>
      <c r="T1012" s="299">
        <v>17</v>
      </c>
      <c r="U1012" s="300" t="s">
        <v>164</v>
      </c>
      <c r="V1012" s="333"/>
      <c r="X1012" s="297">
        <v>282.72000000000003</v>
      </c>
      <c r="Y1012" s="297"/>
      <c r="AH1012" s="291">
        <f>X1012</f>
        <v>282.72000000000003</v>
      </c>
      <c r="AI1012" s="311"/>
      <c r="AJ1012" s="468"/>
    </row>
    <row r="1013" spans="2:37" s="473" customFormat="1" ht="11.25" customHeight="1">
      <c r="B1013" s="486" t="s">
        <v>291</v>
      </c>
      <c r="C1013" s="487">
        <v>44689</v>
      </c>
      <c r="D1013" s="487">
        <v>44694</v>
      </c>
      <c r="E1013" s="488" t="s">
        <v>1001</v>
      </c>
      <c r="F1013" s="473" t="s">
        <v>668</v>
      </c>
      <c r="G1013" s="489">
        <v>3855</v>
      </c>
      <c r="H1013" s="473" t="s">
        <v>295</v>
      </c>
      <c r="I1013" s="473" t="s">
        <v>33</v>
      </c>
      <c r="J1013" s="490">
        <v>3600</v>
      </c>
      <c r="L1013" s="490">
        <v>6</v>
      </c>
      <c r="M1013" s="490">
        <v>6</v>
      </c>
      <c r="N1013" s="492">
        <v>600</v>
      </c>
      <c r="O1013" s="493">
        <v>0.2</v>
      </c>
      <c r="P1013" s="493"/>
      <c r="Q1013" s="492">
        <v>1509</v>
      </c>
      <c r="R1013" s="473" t="s">
        <v>42</v>
      </c>
      <c r="S1013" s="481" t="s">
        <v>41</v>
      </c>
      <c r="T1013" s="481">
        <v>17</v>
      </c>
      <c r="U1013" s="494" t="s">
        <v>164</v>
      </c>
      <c r="V1013" s="495"/>
      <c r="X1013" s="492">
        <v>1509</v>
      </c>
      <c r="Y1013" s="492"/>
      <c r="AJ1013" s="485"/>
      <c r="AK1013" s="505">
        <v>1509</v>
      </c>
    </row>
    <row r="1014" spans="2:37" s="473" customFormat="1" ht="11.25" customHeight="1">
      <c r="B1014" s="486" t="s">
        <v>291</v>
      </c>
      <c r="C1014" s="487"/>
      <c r="D1014" s="487"/>
      <c r="E1014" s="488" t="s">
        <v>1001</v>
      </c>
      <c r="F1014" s="473" t="s">
        <v>668</v>
      </c>
      <c r="G1014" s="489">
        <v>3855</v>
      </c>
      <c r="H1014" s="473" t="s">
        <v>207</v>
      </c>
      <c r="I1014" s="473" t="s">
        <v>33</v>
      </c>
      <c r="J1014" s="490">
        <v>2729.76</v>
      </c>
      <c r="L1014" s="490">
        <v>3.52</v>
      </c>
      <c r="M1014" s="490">
        <v>3.52</v>
      </c>
      <c r="N1014" s="492">
        <v>409.464</v>
      </c>
      <c r="O1014" s="493">
        <v>0.2</v>
      </c>
      <c r="P1014" s="493"/>
      <c r="Q1014" s="492">
        <v>557.57000000000005</v>
      </c>
      <c r="R1014" s="473" t="s">
        <v>42</v>
      </c>
      <c r="S1014" s="481" t="s">
        <v>41</v>
      </c>
      <c r="T1014" s="481">
        <v>17</v>
      </c>
      <c r="U1014" s="494" t="s">
        <v>164</v>
      </c>
      <c r="V1014" s="495"/>
      <c r="X1014" s="492">
        <v>557.57000000000005</v>
      </c>
      <c r="Y1014" s="492"/>
      <c r="AJ1014" s="485"/>
      <c r="AK1014" s="505">
        <v>557.57000000000005</v>
      </c>
    </row>
    <row r="1015" spans="2:37" s="473" customFormat="1" ht="11.25" customHeight="1">
      <c r="B1015" s="486" t="s">
        <v>291</v>
      </c>
      <c r="C1015" s="487"/>
      <c r="D1015" s="487"/>
      <c r="E1015" s="488" t="s">
        <v>1001</v>
      </c>
      <c r="F1015" s="473" t="s">
        <v>668</v>
      </c>
      <c r="G1015" s="489">
        <v>3855</v>
      </c>
      <c r="H1015" s="473" t="s">
        <v>140</v>
      </c>
      <c r="I1015" s="473" t="s">
        <v>33</v>
      </c>
      <c r="J1015" s="490">
        <v>8461.58</v>
      </c>
      <c r="L1015" s="490">
        <v>6.97</v>
      </c>
      <c r="M1015" s="490">
        <v>6.97</v>
      </c>
      <c r="N1015" s="492">
        <v>1984.89</v>
      </c>
      <c r="O1015" s="493">
        <v>0.2</v>
      </c>
      <c r="P1015" s="493"/>
      <c r="Q1015" s="492">
        <v>1318.49</v>
      </c>
      <c r="R1015" s="473" t="s">
        <v>42</v>
      </c>
      <c r="S1015" s="481" t="s">
        <v>41</v>
      </c>
      <c r="T1015" s="481">
        <v>17</v>
      </c>
      <c r="U1015" s="494" t="s">
        <v>164</v>
      </c>
      <c r="V1015" s="495"/>
      <c r="X1015" s="492">
        <v>1318.49</v>
      </c>
      <c r="Y1015" s="492"/>
      <c r="AJ1015" s="485"/>
      <c r="AK1015" s="505">
        <v>1318.49</v>
      </c>
    </row>
    <row r="1016" spans="2:37" s="379" customFormat="1" ht="11.25" customHeight="1">
      <c r="B1016" s="380" t="s">
        <v>291</v>
      </c>
      <c r="C1016" s="381">
        <v>44690</v>
      </c>
      <c r="D1016" s="381">
        <v>44694</v>
      </c>
      <c r="E1016" s="382" t="s">
        <v>1002</v>
      </c>
      <c r="F1016" s="379" t="s">
        <v>1003</v>
      </c>
      <c r="G1016" s="383">
        <v>4277</v>
      </c>
      <c r="H1016" s="379" t="s">
        <v>765</v>
      </c>
      <c r="I1016" s="379" t="s">
        <v>28</v>
      </c>
      <c r="J1016" s="385">
        <v>36480</v>
      </c>
      <c r="L1016" s="385">
        <v>38</v>
      </c>
      <c r="M1016" s="385">
        <v>8</v>
      </c>
      <c r="N1016" s="386"/>
      <c r="O1016" s="387">
        <v>0.15</v>
      </c>
      <c r="P1016" s="387"/>
      <c r="Q1016" s="386">
        <v>1340.64</v>
      </c>
      <c r="R1016" s="379" t="s">
        <v>54</v>
      </c>
      <c r="S1016" s="388" t="s">
        <v>51</v>
      </c>
      <c r="T1016" s="388">
        <v>55</v>
      </c>
      <c r="U1016" s="389" t="s">
        <v>164</v>
      </c>
      <c r="V1016" s="433">
        <v>1340.64</v>
      </c>
      <c r="X1016" s="390">
        <v>1340.64</v>
      </c>
      <c r="Y1016" s="386"/>
      <c r="AJ1016" s="390">
        <v>1340.64</v>
      </c>
    </row>
    <row r="1017" spans="2:37" s="130" customFormat="1" ht="11.25" customHeight="1">
      <c r="B1017" s="141" t="s">
        <v>291</v>
      </c>
      <c r="C1017" s="131">
        <v>44679</v>
      </c>
      <c r="D1017" s="131">
        <v>44695</v>
      </c>
      <c r="E1017" s="132" t="s">
        <v>1004</v>
      </c>
      <c r="F1017" s="130" t="s">
        <v>1005</v>
      </c>
      <c r="G1017" s="133" t="s">
        <v>1006</v>
      </c>
      <c r="H1017" s="130" t="s">
        <v>866</v>
      </c>
      <c r="I1017" s="130" t="s">
        <v>174</v>
      </c>
      <c r="J1017" s="134">
        <v>72479.5</v>
      </c>
      <c r="L1017" s="134">
        <v>38.11</v>
      </c>
      <c r="M1017" s="134">
        <v>2.4500000000000002</v>
      </c>
      <c r="N1017" s="136"/>
      <c r="O1017" s="137">
        <v>0.2</v>
      </c>
      <c r="P1017" s="137"/>
      <c r="Q1017" s="136">
        <v>486</v>
      </c>
      <c r="R1017" s="130" t="s">
        <v>1007</v>
      </c>
      <c r="S1017" s="138" t="s">
        <v>113</v>
      </c>
      <c r="T1017" s="138">
        <v>40</v>
      </c>
      <c r="U1017" s="139" t="s">
        <v>164</v>
      </c>
      <c r="V1017" s="439">
        <v>486</v>
      </c>
      <c r="X1017" s="140">
        <v>486</v>
      </c>
      <c r="Y1017" s="136"/>
      <c r="AC1017" s="144">
        <f>X1017</f>
        <v>486</v>
      </c>
      <c r="AJ1017" s="140"/>
    </row>
    <row r="1018" spans="2:37" s="473" customFormat="1" ht="11.25" customHeight="1">
      <c r="B1018" s="486" t="s">
        <v>291</v>
      </c>
      <c r="C1018" s="487">
        <v>44689</v>
      </c>
      <c r="D1018" s="487">
        <v>44694</v>
      </c>
      <c r="E1018" s="488" t="s">
        <v>1008</v>
      </c>
      <c r="F1018" s="473" t="s">
        <v>662</v>
      </c>
      <c r="G1018" s="489">
        <v>3856</v>
      </c>
      <c r="H1018" s="473" t="s">
        <v>140</v>
      </c>
      <c r="I1018" s="473" t="s">
        <v>33</v>
      </c>
      <c r="J1018" s="490">
        <v>20823.36</v>
      </c>
      <c r="L1018" s="490">
        <v>31.84</v>
      </c>
      <c r="M1018" s="490">
        <v>31.84</v>
      </c>
      <c r="N1018" s="492">
        <v>1446.76</v>
      </c>
      <c r="O1018" s="493">
        <v>0.2</v>
      </c>
      <c r="P1018" s="493"/>
      <c r="Q1018" s="492">
        <v>3094.03</v>
      </c>
      <c r="R1018" s="473" t="s">
        <v>42</v>
      </c>
      <c r="S1018" s="481" t="s">
        <v>41</v>
      </c>
      <c r="T1018" s="481">
        <v>17</v>
      </c>
      <c r="U1018" s="494" t="s">
        <v>164</v>
      </c>
      <c r="V1018" s="495"/>
      <c r="X1018" s="492">
        <v>3094.03</v>
      </c>
      <c r="Y1018" s="492"/>
      <c r="AJ1018" s="485"/>
      <c r="AK1018" s="505">
        <v>3094.03</v>
      </c>
    </row>
    <row r="1019" spans="2:37" s="473" customFormat="1" ht="11.25" customHeight="1">
      <c r="B1019" s="486" t="s">
        <v>291</v>
      </c>
      <c r="C1019" s="487"/>
      <c r="D1019" s="487"/>
      <c r="E1019" s="488" t="s">
        <v>1008</v>
      </c>
      <c r="F1019" s="473" t="s">
        <v>662</v>
      </c>
      <c r="G1019" s="489">
        <v>3856</v>
      </c>
      <c r="H1019" s="473" t="s">
        <v>99</v>
      </c>
      <c r="I1019" s="473" t="s">
        <v>33</v>
      </c>
      <c r="J1019" s="490">
        <v>26125.200000000001</v>
      </c>
      <c r="L1019" s="490">
        <v>26.55</v>
      </c>
      <c r="M1019" s="490">
        <v>26.55</v>
      </c>
      <c r="N1019" s="492">
        <v>2833.67</v>
      </c>
      <c r="O1019" s="493">
        <v>0.2</v>
      </c>
      <c r="P1019" s="493"/>
      <c r="Q1019" s="492">
        <v>0</v>
      </c>
      <c r="R1019" s="473" t="s">
        <v>42</v>
      </c>
      <c r="S1019" s="481" t="s">
        <v>41</v>
      </c>
      <c r="T1019" s="481">
        <v>17</v>
      </c>
      <c r="U1019" s="494" t="s">
        <v>164</v>
      </c>
      <c r="V1019" s="495"/>
      <c r="X1019" s="492">
        <v>0</v>
      </c>
      <c r="Y1019" s="492"/>
      <c r="AJ1019" s="485"/>
      <c r="AK1019" s="473">
        <v>0</v>
      </c>
    </row>
    <row r="1020" spans="2:37" s="473" customFormat="1" ht="11.25" customHeight="1">
      <c r="B1020" s="486" t="s">
        <v>291</v>
      </c>
      <c r="C1020" s="487"/>
      <c r="D1020" s="487"/>
      <c r="E1020" s="488" t="s">
        <v>1008</v>
      </c>
      <c r="F1020" s="473" t="s">
        <v>662</v>
      </c>
      <c r="G1020" s="489">
        <v>3856</v>
      </c>
      <c r="H1020" s="473" t="s">
        <v>183</v>
      </c>
      <c r="I1020" s="473" t="s">
        <v>33</v>
      </c>
      <c r="J1020" s="490">
        <v>15707.85</v>
      </c>
      <c r="L1020" s="490">
        <v>15.7</v>
      </c>
      <c r="M1020" s="490">
        <v>15.7</v>
      </c>
      <c r="N1020" s="492"/>
      <c r="O1020" s="493">
        <v>0.2</v>
      </c>
      <c r="P1020" s="493"/>
      <c r="Q1020" s="492">
        <v>0</v>
      </c>
      <c r="R1020" s="473" t="s">
        <v>42</v>
      </c>
      <c r="S1020" s="481" t="s">
        <v>41</v>
      </c>
      <c r="T1020" s="481">
        <v>17</v>
      </c>
      <c r="U1020" s="494" t="s">
        <v>164</v>
      </c>
      <c r="V1020" s="495"/>
      <c r="X1020" s="492">
        <v>0</v>
      </c>
      <c r="Y1020" s="492"/>
      <c r="AJ1020" s="485"/>
      <c r="AK1020" s="473">
        <v>0</v>
      </c>
    </row>
    <row r="1021" spans="2:37" s="473" customFormat="1" ht="11.25" customHeight="1">
      <c r="B1021" s="486" t="s">
        <v>291</v>
      </c>
      <c r="C1021" s="487"/>
      <c r="D1021" s="487"/>
      <c r="E1021" s="488" t="s">
        <v>1008</v>
      </c>
      <c r="F1021" s="473" t="s">
        <v>662</v>
      </c>
      <c r="G1021" s="489">
        <v>3856</v>
      </c>
      <c r="H1021" s="473" t="s">
        <v>911</v>
      </c>
      <c r="I1021" s="473" t="s">
        <v>33</v>
      </c>
      <c r="J1021" s="490">
        <v>14064.75</v>
      </c>
      <c r="L1021" s="490">
        <v>9.5</v>
      </c>
      <c r="M1021" s="490">
        <v>9.5</v>
      </c>
      <c r="N1021" s="492">
        <v>3516.1875</v>
      </c>
      <c r="O1021" s="493">
        <v>0.2</v>
      </c>
      <c r="P1021" s="493"/>
      <c r="Q1021" s="492">
        <v>9556.0499999999993</v>
      </c>
      <c r="R1021" s="473" t="s">
        <v>42</v>
      </c>
      <c r="S1021" s="481" t="s">
        <v>41</v>
      </c>
      <c r="T1021" s="481">
        <v>17</v>
      </c>
      <c r="U1021" s="494" t="s">
        <v>164</v>
      </c>
      <c r="V1021" s="495"/>
      <c r="X1021" s="492">
        <v>9556.0499999999993</v>
      </c>
      <c r="Y1021" s="492"/>
      <c r="AJ1021" s="485"/>
      <c r="AK1021" s="505">
        <v>9556.0499999999993</v>
      </c>
    </row>
    <row r="1022" spans="2:37" s="473" customFormat="1" ht="11.25" customHeight="1">
      <c r="B1022" s="486" t="s">
        <v>291</v>
      </c>
      <c r="C1022" s="487"/>
      <c r="D1022" s="487"/>
      <c r="E1022" s="488" t="s">
        <v>1008</v>
      </c>
      <c r="F1022" s="473" t="s">
        <v>662</v>
      </c>
      <c r="G1022" s="489">
        <v>3856</v>
      </c>
      <c r="H1022" s="473" t="s">
        <v>910</v>
      </c>
      <c r="I1022" s="473" t="s">
        <v>33</v>
      </c>
      <c r="J1022" s="490">
        <v>15307.95</v>
      </c>
      <c r="L1022" s="490">
        <v>15.25</v>
      </c>
      <c r="M1022" s="490">
        <v>15.25</v>
      </c>
      <c r="N1022" s="492">
        <v>3826.9875000000002</v>
      </c>
      <c r="O1022" s="493">
        <v>0.2</v>
      </c>
      <c r="P1022" s="493"/>
      <c r="Q1022" s="492">
        <v>2617.5100000000002</v>
      </c>
      <c r="R1022" s="473" t="s">
        <v>42</v>
      </c>
      <c r="S1022" s="481" t="s">
        <v>41</v>
      </c>
      <c r="T1022" s="481">
        <v>17</v>
      </c>
      <c r="U1022" s="494" t="s">
        <v>164</v>
      </c>
      <c r="V1022" s="495"/>
      <c r="X1022" s="492">
        <v>2617.5100000000002</v>
      </c>
      <c r="Y1022" s="492"/>
      <c r="AJ1022" s="485"/>
      <c r="AK1022" s="505">
        <v>2617.5100000000002</v>
      </c>
    </row>
    <row r="1023" spans="2:37" s="473" customFormat="1" ht="11.25" customHeight="1">
      <c r="B1023" s="486" t="s">
        <v>291</v>
      </c>
      <c r="C1023" s="487"/>
      <c r="D1023" s="487"/>
      <c r="E1023" s="488" t="s">
        <v>1008</v>
      </c>
      <c r="F1023" s="473" t="s">
        <v>662</v>
      </c>
      <c r="G1023" s="489">
        <v>3856</v>
      </c>
      <c r="H1023" s="473" t="s">
        <v>1009</v>
      </c>
      <c r="I1023" s="473" t="s">
        <v>33</v>
      </c>
      <c r="J1023" s="490">
        <v>21430</v>
      </c>
      <c r="L1023" s="490">
        <v>21.43</v>
      </c>
      <c r="M1023" s="490">
        <v>21.43</v>
      </c>
      <c r="N1023" s="492">
        <v>2500</v>
      </c>
      <c r="O1023" s="493">
        <v>0.2</v>
      </c>
      <c r="P1023" s="493"/>
      <c r="Q1023" s="492">
        <v>7500.5</v>
      </c>
      <c r="R1023" s="473" t="s">
        <v>42</v>
      </c>
      <c r="S1023" s="481" t="s">
        <v>41</v>
      </c>
      <c r="T1023" s="481">
        <v>17</v>
      </c>
      <c r="U1023" s="494" t="s">
        <v>164</v>
      </c>
      <c r="V1023" s="495"/>
      <c r="X1023" s="492">
        <v>7500.5</v>
      </c>
      <c r="Y1023" s="492"/>
      <c r="AJ1023" s="485"/>
      <c r="AK1023" s="505">
        <v>7500.5</v>
      </c>
    </row>
    <row r="1024" spans="2:37" s="473" customFormat="1" ht="11.25" customHeight="1">
      <c r="B1024" s="486" t="s">
        <v>291</v>
      </c>
      <c r="C1024" s="487"/>
      <c r="D1024" s="487"/>
      <c r="E1024" s="488" t="s">
        <v>1008</v>
      </c>
      <c r="F1024" s="473" t="s">
        <v>662</v>
      </c>
      <c r="G1024" s="489">
        <v>3856</v>
      </c>
      <c r="H1024" s="473" t="s">
        <v>866</v>
      </c>
      <c r="I1024" s="473" t="s">
        <v>33</v>
      </c>
      <c r="J1024" s="490">
        <v>4116</v>
      </c>
      <c r="L1024" s="490">
        <v>4.2</v>
      </c>
      <c r="M1024" s="490">
        <v>4.2</v>
      </c>
      <c r="N1024" s="492">
        <v>1029</v>
      </c>
      <c r="O1024" s="493">
        <v>0.2</v>
      </c>
      <c r="P1024" s="493"/>
      <c r="Q1024" s="492">
        <v>535.08000000000004</v>
      </c>
      <c r="R1024" s="473" t="s">
        <v>42</v>
      </c>
      <c r="S1024" s="481" t="s">
        <v>41</v>
      </c>
      <c r="T1024" s="481">
        <v>17</v>
      </c>
      <c r="U1024" s="494" t="s">
        <v>164</v>
      </c>
      <c r="V1024" s="495"/>
      <c r="X1024" s="492">
        <v>535.08000000000004</v>
      </c>
      <c r="Y1024" s="492"/>
      <c r="AJ1024" s="485"/>
      <c r="AK1024" s="505">
        <v>535.08000000000004</v>
      </c>
    </row>
    <row r="1025" spans="1:77" s="379" customFormat="1" ht="11.25" customHeight="1">
      <c r="B1025" s="380" t="s">
        <v>291</v>
      </c>
      <c r="C1025" s="381">
        <v>44691</v>
      </c>
      <c r="D1025" s="381">
        <v>44694</v>
      </c>
      <c r="E1025" s="382" t="s">
        <v>1010</v>
      </c>
      <c r="F1025" s="379" t="s">
        <v>1011</v>
      </c>
      <c r="G1025" s="383" t="s">
        <v>1012</v>
      </c>
      <c r="H1025" s="379" t="s">
        <v>99</v>
      </c>
      <c r="I1025" s="379" t="s">
        <v>33</v>
      </c>
      <c r="J1025" s="385">
        <v>106060.8</v>
      </c>
      <c r="L1025" s="385">
        <v>82.86</v>
      </c>
      <c r="M1025" s="385">
        <v>83.05</v>
      </c>
      <c r="N1025" s="386"/>
      <c r="O1025" s="387">
        <v>0.25</v>
      </c>
      <c r="P1025" s="387"/>
      <c r="Q1025" s="386">
        <v>0</v>
      </c>
      <c r="R1025" s="379" t="s">
        <v>285</v>
      </c>
      <c r="S1025" s="388" t="s">
        <v>275</v>
      </c>
      <c r="T1025" s="388">
        <v>21</v>
      </c>
      <c r="U1025" s="389" t="s">
        <v>164</v>
      </c>
      <c r="V1025" s="433"/>
      <c r="X1025" s="386">
        <v>0</v>
      </c>
      <c r="Y1025" s="386"/>
      <c r="AJ1025" s="390">
        <v>0</v>
      </c>
    </row>
    <row r="1026" spans="1:77" s="379" customFormat="1" ht="11.25" customHeight="1">
      <c r="B1026" s="380" t="s">
        <v>291</v>
      </c>
      <c r="C1026" s="381"/>
      <c r="D1026" s="381"/>
      <c r="E1026" s="382" t="s">
        <v>1010</v>
      </c>
      <c r="F1026" s="379" t="s">
        <v>1011</v>
      </c>
      <c r="G1026" s="383" t="s">
        <v>1012</v>
      </c>
      <c r="H1026" s="379" t="s">
        <v>137</v>
      </c>
      <c r="I1026" s="379" t="s">
        <v>33</v>
      </c>
      <c r="J1026" s="385">
        <v>88431.16</v>
      </c>
      <c r="L1026" s="385">
        <v>67.67</v>
      </c>
      <c r="M1026" s="385">
        <v>67.62</v>
      </c>
      <c r="N1026" s="386"/>
      <c r="O1026" s="387">
        <v>0.25</v>
      </c>
      <c r="P1026" s="387"/>
      <c r="Q1026" s="386">
        <v>0</v>
      </c>
      <c r="R1026" s="379" t="s">
        <v>285</v>
      </c>
      <c r="S1026" s="388" t="s">
        <v>275</v>
      </c>
      <c r="T1026" s="388">
        <v>21</v>
      </c>
      <c r="U1026" s="389" t="s">
        <v>164</v>
      </c>
      <c r="V1026" s="433"/>
      <c r="X1026" s="386">
        <v>0</v>
      </c>
      <c r="Y1026" s="386"/>
      <c r="AJ1026" s="390">
        <v>0</v>
      </c>
    </row>
    <row r="1027" spans="1:77" s="379" customFormat="1" ht="11.25" customHeight="1">
      <c r="B1027" s="380" t="s">
        <v>291</v>
      </c>
      <c r="C1027" s="381"/>
      <c r="D1027" s="381"/>
      <c r="E1027" s="382" t="s">
        <v>1010</v>
      </c>
      <c r="F1027" s="379" t="s">
        <v>1011</v>
      </c>
      <c r="G1027" s="383" t="s">
        <v>1012</v>
      </c>
      <c r="H1027" s="379" t="s">
        <v>183</v>
      </c>
      <c r="I1027" s="379" t="s">
        <v>33</v>
      </c>
      <c r="J1027" s="385">
        <v>41908.94</v>
      </c>
      <c r="L1027" s="385">
        <v>31.28</v>
      </c>
      <c r="M1027" s="385">
        <v>31.2</v>
      </c>
      <c r="N1027" s="386">
        <v>4180.1760000000004</v>
      </c>
      <c r="O1027" s="387">
        <v>0.25</v>
      </c>
      <c r="P1027" s="387"/>
      <c r="Q1027" s="386">
        <v>0</v>
      </c>
      <c r="R1027" s="379" t="s">
        <v>285</v>
      </c>
      <c r="S1027" s="388" t="s">
        <v>275</v>
      </c>
      <c r="T1027" s="388">
        <v>21</v>
      </c>
      <c r="U1027" s="389" t="s">
        <v>164</v>
      </c>
      <c r="V1027" s="433"/>
      <c r="X1027" s="386">
        <v>0</v>
      </c>
      <c r="Y1027" s="386"/>
      <c r="AJ1027" s="390">
        <v>0</v>
      </c>
    </row>
    <row r="1028" spans="1:77" s="379" customFormat="1" ht="11.25" customHeight="1">
      <c r="B1028" s="380" t="s">
        <v>291</v>
      </c>
      <c r="C1028" s="381"/>
      <c r="D1028" s="381"/>
      <c r="E1028" s="382" t="s">
        <v>1010</v>
      </c>
      <c r="F1028" s="379" t="s">
        <v>1011</v>
      </c>
      <c r="G1028" s="383" t="s">
        <v>1012</v>
      </c>
      <c r="H1028" s="379" t="s">
        <v>765</v>
      </c>
      <c r="I1028" s="379" t="s">
        <v>33</v>
      </c>
      <c r="J1028" s="385">
        <v>28543.46</v>
      </c>
      <c r="L1028" s="385">
        <v>32.76</v>
      </c>
      <c r="M1028" s="385">
        <v>41.5</v>
      </c>
      <c r="N1028" s="386"/>
      <c r="O1028" s="387">
        <v>0.25</v>
      </c>
      <c r="P1028" s="387"/>
      <c r="Q1028" s="386">
        <v>0</v>
      </c>
      <c r="R1028" s="379" t="s">
        <v>285</v>
      </c>
      <c r="S1028" s="388" t="s">
        <v>275</v>
      </c>
      <c r="T1028" s="388">
        <v>21</v>
      </c>
      <c r="U1028" s="389" t="s">
        <v>164</v>
      </c>
      <c r="V1028" s="433"/>
      <c r="X1028" s="386">
        <v>0</v>
      </c>
      <c r="Y1028" s="386"/>
      <c r="AJ1028" s="390">
        <v>0</v>
      </c>
    </row>
    <row r="1029" spans="1:77" s="379" customFormat="1" ht="11.25" customHeight="1">
      <c r="B1029" s="380" t="s">
        <v>291</v>
      </c>
      <c r="C1029" s="381"/>
      <c r="D1029" s="381"/>
      <c r="E1029" s="382" t="s">
        <v>1010</v>
      </c>
      <c r="F1029" s="379" t="s">
        <v>1011</v>
      </c>
      <c r="G1029" s="383" t="s">
        <v>1012</v>
      </c>
      <c r="H1029" s="379" t="s">
        <v>898</v>
      </c>
      <c r="I1029" s="379" t="s">
        <v>33</v>
      </c>
      <c r="J1029" s="385">
        <v>18532.080000000002</v>
      </c>
      <c r="L1029" s="385">
        <v>20.41</v>
      </c>
      <c r="M1029" s="385">
        <v>11.75</v>
      </c>
      <c r="N1029" s="386"/>
      <c r="O1029" s="387">
        <v>0.25</v>
      </c>
      <c r="P1029" s="387"/>
      <c r="Q1029" s="386">
        <v>0</v>
      </c>
      <c r="R1029" s="379" t="s">
        <v>285</v>
      </c>
      <c r="S1029" s="388" t="s">
        <v>275</v>
      </c>
      <c r="T1029" s="388">
        <v>21</v>
      </c>
      <c r="U1029" s="389" t="s">
        <v>164</v>
      </c>
      <c r="V1029" s="433"/>
      <c r="X1029" s="386">
        <v>0</v>
      </c>
      <c r="Y1029" s="386"/>
      <c r="AJ1029" s="390">
        <v>0</v>
      </c>
    </row>
    <row r="1030" spans="1:77" s="379" customFormat="1" ht="11.25" customHeight="1">
      <c r="B1030" s="380" t="s">
        <v>291</v>
      </c>
      <c r="C1030" s="381"/>
      <c r="D1030" s="381"/>
      <c r="E1030" s="382" t="s">
        <v>1010</v>
      </c>
      <c r="F1030" s="379" t="s">
        <v>1011</v>
      </c>
      <c r="G1030" s="383" t="s">
        <v>1012</v>
      </c>
      <c r="H1030" s="379" t="s">
        <v>162</v>
      </c>
      <c r="I1030" s="379" t="s">
        <v>33</v>
      </c>
      <c r="J1030" s="385">
        <v>12463.24</v>
      </c>
      <c r="L1030" s="385">
        <v>23.56</v>
      </c>
      <c r="M1030" s="385">
        <v>23.55</v>
      </c>
      <c r="N1030" s="386">
        <v>2491.59</v>
      </c>
      <c r="O1030" s="387">
        <v>0.25</v>
      </c>
      <c r="P1030" s="387"/>
      <c r="Q1030" s="386">
        <v>0</v>
      </c>
      <c r="R1030" s="379" t="s">
        <v>285</v>
      </c>
      <c r="S1030" s="388" t="s">
        <v>275</v>
      </c>
      <c r="T1030" s="388">
        <v>21</v>
      </c>
      <c r="U1030" s="389" t="s">
        <v>164</v>
      </c>
      <c r="V1030" s="433"/>
      <c r="X1030" s="386">
        <v>0</v>
      </c>
      <c r="Y1030" s="386"/>
      <c r="AJ1030" s="390">
        <v>0</v>
      </c>
    </row>
    <row r="1031" spans="1:77" s="291" customFormat="1" ht="11.25" customHeight="1">
      <c r="B1031" s="310" t="s">
        <v>291</v>
      </c>
      <c r="C1031" s="292">
        <v>44691</v>
      </c>
      <c r="D1031" s="292">
        <v>44694</v>
      </c>
      <c r="E1031" s="293" t="s">
        <v>1013</v>
      </c>
      <c r="F1031" s="291" t="s">
        <v>505</v>
      </c>
      <c r="G1031" s="294">
        <v>3463</v>
      </c>
      <c r="H1031" s="291" t="s">
        <v>442</v>
      </c>
      <c r="I1031" s="291" t="s">
        <v>961</v>
      </c>
      <c r="J1031" s="296">
        <v>10073.14</v>
      </c>
      <c r="L1031" s="296">
        <v>11</v>
      </c>
      <c r="M1031" s="296">
        <v>10.65</v>
      </c>
      <c r="N1031" s="297"/>
      <c r="O1031" s="298">
        <v>0.15</v>
      </c>
      <c r="P1031" s="298"/>
      <c r="Q1031" s="297">
        <v>0</v>
      </c>
      <c r="R1031" s="291" t="s">
        <v>69</v>
      </c>
      <c r="S1031" s="299" t="s">
        <v>41</v>
      </c>
      <c r="T1031" s="299">
        <v>86</v>
      </c>
      <c r="U1031" s="300" t="s">
        <v>164</v>
      </c>
      <c r="V1031" s="333"/>
      <c r="X1031" s="297">
        <v>0</v>
      </c>
      <c r="Y1031" s="297"/>
      <c r="AH1031" s="291">
        <f t="shared" ref="AH1031:AH1038" si="17">X1031</f>
        <v>0</v>
      </c>
      <c r="AI1031" s="311"/>
      <c r="AJ1031" s="468"/>
    </row>
    <row r="1032" spans="1:77" s="291" customFormat="1" ht="11.25" customHeight="1">
      <c r="B1032" s="310" t="s">
        <v>291</v>
      </c>
      <c r="C1032" s="292"/>
      <c r="D1032" s="292"/>
      <c r="E1032" s="293" t="s">
        <v>1013</v>
      </c>
      <c r="F1032" s="291" t="s">
        <v>505</v>
      </c>
      <c r="G1032" s="294">
        <v>3463</v>
      </c>
      <c r="H1032" s="291" t="s">
        <v>27</v>
      </c>
      <c r="I1032" s="291" t="s">
        <v>961</v>
      </c>
      <c r="J1032" s="296">
        <v>17468</v>
      </c>
      <c r="L1032" s="296">
        <v>16</v>
      </c>
      <c r="M1032" s="296">
        <v>12.79</v>
      </c>
      <c r="N1032" s="297"/>
      <c r="O1032" s="298">
        <v>0.15</v>
      </c>
      <c r="P1032" s="298"/>
      <c r="Q1032" s="297">
        <v>0</v>
      </c>
      <c r="R1032" s="291" t="s">
        <v>69</v>
      </c>
      <c r="S1032" s="299" t="s">
        <v>41</v>
      </c>
      <c r="T1032" s="299">
        <v>86</v>
      </c>
      <c r="U1032" s="300" t="s">
        <v>164</v>
      </c>
      <c r="V1032" s="333"/>
      <c r="X1032" s="297">
        <v>0</v>
      </c>
      <c r="Y1032" s="297"/>
      <c r="AH1032" s="291">
        <f t="shared" si="17"/>
        <v>0</v>
      </c>
      <c r="AI1032" s="311"/>
      <c r="AJ1032" s="468"/>
    </row>
    <row r="1033" spans="1:77" s="291" customFormat="1" ht="11.25" customHeight="1">
      <c r="B1033" s="310" t="s">
        <v>291</v>
      </c>
      <c r="C1033" s="292"/>
      <c r="D1033" s="292"/>
      <c r="E1033" s="293" t="s">
        <v>1013</v>
      </c>
      <c r="F1033" s="291" t="s">
        <v>505</v>
      </c>
      <c r="G1033" s="294">
        <v>3463</v>
      </c>
      <c r="H1033" s="291" t="s">
        <v>866</v>
      </c>
      <c r="I1033" s="291" t="s">
        <v>961</v>
      </c>
      <c r="J1033" s="296">
        <v>38382.400000000001</v>
      </c>
      <c r="L1033" s="296">
        <v>40</v>
      </c>
      <c r="M1033" s="296">
        <v>38.64</v>
      </c>
      <c r="N1033" s="297"/>
      <c r="O1033" s="298">
        <v>0.15</v>
      </c>
      <c r="P1033" s="298"/>
      <c r="Q1033" s="297">
        <v>0</v>
      </c>
      <c r="R1033" s="291" t="s">
        <v>69</v>
      </c>
      <c r="S1033" s="299" t="s">
        <v>41</v>
      </c>
      <c r="T1033" s="299">
        <v>86</v>
      </c>
      <c r="U1033" s="300" t="s">
        <v>164</v>
      </c>
      <c r="V1033" s="333"/>
      <c r="X1033" s="297">
        <v>0</v>
      </c>
      <c r="Y1033" s="297"/>
      <c r="AH1033" s="291">
        <f t="shared" si="17"/>
        <v>0</v>
      </c>
      <c r="AI1033" s="311"/>
      <c r="AJ1033" s="468"/>
    </row>
    <row r="1034" spans="1:77" s="291" customFormat="1" ht="11.25" customHeight="1">
      <c r="B1034" s="310" t="s">
        <v>291</v>
      </c>
      <c r="C1034" s="292"/>
      <c r="D1034" s="292"/>
      <c r="E1034" s="293" t="s">
        <v>1013</v>
      </c>
      <c r="F1034" s="291" t="s">
        <v>505</v>
      </c>
      <c r="G1034" s="294">
        <v>3463</v>
      </c>
      <c r="H1034" s="291" t="s">
        <v>137</v>
      </c>
      <c r="I1034" s="291" t="s">
        <v>961</v>
      </c>
      <c r="J1034" s="296">
        <v>38591.699999999997</v>
      </c>
      <c r="L1034" s="296">
        <v>47</v>
      </c>
      <c r="M1034" s="296">
        <v>44.04</v>
      </c>
      <c r="N1034" s="297"/>
      <c r="O1034" s="298">
        <v>0.15</v>
      </c>
      <c r="P1034" s="298"/>
      <c r="Q1034" s="297">
        <v>0</v>
      </c>
      <c r="R1034" s="291" t="s">
        <v>69</v>
      </c>
      <c r="S1034" s="299" t="s">
        <v>41</v>
      </c>
      <c r="T1034" s="299">
        <v>86</v>
      </c>
      <c r="U1034" s="300" t="s">
        <v>164</v>
      </c>
      <c r="V1034" s="333"/>
      <c r="X1034" s="297">
        <v>0</v>
      </c>
      <c r="Y1034" s="297"/>
      <c r="AH1034" s="291">
        <f t="shared" si="17"/>
        <v>0</v>
      </c>
      <c r="AI1034" s="311"/>
      <c r="AJ1034" s="468"/>
    </row>
    <row r="1035" spans="1:77" s="291" customFormat="1" ht="11.25" customHeight="1">
      <c r="B1035" s="310" t="s">
        <v>291</v>
      </c>
      <c r="C1035" s="292"/>
      <c r="D1035" s="292"/>
      <c r="E1035" s="293" t="s">
        <v>1013</v>
      </c>
      <c r="F1035" s="291" t="s">
        <v>505</v>
      </c>
      <c r="G1035" s="294">
        <v>3463</v>
      </c>
      <c r="H1035" s="291" t="s">
        <v>295</v>
      </c>
      <c r="I1035" s="291" t="s">
        <v>961</v>
      </c>
      <c r="J1035" s="296">
        <v>24272</v>
      </c>
      <c r="L1035" s="296">
        <v>37</v>
      </c>
      <c r="M1035" s="296">
        <v>55.12</v>
      </c>
      <c r="N1035" s="297"/>
      <c r="O1035" s="298">
        <v>0.15</v>
      </c>
      <c r="P1035" s="298"/>
      <c r="Q1035" s="297">
        <v>0</v>
      </c>
      <c r="R1035" s="291" t="s">
        <v>69</v>
      </c>
      <c r="S1035" s="299" t="s">
        <v>41</v>
      </c>
      <c r="T1035" s="299">
        <v>86</v>
      </c>
      <c r="U1035" s="300" t="s">
        <v>164</v>
      </c>
      <c r="V1035" s="333"/>
      <c r="X1035" s="297">
        <v>0</v>
      </c>
      <c r="Y1035" s="297"/>
      <c r="AH1035" s="291">
        <f t="shared" si="17"/>
        <v>0</v>
      </c>
      <c r="AI1035" s="311"/>
      <c r="AJ1035" s="468"/>
    </row>
    <row r="1036" spans="1:77" s="291" customFormat="1" ht="11.25" customHeight="1">
      <c r="B1036" s="310" t="s">
        <v>291</v>
      </c>
      <c r="C1036" s="292"/>
      <c r="D1036" s="292"/>
      <c r="E1036" s="293" t="s">
        <v>1013</v>
      </c>
      <c r="F1036" s="291" t="s">
        <v>505</v>
      </c>
      <c r="G1036" s="294">
        <v>3463</v>
      </c>
      <c r="H1036" s="291" t="s">
        <v>99</v>
      </c>
      <c r="I1036" s="291" t="s">
        <v>961</v>
      </c>
      <c r="J1036" s="296">
        <v>79115.839999999997</v>
      </c>
      <c r="L1036" s="296">
        <v>108.99</v>
      </c>
      <c r="M1036" s="296">
        <v>102.77</v>
      </c>
      <c r="N1036" s="297"/>
      <c r="O1036" s="298">
        <v>0.15</v>
      </c>
      <c r="P1036" s="298"/>
      <c r="Q1036" s="297">
        <v>0</v>
      </c>
      <c r="R1036" s="291" t="s">
        <v>69</v>
      </c>
      <c r="S1036" s="299" t="s">
        <v>41</v>
      </c>
      <c r="T1036" s="299">
        <v>86</v>
      </c>
      <c r="U1036" s="300" t="s">
        <v>164</v>
      </c>
      <c r="V1036" s="333"/>
      <c r="X1036" s="297">
        <v>0</v>
      </c>
      <c r="Y1036" s="297"/>
      <c r="AH1036" s="291">
        <f t="shared" si="17"/>
        <v>0</v>
      </c>
      <c r="AI1036" s="311"/>
      <c r="AJ1036" s="468"/>
    </row>
    <row r="1037" spans="1:77" s="291" customFormat="1" ht="11.25" customHeight="1">
      <c r="B1037" s="310" t="s">
        <v>291</v>
      </c>
      <c r="C1037" s="292"/>
      <c r="D1037" s="292"/>
      <c r="E1037" s="293" t="s">
        <v>1013</v>
      </c>
      <c r="F1037" s="291" t="s">
        <v>505</v>
      </c>
      <c r="G1037" s="294">
        <v>3463</v>
      </c>
      <c r="H1037" s="291" t="s">
        <v>183</v>
      </c>
      <c r="I1037" s="291" t="s">
        <v>961</v>
      </c>
      <c r="J1037" s="296">
        <v>12820.5</v>
      </c>
      <c r="L1037" s="296">
        <v>21</v>
      </c>
      <c r="M1037" s="296">
        <v>20</v>
      </c>
      <c r="N1037" s="297"/>
      <c r="O1037" s="298">
        <v>0.15</v>
      </c>
      <c r="P1037" s="298"/>
      <c r="Q1037" s="297">
        <v>0</v>
      </c>
      <c r="R1037" s="291" t="s">
        <v>69</v>
      </c>
      <c r="S1037" s="299" t="s">
        <v>41</v>
      </c>
      <c r="T1037" s="299">
        <v>86</v>
      </c>
      <c r="U1037" s="300" t="s">
        <v>164</v>
      </c>
      <c r="V1037" s="333"/>
      <c r="X1037" s="297">
        <v>0</v>
      </c>
      <c r="Y1037" s="297"/>
      <c r="AH1037" s="291">
        <f t="shared" si="17"/>
        <v>0</v>
      </c>
      <c r="AI1037" s="311"/>
      <c r="AJ1037" s="468"/>
    </row>
    <row r="1038" spans="1:77" s="291" customFormat="1" ht="11.25" customHeight="1">
      <c r="B1038" s="310" t="s">
        <v>291</v>
      </c>
      <c r="C1038" s="292"/>
      <c r="D1038" s="292"/>
      <c r="E1038" s="293" t="s">
        <v>1013</v>
      </c>
      <c r="F1038" s="291" t="s">
        <v>505</v>
      </c>
      <c r="G1038" s="294">
        <v>3463</v>
      </c>
      <c r="H1038" s="291" t="s">
        <v>765</v>
      </c>
      <c r="I1038" s="291" t="s">
        <v>961</v>
      </c>
      <c r="J1038" s="296">
        <v>11434.2</v>
      </c>
      <c r="L1038" s="296">
        <v>17</v>
      </c>
      <c r="M1038" s="296">
        <v>35.25</v>
      </c>
      <c r="N1038" s="297"/>
      <c r="O1038" s="298">
        <v>0.15</v>
      </c>
      <c r="P1038" s="298"/>
      <c r="Q1038" s="297">
        <v>0</v>
      </c>
      <c r="R1038" s="291" t="s">
        <v>69</v>
      </c>
      <c r="S1038" s="299" t="s">
        <v>41</v>
      </c>
      <c r="T1038" s="299">
        <v>86</v>
      </c>
      <c r="U1038" s="300" t="s">
        <v>164</v>
      </c>
      <c r="V1038" s="333"/>
      <c r="X1038" s="297">
        <v>0</v>
      </c>
      <c r="Y1038" s="297"/>
      <c r="AH1038" s="291">
        <f t="shared" si="17"/>
        <v>0</v>
      </c>
      <c r="AI1038" s="311"/>
      <c r="AJ1038" s="468"/>
    </row>
    <row r="1039" spans="1:77" s="261" customFormat="1" ht="11.25" customHeight="1">
      <c r="A1039" s="379"/>
      <c r="B1039" s="380" t="s">
        <v>291</v>
      </c>
      <c r="C1039" s="381"/>
      <c r="D1039" s="381"/>
      <c r="E1039" s="382" t="s">
        <v>1014</v>
      </c>
      <c r="F1039" s="379" t="s">
        <v>585</v>
      </c>
      <c r="G1039" s="383" t="s">
        <v>586</v>
      </c>
      <c r="H1039" s="379" t="s">
        <v>1015</v>
      </c>
      <c r="I1039" s="379" t="s">
        <v>33</v>
      </c>
      <c r="J1039" s="385">
        <v>6000</v>
      </c>
      <c r="K1039" s="379"/>
      <c r="L1039" s="385">
        <v>6</v>
      </c>
      <c r="M1039" s="385">
        <v>6</v>
      </c>
      <c r="N1039" s="386"/>
      <c r="O1039" s="387">
        <v>0.15</v>
      </c>
      <c r="P1039" s="387"/>
      <c r="Q1039" s="386">
        <v>0</v>
      </c>
      <c r="R1039" s="379" t="s">
        <v>576</v>
      </c>
      <c r="S1039" s="388" t="s">
        <v>347</v>
      </c>
      <c r="T1039" s="388">
        <v>79</v>
      </c>
      <c r="U1039" s="389" t="s">
        <v>164</v>
      </c>
      <c r="V1039" s="433"/>
      <c r="W1039" s="379"/>
      <c r="X1039" s="386">
        <v>0</v>
      </c>
      <c r="Y1039" s="386"/>
      <c r="Z1039" s="379"/>
      <c r="AA1039" s="379"/>
      <c r="AB1039" s="379"/>
      <c r="AC1039" s="379"/>
      <c r="AD1039" s="379"/>
      <c r="AE1039" s="379"/>
      <c r="AF1039" s="379"/>
      <c r="AG1039" s="379"/>
      <c r="AH1039" s="379"/>
      <c r="AI1039" s="379"/>
      <c r="AJ1039" s="390">
        <v>0</v>
      </c>
      <c r="AK1039" s="379"/>
      <c r="AL1039" s="379"/>
      <c r="AM1039" s="379"/>
      <c r="AN1039" s="379"/>
      <c r="AO1039" s="379"/>
      <c r="AP1039" s="379"/>
      <c r="AQ1039" s="379"/>
      <c r="AR1039" s="379"/>
      <c r="AS1039" s="379"/>
      <c r="AT1039" s="379"/>
      <c r="AU1039" s="379"/>
      <c r="AV1039" s="379"/>
      <c r="AW1039" s="379"/>
      <c r="AX1039" s="379"/>
      <c r="AY1039" s="379"/>
      <c r="AZ1039" s="379"/>
      <c r="BA1039" s="379"/>
      <c r="BB1039" s="379"/>
      <c r="BC1039" s="379"/>
      <c r="BD1039" s="379"/>
      <c r="BE1039" s="379"/>
      <c r="BF1039" s="379"/>
      <c r="BG1039" s="379"/>
      <c r="BH1039" s="379"/>
      <c r="BI1039" s="379"/>
      <c r="BJ1039" s="379"/>
      <c r="BK1039" s="379"/>
      <c r="BL1039" s="379"/>
      <c r="BM1039" s="379"/>
      <c r="BN1039" s="379"/>
      <c r="BO1039" s="379"/>
      <c r="BP1039" s="379"/>
      <c r="BQ1039" s="379"/>
      <c r="BR1039" s="379"/>
      <c r="BS1039" s="379"/>
      <c r="BT1039" s="379"/>
      <c r="BU1039" s="379"/>
      <c r="BV1039" s="379"/>
      <c r="BW1039" s="379"/>
      <c r="BX1039" s="379"/>
      <c r="BY1039" s="379"/>
    </row>
    <row r="1040" spans="1:77" s="291" customFormat="1" ht="11.25" customHeight="1">
      <c r="B1040" s="310" t="s">
        <v>291</v>
      </c>
      <c r="C1040" s="292"/>
      <c r="D1040" s="292"/>
      <c r="E1040" s="293" t="s">
        <v>1014</v>
      </c>
      <c r="F1040" s="291" t="s">
        <v>585</v>
      </c>
      <c r="G1040" s="294" t="s">
        <v>586</v>
      </c>
      <c r="H1040" s="291" t="s">
        <v>157</v>
      </c>
      <c r="I1040" s="291" t="s">
        <v>33</v>
      </c>
      <c r="J1040" s="296">
        <v>8388.7999999999993</v>
      </c>
      <c r="L1040" s="296">
        <v>7.49</v>
      </c>
      <c r="M1040" s="296">
        <v>7.49</v>
      </c>
      <c r="N1040" s="297"/>
      <c r="O1040" s="298">
        <v>0.15</v>
      </c>
      <c r="P1040" s="298"/>
      <c r="Q1040" s="297">
        <v>0</v>
      </c>
      <c r="R1040" s="291" t="s">
        <v>576</v>
      </c>
      <c r="S1040" s="299" t="s">
        <v>347</v>
      </c>
      <c r="T1040" s="299">
        <v>79</v>
      </c>
      <c r="U1040" s="300" t="s">
        <v>164</v>
      </c>
      <c r="V1040" s="333"/>
      <c r="X1040" s="297">
        <v>0</v>
      </c>
      <c r="Y1040" s="297"/>
      <c r="AH1040" s="291">
        <f>X1040</f>
        <v>0</v>
      </c>
      <c r="AI1040" s="311"/>
      <c r="AJ1040" s="468"/>
    </row>
    <row r="1041" spans="1:77" s="261" customFormat="1" ht="11.25" customHeight="1">
      <c r="B1041" s="258" t="s">
        <v>291</v>
      </c>
      <c r="C1041" s="259">
        <v>44694</v>
      </c>
      <c r="D1041" s="259">
        <v>44694</v>
      </c>
      <c r="E1041" s="260" t="s">
        <v>1014</v>
      </c>
      <c r="F1041" s="261" t="s">
        <v>585</v>
      </c>
      <c r="G1041" s="262" t="s">
        <v>586</v>
      </c>
      <c r="H1041" s="261" t="s">
        <v>192</v>
      </c>
      <c r="I1041" s="261" t="s">
        <v>33</v>
      </c>
      <c r="J1041" s="263">
        <v>18671.400000000001</v>
      </c>
      <c r="L1041" s="263">
        <v>16.399999999999999</v>
      </c>
      <c r="M1041" s="263">
        <v>16.399999999999999</v>
      </c>
      <c r="N1041" s="265"/>
      <c r="O1041" s="266">
        <v>0.15</v>
      </c>
      <c r="P1041" s="266"/>
      <c r="Q1041" s="265">
        <v>0</v>
      </c>
      <c r="R1041" s="261" t="s">
        <v>576</v>
      </c>
      <c r="S1041" s="267" t="s">
        <v>347</v>
      </c>
      <c r="T1041" s="267">
        <v>79</v>
      </c>
      <c r="U1041" s="268" t="s">
        <v>164</v>
      </c>
      <c r="V1041" s="427"/>
      <c r="X1041" s="265">
        <v>0</v>
      </c>
      <c r="Y1041" s="265"/>
      <c r="AG1041" s="261">
        <f>X1041</f>
        <v>0</v>
      </c>
      <c r="AJ1041" s="642"/>
    </row>
    <row r="1042" spans="1:77" s="261" customFormat="1" ht="11.25" customHeight="1">
      <c r="B1042" s="258" t="s">
        <v>291</v>
      </c>
      <c r="C1042" s="259"/>
      <c r="D1042" s="259"/>
      <c r="E1042" s="260" t="s">
        <v>1014</v>
      </c>
      <c r="F1042" s="261" t="s">
        <v>585</v>
      </c>
      <c r="G1042" s="262" t="s">
        <v>586</v>
      </c>
      <c r="H1042" s="261" t="s">
        <v>157</v>
      </c>
      <c r="I1042" s="261" t="s">
        <v>33</v>
      </c>
      <c r="J1042" s="263">
        <v>11670.4</v>
      </c>
      <c r="L1042" s="263">
        <v>10.42</v>
      </c>
      <c r="M1042" s="263">
        <v>10.42</v>
      </c>
      <c r="N1042" s="265"/>
      <c r="O1042" s="266">
        <v>0.15</v>
      </c>
      <c r="P1042" s="266"/>
      <c r="Q1042" s="265">
        <v>0</v>
      </c>
      <c r="R1042" s="261" t="s">
        <v>576</v>
      </c>
      <c r="S1042" s="267" t="s">
        <v>347</v>
      </c>
      <c r="T1042" s="267">
        <v>79</v>
      </c>
      <c r="U1042" s="268" t="s">
        <v>164</v>
      </c>
      <c r="V1042" s="427"/>
      <c r="X1042" s="265">
        <v>0</v>
      </c>
      <c r="Y1042" s="265"/>
      <c r="AG1042" s="261">
        <f>X1042</f>
        <v>0</v>
      </c>
      <c r="AJ1042" s="642"/>
    </row>
    <row r="1043" spans="1:77" s="337" customFormat="1" ht="11.25" customHeight="1">
      <c r="B1043" s="337" t="s">
        <v>291</v>
      </c>
      <c r="C1043" s="349">
        <v>44694</v>
      </c>
      <c r="D1043" s="349">
        <v>44694</v>
      </c>
      <c r="E1043" s="350" t="s">
        <v>1016</v>
      </c>
      <c r="F1043" s="337" t="s">
        <v>346</v>
      </c>
      <c r="G1043" s="351">
        <v>3521</v>
      </c>
      <c r="H1043" s="337" t="s">
        <v>99</v>
      </c>
      <c r="I1043" s="337" t="s">
        <v>33</v>
      </c>
      <c r="J1043" s="352">
        <v>10832.4</v>
      </c>
      <c r="L1043" s="352">
        <v>10.029999999999999</v>
      </c>
      <c r="M1043" s="352">
        <v>10.029999999999999</v>
      </c>
      <c r="N1043" s="354">
        <v>1083.24</v>
      </c>
      <c r="O1043" s="355">
        <v>0.15</v>
      </c>
      <c r="P1043" s="355"/>
      <c r="Q1043" s="354">
        <v>0</v>
      </c>
      <c r="R1043" s="337" t="s">
        <v>128</v>
      </c>
      <c r="S1043" s="356" t="s">
        <v>347</v>
      </c>
      <c r="T1043" s="356">
        <v>79</v>
      </c>
      <c r="U1043" s="357" t="s">
        <v>164</v>
      </c>
      <c r="V1043" s="434"/>
      <c r="X1043" s="354">
        <v>0</v>
      </c>
      <c r="Y1043" s="354"/>
      <c r="AI1043" s="354">
        <v>0</v>
      </c>
      <c r="AJ1043" s="358"/>
      <c r="AK1043" s="369"/>
    </row>
    <row r="1044" spans="1:77" s="337" customFormat="1" ht="11.25" customHeight="1">
      <c r="B1044" s="337" t="s">
        <v>291</v>
      </c>
      <c r="C1044" s="349"/>
      <c r="D1044" s="349"/>
      <c r="E1044" s="350" t="s">
        <v>1016</v>
      </c>
      <c r="F1044" s="337" t="s">
        <v>346</v>
      </c>
      <c r="G1044" s="351">
        <v>3521</v>
      </c>
      <c r="H1044" s="337" t="s">
        <v>163</v>
      </c>
      <c r="I1044" s="337" t="s">
        <v>33</v>
      </c>
      <c r="J1044" s="352">
        <v>8175.14</v>
      </c>
      <c r="L1044" s="352">
        <v>14.23</v>
      </c>
      <c r="M1044" s="352">
        <v>14.23</v>
      </c>
      <c r="N1044" s="354">
        <v>817.51350000000002</v>
      </c>
      <c r="O1044" s="355">
        <v>0.15</v>
      </c>
      <c r="P1044" s="355"/>
      <c r="Q1044" s="354">
        <v>1130.22</v>
      </c>
      <c r="R1044" s="337" t="s">
        <v>128</v>
      </c>
      <c r="S1044" s="356" t="s">
        <v>347</v>
      </c>
      <c r="T1044" s="356">
        <v>79</v>
      </c>
      <c r="U1044" s="357" t="s">
        <v>164</v>
      </c>
      <c r="V1044" s="434"/>
      <c r="X1044" s="354">
        <v>1130.22</v>
      </c>
      <c r="Y1044" s="354"/>
      <c r="AI1044" s="354">
        <v>1130.22</v>
      </c>
      <c r="AJ1044" s="358"/>
      <c r="AK1044" s="369"/>
    </row>
    <row r="1045" spans="1:77" s="337" customFormat="1" ht="11.25" customHeight="1">
      <c r="B1045" s="337" t="s">
        <v>291</v>
      </c>
      <c r="C1045" s="349"/>
      <c r="D1045" s="349"/>
      <c r="E1045" s="350" t="s">
        <v>1016</v>
      </c>
      <c r="F1045" s="337" t="s">
        <v>346</v>
      </c>
      <c r="G1045" s="351">
        <v>3521</v>
      </c>
      <c r="H1045" s="337" t="s">
        <v>765</v>
      </c>
      <c r="I1045" s="337" t="s">
        <v>33</v>
      </c>
      <c r="J1045" s="352">
        <v>9091.44</v>
      </c>
      <c r="L1045" s="352">
        <v>12.42</v>
      </c>
      <c r="M1045" s="352">
        <v>12.42</v>
      </c>
      <c r="N1045" s="354"/>
      <c r="O1045" s="355">
        <v>0.15</v>
      </c>
      <c r="P1045" s="355"/>
      <c r="Q1045" s="354">
        <v>3308.41</v>
      </c>
      <c r="R1045" s="337" t="s">
        <v>128</v>
      </c>
      <c r="S1045" s="356" t="s">
        <v>347</v>
      </c>
      <c r="T1045" s="356">
        <v>79</v>
      </c>
      <c r="U1045" s="357" t="s">
        <v>164</v>
      </c>
      <c r="V1045" s="434"/>
      <c r="X1045" s="354">
        <v>3308.41</v>
      </c>
      <c r="Y1045" s="354"/>
      <c r="AI1045" s="354">
        <v>3308.41</v>
      </c>
      <c r="AJ1045" s="358"/>
      <c r="AK1045" s="369"/>
    </row>
    <row r="1046" spans="1:77" s="379" customFormat="1" ht="11.25" customHeight="1">
      <c r="A1046" s="379" t="s">
        <v>3893</v>
      </c>
      <c r="B1046" s="379" t="s">
        <v>291</v>
      </c>
      <c r="C1046" s="381">
        <v>44694</v>
      </c>
      <c r="D1046" s="381">
        <v>44694</v>
      </c>
      <c r="E1046" s="382" t="s">
        <v>1017</v>
      </c>
      <c r="F1046" s="379" t="s">
        <v>355</v>
      </c>
      <c r="G1046" s="383">
        <v>4572</v>
      </c>
      <c r="H1046" s="379" t="s">
        <v>444</v>
      </c>
      <c r="I1046" s="379" t="s">
        <v>33</v>
      </c>
      <c r="J1046" s="385">
        <v>3323.9</v>
      </c>
      <c r="L1046" s="385">
        <v>3.66</v>
      </c>
      <c r="M1046" s="385">
        <v>3.66</v>
      </c>
      <c r="N1046" s="386"/>
      <c r="O1046" s="387">
        <v>0.15</v>
      </c>
      <c r="P1046" s="387"/>
      <c r="Q1046" s="386">
        <v>1056.49</v>
      </c>
      <c r="R1046" s="379" t="s">
        <v>128</v>
      </c>
      <c r="S1046" s="388" t="s">
        <v>347</v>
      </c>
      <c r="T1046" s="388">
        <v>79</v>
      </c>
      <c r="U1046" s="389" t="s">
        <v>164</v>
      </c>
      <c r="V1046" s="433"/>
      <c r="X1046" s="386">
        <v>1056.49</v>
      </c>
      <c r="Y1046" s="386"/>
      <c r="AJ1046" s="416">
        <v>1056.49</v>
      </c>
    </row>
    <row r="1047" spans="1:77" s="205" customFormat="1" ht="11.25" customHeight="1">
      <c r="A1047" s="379" t="s">
        <v>3893</v>
      </c>
      <c r="B1047" s="379" t="s">
        <v>291</v>
      </c>
      <c r="C1047" s="381"/>
      <c r="D1047" s="381"/>
      <c r="E1047" s="382" t="s">
        <v>1017</v>
      </c>
      <c r="F1047" s="379" t="s">
        <v>355</v>
      </c>
      <c r="G1047" s="383">
        <v>4572</v>
      </c>
      <c r="H1047" s="379" t="s">
        <v>356</v>
      </c>
      <c r="I1047" s="379" t="s">
        <v>33</v>
      </c>
      <c r="J1047" s="385">
        <v>7534.61</v>
      </c>
      <c r="K1047" s="379"/>
      <c r="L1047" s="385">
        <v>12.75</v>
      </c>
      <c r="M1047" s="385">
        <v>12.75</v>
      </c>
      <c r="N1047" s="386"/>
      <c r="O1047" s="387">
        <v>0.15</v>
      </c>
      <c r="P1047" s="387"/>
      <c r="Q1047" s="386">
        <v>0</v>
      </c>
      <c r="R1047" s="379" t="s">
        <v>128</v>
      </c>
      <c r="S1047" s="388" t="s">
        <v>347</v>
      </c>
      <c r="T1047" s="388">
        <v>79</v>
      </c>
      <c r="U1047" s="389" t="s">
        <v>164</v>
      </c>
      <c r="V1047" s="433"/>
      <c r="W1047" s="379"/>
      <c r="X1047" s="386">
        <v>0</v>
      </c>
      <c r="Y1047" s="386"/>
      <c r="Z1047" s="379"/>
      <c r="AA1047" s="379"/>
      <c r="AB1047" s="379"/>
      <c r="AC1047" s="379"/>
      <c r="AD1047" s="379"/>
      <c r="AE1047" s="379"/>
      <c r="AF1047" s="379"/>
      <c r="AG1047" s="379"/>
      <c r="AH1047" s="379"/>
      <c r="AI1047" s="379"/>
      <c r="AJ1047" s="390">
        <v>0</v>
      </c>
      <c r="AK1047" s="379"/>
      <c r="AL1047" s="379"/>
      <c r="AM1047" s="379"/>
      <c r="AN1047" s="379"/>
      <c r="AO1047" s="379"/>
      <c r="AP1047" s="379"/>
      <c r="AQ1047" s="379"/>
      <c r="AR1047" s="379"/>
      <c r="AS1047" s="379"/>
      <c r="AT1047" s="379"/>
      <c r="AU1047" s="379"/>
      <c r="AV1047" s="379"/>
      <c r="AW1047" s="379"/>
      <c r="AX1047" s="379"/>
      <c r="AY1047" s="379"/>
      <c r="AZ1047" s="379"/>
      <c r="BA1047" s="379"/>
      <c r="BB1047" s="379"/>
      <c r="BC1047" s="379"/>
      <c r="BD1047" s="379"/>
      <c r="BE1047" s="379"/>
      <c r="BF1047" s="379"/>
      <c r="BG1047" s="379"/>
      <c r="BH1047" s="379"/>
      <c r="BI1047" s="379"/>
      <c r="BJ1047" s="379"/>
      <c r="BK1047" s="379"/>
      <c r="BL1047" s="379"/>
      <c r="BM1047" s="379"/>
      <c r="BN1047" s="379"/>
      <c r="BO1047" s="379"/>
      <c r="BP1047" s="379"/>
      <c r="BQ1047" s="379"/>
      <c r="BR1047" s="379"/>
      <c r="BS1047" s="379"/>
      <c r="BT1047" s="379"/>
      <c r="BU1047" s="379"/>
      <c r="BV1047" s="379"/>
      <c r="BW1047" s="379"/>
      <c r="BX1047" s="379"/>
      <c r="BY1047" s="379"/>
    </row>
    <row r="1048" spans="1:77" s="379" customFormat="1" ht="11.25" customHeight="1">
      <c r="B1048" s="379" t="s">
        <v>291</v>
      </c>
      <c r="C1048" s="381"/>
      <c r="D1048" s="381"/>
      <c r="E1048" s="382" t="s">
        <v>1017</v>
      </c>
      <c r="F1048" s="379" t="s">
        <v>355</v>
      </c>
      <c r="G1048" s="383">
        <v>4572</v>
      </c>
      <c r="H1048" s="379" t="s">
        <v>1015</v>
      </c>
      <c r="I1048" s="379" t="s">
        <v>33</v>
      </c>
      <c r="J1048" s="385">
        <v>3981.29</v>
      </c>
      <c r="L1048" s="385">
        <v>3.85</v>
      </c>
      <c r="M1048" s="385">
        <v>3.85</v>
      </c>
      <c r="N1048" s="386"/>
      <c r="O1048" s="387">
        <v>0.15</v>
      </c>
      <c r="P1048" s="387"/>
      <c r="Q1048" s="386">
        <v>0</v>
      </c>
      <c r="R1048" s="379" t="s">
        <v>128</v>
      </c>
      <c r="S1048" s="388" t="s">
        <v>347</v>
      </c>
      <c r="T1048" s="388">
        <v>79</v>
      </c>
      <c r="U1048" s="389" t="s">
        <v>164</v>
      </c>
      <c r="V1048" s="433"/>
      <c r="X1048" s="386">
        <v>0</v>
      </c>
      <c r="Y1048" s="386"/>
      <c r="AJ1048" s="390">
        <v>0</v>
      </c>
    </row>
    <row r="1049" spans="1:77" s="379" customFormat="1" ht="11.25" customHeight="1">
      <c r="B1049" s="379" t="s">
        <v>291</v>
      </c>
      <c r="C1049" s="381"/>
      <c r="D1049" s="381"/>
      <c r="E1049" s="382" t="s">
        <v>1017</v>
      </c>
      <c r="F1049" s="379" t="s">
        <v>355</v>
      </c>
      <c r="G1049" s="383">
        <v>4572</v>
      </c>
      <c r="H1049" s="379" t="s">
        <v>1018</v>
      </c>
      <c r="I1049" s="379" t="s">
        <v>33</v>
      </c>
      <c r="J1049" s="385">
        <v>3281.15</v>
      </c>
      <c r="L1049" s="385">
        <v>4.9400000000000004</v>
      </c>
      <c r="M1049" s="385">
        <v>4.9400000000000004</v>
      </c>
      <c r="N1049" s="386"/>
      <c r="O1049" s="387">
        <v>0.15</v>
      </c>
      <c r="P1049" s="387"/>
      <c r="Q1049" s="386">
        <v>494</v>
      </c>
      <c r="R1049" s="379" t="s">
        <v>128</v>
      </c>
      <c r="S1049" s="388" t="s">
        <v>347</v>
      </c>
      <c r="T1049" s="388">
        <v>79</v>
      </c>
      <c r="U1049" s="389" t="s">
        <v>164</v>
      </c>
      <c r="V1049" s="433">
        <v>494</v>
      </c>
      <c r="X1049" s="386">
        <v>494</v>
      </c>
      <c r="Y1049" s="386"/>
      <c r="AJ1049" s="416">
        <v>494</v>
      </c>
    </row>
    <row r="1050" spans="1:77" s="205" customFormat="1" ht="11.25" customHeight="1">
      <c r="B1050" s="205" t="s">
        <v>291</v>
      </c>
      <c r="C1050" s="207"/>
      <c r="D1050" s="207"/>
      <c r="E1050" s="208" t="s">
        <v>1017</v>
      </c>
      <c r="F1050" s="205" t="s">
        <v>355</v>
      </c>
      <c r="G1050" s="209">
        <v>4572</v>
      </c>
      <c r="H1050" s="205" t="s">
        <v>192</v>
      </c>
      <c r="I1050" s="205" t="s">
        <v>33</v>
      </c>
      <c r="J1050" s="210">
        <v>13922.2</v>
      </c>
      <c r="L1050" s="210">
        <v>9.2200000000000006</v>
      </c>
      <c r="M1050" s="210">
        <v>9.2200000000000006</v>
      </c>
      <c r="N1050" s="213"/>
      <c r="O1050" s="212">
        <v>0.15</v>
      </c>
      <c r="P1050" s="212"/>
      <c r="Q1050" s="213">
        <v>0</v>
      </c>
      <c r="R1050" s="205" t="s">
        <v>128</v>
      </c>
      <c r="S1050" s="214" t="s">
        <v>347</v>
      </c>
      <c r="T1050" s="214">
        <v>79</v>
      </c>
      <c r="U1050" s="215" t="s">
        <v>164</v>
      </c>
      <c r="V1050" s="438"/>
      <c r="X1050" s="213">
        <v>0</v>
      </c>
      <c r="Y1050" s="213"/>
      <c r="AF1050" s="230">
        <f>X1050</f>
        <v>0</v>
      </c>
      <c r="AJ1050" s="216"/>
    </row>
    <row r="1051" spans="1:77" s="291" customFormat="1" ht="11.25" customHeight="1">
      <c r="B1051" s="291" t="s">
        <v>291</v>
      </c>
      <c r="C1051" s="292">
        <v>44694</v>
      </c>
      <c r="D1051" s="292">
        <v>44694</v>
      </c>
      <c r="E1051" s="293" t="s">
        <v>1019</v>
      </c>
      <c r="F1051" s="291" t="s">
        <v>349</v>
      </c>
      <c r="G1051" s="294">
        <v>3520</v>
      </c>
      <c r="H1051" s="291" t="s">
        <v>99</v>
      </c>
      <c r="I1051" s="291" t="s">
        <v>33</v>
      </c>
      <c r="J1051" s="296">
        <v>16979.87</v>
      </c>
      <c r="L1051" s="296">
        <v>14.58</v>
      </c>
      <c r="M1051" s="296">
        <v>14.58</v>
      </c>
      <c r="N1051" s="297">
        <v>1697.9867999999999</v>
      </c>
      <c r="O1051" s="298">
        <v>0.15</v>
      </c>
      <c r="P1051" s="298"/>
      <c r="Q1051" s="297">
        <v>0</v>
      </c>
      <c r="R1051" s="291" t="s">
        <v>128</v>
      </c>
      <c r="S1051" s="299" t="s">
        <v>347</v>
      </c>
      <c r="T1051" s="299">
        <v>79</v>
      </c>
      <c r="U1051" s="300" t="s">
        <v>164</v>
      </c>
      <c r="V1051" s="333"/>
      <c r="X1051" s="297">
        <v>0</v>
      </c>
      <c r="Y1051" s="297"/>
      <c r="AH1051" s="291">
        <f>X1051</f>
        <v>0</v>
      </c>
      <c r="AI1051" s="311"/>
      <c r="AJ1051" s="468"/>
    </row>
    <row r="1052" spans="1:77" s="291" customFormat="1" ht="11.25" customHeight="1">
      <c r="B1052" s="291" t="s">
        <v>291</v>
      </c>
      <c r="C1052" s="292"/>
      <c r="D1052" s="292"/>
      <c r="E1052" s="293" t="s">
        <v>1019</v>
      </c>
      <c r="F1052" s="291" t="s">
        <v>349</v>
      </c>
      <c r="G1052" s="294">
        <v>3520</v>
      </c>
      <c r="H1052" s="291" t="s">
        <v>183</v>
      </c>
      <c r="I1052" s="291" t="s">
        <v>33</v>
      </c>
      <c r="J1052" s="296">
        <v>13463.47</v>
      </c>
      <c r="L1052" s="296">
        <v>14.19</v>
      </c>
      <c r="M1052" s="296">
        <v>14.19</v>
      </c>
      <c r="N1052" s="297">
        <v>1346.3471999999999</v>
      </c>
      <c r="O1052" s="298">
        <v>0.15</v>
      </c>
      <c r="P1052" s="298"/>
      <c r="Q1052" s="297">
        <v>0</v>
      </c>
      <c r="R1052" s="291" t="s">
        <v>128</v>
      </c>
      <c r="S1052" s="299" t="s">
        <v>347</v>
      </c>
      <c r="T1052" s="299">
        <v>79</v>
      </c>
      <c r="U1052" s="300" t="s">
        <v>164</v>
      </c>
      <c r="V1052" s="333"/>
      <c r="X1052" s="297">
        <v>0</v>
      </c>
      <c r="Y1052" s="297"/>
      <c r="AH1052" s="291">
        <f>X1052</f>
        <v>0</v>
      </c>
      <c r="AI1052" s="311"/>
      <c r="AJ1052" s="468"/>
    </row>
    <row r="1053" spans="1:77" s="291" customFormat="1" ht="11.25" customHeight="1">
      <c r="B1053" s="291" t="s">
        <v>291</v>
      </c>
      <c r="C1053" s="292"/>
      <c r="D1053" s="292"/>
      <c r="E1053" s="293" t="s">
        <v>1019</v>
      </c>
      <c r="F1053" s="291" t="s">
        <v>349</v>
      </c>
      <c r="G1053" s="294">
        <v>3520</v>
      </c>
      <c r="H1053" s="291" t="s">
        <v>765</v>
      </c>
      <c r="I1053" s="291" t="s">
        <v>33</v>
      </c>
      <c r="J1053" s="296">
        <v>6746.44</v>
      </c>
      <c r="L1053" s="296">
        <v>7.43</v>
      </c>
      <c r="M1053" s="296">
        <v>10.93</v>
      </c>
      <c r="N1053" s="297"/>
      <c r="O1053" s="298">
        <v>0.15</v>
      </c>
      <c r="P1053" s="298"/>
      <c r="Q1053" s="297">
        <v>0</v>
      </c>
      <c r="R1053" s="291" t="s">
        <v>128</v>
      </c>
      <c r="S1053" s="299" t="s">
        <v>347</v>
      </c>
      <c r="T1053" s="299">
        <v>79</v>
      </c>
      <c r="U1053" s="300" t="s">
        <v>164</v>
      </c>
      <c r="V1053" s="333"/>
      <c r="W1053" s="291" t="s">
        <v>3884</v>
      </c>
      <c r="X1053" s="297">
        <v>0</v>
      </c>
      <c r="Y1053" s="297"/>
      <c r="AH1053" s="291">
        <f>X1053</f>
        <v>0</v>
      </c>
      <c r="AI1053" s="311"/>
      <c r="AJ1053" s="468"/>
    </row>
    <row r="1054" spans="1:77" s="379" customFormat="1" ht="11.25" customHeight="1">
      <c r="B1054" s="379" t="s">
        <v>291</v>
      </c>
      <c r="C1054" s="381">
        <v>44694</v>
      </c>
      <c r="D1054" s="381">
        <v>44694</v>
      </c>
      <c r="E1054" s="382" t="s">
        <v>1020</v>
      </c>
      <c r="F1054" s="379" t="s">
        <v>575</v>
      </c>
      <c r="G1054" s="383">
        <v>3787</v>
      </c>
      <c r="H1054" s="379" t="s">
        <v>99</v>
      </c>
      <c r="I1054" s="379" t="s">
        <v>33</v>
      </c>
      <c r="J1054" s="385">
        <v>46867.14</v>
      </c>
      <c r="L1054" s="385">
        <v>34.11</v>
      </c>
      <c r="M1054" s="385">
        <v>34.11</v>
      </c>
      <c r="N1054" s="386"/>
      <c r="O1054" s="387">
        <v>0.25</v>
      </c>
      <c r="P1054" s="387"/>
      <c r="Q1054" s="386">
        <v>0</v>
      </c>
      <c r="R1054" s="379" t="s">
        <v>576</v>
      </c>
      <c r="S1054" s="388" t="s">
        <v>347</v>
      </c>
      <c r="T1054" s="388">
        <v>79</v>
      </c>
      <c r="U1054" s="389" t="s">
        <v>164</v>
      </c>
      <c r="V1054" s="433"/>
      <c r="X1054" s="386">
        <v>0</v>
      </c>
      <c r="Y1054" s="386"/>
      <c r="AJ1054" s="390">
        <v>0</v>
      </c>
    </row>
    <row r="1055" spans="1:77" s="379" customFormat="1" ht="11.25" customHeight="1">
      <c r="B1055" s="379" t="s">
        <v>291</v>
      </c>
      <c r="C1055" s="381"/>
      <c r="D1055" s="381"/>
      <c r="E1055" s="382" t="s">
        <v>1020</v>
      </c>
      <c r="F1055" s="379" t="s">
        <v>575</v>
      </c>
      <c r="G1055" s="383">
        <v>3787</v>
      </c>
      <c r="H1055" s="379" t="s">
        <v>27</v>
      </c>
      <c r="I1055" s="379" t="s">
        <v>33</v>
      </c>
      <c r="J1055" s="385">
        <v>33003.629999999997</v>
      </c>
      <c r="L1055" s="385">
        <v>18.02</v>
      </c>
      <c r="M1055" s="385">
        <v>18.02</v>
      </c>
      <c r="N1055" s="386"/>
      <c r="O1055" s="387">
        <v>0.25</v>
      </c>
      <c r="P1055" s="387"/>
      <c r="Q1055" s="386">
        <v>0</v>
      </c>
      <c r="R1055" s="379" t="s">
        <v>576</v>
      </c>
      <c r="S1055" s="388" t="s">
        <v>347</v>
      </c>
      <c r="T1055" s="388">
        <v>79</v>
      </c>
      <c r="U1055" s="389" t="s">
        <v>164</v>
      </c>
      <c r="V1055" s="433"/>
      <c r="X1055" s="386">
        <v>0</v>
      </c>
      <c r="Y1055" s="386"/>
      <c r="AJ1055" s="390">
        <v>0</v>
      </c>
    </row>
    <row r="1056" spans="1:77" s="379" customFormat="1" ht="11.25" customHeight="1">
      <c r="B1056" s="379" t="s">
        <v>291</v>
      </c>
      <c r="C1056" s="381"/>
      <c r="D1056" s="381"/>
      <c r="E1056" s="382" t="s">
        <v>1020</v>
      </c>
      <c r="F1056" s="379" t="s">
        <v>575</v>
      </c>
      <c r="G1056" s="383">
        <v>3787</v>
      </c>
      <c r="H1056" s="379" t="s">
        <v>386</v>
      </c>
      <c r="I1056" s="379" t="s">
        <v>33</v>
      </c>
      <c r="J1056" s="385">
        <v>18588.53</v>
      </c>
      <c r="L1056" s="385">
        <v>17.010000000000002</v>
      </c>
      <c r="M1056" s="385">
        <v>17.010000000000002</v>
      </c>
      <c r="N1056" s="386"/>
      <c r="O1056" s="387">
        <v>0.25</v>
      </c>
      <c r="P1056" s="387"/>
      <c r="Q1056" s="386">
        <v>0</v>
      </c>
      <c r="R1056" s="379" t="s">
        <v>576</v>
      </c>
      <c r="S1056" s="388" t="s">
        <v>347</v>
      </c>
      <c r="T1056" s="388">
        <v>79</v>
      </c>
      <c r="U1056" s="389" t="s">
        <v>164</v>
      </c>
      <c r="V1056" s="433"/>
      <c r="X1056" s="386">
        <v>0</v>
      </c>
      <c r="Y1056" s="386"/>
      <c r="AJ1056" s="390">
        <v>0</v>
      </c>
    </row>
    <row r="1057" spans="1:77" s="379" customFormat="1" ht="11.25" customHeight="1">
      <c r="B1057" s="379" t="s">
        <v>291</v>
      </c>
      <c r="C1057" s="381"/>
      <c r="D1057" s="381"/>
      <c r="E1057" s="382" t="s">
        <v>1020</v>
      </c>
      <c r="F1057" s="379" t="s">
        <v>575</v>
      </c>
      <c r="G1057" s="383">
        <v>3787</v>
      </c>
      <c r="H1057" s="379" t="s">
        <v>898</v>
      </c>
      <c r="I1057" s="379" t="s">
        <v>888</v>
      </c>
      <c r="J1057" s="385">
        <v>23352</v>
      </c>
      <c r="L1057" s="385">
        <v>20.85</v>
      </c>
      <c r="M1057" s="385">
        <v>20.85</v>
      </c>
      <c r="N1057" s="386"/>
      <c r="O1057" s="387">
        <v>0.25</v>
      </c>
      <c r="P1057" s="387"/>
      <c r="Q1057" s="386">
        <v>0</v>
      </c>
      <c r="R1057" s="379" t="s">
        <v>576</v>
      </c>
      <c r="S1057" s="388" t="s">
        <v>347</v>
      </c>
      <c r="T1057" s="388">
        <v>79</v>
      </c>
      <c r="U1057" s="389" t="s">
        <v>164</v>
      </c>
      <c r="V1057" s="433"/>
      <c r="X1057" s="386">
        <v>0</v>
      </c>
      <c r="Y1057" s="386"/>
      <c r="AJ1057" s="390">
        <v>0</v>
      </c>
    </row>
    <row r="1058" spans="1:77" s="236" customFormat="1" ht="11.25" customHeight="1">
      <c r="A1058" s="379"/>
      <c r="B1058" s="379" t="s">
        <v>291</v>
      </c>
      <c r="C1058" s="381"/>
      <c r="D1058" s="381"/>
      <c r="E1058" s="382" t="s">
        <v>1021</v>
      </c>
      <c r="F1058" s="379" t="s">
        <v>362</v>
      </c>
      <c r="G1058" s="383">
        <v>3820</v>
      </c>
      <c r="H1058" s="379" t="s">
        <v>183</v>
      </c>
      <c r="I1058" s="379" t="s">
        <v>33</v>
      </c>
      <c r="J1058" s="385">
        <v>5654.93</v>
      </c>
      <c r="K1058" s="379"/>
      <c r="L1058" s="385">
        <v>6.15</v>
      </c>
      <c r="M1058" s="385">
        <v>6.15</v>
      </c>
      <c r="N1058" s="386"/>
      <c r="O1058" s="387">
        <v>0.2</v>
      </c>
      <c r="P1058" s="387"/>
      <c r="Q1058" s="386">
        <v>620.04999999999995</v>
      </c>
      <c r="R1058" s="379" t="s">
        <v>128</v>
      </c>
      <c r="S1058" s="388" t="s">
        <v>347</v>
      </c>
      <c r="T1058" s="388">
        <v>79</v>
      </c>
      <c r="U1058" s="389" t="s">
        <v>164</v>
      </c>
      <c r="V1058" s="433"/>
      <c r="W1058" s="379"/>
      <c r="X1058" s="386">
        <v>620.04999999999995</v>
      </c>
      <c r="Y1058" s="386"/>
      <c r="Z1058" s="379"/>
      <c r="AA1058" s="379"/>
      <c r="AB1058" s="379"/>
      <c r="AC1058" s="379"/>
      <c r="AD1058" s="379"/>
      <c r="AE1058" s="379"/>
      <c r="AF1058" s="379"/>
      <c r="AG1058" s="379"/>
      <c r="AH1058" s="379"/>
      <c r="AI1058" s="379"/>
      <c r="AJ1058" s="416">
        <v>620.04999999999995</v>
      </c>
      <c r="AK1058" s="379"/>
      <c r="AL1058" s="379"/>
      <c r="AM1058" s="379"/>
      <c r="AN1058" s="379"/>
      <c r="AO1058" s="379"/>
      <c r="AP1058" s="379"/>
      <c r="AQ1058" s="379"/>
      <c r="AR1058" s="379"/>
      <c r="AS1058" s="379"/>
      <c r="AT1058" s="379"/>
      <c r="AU1058" s="379"/>
      <c r="AV1058" s="379"/>
      <c r="AW1058" s="379"/>
      <c r="AX1058" s="379"/>
      <c r="AY1058" s="379"/>
      <c r="AZ1058" s="379"/>
      <c r="BA1058" s="379"/>
      <c r="BB1058" s="379"/>
      <c r="BC1058" s="379"/>
      <c r="BD1058" s="379"/>
      <c r="BE1058" s="379"/>
      <c r="BF1058" s="379"/>
      <c r="BG1058" s="379"/>
      <c r="BH1058" s="379"/>
      <c r="BI1058" s="379"/>
      <c r="BJ1058" s="379"/>
      <c r="BK1058" s="379"/>
      <c r="BL1058" s="379"/>
      <c r="BM1058" s="379"/>
      <c r="BN1058" s="379"/>
      <c r="BO1058" s="379"/>
      <c r="BP1058" s="379"/>
      <c r="BQ1058" s="379"/>
      <c r="BR1058" s="379"/>
      <c r="BS1058" s="379"/>
      <c r="BT1058" s="379"/>
      <c r="BU1058" s="379"/>
      <c r="BV1058" s="379"/>
      <c r="BW1058" s="379"/>
      <c r="BX1058" s="379"/>
      <c r="BY1058" s="379"/>
    </row>
    <row r="1059" spans="1:77" s="379" customFormat="1" ht="11.25" customHeight="1">
      <c r="B1059" s="379" t="s">
        <v>291</v>
      </c>
      <c r="C1059" s="381"/>
      <c r="D1059" s="381"/>
      <c r="E1059" s="382" t="s">
        <v>1021</v>
      </c>
      <c r="F1059" s="379" t="s">
        <v>362</v>
      </c>
      <c r="G1059" s="383">
        <v>3820</v>
      </c>
      <c r="H1059" s="379" t="s">
        <v>866</v>
      </c>
      <c r="I1059" s="379" t="s">
        <v>33</v>
      </c>
      <c r="J1059" s="385">
        <v>5754</v>
      </c>
      <c r="L1059" s="385">
        <v>6.85</v>
      </c>
      <c r="M1059" s="385">
        <v>6.85</v>
      </c>
      <c r="N1059" s="386"/>
      <c r="O1059" s="387">
        <v>0.2</v>
      </c>
      <c r="P1059" s="387"/>
      <c r="Q1059" s="386">
        <v>1984.44</v>
      </c>
      <c r="R1059" s="379" t="s">
        <v>128</v>
      </c>
      <c r="S1059" s="388" t="s">
        <v>347</v>
      </c>
      <c r="T1059" s="388">
        <v>79</v>
      </c>
      <c r="U1059" s="389" t="s">
        <v>164</v>
      </c>
      <c r="V1059" s="433"/>
      <c r="X1059" s="386">
        <v>1984.44</v>
      </c>
      <c r="Y1059" s="386"/>
      <c r="AJ1059" s="416">
        <v>1984.44</v>
      </c>
    </row>
    <row r="1060" spans="1:77" s="379" customFormat="1" ht="11.25" customHeight="1">
      <c r="B1060" s="379" t="s">
        <v>291</v>
      </c>
      <c r="C1060" s="381"/>
      <c r="D1060" s="381"/>
      <c r="E1060" s="382" t="s">
        <v>1021</v>
      </c>
      <c r="F1060" s="379" t="s">
        <v>362</v>
      </c>
      <c r="G1060" s="383">
        <v>3820</v>
      </c>
      <c r="H1060" s="379" t="s">
        <v>765</v>
      </c>
      <c r="I1060" s="379" t="s">
        <v>33</v>
      </c>
      <c r="J1060" s="385">
        <v>4295.75</v>
      </c>
      <c r="L1060" s="385">
        <v>4.88</v>
      </c>
      <c r="M1060" s="385">
        <v>4.9800000000000004</v>
      </c>
      <c r="N1060" s="386"/>
      <c r="O1060" s="387">
        <v>0.2</v>
      </c>
      <c r="P1060" s="387"/>
      <c r="Q1060" s="386">
        <v>859.45</v>
      </c>
      <c r="R1060" s="379" t="s">
        <v>128</v>
      </c>
      <c r="S1060" s="388" t="s">
        <v>347</v>
      </c>
      <c r="T1060" s="388">
        <v>79</v>
      </c>
      <c r="U1060" s="389" t="s">
        <v>164</v>
      </c>
      <c r="V1060" s="433"/>
      <c r="X1060" s="386">
        <v>859.45</v>
      </c>
      <c r="Y1060" s="386"/>
      <c r="AJ1060" s="416">
        <v>859.45</v>
      </c>
    </row>
    <row r="1061" spans="1:77" s="261" customFormat="1" ht="11.25" customHeight="1">
      <c r="B1061" s="261" t="s">
        <v>291</v>
      </c>
      <c r="C1061" s="259">
        <v>44694</v>
      </c>
      <c r="D1061" s="259">
        <v>44694</v>
      </c>
      <c r="E1061" s="260" t="s">
        <v>1021</v>
      </c>
      <c r="F1061" s="261" t="s">
        <v>362</v>
      </c>
      <c r="G1061" s="262">
        <v>3820</v>
      </c>
      <c r="H1061" s="261" t="s">
        <v>99</v>
      </c>
      <c r="I1061" s="261" t="s">
        <v>33</v>
      </c>
      <c r="J1061" s="263">
        <v>13814.71</v>
      </c>
      <c r="L1061" s="263">
        <v>13.3</v>
      </c>
      <c r="M1061" s="263">
        <v>13.3</v>
      </c>
      <c r="N1061" s="265"/>
      <c r="O1061" s="266">
        <v>0.2</v>
      </c>
      <c r="P1061" s="266"/>
      <c r="Q1061" s="265">
        <v>0</v>
      </c>
      <c r="R1061" s="261" t="s">
        <v>128</v>
      </c>
      <c r="S1061" s="267" t="s">
        <v>347</v>
      </c>
      <c r="T1061" s="267">
        <v>79</v>
      </c>
      <c r="U1061" s="268" t="s">
        <v>164</v>
      </c>
      <c r="V1061" s="427"/>
      <c r="X1061" s="265">
        <v>0</v>
      </c>
      <c r="Y1061" s="265"/>
      <c r="AG1061" s="261">
        <f>X1061</f>
        <v>0</v>
      </c>
      <c r="AJ1061" s="642"/>
    </row>
    <row r="1062" spans="1:77" s="261" customFormat="1" ht="11.25" customHeight="1">
      <c r="B1062" s="261" t="s">
        <v>291</v>
      </c>
      <c r="C1062" s="259"/>
      <c r="D1062" s="259"/>
      <c r="E1062" s="260" t="s">
        <v>1021</v>
      </c>
      <c r="F1062" s="261" t="s">
        <v>362</v>
      </c>
      <c r="G1062" s="262">
        <v>3820</v>
      </c>
      <c r="H1062" s="261" t="s">
        <v>163</v>
      </c>
      <c r="I1062" s="261" t="s">
        <v>33</v>
      </c>
      <c r="J1062" s="263">
        <v>6236.1</v>
      </c>
      <c r="L1062" s="263">
        <v>7.8</v>
      </c>
      <c r="M1062" s="263">
        <v>7.8</v>
      </c>
      <c r="N1062" s="265"/>
      <c r="O1062" s="266">
        <v>0.2</v>
      </c>
      <c r="P1062" s="266"/>
      <c r="Q1062" s="265">
        <v>0</v>
      </c>
      <c r="R1062" s="261" t="s">
        <v>128</v>
      </c>
      <c r="S1062" s="267" t="s">
        <v>347</v>
      </c>
      <c r="T1062" s="267">
        <v>79</v>
      </c>
      <c r="U1062" s="268" t="s">
        <v>164</v>
      </c>
      <c r="V1062" s="427"/>
      <c r="X1062" s="265">
        <v>0</v>
      </c>
      <c r="Y1062" s="265"/>
      <c r="AG1062" s="261">
        <f>X1062</f>
        <v>0</v>
      </c>
      <c r="AJ1062" s="642"/>
    </row>
    <row r="1063" spans="1:77" s="291" customFormat="1" ht="11.25" customHeight="1">
      <c r="B1063" s="291" t="s">
        <v>291</v>
      </c>
      <c r="C1063" s="292"/>
      <c r="D1063" s="292"/>
      <c r="E1063" s="293" t="s">
        <v>1023</v>
      </c>
      <c r="F1063" s="291" t="s">
        <v>1024</v>
      </c>
      <c r="G1063" s="294">
        <v>3895</v>
      </c>
      <c r="H1063" s="291" t="s">
        <v>27</v>
      </c>
      <c r="I1063" s="291" t="s">
        <v>33</v>
      </c>
      <c r="J1063" s="296">
        <v>17270.400000000001</v>
      </c>
      <c r="L1063" s="296">
        <v>19.2</v>
      </c>
      <c r="M1063" s="296">
        <v>19.2</v>
      </c>
      <c r="N1063" s="297"/>
      <c r="O1063" s="298">
        <v>0.2</v>
      </c>
      <c r="P1063" s="298"/>
      <c r="Q1063" s="297">
        <v>0</v>
      </c>
      <c r="R1063" s="291" t="s">
        <v>35</v>
      </c>
      <c r="S1063" s="299" t="s">
        <v>41</v>
      </c>
      <c r="T1063" s="299">
        <v>17</v>
      </c>
      <c r="U1063" s="300" t="s">
        <v>164</v>
      </c>
      <c r="V1063" s="333"/>
      <c r="X1063" s="297">
        <v>0</v>
      </c>
      <c r="Y1063" s="297"/>
      <c r="AH1063" s="291">
        <f t="shared" ref="AH1063:AH1069" si="18">X1063</f>
        <v>0</v>
      </c>
      <c r="AI1063" s="311"/>
      <c r="AJ1063" s="468"/>
    </row>
    <row r="1064" spans="1:77" s="291" customFormat="1" ht="11.25" customHeight="1">
      <c r="B1064" s="291" t="s">
        <v>291</v>
      </c>
      <c r="C1064" s="292"/>
      <c r="D1064" s="292"/>
      <c r="E1064" s="293" t="s">
        <v>1023</v>
      </c>
      <c r="F1064" s="291" t="s">
        <v>1024</v>
      </c>
      <c r="G1064" s="294">
        <v>3895</v>
      </c>
      <c r="H1064" s="291" t="s">
        <v>183</v>
      </c>
      <c r="I1064" s="291" t="s">
        <v>33</v>
      </c>
      <c r="J1064" s="296">
        <v>17813.12</v>
      </c>
      <c r="L1064" s="296">
        <v>16.29</v>
      </c>
      <c r="M1064" s="296">
        <v>16.29</v>
      </c>
      <c r="N1064" s="297"/>
      <c r="O1064" s="298">
        <v>0.2</v>
      </c>
      <c r="P1064" s="298"/>
      <c r="Q1064" s="297">
        <v>0</v>
      </c>
      <c r="R1064" s="291" t="s">
        <v>35</v>
      </c>
      <c r="S1064" s="299" t="s">
        <v>41</v>
      </c>
      <c r="T1064" s="299">
        <v>17</v>
      </c>
      <c r="U1064" s="300" t="s">
        <v>164</v>
      </c>
      <c r="V1064" s="333"/>
      <c r="X1064" s="297">
        <v>0</v>
      </c>
      <c r="Y1064" s="297"/>
      <c r="AH1064" s="291">
        <f t="shared" si="18"/>
        <v>0</v>
      </c>
      <c r="AI1064" s="311"/>
      <c r="AJ1064" s="468"/>
    </row>
    <row r="1065" spans="1:77" s="291" customFormat="1" ht="11.25" customHeight="1">
      <c r="B1065" s="291" t="s">
        <v>291</v>
      </c>
      <c r="C1065" s="292">
        <v>44691</v>
      </c>
      <c r="D1065" s="292">
        <v>44694</v>
      </c>
      <c r="E1065" s="293" t="s">
        <v>1023</v>
      </c>
      <c r="F1065" s="291" t="s">
        <v>1024</v>
      </c>
      <c r="G1065" s="294">
        <v>3895</v>
      </c>
      <c r="H1065" s="291" t="s">
        <v>140</v>
      </c>
      <c r="I1065" s="291" t="s">
        <v>33</v>
      </c>
      <c r="J1065" s="296">
        <v>9474.2999999999993</v>
      </c>
      <c r="L1065" s="296">
        <v>7.25</v>
      </c>
      <c r="M1065" s="296">
        <v>7.25</v>
      </c>
      <c r="N1065" s="297"/>
      <c r="O1065" s="298">
        <v>0.2</v>
      </c>
      <c r="P1065" s="298"/>
      <c r="Q1065" s="297">
        <v>636.41</v>
      </c>
      <c r="R1065" s="291" t="s">
        <v>35</v>
      </c>
      <c r="S1065" s="299" t="s">
        <v>41</v>
      </c>
      <c r="T1065" s="299">
        <v>17</v>
      </c>
      <c r="U1065" s="300" t="s">
        <v>164</v>
      </c>
      <c r="V1065" s="333"/>
      <c r="X1065" s="297">
        <v>636.41</v>
      </c>
      <c r="Y1065" s="297"/>
      <c r="AH1065" s="297">
        <f t="shared" si="18"/>
        <v>636.41</v>
      </c>
      <c r="AI1065" s="311"/>
      <c r="AJ1065" s="468"/>
    </row>
    <row r="1066" spans="1:77" s="291" customFormat="1" ht="11.25" customHeight="1">
      <c r="B1066" s="291" t="s">
        <v>291</v>
      </c>
      <c r="C1066" s="292"/>
      <c r="D1066" s="292"/>
      <c r="E1066" s="293" t="s">
        <v>1023</v>
      </c>
      <c r="F1066" s="291" t="s">
        <v>1024</v>
      </c>
      <c r="G1066" s="294">
        <v>3895</v>
      </c>
      <c r="H1066" s="291" t="s">
        <v>99</v>
      </c>
      <c r="I1066" s="291" t="s">
        <v>33</v>
      </c>
      <c r="J1066" s="296">
        <v>51853.82</v>
      </c>
      <c r="L1066" s="296">
        <v>40.92</v>
      </c>
      <c r="M1066" s="296">
        <v>40.92</v>
      </c>
      <c r="N1066" s="297"/>
      <c r="O1066" s="298">
        <v>0.2</v>
      </c>
      <c r="P1066" s="298"/>
      <c r="Q1066" s="297">
        <v>5119.91</v>
      </c>
      <c r="R1066" s="291" t="s">
        <v>35</v>
      </c>
      <c r="S1066" s="299" t="s">
        <v>41</v>
      </c>
      <c r="T1066" s="299">
        <v>17</v>
      </c>
      <c r="U1066" s="300" t="s">
        <v>164</v>
      </c>
      <c r="V1066" s="333"/>
      <c r="X1066" s="297">
        <v>5119.91</v>
      </c>
      <c r="Y1066" s="297"/>
      <c r="AH1066" s="297">
        <f t="shared" si="18"/>
        <v>5119.91</v>
      </c>
      <c r="AI1066" s="311"/>
      <c r="AJ1066" s="468"/>
    </row>
    <row r="1067" spans="1:77" s="291" customFormat="1" ht="11.25" customHeight="1">
      <c r="B1067" s="291" t="s">
        <v>291</v>
      </c>
      <c r="C1067" s="292"/>
      <c r="D1067" s="292"/>
      <c r="E1067" s="293" t="s">
        <v>1023</v>
      </c>
      <c r="F1067" s="291" t="s">
        <v>1024</v>
      </c>
      <c r="G1067" s="294">
        <v>3895</v>
      </c>
      <c r="H1067" s="291" t="s">
        <v>162</v>
      </c>
      <c r="I1067" s="291" t="s">
        <v>33</v>
      </c>
      <c r="J1067" s="296">
        <v>8057.72</v>
      </c>
      <c r="L1067" s="296">
        <v>14.83</v>
      </c>
      <c r="M1067" s="296">
        <v>14.83</v>
      </c>
      <c r="N1067" s="297">
        <f>J1067*0.4</f>
        <v>3223.0880000000002</v>
      </c>
      <c r="O1067" s="298">
        <v>0.2</v>
      </c>
      <c r="P1067" s="298"/>
      <c r="Q1067" s="297">
        <v>2483.16</v>
      </c>
      <c r="R1067" s="291" t="s">
        <v>35</v>
      </c>
      <c r="S1067" s="299" t="s">
        <v>41</v>
      </c>
      <c r="T1067" s="299">
        <v>17</v>
      </c>
      <c r="U1067" s="300" t="s">
        <v>164</v>
      </c>
      <c r="V1067" s="333"/>
      <c r="X1067" s="297">
        <v>2483.16</v>
      </c>
      <c r="Y1067" s="297"/>
      <c r="AH1067" s="297">
        <f t="shared" si="18"/>
        <v>2483.16</v>
      </c>
      <c r="AI1067" s="311"/>
      <c r="AJ1067" s="468"/>
    </row>
    <row r="1068" spans="1:77" s="291" customFormat="1" ht="11.25" customHeight="1">
      <c r="B1068" s="291" t="s">
        <v>291</v>
      </c>
      <c r="C1068" s="292"/>
      <c r="D1068" s="292"/>
      <c r="E1068" s="293" t="s">
        <v>1023</v>
      </c>
      <c r="F1068" s="291" t="s">
        <v>1024</v>
      </c>
      <c r="G1068" s="294">
        <v>3895</v>
      </c>
      <c r="H1068" s="291" t="s">
        <v>310</v>
      </c>
      <c r="I1068" s="291" t="s">
        <v>33</v>
      </c>
      <c r="J1068" s="296">
        <v>4302.6000000000004</v>
      </c>
      <c r="L1068" s="296">
        <v>7.1</v>
      </c>
      <c r="M1068" s="296">
        <v>7.1</v>
      </c>
      <c r="N1068" s="297">
        <f>J1068*0.4</f>
        <v>1721.0400000000002</v>
      </c>
      <c r="O1068" s="298">
        <v>0.2</v>
      </c>
      <c r="P1068" s="298"/>
      <c r="Q1068" s="297">
        <v>727.04</v>
      </c>
      <c r="R1068" s="291" t="s">
        <v>35</v>
      </c>
      <c r="S1068" s="299" t="s">
        <v>41</v>
      </c>
      <c r="T1068" s="299">
        <v>17</v>
      </c>
      <c r="U1068" s="300" t="s">
        <v>164</v>
      </c>
      <c r="V1068" s="333"/>
      <c r="X1068" s="297">
        <v>727.04</v>
      </c>
      <c r="Y1068" s="297"/>
      <c r="AH1068" s="297">
        <f t="shared" si="18"/>
        <v>727.04</v>
      </c>
      <c r="AI1068" s="311"/>
      <c r="AJ1068" s="468"/>
    </row>
    <row r="1069" spans="1:77" s="291" customFormat="1" ht="11.25" customHeight="1">
      <c r="B1069" s="291" t="s">
        <v>291</v>
      </c>
      <c r="C1069" s="292"/>
      <c r="D1069" s="292"/>
      <c r="E1069" s="293" t="s">
        <v>1023</v>
      </c>
      <c r="F1069" s="291" t="s">
        <v>1024</v>
      </c>
      <c r="G1069" s="294">
        <v>3895</v>
      </c>
      <c r="H1069" s="291" t="s">
        <v>295</v>
      </c>
      <c r="I1069" s="291" t="s">
        <v>33</v>
      </c>
      <c r="J1069" s="296">
        <v>19863.36</v>
      </c>
      <c r="L1069" s="296">
        <v>21.12</v>
      </c>
      <c r="M1069" s="296">
        <v>8.7200000000000006</v>
      </c>
      <c r="N1069" s="297"/>
      <c r="O1069" s="298">
        <v>0.2</v>
      </c>
      <c r="P1069" s="298"/>
      <c r="Q1069" s="297">
        <v>0</v>
      </c>
      <c r="R1069" s="291" t="s">
        <v>35</v>
      </c>
      <c r="S1069" s="299" t="s">
        <v>41</v>
      </c>
      <c r="T1069" s="299">
        <v>17</v>
      </c>
      <c r="U1069" s="300" t="s">
        <v>164</v>
      </c>
      <c r="V1069" s="333"/>
      <c r="X1069" s="297">
        <v>0</v>
      </c>
      <c r="Y1069" s="297"/>
      <c r="AH1069" s="291">
        <f t="shared" si="18"/>
        <v>0</v>
      </c>
      <c r="AI1069" s="311"/>
      <c r="AJ1069" s="468"/>
    </row>
    <row r="1070" spans="1:77" s="473" customFormat="1" ht="11.25" customHeight="1">
      <c r="B1070" s="473" t="s">
        <v>291</v>
      </c>
      <c r="C1070" s="487">
        <v>44693</v>
      </c>
      <c r="D1070" s="487">
        <v>44694</v>
      </c>
      <c r="E1070" s="488" t="s">
        <v>1025</v>
      </c>
      <c r="F1070" s="473" t="s">
        <v>1026</v>
      </c>
      <c r="G1070" s="489">
        <v>4437</v>
      </c>
      <c r="H1070" s="473" t="s">
        <v>1027</v>
      </c>
      <c r="I1070" s="473" t="s">
        <v>33</v>
      </c>
      <c r="J1070" s="490">
        <v>16467.75</v>
      </c>
      <c r="L1070" s="490">
        <v>11.7</v>
      </c>
      <c r="M1070" s="490">
        <v>11.7</v>
      </c>
      <c r="N1070" s="492">
        <v>1811.4525000000001</v>
      </c>
      <c r="O1070" s="493">
        <v>0.2</v>
      </c>
      <c r="P1070" s="493"/>
      <c r="Q1070" s="492">
        <v>0</v>
      </c>
      <c r="R1070" s="473" t="s">
        <v>281</v>
      </c>
      <c r="S1070" s="481" t="s">
        <v>228</v>
      </c>
      <c r="T1070" s="481">
        <v>58</v>
      </c>
      <c r="U1070" s="494" t="s">
        <v>164</v>
      </c>
      <c r="V1070" s="495"/>
      <c r="X1070" s="492">
        <v>0</v>
      </c>
      <c r="Y1070" s="492"/>
      <c r="AJ1070" s="485"/>
      <c r="AK1070" s="473">
        <v>0</v>
      </c>
    </row>
    <row r="1071" spans="1:77" s="473" customFormat="1" ht="11.25" customHeight="1">
      <c r="B1071" s="473" t="s">
        <v>291</v>
      </c>
      <c r="C1071" s="487"/>
      <c r="D1071" s="487"/>
      <c r="E1071" s="488" t="s">
        <v>1025</v>
      </c>
      <c r="F1071" s="473" t="s">
        <v>1026</v>
      </c>
      <c r="G1071" s="489">
        <v>4437</v>
      </c>
      <c r="H1071" s="473" t="s">
        <v>99</v>
      </c>
      <c r="I1071" s="473" t="s">
        <v>33</v>
      </c>
      <c r="J1071" s="490">
        <v>125680.76</v>
      </c>
      <c r="L1071" s="490">
        <v>94.27</v>
      </c>
      <c r="M1071" s="490">
        <v>94.27</v>
      </c>
      <c r="N1071" s="492">
        <v>21365.73</v>
      </c>
      <c r="O1071" s="493">
        <v>0.2</v>
      </c>
      <c r="P1071" s="493"/>
      <c r="Q1071" s="492">
        <v>0</v>
      </c>
      <c r="R1071" s="473" t="s">
        <v>281</v>
      </c>
      <c r="S1071" s="481" t="s">
        <v>228</v>
      </c>
      <c r="T1071" s="481">
        <v>58</v>
      </c>
      <c r="U1071" s="494" t="s">
        <v>164</v>
      </c>
      <c r="V1071" s="495"/>
      <c r="X1071" s="492">
        <v>0</v>
      </c>
      <c r="Y1071" s="492"/>
      <c r="AJ1071" s="485"/>
      <c r="AK1071" s="473">
        <v>0</v>
      </c>
    </row>
    <row r="1072" spans="1:77" s="473" customFormat="1" ht="11.25" customHeight="1">
      <c r="B1072" s="473" t="s">
        <v>291</v>
      </c>
      <c r="C1072" s="487"/>
      <c r="D1072" s="487"/>
      <c r="E1072" s="488" t="s">
        <v>1025</v>
      </c>
      <c r="F1072" s="473" t="s">
        <v>1026</v>
      </c>
      <c r="G1072" s="489">
        <v>4437</v>
      </c>
      <c r="H1072" s="473" t="s">
        <v>183</v>
      </c>
      <c r="I1072" s="473" t="s">
        <v>33</v>
      </c>
      <c r="J1072" s="490">
        <v>42195.96</v>
      </c>
      <c r="L1072" s="490">
        <v>35.340000000000003</v>
      </c>
      <c r="M1072" s="490">
        <v>35.340000000000003</v>
      </c>
      <c r="N1072" s="492">
        <v>6751.35</v>
      </c>
      <c r="O1072" s="493">
        <v>0.2</v>
      </c>
      <c r="P1072" s="493"/>
      <c r="Q1072" s="492">
        <v>69.62</v>
      </c>
      <c r="R1072" s="473" t="s">
        <v>281</v>
      </c>
      <c r="S1072" s="481" t="s">
        <v>228</v>
      </c>
      <c r="T1072" s="481">
        <v>58</v>
      </c>
      <c r="U1072" s="494" t="s">
        <v>164</v>
      </c>
      <c r="V1072" s="495"/>
      <c r="X1072" s="492">
        <v>69.62</v>
      </c>
      <c r="Y1072" s="492"/>
      <c r="AJ1072" s="485"/>
      <c r="AK1072" s="492">
        <v>69.62</v>
      </c>
    </row>
    <row r="1073" spans="1:77" s="473" customFormat="1" ht="11.25" customHeight="1">
      <c r="B1073" s="473" t="s">
        <v>291</v>
      </c>
      <c r="C1073" s="487"/>
      <c r="D1073" s="487"/>
      <c r="E1073" s="488" t="s">
        <v>1025</v>
      </c>
      <c r="F1073" s="473" t="s">
        <v>1026</v>
      </c>
      <c r="G1073" s="489">
        <v>4437</v>
      </c>
      <c r="H1073" s="473" t="s">
        <v>27</v>
      </c>
      <c r="I1073" s="473" t="s">
        <v>33</v>
      </c>
      <c r="J1073" s="490">
        <v>71505</v>
      </c>
      <c r="L1073" s="490">
        <v>70</v>
      </c>
      <c r="M1073" s="490">
        <v>70</v>
      </c>
      <c r="N1073" s="492">
        <v>8580.6</v>
      </c>
      <c r="O1073" s="493">
        <v>0.2</v>
      </c>
      <c r="P1073" s="493"/>
      <c r="Q1073" s="492">
        <v>0</v>
      </c>
      <c r="R1073" s="473" t="s">
        <v>281</v>
      </c>
      <c r="S1073" s="481" t="s">
        <v>228</v>
      </c>
      <c r="T1073" s="481">
        <v>58</v>
      </c>
      <c r="U1073" s="494" t="s">
        <v>164</v>
      </c>
      <c r="V1073" s="495"/>
      <c r="X1073" s="492">
        <v>0</v>
      </c>
      <c r="Y1073" s="492"/>
      <c r="AJ1073" s="485"/>
      <c r="AK1073" s="473">
        <v>0</v>
      </c>
    </row>
    <row r="1074" spans="1:77" s="337" customFormat="1" ht="11.25" customHeight="1">
      <c r="B1074" s="337" t="s">
        <v>291</v>
      </c>
      <c r="C1074" s="349">
        <v>44694</v>
      </c>
      <c r="D1074" s="349">
        <v>44694</v>
      </c>
      <c r="E1074" s="350" t="s">
        <v>1028</v>
      </c>
      <c r="F1074" s="337" t="s">
        <v>1029</v>
      </c>
      <c r="G1074" s="351">
        <v>3743</v>
      </c>
      <c r="H1074" s="337" t="s">
        <v>99</v>
      </c>
      <c r="I1074" s="337" t="s">
        <v>33</v>
      </c>
      <c r="J1074" s="352">
        <v>27610.42</v>
      </c>
      <c r="L1074" s="352">
        <v>21.47</v>
      </c>
      <c r="M1074" s="352">
        <v>21.47</v>
      </c>
      <c r="N1074" s="354"/>
      <c r="O1074" s="355">
        <v>0.15</v>
      </c>
      <c r="P1074" s="355"/>
      <c r="Q1074" s="354">
        <v>0</v>
      </c>
      <c r="R1074" s="337" t="s">
        <v>1030</v>
      </c>
      <c r="S1074" s="356" t="s">
        <v>3078</v>
      </c>
      <c r="T1074" s="356">
        <v>47</v>
      </c>
      <c r="U1074" s="357" t="s">
        <v>164</v>
      </c>
      <c r="V1074" s="434"/>
      <c r="X1074" s="354">
        <v>0</v>
      </c>
      <c r="Y1074" s="354"/>
      <c r="AI1074" s="337">
        <v>0</v>
      </c>
      <c r="AJ1074" s="358"/>
      <c r="AK1074" s="369"/>
    </row>
    <row r="1075" spans="1:77" s="337" customFormat="1" ht="11.25" customHeight="1">
      <c r="B1075" s="337" t="s">
        <v>291</v>
      </c>
      <c r="C1075" s="349"/>
      <c r="D1075" s="349"/>
      <c r="E1075" s="350" t="s">
        <v>1028</v>
      </c>
      <c r="F1075" s="337" t="s">
        <v>1029</v>
      </c>
      <c r="G1075" s="351">
        <v>3743</v>
      </c>
      <c r="H1075" s="337" t="s">
        <v>866</v>
      </c>
      <c r="I1075" s="337" t="s">
        <v>33</v>
      </c>
      <c r="J1075" s="352">
        <v>3616.2</v>
      </c>
      <c r="L1075" s="352">
        <v>2.87</v>
      </c>
      <c r="M1075" s="352">
        <v>2.87</v>
      </c>
      <c r="N1075" s="354"/>
      <c r="O1075" s="355">
        <v>0.15</v>
      </c>
      <c r="P1075" s="355"/>
      <c r="Q1075" s="354">
        <v>0</v>
      </c>
      <c r="R1075" s="337" t="s">
        <v>1030</v>
      </c>
      <c r="S1075" s="356" t="s">
        <v>3078</v>
      </c>
      <c r="T1075" s="356">
        <v>47</v>
      </c>
      <c r="U1075" s="357" t="s">
        <v>164</v>
      </c>
      <c r="V1075" s="434"/>
      <c r="X1075" s="354">
        <v>0</v>
      </c>
      <c r="Y1075" s="354"/>
      <c r="AI1075" s="337">
        <v>0</v>
      </c>
      <c r="AJ1075" s="358"/>
      <c r="AK1075" s="369"/>
    </row>
    <row r="1076" spans="1:77" s="337" customFormat="1" ht="11.25" customHeight="1">
      <c r="B1076" s="337" t="s">
        <v>291</v>
      </c>
      <c r="C1076" s="349"/>
      <c r="D1076" s="349"/>
      <c r="E1076" s="350" t="s">
        <v>1028</v>
      </c>
      <c r="F1076" s="337" t="s">
        <v>1029</v>
      </c>
      <c r="G1076" s="351">
        <v>3743</v>
      </c>
      <c r="H1076" s="337" t="s">
        <v>183</v>
      </c>
      <c r="I1076" s="337" t="s">
        <v>33</v>
      </c>
      <c r="J1076" s="352">
        <v>12394.14</v>
      </c>
      <c r="L1076" s="352">
        <v>9.7899999999999991</v>
      </c>
      <c r="M1076" s="352">
        <v>9.7899999999999991</v>
      </c>
      <c r="N1076" s="354"/>
      <c r="O1076" s="355">
        <v>0.15</v>
      </c>
      <c r="P1076" s="355"/>
      <c r="Q1076" s="354">
        <v>0</v>
      </c>
      <c r="R1076" s="337" t="s">
        <v>1030</v>
      </c>
      <c r="S1076" s="356" t="s">
        <v>3078</v>
      </c>
      <c r="T1076" s="356">
        <v>47</v>
      </c>
      <c r="U1076" s="357" t="s">
        <v>164</v>
      </c>
      <c r="V1076" s="434"/>
      <c r="X1076" s="354">
        <v>0</v>
      </c>
      <c r="Y1076" s="354"/>
      <c r="AI1076" s="337">
        <v>0</v>
      </c>
      <c r="AJ1076" s="358"/>
      <c r="AK1076" s="369"/>
    </row>
    <row r="1077" spans="1:77" s="337" customFormat="1" ht="11.25" customHeight="1">
      <c r="B1077" s="337" t="s">
        <v>291</v>
      </c>
      <c r="C1077" s="349"/>
      <c r="D1077" s="349"/>
      <c r="E1077" s="350" t="s">
        <v>1028</v>
      </c>
      <c r="F1077" s="337" t="s">
        <v>1029</v>
      </c>
      <c r="G1077" s="351">
        <v>3743</v>
      </c>
      <c r="H1077" s="337" t="s">
        <v>765</v>
      </c>
      <c r="I1077" s="337" t="s">
        <v>33</v>
      </c>
      <c r="J1077" s="352">
        <v>24254.37</v>
      </c>
      <c r="L1077" s="352">
        <v>21.91</v>
      </c>
      <c r="M1077" s="352">
        <v>21.91</v>
      </c>
      <c r="N1077" s="354"/>
      <c r="O1077" s="355">
        <v>0.15</v>
      </c>
      <c r="P1077" s="355"/>
      <c r="Q1077" s="354">
        <v>0</v>
      </c>
      <c r="R1077" s="337" t="s">
        <v>1030</v>
      </c>
      <c r="S1077" s="356" t="s">
        <v>3078</v>
      </c>
      <c r="T1077" s="356">
        <v>47</v>
      </c>
      <c r="U1077" s="357" t="s">
        <v>164</v>
      </c>
      <c r="V1077" s="434"/>
      <c r="X1077" s="354">
        <v>0</v>
      </c>
      <c r="Y1077" s="354"/>
      <c r="AI1077" s="337">
        <v>0</v>
      </c>
      <c r="AJ1077" s="358"/>
      <c r="AK1077" s="369"/>
    </row>
    <row r="1078" spans="1:77" s="337" customFormat="1" ht="11.25" customHeight="1">
      <c r="B1078" s="337" t="s">
        <v>291</v>
      </c>
      <c r="C1078" s="349">
        <v>44694</v>
      </c>
      <c r="D1078" s="349">
        <v>44694</v>
      </c>
      <c r="E1078" s="350" t="s">
        <v>1031</v>
      </c>
      <c r="F1078" s="337" t="s">
        <v>1032</v>
      </c>
      <c r="G1078" s="351">
        <v>3744</v>
      </c>
      <c r="H1078" s="337" t="s">
        <v>99</v>
      </c>
      <c r="I1078" s="337" t="s">
        <v>33</v>
      </c>
      <c r="J1078" s="352">
        <v>25444.16</v>
      </c>
      <c r="L1078" s="352">
        <v>20.72</v>
      </c>
      <c r="M1078" s="352">
        <v>20.72</v>
      </c>
      <c r="N1078" s="354"/>
      <c r="O1078" s="355">
        <v>0.15</v>
      </c>
      <c r="P1078" s="355"/>
      <c r="Q1078" s="354">
        <v>3398.08</v>
      </c>
      <c r="R1078" s="337" t="s">
        <v>1030</v>
      </c>
      <c r="S1078" s="356" t="s">
        <v>3078</v>
      </c>
      <c r="T1078" s="356">
        <v>47</v>
      </c>
      <c r="U1078" s="357" t="s">
        <v>164</v>
      </c>
      <c r="V1078" s="434"/>
      <c r="X1078" s="354">
        <v>3398.08</v>
      </c>
      <c r="Y1078" s="354"/>
      <c r="AI1078" s="354">
        <v>3398.08</v>
      </c>
      <c r="AJ1078" s="358"/>
      <c r="AK1078" s="369"/>
    </row>
    <row r="1079" spans="1:77" s="337" customFormat="1" ht="11.25" customHeight="1">
      <c r="B1079" s="337" t="s">
        <v>291</v>
      </c>
      <c r="C1079" s="349"/>
      <c r="D1079" s="349"/>
      <c r="E1079" s="350" t="s">
        <v>1031</v>
      </c>
      <c r="F1079" s="337" t="s">
        <v>1032</v>
      </c>
      <c r="G1079" s="351">
        <v>3744</v>
      </c>
      <c r="H1079" s="337" t="s">
        <v>866</v>
      </c>
      <c r="I1079" s="337" t="s">
        <v>33</v>
      </c>
      <c r="J1079" s="352">
        <v>1868.4</v>
      </c>
      <c r="L1079" s="352">
        <v>1.73</v>
      </c>
      <c r="M1079" s="352">
        <v>1.73</v>
      </c>
      <c r="N1079" s="354"/>
      <c r="O1079" s="355">
        <v>0.15</v>
      </c>
      <c r="P1079" s="355"/>
      <c r="Q1079" s="354">
        <v>0</v>
      </c>
      <c r="R1079" s="337" t="s">
        <v>1030</v>
      </c>
      <c r="S1079" s="356" t="s">
        <v>3078</v>
      </c>
      <c r="T1079" s="356">
        <v>47</v>
      </c>
      <c r="U1079" s="357" t="s">
        <v>164</v>
      </c>
      <c r="V1079" s="434"/>
      <c r="X1079" s="354">
        <v>0</v>
      </c>
      <c r="Y1079" s="354"/>
      <c r="AI1079" s="337">
        <f>X1079</f>
        <v>0</v>
      </c>
      <c r="AJ1079" s="358"/>
      <c r="AK1079" s="369"/>
    </row>
    <row r="1080" spans="1:77" s="337" customFormat="1" ht="11.25" customHeight="1">
      <c r="B1080" s="337" t="s">
        <v>291</v>
      </c>
      <c r="C1080" s="349"/>
      <c r="D1080" s="349"/>
      <c r="E1080" s="350" t="s">
        <v>1031</v>
      </c>
      <c r="F1080" s="337" t="s">
        <v>1032</v>
      </c>
      <c r="G1080" s="351">
        <v>3744</v>
      </c>
      <c r="H1080" s="337" t="s">
        <v>183</v>
      </c>
      <c r="I1080" s="337" t="s">
        <v>33</v>
      </c>
      <c r="J1080" s="352">
        <v>7081.2</v>
      </c>
      <c r="L1080" s="352">
        <v>5.62</v>
      </c>
      <c r="M1080" s="352">
        <v>5.62</v>
      </c>
      <c r="N1080" s="354"/>
      <c r="O1080" s="355">
        <v>0.15</v>
      </c>
      <c r="P1080" s="355"/>
      <c r="Q1080" s="354">
        <v>0</v>
      </c>
      <c r="R1080" s="337" t="s">
        <v>1030</v>
      </c>
      <c r="S1080" s="356" t="s">
        <v>3078</v>
      </c>
      <c r="T1080" s="356">
        <v>47</v>
      </c>
      <c r="U1080" s="357" t="s">
        <v>164</v>
      </c>
      <c r="V1080" s="434"/>
      <c r="X1080" s="354">
        <v>0</v>
      </c>
      <c r="Y1080" s="354"/>
      <c r="AI1080" s="337">
        <f>X1080</f>
        <v>0</v>
      </c>
      <c r="AJ1080" s="358"/>
      <c r="AK1080" s="369"/>
    </row>
    <row r="1081" spans="1:77" s="337" customFormat="1" ht="11.25" customHeight="1">
      <c r="B1081" s="337" t="s">
        <v>291</v>
      </c>
      <c r="C1081" s="349"/>
      <c r="D1081" s="349"/>
      <c r="E1081" s="350" t="s">
        <v>1031</v>
      </c>
      <c r="F1081" s="337" t="s">
        <v>1032</v>
      </c>
      <c r="G1081" s="351">
        <v>3744</v>
      </c>
      <c r="H1081" s="337" t="s">
        <v>765</v>
      </c>
      <c r="I1081" s="337" t="s">
        <v>33</v>
      </c>
      <c r="J1081" s="352">
        <v>16073.64</v>
      </c>
      <c r="L1081" s="352">
        <v>14.52</v>
      </c>
      <c r="M1081" s="352">
        <v>14.52</v>
      </c>
      <c r="N1081" s="354"/>
      <c r="O1081" s="355">
        <v>0.15</v>
      </c>
      <c r="P1081" s="355"/>
      <c r="Q1081" s="354">
        <v>0</v>
      </c>
      <c r="R1081" s="337" t="s">
        <v>1030</v>
      </c>
      <c r="S1081" s="356" t="s">
        <v>3078</v>
      </c>
      <c r="T1081" s="356">
        <v>47</v>
      </c>
      <c r="U1081" s="357" t="s">
        <v>164</v>
      </c>
      <c r="V1081" s="434"/>
      <c r="X1081" s="354">
        <v>0</v>
      </c>
      <c r="Y1081" s="354"/>
      <c r="AI1081" s="337">
        <v>0</v>
      </c>
      <c r="AJ1081" s="358"/>
      <c r="AK1081" s="369"/>
    </row>
    <row r="1082" spans="1:77" s="291" customFormat="1" ht="11.25" customHeight="1">
      <c r="B1082" s="291" t="s">
        <v>291</v>
      </c>
      <c r="C1082" s="292">
        <v>44694</v>
      </c>
      <c r="D1082" s="292">
        <v>44694</v>
      </c>
      <c r="E1082" s="293" t="s">
        <v>1033</v>
      </c>
      <c r="F1082" s="291" t="s">
        <v>652</v>
      </c>
      <c r="G1082" s="294" t="s">
        <v>653</v>
      </c>
      <c r="H1082" s="291" t="s">
        <v>27</v>
      </c>
      <c r="I1082" s="291" t="s">
        <v>33</v>
      </c>
      <c r="J1082" s="296">
        <v>32729.759999999998</v>
      </c>
      <c r="L1082" s="296">
        <v>17.850000000000001</v>
      </c>
      <c r="M1082" s="296">
        <v>17.850000000000001</v>
      </c>
      <c r="N1082" s="297">
        <v>0</v>
      </c>
      <c r="O1082" s="298">
        <v>0.2</v>
      </c>
      <c r="P1082" s="298"/>
      <c r="Q1082" s="297">
        <v>0</v>
      </c>
      <c r="R1082" s="291" t="s">
        <v>42</v>
      </c>
      <c r="S1082" s="299" t="s">
        <v>41</v>
      </c>
      <c r="T1082" s="299">
        <v>17</v>
      </c>
      <c r="U1082" s="300" t="s">
        <v>164</v>
      </c>
      <c r="V1082" s="333"/>
      <c r="W1082" s="291" t="s">
        <v>3913</v>
      </c>
      <c r="X1082" s="297">
        <v>0</v>
      </c>
      <c r="Y1082" s="297"/>
      <c r="AH1082" s="291">
        <f>X1082</f>
        <v>0</v>
      </c>
      <c r="AI1082" s="311"/>
      <c r="AJ1082" s="468"/>
    </row>
    <row r="1083" spans="1:77" s="291" customFormat="1" ht="11.25" customHeight="1">
      <c r="B1083" s="291" t="s">
        <v>291</v>
      </c>
      <c r="C1083" s="292"/>
      <c r="D1083" s="292"/>
      <c r="E1083" s="293" t="s">
        <v>1033</v>
      </c>
      <c r="F1083" s="291" t="s">
        <v>652</v>
      </c>
      <c r="G1083" s="294" t="s">
        <v>653</v>
      </c>
      <c r="H1083" s="291" t="s">
        <v>99</v>
      </c>
      <c r="I1083" s="291" t="s">
        <v>33</v>
      </c>
      <c r="J1083" s="296">
        <v>33251.360000000001</v>
      </c>
      <c r="L1083" s="296">
        <v>29.94</v>
      </c>
      <c r="M1083" s="296">
        <v>29.94</v>
      </c>
      <c r="N1083" s="297">
        <v>11637.9774</v>
      </c>
      <c r="O1083" s="298">
        <v>0.2</v>
      </c>
      <c r="P1083" s="298"/>
      <c r="Q1083" s="297">
        <v>0</v>
      </c>
      <c r="R1083" s="291" t="s">
        <v>42</v>
      </c>
      <c r="S1083" s="299" t="s">
        <v>41</v>
      </c>
      <c r="T1083" s="299">
        <v>17</v>
      </c>
      <c r="U1083" s="300" t="s">
        <v>164</v>
      </c>
      <c r="V1083" s="333"/>
      <c r="W1083" s="291" t="s">
        <v>3913</v>
      </c>
      <c r="X1083" s="297">
        <v>0</v>
      </c>
      <c r="Y1083" s="297"/>
      <c r="AH1083" s="291">
        <f>X1083</f>
        <v>0</v>
      </c>
      <c r="AI1083" s="311"/>
      <c r="AJ1083" s="468"/>
    </row>
    <row r="1084" spans="1:77" s="291" customFormat="1" ht="11.25" customHeight="1">
      <c r="B1084" s="291" t="s">
        <v>291</v>
      </c>
      <c r="C1084" s="292"/>
      <c r="D1084" s="292"/>
      <c r="E1084" s="293" t="s">
        <v>1033</v>
      </c>
      <c r="F1084" s="291" t="s">
        <v>652</v>
      </c>
      <c r="G1084" s="294" t="s">
        <v>653</v>
      </c>
      <c r="H1084" s="291" t="s">
        <v>183</v>
      </c>
      <c r="I1084" s="291" t="s">
        <v>33</v>
      </c>
      <c r="J1084" s="296">
        <v>11833.48</v>
      </c>
      <c r="L1084" s="296">
        <v>11.43</v>
      </c>
      <c r="M1084" s="296">
        <v>11.43</v>
      </c>
      <c r="N1084" s="297">
        <v>2366.6958</v>
      </c>
      <c r="O1084" s="298">
        <v>0.2</v>
      </c>
      <c r="P1084" s="298"/>
      <c r="Q1084" s="297">
        <v>0</v>
      </c>
      <c r="R1084" s="291" t="s">
        <v>42</v>
      </c>
      <c r="S1084" s="299" t="s">
        <v>41</v>
      </c>
      <c r="T1084" s="299">
        <v>17</v>
      </c>
      <c r="U1084" s="300" t="s">
        <v>164</v>
      </c>
      <c r="V1084" s="333"/>
      <c r="X1084" s="297">
        <v>0</v>
      </c>
      <c r="Y1084" s="297"/>
      <c r="AH1084" s="291">
        <f>X1084</f>
        <v>0</v>
      </c>
      <c r="AI1084" s="311"/>
      <c r="AJ1084" s="468"/>
    </row>
    <row r="1085" spans="1:77" s="337" customFormat="1" ht="11.25" customHeight="1">
      <c r="B1085" s="338" t="s">
        <v>291</v>
      </c>
      <c r="C1085" s="349">
        <v>44693</v>
      </c>
      <c r="D1085" s="349">
        <v>44694</v>
      </c>
      <c r="E1085" s="350" t="s">
        <v>1034</v>
      </c>
      <c r="F1085" s="337" t="s">
        <v>94</v>
      </c>
      <c r="G1085" s="351">
        <v>4377</v>
      </c>
      <c r="H1085" s="337" t="s">
        <v>310</v>
      </c>
      <c r="I1085" s="337" t="s">
        <v>33</v>
      </c>
      <c r="J1085" s="352">
        <v>3327.16</v>
      </c>
      <c r="L1085" s="352">
        <v>4.46</v>
      </c>
      <c r="M1085" s="352">
        <v>4.46</v>
      </c>
      <c r="N1085" s="354"/>
      <c r="O1085" s="355">
        <v>0.25</v>
      </c>
      <c r="P1085" s="355"/>
      <c r="Q1085" s="354">
        <v>895.53</v>
      </c>
      <c r="R1085" s="337" t="s">
        <v>42</v>
      </c>
      <c r="S1085" s="356" t="s">
        <v>41</v>
      </c>
      <c r="T1085" s="356">
        <v>17</v>
      </c>
      <c r="U1085" s="357" t="s">
        <v>164</v>
      </c>
      <c r="V1085" s="434"/>
      <c r="X1085" s="354">
        <v>895.53</v>
      </c>
      <c r="Y1085" s="354"/>
      <c r="AI1085" s="337">
        <v>895.53</v>
      </c>
      <c r="AJ1085" s="358"/>
      <c r="AK1085" s="369"/>
    </row>
    <row r="1086" spans="1:77" s="337" customFormat="1" ht="11.25" customHeight="1">
      <c r="B1086" s="338" t="s">
        <v>291</v>
      </c>
      <c r="C1086" s="349"/>
      <c r="D1086" s="349"/>
      <c r="E1086" s="350" t="s">
        <v>1034</v>
      </c>
      <c r="F1086" s="337" t="s">
        <v>94</v>
      </c>
      <c r="G1086" s="351">
        <v>4377</v>
      </c>
      <c r="H1086" s="337" t="s">
        <v>866</v>
      </c>
      <c r="I1086" s="337" t="s">
        <v>33</v>
      </c>
      <c r="J1086" s="352">
        <v>3162.38</v>
      </c>
      <c r="L1086" s="352">
        <v>2.65</v>
      </c>
      <c r="M1086" s="352">
        <v>2.65</v>
      </c>
      <c r="N1086" s="354"/>
      <c r="O1086" s="355">
        <v>0.25</v>
      </c>
      <c r="P1086" s="355"/>
      <c r="Q1086" s="354">
        <v>851.15</v>
      </c>
      <c r="R1086" s="337" t="s">
        <v>42</v>
      </c>
      <c r="S1086" s="356" t="s">
        <v>41</v>
      </c>
      <c r="T1086" s="356">
        <v>17</v>
      </c>
      <c r="U1086" s="357" t="s">
        <v>164</v>
      </c>
      <c r="V1086" s="434"/>
      <c r="X1086" s="354">
        <v>851.15</v>
      </c>
      <c r="Y1086" s="354"/>
      <c r="AI1086" s="337">
        <v>851.15</v>
      </c>
      <c r="AJ1086" s="358"/>
      <c r="AK1086" s="369"/>
    </row>
    <row r="1087" spans="1:77" s="291" customFormat="1" ht="11.25" customHeight="1">
      <c r="B1087" s="291" t="s">
        <v>390</v>
      </c>
      <c r="C1087" s="292">
        <v>44655</v>
      </c>
      <c r="D1087" s="292">
        <v>44694</v>
      </c>
      <c r="E1087" s="293" t="s">
        <v>1035</v>
      </c>
      <c r="F1087" s="291" t="s">
        <v>1036</v>
      </c>
      <c r="G1087" s="294" t="s">
        <v>1037</v>
      </c>
      <c r="H1087" s="291" t="s">
        <v>393</v>
      </c>
      <c r="I1087" s="291" t="s">
        <v>141</v>
      </c>
      <c r="J1087" s="296">
        <v>503806.46</v>
      </c>
      <c r="L1087" s="296">
        <v>50.88</v>
      </c>
      <c r="M1087" s="296">
        <v>50.88</v>
      </c>
      <c r="N1087" s="297">
        <f>136739.3451</f>
        <v>136739.34510000001</v>
      </c>
      <c r="O1087" s="298">
        <v>0.25</v>
      </c>
      <c r="P1087" s="298"/>
      <c r="Q1087" s="297">
        <v>0</v>
      </c>
      <c r="R1087" s="291" t="s">
        <v>69</v>
      </c>
      <c r="S1087" s="299" t="s">
        <v>65</v>
      </c>
      <c r="T1087" s="299">
        <v>41</v>
      </c>
      <c r="U1087" s="300" t="s">
        <v>164</v>
      </c>
      <c r="V1087" s="333"/>
      <c r="X1087" s="297">
        <v>0</v>
      </c>
      <c r="Y1087" s="297"/>
      <c r="AH1087" s="291">
        <f>X1087</f>
        <v>0</v>
      </c>
      <c r="AI1087" s="311"/>
      <c r="AJ1087" s="468"/>
    </row>
    <row r="1088" spans="1:77" s="6" customFormat="1" ht="11.25" customHeight="1">
      <c r="A1088" s="473"/>
      <c r="B1088" s="486" t="s">
        <v>291</v>
      </c>
      <c r="C1088" s="487">
        <v>44692</v>
      </c>
      <c r="D1088" s="487">
        <v>44695</v>
      </c>
      <c r="E1088" s="488" t="s">
        <v>1038</v>
      </c>
      <c r="F1088" s="473" t="s">
        <v>448</v>
      </c>
      <c r="G1088" s="489">
        <v>3652</v>
      </c>
      <c r="H1088" s="473" t="s">
        <v>99</v>
      </c>
      <c r="I1088" s="473" t="s">
        <v>33</v>
      </c>
      <c r="J1088" s="490">
        <v>12272</v>
      </c>
      <c r="K1088" s="473"/>
      <c r="L1088" s="490">
        <v>13</v>
      </c>
      <c r="M1088" s="490">
        <v>13</v>
      </c>
      <c r="N1088" s="492">
        <v>3124.64</v>
      </c>
      <c r="O1088" s="493">
        <v>0.15</v>
      </c>
      <c r="P1088" s="493"/>
      <c r="Q1088" s="492">
        <v>2447.46</v>
      </c>
      <c r="R1088" s="473" t="s">
        <v>42</v>
      </c>
      <c r="S1088" s="481" t="s">
        <v>41</v>
      </c>
      <c r="T1088" s="481">
        <v>17</v>
      </c>
      <c r="U1088" s="494" t="s">
        <v>164</v>
      </c>
      <c r="V1088" s="495"/>
      <c r="W1088" s="473"/>
      <c r="X1088" s="492">
        <v>2447.46</v>
      </c>
      <c r="Y1088" s="492"/>
      <c r="Z1088" s="473"/>
      <c r="AA1088" s="473"/>
      <c r="AB1088" s="473"/>
      <c r="AC1088" s="473"/>
      <c r="AD1088" s="473"/>
      <c r="AE1088" s="473"/>
      <c r="AF1088" s="473"/>
      <c r="AG1088" s="473"/>
      <c r="AH1088" s="473"/>
      <c r="AI1088" s="473"/>
      <c r="AJ1088" s="485"/>
      <c r="AK1088" s="505">
        <v>2447.46</v>
      </c>
      <c r="AL1088" s="473"/>
      <c r="AM1088" s="473"/>
      <c r="AN1088" s="473"/>
      <c r="AO1088" s="473"/>
      <c r="AP1088" s="473"/>
      <c r="AQ1088" s="473"/>
      <c r="AR1088" s="473"/>
      <c r="AS1088" s="473"/>
      <c r="AT1088" s="473"/>
      <c r="AU1088" s="473"/>
      <c r="AV1088" s="473"/>
      <c r="AW1088" s="473"/>
      <c r="AX1088" s="473"/>
      <c r="AY1088" s="473"/>
      <c r="AZ1088" s="473"/>
      <c r="BA1088" s="473"/>
      <c r="BB1088" s="473"/>
      <c r="BC1088" s="473"/>
      <c r="BD1088" s="473"/>
      <c r="BE1088" s="473"/>
      <c r="BF1088" s="473"/>
      <c r="BG1088" s="473"/>
      <c r="BH1088" s="473"/>
      <c r="BI1088" s="473"/>
      <c r="BJ1088" s="473"/>
      <c r="BK1088" s="473"/>
      <c r="BL1088" s="473"/>
      <c r="BM1088" s="473"/>
      <c r="BN1088" s="473"/>
      <c r="BO1088" s="473"/>
      <c r="BP1088" s="473"/>
      <c r="BQ1088" s="473"/>
      <c r="BR1088" s="473"/>
      <c r="BS1088" s="473"/>
      <c r="BT1088" s="473"/>
      <c r="BU1088" s="473"/>
      <c r="BV1088" s="473"/>
      <c r="BW1088" s="473"/>
      <c r="BX1088" s="473"/>
      <c r="BY1088" s="473"/>
    </row>
    <row r="1089" spans="1:77" s="379" customFormat="1" ht="11.25" customHeight="1">
      <c r="B1089" s="380" t="s">
        <v>291</v>
      </c>
      <c r="C1089" s="381"/>
      <c r="D1089" s="381"/>
      <c r="E1089" s="382" t="s">
        <v>1038</v>
      </c>
      <c r="F1089" s="379" t="s">
        <v>448</v>
      </c>
      <c r="G1089" s="383">
        <v>3652</v>
      </c>
      <c r="H1089" s="379" t="s">
        <v>27</v>
      </c>
      <c r="I1089" s="379" t="s">
        <v>33</v>
      </c>
      <c r="J1089" s="385">
        <v>3601.8</v>
      </c>
      <c r="L1089" s="385">
        <v>3.6</v>
      </c>
      <c r="M1089" s="385">
        <v>3.6</v>
      </c>
      <c r="N1089" s="386"/>
      <c r="O1089" s="387">
        <v>0.15</v>
      </c>
      <c r="P1089" s="387"/>
      <c r="Q1089" s="386">
        <v>0</v>
      </c>
      <c r="R1089" s="379" t="s">
        <v>42</v>
      </c>
      <c r="S1089" s="388" t="s">
        <v>41</v>
      </c>
      <c r="T1089" s="388">
        <v>17</v>
      </c>
      <c r="U1089" s="389" t="s">
        <v>164</v>
      </c>
      <c r="V1089" s="433"/>
      <c r="X1089" s="386">
        <v>0</v>
      </c>
      <c r="Y1089" s="386"/>
      <c r="AJ1089" s="390">
        <v>0</v>
      </c>
    </row>
    <row r="1090" spans="1:77" s="379" customFormat="1" ht="11.25" customHeight="1">
      <c r="B1090" s="380" t="s">
        <v>291</v>
      </c>
      <c r="C1090" s="381"/>
      <c r="D1090" s="381"/>
      <c r="E1090" s="382" t="s">
        <v>1038</v>
      </c>
      <c r="F1090" s="379" t="s">
        <v>448</v>
      </c>
      <c r="G1090" s="383">
        <v>3652</v>
      </c>
      <c r="H1090" s="379" t="s">
        <v>866</v>
      </c>
      <c r="I1090" s="379" t="s">
        <v>33</v>
      </c>
      <c r="J1090" s="385">
        <v>6636</v>
      </c>
      <c r="L1090" s="385">
        <v>7</v>
      </c>
      <c r="M1090" s="385">
        <v>7</v>
      </c>
      <c r="N1090" s="386">
        <v>1471.296</v>
      </c>
      <c r="O1090" s="387">
        <v>0.15</v>
      </c>
      <c r="P1090" s="387"/>
      <c r="Q1090" s="386">
        <v>0</v>
      </c>
      <c r="R1090" s="379" t="s">
        <v>42</v>
      </c>
      <c r="S1090" s="388" t="s">
        <v>41</v>
      </c>
      <c r="T1090" s="388">
        <v>17</v>
      </c>
      <c r="U1090" s="389" t="s">
        <v>164</v>
      </c>
      <c r="V1090" s="433"/>
      <c r="X1090" s="386">
        <v>0</v>
      </c>
      <c r="Y1090" s="386"/>
      <c r="AJ1090" s="390">
        <v>0</v>
      </c>
    </row>
    <row r="1091" spans="1:77" s="473" customFormat="1" ht="11.25" customHeight="1">
      <c r="A1091" s="379"/>
      <c r="B1091" s="380" t="s">
        <v>291</v>
      </c>
      <c r="C1091" s="381"/>
      <c r="D1091" s="381"/>
      <c r="E1091" s="382" t="s">
        <v>1038</v>
      </c>
      <c r="F1091" s="379" t="s">
        <v>448</v>
      </c>
      <c r="G1091" s="383">
        <v>3652</v>
      </c>
      <c r="H1091" s="379" t="s">
        <v>765</v>
      </c>
      <c r="I1091" s="379" t="s">
        <v>33</v>
      </c>
      <c r="J1091" s="385">
        <v>10086.4</v>
      </c>
      <c r="K1091" s="379"/>
      <c r="L1091" s="385">
        <v>16</v>
      </c>
      <c r="M1091" s="385">
        <v>16</v>
      </c>
      <c r="N1091" s="386">
        <v>1876.0704000000001</v>
      </c>
      <c r="O1091" s="387">
        <v>0.15</v>
      </c>
      <c r="P1091" s="387"/>
      <c r="Q1091" s="386">
        <v>0</v>
      </c>
      <c r="R1091" s="379" t="s">
        <v>42</v>
      </c>
      <c r="S1091" s="388" t="s">
        <v>41</v>
      </c>
      <c r="T1091" s="388">
        <v>17</v>
      </c>
      <c r="U1091" s="389" t="s">
        <v>164</v>
      </c>
      <c r="V1091" s="433"/>
      <c r="W1091" s="379"/>
      <c r="X1091" s="386">
        <v>0</v>
      </c>
      <c r="Y1091" s="386"/>
      <c r="Z1091" s="379"/>
      <c r="AA1091" s="379"/>
      <c r="AB1091" s="379"/>
      <c r="AC1091" s="379"/>
      <c r="AD1091" s="379"/>
      <c r="AE1091" s="379"/>
      <c r="AF1091" s="379"/>
      <c r="AG1091" s="379"/>
      <c r="AH1091" s="379"/>
      <c r="AI1091" s="379"/>
      <c r="AJ1091" s="390">
        <v>0</v>
      </c>
      <c r="AK1091" s="379"/>
      <c r="AL1091" s="379"/>
      <c r="AM1091" s="379"/>
      <c r="AN1091" s="379"/>
      <c r="AO1091" s="379"/>
      <c r="AP1091" s="379"/>
      <c r="AQ1091" s="379"/>
      <c r="AR1091" s="379"/>
      <c r="AS1091" s="379"/>
      <c r="AT1091" s="379"/>
      <c r="AU1091" s="379"/>
      <c r="AV1091" s="379"/>
      <c r="AW1091" s="379"/>
      <c r="AX1091" s="379"/>
      <c r="AY1091" s="379"/>
      <c r="AZ1091" s="379"/>
      <c r="BA1091" s="379"/>
      <c r="BB1091" s="379"/>
      <c r="BC1091" s="379"/>
      <c r="BD1091" s="379"/>
      <c r="BE1091" s="379"/>
      <c r="BF1091" s="379"/>
      <c r="BG1091" s="379"/>
      <c r="BH1091" s="379"/>
      <c r="BI1091" s="379"/>
      <c r="BJ1091" s="379"/>
      <c r="BK1091" s="379"/>
      <c r="BL1091" s="379"/>
      <c r="BM1091" s="379"/>
      <c r="BN1091" s="379"/>
      <c r="BO1091" s="379"/>
      <c r="BP1091" s="379"/>
      <c r="BQ1091" s="379"/>
      <c r="BR1091" s="379"/>
      <c r="BS1091" s="379"/>
      <c r="BT1091" s="379"/>
      <c r="BU1091" s="379"/>
      <c r="BV1091" s="379"/>
      <c r="BW1091" s="379"/>
      <c r="BX1091" s="379"/>
      <c r="BY1091" s="379"/>
    </row>
    <row r="1092" spans="1:77" s="379" customFormat="1" ht="11.25" customHeight="1">
      <c r="B1092" s="380" t="s">
        <v>291</v>
      </c>
      <c r="C1092" s="381">
        <v>44695</v>
      </c>
      <c r="D1092" s="381">
        <v>44695</v>
      </c>
      <c r="E1092" s="382" t="s">
        <v>1039</v>
      </c>
      <c r="F1092" s="379" t="s">
        <v>553</v>
      </c>
      <c r="G1092" s="383" t="s">
        <v>554</v>
      </c>
      <c r="H1092" s="379" t="s">
        <v>336</v>
      </c>
      <c r="I1092" s="379" t="s">
        <v>33</v>
      </c>
      <c r="J1092" s="385">
        <v>15695.68</v>
      </c>
      <c r="L1092" s="385">
        <v>11.4</v>
      </c>
      <c r="M1092" s="385">
        <v>11.4</v>
      </c>
      <c r="N1092" s="386"/>
      <c r="O1092" s="387">
        <v>0.25</v>
      </c>
      <c r="P1092" s="387"/>
      <c r="Q1092" s="386">
        <v>0</v>
      </c>
      <c r="R1092" s="379" t="s">
        <v>42</v>
      </c>
      <c r="S1092" s="388" t="s">
        <v>41</v>
      </c>
      <c r="T1092" s="388">
        <v>17</v>
      </c>
      <c r="U1092" s="389" t="s">
        <v>164</v>
      </c>
      <c r="V1092" s="433"/>
      <c r="X1092" s="386">
        <v>0</v>
      </c>
      <c r="Y1092" s="386"/>
      <c r="AJ1092" s="390">
        <v>0</v>
      </c>
    </row>
    <row r="1093" spans="1:77" s="379" customFormat="1" ht="11.25" customHeight="1">
      <c r="B1093" s="380" t="s">
        <v>291</v>
      </c>
      <c r="C1093" s="381"/>
      <c r="D1093" s="381"/>
      <c r="E1093" s="382" t="s">
        <v>1039</v>
      </c>
      <c r="F1093" s="379" t="s">
        <v>553</v>
      </c>
      <c r="G1093" s="383" t="s">
        <v>554</v>
      </c>
      <c r="H1093" s="379" t="s">
        <v>911</v>
      </c>
      <c r="I1093" s="379" t="s">
        <v>33</v>
      </c>
      <c r="J1093" s="385">
        <v>16270.65</v>
      </c>
      <c r="L1093" s="385">
        <v>8.5500000000000007</v>
      </c>
      <c r="M1093" s="385">
        <v>8.5500000000000007</v>
      </c>
      <c r="N1093" s="386"/>
      <c r="O1093" s="387">
        <v>0.25</v>
      </c>
      <c r="P1093" s="387"/>
      <c r="Q1093" s="386">
        <v>7960.79</v>
      </c>
      <c r="R1093" s="379" t="s">
        <v>42</v>
      </c>
      <c r="S1093" s="388" t="s">
        <v>41</v>
      </c>
      <c r="T1093" s="388">
        <v>17</v>
      </c>
      <c r="U1093" s="389" t="s">
        <v>164</v>
      </c>
      <c r="V1093" s="433"/>
      <c r="X1093" s="386">
        <v>7960.79</v>
      </c>
      <c r="Y1093" s="386"/>
      <c r="AJ1093" s="390">
        <v>7960.79</v>
      </c>
    </row>
    <row r="1094" spans="1:77" s="379" customFormat="1" ht="11.25" customHeight="1">
      <c r="B1094" s="380" t="s">
        <v>291</v>
      </c>
      <c r="C1094" s="381"/>
      <c r="D1094" s="381"/>
      <c r="E1094" s="382" t="s">
        <v>1039</v>
      </c>
      <c r="F1094" s="379" t="s">
        <v>553</v>
      </c>
      <c r="G1094" s="383" t="s">
        <v>554</v>
      </c>
      <c r="H1094" s="379" t="s">
        <v>137</v>
      </c>
      <c r="I1094" s="379" t="s">
        <v>33</v>
      </c>
      <c r="J1094" s="385">
        <v>5773.2</v>
      </c>
      <c r="L1094" s="385">
        <v>5.66</v>
      </c>
      <c r="M1094" s="385">
        <v>5.66</v>
      </c>
      <c r="N1094" s="386"/>
      <c r="O1094" s="387">
        <v>0.25</v>
      </c>
      <c r="P1094" s="387"/>
      <c r="Q1094" s="386">
        <v>651.07000000000005</v>
      </c>
      <c r="R1094" s="379" t="s">
        <v>42</v>
      </c>
      <c r="S1094" s="388" t="s">
        <v>41</v>
      </c>
      <c r="T1094" s="388">
        <v>17</v>
      </c>
      <c r="U1094" s="389" t="s">
        <v>164</v>
      </c>
      <c r="V1094" s="433"/>
      <c r="X1094" s="386">
        <v>651.07000000000005</v>
      </c>
      <c r="Y1094" s="386"/>
      <c r="AJ1094" s="390">
        <v>651.07000000000005</v>
      </c>
    </row>
    <row r="1095" spans="1:77" s="379" customFormat="1" ht="11.25" customHeight="1">
      <c r="B1095" s="380" t="s">
        <v>291</v>
      </c>
      <c r="C1095" s="381"/>
      <c r="D1095" s="381"/>
      <c r="E1095" s="382" t="s">
        <v>1039</v>
      </c>
      <c r="F1095" s="379" t="s">
        <v>553</v>
      </c>
      <c r="G1095" s="383" t="s">
        <v>554</v>
      </c>
      <c r="H1095" s="379" t="s">
        <v>765</v>
      </c>
      <c r="I1095" s="379" t="s">
        <v>33</v>
      </c>
      <c r="J1095" s="385">
        <v>5236.96</v>
      </c>
      <c r="L1095" s="385">
        <v>5.68</v>
      </c>
      <c r="M1095" s="385">
        <v>5.68</v>
      </c>
      <c r="N1095" s="386"/>
      <c r="O1095" s="387">
        <v>0.25</v>
      </c>
      <c r="P1095" s="387"/>
      <c r="Q1095" s="386">
        <v>0</v>
      </c>
      <c r="R1095" s="379" t="s">
        <v>42</v>
      </c>
      <c r="S1095" s="388" t="s">
        <v>41</v>
      </c>
      <c r="T1095" s="388">
        <v>17</v>
      </c>
      <c r="U1095" s="389" t="s">
        <v>164</v>
      </c>
      <c r="V1095" s="433"/>
      <c r="X1095" s="386">
        <v>0</v>
      </c>
      <c r="Y1095" s="386"/>
      <c r="AJ1095" s="390">
        <v>0</v>
      </c>
    </row>
    <row r="1096" spans="1:77" s="379" customFormat="1" ht="11.25" customHeight="1">
      <c r="B1096" s="380" t="s">
        <v>291</v>
      </c>
      <c r="C1096" s="381"/>
      <c r="D1096" s="381"/>
      <c r="E1096" s="382" t="s">
        <v>1039</v>
      </c>
      <c r="F1096" s="379" t="s">
        <v>553</v>
      </c>
      <c r="G1096" s="383" t="s">
        <v>554</v>
      </c>
      <c r="H1096" s="379" t="s">
        <v>492</v>
      </c>
      <c r="I1096" s="379" t="s">
        <v>33</v>
      </c>
      <c r="J1096" s="385">
        <v>3933.7</v>
      </c>
      <c r="L1096" s="385">
        <v>5.66</v>
      </c>
      <c r="M1096" s="385">
        <v>5.66</v>
      </c>
      <c r="N1096" s="386"/>
      <c r="O1096" s="387">
        <v>0.25</v>
      </c>
      <c r="P1096" s="387"/>
      <c r="Q1096" s="386">
        <v>0</v>
      </c>
      <c r="R1096" s="379" t="s">
        <v>42</v>
      </c>
      <c r="S1096" s="388" t="s">
        <v>41</v>
      </c>
      <c r="T1096" s="388">
        <v>17</v>
      </c>
      <c r="U1096" s="389" t="s">
        <v>164</v>
      </c>
      <c r="V1096" s="433"/>
      <c r="X1096" s="386">
        <v>0</v>
      </c>
      <c r="Y1096" s="386"/>
      <c r="AJ1096" s="390">
        <v>0</v>
      </c>
    </row>
    <row r="1097" spans="1:77" s="291" customFormat="1" ht="11.25" customHeight="1">
      <c r="A1097" s="291" t="s">
        <v>3893</v>
      </c>
      <c r="B1097" s="310" t="s">
        <v>291</v>
      </c>
      <c r="C1097" s="292">
        <v>44693</v>
      </c>
      <c r="D1097" s="292">
        <v>44695</v>
      </c>
      <c r="E1097" s="293" t="s">
        <v>1040</v>
      </c>
      <c r="F1097" s="291" t="s">
        <v>1041</v>
      </c>
      <c r="G1097" s="294">
        <v>4627</v>
      </c>
      <c r="H1097" s="291" t="s">
        <v>183</v>
      </c>
      <c r="I1097" s="291" t="s">
        <v>33</v>
      </c>
      <c r="J1097" s="296">
        <v>8725.74</v>
      </c>
      <c r="L1097" s="296">
        <v>9.9700000000000006</v>
      </c>
      <c r="M1097" s="296">
        <v>6.96</v>
      </c>
      <c r="N1097" s="297">
        <v>203.05</v>
      </c>
      <c r="O1097" s="298">
        <v>0.2</v>
      </c>
      <c r="P1097" s="298"/>
      <c r="Q1097" s="297">
        <v>203.05</v>
      </c>
      <c r="R1097" s="291" t="s">
        <v>128</v>
      </c>
      <c r="S1097" s="299" t="s">
        <v>41</v>
      </c>
      <c r="T1097" s="299">
        <v>86</v>
      </c>
      <c r="U1097" s="300" t="s">
        <v>164</v>
      </c>
      <c r="V1097" s="333"/>
      <c r="X1097" s="297">
        <v>203.05</v>
      </c>
      <c r="Y1097" s="297"/>
      <c r="AH1097" s="297">
        <f>X1097</f>
        <v>203.05</v>
      </c>
      <c r="AI1097" s="311"/>
      <c r="AJ1097" s="468"/>
    </row>
    <row r="1098" spans="1:77" s="205" customFormat="1" ht="11.25" customHeight="1">
      <c r="B1098" s="206" t="s">
        <v>291</v>
      </c>
      <c r="C1098" s="207">
        <v>44695</v>
      </c>
      <c r="D1098" s="207">
        <v>44695</v>
      </c>
      <c r="E1098" s="208" t="s">
        <v>1042</v>
      </c>
      <c r="F1098" s="205" t="s">
        <v>301</v>
      </c>
      <c r="G1098" s="209">
        <v>3849</v>
      </c>
      <c r="H1098" s="205" t="s">
        <v>99</v>
      </c>
      <c r="I1098" s="205" t="s">
        <v>33</v>
      </c>
      <c r="J1098" s="210">
        <v>15903</v>
      </c>
      <c r="L1098" s="210">
        <v>14.25</v>
      </c>
      <c r="M1098" s="210">
        <v>14.25</v>
      </c>
      <c r="N1098" s="213">
        <f>1081.4+383.35+216.5+528.98+393.95</f>
        <v>2604.1799999999998</v>
      </c>
      <c r="O1098" s="212">
        <v>0.2</v>
      </c>
      <c r="P1098" s="212"/>
      <c r="Q1098" s="213">
        <v>0</v>
      </c>
      <c r="R1098" s="205" t="s">
        <v>142</v>
      </c>
      <c r="S1098" s="214" t="s">
        <v>41</v>
      </c>
      <c r="T1098" s="214">
        <v>16</v>
      </c>
      <c r="U1098" s="215" t="s">
        <v>164</v>
      </c>
      <c r="V1098" s="438"/>
      <c r="X1098" s="213">
        <v>0</v>
      </c>
      <c r="Y1098" s="213"/>
      <c r="AF1098" s="230">
        <f>X1098</f>
        <v>0</v>
      </c>
      <c r="AJ1098" s="216"/>
    </row>
    <row r="1099" spans="1:77" s="205" customFormat="1" ht="11.25" customHeight="1">
      <c r="B1099" s="206" t="s">
        <v>291</v>
      </c>
      <c r="C1099" s="207"/>
      <c r="D1099" s="207"/>
      <c r="E1099" s="208" t="s">
        <v>1042</v>
      </c>
      <c r="F1099" s="205" t="s">
        <v>301</v>
      </c>
      <c r="G1099" s="209">
        <v>3849</v>
      </c>
      <c r="H1099" s="205" t="s">
        <v>99</v>
      </c>
      <c r="I1099" s="205" t="s">
        <v>33</v>
      </c>
      <c r="J1099" s="210">
        <v>5624.64</v>
      </c>
      <c r="L1099" s="210">
        <v>5.04</v>
      </c>
      <c r="M1099" s="210">
        <v>5.04</v>
      </c>
      <c r="N1099" s="213">
        <f>502.2+1084.75</f>
        <v>1586.95</v>
      </c>
      <c r="O1099" s="212">
        <v>0.2</v>
      </c>
      <c r="P1099" s="212"/>
      <c r="Q1099" s="230">
        <v>1442.45</v>
      </c>
      <c r="R1099" s="205" t="s">
        <v>142</v>
      </c>
      <c r="S1099" s="214" t="s">
        <v>41</v>
      </c>
      <c r="T1099" s="214">
        <v>17</v>
      </c>
      <c r="U1099" s="215" t="s">
        <v>164</v>
      </c>
      <c r="V1099" s="438"/>
      <c r="X1099" s="213">
        <v>1442.45</v>
      </c>
      <c r="Y1099" s="213"/>
      <c r="AF1099" s="230">
        <f>X1099</f>
        <v>1442.45</v>
      </c>
      <c r="AJ1099" s="216"/>
    </row>
    <row r="1100" spans="1:77" s="153" customFormat="1" ht="11.25" customHeight="1">
      <c r="B1100" s="154" t="s">
        <v>291</v>
      </c>
      <c r="C1100" s="155"/>
      <c r="D1100" s="155"/>
      <c r="E1100" s="156" t="s">
        <v>1042</v>
      </c>
      <c r="F1100" s="153" t="s">
        <v>301</v>
      </c>
      <c r="G1100" s="157">
        <v>3849</v>
      </c>
      <c r="H1100" s="153" t="s">
        <v>27</v>
      </c>
      <c r="I1100" s="153" t="s">
        <v>33</v>
      </c>
      <c r="J1100" s="158">
        <v>8530.7000000000007</v>
      </c>
      <c r="L1100" s="158">
        <v>6.47</v>
      </c>
      <c r="M1100" s="158">
        <v>6.47</v>
      </c>
      <c r="N1100" s="159"/>
      <c r="O1100" s="160">
        <v>0.2</v>
      </c>
      <c r="P1100" s="160"/>
      <c r="Q1100" s="159">
        <v>0</v>
      </c>
      <c r="R1100" s="153" t="s">
        <v>142</v>
      </c>
      <c r="S1100" s="161" t="s">
        <v>41</v>
      </c>
      <c r="T1100" s="161">
        <v>16</v>
      </c>
      <c r="U1100" s="162" t="s">
        <v>164</v>
      </c>
      <c r="V1100" s="435"/>
      <c r="X1100" s="159">
        <v>0</v>
      </c>
      <c r="Y1100" s="159"/>
      <c r="AD1100" s="176">
        <f>X1100</f>
        <v>0</v>
      </c>
      <c r="AJ1100" s="644"/>
    </row>
    <row r="1101" spans="1:77" s="205" customFormat="1" ht="11.25" customHeight="1">
      <c r="B1101" s="206" t="s">
        <v>291</v>
      </c>
      <c r="C1101" s="207">
        <v>44696</v>
      </c>
      <c r="D1101" s="207">
        <v>44696</v>
      </c>
      <c r="E1101" s="208" t="s">
        <v>1043</v>
      </c>
      <c r="F1101" s="205" t="s">
        <v>481</v>
      </c>
      <c r="G1101" s="209" t="s">
        <v>482</v>
      </c>
      <c r="H1101" s="205" t="s">
        <v>27</v>
      </c>
      <c r="I1101" s="205" t="s">
        <v>33</v>
      </c>
      <c r="J1101" s="210">
        <v>13505</v>
      </c>
      <c r="L1101" s="210">
        <v>9.25</v>
      </c>
      <c r="M1101" s="210">
        <v>9.25</v>
      </c>
      <c r="N1101" s="213"/>
      <c r="O1101" s="212">
        <v>0.25</v>
      </c>
      <c r="P1101" s="212"/>
      <c r="Q1101" s="213">
        <v>0</v>
      </c>
      <c r="R1101" s="205" t="s">
        <v>77</v>
      </c>
      <c r="S1101" s="214" t="s">
        <v>41</v>
      </c>
      <c r="T1101" s="214">
        <v>17</v>
      </c>
      <c r="U1101" s="215" t="s">
        <v>164</v>
      </c>
      <c r="V1101" s="438"/>
      <c r="X1101" s="213">
        <v>0</v>
      </c>
      <c r="Y1101" s="213"/>
      <c r="AF1101" s="230">
        <f>X1101</f>
        <v>0</v>
      </c>
      <c r="AJ1101" s="216"/>
    </row>
    <row r="1102" spans="1:77" s="205" customFormat="1" ht="11.25" customHeight="1">
      <c r="B1102" s="206" t="s">
        <v>291</v>
      </c>
      <c r="C1102" s="207"/>
      <c r="D1102" s="207"/>
      <c r="E1102" s="208" t="s">
        <v>1043</v>
      </c>
      <c r="F1102" s="205" t="s">
        <v>481</v>
      </c>
      <c r="G1102" s="209" t="s">
        <v>482</v>
      </c>
      <c r="H1102" s="205" t="s">
        <v>99</v>
      </c>
      <c r="I1102" s="205" t="s">
        <v>33</v>
      </c>
      <c r="J1102" s="210">
        <v>9105</v>
      </c>
      <c r="L1102" s="210">
        <v>7.5</v>
      </c>
      <c r="M1102" s="210">
        <v>7.5</v>
      </c>
      <c r="N1102" s="213"/>
      <c r="O1102" s="212">
        <v>0.25</v>
      </c>
      <c r="P1102" s="212"/>
      <c r="Q1102" s="213">
        <v>0</v>
      </c>
      <c r="R1102" s="205" t="s">
        <v>77</v>
      </c>
      <c r="S1102" s="214" t="s">
        <v>41</v>
      </c>
      <c r="T1102" s="214">
        <v>17</v>
      </c>
      <c r="U1102" s="215" t="s">
        <v>164</v>
      </c>
      <c r="V1102" s="438"/>
      <c r="W1102" s="205" t="s">
        <v>3247</v>
      </c>
      <c r="X1102" s="213">
        <v>0</v>
      </c>
      <c r="Y1102" s="213"/>
      <c r="AF1102" s="230">
        <f>X1102</f>
        <v>0</v>
      </c>
      <c r="AJ1102" s="216"/>
    </row>
    <row r="1103" spans="1:77" s="473" customFormat="1" ht="11.25" customHeight="1">
      <c r="B1103" s="486" t="s">
        <v>291</v>
      </c>
      <c r="C1103" s="487">
        <v>44696</v>
      </c>
      <c r="D1103" s="487">
        <v>44696</v>
      </c>
      <c r="E1103" s="488" t="s">
        <v>1044</v>
      </c>
      <c r="F1103" s="473" t="s">
        <v>637</v>
      </c>
      <c r="G1103" s="489">
        <v>4250</v>
      </c>
      <c r="H1103" s="473" t="s">
        <v>528</v>
      </c>
      <c r="I1103" s="473" t="s">
        <v>33</v>
      </c>
      <c r="J1103" s="490">
        <v>47419.37</v>
      </c>
      <c r="L1103" s="490">
        <v>40.4</v>
      </c>
      <c r="M1103" s="490">
        <v>18.190000000000001</v>
      </c>
      <c r="N1103" s="492">
        <v>2154.2417</v>
      </c>
      <c r="O1103" s="493">
        <v>0.2</v>
      </c>
      <c r="P1103" s="493"/>
      <c r="Q1103" s="492">
        <v>12544.32</v>
      </c>
      <c r="R1103" s="473" t="s">
        <v>42</v>
      </c>
      <c r="S1103" s="481" t="s">
        <v>41</v>
      </c>
      <c r="T1103" s="481">
        <v>86</v>
      </c>
      <c r="U1103" s="494" t="s">
        <v>164</v>
      </c>
      <c r="V1103" s="495"/>
      <c r="X1103" s="492">
        <v>12544.32</v>
      </c>
      <c r="Y1103" s="492"/>
      <c r="AJ1103" s="485"/>
      <c r="AK1103" s="505">
        <v>12544.32</v>
      </c>
    </row>
    <row r="1104" spans="1:77" s="473" customFormat="1" ht="11.25" customHeight="1">
      <c r="B1104" s="486" t="s">
        <v>291</v>
      </c>
      <c r="C1104" s="487"/>
      <c r="D1104" s="487"/>
      <c r="E1104" s="488" t="s">
        <v>1044</v>
      </c>
      <c r="F1104" s="473" t="s">
        <v>637</v>
      </c>
      <c r="G1104" s="489">
        <v>4250</v>
      </c>
      <c r="H1104" s="473" t="s">
        <v>1018</v>
      </c>
      <c r="I1104" s="473" t="s">
        <v>33</v>
      </c>
      <c r="J1104" s="490">
        <v>29699.279999999999</v>
      </c>
      <c r="L1104" s="490">
        <v>31.73</v>
      </c>
      <c r="M1104" s="490">
        <v>30.09</v>
      </c>
      <c r="N1104" s="492">
        <v>2816.424</v>
      </c>
      <c r="O1104" s="493">
        <v>0.2</v>
      </c>
      <c r="P1104" s="493"/>
      <c r="Q1104" s="492">
        <v>7451.79</v>
      </c>
      <c r="R1104" s="473" t="s">
        <v>42</v>
      </c>
      <c r="S1104" s="481" t="s">
        <v>41</v>
      </c>
      <c r="T1104" s="481">
        <v>86</v>
      </c>
      <c r="U1104" s="494" t="s">
        <v>164</v>
      </c>
      <c r="V1104" s="495"/>
      <c r="X1104" s="492">
        <v>7451.79</v>
      </c>
      <c r="Y1104" s="492"/>
      <c r="AJ1104" s="485"/>
      <c r="AK1104" s="505">
        <v>7451.79</v>
      </c>
    </row>
    <row r="1105" spans="1:77" s="291" customFormat="1" ht="11.25" customHeight="1">
      <c r="A1105" s="291" t="s">
        <v>3893</v>
      </c>
      <c r="B1105" s="310" t="s">
        <v>291</v>
      </c>
      <c r="C1105" s="292">
        <v>44694</v>
      </c>
      <c r="D1105" s="292">
        <v>44696</v>
      </c>
      <c r="E1105" s="293" t="s">
        <v>1045</v>
      </c>
      <c r="F1105" s="291" t="s">
        <v>1046</v>
      </c>
      <c r="G1105" s="294" t="s">
        <v>1047</v>
      </c>
      <c r="H1105" s="291" t="s">
        <v>192</v>
      </c>
      <c r="I1105" s="291" t="s">
        <v>888</v>
      </c>
      <c r="J1105" s="296">
        <v>82865.440000000002</v>
      </c>
      <c r="L1105" s="296">
        <v>67.48</v>
      </c>
      <c r="M1105" s="296">
        <v>67.48</v>
      </c>
      <c r="N1105" s="297">
        <f>3726+6661+10756+3604</f>
        <v>24747</v>
      </c>
      <c r="O1105" s="298">
        <v>0.2</v>
      </c>
      <c r="P1105" s="298"/>
      <c r="Q1105" s="297">
        <v>3248.51</v>
      </c>
      <c r="R1105" s="291" t="s">
        <v>146</v>
      </c>
      <c r="S1105" s="299" t="s">
        <v>74</v>
      </c>
      <c r="T1105" s="299">
        <v>32</v>
      </c>
      <c r="U1105" s="300" t="s">
        <v>164</v>
      </c>
      <c r="V1105" s="333"/>
      <c r="X1105" s="297">
        <v>3248.51</v>
      </c>
      <c r="Y1105" s="297"/>
      <c r="AH1105" s="297">
        <f>X1105</f>
        <v>3248.51</v>
      </c>
      <c r="AI1105" s="311"/>
      <c r="AJ1105" s="468"/>
    </row>
    <row r="1106" spans="1:77" s="291" customFormat="1" ht="11.25" customHeight="1">
      <c r="A1106" s="291" t="s">
        <v>3893</v>
      </c>
      <c r="B1106" s="310" t="s">
        <v>291</v>
      </c>
      <c r="C1106" s="292"/>
      <c r="D1106" s="292"/>
      <c r="E1106" s="293" t="s">
        <v>1045</v>
      </c>
      <c r="F1106" s="291" t="s">
        <v>1046</v>
      </c>
      <c r="G1106" s="294" t="s">
        <v>1047</v>
      </c>
      <c r="H1106" s="291" t="s">
        <v>684</v>
      </c>
      <c r="I1106" s="291" t="s">
        <v>888</v>
      </c>
      <c r="J1106" s="296">
        <v>14222.34</v>
      </c>
      <c r="L1106" s="296">
        <v>13.06</v>
      </c>
      <c r="M1106" s="296">
        <v>13.06</v>
      </c>
      <c r="N1106" s="297">
        <v>5488</v>
      </c>
      <c r="O1106" s="298">
        <v>0.2</v>
      </c>
      <c r="P1106" s="298"/>
      <c r="Q1106" s="297">
        <v>7591.01</v>
      </c>
      <c r="R1106" s="291" t="s">
        <v>146</v>
      </c>
      <c r="S1106" s="299" t="s">
        <v>74</v>
      </c>
      <c r="T1106" s="299">
        <v>32</v>
      </c>
      <c r="U1106" s="300" t="s">
        <v>164</v>
      </c>
      <c r="V1106" s="333"/>
      <c r="X1106" s="297">
        <v>7591.01</v>
      </c>
      <c r="Y1106" s="297"/>
      <c r="AH1106" s="297">
        <f>X1106</f>
        <v>7591.01</v>
      </c>
      <c r="AI1106" s="311"/>
      <c r="AJ1106" s="468"/>
    </row>
    <row r="1107" spans="1:77" s="6" customFormat="1" ht="11.25" customHeight="1">
      <c r="A1107" s="379"/>
      <c r="B1107" s="380" t="s">
        <v>291</v>
      </c>
      <c r="C1107" s="381">
        <v>44682</v>
      </c>
      <c r="D1107" s="381">
        <v>44696</v>
      </c>
      <c r="E1107" s="382" t="s">
        <v>1048</v>
      </c>
      <c r="F1107" s="379" t="s">
        <v>588</v>
      </c>
      <c r="G1107" s="383">
        <v>4500</v>
      </c>
      <c r="H1107" s="379" t="s">
        <v>510</v>
      </c>
      <c r="I1107" s="379" t="s">
        <v>33</v>
      </c>
      <c r="J1107" s="385">
        <v>51229.64</v>
      </c>
      <c r="K1107" s="379"/>
      <c r="L1107" s="385">
        <v>49.16</v>
      </c>
      <c r="M1107" s="385">
        <v>49.16</v>
      </c>
      <c r="N1107" s="386"/>
      <c r="O1107" s="387">
        <v>0.2</v>
      </c>
      <c r="P1107" s="387"/>
      <c r="Q1107" s="386">
        <v>0</v>
      </c>
      <c r="R1107" s="379" t="s">
        <v>35</v>
      </c>
      <c r="S1107" s="388" t="s">
        <v>41</v>
      </c>
      <c r="T1107" s="388">
        <v>86</v>
      </c>
      <c r="U1107" s="389" t="s">
        <v>164</v>
      </c>
      <c r="V1107" s="433"/>
      <c r="W1107" s="379"/>
      <c r="X1107" s="386">
        <v>0</v>
      </c>
      <c r="Y1107" s="386"/>
      <c r="Z1107" s="379"/>
      <c r="AA1107" s="379"/>
      <c r="AB1107" s="379"/>
      <c r="AC1107" s="379"/>
      <c r="AD1107" s="379"/>
      <c r="AE1107" s="379"/>
      <c r="AF1107" s="379"/>
      <c r="AG1107" s="379"/>
      <c r="AH1107" s="396"/>
      <c r="AI1107" s="379"/>
      <c r="AJ1107" s="390">
        <v>0</v>
      </c>
      <c r="AK1107" s="379"/>
      <c r="AL1107" s="379"/>
      <c r="AM1107" s="379"/>
      <c r="AN1107" s="379"/>
      <c r="AO1107" s="379"/>
      <c r="AP1107" s="379"/>
      <c r="AQ1107" s="379"/>
      <c r="AR1107" s="379"/>
      <c r="AS1107" s="379"/>
      <c r="AT1107" s="379"/>
      <c r="AU1107" s="379"/>
      <c r="AV1107" s="379"/>
      <c r="AW1107" s="379"/>
      <c r="AX1107" s="379"/>
      <c r="AY1107" s="379"/>
      <c r="AZ1107" s="379"/>
      <c r="BA1107" s="379"/>
      <c r="BB1107" s="379"/>
      <c r="BC1107" s="379"/>
      <c r="BD1107" s="379"/>
      <c r="BE1107" s="379"/>
      <c r="BF1107" s="379"/>
      <c r="BG1107" s="379"/>
      <c r="BH1107" s="379"/>
      <c r="BI1107" s="379"/>
      <c r="BJ1107" s="379"/>
      <c r="BK1107" s="379"/>
      <c r="BL1107" s="379"/>
      <c r="BM1107" s="379"/>
      <c r="BN1107" s="379"/>
      <c r="BO1107" s="379"/>
      <c r="BP1107" s="379"/>
      <c r="BQ1107" s="379"/>
      <c r="BR1107" s="379"/>
      <c r="BS1107" s="379"/>
      <c r="BT1107" s="379"/>
      <c r="BU1107" s="379"/>
      <c r="BV1107" s="379"/>
      <c r="BW1107" s="379"/>
      <c r="BX1107" s="379"/>
      <c r="BY1107" s="379"/>
    </row>
    <row r="1108" spans="1:77" s="6" customFormat="1" ht="11.25" customHeight="1">
      <c r="A1108" s="379"/>
      <c r="B1108" s="380" t="s">
        <v>291</v>
      </c>
      <c r="C1108" s="381"/>
      <c r="D1108" s="381"/>
      <c r="E1108" s="382" t="s">
        <v>1048</v>
      </c>
      <c r="F1108" s="379" t="s">
        <v>588</v>
      </c>
      <c r="G1108" s="383">
        <v>4500</v>
      </c>
      <c r="H1108" s="379" t="s">
        <v>27</v>
      </c>
      <c r="I1108" s="379" t="s">
        <v>33</v>
      </c>
      <c r="J1108" s="385">
        <v>32717.52</v>
      </c>
      <c r="K1108" s="379"/>
      <c r="L1108" s="385">
        <v>26.73</v>
      </c>
      <c r="M1108" s="385">
        <v>26.73</v>
      </c>
      <c r="N1108" s="386"/>
      <c r="O1108" s="387">
        <v>0.2</v>
      </c>
      <c r="P1108" s="387"/>
      <c r="Q1108" s="386">
        <v>0</v>
      </c>
      <c r="R1108" s="379" t="s">
        <v>35</v>
      </c>
      <c r="S1108" s="388" t="s">
        <v>41</v>
      </c>
      <c r="T1108" s="388">
        <v>86</v>
      </c>
      <c r="U1108" s="389" t="s">
        <v>164</v>
      </c>
      <c r="V1108" s="433"/>
      <c r="W1108" s="379"/>
      <c r="X1108" s="396">
        <v>0</v>
      </c>
      <c r="Y1108" s="386"/>
      <c r="Z1108" s="379"/>
      <c r="AA1108" s="379"/>
      <c r="AB1108" s="379"/>
      <c r="AC1108" s="379"/>
      <c r="AD1108" s="379"/>
      <c r="AE1108" s="379"/>
      <c r="AF1108" s="379"/>
      <c r="AG1108" s="379"/>
      <c r="AH1108" s="396"/>
      <c r="AI1108" s="379"/>
      <c r="AJ1108" s="390">
        <v>0</v>
      </c>
      <c r="AK1108" s="379"/>
      <c r="AL1108" s="379"/>
      <c r="AM1108" s="379"/>
      <c r="AN1108" s="379"/>
      <c r="AO1108" s="379"/>
      <c r="AP1108" s="379"/>
      <c r="AQ1108" s="379"/>
      <c r="AR1108" s="379"/>
      <c r="AS1108" s="379"/>
      <c r="AT1108" s="379"/>
      <c r="AU1108" s="379"/>
      <c r="AV1108" s="379"/>
      <c r="AW1108" s="379"/>
      <c r="AX1108" s="379"/>
      <c r="AY1108" s="379"/>
      <c r="AZ1108" s="379"/>
      <c r="BA1108" s="379"/>
      <c r="BB1108" s="379"/>
      <c r="BC1108" s="379"/>
      <c r="BD1108" s="379"/>
      <c r="BE1108" s="379"/>
      <c r="BF1108" s="379"/>
      <c r="BG1108" s="379"/>
      <c r="BH1108" s="379"/>
      <c r="BI1108" s="379"/>
      <c r="BJ1108" s="379"/>
      <c r="BK1108" s="379"/>
      <c r="BL1108" s="379"/>
      <c r="BM1108" s="379"/>
      <c r="BN1108" s="379"/>
      <c r="BO1108" s="379"/>
      <c r="BP1108" s="379"/>
      <c r="BQ1108" s="379"/>
      <c r="BR1108" s="379"/>
      <c r="BS1108" s="379"/>
      <c r="BT1108" s="379"/>
      <c r="BU1108" s="379"/>
      <c r="BV1108" s="379"/>
      <c r="BW1108" s="379"/>
      <c r="BX1108" s="379"/>
      <c r="BY1108" s="379"/>
    </row>
    <row r="1109" spans="1:77" s="6" customFormat="1" ht="11.25" customHeight="1">
      <c r="A1109" s="379"/>
      <c r="B1109" s="380" t="s">
        <v>291</v>
      </c>
      <c r="C1109" s="381"/>
      <c r="D1109" s="381"/>
      <c r="E1109" s="382" t="s">
        <v>1048</v>
      </c>
      <c r="F1109" s="379" t="s">
        <v>588</v>
      </c>
      <c r="G1109" s="383">
        <v>4500</v>
      </c>
      <c r="H1109" s="379" t="s">
        <v>1049</v>
      </c>
      <c r="I1109" s="379" t="s">
        <v>33</v>
      </c>
      <c r="J1109" s="385">
        <v>10997.91</v>
      </c>
      <c r="K1109" s="379"/>
      <c r="L1109" s="385">
        <v>10.58</v>
      </c>
      <c r="M1109" s="385">
        <v>10.58</v>
      </c>
      <c r="N1109" s="386"/>
      <c r="O1109" s="387">
        <v>0.2</v>
      </c>
      <c r="P1109" s="387"/>
      <c r="Q1109" s="386">
        <v>0</v>
      </c>
      <c r="R1109" s="379" t="s">
        <v>35</v>
      </c>
      <c r="S1109" s="388" t="s">
        <v>41</v>
      </c>
      <c r="T1109" s="388">
        <v>86</v>
      </c>
      <c r="U1109" s="389" t="s">
        <v>164</v>
      </c>
      <c r="V1109" s="433"/>
      <c r="W1109" s="379"/>
      <c r="X1109" s="386">
        <v>0</v>
      </c>
      <c r="Y1109" s="386"/>
      <c r="Z1109" s="379"/>
      <c r="AA1109" s="379"/>
      <c r="AB1109" s="379"/>
      <c r="AC1109" s="379"/>
      <c r="AD1109" s="379"/>
      <c r="AE1109" s="379"/>
      <c r="AF1109" s="379"/>
      <c r="AG1109" s="379"/>
      <c r="AH1109" s="379"/>
      <c r="AI1109" s="379"/>
      <c r="AJ1109" s="390">
        <v>0</v>
      </c>
      <c r="AK1109" s="379"/>
      <c r="AL1109" s="379"/>
      <c r="AM1109" s="379"/>
      <c r="AN1109" s="379"/>
      <c r="AO1109" s="379"/>
      <c r="AP1109" s="379"/>
      <c r="AQ1109" s="379"/>
      <c r="AR1109" s="379"/>
      <c r="AS1109" s="379"/>
      <c r="AT1109" s="379"/>
      <c r="AU1109" s="379"/>
      <c r="AV1109" s="379"/>
      <c r="AW1109" s="379"/>
      <c r="AX1109" s="379"/>
      <c r="AY1109" s="379"/>
      <c r="AZ1109" s="379"/>
      <c r="BA1109" s="379"/>
      <c r="BB1109" s="379"/>
      <c r="BC1109" s="379"/>
      <c r="BD1109" s="379"/>
      <c r="BE1109" s="379"/>
      <c r="BF1109" s="379"/>
      <c r="BG1109" s="379"/>
      <c r="BH1109" s="379"/>
      <c r="BI1109" s="379"/>
      <c r="BJ1109" s="379"/>
      <c r="BK1109" s="379"/>
      <c r="BL1109" s="379"/>
      <c r="BM1109" s="379"/>
      <c r="BN1109" s="379"/>
      <c r="BO1109" s="379"/>
      <c r="BP1109" s="379"/>
      <c r="BQ1109" s="379"/>
      <c r="BR1109" s="379"/>
      <c r="BS1109" s="379"/>
      <c r="BT1109" s="379"/>
      <c r="BU1109" s="379"/>
      <c r="BV1109" s="379"/>
      <c r="BW1109" s="379"/>
      <c r="BX1109" s="379"/>
      <c r="BY1109" s="379"/>
    </row>
    <row r="1110" spans="1:77" s="6" customFormat="1" ht="11.25" customHeight="1">
      <c r="A1110" s="379"/>
      <c r="B1110" s="380" t="s">
        <v>291</v>
      </c>
      <c r="C1110" s="381"/>
      <c r="D1110" s="381"/>
      <c r="E1110" s="382" t="s">
        <v>1048</v>
      </c>
      <c r="F1110" s="379" t="s">
        <v>588</v>
      </c>
      <c r="G1110" s="383">
        <v>4500</v>
      </c>
      <c r="H1110" s="379" t="s">
        <v>731</v>
      </c>
      <c r="I1110" s="379" t="s">
        <v>33</v>
      </c>
      <c r="J1110" s="385">
        <v>69094.259999999995</v>
      </c>
      <c r="K1110" s="379"/>
      <c r="L1110" s="385">
        <v>43.13</v>
      </c>
      <c r="M1110" s="385">
        <v>43.16</v>
      </c>
      <c r="N1110" s="386"/>
      <c r="O1110" s="387">
        <v>0.2</v>
      </c>
      <c r="P1110" s="387"/>
      <c r="Q1110" s="386">
        <v>0</v>
      </c>
      <c r="R1110" s="379" t="s">
        <v>35</v>
      </c>
      <c r="S1110" s="388" t="s">
        <v>41</v>
      </c>
      <c r="T1110" s="388">
        <v>86</v>
      </c>
      <c r="U1110" s="389" t="s">
        <v>164</v>
      </c>
      <c r="V1110" s="433"/>
      <c r="W1110" s="379"/>
      <c r="X1110" s="386">
        <v>0</v>
      </c>
      <c r="Y1110" s="386"/>
      <c r="Z1110" s="379"/>
      <c r="AA1110" s="379"/>
      <c r="AB1110" s="379"/>
      <c r="AC1110" s="379"/>
      <c r="AD1110" s="379"/>
      <c r="AE1110" s="379"/>
      <c r="AF1110" s="379"/>
      <c r="AG1110" s="379"/>
      <c r="AH1110" s="379"/>
      <c r="AI1110" s="379"/>
      <c r="AJ1110" s="390">
        <v>0</v>
      </c>
      <c r="AK1110" s="379"/>
      <c r="AL1110" s="379"/>
      <c r="AM1110" s="379"/>
      <c r="AN1110" s="379"/>
      <c r="AO1110" s="379"/>
      <c r="AP1110" s="379"/>
      <c r="AQ1110" s="379"/>
      <c r="AR1110" s="379"/>
      <c r="AS1110" s="379"/>
      <c r="AT1110" s="379"/>
      <c r="AU1110" s="379"/>
      <c r="AV1110" s="379"/>
      <c r="AW1110" s="379"/>
      <c r="AX1110" s="379"/>
      <c r="AY1110" s="379"/>
      <c r="AZ1110" s="379"/>
      <c r="BA1110" s="379"/>
      <c r="BB1110" s="379"/>
      <c r="BC1110" s="379"/>
      <c r="BD1110" s="379"/>
      <c r="BE1110" s="379"/>
      <c r="BF1110" s="379"/>
      <c r="BG1110" s="379"/>
      <c r="BH1110" s="379"/>
      <c r="BI1110" s="379"/>
      <c r="BJ1110" s="379"/>
      <c r="BK1110" s="379"/>
      <c r="BL1110" s="379"/>
      <c r="BM1110" s="379"/>
      <c r="BN1110" s="379"/>
      <c r="BO1110" s="379"/>
      <c r="BP1110" s="379"/>
      <c r="BQ1110" s="379"/>
      <c r="BR1110" s="379"/>
      <c r="BS1110" s="379"/>
      <c r="BT1110" s="379"/>
      <c r="BU1110" s="379"/>
      <c r="BV1110" s="379"/>
      <c r="BW1110" s="379"/>
      <c r="BX1110" s="379"/>
      <c r="BY1110" s="379"/>
    </row>
    <row r="1111" spans="1:77" s="6" customFormat="1" ht="11.25" customHeight="1">
      <c r="A1111" s="379"/>
      <c r="B1111" s="380" t="s">
        <v>291</v>
      </c>
      <c r="C1111" s="381"/>
      <c r="D1111" s="381"/>
      <c r="E1111" s="382" t="s">
        <v>1048</v>
      </c>
      <c r="F1111" s="379" t="s">
        <v>588</v>
      </c>
      <c r="G1111" s="383">
        <v>4500</v>
      </c>
      <c r="H1111" s="379" t="s">
        <v>765</v>
      </c>
      <c r="I1111" s="379" t="s">
        <v>33</v>
      </c>
      <c r="J1111" s="385">
        <v>43397.42</v>
      </c>
      <c r="K1111" s="379"/>
      <c r="L1111" s="385">
        <v>41.39</v>
      </c>
      <c r="M1111" s="385">
        <v>41.39</v>
      </c>
      <c r="N1111" s="386"/>
      <c r="O1111" s="387">
        <v>0.2</v>
      </c>
      <c r="P1111" s="387"/>
      <c r="Q1111" s="386">
        <v>0</v>
      </c>
      <c r="R1111" s="379" t="s">
        <v>35</v>
      </c>
      <c r="S1111" s="388" t="s">
        <v>41</v>
      </c>
      <c r="T1111" s="388">
        <v>86</v>
      </c>
      <c r="U1111" s="389" t="s">
        <v>164</v>
      </c>
      <c r="V1111" s="433"/>
      <c r="W1111" s="379"/>
      <c r="X1111" s="386">
        <v>0</v>
      </c>
      <c r="Y1111" s="386"/>
      <c r="Z1111" s="379"/>
      <c r="AA1111" s="379"/>
      <c r="AB1111" s="379"/>
      <c r="AC1111" s="379"/>
      <c r="AD1111" s="379"/>
      <c r="AE1111" s="379"/>
      <c r="AF1111" s="379"/>
      <c r="AG1111" s="379"/>
      <c r="AH1111" s="379"/>
      <c r="AI1111" s="379"/>
      <c r="AJ1111" s="390">
        <v>0</v>
      </c>
      <c r="AK1111" s="379"/>
      <c r="AL1111" s="379"/>
      <c r="AM1111" s="379"/>
      <c r="AN1111" s="379"/>
      <c r="AO1111" s="379"/>
      <c r="AP1111" s="379"/>
      <c r="AQ1111" s="379"/>
      <c r="AR1111" s="379"/>
      <c r="AS1111" s="379"/>
      <c r="AT1111" s="379"/>
      <c r="AU1111" s="379"/>
      <c r="AV1111" s="379"/>
      <c r="AW1111" s="379"/>
      <c r="AX1111" s="379"/>
      <c r="AY1111" s="379"/>
      <c r="AZ1111" s="379"/>
      <c r="BA1111" s="379"/>
      <c r="BB1111" s="379"/>
      <c r="BC1111" s="379"/>
      <c r="BD1111" s="379"/>
      <c r="BE1111" s="379"/>
      <c r="BF1111" s="379"/>
      <c r="BG1111" s="379"/>
      <c r="BH1111" s="379"/>
      <c r="BI1111" s="379"/>
      <c r="BJ1111" s="379"/>
      <c r="BK1111" s="379"/>
      <c r="BL1111" s="379"/>
      <c r="BM1111" s="379"/>
      <c r="BN1111" s="379"/>
      <c r="BO1111" s="379"/>
      <c r="BP1111" s="379"/>
      <c r="BQ1111" s="379"/>
      <c r="BR1111" s="379"/>
      <c r="BS1111" s="379"/>
      <c r="BT1111" s="379"/>
      <c r="BU1111" s="379"/>
      <c r="BV1111" s="379"/>
      <c r="BW1111" s="379"/>
      <c r="BX1111" s="379"/>
      <c r="BY1111" s="379"/>
    </row>
    <row r="1112" spans="1:77" s="6" customFormat="1" ht="11.25" customHeight="1">
      <c r="A1112" s="379"/>
      <c r="B1112" s="380" t="s">
        <v>291</v>
      </c>
      <c r="C1112" s="381">
        <v>44682</v>
      </c>
      <c r="D1112" s="381">
        <v>44696</v>
      </c>
      <c r="E1112" s="382" t="s">
        <v>1050</v>
      </c>
      <c r="F1112" s="379" t="s">
        <v>595</v>
      </c>
      <c r="G1112" s="383">
        <v>4507</v>
      </c>
      <c r="H1112" s="379" t="s">
        <v>99</v>
      </c>
      <c r="I1112" s="379" t="s">
        <v>33</v>
      </c>
      <c r="J1112" s="385">
        <v>31005.040000000001</v>
      </c>
      <c r="K1112" s="379"/>
      <c r="L1112" s="385">
        <v>30.86</v>
      </c>
      <c r="M1112" s="385">
        <v>30.86</v>
      </c>
      <c r="N1112" s="386"/>
      <c r="O1112" s="387">
        <v>0.15</v>
      </c>
      <c r="P1112" s="387"/>
      <c r="Q1112" s="386">
        <v>0</v>
      </c>
      <c r="R1112" s="379" t="s">
        <v>35</v>
      </c>
      <c r="S1112" s="388" t="s">
        <v>41</v>
      </c>
      <c r="T1112" s="388">
        <v>86</v>
      </c>
      <c r="U1112" s="389" t="s">
        <v>164</v>
      </c>
      <c r="V1112" s="433"/>
      <c r="W1112" s="379"/>
      <c r="X1112" s="386">
        <v>0</v>
      </c>
      <c r="Y1112" s="386"/>
      <c r="Z1112" s="379"/>
      <c r="AA1112" s="379"/>
      <c r="AB1112" s="379"/>
      <c r="AC1112" s="379"/>
      <c r="AD1112" s="379"/>
      <c r="AE1112" s="379"/>
      <c r="AF1112" s="379"/>
      <c r="AG1112" s="379"/>
      <c r="AH1112" s="379"/>
      <c r="AI1112" s="379"/>
      <c r="AJ1112" s="390">
        <v>0</v>
      </c>
      <c r="AK1112" s="379"/>
      <c r="AL1112" s="379"/>
      <c r="AM1112" s="379"/>
      <c r="AN1112" s="379"/>
      <c r="AO1112" s="379"/>
      <c r="AP1112" s="379"/>
      <c r="AQ1112" s="379"/>
      <c r="AR1112" s="379"/>
      <c r="AS1112" s="379"/>
      <c r="AT1112" s="379"/>
      <c r="AU1112" s="379"/>
      <c r="AV1112" s="379"/>
      <c r="AW1112" s="379"/>
      <c r="AX1112" s="379"/>
      <c r="AY1112" s="379"/>
      <c r="AZ1112" s="379"/>
      <c r="BA1112" s="379"/>
      <c r="BB1112" s="379"/>
      <c r="BC1112" s="379"/>
      <c r="BD1112" s="379"/>
      <c r="BE1112" s="379"/>
      <c r="BF1112" s="379"/>
      <c r="BG1112" s="379"/>
      <c r="BH1112" s="379"/>
      <c r="BI1112" s="379"/>
      <c r="BJ1112" s="379"/>
      <c r="BK1112" s="379"/>
      <c r="BL1112" s="379"/>
      <c r="BM1112" s="379"/>
      <c r="BN1112" s="379"/>
      <c r="BO1112" s="379"/>
      <c r="BP1112" s="379"/>
      <c r="BQ1112" s="379"/>
      <c r="BR1112" s="379"/>
      <c r="BS1112" s="379"/>
      <c r="BT1112" s="379"/>
      <c r="BU1112" s="379"/>
      <c r="BV1112" s="379"/>
      <c r="BW1112" s="379"/>
      <c r="BX1112" s="379"/>
      <c r="BY1112" s="379"/>
    </row>
    <row r="1113" spans="1:77" s="6" customFormat="1" ht="11.25" customHeight="1">
      <c r="A1113" s="379"/>
      <c r="B1113" s="380" t="s">
        <v>291</v>
      </c>
      <c r="C1113" s="381"/>
      <c r="D1113" s="381"/>
      <c r="E1113" s="382" t="s">
        <v>1050</v>
      </c>
      <c r="F1113" s="379" t="s">
        <v>595</v>
      </c>
      <c r="G1113" s="383">
        <v>4507</v>
      </c>
      <c r="H1113" s="379" t="s">
        <v>27</v>
      </c>
      <c r="I1113" s="379" t="s">
        <v>33</v>
      </c>
      <c r="J1113" s="385">
        <v>3207.6</v>
      </c>
      <c r="K1113" s="379"/>
      <c r="L1113" s="385">
        <v>2.16</v>
      </c>
      <c r="M1113" s="385">
        <v>2.16</v>
      </c>
      <c r="N1113" s="386"/>
      <c r="O1113" s="387">
        <v>0.15</v>
      </c>
      <c r="P1113" s="387"/>
      <c r="Q1113" s="386">
        <v>0</v>
      </c>
      <c r="R1113" s="379" t="s">
        <v>35</v>
      </c>
      <c r="S1113" s="388" t="s">
        <v>41</v>
      </c>
      <c r="T1113" s="388">
        <v>86</v>
      </c>
      <c r="U1113" s="389" t="s">
        <v>164</v>
      </c>
      <c r="V1113" s="433"/>
      <c r="W1113" s="379"/>
      <c r="X1113" s="386">
        <v>0</v>
      </c>
      <c r="Y1113" s="386"/>
      <c r="Z1113" s="379"/>
      <c r="AA1113" s="379"/>
      <c r="AB1113" s="379"/>
      <c r="AC1113" s="379"/>
      <c r="AD1113" s="379"/>
      <c r="AE1113" s="379"/>
      <c r="AF1113" s="379"/>
      <c r="AG1113" s="379"/>
      <c r="AH1113" s="379"/>
      <c r="AI1113" s="379"/>
      <c r="AJ1113" s="390">
        <v>0</v>
      </c>
      <c r="AK1113" s="379"/>
      <c r="AL1113" s="379"/>
      <c r="AM1113" s="379"/>
      <c r="AN1113" s="379"/>
      <c r="AO1113" s="379"/>
      <c r="AP1113" s="379"/>
      <c r="AQ1113" s="379"/>
      <c r="AR1113" s="379"/>
      <c r="AS1113" s="379"/>
      <c r="AT1113" s="379"/>
      <c r="AU1113" s="379"/>
      <c r="AV1113" s="379"/>
      <c r="AW1113" s="379"/>
      <c r="AX1113" s="379"/>
      <c r="AY1113" s="379"/>
      <c r="AZ1113" s="379"/>
      <c r="BA1113" s="379"/>
      <c r="BB1113" s="379"/>
      <c r="BC1113" s="379"/>
      <c r="BD1113" s="379"/>
      <c r="BE1113" s="379"/>
      <c r="BF1113" s="379"/>
      <c r="BG1113" s="379"/>
      <c r="BH1113" s="379"/>
      <c r="BI1113" s="379"/>
      <c r="BJ1113" s="379"/>
      <c r="BK1113" s="379"/>
      <c r="BL1113" s="379"/>
      <c r="BM1113" s="379"/>
      <c r="BN1113" s="379"/>
      <c r="BO1113" s="379"/>
      <c r="BP1113" s="379"/>
      <c r="BQ1113" s="379"/>
      <c r="BR1113" s="379"/>
      <c r="BS1113" s="379"/>
      <c r="BT1113" s="379"/>
      <c r="BU1113" s="379"/>
      <c r="BV1113" s="379"/>
      <c r="BW1113" s="379"/>
      <c r="BX1113" s="379"/>
      <c r="BY1113" s="379"/>
    </row>
    <row r="1114" spans="1:77" s="379" customFormat="1" ht="11.25" customHeight="1">
      <c r="A1114" s="473"/>
      <c r="B1114" s="486" t="s">
        <v>291</v>
      </c>
      <c r="C1114" s="487"/>
      <c r="D1114" s="487"/>
      <c r="E1114" s="488" t="s">
        <v>1051</v>
      </c>
      <c r="F1114" s="473" t="s">
        <v>441</v>
      </c>
      <c r="G1114" s="489">
        <v>4492</v>
      </c>
      <c r="H1114" s="473" t="s">
        <v>685</v>
      </c>
      <c r="I1114" s="473" t="s">
        <v>961</v>
      </c>
      <c r="J1114" s="490">
        <v>17316</v>
      </c>
      <c r="K1114" s="473"/>
      <c r="L1114" s="490">
        <v>14.43</v>
      </c>
      <c r="M1114" s="490">
        <v>14.43</v>
      </c>
      <c r="N1114" s="492">
        <v>4329</v>
      </c>
      <c r="O1114" s="493">
        <v>0.25</v>
      </c>
      <c r="P1114" s="493"/>
      <c r="Q1114" s="492">
        <v>5483.4</v>
      </c>
      <c r="R1114" s="473" t="s">
        <v>42</v>
      </c>
      <c r="S1114" s="481" t="s">
        <v>34</v>
      </c>
      <c r="T1114" s="481">
        <v>79</v>
      </c>
      <c r="U1114" s="494" t="s">
        <v>164</v>
      </c>
      <c r="V1114" s="495"/>
      <c r="W1114" s="473"/>
      <c r="X1114" s="492">
        <v>5483.4</v>
      </c>
      <c r="Y1114" s="492"/>
      <c r="Z1114" s="473"/>
      <c r="AA1114" s="473"/>
      <c r="AB1114" s="473"/>
      <c r="AC1114" s="473"/>
      <c r="AD1114" s="473"/>
      <c r="AE1114" s="473"/>
      <c r="AF1114" s="473"/>
      <c r="AG1114" s="473"/>
      <c r="AH1114" s="473"/>
      <c r="AI1114" s="473"/>
      <c r="AJ1114" s="485"/>
      <c r="AK1114" s="505">
        <v>5483.4</v>
      </c>
      <c r="AL1114" s="473"/>
      <c r="AM1114" s="473"/>
      <c r="AN1114" s="473"/>
      <c r="AO1114" s="473"/>
      <c r="AP1114" s="473"/>
      <c r="AQ1114" s="473"/>
      <c r="AR1114" s="473"/>
      <c r="AS1114" s="473"/>
      <c r="AT1114" s="473"/>
      <c r="AU1114" s="473"/>
      <c r="AV1114" s="473"/>
      <c r="AW1114" s="473"/>
      <c r="AX1114" s="473"/>
      <c r="AY1114" s="473"/>
      <c r="AZ1114" s="473"/>
      <c r="BA1114" s="473"/>
      <c r="BB1114" s="473"/>
      <c r="BC1114" s="473"/>
      <c r="BD1114" s="473"/>
      <c r="BE1114" s="473"/>
      <c r="BF1114" s="473"/>
      <c r="BG1114" s="473"/>
      <c r="BH1114" s="473"/>
      <c r="BI1114" s="473"/>
      <c r="BJ1114" s="473"/>
      <c r="BK1114" s="473"/>
      <c r="BL1114" s="473"/>
      <c r="BM1114" s="473"/>
      <c r="BN1114" s="473"/>
      <c r="BO1114" s="473"/>
      <c r="BP1114" s="473"/>
      <c r="BQ1114" s="473"/>
      <c r="BR1114" s="473"/>
      <c r="BS1114" s="473"/>
      <c r="BT1114" s="473"/>
      <c r="BU1114" s="473"/>
      <c r="BV1114" s="473"/>
      <c r="BW1114" s="473"/>
      <c r="BX1114" s="473"/>
      <c r="BY1114" s="473"/>
    </row>
    <row r="1115" spans="1:77" s="379" customFormat="1" ht="11.25" customHeight="1">
      <c r="B1115" s="380" t="s">
        <v>291</v>
      </c>
      <c r="C1115" s="381">
        <v>44694</v>
      </c>
      <c r="D1115" s="381">
        <v>44696</v>
      </c>
      <c r="E1115" s="382" t="s">
        <v>1051</v>
      </c>
      <c r="F1115" s="379" t="s">
        <v>441</v>
      </c>
      <c r="G1115" s="383">
        <v>4492</v>
      </c>
      <c r="H1115" s="379" t="s">
        <v>442</v>
      </c>
      <c r="I1115" s="379" t="s">
        <v>961</v>
      </c>
      <c r="J1115" s="385">
        <v>5941.67</v>
      </c>
      <c r="L1115" s="385">
        <v>8.41</v>
      </c>
      <c r="M1115" s="385">
        <v>8.41</v>
      </c>
      <c r="N1115" s="386">
        <v>1782.4994999999999</v>
      </c>
      <c r="O1115" s="387">
        <v>0.25</v>
      </c>
      <c r="P1115" s="387"/>
      <c r="Q1115" s="386">
        <v>0</v>
      </c>
      <c r="R1115" s="379" t="s">
        <v>42</v>
      </c>
      <c r="S1115" s="388" t="s">
        <v>34</v>
      </c>
      <c r="T1115" s="388">
        <v>79</v>
      </c>
      <c r="U1115" s="389" t="s">
        <v>164</v>
      </c>
      <c r="V1115" s="433"/>
      <c r="X1115" s="386">
        <v>0</v>
      </c>
      <c r="Y1115" s="386"/>
      <c r="AJ1115" s="390">
        <v>0</v>
      </c>
    </row>
    <row r="1116" spans="1:77" s="379" customFormat="1" ht="11.25" customHeight="1">
      <c r="B1116" s="380" t="s">
        <v>291</v>
      </c>
      <c r="C1116" s="381"/>
      <c r="D1116" s="381"/>
      <c r="E1116" s="382" t="s">
        <v>1051</v>
      </c>
      <c r="F1116" s="379" t="s">
        <v>441</v>
      </c>
      <c r="G1116" s="383">
        <v>4492</v>
      </c>
      <c r="H1116" s="379" t="s">
        <v>310</v>
      </c>
      <c r="I1116" s="379" t="s">
        <v>961</v>
      </c>
      <c r="J1116" s="385">
        <v>12637.8</v>
      </c>
      <c r="L1116" s="385">
        <v>15.3</v>
      </c>
      <c r="M1116" s="385">
        <v>15.3</v>
      </c>
      <c r="N1116" s="386">
        <v>3791.34</v>
      </c>
      <c r="O1116" s="387">
        <v>0.25</v>
      </c>
      <c r="P1116" s="387"/>
      <c r="Q1116" s="386">
        <v>0</v>
      </c>
      <c r="R1116" s="379" t="s">
        <v>42</v>
      </c>
      <c r="S1116" s="388" t="s">
        <v>34</v>
      </c>
      <c r="T1116" s="388">
        <v>79</v>
      </c>
      <c r="U1116" s="389" t="s">
        <v>164</v>
      </c>
      <c r="V1116" s="433"/>
      <c r="X1116" s="386">
        <v>0</v>
      </c>
      <c r="Y1116" s="386"/>
      <c r="AJ1116" s="390">
        <v>0</v>
      </c>
    </row>
    <row r="1117" spans="1:77" s="379" customFormat="1" ht="11.25" customHeight="1">
      <c r="B1117" s="380" t="s">
        <v>291</v>
      </c>
      <c r="C1117" s="381"/>
      <c r="D1117" s="381"/>
      <c r="E1117" s="382" t="s">
        <v>1051</v>
      </c>
      <c r="F1117" s="379" t="s">
        <v>441</v>
      </c>
      <c r="G1117" s="383">
        <v>4492</v>
      </c>
      <c r="H1117" s="379" t="s">
        <v>444</v>
      </c>
      <c r="I1117" s="379" t="s">
        <v>961</v>
      </c>
      <c r="J1117" s="385">
        <v>9232.5</v>
      </c>
      <c r="L1117" s="385">
        <v>12.31</v>
      </c>
      <c r="M1117" s="385">
        <v>12.31</v>
      </c>
      <c r="N1117" s="386">
        <v>4616.25</v>
      </c>
      <c r="O1117" s="387">
        <v>0.25</v>
      </c>
      <c r="P1117" s="387"/>
      <c r="Q1117" s="386">
        <v>3212.91</v>
      </c>
      <c r="R1117" s="379" t="s">
        <v>42</v>
      </c>
      <c r="S1117" s="388" t="s">
        <v>34</v>
      </c>
      <c r="T1117" s="388">
        <v>79</v>
      </c>
      <c r="U1117" s="389" t="s">
        <v>164</v>
      </c>
      <c r="V1117" s="433"/>
      <c r="X1117" s="386">
        <v>3212.91</v>
      </c>
      <c r="Y1117" s="386"/>
      <c r="AJ1117" s="416">
        <v>3212.91</v>
      </c>
    </row>
    <row r="1118" spans="1:77" s="473" customFormat="1" ht="11.25" customHeight="1">
      <c r="A1118" s="379"/>
      <c r="B1118" s="380" t="s">
        <v>291</v>
      </c>
      <c r="C1118" s="381"/>
      <c r="D1118" s="381"/>
      <c r="E1118" s="382" t="s">
        <v>1051</v>
      </c>
      <c r="F1118" s="379" t="s">
        <v>441</v>
      </c>
      <c r="G1118" s="383">
        <v>4492</v>
      </c>
      <c r="H1118" s="379" t="s">
        <v>866</v>
      </c>
      <c r="I1118" s="379" t="s">
        <v>961</v>
      </c>
      <c r="J1118" s="385">
        <v>14942.07</v>
      </c>
      <c r="K1118" s="379"/>
      <c r="L1118" s="385">
        <v>14.19</v>
      </c>
      <c r="M1118" s="385">
        <v>14.19</v>
      </c>
      <c r="N1118" s="386">
        <v>3735.5174999999999</v>
      </c>
      <c r="O1118" s="387">
        <v>0.25</v>
      </c>
      <c r="P1118" s="387"/>
      <c r="Q1118" s="386">
        <v>6716.27</v>
      </c>
      <c r="R1118" s="379" t="s">
        <v>42</v>
      </c>
      <c r="S1118" s="388" t="s">
        <v>34</v>
      </c>
      <c r="T1118" s="388">
        <v>79</v>
      </c>
      <c r="U1118" s="389" t="s">
        <v>164</v>
      </c>
      <c r="V1118" s="433"/>
      <c r="W1118" s="379"/>
      <c r="X1118" s="386">
        <v>6716.27</v>
      </c>
      <c r="Y1118" s="386"/>
      <c r="Z1118" s="379"/>
      <c r="AA1118" s="379"/>
      <c r="AB1118" s="379"/>
      <c r="AC1118" s="379"/>
      <c r="AD1118" s="379"/>
      <c r="AE1118" s="379"/>
      <c r="AF1118" s="379"/>
      <c r="AG1118" s="379"/>
      <c r="AH1118" s="379"/>
      <c r="AI1118" s="379"/>
      <c r="AJ1118" s="416">
        <v>6716.27</v>
      </c>
      <c r="AK1118" s="379"/>
      <c r="AL1118" s="379"/>
      <c r="AM1118" s="379"/>
      <c r="AN1118" s="379"/>
      <c r="AO1118" s="379"/>
      <c r="AP1118" s="379"/>
      <c r="AQ1118" s="379"/>
      <c r="AR1118" s="379"/>
      <c r="AS1118" s="379"/>
      <c r="AT1118" s="379"/>
      <c r="AU1118" s="379"/>
      <c r="AV1118" s="379"/>
      <c r="AW1118" s="379"/>
      <c r="AX1118" s="379"/>
      <c r="AY1118" s="379"/>
      <c r="AZ1118" s="379"/>
      <c r="BA1118" s="379"/>
      <c r="BB1118" s="379"/>
      <c r="BC1118" s="379"/>
      <c r="BD1118" s="379"/>
      <c r="BE1118" s="379"/>
      <c r="BF1118" s="379"/>
      <c r="BG1118" s="379"/>
      <c r="BH1118" s="379"/>
      <c r="BI1118" s="379"/>
      <c r="BJ1118" s="379"/>
      <c r="BK1118" s="379"/>
      <c r="BL1118" s="379"/>
      <c r="BM1118" s="379"/>
      <c r="BN1118" s="379"/>
      <c r="BO1118" s="379"/>
      <c r="BP1118" s="379"/>
      <c r="BQ1118" s="379"/>
      <c r="BR1118" s="379"/>
      <c r="BS1118" s="379"/>
      <c r="BT1118" s="379"/>
      <c r="BU1118" s="379"/>
      <c r="BV1118" s="379"/>
      <c r="BW1118" s="379"/>
      <c r="BX1118" s="379"/>
      <c r="BY1118" s="379"/>
    </row>
    <row r="1119" spans="1:77" s="379" customFormat="1" ht="11.25" customHeight="1">
      <c r="B1119" s="380" t="s">
        <v>291</v>
      </c>
      <c r="C1119" s="381"/>
      <c r="D1119" s="381"/>
      <c r="E1119" s="382" t="s">
        <v>1051</v>
      </c>
      <c r="F1119" s="379" t="s">
        <v>441</v>
      </c>
      <c r="G1119" s="383">
        <v>4492</v>
      </c>
      <c r="H1119" s="379" t="s">
        <v>99</v>
      </c>
      <c r="I1119" s="379" t="s">
        <v>961</v>
      </c>
      <c r="J1119" s="385">
        <v>119600</v>
      </c>
      <c r="L1119" s="385">
        <v>100</v>
      </c>
      <c r="M1119" s="385">
        <v>100</v>
      </c>
      <c r="N1119" s="386">
        <v>29900</v>
      </c>
      <c r="O1119" s="387">
        <v>0.25</v>
      </c>
      <c r="P1119" s="387"/>
      <c r="Q1119" s="386">
        <v>2660</v>
      </c>
      <c r="R1119" s="379" t="s">
        <v>42</v>
      </c>
      <c r="S1119" s="388" t="s">
        <v>34</v>
      </c>
      <c r="T1119" s="388">
        <v>79</v>
      </c>
      <c r="U1119" s="389" t="s">
        <v>164</v>
      </c>
      <c r="V1119" s="433"/>
      <c r="X1119" s="386">
        <v>2660</v>
      </c>
      <c r="Y1119" s="386"/>
      <c r="AJ1119" s="416">
        <v>2660</v>
      </c>
    </row>
    <row r="1120" spans="1:77" s="379" customFormat="1" ht="11.25" customHeight="1">
      <c r="B1120" s="380" t="s">
        <v>291</v>
      </c>
      <c r="C1120" s="381"/>
      <c r="D1120" s="381"/>
      <c r="E1120" s="382" t="s">
        <v>1051</v>
      </c>
      <c r="F1120" s="379" t="s">
        <v>441</v>
      </c>
      <c r="G1120" s="383">
        <v>4492</v>
      </c>
      <c r="H1120" s="379" t="s">
        <v>27</v>
      </c>
      <c r="I1120" s="379" t="s">
        <v>961</v>
      </c>
      <c r="J1120" s="385">
        <v>40614.21</v>
      </c>
      <c r="L1120" s="385">
        <v>36.54</v>
      </c>
      <c r="M1120" s="385">
        <v>36.54</v>
      </c>
      <c r="N1120" s="386">
        <v>8122.8419999999996</v>
      </c>
      <c r="O1120" s="387">
        <v>0.25</v>
      </c>
      <c r="P1120" s="387"/>
      <c r="Q1120" s="386">
        <v>0</v>
      </c>
      <c r="R1120" s="379" t="s">
        <v>42</v>
      </c>
      <c r="S1120" s="388" t="s">
        <v>34</v>
      </c>
      <c r="T1120" s="388">
        <v>79</v>
      </c>
      <c r="U1120" s="389" t="s">
        <v>164</v>
      </c>
      <c r="V1120" s="433"/>
      <c r="X1120" s="386">
        <v>0</v>
      </c>
      <c r="Y1120" s="386"/>
      <c r="AJ1120" s="390">
        <v>0</v>
      </c>
    </row>
    <row r="1121" spans="1:77" s="379" customFormat="1" ht="12" customHeight="1">
      <c r="B1121" s="380" t="s">
        <v>291</v>
      </c>
      <c r="C1121" s="381"/>
      <c r="D1121" s="381"/>
      <c r="E1121" s="382" t="s">
        <v>1051</v>
      </c>
      <c r="F1121" s="379" t="s">
        <v>441</v>
      </c>
      <c r="G1121" s="383">
        <v>4492</v>
      </c>
      <c r="H1121" s="379" t="s">
        <v>684</v>
      </c>
      <c r="I1121" s="379" t="s">
        <v>961</v>
      </c>
      <c r="J1121" s="385">
        <v>12460</v>
      </c>
      <c r="L1121" s="385">
        <v>12.46</v>
      </c>
      <c r="M1121" s="385">
        <v>12.46</v>
      </c>
      <c r="N1121" s="386">
        <v>5601</v>
      </c>
      <c r="O1121" s="387">
        <v>0.25</v>
      </c>
      <c r="P1121" s="387"/>
      <c r="Q1121" s="386">
        <v>0</v>
      </c>
      <c r="R1121" s="379" t="s">
        <v>42</v>
      </c>
      <c r="S1121" s="388" t="s">
        <v>34</v>
      </c>
      <c r="T1121" s="388">
        <v>79</v>
      </c>
      <c r="U1121" s="389" t="s">
        <v>164</v>
      </c>
      <c r="V1121" s="433"/>
      <c r="X1121" s="386">
        <v>0</v>
      </c>
      <c r="Y1121" s="386"/>
      <c r="AJ1121" s="390">
        <v>0</v>
      </c>
    </row>
    <row r="1122" spans="1:77" s="379" customFormat="1" ht="12" customHeight="1">
      <c r="B1122" s="380" t="s">
        <v>291</v>
      </c>
      <c r="C1122" s="381"/>
      <c r="D1122" s="381"/>
      <c r="E1122" s="382" t="s">
        <v>1051</v>
      </c>
      <c r="F1122" s="379" t="s">
        <v>441</v>
      </c>
      <c r="G1122" s="383">
        <v>4492</v>
      </c>
      <c r="H1122" s="379" t="s">
        <v>1052</v>
      </c>
      <c r="I1122" s="379" t="s">
        <v>961</v>
      </c>
      <c r="J1122" s="385">
        <v>12898.71</v>
      </c>
      <c r="L1122" s="385">
        <v>14.19</v>
      </c>
      <c r="M1122" s="385">
        <v>14.19</v>
      </c>
      <c r="N1122" s="386">
        <v>6449.3549999999996</v>
      </c>
      <c r="O1122" s="387">
        <v>0.25</v>
      </c>
      <c r="P1122" s="387"/>
      <c r="Q1122" s="386">
        <v>4097.3599999999997</v>
      </c>
      <c r="R1122" s="379" t="s">
        <v>42</v>
      </c>
      <c r="S1122" s="388" t="s">
        <v>34</v>
      </c>
      <c r="T1122" s="388">
        <v>79</v>
      </c>
      <c r="U1122" s="389" t="s">
        <v>164</v>
      </c>
      <c r="V1122" s="433"/>
      <c r="X1122" s="386">
        <v>4097.3599999999997</v>
      </c>
      <c r="Y1122" s="386"/>
      <c r="AJ1122" s="416">
        <v>4097.3599999999997</v>
      </c>
    </row>
    <row r="1123" spans="1:77" s="379" customFormat="1" ht="12" customHeight="1">
      <c r="B1123" s="380" t="s">
        <v>291</v>
      </c>
      <c r="C1123" s="381">
        <v>44691</v>
      </c>
      <c r="D1123" s="381">
        <v>44697</v>
      </c>
      <c r="E1123" s="382" t="s">
        <v>1053</v>
      </c>
      <c r="F1123" s="379" t="s">
        <v>763</v>
      </c>
      <c r="G1123" s="383">
        <v>3639</v>
      </c>
      <c r="H1123" s="379" t="s">
        <v>99</v>
      </c>
      <c r="I1123" s="379" t="s">
        <v>888</v>
      </c>
      <c r="J1123" s="385">
        <v>38909.449999999997</v>
      </c>
      <c r="L1123" s="385">
        <v>38.89</v>
      </c>
      <c r="M1123" s="385">
        <v>38.89</v>
      </c>
      <c r="N1123" s="386">
        <f>7531.7682-N1124</f>
        <v>3891.9450000000006</v>
      </c>
      <c r="O1123" s="387">
        <v>0.2</v>
      </c>
      <c r="P1123" s="387"/>
      <c r="Q1123" s="386">
        <v>3400.93</v>
      </c>
      <c r="R1123" s="379" t="s">
        <v>42</v>
      </c>
      <c r="S1123" s="388" t="s">
        <v>41</v>
      </c>
      <c r="T1123" s="388">
        <v>17</v>
      </c>
      <c r="U1123" s="389" t="s">
        <v>164</v>
      </c>
      <c r="V1123" s="433"/>
      <c r="X1123" s="386">
        <v>3400.93</v>
      </c>
      <c r="Y1123" s="386"/>
      <c r="AJ1123" s="416">
        <v>3400.93</v>
      </c>
    </row>
    <row r="1124" spans="1:77" s="379" customFormat="1" ht="12" customHeight="1">
      <c r="B1124" s="380" t="s">
        <v>291</v>
      </c>
      <c r="C1124" s="381"/>
      <c r="D1124" s="381"/>
      <c r="E1124" s="382" t="s">
        <v>1053</v>
      </c>
      <c r="F1124" s="379" t="s">
        <v>763</v>
      </c>
      <c r="G1124" s="383">
        <v>3639</v>
      </c>
      <c r="H1124" s="379" t="s">
        <v>310</v>
      </c>
      <c r="I1124" s="379" t="s">
        <v>888</v>
      </c>
      <c r="J1124" s="385">
        <v>12207.78</v>
      </c>
      <c r="L1124" s="385">
        <v>21.15</v>
      </c>
      <c r="M1124" s="385">
        <v>21.15</v>
      </c>
      <c r="N1124" s="386">
        <f>425.9736+3213.8496</f>
        <v>3639.8231999999998</v>
      </c>
      <c r="O1124" s="387">
        <v>0.2</v>
      </c>
      <c r="P1124" s="387"/>
      <c r="Q1124" s="386">
        <v>1201.21</v>
      </c>
      <c r="R1124" s="379" t="s">
        <v>42</v>
      </c>
      <c r="S1124" s="388" t="s">
        <v>41</v>
      </c>
      <c r="T1124" s="388">
        <v>17</v>
      </c>
      <c r="U1124" s="389" t="s">
        <v>164</v>
      </c>
      <c r="V1124" s="433"/>
      <c r="X1124" s="386">
        <v>1201.21</v>
      </c>
      <c r="Y1124" s="386"/>
      <c r="AJ1124" s="416">
        <v>1201.21</v>
      </c>
    </row>
    <row r="1125" spans="1:77" s="205" customFormat="1" ht="12" customHeight="1">
      <c r="B1125" s="206" t="s">
        <v>291</v>
      </c>
      <c r="C1125" s="207">
        <v>44680</v>
      </c>
      <c r="D1125" s="207">
        <v>44697</v>
      </c>
      <c r="E1125" s="208" t="s">
        <v>1054</v>
      </c>
      <c r="F1125" s="205" t="s">
        <v>359</v>
      </c>
      <c r="G1125" s="209" t="s">
        <v>360</v>
      </c>
      <c r="H1125" s="205" t="s">
        <v>162</v>
      </c>
      <c r="I1125" s="205" t="s">
        <v>33</v>
      </c>
      <c r="J1125" s="210">
        <v>7828.56</v>
      </c>
      <c r="L1125" s="210">
        <v>12</v>
      </c>
      <c r="M1125" s="210">
        <v>12</v>
      </c>
      <c r="N1125" s="213">
        <f>J1125*54.2%</f>
        <v>4243.0795200000002</v>
      </c>
      <c r="O1125" s="212">
        <v>0.2</v>
      </c>
      <c r="P1125" s="212"/>
      <c r="Q1125" s="213">
        <v>0</v>
      </c>
      <c r="R1125" s="205" t="s">
        <v>142</v>
      </c>
      <c r="S1125" s="214" t="s">
        <v>150</v>
      </c>
      <c r="T1125" s="214">
        <v>33</v>
      </c>
      <c r="U1125" s="215" t="s">
        <v>164</v>
      </c>
      <c r="V1125" s="438"/>
      <c r="W1125" s="205" t="s">
        <v>2784</v>
      </c>
      <c r="X1125" s="213">
        <v>0</v>
      </c>
      <c r="Y1125" s="213"/>
      <c r="AF1125" s="230">
        <f>X1125</f>
        <v>0</v>
      </c>
      <c r="AJ1125" s="216"/>
    </row>
    <row r="1126" spans="1:77" s="205" customFormat="1" ht="12" customHeight="1">
      <c r="B1126" s="206" t="s">
        <v>291</v>
      </c>
      <c r="C1126" s="207"/>
      <c r="D1126" s="207"/>
      <c r="E1126" s="208" t="s">
        <v>1054</v>
      </c>
      <c r="F1126" s="205" t="s">
        <v>359</v>
      </c>
      <c r="G1126" s="209" t="s">
        <v>360</v>
      </c>
      <c r="H1126" s="205" t="s">
        <v>163</v>
      </c>
      <c r="I1126" s="205" t="s">
        <v>33</v>
      </c>
      <c r="J1126" s="210">
        <v>12960.2</v>
      </c>
      <c r="L1126" s="210">
        <v>22</v>
      </c>
      <c r="M1126" s="210">
        <v>19.89</v>
      </c>
      <c r="N1126" s="213">
        <v>0</v>
      </c>
      <c r="O1126" s="212">
        <v>0.2</v>
      </c>
      <c r="P1126" s="212"/>
      <c r="Q1126" s="213">
        <v>0</v>
      </c>
      <c r="R1126" s="205" t="s">
        <v>142</v>
      </c>
      <c r="S1126" s="214" t="s">
        <v>150</v>
      </c>
      <c r="T1126" s="214">
        <v>33</v>
      </c>
      <c r="U1126" s="215" t="s">
        <v>164</v>
      </c>
      <c r="V1126" s="438"/>
      <c r="W1126" s="205" t="s">
        <v>2784</v>
      </c>
      <c r="X1126" s="213">
        <v>0</v>
      </c>
      <c r="Y1126" s="213"/>
      <c r="AF1126" s="230">
        <f>X1126</f>
        <v>0</v>
      </c>
      <c r="AJ1126" s="216"/>
    </row>
    <row r="1127" spans="1:77" s="205" customFormat="1" ht="12" customHeight="1">
      <c r="A1127" s="379"/>
      <c r="B1127" s="380" t="s">
        <v>291</v>
      </c>
      <c r="C1127" s="381"/>
      <c r="D1127" s="381"/>
      <c r="E1127" s="382" t="s">
        <v>1055</v>
      </c>
      <c r="F1127" s="379" t="s">
        <v>225</v>
      </c>
      <c r="G1127" s="383">
        <v>4261</v>
      </c>
      <c r="H1127" s="379" t="s">
        <v>183</v>
      </c>
      <c r="I1127" s="379" t="s">
        <v>1056</v>
      </c>
      <c r="J1127" s="385">
        <v>3727.44</v>
      </c>
      <c r="K1127" s="379"/>
      <c r="L1127" s="385">
        <v>4</v>
      </c>
      <c r="M1127" s="385">
        <v>4</v>
      </c>
      <c r="N1127" s="386">
        <v>364.99</v>
      </c>
      <c r="O1127" s="387">
        <v>0.2</v>
      </c>
      <c r="P1127" s="387"/>
      <c r="Q1127" s="386">
        <v>0</v>
      </c>
      <c r="R1127" s="379" t="s">
        <v>142</v>
      </c>
      <c r="S1127" s="388" t="s">
        <v>41</v>
      </c>
      <c r="T1127" s="388">
        <v>24</v>
      </c>
      <c r="U1127" s="389" t="s">
        <v>164</v>
      </c>
      <c r="V1127" s="433"/>
      <c r="W1127" s="379"/>
      <c r="X1127" s="386">
        <v>0</v>
      </c>
      <c r="Y1127" s="386"/>
      <c r="Z1127" s="379"/>
      <c r="AA1127" s="379"/>
      <c r="AB1127" s="379"/>
      <c r="AC1127" s="379"/>
      <c r="AD1127" s="379"/>
      <c r="AE1127" s="379"/>
      <c r="AF1127" s="379"/>
      <c r="AG1127" s="379"/>
      <c r="AH1127" s="379"/>
      <c r="AI1127" s="379"/>
      <c r="AJ1127" s="390">
        <v>0</v>
      </c>
      <c r="AK1127" s="379"/>
      <c r="AL1127" s="379"/>
      <c r="AM1127" s="379"/>
      <c r="AN1127" s="379"/>
      <c r="AO1127" s="379"/>
      <c r="AP1127" s="379"/>
      <c r="AQ1127" s="379"/>
      <c r="AR1127" s="379"/>
      <c r="AS1127" s="379"/>
      <c r="AT1127" s="379"/>
      <c r="AU1127" s="379"/>
      <c r="AV1127" s="379"/>
      <c r="AW1127" s="379"/>
      <c r="AX1127" s="379"/>
      <c r="AY1127" s="379"/>
      <c r="AZ1127" s="379"/>
      <c r="BA1127" s="379"/>
      <c r="BB1127" s="379"/>
      <c r="BC1127" s="379"/>
      <c r="BD1127" s="379"/>
      <c r="BE1127" s="379"/>
      <c r="BF1127" s="379"/>
      <c r="BG1127" s="379"/>
      <c r="BH1127" s="379"/>
      <c r="BI1127" s="379"/>
      <c r="BJ1127" s="379"/>
      <c r="BK1127" s="379"/>
      <c r="BL1127" s="379"/>
      <c r="BM1127" s="379"/>
      <c r="BN1127" s="379"/>
      <c r="BO1127" s="379"/>
      <c r="BP1127" s="379"/>
      <c r="BQ1127" s="379"/>
      <c r="BR1127" s="379"/>
      <c r="BS1127" s="379"/>
      <c r="BT1127" s="379"/>
      <c r="BU1127" s="379"/>
      <c r="BV1127" s="379"/>
      <c r="BW1127" s="379"/>
      <c r="BX1127" s="379"/>
      <c r="BY1127" s="379"/>
    </row>
    <row r="1128" spans="1:77" s="205" customFormat="1" ht="12" customHeight="1">
      <c r="B1128" s="206" t="s">
        <v>291</v>
      </c>
      <c r="C1128" s="207">
        <v>44696</v>
      </c>
      <c r="D1128" s="207">
        <v>44697</v>
      </c>
      <c r="E1128" s="208" t="s">
        <v>1055</v>
      </c>
      <c r="F1128" s="205" t="s">
        <v>225</v>
      </c>
      <c r="G1128" s="209">
        <v>4261</v>
      </c>
      <c r="H1128" s="205" t="s">
        <v>99</v>
      </c>
      <c r="I1128" s="205" t="s">
        <v>1056</v>
      </c>
      <c r="J1128" s="210">
        <v>20708.099999999999</v>
      </c>
      <c r="L1128" s="210">
        <v>18</v>
      </c>
      <c r="M1128" s="210">
        <v>18</v>
      </c>
      <c r="N1128" s="213">
        <f>5225.99</f>
        <v>5225.99</v>
      </c>
      <c r="O1128" s="212">
        <v>0.2</v>
      </c>
      <c r="P1128" s="212"/>
      <c r="Q1128" s="213">
        <v>0</v>
      </c>
      <c r="R1128" s="205" t="s">
        <v>142</v>
      </c>
      <c r="S1128" s="214" t="s">
        <v>41</v>
      </c>
      <c r="T1128" s="214">
        <v>24</v>
      </c>
      <c r="U1128" s="215" t="s">
        <v>164</v>
      </c>
      <c r="V1128" s="438"/>
      <c r="W1128" s="205" t="s">
        <v>2963</v>
      </c>
      <c r="X1128" s="213">
        <v>0</v>
      </c>
      <c r="Y1128" s="213"/>
      <c r="AF1128" s="230">
        <f>X1128</f>
        <v>0</v>
      </c>
      <c r="AJ1128" s="216"/>
    </row>
    <row r="1129" spans="1:77" s="647" customFormat="1" ht="12" customHeight="1">
      <c r="B1129" s="661" t="s">
        <v>291</v>
      </c>
      <c r="C1129" s="648">
        <v>44697</v>
      </c>
      <c r="D1129" s="648">
        <v>44697</v>
      </c>
      <c r="E1129" s="649" t="s">
        <v>1057</v>
      </c>
      <c r="F1129" s="647" t="s">
        <v>542</v>
      </c>
      <c r="G1129" s="650" t="s">
        <v>543</v>
      </c>
      <c r="H1129" s="647" t="s">
        <v>99</v>
      </c>
      <c r="I1129" s="647" t="s">
        <v>888</v>
      </c>
      <c r="J1129" s="651">
        <v>72488.05</v>
      </c>
      <c r="L1129" s="651">
        <v>63.22</v>
      </c>
      <c r="M1129" s="651">
        <v>63.22</v>
      </c>
      <c r="N1129" s="652">
        <v>13422.2382</v>
      </c>
      <c r="O1129" s="653">
        <v>0.2</v>
      </c>
      <c r="P1129" s="653"/>
      <c r="Q1129" s="652">
        <v>1866.25</v>
      </c>
      <c r="R1129" s="647" t="s">
        <v>42</v>
      </c>
      <c r="S1129" s="654" t="s">
        <v>41</v>
      </c>
      <c r="T1129" s="654">
        <v>79</v>
      </c>
      <c r="U1129" s="655" t="s">
        <v>164</v>
      </c>
      <c r="V1129" s="656"/>
      <c r="X1129" s="652">
        <v>1866.25</v>
      </c>
      <c r="Y1129" s="652"/>
      <c r="AI1129" s="660">
        <f>X1129</f>
        <v>1866.25</v>
      </c>
      <c r="AJ1129" s="657"/>
      <c r="AK1129" s="658"/>
    </row>
    <row r="1130" spans="1:77" s="291" customFormat="1" ht="12" customHeight="1">
      <c r="B1130" s="310" t="s">
        <v>291</v>
      </c>
      <c r="C1130" s="292"/>
      <c r="D1130" s="292"/>
      <c r="E1130" s="293" t="s">
        <v>1057</v>
      </c>
      <c r="F1130" s="291" t="s">
        <v>542</v>
      </c>
      <c r="G1130" s="294" t="s">
        <v>543</v>
      </c>
      <c r="H1130" s="291" t="s">
        <v>27</v>
      </c>
      <c r="I1130" s="291" t="s">
        <v>888</v>
      </c>
      <c r="J1130" s="296">
        <v>55401</v>
      </c>
      <c r="L1130" s="296">
        <v>37.56</v>
      </c>
      <c r="M1130" s="296">
        <v>37.56</v>
      </c>
      <c r="N1130" s="297">
        <v>12535.65</v>
      </c>
      <c r="O1130" s="298">
        <v>0.2</v>
      </c>
      <c r="P1130" s="298"/>
      <c r="Q1130" s="297">
        <v>0</v>
      </c>
      <c r="R1130" s="291" t="s">
        <v>42</v>
      </c>
      <c r="S1130" s="299" t="s">
        <v>41</v>
      </c>
      <c r="T1130" s="299">
        <v>79</v>
      </c>
      <c r="U1130" s="300" t="s">
        <v>164</v>
      </c>
      <c r="V1130" s="333"/>
      <c r="X1130" s="297">
        <v>0</v>
      </c>
      <c r="Y1130" s="297"/>
      <c r="AH1130" s="291">
        <f>X1130</f>
        <v>0</v>
      </c>
      <c r="AI1130" s="311"/>
      <c r="AJ1130" s="468"/>
    </row>
    <row r="1131" spans="1:77" s="181" customFormat="1" ht="12" customHeight="1">
      <c r="B1131" s="178" t="s">
        <v>291</v>
      </c>
      <c r="C1131" s="179"/>
      <c r="D1131" s="179"/>
      <c r="E1131" s="180" t="s">
        <v>1057</v>
      </c>
      <c r="F1131" s="181" t="s">
        <v>542</v>
      </c>
      <c r="G1131" s="182" t="s">
        <v>543</v>
      </c>
      <c r="H1131" s="181" t="s">
        <v>765</v>
      </c>
      <c r="I1131" s="181" t="s">
        <v>888</v>
      </c>
      <c r="J1131" s="183">
        <v>26862.42</v>
      </c>
      <c r="L1131" s="183">
        <v>26.13</v>
      </c>
      <c r="M1131" s="183">
        <v>26.13</v>
      </c>
      <c r="N1131" s="185">
        <v>0</v>
      </c>
      <c r="O1131" s="186">
        <v>0.2</v>
      </c>
      <c r="P1131" s="186"/>
      <c r="Q1131" s="185">
        <v>0</v>
      </c>
      <c r="R1131" s="181" t="s">
        <v>42</v>
      </c>
      <c r="S1131" s="187" t="s">
        <v>41</v>
      </c>
      <c r="T1131" s="187">
        <v>79</v>
      </c>
      <c r="U1131" s="188" t="s">
        <v>164</v>
      </c>
      <c r="V1131" s="441"/>
      <c r="W1131" s="181" t="s">
        <v>2684</v>
      </c>
      <c r="X1131" s="185">
        <v>0</v>
      </c>
      <c r="Y1131" s="185"/>
      <c r="AE1131" s="204">
        <f>X1131</f>
        <v>0</v>
      </c>
      <c r="AJ1131" s="189"/>
    </row>
    <row r="1132" spans="1:77" s="205" customFormat="1" ht="10.5" customHeight="1">
      <c r="B1132" s="205" t="s">
        <v>291</v>
      </c>
      <c r="C1132" s="207">
        <v>44694</v>
      </c>
      <c r="D1132" s="207">
        <v>44694</v>
      </c>
      <c r="E1132" s="208" t="s">
        <v>1058</v>
      </c>
      <c r="F1132" s="205" t="s">
        <v>500</v>
      </c>
      <c r="G1132" s="209">
        <v>4057</v>
      </c>
      <c r="H1132" s="205" t="s">
        <v>137</v>
      </c>
      <c r="I1132" s="205" t="s">
        <v>1022</v>
      </c>
      <c r="J1132" s="210">
        <v>21097</v>
      </c>
      <c r="L1132" s="210">
        <v>17</v>
      </c>
      <c r="M1132" s="210">
        <v>17</v>
      </c>
      <c r="N1132" s="213">
        <f>J1132*0.2</f>
        <v>4219.4000000000005</v>
      </c>
      <c r="O1132" s="212">
        <v>0.25</v>
      </c>
      <c r="P1132" s="212"/>
      <c r="Q1132" s="213">
        <v>0</v>
      </c>
      <c r="R1132" s="205" t="s">
        <v>42</v>
      </c>
      <c r="S1132" s="214" t="s">
        <v>41</v>
      </c>
      <c r="T1132" s="214">
        <v>17</v>
      </c>
      <c r="U1132" s="215" t="s">
        <v>164</v>
      </c>
      <c r="V1132" s="438"/>
      <c r="X1132" s="213">
        <v>0</v>
      </c>
      <c r="Y1132" s="213"/>
      <c r="AF1132" s="230">
        <f>X1132</f>
        <v>0</v>
      </c>
      <c r="AJ1132" s="216"/>
    </row>
    <row r="1133" spans="1:77" s="261" customFormat="1" ht="11.25" customHeight="1">
      <c r="B1133" s="261" t="s">
        <v>291</v>
      </c>
      <c r="C1133" s="259"/>
      <c r="D1133" s="259"/>
      <c r="E1133" s="260" t="s">
        <v>1058</v>
      </c>
      <c r="F1133" s="261" t="s">
        <v>500</v>
      </c>
      <c r="G1133" s="262">
        <v>4057</v>
      </c>
      <c r="H1133" s="261" t="s">
        <v>310</v>
      </c>
      <c r="I1133" s="261" t="s">
        <v>1022</v>
      </c>
      <c r="J1133" s="263">
        <v>19824</v>
      </c>
      <c r="L1133" s="263">
        <v>15</v>
      </c>
      <c r="M1133" s="263">
        <v>15</v>
      </c>
      <c r="N1133" s="265">
        <f>J1133*0.3</f>
        <v>5947.2</v>
      </c>
      <c r="O1133" s="266">
        <v>0.25</v>
      </c>
      <c r="P1133" s="266"/>
      <c r="Q1133" s="265">
        <v>1953.75</v>
      </c>
      <c r="R1133" s="261" t="s">
        <v>42</v>
      </c>
      <c r="S1133" s="267" t="s">
        <v>41</v>
      </c>
      <c r="T1133" s="267">
        <v>17</v>
      </c>
      <c r="U1133" s="268" t="s">
        <v>164</v>
      </c>
      <c r="V1133" s="427"/>
      <c r="X1133" s="265">
        <v>1953.75</v>
      </c>
      <c r="Y1133" s="265"/>
      <c r="AG1133" s="261">
        <f>X1133</f>
        <v>1953.75</v>
      </c>
      <c r="AJ1133" s="642"/>
    </row>
    <row r="1134" spans="1:77" s="205" customFormat="1" ht="11.25" customHeight="1">
      <c r="B1134" s="205" t="s">
        <v>291</v>
      </c>
      <c r="C1134" s="207"/>
      <c r="D1134" s="207"/>
      <c r="E1134" s="208" t="s">
        <v>1058</v>
      </c>
      <c r="F1134" s="205" t="s">
        <v>500</v>
      </c>
      <c r="G1134" s="209">
        <v>4057</v>
      </c>
      <c r="H1134" s="205" t="s">
        <v>99</v>
      </c>
      <c r="I1134" s="205" t="s">
        <v>1022</v>
      </c>
      <c r="J1134" s="210">
        <v>100021.5</v>
      </c>
      <c r="L1134" s="210">
        <v>93</v>
      </c>
      <c r="M1134" s="210">
        <v>93</v>
      </c>
      <c r="N1134" s="213">
        <f>J1134*0.2</f>
        <v>20004.300000000003</v>
      </c>
      <c r="O1134" s="212">
        <v>0.25</v>
      </c>
      <c r="P1134" s="212"/>
      <c r="Q1134" s="213">
        <v>0</v>
      </c>
      <c r="R1134" s="205" t="s">
        <v>42</v>
      </c>
      <c r="S1134" s="214" t="s">
        <v>41</v>
      </c>
      <c r="T1134" s="214">
        <v>17</v>
      </c>
      <c r="U1134" s="215" t="s">
        <v>164</v>
      </c>
      <c r="V1134" s="438"/>
      <c r="X1134" s="213">
        <v>0</v>
      </c>
      <c r="Y1134" s="213"/>
      <c r="AF1134" s="230">
        <f>X1134</f>
        <v>0</v>
      </c>
      <c r="AJ1134" s="216"/>
    </row>
    <row r="1135" spans="1:77" s="205" customFormat="1" ht="11.25" customHeight="1">
      <c r="B1135" s="205" t="s">
        <v>291</v>
      </c>
      <c r="C1135" s="207"/>
      <c r="D1135" s="207"/>
      <c r="E1135" s="208" t="s">
        <v>1058</v>
      </c>
      <c r="F1135" s="205" t="s">
        <v>500</v>
      </c>
      <c r="G1135" s="209">
        <v>4057</v>
      </c>
      <c r="H1135" s="205" t="s">
        <v>27</v>
      </c>
      <c r="I1135" s="205" t="s">
        <v>1022</v>
      </c>
      <c r="J1135" s="210">
        <v>19482</v>
      </c>
      <c r="L1135" s="210">
        <v>17</v>
      </c>
      <c r="M1135" s="210">
        <v>17</v>
      </c>
      <c r="N1135" s="213">
        <f>J1135*0.15</f>
        <v>2922.2999999999997</v>
      </c>
      <c r="O1135" s="212">
        <v>0.25</v>
      </c>
      <c r="P1135" s="212"/>
      <c r="Q1135" s="213">
        <v>0</v>
      </c>
      <c r="R1135" s="205" t="s">
        <v>42</v>
      </c>
      <c r="S1135" s="214" t="s">
        <v>41</v>
      </c>
      <c r="T1135" s="214">
        <v>17</v>
      </c>
      <c r="U1135" s="215" t="s">
        <v>164</v>
      </c>
      <c r="V1135" s="438"/>
      <c r="X1135" s="213">
        <v>0</v>
      </c>
      <c r="Y1135" s="213"/>
      <c r="AF1135" s="230">
        <f>X1135</f>
        <v>0</v>
      </c>
      <c r="AJ1135" s="216"/>
    </row>
    <row r="1136" spans="1:77" s="6" customFormat="1" ht="12" customHeight="1">
      <c r="A1136" s="379"/>
      <c r="B1136" s="379" t="s">
        <v>291</v>
      </c>
      <c r="C1136" s="381">
        <v>44693</v>
      </c>
      <c r="D1136" s="381">
        <v>44695</v>
      </c>
      <c r="E1136" s="382" t="s">
        <v>1059</v>
      </c>
      <c r="F1136" s="379" t="s">
        <v>1060</v>
      </c>
      <c r="G1136" s="383">
        <v>4462</v>
      </c>
      <c r="H1136" s="379" t="s">
        <v>183</v>
      </c>
      <c r="I1136" s="379" t="s">
        <v>958</v>
      </c>
      <c r="J1136" s="385">
        <v>6841.38</v>
      </c>
      <c r="K1136" s="379"/>
      <c r="L1136" s="385">
        <v>10.71</v>
      </c>
      <c r="M1136" s="385">
        <v>10.71</v>
      </c>
      <c r="N1136" s="386"/>
      <c r="O1136" s="387">
        <v>0.15</v>
      </c>
      <c r="P1136" s="387"/>
      <c r="Q1136" s="386">
        <v>0</v>
      </c>
      <c r="R1136" s="379" t="s">
        <v>128</v>
      </c>
      <c r="S1136" s="388" t="s">
        <v>34</v>
      </c>
      <c r="T1136" s="388">
        <v>79</v>
      </c>
      <c r="U1136" s="389" t="s">
        <v>164</v>
      </c>
      <c r="V1136" s="433"/>
      <c r="W1136" s="379"/>
      <c r="X1136" s="386">
        <v>0</v>
      </c>
      <c r="Y1136" s="386"/>
      <c r="Z1136" s="379"/>
      <c r="AA1136" s="379"/>
      <c r="AB1136" s="379"/>
      <c r="AC1136" s="379"/>
      <c r="AD1136" s="379"/>
      <c r="AE1136" s="379"/>
      <c r="AF1136" s="379"/>
      <c r="AG1136" s="379"/>
      <c r="AH1136" s="379"/>
      <c r="AI1136" s="379"/>
      <c r="AJ1136" s="390">
        <v>0</v>
      </c>
      <c r="AK1136" s="379"/>
      <c r="AL1136" s="379"/>
      <c r="AM1136" s="379"/>
      <c r="AN1136" s="379"/>
      <c r="AO1136" s="379"/>
      <c r="AP1136" s="379"/>
      <c r="AQ1136" s="379"/>
      <c r="AR1136" s="379"/>
      <c r="AS1136" s="379"/>
      <c r="AT1136" s="379"/>
      <c r="AU1136" s="379"/>
      <c r="AV1136" s="379"/>
      <c r="AW1136" s="379"/>
      <c r="AX1136" s="379"/>
      <c r="AY1136" s="379"/>
      <c r="AZ1136" s="379"/>
      <c r="BA1136" s="379"/>
      <c r="BB1136" s="379"/>
      <c r="BC1136" s="379"/>
      <c r="BD1136" s="379"/>
      <c r="BE1136" s="379"/>
      <c r="BF1136" s="379"/>
      <c r="BG1136" s="379"/>
      <c r="BH1136" s="379"/>
      <c r="BI1136" s="379"/>
      <c r="BJ1136" s="379"/>
      <c r="BK1136" s="379"/>
      <c r="BL1136" s="379"/>
      <c r="BM1136" s="379"/>
      <c r="BN1136" s="379"/>
      <c r="BO1136" s="379"/>
      <c r="BP1136" s="379"/>
      <c r="BQ1136" s="379"/>
      <c r="BR1136" s="379"/>
      <c r="BS1136" s="379"/>
      <c r="BT1136" s="379"/>
      <c r="BU1136" s="379"/>
      <c r="BV1136" s="379"/>
      <c r="BW1136" s="379"/>
      <c r="BX1136" s="379"/>
      <c r="BY1136" s="379"/>
    </row>
    <row r="1137" spans="1:77" s="6" customFormat="1" ht="12" customHeight="1">
      <c r="A1137" s="379"/>
      <c r="B1137" s="379" t="s">
        <v>291</v>
      </c>
      <c r="C1137" s="381"/>
      <c r="D1137" s="381"/>
      <c r="E1137" s="382" t="s">
        <v>1059</v>
      </c>
      <c r="F1137" s="379" t="s">
        <v>1060</v>
      </c>
      <c r="G1137" s="383">
        <v>4462</v>
      </c>
      <c r="H1137" s="379" t="s">
        <v>310</v>
      </c>
      <c r="I1137" s="379" t="s">
        <v>958</v>
      </c>
      <c r="J1137" s="385">
        <v>7737.13</v>
      </c>
      <c r="K1137" s="379"/>
      <c r="L1137" s="385">
        <v>9.52</v>
      </c>
      <c r="M1137" s="385">
        <v>9.52</v>
      </c>
      <c r="N1137" s="386"/>
      <c r="O1137" s="387">
        <v>0.15</v>
      </c>
      <c r="P1137" s="387"/>
      <c r="Q1137" s="386">
        <v>0</v>
      </c>
      <c r="R1137" s="379" t="s">
        <v>128</v>
      </c>
      <c r="S1137" s="388" t="s">
        <v>34</v>
      </c>
      <c r="T1137" s="388">
        <v>79</v>
      </c>
      <c r="U1137" s="389" t="s">
        <v>164</v>
      </c>
      <c r="V1137" s="433"/>
      <c r="W1137" s="379"/>
      <c r="X1137" s="386">
        <v>0</v>
      </c>
      <c r="Y1137" s="386"/>
      <c r="Z1137" s="379"/>
      <c r="AA1137" s="379"/>
      <c r="AB1137" s="379"/>
      <c r="AC1137" s="379"/>
      <c r="AD1137" s="379"/>
      <c r="AE1137" s="379"/>
      <c r="AF1137" s="379"/>
      <c r="AG1137" s="379"/>
      <c r="AH1137" s="379"/>
      <c r="AI1137" s="379"/>
      <c r="AJ1137" s="390">
        <v>0</v>
      </c>
      <c r="AK1137" s="379"/>
      <c r="AL1137" s="379"/>
      <c r="AM1137" s="379"/>
      <c r="AN1137" s="379"/>
      <c r="AO1137" s="379"/>
      <c r="AP1137" s="379"/>
      <c r="AQ1137" s="379"/>
      <c r="AR1137" s="379"/>
      <c r="AS1137" s="379"/>
      <c r="AT1137" s="379"/>
      <c r="AU1137" s="379"/>
      <c r="AV1137" s="379"/>
      <c r="AW1137" s="379"/>
      <c r="AX1137" s="379"/>
      <c r="AY1137" s="379"/>
      <c r="AZ1137" s="379"/>
      <c r="BA1137" s="379"/>
      <c r="BB1137" s="379"/>
      <c r="BC1137" s="379"/>
      <c r="BD1137" s="379"/>
      <c r="BE1137" s="379"/>
      <c r="BF1137" s="379"/>
      <c r="BG1137" s="379"/>
      <c r="BH1137" s="379"/>
      <c r="BI1137" s="379"/>
      <c r="BJ1137" s="379"/>
      <c r="BK1137" s="379"/>
      <c r="BL1137" s="379"/>
      <c r="BM1137" s="379"/>
      <c r="BN1137" s="379"/>
      <c r="BO1137" s="379"/>
      <c r="BP1137" s="379"/>
      <c r="BQ1137" s="379"/>
      <c r="BR1137" s="379"/>
      <c r="BS1137" s="379"/>
      <c r="BT1137" s="379"/>
      <c r="BU1137" s="379"/>
      <c r="BV1137" s="379"/>
      <c r="BW1137" s="379"/>
      <c r="BX1137" s="379"/>
      <c r="BY1137" s="379"/>
    </row>
    <row r="1138" spans="1:77" s="6" customFormat="1" ht="12" customHeight="1">
      <c r="A1138" s="379"/>
      <c r="B1138" s="379" t="s">
        <v>291</v>
      </c>
      <c r="C1138" s="381"/>
      <c r="D1138" s="381"/>
      <c r="E1138" s="382" t="s">
        <v>1059</v>
      </c>
      <c r="F1138" s="379" t="s">
        <v>1060</v>
      </c>
      <c r="G1138" s="383">
        <v>4462</v>
      </c>
      <c r="H1138" s="379" t="s">
        <v>765</v>
      </c>
      <c r="I1138" s="379" t="s">
        <v>958</v>
      </c>
      <c r="J1138" s="385">
        <v>20014.560000000001</v>
      </c>
      <c r="K1138" s="379"/>
      <c r="L1138" s="385">
        <v>19.87</v>
      </c>
      <c r="M1138" s="385">
        <v>19.87</v>
      </c>
      <c r="N1138" s="386"/>
      <c r="O1138" s="387">
        <v>0.15</v>
      </c>
      <c r="P1138" s="387"/>
      <c r="Q1138" s="386">
        <v>0</v>
      </c>
      <c r="R1138" s="379" t="s">
        <v>128</v>
      </c>
      <c r="S1138" s="388" t="s">
        <v>34</v>
      </c>
      <c r="T1138" s="388">
        <v>79</v>
      </c>
      <c r="U1138" s="389" t="s">
        <v>164</v>
      </c>
      <c r="V1138" s="433"/>
      <c r="W1138" s="379"/>
      <c r="X1138" s="386">
        <v>0</v>
      </c>
      <c r="Y1138" s="386"/>
      <c r="Z1138" s="379"/>
      <c r="AA1138" s="379"/>
      <c r="AB1138" s="379"/>
      <c r="AC1138" s="379"/>
      <c r="AD1138" s="379"/>
      <c r="AE1138" s="379"/>
      <c r="AF1138" s="379"/>
      <c r="AG1138" s="379"/>
      <c r="AH1138" s="379"/>
      <c r="AI1138" s="379"/>
      <c r="AJ1138" s="390">
        <v>0</v>
      </c>
      <c r="AK1138" s="379"/>
      <c r="AL1138" s="379"/>
      <c r="AM1138" s="379"/>
      <c r="AN1138" s="379"/>
      <c r="AO1138" s="379"/>
      <c r="AP1138" s="379"/>
      <c r="AQ1138" s="379"/>
      <c r="AR1138" s="379"/>
      <c r="AS1138" s="379"/>
      <c r="AT1138" s="379"/>
      <c r="AU1138" s="379"/>
      <c r="AV1138" s="379"/>
      <c r="AW1138" s="379"/>
      <c r="AX1138" s="379"/>
      <c r="AY1138" s="379"/>
      <c r="AZ1138" s="379"/>
      <c r="BA1138" s="379"/>
      <c r="BB1138" s="379"/>
      <c r="BC1138" s="379"/>
      <c r="BD1138" s="379"/>
      <c r="BE1138" s="379"/>
      <c r="BF1138" s="379"/>
      <c r="BG1138" s="379"/>
      <c r="BH1138" s="379"/>
      <c r="BI1138" s="379"/>
      <c r="BJ1138" s="379"/>
      <c r="BK1138" s="379"/>
      <c r="BL1138" s="379"/>
      <c r="BM1138" s="379"/>
      <c r="BN1138" s="379"/>
      <c r="BO1138" s="379"/>
      <c r="BP1138" s="379"/>
      <c r="BQ1138" s="379"/>
      <c r="BR1138" s="379"/>
      <c r="BS1138" s="379"/>
      <c r="BT1138" s="379"/>
      <c r="BU1138" s="379"/>
      <c r="BV1138" s="379"/>
      <c r="BW1138" s="379"/>
      <c r="BX1138" s="379"/>
      <c r="BY1138" s="379"/>
    </row>
    <row r="1139" spans="1:77" s="261" customFormat="1" ht="12" customHeight="1">
      <c r="B1139" s="261" t="s">
        <v>291</v>
      </c>
      <c r="C1139" s="259">
        <v>44695</v>
      </c>
      <c r="D1139" s="259">
        <v>44696</v>
      </c>
      <c r="E1139" s="260" t="s">
        <v>1061</v>
      </c>
      <c r="F1139" s="261" t="s">
        <v>1062</v>
      </c>
      <c r="G1139" s="262">
        <v>4269</v>
      </c>
      <c r="H1139" s="261" t="s">
        <v>99</v>
      </c>
      <c r="I1139" s="261" t="s">
        <v>888</v>
      </c>
      <c r="J1139" s="263">
        <v>53931.21</v>
      </c>
      <c r="L1139" s="263">
        <v>42.17</v>
      </c>
      <c r="M1139" s="263">
        <v>42.17</v>
      </c>
      <c r="N1139" s="265">
        <v>26780.166000000001</v>
      </c>
      <c r="O1139" s="266">
        <v>0.25</v>
      </c>
      <c r="P1139" s="266"/>
      <c r="Q1139" s="265">
        <v>0</v>
      </c>
      <c r="R1139" s="261" t="s">
        <v>42</v>
      </c>
      <c r="S1139" s="267" t="s">
        <v>41</v>
      </c>
      <c r="T1139" s="267">
        <v>16</v>
      </c>
      <c r="U1139" s="268" t="s">
        <v>164</v>
      </c>
      <c r="V1139" s="427"/>
      <c r="X1139" s="265">
        <v>0</v>
      </c>
      <c r="Y1139" s="265"/>
      <c r="AG1139" s="261">
        <f>X1139</f>
        <v>0</v>
      </c>
      <c r="AJ1139" s="642"/>
    </row>
    <row r="1140" spans="1:77" s="261" customFormat="1" ht="12" customHeight="1">
      <c r="B1140" s="261" t="s">
        <v>291</v>
      </c>
      <c r="C1140" s="259"/>
      <c r="D1140" s="259"/>
      <c r="E1140" s="260" t="s">
        <v>1061</v>
      </c>
      <c r="F1140" s="261" t="s">
        <v>1062</v>
      </c>
      <c r="G1140" s="262">
        <v>4269</v>
      </c>
      <c r="H1140" s="261" t="s">
        <v>183</v>
      </c>
      <c r="I1140" s="261" t="s">
        <v>888</v>
      </c>
      <c r="J1140" s="263">
        <v>25034.94</v>
      </c>
      <c r="L1140" s="263">
        <v>23.31</v>
      </c>
      <c r="M1140" s="263">
        <v>23.31</v>
      </c>
      <c r="N1140" s="265">
        <v>2503.4940000000001</v>
      </c>
      <c r="O1140" s="266">
        <v>0.25</v>
      </c>
      <c r="P1140" s="266"/>
      <c r="Q1140" s="265">
        <v>0</v>
      </c>
      <c r="R1140" s="261" t="s">
        <v>42</v>
      </c>
      <c r="S1140" s="267" t="s">
        <v>41</v>
      </c>
      <c r="T1140" s="267">
        <v>16</v>
      </c>
      <c r="U1140" s="268" t="s">
        <v>164</v>
      </c>
      <c r="V1140" s="427"/>
      <c r="X1140" s="265">
        <v>0</v>
      </c>
      <c r="Y1140" s="265"/>
      <c r="AG1140" s="261">
        <f>X1140</f>
        <v>0</v>
      </c>
      <c r="AJ1140" s="642"/>
    </row>
    <row r="1141" spans="1:77" s="647" customFormat="1" ht="12" customHeight="1">
      <c r="B1141" s="647" t="s">
        <v>291</v>
      </c>
      <c r="C1141" s="648">
        <v>44696</v>
      </c>
      <c r="D1141" s="648">
        <v>44696</v>
      </c>
      <c r="E1141" s="649" t="s">
        <v>1063</v>
      </c>
      <c r="F1141" s="647" t="s">
        <v>1064</v>
      </c>
      <c r="G1141" s="650" t="s">
        <v>1065</v>
      </c>
      <c r="H1141" s="647" t="s">
        <v>866</v>
      </c>
      <c r="I1141" s="647" t="s">
        <v>156</v>
      </c>
      <c r="J1141" s="651">
        <v>114950</v>
      </c>
      <c r="L1141" s="651">
        <v>50</v>
      </c>
      <c r="M1141" s="651">
        <v>50</v>
      </c>
      <c r="N1141" s="652">
        <f>331.06+3852.66+2689.83+1181.23+2102.21</f>
        <v>10156.990000000002</v>
      </c>
      <c r="O1141" s="653">
        <v>0.2</v>
      </c>
      <c r="P1141" s="653">
        <v>0.1</v>
      </c>
      <c r="Q1141" s="652">
        <v>0</v>
      </c>
      <c r="R1141" s="647" t="s">
        <v>112</v>
      </c>
      <c r="S1141" s="654" t="s">
        <v>113</v>
      </c>
      <c r="T1141" s="654">
        <v>64</v>
      </c>
      <c r="U1141" s="655" t="s">
        <v>164</v>
      </c>
      <c r="V1141" s="656"/>
      <c r="X1141" s="652">
        <v>0</v>
      </c>
      <c r="Y1141" s="652"/>
      <c r="AI1141" s="647">
        <v>0</v>
      </c>
      <c r="AJ1141" s="657"/>
      <c r="AK1141" s="658"/>
    </row>
    <row r="1142" spans="1:77" s="261" customFormat="1" ht="12" customHeight="1">
      <c r="B1142" s="258" t="s">
        <v>291</v>
      </c>
      <c r="C1142" s="259">
        <v>44694</v>
      </c>
      <c r="D1142" s="259">
        <v>44697</v>
      </c>
      <c r="E1142" s="260" t="s">
        <v>1066</v>
      </c>
      <c r="F1142" s="261" t="s">
        <v>64</v>
      </c>
      <c r="G1142" s="262">
        <v>4450</v>
      </c>
      <c r="H1142" s="261" t="s">
        <v>27</v>
      </c>
      <c r="I1142" s="261" t="s">
        <v>33</v>
      </c>
      <c r="J1142" s="263">
        <v>16391.34</v>
      </c>
      <c r="L1142" s="263">
        <v>10.4</v>
      </c>
      <c r="M1142" s="263">
        <v>10.47</v>
      </c>
      <c r="N1142" s="265"/>
      <c r="O1142" s="266">
        <v>0.3</v>
      </c>
      <c r="P1142" s="266"/>
      <c r="Q1142" s="265">
        <v>0</v>
      </c>
      <c r="R1142" s="261" t="s">
        <v>46</v>
      </c>
      <c r="S1142" s="267" t="s">
        <v>65</v>
      </c>
      <c r="T1142" s="267">
        <v>59</v>
      </c>
      <c r="U1142" s="268" t="s">
        <v>164</v>
      </c>
      <c r="V1142" s="427"/>
      <c r="W1142" s="261" t="s">
        <v>3689</v>
      </c>
      <c r="X1142" s="265">
        <v>0</v>
      </c>
      <c r="Y1142" s="265"/>
      <c r="AG1142" s="261">
        <f t="shared" ref="AG1142:AG1149" si="19">X1142</f>
        <v>0</v>
      </c>
      <c r="AJ1142" s="642"/>
    </row>
    <row r="1143" spans="1:77" s="261" customFormat="1" ht="12" customHeight="1">
      <c r="B1143" s="258" t="s">
        <v>291</v>
      </c>
      <c r="C1143" s="259"/>
      <c r="D1143" s="259"/>
      <c r="E1143" s="260" t="s">
        <v>1066</v>
      </c>
      <c r="F1143" s="261" t="s">
        <v>64</v>
      </c>
      <c r="G1143" s="262">
        <v>4450</v>
      </c>
      <c r="H1143" s="261" t="s">
        <v>183</v>
      </c>
      <c r="I1143" s="261" t="s">
        <v>33</v>
      </c>
      <c r="J1143" s="263">
        <v>15848.3</v>
      </c>
      <c r="L1143" s="263">
        <v>13</v>
      </c>
      <c r="M1143" s="263">
        <v>17.989999999999998</v>
      </c>
      <c r="N1143" s="265">
        <f>0.05*J1143</f>
        <v>792.41499999999996</v>
      </c>
      <c r="O1143" s="266">
        <v>0.3</v>
      </c>
      <c r="P1143" s="266"/>
      <c r="Q1143" s="265">
        <v>0</v>
      </c>
      <c r="R1143" s="261" t="s">
        <v>46</v>
      </c>
      <c r="S1143" s="267" t="s">
        <v>65</v>
      </c>
      <c r="T1143" s="267">
        <v>27</v>
      </c>
      <c r="U1143" s="268" t="s">
        <v>164</v>
      </c>
      <c r="V1143" s="427"/>
      <c r="X1143" s="265">
        <v>0</v>
      </c>
      <c r="Y1143" s="265"/>
      <c r="AG1143" s="261">
        <f t="shared" si="19"/>
        <v>0</v>
      </c>
      <c r="AJ1143" s="642"/>
    </row>
    <row r="1144" spans="1:77" s="261" customFormat="1" ht="12" customHeight="1">
      <c r="B1144" s="258" t="s">
        <v>291</v>
      </c>
      <c r="C1144" s="259"/>
      <c r="D1144" s="259"/>
      <c r="E1144" s="260" t="s">
        <v>1066</v>
      </c>
      <c r="F1144" s="261" t="s">
        <v>64</v>
      </c>
      <c r="G1144" s="262">
        <v>4450</v>
      </c>
      <c r="H1144" s="261" t="s">
        <v>408</v>
      </c>
      <c r="I1144" s="261" t="s">
        <v>33</v>
      </c>
      <c r="J1144" s="263">
        <v>33312.6</v>
      </c>
      <c r="L1144" s="263">
        <v>15.5</v>
      </c>
      <c r="M1144" s="263">
        <v>15.51</v>
      </c>
      <c r="N1144" s="265"/>
      <c r="O1144" s="266">
        <v>0.3</v>
      </c>
      <c r="P1144" s="266"/>
      <c r="Q1144" s="265">
        <v>0</v>
      </c>
      <c r="R1144" s="261" t="s">
        <v>46</v>
      </c>
      <c r="S1144" s="267" t="s">
        <v>65</v>
      </c>
      <c r="T1144" s="267">
        <v>59</v>
      </c>
      <c r="U1144" s="268" t="s">
        <v>164</v>
      </c>
      <c r="V1144" s="427"/>
      <c r="W1144" s="261" t="s">
        <v>3689</v>
      </c>
      <c r="X1144" s="265">
        <v>0</v>
      </c>
      <c r="Y1144" s="265"/>
      <c r="AG1144" s="261">
        <f t="shared" si="19"/>
        <v>0</v>
      </c>
      <c r="AJ1144" s="642"/>
    </row>
    <row r="1145" spans="1:77" s="261" customFormat="1" ht="12" customHeight="1">
      <c r="B1145" s="258" t="s">
        <v>291</v>
      </c>
      <c r="C1145" s="259"/>
      <c r="D1145" s="259"/>
      <c r="E1145" s="260" t="s">
        <v>1066</v>
      </c>
      <c r="F1145" s="261" t="s">
        <v>64</v>
      </c>
      <c r="G1145" s="262">
        <v>4450</v>
      </c>
      <c r="H1145" s="261" t="s">
        <v>99</v>
      </c>
      <c r="I1145" s="261" t="s">
        <v>33</v>
      </c>
      <c r="J1145" s="263">
        <v>61208.5</v>
      </c>
      <c r="L1145" s="263">
        <v>37.9</v>
      </c>
      <c r="M1145" s="263">
        <v>38.04</v>
      </c>
      <c r="N1145" s="265"/>
      <c r="O1145" s="266">
        <v>0.3</v>
      </c>
      <c r="P1145" s="266"/>
      <c r="Q1145" s="265">
        <v>0</v>
      </c>
      <c r="R1145" s="261" t="s">
        <v>46</v>
      </c>
      <c r="S1145" s="267" t="s">
        <v>65</v>
      </c>
      <c r="T1145" s="267">
        <v>59</v>
      </c>
      <c r="U1145" s="268" t="s">
        <v>164</v>
      </c>
      <c r="V1145" s="427"/>
      <c r="W1145" s="261" t="s">
        <v>3689</v>
      </c>
      <c r="X1145" s="265">
        <v>0</v>
      </c>
      <c r="Y1145" s="265"/>
      <c r="AG1145" s="261">
        <f t="shared" si="19"/>
        <v>0</v>
      </c>
      <c r="AJ1145" s="642"/>
    </row>
    <row r="1146" spans="1:77" s="261" customFormat="1" ht="12" customHeight="1">
      <c r="B1146" s="258" t="s">
        <v>291</v>
      </c>
      <c r="C1146" s="259"/>
      <c r="D1146" s="259"/>
      <c r="E1146" s="260" t="s">
        <v>1066</v>
      </c>
      <c r="F1146" s="261" t="s">
        <v>64</v>
      </c>
      <c r="G1146" s="262">
        <v>4450</v>
      </c>
      <c r="H1146" s="261" t="s">
        <v>140</v>
      </c>
      <c r="I1146" s="261" t="s">
        <v>33</v>
      </c>
      <c r="J1146" s="263">
        <v>11210</v>
      </c>
      <c r="L1146" s="263">
        <v>7.6</v>
      </c>
      <c r="M1146" s="263">
        <v>7.65</v>
      </c>
      <c r="N1146" s="265">
        <f>0.05*J1146</f>
        <v>560.5</v>
      </c>
      <c r="O1146" s="266">
        <v>0.3</v>
      </c>
      <c r="P1146" s="266"/>
      <c r="Q1146" s="265">
        <v>0</v>
      </c>
      <c r="R1146" s="261" t="s">
        <v>46</v>
      </c>
      <c r="S1146" s="267" t="s">
        <v>65</v>
      </c>
      <c r="T1146" s="267">
        <v>27</v>
      </c>
      <c r="U1146" s="268" t="s">
        <v>164</v>
      </c>
      <c r="V1146" s="427"/>
      <c r="W1146" s="261" t="s">
        <v>3689</v>
      </c>
      <c r="X1146" s="265">
        <v>0</v>
      </c>
      <c r="Y1146" s="265"/>
      <c r="AG1146" s="261">
        <f t="shared" si="19"/>
        <v>0</v>
      </c>
      <c r="AJ1146" s="642"/>
    </row>
    <row r="1147" spans="1:77" s="261" customFormat="1" ht="12" customHeight="1">
      <c r="B1147" s="258" t="s">
        <v>291</v>
      </c>
      <c r="C1147" s="259"/>
      <c r="D1147" s="259"/>
      <c r="E1147" s="260" t="s">
        <v>1066</v>
      </c>
      <c r="F1147" s="261" t="s">
        <v>64</v>
      </c>
      <c r="G1147" s="262">
        <v>4450</v>
      </c>
      <c r="H1147" s="261" t="s">
        <v>99</v>
      </c>
      <c r="I1147" s="261" t="s">
        <v>33</v>
      </c>
      <c r="J1147" s="263">
        <v>71310.58</v>
      </c>
      <c r="L1147" s="263">
        <v>50.6</v>
      </c>
      <c r="M1147" s="263">
        <v>45.17</v>
      </c>
      <c r="N1147" s="265">
        <f>0.05*J1147</f>
        <v>3565.5290000000005</v>
      </c>
      <c r="O1147" s="266">
        <v>0.3</v>
      </c>
      <c r="P1147" s="266"/>
      <c r="Q1147" s="265">
        <v>0</v>
      </c>
      <c r="R1147" s="261" t="s">
        <v>46</v>
      </c>
      <c r="S1147" s="267" t="s">
        <v>65</v>
      </c>
      <c r="T1147" s="267">
        <v>27</v>
      </c>
      <c r="U1147" s="268" t="s">
        <v>164</v>
      </c>
      <c r="V1147" s="427"/>
      <c r="W1147" s="261" t="s">
        <v>3689</v>
      </c>
      <c r="X1147" s="265">
        <v>0</v>
      </c>
      <c r="Y1147" s="265"/>
      <c r="AG1147" s="261">
        <f t="shared" si="19"/>
        <v>0</v>
      </c>
      <c r="AJ1147" s="642"/>
    </row>
    <row r="1148" spans="1:77" s="261" customFormat="1" ht="12" customHeight="1">
      <c r="B1148" s="258" t="s">
        <v>291</v>
      </c>
      <c r="C1148" s="259"/>
      <c r="D1148" s="259"/>
      <c r="E1148" s="260" t="s">
        <v>1066</v>
      </c>
      <c r="F1148" s="261" t="s">
        <v>64</v>
      </c>
      <c r="G1148" s="262">
        <v>4450</v>
      </c>
      <c r="H1148" s="261" t="s">
        <v>27</v>
      </c>
      <c r="I1148" s="261" t="s">
        <v>33</v>
      </c>
      <c r="J1148" s="263">
        <v>49103.6</v>
      </c>
      <c r="L1148" s="263">
        <v>36.4</v>
      </c>
      <c r="M1148" s="263">
        <v>36.64</v>
      </c>
      <c r="N1148" s="265">
        <f>0.15*J1148</f>
        <v>7365.54</v>
      </c>
      <c r="O1148" s="266">
        <v>0.3</v>
      </c>
      <c r="P1148" s="266"/>
      <c r="Q1148" s="265">
        <v>0</v>
      </c>
      <c r="R1148" s="261" t="s">
        <v>46</v>
      </c>
      <c r="S1148" s="267" t="s">
        <v>65</v>
      </c>
      <c r="T1148" s="267">
        <v>27</v>
      </c>
      <c r="U1148" s="268" t="s">
        <v>164</v>
      </c>
      <c r="V1148" s="427"/>
      <c r="W1148" s="261" t="s">
        <v>3689</v>
      </c>
      <c r="X1148" s="265">
        <v>0</v>
      </c>
      <c r="Y1148" s="265"/>
      <c r="AG1148" s="261">
        <f t="shared" si="19"/>
        <v>0</v>
      </c>
      <c r="AJ1148" s="642"/>
    </row>
    <row r="1149" spans="1:77" s="261" customFormat="1" ht="12" customHeight="1">
      <c r="B1149" s="258" t="s">
        <v>291</v>
      </c>
      <c r="C1149" s="259"/>
      <c r="D1149" s="259"/>
      <c r="E1149" s="260" t="s">
        <v>1066</v>
      </c>
      <c r="F1149" s="261" t="s">
        <v>64</v>
      </c>
      <c r="G1149" s="262">
        <v>4450</v>
      </c>
      <c r="H1149" s="261" t="s">
        <v>407</v>
      </c>
      <c r="I1149" s="261" t="s">
        <v>33</v>
      </c>
      <c r="J1149" s="263">
        <v>33341.9</v>
      </c>
      <c r="L1149" s="263">
        <v>16.399999999999999</v>
      </c>
      <c r="M1149" s="263">
        <v>16.440000000000001</v>
      </c>
      <c r="N1149" s="265">
        <f>+J1149*0.3</f>
        <v>10002.57</v>
      </c>
      <c r="O1149" s="266">
        <v>0.3</v>
      </c>
      <c r="P1149" s="266"/>
      <c r="Q1149" s="265">
        <f>+N1149-J1149*O1149</f>
        <v>0</v>
      </c>
      <c r="R1149" s="261" t="s">
        <v>46</v>
      </c>
      <c r="S1149" s="267" t="s">
        <v>65</v>
      </c>
      <c r="T1149" s="267">
        <v>27</v>
      </c>
      <c r="U1149" s="268" t="s">
        <v>164</v>
      </c>
      <c r="V1149" s="427"/>
      <c r="W1149" s="261" t="s">
        <v>3689</v>
      </c>
      <c r="X1149" s="265">
        <v>0</v>
      </c>
      <c r="Y1149" s="265"/>
      <c r="AG1149" s="261">
        <f t="shared" si="19"/>
        <v>0</v>
      </c>
      <c r="AJ1149" s="642"/>
    </row>
    <row r="1150" spans="1:77" s="291" customFormat="1" ht="12" customHeight="1">
      <c r="B1150" s="310" t="s">
        <v>291</v>
      </c>
      <c r="C1150" s="292">
        <v>44697</v>
      </c>
      <c r="D1150" s="292">
        <v>44697</v>
      </c>
      <c r="E1150" s="293" t="s">
        <v>1067</v>
      </c>
      <c r="F1150" s="291" t="s">
        <v>1068</v>
      </c>
      <c r="G1150" s="294">
        <v>4163</v>
      </c>
      <c r="H1150" s="291" t="s">
        <v>99</v>
      </c>
      <c r="I1150" s="291" t="s">
        <v>33</v>
      </c>
      <c r="J1150" s="296">
        <v>24355.46</v>
      </c>
      <c r="L1150" s="296">
        <v>21.26</v>
      </c>
      <c r="M1150" s="296">
        <v>21.26</v>
      </c>
      <c r="N1150" s="297"/>
      <c r="O1150" s="298">
        <v>0.2</v>
      </c>
      <c r="P1150" s="298"/>
      <c r="Q1150" s="297">
        <v>0</v>
      </c>
      <c r="R1150" s="291" t="s">
        <v>128</v>
      </c>
      <c r="S1150" s="299" t="s">
        <v>41</v>
      </c>
      <c r="T1150" s="299">
        <v>86</v>
      </c>
      <c r="U1150" s="300" t="s">
        <v>164</v>
      </c>
      <c r="V1150" s="333"/>
      <c r="X1150" s="297">
        <v>0</v>
      </c>
      <c r="Y1150" s="297"/>
      <c r="AH1150" s="291">
        <f>X1150</f>
        <v>0</v>
      </c>
      <c r="AI1150" s="311"/>
      <c r="AJ1150" s="468"/>
    </row>
    <row r="1151" spans="1:77" s="291" customFormat="1" ht="12" customHeight="1">
      <c r="B1151" s="310" t="s">
        <v>291</v>
      </c>
      <c r="C1151" s="292"/>
      <c r="D1151" s="292"/>
      <c r="E1151" s="293" t="s">
        <v>1067</v>
      </c>
      <c r="F1151" s="291" t="s">
        <v>1068</v>
      </c>
      <c r="G1151" s="294">
        <v>4163</v>
      </c>
      <c r="H1151" s="291" t="s">
        <v>27</v>
      </c>
      <c r="I1151" s="291" t="s">
        <v>33</v>
      </c>
      <c r="J1151" s="296">
        <v>29512.35</v>
      </c>
      <c r="L1151" s="296">
        <v>18.899999999999999</v>
      </c>
      <c r="M1151" s="296">
        <v>18.899999999999999</v>
      </c>
      <c r="N1151" s="297"/>
      <c r="O1151" s="298">
        <v>0.2</v>
      </c>
      <c r="P1151" s="298"/>
      <c r="Q1151" s="297">
        <v>0</v>
      </c>
      <c r="R1151" s="291" t="s">
        <v>128</v>
      </c>
      <c r="S1151" s="299" t="s">
        <v>41</v>
      </c>
      <c r="T1151" s="299">
        <v>86</v>
      </c>
      <c r="U1151" s="300" t="s">
        <v>164</v>
      </c>
      <c r="V1151" s="333"/>
      <c r="X1151" s="297">
        <v>0</v>
      </c>
      <c r="Y1151" s="297"/>
      <c r="AH1151" s="291">
        <f>X1151</f>
        <v>0</v>
      </c>
      <c r="AI1151" s="311"/>
      <c r="AJ1151" s="468"/>
    </row>
    <row r="1152" spans="1:77" s="261" customFormat="1" ht="12" customHeight="1">
      <c r="B1152" s="261" t="s">
        <v>291</v>
      </c>
      <c r="C1152" s="259">
        <v>44697</v>
      </c>
      <c r="D1152" s="259">
        <v>44697</v>
      </c>
      <c r="E1152" s="260" t="s">
        <v>1069</v>
      </c>
      <c r="F1152" s="261" t="s">
        <v>406</v>
      </c>
      <c r="G1152" s="262">
        <v>3869</v>
      </c>
      <c r="H1152" s="261" t="s">
        <v>99</v>
      </c>
      <c r="I1152" s="261" t="s">
        <v>33</v>
      </c>
      <c r="J1152" s="263">
        <f>9.67*220*111</f>
        <v>236141.40000000002</v>
      </c>
      <c r="L1152" s="263">
        <v>111</v>
      </c>
      <c r="M1152" s="263">
        <v>111</v>
      </c>
      <c r="N1152" s="265">
        <v>11807.07</v>
      </c>
      <c r="O1152" s="266">
        <v>0.2</v>
      </c>
      <c r="P1152" s="266"/>
      <c r="Q1152" s="265">
        <v>0</v>
      </c>
      <c r="R1152" s="261" t="s">
        <v>46</v>
      </c>
      <c r="S1152" s="267" t="s">
        <v>47</v>
      </c>
      <c r="T1152" s="267">
        <v>27</v>
      </c>
      <c r="U1152" s="268" t="s">
        <v>164</v>
      </c>
      <c r="V1152" s="427"/>
      <c r="W1152" s="261" t="s">
        <v>3606</v>
      </c>
      <c r="X1152" s="265">
        <v>0</v>
      </c>
      <c r="Y1152" s="265"/>
      <c r="AG1152" s="261">
        <f>X1152</f>
        <v>0</v>
      </c>
      <c r="AJ1152" s="642"/>
    </row>
    <row r="1153" spans="1:77" s="261" customFormat="1" ht="12" customHeight="1">
      <c r="B1153" s="261" t="s">
        <v>291</v>
      </c>
      <c r="C1153" s="259"/>
      <c r="D1153" s="259"/>
      <c r="E1153" s="260" t="s">
        <v>1069</v>
      </c>
      <c r="F1153" s="261" t="s">
        <v>406</v>
      </c>
      <c r="G1153" s="262">
        <v>3869</v>
      </c>
      <c r="H1153" s="261" t="s">
        <v>27</v>
      </c>
      <c r="I1153" s="261" t="s">
        <v>33</v>
      </c>
      <c r="J1153" s="263">
        <f>3.5*540*28.5</f>
        <v>53865</v>
      </c>
      <c r="L1153" s="263">
        <v>28.5</v>
      </c>
      <c r="M1153" s="263">
        <v>28.5</v>
      </c>
      <c r="N1153" s="265">
        <v>2693.25</v>
      </c>
      <c r="O1153" s="266">
        <v>0.2</v>
      </c>
      <c r="P1153" s="266"/>
      <c r="Q1153" s="265">
        <v>0</v>
      </c>
      <c r="R1153" s="261" t="s">
        <v>46</v>
      </c>
      <c r="S1153" s="267" t="s">
        <v>47</v>
      </c>
      <c r="T1153" s="267">
        <v>27</v>
      </c>
      <c r="U1153" s="268" t="s">
        <v>164</v>
      </c>
      <c r="V1153" s="427"/>
      <c r="W1153" s="261" t="s">
        <v>3606</v>
      </c>
      <c r="X1153" s="265">
        <v>0</v>
      </c>
      <c r="Y1153" s="265"/>
      <c r="AG1153" s="261">
        <f>X1153</f>
        <v>0</v>
      </c>
      <c r="AJ1153" s="642"/>
    </row>
    <row r="1154" spans="1:77" s="261" customFormat="1" ht="12" customHeight="1">
      <c r="B1154" s="261" t="s">
        <v>291</v>
      </c>
      <c r="C1154" s="259"/>
      <c r="D1154" s="259"/>
      <c r="E1154" s="260" t="s">
        <v>1069</v>
      </c>
      <c r="F1154" s="261" t="s">
        <v>406</v>
      </c>
      <c r="G1154" s="262">
        <v>3869</v>
      </c>
      <c r="H1154" s="261" t="s">
        <v>140</v>
      </c>
      <c r="I1154" s="261" t="s">
        <v>33</v>
      </c>
      <c r="J1154" s="263">
        <f>5.77*220*16</f>
        <v>20310.399999999998</v>
      </c>
      <c r="L1154" s="263">
        <v>16</v>
      </c>
      <c r="M1154" s="263">
        <v>16</v>
      </c>
      <c r="N1154" s="265">
        <v>1015.52</v>
      </c>
      <c r="O1154" s="266">
        <v>0.2</v>
      </c>
      <c r="P1154" s="266"/>
      <c r="Q1154" s="265">
        <v>0</v>
      </c>
      <c r="R1154" s="261" t="s">
        <v>46</v>
      </c>
      <c r="S1154" s="267" t="s">
        <v>47</v>
      </c>
      <c r="T1154" s="267">
        <v>27</v>
      </c>
      <c r="U1154" s="268" t="s">
        <v>164</v>
      </c>
      <c r="V1154" s="427"/>
      <c r="W1154" s="261" t="s">
        <v>3606</v>
      </c>
      <c r="X1154" s="265">
        <v>0</v>
      </c>
      <c r="Y1154" s="265"/>
      <c r="AG1154" s="261">
        <f>X1154</f>
        <v>0</v>
      </c>
      <c r="AJ1154" s="642"/>
    </row>
    <row r="1155" spans="1:77" s="6" customFormat="1" ht="12" customHeight="1">
      <c r="A1155" s="379"/>
      <c r="B1155" s="379" t="s">
        <v>291</v>
      </c>
      <c r="C1155" s="381"/>
      <c r="D1155" s="381"/>
      <c r="E1155" s="382" t="s">
        <v>1069</v>
      </c>
      <c r="F1155" s="379" t="s">
        <v>406</v>
      </c>
      <c r="G1155" s="383">
        <v>3869</v>
      </c>
      <c r="H1155" s="379" t="s">
        <v>407</v>
      </c>
      <c r="I1155" s="379" t="s">
        <v>33</v>
      </c>
      <c r="J1155" s="385">
        <f>1.24*1400*24</f>
        <v>41664</v>
      </c>
      <c r="K1155" s="379"/>
      <c r="L1155" s="385">
        <v>24</v>
      </c>
      <c r="M1155" s="385">
        <v>24</v>
      </c>
      <c r="N1155" s="386">
        <v>4166.3999999999996</v>
      </c>
      <c r="O1155" s="387">
        <v>0.2</v>
      </c>
      <c r="P1155" s="387"/>
      <c r="Q1155" s="386">
        <v>0</v>
      </c>
      <c r="R1155" s="379" t="s">
        <v>46</v>
      </c>
      <c r="S1155" s="388" t="s">
        <v>47</v>
      </c>
      <c r="T1155" s="388">
        <v>27</v>
      </c>
      <c r="U1155" s="389" t="s">
        <v>164</v>
      </c>
      <c r="V1155" s="433"/>
      <c r="W1155" s="379"/>
      <c r="X1155" s="386">
        <v>0</v>
      </c>
      <c r="Y1155" s="386"/>
      <c r="Z1155" s="379"/>
      <c r="AA1155" s="379"/>
      <c r="AB1155" s="379"/>
      <c r="AC1155" s="379"/>
      <c r="AD1155" s="379"/>
      <c r="AE1155" s="379"/>
      <c r="AF1155" s="379"/>
      <c r="AG1155" s="379"/>
      <c r="AH1155" s="379"/>
      <c r="AI1155" s="379"/>
      <c r="AJ1155" s="390">
        <v>0</v>
      </c>
      <c r="AK1155" s="379"/>
      <c r="AL1155" s="379"/>
      <c r="AM1155" s="379"/>
      <c r="AN1155" s="379"/>
      <c r="AO1155" s="379"/>
      <c r="AP1155" s="379"/>
      <c r="AQ1155" s="379"/>
      <c r="AR1155" s="379"/>
      <c r="AS1155" s="379"/>
      <c r="AT1155" s="379"/>
      <c r="AU1155" s="379"/>
      <c r="AV1155" s="379"/>
      <c r="AW1155" s="379"/>
      <c r="AX1155" s="379"/>
      <c r="AY1155" s="379"/>
      <c r="AZ1155" s="379"/>
      <c r="BA1155" s="379"/>
      <c r="BB1155" s="379"/>
      <c r="BC1155" s="379"/>
      <c r="BD1155" s="379"/>
      <c r="BE1155" s="379"/>
      <c r="BF1155" s="379"/>
      <c r="BG1155" s="379"/>
      <c r="BH1155" s="379"/>
      <c r="BI1155" s="379"/>
      <c r="BJ1155" s="379"/>
      <c r="BK1155" s="379"/>
      <c r="BL1155" s="379"/>
      <c r="BM1155" s="379"/>
      <c r="BN1155" s="379"/>
      <c r="BO1155" s="379"/>
      <c r="BP1155" s="379"/>
      <c r="BQ1155" s="379"/>
      <c r="BR1155" s="379"/>
      <c r="BS1155" s="379"/>
      <c r="BT1155" s="379"/>
      <c r="BU1155" s="379"/>
      <c r="BV1155" s="379"/>
      <c r="BW1155" s="379"/>
      <c r="BX1155" s="379"/>
      <c r="BY1155" s="379"/>
    </row>
    <row r="1156" spans="1:77" s="261" customFormat="1" ht="12" customHeight="1">
      <c r="B1156" s="258" t="s">
        <v>291</v>
      </c>
      <c r="C1156" s="259">
        <v>44697</v>
      </c>
      <c r="D1156" s="259">
        <v>44697</v>
      </c>
      <c r="E1156" s="260" t="s">
        <v>1070</v>
      </c>
      <c r="F1156" s="261" t="s">
        <v>82</v>
      </c>
      <c r="G1156" s="262">
        <v>3874</v>
      </c>
      <c r="H1156" s="261" t="s">
        <v>99</v>
      </c>
      <c r="I1156" s="261" t="s">
        <v>33</v>
      </c>
      <c r="J1156" s="263">
        <v>211767.34</v>
      </c>
      <c r="L1156" s="263">
        <v>113.78</v>
      </c>
      <c r="M1156" s="263">
        <v>113.78</v>
      </c>
      <c r="N1156" s="265">
        <v>63530</v>
      </c>
      <c r="O1156" s="266">
        <v>0.2</v>
      </c>
      <c r="P1156" s="266"/>
      <c r="Q1156" s="265">
        <v>0</v>
      </c>
      <c r="R1156" s="261" t="s">
        <v>54</v>
      </c>
      <c r="S1156" s="267" t="s">
        <v>65</v>
      </c>
      <c r="T1156" s="267">
        <v>60</v>
      </c>
      <c r="U1156" s="268" t="s">
        <v>164</v>
      </c>
      <c r="V1156" s="427"/>
      <c r="W1156" s="261" t="s">
        <v>2681</v>
      </c>
      <c r="X1156" s="265">
        <v>0</v>
      </c>
      <c r="Y1156" s="265"/>
      <c r="AG1156" s="261">
        <f>X1156</f>
        <v>0</v>
      </c>
      <c r="AJ1156" s="642"/>
    </row>
    <row r="1157" spans="1:77" s="261" customFormat="1" ht="12" customHeight="1">
      <c r="B1157" s="258" t="s">
        <v>291</v>
      </c>
      <c r="C1157" s="259"/>
      <c r="D1157" s="259"/>
      <c r="E1157" s="260" t="s">
        <v>1070</v>
      </c>
      <c r="F1157" s="261" t="s">
        <v>82</v>
      </c>
      <c r="G1157" s="262">
        <v>3874</v>
      </c>
      <c r="H1157" s="261" t="s">
        <v>183</v>
      </c>
      <c r="I1157" s="261" t="s">
        <v>33</v>
      </c>
      <c r="J1157" s="263">
        <v>21736.26</v>
      </c>
      <c r="L1157" s="263">
        <v>13.27</v>
      </c>
      <c r="M1157" s="263">
        <v>13.27</v>
      </c>
      <c r="N1157" s="265">
        <v>2173</v>
      </c>
      <c r="O1157" s="266">
        <v>0.2</v>
      </c>
      <c r="P1157" s="266"/>
      <c r="Q1157" s="265">
        <v>0</v>
      </c>
      <c r="R1157" s="261" t="s">
        <v>54</v>
      </c>
      <c r="S1157" s="267" t="s">
        <v>65</v>
      </c>
      <c r="T1157" s="267">
        <v>60</v>
      </c>
      <c r="U1157" s="268" t="s">
        <v>164</v>
      </c>
      <c r="V1157" s="427"/>
      <c r="W1157" s="261" t="s">
        <v>2681</v>
      </c>
      <c r="X1157" s="265">
        <v>0</v>
      </c>
      <c r="Y1157" s="265"/>
      <c r="AG1157" s="261">
        <f>X1157</f>
        <v>0</v>
      </c>
      <c r="AJ1157" s="642"/>
    </row>
    <row r="1158" spans="1:77" s="181" customFormat="1" ht="12" customHeight="1">
      <c r="A1158" s="379"/>
      <c r="B1158" s="380" t="s">
        <v>291</v>
      </c>
      <c r="C1158" s="381"/>
      <c r="D1158" s="381"/>
      <c r="E1158" s="382" t="s">
        <v>1071</v>
      </c>
      <c r="F1158" s="379" t="s">
        <v>1072</v>
      </c>
      <c r="G1158" s="383">
        <v>3872</v>
      </c>
      <c r="H1158" s="379" t="s">
        <v>183</v>
      </c>
      <c r="I1158" s="379" t="s">
        <v>33</v>
      </c>
      <c r="J1158" s="385">
        <v>6787.94</v>
      </c>
      <c r="K1158" s="379"/>
      <c r="L1158" s="385">
        <v>6.53</v>
      </c>
      <c r="M1158" s="385">
        <v>6.53</v>
      </c>
      <c r="N1158" s="386"/>
      <c r="O1158" s="387">
        <v>0.2</v>
      </c>
      <c r="P1158" s="387"/>
      <c r="Q1158" s="386">
        <v>0</v>
      </c>
      <c r="R1158" s="379" t="s">
        <v>54</v>
      </c>
      <c r="S1158" s="388" t="s">
        <v>65</v>
      </c>
      <c r="T1158" s="388">
        <v>27</v>
      </c>
      <c r="U1158" s="389" t="s">
        <v>164</v>
      </c>
      <c r="V1158" s="433"/>
      <c r="W1158" s="379"/>
      <c r="X1158" s="386">
        <v>0</v>
      </c>
      <c r="Y1158" s="386"/>
      <c r="Z1158" s="379"/>
      <c r="AA1158" s="379"/>
      <c r="AB1158" s="379"/>
      <c r="AC1158" s="379"/>
      <c r="AD1158" s="379"/>
      <c r="AE1158" s="379"/>
      <c r="AF1158" s="379"/>
      <c r="AG1158" s="379"/>
      <c r="AH1158" s="379"/>
      <c r="AI1158" s="379"/>
      <c r="AJ1158" s="390">
        <v>0</v>
      </c>
      <c r="AK1158" s="379"/>
      <c r="AL1158" s="379"/>
      <c r="AM1158" s="379"/>
      <c r="AN1158" s="379"/>
      <c r="AO1158" s="379"/>
      <c r="AP1158" s="379"/>
      <c r="AQ1158" s="379"/>
      <c r="AR1158" s="379"/>
      <c r="AS1158" s="379"/>
      <c r="AT1158" s="379"/>
      <c r="AU1158" s="379"/>
      <c r="AV1158" s="379"/>
      <c r="AW1158" s="379"/>
      <c r="AX1158" s="379"/>
      <c r="AY1158" s="379"/>
      <c r="AZ1158" s="379"/>
      <c r="BA1158" s="379"/>
      <c r="BB1158" s="379"/>
      <c r="BC1158" s="379"/>
      <c r="BD1158" s="379"/>
      <c r="BE1158" s="379"/>
      <c r="BF1158" s="379"/>
      <c r="BG1158" s="379"/>
      <c r="BH1158" s="379"/>
      <c r="BI1158" s="379"/>
      <c r="BJ1158" s="379"/>
      <c r="BK1158" s="379"/>
      <c r="BL1158" s="379"/>
      <c r="BM1158" s="379"/>
      <c r="BN1158" s="379"/>
      <c r="BO1158" s="379"/>
      <c r="BP1158" s="379"/>
      <c r="BQ1158" s="379"/>
      <c r="BR1158" s="379"/>
      <c r="BS1158" s="379"/>
      <c r="BT1158" s="379"/>
      <c r="BU1158" s="379"/>
      <c r="BV1158" s="379"/>
      <c r="BW1158" s="379"/>
      <c r="BX1158" s="379"/>
      <c r="BY1158" s="379"/>
    </row>
    <row r="1159" spans="1:77" s="181" customFormat="1" ht="12" customHeight="1">
      <c r="B1159" s="178" t="s">
        <v>291</v>
      </c>
      <c r="C1159" s="179">
        <v>44697</v>
      </c>
      <c r="D1159" s="179">
        <v>44697</v>
      </c>
      <c r="E1159" s="180" t="s">
        <v>1071</v>
      </c>
      <c r="F1159" s="181" t="s">
        <v>1072</v>
      </c>
      <c r="G1159" s="182">
        <v>3872</v>
      </c>
      <c r="H1159" s="181" t="s">
        <v>99</v>
      </c>
      <c r="I1159" s="181" t="s">
        <v>33</v>
      </c>
      <c r="J1159" s="183">
        <v>14877.85</v>
      </c>
      <c r="L1159" s="183">
        <v>8.3800000000000008</v>
      </c>
      <c r="M1159" s="183">
        <v>8.4600000000000009</v>
      </c>
      <c r="N1159" s="185"/>
      <c r="O1159" s="186">
        <v>0.2</v>
      </c>
      <c r="P1159" s="186"/>
      <c r="Q1159" s="185">
        <v>0</v>
      </c>
      <c r="R1159" s="181" t="s">
        <v>54</v>
      </c>
      <c r="S1159" s="187" t="s">
        <v>65</v>
      </c>
      <c r="T1159" s="187">
        <v>60</v>
      </c>
      <c r="U1159" s="188" t="s">
        <v>164</v>
      </c>
      <c r="V1159" s="441"/>
      <c r="W1159" s="181" t="s">
        <v>2682</v>
      </c>
      <c r="X1159" s="185">
        <v>0</v>
      </c>
      <c r="Y1159" s="185"/>
      <c r="AE1159" s="204">
        <f>X1159</f>
        <v>0</v>
      </c>
      <c r="AJ1159" s="189"/>
    </row>
    <row r="1160" spans="1:77" s="291" customFormat="1" ht="12" customHeight="1">
      <c r="B1160" s="310" t="s">
        <v>291</v>
      </c>
      <c r="C1160" s="292">
        <v>44696</v>
      </c>
      <c r="D1160" s="292">
        <v>44697</v>
      </c>
      <c r="E1160" s="293" t="s">
        <v>1073</v>
      </c>
      <c r="F1160" s="291" t="s">
        <v>1074</v>
      </c>
      <c r="G1160" s="294" t="s">
        <v>1075</v>
      </c>
      <c r="H1160" s="291" t="s">
        <v>866</v>
      </c>
      <c r="I1160" s="291" t="s">
        <v>156</v>
      </c>
      <c r="J1160" s="296">
        <v>3299.67</v>
      </c>
      <c r="L1160" s="296">
        <v>2.42</v>
      </c>
      <c r="M1160" s="296">
        <v>2.42</v>
      </c>
      <c r="N1160" s="297">
        <v>433.45</v>
      </c>
      <c r="O1160" s="298">
        <v>0.15</v>
      </c>
      <c r="P1160" s="298">
        <v>0.1</v>
      </c>
      <c r="Q1160" s="297">
        <v>0</v>
      </c>
      <c r="R1160" s="291" t="s">
        <v>112</v>
      </c>
      <c r="S1160" s="299" t="s">
        <v>113</v>
      </c>
      <c r="T1160" s="299">
        <v>64</v>
      </c>
      <c r="U1160" s="300" t="s">
        <v>164</v>
      </c>
      <c r="V1160" s="333"/>
      <c r="X1160" s="297">
        <v>0</v>
      </c>
      <c r="Y1160" s="297"/>
      <c r="AH1160" s="311">
        <f>X1160</f>
        <v>0</v>
      </c>
      <c r="AI1160" s="311"/>
      <c r="AJ1160" s="468"/>
    </row>
    <row r="1161" spans="1:77" s="181" customFormat="1" ht="12" customHeight="1">
      <c r="B1161" s="178" t="s">
        <v>291</v>
      </c>
      <c r="C1161" s="179">
        <v>44697</v>
      </c>
      <c r="D1161" s="179">
        <v>44697</v>
      </c>
      <c r="E1161" s="180" t="s">
        <v>1076</v>
      </c>
      <c r="F1161" s="181" t="s">
        <v>1077</v>
      </c>
      <c r="G1161" s="182">
        <v>3877</v>
      </c>
      <c r="H1161" s="181" t="s">
        <v>250</v>
      </c>
      <c r="I1161" s="181" t="s">
        <v>33</v>
      </c>
      <c r="J1161" s="183">
        <v>9026.06</v>
      </c>
      <c r="L1161" s="183">
        <v>18.190000000000001</v>
      </c>
      <c r="M1161" s="183">
        <v>18.190000000000001</v>
      </c>
      <c r="N1161" s="185">
        <v>0</v>
      </c>
      <c r="O1161" s="186">
        <v>0.2</v>
      </c>
      <c r="P1161" s="186"/>
      <c r="Q1161" s="185">
        <v>0</v>
      </c>
      <c r="R1161" s="181" t="s">
        <v>54</v>
      </c>
      <c r="S1161" s="187" t="s">
        <v>65</v>
      </c>
      <c r="T1161" s="187">
        <v>78</v>
      </c>
      <c r="U1161" s="188" t="s">
        <v>164</v>
      </c>
      <c r="V1161" s="441"/>
      <c r="W1161" s="181" t="s">
        <v>2680</v>
      </c>
      <c r="X1161" s="185">
        <v>0</v>
      </c>
      <c r="Y1161" s="185"/>
      <c r="AE1161" s="204">
        <f t="shared" ref="AE1161:AE1166" si="20">X1161</f>
        <v>0</v>
      </c>
      <c r="AJ1161" s="189"/>
    </row>
    <row r="1162" spans="1:77" s="181" customFormat="1" ht="12" customHeight="1">
      <c r="B1162" s="178" t="s">
        <v>291</v>
      </c>
      <c r="C1162" s="179"/>
      <c r="D1162" s="179"/>
      <c r="E1162" s="180" t="s">
        <v>1076</v>
      </c>
      <c r="F1162" s="181" t="s">
        <v>1077</v>
      </c>
      <c r="G1162" s="182">
        <v>3877</v>
      </c>
      <c r="H1162" s="181" t="s">
        <v>250</v>
      </c>
      <c r="I1162" s="181" t="s">
        <v>33</v>
      </c>
      <c r="J1162" s="183">
        <v>15820.98</v>
      </c>
      <c r="L1162" s="183">
        <v>35.619999999999997</v>
      </c>
      <c r="M1162" s="183">
        <v>35.619999999999997</v>
      </c>
      <c r="N1162" s="185">
        <v>0</v>
      </c>
      <c r="O1162" s="186">
        <v>0.2</v>
      </c>
      <c r="P1162" s="186"/>
      <c r="Q1162" s="185">
        <v>0</v>
      </c>
      <c r="R1162" s="181" t="s">
        <v>54</v>
      </c>
      <c r="S1162" s="187" t="s">
        <v>65</v>
      </c>
      <c r="T1162" s="187">
        <v>91</v>
      </c>
      <c r="U1162" s="188" t="s">
        <v>164</v>
      </c>
      <c r="V1162" s="441"/>
      <c r="W1162" s="181" t="s">
        <v>2680</v>
      </c>
      <c r="X1162" s="185">
        <v>0</v>
      </c>
      <c r="Y1162" s="185"/>
      <c r="AE1162" s="204">
        <f t="shared" si="20"/>
        <v>0</v>
      </c>
      <c r="AJ1162" s="189"/>
    </row>
    <row r="1163" spans="1:77" s="181" customFormat="1" ht="12" customHeight="1">
      <c r="B1163" s="178" t="s">
        <v>291</v>
      </c>
      <c r="C1163" s="179"/>
      <c r="D1163" s="179"/>
      <c r="E1163" s="180" t="s">
        <v>1076</v>
      </c>
      <c r="F1163" s="181" t="s">
        <v>1077</v>
      </c>
      <c r="G1163" s="182">
        <v>3877</v>
      </c>
      <c r="H1163" s="181" t="s">
        <v>356</v>
      </c>
      <c r="I1163" s="181" t="s">
        <v>33</v>
      </c>
      <c r="J1163" s="183">
        <v>21750.1</v>
      </c>
      <c r="L1163" s="183">
        <v>28.15</v>
      </c>
      <c r="M1163" s="183">
        <v>28.15</v>
      </c>
      <c r="N1163" s="185">
        <v>0</v>
      </c>
      <c r="O1163" s="186">
        <v>0.2</v>
      </c>
      <c r="P1163" s="186"/>
      <c r="Q1163" s="185">
        <v>0</v>
      </c>
      <c r="R1163" s="181" t="s">
        <v>54</v>
      </c>
      <c r="S1163" s="187" t="s">
        <v>65</v>
      </c>
      <c r="T1163" s="187">
        <v>78</v>
      </c>
      <c r="U1163" s="188" t="s">
        <v>164</v>
      </c>
      <c r="V1163" s="441"/>
      <c r="W1163" s="181" t="s">
        <v>2680</v>
      </c>
      <c r="X1163" s="185">
        <v>0</v>
      </c>
      <c r="Y1163" s="185"/>
      <c r="AE1163" s="204">
        <f t="shared" si="20"/>
        <v>0</v>
      </c>
      <c r="AJ1163" s="189"/>
    </row>
    <row r="1164" spans="1:77" s="181" customFormat="1" ht="12" customHeight="1">
      <c r="B1164" s="178" t="s">
        <v>291</v>
      </c>
      <c r="C1164" s="179"/>
      <c r="D1164" s="179"/>
      <c r="E1164" s="180" t="s">
        <v>1076</v>
      </c>
      <c r="F1164" s="181" t="s">
        <v>1077</v>
      </c>
      <c r="G1164" s="182">
        <v>3877</v>
      </c>
      <c r="H1164" s="181" t="s">
        <v>356</v>
      </c>
      <c r="I1164" s="181" t="s">
        <v>33</v>
      </c>
      <c r="J1164" s="183">
        <v>35001.050000000003</v>
      </c>
      <c r="L1164" s="183">
        <v>45.3</v>
      </c>
      <c r="M1164" s="183">
        <v>45.3</v>
      </c>
      <c r="N1164" s="185">
        <v>0</v>
      </c>
      <c r="O1164" s="186">
        <v>0.2</v>
      </c>
      <c r="P1164" s="186"/>
      <c r="Q1164" s="185">
        <v>0</v>
      </c>
      <c r="R1164" s="181" t="s">
        <v>54</v>
      </c>
      <c r="S1164" s="187" t="s">
        <v>65</v>
      </c>
      <c r="T1164" s="187">
        <v>91</v>
      </c>
      <c r="U1164" s="188" t="s">
        <v>164</v>
      </c>
      <c r="V1164" s="441"/>
      <c r="W1164" s="181" t="s">
        <v>2680</v>
      </c>
      <c r="X1164" s="185">
        <v>0</v>
      </c>
      <c r="Y1164" s="185"/>
      <c r="AE1164" s="204">
        <f t="shared" si="20"/>
        <v>0</v>
      </c>
      <c r="AJ1164" s="189"/>
    </row>
    <row r="1165" spans="1:77" s="181" customFormat="1" ht="12" customHeight="1">
      <c r="B1165" s="178" t="s">
        <v>291</v>
      </c>
      <c r="C1165" s="179"/>
      <c r="D1165" s="179"/>
      <c r="E1165" s="180" t="s">
        <v>1076</v>
      </c>
      <c r="F1165" s="181" t="s">
        <v>1077</v>
      </c>
      <c r="G1165" s="182">
        <v>3877</v>
      </c>
      <c r="H1165" s="181" t="s">
        <v>192</v>
      </c>
      <c r="I1165" s="181" t="s">
        <v>33</v>
      </c>
      <c r="J1165" s="183">
        <v>14508.37</v>
      </c>
      <c r="L1165" s="183">
        <v>13.16</v>
      </c>
      <c r="M1165" s="183">
        <v>13.16</v>
      </c>
      <c r="N1165" s="185">
        <v>0</v>
      </c>
      <c r="O1165" s="186">
        <v>0.2</v>
      </c>
      <c r="P1165" s="186"/>
      <c r="Q1165" s="185">
        <v>0</v>
      </c>
      <c r="R1165" s="181" t="s">
        <v>54</v>
      </c>
      <c r="S1165" s="187" t="s">
        <v>65</v>
      </c>
      <c r="T1165" s="187">
        <v>78</v>
      </c>
      <c r="U1165" s="188" t="s">
        <v>164</v>
      </c>
      <c r="V1165" s="441"/>
      <c r="W1165" s="181" t="s">
        <v>2680</v>
      </c>
      <c r="X1165" s="185">
        <v>0</v>
      </c>
      <c r="Y1165" s="185"/>
      <c r="AE1165" s="204">
        <f t="shared" si="20"/>
        <v>0</v>
      </c>
      <c r="AJ1165" s="189"/>
    </row>
    <row r="1166" spans="1:77" s="181" customFormat="1" ht="12" customHeight="1">
      <c r="B1166" s="178" t="s">
        <v>291</v>
      </c>
      <c r="C1166" s="179"/>
      <c r="D1166" s="179"/>
      <c r="E1166" s="180" t="s">
        <v>1076</v>
      </c>
      <c r="F1166" s="181" t="s">
        <v>1077</v>
      </c>
      <c r="G1166" s="182">
        <v>3877</v>
      </c>
      <c r="H1166" s="181" t="s">
        <v>192</v>
      </c>
      <c r="I1166" s="181" t="s">
        <v>33</v>
      </c>
      <c r="J1166" s="183">
        <v>33439.440000000002</v>
      </c>
      <c r="L1166" s="183">
        <v>30.18</v>
      </c>
      <c r="M1166" s="183">
        <v>30.18</v>
      </c>
      <c r="N1166" s="185">
        <v>0</v>
      </c>
      <c r="O1166" s="186">
        <v>0.2</v>
      </c>
      <c r="P1166" s="186"/>
      <c r="Q1166" s="185">
        <v>0</v>
      </c>
      <c r="R1166" s="181" t="s">
        <v>54</v>
      </c>
      <c r="S1166" s="187" t="s">
        <v>65</v>
      </c>
      <c r="T1166" s="187">
        <v>91</v>
      </c>
      <c r="U1166" s="188" t="s">
        <v>164</v>
      </c>
      <c r="V1166" s="441"/>
      <c r="W1166" s="181" t="s">
        <v>2680</v>
      </c>
      <c r="X1166" s="185">
        <v>0</v>
      </c>
      <c r="Y1166" s="185"/>
      <c r="AE1166" s="204">
        <f t="shared" si="20"/>
        <v>0</v>
      </c>
      <c r="AJ1166" s="189"/>
    </row>
    <row r="1167" spans="1:77" s="379" customFormat="1" ht="12" customHeight="1">
      <c r="B1167" s="380" t="s">
        <v>291</v>
      </c>
      <c r="C1167" s="381">
        <v>44697</v>
      </c>
      <c r="D1167" s="381">
        <v>44697</v>
      </c>
      <c r="E1167" s="382" t="s">
        <v>1078</v>
      </c>
      <c r="F1167" s="379" t="s">
        <v>1079</v>
      </c>
      <c r="G1167" s="383">
        <v>3524</v>
      </c>
      <c r="H1167" s="379" t="s">
        <v>492</v>
      </c>
      <c r="I1167" s="379" t="s">
        <v>33</v>
      </c>
      <c r="J1167" s="385">
        <v>19957.28</v>
      </c>
      <c r="L1167" s="385">
        <v>14.42</v>
      </c>
      <c r="M1167" s="385">
        <v>14.42</v>
      </c>
      <c r="N1167" s="386">
        <f>J1167*0.3</f>
        <v>5987.1839999999993</v>
      </c>
      <c r="O1167" s="387">
        <v>0.15</v>
      </c>
      <c r="P1167" s="387"/>
      <c r="Q1167" s="386">
        <v>5023.93</v>
      </c>
      <c r="R1167" s="379" t="s">
        <v>46</v>
      </c>
      <c r="S1167" s="388" t="s">
        <v>47</v>
      </c>
      <c r="T1167" s="388">
        <v>27</v>
      </c>
      <c r="U1167" s="389" t="s">
        <v>164</v>
      </c>
      <c r="V1167" s="433"/>
      <c r="X1167" s="386">
        <v>5023.93</v>
      </c>
      <c r="Y1167" s="386"/>
      <c r="AJ1167" s="416">
        <v>5023.93</v>
      </c>
    </row>
    <row r="1168" spans="1:77" s="261" customFormat="1" ht="12" customHeight="1">
      <c r="B1168" s="258" t="s">
        <v>291</v>
      </c>
      <c r="C1168" s="259"/>
      <c r="D1168" s="259"/>
      <c r="E1168" s="260" t="s">
        <v>1078</v>
      </c>
      <c r="F1168" s="261" t="s">
        <v>1079</v>
      </c>
      <c r="G1168" s="262">
        <v>3524</v>
      </c>
      <c r="H1168" s="261" t="s">
        <v>183</v>
      </c>
      <c r="I1168" s="261" t="s">
        <v>33</v>
      </c>
      <c r="J1168" s="263">
        <v>52517.52</v>
      </c>
      <c r="L1168" s="263">
        <v>41.88</v>
      </c>
      <c r="M1168" s="263">
        <v>41.81</v>
      </c>
      <c r="N1168" s="265">
        <v>2521.4870000000001</v>
      </c>
      <c r="O1168" s="266">
        <v>0.15</v>
      </c>
      <c r="P1168" s="266"/>
      <c r="Q1168" s="265">
        <v>0</v>
      </c>
      <c r="R1168" s="261" t="s">
        <v>46</v>
      </c>
      <c r="S1168" s="267" t="s">
        <v>47</v>
      </c>
      <c r="T1168" s="267">
        <v>27</v>
      </c>
      <c r="U1168" s="268" t="s">
        <v>164</v>
      </c>
      <c r="V1168" s="427"/>
      <c r="X1168" s="265">
        <v>0</v>
      </c>
      <c r="Y1168" s="265"/>
      <c r="AG1168" s="261">
        <f>X1168</f>
        <v>0</v>
      </c>
      <c r="AJ1168" s="642"/>
    </row>
    <row r="1169" spans="1:77" s="261" customFormat="1" ht="12" customHeight="1">
      <c r="B1169" s="258" t="s">
        <v>291</v>
      </c>
      <c r="C1169" s="259"/>
      <c r="D1169" s="259"/>
      <c r="E1169" s="260" t="s">
        <v>1078</v>
      </c>
      <c r="F1169" s="261" t="s">
        <v>1079</v>
      </c>
      <c r="G1169" s="262">
        <v>3524</v>
      </c>
      <c r="H1169" s="261" t="s">
        <v>99</v>
      </c>
      <c r="I1169" s="261" t="s">
        <v>33</v>
      </c>
      <c r="J1169" s="263">
        <v>212283.5</v>
      </c>
      <c r="L1169" s="263">
        <v>148.44999999999999</v>
      </c>
      <c r="M1169" s="263">
        <v>148.44999999999999</v>
      </c>
      <c r="N1169" s="265">
        <v>10614.174999999999</v>
      </c>
      <c r="O1169" s="266">
        <v>0.15</v>
      </c>
      <c r="P1169" s="266"/>
      <c r="Q1169" s="265">
        <v>0</v>
      </c>
      <c r="R1169" s="261" t="s">
        <v>46</v>
      </c>
      <c r="S1169" s="267" t="s">
        <v>47</v>
      </c>
      <c r="T1169" s="267">
        <v>27</v>
      </c>
      <c r="U1169" s="268" t="s">
        <v>164</v>
      </c>
      <c r="V1169" s="427"/>
      <c r="X1169" s="265">
        <v>0</v>
      </c>
      <c r="Y1169" s="265"/>
      <c r="AG1169" s="261">
        <f>X1169</f>
        <v>0</v>
      </c>
      <c r="AJ1169" s="642"/>
    </row>
    <row r="1170" spans="1:77" s="261" customFormat="1" ht="12" customHeight="1">
      <c r="B1170" s="258" t="s">
        <v>291</v>
      </c>
      <c r="C1170" s="259"/>
      <c r="D1170" s="259"/>
      <c r="E1170" s="260" t="s">
        <v>1078</v>
      </c>
      <c r="F1170" s="261" t="s">
        <v>1079</v>
      </c>
      <c r="G1170" s="262">
        <v>3524</v>
      </c>
      <c r="H1170" s="261" t="s">
        <v>27</v>
      </c>
      <c r="I1170" s="261" t="s">
        <v>33</v>
      </c>
      <c r="J1170" s="263">
        <v>60687.79</v>
      </c>
      <c r="L1170" s="263">
        <v>48.4</v>
      </c>
      <c r="M1170" s="263">
        <v>48.4</v>
      </c>
      <c r="N1170" s="265">
        <v>3034.3896</v>
      </c>
      <c r="O1170" s="266">
        <v>0.15</v>
      </c>
      <c r="P1170" s="266"/>
      <c r="Q1170" s="265">
        <v>0</v>
      </c>
      <c r="R1170" s="261" t="s">
        <v>46</v>
      </c>
      <c r="S1170" s="267" t="s">
        <v>47</v>
      </c>
      <c r="T1170" s="267">
        <v>27</v>
      </c>
      <c r="U1170" s="268" t="s">
        <v>164</v>
      </c>
      <c r="V1170" s="427"/>
      <c r="X1170" s="265">
        <v>0</v>
      </c>
      <c r="Y1170" s="265"/>
      <c r="AG1170" s="261">
        <f>X1170</f>
        <v>0</v>
      </c>
      <c r="AJ1170" s="642"/>
    </row>
    <row r="1171" spans="1:77" s="379" customFormat="1" ht="12" customHeight="1">
      <c r="B1171" s="380" t="s">
        <v>291</v>
      </c>
      <c r="C1171" s="381"/>
      <c r="D1171" s="381"/>
      <c r="E1171" s="382" t="s">
        <v>1078</v>
      </c>
      <c r="F1171" s="379" t="s">
        <v>1079</v>
      </c>
      <c r="G1171" s="383">
        <v>3524</v>
      </c>
      <c r="H1171" s="379" t="s">
        <v>866</v>
      </c>
      <c r="I1171" s="379" t="s">
        <v>33</v>
      </c>
      <c r="J1171" s="385">
        <v>16667.2</v>
      </c>
      <c r="L1171" s="385">
        <v>18.940000000000001</v>
      </c>
      <c r="M1171" s="385">
        <v>18.940000000000001</v>
      </c>
      <c r="N1171" s="386">
        <v>1666.72</v>
      </c>
      <c r="O1171" s="387">
        <v>0.15</v>
      </c>
      <c r="P1171" s="387"/>
      <c r="Q1171" s="396">
        <v>4083.46</v>
      </c>
      <c r="R1171" s="379" t="s">
        <v>46</v>
      </c>
      <c r="S1171" s="388" t="s">
        <v>47</v>
      </c>
      <c r="T1171" s="388">
        <v>27</v>
      </c>
      <c r="U1171" s="389" t="s">
        <v>164</v>
      </c>
      <c r="V1171" s="433"/>
      <c r="X1171" s="396">
        <v>4083.46</v>
      </c>
      <c r="Y1171" s="386"/>
      <c r="AJ1171" s="395">
        <v>4083.46</v>
      </c>
    </row>
    <row r="1172" spans="1:77" s="379" customFormat="1" ht="12" customHeight="1">
      <c r="B1172" s="380" t="s">
        <v>291</v>
      </c>
      <c r="C1172" s="381"/>
      <c r="D1172" s="381"/>
      <c r="E1172" s="382" t="s">
        <v>1078</v>
      </c>
      <c r="F1172" s="379" t="s">
        <v>1079</v>
      </c>
      <c r="G1172" s="383">
        <v>3524</v>
      </c>
      <c r="H1172" s="379" t="s">
        <v>140</v>
      </c>
      <c r="I1172" s="379" t="s">
        <v>33</v>
      </c>
      <c r="J1172" s="385">
        <v>12421.25</v>
      </c>
      <c r="L1172" s="385">
        <v>9.5</v>
      </c>
      <c r="M1172" s="385">
        <v>9.5</v>
      </c>
      <c r="N1172" s="386">
        <v>1242.125</v>
      </c>
      <c r="O1172" s="387">
        <v>0.15</v>
      </c>
      <c r="P1172" s="387"/>
      <c r="Q1172" s="386">
        <v>891.81</v>
      </c>
      <c r="R1172" s="379" t="s">
        <v>46</v>
      </c>
      <c r="S1172" s="388" t="s">
        <v>47</v>
      </c>
      <c r="T1172" s="388">
        <v>27</v>
      </c>
      <c r="U1172" s="389" t="s">
        <v>164</v>
      </c>
      <c r="V1172" s="433"/>
      <c r="X1172" s="386">
        <v>891.81</v>
      </c>
      <c r="Y1172" s="386"/>
      <c r="AJ1172" s="416">
        <v>891.81</v>
      </c>
    </row>
    <row r="1173" spans="1:77" s="261" customFormat="1" ht="12" customHeight="1">
      <c r="B1173" s="258" t="s">
        <v>291</v>
      </c>
      <c r="C1173" s="259">
        <v>44697</v>
      </c>
      <c r="D1173" s="259">
        <v>44697</v>
      </c>
      <c r="E1173" s="260" t="s">
        <v>1080</v>
      </c>
      <c r="F1173" s="261" t="s">
        <v>1081</v>
      </c>
      <c r="G1173" s="262">
        <v>4216</v>
      </c>
      <c r="H1173" s="261" t="s">
        <v>295</v>
      </c>
      <c r="I1173" s="261" t="s">
        <v>33</v>
      </c>
      <c r="J1173" s="263">
        <v>8628.9500000000007</v>
      </c>
      <c r="L1173" s="263">
        <v>12.35</v>
      </c>
      <c r="M1173" s="263">
        <v>12.35</v>
      </c>
      <c r="N1173" s="265">
        <v>3399.8742000000002</v>
      </c>
      <c r="O1173" s="266">
        <v>0.2</v>
      </c>
      <c r="P1173" s="266"/>
      <c r="Q1173" s="265">
        <v>1275.27</v>
      </c>
      <c r="R1173" s="261" t="s">
        <v>42</v>
      </c>
      <c r="S1173" s="267" t="s">
        <v>41</v>
      </c>
      <c r="T1173" s="267">
        <v>16</v>
      </c>
      <c r="U1173" s="268" t="s">
        <v>164</v>
      </c>
      <c r="V1173" s="427"/>
      <c r="X1173" s="265">
        <v>1275.27</v>
      </c>
      <c r="Y1173" s="265"/>
      <c r="AG1173" s="261">
        <f>X1173</f>
        <v>1275.27</v>
      </c>
      <c r="AJ1173" s="642"/>
    </row>
    <row r="1174" spans="1:77" s="261" customFormat="1" ht="12" customHeight="1">
      <c r="B1174" s="258" t="s">
        <v>291</v>
      </c>
      <c r="C1174" s="259"/>
      <c r="D1174" s="259"/>
      <c r="E1174" s="260" t="s">
        <v>1080</v>
      </c>
      <c r="F1174" s="261" t="s">
        <v>1081</v>
      </c>
      <c r="G1174" s="262">
        <v>4216</v>
      </c>
      <c r="H1174" s="261" t="s">
        <v>99</v>
      </c>
      <c r="I1174" s="261" t="s">
        <v>33</v>
      </c>
      <c r="J1174" s="263">
        <v>56981.43</v>
      </c>
      <c r="L1174" s="263">
        <v>46.59</v>
      </c>
      <c r="M1174" s="263">
        <v>46.31</v>
      </c>
      <c r="N1174" s="265">
        <v>13459.538399999999</v>
      </c>
      <c r="O1174" s="266">
        <v>0.2</v>
      </c>
      <c r="P1174" s="266"/>
      <c r="Q1174" s="265">
        <v>0</v>
      </c>
      <c r="R1174" s="261" t="s">
        <v>42</v>
      </c>
      <c r="S1174" s="267" t="s">
        <v>41</v>
      </c>
      <c r="T1174" s="267">
        <v>16</v>
      </c>
      <c r="U1174" s="268" t="s">
        <v>164</v>
      </c>
      <c r="V1174" s="427"/>
      <c r="X1174" s="265">
        <v>0</v>
      </c>
      <c r="Y1174" s="265"/>
      <c r="AG1174" s="261">
        <f>X1174</f>
        <v>0</v>
      </c>
      <c r="AJ1174" s="642"/>
    </row>
    <row r="1175" spans="1:77" s="261" customFormat="1" ht="12" customHeight="1">
      <c r="B1175" s="258" t="s">
        <v>291</v>
      </c>
      <c r="C1175" s="259"/>
      <c r="D1175" s="259"/>
      <c r="E1175" s="260" t="s">
        <v>1080</v>
      </c>
      <c r="F1175" s="261" t="s">
        <v>1081</v>
      </c>
      <c r="G1175" s="262">
        <v>4216</v>
      </c>
      <c r="H1175" s="261" t="s">
        <v>162</v>
      </c>
      <c r="I1175" s="261" t="s">
        <v>33</v>
      </c>
      <c r="J1175" s="263">
        <v>13262.17</v>
      </c>
      <c r="L1175" s="263">
        <v>24.19</v>
      </c>
      <c r="M1175" s="263">
        <v>24.18</v>
      </c>
      <c r="N1175" s="265">
        <v>7954.0110000000004</v>
      </c>
      <c r="O1175" s="266">
        <v>0.2</v>
      </c>
      <c r="P1175" s="266"/>
      <c r="Q1175" s="265">
        <v>3623.49</v>
      </c>
      <c r="R1175" s="261" t="s">
        <v>42</v>
      </c>
      <c r="S1175" s="267" t="s">
        <v>41</v>
      </c>
      <c r="T1175" s="267">
        <v>16</v>
      </c>
      <c r="U1175" s="268" t="s">
        <v>164</v>
      </c>
      <c r="V1175" s="427"/>
      <c r="X1175" s="265">
        <v>3623.49</v>
      </c>
      <c r="Y1175" s="265"/>
      <c r="AG1175" s="261">
        <f>X1175</f>
        <v>3623.49</v>
      </c>
      <c r="AJ1175" s="642"/>
    </row>
    <row r="1176" spans="1:77" s="261" customFormat="1" ht="12" customHeight="1">
      <c r="B1176" s="258" t="s">
        <v>291</v>
      </c>
      <c r="C1176" s="259"/>
      <c r="D1176" s="259"/>
      <c r="E1176" s="260" t="s">
        <v>1080</v>
      </c>
      <c r="F1176" s="261" t="s">
        <v>1081</v>
      </c>
      <c r="G1176" s="262">
        <v>4216</v>
      </c>
      <c r="H1176" s="261" t="s">
        <v>137</v>
      </c>
      <c r="I1176" s="261" t="s">
        <v>33</v>
      </c>
      <c r="J1176" s="263">
        <v>10048.9</v>
      </c>
      <c r="L1176" s="263">
        <v>8.32</v>
      </c>
      <c r="M1176" s="263">
        <v>6.74</v>
      </c>
      <c r="N1176" s="265">
        <v>2379.8939999999998</v>
      </c>
      <c r="O1176" s="266">
        <v>0.2</v>
      </c>
      <c r="P1176" s="266"/>
      <c r="Q1176" s="265">
        <v>806.64</v>
      </c>
      <c r="R1176" s="261" t="s">
        <v>42</v>
      </c>
      <c r="S1176" s="267" t="s">
        <v>41</v>
      </c>
      <c r="T1176" s="267">
        <v>16</v>
      </c>
      <c r="U1176" s="268" t="s">
        <v>164</v>
      </c>
      <c r="V1176" s="427"/>
      <c r="X1176" s="265">
        <v>806.64</v>
      </c>
      <c r="Y1176" s="265"/>
      <c r="AG1176" s="261">
        <f>X1176</f>
        <v>806.64</v>
      </c>
      <c r="AJ1176" s="642"/>
    </row>
    <row r="1177" spans="1:77" s="261" customFormat="1" ht="12" customHeight="1">
      <c r="B1177" s="258" t="s">
        <v>291</v>
      </c>
      <c r="C1177" s="259"/>
      <c r="D1177" s="259"/>
      <c r="E1177" s="260" t="s">
        <v>1080</v>
      </c>
      <c r="F1177" s="261" t="s">
        <v>1081</v>
      </c>
      <c r="G1177" s="262">
        <v>4216</v>
      </c>
      <c r="H1177" s="261" t="s">
        <v>183</v>
      </c>
      <c r="I1177" s="261" t="s">
        <v>33</v>
      </c>
      <c r="J1177" s="263">
        <v>4398.24</v>
      </c>
      <c r="L1177" s="263">
        <v>5.39</v>
      </c>
      <c r="M1177" s="263">
        <v>5.44</v>
      </c>
      <c r="N1177" s="265">
        <v>1331.712</v>
      </c>
      <c r="O1177" s="266">
        <v>0.2</v>
      </c>
      <c r="P1177" s="266"/>
      <c r="Q1177" s="265">
        <v>288.29000000000002</v>
      </c>
      <c r="R1177" s="261" t="s">
        <v>42</v>
      </c>
      <c r="S1177" s="267" t="s">
        <v>41</v>
      </c>
      <c r="T1177" s="267">
        <v>16</v>
      </c>
      <c r="U1177" s="268" t="s">
        <v>164</v>
      </c>
      <c r="V1177" s="427"/>
      <c r="X1177" s="265">
        <v>288.29000000000002</v>
      </c>
      <c r="Y1177" s="265"/>
      <c r="AG1177" s="261">
        <f>X1177</f>
        <v>288.29000000000002</v>
      </c>
      <c r="AJ1177" s="642"/>
    </row>
    <row r="1178" spans="1:77" s="205" customFormat="1" ht="12" customHeight="1">
      <c r="B1178" s="206" t="s">
        <v>291</v>
      </c>
      <c r="C1178" s="207">
        <v>44697</v>
      </c>
      <c r="D1178" s="207">
        <v>44697</v>
      </c>
      <c r="E1178" s="208" t="s">
        <v>1082</v>
      </c>
      <c r="F1178" s="205" t="s">
        <v>1083</v>
      </c>
      <c r="G1178" s="209" t="s">
        <v>1084</v>
      </c>
      <c r="H1178" s="205" t="s">
        <v>163</v>
      </c>
      <c r="I1178" s="205" t="s">
        <v>33</v>
      </c>
      <c r="J1178" s="210">
        <v>6266.7</v>
      </c>
      <c r="L1178" s="210">
        <v>6.33</v>
      </c>
      <c r="M1178" s="210">
        <v>6.33</v>
      </c>
      <c r="N1178" s="213"/>
      <c r="O1178" s="212">
        <v>0.2</v>
      </c>
      <c r="P1178" s="212"/>
      <c r="Q1178" s="213">
        <v>1086.23</v>
      </c>
      <c r="R1178" s="205" t="s">
        <v>112</v>
      </c>
      <c r="S1178" s="214" t="s">
        <v>65</v>
      </c>
      <c r="T1178" s="214">
        <v>64</v>
      </c>
      <c r="U1178" s="215" t="s">
        <v>164</v>
      </c>
      <c r="V1178" s="438"/>
      <c r="X1178" s="213">
        <v>1086.23</v>
      </c>
      <c r="Y1178" s="213"/>
      <c r="AF1178" s="230">
        <f>X1178</f>
        <v>1086.23</v>
      </c>
      <c r="AJ1178" s="216"/>
    </row>
    <row r="1179" spans="1:77" s="261" customFormat="1" ht="12" customHeight="1">
      <c r="B1179" s="258" t="s">
        <v>291</v>
      </c>
      <c r="C1179" s="259">
        <v>44698</v>
      </c>
      <c r="D1179" s="259">
        <v>44698</v>
      </c>
      <c r="E1179" s="260" t="s">
        <v>1087</v>
      </c>
      <c r="F1179" s="261" t="s">
        <v>1088</v>
      </c>
      <c r="G1179" s="262">
        <v>3632</v>
      </c>
      <c r="H1179" s="261" t="s">
        <v>99</v>
      </c>
      <c r="I1179" s="261" t="s">
        <v>888</v>
      </c>
      <c r="J1179" s="263">
        <v>78277.95</v>
      </c>
      <c r="L1179" s="263">
        <v>94.55</v>
      </c>
      <c r="M1179" s="263">
        <v>94.54</v>
      </c>
      <c r="N1179" s="265">
        <f>0.25*J1179</f>
        <v>19569.487499999999</v>
      </c>
      <c r="O1179" s="266">
        <v>0.15</v>
      </c>
      <c r="P1179" s="266"/>
      <c r="Q1179" s="265">
        <v>0</v>
      </c>
      <c r="R1179" s="261" t="s">
        <v>42</v>
      </c>
      <c r="S1179" s="267" t="s">
        <v>41</v>
      </c>
      <c r="T1179" s="267">
        <v>86</v>
      </c>
      <c r="U1179" s="268" t="s">
        <v>164</v>
      </c>
      <c r="V1179" s="427"/>
      <c r="X1179" s="265">
        <v>0</v>
      </c>
      <c r="Y1179" s="265"/>
      <c r="AG1179" s="261">
        <f>X1179</f>
        <v>0</v>
      </c>
      <c r="AJ1179" s="642"/>
    </row>
    <row r="1180" spans="1:77" s="261" customFormat="1" ht="12" customHeight="1">
      <c r="B1180" s="258" t="s">
        <v>291</v>
      </c>
      <c r="C1180" s="259"/>
      <c r="D1180" s="259"/>
      <c r="E1180" s="260" t="s">
        <v>1087</v>
      </c>
      <c r="F1180" s="261" t="s">
        <v>1088</v>
      </c>
      <c r="G1180" s="262">
        <v>3632</v>
      </c>
      <c r="H1180" s="261" t="s">
        <v>27</v>
      </c>
      <c r="I1180" s="261" t="s">
        <v>888</v>
      </c>
      <c r="J1180" s="263">
        <v>50356.38</v>
      </c>
      <c r="L1180" s="263">
        <v>47.84</v>
      </c>
      <c r="M1180" s="263">
        <v>47.83</v>
      </c>
      <c r="N1180" s="265">
        <f>J1180*0.3</f>
        <v>15106.913999999999</v>
      </c>
      <c r="O1180" s="266">
        <v>0.15</v>
      </c>
      <c r="P1180" s="266"/>
      <c r="Q1180" s="265">
        <v>0</v>
      </c>
      <c r="R1180" s="261" t="s">
        <v>42</v>
      </c>
      <c r="S1180" s="267" t="s">
        <v>41</v>
      </c>
      <c r="T1180" s="267">
        <v>86</v>
      </c>
      <c r="U1180" s="268" t="s">
        <v>164</v>
      </c>
      <c r="V1180" s="427"/>
      <c r="X1180" s="265">
        <v>0</v>
      </c>
      <c r="Y1180" s="265"/>
      <c r="AG1180" s="261">
        <f>X1180</f>
        <v>0</v>
      </c>
      <c r="AJ1180" s="642"/>
    </row>
    <row r="1181" spans="1:77" s="261" customFormat="1" ht="12" customHeight="1">
      <c r="B1181" s="258" t="s">
        <v>291</v>
      </c>
      <c r="C1181" s="259">
        <v>44697</v>
      </c>
      <c r="D1181" s="259">
        <v>44697</v>
      </c>
      <c r="E1181" s="260" t="s">
        <v>1089</v>
      </c>
      <c r="F1181" s="261" t="s">
        <v>1090</v>
      </c>
      <c r="G1181" s="262" t="s">
        <v>1091</v>
      </c>
      <c r="H1181" s="261" t="s">
        <v>295</v>
      </c>
      <c r="I1181" s="261" t="s">
        <v>888</v>
      </c>
      <c r="J1181" s="263">
        <v>34684.15</v>
      </c>
      <c r="L1181" s="263">
        <v>41.3</v>
      </c>
      <c r="M1181" s="263">
        <v>41.3</v>
      </c>
      <c r="N1181" s="265">
        <v>6243.1475399999999</v>
      </c>
      <c r="O1181" s="266">
        <v>0.3</v>
      </c>
      <c r="P1181" s="266"/>
      <c r="Q1181" s="265">
        <v>0</v>
      </c>
      <c r="R1181" s="261" t="s">
        <v>281</v>
      </c>
      <c r="S1181" s="267" t="s">
        <v>41</v>
      </c>
      <c r="T1181" s="267">
        <v>87</v>
      </c>
      <c r="U1181" s="268" t="s">
        <v>164</v>
      </c>
      <c r="V1181" s="427"/>
      <c r="X1181" s="265">
        <v>0</v>
      </c>
      <c r="Y1181" s="265"/>
      <c r="AG1181" s="261">
        <f>X1181</f>
        <v>0</v>
      </c>
      <c r="AJ1181" s="642"/>
    </row>
    <row r="1182" spans="1:77" s="261" customFormat="1" ht="12" customHeight="1">
      <c r="B1182" s="258" t="s">
        <v>291</v>
      </c>
      <c r="C1182" s="259">
        <v>44697</v>
      </c>
      <c r="D1182" s="259">
        <v>44697</v>
      </c>
      <c r="E1182" s="260" t="s">
        <v>1092</v>
      </c>
      <c r="F1182" s="261" t="s">
        <v>1093</v>
      </c>
      <c r="G1182" s="262">
        <v>3897</v>
      </c>
      <c r="H1182" s="261" t="s">
        <v>99</v>
      </c>
      <c r="I1182" s="261" t="s">
        <v>33</v>
      </c>
      <c r="J1182" s="263">
        <v>11682.89</v>
      </c>
      <c r="L1182" s="263">
        <v>13.79</v>
      </c>
      <c r="M1182" s="263">
        <v>13.79</v>
      </c>
      <c r="N1182" s="265"/>
      <c r="O1182" s="266">
        <v>0.25</v>
      </c>
      <c r="P1182" s="266"/>
      <c r="Q1182" s="265">
        <v>0</v>
      </c>
      <c r="R1182" s="261" t="s">
        <v>128</v>
      </c>
      <c r="S1182" s="267" t="s">
        <v>41</v>
      </c>
      <c r="T1182" s="267">
        <v>36</v>
      </c>
      <c r="U1182" s="268" t="s">
        <v>164</v>
      </c>
      <c r="V1182" s="427"/>
      <c r="W1182" s="261" t="s">
        <v>3806</v>
      </c>
      <c r="X1182" s="265">
        <v>0</v>
      </c>
      <c r="Y1182" s="265"/>
      <c r="AG1182" s="261">
        <f>X1182</f>
        <v>0</v>
      </c>
      <c r="AJ1182" s="642"/>
    </row>
    <row r="1183" spans="1:77" s="291" customFormat="1" ht="12" customHeight="1">
      <c r="A1183" s="473"/>
      <c r="B1183" s="486" t="s">
        <v>291</v>
      </c>
      <c r="C1183" s="487"/>
      <c r="D1183" s="487"/>
      <c r="E1183" s="488" t="s">
        <v>1094</v>
      </c>
      <c r="F1183" s="473" t="s">
        <v>689</v>
      </c>
      <c r="G1183" s="489">
        <v>3938</v>
      </c>
      <c r="H1183" s="473" t="s">
        <v>765</v>
      </c>
      <c r="I1183" s="473" t="s">
        <v>33</v>
      </c>
      <c r="J1183" s="490">
        <v>14113.93</v>
      </c>
      <c r="K1183" s="473"/>
      <c r="L1183" s="490">
        <v>12.81</v>
      </c>
      <c r="M1183" s="490">
        <v>12.81</v>
      </c>
      <c r="N1183" s="492"/>
      <c r="O1183" s="493">
        <v>0.15</v>
      </c>
      <c r="P1183" s="493"/>
      <c r="Q1183" s="492">
        <v>0</v>
      </c>
      <c r="R1183" s="473" t="s">
        <v>35</v>
      </c>
      <c r="S1183" s="481" t="s">
        <v>41</v>
      </c>
      <c r="T1183" s="481">
        <v>79</v>
      </c>
      <c r="U1183" s="494" t="s">
        <v>164</v>
      </c>
      <c r="V1183" s="495"/>
      <c r="W1183" s="473"/>
      <c r="X1183" s="492">
        <v>0</v>
      </c>
      <c r="Y1183" s="492"/>
      <c r="Z1183" s="473"/>
      <c r="AA1183" s="473"/>
      <c r="AB1183" s="473"/>
      <c r="AC1183" s="473"/>
      <c r="AD1183" s="473"/>
      <c r="AE1183" s="473"/>
      <c r="AF1183" s="473"/>
      <c r="AG1183" s="473"/>
      <c r="AH1183" s="473"/>
      <c r="AI1183" s="473"/>
      <c r="AJ1183" s="485"/>
      <c r="AK1183" s="472">
        <v>0</v>
      </c>
      <c r="AL1183" s="472"/>
      <c r="AM1183" s="472"/>
      <c r="AN1183" s="472"/>
      <c r="AO1183" s="472"/>
      <c r="AP1183" s="472"/>
      <c r="AQ1183" s="472"/>
      <c r="AR1183" s="472"/>
      <c r="AS1183" s="472"/>
      <c r="AT1183" s="472"/>
      <c r="AU1183" s="472"/>
      <c r="AV1183" s="472"/>
      <c r="AW1183" s="472"/>
      <c r="AX1183" s="472"/>
      <c r="AY1183" s="472"/>
      <c r="AZ1183" s="472"/>
      <c r="BA1183" s="472"/>
      <c r="BB1183" s="472"/>
      <c r="BC1183" s="472"/>
      <c r="BD1183" s="472"/>
      <c r="BE1183" s="472"/>
      <c r="BF1183" s="472"/>
      <c r="BG1183" s="472"/>
      <c r="BH1183" s="472"/>
      <c r="BI1183" s="472"/>
      <c r="BJ1183" s="472"/>
      <c r="BK1183" s="472"/>
      <c r="BL1183" s="472"/>
      <c r="BM1183" s="472"/>
      <c r="BN1183" s="472"/>
      <c r="BO1183" s="472"/>
      <c r="BP1183" s="472"/>
      <c r="BQ1183" s="472"/>
      <c r="BR1183" s="472"/>
      <c r="BS1183" s="472"/>
      <c r="BT1183" s="472"/>
      <c r="BU1183" s="472"/>
      <c r="BV1183" s="472"/>
      <c r="BW1183" s="472"/>
      <c r="BX1183" s="472"/>
      <c r="BY1183" s="472"/>
    </row>
    <row r="1184" spans="1:77" s="291" customFormat="1" ht="12" customHeight="1">
      <c r="B1184" s="310" t="s">
        <v>291</v>
      </c>
      <c r="C1184" s="292">
        <v>44697</v>
      </c>
      <c r="D1184" s="292">
        <v>44697</v>
      </c>
      <c r="E1184" s="293" t="s">
        <v>1094</v>
      </c>
      <c r="F1184" s="291" t="s">
        <v>689</v>
      </c>
      <c r="G1184" s="294">
        <v>3938</v>
      </c>
      <c r="H1184" s="291" t="s">
        <v>183</v>
      </c>
      <c r="I1184" s="291" t="s">
        <v>33</v>
      </c>
      <c r="J1184" s="296">
        <v>13521.66</v>
      </c>
      <c r="L1184" s="296">
        <v>13.96</v>
      </c>
      <c r="M1184" s="296">
        <v>13.96</v>
      </c>
      <c r="N1184" s="297">
        <f>J1184*0.2</f>
        <v>2704.3320000000003</v>
      </c>
      <c r="O1184" s="298">
        <v>0.15</v>
      </c>
      <c r="P1184" s="298"/>
      <c r="Q1184" s="297">
        <v>0</v>
      </c>
      <c r="R1184" s="291" t="s">
        <v>35</v>
      </c>
      <c r="S1184" s="299" t="s">
        <v>41</v>
      </c>
      <c r="T1184" s="299">
        <v>79</v>
      </c>
      <c r="U1184" s="300" t="s">
        <v>164</v>
      </c>
      <c r="V1184" s="333"/>
      <c r="X1184" s="297">
        <v>0</v>
      </c>
      <c r="Y1184" s="297"/>
      <c r="AH1184" s="291">
        <f>X1184</f>
        <v>0</v>
      </c>
      <c r="AI1184" s="311"/>
      <c r="AJ1184" s="468"/>
    </row>
    <row r="1185" spans="2:77" s="291" customFormat="1" ht="12" customHeight="1">
      <c r="B1185" s="310" t="s">
        <v>291</v>
      </c>
      <c r="C1185" s="292"/>
      <c r="D1185" s="292"/>
      <c r="E1185" s="293" t="s">
        <v>1094</v>
      </c>
      <c r="F1185" s="291" t="s">
        <v>689</v>
      </c>
      <c r="G1185" s="294">
        <v>3938</v>
      </c>
      <c r="H1185" s="291" t="s">
        <v>99</v>
      </c>
      <c r="I1185" s="291" t="s">
        <v>33</v>
      </c>
      <c r="J1185" s="296">
        <v>50013.33</v>
      </c>
      <c r="L1185" s="296">
        <v>43.02</v>
      </c>
      <c r="M1185" s="296">
        <v>43.02</v>
      </c>
      <c r="N1185" s="297">
        <f>J1185*0.2</f>
        <v>10002.666000000001</v>
      </c>
      <c r="O1185" s="298">
        <v>0.15</v>
      </c>
      <c r="P1185" s="298"/>
      <c r="Q1185" s="297">
        <v>5857.22</v>
      </c>
      <c r="R1185" s="291" t="s">
        <v>35</v>
      </c>
      <c r="S1185" s="299" t="s">
        <v>41</v>
      </c>
      <c r="T1185" s="299">
        <v>79</v>
      </c>
      <c r="U1185" s="300" t="s">
        <v>164</v>
      </c>
      <c r="V1185" s="333"/>
      <c r="X1185" s="297">
        <v>5857.22</v>
      </c>
      <c r="Y1185" s="297"/>
      <c r="AH1185" s="311">
        <f>X1185</f>
        <v>5857.22</v>
      </c>
      <c r="AI1185" s="311"/>
      <c r="AJ1185" s="468"/>
    </row>
    <row r="1186" spans="2:77" s="291" customFormat="1" ht="12" customHeight="1">
      <c r="B1186" s="310" t="s">
        <v>291</v>
      </c>
      <c r="C1186" s="292"/>
      <c r="D1186" s="292"/>
      <c r="E1186" s="293" t="s">
        <v>1094</v>
      </c>
      <c r="F1186" s="291" t="s">
        <v>689</v>
      </c>
      <c r="G1186" s="294">
        <v>3938</v>
      </c>
      <c r="H1186" s="291" t="s">
        <v>27</v>
      </c>
      <c r="I1186" s="291" t="s">
        <v>33</v>
      </c>
      <c r="J1186" s="296">
        <v>29447.87</v>
      </c>
      <c r="L1186" s="296">
        <v>24.4</v>
      </c>
      <c r="M1186" s="296">
        <v>24.4</v>
      </c>
      <c r="N1186" s="297"/>
      <c r="O1186" s="298">
        <v>0.15</v>
      </c>
      <c r="P1186" s="298"/>
      <c r="Q1186" s="297">
        <v>125.93</v>
      </c>
      <c r="R1186" s="291" t="s">
        <v>35</v>
      </c>
      <c r="S1186" s="299" t="s">
        <v>41</v>
      </c>
      <c r="T1186" s="299">
        <v>79</v>
      </c>
      <c r="U1186" s="300" t="s">
        <v>164</v>
      </c>
      <c r="V1186" s="333"/>
      <c r="X1186" s="297">
        <v>125.93</v>
      </c>
      <c r="Y1186" s="297"/>
      <c r="AH1186" s="311">
        <f>X1186</f>
        <v>125.93</v>
      </c>
      <c r="AI1186" s="311"/>
      <c r="AJ1186" s="468"/>
    </row>
    <row r="1187" spans="2:77" s="291" customFormat="1" ht="12" customHeight="1">
      <c r="B1187" s="310" t="s">
        <v>291</v>
      </c>
      <c r="C1187" s="292"/>
      <c r="D1187" s="292"/>
      <c r="E1187" s="293" t="s">
        <v>1094</v>
      </c>
      <c r="F1187" s="291" t="s">
        <v>689</v>
      </c>
      <c r="G1187" s="294">
        <v>3938</v>
      </c>
      <c r="H1187" s="291" t="s">
        <v>550</v>
      </c>
      <c r="I1187" s="291" t="s">
        <v>33</v>
      </c>
      <c r="J1187" s="296">
        <v>5994.07</v>
      </c>
      <c r="L1187" s="296">
        <v>11.24</v>
      </c>
      <c r="M1187" s="296">
        <v>11.24</v>
      </c>
      <c r="N1187" s="297"/>
      <c r="O1187" s="298">
        <v>0.15</v>
      </c>
      <c r="P1187" s="298"/>
      <c r="Q1187" s="297">
        <v>2626.11</v>
      </c>
      <c r="R1187" s="291" t="s">
        <v>35</v>
      </c>
      <c r="S1187" s="299" t="s">
        <v>41</v>
      </c>
      <c r="T1187" s="299">
        <v>79</v>
      </c>
      <c r="U1187" s="300" t="s">
        <v>164</v>
      </c>
      <c r="V1187" s="333"/>
      <c r="X1187" s="297">
        <v>2626.11</v>
      </c>
      <c r="Y1187" s="297"/>
      <c r="AH1187" s="311">
        <f>X1187</f>
        <v>2626.11</v>
      </c>
      <c r="AI1187" s="311"/>
      <c r="AJ1187" s="468"/>
    </row>
    <row r="1188" spans="2:77" s="205" customFormat="1" ht="12" customHeight="1">
      <c r="B1188" s="206" t="s">
        <v>291</v>
      </c>
      <c r="C1188" s="207">
        <v>44697</v>
      </c>
      <c r="D1188" s="207">
        <v>44697</v>
      </c>
      <c r="E1188" s="208" t="s">
        <v>1095</v>
      </c>
      <c r="F1188" s="205" t="s">
        <v>459</v>
      </c>
      <c r="G1188" s="209">
        <v>4189</v>
      </c>
      <c r="H1188" s="205" t="s">
        <v>27</v>
      </c>
      <c r="I1188" s="205" t="s">
        <v>33</v>
      </c>
      <c r="J1188" s="210">
        <v>28795.52</v>
      </c>
      <c r="L1188" s="210">
        <v>24.84</v>
      </c>
      <c r="M1188" s="210">
        <v>24.84</v>
      </c>
      <c r="N1188" s="213"/>
      <c r="O1188" s="212">
        <v>0.3</v>
      </c>
      <c r="P1188" s="212"/>
      <c r="Q1188" s="213">
        <v>0</v>
      </c>
      <c r="R1188" s="205" t="s">
        <v>42</v>
      </c>
      <c r="S1188" s="214" t="s">
        <v>41</v>
      </c>
      <c r="T1188" s="214">
        <v>17</v>
      </c>
      <c r="U1188" s="215" t="s">
        <v>164</v>
      </c>
      <c r="V1188" s="438"/>
      <c r="X1188" s="213">
        <v>0</v>
      </c>
      <c r="Y1188" s="213"/>
      <c r="AF1188" s="230">
        <f>X1188</f>
        <v>0</v>
      </c>
      <c r="AJ1188" s="216"/>
      <c r="AK1188" s="218"/>
      <c r="AL1188" s="218"/>
      <c r="AM1188" s="218"/>
      <c r="AN1188" s="218"/>
      <c r="AO1188" s="218"/>
      <c r="AP1188" s="218"/>
      <c r="AQ1188" s="218"/>
      <c r="AR1188" s="218"/>
      <c r="AS1188" s="218"/>
      <c r="AT1188" s="218"/>
      <c r="AU1188" s="218"/>
      <c r="AV1188" s="218"/>
      <c r="AW1188" s="218"/>
      <c r="AX1188" s="218"/>
      <c r="AY1188" s="218"/>
      <c r="AZ1188" s="218"/>
      <c r="BA1188" s="218"/>
      <c r="BB1188" s="218"/>
      <c r="BC1188" s="218"/>
      <c r="BD1188" s="218"/>
      <c r="BE1188" s="218"/>
      <c r="BF1188" s="218"/>
      <c r="BG1188" s="218"/>
      <c r="BH1188" s="218"/>
      <c r="BI1188" s="218"/>
      <c r="BJ1188" s="218"/>
      <c r="BK1188" s="218"/>
      <c r="BL1188" s="218"/>
      <c r="BM1188" s="218"/>
      <c r="BN1188" s="218"/>
      <c r="BO1188" s="218"/>
      <c r="BP1188" s="218"/>
      <c r="BQ1188" s="218"/>
      <c r="BR1188" s="218"/>
      <c r="BS1188" s="218"/>
      <c r="BT1188" s="218"/>
      <c r="BU1188" s="218"/>
      <c r="BV1188" s="218"/>
      <c r="BW1188" s="218"/>
      <c r="BX1188" s="218"/>
      <c r="BY1188" s="218"/>
    </row>
    <row r="1189" spans="2:77" s="205" customFormat="1" ht="12" customHeight="1">
      <c r="B1189" s="206" t="s">
        <v>291</v>
      </c>
      <c r="C1189" s="207"/>
      <c r="D1189" s="207"/>
      <c r="E1189" s="208" t="s">
        <v>1095</v>
      </c>
      <c r="F1189" s="205" t="s">
        <v>459</v>
      </c>
      <c r="G1189" s="209">
        <v>4189</v>
      </c>
      <c r="H1189" s="205" t="s">
        <v>140</v>
      </c>
      <c r="I1189" s="205" t="s">
        <v>33</v>
      </c>
      <c r="J1189" s="210">
        <v>42533.26</v>
      </c>
      <c r="L1189" s="210">
        <v>27.23</v>
      </c>
      <c r="M1189" s="210">
        <v>27.23</v>
      </c>
      <c r="N1189" s="213"/>
      <c r="O1189" s="212">
        <v>0.3</v>
      </c>
      <c r="P1189" s="212"/>
      <c r="Q1189" s="213">
        <v>0</v>
      </c>
      <c r="R1189" s="205" t="s">
        <v>42</v>
      </c>
      <c r="S1189" s="214" t="s">
        <v>41</v>
      </c>
      <c r="T1189" s="214">
        <v>17</v>
      </c>
      <c r="U1189" s="215" t="s">
        <v>164</v>
      </c>
      <c r="V1189" s="438"/>
      <c r="X1189" s="213">
        <v>0</v>
      </c>
      <c r="Y1189" s="213"/>
      <c r="AF1189" s="230">
        <f>X1189</f>
        <v>0</v>
      </c>
      <c r="AJ1189" s="216"/>
      <c r="AK1189" s="218"/>
      <c r="AL1189" s="218"/>
      <c r="AM1189" s="218"/>
      <c r="AN1189" s="218"/>
      <c r="AO1189" s="218"/>
      <c r="AP1189" s="218"/>
      <c r="AQ1189" s="218"/>
      <c r="AR1189" s="218"/>
      <c r="AS1189" s="218"/>
      <c r="AT1189" s="218"/>
      <c r="AU1189" s="218"/>
      <c r="AV1189" s="218"/>
      <c r="AW1189" s="218"/>
      <c r="AX1189" s="218"/>
      <c r="AY1189" s="218"/>
      <c r="AZ1189" s="218"/>
      <c r="BA1189" s="218"/>
      <c r="BB1189" s="218"/>
      <c r="BC1189" s="218"/>
      <c r="BD1189" s="218"/>
      <c r="BE1189" s="218"/>
      <c r="BF1189" s="218"/>
      <c r="BG1189" s="218"/>
      <c r="BH1189" s="218"/>
      <c r="BI1189" s="218"/>
      <c r="BJ1189" s="218"/>
      <c r="BK1189" s="218"/>
      <c r="BL1189" s="218"/>
      <c r="BM1189" s="218"/>
      <c r="BN1189" s="218"/>
      <c r="BO1189" s="218"/>
      <c r="BP1189" s="218"/>
      <c r="BQ1189" s="218"/>
      <c r="BR1189" s="218"/>
      <c r="BS1189" s="218"/>
      <c r="BT1189" s="218"/>
      <c r="BU1189" s="218"/>
      <c r="BV1189" s="218"/>
      <c r="BW1189" s="218"/>
      <c r="BX1189" s="218"/>
      <c r="BY1189" s="218"/>
    </row>
    <row r="1190" spans="2:77" s="205" customFormat="1" ht="12" customHeight="1">
      <c r="B1190" s="206" t="s">
        <v>291</v>
      </c>
      <c r="C1190" s="207"/>
      <c r="D1190" s="207"/>
      <c r="E1190" s="208" t="s">
        <v>1095</v>
      </c>
      <c r="F1190" s="205" t="s">
        <v>459</v>
      </c>
      <c r="G1190" s="209">
        <v>4189</v>
      </c>
      <c r="H1190" s="205" t="s">
        <v>99</v>
      </c>
      <c r="I1190" s="205" t="s">
        <v>33</v>
      </c>
      <c r="J1190" s="210">
        <v>27778.17</v>
      </c>
      <c r="L1190" s="210">
        <v>21.7</v>
      </c>
      <c r="M1190" s="210">
        <v>21.7</v>
      </c>
      <c r="N1190" s="213"/>
      <c r="O1190" s="212">
        <v>0.3</v>
      </c>
      <c r="P1190" s="212"/>
      <c r="Q1190" s="213">
        <v>0</v>
      </c>
      <c r="R1190" s="205" t="s">
        <v>42</v>
      </c>
      <c r="S1190" s="214" t="s">
        <v>41</v>
      </c>
      <c r="T1190" s="214">
        <v>17</v>
      </c>
      <c r="U1190" s="215" t="s">
        <v>164</v>
      </c>
      <c r="V1190" s="438"/>
      <c r="X1190" s="213">
        <v>0</v>
      </c>
      <c r="Y1190" s="213"/>
      <c r="AF1190" s="230">
        <f>X1190</f>
        <v>0</v>
      </c>
      <c r="AJ1190" s="216"/>
      <c r="AK1190" s="218"/>
      <c r="AL1190" s="218"/>
      <c r="AM1190" s="218"/>
      <c r="AN1190" s="218"/>
      <c r="AO1190" s="218"/>
      <c r="AP1190" s="218"/>
      <c r="AQ1190" s="218"/>
      <c r="AR1190" s="218"/>
      <c r="AS1190" s="218"/>
      <c r="AT1190" s="218"/>
      <c r="AU1190" s="218"/>
      <c r="AV1190" s="218"/>
      <c r="AW1190" s="218"/>
      <c r="AX1190" s="218"/>
      <c r="AY1190" s="218"/>
      <c r="AZ1190" s="218"/>
      <c r="BA1190" s="218"/>
      <c r="BB1190" s="218"/>
      <c r="BC1190" s="218"/>
      <c r="BD1190" s="218"/>
      <c r="BE1190" s="218"/>
      <c r="BF1190" s="218"/>
      <c r="BG1190" s="218"/>
      <c r="BH1190" s="218"/>
      <c r="BI1190" s="218"/>
      <c r="BJ1190" s="218"/>
      <c r="BK1190" s="218"/>
      <c r="BL1190" s="218"/>
      <c r="BM1190" s="218"/>
      <c r="BN1190" s="218"/>
      <c r="BO1190" s="218"/>
      <c r="BP1190" s="218"/>
      <c r="BQ1190" s="218"/>
      <c r="BR1190" s="218"/>
      <c r="BS1190" s="218"/>
      <c r="BT1190" s="218"/>
      <c r="BU1190" s="218"/>
      <c r="BV1190" s="218"/>
      <c r="BW1190" s="218"/>
      <c r="BX1190" s="218"/>
      <c r="BY1190" s="218"/>
    </row>
    <row r="1191" spans="2:77" s="205" customFormat="1" ht="12" customHeight="1">
      <c r="B1191" s="206" t="s">
        <v>291</v>
      </c>
      <c r="C1191" s="207"/>
      <c r="D1191" s="207"/>
      <c r="E1191" s="208" t="s">
        <v>1095</v>
      </c>
      <c r="F1191" s="205" t="s">
        <v>459</v>
      </c>
      <c r="G1191" s="209">
        <v>4189</v>
      </c>
      <c r="H1191" s="205" t="s">
        <v>183</v>
      </c>
      <c r="I1191" s="205" t="s">
        <v>33</v>
      </c>
      <c r="J1191" s="210">
        <v>14087.16</v>
      </c>
      <c r="L1191" s="210">
        <v>14.36</v>
      </c>
      <c r="M1191" s="210">
        <v>14.36</v>
      </c>
      <c r="N1191" s="213">
        <v>5634.8639999999996</v>
      </c>
      <c r="O1191" s="212">
        <v>0.3</v>
      </c>
      <c r="P1191" s="212"/>
      <c r="Q1191" s="213">
        <v>0</v>
      </c>
      <c r="R1191" s="205" t="s">
        <v>42</v>
      </c>
      <c r="S1191" s="214" t="s">
        <v>41</v>
      </c>
      <c r="T1191" s="214">
        <v>17</v>
      </c>
      <c r="U1191" s="215" t="s">
        <v>164</v>
      </c>
      <c r="V1191" s="438"/>
      <c r="X1191" s="213">
        <v>0</v>
      </c>
      <c r="Y1191" s="213"/>
      <c r="AF1191" s="230">
        <f>X1191</f>
        <v>0</v>
      </c>
      <c r="AJ1191" s="216"/>
      <c r="AK1191" s="218"/>
      <c r="AL1191" s="218"/>
      <c r="AM1191" s="218"/>
      <c r="AN1191" s="218"/>
      <c r="AO1191" s="218"/>
      <c r="AP1191" s="218"/>
      <c r="AQ1191" s="218"/>
      <c r="AR1191" s="218"/>
      <c r="AS1191" s="218"/>
      <c r="AT1191" s="218"/>
      <c r="AU1191" s="218"/>
      <c r="AV1191" s="218"/>
      <c r="AW1191" s="218"/>
      <c r="AX1191" s="218"/>
      <c r="AY1191" s="218"/>
      <c r="AZ1191" s="218"/>
      <c r="BA1191" s="218"/>
      <c r="BB1191" s="218"/>
      <c r="BC1191" s="218"/>
      <c r="BD1191" s="218"/>
      <c r="BE1191" s="218"/>
      <c r="BF1191" s="218"/>
      <c r="BG1191" s="218"/>
      <c r="BH1191" s="218"/>
      <c r="BI1191" s="218"/>
      <c r="BJ1191" s="218"/>
      <c r="BK1191" s="218"/>
      <c r="BL1191" s="218"/>
      <c r="BM1191" s="218"/>
      <c r="BN1191" s="218"/>
      <c r="BO1191" s="218"/>
      <c r="BP1191" s="218"/>
      <c r="BQ1191" s="218"/>
      <c r="BR1191" s="218"/>
      <c r="BS1191" s="218"/>
      <c r="BT1191" s="218"/>
      <c r="BU1191" s="218"/>
      <c r="BV1191" s="218"/>
      <c r="BW1191" s="218"/>
      <c r="BX1191" s="218"/>
      <c r="BY1191" s="218"/>
    </row>
    <row r="1192" spans="2:77" s="379" customFormat="1" ht="12" customHeight="1">
      <c r="B1192" s="380" t="s">
        <v>291</v>
      </c>
      <c r="C1192" s="381">
        <v>44697</v>
      </c>
      <c r="D1192" s="381">
        <v>44697</v>
      </c>
      <c r="E1192" s="382" t="s">
        <v>1096</v>
      </c>
      <c r="F1192" s="379" t="s">
        <v>1097</v>
      </c>
      <c r="G1192" s="383" t="s">
        <v>1098</v>
      </c>
      <c r="H1192" s="379" t="s">
        <v>99</v>
      </c>
      <c r="I1192" s="379" t="s">
        <v>33</v>
      </c>
      <c r="J1192" s="385">
        <v>103424.75</v>
      </c>
      <c r="L1192" s="385">
        <v>98.99</v>
      </c>
      <c r="M1192" s="385">
        <v>98.99</v>
      </c>
      <c r="N1192" s="386"/>
      <c r="O1192" s="387">
        <v>0.25</v>
      </c>
      <c r="P1192" s="387"/>
      <c r="Q1192" s="386">
        <v>0</v>
      </c>
      <c r="R1192" s="379" t="s">
        <v>128</v>
      </c>
      <c r="S1192" s="388" t="s">
        <v>118</v>
      </c>
      <c r="T1192" s="388">
        <v>79</v>
      </c>
      <c r="U1192" s="389" t="s">
        <v>164</v>
      </c>
      <c r="V1192" s="433"/>
      <c r="X1192" s="386">
        <v>0</v>
      </c>
      <c r="Y1192" s="386"/>
      <c r="AJ1192" s="390">
        <v>0</v>
      </c>
      <c r="AK1192" s="394"/>
      <c r="AL1192" s="394"/>
      <c r="AM1192" s="394"/>
      <c r="AN1192" s="394"/>
      <c r="AO1192" s="394"/>
      <c r="AP1192" s="394"/>
      <c r="AQ1192" s="394"/>
      <c r="AR1192" s="394"/>
      <c r="AS1192" s="394"/>
      <c r="AT1192" s="394"/>
      <c r="AU1192" s="394"/>
      <c r="AV1192" s="394"/>
      <c r="AW1192" s="394"/>
      <c r="AX1192" s="394"/>
      <c r="AY1192" s="394"/>
      <c r="AZ1192" s="394"/>
      <c r="BA1192" s="394"/>
      <c r="BB1192" s="394"/>
      <c r="BC1192" s="394"/>
      <c r="BD1192" s="394"/>
      <c r="BE1192" s="394"/>
      <c r="BF1192" s="394"/>
      <c r="BG1192" s="394"/>
      <c r="BH1192" s="394"/>
      <c r="BI1192" s="394"/>
      <c r="BJ1192" s="394"/>
      <c r="BK1192" s="394"/>
      <c r="BL1192" s="394"/>
      <c r="BM1192" s="394"/>
      <c r="BN1192" s="394"/>
      <c r="BO1192" s="394"/>
      <c r="BP1192" s="394"/>
      <c r="BQ1192" s="394"/>
      <c r="BR1192" s="394"/>
      <c r="BS1192" s="394"/>
      <c r="BT1192" s="394"/>
      <c r="BU1192" s="394"/>
      <c r="BV1192" s="394"/>
      <c r="BW1192" s="394"/>
      <c r="BX1192" s="394"/>
      <c r="BY1192" s="394"/>
    </row>
    <row r="1193" spans="2:77" s="379" customFormat="1" ht="12" customHeight="1">
      <c r="B1193" s="380" t="s">
        <v>291</v>
      </c>
      <c r="C1193" s="381"/>
      <c r="D1193" s="381"/>
      <c r="E1193" s="382" t="s">
        <v>1096</v>
      </c>
      <c r="F1193" s="379" t="s">
        <v>1097</v>
      </c>
      <c r="G1193" s="383" t="s">
        <v>1098</v>
      </c>
      <c r="H1193" s="379" t="s">
        <v>336</v>
      </c>
      <c r="I1193" s="379" t="s">
        <v>33</v>
      </c>
      <c r="J1193" s="385">
        <v>49096.46</v>
      </c>
      <c r="L1193" s="385">
        <v>41.77</v>
      </c>
      <c r="M1193" s="385">
        <v>41.77</v>
      </c>
      <c r="N1193" s="386"/>
      <c r="O1193" s="387">
        <v>0.25</v>
      </c>
      <c r="P1193" s="387"/>
      <c r="Q1193" s="386">
        <v>0</v>
      </c>
      <c r="R1193" s="379" t="s">
        <v>128</v>
      </c>
      <c r="S1193" s="388" t="s">
        <v>118</v>
      </c>
      <c r="T1193" s="388">
        <v>79</v>
      </c>
      <c r="U1193" s="389" t="s">
        <v>164</v>
      </c>
      <c r="V1193" s="433"/>
      <c r="X1193" s="386">
        <v>0</v>
      </c>
      <c r="Y1193" s="386"/>
      <c r="AJ1193" s="390">
        <v>0</v>
      </c>
      <c r="AK1193" s="394"/>
      <c r="AL1193" s="394"/>
      <c r="AM1193" s="394"/>
      <c r="AN1193" s="394"/>
      <c r="AO1193" s="394"/>
      <c r="AP1193" s="394"/>
      <c r="AQ1193" s="394"/>
      <c r="AR1193" s="394"/>
      <c r="AS1193" s="394"/>
      <c r="AT1193" s="394"/>
      <c r="AU1193" s="394"/>
      <c r="AV1193" s="394"/>
      <c r="AW1193" s="394"/>
      <c r="AX1193" s="394"/>
      <c r="AY1193" s="394"/>
      <c r="AZ1193" s="394"/>
      <c r="BA1193" s="394"/>
      <c r="BB1193" s="394"/>
      <c r="BC1193" s="394"/>
      <c r="BD1193" s="394"/>
      <c r="BE1193" s="394"/>
      <c r="BF1193" s="394"/>
      <c r="BG1193" s="394"/>
      <c r="BH1193" s="394"/>
      <c r="BI1193" s="394"/>
      <c r="BJ1193" s="394"/>
      <c r="BK1193" s="394"/>
      <c r="BL1193" s="394"/>
      <c r="BM1193" s="394"/>
      <c r="BN1193" s="394"/>
      <c r="BO1193" s="394"/>
      <c r="BP1193" s="394"/>
      <c r="BQ1193" s="394"/>
      <c r="BR1193" s="394"/>
      <c r="BS1193" s="394"/>
      <c r="BT1193" s="394"/>
      <c r="BU1193" s="394"/>
      <c r="BV1193" s="394"/>
      <c r="BW1193" s="394"/>
      <c r="BX1193" s="394"/>
      <c r="BY1193" s="394"/>
    </row>
    <row r="1194" spans="2:77" s="379" customFormat="1" ht="12" customHeight="1">
      <c r="B1194" s="380" t="s">
        <v>291</v>
      </c>
      <c r="C1194" s="381"/>
      <c r="D1194" s="381"/>
      <c r="E1194" s="382" t="s">
        <v>1096</v>
      </c>
      <c r="F1194" s="379" t="s">
        <v>1097</v>
      </c>
      <c r="G1194" s="383" t="s">
        <v>1098</v>
      </c>
      <c r="H1194" s="379" t="s">
        <v>432</v>
      </c>
      <c r="I1194" s="379" t="s">
        <v>33</v>
      </c>
      <c r="J1194" s="385">
        <v>5735.18</v>
      </c>
      <c r="L1194" s="385">
        <v>7.04</v>
      </c>
      <c r="M1194" s="385">
        <v>7.04</v>
      </c>
      <c r="N1194" s="386"/>
      <c r="O1194" s="387">
        <v>0.25</v>
      </c>
      <c r="P1194" s="387"/>
      <c r="Q1194" s="386">
        <v>0</v>
      </c>
      <c r="R1194" s="379" t="s">
        <v>128</v>
      </c>
      <c r="S1194" s="388" t="s">
        <v>118</v>
      </c>
      <c r="T1194" s="388">
        <v>79</v>
      </c>
      <c r="U1194" s="389" t="s">
        <v>164</v>
      </c>
      <c r="V1194" s="433"/>
      <c r="X1194" s="386">
        <v>0</v>
      </c>
      <c r="Y1194" s="386"/>
      <c r="AJ1194" s="390">
        <v>0</v>
      </c>
      <c r="AK1194" s="394"/>
      <c r="AL1194" s="394"/>
      <c r="AM1194" s="394"/>
      <c r="AN1194" s="394"/>
      <c r="AO1194" s="394"/>
      <c r="AP1194" s="394"/>
      <c r="AQ1194" s="394"/>
      <c r="AR1194" s="394"/>
      <c r="AS1194" s="394"/>
      <c r="AT1194" s="394"/>
      <c r="AU1194" s="394"/>
      <c r="AV1194" s="394"/>
      <c r="AW1194" s="394"/>
      <c r="AX1194" s="394"/>
      <c r="AY1194" s="394"/>
      <c r="AZ1194" s="394"/>
      <c r="BA1194" s="394"/>
      <c r="BB1194" s="394"/>
      <c r="BC1194" s="394"/>
      <c r="BD1194" s="394"/>
      <c r="BE1194" s="394"/>
      <c r="BF1194" s="394"/>
      <c r="BG1194" s="394"/>
      <c r="BH1194" s="394"/>
      <c r="BI1194" s="394"/>
      <c r="BJ1194" s="394"/>
      <c r="BK1194" s="394"/>
      <c r="BL1194" s="394"/>
      <c r="BM1194" s="394"/>
      <c r="BN1194" s="394"/>
      <c r="BO1194" s="394"/>
      <c r="BP1194" s="394"/>
      <c r="BQ1194" s="394"/>
      <c r="BR1194" s="394"/>
      <c r="BS1194" s="394"/>
      <c r="BT1194" s="394"/>
      <c r="BU1194" s="394"/>
      <c r="BV1194" s="394"/>
      <c r="BW1194" s="394"/>
      <c r="BX1194" s="394"/>
      <c r="BY1194" s="394"/>
    </row>
    <row r="1195" spans="2:77" s="379" customFormat="1" ht="12" customHeight="1">
      <c r="B1195" s="380" t="s">
        <v>291</v>
      </c>
      <c r="C1195" s="381"/>
      <c r="D1195" s="381"/>
      <c r="E1195" s="382" t="s">
        <v>1096</v>
      </c>
      <c r="F1195" s="379" t="s">
        <v>1097</v>
      </c>
      <c r="G1195" s="383" t="s">
        <v>1098</v>
      </c>
      <c r="H1195" s="379" t="s">
        <v>183</v>
      </c>
      <c r="I1195" s="379" t="s">
        <v>33</v>
      </c>
      <c r="J1195" s="385">
        <v>8055.2</v>
      </c>
      <c r="L1195" s="385">
        <v>10.19</v>
      </c>
      <c r="M1195" s="385">
        <v>10.19</v>
      </c>
      <c r="N1195" s="386"/>
      <c r="O1195" s="387">
        <v>0.25</v>
      </c>
      <c r="P1195" s="387"/>
      <c r="Q1195" s="386">
        <v>0</v>
      </c>
      <c r="R1195" s="379" t="s">
        <v>128</v>
      </c>
      <c r="S1195" s="388" t="s">
        <v>118</v>
      </c>
      <c r="T1195" s="388">
        <v>79</v>
      </c>
      <c r="U1195" s="389" t="s">
        <v>164</v>
      </c>
      <c r="V1195" s="433"/>
      <c r="X1195" s="386">
        <v>0</v>
      </c>
      <c r="Y1195" s="386"/>
      <c r="AJ1195" s="390">
        <v>0</v>
      </c>
      <c r="AK1195" s="394"/>
      <c r="AL1195" s="394"/>
      <c r="AM1195" s="394"/>
      <c r="AN1195" s="394"/>
      <c r="AO1195" s="394"/>
      <c r="AP1195" s="394"/>
      <c r="AQ1195" s="394"/>
      <c r="AR1195" s="394"/>
      <c r="AS1195" s="394"/>
      <c r="AT1195" s="394"/>
      <c r="AU1195" s="394"/>
      <c r="AV1195" s="394"/>
      <c r="AW1195" s="394"/>
      <c r="AX1195" s="394"/>
      <c r="AY1195" s="394"/>
      <c r="AZ1195" s="394"/>
      <c r="BA1195" s="394"/>
      <c r="BB1195" s="394"/>
      <c r="BC1195" s="394"/>
      <c r="BD1195" s="394"/>
      <c r="BE1195" s="394"/>
      <c r="BF1195" s="394"/>
      <c r="BG1195" s="394"/>
      <c r="BH1195" s="394"/>
      <c r="BI1195" s="394"/>
      <c r="BJ1195" s="394"/>
      <c r="BK1195" s="394"/>
      <c r="BL1195" s="394"/>
      <c r="BM1195" s="394"/>
      <c r="BN1195" s="394"/>
      <c r="BO1195" s="394"/>
      <c r="BP1195" s="394"/>
      <c r="BQ1195" s="394"/>
      <c r="BR1195" s="394"/>
      <c r="BS1195" s="394"/>
      <c r="BT1195" s="394"/>
      <c r="BU1195" s="394"/>
      <c r="BV1195" s="394"/>
      <c r="BW1195" s="394"/>
      <c r="BX1195" s="394"/>
      <c r="BY1195" s="394"/>
    </row>
    <row r="1196" spans="2:77" s="379" customFormat="1" ht="12" customHeight="1">
      <c r="B1196" s="380" t="s">
        <v>291</v>
      </c>
      <c r="C1196" s="381"/>
      <c r="D1196" s="381"/>
      <c r="E1196" s="382" t="s">
        <v>1096</v>
      </c>
      <c r="F1196" s="379" t="s">
        <v>1097</v>
      </c>
      <c r="G1196" s="383" t="s">
        <v>1098</v>
      </c>
      <c r="H1196" s="379" t="s">
        <v>27</v>
      </c>
      <c r="I1196" s="379" t="s">
        <v>33</v>
      </c>
      <c r="J1196" s="385">
        <v>27913.86</v>
      </c>
      <c r="L1196" s="385">
        <v>23.7</v>
      </c>
      <c r="M1196" s="385">
        <v>23.7</v>
      </c>
      <c r="N1196" s="386"/>
      <c r="O1196" s="387">
        <v>0.25</v>
      </c>
      <c r="P1196" s="387"/>
      <c r="Q1196" s="386">
        <v>3919.03</v>
      </c>
      <c r="R1196" s="379" t="s">
        <v>128</v>
      </c>
      <c r="S1196" s="388" t="s">
        <v>118</v>
      </c>
      <c r="T1196" s="388">
        <v>79</v>
      </c>
      <c r="U1196" s="389" t="s">
        <v>164</v>
      </c>
      <c r="V1196" s="433"/>
      <c r="X1196" s="386">
        <v>3919.03</v>
      </c>
      <c r="Y1196" s="386"/>
      <c r="AJ1196" s="416">
        <v>3919.03</v>
      </c>
      <c r="AK1196" s="394"/>
      <c r="AL1196" s="394"/>
      <c r="AM1196" s="394"/>
      <c r="AN1196" s="394"/>
      <c r="AO1196" s="394"/>
      <c r="AP1196" s="394"/>
      <c r="AQ1196" s="394"/>
      <c r="AR1196" s="394"/>
      <c r="AS1196" s="394"/>
      <c r="AT1196" s="394"/>
      <c r="AU1196" s="394"/>
      <c r="AV1196" s="394"/>
      <c r="AW1196" s="394"/>
      <c r="AX1196" s="394"/>
      <c r="AY1196" s="394"/>
      <c r="AZ1196" s="394"/>
      <c r="BA1196" s="394"/>
      <c r="BB1196" s="394"/>
      <c r="BC1196" s="394"/>
      <c r="BD1196" s="394"/>
      <c r="BE1196" s="394"/>
      <c r="BF1196" s="394"/>
      <c r="BG1196" s="394"/>
      <c r="BH1196" s="394"/>
      <c r="BI1196" s="394"/>
      <c r="BJ1196" s="394"/>
      <c r="BK1196" s="394"/>
      <c r="BL1196" s="394"/>
      <c r="BM1196" s="394"/>
      <c r="BN1196" s="394"/>
      <c r="BO1196" s="394"/>
      <c r="BP1196" s="394"/>
      <c r="BQ1196" s="394"/>
      <c r="BR1196" s="394"/>
      <c r="BS1196" s="394"/>
      <c r="BT1196" s="394"/>
      <c r="BU1196" s="394"/>
      <c r="BV1196" s="394"/>
      <c r="BW1196" s="394"/>
      <c r="BX1196" s="394"/>
      <c r="BY1196" s="394"/>
    </row>
    <row r="1197" spans="2:77" s="379" customFormat="1" ht="12" customHeight="1">
      <c r="B1197" s="380" t="s">
        <v>291</v>
      </c>
      <c r="C1197" s="381"/>
      <c r="D1197" s="381"/>
      <c r="E1197" s="382" t="s">
        <v>1096</v>
      </c>
      <c r="F1197" s="379" t="s">
        <v>1097</v>
      </c>
      <c r="G1197" s="383" t="s">
        <v>1098</v>
      </c>
      <c r="H1197" s="379" t="s">
        <v>162</v>
      </c>
      <c r="I1197" s="379" t="s">
        <v>33</v>
      </c>
      <c r="J1197" s="385">
        <v>2382.66</v>
      </c>
      <c r="L1197" s="385">
        <v>5.49</v>
      </c>
      <c r="M1197" s="385">
        <v>5.49</v>
      </c>
      <c r="N1197" s="386"/>
      <c r="O1197" s="387">
        <v>0.25</v>
      </c>
      <c r="P1197" s="387"/>
      <c r="Q1197" s="386">
        <v>0</v>
      </c>
      <c r="R1197" s="379" t="s">
        <v>128</v>
      </c>
      <c r="S1197" s="388" t="s">
        <v>118</v>
      </c>
      <c r="T1197" s="388">
        <v>79</v>
      </c>
      <c r="U1197" s="389" t="s">
        <v>164</v>
      </c>
      <c r="V1197" s="433"/>
      <c r="X1197" s="386">
        <v>0</v>
      </c>
      <c r="Y1197" s="386"/>
      <c r="AJ1197" s="390">
        <v>0</v>
      </c>
      <c r="AK1197" s="394"/>
      <c r="AL1197" s="394"/>
      <c r="AM1197" s="394"/>
      <c r="AN1197" s="394"/>
      <c r="AO1197" s="394"/>
      <c r="AP1197" s="394"/>
      <c r="AQ1197" s="394"/>
      <c r="AR1197" s="394"/>
      <c r="AS1197" s="394"/>
      <c r="AT1197" s="394"/>
      <c r="AU1197" s="394"/>
      <c r="AV1197" s="394"/>
      <c r="AW1197" s="394"/>
      <c r="AX1197" s="394"/>
      <c r="AY1197" s="394"/>
      <c r="AZ1197" s="394"/>
      <c r="BA1197" s="394"/>
      <c r="BB1197" s="394"/>
      <c r="BC1197" s="394"/>
      <c r="BD1197" s="394"/>
      <c r="BE1197" s="394"/>
      <c r="BF1197" s="394"/>
      <c r="BG1197" s="394"/>
      <c r="BH1197" s="394"/>
      <c r="BI1197" s="394"/>
      <c r="BJ1197" s="394"/>
      <c r="BK1197" s="394"/>
      <c r="BL1197" s="394"/>
      <c r="BM1197" s="394"/>
      <c r="BN1197" s="394"/>
      <c r="BO1197" s="394"/>
      <c r="BP1197" s="394"/>
      <c r="BQ1197" s="394"/>
      <c r="BR1197" s="394"/>
      <c r="BS1197" s="394"/>
      <c r="BT1197" s="394"/>
      <c r="BU1197" s="394"/>
      <c r="BV1197" s="394"/>
      <c r="BW1197" s="394"/>
      <c r="BX1197" s="394"/>
      <c r="BY1197" s="394"/>
    </row>
    <row r="1198" spans="2:77" s="379" customFormat="1" ht="12" customHeight="1">
      <c r="B1198" s="380" t="s">
        <v>291</v>
      </c>
      <c r="C1198" s="381"/>
      <c r="D1198" s="381"/>
      <c r="E1198" s="382" t="s">
        <v>1096</v>
      </c>
      <c r="F1198" s="379" t="s">
        <v>1097</v>
      </c>
      <c r="G1198" s="383" t="s">
        <v>1098</v>
      </c>
      <c r="H1198" s="379" t="s">
        <v>492</v>
      </c>
      <c r="I1198" s="379" t="s">
        <v>33</v>
      </c>
      <c r="J1198" s="385">
        <v>12412.4</v>
      </c>
      <c r="L1198" s="385">
        <v>16.12</v>
      </c>
      <c r="M1198" s="385">
        <v>16.12</v>
      </c>
      <c r="N1198" s="386"/>
      <c r="O1198" s="387">
        <v>0.25</v>
      </c>
      <c r="P1198" s="387"/>
      <c r="Q1198" s="386">
        <v>2950.6</v>
      </c>
      <c r="R1198" s="379" t="s">
        <v>128</v>
      </c>
      <c r="S1198" s="388" t="s">
        <v>118</v>
      </c>
      <c r="T1198" s="388">
        <v>79</v>
      </c>
      <c r="U1198" s="389" t="s">
        <v>164</v>
      </c>
      <c r="V1198" s="433"/>
      <c r="X1198" s="386">
        <v>2950.6</v>
      </c>
      <c r="Y1198" s="386"/>
      <c r="AJ1198" s="416">
        <v>2950.6</v>
      </c>
      <c r="AK1198" s="394"/>
      <c r="AL1198" s="394"/>
      <c r="AM1198" s="394"/>
      <c r="AN1198" s="394"/>
      <c r="AO1198" s="394"/>
      <c r="AP1198" s="394"/>
      <c r="AQ1198" s="394"/>
      <c r="AR1198" s="394"/>
      <c r="AS1198" s="394"/>
      <c r="AT1198" s="394"/>
      <c r="AU1198" s="394"/>
      <c r="AV1198" s="394"/>
      <c r="AW1198" s="394"/>
      <c r="AX1198" s="394"/>
      <c r="AY1198" s="394"/>
      <c r="AZ1198" s="394"/>
      <c r="BA1198" s="394"/>
      <c r="BB1198" s="394"/>
      <c r="BC1198" s="394"/>
      <c r="BD1198" s="394"/>
      <c r="BE1198" s="394"/>
      <c r="BF1198" s="394"/>
      <c r="BG1198" s="394"/>
      <c r="BH1198" s="394"/>
      <c r="BI1198" s="394"/>
      <c r="BJ1198" s="394"/>
      <c r="BK1198" s="394"/>
      <c r="BL1198" s="394"/>
      <c r="BM1198" s="394"/>
      <c r="BN1198" s="394"/>
      <c r="BO1198" s="394"/>
      <c r="BP1198" s="394"/>
      <c r="BQ1198" s="394"/>
      <c r="BR1198" s="394"/>
      <c r="BS1198" s="394"/>
      <c r="BT1198" s="394"/>
      <c r="BU1198" s="394"/>
      <c r="BV1198" s="394"/>
      <c r="BW1198" s="394"/>
      <c r="BX1198" s="394"/>
      <c r="BY1198" s="394"/>
    </row>
    <row r="1199" spans="2:77" s="379" customFormat="1" ht="12" customHeight="1">
      <c r="B1199" s="380" t="s">
        <v>291</v>
      </c>
      <c r="C1199" s="381">
        <v>44697</v>
      </c>
      <c r="D1199" s="381">
        <v>44697</v>
      </c>
      <c r="E1199" s="382" t="s">
        <v>1099</v>
      </c>
      <c r="F1199" s="379" t="s">
        <v>1100</v>
      </c>
      <c r="G1199" s="383">
        <v>3788</v>
      </c>
      <c r="H1199" s="379" t="s">
        <v>183</v>
      </c>
      <c r="I1199" s="379" t="s">
        <v>1022</v>
      </c>
      <c r="J1199" s="385">
        <v>7014</v>
      </c>
      <c r="L1199" s="385">
        <v>7</v>
      </c>
      <c r="M1199" s="385">
        <v>7</v>
      </c>
      <c r="N1199" s="386"/>
      <c r="O1199" s="387">
        <v>0.15</v>
      </c>
      <c r="P1199" s="387"/>
      <c r="Q1199" s="386">
        <v>739.81</v>
      </c>
      <c r="R1199" s="379" t="s">
        <v>128</v>
      </c>
      <c r="S1199" s="388" t="s">
        <v>41</v>
      </c>
      <c r="T1199" s="388">
        <v>86</v>
      </c>
      <c r="U1199" s="389" t="s">
        <v>164</v>
      </c>
      <c r="V1199" s="433"/>
      <c r="X1199" s="386">
        <v>739.81</v>
      </c>
      <c r="Y1199" s="386"/>
      <c r="AJ1199" s="390">
        <v>739.81</v>
      </c>
      <c r="AK1199" s="394"/>
      <c r="AL1199" s="394"/>
      <c r="AM1199" s="394"/>
      <c r="AN1199" s="394"/>
      <c r="AO1199" s="394"/>
      <c r="AP1199" s="394"/>
      <c r="AQ1199" s="394"/>
      <c r="AR1199" s="394"/>
      <c r="AS1199" s="394"/>
      <c r="AT1199" s="394"/>
      <c r="AU1199" s="394"/>
      <c r="AV1199" s="394"/>
      <c r="AW1199" s="394"/>
      <c r="AX1199" s="394"/>
      <c r="AY1199" s="394"/>
      <c r="AZ1199" s="394"/>
      <c r="BA1199" s="394"/>
      <c r="BB1199" s="394"/>
      <c r="BC1199" s="394"/>
      <c r="BD1199" s="394"/>
      <c r="BE1199" s="394"/>
      <c r="BF1199" s="394"/>
      <c r="BG1199" s="394"/>
      <c r="BH1199" s="394"/>
      <c r="BI1199" s="394"/>
      <c r="BJ1199" s="394"/>
      <c r="BK1199" s="394"/>
      <c r="BL1199" s="394"/>
      <c r="BM1199" s="394"/>
      <c r="BN1199" s="394"/>
      <c r="BO1199" s="394"/>
      <c r="BP1199" s="394"/>
      <c r="BQ1199" s="394"/>
      <c r="BR1199" s="394"/>
      <c r="BS1199" s="394"/>
      <c r="BT1199" s="394"/>
      <c r="BU1199" s="394"/>
      <c r="BV1199" s="394"/>
      <c r="BW1199" s="394"/>
      <c r="BX1199" s="394"/>
      <c r="BY1199" s="394"/>
    </row>
    <row r="1200" spans="2:77" s="379" customFormat="1" ht="12" customHeight="1">
      <c r="B1200" s="380" t="s">
        <v>291</v>
      </c>
      <c r="C1200" s="381"/>
      <c r="D1200" s="381"/>
      <c r="E1200" s="382" t="s">
        <v>1099</v>
      </c>
      <c r="F1200" s="379" t="s">
        <v>1100</v>
      </c>
      <c r="G1200" s="383">
        <v>3788</v>
      </c>
      <c r="H1200" s="379" t="s">
        <v>99</v>
      </c>
      <c r="I1200" s="379" t="s">
        <v>1022</v>
      </c>
      <c r="J1200" s="385">
        <v>40339.199999999997</v>
      </c>
      <c r="L1200" s="385">
        <v>44</v>
      </c>
      <c r="M1200" s="385">
        <v>44</v>
      </c>
      <c r="N1200" s="386"/>
      <c r="O1200" s="387">
        <v>0.15</v>
      </c>
      <c r="P1200" s="387"/>
      <c r="Q1200" s="386">
        <v>0</v>
      </c>
      <c r="R1200" s="379" t="s">
        <v>128</v>
      </c>
      <c r="S1200" s="388" t="s">
        <v>41</v>
      </c>
      <c r="T1200" s="388">
        <v>86</v>
      </c>
      <c r="U1200" s="389" t="s">
        <v>164</v>
      </c>
      <c r="V1200" s="433"/>
      <c r="X1200" s="386">
        <v>0</v>
      </c>
      <c r="Y1200" s="386"/>
      <c r="AJ1200" s="390">
        <v>0</v>
      </c>
      <c r="AK1200" s="394"/>
      <c r="AL1200" s="394"/>
      <c r="AM1200" s="394"/>
      <c r="AN1200" s="394"/>
      <c r="AO1200" s="394"/>
      <c r="AP1200" s="394"/>
      <c r="AQ1200" s="394"/>
      <c r="AR1200" s="394"/>
      <c r="AS1200" s="394"/>
      <c r="AT1200" s="394"/>
      <c r="AU1200" s="394"/>
      <c r="AV1200" s="394"/>
      <c r="AW1200" s="394"/>
      <c r="AX1200" s="394"/>
      <c r="AY1200" s="394"/>
      <c r="AZ1200" s="394"/>
      <c r="BA1200" s="394"/>
      <c r="BB1200" s="394"/>
      <c r="BC1200" s="394"/>
      <c r="BD1200" s="394"/>
      <c r="BE1200" s="394"/>
      <c r="BF1200" s="394"/>
      <c r="BG1200" s="394"/>
      <c r="BH1200" s="394"/>
      <c r="BI1200" s="394"/>
      <c r="BJ1200" s="394"/>
      <c r="BK1200" s="394"/>
      <c r="BL1200" s="394"/>
      <c r="BM1200" s="394"/>
      <c r="BN1200" s="394"/>
      <c r="BO1200" s="394"/>
      <c r="BP1200" s="394"/>
      <c r="BQ1200" s="394"/>
      <c r="BR1200" s="394"/>
      <c r="BS1200" s="394"/>
      <c r="BT1200" s="394"/>
      <c r="BU1200" s="394"/>
      <c r="BV1200" s="394"/>
      <c r="BW1200" s="394"/>
      <c r="BX1200" s="394"/>
      <c r="BY1200" s="394"/>
    </row>
    <row r="1201" spans="2:77" s="379" customFormat="1" ht="12" customHeight="1">
      <c r="B1201" s="380" t="s">
        <v>291</v>
      </c>
      <c r="C1201" s="381"/>
      <c r="D1201" s="381"/>
      <c r="E1201" s="382" t="s">
        <v>1099</v>
      </c>
      <c r="F1201" s="379" t="s">
        <v>1100</v>
      </c>
      <c r="G1201" s="383">
        <v>3788</v>
      </c>
      <c r="H1201" s="379" t="s">
        <v>295</v>
      </c>
      <c r="I1201" s="379" t="s">
        <v>1022</v>
      </c>
      <c r="J1201" s="385">
        <v>4277</v>
      </c>
      <c r="L1201" s="385">
        <v>6.5</v>
      </c>
      <c r="M1201" s="385">
        <v>6.5</v>
      </c>
      <c r="N1201" s="386"/>
      <c r="O1201" s="387">
        <v>0.15</v>
      </c>
      <c r="P1201" s="387"/>
      <c r="Q1201" s="386">
        <v>650.45000000000005</v>
      </c>
      <c r="R1201" s="379" t="s">
        <v>128</v>
      </c>
      <c r="S1201" s="388" t="s">
        <v>41</v>
      </c>
      <c r="T1201" s="388">
        <v>86</v>
      </c>
      <c r="U1201" s="389" t="s">
        <v>164</v>
      </c>
      <c r="V1201" s="433"/>
      <c r="X1201" s="386">
        <v>650.45000000000005</v>
      </c>
      <c r="Y1201" s="386"/>
      <c r="AJ1201" s="390">
        <v>650.45000000000005</v>
      </c>
      <c r="AK1201" s="394"/>
      <c r="AL1201" s="394"/>
      <c r="AM1201" s="394"/>
      <c r="AN1201" s="394"/>
      <c r="AO1201" s="394"/>
      <c r="AP1201" s="394"/>
      <c r="AQ1201" s="394"/>
      <c r="AR1201" s="394"/>
      <c r="AS1201" s="394"/>
      <c r="AT1201" s="394"/>
      <c r="AU1201" s="394"/>
      <c r="AV1201" s="394"/>
      <c r="AW1201" s="394"/>
      <c r="AX1201" s="394"/>
      <c r="AY1201" s="394"/>
      <c r="AZ1201" s="394"/>
      <c r="BA1201" s="394"/>
      <c r="BB1201" s="394"/>
      <c r="BC1201" s="394"/>
      <c r="BD1201" s="394"/>
      <c r="BE1201" s="394"/>
      <c r="BF1201" s="394"/>
      <c r="BG1201" s="394"/>
      <c r="BH1201" s="394"/>
      <c r="BI1201" s="394"/>
      <c r="BJ1201" s="394"/>
      <c r="BK1201" s="394"/>
      <c r="BL1201" s="394"/>
      <c r="BM1201" s="394"/>
      <c r="BN1201" s="394"/>
      <c r="BO1201" s="394"/>
      <c r="BP1201" s="394"/>
      <c r="BQ1201" s="394"/>
      <c r="BR1201" s="394"/>
      <c r="BS1201" s="394"/>
      <c r="BT1201" s="394"/>
      <c r="BU1201" s="394"/>
      <c r="BV1201" s="394"/>
      <c r="BW1201" s="394"/>
      <c r="BX1201" s="394"/>
      <c r="BY1201" s="394"/>
    </row>
    <row r="1202" spans="2:77" s="647" customFormat="1" ht="12" customHeight="1">
      <c r="B1202" s="661" t="s">
        <v>291</v>
      </c>
      <c r="C1202" s="648">
        <v>44695</v>
      </c>
      <c r="D1202" s="648">
        <v>44697</v>
      </c>
      <c r="E1202" s="649" t="s">
        <v>1101</v>
      </c>
      <c r="F1202" s="647" t="s">
        <v>1102</v>
      </c>
      <c r="G1202" s="650">
        <v>4416</v>
      </c>
      <c r="H1202" s="647" t="s">
        <v>295</v>
      </c>
      <c r="I1202" s="647" t="s">
        <v>958</v>
      </c>
      <c r="J1202" s="651">
        <v>11105.58</v>
      </c>
      <c r="L1202" s="651">
        <v>10.84</v>
      </c>
      <c r="M1202" s="651">
        <v>10.84</v>
      </c>
      <c r="N1202" s="652"/>
      <c r="O1202" s="653">
        <v>0.15</v>
      </c>
      <c r="P1202" s="653"/>
      <c r="Q1202" s="652">
        <v>943.38</v>
      </c>
      <c r="R1202" s="647" t="s">
        <v>35</v>
      </c>
      <c r="S1202" s="654" t="s">
        <v>41</v>
      </c>
      <c r="T1202" s="654">
        <v>16</v>
      </c>
      <c r="U1202" s="655" t="s">
        <v>164</v>
      </c>
      <c r="V1202" s="656"/>
      <c r="X1202" s="652">
        <v>943.38</v>
      </c>
      <c r="Y1202" s="652"/>
      <c r="AI1202" s="652">
        <v>943.38</v>
      </c>
      <c r="AJ1202" s="657"/>
      <c r="AK1202" s="658"/>
    </row>
    <row r="1203" spans="2:77" s="647" customFormat="1" ht="12" customHeight="1">
      <c r="B1203" s="661" t="s">
        <v>291</v>
      </c>
      <c r="C1203" s="648"/>
      <c r="D1203" s="648"/>
      <c r="E1203" s="649" t="s">
        <v>1101</v>
      </c>
      <c r="F1203" s="647" t="s">
        <v>1102</v>
      </c>
      <c r="G1203" s="650">
        <v>4416</v>
      </c>
      <c r="H1203" s="647" t="s">
        <v>99</v>
      </c>
      <c r="I1203" s="647" t="s">
        <v>958</v>
      </c>
      <c r="J1203" s="651">
        <v>11735.82</v>
      </c>
      <c r="L1203" s="651">
        <v>10.3</v>
      </c>
      <c r="M1203" s="651">
        <v>10.3</v>
      </c>
      <c r="N1203" s="652">
        <f>J1203*0.2</f>
        <v>2347.1640000000002</v>
      </c>
      <c r="O1203" s="653">
        <v>0.15</v>
      </c>
      <c r="P1203" s="653"/>
      <c r="Q1203" s="652">
        <v>1317.27</v>
      </c>
      <c r="R1203" s="647" t="s">
        <v>35</v>
      </c>
      <c r="S1203" s="654" t="s">
        <v>41</v>
      </c>
      <c r="T1203" s="654">
        <v>16</v>
      </c>
      <c r="U1203" s="655" t="s">
        <v>164</v>
      </c>
      <c r="V1203" s="656"/>
      <c r="X1203" s="652">
        <v>1317.27</v>
      </c>
      <c r="Y1203" s="652"/>
      <c r="AI1203" s="652">
        <v>1317.27</v>
      </c>
      <c r="AJ1203" s="657"/>
      <c r="AK1203" s="658"/>
    </row>
    <row r="1204" spans="2:77" s="647" customFormat="1" ht="12" customHeight="1">
      <c r="B1204" s="661" t="s">
        <v>291</v>
      </c>
      <c r="C1204" s="648"/>
      <c r="D1204" s="648"/>
      <c r="E1204" s="649" t="s">
        <v>1101</v>
      </c>
      <c r="F1204" s="647" t="s">
        <v>1102</v>
      </c>
      <c r="G1204" s="650">
        <v>4416</v>
      </c>
      <c r="H1204" s="647" t="s">
        <v>99</v>
      </c>
      <c r="I1204" s="647" t="s">
        <v>958</v>
      </c>
      <c r="J1204" s="651">
        <v>136105.20000000001</v>
      </c>
      <c r="L1204" s="651">
        <v>108.02</v>
      </c>
      <c r="M1204" s="651">
        <v>108.02</v>
      </c>
      <c r="N1204" s="652">
        <f>J1204*0.2</f>
        <v>27221.040000000005</v>
      </c>
      <c r="O1204" s="653">
        <v>0.15</v>
      </c>
      <c r="P1204" s="653"/>
      <c r="Q1204" s="652">
        <v>0</v>
      </c>
      <c r="R1204" s="647" t="s">
        <v>35</v>
      </c>
      <c r="S1204" s="654" t="s">
        <v>41</v>
      </c>
      <c r="T1204" s="654">
        <v>86</v>
      </c>
      <c r="U1204" s="655" t="s">
        <v>164</v>
      </c>
      <c r="V1204" s="656"/>
      <c r="X1204" s="652">
        <v>0</v>
      </c>
      <c r="Y1204" s="652"/>
      <c r="AI1204" s="647">
        <f>X1204</f>
        <v>0</v>
      </c>
      <c r="AJ1204" s="657"/>
      <c r="AK1204" s="658"/>
    </row>
    <row r="1205" spans="2:77" s="647" customFormat="1" ht="12" customHeight="1">
      <c r="B1205" s="661" t="s">
        <v>291</v>
      </c>
      <c r="C1205" s="648"/>
      <c r="D1205" s="648"/>
      <c r="E1205" s="649" t="s">
        <v>1101</v>
      </c>
      <c r="F1205" s="647" t="s">
        <v>1102</v>
      </c>
      <c r="G1205" s="650">
        <v>4416</v>
      </c>
      <c r="H1205" s="647" t="s">
        <v>162</v>
      </c>
      <c r="I1205" s="647" t="s">
        <v>958</v>
      </c>
      <c r="J1205" s="651">
        <v>3054.92</v>
      </c>
      <c r="L1205" s="651">
        <v>5.83</v>
      </c>
      <c r="M1205" s="651">
        <v>5.83</v>
      </c>
      <c r="N1205" s="652">
        <f>J1205*0.4</f>
        <v>1221.9680000000001</v>
      </c>
      <c r="O1205" s="653">
        <v>0.15</v>
      </c>
      <c r="P1205" s="653"/>
      <c r="Q1205" s="652">
        <v>0</v>
      </c>
      <c r="R1205" s="647" t="s">
        <v>35</v>
      </c>
      <c r="S1205" s="654" t="s">
        <v>41</v>
      </c>
      <c r="T1205" s="654">
        <v>86</v>
      </c>
      <c r="U1205" s="655" t="s">
        <v>164</v>
      </c>
      <c r="V1205" s="656"/>
      <c r="X1205" s="652">
        <v>0</v>
      </c>
      <c r="Y1205" s="652"/>
      <c r="AI1205" s="647">
        <f>X1205</f>
        <v>0</v>
      </c>
      <c r="AJ1205" s="657"/>
      <c r="AK1205" s="658"/>
    </row>
    <row r="1206" spans="2:77" s="647" customFormat="1" ht="12" customHeight="1">
      <c r="B1206" s="661" t="s">
        <v>291</v>
      </c>
      <c r="C1206" s="648"/>
      <c r="D1206" s="648"/>
      <c r="E1206" s="649" t="s">
        <v>1101</v>
      </c>
      <c r="F1206" s="647" t="s">
        <v>1102</v>
      </c>
      <c r="G1206" s="650">
        <v>4416</v>
      </c>
      <c r="H1206" s="647" t="s">
        <v>27</v>
      </c>
      <c r="I1206" s="647" t="s">
        <v>958</v>
      </c>
      <c r="J1206" s="651">
        <v>33777</v>
      </c>
      <c r="L1206" s="651">
        <v>20.85</v>
      </c>
      <c r="M1206" s="651">
        <v>20.85</v>
      </c>
      <c r="N1206" s="652"/>
      <c r="O1206" s="653">
        <v>0.15</v>
      </c>
      <c r="P1206" s="653"/>
      <c r="Q1206" s="652">
        <v>4758.8100000000004</v>
      </c>
      <c r="R1206" s="647" t="s">
        <v>35</v>
      </c>
      <c r="S1206" s="654" t="s">
        <v>41</v>
      </c>
      <c r="T1206" s="654">
        <v>86</v>
      </c>
      <c r="U1206" s="655" t="s">
        <v>164</v>
      </c>
      <c r="V1206" s="656"/>
      <c r="X1206" s="652">
        <v>4758.8100000000004</v>
      </c>
      <c r="Y1206" s="652"/>
      <c r="AI1206" s="652">
        <v>4758.8100000000004</v>
      </c>
      <c r="AJ1206" s="657"/>
      <c r="AK1206" s="658"/>
    </row>
    <row r="1207" spans="2:77" s="261" customFormat="1" ht="12" customHeight="1">
      <c r="B1207" s="258" t="s">
        <v>291</v>
      </c>
      <c r="C1207" s="259">
        <v>44697</v>
      </c>
      <c r="D1207" s="259">
        <v>44697</v>
      </c>
      <c r="E1207" s="260" t="s">
        <v>1103</v>
      </c>
      <c r="F1207" s="261" t="s">
        <v>796</v>
      </c>
      <c r="G1207" s="262" t="s">
        <v>797</v>
      </c>
      <c r="H1207" s="261" t="s">
        <v>140</v>
      </c>
      <c r="I1207" s="261" t="s">
        <v>33</v>
      </c>
      <c r="J1207" s="263">
        <v>12242.36</v>
      </c>
      <c r="L1207" s="263">
        <v>6.98</v>
      </c>
      <c r="M1207" s="263">
        <v>6.98</v>
      </c>
      <c r="N1207" s="265">
        <v>3060.5904</v>
      </c>
      <c r="O1207" s="266">
        <v>0.25</v>
      </c>
      <c r="P1207" s="266"/>
      <c r="Q1207" s="265">
        <v>0</v>
      </c>
      <c r="R1207" s="261" t="s">
        <v>42</v>
      </c>
      <c r="S1207" s="267" t="s">
        <v>41</v>
      </c>
      <c r="T1207" s="267">
        <v>17</v>
      </c>
      <c r="U1207" s="268" t="s">
        <v>164</v>
      </c>
      <c r="V1207" s="427"/>
      <c r="X1207" s="265">
        <v>0</v>
      </c>
      <c r="Y1207" s="265"/>
      <c r="AG1207" s="261">
        <f>X1207</f>
        <v>0</v>
      </c>
      <c r="AJ1207" s="642"/>
    </row>
    <row r="1208" spans="2:77" s="261" customFormat="1" ht="12" customHeight="1">
      <c r="B1208" s="258" t="s">
        <v>291</v>
      </c>
      <c r="C1208" s="259"/>
      <c r="D1208" s="259"/>
      <c r="E1208" s="260" t="s">
        <v>1103</v>
      </c>
      <c r="F1208" s="261" t="s">
        <v>796</v>
      </c>
      <c r="G1208" s="262" t="s">
        <v>797</v>
      </c>
      <c r="H1208" s="261" t="s">
        <v>99</v>
      </c>
      <c r="I1208" s="261" t="s">
        <v>33</v>
      </c>
      <c r="J1208" s="263">
        <v>70574.14</v>
      </c>
      <c r="L1208" s="263">
        <v>52.1</v>
      </c>
      <c r="M1208" s="263">
        <v>52.1</v>
      </c>
      <c r="N1208" s="265">
        <v>21168.177930000002</v>
      </c>
      <c r="O1208" s="266">
        <v>0.25</v>
      </c>
      <c r="P1208" s="266"/>
      <c r="Q1208" s="265">
        <v>0</v>
      </c>
      <c r="R1208" s="261" t="s">
        <v>42</v>
      </c>
      <c r="S1208" s="267" t="s">
        <v>41</v>
      </c>
      <c r="T1208" s="267">
        <v>17</v>
      </c>
      <c r="U1208" s="268" t="s">
        <v>164</v>
      </c>
      <c r="V1208" s="427"/>
      <c r="X1208" s="265">
        <v>0</v>
      </c>
      <c r="Y1208" s="265"/>
      <c r="AG1208" s="261">
        <f>X1208</f>
        <v>0</v>
      </c>
      <c r="AJ1208" s="642"/>
    </row>
    <row r="1209" spans="2:77" s="291" customFormat="1" ht="12" customHeight="1">
      <c r="B1209" s="310" t="s">
        <v>291</v>
      </c>
      <c r="C1209" s="292"/>
      <c r="D1209" s="292"/>
      <c r="E1209" s="293" t="s">
        <v>1103</v>
      </c>
      <c r="F1209" s="291" t="s">
        <v>796</v>
      </c>
      <c r="G1209" s="294" t="s">
        <v>797</v>
      </c>
      <c r="H1209" s="291" t="s">
        <v>137</v>
      </c>
      <c r="I1209" s="291" t="s">
        <v>33</v>
      </c>
      <c r="J1209" s="296">
        <v>77002.61</v>
      </c>
      <c r="L1209" s="296">
        <v>47.43</v>
      </c>
      <c r="M1209" s="296">
        <v>47.43</v>
      </c>
      <c r="N1209" s="297">
        <v>26933.865000000002</v>
      </c>
      <c r="O1209" s="298">
        <v>0.25</v>
      </c>
      <c r="P1209" s="298"/>
      <c r="Q1209" s="297">
        <v>18436.28</v>
      </c>
      <c r="R1209" s="291" t="s">
        <v>42</v>
      </c>
      <c r="S1209" s="299" t="s">
        <v>41</v>
      </c>
      <c r="T1209" s="299">
        <v>17</v>
      </c>
      <c r="U1209" s="300" t="s">
        <v>164</v>
      </c>
      <c r="V1209" s="333"/>
      <c r="X1209" s="297">
        <v>18436.28</v>
      </c>
      <c r="Y1209" s="297"/>
      <c r="AH1209" s="311">
        <f>X1209</f>
        <v>18436.28</v>
      </c>
      <c r="AI1209" s="311"/>
      <c r="AJ1209" s="468"/>
      <c r="AK1209" s="303"/>
      <c r="AL1209" s="303"/>
      <c r="AM1209" s="303"/>
      <c r="AN1209" s="303"/>
      <c r="AO1209" s="303"/>
      <c r="AP1209" s="303"/>
      <c r="AQ1209" s="303"/>
      <c r="AR1209" s="303"/>
      <c r="AS1209" s="303"/>
      <c r="AT1209" s="303"/>
      <c r="AU1209" s="303"/>
      <c r="AV1209" s="303"/>
      <c r="AW1209" s="303"/>
      <c r="AX1209" s="303"/>
      <c r="AY1209" s="303"/>
      <c r="AZ1209" s="303"/>
      <c r="BA1209" s="303"/>
      <c r="BB1209" s="303"/>
      <c r="BC1209" s="303"/>
      <c r="BD1209" s="303"/>
      <c r="BE1209" s="303"/>
      <c r="BF1209" s="303"/>
      <c r="BG1209" s="303"/>
      <c r="BH1209" s="303"/>
      <c r="BI1209" s="303"/>
      <c r="BJ1209" s="303"/>
      <c r="BK1209" s="303"/>
      <c r="BL1209" s="303"/>
      <c r="BM1209" s="303"/>
      <c r="BN1209" s="303"/>
      <c r="BO1209" s="303"/>
      <c r="BP1209" s="303"/>
      <c r="BQ1209" s="303"/>
      <c r="BR1209" s="303"/>
      <c r="BS1209" s="303"/>
      <c r="BT1209" s="303"/>
      <c r="BU1209" s="303"/>
      <c r="BV1209" s="303"/>
      <c r="BW1209" s="303"/>
      <c r="BX1209" s="303"/>
      <c r="BY1209" s="303"/>
    </row>
    <row r="1210" spans="2:77" s="379" customFormat="1" ht="12" customHeight="1">
      <c r="B1210" s="380" t="s">
        <v>291</v>
      </c>
      <c r="C1210" s="381">
        <v>44697</v>
      </c>
      <c r="D1210" s="381">
        <v>44697</v>
      </c>
      <c r="E1210" s="382" t="s">
        <v>1104</v>
      </c>
      <c r="F1210" s="379" t="s">
        <v>396</v>
      </c>
      <c r="G1210" s="383">
        <v>4224</v>
      </c>
      <c r="H1210" s="379" t="s">
        <v>27</v>
      </c>
      <c r="I1210" s="379" t="s">
        <v>33</v>
      </c>
      <c r="J1210" s="385">
        <v>22602.6</v>
      </c>
      <c r="L1210" s="385">
        <v>21.65</v>
      </c>
      <c r="M1210" s="385">
        <v>21.65</v>
      </c>
      <c r="O1210" s="387">
        <v>0.2</v>
      </c>
      <c r="P1210" s="387"/>
      <c r="Q1210" s="386">
        <v>0</v>
      </c>
      <c r="R1210" s="379" t="s">
        <v>281</v>
      </c>
      <c r="S1210" s="388" t="s">
        <v>397</v>
      </c>
      <c r="T1210" s="388">
        <v>36</v>
      </c>
      <c r="U1210" s="389" t="s">
        <v>164</v>
      </c>
      <c r="V1210" s="433"/>
      <c r="X1210" s="386">
        <v>0</v>
      </c>
      <c r="Y1210" s="386"/>
      <c r="AJ1210" s="390">
        <v>0</v>
      </c>
      <c r="AK1210" s="394"/>
      <c r="AL1210" s="394"/>
      <c r="AM1210" s="394"/>
      <c r="AN1210" s="394"/>
      <c r="AO1210" s="394"/>
      <c r="AP1210" s="394"/>
      <c r="AQ1210" s="394"/>
      <c r="AR1210" s="394"/>
      <c r="AS1210" s="394"/>
      <c r="AT1210" s="394"/>
      <c r="AU1210" s="394"/>
      <c r="AV1210" s="394"/>
      <c r="AW1210" s="394"/>
      <c r="AX1210" s="394"/>
      <c r="AY1210" s="394"/>
      <c r="AZ1210" s="394"/>
      <c r="BA1210" s="394"/>
      <c r="BB1210" s="394"/>
      <c r="BC1210" s="394"/>
      <c r="BD1210" s="394"/>
      <c r="BE1210" s="394"/>
      <c r="BF1210" s="394"/>
      <c r="BG1210" s="394"/>
      <c r="BH1210" s="394"/>
      <c r="BI1210" s="394"/>
      <c r="BJ1210" s="394"/>
      <c r="BK1210" s="394"/>
      <c r="BL1210" s="394"/>
      <c r="BM1210" s="394"/>
      <c r="BN1210" s="394"/>
      <c r="BO1210" s="394"/>
      <c r="BP1210" s="394"/>
      <c r="BQ1210" s="394"/>
      <c r="BR1210" s="394"/>
      <c r="BS1210" s="394"/>
      <c r="BT1210" s="394"/>
      <c r="BU1210" s="394"/>
      <c r="BV1210" s="394"/>
      <c r="BW1210" s="394"/>
      <c r="BX1210" s="394"/>
      <c r="BY1210" s="394"/>
    </row>
    <row r="1211" spans="2:77" s="379" customFormat="1" ht="12" customHeight="1">
      <c r="B1211" s="380" t="s">
        <v>291</v>
      </c>
      <c r="C1211" s="381"/>
      <c r="D1211" s="381"/>
      <c r="E1211" s="382" t="s">
        <v>1104</v>
      </c>
      <c r="F1211" s="379" t="s">
        <v>396</v>
      </c>
      <c r="G1211" s="383">
        <v>4224</v>
      </c>
      <c r="H1211" s="379" t="s">
        <v>99</v>
      </c>
      <c r="I1211" s="379" t="s">
        <v>33</v>
      </c>
      <c r="J1211" s="385">
        <v>38607.1</v>
      </c>
      <c r="L1211" s="385">
        <v>38.24</v>
      </c>
      <c r="M1211" s="385">
        <v>38.24</v>
      </c>
      <c r="O1211" s="387">
        <v>0.2</v>
      </c>
      <c r="P1211" s="387"/>
      <c r="Q1211" s="386">
        <v>0</v>
      </c>
      <c r="R1211" s="379" t="s">
        <v>281</v>
      </c>
      <c r="S1211" s="388" t="s">
        <v>397</v>
      </c>
      <c r="T1211" s="388">
        <v>36</v>
      </c>
      <c r="U1211" s="389" t="s">
        <v>164</v>
      </c>
      <c r="V1211" s="433"/>
      <c r="X1211" s="386">
        <v>0</v>
      </c>
      <c r="Y1211" s="386"/>
      <c r="AJ1211" s="390">
        <v>0</v>
      </c>
      <c r="AK1211" s="394"/>
      <c r="AL1211" s="394"/>
      <c r="AM1211" s="394"/>
      <c r="AN1211" s="394"/>
      <c r="AO1211" s="394"/>
      <c r="AP1211" s="394"/>
      <c r="AQ1211" s="394"/>
      <c r="AR1211" s="394"/>
      <c r="AS1211" s="394"/>
      <c r="AT1211" s="394"/>
      <c r="AU1211" s="394"/>
      <c r="AV1211" s="394"/>
      <c r="AW1211" s="394"/>
      <c r="AX1211" s="394"/>
      <c r="AY1211" s="394"/>
      <c r="AZ1211" s="394"/>
      <c r="BA1211" s="394"/>
      <c r="BB1211" s="394"/>
      <c r="BC1211" s="394"/>
      <c r="BD1211" s="394"/>
      <c r="BE1211" s="394"/>
      <c r="BF1211" s="394"/>
      <c r="BG1211" s="394"/>
      <c r="BH1211" s="394"/>
      <c r="BI1211" s="394"/>
      <c r="BJ1211" s="394"/>
      <c r="BK1211" s="394"/>
      <c r="BL1211" s="394"/>
      <c r="BM1211" s="394"/>
      <c r="BN1211" s="394"/>
      <c r="BO1211" s="394"/>
      <c r="BP1211" s="394"/>
      <c r="BQ1211" s="394"/>
      <c r="BR1211" s="394"/>
      <c r="BS1211" s="394"/>
      <c r="BT1211" s="394"/>
      <c r="BU1211" s="394"/>
      <c r="BV1211" s="394"/>
      <c r="BW1211" s="394"/>
      <c r="BX1211" s="394"/>
      <c r="BY1211" s="394"/>
    </row>
    <row r="1212" spans="2:77" s="379" customFormat="1" ht="12" customHeight="1">
      <c r="B1212" s="380" t="s">
        <v>291</v>
      </c>
      <c r="C1212" s="381"/>
      <c r="D1212" s="381"/>
      <c r="E1212" s="382" t="s">
        <v>1104</v>
      </c>
      <c r="F1212" s="379" t="s">
        <v>396</v>
      </c>
      <c r="G1212" s="383">
        <v>4224</v>
      </c>
      <c r="H1212" s="379" t="s">
        <v>183</v>
      </c>
      <c r="I1212" s="379" t="s">
        <v>33</v>
      </c>
      <c r="J1212" s="385">
        <v>37240.800000000003</v>
      </c>
      <c r="L1212" s="385">
        <v>42.08</v>
      </c>
      <c r="M1212" s="385">
        <v>42.08</v>
      </c>
      <c r="O1212" s="387">
        <v>0.2</v>
      </c>
      <c r="P1212" s="387"/>
      <c r="Q1212" s="386">
        <v>0</v>
      </c>
      <c r="R1212" s="379" t="s">
        <v>281</v>
      </c>
      <c r="S1212" s="388" t="s">
        <v>397</v>
      </c>
      <c r="T1212" s="388">
        <v>36</v>
      </c>
      <c r="U1212" s="389" t="s">
        <v>164</v>
      </c>
      <c r="V1212" s="433"/>
      <c r="X1212" s="386">
        <v>0</v>
      </c>
      <c r="Y1212" s="386"/>
      <c r="AJ1212" s="390">
        <v>0</v>
      </c>
    </row>
    <row r="1213" spans="2:77" s="379" customFormat="1" ht="12" customHeight="1">
      <c r="B1213" s="380" t="s">
        <v>291</v>
      </c>
      <c r="C1213" s="381"/>
      <c r="D1213" s="381"/>
      <c r="E1213" s="382" t="s">
        <v>1104</v>
      </c>
      <c r="F1213" s="379" t="s">
        <v>396</v>
      </c>
      <c r="G1213" s="383">
        <v>4224</v>
      </c>
      <c r="H1213" s="379" t="s">
        <v>765</v>
      </c>
      <c r="I1213" s="379" t="s">
        <v>33</v>
      </c>
      <c r="J1213" s="385">
        <v>7000.56</v>
      </c>
      <c r="L1213" s="385">
        <v>9.26</v>
      </c>
      <c r="M1213" s="385">
        <v>9.26</v>
      </c>
      <c r="O1213" s="387">
        <v>0.2</v>
      </c>
      <c r="P1213" s="387"/>
      <c r="Q1213" s="386">
        <v>0</v>
      </c>
      <c r="R1213" s="379" t="s">
        <v>281</v>
      </c>
      <c r="S1213" s="388" t="s">
        <v>397</v>
      </c>
      <c r="T1213" s="388">
        <v>36</v>
      </c>
      <c r="U1213" s="389" t="s">
        <v>164</v>
      </c>
      <c r="V1213" s="433"/>
      <c r="X1213" s="386">
        <v>0</v>
      </c>
      <c r="Y1213" s="386"/>
      <c r="AJ1213" s="390">
        <v>0</v>
      </c>
    </row>
    <row r="1214" spans="2:77" s="153" customFormat="1" ht="12" customHeight="1">
      <c r="B1214" s="154" t="s">
        <v>291</v>
      </c>
      <c r="C1214" s="155">
        <v>44693</v>
      </c>
      <c r="D1214" s="155">
        <v>44697</v>
      </c>
      <c r="E1214" s="156" t="s">
        <v>1105</v>
      </c>
      <c r="F1214" s="153" t="s">
        <v>1106</v>
      </c>
      <c r="G1214" s="157" t="s">
        <v>1107</v>
      </c>
      <c r="H1214" s="153" t="s">
        <v>765</v>
      </c>
      <c r="I1214" s="153" t="s">
        <v>33</v>
      </c>
      <c r="J1214" s="158">
        <v>1431.34</v>
      </c>
      <c r="L1214" s="158">
        <v>24.21</v>
      </c>
      <c r="M1214" s="158">
        <v>17.84</v>
      </c>
      <c r="N1214" s="159"/>
      <c r="O1214" s="160">
        <v>0.25</v>
      </c>
      <c r="P1214" s="160"/>
      <c r="Q1214" s="159">
        <v>0</v>
      </c>
      <c r="R1214" s="153" t="s">
        <v>285</v>
      </c>
      <c r="S1214" s="161" t="s">
        <v>275</v>
      </c>
      <c r="T1214" s="161">
        <v>89</v>
      </c>
      <c r="U1214" s="162" t="s">
        <v>164</v>
      </c>
      <c r="V1214" s="435"/>
      <c r="X1214" s="159">
        <v>0</v>
      </c>
      <c r="Y1214" s="159"/>
      <c r="AD1214" s="176">
        <f>X1214</f>
        <v>0</v>
      </c>
      <c r="AJ1214" s="644"/>
    </row>
    <row r="1215" spans="2:77" s="647" customFormat="1" ht="12" customHeight="1">
      <c r="B1215" s="661" t="s">
        <v>291</v>
      </c>
      <c r="C1215" s="648">
        <v>44692</v>
      </c>
      <c r="D1215" s="648">
        <v>44698</v>
      </c>
      <c r="E1215" s="649" t="s">
        <v>1108</v>
      </c>
      <c r="F1215" s="647" t="s">
        <v>1109</v>
      </c>
      <c r="G1215" s="650">
        <v>3835</v>
      </c>
      <c r="H1215" s="647" t="s">
        <v>157</v>
      </c>
      <c r="I1215" s="647" t="s">
        <v>33</v>
      </c>
      <c r="J1215" s="651">
        <v>23754.6</v>
      </c>
      <c r="L1215" s="651">
        <v>30</v>
      </c>
      <c r="M1215" s="651">
        <v>30</v>
      </c>
      <c r="N1215" s="652">
        <f>0.25*J1215</f>
        <v>5938.65</v>
      </c>
      <c r="O1215" s="653">
        <v>0.15</v>
      </c>
      <c r="P1215" s="653"/>
      <c r="Q1215" s="652">
        <v>0</v>
      </c>
      <c r="R1215" s="647" t="s">
        <v>69</v>
      </c>
      <c r="S1215" s="654" t="s">
        <v>41</v>
      </c>
      <c r="T1215" s="654">
        <v>79</v>
      </c>
      <c r="U1215" s="655" t="s">
        <v>164</v>
      </c>
      <c r="V1215" s="656"/>
      <c r="X1215" s="652">
        <v>0</v>
      </c>
      <c r="Y1215" s="652"/>
      <c r="AI1215" s="647">
        <v>0</v>
      </c>
      <c r="AJ1215" s="657"/>
      <c r="AK1215" s="658"/>
    </row>
    <row r="1216" spans="2:77" s="181" customFormat="1" ht="12" customHeight="1">
      <c r="B1216" s="178" t="s">
        <v>291</v>
      </c>
      <c r="C1216" s="179"/>
      <c r="D1216" s="179"/>
      <c r="E1216" s="180" t="s">
        <v>1108</v>
      </c>
      <c r="F1216" s="181" t="s">
        <v>1109</v>
      </c>
      <c r="G1216" s="182">
        <v>3835</v>
      </c>
      <c r="H1216" s="181" t="s">
        <v>765</v>
      </c>
      <c r="I1216" s="181" t="s">
        <v>33</v>
      </c>
      <c r="J1216" s="183">
        <v>17212.650000000001</v>
      </c>
      <c r="L1216" s="183">
        <v>13</v>
      </c>
      <c r="M1216" s="183">
        <v>13</v>
      </c>
      <c r="N1216" s="185"/>
      <c r="O1216" s="186">
        <v>0.15</v>
      </c>
      <c r="P1216" s="186"/>
      <c r="Q1216" s="185">
        <v>0</v>
      </c>
      <c r="R1216" s="181" t="s">
        <v>69</v>
      </c>
      <c r="S1216" s="187" t="s">
        <v>41</v>
      </c>
      <c r="T1216" s="187">
        <v>79</v>
      </c>
      <c r="U1216" s="188" t="s">
        <v>164</v>
      </c>
      <c r="V1216" s="441"/>
      <c r="W1216" s="181" t="s">
        <v>1906</v>
      </c>
      <c r="X1216" s="185">
        <v>0</v>
      </c>
      <c r="Y1216" s="185"/>
      <c r="AE1216" s="204">
        <f>X1216</f>
        <v>0</v>
      </c>
      <c r="AJ1216" s="189"/>
    </row>
    <row r="1217" spans="1:77" s="647" customFormat="1" ht="12" customHeight="1">
      <c r="B1217" s="661" t="s">
        <v>291</v>
      </c>
      <c r="C1217" s="648"/>
      <c r="D1217" s="648"/>
      <c r="E1217" s="649" t="s">
        <v>1108</v>
      </c>
      <c r="F1217" s="647" t="s">
        <v>1109</v>
      </c>
      <c r="G1217" s="650">
        <v>3835</v>
      </c>
      <c r="H1217" s="647" t="s">
        <v>99</v>
      </c>
      <c r="I1217" s="647" t="s">
        <v>33</v>
      </c>
      <c r="J1217" s="651">
        <v>66643.740000000005</v>
      </c>
      <c r="L1217" s="651">
        <v>67.89</v>
      </c>
      <c r="M1217" s="651">
        <v>67.59</v>
      </c>
      <c r="N1217" s="652">
        <f>0.35*J1217</f>
        <v>23325.309000000001</v>
      </c>
      <c r="O1217" s="653">
        <v>0.15</v>
      </c>
      <c r="P1217" s="653"/>
      <c r="Q1217" s="652">
        <v>0</v>
      </c>
      <c r="R1217" s="647" t="s">
        <v>69</v>
      </c>
      <c r="S1217" s="654" t="s">
        <v>41</v>
      </c>
      <c r="T1217" s="654">
        <v>79</v>
      </c>
      <c r="U1217" s="655" t="s">
        <v>164</v>
      </c>
      <c r="V1217" s="656"/>
      <c r="X1217" s="652">
        <v>0</v>
      </c>
      <c r="Y1217" s="652"/>
      <c r="AI1217" s="647">
        <v>0</v>
      </c>
      <c r="AJ1217" s="657"/>
      <c r="AK1217" s="658"/>
    </row>
    <row r="1218" spans="1:77" s="647" customFormat="1" ht="12" customHeight="1">
      <c r="B1218" s="661" t="s">
        <v>291</v>
      </c>
      <c r="C1218" s="648"/>
      <c r="D1218" s="648"/>
      <c r="E1218" s="649" t="s">
        <v>1108</v>
      </c>
      <c r="F1218" s="647" t="s">
        <v>1109</v>
      </c>
      <c r="G1218" s="650">
        <v>3835</v>
      </c>
      <c r="H1218" s="647" t="s">
        <v>27</v>
      </c>
      <c r="I1218" s="647" t="s">
        <v>33</v>
      </c>
      <c r="J1218" s="651">
        <v>40470</v>
      </c>
      <c r="L1218" s="651">
        <v>38</v>
      </c>
      <c r="M1218" s="651">
        <v>38</v>
      </c>
      <c r="N1218" s="652">
        <f>0.35*J1218</f>
        <v>14164.5</v>
      </c>
      <c r="O1218" s="653">
        <v>0.15</v>
      </c>
      <c r="P1218" s="653"/>
      <c r="Q1218" s="652">
        <v>0</v>
      </c>
      <c r="R1218" s="647" t="s">
        <v>69</v>
      </c>
      <c r="S1218" s="654" t="s">
        <v>41</v>
      </c>
      <c r="T1218" s="654">
        <v>79</v>
      </c>
      <c r="U1218" s="655" t="s">
        <v>164</v>
      </c>
      <c r="V1218" s="656"/>
      <c r="X1218" s="652">
        <v>0</v>
      </c>
      <c r="Y1218" s="652"/>
      <c r="AI1218" s="647">
        <v>0</v>
      </c>
      <c r="AJ1218" s="657"/>
      <c r="AK1218" s="658"/>
    </row>
    <row r="1219" spans="1:77" s="647" customFormat="1" ht="12" customHeight="1">
      <c r="B1219" s="661" t="s">
        <v>291</v>
      </c>
      <c r="C1219" s="648"/>
      <c r="D1219" s="648"/>
      <c r="E1219" s="649" t="s">
        <v>1108</v>
      </c>
      <c r="F1219" s="647" t="s">
        <v>1109</v>
      </c>
      <c r="G1219" s="650">
        <v>3835</v>
      </c>
      <c r="H1219" s="647" t="s">
        <v>183</v>
      </c>
      <c r="I1219" s="647" t="s">
        <v>33</v>
      </c>
      <c r="J1219" s="651">
        <v>36812.93</v>
      </c>
      <c r="L1219" s="651">
        <v>45.91</v>
      </c>
      <c r="M1219" s="651">
        <v>45.91</v>
      </c>
      <c r="N1219" s="652">
        <f>0.25*J1219</f>
        <v>9203.2325000000001</v>
      </c>
      <c r="O1219" s="653">
        <v>0.15</v>
      </c>
      <c r="P1219" s="653"/>
      <c r="Q1219" s="652">
        <v>3046.89</v>
      </c>
      <c r="R1219" s="647" t="s">
        <v>69</v>
      </c>
      <c r="S1219" s="654" t="s">
        <v>41</v>
      </c>
      <c r="T1219" s="654">
        <v>79</v>
      </c>
      <c r="U1219" s="655" t="s">
        <v>164</v>
      </c>
      <c r="V1219" s="656"/>
      <c r="X1219" s="652">
        <v>3046.89</v>
      </c>
      <c r="Y1219" s="652"/>
      <c r="AI1219" s="652">
        <v>3046.89</v>
      </c>
      <c r="AJ1219" s="657"/>
      <c r="AK1219" s="658"/>
    </row>
    <row r="1220" spans="1:77" s="261" customFormat="1" ht="12" customHeight="1">
      <c r="B1220" s="258" t="s">
        <v>291</v>
      </c>
      <c r="C1220" s="259">
        <v>44698</v>
      </c>
      <c r="D1220" s="259">
        <v>44698</v>
      </c>
      <c r="E1220" s="260" t="s">
        <v>1110</v>
      </c>
      <c r="F1220" s="261" t="s">
        <v>737</v>
      </c>
      <c r="G1220" s="262">
        <v>3637</v>
      </c>
      <c r="H1220" s="261" t="s">
        <v>99</v>
      </c>
      <c r="I1220" s="261" t="s">
        <v>958</v>
      </c>
      <c r="J1220" s="263">
        <v>62459.65</v>
      </c>
      <c r="L1220" s="263">
        <v>59.77</v>
      </c>
      <c r="M1220" s="263">
        <v>59.77</v>
      </c>
      <c r="N1220" s="265">
        <f>27500.22</f>
        <v>27500.22</v>
      </c>
      <c r="O1220" s="266">
        <v>0.2</v>
      </c>
      <c r="P1220" s="266"/>
      <c r="Q1220" s="265">
        <v>8574.91</v>
      </c>
      <c r="R1220" s="261" t="s">
        <v>42</v>
      </c>
      <c r="S1220" s="267" t="s">
        <v>41</v>
      </c>
      <c r="T1220" s="267">
        <v>79</v>
      </c>
      <c r="U1220" s="268" t="s">
        <v>164</v>
      </c>
      <c r="V1220" s="427"/>
      <c r="X1220" s="265">
        <v>8574.91</v>
      </c>
      <c r="Y1220" s="265"/>
      <c r="AG1220" s="261">
        <f>X1220</f>
        <v>8574.91</v>
      </c>
      <c r="AJ1220" s="642"/>
    </row>
    <row r="1221" spans="1:77" s="647" customFormat="1" ht="12" customHeight="1">
      <c r="B1221" s="661" t="s">
        <v>291</v>
      </c>
      <c r="C1221" s="648"/>
      <c r="D1221" s="648"/>
      <c r="E1221" s="649" t="s">
        <v>1110</v>
      </c>
      <c r="F1221" s="647" t="s">
        <v>737</v>
      </c>
      <c r="G1221" s="650">
        <v>3637</v>
      </c>
      <c r="H1221" s="647" t="s">
        <v>866</v>
      </c>
      <c r="I1221" s="647" t="s">
        <v>958</v>
      </c>
      <c r="J1221" s="651">
        <v>37386.68</v>
      </c>
      <c r="L1221" s="651">
        <v>31.14</v>
      </c>
      <c r="M1221" s="651">
        <v>31.14</v>
      </c>
      <c r="N1221" s="652">
        <v>8869.4325000000008</v>
      </c>
      <c r="O1221" s="653">
        <v>0.2</v>
      </c>
      <c r="P1221" s="653"/>
      <c r="Q1221" s="652">
        <v>0</v>
      </c>
      <c r="R1221" s="647" t="s">
        <v>42</v>
      </c>
      <c r="S1221" s="654" t="s">
        <v>41</v>
      </c>
      <c r="T1221" s="654">
        <v>79</v>
      </c>
      <c r="U1221" s="655" t="s">
        <v>164</v>
      </c>
      <c r="V1221" s="656"/>
      <c r="X1221" s="652">
        <v>0</v>
      </c>
      <c r="Y1221" s="652"/>
      <c r="AI1221" s="647">
        <v>0</v>
      </c>
      <c r="AJ1221" s="657"/>
      <c r="AK1221" s="658"/>
    </row>
    <row r="1222" spans="1:77" s="153" customFormat="1" ht="12" customHeight="1">
      <c r="B1222" s="154" t="s">
        <v>291</v>
      </c>
      <c r="C1222" s="155"/>
      <c r="D1222" s="155"/>
      <c r="E1222" s="156" t="s">
        <v>1110</v>
      </c>
      <c r="F1222" s="153" t="s">
        <v>737</v>
      </c>
      <c r="G1222" s="157">
        <v>3637</v>
      </c>
      <c r="H1222" s="153" t="s">
        <v>765</v>
      </c>
      <c r="I1222" s="153" t="s">
        <v>958</v>
      </c>
      <c r="J1222" s="158">
        <v>34904.400000000001</v>
      </c>
      <c r="L1222" s="158">
        <v>51.33</v>
      </c>
      <c r="M1222" s="158">
        <v>51.33</v>
      </c>
      <c r="N1222" s="159"/>
      <c r="O1222" s="160">
        <v>0.2</v>
      </c>
      <c r="P1222" s="160"/>
      <c r="Q1222" s="159">
        <v>0</v>
      </c>
      <c r="R1222" s="153" t="s">
        <v>42</v>
      </c>
      <c r="S1222" s="161" t="s">
        <v>41</v>
      </c>
      <c r="T1222" s="161">
        <v>79</v>
      </c>
      <c r="U1222" s="162" t="s">
        <v>164</v>
      </c>
      <c r="V1222" s="435"/>
      <c r="W1222" s="153" t="s">
        <v>1900</v>
      </c>
      <c r="X1222" s="159">
        <v>0</v>
      </c>
      <c r="Y1222" s="159"/>
      <c r="AD1222" s="176">
        <f>X1222</f>
        <v>0</v>
      </c>
      <c r="AJ1222" s="644"/>
    </row>
    <row r="1223" spans="1:77" s="291" customFormat="1" ht="12" customHeight="1">
      <c r="B1223" s="310" t="s">
        <v>291</v>
      </c>
      <c r="C1223" s="292">
        <v>44698</v>
      </c>
      <c r="D1223" s="292">
        <v>44698</v>
      </c>
      <c r="E1223" s="293" t="s">
        <v>1111</v>
      </c>
      <c r="F1223" s="291" t="s">
        <v>1112</v>
      </c>
      <c r="G1223" s="294">
        <v>3999</v>
      </c>
      <c r="H1223" s="291" t="s">
        <v>99</v>
      </c>
      <c r="I1223" s="291" t="s">
        <v>33</v>
      </c>
      <c r="J1223" s="296">
        <v>16772.509999999998</v>
      </c>
      <c r="L1223" s="296">
        <v>14.66</v>
      </c>
      <c r="M1223" s="296">
        <v>14.66</v>
      </c>
      <c r="N1223" s="297"/>
      <c r="O1223" s="298">
        <v>0.2</v>
      </c>
      <c r="P1223" s="298"/>
      <c r="Q1223" s="297">
        <v>0</v>
      </c>
      <c r="R1223" s="291" t="s">
        <v>35</v>
      </c>
      <c r="S1223" s="299" t="s">
        <v>41</v>
      </c>
      <c r="T1223" s="299">
        <v>17</v>
      </c>
      <c r="U1223" s="300" t="s">
        <v>164</v>
      </c>
      <c r="V1223" s="333"/>
      <c r="X1223" s="297">
        <v>0</v>
      </c>
      <c r="Y1223" s="297"/>
      <c r="AH1223" s="291">
        <f>X1223</f>
        <v>0</v>
      </c>
      <c r="AI1223" s="311"/>
      <c r="AJ1223" s="468"/>
    </row>
    <row r="1224" spans="1:77" s="291" customFormat="1" ht="12" customHeight="1">
      <c r="B1224" s="310" t="s">
        <v>291</v>
      </c>
      <c r="C1224" s="292"/>
      <c r="D1224" s="292"/>
      <c r="E1224" s="293" t="s">
        <v>1111</v>
      </c>
      <c r="F1224" s="291" t="s">
        <v>1112</v>
      </c>
      <c r="G1224" s="294">
        <v>3999</v>
      </c>
      <c r="H1224" s="291" t="s">
        <v>183</v>
      </c>
      <c r="I1224" s="291" t="s">
        <v>33</v>
      </c>
      <c r="J1224" s="296">
        <v>8937.92</v>
      </c>
      <c r="L1224" s="296">
        <v>9.01</v>
      </c>
      <c r="M1224" s="296">
        <v>9.01</v>
      </c>
      <c r="N1224" s="297"/>
      <c r="O1224" s="298">
        <v>0.2</v>
      </c>
      <c r="P1224" s="298"/>
      <c r="Q1224" s="297">
        <v>0</v>
      </c>
      <c r="R1224" s="291" t="s">
        <v>35</v>
      </c>
      <c r="S1224" s="299" t="s">
        <v>41</v>
      </c>
      <c r="T1224" s="299">
        <v>17</v>
      </c>
      <c r="U1224" s="300" t="s">
        <v>164</v>
      </c>
      <c r="V1224" s="333"/>
      <c r="X1224" s="297">
        <v>0</v>
      </c>
      <c r="Y1224" s="297"/>
      <c r="AH1224" s="291">
        <f>X1224</f>
        <v>0</v>
      </c>
      <c r="AI1224" s="311"/>
      <c r="AJ1224" s="468"/>
    </row>
    <row r="1225" spans="1:77" s="291" customFormat="1" ht="12" customHeight="1">
      <c r="B1225" s="310" t="s">
        <v>291</v>
      </c>
      <c r="C1225" s="292"/>
      <c r="D1225" s="292"/>
      <c r="E1225" s="293" t="s">
        <v>1111</v>
      </c>
      <c r="F1225" s="291" t="s">
        <v>1112</v>
      </c>
      <c r="G1225" s="294">
        <v>3999</v>
      </c>
      <c r="H1225" s="291" t="s">
        <v>163</v>
      </c>
      <c r="I1225" s="291" t="s">
        <v>33</v>
      </c>
      <c r="J1225" s="296">
        <v>22426.54</v>
      </c>
      <c r="L1225" s="296">
        <v>21.04</v>
      </c>
      <c r="M1225" s="296">
        <v>21.04</v>
      </c>
      <c r="N1225" s="297"/>
      <c r="O1225" s="298">
        <v>0.2</v>
      </c>
      <c r="P1225" s="298"/>
      <c r="Q1225" s="297">
        <v>0</v>
      </c>
      <c r="R1225" s="291" t="s">
        <v>35</v>
      </c>
      <c r="S1225" s="299" t="s">
        <v>41</v>
      </c>
      <c r="T1225" s="299">
        <v>17</v>
      </c>
      <c r="U1225" s="300" t="s">
        <v>164</v>
      </c>
      <c r="V1225" s="333"/>
      <c r="W1225" s="291" t="s">
        <v>3912</v>
      </c>
      <c r="X1225" s="297">
        <v>0</v>
      </c>
      <c r="Y1225" s="297"/>
      <c r="AH1225" s="291">
        <f>X1225</f>
        <v>0</v>
      </c>
      <c r="AI1225" s="311"/>
      <c r="AJ1225" s="468"/>
    </row>
    <row r="1226" spans="1:77" s="507" customFormat="1" ht="12" customHeight="1">
      <c r="B1226" s="508" t="s">
        <v>291</v>
      </c>
      <c r="C1226" s="509">
        <v>44698</v>
      </c>
      <c r="D1226" s="509">
        <v>44698</v>
      </c>
      <c r="E1226" s="510" t="s">
        <v>1113</v>
      </c>
      <c r="F1226" s="507" t="s">
        <v>1114</v>
      </c>
      <c r="G1226" s="521">
        <v>3994</v>
      </c>
      <c r="H1226" s="507" t="s">
        <v>99</v>
      </c>
      <c r="I1226" s="507" t="s">
        <v>961</v>
      </c>
      <c r="J1226" s="513">
        <v>5916</v>
      </c>
      <c r="L1226" s="513">
        <v>5.8</v>
      </c>
      <c r="M1226" s="513">
        <v>5.8</v>
      </c>
      <c r="N1226" s="514"/>
      <c r="O1226" s="515">
        <v>0.15</v>
      </c>
      <c r="P1226" s="515"/>
      <c r="Q1226" s="514">
        <v>2662.2</v>
      </c>
      <c r="R1226" s="507" t="s">
        <v>35</v>
      </c>
      <c r="S1226" s="516" t="s">
        <v>41</v>
      </c>
      <c r="T1226" s="516">
        <v>86</v>
      </c>
      <c r="U1226" s="517" t="s">
        <v>164</v>
      </c>
      <c r="V1226" s="518"/>
      <c r="X1226" s="514">
        <v>2662.2</v>
      </c>
      <c r="Y1226" s="514"/>
      <c r="AJ1226" s="522"/>
      <c r="AL1226" s="514">
        <v>2662.2</v>
      </c>
    </row>
    <row r="1227" spans="1:77" s="6" customFormat="1" ht="12" customHeight="1">
      <c r="A1227" s="379"/>
      <c r="B1227" s="380" t="s">
        <v>291</v>
      </c>
      <c r="C1227" s="381">
        <v>44696</v>
      </c>
      <c r="D1227" s="381">
        <v>44698</v>
      </c>
      <c r="E1227" s="382" t="s">
        <v>1115</v>
      </c>
      <c r="F1227" s="379" t="s">
        <v>1116</v>
      </c>
      <c r="G1227" s="383">
        <v>3716</v>
      </c>
      <c r="H1227" s="379" t="s">
        <v>765</v>
      </c>
      <c r="I1227" s="379" t="s">
        <v>156</v>
      </c>
      <c r="J1227" s="385">
        <v>11826.17</v>
      </c>
      <c r="K1227" s="379"/>
      <c r="L1227" s="385">
        <v>11.01</v>
      </c>
      <c r="M1227" s="385">
        <v>5.25</v>
      </c>
      <c r="N1227" s="386">
        <v>451.13</v>
      </c>
      <c r="O1227" s="387">
        <v>0.15</v>
      </c>
      <c r="P1227" s="387">
        <v>0.1</v>
      </c>
      <c r="Q1227" s="386">
        <v>0</v>
      </c>
      <c r="R1227" s="379" t="s">
        <v>112</v>
      </c>
      <c r="S1227" s="388" t="s">
        <v>113</v>
      </c>
      <c r="T1227" s="388">
        <v>64</v>
      </c>
      <c r="U1227" s="389" t="s">
        <v>164</v>
      </c>
      <c r="V1227" s="433"/>
      <c r="W1227" s="379"/>
      <c r="X1227" s="386">
        <v>0</v>
      </c>
      <c r="Y1227" s="386"/>
      <c r="Z1227" s="379"/>
      <c r="AA1227" s="379"/>
      <c r="AB1227" s="379"/>
      <c r="AC1227" s="379"/>
      <c r="AD1227" s="379"/>
      <c r="AE1227" s="379"/>
      <c r="AF1227" s="379"/>
      <c r="AG1227" s="379"/>
      <c r="AH1227" s="379"/>
      <c r="AI1227" s="379"/>
      <c r="AJ1227" s="390">
        <v>0</v>
      </c>
      <c r="AK1227" s="379"/>
      <c r="AL1227" s="379"/>
      <c r="AM1227" s="379"/>
      <c r="AN1227" s="379"/>
      <c r="AO1227" s="379"/>
      <c r="AP1227" s="379"/>
      <c r="AQ1227" s="379"/>
      <c r="AR1227" s="379"/>
      <c r="AS1227" s="379"/>
      <c r="AT1227" s="379"/>
      <c r="AU1227" s="379"/>
      <c r="AV1227" s="379"/>
      <c r="AW1227" s="379"/>
      <c r="AX1227" s="379"/>
      <c r="AY1227" s="379"/>
      <c r="AZ1227" s="379"/>
      <c r="BA1227" s="379"/>
      <c r="BB1227" s="379"/>
      <c r="BC1227" s="379"/>
      <c r="BD1227" s="379"/>
      <c r="BE1227" s="379"/>
      <c r="BF1227" s="379"/>
      <c r="BG1227" s="379"/>
      <c r="BH1227" s="379"/>
      <c r="BI1227" s="379"/>
      <c r="BJ1227" s="379"/>
      <c r="BK1227" s="379"/>
      <c r="BL1227" s="379"/>
      <c r="BM1227" s="379"/>
      <c r="BN1227" s="379"/>
      <c r="BO1227" s="379"/>
      <c r="BP1227" s="379"/>
      <c r="BQ1227" s="379"/>
      <c r="BR1227" s="379"/>
      <c r="BS1227" s="379"/>
      <c r="BT1227" s="379"/>
      <c r="BU1227" s="379"/>
      <c r="BV1227" s="379"/>
      <c r="BW1227" s="379"/>
      <c r="BX1227" s="379"/>
      <c r="BY1227" s="379"/>
    </row>
    <row r="1228" spans="1:77" s="153" customFormat="1" ht="12" customHeight="1">
      <c r="B1228" s="154" t="s">
        <v>291</v>
      </c>
      <c r="C1228" s="155"/>
      <c r="D1228" s="155"/>
      <c r="E1228" s="156" t="s">
        <v>1115</v>
      </c>
      <c r="F1228" s="153" t="s">
        <v>1116</v>
      </c>
      <c r="G1228" s="157">
        <v>3716</v>
      </c>
      <c r="H1228" s="153" t="s">
        <v>814</v>
      </c>
      <c r="I1228" s="153" t="s">
        <v>156</v>
      </c>
      <c r="J1228" s="158">
        <v>13044.15</v>
      </c>
      <c r="L1228" s="158">
        <v>12.3</v>
      </c>
      <c r="M1228" s="158">
        <v>12.3</v>
      </c>
      <c r="N1228" s="159"/>
      <c r="O1228" s="160">
        <v>0.15</v>
      </c>
      <c r="P1228" s="160">
        <v>0.1</v>
      </c>
      <c r="Q1228" s="159">
        <v>0</v>
      </c>
      <c r="R1228" s="153" t="s">
        <v>112</v>
      </c>
      <c r="S1228" s="161" t="s">
        <v>113</v>
      </c>
      <c r="T1228" s="161">
        <v>64</v>
      </c>
      <c r="U1228" s="162" t="s">
        <v>164</v>
      </c>
      <c r="V1228" s="435"/>
      <c r="X1228" s="159">
        <v>0</v>
      </c>
      <c r="Y1228" s="159"/>
      <c r="AD1228" s="176">
        <f>X1228</f>
        <v>0</v>
      </c>
      <c r="AJ1228" s="644"/>
    </row>
    <row r="1229" spans="1:77" s="291" customFormat="1" ht="12" customHeight="1">
      <c r="B1229" s="310" t="s">
        <v>291</v>
      </c>
      <c r="C1229" s="292"/>
      <c r="D1229" s="292"/>
      <c r="E1229" s="293" t="s">
        <v>1115</v>
      </c>
      <c r="F1229" s="291" t="s">
        <v>1116</v>
      </c>
      <c r="G1229" s="294">
        <v>3716</v>
      </c>
      <c r="H1229" s="291" t="s">
        <v>910</v>
      </c>
      <c r="I1229" s="291" t="s">
        <v>156</v>
      </c>
      <c r="J1229" s="296">
        <v>23059.8</v>
      </c>
      <c r="L1229" s="296">
        <v>11.14</v>
      </c>
      <c r="M1229" s="296">
        <v>11.14</v>
      </c>
      <c r="N1229" s="297">
        <v>2457.17</v>
      </c>
      <c r="O1229" s="298">
        <v>0.15</v>
      </c>
      <c r="P1229" s="298">
        <v>0.1</v>
      </c>
      <c r="Q1229" s="297">
        <v>0</v>
      </c>
      <c r="R1229" s="291" t="s">
        <v>112</v>
      </c>
      <c r="S1229" s="299" t="s">
        <v>113</v>
      </c>
      <c r="T1229" s="299">
        <v>64</v>
      </c>
      <c r="U1229" s="300" t="s">
        <v>164</v>
      </c>
      <c r="V1229" s="333"/>
      <c r="X1229" s="297">
        <v>0</v>
      </c>
      <c r="Y1229" s="297"/>
      <c r="AH1229" s="311">
        <f>X1229</f>
        <v>0</v>
      </c>
      <c r="AI1229" s="311"/>
      <c r="AJ1229" s="468"/>
    </row>
    <row r="1230" spans="1:77" s="6" customFormat="1" ht="12" customHeight="1">
      <c r="A1230" s="379"/>
      <c r="B1230" s="380" t="s">
        <v>291</v>
      </c>
      <c r="C1230" s="381"/>
      <c r="D1230" s="381"/>
      <c r="E1230" s="382" t="s">
        <v>1115</v>
      </c>
      <c r="F1230" s="379" t="s">
        <v>1116</v>
      </c>
      <c r="G1230" s="383">
        <v>3716</v>
      </c>
      <c r="H1230" s="379" t="s">
        <v>866</v>
      </c>
      <c r="I1230" s="379" t="s">
        <v>156</v>
      </c>
      <c r="J1230" s="385">
        <v>21736.26</v>
      </c>
      <c r="K1230" s="379"/>
      <c r="L1230" s="385">
        <v>13.27</v>
      </c>
      <c r="M1230" s="385">
        <v>1.9950000000000001</v>
      </c>
      <c r="N1230" s="386">
        <v>479.12</v>
      </c>
      <c r="O1230" s="387">
        <v>0.15</v>
      </c>
      <c r="P1230" s="387">
        <v>0.1</v>
      </c>
      <c r="Q1230" s="386">
        <v>0</v>
      </c>
      <c r="R1230" s="379" t="s">
        <v>112</v>
      </c>
      <c r="S1230" s="388" t="s">
        <v>113</v>
      </c>
      <c r="T1230" s="388">
        <v>64</v>
      </c>
      <c r="U1230" s="389" t="s">
        <v>164</v>
      </c>
      <c r="V1230" s="433"/>
      <c r="W1230" s="379"/>
      <c r="X1230" s="386">
        <v>0</v>
      </c>
      <c r="Y1230" s="386"/>
      <c r="Z1230" s="379"/>
      <c r="AA1230" s="379"/>
      <c r="AB1230" s="379"/>
      <c r="AC1230" s="379"/>
      <c r="AD1230" s="379"/>
      <c r="AE1230" s="379"/>
      <c r="AF1230" s="379"/>
      <c r="AG1230" s="379"/>
      <c r="AH1230" s="379"/>
      <c r="AI1230" s="379"/>
      <c r="AJ1230" s="390">
        <v>0</v>
      </c>
      <c r="AK1230" s="379"/>
      <c r="AL1230" s="379"/>
      <c r="AM1230" s="379"/>
      <c r="AN1230" s="379"/>
      <c r="AO1230" s="379"/>
      <c r="AP1230" s="379"/>
      <c r="AQ1230" s="379"/>
      <c r="AR1230" s="379"/>
      <c r="AS1230" s="379"/>
      <c r="AT1230" s="379"/>
      <c r="AU1230" s="379"/>
      <c r="AV1230" s="379"/>
      <c r="AW1230" s="379"/>
      <c r="AX1230" s="379"/>
      <c r="AY1230" s="379"/>
      <c r="AZ1230" s="379"/>
      <c r="BA1230" s="379"/>
      <c r="BB1230" s="379"/>
      <c r="BC1230" s="379"/>
      <c r="BD1230" s="379"/>
      <c r="BE1230" s="379"/>
      <c r="BF1230" s="379"/>
      <c r="BG1230" s="379"/>
      <c r="BH1230" s="379"/>
      <c r="BI1230" s="379"/>
      <c r="BJ1230" s="379"/>
      <c r="BK1230" s="379"/>
      <c r="BL1230" s="379"/>
      <c r="BM1230" s="379"/>
      <c r="BN1230" s="379"/>
      <c r="BO1230" s="379"/>
      <c r="BP1230" s="379"/>
      <c r="BQ1230" s="379"/>
      <c r="BR1230" s="379"/>
      <c r="BS1230" s="379"/>
      <c r="BT1230" s="379"/>
      <c r="BU1230" s="379"/>
      <c r="BV1230" s="379"/>
      <c r="BW1230" s="379"/>
      <c r="BX1230" s="379"/>
      <c r="BY1230" s="379"/>
    </row>
    <row r="1231" spans="1:77" s="181" customFormat="1" ht="12" customHeight="1">
      <c r="B1231" s="178" t="s">
        <v>290</v>
      </c>
      <c r="C1231" s="179">
        <v>44696</v>
      </c>
      <c r="D1231" s="179">
        <v>44698</v>
      </c>
      <c r="E1231" s="180" t="s">
        <v>1117</v>
      </c>
      <c r="F1231" s="181" t="s">
        <v>1116</v>
      </c>
      <c r="G1231" s="182" t="s">
        <v>1118</v>
      </c>
      <c r="H1231" s="181" t="s">
        <v>183</v>
      </c>
      <c r="I1231" s="181" t="s">
        <v>156</v>
      </c>
      <c r="J1231" s="183">
        <v>9309.6</v>
      </c>
      <c r="L1231" s="183">
        <v>8.6199999999999992</v>
      </c>
      <c r="M1231" s="183">
        <v>8.6199999999999992</v>
      </c>
      <c r="N1231" s="185">
        <f>179.93+735.48+477.36</f>
        <v>1392.77</v>
      </c>
      <c r="O1231" s="186">
        <v>0.3</v>
      </c>
      <c r="P1231" s="186">
        <v>0.05</v>
      </c>
      <c r="Q1231" s="185">
        <v>968.98</v>
      </c>
      <c r="R1231" s="181" t="s">
        <v>112</v>
      </c>
      <c r="S1231" s="187" t="s">
        <v>113</v>
      </c>
      <c r="T1231" s="187">
        <v>64</v>
      </c>
      <c r="U1231" s="188" t="s">
        <v>164</v>
      </c>
      <c r="V1231" s="441"/>
      <c r="X1231" s="185">
        <v>968.98</v>
      </c>
      <c r="Y1231" s="185"/>
      <c r="AE1231" s="204">
        <f>X1231</f>
        <v>968.98</v>
      </c>
      <c r="AJ1231" s="189"/>
    </row>
    <row r="1232" spans="1:77" s="291" customFormat="1" ht="12" customHeight="1">
      <c r="B1232" s="310" t="s">
        <v>291</v>
      </c>
      <c r="C1232" s="292">
        <v>44696</v>
      </c>
      <c r="D1232" s="292">
        <v>44698</v>
      </c>
      <c r="E1232" s="293" t="s">
        <v>1119</v>
      </c>
      <c r="F1232" s="291" t="s">
        <v>1120</v>
      </c>
      <c r="G1232" s="294" t="s">
        <v>1121</v>
      </c>
      <c r="H1232" s="291" t="s">
        <v>910</v>
      </c>
      <c r="I1232" s="291" t="s">
        <v>156</v>
      </c>
      <c r="J1232" s="296">
        <v>54065.02</v>
      </c>
      <c r="L1232" s="296">
        <v>20.55</v>
      </c>
      <c r="M1232" s="296">
        <v>10.63</v>
      </c>
      <c r="N1232" s="297">
        <v>2795.65</v>
      </c>
      <c r="O1232" s="298">
        <v>0.3</v>
      </c>
      <c r="P1232" s="298">
        <v>0.1</v>
      </c>
      <c r="Q1232" s="297">
        <v>0</v>
      </c>
      <c r="R1232" s="291" t="s">
        <v>112</v>
      </c>
      <c r="S1232" s="299" t="s">
        <v>113</v>
      </c>
      <c r="T1232" s="299">
        <v>64</v>
      </c>
      <c r="U1232" s="300" t="s">
        <v>164</v>
      </c>
      <c r="V1232" s="333"/>
      <c r="X1232" s="297">
        <v>0</v>
      </c>
      <c r="Y1232" s="297"/>
      <c r="AH1232" s="291">
        <f>X1232</f>
        <v>0</v>
      </c>
      <c r="AI1232" s="311"/>
      <c r="AJ1232" s="468"/>
    </row>
    <row r="1233" spans="1:77" s="181" customFormat="1" ht="12" customHeight="1">
      <c r="B1233" s="178" t="s">
        <v>291</v>
      </c>
      <c r="C1233" s="179"/>
      <c r="D1233" s="179"/>
      <c r="E1233" s="180" t="s">
        <v>1119</v>
      </c>
      <c r="F1233" s="181" t="s">
        <v>1120</v>
      </c>
      <c r="G1233" s="182" t="s">
        <v>1121</v>
      </c>
      <c r="H1233" s="181" t="s">
        <v>866</v>
      </c>
      <c r="I1233" s="181" t="s">
        <v>156</v>
      </c>
      <c r="J1233" s="183">
        <v>111918.53</v>
      </c>
      <c r="L1233" s="183">
        <v>42.54</v>
      </c>
      <c r="M1233" s="183">
        <v>15.46</v>
      </c>
      <c r="N1233" s="185">
        <v>0</v>
      </c>
      <c r="O1233" s="186">
        <v>0.3</v>
      </c>
      <c r="P1233" s="186">
        <v>0.1</v>
      </c>
      <c r="Q1233" s="185">
        <v>0</v>
      </c>
      <c r="R1233" s="181" t="s">
        <v>112</v>
      </c>
      <c r="S1233" s="187" t="s">
        <v>113</v>
      </c>
      <c r="T1233" s="187">
        <v>64</v>
      </c>
      <c r="U1233" s="188" t="s">
        <v>164</v>
      </c>
      <c r="V1233" s="441"/>
      <c r="W1233" s="181" t="s">
        <v>2703</v>
      </c>
      <c r="X1233" s="185">
        <v>0</v>
      </c>
      <c r="Y1233" s="185"/>
      <c r="AE1233" s="204">
        <f>X1233</f>
        <v>0</v>
      </c>
      <c r="AJ1233" s="189"/>
    </row>
    <row r="1234" spans="1:77" s="153" customFormat="1" ht="12" customHeight="1">
      <c r="B1234" s="154" t="s">
        <v>291</v>
      </c>
      <c r="C1234" s="155"/>
      <c r="D1234" s="155"/>
      <c r="E1234" s="156" t="s">
        <v>1119</v>
      </c>
      <c r="F1234" s="153" t="s">
        <v>1120</v>
      </c>
      <c r="G1234" s="157" t="s">
        <v>1121</v>
      </c>
      <c r="H1234" s="153" t="s">
        <v>765</v>
      </c>
      <c r="I1234" s="153" t="s">
        <v>156</v>
      </c>
      <c r="J1234" s="158">
        <v>7205.26</v>
      </c>
      <c r="L1234" s="158">
        <v>5.16</v>
      </c>
      <c r="M1234" s="158">
        <v>5.16</v>
      </c>
      <c r="N1234" s="159"/>
      <c r="O1234" s="160">
        <v>0.3</v>
      </c>
      <c r="P1234" s="160">
        <v>0.1</v>
      </c>
      <c r="Q1234" s="159">
        <v>0</v>
      </c>
      <c r="R1234" s="153" t="s">
        <v>112</v>
      </c>
      <c r="S1234" s="161" t="s">
        <v>113</v>
      </c>
      <c r="T1234" s="161">
        <v>64</v>
      </c>
      <c r="U1234" s="162" t="s">
        <v>164</v>
      </c>
      <c r="V1234" s="435"/>
      <c r="X1234" s="159">
        <v>0</v>
      </c>
      <c r="Y1234" s="159"/>
      <c r="AD1234" s="176">
        <f>X1234</f>
        <v>0</v>
      </c>
      <c r="AJ1234" s="644"/>
    </row>
    <row r="1235" spans="1:77" s="379" customFormat="1" ht="12" customHeight="1">
      <c r="B1235" s="380" t="s">
        <v>291</v>
      </c>
      <c r="C1235" s="381">
        <v>44698</v>
      </c>
      <c r="D1235" s="381">
        <v>44698</v>
      </c>
      <c r="E1235" s="382" t="s">
        <v>1122</v>
      </c>
      <c r="F1235" s="379" t="s">
        <v>1123</v>
      </c>
      <c r="G1235" s="383">
        <v>3789</v>
      </c>
      <c r="H1235" s="379" t="s">
        <v>183</v>
      </c>
      <c r="I1235" s="379" t="s">
        <v>888</v>
      </c>
      <c r="J1235" s="385">
        <v>2087.5</v>
      </c>
      <c r="L1235" s="385">
        <v>2.5</v>
      </c>
      <c r="M1235" s="385">
        <v>2.5</v>
      </c>
      <c r="N1235" s="386">
        <f>0.2*J1235</f>
        <v>417.5</v>
      </c>
      <c r="O1235" s="387">
        <v>0.2</v>
      </c>
      <c r="P1235" s="387"/>
      <c r="Q1235" s="386">
        <v>0</v>
      </c>
      <c r="R1235" s="379" t="s">
        <v>35</v>
      </c>
      <c r="S1235" s="388" t="s">
        <v>41</v>
      </c>
      <c r="T1235" s="388">
        <v>87</v>
      </c>
      <c r="U1235" s="389" t="s">
        <v>164</v>
      </c>
      <c r="V1235" s="433"/>
      <c r="X1235" s="386">
        <v>0</v>
      </c>
      <c r="Y1235" s="386"/>
      <c r="AJ1235" s="390">
        <v>0</v>
      </c>
    </row>
    <row r="1236" spans="1:77" s="379" customFormat="1" ht="12" customHeight="1">
      <c r="B1236" s="380" t="s">
        <v>291</v>
      </c>
      <c r="C1236" s="381"/>
      <c r="D1236" s="381"/>
      <c r="E1236" s="382" t="s">
        <v>1122</v>
      </c>
      <c r="F1236" s="379" t="s">
        <v>1123</v>
      </c>
      <c r="G1236" s="383">
        <v>3789</v>
      </c>
      <c r="H1236" s="379" t="s">
        <v>99</v>
      </c>
      <c r="I1236" s="379" t="s">
        <v>888</v>
      </c>
      <c r="J1236" s="385">
        <v>23086.799999999999</v>
      </c>
      <c r="L1236" s="385">
        <v>22</v>
      </c>
      <c r="M1236" s="385">
        <v>22</v>
      </c>
      <c r="N1236" s="386">
        <f>0.2*J1236</f>
        <v>4617.3599999999997</v>
      </c>
      <c r="O1236" s="387">
        <v>0.2</v>
      </c>
      <c r="P1236" s="387"/>
      <c r="Q1236" s="386">
        <v>0</v>
      </c>
      <c r="R1236" s="379" t="s">
        <v>35</v>
      </c>
      <c r="S1236" s="388" t="s">
        <v>41</v>
      </c>
      <c r="T1236" s="388">
        <v>87</v>
      </c>
      <c r="U1236" s="389" t="s">
        <v>164</v>
      </c>
      <c r="V1236" s="433"/>
      <c r="X1236" s="386">
        <v>0</v>
      </c>
      <c r="Y1236" s="386"/>
      <c r="AJ1236" s="390">
        <v>0</v>
      </c>
    </row>
    <row r="1237" spans="1:77" s="379" customFormat="1" ht="12" customHeight="1">
      <c r="B1237" s="380" t="s">
        <v>291</v>
      </c>
      <c r="C1237" s="381">
        <v>44696</v>
      </c>
      <c r="D1237" s="381">
        <v>44698</v>
      </c>
      <c r="E1237" s="382" t="s">
        <v>1124</v>
      </c>
      <c r="F1237" s="379" t="s">
        <v>1125</v>
      </c>
      <c r="G1237" s="383">
        <v>3641</v>
      </c>
      <c r="H1237" s="379" t="s">
        <v>27</v>
      </c>
      <c r="I1237" s="379" t="s">
        <v>888</v>
      </c>
      <c r="J1237" s="385">
        <v>9748.5</v>
      </c>
      <c r="L1237" s="385">
        <v>6.7</v>
      </c>
      <c r="M1237" s="385">
        <v>6.6</v>
      </c>
      <c r="N1237" s="386"/>
      <c r="O1237" s="387">
        <v>0.2</v>
      </c>
      <c r="P1237" s="387"/>
      <c r="Q1237" s="386">
        <v>0</v>
      </c>
      <c r="R1237" s="379" t="s">
        <v>35</v>
      </c>
      <c r="S1237" s="388" t="s">
        <v>41</v>
      </c>
      <c r="T1237" s="388">
        <v>86</v>
      </c>
      <c r="U1237" s="389" t="s">
        <v>164</v>
      </c>
      <c r="V1237" s="433"/>
      <c r="X1237" s="386">
        <v>0</v>
      </c>
      <c r="Y1237" s="386"/>
      <c r="AJ1237" s="390">
        <v>0</v>
      </c>
    </row>
    <row r="1238" spans="1:77" s="379" customFormat="1" ht="12" customHeight="1">
      <c r="B1238" s="380" t="s">
        <v>291</v>
      </c>
      <c r="C1238" s="381"/>
      <c r="D1238" s="381"/>
      <c r="E1238" s="382" t="s">
        <v>1124</v>
      </c>
      <c r="F1238" s="379" t="s">
        <v>1125</v>
      </c>
      <c r="G1238" s="383">
        <v>3641</v>
      </c>
      <c r="H1238" s="379" t="s">
        <v>99</v>
      </c>
      <c r="I1238" s="379" t="s">
        <v>888</v>
      </c>
      <c r="J1238" s="385">
        <v>72338.759999999995</v>
      </c>
      <c r="L1238" s="385">
        <v>53.3</v>
      </c>
      <c r="M1238" s="385">
        <v>52.5</v>
      </c>
      <c r="N1238" s="386"/>
      <c r="O1238" s="387">
        <v>0.2</v>
      </c>
      <c r="P1238" s="387"/>
      <c r="Q1238" s="386">
        <v>0</v>
      </c>
      <c r="R1238" s="379" t="s">
        <v>35</v>
      </c>
      <c r="S1238" s="388" t="s">
        <v>41</v>
      </c>
      <c r="T1238" s="388">
        <v>86</v>
      </c>
      <c r="U1238" s="389" t="s">
        <v>164</v>
      </c>
      <c r="V1238" s="433"/>
      <c r="X1238" s="386">
        <v>0</v>
      </c>
      <c r="Y1238" s="386"/>
      <c r="AJ1238" s="390">
        <v>0</v>
      </c>
    </row>
    <row r="1239" spans="1:77" s="379" customFormat="1" ht="12" customHeight="1">
      <c r="B1239" s="380" t="s">
        <v>291</v>
      </c>
      <c r="C1239" s="381"/>
      <c r="D1239" s="381"/>
      <c r="E1239" s="382" t="s">
        <v>1124</v>
      </c>
      <c r="F1239" s="379" t="s">
        <v>1125</v>
      </c>
      <c r="G1239" s="383">
        <v>3641</v>
      </c>
      <c r="H1239" s="379" t="s">
        <v>1009</v>
      </c>
      <c r="I1239" s="379" t="s">
        <v>888</v>
      </c>
      <c r="J1239" s="385">
        <v>45288</v>
      </c>
      <c r="L1239" s="385">
        <v>25.16</v>
      </c>
      <c r="M1239" s="385">
        <v>24.4</v>
      </c>
      <c r="N1239" s="386"/>
      <c r="O1239" s="387">
        <v>0.2</v>
      </c>
      <c r="P1239" s="387"/>
      <c r="Q1239" s="386">
        <v>0</v>
      </c>
      <c r="R1239" s="379" t="s">
        <v>35</v>
      </c>
      <c r="S1239" s="388" t="s">
        <v>41</v>
      </c>
      <c r="T1239" s="388">
        <v>86</v>
      </c>
      <c r="U1239" s="389" t="s">
        <v>164</v>
      </c>
      <c r="V1239" s="433"/>
      <c r="X1239" s="386">
        <v>0</v>
      </c>
      <c r="Y1239" s="386"/>
      <c r="AJ1239" s="390">
        <v>0</v>
      </c>
    </row>
    <row r="1240" spans="1:77" s="379" customFormat="1" ht="12" customHeight="1">
      <c r="B1240" s="380" t="s">
        <v>291</v>
      </c>
      <c r="C1240" s="381"/>
      <c r="D1240" s="381"/>
      <c r="E1240" s="382" t="s">
        <v>1124</v>
      </c>
      <c r="F1240" s="379" t="s">
        <v>1125</v>
      </c>
      <c r="G1240" s="383">
        <v>3641</v>
      </c>
      <c r="H1240" s="379" t="s">
        <v>99</v>
      </c>
      <c r="I1240" s="379" t="s">
        <v>888</v>
      </c>
      <c r="J1240" s="385">
        <v>16965</v>
      </c>
      <c r="L1240" s="385">
        <v>12.5</v>
      </c>
      <c r="M1240" s="385">
        <v>12</v>
      </c>
      <c r="N1240" s="386"/>
      <c r="O1240" s="387">
        <v>0.2</v>
      </c>
      <c r="P1240" s="387"/>
      <c r="Q1240" s="386">
        <v>0</v>
      </c>
      <c r="R1240" s="379" t="s">
        <v>35</v>
      </c>
      <c r="S1240" s="388" t="s">
        <v>41</v>
      </c>
      <c r="T1240" s="388">
        <v>16</v>
      </c>
      <c r="U1240" s="389" t="s">
        <v>164</v>
      </c>
      <c r="V1240" s="433"/>
      <c r="X1240" s="386">
        <v>0</v>
      </c>
      <c r="Y1240" s="386"/>
      <c r="AJ1240" s="390">
        <v>0</v>
      </c>
    </row>
    <row r="1241" spans="1:77" s="379" customFormat="1" ht="12" customHeight="1">
      <c r="B1241" s="380" t="s">
        <v>291</v>
      </c>
      <c r="C1241" s="381"/>
      <c r="D1241" s="381"/>
      <c r="E1241" s="382" t="s">
        <v>1124</v>
      </c>
      <c r="F1241" s="379" t="s">
        <v>1125</v>
      </c>
      <c r="G1241" s="383">
        <v>3641</v>
      </c>
      <c r="H1241" s="379" t="s">
        <v>866</v>
      </c>
      <c r="I1241" s="379" t="s">
        <v>888</v>
      </c>
      <c r="J1241" s="385">
        <v>8447.58</v>
      </c>
      <c r="L1241" s="385">
        <v>6.61</v>
      </c>
      <c r="M1241" s="385">
        <v>6</v>
      </c>
      <c r="N1241" s="386"/>
      <c r="O1241" s="387">
        <v>0.2</v>
      </c>
      <c r="P1241" s="387"/>
      <c r="Q1241" s="386">
        <v>0</v>
      </c>
      <c r="R1241" s="379" t="s">
        <v>35</v>
      </c>
      <c r="S1241" s="388" t="s">
        <v>41</v>
      </c>
      <c r="T1241" s="388">
        <v>16</v>
      </c>
      <c r="U1241" s="389" t="s">
        <v>164</v>
      </c>
      <c r="V1241" s="433"/>
      <c r="X1241" s="386">
        <v>0</v>
      </c>
      <c r="Y1241" s="386"/>
      <c r="AJ1241" s="390">
        <v>0</v>
      </c>
    </row>
    <row r="1242" spans="1:77" s="379" customFormat="1" ht="12" customHeight="1">
      <c r="B1242" s="380" t="s">
        <v>291</v>
      </c>
      <c r="C1242" s="381"/>
      <c r="D1242" s="381"/>
      <c r="E1242" s="382" t="s">
        <v>1124</v>
      </c>
      <c r="F1242" s="379" t="s">
        <v>1125</v>
      </c>
      <c r="G1242" s="383">
        <v>3641</v>
      </c>
      <c r="H1242" s="379" t="s">
        <v>765</v>
      </c>
      <c r="I1242" s="379" t="s">
        <v>888</v>
      </c>
      <c r="J1242" s="385">
        <v>27320.75</v>
      </c>
      <c r="L1242" s="385">
        <v>28.63</v>
      </c>
      <c r="M1242" s="385">
        <v>28</v>
      </c>
      <c r="N1242" s="386"/>
      <c r="O1242" s="387">
        <v>0.2</v>
      </c>
      <c r="P1242" s="387"/>
      <c r="Q1242" s="386">
        <v>0</v>
      </c>
      <c r="R1242" s="379" t="s">
        <v>35</v>
      </c>
      <c r="S1242" s="388" t="s">
        <v>41</v>
      </c>
      <c r="T1242" s="388">
        <v>16</v>
      </c>
      <c r="U1242" s="389" t="s">
        <v>164</v>
      </c>
      <c r="V1242" s="433"/>
      <c r="X1242" s="386">
        <v>0</v>
      </c>
      <c r="Y1242" s="386"/>
      <c r="AJ1242" s="390">
        <v>0</v>
      </c>
    </row>
    <row r="1243" spans="1:77" s="379" customFormat="1" ht="12" customHeight="1">
      <c r="B1243" s="380" t="s">
        <v>291</v>
      </c>
      <c r="C1243" s="381"/>
      <c r="D1243" s="381"/>
      <c r="E1243" s="382" t="s">
        <v>1124</v>
      </c>
      <c r="F1243" s="379" t="s">
        <v>1125</v>
      </c>
      <c r="G1243" s="383">
        <v>3641</v>
      </c>
      <c r="H1243" s="379" t="s">
        <v>27</v>
      </c>
      <c r="I1243" s="379" t="s">
        <v>888</v>
      </c>
      <c r="J1243" s="385">
        <v>21053.85</v>
      </c>
      <c r="L1243" s="385">
        <v>14.47</v>
      </c>
      <c r="M1243" s="385">
        <v>13.8</v>
      </c>
      <c r="N1243" s="386"/>
      <c r="O1243" s="387">
        <v>0.2</v>
      </c>
      <c r="P1243" s="387"/>
      <c r="Q1243" s="386">
        <v>0</v>
      </c>
      <c r="R1243" s="379" t="s">
        <v>35</v>
      </c>
      <c r="S1243" s="388" t="s">
        <v>41</v>
      </c>
      <c r="T1243" s="388">
        <v>16</v>
      </c>
      <c r="U1243" s="389" t="s">
        <v>164</v>
      </c>
      <c r="V1243" s="433"/>
      <c r="X1243" s="386">
        <v>0</v>
      </c>
      <c r="Y1243" s="386"/>
      <c r="AJ1243" s="390">
        <v>0</v>
      </c>
    </row>
    <row r="1244" spans="1:77" s="379" customFormat="1" ht="12" customHeight="1">
      <c r="B1244" s="380" t="s">
        <v>291</v>
      </c>
      <c r="C1244" s="381"/>
      <c r="D1244" s="381"/>
      <c r="E1244" s="382" t="s">
        <v>1124</v>
      </c>
      <c r="F1244" s="379" t="s">
        <v>1125</v>
      </c>
      <c r="G1244" s="383">
        <v>3641</v>
      </c>
      <c r="H1244" s="379" t="s">
        <v>898</v>
      </c>
      <c r="I1244" s="379" t="s">
        <v>888</v>
      </c>
      <c r="J1244" s="385">
        <v>13812.06</v>
      </c>
      <c r="L1244" s="385">
        <v>10.91</v>
      </c>
      <c r="M1244" s="385">
        <v>10.1</v>
      </c>
      <c r="N1244" s="386"/>
      <c r="O1244" s="387">
        <v>0.2</v>
      </c>
      <c r="P1244" s="387"/>
      <c r="Q1244" s="386">
        <v>5498.07</v>
      </c>
      <c r="R1244" s="379" t="s">
        <v>35</v>
      </c>
      <c r="S1244" s="388" t="s">
        <v>41</v>
      </c>
      <c r="T1244" s="388">
        <v>16</v>
      </c>
      <c r="U1244" s="389" t="s">
        <v>164</v>
      </c>
      <c r="V1244" s="433"/>
      <c r="X1244" s="386">
        <v>5498.07</v>
      </c>
      <c r="Y1244" s="386"/>
      <c r="AJ1244" s="416">
        <v>5498.07</v>
      </c>
    </row>
    <row r="1245" spans="1:77" s="337" customFormat="1" ht="12" customHeight="1">
      <c r="B1245" s="338" t="s">
        <v>290</v>
      </c>
      <c r="C1245" s="349">
        <v>44696</v>
      </c>
      <c r="D1245" s="349">
        <v>44698</v>
      </c>
      <c r="E1245" s="350" t="s">
        <v>1126</v>
      </c>
      <c r="F1245" s="337" t="s">
        <v>1127</v>
      </c>
      <c r="G1245" s="351" t="s">
        <v>1128</v>
      </c>
      <c r="H1245" s="337" t="s">
        <v>866</v>
      </c>
      <c r="I1245" s="337" t="s">
        <v>156</v>
      </c>
      <c r="J1245" s="352">
        <v>56285.46</v>
      </c>
      <c r="L1245" s="352">
        <v>27.51</v>
      </c>
      <c r="M1245" s="352">
        <v>24.11</v>
      </c>
      <c r="N1245" s="354">
        <v>6412.78</v>
      </c>
      <c r="O1245" s="355">
        <v>0.3</v>
      </c>
      <c r="P1245" s="355">
        <v>0.05</v>
      </c>
      <c r="Q1245" s="354">
        <v>0</v>
      </c>
      <c r="R1245" s="337" t="s">
        <v>112</v>
      </c>
      <c r="S1245" s="356" t="s">
        <v>113</v>
      </c>
      <c r="T1245" s="356">
        <v>64</v>
      </c>
      <c r="U1245" s="357" t="s">
        <v>164</v>
      </c>
      <c r="V1245" s="434"/>
      <c r="X1245" s="354">
        <v>0</v>
      </c>
      <c r="Y1245" s="354"/>
      <c r="AI1245" s="337">
        <v>0</v>
      </c>
      <c r="AJ1245" s="358"/>
      <c r="AK1245" s="369"/>
    </row>
    <row r="1246" spans="1:77" s="261" customFormat="1" ht="12" customHeight="1">
      <c r="A1246" s="379"/>
      <c r="B1246" s="380" t="s">
        <v>291</v>
      </c>
      <c r="C1246" s="381"/>
      <c r="D1246" s="381"/>
      <c r="E1246" s="382" t="s">
        <v>1129</v>
      </c>
      <c r="F1246" s="379" t="s">
        <v>1130</v>
      </c>
      <c r="G1246" s="383">
        <v>3683</v>
      </c>
      <c r="H1246" s="379" t="s">
        <v>183</v>
      </c>
      <c r="I1246" s="379" t="s">
        <v>33</v>
      </c>
      <c r="J1246" s="385">
        <v>13345.99</v>
      </c>
      <c r="K1246" s="379"/>
      <c r="L1246" s="385">
        <v>11.15</v>
      </c>
      <c r="M1246" s="385">
        <v>11</v>
      </c>
      <c r="N1246" s="386">
        <f>J1246*0.1</f>
        <v>1334.5990000000002</v>
      </c>
      <c r="O1246" s="387">
        <v>0.25</v>
      </c>
      <c r="P1246" s="387"/>
      <c r="Q1246" s="386">
        <v>0</v>
      </c>
      <c r="R1246" s="379" t="s">
        <v>54</v>
      </c>
      <c r="S1246" s="388" t="s">
        <v>51</v>
      </c>
      <c r="T1246" s="388">
        <v>55</v>
      </c>
      <c r="U1246" s="389" t="s">
        <v>164</v>
      </c>
      <c r="V1246" s="433"/>
      <c r="W1246" s="379"/>
      <c r="X1246" s="386">
        <v>0</v>
      </c>
      <c r="Y1246" s="386"/>
      <c r="Z1246" s="379"/>
      <c r="AA1246" s="379"/>
      <c r="AB1246" s="379"/>
      <c r="AC1246" s="379"/>
      <c r="AD1246" s="379"/>
      <c r="AE1246" s="379"/>
      <c r="AF1246" s="379"/>
      <c r="AG1246" s="379"/>
      <c r="AH1246" s="379"/>
      <c r="AI1246" s="379"/>
      <c r="AJ1246" s="390">
        <v>0</v>
      </c>
      <c r="AK1246" s="379"/>
      <c r="AL1246" s="379"/>
      <c r="AM1246" s="379"/>
      <c r="AN1246" s="379"/>
      <c r="AO1246" s="379"/>
      <c r="AP1246" s="379"/>
      <c r="AQ1246" s="379"/>
      <c r="AR1246" s="379"/>
      <c r="AS1246" s="379"/>
      <c r="AT1246" s="379"/>
      <c r="AU1246" s="379"/>
      <c r="AV1246" s="379"/>
      <c r="AW1246" s="379"/>
      <c r="AX1246" s="379"/>
      <c r="AY1246" s="379"/>
      <c r="AZ1246" s="379"/>
      <c r="BA1246" s="379"/>
      <c r="BB1246" s="379"/>
      <c r="BC1246" s="379"/>
      <c r="BD1246" s="379"/>
      <c r="BE1246" s="379"/>
      <c r="BF1246" s="379"/>
      <c r="BG1246" s="379"/>
      <c r="BH1246" s="379"/>
      <c r="BI1246" s="379"/>
      <c r="BJ1246" s="379"/>
      <c r="BK1246" s="379"/>
      <c r="BL1246" s="379"/>
      <c r="BM1246" s="379"/>
      <c r="BN1246" s="379"/>
      <c r="BO1246" s="379"/>
      <c r="BP1246" s="379"/>
      <c r="BQ1246" s="379"/>
      <c r="BR1246" s="379"/>
      <c r="BS1246" s="379"/>
      <c r="BT1246" s="379"/>
      <c r="BU1246" s="379"/>
      <c r="BV1246" s="379"/>
      <c r="BW1246" s="379"/>
      <c r="BX1246" s="379"/>
      <c r="BY1246" s="379"/>
    </row>
    <row r="1247" spans="1:77" s="261" customFormat="1" ht="12" customHeight="1">
      <c r="B1247" s="258" t="s">
        <v>291</v>
      </c>
      <c r="C1247" s="259">
        <v>44698</v>
      </c>
      <c r="D1247" s="259">
        <v>44698</v>
      </c>
      <c r="E1247" s="260" t="s">
        <v>1129</v>
      </c>
      <c r="F1247" s="261" t="s">
        <v>1130</v>
      </c>
      <c r="G1247" s="262">
        <v>3683</v>
      </c>
      <c r="H1247" s="261" t="s">
        <v>765</v>
      </c>
      <c r="I1247" s="261" t="s">
        <v>33</v>
      </c>
      <c r="J1247" s="263">
        <v>9858.49</v>
      </c>
      <c r="L1247" s="263">
        <v>9.1</v>
      </c>
      <c r="M1247" s="263">
        <v>9.1</v>
      </c>
      <c r="N1247" s="265">
        <f>J1247*0.3</f>
        <v>2957.547</v>
      </c>
      <c r="O1247" s="266">
        <v>0.25</v>
      </c>
      <c r="P1247" s="266"/>
      <c r="Q1247" s="265">
        <v>597.79999999999995</v>
      </c>
      <c r="R1247" s="261" t="s">
        <v>54</v>
      </c>
      <c r="S1247" s="267" t="s">
        <v>51</v>
      </c>
      <c r="T1247" s="267">
        <v>55</v>
      </c>
      <c r="U1247" s="268" t="s">
        <v>164</v>
      </c>
      <c r="V1247" s="427"/>
      <c r="X1247" s="265">
        <v>597.79999999999995</v>
      </c>
      <c r="Y1247" s="265"/>
      <c r="AG1247" s="261">
        <f>X1247</f>
        <v>597.79999999999995</v>
      </c>
      <c r="AJ1247" s="642"/>
    </row>
    <row r="1248" spans="1:77" s="205" customFormat="1" ht="12" customHeight="1">
      <c r="B1248" s="206" t="s">
        <v>291</v>
      </c>
      <c r="C1248" s="207"/>
      <c r="D1248" s="207"/>
      <c r="E1248" s="208" t="s">
        <v>1129</v>
      </c>
      <c r="F1248" s="205" t="s">
        <v>1130</v>
      </c>
      <c r="G1248" s="209">
        <v>3683</v>
      </c>
      <c r="H1248" s="205" t="s">
        <v>137</v>
      </c>
      <c r="I1248" s="205" t="s">
        <v>33</v>
      </c>
      <c r="J1248" s="210">
        <v>35754.25</v>
      </c>
      <c r="L1248" s="210">
        <v>32.31</v>
      </c>
      <c r="M1248" s="210">
        <v>32.31</v>
      </c>
      <c r="N1248" s="213">
        <f>J1248*0.5</f>
        <v>17877.125</v>
      </c>
      <c r="O1248" s="212">
        <v>0.25</v>
      </c>
      <c r="P1248" s="212"/>
      <c r="Q1248" s="213">
        <v>0</v>
      </c>
      <c r="R1248" s="205" t="s">
        <v>54</v>
      </c>
      <c r="S1248" s="214" t="s">
        <v>51</v>
      </c>
      <c r="T1248" s="214">
        <v>55</v>
      </c>
      <c r="U1248" s="215" t="s">
        <v>164</v>
      </c>
      <c r="V1248" s="438"/>
      <c r="X1248" s="213">
        <v>0</v>
      </c>
      <c r="Y1248" s="213"/>
      <c r="AF1248" s="230">
        <f>X1248</f>
        <v>0</v>
      </c>
      <c r="AJ1248" s="216"/>
    </row>
    <row r="1249" spans="1:77" s="205" customFormat="1" ht="12" customHeight="1">
      <c r="B1249" s="206" t="s">
        <v>291</v>
      </c>
      <c r="C1249" s="207"/>
      <c r="D1249" s="207"/>
      <c r="E1249" s="208" t="s">
        <v>1129</v>
      </c>
      <c r="F1249" s="205" t="s">
        <v>1130</v>
      </c>
      <c r="G1249" s="209">
        <v>3683</v>
      </c>
      <c r="H1249" s="205" t="s">
        <v>99</v>
      </c>
      <c r="I1249" s="205" t="s">
        <v>33</v>
      </c>
      <c r="J1249" s="210">
        <v>51603.31</v>
      </c>
      <c r="L1249" s="210">
        <v>42.25</v>
      </c>
      <c r="M1249" s="210">
        <v>42</v>
      </c>
      <c r="N1249" s="213">
        <f>J1249*30%</f>
        <v>15480.992999999999</v>
      </c>
      <c r="O1249" s="212">
        <v>0.25</v>
      </c>
      <c r="P1249" s="212"/>
      <c r="Q1249" s="213">
        <v>0</v>
      </c>
      <c r="R1249" s="205" t="s">
        <v>54</v>
      </c>
      <c r="S1249" s="214" t="s">
        <v>51</v>
      </c>
      <c r="T1249" s="214">
        <v>55</v>
      </c>
      <c r="U1249" s="215" t="s">
        <v>164</v>
      </c>
      <c r="V1249" s="438"/>
      <c r="X1249" s="213">
        <v>0</v>
      </c>
      <c r="Y1249" s="213"/>
      <c r="AF1249" s="230">
        <f>X1249</f>
        <v>0</v>
      </c>
      <c r="AJ1249" s="216"/>
    </row>
    <row r="1250" spans="1:77" s="379" customFormat="1" ht="12" customHeight="1">
      <c r="B1250" s="380" t="s">
        <v>291</v>
      </c>
      <c r="C1250" s="381">
        <v>44697</v>
      </c>
      <c r="D1250" s="381">
        <v>44698</v>
      </c>
      <c r="E1250" s="382" t="s">
        <v>1131</v>
      </c>
      <c r="F1250" s="379" t="s">
        <v>561</v>
      </c>
      <c r="G1250" s="383" t="s">
        <v>562</v>
      </c>
      <c r="H1250" s="379" t="s">
        <v>99</v>
      </c>
      <c r="I1250" s="379" t="s">
        <v>33</v>
      </c>
      <c r="J1250" s="385">
        <v>88114.62</v>
      </c>
      <c r="L1250" s="385">
        <v>58.3</v>
      </c>
      <c r="M1250" s="385">
        <v>58.59</v>
      </c>
      <c r="N1250" s="386"/>
      <c r="O1250" s="387">
        <v>0.2</v>
      </c>
      <c r="P1250" s="387"/>
      <c r="Q1250" s="386">
        <v>0</v>
      </c>
      <c r="R1250" s="379" t="s">
        <v>285</v>
      </c>
      <c r="S1250" s="388" t="s">
        <v>275</v>
      </c>
      <c r="T1250" s="388">
        <v>21</v>
      </c>
      <c r="U1250" s="389" t="s">
        <v>164</v>
      </c>
      <c r="V1250" s="433"/>
      <c r="X1250" s="386">
        <v>0</v>
      </c>
      <c r="Y1250" s="386"/>
      <c r="AJ1250" s="390">
        <v>0</v>
      </c>
      <c r="AK1250" s="394"/>
      <c r="AL1250" s="394"/>
      <c r="AM1250" s="394"/>
      <c r="AN1250" s="394"/>
      <c r="AO1250" s="394"/>
      <c r="AP1250" s="394"/>
      <c r="AQ1250" s="394"/>
      <c r="AR1250" s="394"/>
      <c r="AS1250" s="394"/>
      <c r="AT1250" s="394"/>
      <c r="AU1250" s="394"/>
      <c r="AV1250" s="394"/>
      <c r="AW1250" s="394"/>
      <c r="AX1250" s="394"/>
      <c r="AY1250" s="394"/>
      <c r="AZ1250" s="394"/>
      <c r="BA1250" s="394"/>
      <c r="BB1250" s="394"/>
      <c r="BC1250" s="394"/>
      <c r="BD1250" s="394"/>
      <c r="BE1250" s="394"/>
      <c r="BF1250" s="394"/>
      <c r="BG1250" s="394"/>
      <c r="BH1250" s="394"/>
      <c r="BI1250" s="394"/>
      <c r="BJ1250" s="394"/>
      <c r="BK1250" s="394"/>
      <c r="BL1250" s="394"/>
      <c r="BM1250" s="394"/>
      <c r="BN1250" s="394"/>
      <c r="BO1250" s="394"/>
      <c r="BP1250" s="394"/>
      <c r="BQ1250" s="394"/>
      <c r="BR1250" s="394"/>
      <c r="BS1250" s="394"/>
      <c r="BT1250" s="394"/>
      <c r="BU1250" s="394"/>
      <c r="BV1250" s="394"/>
      <c r="BW1250" s="394"/>
      <c r="BX1250" s="394"/>
      <c r="BY1250" s="394"/>
    </row>
    <row r="1251" spans="1:77" s="379" customFormat="1" ht="12" customHeight="1">
      <c r="B1251" s="380" t="s">
        <v>291</v>
      </c>
      <c r="C1251" s="381"/>
      <c r="D1251" s="381"/>
      <c r="E1251" s="382" t="s">
        <v>1131</v>
      </c>
      <c r="F1251" s="379" t="s">
        <v>561</v>
      </c>
      <c r="G1251" s="383" t="s">
        <v>562</v>
      </c>
      <c r="H1251" s="379" t="s">
        <v>27</v>
      </c>
      <c r="I1251" s="379" t="s">
        <v>33</v>
      </c>
      <c r="J1251" s="385">
        <v>47850</v>
      </c>
      <c r="L1251" s="385">
        <v>29</v>
      </c>
      <c r="M1251" s="385">
        <v>29.2</v>
      </c>
      <c r="N1251" s="386"/>
      <c r="O1251" s="387">
        <v>0.2</v>
      </c>
      <c r="P1251" s="387"/>
      <c r="Q1251" s="386">
        <v>0</v>
      </c>
      <c r="R1251" s="379" t="s">
        <v>285</v>
      </c>
      <c r="S1251" s="388" t="s">
        <v>275</v>
      </c>
      <c r="T1251" s="388">
        <v>21</v>
      </c>
      <c r="U1251" s="389" t="s">
        <v>164</v>
      </c>
      <c r="V1251" s="433"/>
      <c r="X1251" s="386">
        <v>0</v>
      </c>
      <c r="Y1251" s="386"/>
      <c r="AJ1251" s="390">
        <v>0</v>
      </c>
      <c r="AK1251" s="394"/>
      <c r="AL1251" s="394"/>
      <c r="AM1251" s="394"/>
      <c r="AN1251" s="394"/>
      <c r="AO1251" s="394"/>
      <c r="AP1251" s="394"/>
      <c r="AQ1251" s="394"/>
      <c r="AR1251" s="394"/>
      <c r="AS1251" s="394"/>
      <c r="AT1251" s="394"/>
      <c r="AU1251" s="394"/>
      <c r="AV1251" s="394"/>
      <c r="AW1251" s="394"/>
      <c r="AX1251" s="394"/>
      <c r="AY1251" s="394"/>
      <c r="AZ1251" s="394"/>
      <c r="BA1251" s="394"/>
      <c r="BB1251" s="394"/>
      <c r="BC1251" s="394"/>
      <c r="BD1251" s="394"/>
      <c r="BE1251" s="394"/>
      <c r="BF1251" s="394"/>
      <c r="BG1251" s="394"/>
      <c r="BH1251" s="394"/>
      <c r="BI1251" s="394"/>
      <c r="BJ1251" s="394"/>
      <c r="BK1251" s="394"/>
      <c r="BL1251" s="394"/>
      <c r="BM1251" s="394"/>
      <c r="BN1251" s="394"/>
      <c r="BO1251" s="394"/>
      <c r="BP1251" s="394"/>
      <c r="BQ1251" s="394"/>
      <c r="BR1251" s="394"/>
      <c r="BS1251" s="394"/>
      <c r="BT1251" s="394"/>
      <c r="BU1251" s="394"/>
      <c r="BV1251" s="394"/>
      <c r="BW1251" s="394"/>
      <c r="BX1251" s="394"/>
      <c r="BY1251" s="394"/>
    </row>
    <row r="1252" spans="1:77" s="379" customFormat="1" ht="12" customHeight="1">
      <c r="B1252" s="380" t="s">
        <v>291</v>
      </c>
      <c r="C1252" s="381"/>
      <c r="D1252" s="381"/>
      <c r="E1252" s="382" t="s">
        <v>1131</v>
      </c>
      <c r="F1252" s="379" t="s">
        <v>561</v>
      </c>
      <c r="G1252" s="383" t="s">
        <v>562</v>
      </c>
      <c r="H1252" s="379" t="s">
        <v>183</v>
      </c>
      <c r="I1252" s="379" t="s">
        <v>33</v>
      </c>
      <c r="J1252" s="385">
        <v>54589.919999999998</v>
      </c>
      <c r="L1252" s="385">
        <v>39.200000000000003</v>
      </c>
      <c r="M1252" s="385">
        <v>41.72</v>
      </c>
      <c r="N1252" s="386"/>
      <c r="O1252" s="387">
        <v>0.2</v>
      </c>
      <c r="P1252" s="387"/>
      <c r="Q1252" s="386">
        <v>0</v>
      </c>
      <c r="R1252" s="379" t="s">
        <v>285</v>
      </c>
      <c r="S1252" s="388" t="s">
        <v>275</v>
      </c>
      <c r="T1252" s="388">
        <v>21</v>
      </c>
      <c r="U1252" s="389" t="s">
        <v>164</v>
      </c>
      <c r="V1252" s="433"/>
      <c r="X1252" s="386">
        <v>0</v>
      </c>
      <c r="Y1252" s="386"/>
      <c r="AJ1252" s="390">
        <v>0</v>
      </c>
      <c r="AK1252" s="394"/>
      <c r="AL1252" s="394"/>
      <c r="AM1252" s="394"/>
      <c r="AN1252" s="394"/>
      <c r="AO1252" s="394"/>
      <c r="AP1252" s="394"/>
      <c r="AQ1252" s="394"/>
      <c r="AR1252" s="394"/>
      <c r="AS1252" s="394"/>
      <c r="AT1252" s="394"/>
      <c r="AU1252" s="394"/>
      <c r="AV1252" s="394"/>
      <c r="AW1252" s="394"/>
      <c r="AX1252" s="394"/>
      <c r="AY1252" s="394"/>
      <c r="AZ1252" s="394"/>
      <c r="BA1252" s="394"/>
      <c r="BB1252" s="394"/>
      <c r="BC1252" s="394"/>
      <c r="BD1252" s="394"/>
      <c r="BE1252" s="394"/>
      <c r="BF1252" s="394"/>
      <c r="BG1252" s="394"/>
      <c r="BH1252" s="394"/>
      <c r="BI1252" s="394"/>
      <c r="BJ1252" s="394"/>
      <c r="BK1252" s="394"/>
      <c r="BL1252" s="394"/>
      <c r="BM1252" s="394"/>
      <c r="BN1252" s="394"/>
      <c r="BO1252" s="394"/>
      <c r="BP1252" s="394"/>
      <c r="BQ1252" s="394"/>
      <c r="BR1252" s="394"/>
      <c r="BS1252" s="394"/>
      <c r="BT1252" s="394"/>
      <c r="BU1252" s="394"/>
      <c r="BV1252" s="394"/>
      <c r="BW1252" s="394"/>
      <c r="BX1252" s="394"/>
      <c r="BY1252" s="394"/>
    </row>
    <row r="1253" spans="1:77" s="261" customFormat="1" ht="12" customHeight="1">
      <c r="B1253" s="258" t="s">
        <v>291</v>
      </c>
      <c r="C1253" s="259">
        <v>44698</v>
      </c>
      <c r="D1253" s="259">
        <v>44698</v>
      </c>
      <c r="E1253" s="260" t="s">
        <v>1132</v>
      </c>
      <c r="F1253" s="261" t="s">
        <v>573</v>
      </c>
      <c r="G1253" s="262">
        <v>4590</v>
      </c>
      <c r="H1253" s="261" t="s">
        <v>140</v>
      </c>
      <c r="I1253" s="261" t="s">
        <v>33</v>
      </c>
      <c r="J1253" s="263">
        <v>31977.95</v>
      </c>
      <c r="L1253" s="263">
        <v>20.27</v>
      </c>
      <c r="M1253" s="263">
        <v>20.27</v>
      </c>
      <c r="N1253" s="265"/>
      <c r="O1253" s="266">
        <v>0.3</v>
      </c>
      <c r="P1253" s="266"/>
      <c r="Q1253" s="265">
        <v>0</v>
      </c>
      <c r="R1253" s="261" t="s">
        <v>42</v>
      </c>
      <c r="S1253" s="267" t="s">
        <v>41</v>
      </c>
      <c r="T1253" s="267">
        <v>17</v>
      </c>
      <c r="U1253" s="268" t="s">
        <v>164</v>
      </c>
      <c r="V1253" s="427"/>
      <c r="X1253" s="265">
        <v>0</v>
      </c>
      <c r="Y1253" s="265"/>
      <c r="AG1253" s="261">
        <f>X1253</f>
        <v>0</v>
      </c>
      <c r="AJ1253" s="642"/>
      <c r="AK1253" s="273"/>
      <c r="AL1253" s="273"/>
      <c r="AM1253" s="273"/>
      <c r="AN1253" s="273"/>
      <c r="AO1253" s="273"/>
      <c r="AP1253" s="273"/>
      <c r="AQ1253" s="273"/>
      <c r="AR1253" s="273"/>
      <c r="AS1253" s="273"/>
      <c r="AT1253" s="273"/>
      <c r="AU1253" s="273"/>
      <c r="AV1253" s="273"/>
      <c r="AW1253" s="273"/>
      <c r="AX1253" s="273"/>
      <c r="AY1253" s="273"/>
      <c r="AZ1253" s="273"/>
      <c r="BA1253" s="273"/>
      <c r="BB1253" s="273"/>
      <c r="BC1253" s="273"/>
      <c r="BD1253" s="273"/>
      <c r="BE1253" s="273"/>
      <c r="BF1253" s="273"/>
      <c r="BG1253" s="273"/>
      <c r="BH1253" s="273"/>
      <c r="BI1253" s="273"/>
      <c r="BJ1253" s="273"/>
      <c r="BK1253" s="273"/>
      <c r="BL1253" s="273"/>
      <c r="BM1253" s="273"/>
      <c r="BN1253" s="273"/>
      <c r="BO1253" s="273"/>
      <c r="BP1253" s="273"/>
      <c r="BQ1253" s="273"/>
      <c r="BR1253" s="273"/>
      <c r="BS1253" s="273"/>
      <c r="BT1253" s="273"/>
      <c r="BU1253" s="273"/>
      <c r="BV1253" s="273"/>
      <c r="BW1253" s="273"/>
      <c r="BX1253" s="273"/>
      <c r="BY1253" s="273"/>
    </row>
    <row r="1254" spans="1:77" s="261" customFormat="1" ht="12" customHeight="1">
      <c r="B1254" s="258" t="s">
        <v>291</v>
      </c>
      <c r="C1254" s="259"/>
      <c r="D1254" s="259"/>
      <c r="E1254" s="260" t="s">
        <v>1132</v>
      </c>
      <c r="F1254" s="261" t="s">
        <v>573</v>
      </c>
      <c r="G1254" s="262">
        <v>4590</v>
      </c>
      <c r="H1254" s="261" t="s">
        <v>99</v>
      </c>
      <c r="I1254" s="261" t="s">
        <v>33</v>
      </c>
      <c r="J1254" s="263">
        <v>13689.48</v>
      </c>
      <c r="L1254" s="263">
        <v>11.37</v>
      </c>
      <c r="M1254" s="263">
        <v>11.37</v>
      </c>
      <c r="N1254" s="265"/>
      <c r="O1254" s="266">
        <v>0.3</v>
      </c>
      <c r="P1254" s="266"/>
      <c r="Q1254" s="265">
        <v>0</v>
      </c>
      <c r="R1254" s="261" t="s">
        <v>42</v>
      </c>
      <c r="S1254" s="267" t="s">
        <v>41</v>
      </c>
      <c r="T1254" s="267">
        <v>17</v>
      </c>
      <c r="U1254" s="268" t="s">
        <v>164</v>
      </c>
      <c r="V1254" s="427"/>
      <c r="X1254" s="265">
        <v>0</v>
      </c>
      <c r="Y1254" s="265"/>
      <c r="AG1254" s="261">
        <f>X1254</f>
        <v>0</v>
      </c>
      <c r="AJ1254" s="642"/>
      <c r="AK1254" s="273"/>
      <c r="AL1254" s="273"/>
      <c r="AM1254" s="273"/>
      <c r="AN1254" s="273"/>
      <c r="AO1254" s="273"/>
      <c r="AP1254" s="273"/>
      <c r="AQ1254" s="273"/>
      <c r="AR1254" s="273"/>
      <c r="AS1254" s="273"/>
      <c r="AT1254" s="273"/>
      <c r="AU1254" s="273"/>
      <c r="AV1254" s="273"/>
      <c r="AW1254" s="273"/>
      <c r="AX1254" s="273"/>
      <c r="AY1254" s="273"/>
      <c r="AZ1254" s="273"/>
      <c r="BA1254" s="273"/>
      <c r="BB1254" s="273"/>
      <c r="BC1254" s="273"/>
      <c r="BD1254" s="273"/>
      <c r="BE1254" s="273"/>
      <c r="BF1254" s="273"/>
      <c r="BG1254" s="273"/>
      <c r="BH1254" s="273"/>
      <c r="BI1254" s="273"/>
      <c r="BJ1254" s="273"/>
      <c r="BK1254" s="273"/>
      <c r="BL1254" s="273"/>
      <c r="BM1254" s="273"/>
      <c r="BN1254" s="273"/>
      <c r="BO1254" s="273"/>
      <c r="BP1254" s="273"/>
      <c r="BQ1254" s="273"/>
      <c r="BR1254" s="273"/>
      <c r="BS1254" s="273"/>
      <c r="BT1254" s="273"/>
      <c r="BU1254" s="273"/>
      <c r="BV1254" s="273"/>
      <c r="BW1254" s="273"/>
      <c r="BX1254" s="273"/>
      <c r="BY1254" s="273"/>
    </row>
    <row r="1255" spans="1:77" s="261" customFormat="1" ht="12" customHeight="1">
      <c r="B1255" s="258" t="s">
        <v>291</v>
      </c>
      <c r="C1255" s="259"/>
      <c r="D1255" s="259"/>
      <c r="E1255" s="260" t="s">
        <v>1132</v>
      </c>
      <c r="F1255" s="261" t="s">
        <v>573</v>
      </c>
      <c r="G1255" s="262">
        <v>4590</v>
      </c>
      <c r="H1255" s="261" t="s">
        <v>27</v>
      </c>
      <c r="I1255" s="261" t="s">
        <v>33</v>
      </c>
      <c r="J1255" s="263">
        <v>50635.199999999997</v>
      </c>
      <c r="L1255" s="263">
        <v>28.77</v>
      </c>
      <c r="M1255" s="263">
        <v>28.77</v>
      </c>
      <c r="N1255" s="265"/>
      <c r="O1255" s="266">
        <v>0.3</v>
      </c>
      <c r="P1255" s="266"/>
      <c r="Q1255" s="265">
        <v>0</v>
      </c>
      <c r="R1255" s="261" t="s">
        <v>42</v>
      </c>
      <c r="S1255" s="267" t="s">
        <v>41</v>
      </c>
      <c r="T1255" s="267">
        <v>17</v>
      </c>
      <c r="U1255" s="268" t="s">
        <v>164</v>
      </c>
      <c r="V1255" s="427"/>
      <c r="W1255" s="261" t="s">
        <v>3824</v>
      </c>
      <c r="X1255" s="265">
        <v>0</v>
      </c>
      <c r="Y1255" s="265"/>
      <c r="AG1255" s="261">
        <f>X1255</f>
        <v>0</v>
      </c>
      <c r="AJ1255" s="642"/>
      <c r="AK1255" s="273"/>
      <c r="AL1255" s="273"/>
      <c r="AM1255" s="273"/>
      <c r="AN1255" s="273"/>
      <c r="AO1255" s="273"/>
      <c r="AP1255" s="273"/>
      <c r="AQ1255" s="273"/>
      <c r="AR1255" s="273"/>
      <c r="AS1255" s="273"/>
      <c r="AT1255" s="273"/>
      <c r="AU1255" s="273"/>
      <c r="AV1255" s="273"/>
      <c r="AW1255" s="273"/>
      <c r="AX1255" s="273"/>
      <c r="AY1255" s="273"/>
      <c r="AZ1255" s="273"/>
      <c r="BA1255" s="273"/>
      <c r="BB1255" s="273"/>
      <c r="BC1255" s="273"/>
      <c r="BD1255" s="273"/>
      <c r="BE1255" s="273"/>
      <c r="BF1255" s="273"/>
      <c r="BG1255" s="273"/>
      <c r="BH1255" s="273"/>
      <c r="BI1255" s="273"/>
      <c r="BJ1255" s="273"/>
      <c r="BK1255" s="273"/>
      <c r="BL1255" s="273"/>
      <c r="BM1255" s="273"/>
      <c r="BN1255" s="273"/>
      <c r="BO1255" s="273"/>
      <c r="BP1255" s="273"/>
      <c r="BQ1255" s="273"/>
      <c r="BR1255" s="273"/>
      <c r="BS1255" s="273"/>
      <c r="BT1255" s="273"/>
      <c r="BU1255" s="273"/>
      <c r="BV1255" s="273"/>
      <c r="BW1255" s="273"/>
      <c r="BX1255" s="273"/>
      <c r="BY1255" s="273"/>
    </row>
    <row r="1256" spans="1:77" s="291" customFormat="1" ht="12" customHeight="1">
      <c r="B1256" s="291" t="s">
        <v>291</v>
      </c>
      <c r="C1256" s="292">
        <v>44698</v>
      </c>
      <c r="D1256" s="292">
        <v>44698</v>
      </c>
      <c r="E1256" s="293" t="s">
        <v>1133</v>
      </c>
      <c r="F1256" s="291" t="s">
        <v>318</v>
      </c>
      <c r="G1256" s="294" t="s">
        <v>319</v>
      </c>
      <c r="H1256" s="291" t="s">
        <v>99</v>
      </c>
      <c r="I1256" s="291" t="s">
        <v>33</v>
      </c>
      <c r="J1256" s="296">
        <v>97383.67</v>
      </c>
      <c r="L1256" s="296">
        <v>83.43</v>
      </c>
      <c r="M1256" s="296">
        <v>83.43</v>
      </c>
      <c r="N1256" s="297">
        <v>0</v>
      </c>
      <c r="O1256" s="298">
        <v>0.2</v>
      </c>
      <c r="P1256" s="298"/>
      <c r="Q1256" s="297">
        <v>0</v>
      </c>
      <c r="R1256" s="291" t="s">
        <v>285</v>
      </c>
      <c r="S1256" s="299" t="s">
        <v>275</v>
      </c>
      <c r="T1256" s="299">
        <v>21</v>
      </c>
      <c r="U1256" s="300" t="s">
        <v>164</v>
      </c>
      <c r="V1256" s="333"/>
      <c r="W1256" s="291" t="s">
        <v>3807</v>
      </c>
      <c r="X1256" s="297">
        <v>0</v>
      </c>
      <c r="Y1256" s="297"/>
      <c r="AH1256" s="291">
        <f>X1256</f>
        <v>0</v>
      </c>
      <c r="AI1256" s="311"/>
      <c r="AJ1256" s="468"/>
      <c r="AK1256" s="303"/>
      <c r="AL1256" s="303"/>
      <c r="AM1256" s="303"/>
      <c r="AN1256" s="303"/>
      <c r="AO1256" s="303"/>
      <c r="AP1256" s="303"/>
      <c r="AQ1256" s="303"/>
      <c r="AR1256" s="303"/>
      <c r="AS1256" s="303"/>
      <c r="AT1256" s="303"/>
      <c r="AU1256" s="303"/>
      <c r="AV1256" s="303"/>
      <c r="AW1256" s="303"/>
      <c r="AX1256" s="303"/>
      <c r="AY1256" s="303"/>
      <c r="AZ1256" s="303"/>
      <c r="BA1256" s="303"/>
      <c r="BB1256" s="303"/>
      <c r="BC1256" s="303"/>
      <c r="BD1256" s="303"/>
      <c r="BE1256" s="303"/>
      <c r="BF1256" s="303"/>
      <c r="BG1256" s="303"/>
      <c r="BH1256" s="303"/>
      <c r="BI1256" s="303"/>
      <c r="BJ1256" s="303"/>
      <c r="BK1256" s="303"/>
      <c r="BL1256" s="303"/>
      <c r="BM1256" s="303"/>
      <c r="BN1256" s="303"/>
      <c r="BO1256" s="303"/>
      <c r="BP1256" s="303"/>
      <c r="BQ1256" s="303"/>
      <c r="BR1256" s="303"/>
      <c r="BS1256" s="303"/>
      <c r="BT1256" s="303"/>
      <c r="BU1256" s="303"/>
      <c r="BV1256" s="303"/>
      <c r="BW1256" s="303"/>
      <c r="BX1256" s="303"/>
      <c r="BY1256" s="303"/>
    </row>
    <row r="1257" spans="1:77" s="291" customFormat="1" ht="12" customHeight="1">
      <c r="B1257" s="291" t="s">
        <v>291</v>
      </c>
      <c r="C1257" s="292"/>
      <c r="D1257" s="292"/>
      <c r="E1257" s="293" t="s">
        <v>1133</v>
      </c>
      <c r="F1257" s="291" t="s">
        <v>318</v>
      </c>
      <c r="G1257" s="294" t="s">
        <v>319</v>
      </c>
      <c r="H1257" s="291" t="s">
        <v>137</v>
      </c>
      <c r="I1257" s="291" t="s">
        <v>33</v>
      </c>
      <c r="J1257" s="296">
        <v>37767.599999999999</v>
      </c>
      <c r="L1257" s="296">
        <v>34.97</v>
      </c>
      <c r="M1257" s="296">
        <v>34.97</v>
      </c>
      <c r="N1257" s="297">
        <v>0</v>
      </c>
      <c r="O1257" s="298">
        <v>0.2</v>
      </c>
      <c r="P1257" s="298"/>
      <c r="Q1257" s="297">
        <v>0</v>
      </c>
      <c r="R1257" s="291" t="s">
        <v>285</v>
      </c>
      <c r="S1257" s="299" t="s">
        <v>275</v>
      </c>
      <c r="T1257" s="299">
        <v>21</v>
      </c>
      <c r="U1257" s="300" t="s">
        <v>164</v>
      </c>
      <c r="V1257" s="333"/>
      <c r="X1257" s="297">
        <v>0</v>
      </c>
      <c r="Y1257" s="297"/>
      <c r="AH1257" s="291">
        <f>X1257</f>
        <v>0</v>
      </c>
      <c r="AI1257" s="311"/>
      <c r="AJ1257" s="468"/>
      <c r="AK1257" s="303"/>
      <c r="AL1257" s="303"/>
      <c r="AM1257" s="303"/>
      <c r="AN1257" s="303"/>
      <c r="AO1257" s="303"/>
      <c r="AP1257" s="303"/>
      <c r="AQ1257" s="303"/>
      <c r="AR1257" s="303"/>
      <c r="AS1257" s="303"/>
      <c r="AT1257" s="303"/>
      <c r="AU1257" s="303"/>
      <c r="AV1257" s="303"/>
      <c r="AW1257" s="303"/>
      <c r="AX1257" s="303"/>
      <c r="AY1257" s="303"/>
      <c r="AZ1257" s="303"/>
      <c r="BA1257" s="303"/>
      <c r="BB1257" s="303"/>
      <c r="BC1257" s="303"/>
      <c r="BD1257" s="303"/>
      <c r="BE1257" s="303"/>
      <c r="BF1257" s="303"/>
      <c r="BG1257" s="303"/>
      <c r="BH1257" s="303"/>
      <c r="BI1257" s="303"/>
      <c r="BJ1257" s="303"/>
      <c r="BK1257" s="303"/>
      <c r="BL1257" s="303"/>
      <c r="BM1257" s="303"/>
      <c r="BN1257" s="303"/>
      <c r="BO1257" s="303"/>
      <c r="BP1257" s="303"/>
      <c r="BQ1257" s="303"/>
      <c r="BR1257" s="303"/>
      <c r="BS1257" s="303"/>
      <c r="BT1257" s="303"/>
      <c r="BU1257" s="303"/>
      <c r="BV1257" s="303"/>
      <c r="BW1257" s="303"/>
      <c r="BX1257" s="303"/>
      <c r="BY1257" s="303"/>
    </row>
    <row r="1258" spans="1:77" s="291" customFormat="1" ht="12" customHeight="1">
      <c r="B1258" s="291" t="s">
        <v>291</v>
      </c>
      <c r="C1258" s="292"/>
      <c r="D1258" s="292"/>
      <c r="E1258" s="293" t="s">
        <v>1133</v>
      </c>
      <c r="F1258" s="291" t="s">
        <v>318</v>
      </c>
      <c r="G1258" s="294" t="s">
        <v>319</v>
      </c>
      <c r="H1258" s="291" t="s">
        <v>183</v>
      </c>
      <c r="I1258" s="291" t="s">
        <v>33</v>
      </c>
      <c r="J1258" s="296">
        <v>33189.120000000003</v>
      </c>
      <c r="L1258" s="296">
        <v>28.81</v>
      </c>
      <c r="M1258" s="296">
        <v>28.81</v>
      </c>
      <c r="N1258" s="297">
        <f>J1258*0.2</f>
        <v>6637.8240000000005</v>
      </c>
      <c r="O1258" s="298">
        <v>0.2</v>
      </c>
      <c r="P1258" s="298"/>
      <c r="Q1258" s="297">
        <f>N1258-J1258*O1258</f>
        <v>0</v>
      </c>
      <c r="R1258" s="291" t="s">
        <v>285</v>
      </c>
      <c r="S1258" s="299" t="s">
        <v>275</v>
      </c>
      <c r="T1258" s="299">
        <v>21</v>
      </c>
      <c r="U1258" s="300" t="s">
        <v>164</v>
      </c>
      <c r="V1258" s="333"/>
      <c r="W1258" s="291" t="s">
        <v>3807</v>
      </c>
      <c r="X1258" s="297">
        <v>0</v>
      </c>
      <c r="Y1258" s="297"/>
      <c r="AH1258" s="291">
        <f>X1258</f>
        <v>0</v>
      </c>
      <c r="AI1258" s="311"/>
      <c r="AJ1258" s="468"/>
      <c r="AK1258" s="303"/>
      <c r="AL1258" s="303"/>
      <c r="AM1258" s="303"/>
      <c r="AN1258" s="303"/>
      <c r="AO1258" s="303"/>
      <c r="AP1258" s="303"/>
      <c r="AQ1258" s="303"/>
      <c r="AR1258" s="303"/>
      <c r="AS1258" s="303"/>
      <c r="AT1258" s="303"/>
      <c r="AU1258" s="303"/>
      <c r="AV1258" s="303"/>
      <c r="AW1258" s="303"/>
      <c r="AX1258" s="303"/>
      <c r="AY1258" s="303"/>
      <c r="AZ1258" s="303"/>
      <c r="BA1258" s="303"/>
      <c r="BB1258" s="303"/>
      <c r="BC1258" s="303"/>
      <c r="BD1258" s="303"/>
      <c r="BE1258" s="303"/>
      <c r="BF1258" s="303"/>
      <c r="BG1258" s="303"/>
      <c r="BH1258" s="303"/>
      <c r="BI1258" s="303"/>
      <c r="BJ1258" s="303"/>
      <c r="BK1258" s="303"/>
      <c r="BL1258" s="303"/>
      <c r="BM1258" s="303"/>
      <c r="BN1258" s="303"/>
      <c r="BO1258" s="303"/>
      <c r="BP1258" s="303"/>
      <c r="BQ1258" s="303"/>
      <c r="BR1258" s="303"/>
      <c r="BS1258" s="303"/>
      <c r="BT1258" s="303"/>
      <c r="BU1258" s="303"/>
      <c r="BV1258" s="303"/>
      <c r="BW1258" s="303"/>
      <c r="BX1258" s="303"/>
      <c r="BY1258" s="303"/>
    </row>
    <row r="1259" spans="1:77" s="291" customFormat="1" ht="12" customHeight="1">
      <c r="B1259" s="291" t="s">
        <v>291</v>
      </c>
      <c r="C1259" s="292"/>
      <c r="D1259" s="292"/>
      <c r="E1259" s="293" t="s">
        <v>1133</v>
      </c>
      <c r="F1259" s="291" t="s">
        <v>318</v>
      </c>
      <c r="G1259" s="294" t="s">
        <v>319</v>
      </c>
      <c r="H1259" s="291" t="s">
        <v>310</v>
      </c>
      <c r="I1259" s="291" t="s">
        <v>33</v>
      </c>
      <c r="J1259" s="296">
        <v>31919.1</v>
      </c>
      <c r="L1259" s="296">
        <v>31.63</v>
      </c>
      <c r="M1259" s="296">
        <v>31.68</v>
      </c>
      <c r="N1259" s="297">
        <v>0</v>
      </c>
      <c r="O1259" s="298">
        <v>0.2</v>
      </c>
      <c r="P1259" s="298"/>
      <c r="Q1259" s="297">
        <v>0</v>
      </c>
      <c r="R1259" s="291" t="s">
        <v>285</v>
      </c>
      <c r="S1259" s="299" t="s">
        <v>275</v>
      </c>
      <c r="T1259" s="299">
        <v>21</v>
      </c>
      <c r="U1259" s="300" t="s">
        <v>164</v>
      </c>
      <c r="V1259" s="333"/>
      <c r="X1259" s="297">
        <v>0</v>
      </c>
      <c r="Y1259" s="297"/>
      <c r="AH1259" s="291">
        <f>X1259</f>
        <v>0</v>
      </c>
      <c r="AI1259" s="311"/>
      <c r="AJ1259" s="468"/>
      <c r="AK1259" s="303"/>
      <c r="AL1259" s="303"/>
      <c r="AM1259" s="303"/>
      <c r="AN1259" s="303"/>
      <c r="AO1259" s="303"/>
      <c r="AP1259" s="303"/>
      <c r="AQ1259" s="303"/>
      <c r="AR1259" s="303"/>
      <c r="AS1259" s="303"/>
      <c r="AT1259" s="303"/>
      <c r="AU1259" s="303"/>
      <c r="AV1259" s="303"/>
      <c r="AW1259" s="303"/>
      <c r="AX1259" s="303"/>
      <c r="AY1259" s="303"/>
      <c r="AZ1259" s="303"/>
      <c r="BA1259" s="303"/>
      <c r="BB1259" s="303"/>
      <c r="BC1259" s="303"/>
      <c r="BD1259" s="303"/>
      <c r="BE1259" s="303"/>
      <c r="BF1259" s="303"/>
      <c r="BG1259" s="303"/>
      <c r="BH1259" s="303"/>
      <c r="BI1259" s="303"/>
      <c r="BJ1259" s="303"/>
      <c r="BK1259" s="303"/>
      <c r="BL1259" s="303"/>
      <c r="BM1259" s="303"/>
      <c r="BN1259" s="303"/>
      <c r="BO1259" s="303"/>
      <c r="BP1259" s="303"/>
      <c r="BQ1259" s="303"/>
      <c r="BR1259" s="303"/>
      <c r="BS1259" s="303"/>
      <c r="BT1259" s="303"/>
      <c r="BU1259" s="303"/>
      <c r="BV1259" s="303"/>
      <c r="BW1259" s="303"/>
      <c r="BX1259" s="303"/>
      <c r="BY1259" s="303"/>
    </row>
    <row r="1260" spans="1:77" s="261" customFormat="1" ht="12" customHeight="1">
      <c r="B1260" s="261" t="s">
        <v>291</v>
      </c>
      <c r="C1260" s="259"/>
      <c r="D1260" s="259"/>
      <c r="E1260" s="260" t="s">
        <v>1133</v>
      </c>
      <c r="F1260" s="261" t="s">
        <v>318</v>
      </c>
      <c r="G1260" s="262" t="s">
        <v>319</v>
      </c>
      <c r="H1260" s="261" t="s">
        <v>27</v>
      </c>
      <c r="I1260" s="261" t="s">
        <v>33</v>
      </c>
      <c r="J1260" s="263">
        <v>65758.100000000006</v>
      </c>
      <c r="L1260" s="263">
        <v>54.73</v>
      </c>
      <c r="M1260" s="263">
        <v>54.73</v>
      </c>
      <c r="N1260" s="265">
        <v>0</v>
      </c>
      <c r="O1260" s="266">
        <v>0.2</v>
      </c>
      <c r="P1260" s="266"/>
      <c r="Q1260" s="265">
        <v>0</v>
      </c>
      <c r="R1260" s="261" t="s">
        <v>285</v>
      </c>
      <c r="S1260" s="267" t="s">
        <v>275</v>
      </c>
      <c r="T1260" s="267">
        <v>21</v>
      </c>
      <c r="U1260" s="268" t="s">
        <v>164</v>
      </c>
      <c r="V1260" s="427"/>
      <c r="W1260" s="261" t="s">
        <v>3807</v>
      </c>
      <c r="X1260" s="265">
        <v>0</v>
      </c>
      <c r="Y1260" s="265"/>
      <c r="AG1260" s="261">
        <f>X1260</f>
        <v>0</v>
      </c>
      <c r="AJ1260" s="642"/>
      <c r="AK1260" s="273"/>
      <c r="AL1260" s="273"/>
      <c r="AM1260" s="273"/>
      <c r="AN1260" s="273"/>
      <c r="AO1260" s="273"/>
      <c r="AP1260" s="273"/>
      <c r="AQ1260" s="273"/>
      <c r="AR1260" s="273"/>
      <c r="AS1260" s="273"/>
      <c r="AT1260" s="273"/>
      <c r="AU1260" s="273"/>
      <c r="AV1260" s="273"/>
      <c r="AW1260" s="273"/>
      <c r="AX1260" s="273"/>
      <c r="AY1260" s="273"/>
      <c r="AZ1260" s="273"/>
      <c r="BA1260" s="273"/>
      <c r="BB1260" s="273"/>
      <c r="BC1260" s="273"/>
      <c r="BD1260" s="273"/>
      <c r="BE1260" s="273"/>
      <c r="BF1260" s="273"/>
      <c r="BG1260" s="273"/>
      <c r="BH1260" s="273"/>
      <c r="BI1260" s="273"/>
      <c r="BJ1260" s="273"/>
      <c r="BK1260" s="273"/>
      <c r="BL1260" s="273"/>
      <c r="BM1260" s="273"/>
      <c r="BN1260" s="273"/>
      <c r="BO1260" s="273"/>
      <c r="BP1260" s="273"/>
      <c r="BQ1260" s="273"/>
      <c r="BR1260" s="273"/>
      <c r="BS1260" s="273"/>
      <c r="BT1260" s="273"/>
      <c r="BU1260" s="273"/>
      <c r="BV1260" s="273"/>
      <c r="BW1260" s="273"/>
      <c r="BX1260" s="273"/>
      <c r="BY1260" s="273"/>
    </row>
    <row r="1261" spans="1:77" s="337" customFormat="1" ht="12" customHeight="1">
      <c r="A1261" s="473"/>
      <c r="B1261" s="486" t="s">
        <v>291</v>
      </c>
      <c r="C1261" s="487"/>
      <c r="D1261" s="487"/>
      <c r="E1261" s="488" t="s">
        <v>1134</v>
      </c>
      <c r="F1261" s="473" t="s">
        <v>672</v>
      </c>
      <c r="G1261" s="489">
        <v>3601</v>
      </c>
      <c r="H1261" s="473" t="s">
        <v>27</v>
      </c>
      <c r="I1261" s="473" t="s">
        <v>33</v>
      </c>
      <c r="J1261" s="490">
        <v>14395.92</v>
      </c>
      <c r="K1261" s="473"/>
      <c r="L1261" s="490">
        <v>13.2</v>
      </c>
      <c r="M1261" s="490">
        <v>13.2</v>
      </c>
      <c r="N1261" s="492"/>
      <c r="O1261" s="493">
        <v>0.2</v>
      </c>
      <c r="P1261" s="493"/>
      <c r="Q1261" s="492">
        <v>0</v>
      </c>
      <c r="R1261" s="473" t="s">
        <v>35</v>
      </c>
      <c r="S1261" s="481" t="s">
        <v>41</v>
      </c>
      <c r="T1261" s="481">
        <v>79</v>
      </c>
      <c r="U1261" s="494" t="s">
        <v>164</v>
      </c>
      <c r="V1261" s="495"/>
      <c r="W1261" s="473"/>
      <c r="X1261" s="492">
        <v>0</v>
      </c>
      <c r="Y1261" s="492"/>
      <c r="Z1261" s="473"/>
      <c r="AA1261" s="473"/>
      <c r="AB1261" s="473"/>
      <c r="AC1261" s="473"/>
      <c r="AD1261" s="473"/>
      <c r="AE1261" s="473"/>
      <c r="AF1261" s="473"/>
      <c r="AG1261" s="473"/>
      <c r="AH1261" s="473"/>
      <c r="AI1261" s="473"/>
      <c r="AJ1261" s="485"/>
      <c r="AK1261" s="472">
        <v>0</v>
      </c>
      <c r="AL1261" s="472"/>
      <c r="AM1261" s="472"/>
      <c r="AN1261" s="472"/>
      <c r="AO1261" s="472"/>
      <c r="AP1261" s="472"/>
      <c r="AQ1261" s="472"/>
      <c r="AR1261" s="472"/>
      <c r="AS1261" s="472"/>
      <c r="AT1261" s="472"/>
      <c r="AU1261" s="472"/>
      <c r="AV1261" s="472"/>
      <c r="AW1261" s="472"/>
      <c r="AX1261" s="472"/>
      <c r="AY1261" s="472"/>
      <c r="AZ1261" s="472"/>
      <c r="BA1261" s="472"/>
      <c r="BB1261" s="472"/>
      <c r="BC1261" s="472"/>
      <c r="BD1261" s="472"/>
      <c r="BE1261" s="472"/>
      <c r="BF1261" s="472"/>
      <c r="BG1261" s="472"/>
      <c r="BH1261" s="472"/>
      <c r="BI1261" s="472"/>
      <c r="BJ1261" s="472"/>
      <c r="BK1261" s="472"/>
      <c r="BL1261" s="472"/>
      <c r="BM1261" s="472"/>
      <c r="BN1261" s="472"/>
      <c r="BO1261" s="472"/>
      <c r="BP1261" s="472"/>
      <c r="BQ1261" s="472"/>
      <c r="BR1261" s="472"/>
      <c r="BS1261" s="472"/>
      <c r="BT1261" s="472"/>
      <c r="BU1261" s="472"/>
      <c r="BV1261" s="472"/>
      <c r="BW1261" s="472"/>
      <c r="BX1261" s="472"/>
      <c r="BY1261" s="472"/>
    </row>
    <row r="1262" spans="1:77" s="6" customFormat="1" ht="12" customHeight="1">
      <c r="A1262" s="473"/>
      <c r="B1262" s="486" t="s">
        <v>291</v>
      </c>
      <c r="C1262" s="487"/>
      <c r="D1262" s="487"/>
      <c r="E1262" s="488" t="s">
        <v>1134</v>
      </c>
      <c r="F1262" s="473" t="s">
        <v>672</v>
      </c>
      <c r="G1262" s="489">
        <v>3601</v>
      </c>
      <c r="H1262" s="473" t="s">
        <v>183</v>
      </c>
      <c r="I1262" s="473" t="s">
        <v>33</v>
      </c>
      <c r="J1262" s="490">
        <v>20185.57</v>
      </c>
      <c r="K1262" s="473"/>
      <c r="L1262" s="490">
        <v>16.489999999999998</v>
      </c>
      <c r="M1262" s="490">
        <v>16.489999999999998</v>
      </c>
      <c r="N1262" s="492"/>
      <c r="O1262" s="493">
        <v>0.2</v>
      </c>
      <c r="P1262" s="493"/>
      <c r="Q1262" s="492">
        <v>0</v>
      </c>
      <c r="R1262" s="473" t="s">
        <v>35</v>
      </c>
      <c r="S1262" s="481" t="s">
        <v>41</v>
      </c>
      <c r="T1262" s="481">
        <v>79</v>
      </c>
      <c r="U1262" s="494" t="s">
        <v>164</v>
      </c>
      <c r="V1262" s="495"/>
      <c r="W1262" s="473"/>
      <c r="X1262" s="492">
        <v>0</v>
      </c>
      <c r="Y1262" s="492"/>
      <c r="Z1262" s="473"/>
      <c r="AA1262" s="473"/>
      <c r="AB1262" s="473"/>
      <c r="AC1262" s="473"/>
      <c r="AD1262" s="473"/>
      <c r="AE1262" s="473"/>
      <c r="AF1262" s="473"/>
      <c r="AG1262" s="473"/>
      <c r="AH1262" s="473"/>
      <c r="AI1262" s="473"/>
      <c r="AJ1262" s="485"/>
      <c r="AK1262" s="472">
        <v>0</v>
      </c>
      <c r="AL1262" s="472"/>
      <c r="AM1262" s="472"/>
      <c r="AN1262" s="472"/>
      <c r="AO1262" s="472"/>
      <c r="AP1262" s="472"/>
      <c r="AQ1262" s="472"/>
      <c r="AR1262" s="472"/>
      <c r="AS1262" s="472"/>
      <c r="AT1262" s="472"/>
      <c r="AU1262" s="472"/>
      <c r="AV1262" s="472"/>
      <c r="AW1262" s="472"/>
      <c r="AX1262" s="472"/>
      <c r="AY1262" s="472"/>
      <c r="AZ1262" s="472"/>
      <c r="BA1262" s="472"/>
      <c r="BB1262" s="472"/>
      <c r="BC1262" s="472"/>
      <c r="BD1262" s="472"/>
      <c r="BE1262" s="472"/>
      <c r="BF1262" s="472"/>
      <c r="BG1262" s="472"/>
      <c r="BH1262" s="472"/>
      <c r="BI1262" s="472"/>
      <c r="BJ1262" s="472"/>
      <c r="BK1262" s="472"/>
      <c r="BL1262" s="472"/>
      <c r="BM1262" s="472"/>
      <c r="BN1262" s="472"/>
      <c r="BO1262" s="472"/>
      <c r="BP1262" s="472"/>
      <c r="BQ1262" s="472"/>
      <c r="BR1262" s="472"/>
      <c r="BS1262" s="472"/>
      <c r="BT1262" s="472"/>
      <c r="BU1262" s="472"/>
      <c r="BV1262" s="472"/>
      <c r="BW1262" s="472"/>
      <c r="BX1262" s="472"/>
      <c r="BY1262" s="472"/>
    </row>
    <row r="1263" spans="1:77" s="337" customFormat="1" ht="12" customHeight="1">
      <c r="B1263" s="338" t="s">
        <v>291</v>
      </c>
      <c r="C1263" s="349">
        <v>44697</v>
      </c>
      <c r="D1263" s="349">
        <v>44698</v>
      </c>
      <c r="E1263" s="350" t="s">
        <v>1134</v>
      </c>
      <c r="F1263" s="337" t="s">
        <v>672</v>
      </c>
      <c r="G1263" s="351">
        <v>3601</v>
      </c>
      <c r="H1263" s="337" t="s">
        <v>99</v>
      </c>
      <c r="I1263" s="337" t="s">
        <v>33</v>
      </c>
      <c r="J1263" s="352">
        <v>76762.45</v>
      </c>
      <c r="L1263" s="352">
        <v>59.32</v>
      </c>
      <c r="M1263" s="352">
        <v>59.32</v>
      </c>
      <c r="N1263" s="354"/>
      <c r="O1263" s="355">
        <v>0.2</v>
      </c>
      <c r="P1263" s="355"/>
      <c r="Q1263" s="354">
        <v>513.12</v>
      </c>
      <c r="R1263" s="337" t="s">
        <v>35</v>
      </c>
      <c r="S1263" s="356" t="s">
        <v>41</v>
      </c>
      <c r="T1263" s="356">
        <v>79</v>
      </c>
      <c r="U1263" s="357" t="s">
        <v>164</v>
      </c>
      <c r="V1263" s="434"/>
      <c r="X1263" s="354">
        <v>513.12</v>
      </c>
      <c r="Y1263" s="354"/>
      <c r="AI1263" s="337">
        <v>513.12</v>
      </c>
      <c r="AJ1263" s="358"/>
      <c r="AK1263" s="369"/>
    </row>
    <row r="1264" spans="1:77" s="337" customFormat="1" ht="12" customHeight="1">
      <c r="B1264" s="338" t="s">
        <v>291</v>
      </c>
      <c r="C1264" s="349"/>
      <c r="D1264" s="349"/>
      <c r="E1264" s="350" t="s">
        <v>1134</v>
      </c>
      <c r="F1264" s="337" t="s">
        <v>672</v>
      </c>
      <c r="G1264" s="351">
        <v>3601</v>
      </c>
      <c r="H1264" s="337" t="s">
        <v>310</v>
      </c>
      <c r="I1264" s="337" t="s">
        <v>33</v>
      </c>
      <c r="J1264" s="352">
        <v>5619.22</v>
      </c>
      <c r="L1264" s="352">
        <v>8.31</v>
      </c>
      <c r="M1264" s="352">
        <v>8.31</v>
      </c>
      <c r="N1264" s="354">
        <f>J1264*0.4</f>
        <v>2247.6880000000001</v>
      </c>
      <c r="O1264" s="355">
        <v>0.2</v>
      </c>
      <c r="P1264" s="355"/>
      <c r="Q1264" s="354">
        <v>265.67</v>
      </c>
      <c r="R1264" s="337" t="s">
        <v>35</v>
      </c>
      <c r="S1264" s="356" t="s">
        <v>41</v>
      </c>
      <c r="T1264" s="356">
        <v>79</v>
      </c>
      <c r="U1264" s="357" t="s">
        <v>164</v>
      </c>
      <c r="V1264" s="434"/>
      <c r="X1264" s="354">
        <v>265.67</v>
      </c>
      <c r="Y1264" s="354"/>
      <c r="AI1264" s="337">
        <v>265.67</v>
      </c>
      <c r="AJ1264" s="358"/>
      <c r="AK1264" s="369"/>
    </row>
    <row r="1265" spans="2:77" s="181" customFormat="1" ht="12" customHeight="1">
      <c r="B1265" s="178" t="s">
        <v>291</v>
      </c>
      <c r="C1265" s="179">
        <v>44698</v>
      </c>
      <c r="D1265" s="179">
        <v>44698</v>
      </c>
      <c r="E1265" s="180" t="s">
        <v>1135</v>
      </c>
      <c r="F1265" s="181" t="s">
        <v>1136</v>
      </c>
      <c r="G1265" s="182">
        <v>3847</v>
      </c>
      <c r="H1265" s="181" t="s">
        <v>183</v>
      </c>
      <c r="I1265" s="181" t="s">
        <v>33</v>
      </c>
      <c r="J1265" s="183">
        <v>15819.3</v>
      </c>
      <c r="L1265" s="183">
        <v>19.53</v>
      </c>
      <c r="M1265" s="183">
        <v>19.53</v>
      </c>
      <c r="N1265" s="185"/>
      <c r="O1265" s="186">
        <v>0.15</v>
      </c>
      <c r="P1265" s="186"/>
      <c r="Q1265" s="185">
        <v>0</v>
      </c>
      <c r="R1265" s="181" t="s">
        <v>142</v>
      </c>
      <c r="S1265" s="187" t="s">
        <v>41</v>
      </c>
      <c r="T1265" s="187">
        <v>24</v>
      </c>
      <c r="U1265" s="188" t="s">
        <v>164</v>
      </c>
      <c r="V1265" s="441"/>
      <c r="X1265" s="185">
        <v>0</v>
      </c>
      <c r="Y1265" s="185"/>
      <c r="AE1265" s="204">
        <f>X1265</f>
        <v>0</v>
      </c>
      <c r="AJ1265" s="189"/>
      <c r="AK1265" s="184"/>
      <c r="AL1265" s="184"/>
      <c r="AM1265" s="184"/>
      <c r="AN1265" s="184"/>
      <c r="AO1265" s="184"/>
      <c r="AP1265" s="184"/>
      <c r="AQ1265" s="184"/>
      <c r="AR1265" s="184"/>
      <c r="AS1265" s="184"/>
      <c r="AT1265" s="184"/>
      <c r="AU1265" s="184"/>
      <c r="AV1265" s="184"/>
      <c r="AW1265" s="184"/>
      <c r="AX1265" s="184"/>
      <c r="AY1265" s="184"/>
      <c r="AZ1265" s="184"/>
      <c r="BA1265" s="184"/>
      <c r="BB1265" s="184"/>
      <c r="BC1265" s="184"/>
      <c r="BD1265" s="184"/>
      <c r="BE1265" s="184"/>
      <c r="BF1265" s="184"/>
      <c r="BG1265" s="184"/>
      <c r="BH1265" s="184"/>
      <c r="BI1265" s="184"/>
      <c r="BJ1265" s="184"/>
      <c r="BK1265" s="184"/>
      <c r="BL1265" s="184"/>
      <c r="BM1265" s="184"/>
      <c r="BN1265" s="184"/>
      <c r="BO1265" s="184"/>
      <c r="BP1265" s="184"/>
      <c r="BQ1265" s="184"/>
      <c r="BR1265" s="184"/>
      <c r="BS1265" s="184"/>
      <c r="BT1265" s="184"/>
      <c r="BU1265" s="184"/>
      <c r="BV1265" s="184"/>
      <c r="BW1265" s="184"/>
      <c r="BX1265" s="184"/>
      <c r="BY1265" s="184"/>
    </row>
    <row r="1266" spans="2:77" s="261" customFormat="1" ht="12" customHeight="1">
      <c r="B1266" s="258" t="s">
        <v>291</v>
      </c>
      <c r="C1266" s="259"/>
      <c r="D1266" s="259"/>
      <c r="E1266" s="260" t="s">
        <v>1135</v>
      </c>
      <c r="F1266" s="261" t="s">
        <v>1136</v>
      </c>
      <c r="G1266" s="262">
        <v>3847</v>
      </c>
      <c r="H1266" s="261" t="s">
        <v>99</v>
      </c>
      <c r="I1266" s="261" t="s">
        <v>33</v>
      </c>
      <c r="J1266" s="263">
        <v>51738.06</v>
      </c>
      <c r="L1266" s="263">
        <v>54.53</v>
      </c>
      <c r="M1266" s="263">
        <v>54.53</v>
      </c>
      <c r="N1266" s="265">
        <f>J1266*0.3255</f>
        <v>16840.738529999999</v>
      </c>
      <c r="O1266" s="266">
        <v>0.15</v>
      </c>
      <c r="P1266" s="266"/>
      <c r="Q1266" s="265">
        <v>0</v>
      </c>
      <c r="R1266" s="261" t="s">
        <v>142</v>
      </c>
      <c r="S1266" s="267" t="s">
        <v>41</v>
      </c>
      <c r="T1266" s="267">
        <v>24</v>
      </c>
      <c r="U1266" s="268" t="s">
        <v>164</v>
      </c>
      <c r="V1266" s="427"/>
      <c r="X1266" s="265">
        <v>0</v>
      </c>
      <c r="Y1266" s="265"/>
      <c r="AG1266" s="261">
        <f>X1266</f>
        <v>0</v>
      </c>
      <c r="AJ1266" s="642"/>
      <c r="AK1266" s="273"/>
      <c r="AL1266" s="273"/>
      <c r="AM1266" s="273"/>
      <c r="AN1266" s="273"/>
      <c r="AO1266" s="273"/>
      <c r="AP1266" s="273"/>
      <c r="AQ1266" s="273"/>
      <c r="AR1266" s="273"/>
      <c r="AS1266" s="273"/>
      <c r="AT1266" s="273"/>
      <c r="AU1266" s="273"/>
      <c r="AV1266" s="273"/>
      <c r="AW1266" s="273"/>
      <c r="AX1266" s="273"/>
      <c r="AY1266" s="273"/>
      <c r="AZ1266" s="273"/>
      <c r="BA1266" s="273"/>
      <c r="BB1266" s="273"/>
      <c r="BC1266" s="273"/>
      <c r="BD1266" s="273"/>
      <c r="BE1266" s="273"/>
      <c r="BF1266" s="273"/>
      <c r="BG1266" s="273"/>
      <c r="BH1266" s="273"/>
      <c r="BI1266" s="273"/>
      <c r="BJ1266" s="273"/>
      <c r="BK1266" s="273"/>
      <c r="BL1266" s="273"/>
      <c r="BM1266" s="273"/>
      <c r="BN1266" s="273"/>
      <c r="BO1266" s="273"/>
      <c r="BP1266" s="273"/>
      <c r="BQ1266" s="273"/>
      <c r="BR1266" s="273"/>
      <c r="BS1266" s="273"/>
      <c r="BT1266" s="273"/>
      <c r="BU1266" s="273"/>
      <c r="BV1266" s="273"/>
      <c r="BW1266" s="273"/>
      <c r="BX1266" s="273"/>
      <c r="BY1266" s="273"/>
    </row>
    <row r="1267" spans="2:77" s="261" customFormat="1" ht="12" customHeight="1">
      <c r="B1267" s="258" t="s">
        <v>291</v>
      </c>
      <c r="C1267" s="259"/>
      <c r="D1267" s="259"/>
      <c r="E1267" s="260" t="s">
        <v>1135</v>
      </c>
      <c r="F1267" s="261" t="s">
        <v>1136</v>
      </c>
      <c r="G1267" s="262">
        <v>3847</v>
      </c>
      <c r="H1267" s="261" t="s">
        <v>137</v>
      </c>
      <c r="I1267" s="261" t="s">
        <v>33</v>
      </c>
      <c r="J1267" s="263">
        <v>19110.28</v>
      </c>
      <c r="L1267" s="263">
        <v>12.47</v>
      </c>
      <c r="M1267" s="263">
        <v>12.47</v>
      </c>
      <c r="N1267" s="265">
        <v>5924.19</v>
      </c>
      <c r="O1267" s="266">
        <v>0.15</v>
      </c>
      <c r="P1267" s="266"/>
      <c r="Q1267" s="265">
        <v>3056.71</v>
      </c>
      <c r="R1267" s="261" t="s">
        <v>142</v>
      </c>
      <c r="S1267" s="267" t="s">
        <v>41</v>
      </c>
      <c r="T1267" s="267">
        <v>24</v>
      </c>
      <c r="U1267" s="268" t="s">
        <v>164</v>
      </c>
      <c r="V1267" s="427"/>
      <c r="X1267" s="265">
        <v>3056.71</v>
      </c>
      <c r="Y1267" s="265"/>
      <c r="AG1267" s="261">
        <f>X1267</f>
        <v>3056.71</v>
      </c>
      <c r="AJ1267" s="642"/>
      <c r="AK1267" s="273"/>
      <c r="AL1267" s="273"/>
      <c r="AM1267" s="273"/>
      <c r="AN1267" s="273"/>
      <c r="AO1267" s="273"/>
      <c r="AP1267" s="273"/>
      <c r="AQ1267" s="273"/>
      <c r="AR1267" s="273"/>
      <c r="AS1267" s="273"/>
      <c r="AT1267" s="273"/>
      <c r="AU1267" s="273"/>
      <c r="AV1267" s="273"/>
      <c r="AW1267" s="273"/>
      <c r="AX1267" s="273"/>
      <c r="AY1267" s="273"/>
      <c r="AZ1267" s="273"/>
      <c r="BA1267" s="273"/>
      <c r="BB1267" s="273"/>
      <c r="BC1267" s="273"/>
      <c r="BD1267" s="273"/>
      <c r="BE1267" s="273"/>
      <c r="BF1267" s="273"/>
      <c r="BG1267" s="273"/>
      <c r="BH1267" s="273"/>
      <c r="BI1267" s="273"/>
      <c r="BJ1267" s="273"/>
      <c r="BK1267" s="273"/>
      <c r="BL1267" s="273"/>
      <c r="BM1267" s="273"/>
      <c r="BN1267" s="273"/>
      <c r="BO1267" s="273"/>
      <c r="BP1267" s="273"/>
      <c r="BQ1267" s="273"/>
      <c r="BR1267" s="273"/>
      <c r="BS1267" s="273"/>
      <c r="BT1267" s="273"/>
      <c r="BU1267" s="273"/>
      <c r="BV1267" s="273"/>
      <c r="BW1267" s="273"/>
      <c r="BX1267" s="273"/>
      <c r="BY1267" s="273"/>
    </row>
    <row r="1268" spans="2:77" s="337" customFormat="1" ht="12" customHeight="1">
      <c r="B1268" s="337" t="s">
        <v>291</v>
      </c>
      <c r="C1268" s="349"/>
      <c r="D1268" s="349"/>
      <c r="E1268" s="350" t="s">
        <v>1137</v>
      </c>
      <c r="F1268" s="337" t="s">
        <v>419</v>
      </c>
      <c r="G1268" s="351" t="s">
        <v>420</v>
      </c>
      <c r="H1268" s="337" t="s">
        <v>1018</v>
      </c>
      <c r="I1268" s="337" t="s">
        <v>33</v>
      </c>
      <c r="J1268" s="352">
        <v>12342</v>
      </c>
      <c r="L1268" s="352">
        <v>11</v>
      </c>
      <c r="M1268" s="352">
        <v>11</v>
      </c>
      <c r="N1268" s="354"/>
      <c r="O1268" s="355">
        <v>0.2</v>
      </c>
      <c r="P1268" s="355"/>
      <c r="Q1268" s="354">
        <v>0</v>
      </c>
      <c r="R1268" s="337" t="s">
        <v>257</v>
      </c>
      <c r="S1268" s="356" t="s">
        <v>3078</v>
      </c>
      <c r="T1268" s="356">
        <v>47</v>
      </c>
      <c r="U1268" s="357" t="s">
        <v>164</v>
      </c>
      <c r="V1268" s="434"/>
      <c r="X1268" s="354">
        <v>0</v>
      </c>
      <c r="Y1268" s="354"/>
      <c r="AI1268" s="341">
        <f>X1268</f>
        <v>0</v>
      </c>
      <c r="AJ1268" s="358"/>
      <c r="AK1268" s="369"/>
    </row>
    <row r="1269" spans="2:77" s="337" customFormat="1" ht="12" customHeight="1">
      <c r="B1269" s="337" t="s">
        <v>291</v>
      </c>
      <c r="C1269" s="349"/>
      <c r="D1269" s="349"/>
      <c r="E1269" s="350" t="s">
        <v>1137</v>
      </c>
      <c r="F1269" s="337" t="s">
        <v>419</v>
      </c>
      <c r="G1269" s="351" t="s">
        <v>420</v>
      </c>
      <c r="H1269" s="337" t="s">
        <v>1138</v>
      </c>
      <c r="I1269" s="337" t="s">
        <v>33</v>
      </c>
      <c r="J1269" s="352">
        <v>16562</v>
      </c>
      <c r="L1269" s="352">
        <v>13</v>
      </c>
      <c r="M1269" s="352">
        <v>13</v>
      </c>
      <c r="N1269" s="354"/>
      <c r="O1269" s="355">
        <v>0.2</v>
      </c>
      <c r="P1269" s="355"/>
      <c r="Q1269" s="354">
        <v>0</v>
      </c>
      <c r="R1269" s="337" t="s">
        <v>257</v>
      </c>
      <c r="S1269" s="356" t="s">
        <v>3078</v>
      </c>
      <c r="T1269" s="356">
        <v>47</v>
      </c>
      <c r="U1269" s="357" t="s">
        <v>164</v>
      </c>
      <c r="V1269" s="434"/>
      <c r="X1269" s="354">
        <v>0</v>
      </c>
      <c r="Y1269" s="354"/>
      <c r="AI1269" s="337">
        <v>0</v>
      </c>
      <c r="AJ1269" s="358"/>
      <c r="AK1269" s="369"/>
    </row>
    <row r="1270" spans="2:77" s="291" customFormat="1" ht="12" customHeight="1">
      <c r="B1270" s="291" t="s">
        <v>291</v>
      </c>
      <c r="C1270" s="292">
        <v>44698</v>
      </c>
      <c r="D1270" s="292">
        <v>44698</v>
      </c>
      <c r="E1270" s="293" t="s">
        <v>1137</v>
      </c>
      <c r="F1270" s="291" t="s">
        <v>419</v>
      </c>
      <c r="G1270" s="294" t="s">
        <v>420</v>
      </c>
      <c r="H1270" s="291" t="s">
        <v>192</v>
      </c>
      <c r="I1270" s="291" t="s">
        <v>33</v>
      </c>
      <c r="J1270" s="296">
        <v>4860</v>
      </c>
      <c r="L1270" s="296">
        <v>7.2</v>
      </c>
      <c r="M1270" s="296">
        <v>7.2</v>
      </c>
      <c r="N1270" s="297"/>
      <c r="O1270" s="298">
        <v>0.2</v>
      </c>
      <c r="P1270" s="298"/>
      <c r="Q1270" s="297">
        <v>0</v>
      </c>
      <c r="R1270" s="291" t="s">
        <v>257</v>
      </c>
      <c r="S1270" s="299" t="s">
        <v>3078</v>
      </c>
      <c r="T1270" s="299">
        <v>47</v>
      </c>
      <c r="U1270" s="300" t="s">
        <v>164</v>
      </c>
      <c r="V1270" s="333"/>
      <c r="W1270" s="291" t="s">
        <v>3892</v>
      </c>
      <c r="X1270" s="297">
        <v>0</v>
      </c>
      <c r="Y1270" s="297"/>
      <c r="AH1270" s="291">
        <f>X1270</f>
        <v>0</v>
      </c>
      <c r="AI1270" s="311"/>
      <c r="AJ1270" s="468"/>
      <c r="AK1270" s="303"/>
      <c r="AL1270" s="303"/>
      <c r="AM1270" s="303"/>
      <c r="AN1270" s="303"/>
      <c r="AO1270" s="303"/>
      <c r="AP1270" s="303"/>
      <c r="AQ1270" s="303"/>
      <c r="AR1270" s="303"/>
      <c r="AS1270" s="303"/>
      <c r="AT1270" s="303"/>
      <c r="AU1270" s="303"/>
      <c r="AV1270" s="303"/>
      <c r="AW1270" s="303"/>
      <c r="AX1270" s="303"/>
      <c r="AY1270" s="303"/>
      <c r="AZ1270" s="303"/>
      <c r="BA1270" s="303"/>
      <c r="BB1270" s="303"/>
      <c r="BC1270" s="303"/>
      <c r="BD1270" s="303"/>
      <c r="BE1270" s="303"/>
      <c r="BF1270" s="303"/>
      <c r="BG1270" s="303"/>
      <c r="BH1270" s="303"/>
      <c r="BI1270" s="303"/>
      <c r="BJ1270" s="303"/>
      <c r="BK1270" s="303"/>
      <c r="BL1270" s="303"/>
      <c r="BM1270" s="303"/>
      <c r="BN1270" s="303"/>
      <c r="BO1270" s="303"/>
      <c r="BP1270" s="303"/>
      <c r="BQ1270" s="303"/>
      <c r="BR1270" s="303"/>
      <c r="BS1270" s="303"/>
      <c r="BT1270" s="303"/>
      <c r="BU1270" s="303"/>
      <c r="BV1270" s="303"/>
      <c r="BW1270" s="303"/>
      <c r="BX1270" s="303"/>
      <c r="BY1270" s="303"/>
    </row>
    <row r="1271" spans="2:77" s="291" customFormat="1" ht="12" customHeight="1">
      <c r="B1271" s="291" t="s">
        <v>291</v>
      </c>
      <c r="C1271" s="292"/>
      <c r="D1271" s="292"/>
      <c r="E1271" s="293" t="s">
        <v>1137</v>
      </c>
      <c r="F1271" s="291" t="s">
        <v>419</v>
      </c>
      <c r="G1271" s="294" t="s">
        <v>420</v>
      </c>
      <c r="H1271" s="291" t="s">
        <v>386</v>
      </c>
      <c r="I1271" s="291" t="s">
        <v>33</v>
      </c>
      <c r="J1271" s="296">
        <v>50625</v>
      </c>
      <c r="L1271" s="296">
        <v>27</v>
      </c>
      <c r="M1271" s="296">
        <v>27</v>
      </c>
      <c r="N1271" s="297"/>
      <c r="O1271" s="298">
        <v>0.2</v>
      </c>
      <c r="P1271" s="298"/>
      <c r="Q1271" s="297">
        <v>0</v>
      </c>
      <c r="R1271" s="291" t="s">
        <v>257</v>
      </c>
      <c r="S1271" s="299" t="s">
        <v>3078</v>
      </c>
      <c r="T1271" s="299">
        <v>47</v>
      </c>
      <c r="U1271" s="300" t="s">
        <v>164</v>
      </c>
      <c r="V1271" s="333"/>
      <c r="W1271" s="291" t="s">
        <v>3892</v>
      </c>
      <c r="X1271" s="297">
        <v>0</v>
      </c>
      <c r="Y1271" s="297"/>
      <c r="AH1271" s="291">
        <f>X1271</f>
        <v>0</v>
      </c>
      <c r="AI1271" s="311"/>
      <c r="AJ1271" s="468"/>
      <c r="AK1271" s="303"/>
      <c r="AL1271" s="303"/>
      <c r="AM1271" s="303"/>
      <c r="AN1271" s="303"/>
      <c r="AO1271" s="303"/>
      <c r="AP1271" s="303"/>
      <c r="AQ1271" s="303"/>
      <c r="AR1271" s="303"/>
      <c r="AS1271" s="303"/>
      <c r="AT1271" s="303"/>
      <c r="AU1271" s="303"/>
      <c r="AV1271" s="303"/>
      <c r="AW1271" s="303"/>
      <c r="AX1271" s="303"/>
      <c r="AY1271" s="303"/>
      <c r="AZ1271" s="303"/>
      <c r="BA1271" s="303"/>
      <c r="BB1271" s="303"/>
      <c r="BC1271" s="303"/>
      <c r="BD1271" s="303"/>
      <c r="BE1271" s="303"/>
      <c r="BF1271" s="303"/>
      <c r="BG1271" s="303"/>
      <c r="BH1271" s="303"/>
      <c r="BI1271" s="303"/>
      <c r="BJ1271" s="303"/>
      <c r="BK1271" s="303"/>
      <c r="BL1271" s="303"/>
      <c r="BM1271" s="303"/>
      <c r="BN1271" s="303"/>
      <c r="BO1271" s="303"/>
      <c r="BP1271" s="303"/>
      <c r="BQ1271" s="303"/>
      <c r="BR1271" s="303"/>
      <c r="BS1271" s="303"/>
      <c r="BT1271" s="303"/>
      <c r="BU1271" s="303"/>
      <c r="BV1271" s="303"/>
      <c r="BW1271" s="303"/>
      <c r="BX1271" s="303"/>
      <c r="BY1271" s="303"/>
    </row>
    <row r="1272" spans="2:77" s="337" customFormat="1" ht="12" customHeight="1">
      <c r="B1272" s="338" t="s">
        <v>291</v>
      </c>
      <c r="C1272" s="349"/>
      <c r="D1272" s="349"/>
      <c r="E1272" s="350" t="s">
        <v>1139</v>
      </c>
      <c r="F1272" s="337" t="s">
        <v>1140</v>
      </c>
      <c r="G1272" s="351">
        <v>4421</v>
      </c>
      <c r="H1272" s="337" t="s">
        <v>99</v>
      </c>
      <c r="I1272" s="337" t="s">
        <v>33</v>
      </c>
      <c r="J1272" s="352">
        <v>25440</v>
      </c>
      <c r="L1272" s="352">
        <v>20</v>
      </c>
      <c r="M1272" s="352">
        <v>20</v>
      </c>
      <c r="N1272" s="354"/>
      <c r="O1272" s="355">
        <v>0.2</v>
      </c>
      <c r="P1272" s="355"/>
      <c r="Q1272" s="354">
        <v>0</v>
      </c>
      <c r="R1272" s="337" t="s">
        <v>128</v>
      </c>
      <c r="S1272" s="356" t="s">
        <v>41</v>
      </c>
      <c r="T1272" s="356">
        <v>16</v>
      </c>
      <c r="U1272" s="357" t="s">
        <v>164</v>
      </c>
      <c r="V1272" s="434"/>
      <c r="X1272" s="354">
        <v>0</v>
      </c>
      <c r="Y1272" s="354"/>
      <c r="AI1272" s="341">
        <f>X1272</f>
        <v>0</v>
      </c>
      <c r="AJ1272" s="358"/>
      <c r="AK1272" s="369"/>
    </row>
    <row r="1273" spans="2:77" s="337" customFormat="1" ht="12" customHeight="1">
      <c r="B1273" s="338" t="s">
        <v>291</v>
      </c>
      <c r="C1273" s="349"/>
      <c r="D1273" s="349"/>
      <c r="E1273" s="350" t="s">
        <v>1139</v>
      </c>
      <c r="F1273" s="337" t="s">
        <v>1140</v>
      </c>
      <c r="G1273" s="351">
        <v>4421</v>
      </c>
      <c r="H1273" s="337" t="s">
        <v>99</v>
      </c>
      <c r="I1273" s="337" t="s">
        <v>33</v>
      </c>
      <c r="J1273" s="352">
        <v>47954.400000000001</v>
      </c>
      <c r="L1273" s="352">
        <v>37.700000000000003</v>
      </c>
      <c r="M1273" s="352">
        <v>37.700000000000003</v>
      </c>
      <c r="N1273" s="354"/>
      <c r="O1273" s="355">
        <v>0.2</v>
      </c>
      <c r="P1273" s="355"/>
      <c r="Q1273" s="354">
        <v>0</v>
      </c>
      <c r="R1273" s="337" t="s">
        <v>128</v>
      </c>
      <c r="S1273" s="356" t="s">
        <v>41</v>
      </c>
      <c r="T1273" s="356">
        <v>86</v>
      </c>
      <c r="U1273" s="357" t="s">
        <v>164</v>
      </c>
      <c r="V1273" s="434"/>
      <c r="X1273" s="354">
        <v>0</v>
      </c>
      <c r="Y1273" s="354"/>
      <c r="AI1273" s="341">
        <f>X1273</f>
        <v>0</v>
      </c>
      <c r="AJ1273" s="358"/>
      <c r="AK1273" s="369"/>
    </row>
    <row r="1274" spans="2:77" s="337" customFormat="1" ht="12" customHeight="1">
      <c r="B1274" s="338" t="s">
        <v>291</v>
      </c>
      <c r="C1274" s="349"/>
      <c r="D1274" s="349"/>
      <c r="E1274" s="350" t="s">
        <v>1139</v>
      </c>
      <c r="F1274" s="337" t="s">
        <v>1140</v>
      </c>
      <c r="G1274" s="351">
        <v>4421</v>
      </c>
      <c r="H1274" s="337" t="s">
        <v>27</v>
      </c>
      <c r="I1274" s="337" t="s">
        <v>33</v>
      </c>
      <c r="J1274" s="352">
        <v>12704.1</v>
      </c>
      <c r="L1274" s="352">
        <v>7.99</v>
      </c>
      <c r="M1274" s="352">
        <v>7.99</v>
      </c>
      <c r="N1274" s="354"/>
      <c r="O1274" s="355">
        <v>0.2</v>
      </c>
      <c r="P1274" s="355"/>
      <c r="Q1274" s="354">
        <v>0</v>
      </c>
      <c r="R1274" s="337" t="s">
        <v>128</v>
      </c>
      <c r="S1274" s="356" t="s">
        <v>41</v>
      </c>
      <c r="T1274" s="356">
        <v>86</v>
      </c>
      <c r="U1274" s="357" t="s">
        <v>164</v>
      </c>
      <c r="V1274" s="434"/>
      <c r="X1274" s="354">
        <v>0</v>
      </c>
      <c r="Y1274" s="354"/>
      <c r="AI1274" s="341">
        <f>X1274</f>
        <v>0</v>
      </c>
      <c r="AJ1274" s="358"/>
      <c r="AK1274" s="369"/>
    </row>
    <row r="1275" spans="2:77" s="379" customFormat="1" ht="12" customHeight="1">
      <c r="B1275" s="380" t="s">
        <v>291</v>
      </c>
      <c r="C1275" s="381">
        <v>44697</v>
      </c>
      <c r="D1275" s="381">
        <v>44698</v>
      </c>
      <c r="E1275" s="382" t="s">
        <v>1139</v>
      </c>
      <c r="F1275" s="379" t="s">
        <v>1140</v>
      </c>
      <c r="G1275" s="383">
        <v>4421</v>
      </c>
      <c r="H1275" s="379" t="s">
        <v>814</v>
      </c>
      <c r="I1275" s="379" t="s">
        <v>33</v>
      </c>
      <c r="J1275" s="385">
        <v>6133.12</v>
      </c>
      <c r="L1275" s="385">
        <v>5.92</v>
      </c>
      <c r="M1275" s="385">
        <v>5.92</v>
      </c>
      <c r="N1275" s="386"/>
      <c r="O1275" s="387">
        <v>0.2</v>
      </c>
      <c r="P1275" s="387"/>
      <c r="Q1275" s="386">
        <v>0</v>
      </c>
      <c r="R1275" s="379" t="s">
        <v>128</v>
      </c>
      <c r="S1275" s="388" t="s">
        <v>41</v>
      </c>
      <c r="T1275" s="388">
        <v>86</v>
      </c>
      <c r="U1275" s="389" t="s">
        <v>164</v>
      </c>
      <c r="V1275" s="433"/>
      <c r="X1275" s="386">
        <v>0</v>
      </c>
      <c r="Y1275" s="386"/>
      <c r="AJ1275" s="390">
        <v>0</v>
      </c>
      <c r="AK1275" s="394"/>
      <c r="AL1275" s="394"/>
      <c r="AM1275" s="394"/>
      <c r="AN1275" s="394"/>
      <c r="AO1275" s="394"/>
      <c r="AP1275" s="394"/>
      <c r="AQ1275" s="394"/>
      <c r="AR1275" s="394"/>
      <c r="AS1275" s="394"/>
      <c r="AT1275" s="394"/>
      <c r="AU1275" s="394"/>
      <c r="AV1275" s="394"/>
      <c r="AW1275" s="394"/>
      <c r="AX1275" s="394"/>
      <c r="AY1275" s="394"/>
      <c r="AZ1275" s="394"/>
      <c r="BA1275" s="394"/>
      <c r="BB1275" s="394"/>
      <c r="BC1275" s="394"/>
      <c r="BD1275" s="394"/>
      <c r="BE1275" s="394"/>
      <c r="BF1275" s="394"/>
      <c r="BG1275" s="394"/>
      <c r="BH1275" s="394"/>
      <c r="BI1275" s="394"/>
      <c r="BJ1275" s="394"/>
      <c r="BK1275" s="394"/>
      <c r="BL1275" s="394"/>
      <c r="BM1275" s="394"/>
      <c r="BN1275" s="394"/>
      <c r="BO1275" s="394"/>
      <c r="BP1275" s="394"/>
      <c r="BQ1275" s="394"/>
      <c r="BR1275" s="394"/>
      <c r="BS1275" s="394"/>
      <c r="BT1275" s="394"/>
      <c r="BU1275" s="394"/>
      <c r="BV1275" s="394"/>
      <c r="BW1275" s="394"/>
      <c r="BX1275" s="394"/>
      <c r="BY1275" s="394"/>
    </row>
    <row r="1276" spans="2:77" s="379" customFormat="1" ht="12" customHeight="1">
      <c r="B1276" s="380" t="s">
        <v>291</v>
      </c>
      <c r="C1276" s="381"/>
      <c r="D1276" s="381"/>
      <c r="E1276" s="382" t="s">
        <v>1139</v>
      </c>
      <c r="F1276" s="379" t="s">
        <v>1140</v>
      </c>
      <c r="G1276" s="383">
        <v>4421</v>
      </c>
      <c r="H1276" s="379" t="s">
        <v>910</v>
      </c>
      <c r="I1276" s="379" t="s">
        <v>33</v>
      </c>
      <c r="J1276" s="385">
        <v>48885.26</v>
      </c>
      <c r="L1276" s="385">
        <v>29.14</v>
      </c>
      <c r="M1276" s="385">
        <v>29.14</v>
      </c>
      <c r="N1276" s="386"/>
      <c r="O1276" s="387">
        <v>0.2</v>
      </c>
      <c r="P1276" s="387"/>
      <c r="Q1276" s="386">
        <v>0</v>
      </c>
      <c r="R1276" s="379" t="s">
        <v>128</v>
      </c>
      <c r="S1276" s="388" t="s">
        <v>41</v>
      </c>
      <c r="T1276" s="388">
        <v>86</v>
      </c>
      <c r="U1276" s="389" t="s">
        <v>164</v>
      </c>
      <c r="V1276" s="433"/>
      <c r="X1276" s="386">
        <v>0</v>
      </c>
      <c r="Y1276" s="386"/>
      <c r="AJ1276" s="390">
        <v>0</v>
      </c>
      <c r="AK1276" s="394"/>
      <c r="AL1276" s="394"/>
      <c r="AM1276" s="394"/>
      <c r="AN1276" s="394"/>
      <c r="AO1276" s="394"/>
      <c r="AP1276" s="394"/>
      <c r="AQ1276" s="394"/>
      <c r="AR1276" s="394"/>
      <c r="AS1276" s="394"/>
      <c r="AT1276" s="394"/>
      <c r="AU1276" s="394"/>
      <c r="AV1276" s="394"/>
      <c r="AW1276" s="394"/>
      <c r="AX1276" s="394"/>
      <c r="AY1276" s="394"/>
      <c r="AZ1276" s="394"/>
      <c r="BA1276" s="394"/>
      <c r="BB1276" s="394"/>
      <c r="BC1276" s="394"/>
      <c r="BD1276" s="394"/>
      <c r="BE1276" s="394"/>
      <c r="BF1276" s="394"/>
      <c r="BG1276" s="394"/>
      <c r="BH1276" s="394"/>
      <c r="BI1276" s="394"/>
      <c r="BJ1276" s="394"/>
      <c r="BK1276" s="394"/>
      <c r="BL1276" s="394"/>
      <c r="BM1276" s="394"/>
      <c r="BN1276" s="394"/>
      <c r="BO1276" s="394"/>
      <c r="BP1276" s="394"/>
      <c r="BQ1276" s="394"/>
      <c r="BR1276" s="394"/>
      <c r="BS1276" s="394"/>
      <c r="BT1276" s="394"/>
      <c r="BU1276" s="394"/>
      <c r="BV1276" s="394"/>
      <c r="BW1276" s="394"/>
      <c r="BX1276" s="394"/>
      <c r="BY1276" s="394"/>
    </row>
    <row r="1277" spans="2:77" s="379" customFormat="1" ht="12" customHeight="1">
      <c r="B1277" s="380" t="s">
        <v>291</v>
      </c>
      <c r="C1277" s="381"/>
      <c r="D1277" s="381"/>
      <c r="E1277" s="382" t="s">
        <v>1139</v>
      </c>
      <c r="F1277" s="379" t="s">
        <v>1140</v>
      </c>
      <c r="G1277" s="383">
        <v>4421</v>
      </c>
      <c r="H1277" s="379" t="s">
        <v>1141</v>
      </c>
      <c r="I1277" s="379" t="s">
        <v>33</v>
      </c>
      <c r="J1277" s="385">
        <v>12556.97</v>
      </c>
      <c r="L1277" s="385">
        <v>15.17</v>
      </c>
      <c r="M1277" s="385">
        <v>15.17</v>
      </c>
      <c r="N1277" s="386"/>
      <c r="O1277" s="387">
        <v>0.2</v>
      </c>
      <c r="P1277" s="387"/>
      <c r="Q1277" s="386">
        <v>0</v>
      </c>
      <c r="R1277" s="379" t="s">
        <v>128</v>
      </c>
      <c r="S1277" s="388" t="s">
        <v>41</v>
      </c>
      <c r="T1277" s="388">
        <v>86</v>
      </c>
      <c r="U1277" s="389" t="s">
        <v>164</v>
      </c>
      <c r="V1277" s="433"/>
      <c r="X1277" s="386">
        <v>0</v>
      </c>
      <c r="Y1277" s="386"/>
      <c r="AJ1277" s="390">
        <v>0</v>
      </c>
      <c r="AK1277" s="394"/>
      <c r="AL1277" s="394"/>
      <c r="AM1277" s="394"/>
      <c r="AN1277" s="394"/>
      <c r="AO1277" s="394"/>
      <c r="AP1277" s="394"/>
      <c r="AQ1277" s="394"/>
      <c r="AR1277" s="394"/>
      <c r="AS1277" s="394"/>
      <c r="AT1277" s="394"/>
      <c r="AU1277" s="394"/>
      <c r="AV1277" s="394"/>
      <c r="AW1277" s="394"/>
      <c r="AX1277" s="394"/>
      <c r="AY1277" s="394"/>
      <c r="AZ1277" s="394"/>
      <c r="BA1277" s="394"/>
      <c r="BB1277" s="394"/>
      <c r="BC1277" s="394"/>
      <c r="BD1277" s="394"/>
      <c r="BE1277" s="394"/>
      <c r="BF1277" s="394"/>
      <c r="BG1277" s="394"/>
      <c r="BH1277" s="394"/>
      <c r="BI1277" s="394"/>
      <c r="BJ1277" s="394"/>
      <c r="BK1277" s="394"/>
      <c r="BL1277" s="394"/>
      <c r="BM1277" s="394"/>
      <c r="BN1277" s="394"/>
      <c r="BO1277" s="394"/>
      <c r="BP1277" s="394"/>
      <c r="BQ1277" s="394"/>
      <c r="BR1277" s="394"/>
      <c r="BS1277" s="394"/>
      <c r="BT1277" s="394"/>
      <c r="BU1277" s="394"/>
      <c r="BV1277" s="394"/>
      <c r="BW1277" s="394"/>
      <c r="BX1277" s="394"/>
      <c r="BY1277" s="394"/>
    </row>
    <row r="1278" spans="2:77" s="205" customFormat="1" ht="12" customHeight="1">
      <c r="B1278" s="206" t="s">
        <v>291</v>
      </c>
      <c r="C1278" s="207">
        <v>44697</v>
      </c>
      <c r="D1278" s="207">
        <v>44696</v>
      </c>
      <c r="E1278" s="208" t="s">
        <v>1142</v>
      </c>
      <c r="F1278" s="205" t="s">
        <v>527</v>
      </c>
      <c r="G1278" s="209" t="s">
        <v>249</v>
      </c>
      <c r="H1278" s="205" t="s">
        <v>250</v>
      </c>
      <c r="I1278" s="205" t="s">
        <v>888</v>
      </c>
      <c r="J1278" s="210">
        <v>4340.7</v>
      </c>
      <c r="L1278" s="210">
        <v>13</v>
      </c>
      <c r="M1278" s="210">
        <v>13</v>
      </c>
      <c r="N1278" s="213"/>
      <c r="O1278" s="212">
        <v>0.15</v>
      </c>
      <c r="P1278" s="212"/>
      <c r="Q1278" s="213">
        <v>1314.5</v>
      </c>
      <c r="R1278" s="205" t="s">
        <v>251</v>
      </c>
      <c r="S1278" s="214" t="s">
        <v>74</v>
      </c>
      <c r="T1278" s="214">
        <v>32</v>
      </c>
      <c r="U1278" s="215" t="s">
        <v>164</v>
      </c>
      <c r="V1278" s="438"/>
      <c r="X1278" s="213">
        <v>1314.5</v>
      </c>
      <c r="Y1278" s="213"/>
      <c r="AF1278" s="230">
        <f>X1278</f>
        <v>1314.5</v>
      </c>
      <c r="AJ1278" s="216"/>
      <c r="AK1278" s="218"/>
      <c r="AL1278" s="218"/>
      <c r="AM1278" s="218"/>
      <c r="AN1278" s="218"/>
      <c r="AO1278" s="218"/>
      <c r="AP1278" s="218"/>
      <c r="AQ1278" s="218"/>
      <c r="AR1278" s="218"/>
      <c r="AS1278" s="218"/>
      <c r="AT1278" s="218"/>
      <c r="AU1278" s="218"/>
      <c r="AV1278" s="218"/>
      <c r="AW1278" s="218"/>
      <c r="AX1278" s="218"/>
      <c r="AY1278" s="218"/>
      <c r="AZ1278" s="218"/>
      <c r="BA1278" s="218"/>
      <c r="BB1278" s="218"/>
      <c r="BC1278" s="218"/>
      <c r="BD1278" s="218"/>
      <c r="BE1278" s="218"/>
      <c r="BF1278" s="218"/>
      <c r="BG1278" s="218"/>
      <c r="BH1278" s="218"/>
      <c r="BI1278" s="218"/>
      <c r="BJ1278" s="218"/>
      <c r="BK1278" s="218"/>
      <c r="BL1278" s="218"/>
      <c r="BM1278" s="218"/>
      <c r="BN1278" s="218"/>
      <c r="BO1278" s="218"/>
      <c r="BP1278" s="218"/>
      <c r="BQ1278" s="218"/>
      <c r="BR1278" s="218"/>
      <c r="BS1278" s="218"/>
      <c r="BT1278" s="218"/>
      <c r="BU1278" s="218"/>
      <c r="BV1278" s="218"/>
      <c r="BW1278" s="218"/>
      <c r="BX1278" s="218"/>
      <c r="BY1278" s="218"/>
    </row>
    <row r="1279" spans="2:77" s="205" customFormat="1" ht="12" customHeight="1">
      <c r="B1279" s="206" t="s">
        <v>291</v>
      </c>
      <c r="C1279" s="207">
        <v>44698</v>
      </c>
      <c r="D1279" s="207">
        <v>44699</v>
      </c>
      <c r="E1279" s="208" t="s">
        <v>1143</v>
      </c>
      <c r="F1279" s="205" t="s">
        <v>537</v>
      </c>
      <c r="G1279" s="209">
        <v>4611</v>
      </c>
      <c r="H1279" s="205" t="s">
        <v>99</v>
      </c>
      <c r="I1279" s="205" t="s">
        <v>33</v>
      </c>
      <c r="J1279" s="210">
        <v>10297.58</v>
      </c>
      <c r="L1279" s="210">
        <v>17.73</v>
      </c>
      <c r="M1279" s="210">
        <v>17.73</v>
      </c>
      <c r="N1279" s="213"/>
      <c r="O1279" s="212">
        <v>0.25</v>
      </c>
      <c r="P1279" s="212"/>
      <c r="Q1279" s="213">
        <v>0</v>
      </c>
      <c r="R1279" s="205" t="s">
        <v>42</v>
      </c>
      <c r="S1279" s="214" t="s">
        <v>41</v>
      </c>
      <c r="T1279" s="214">
        <v>16</v>
      </c>
      <c r="U1279" s="215" t="s">
        <v>164</v>
      </c>
      <c r="V1279" s="438"/>
      <c r="W1279" s="205" t="s">
        <v>2836</v>
      </c>
      <c r="X1279" s="213">
        <v>0</v>
      </c>
      <c r="Y1279" s="213"/>
      <c r="AF1279" s="230">
        <f>X1279</f>
        <v>0</v>
      </c>
      <c r="AJ1279" s="216"/>
      <c r="AK1279" s="218"/>
      <c r="AL1279" s="218"/>
      <c r="AM1279" s="218"/>
      <c r="AN1279" s="218"/>
      <c r="AO1279" s="218"/>
      <c r="AP1279" s="218"/>
      <c r="AQ1279" s="218"/>
      <c r="AR1279" s="218"/>
      <c r="AS1279" s="218"/>
      <c r="AT1279" s="218"/>
      <c r="AU1279" s="218"/>
      <c r="AV1279" s="218"/>
      <c r="AW1279" s="218"/>
      <c r="AX1279" s="218"/>
      <c r="AY1279" s="218"/>
      <c r="AZ1279" s="218"/>
      <c r="BA1279" s="218"/>
      <c r="BB1279" s="218"/>
      <c r="BC1279" s="218"/>
      <c r="BD1279" s="218"/>
      <c r="BE1279" s="218"/>
      <c r="BF1279" s="218"/>
      <c r="BG1279" s="218"/>
      <c r="BH1279" s="218"/>
      <c r="BI1279" s="218"/>
      <c r="BJ1279" s="218"/>
      <c r="BK1279" s="218"/>
      <c r="BL1279" s="218"/>
      <c r="BM1279" s="218"/>
      <c r="BN1279" s="218"/>
      <c r="BO1279" s="218"/>
      <c r="BP1279" s="218"/>
      <c r="BQ1279" s="218"/>
      <c r="BR1279" s="218"/>
      <c r="BS1279" s="218"/>
      <c r="BT1279" s="218"/>
      <c r="BU1279" s="218"/>
      <c r="BV1279" s="218"/>
      <c r="BW1279" s="218"/>
      <c r="BX1279" s="218"/>
      <c r="BY1279" s="218"/>
    </row>
    <row r="1280" spans="2:77" s="236" customFormat="1" ht="12" customHeight="1">
      <c r="B1280" s="246" t="s">
        <v>291</v>
      </c>
      <c r="C1280" s="237"/>
      <c r="D1280" s="237"/>
      <c r="E1280" s="238" t="s">
        <v>1143</v>
      </c>
      <c r="F1280" s="236" t="s">
        <v>537</v>
      </c>
      <c r="G1280" s="239">
        <v>4611</v>
      </c>
      <c r="H1280" s="236" t="s">
        <v>140</v>
      </c>
      <c r="I1280" s="236" t="s">
        <v>33</v>
      </c>
      <c r="J1280" s="240">
        <v>3235.68</v>
      </c>
      <c r="L1280" s="240">
        <v>3.36</v>
      </c>
      <c r="M1280" s="240">
        <v>3.36</v>
      </c>
      <c r="N1280" s="242">
        <v>483.90750000000003</v>
      </c>
      <c r="O1280" s="243">
        <v>0.25</v>
      </c>
      <c r="P1280" s="243"/>
      <c r="Q1280" s="242">
        <v>0</v>
      </c>
      <c r="R1280" s="236" t="s">
        <v>42</v>
      </c>
      <c r="S1280" s="244" t="s">
        <v>41</v>
      </c>
      <c r="T1280" s="244">
        <v>16</v>
      </c>
      <c r="U1280" s="245" t="s">
        <v>164</v>
      </c>
      <c r="V1280" s="446"/>
      <c r="X1280" s="242">
        <v>0</v>
      </c>
      <c r="Y1280" s="242"/>
      <c r="AF1280" s="236">
        <f>X1280</f>
        <v>0</v>
      </c>
      <c r="AG1280" s="236">
        <f>X1280</f>
        <v>0</v>
      </c>
      <c r="AJ1280" s="640"/>
      <c r="AK1280" s="250"/>
      <c r="AL1280" s="250"/>
      <c r="AM1280" s="250"/>
      <c r="AN1280" s="250"/>
      <c r="AO1280" s="250"/>
      <c r="AP1280" s="250"/>
      <c r="AQ1280" s="250"/>
      <c r="AR1280" s="250"/>
      <c r="AS1280" s="250"/>
      <c r="AT1280" s="250"/>
      <c r="AU1280" s="250"/>
      <c r="AV1280" s="250"/>
      <c r="AW1280" s="250"/>
      <c r="AX1280" s="250"/>
      <c r="AY1280" s="250"/>
      <c r="AZ1280" s="250"/>
      <c r="BA1280" s="250"/>
      <c r="BB1280" s="250"/>
      <c r="BC1280" s="250"/>
      <c r="BD1280" s="250"/>
      <c r="BE1280" s="250"/>
      <c r="BF1280" s="250"/>
      <c r="BG1280" s="250"/>
      <c r="BH1280" s="250"/>
      <c r="BI1280" s="250"/>
      <c r="BJ1280" s="250"/>
      <c r="BK1280" s="250"/>
      <c r="BL1280" s="250"/>
      <c r="BM1280" s="250"/>
      <c r="BN1280" s="250"/>
      <c r="BO1280" s="250"/>
      <c r="BP1280" s="250"/>
      <c r="BQ1280" s="250"/>
      <c r="BR1280" s="250"/>
      <c r="BS1280" s="250"/>
      <c r="BT1280" s="250"/>
      <c r="BU1280" s="250"/>
      <c r="BV1280" s="250"/>
      <c r="BW1280" s="250"/>
      <c r="BX1280" s="250"/>
      <c r="BY1280" s="250"/>
    </row>
    <row r="1281" spans="1:77" s="236" customFormat="1" ht="12" customHeight="1">
      <c r="B1281" s="246" t="s">
        <v>291</v>
      </c>
      <c r="C1281" s="237"/>
      <c r="D1281" s="237"/>
      <c r="E1281" s="238" t="s">
        <v>1143</v>
      </c>
      <c r="F1281" s="236" t="s">
        <v>537</v>
      </c>
      <c r="G1281" s="239">
        <v>4611</v>
      </c>
      <c r="H1281" s="236" t="s">
        <v>137</v>
      </c>
      <c r="I1281" s="236" t="s">
        <v>33</v>
      </c>
      <c r="J1281" s="240">
        <v>10969.11</v>
      </c>
      <c r="L1281" s="240">
        <v>14.98</v>
      </c>
      <c r="M1281" s="240">
        <v>14.98</v>
      </c>
      <c r="N1281" s="242">
        <v>2108.88</v>
      </c>
      <c r="O1281" s="243">
        <v>0.25</v>
      </c>
      <c r="P1281" s="243"/>
      <c r="Q1281" s="242">
        <v>0</v>
      </c>
      <c r="R1281" s="236" t="s">
        <v>42</v>
      </c>
      <c r="S1281" s="244" t="s">
        <v>41</v>
      </c>
      <c r="T1281" s="244">
        <v>16</v>
      </c>
      <c r="U1281" s="245" t="s">
        <v>164</v>
      </c>
      <c r="V1281" s="446"/>
      <c r="X1281" s="242">
        <v>0</v>
      </c>
      <c r="Y1281" s="242"/>
      <c r="AF1281" s="236">
        <f>X1281</f>
        <v>0</v>
      </c>
      <c r="AG1281" s="236">
        <f>X1281</f>
        <v>0</v>
      </c>
      <c r="AJ1281" s="640"/>
      <c r="AK1281" s="250"/>
      <c r="AL1281" s="250"/>
      <c r="AM1281" s="250"/>
      <c r="AN1281" s="250"/>
      <c r="AO1281" s="250"/>
      <c r="AP1281" s="250"/>
      <c r="AQ1281" s="250"/>
      <c r="AR1281" s="250"/>
      <c r="AS1281" s="250"/>
      <c r="AT1281" s="250"/>
      <c r="AU1281" s="250"/>
      <c r="AV1281" s="250"/>
      <c r="AW1281" s="250"/>
      <c r="AX1281" s="250"/>
      <c r="AY1281" s="250"/>
      <c r="AZ1281" s="250"/>
      <c r="BA1281" s="250"/>
      <c r="BB1281" s="250"/>
      <c r="BC1281" s="250"/>
      <c r="BD1281" s="250"/>
      <c r="BE1281" s="250"/>
      <c r="BF1281" s="250"/>
      <c r="BG1281" s="250"/>
      <c r="BH1281" s="250"/>
      <c r="BI1281" s="250"/>
      <c r="BJ1281" s="250"/>
      <c r="BK1281" s="250"/>
      <c r="BL1281" s="250"/>
      <c r="BM1281" s="250"/>
      <c r="BN1281" s="250"/>
      <c r="BO1281" s="250"/>
      <c r="BP1281" s="250"/>
      <c r="BQ1281" s="250"/>
      <c r="BR1281" s="250"/>
      <c r="BS1281" s="250"/>
      <c r="BT1281" s="250"/>
      <c r="BU1281" s="250"/>
      <c r="BV1281" s="250"/>
      <c r="BW1281" s="250"/>
      <c r="BX1281" s="250"/>
      <c r="BY1281" s="250"/>
    </row>
    <row r="1282" spans="1:77" s="205" customFormat="1" ht="12" customHeight="1">
      <c r="A1282" s="291"/>
      <c r="B1282" s="310" t="s">
        <v>291</v>
      </c>
      <c r="C1282" s="292"/>
      <c r="D1282" s="292"/>
      <c r="E1282" s="293" t="s">
        <v>1144</v>
      </c>
      <c r="F1282" s="291" t="s">
        <v>1145</v>
      </c>
      <c r="G1282" s="294">
        <v>3884</v>
      </c>
      <c r="H1282" s="291" t="s">
        <v>310</v>
      </c>
      <c r="I1282" s="291" t="s">
        <v>33</v>
      </c>
      <c r="J1282" s="296">
        <v>2617.02</v>
      </c>
      <c r="K1282" s="291"/>
      <c r="L1282" s="296">
        <v>6.03</v>
      </c>
      <c r="M1282" s="296">
        <v>6.03</v>
      </c>
      <c r="N1282" s="297">
        <v>327.38</v>
      </c>
      <c r="O1282" s="298">
        <v>0.15</v>
      </c>
      <c r="P1282" s="298"/>
      <c r="Q1282" s="297">
        <v>0</v>
      </c>
      <c r="R1282" s="291" t="s">
        <v>142</v>
      </c>
      <c r="S1282" s="299" t="s">
        <v>2866</v>
      </c>
      <c r="T1282" s="299">
        <v>24</v>
      </c>
      <c r="U1282" s="300" t="s">
        <v>164</v>
      </c>
      <c r="V1282" s="333"/>
      <c r="W1282" s="291"/>
      <c r="X1282" s="297">
        <v>0</v>
      </c>
      <c r="Y1282" s="297"/>
      <c r="Z1282" s="291"/>
      <c r="AA1282" s="291"/>
      <c r="AB1282" s="291"/>
      <c r="AC1282" s="291"/>
      <c r="AD1282" s="291"/>
      <c r="AE1282" s="291"/>
      <c r="AF1282" s="291"/>
      <c r="AG1282" s="291"/>
      <c r="AH1282" s="291">
        <f>X1282</f>
        <v>0</v>
      </c>
      <c r="AI1282" s="311"/>
      <c r="AJ1282" s="468"/>
      <c r="AK1282" s="303"/>
      <c r="AL1282" s="303"/>
      <c r="AM1282" s="303"/>
      <c r="AN1282" s="303"/>
      <c r="AO1282" s="303"/>
      <c r="AP1282" s="303"/>
      <c r="AQ1282" s="303"/>
      <c r="AR1282" s="303"/>
      <c r="AS1282" s="303"/>
      <c r="AT1282" s="303"/>
      <c r="AU1282" s="303"/>
      <c r="AV1282" s="303"/>
      <c r="AW1282" s="303"/>
      <c r="AX1282" s="303"/>
      <c r="AY1282" s="303"/>
      <c r="AZ1282" s="303"/>
      <c r="BA1282" s="303"/>
      <c r="BB1282" s="303"/>
      <c r="BC1282" s="303"/>
      <c r="BD1282" s="303"/>
      <c r="BE1282" s="303"/>
      <c r="BF1282" s="303"/>
      <c r="BG1282" s="303"/>
      <c r="BH1282" s="303"/>
      <c r="BI1282" s="303"/>
      <c r="BJ1282" s="303"/>
      <c r="BK1282" s="303"/>
      <c r="BL1282" s="303"/>
      <c r="BM1282" s="303"/>
      <c r="BN1282" s="303"/>
      <c r="BO1282" s="303"/>
      <c r="BP1282" s="303"/>
      <c r="BQ1282" s="303"/>
      <c r="BR1282" s="303"/>
      <c r="BS1282" s="303"/>
      <c r="BT1282" s="303"/>
      <c r="BU1282" s="303"/>
      <c r="BV1282" s="303"/>
      <c r="BW1282" s="303"/>
      <c r="BX1282" s="303"/>
      <c r="BY1282" s="303"/>
    </row>
    <row r="1283" spans="1:77" s="205" customFormat="1" ht="12" customHeight="1">
      <c r="B1283" s="206" t="s">
        <v>291</v>
      </c>
      <c r="C1283" s="207">
        <v>44699</v>
      </c>
      <c r="D1283" s="207">
        <v>44699</v>
      </c>
      <c r="E1283" s="208" t="s">
        <v>1144</v>
      </c>
      <c r="F1283" s="205" t="s">
        <v>1145</v>
      </c>
      <c r="G1283" s="209">
        <v>3884</v>
      </c>
      <c r="H1283" s="205" t="s">
        <v>99</v>
      </c>
      <c r="I1283" s="205" t="s">
        <v>33</v>
      </c>
      <c r="J1283" s="210">
        <v>71118.240000000005</v>
      </c>
      <c r="L1283" s="210">
        <v>51.76</v>
      </c>
      <c r="M1283" s="210">
        <v>51.76</v>
      </c>
      <c r="N1283" s="213"/>
      <c r="O1283" s="212">
        <v>0.15</v>
      </c>
      <c r="P1283" s="212"/>
      <c r="Q1283" s="213">
        <v>0</v>
      </c>
      <c r="R1283" s="205" t="s">
        <v>142</v>
      </c>
      <c r="S1283" s="214" t="s">
        <v>2866</v>
      </c>
      <c r="T1283" s="214">
        <v>24</v>
      </c>
      <c r="U1283" s="215" t="s">
        <v>164</v>
      </c>
      <c r="V1283" s="438"/>
      <c r="W1283" s="205" t="s">
        <v>2783</v>
      </c>
      <c r="X1283" s="213">
        <v>0</v>
      </c>
      <c r="Y1283" s="213"/>
      <c r="AF1283" s="230">
        <f>X1283</f>
        <v>0</v>
      </c>
      <c r="AJ1283" s="216"/>
      <c r="AK1283" s="218"/>
      <c r="AL1283" s="218"/>
      <c r="AM1283" s="218"/>
      <c r="AN1283" s="218"/>
      <c r="AO1283" s="218"/>
      <c r="AP1283" s="218"/>
      <c r="AQ1283" s="218"/>
      <c r="AR1283" s="218"/>
      <c r="AS1283" s="218"/>
      <c r="AT1283" s="218"/>
      <c r="AU1283" s="218"/>
      <c r="AV1283" s="218"/>
      <c r="AW1283" s="218"/>
      <c r="AX1283" s="218"/>
      <c r="AY1283" s="218"/>
      <c r="AZ1283" s="218"/>
      <c r="BA1283" s="218"/>
      <c r="BB1283" s="218"/>
      <c r="BC1283" s="218"/>
      <c r="BD1283" s="218"/>
      <c r="BE1283" s="218"/>
      <c r="BF1283" s="218"/>
      <c r="BG1283" s="218"/>
      <c r="BH1283" s="218"/>
      <c r="BI1283" s="218"/>
      <c r="BJ1283" s="218"/>
      <c r="BK1283" s="218"/>
      <c r="BL1283" s="218"/>
      <c r="BM1283" s="218"/>
      <c r="BN1283" s="218"/>
      <c r="BO1283" s="218"/>
      <c r="BP1283" s="218"/>
      <c r="BQ1283" s="218"/>
      <c r="BR1283" s="218"/>
      <c r="BS1283" s="218"/>
      <c r="BT1283" s="218"/>
      <c r="BU1283" s="218"/>
      <c r="BV1283" s="218"/>
      <c r="BW1283" s="218"/>
      <c r="BX1283" s="218"/>
      <c r="BY1283" s="218"/>
    </row>
    <row r="1284" spans="1:77" s="205" customFormat="1" ht="12" customHeight="1">
      <c r="B1284" s="206" t="s">
        <v>291</v>
      </c>
      <c r="C1284" s="207"/>
      <c r="D1284" s="207"/>
      <c r="E1284" s="208" t="s">
        <v>1144</v>
      </c>
      <c r="F1284" s="205" t="s">
        <v>1145</v>
      </c>
      <c r="G1284" s="209">
        <v>3884</v>
      </c>
      <c r="H1284" s="205" t="s">
        <v>27</v>
      </c>
      <c r="I1284" s="205" t="s">
        <v>33</v>
      </c>
      <c r="J1284" s="210">
        <v>35626.5</v>
      </c>
      <c r="L1284" s="210">
        <v>21</v>
      </c>
      <c r="M1284" s="210">
        <v>21</v>
      </c>
      <c r="N1284" s="213"/>
      <c r="O1284" s="212">
        <v>0.15</v>
      </c>
      <c r="P1284" s="212"/>
      <c r="Q1284" s="213">
        <v>0</v>
      </c>
      <c r="R1284" s="205" t="s">
        <v>142</v>
      </c>
      <c r="S1284" s="214" t="s">
        <v>2866</v>
      </c>
      <c r="T1284" s="214">
        <v>24</v>
      </c>
      <c r="U1284" s="215" t="s">
        <v>164</v>
      </c>
      <c r="V1284" s="438"/>
      <c r="W1284" s="205" t="s">
        <v>2783</v>
      </c>
      <c r="X1284" s="213">
        <v>0</v>
      </c>
      <c r="Y1284" s="213"/>
      <c r="AF1284" s="230">
        <f>X1284</f>
        <v>0</v>
      </c>
      <c r="AJ1284" s="216"/>
      <c r="AK1284" s="218"/>
      <c r="AL1284" s="218"/>
      <c r="AM1284" s="218"/>
      <c r="AN1284" s="218"/>
      <c r="AO1284" s="218"/>
      <c r="AP1284" s="218"/>
      <c r="AQ1284" s="218"/>
      <c r="AR1284" s="218"/>
      <c r="AS1284" s="218"/>
      <c r="AT1284" s="218"/>
      <c r="AU1284" s="218"/>
      <c r="AV1284" s="218"/>
      <c r="AW1284" s="218"/>
      <c r="AX1284" s="218"/>
      <c r="AY1284" s="218"/>
      <c r="AZ1284" s="218"/>
      <c r="BA1284" s="218"/>
      <c r="BB1284" s="218"/>
      <c r="BC1284" s="218"/>
      <c r="BD1284" s="218"/>
      <c r="BE1284" s="218"/>
      <c r="BF1284" s="218"/>
      <c r="BG1284" s="218"/>
      <c r="BH1284" s="218"/>
      <c r="BI1284" s="218"/>
      <c r="BJ1284" s="218"/>
      <c r="BK1284" s="218"/>
      <c r="BL1284" s="218"/>
      <c r="BM1284" s="218"/>
      <c r="BN1284" s="218"/>
      <c r="BO1284" s="218"/>
      <c r="BP1284" s="218"/>
      <c r="BQ1284" s="218"/>
      <c r="BR1284" s="218"/>
      <c r="BS1284" s="218"/>
      <c r="BT1284" s="218"/>
      <c r="BU1284" s="218"/>
      <c r="BV1284" s="218"/>
      <c r="BW1284" s="218"/>
      <c r="BX1284" s="218"/>
      <c r="BY1284" s="218"/>
    </row>
    <row r="1285" spans="1:77" s="205" customFormat="1" ht="12" customHeight="1">
      <c r="B1285" s="206" t="s">
        <v>291</v>
      </c>
      <c r="C1285" s="207"/>
      <c r="D1285" s="207"/>
      <c r="E1285" s="208" t="s">
        <v>1144</v>
      </c>
      <c r="F1285" s="205" t="s">
        <v>1145</v>
      </c>
      <c r="G1285" s="209">
        <v>3884</v>
      </c>
      <c r="H1285" s="205" t="s">
        <v>163</v>
      </c>
      <c r="I1285" s="205" t="s">
        <v>33</v>
      </c>
      <c r="J1285" s="210">
        <v>7747.95</v>
      </c>
      <c r="L1285" s="210">
        <v>9.41</v>
      </c>
      <c r="M1285" s="210">
        <v>9.42</v>
      </c>
      <c r="N1285" s="213"/>
      <c r="O1285" s="212">
        <v>0.15</v>
      </c>
      <c r="P1285" s="212"/>
      <c r="Q1285" s="213">
        <v>0</v>
      </c>
      <c r="R1285" s="205" t="s">
        <v>142</v>
      </c>
      <c r="S1285" s="214" t="s">
        <v>2866</v>
      </c>
      <c r="T1285" s="214">
        <v>24</v>
      </c>
      <c r="U1285" s="215" t="s">
        <v>164</v>
      </c>
      <c r="V1285" s="438"/>
      <c r="W1285" s="205" t="s">
        <v>2783</v>
      </c>
      <c r="X1285" s="213">
        <v>0</v>
      </c>
      <c r="Y1285" s="213"/>
      <c r="AF1285" s="230">
        <f>X1285</f>
        <v>0</v>
      </c>
      <c r="AJ1285" s="216"/>
      <c r="AK1285" s="218"/>
      <c r="AL1285" s="218"/>
      <c r="AM1285" s="218"/>
      <c r="AN1285" s="218"/>
      <c r="AO1285" s="218"/>
      <c r="AP1285" s="218"/>
      <c r="AQ1285" s="218"/>
      <c r="AR1285" s="218"/>
      <c r="AS1285" s="218"/>
      <c r="AT1285" s="218"/>
      <c r="AU1285" s="218"/>
      <c r="AV1285" s="218"/>
      <c r="AW1285" s="218"/>
      <c r="AX1285" s="218"/>
      <c r="AY1285" s="218"/>
      <c r="AZ1285" s="218"/>
      <c r="BA1285" s="218"/>
      <c r="BB1285" s="218"/>
      <c r="BC1285" s="218"/>
      <c r="BD1285" s="218"/>
      <c r="BE1285" s="218"/>
      <c r="BF1285" s="218"/>
      <c r="BG1285" s="218"/>
      <c r="BH1285" s="218"/>
      <c r="BI1285" s="218"/>
      <c r="BJ1285" s="218"/>
      <c r="BK1285" s="218"/>
      <c r="BL1285" s="218"/>
      <c r="BM1285" s="218"/>
      <c r="BN1285" s="218"/>
      <c r="BO1285" s="218"/>
      <c r="BP1285" s="218"/>
      <c r="BQ1285" s="218"/>
      <c r="BR1285" s="218"/>
      <c r="BS1285" s="218"/>
      <c r="BT1285" s="218"/>
      <c r="BU1285" s="218"/>
      <c r="BV1285" s="218"/>
      <c r="BW1285" s="218"/>
      <c r="BX1285" s="218"/>
      <c r="BY1285" s="218"/>
    </row>
    <row r="1286" spans="1:77" s="205" customFormat="1" ht="12" customHeight="1">
      <c r="B1286" s="206" t="s">
        <v>291</v>
      </c>
      <c r="C1286" s="207"/>
      <c r="D1286" s="207"/>
      <c r="E1286" s="208" t="s">
        <v>1144</v>
      </c>
      <c r="F1286" s="205" t="s">
        <v>1145</v>
      </c>
      <c r="G1286" s="209">
        <v>3884</v>
      </c>
      <c r="H1286" s="205" t="s">
        <v>433</v>
      </c>
      <c r="I1286" s="205" t="s">
        <v>33</v>
      </c>
      <c r="J1286" s="210">
        <v>13505.45</v>
      </c>
      <c r="L1286" s="210">
        <v>16.420000000000002</v>
      </c>
      <c r="M1286" s="210">
        <v>16.420000000000002</v>
      </c>
      <c r="N1286" s="213"/>
      <c r="O1286" s="212">
        <v>0.15</v>
      </c>
      <c r="P1286" s="212"/>
      <c r="Q1286" s="213">
        <v>0</v>
      </c>
      <c r="R1286" s="205" t="s">
        <v>142</v>
      </c>
      <c r="S1286" s="214" t="s">
        <v>2866</v>
      </c>
      <c r="T1286" s="214">
        <v>24</v>
      </c>
      <c r="U1286" s="215" t="s">
        <v>164</v>
      </c>
      <c r="V1286" s="438"/>
      <c r="W1286" s="205" t="s">
        <v>2783</v>
      </c>
      <c r="X1286" s="213">
        <v>0</v>
      </c>
      <c r="Y1286" s="213"/>
      <c r="AF1286" s="230">
        <f>X1286</f>
        <v>0</v>
      </c>
      <c r="AJ1286" s="216"/>
      <c r="AK1286" s="218"/>
      <c r="AL1286" s="218"/>
      <c r="AM1286" s="218"/>
      <c r="AN1286" s="218"/>
      <c r="AO1286" s="218"/>
      <c r="AP1286" s="218"/>
      <c r="AQ1286" s="218"/>
      <c r="AR1286" s="218"/>
      <c r="AS1286" s="218"/>
      <c r="AT1286" s="218"/>
      <c r="AU1286" s="218"/>
      <c r="AV1286" s="218"/>
      <c r="AW1286" s="218"/>
      <c r="AX1286" s="218"/>
      <c r="AY1286" s="218"/>
      <c r="AZ1286" s="218"/>
      <c r="BA1286" s="218"/>
      <c r="BB1286" s="218"/>
      <c r="BC1286" s="218"/>
      <c r="BD1286" s="218"/>
      <c r="BE1286" s="218"/>
      <c r="BF1286" s="218"/>
      <c r="BG1286" s="218"/>
      <c r="BH1286" s="218"/>
      <c r="BI1286" s="218"/>
      <c r="BJ1286" s="218"/>
      <c r="BK1286" s="218"/>
      <c r="BL1286" s="218"/>
      <c r="BM1286" s="218"/>
      <c r="BN1286" s="218"/>
      <c r="BO1286" s="218"/>
      <c r="BP1286" s="218"/>
      <c r="BQ1286" s="218"/>
      <c r="BR1286" s="218"/>
      <c r="BS1286" s="218"/>
      <c r="BT1286" s="218"/>
      <c r="BU1286" s="218"/>
      <c r="BV1286" s="218"/>
      <c r="BW1286" s="218"/>
      <c r="BX1286" s="218"/>
      <c r="BY1286" s="218"/>
    </row>
    <row r="1287" spans="1:77" s="261" customFormat="1" ht="12" customHeight="1">
      <c r="B1287" s="258" t="s">
        <v>291</v>
      </c>
      <c r="C1287" s="259">
        <v>44698</v>
      </c>
      <c r="D1287" s="259">
        <v>44699</v>
      </c>
      <c r="E1287" s="260" t="s">
        <v>1146</v>
      </c>
      <c r="F1287" s="261" t="s">
        <v>633</v>
      </c>
      <c r="G1287" s="262">
        <v>3597</v>
      </c>
      <c r="H1287" s="261" t="s">
        <v>99</v>
      </c>
      <c r="I1287" s="261" t="s">
        <v>33</v>
      </c>
      <c r="J1287" s="263">
        <v>43031.75</v>
      </c>
      <c r="L1287" s="263">
        <v>34.79</v>
      </c>
      <c r="M1287" s="263">
        <v>34.79</v>
      </c>
      <c r="N1287" s="265"/>
      <c r="O1287" s="266">
        <v>0.25</v>
      </c>
      <c r="P1287" s="266"/>
      <c r="Q1287" s="265">
        <v>2081.4899999999998</v>
      </c>
      <c r="R1287" s="261" t="s">
        <v>42</v>
      </c>
      <c r="S1287" s="267" t="s">
        <v>41</v>
      </c>
      <c r="T1287" s="267">
        <v>17</v>
      </c>
      <c r="U1287" s="268" t="s">
        <v>164</v>
      </c>
      <c r="V1287" s="427"/>
      <c r="X1287" s="265">
        <v>2081.4899999999998</v>
      </c>
      <c r="Y1287" s="265"/>
      <c r="AG1287" s="261">
        <f>X1287</f>
        <v>2081.4899999999998</v>
      </c>
      <c r="AJ1287" s="642"/>
      <c r="AK1287" s="273"/>
      <c r="AL1287" s="273"/>
      <c r="AM1287" s="273"/>
      <c r="AN1287" s="273"/>
      <c r="AO1287" s="273"/>
      <c r="AP1287" s="273"/>
      <c r="AQ1287" s="273"/>
      <c r="AR1287" s="273"/>
      <c r="AS1287" s="273"/>
      <c r="AT1287" s="273"/>
      <c r="AU1287" s="273"/>
      <c r="AV1287" s="273"/>
      <c r="AW1287" s="273"/>
      <c r="AX1287" s="273"/>
      <c r="AY1287" s="273"/>
      <c r="AZ1287" s="273"/>
      <c r="BA1287" s="273"/>
      <c r="BB1287" s="273"/>
      <c r="BC1287" s="273"/>
      <c r="BD1287" s="273"/>
      <c r="BE1287" s="273"/>
      <c r="BF1287" s="273"/>
      <c r="BG1287" s="273"/>
      <c r="BH1287" s="273"/>
      <c r="BI1287" s="273"/>
      <c r="BJ1287" s="273"/>
      <c r="BK1287" s="273"/>
      <c r="BL1287" s="273"/>
      <c r="BM1287" s="273"/>
      <c r="BN1287" s="273"/>
      <c r="BO1287" s="273"/>
      <c r="BP1287" s="273"/>
      <c r="BQ1287" s="273"/>
      <c r="BR1287" s="273"/>
      <c r="BS1287" s="273"/>
      <c r="BT1287" s="273"/>
      <c r="BU1287" s="273"/>
      <c r="BV1287" s="273"/>
      <c r="BW1287" s="273"/>
      <c r="BX1287" s="273"/>
      <c r="BY1287" s="273"/>
    </row>
    <row r="1288" spans="1:77" s="261" customFormat="1" ht="12" customHeight="1">
      <c r="B1288" s="258" t="s">
        <v>291</v>
      </c>
      <c r="C1288" s="259"/>
      <c r="D1288" s="259"/>
      <c r="E1288" s="260" t="s">
        <v>1146</v>
      </c>
      <c r="F1288" s="261" t="s">
        <v>633</v>
      </c>
      <c r="G1288" s="262">
        <v>3597</v>
      </c>
      <c r="H1288" s="261" t="s">
        <v>27</v>
      </c>
      <c r="I1288" s="261" t="s">
        <v>33</v>
      </c>
      <c r="J1288" s="263">
        <v>11870.76</v>
      </c>
      <c r="L1288" s="263">
        <v>10.58</v>
      </c>
      <c r="M1288" s="263">
        <v>10.58</v>
      </c>
      <c r="N1288" s="265"/>
      <c r="O1288" s="266">
        <v>0.25</v>
      </c>
      <c r="P1288" s="266"/>
      <c r="Q1288" s="265">
        <v>0</v>
      </c>
      <c r="R1288" s="261" t="s">
        <v>42</v>
      </c>
      <c r="S1288" s="267" t="s">
        <v>41</v>
      </c>
      <c r="T1288" s="267">
        <v>17</v>
      </c>
      <c r="U1288" s="268" t="s">
        <v>164</v>
      </c>
      <c r="V1288" s="427"/>
      <c r="X1288" s="265">
        <v>0</v>
      </c>
      <c r="Y1288" s="265"/>
      <c r="AG1288" s="261">
        <f>X1288</f>
        <v>0</v>
      </c>
      <c r="AJ1288" s="642"/>
      <c r="AK1288" s="273"/>
      <c r="AL1288" s="273"/>
      <c r="AM1288" s="273"/>
      <c r="AN1288" s="273"/>
      <c r="AO1288" s="273"/>
      <c r="AP1288" s="273"/>
      <c r="AQ1288" s="273"/>
      <c r="AR1288" s="273"/>
      <c r="AS1288" s="273"/>
      <c r="AT1288" s="273"/>
      <c r="AU1288" s="273"/>
      <c r="AV1288" s="273"/>
      <c r="AW1288" s="273"/>
      <c r="AX1288" s="273"/>
      <c r="AY1288" s="273"/>
      <c r="AZ1288" s="273"/>
      <c r="BA1288" s="273"/>
      <c r="BB1288" s="273"/>
      <c r="BC1288" s="273"/>
      <c r="BD1288" s="273"/>
      <c r="BE1288" s="273"/>
      <c r="BF1288" s="273"/>
      <c r="BG1288" s="273"/>
      <c r="BH1288" s="273"/>
      <c r="BI1288" s="273"/>
      <c r="BJ1288" s="273"/>
      <c r="BK1288" s="273"/>
      <c r="BL1288" s="273"/>
      <c r="BM1288" s="273"/>
      <c r="BN1288" s="273"/>
      <c r="BO1288" s="273"/>
      <c r="BP1288" s="273"/>
      <c r="BQ1288" s="273"/>
      <c r="BR1288" s="273"/>
      <c r="BS1288" s="273"/>
      <c r="BT1288" s="273"/>
      <c r="BU1288" s="273"/>
      <c r="BV1288" s="273"/>
      <c r="BW1288" s="273"/>
      <c r="BX1288" s="273"/>
      <c r="BY1288" s="273"/>
    </row>
    <row r="1289" spans="1:77" s="261" customFormat="1" ht="12" customHeight="1">
      <c r="B1289" s="258" t="s">
        <v>291</v>
      </c>
      <c r="C1289" s="259"/>
      <c r="D1289" s="259"/>
      <c r="E1289" s="260" t="s">
        <v>1146</v>
      </c>
      <c r="F1289" s="261" t="s">
        <v>633</v>
      </c>
      <c r="G1289" s="262">
        <v>3597</v>
      </c>
      <c r="H1289" s="261" t="s">
        <v>310</v>
      </c>
      <c r="I1289" s="261" t="s">
        <v>33</v>
      </c>
      <c r="J1289" s="263">
        <v>8603.2000000000007</v>
      </c>
      <c r="L1289" s="263">
        <v>11.32</v>
      </c>
      <c r="M1289" s="263">
        <v>11.32</v>
      </c>
      <c r="N1289" s="265"/>
      <c r="O1289" s="266">
        <v>0.25</v>
      </c>
      <c r="P1289" s="266"/>
      <c r="Q1289" s="265">
        <v>1660.42</v>
      </c>
      <c r="R1289" s="261" t="s">
        <v>42</v>
      </c>
      <c r="S1289" s="267" t="s">
        <v>41</v>
      </c>
      <c r="T1289" s="267">
        <v>17</v>
      </c>
      <c r="U1289" s="268" t="s">
        <v>164</v>
      </c>
      <c r="V1289" s="427"/>
      <c r="X1289" s="265">
        <v>1660.42</v>
      </c>
      <c r="Y1289" s="265"/>
      <c r="AG1289" s="261">
        <f>X1289</f>
        <v>1660.42</v>
      </c>
      <c r="AJ1289" s="642"/>
      <c r="AK1289" s="273"/>
      <c r="AL1289" s="273"/>
      <c r="AM1289" s="273"/>
      <c r="AN1289" s="273"/>
      <c r="AO1289" s="273"/>
      <c r="AP1289" s="273"/>
      <c r="AQ1289" s="273"/>
      <c r="AR1289" s="273"/>
      <c r="AS1289" s="273"/>
      <c r="AT1289" s="273"/>
      <c r="AU1289" s="273"/>
      <c r="AV1289" s="273"/>
      <c r="AW1289" s="273"/>
      <c r="AX1289" s="273"/>
      <c r="AY1289" s="273"/>
      <c r="AZ1289" s="273"/>
      <c r="BA1289" s="273"/>
      <c r="BB1289" s="273"/>
      <c r="BC1289" s="273"/>
      <c r="BD1289" s="273"/>
      <c r="BE1289" s="273"/>
      <c r="BF1289" s="273"/>
      <c r="BG1289" s="273"/>
      <c r="BH1289" s="273"/>
      <c r="BI1289" s="273"/>
      <c r="BJ1289" s="273"/>
      <c r="BK1289" s="273"/>
      <c r="BL1289" s="273"/>
      <c r="BM1289" s="273"/>
      <c r="BN1289" s="273"/>
      <c r="BO1289" s="273"/>
      <c r="BP1289" s="273"/>
      <c r="BQ1289" s="273"/>
      <c r="BR1289" s="273"/>
      <c r="BS1289" s="273"/>
      <c r="BT1289" s="273"/>
      <c r="BU1289" s="273"/>
      <c r="BV1289" s="273"/>
      <c r="BW1289" s="273"/>
      <c r="BX1289" s="273"/>
      <c r="BY1289" s="273"/>
    </row>
    <row r="1290" spans="1:77" s="261" customFormat="1" ht="12" customHeight="1">
      <c r="B1290" s="258" t="s">
        <v>291</v>
      </c>
      <c r="C1290" s="259"/>
      <c r="D1290" s="259"/>
      <c r="E1290" s="260" t="s">
        <v>1146</v>
      </c>
      <c r="F1290" s="261" t="s">
        <v>633</v>
      </c>
      <c r="G1290" s="262">
        <v>3597</v>
      </c>
      <c r="H1290" s="261" t="s">
        <v>137</v>
      </c>
      <c r="I1290" s="261" t="s">
        <v>33</v>
      </c>
      <c r="J1290" s="263">
        <v>12925.44</v>
      </c>
      <c r="L1290" s="263">
        <v>11.88</v>
      </c>
      <c r="M1290" s="263">
        <v>11.88</v>
      </c>
      <c r="N1290" s="265"/>
      <c r="O1290" s="266">
        <v>0.25</v>
      </c>
      <c r="P1290" s="266"/>
      <c r="Q1290" s="265">
        <v>0</v>
      </c>
      <c r="R1290" s="261" t="s">
        <v>42</v>
      </c>
      <c r="S1290" s="267" t="s">
        <v>41</v>
      </c>
      <c r="T1290" s="267">
        <v>17</v>
      </c>
      <c r="U1290" s="268" t="s">
        <v>164</v>
      </c>
      <c r="V1290" s="427"/>
      <c r="X1290" s="265">
        <v>0</v>
      </c>
      <c r="Y1290" s="265"/>
      <c r="AG1290" s="261">
        <f>X1290</f>
        <v>0</v>
      </c>
      <c r="AJ1290" s="642"/>
      <c r="AK1290" s="273"/>
      <c r="AL1290" s="273"/>
      <c r="AM1290" s="273"/>
      <c r="AN1290" s="273"/>
      <c r="AO1290" s="273"/>
      <c r="AP1290" s="273"/>
      <c r="AQ1290" s="273"/>
      <c r="AR1290" s="273"/>
      <c r="AS1290" s="273"/>
      <c r="AT1290" s="273"/>
      <c r="AU1290" s="273"/>
      <c r="AV1290" s="273"/>
      <c r="AW1290" s="273"/>
      <c r="AX1290" s="273"/>
      <c r="AY1290" s="273"/>
      <c r="AZ1290" s="273"/>
      <c r="BA1290" s="273"/>
      <c r="BB1290" s="273"/>
      <c r="BC1290" s="273"/>
      <c r="BD1290" s="273"/>
      <c r="BE1290" s="273"/>
      <c r="BF1290" s="273"/>
      <c r="BG1290" s="273"/>
      <c r="BH1290" s="273"/>
      <c r="BI1290" s="273"/>
      <c r="BJ1290" s="273"/>
      <c r="BK1290" s="273"/>
      <c r="BL1290" s="273"/>
      <c r="BM1290" s="273"/>
      <c r="BN1290" s="273"/>
      <c r="BO1290" s="273"/>
      <c r="BP1290" s="273"/>
      <c r="BQ1290" s="273"/>
      <c r="BR1290" s="273"/>
      <c r="BS1290" s="273"/>
      <c r="BT1290" s="273"/>
      <c r="BU1290" s="273"/>
      <c r="BV1290" s="273"/>
      <c r="BW1290" s="273"/>
      <c r="BX1290" s="273"/>
      <c r="BY1290" s="273"/>
    </row>
    <row r="1291" spans="1:77" s="379" customFormat="1" ht="12" customHeight="1">
      <c r="B1291" s="380" t="s">
        <v>291</v>
      </c>
      <c r="C1291" s="381"/>
      <c r="D1291" s="381"/>
      <c r="E1291" s="382" t="s">
        <v>1147</v>
      </c>
      <c r="F1291" s="379" t="s">
        <v>1148</v>
      </c>
      <c r="G1291" s="383">
        <v>3629</v>
      </c>
      <c r="H1291" s="379" t="s">
        <v>162</v>
      </c>
      <c r="I1291" s="379" t="s">
        <v>111</v>
      </c>
      <c r="J1291" s="385">
        <v>3094.04</v>
      </c>
      <c r="L1291" s="385">
        <v>8.07</v>
      </c>
      <c r="M1291" s="385">
        <v>8.07</v>
      </c>
      <c r="N1291" s="386">
        <f>J1291*0.2</f>
        <v>618.80799999999999</v>
      </c>
      <c r="O1291" s="387">
        <v>0.15</v>
      </c>
      <c r="P1291" s="387"/>
      <c r="Q1291" s="386">
        <v>0</v>
      </c>
      <c r="R1291" s="379" t="s">
        <v>35</v>
      </c>
      <c r="S1291" s="388" t="s">
        <v>41</v>
      </c>
      <c r="T1291" s="388">
        <v>86</v>
      </c>
      <c r="U1291" s="389" t="s">
        <v>164</v>
      </c>
      <c r="V1291" s="433"/>
      <c r="X1291" s="386">
        <v>0</v>
      </c>
      <c r="Y1291" s="386"/>
      <c r="AJ1291" s="390">
        <v>0</v>
      </c>
      <c r="AK1291" s="394"/>
      <c r="AL1291" s="394"/>
      <c r="AM1291" s="394"/>
      <c r="AN1291" s="394"/>
      <c r="AO1291" s="394"/>
      <c r="AP1291" s="394"/>
      <c r="AQ1291" s="394"/>
      <c r="AR1291" s="394"/>
      <c r="AS1291" s="394"/>
      <c r="AT1291" s="394"/>
      <c r="AU1291" s="394"/>
      <c r="AV1291" s="394"/>
      <c r="AW1291" s="394"/>
      <c r="AX1291" s="394"/>
      <c r="AY1291" s="394"/>
      <c r="AZ1291" s="394"/>
      <c r="BA1291" s="394"/>
      <c r="BB1291" s="394"/>
      <c r="BC1291" s="394"/>
      <c r="BD1291" s="394"/>
      <c r="BE1291" s="394"/>
      <c r="BF1291" s="394"/>
      <c r="BG1291" s="394"/>
      <c r="BH1291" s="394"/>
      <c r="BI1291" s="394"/>
      <c r="BJ1291" s="394"/>
      <c r="BK1291" s="394"/>
      <c r="BL1291" s="394"/>
      <c r="BM1291" s="394"/>
      <c r="BN1291" s="394"/>
      <c r="BO1291" s="394"/>
      <c r="BP1291" s="394"/>
      <c r="BQ1291" s="394"/>
      <c r="BR1291" s="394"/>
      <c r="BS1291" s="394"/>
      <c r="BT1291" s="394"/>
      <c r="BU1291" s="394"/>
      <c r="BV1291" s="394"/>
      <c r="BW1291" s="394"/>
      <c r="BX1291" s="394"/>
      <c r="BY1291" s="394"/>
    </row>
    <row r="1292" spans="1:77" s="261" customFormat="1" ht="12" customHeight="1">
      <c r="B1292" s="258" t="s">
        <v>291</v>
      </c>
      <c r="C1292" s="259">
        <v>44682</v>
      </c>
      <c r="D1292" s="259">
        <v>44699</v>
      </c>
      <c r="E1292" s="260" t="s">
        <v>1147</v>
      </c>
      <c r="F1292" s="261" t="s">
        <v>1148</v>
      </c>
      <c r="G1292" s="262">
        <v>3629</v>
      </c>
      <c r="H1292" s="261" t="s">
        <v>99</v>
      </c>
      <c r="I1292" s="261" t="s">
        <v>111</v>
      </c>
      <c r="J1292" s="263">
        <v>14972.36</v>
      </c>
      <c r="L1292" s="263">
        <v>13.6</v>
      </c>
      <c r="M1292" s="263">
        <v>13.6</v>
      </c>
      <c r="N1292" s="265"/>
      <c r="O1292" s="266">
        <v>0.15</v>
      </c>
      <c r="P1292" s="266"/>
      <c r="Q1292" s="265">
        <v>6287.62</v>
      </c>
      <c r="R1292" s="261" t="s">
        <v>35</v>
      </c>
      <c r="S1292" s="267" t="s">
        <v>41</v>
      </c>
      <c r="T1292" s="267">
        <v>86</v>
      </c>
      <c r="U1292" s="268" t="s">
        <v>164</v>
      </c>
      <c r="V1292" s="427"/>
      <c r="X1292" s="265">
        <v>6287.62</v>
      </c>
      <c r="Y1292" s="265"/>
      <c r="AG1292" s="261">
        <f>X1292</f>
        <v>6287.62</v>
      </c>
      <c r="AJ1292" s="642"/>
      <c r="AK1292" s="273"/>
      <c r="AL1292" s="273"/>
      <c r="AM1292" s="273"/>
      <c r="AN1292" s="273"/>
      <c r="AO1292" s="273"/>
      <c r="AP1292" s="273"/>
      <c r="AQ1292" s="273"/>
      <c r="AR1292" s="273"/>
      <c r="AS1292" s="273"/>
      <c r="AT1292" s="273"/>
      <c r="AU1292" s="273"/>
      <c r="AV1292" s="273"/>
      <c r="AW1292" s="273"/>
      <c r="AX1292" s="273"/>
      <c r="AY1292" s="273"/>
      <c r="AZ1292" s="273"/>
      <c r="BA1292" s="273"/>
      <c r="BB1292" s="273"/>
      <c r="BC1292" s="273"/>
      <c r="BD1292" s="273"/>
      <c r="BE1292" s="273"/>
      <c r="BF1292" s="273"/>
      <c r="BG1292" s="273"/>
      <c r="BH1292" s="273"/>
      <c r="BI1292" s="273"/>
      <c r="BJ1292" s="273"/>
      <c r="BK1292" s="273"/>
      <c r="BL1292" s="273"/>
      <c r="BM1292" s="273"/>
      <c r="BN1292" s="273"/>
      <c r="BO1292" s="273"/>
      <c r="BP1292" s="273"/>
      <c r="BQ1292" s="273"/>
      <c r="BR1292" s="273"/>
      <c r="BS1292" s="273"/>
      <c r="BT1292" s="273"/>
      <c r="BU1292" s="273"/>
      <c r="BV1292" s="273"/>
      <c r="BW1292" s="273"/>
      <c r="BX1292" s="273"/>
      <c r="BY1292" s="273"/>
    </row>
    <row r="1293" spans="1:77" s="261" customFormat="1" ht="12" customHeight="1">
      <c r="B1293" s="258" t="s">
        <v>291</v>
      </c>
      <c r="C1293" s="259"/>
      <c r="D1293" s="259"/>
      <c r="E1293" s="260" t="s">
        <v>1147</v>
      </c>
      <c r="F1293" s="261" t="s">
        <v>1148</v>
      </c>
      <c r="G1293" s="262">
        <v>3629</v>
      </c>
      <c r="H1293" s="261" t="s">
        <v>295</v>
      </c>
      <c r="I1293" s="261" t="s">
        <v>111</v>
      </c>
      <c r="J1293" s="263">
        <v>4531.16</v>
      </c>
      <c r="L1293" s="263">
        <v>7.07</v>
      </c>
      <c r="M1293" s="263">
        <v>7.07</v>
      </c>
      <c r="N1293" s="265"/>
      <c r="O1293" s="266">
        <v>0.15</v>
      </c>
      <c r="P1293" s="266"/>
      <c r="Q1293" s="265">
        <v>0</v>
      </c>
      <c r="R1293" s="261" t="s">
        <v>35</v>
      </c>
      <c r="S1293" s="267" t="s">
        <v>41</v>
      </c>
      <c r="T1293" s="267">
        <v>86</v>
      </c>
      <c r="U1293" s="268" t="s">
        <v>164</v>
      </c>
      <c r="V1293" s="427"/>
      <c r="X1293" s="265">
        <v>0</v>
      </c>
      <c r="Y1293" s="265"/>
      <c r="AG1293" s="261">
        <f>X1293</f>
        <v>0</v>
      </c>
      <c r="AJ1293" s="642"/>
      <c r="AK1293" s="273"/>
      <c r="AL1293" s="273"/>
      <c r="AM1293" s="273"/>
      <c r="AN1293" s="273"/>
      <c r="AO1293" s="273"/>
      <c r="AP1293" s="273"/>
      <c r="AQ1293" s="273"/>
      <c r="AR1293" s="273"/>
      <c r="AS1293" s="273"/>
      <c r="AT1293" s="273"/>
      <c r="AU1293" s="273"/>
      <c r="AV1293" s="273"/>
      <c r="AW1293" s="273"/>
      <c r="AX1293" s="273"/>
      <c r="AY1293" s="273"/>
      <c r="AZ1293" s="273"/>
      <c r="BA1293" s="273"/>
      <c r="BB1293" s="273"/>
      <c r="BC1293" s="273"/>
      <c r="BD1293" s="273"/>
      <c r="BE1293" s="273"/>
      <c r="BF1293" s="273"/>
      <c r="BG1293" s="273"/>
      <c r="BH1293" s="273"/>
      <c r="BI1293" s="273"/>
      <c r="BJ1293" s="273"/>
      <c r="BK1293" s="273"/>
      <c r="BL1293" s="273"/>
      <c r="BM1293" s="273"/>
      <c r="BN1293" s="273"/>
      <c r="BO1293" s="273"/>
      <c r="BP1293" s="273"/>
      <c r="BQ1293" s="273"/>
      <c r="BR1293" s="273"/>
      <c r="BS1293" s="273"/>
      <c r="BT1293" s="273"/>
      <c r="BU1293" s="273"/>
      <c r="BV1293" s="273"/>
      <c r="BW1293" s="273"/>
      <c r="BX1293" s="273"/>
      <c r="BY1293" s="273"/>
    </row>
    <row r="1294" spans="1:77" s="261" customFormat="1" ht="12" customHeight="1">
      <c r="B1294" s="258" t="s">
        <v>291</v>
      </c>
      <c r="C1294" s="259"/>
      <c r="D1294" s="259"/>
      <c r="E1294" s="260" t="s">
        <v>1147</v>
      </c>
      <c r="F1294" s="261" t="s">
        <v>1148</v>
      </c>
      <c r="G1294" s="262">
        <v>3629</v>
      </c>
      <c r="H1294" s="261" t="s">
        <v>163</v>
      </c>
      <c r="I1294" s="261" t="s">
        <v>111</v>
      </c>
      <c r="J1294" s="263">
        <v>2768.28</v>
      </c>
      <c r="L1294" s="263">
        <v>3.54</v>
      </c>
      <c r="M1294" s="263">
        <v>3.54</v>
      </c>
      <c r="N1294" s="265"/>
      <c r="O1294" s="266">
        <v>0.15</v>
      </c>
      <c r="P1294" s="266"/>
      <c r="Q1294" s="265">
        <v>966.52</v>
      </c>
      <c r="R1294" s="261" t="s">
        <v>35</v>
      </c>
      <c r="S1294" s="267" t="s">
        <v>41</v>
      </c>
      <c r="T1294" s="267">
        <v>86</v>
      </c>
      <c r="U1294" s="268" t="s">
        <v>164</v>
      </c>
      <c r="V1294" s="427"/>
      <c r="X1294" s="265">
        <v>966.52</v>
      </c>
      <c r="Y1294" s="265"/>
      <c r="AG1294" s="261">
        <f>X1294</f>
        <v>966.52</v>
      </c>
      <c r="AJ1294" s="642"/>
      <c r="AK1294" s="273"/>
      <c r="AL1294" s="273"/>
      <c r="AM1294" s="273"/>
      <c r="AN1294" s="273"/>
      <c r="AO1294" s="273"/>
      <c r="AP1294" s="273"/>
      <c r="AQ1294" s="273"/>
      <c r="AR1294" s="273"/>
      <c r="AS1294" s="273"/>
      <c r="AT1294" s="273"/>
      <c r="AU1294" s="273"/>
      <c r="AV1294" s="273"/>
      <c r="AW1294" s="273"/>
      <c r="AX1294" s="273"/>
      <c r="AY1294" s="273"/>
      <c r="AZ1294" s="273"/>
      <c r="BA1294" s="273"/>
      <c r="BB1294" s="273"/>
      <c r="BC1294" s="273"/>
      <c r="BD1294" s="273"/>
      <c r="BE1294" s="273"/>
      <c r="BF1294" s="273"/>
      <c r="BG1294" s="273"/>
      <c r="BH1294" s="273"/>
      <c r="BI1294" s="273"/>
      <c r="BJ1294" s="273"/>
      <c r="BK1294" s="273"/>
      <c r="BL1294" s="273"/>
      <c r="BM1294" s="273"/>
      <c r="BN1294" s="273"/>
      <c r="BO1294" s="273"/>
      <c r="BP1294" s="273"/>
      <c r="BQ1294" s="273"/>
      <c r="BR1294" s="273"/>
      <c r="BS1294" s="273"/>
      <c r="BT1294" s="273"/>
      <c r="BU1294" s="273"/>
      <c r="BV1294" s="273"/>
      <c r="BW1294" s="273"/>
      <c r="BX1294" s="273"/>
      <c r="BY1294" s="273"/>
    </row>
    <row r="1295" spans="1:77" s="261" customFormat="1" ht="12" customHeight="1">
      <c r="B1295" s="258" t="s">
        <v>291</v>
      </c>
      <c r="C1295" s="259"/>
      <c r="D1295" s="259"/>
      <c r="E1295" s="260" t="s">
        <v>1147</v>
      </c>
      <c r="F1295" s="261" t="s">
        <v>1148</v>
      </c>
      <c r="G1295" s="262">
        <v>3629</v>
      </c>
      <c r="H1295" s="261" t="s">
        <v>137</v>
      </c>
      <c r="I1295" s="261" t="s">
        <v>111</v>
      </c>
      <c r="J1295" s="263">
        <v>5992.03</v>
      </c>
      <c r="L1295" s="263">
        <v>6.1</v>
      </c>
      <c r="M1295" s="263">
        <v>6.1</v>
      </c>
      <c r="N1295" s="265">
        <f>J1295*0.25</f>
        <v>1498.0074999999999</v>
      </c>
      <c r="O1295" s="266">
        <v>0.15</v>
      </c>
      <c r="P1295" s="266"/>
      <c r="Q1295" s="265">
        <v>3215.65</v>
      </c>
      <c r="R1295" s="261" t="s">
        <v>35</v>
      </c>
      <c r="S1295" s="267" t="s">
        <v>41</v>
      </c>
      <c r="T1295" s="267">
        <v>86</v>
      </c>
      <c r="U1295" s="268" t="s">
        <v>164</v>
      </c>
      <c r="V1295" s="427"/>
      <c r="X1295" s="265">
        <v>3215.65</v>
      </c>
      <c r="Y1295" s="265"/>
      <c r="AG1295" s="261">
        <f>X1295</f>
        <v>3215.65</v>
      </c>
      <c r="AJ1295" s="642"/>
      <c r="AK1295" s="273"/>
      <c r="AL1295" s="273"/>
      <c r="AM1295" s="273"/>
      <c r="AN1295" s="273"/>
      <c r="AO1295" s="273"/>
      <c r="AP1295" s="273"/>
      <c r="AQ1295" s="273"/>
      <c r="AR1295" s="273"/>
      <c r="AS1295" s="273"/>
      <c r="AT1295" s="273"/>
      <c r="AU1295" s="273"/>
      <c r="AV1295" s="273"/>
      <c r="AW1295" s="273"/>
      <c r="AX1295" s="273"/>
      <c r="AY1295" s="273"/>
      <c r="AZ1295" s="273"/>
      <c r="BA1295" s="273"/>
      <c r="BB1295" s="273"/>
      <c r="BC1295" s="273"/>
      <c r="BD1295" s="273"/>
      <c r="BE1295" s="273"/>
      <c r="BF1295" s="273"/>
      <c r="BG1295" s="273"/>
      <c r="BH1295" s="273"/>
      <c r="BI1295" s="273"/>
      <c r="BJ1295" s="273"/>
      <c r="BK1295" s="273"/>
      <c r="BL1295" s="273"/>
      <c r="BM1295" s="273"/>
      <c r="BN1295" s="273"/>
      <c r="BO1295" s="273"/>
      <c r="BP1295" s="273"/>
      <c r="BQ1295" s="273"/>
      <c r="BR1295" s="273"/>
      <c r="BS1295" s="273"/>
      <c r="BT1295" s="273"/>
      <c r="BU1295" s="273"/>
      <c r="BV1295" s="273"/>
      <c r="BW1295" s="273"/>
      <c r="BX1295" s="273"/>
      <c r="BY1295" s="273"/>
    </row>
    <row r="1296" spans="1:77" s="205" customFormat="1" ht="12" customHeight="1">
      <c r="B1296" s="206" t="s">
        <v>291</v>
      </c>
      <c r="C1296" s="207">
        <v>44699</v>
      </c>
      <c r="D1296" s="207">
        <v>44699</v>
      </c>
      <c r="E1296" s="208" t="s">
        <v>1152</v>
      </c>
      <c r="F1296" s="205" t="s">
        <v>1153</v>
      </c>
      <c r="G1296" s="209">
        <v>4604</v>
      </c>
      <c r="H1296" s="205" t="s">
        <v>99</v>
      </c>
      <c r="I1296" s="205" t="s">
        <v>33</v>
      </c>
      <c r="J1296" s="210">
        <v>38784.32</v>
      </c>
      <c r="L1296" s="210">
        <v>29.51</v>
      </c>
      <c r="M1296" s="210">
        <v>29.58</v>
      </c>
      <c r="N1296" s="213"/>
      <c r="O1296" s="212">
        <v>0.25</v>
      </c>
      <c r="P1296" s="212"/>
      <c r="Q1296" s="213">
        <v>0</v>
      </c>
      <c r="R1296" s="205" t="s">
        <v>281</v>
      </c>
      <c r="S1296" s="214" t="s">
        <v>228</v>
      </c>
      <c r="T1296" s="214" t="s">
        <v>923</v>
      </c>
      <c r="U1296" s="215" t="s">
        <v>164</v>
      </c>
      <c r="V1296" s="438"/>
      <c r="X1296" s="213">
        <v>0</v>
      </c>
      <c r="Y1296" s="213"/>
      <c r="AF1296" s="230">
        <f>X1296</f>
        <v>0</v>
      </c>
      <c r="AJ1296" s="216"/>
      <c r="AK1296" s="218"/>
      <c r="AL1296" s="218"/>
      <c r="AM1296" s="218"/>
      <c r="AN1296" s="218"/>
      <c r="AO1296" s="218"/>
      <c r="AP1296" s="218"/>
      <c r="AQ1296" s="218"/>
      <c r="AR1296" s="218"/>
      <c r="AS1296" s="218"/>
      <c r="AT1296" s="218"/>
      <c r="AU1296" s="218"/>
      <c r="AV1296" s="218"/>
      <c r="AW1296" s="218"/>
      <c r="AX1296" s="218"/>
      <c r="AY1296" s="218"/>
      <c r="AZ1296" s="218"/>
      <c r="BA1296" s="218"/>
      <c r="BB1296" s="218"/>
      <c r="BC1296" s="218"/>
      <c r="BD1296" s="218"/>
      <c r="BE1296" s="218"/>
      <c r="BF1296" s="218"/>
      <c r="BG1296" s="218"/>
      <c r="BH1296" s="218"/>
      <c r="BI1296" s="218"/>
      <c r="BJ1296" s="218"/>
      <c r="BK1296" s="218"/>
      <c r="BL1296" s="218"/>
      <c r="BM1296" s="218"/>
      <c r="BN1296" s="218"/>
      <c r="BO1296" s="218"/>
      <c r="BP1296" s="218"/>
      <c r="BQ1296" s="218"/>
      <c r="BR1296" s="218"/>
      <c r="BS1296" s="218"/>
      <c r="BT1296" s="218"/>
      <c r="BU1296" s="218"/>
      <c r="BV1296" s="218"/>
      <c r="BW1296" s="218"/>
      <c r="BX1296" s="218"/>
      <c r="BY1296" s="218"/>
    </row>
    <row r="1297" spans="1:77" s="205" customFormat="1" ht="12" customHeight="1">
      <c r="B1297" s="206" t="s">
        <v>291</v>
      </c>
      <c r="C1297" s="207"/>
      <c r="D1297" s="207"/>
      <c r="E1297" s="208" t="s">
        <v>1152</v>
      </c>
      <c r="F1297" s="205" t="s">
        <v>1153</v>
      </c>
      <c r="G1297" s="209">
        <v>4604</v>
      </c>
      <c r="H1297" s="205" t="s">
        <v>99</v>
      </c>
      <c r="I1297" s="205" t="s">
        <v>33</v>
      </c>
      <c r="J1297" s="210">
        <v>45943.29</v>
      </c>
      <c r="L1297" s="210">
        <v>33</v>
      </c>
      <c r="M1297" s="210">
        <v>35.04</v>
      </c>
      <c r="N1297" s="213"/>
      <c r="O1297" s="212">
        <v>0.25</v>
      </c>
      <c r="P1297" s="212"/>
      <c r="Q1297" s="213">
        <v>0</v>
      </c>
      <c r="R1297" s="205" t="s">
        <v>281</v>
      </c>
      <c r="S1297" s="214" t="s">
        <v>228</v>
      </c>
      <c r="T1297" s="214">
        <v>58</v>
      </c>
      <c r="U1297" s="215" t="s">
        <v>164</v>
      </c>
      <c r="V1297" s="438"/>
      <c r="X1297" s="213">
        <v>0</v>
      </c>
      <c r="Y1297" s="213"/>
      <c r="AF1297" s="230">
        <f>X1297</f>
        <v>0</v>
      </c>
      <c r="AJ1297" s="216"/>
      <c r="AK1297" s="218"/>
      <c r="AL1297" s="218"/>
      <c r="AM1297" s="218"/>
      <c r="AN1297" s="218"/>
      <c r="AO1297" s="218"/>
      <c r="AP1297" s="218"/>
      <c r="AQ1297" s="218"/>
      <c r="AR1297" s="218"/>
      <c r="AS1297" s="218"/>
      <c r="AT1297" s="218"/>
      <c r="AU1297" s="218"/>
      <c r="AV1297" s="218"/>
      <c r="AW1297" s="218"/>
      <c r="AX1297" s="218"/>
      <c r="AY1297" s="218"/>
      <c r="AZ1297" s="218"/>
      <c r="BA1297" s="218"/>
      <c r="BB1297" s="218"/>
      <c r="BC1297" s="218"/>
      <c r="BD1297" s="218"/>
      <c r="BE1297" s="218"/>
      <c r="BF1297" s="218"/>
      <c r="BG1297" s="218"/>
      <c r="BH1297" s="218"/>
      <c r="BI1297" s="218"/>
      <c r="BJ1297" s="218"/>
      <c r="BK1297" s="218"/>
      <c r="BL1297" s="218"/>
      <c r="BM1297" s="218"/>
      <c r="BN1297" s="218"/>
      <c r="BO1297" s="218"/>
      <c r="BP1297" s="218"/>
      <c r="BQ1297" s="218"/>
      <c r="BR1297" s="218"/>
      <c r="BS1297" s="218"/>
      <c r="BT1297" s="218"/>
      <c r="BU1297" s="218"/>
      <c r="BV1297" s="218"/>
      <c r="BW1297" s="218"/>
      <c r="BX1297" s="218"/>
      <c r="BY1297" s="218"/>
    </row>
    <row r="1298" spans="1:77" s="205" customFormat="1" ht="12" customHeight="1">
      <c r="B1298" s="206" t="s">
        <v>291</v>
      </c>
      <c r="C1298" s="207"/>
      <c r="D1298" s="207"/>
      <c r="E1298" s="208" t="s">
        <v>1152</v>
      </c>
      <c r="F1298" s="205" t="s">
        <v>1153</v>
      </c>
      <c r="G1298" s="209">
        <v>4604</v>
      </c>
      <c r="H1298" s="205" t="s">
        <v>183</v>
      </c>
      <c r="I1298" s="205" t="s">
        <v>33</v>
      </c>
      <c r="J1298" s="210">
        <v>6914.64</v>
      </c>
      <c r="L1298" s="210">
        <v>6.5</v>
      </c>
      <c r="M1298" s="210">
        <v>6.5</v>
      </c>
      <c r="N1298" s="213"/>
      <c r="O1298" s="212">
        <v>0.25</v>
      </c>
      <c r="P1298" s="212"/>
      <c r="Q1298" s="213">
        <v>0</v>
      </c>
      <c r="R1298" s="205" t="s">
        <v>281</v>
      </c>
      <c r="S1298" s="214" t="s">
        <v>228</v>
      </c>
      <c r="T1298" s="214" t="s">
        <v>923</v>
      </c>
      <c r="U1298" s="215" t="s">
        <v>164</v>
      </c>
      <c r="V1298" s="438"/>
      <c r="X1298" s="213">
        <v>0</v>
      </c>
      <c r="Y1298" s="213"/>
      <c r="AF1298" s="230">
        <f>X1298</f>
        <v>0</v>
      </c>
      <c r="AJ1298" s="216"/>
      <c r="AK1298" s="218"/>
      <c r="AL1298" s="218"/>
      <c r="AM1298" s="218"/>
      <c r="AN1298" s="218"/>
      <c r="AO1298" s="218"/>
      <c r="AP1298" s="218"/>
      <c r="AQ1298" s="218"/>
      <c r="AR1298" s="218"/>
      <c r="AS1298" s="218"/>
      <c r="AT1298" s="218"/>
      <c r="AU1298" s="218"/>
      <c r="AV1298" s="218"/>
      <c r="AW1298" s="218"/>
      <c r="AX1298" s="218"/>
      <c r="AY1298" s="218"/>
      <c r="AZ1298" s="218"/>
      <c r="BA1298" s="218"/>
      <c r="BB1298" s="218"/>
      <c r="BC1298" s="218"/>
      <c r="BD1298" s="218"/>
      <c r="BE1298" s="218"/>
      <c r="BF1298" s="218"/>
      <c r="BG1298" s="218"/>
      <c r="BH1298" s="218"/>
      <c r="BI1298" s="218"/>
      <c r="BJ1298" s="218"/>
      <c r="BK1298" s="218"/>
      <c r="BL1298" s="218"/>
      <c r="BM1298" s="218"/>
      <c r="BN1298" s="218"/>
      <c r="BO1298" s="218"/>
      <c r="BP1298" s="218"/>
      <c r="BQ1298" s="218"/>
      <c r="BR1298" s="218"/>
      <c r="BS1298" s="218"/>
      <c r="BT1298" s="218"/>
      <c r="BU1298" s="218"/>
      <c r="BV1298" s="218"/>
      <c r="BW1298" s="218"/>
      <c r="BX1298" s="218"/>
      <c r="BY1298" s="218"/>
    </row>
    <row r="1299" spans="1:77" s="205" customFormat="1" ht="12" customHeight="1">
      <c r="B1299" s="206" t="s">
        <v>291</v>
      </c>
      <c r="C1299" s="207"/>
      <c r="D1299" s="207"/>
      <c r="E1299" s="208" t="s">
        <v>1152</v>
      </c>
      <c r="F1299" s="205" t="s">
        <v>1153</v>
      </c>
      <c r="G1299" s="209">
        <v>4604</v>
      </c>
      <c r="H1299" s="205" t="s">
        <v>183</v>
      </c>
      <c r="I1299" s="205" t="s">
        <v>33</v>
      </c>
      <c r="J1299" s="210">
        <v>15403.68</v>
      </c>
      <c r="L1299" s="210">
        <v>14.43</v>
      </c>
      <c r="M1299" s="210">
        <v>14.48</v>
      </c>
      <c r="N1299" s="213"/>
      <c r="O1299" s="212">
        <v>0.25</v>
      </c>
      <c r="P1299" s="212"/>
      <c r="Q1299" s="213">
        <v>0</v>
      </c>
      <c r="R1299" s="205" t="s">
        <v>281</v>
      </c>
      <c r="S1299" s="214" t="s">
        <v>228</v>
      </c>
      <c r="T1299" s="214">
        <v>58</v>
      </c>
      <c r="U1299" s="215" t="s">
        <v>164</v>
      </c>
      <c r="V1299" s="438"/>
      <c r="X1299" s="213">
        <v>0</v>
      </c>
      <c r="Y1299" s="213"/>
      <c r="AF1299" s="230">
        <f>X1299</f>
        <v>0</v>
      </c>
      <c r="AJ1299" s="216"/>
      <c r="AK1299" s="218"/>
      <c r="AL1299" s="218"/>
      <c r="AM1299" s="218"/>
      <c r="AN1299" s="218"/>
      <c r="AO1299" s="218"/>
      <c r="AP1299" s="218"/>
      <c r="AQ1299" s="218"/>
      <c r="AR1299" s="218"/>
      <c r="AS1299" s="218"/>
      <c r="AT1299" s="218"/>
      <c r="AU1299" s="218"/>
      <c r="AV1299" s="218"/>
      <c r="AW1299" s="218"/>
      <c r="AX1299" s="218"/>
      <c r="AY1299" s="218"/>
      <c r="AZ1299" s="218"/>
      <c r="BA1299" s="218"/>
      <c r="BB1299" s="218"/>
      <c r="BC1299" s="218"/>
      <c r="BD1299" s="218"/>
      <c r="BE1299" s="218"/>
      <c r="BF1299" s="218"/>
      <c r="BG1299" s="218"/>
      <c r="BH1299" s="218"/>
      <c r="BI1299" s="218"/>
      <c r="BJ1299" s="218"/>
      <c r="BK1299" s="218"/>
      <c r="BL1299" s="218"/>
      <c r="BM1299" s="218"/>
      <c r="BN1299" s="218"/>
      <c r="BO1299" s="218"/>
      <c r="BP1299" s="218"/>
      <c r="BQ1299" s="218"/>
      <c r="BR1299" s="218"/>
      <c r="BS1299" s="218"/>
      <c r="BT1299" s="218"/>
      <c r="BU1299" s="218"/>
      <c r="BV1299" s="218"/>
      <c r="BW1299" s="218"/>
      <c r="BX1299" s="218"/>
      <c r="BY1299" s="218"/>
    </row>
    <row r="1300" spans="1:77" s="205" customFormat="1" ht="12" customHeight="1">
      <c r="B1300" s="206" t="s">
        <v>291</v>
      </c>
      <c r="C1300" s="207"/>
      <c r="D1300" s="207"/>
      <c r="E1300" s="208" t="s">
        <v>1152</v>
      </c>
      <c r="F1300" s="205" t="s">
        <v>1153</v>
      </c>
      <c r="G1300" s="209">
        <v>4604</v>
      </c>
      <c r="H1300" s="205" t="s">
        <v>163</v>
      </c>
      <c r="I1300" s="205" t="s">
        <v>33</v>
      </c>
      <c r="J1300" s="210">
        <v>26049.62</v>
      </c>
      <c r="L1300" s="210">
        <v>30.93</v>
      </c>
      <c r="M1300" s="210">
        <v>31.12</v>
      </c>
      <c r="N1300" s="213"/>
      <c r="O1300" s="212">
        <v>0.25</v>
      </c>
      <c r="P1300" s="212"/>
      <c r="Q1300" s="213">
        <v>0</v>
      </c>
      <c r="R1300" s="205" t="s">
        <v>281</v>
      </c>
      <c r="S1300" s="214" t="s">
        <v>228</v>
      </c>
      <c r="T1300" s="214">
        <v>58</v>
      </c>
      <c r="U1300" s="215" t="s">
        <v>164</v>
      </c>
      <c r="V1300" s="438"/>
      <c r="W1300" s="205" t="s">
        <v>2795</v>
      </c>
      <c r="X1300" s="213">
        <v>0</v>
      </c>
      <c r="Y1300" s="213"/>
      <c r="AF1300" s="230">
        <f>X1300</f>
        <v>0</v>
      </c>
      <c r="AJ1300" s="216"/>
      <c r="AK1300" s="218"/>
      <c r="AL1300" s="218"/>
      <c r="AM1300" s="218"/>
      <c r="AN1300" s="218"/>
      <c r="AO1300" s="218"/>
      <c r="AP1300" s="218"/>
      <c r="AQ1300" s="218"/>
      <c r="AR1300" s="218"/>
      <c r="AS1300" s="218"/>
      <c r="AT1300" s="218"/>
      <c r="AU1300" s="218"/>
      <c r="AV1300" s="218"/>
      <c r="AW1300" s="218"/>
      <c r="AX1300" s="218"/>
      <c r="AY1300" s="218"/>
      <c r="AZ1300" s="218"/>
      <c r="BA1300" s="218"/>
      <c r="BB1300" s="218"/>
      <c r="BC1300" s="218"/>
      <c r="BD1300" s="218"/>
      <c r="BE1300" s="218"/>
      <c r="BF1300" s="218"/>
      <c r="BG1300" s="218"/>
      <c r="BH1300" s="218"/>
      <c r="BI1300" s="218"/>
      <c r="BJ1300" s="218"/>
      <c r="BK1300" s="218"/>
      <c r="BL1300" s="218"/>
      <c r="BM1300" s="218"/>
      <c r="BN1300" s="218"/>
      <c r="BO1300" s="218"/>
      <c r="BP1300" s="218"/>
      <c r="BQ1300" s="218"/>
      <c r="BR1300" s="218"/>
      <c r="BS1300" s="218"/>
      <c r="BT1300" s="218"/>
      <c r="BU1300" s="218"/>
      <c r="BV1300" s="218"/>
      <c r="BW1300" s="218"/>
      <c r="BX1300" s="218"/>
      <c r="BY1300" s="218"/>
    </row>
    <row r="1301" spans="1:77" s="303" customFormat="1" ht="12" customHeight="1">
      <c r="B1301" s="313" t="s">
        <v>291</v>
      </c>
      <c r="C1301" s="301">
        <v>44699</v>
      </c>
      <c r="D1301" s="301">
        <v>44699</v>
      </c>
      <c r="E1301" s="302" t="s">
        <v>1154</v>
      </c>
      <c r="F1301" s="303" t="s">
        <v>1155</v>
      </c>
      <c r="G1301" s="304">
        <v>4104</v>
      </c>
      <c r="H1301" s="303" t="s">
        <v>99</v>
      </c>
      <c r="I1301" s="303" t="s">
        <v>33</v>
      </c>
      <c r="J1301" s="305">
        <v>65199.07</v>
      </c>
      <c r="L1301" s="305">
        <v>55.69</v>
      </c>
      <c r="M1301" s="305">
        <v>55.68</v>
      </c>
      <c r="N1301" s="306"/>
      <c r="O1301" s="307">
        <v>0.3</v>
      </c>
      <c r="P1301" s="307"/>
      <c r="Q1301" s="306">
        <v>339.49</v>
      </c>
      <c r="R1301" s="303" t="s">
        <v>128</v>
      </c>
      <c r="S1301" s="308" t="s">
        <v>41</v>
      </c>
      <c r="T1301" s="308">
        <v>79</v>
      </c>
      <c r="U1301" s="309" t="s">
        <v>164</v>
      </c>
      <c r="V1301" s="447"/>
      <c r="X1301" s="306">
        <v>339.49</v>
      </c>
      <c r="Y1301" s="297"/>
      <c r="AH1301" s="303">
        <f>X1301</f>
        <v>339.49</v>
      </c>
      <c r="AI1301" s="311"/>
      <c r="AJ1301" s="468"/>
    </row>
    <row r="1302" spans="1:77" s="303" customFormat="1" ht="12" customHeight="1">
      <c r="B1302" s="313" t="s">
        <v>291</v>
      </c>
      <c r="C1302" s="301"/>
      <c r="D1302" s="301"/>
      <c r="E1302" s="302" t="s">
        <v>1154</v>
      </c>
      <c r="F1302" s="303" t="s">
        <v>1155</v>
      </c>
      <c r="G1302" s="304">
        <v>4104</v>
      </c>
      <c r="H1302" s="303" t="s">
        <v>183</v>
      </c>
      <c r="I1302" s="303" t="s">
        <v>33</v>
      </c>
      <c r="J1302" s="305">
        <v>15205.44</v>
      </c>
      <c r="L1302" s="305">
        <v>14.1</v>
      </c>
      <c r="M1302" s="305">
        <v>14.1</v>
      </c>
      <c r="N1302" s="306"/>
      <c r="O1302" s="307">
        <v>0.3</v>
      </c>
      <c r="P1302" s="307"/>
      <c r="Q1302" s="306">
        <v>570.77</v>
      </c>
      <c r="R1302" s="303" t="s">
        <v>128</v>
      </c>
      <c r="S1302" s="308" t="s">
        <v>41</v>
      </c>
      <c r="T1302" s="308">
        <v>79</v>
      </c>
      <c r="U1302" s="309" t="s">
        <v>164</v>
      </c>
      <c r="V1302" s="447"/>
      <c r="X1302" s="306">
        <v>570.77</v>
      </c>
      <c r="Y1302" s="297"/>
      <c r="AH1302" s="303">
        <f>X1302</f>
        <v>570.77</v>
      </c>
      <c r="AI1302" s="311"/>
      <c r="AJ1302" s="468"/>
    </row>
    <row r="1303" spans="1:77" s="303" customFormat="1" ht="12" customHeight="1">
      <c r="B1303" s="313" t="s">
        <v>291</v>
      </c>
      <c r="C1303" s="301"/>
      <c r="D1303" s="301"/>
      <c r="E1303" s="302" t="s">
        <v>1154</v>
      </c>
      <c r="F1303" s="303" t="s">
        <v>1155</v>
      </c>
      <c r="G1303" s="304">
        <v>4104</v>
      </c>
      <c r="H1303" s="303" t="s">
        <v>310</v>
      </c>
      <c r="I1303" s="303" t="s">
        <v>33</v>
      </c>
      <c r="J1303" s="305">
        <v>9643.92</v>
      </c>
      <c r="L1303" s="305">
        <v>14.05</v>
      </c>
      <c r="M1303" s="305">
        <v>14.05</v>
      </c>
      <c r="N1303" s="306"/>
      <c r="O1303" s="307">
        <v>0.3</v>
      </c>
      <c r="P1303" s="307"/>
      <c r="Q1303" s="306">
        <v>0</v>
      </c>
      <c r="R1303" s="303" t="s">
        <v>128</v>
      </c>
      <c r="S1303" s="308" t="s">
        <v>41</v>
      </c>
      <c r="T1303" s="308">
        <v>79</v>
      </c>
      <c r="U1303" s="309" t="s">
        <v>164</v>
      </c>
      <c r="V1303" s="447"/>
      <c r="X1303" s="306">
        <v>0</v>
      </c>
      <c r="Y1303" s="297"/>
      <c r="AH1303" s="303">
        <f>X1303</f>
        <v>0</v>
      </c>
      <c r="AI1303" s="311"/>
      <c r="AJ1303" s="468"/>
    </row>
    <row r="1304" spans="1:77" s="303" customFormat="1" ht="12" customHeight="1">
      <c r="A1304" s="303" t="s">
        <v>3893</v>
      </c>
      <c r="B1304" s="313" t="s">
        <v>291</v>
      </c>
      <c r="C1304" s="301"/>
      <c r="D1304" s="301"/>
      <c r="E1304" s="302" t="s">
        <v>1154</v>
      </c>
      <c r="F1304" s="303" t="s">
        <v>1155</v>
      </c>
      <c r="G1304" s="304">
        <v>4104</v>
      </c>
      <c r="H1304" s="303" t="s">
        <v>898</v>
      </c>
      <c r="I1304" s="303" t="s">
        <v>33</v>
      </c>
      <c r="J1304" s="305">
        <v>18341.09</v>
      </c>
      <c r="L1304" s="305">
        <v>20.68</v>
      </c>
      <c r="M1304" s="305">
        <v>20.68</v>
      </c>
      <c r="N1304" s="306"/>
      <c r="O1304" s="307">
        <v>0.3</v>
      </c>
      <c r="P1304" s="307"/>
      <c r="Q1304" s="306">
        <v>8413.84</v>
      </c>
      <c r="R1304" s="303" t="s">
        <v>128</v>
      </c>
      <c r="S1304" s="308" t="s">
        <v>41</v>
      </c>
      <c r="T1304" s="308">
        <v>79</v>
      </c>
      <c r="U1304" s="309" t="s">
        <v>164</v>
      </c>
      <c r="V1304" s="447">
        <v>840</v>
      </c>
      <c r="X1304" s="306">
        <v>8413.84</v>
      </c>
      <c r="Y1304" s="306"/>
      <c r="AH1304" s="303">
        <f>X1304</f>
        <v>8413.84</v>
      </c>
      <c r="AI1304" s="311"/>
      <c r="AJ1304" s="468"/>
    </row>
    <row r="1305" spans="1:77" s="394" customFormat="1" ht="12" customHeight="1">
      <c r="B1305" s="406" t="s">
        <v>291</v>
      </c>
      <c r="C1305" s="392"/>
      <c r="D1305" s="392"/>
      <c r="E1305" s="393" t="s">
        <v>1154</v>
      </c>
      <c r="F1305" s="394" t="s">
        <v>1155</v>
      </c>
      <c r="G1305" s="400">
        <v>4104</v>
      </c>
      <c r="H1305" s="394" t="s">
        <v>765</v>
      </c>
      <c r="I1305" s="394" t="s">
        <v>33</v>
      </c>
      <c r="J1305" s="395">
        <v>13686.16</v>
      </c>
      <c r="L1305" s="395">
        <v>18.190000000000001</v>
      </c>
      <c r="M1305" s="395">
        <v>18.190000000000001</v>
      </c>
      <c r="N1305" s="396"/>
      <c r="O1305" s="397">
        <v>0.3</v>
      </c>
      <c r="P1305" s="397"/>
      <c r="Q1305" s="396">
        <v>4661.93</v>
      </c>
      <c r="R1305" s="394" t="s">
        <v>128</v>
      </c>
      <c r="S1305" s="399" t="s">
        <v>41</v>
      </c>
      <c r="T1305" s="399">
        <v>79</v>
      </c>
      <c r="U1305" s="398" t="s">
        <v>164</v>
      </c>
      <c r="V1305" s="449">
        <v>1980</v>
      </c>
      <c r="X1305" s="396">
        <v>4661.93</v>
      </c>
      <c r="Y1305" s="396"/>
      <c r="AI1305" s="379"/>
      <c r="AJ1305" s="395">
        <v>4661.93</v>
      </c>
    </row>
    <row r="1306" spans="1:77" s="394" customFormat="1" ht="12" customHeight="1">
      <c r="A1306" s="394" t="s">
        <v>3893</v>
      </c>
      <c r="B1306" s="406" t="s">
        <v>291</v>
      </c>
      <c r="C1306" s="392">
        <v>44697</v>
      </c>
      <c r="D1306" s="392">
        <v>44699</v>
      </c>
      <c r="E1306" s="393" t="s">
        <v>1157</v>
      </c>
      <c r="F1306" s="394" t="s">
        <v>1158</v>
      </c>
      <c r="G1306" s="400">
        <v>4080</v>
      </c>
      <c r="H1306" s="394" t="s">
        <v>99</v>
      </c>
      <c r="I1306" s="394" t="s">
        <v>33</v>
      </c>
      <c r="J1306" s="395">
        <v>51920.1</v>
      </c>
      <c r="L1306" s="395">
        <v>46.82</v>
      </c>
      <c r="M1306" s="395">
        <v>46.82</v>
      </c>
      <c r="N1306" s="396">
        <f>J1306*0.3</f>
        <v>15576.029999999999</v>
      </c>
      <c r="O1306" s="397">
        <v>0.2</v>
      </c>
      <c r="P1306" s="397"/>
      <c r="Q1306" s="396">
        <v>4429.8500000000004</v>
      </c>
      <c r="R1306" s="394" t="s">
        <v>35</v>
      </c>
      <c r="S1306" s="399" t="s">
        <v>41</v>
      </c>
      <c r="T1306" s="399">
        <v>17</v>
      </c>
      <c r="U1306" s="398" t="s">
        <v>164</v>
      </c>
      <c r="V1306" s="449"/>
      <c r="X1306" s="396">
        <v>4429.8500000000004</v>
      </c>
      <c r="Y1306" s="396"/>
      <c r="AI1306" s="379"/>
      <c r="AJ1306" s="395">
        <v>4429.8500000000004</v>
      </c>
    </row>
    <row r="1307" spans="1:77" s="394" customFormat="1" ht="12" customHeight="1">
      <c r="A1307" s="394" t="s">
        <v>3893</v>
      </c>
      <c r="B1307" s="406" t="s">
        <v>291</v>
      </c>
      <c r="C1307" s="392"/>
      <c r="D1307" s="392"/>
      <c r="E1307" s="393" t="s">
        <v>1157</v>
      </c>
      <c r="F1307" s="394" t="s">
        <v>1158</v>
      </c>
      <c r="G1307" s="400">
        <v>4080</v>
      </c>
      <c r="H1307" s="394" t="s">
        <v>310</v>
      </c>
      <c r="I1307" s="394" t="s">
        <v>33</v>
      </c>
      <c r="J1307" s="395">
        <v>8715.2800000000007</v>
      </c>
      <c r="L1307" s="395">
        <v>13.79</v>
      </c>
      <c r="M1307" s="395">
        <v>13.79</v>
      </c>
      <c r="N1307" s="386">
        <f>J1307*0.35</f>
        <v>3050.348</v>
      </c>
      <c r="O1307" s="397">
        <v>0.2</v>
      </c>
      <c r="P1307" s="397"/>
      <c r="Q1307" s="386">
        <v>0</v>
      </c>
      <c r="R1307" s="394" t="s">
        <v>35</v>
      </c>
      <c r="S1307" s="399" t="s">
        <v>41</v>
      </c>
      <c r="T1307" s="399">
        <v>17</v>
      </c>
      <c r="U1307" s="398" t="s">
        <v>164</v>
      </c>
      <c r="V1307" s="449"/>
      <c r="X1307" s="396">
        <v>0</v>
      </c>
      <c r="Y1307" s="396"/>
      <c r="AI1307" s="379"/>
      <c r="AJ1307" s="390">
        <v>0</v>
      </c>
    </row>
    <row r="1308" spans="1:77" s="117" customFormat="1" ht="12" customHeight="1">
      <c r="A1308" s="472"/>
      <c r="B1308" s="501" t="s">
        <v>291</v>
      </c>
      <c r="C1308" s="474"/>
      <c r="D1308" s="474"/>
      <c r="E1308" s="475" t="s">
        <v>1163</v>
      </c>
      <c r="F1308" s="472" t="s">
        <v>1162</v>
      </c>
      <c r="G1308" s="476" t="s">
        <v>1161</v>
      </c>
      <c r="H1308" s="472" t="s">
        <v>729</v>
      </c>
      <c r="I1308" s="472" t="s">
        <v>156</v>
      </c>
      <c r="J1308" s="477">
        <v>23400</v>
      </c>
      <c r="K1308" s="472"/>
      <c r="L1308" s="477">
        <v>6</v>
      </c>
      <c r="M1308" s="477">
        <v>6</v>
      </c>
      <c r="N1308" s="478">
        <v>5840</v>
      </c>
      <c r="O1308" s="480">
        <v>0.25</v>
      </c>
      <c r="P1308" s="480">
        <v>0.1</v>
      </c>
      <c r="Q1308" s="478">
        <v>6732</v>
      </c>
      <c r="R1308" s="472" t="s">
        <v>112</v>
      </c>
      <c r="S1308" s="482" t="s">
        <v>113</v>
      </c>
      <c r="T1308" s="482">
        <v>64</v>
      </c>
      <c r="U1308" s="483" t="s">
        <v>164</v>
      </c>
      <c r="V1308" s="484"/>
      <c r="W1308" s="472"/>
      <c r="X1308" s="478">
        <v>6732</v>
      </c>
      <c r="Y1308" s="478"/>
      <c r="Z1308" s="472"/>
      <c r="AA1308" s="472"/>
      <c r="AB1308" s="472"/>
      <c r="AC1308" s="472"/>
      <c r="AD1308" s="472"/>
      <c r="AE1308" s="472"/>
      <c r="AF1308" s="472"/>
      <c r="AG1308" s="472"/>
      <c r="AH1308" s="472"/>
      <c r="AI1308" s="473"/>
      <c r="AJ1308" s="485"/>
      <c r="AK1308" s="506">
        <v>6732</v>
      </c>
      <c r="AL1308" s="472"/>
      <c r="AM1308" s="472"/>
      <c r="AN1308" s="472"/>
      <c r="AO1308" s="472"/>
      <c r="AP1308" s="472"/>
      <c r="AQ1308" s="472"/>
      <c r="AR1308" s="472"/>
      <c r="AS1308" s="472"/>
      <c r="AT1308" s="472"/>
      <c r="AU1308" s="472"/>
      <c r="AV1308" s="472"/>
      <c r="AW1308" s="472"/>
      <c r="AX1308" s="472"/>
      <c r="AY1308" s="472"/>
      <c r="AZ1308" s="472"/>
      <c r="BA1308" s="472"/>
      <c r="BB1308" s="472"/>
      <c r="BC1308" s="472"/>
      <c r="BD1308" s="472"/>
      <c r="BE1308" s="472"/>
      <c r="BF1308" s="472"/>
      <c r="BG1308" s="472"/>
      <c r="BH1308" s="472"/>
      <c r="BI1308" s="472"/>
      <c r="BJ1308" s="472"/>
      <c r="BK1308" s="472"/>
      <c r="BL1308" s="472"/>
      <c r="BM1308" s="472"/>
      <c r="BN1308" s="472"/>
      <c r="BO1308" s="472"/>
      <c r="BP1308" s="472"/>
      <c r="BQ1308" s="472"/>
      <c r="BR1308" s="472"/>
      <c r="BS1308" s="472"/>
      <c r="BT1308" s="472"/>
      <c r="BU1308" s="472"/>
      <c r="BV1308" s="472"/>
      <c r="BW1308" s="472"/>
      <c r="BX1308" s="472"/>
      <c r="BY1308" s="472"/>
    </row>
    <row r="1309" spans="1:77" s="472" customFormat="1" ht="12" customHeight="1">
      <c r="A1309" s="394"/>
      <c r="B1309" s="406" t="s">
        <v>291</v>
      </c>
      <c r="C1309" s="392">
        <v>44699</v>
      </c>
      <c r="D1309" s="392">
        <v>44700</v>
      </c>
      <c r="E1309" s="393" t="s">
        <v>1163</v>
      </c>
      <c r="F1309" s="394" t="s">
        <v>1162</v>
      </c>
      <c r="G1309" s="400" t="s">
        <v>1161</v>
      </c>
      <c r="H1309" s="394" t="s">
        <v>1164</v>
      </c>
      <c r="I1309" s="394" t="s">
        <v>156</v>
      </c>
      <c r="J1309" s="395">
        <v>138775</v>
      </c>
      <c r="K1309" s="394"/>
      <c r="L1309" s="395">
        <v>30.5</v>
      </c>
      <c r="M1309" s="395">
        <v>30.5</v>
      </c>
      <c r="N1309" s="396">
        <v>20930</v>
      </c>
      <c r="O1309" s="397">
        <v>0.25</v>
      </c>
      <c r="P1309" s="397">
        <v>0.1</v>
      </c>
      <c r="Q1309" s="396">
        <v>0</v>
      </c>
      <c r="R1309" s="394" t="s">
        <v>112</v>
      </c>
      <c r="S1309" s="399" t="s">
        <v>113</v>
      </c>
      <c r="T1309" s="399">
        <v>64</v>
      </c>
      <c r="U1309" s="398" t="s">
        <v>164</v>
      </c>
      <c r="V1309" s="449"/>
      <c r="W1309" s="394"/>
      <c r="X1309" s="396">
        <v>0</v>
      </c>
      <c r="Y1309" s="396"/>
      <c r="Z1309" s="394"/>
      <c r="AA1309" s="394"/>
      <c r="AB1309" s="394"/>
      <c r="AC1309" s="394"/>
      <c r="AD1309" s="394"/>
      <c r="AE1309" s="394"/>
      <c r="AF1309" s="394"/>
      <c r="AG1309" s="394"/>
      <c r="AH1309" s="394"/>
      <c r="AI1309" s="379"/>
      <c r="AJ1309" s="390">
        <v>0</v>
      </c>
      <c r="AK1309" s="394"/>
      <c r="AL1309" s="394"/>
      <c r="AM1309" s="394"/>
      <c r="AN1309" s="394"/>
      <c r="AO1309" s="394"/>
      <c r="AP1309" s="394"/>
      <c r="AQ1309" s="394"/>
      <c r="AR1309" s="394"/>
      <c r="AS1309" s="394"/>
      <c r="AT1309" s="394"/>
      <c r="AU1309" s="394"/>
      <c r="AV1309" s="394"/>
      <c r="AW1309" s="394"/>
      <c r="AX1309" s="394"/>
      <c r="AY1309" s="394"/>
      <c r="AZ1309" s="394"/>
      <c r="BA1309" s="394"/>
      <c r="BB1309" s="394"/>
      <c r="BC1309" s="394"/>
      <c r="BD1309" s="394"/>
      <c r="BE1309" s="394"/>
      <c r="BF1309" s="394"/>
      <c r="BG1309" s="394"/>
      <c r="BH1309" s="394"/>
      <c r="BI1309" s="394"/>
      <c r="BJ1309" s="394"/>
      <c r="BK1309" s="394"/>
      <c r="BL1309" s="394"/>
      <c r="BM1309" s="394"/>
      <c r="BN1309" s="394"/>
      <c r="BO1309" s="394"/>
      <c r="BP1309" s="394"/>
      <c r="BQ1309" s="394"/>
      <c r="BR1309" s="394"/>
      <c r="BS1309" s="394"/>
      <c r="BT1309" s="394"/>
      <c r="BU1309" s="394"/>
      <c r="BV1309" s="394"/>
      <c r="BW1309" s="394"/>
      <c r="BX1309" s="394"/>
      <c r="BY1309" s="394"/>
    </row>
    <row r="1310" spans="1:77" s="184" customFormat="1" ht="12" customHeight="1">
      <c r="B1310" s="202" t="s">
        <v>291</v>
      </c>
      <c r="C1310" s="192"/>
      <c r="D1310" s="192"/>
      <c r="E1310" s="193" t="s">
        <v>1163</v>
      </c>
      <c r="F1310" s="184" t="s">
        <v>1162</v>
      </c>
      <c r="G1310" s="194" t="s">
        <v>1161</v>
      </c>
      <c r="H1310" s="184" t="s">
        <v>866</v>
      </c>
      <c r="I1310" s="184" t="s">
        <v>156</v>
      </c>
      <c r="J1310" s="195">
        <v>54000</v>
      </c>
      <c r="L1310" s="195">
        <v>27</v>
      </c>
      <c r="M1310" s="195">
        <v>27</v>
      </c>
      <c r="N1310" s="196"/>
      <c r="O1310" s="197">
        <v>0.25</v>
      </c>
      <c r="P1310" s="197">
        <v>0.1</v>
      </c>
      <c r="Q1310" s="196">
        <v>0</v>
      </c>
      <c r="R1310" s="184" t="s">
        <v>112</v>
      </c>
      <c r="S1310" s="199" t="s">
        <v>113</v>
      </c>
      <c r="T1310" s="199">
        <v>64</v>
      </c>
      <c r="U1310" s="198" t="s">
        <v>164</v>
      </c>
      <c r="V1310" s="450"/>
      <c r="W1310" s="184" t="s">
        <v>2422</v>
      </c>
      <c r="X1310" s="196">
        <v>0</v>
      </c>
      <c r="Y1310" s="196"/>
      <c r="AE1310" s="235">
        <f>X1310</f>
        <v>0</v>
      </c>
      <c r="AI1310" s="181"/>
      <c r="AJ1310" s="189"/>
    </row>
    <row r="1311" spans="1:77" s="523" customFormat="1" ht="12" customHeight="1">
      <c r="B1311" s="535" t="s">
        <v>291</v>
      </c>
      <c r="C1311" s="524">
        <v>44696</v>
      </c>
      <c r="D1311" s="524">
        <v>44700</v>
      </c>
      <c r="E1311" s="525" t="s">
        <v>1160</v>
      </c>
      <c r="F1311" s="523" t="s">
        <v>1159</v>
      </c>
      <c r="G1311" s="526">
        <v>4472</v>
      </c>
      <c r="H1311" s="523" t="s">
        <v>1138</v>
      </c>
      <c r="I1311" s="523" t="s">
        <v>156</v>
      </c>
      <c r="J1311" s="527">
        <v>7770</v>
      </c>
      <c r="L1311" s="527">
        <v>5.5</v>
      </c>
      <c r="M1311" s="527">
        <v>5.5</v>
      </c>
      <c r="N1311" s="528">
        <f>+J1311*55%</f>
        <v>4273.5</v>
      </c>
      <c r="O1311" s="530">
        <v>0.2</v>
      </c>
      <c r="P1311" s="530">
        <v>0.1</v>
      </c>
      <c r="Q1311" s="528">
        <v>0</v>
      </c>
      <c r="R1311" s="523" t="s">
        <v>46</v>
      </c>
      <c r="S1311" s="531" t="s">
        <v>47</v>
      </c>
      <c r="T1311" s="531">
        <v>27</v>
      </c>
      <c r="U1311" s="532" t="s">
        <v>164</v>
      </c>
      <c r="V1311" s="533"/>
      <c r="X1311" s="528">
        <v>0</v>
      </c>
      <c r="Y1311" s="528"/>
      <c r="AI1311" s="507"/>
      <c r="AJ1311" s="522"/>
      <c r="AL1311" s="523">
        <v>0</v>
      </c>
    </row>
    <row r="1312" spans="1:77" s="472" customFormat="1" ht="12" customHeight="1">
      <c r="B1312" s="501" t="s">
        <v>291</v>
      </c>
      <c r="C1312" s="474"/>
      <c r="D1312" s="474"/>
      <c r="E1312" s="475" t="s">
        <v>1165</v>
      </c>
      <c r="F1312" s="472" t="s">
        <v>1166</v>
      </c>
      <c r="G1312" s="476" t="s">
        <v>1167</v>
      </c>
      <c r="H1312" s="472" t="s">
        <v>865</v>
      </c>
      <c r="I1312" s="472" t="s">
        <v>1168</v>
      </c>
      <c r="J1312" s="477">
        <v>45884.84</v>
      </c>
      <c r="L1312" s="477">
        <v>19.93</v>
      </c>
      <c r="M1312" s="477">
        <v>19.93</v>
      </c>
      <c r="N1312" s="478">
        <f>3187.53+1013.01+4305.3</f>
        <v>8505.84</v>
      </c>
      <c r="O1312" s="480">
        <v>0.25</v>
      </c>
      <c r="P1312" s="480">
        <v>0.1</v>
      </c>
      <c r="Q1312" s="478">
        <v>0</v>
      </c>
      <c r="R1312" s="472" t="s">
        <v>112</v>
      </c>
      <c r="S1312" s="482" t="s">
        <v>113</v>
      </c>
      <c r="T1312" s="482">
        <v>64</v>
      </c>
      <c r="U1312" s="483" t="s">
        <v>164</v>
      </c>
      <c r="V1312" s="484"/>
      <c r="X1312" s="478">
        <v>0</v>
      </c>
      <c r="Y1312" s="478"/>
      <c r="AI1312" s="473"/>
      <c r="AJ1312" s="485">
        <v>0</v>
      </c>
    </row>
    <row r="1313" spans="1:77" s="660" customFormat="1" ht="12" customHeight="1">
      <c r="B1313" s="664" t="s">
        <v>291</v>
      </c>
      <c r="C1313" s="665">
        <v>44699</v>
      </c>
      <c r="D1313" s="665">
        <v>44700</v>
      </c>
      <c r="E1313" s="666" t="s">
        <v>1165</v>
      </c>
      <c r="F1313" s="660" t="s">
        <v>1166</v>
      </c>
      <c r="G1313" s="667" t="s">
        <v>1167</v>
      </c>
      <c r="H1313" s="660" t="s">
        <v>910</v>
      </c>
      <c r="I1313" s="660" t="s">
        <v>1168</v>
      </c>
      <c r="J1313" s="668">
        <v>67418.67</v>
      </c>
      <c r="L1313" s="668">
        <v>28.01</v>
      </c>
      <c r="M1313" s="668">
        <v>28.01</v>
      </c>
      <c r="N1313" s="669">
        <f>6525.48+5981.27+5776.68</f>
        <v>18283.43</v>
      </c>
      <c r="O1313" s="670">
        <v>0.25</v>
      </c>
      <c r="P1313" s="670">
        <v>0.1</v>
      </c>
      <c r="Q1313" s="669">
        <v>0</v>
      </c>
      <c r="R1313" s="660" t="s">
        <v>112</v>
      </c>
      <c r="S1313" s="671" t="s">
        <v>113</v>
      </c>
      <c r="T1313" s="671">
        <v>64</v>
      </c>
      <c r="U1313" s="672" t="s">
        <v>164</v>
      </c>
      <c r="V1313" s="673"/>
      <c r="X1313" s="669">
        <v>0</v>
      </c>
      <c r="Y1313" s="669"/>
      <c r="AI1313" s="647">
        <v>0</v>
      </c>
      <c r="AJ1313" s="657"/>
      <c r="AK1313" s="658"/>
      <c r="AL1313" s="647"/>
      <c r="AM1313" s="647"/>
      <c r="AN1313" s="647"/>
      <c r="AO1313" s="647"/>
      <c r="AP1313" s="647"/>
      <c r="AQ1313" s="647"/>
      <c r="AR1313" s="647"/>
      <c r="AS1313" s="647"/>
      <c r="AT1313" s="647"/>
      <c r="AU1313" s="647"/>
      <c r="AV1313" s="647"/>
      <c r="AW1313" s="647"/>
      <c r="AX1313" s="647"/>
      <c r="AY1313" s="647"/>
      <c r="AZ1313" s="647"/>
      <c r="BA1313" s="647"/>
      <c r="BB1313" s="647"/>
      <c r="BC1313" s="647"/>
      <c r="BD1313" s="647"/>
      <c r="BE1313" s="647"/>
      <c r="BF1313" s="647"/>
      <c r="BG1313" s="647"/>
      <c r="BH1313" s="647"/>
      <c r="BI1313" s="647"/>
      <c r="BJ1313" s="647"/>
      <c r="BK1313" s="647"/>
      <c r="BL1313" s="647"/>
      <c r="BM1313" s="647"/>
      <c r="BN1313" s="647"/>
      <c r="BO1313" s="647"/>
      <c r="BP1313" s="647"/>
      <c r="BQ1313" s="647"/>
      <c r="BR1313" s="647"/>
      <c r="BS1313" s="647"/>
      <c r="BT1313" s="647"/>
      <c r="BU1313" s="647"/>
      <c r="BV1313" s="647"/>
      <c r="BW1313" s="647"/>
      <c r="BX1313" s="647"/>
      <c r="BY1313" s="647"/>
    </row>
    <row r="1314" spans="1:77" s="660" customFormat="1" ht="12" customHeight="1">
      <c r="B1314" s="664" t="s">
        <v>291</v>
      </c>
      <c r="C1314" s="665"/>
      <c r="D1314" s="665"/>
      <c r="E1314" s="666" t="s">
        <v>1165</v>
      </c>
      <c r="F1314" s="660" t="s">
        <v>1166</v>
      </c>
      <c r="G1314" s="667" t="s">
        <v>1167</v>
      </c>
      <c r="H1314" s="660" t="s">
        <v>917</v>
      </c>
      <c r="I1314" s="660" t="s">
        <v>1168</v>
      </c>
      <c r="J1314" s="668">
        <v>8058.05</v>
      </c>
      <c r="L1314" s="668">
        <v>3.5</v>
      </c>
      <c r="M1314" s="668">
        <v>3.5</v>
      </c>
      <c r="N1314" s="669">
        <f>J1314*0.2</f>
        <v>1611.6100000000001</v>
      </c>
      <c r="O1314" s="670">
        <v>0.25</v>
      </c>
      <c r="P1314" s="670">
        <v>0.1</v>
      </c>
      <c r="Q1314" s="669">
        <v>0</v>
      </c>
      <c r="R1314" s="660" t="s">
        <v>112</v>
      </c>
      <c r="S1314" s="671" t="s">
        <v>113</v>
      </c>
      <c r="T1314" s="671">
        <v>64</v>
      </c>
      <c r="U1314" s="672" t="s">
        <v>164</v>
      </c>
      <c r="V1314" s="673"/>
      <c r="X1314" s="669">
        <v>0</v>
      </c>
      <c r="Y1314" s="669"/>
      <c r="AI1314" s="647">
        <v>0</v>
      </c>
      <c r="AJ1314" s="657"/>
      <c r="AK1314" s="658"/>
      <c r="AL1314" s="647"/>
      <c r="AM1314" s="647"/>
      <c r="AN1314" s="647"/>
      <c r="AO1314" s="647"/>
      <c r="AP1314" s="647"/>
      <c r="AQ1314" s="647"/>
      <c r="AR1314" s="647"/>
      <c r="AS1314" s="647"/>
      <c r="AT1314" s="647"/>
      <c r="AU1314" s="647"/>
      <c r="AV1314" s="647"/>
      <c r="AW1314" s="647"/>
      <c r="AX1314" s="647"/>
      <c r="AY1314" s="647"/>
      <c r="AZ1314" s="647"/>
      <c r="BA1314" s="647"/>
      <c r="BB1314" s="647"/>
      <c r="BC1314" s="647"/>
      <c r="BD1314" s="647"/>
      <c r="BE1314" s="647"/>
      <c r="BF1314" s="647"/>
      <c r="BG1314" s="647"/>
      <c r="BH1314" s="647"/>
      <c r="BI1314" s="647"/>
      <c r="BJ1314" s="647"/>
      <c r="BK1314" s="647"/>
      <c r="BL1314" s="647"/>
      <c r="BM1314" s="647"/>
      <c r="BN1314" s="647"/>
      <c r="BO1314" s="647"/>
      <c r="BP1314" s="647"/>
      <c r="BQ1314" s="647"/>
      <c r="BR1314" s="647"/>
      <c r="BS1314" s="647"/>
      <c r="BT1314" s="647"/>
      <c r="BU1314" s="647"/>
      <c r="BV1314" s="647"/>
      <c r="BW1314" s="647"/>
      <c r="BX1314" s="647"/>
      <c r="BY1314" s="647"/>
    </row>
    <row r="1315" spans="1:77" s="164" customFormat="1" ht="12" customHeight="1">
      <c r="B1315" s="165" t="s">
        <v>291</v>
      </c>
      <c r="C1315" s="166"/>
      <c r="D1315" s="166"/>
      <c r="E1315" s="167" t="s">
        <v>1165</v>
      </c>
      <c r="F1315" s="164" t="s">
        <v>1166</v>
      </c>
      <c r="G1315" s="168" t="s">
        <v>1167</v>
      </c>
      <c r="H1315" s="164" t="s">
        <v>814</v>
      </c>
      <c r="I1315" s="164" t="s">
        <v>1168</v>
      </c>
      <c r="J1315" s="169">
        <v>13250.04</v>
      </c>
      <c r="L1315" s="169">
        <v>10.130000000000001</v>
      </c>
      <c r="M1315" s="169">
        <v>10.130000000000001</v>
      </c>
      <c r="N1315" s="170"/>
      <c r="O1315" s="171">
        <v>0.25</v>
      </c>
      <c r="P1315" s="171">
        <v>0.1</v>
      </c>
      <c r="Q1315" s="170">
        <v>0</v>
      </c>
      <c r="R1315" s="164" t="s">
        <v>112</v>
      </c>
      <c r="S1315" s="172" t="s">
        <v>113</v>
      </c>
      <c r="T1315" s="172">
        <v>64</v>
      </c>
      <c r="U1315" s="173" t="s">
        <v>164</v>
      </c>
      <c r="V1315" s="452"/>
      <c r="X1315" s="170">
        <v>0</v>
      </c>
      <c r="Y1315" s="170"/>
      <c r="AD1315" s="177">
        <f>X1315</f>
        <v>0</v>
      </c>
      <c r="AI1315" s="153"/>
      <c r="AJ1315" s="644"/>
    </row>
    <row r="1316" spans="1:77" s="250" customFormat="1" ht="12" customHeight="1">
      <c r="A1316" s="394"/>
      <c r="B1316" s="406" t="s">
        <v>291</v>
      </c>
      <c r="C1316" s="392"/>
      <c r="D1316" s="392"/>
      <c r="E1316" s="393" t="s">
        <v>1169</v>
      </c>
      <c r="F1316" s="394" t="s">
        <v>1170</v>
      </c>
      <c r="G1316" s="400">
        <v>4576</v>
      </c>
      <c r="H1316" s="394" t="s">
        <v>1141</v>
      </c>
      <c r="I1316" s="394" t="s">
        <v>33</v>
      </c>
      <c r="J1316" s="395">
        <v>10047.09</v>
      </c>
      <c r="K1316" s="394"/>
      <c r="L1316" s="395">
        <v>14.23</v>
      </c>
      <c r="M1316" s="395">
        <v>14.23</v>
      </c>
      <c r="N1316" s="396">
        <v>0</v>
      </c>
      <c r="O1316" s="397">
        <v>0.25</v>
      </c>
      <c r="P1316" s="397"/>
      <c r="Q1316" s="396">
        <v>0</v>
      </c>
      <c r="R1316" s="394" t="s">
        <v>128</v>
      </c>
      <c r="S1316" s="399" t="s">
        <v>41</v>
      </c>
      <c r="T1316" s="399">
        <v>86</v>
      </c>
      <c r="U1316" s="398" t="s">
        <v>164</v>
      </c>
      <c r="V1316" s="449"/>
      <c r="W1316" s="394"/>
      <c r="X1316" s="396">
        <v>0</v>
      </c>
      <c r="Y1316" s="396"/>
      <c r="Z1316" s="394"/>
      <c r="AA1316" s="394"/>
      <c r="AB1316" s="394"/>
      <c r="AC1316" s="394"/>
      <c r="AD1316" s="394"/>
      <c r="AE1316" s="394"/>
      <c r="AF1316" s="394"/>
      <c r="AG1316" s="394"/>
      <c r="AH1316" s="394"/>
      <c r="AI1316" s="379"/>
      <c r="AJ1316" s="390">
        <v>0</v>
      </c>
      <c r="AK1316" s="394"/>
      <c r="AL1316" s="394"/>
      <c r="AM1316" s="394"/>
      <c r="AN1316" s="394"/>
      <c r="AO1316" s="394"/>
      <c r="AP1316" s="394"/>
      <c r="AQ1316" s="394"/>
      <c r="AR1316" s="394"/>
      <c r="AS1316" s="394"/>
      <c r="AT1316" s="394"/>
      <c r="AU1316" s="394"/>
      <c r="AV1316" s="394"/>
      <c r="AW1316" s="394"/>
      <c r="AX1316" s="394"/>
      <c r="AY1316" s="394"/>
      <c r="AZ1316" s="394"/>
      <c r="BA1316" s="394"/>
      <c r="BB1316" s="394"/>
      <c r="BC1316" s="394"/>
      <c r="BD1316" s="394"/>
      <c r="BE1316" s="394"/>
      <c r="BF1316" s="394"/>
      <c r="BG1316" s="394"/>
      <c r="BH1316" s="394"/>
      <c r="BI1316" s="394"/>
      <c r="BJ1316" s="394"/>
      <c r="BK1316" s="394"/>
      <c r="BL1316" s="394"/>
      <c r="BM1316" s="394"/>
      <c r="BN1316" s="394"/>
      <c r="BO1316" s="394"/>
      <c r="BP1316" s="394"/>
      <c r="BQ1316" s="394"/>
      <c r="BR1316" s="394"/>
      <c r="BS1316" s="394"/>
      <c r="BT1316" s="394"/>
      <c r="BU1316" s="394"/>
      <c r="BV1316" s="394"/>
      <c r="BW1316" s="394"/>
      <c r="BX1316" s="394"/>
      <c r="BY1316" s="394"/>
    </row>
    <row r="1317" spans="1:77" s="273" customFormat="1" ht="12" customHeight="1">
      <c r="B1317" s="270" t="s">
        <v>291</v>
      </c>
      <c r="C1317" s="271">
        <v>44696</v>
      </c>
      <c r="D1317" s="271">
        <v>44700</v>
      </c>
      <c r="E1317" s="272" t="s">
        <v>1169</v>
      </c>
      <c r="F1317" s="273" t="s">
        <v>1170</v>
      </c>
      <c r="G1317" s="276">
        <v>4576</v>
      </c>
      <c r="H1317" s="273" t="s">
        <v>99</v>
      </c>
      <c r="I1317" s="273" t="s">
        <v>33</v>
      </c>
      <c r="J1317" s="277">
        <v>41748.65</v>
      </c>
      <c r="L1317" s="277">
        <v>41.63</v>
      </c>
      <c r="M1317" s="277">
        <v>41</v>
      </c>
      <c r="N1317" s="275">
        <v>6167.53</v>
      </c>
      <c r="O1317" s="278">
        <v>0.25</v>
      </c>
      <c r="P1317" s="278"/>
      <c r="Q1317" s="275">
        <v>0</v>
      </c>
      <c r="R1317" s="273" t="s">
        <v>128</v>
      </c>
      <c r="S1317" s="279" t="s">
        <v>41</v>
      </c>
      <c r="T1317" s="279">
        <v>86</v>
      </c>
      <c r="U1317" s="274" t="s">
        <v>164</v>
      </c>
      <c r="V1317" s="454"/>
      <c r="X1317" s="275">
        <v>0</v>
      </c>
      <c r="Y1317" s="275"/>
      <c r="AG1317" s="273">
        <f>X1317</f>
        <v>0</v>
      </c>
      <c r="AI1317" s="261"/>
      <c r="AJ1317" s="642"/>
    </row>
    <row r="1318" spans="1:77" s="164" customFormat="1" ht="12" customHeight="1">
      <c r="B1318" s="165" t="s">
        <v>291</v>
      </c>
      <c r="C1318" s="166"/>
      <c r="D1318" s="166"/>
      <c r="E1318" s="167" t="s">
        <v>1169</v>
      </c>
      <c r="F1318" s="164" t="s">
        <v>1170</v>
      </c>
      <c r="G1318" s="168">
        <v>4576</v>
      </c>
      <c r="H1318" s="164" t="s">
        <v>910</v>
      </c>
      <c r="I1318" s="164" t="s">
        <v>33</v>
      </c>
      <c r="J1318" s="169">
        <v>41644.81</v>
      </c>
      <c r="L1318" s="169">
        <v>29.67</v>
      </c>
      <c r="M1318" s="169">
        <v>27</v>
      </c>
      <c r="N1318" s="170">
        <v>0</v>
      </c>
      <c r="O1318" s="171">
        <v>0.25</v>
      </c>
      <c r="P1318" s="171"/>
      <c r="Q1318" s="170">
        <v>0</v>
      </c>
      <c r="R1318" s="164" t="s">
        <v>128</v>
      </c>
      <c r="S1318" s="172" t="s">
        <v>41</v>
      </c>
      <c r="T1318" s="172">
        <v>86</v>
      </c>
      <c r="U1318" s="173" t="s">
        <v>164</v>
      </c>
      <c r="V1318" s="452"/>
      <c r="X1318" s="170">
        <v>0</v>
      </c>
      <c r="Y1318" s="170"/>
      <c r="AD1318" s="177">
        <f>X1318</f>
        <v>0</v>
      </c>
      <c r="AI1318" s="153"/>
      <c r="AJ1318" s="644"/>
    </row>
    <row r="1319" spans="1:77" s="261" customFormat="1" ht="12" customHeight="1">
      <c r="B1319" s="258" t="s">
        <v>291</v>
      </c>
      <c r="C1319" s="259">
        <v>44696</v>
      </c>
      <c r="D1319" s="259">
        <v>44699</v>
      </c>
      <c r="E1319" s="260" t="s">
        <v>1171</v>
      </c>
      <c r="F1319" s="261" t="s">
        <v>1149</v>
      </c>
      <c r="G1319" s="262" t="s">
        <v>1150</v>
      </c>
      <c r="H1319" s="261" t="s">
        <v>27</v>
      </c>
      <c r="I1319" s="261" t="s">
        <v>1151</v>
      </c>
      <c r="J1319" s="263">
        <v>11558.4</v>
      </c>
      <c r="L1319" s="263">
        <v>8.9600000000000009</v>
      </c>
      <c r="M1319" s="263">
        <v>8.9600000000000009</v>
      </c>
      <c r="N1319" s="265">
        <f>2678.3</f>
        <v>2678.3</v>
      </c>
      <c r="O1319" s="266">
        <v>0.2</v>
      </c>
      <c r="P1319" s="266">
        <v>0.1</v>
      </c>
      <c r="Q1319" s="265">
        <v>0</v>
      </c>
      <c r="R1319" s="261" t="s">
        <v>112</v>
      </c>
      <c r="S1319" s="267" t="s">
        <v>113</v>
      </c>
      <c r="T1319" s="267">
        <v>64</v>
      </c>
      <c r="U1319" s="268" t="s">
        <v>164</v>
      </c>
      <c r="V1319" s="427"/>
      <c r="W1319" s="261" t="s">
        <v>3688</v>
      </c>
      <c r="X1319" s="265">
        <v>0</v>
      </c>
      <c r="Y1319" s="265"/>
      <c r="AG1319" s="261">
        <f>X1319</f>
        <v>0</v>
      </c>
      <c r="AJ1319" s="642"/>
      <c r="AK1319" s="273"/>
      <c r="AL1319" s="273"/>
      <c r="AM1319" s="273"/>
      <c r="AN1319" s="273"/>
      <c r="AO1319" s="273"/>
      <c r="AP1319" s="273"/>
      <c r="AQ1319" s="273"/>
      <c r="AR1319" s="273"/>
      <c r="AS1319" s="273"/>
      <c r="AT1319" s="273"/>
      <c r="AU1319" s="273"/>
      <c r="AV1319" s="273"/>
      <c r="AW1319" s="273"/>
      <c r="AX1319" s="273"/>
      <c r="AY1319" s="273"/>
      <c r="AZ1319" s="273"/>
      <c r="BA1319" s="273"/>
      <c r="BB1319" s="273"/>
      <c r="BC1319" s="273"/>
      <c r="BD1319" s="273"/>
      <c r="BE1319" s="273"/>
      <c r="BF1319" s="273"/>
      <c r="BG1319" s="273"/>
      <c r="BH1319" s="273"/>
      <c r="BI1319" s="273"/>
      <c r="BJ1319" s="273"/>
      <c r="BK1319" s="273"/>
      <c r="BL1319" s="273"/>
      <c r="BM1319" s="273"/>
      <c r="BN1319" s="273"/>
      <c r="BO1319" s="273"/>
      <c r="BP1319" s="273"/>
      <c r="BQ1319" s="273"/>
      <c r="BR1319" s="273"/>
      <c r="BS1319" s="273"/>
      <c r="BT1319" s="273"/>
      <c r="BU1319" s="273"/>
      <c r="BV1319" s="273"/>
      <c r="BW1319" s="273"/>
      <c r="BX1319" s="273"/>
      <c r="BY1319" s="273"/>
    </row>
    <row r="1320" spans="1:77" s="181" customFormat="1" ht="12" customHeight="1">
      <c r="B1320" s="178" t="s">
        <v>291</v>
      </c>
      <c r="C1320" s="179"/>
      <c r="D1320" s="179"/>
      <c r="E1320" s="180" t="s">
        <v>1171</v>
      </c>
      <c r="F1320" s="181" t="s">
        <v>1149</v>
      </c>
      <c r="G1320" s="182" t="s">
        <v>1150</v>
      </c>
      <c r="H1320" s="181" t="s">
        <v>765</v>
      </c>
      <c r="I1320" s="181" t="s">
        <v>1151</v>
      </c>
      <c r="J1320" s="183">
        <v>17770.89</v>
      </c>
      <c r="L1320" s="183">
        <v>12.06</v>
      </c>
      <c r="M1320" s="183">
        <v>6.2</v>
      </c>
      <c r="N1320" s="185"/>
      <c r="O1320" s="186">
        <v>0.2</v>
      </c>
      <c r="P1320" s="186">
        <v>0.1</v>
      </c>
      <c r="Q1320" s="185">
        <v>0</v>
      </c>
      <c r="R1320" s="181" t="s">
        <v>112</v>
      </c>
      <c r="S1320" s="187" t="s">
        <v>113</v>
      </c>
      <c r="T1320" s="187">
        <v>64</v>
      </c>
      <c r="U1320" s="188" t="s">
        <v>164</v>
      </c>
      <c r="V1320" s="441"/>
      <c r="X1320" s="185">
        <v>0</v>
      </c>
      <c r="Y1320" s="185"/>
      <c r="AE1320" s="204">
        <f>X1320</f>
        <v>0</v>
      </c>
      <c r="AJ1320" s="189"/>
      <c r="AK1320" s="184"/>
      <c r="AL1320" s="184"/>
      <c r="AM1320" s="184"/>
      <c r="AN1320" s="184"/>
      <c r="AO1320" s="184"/>
      <c r="AP1320" s="184"/>
      <c r="AQ1320" s="184"/>
      <c r="AR1320" s="184"/>
      <c r="AS1320" s="184"/>
      <c r="AT1320" s="184"/>
      <c r="AU1320" s="184"/>
      <c r="AV1320" s="184"/>
      <c r="AW1320" s="184"/>
      <c r="AX1320" s="184"/>
      <c r="AY1320" s="184"/>
      <c r="AZ1320" s="184"/>
      <c r="BA1320" s="184"/>
      <c r="BB1320" s="184"/>
      <c r="BC1320" s="184"/>
      <c r="BD1320" s="184"/>
      <c r="BE1320" s="184"/>
      <c r="BF1320" s="184"/>
      <c r="BG1320" s="184"/>
      <c r="BH1320" s="184"/>
      <c r="BI1320" s="184"/>
      <c r="BJ1320" s="184"/>
      <c r="BK1320" s="184"/>
      <c r="BL1320" s="184"/>
      <c r="BM1320" s="184"/>
      <c r="BN1320" s="184"/>
      <c r="BO1320" s="184"/>
      <c r="BP1320" s="184"/>
      <c r="BQ1320" s="184"/>
      <c r="BR1320" s="184"/>
      <c r="BS1320" s="184"/>
      <c r="BT1320" s="184"/>
      <c r="BU1320" s="184"/>
      <c r="BV1320" s="184"/>
      <c r="BW1320" s="184"/>
      <c r="BX1320" s="184"/>
      <c r="BY1320" s="184"/>
    </row>
    <row r="1321" spans="1:77" s="273" customFormat="1" ht="12" customHeight="1">
      <c r="B1321" s="258" t="s">
        <v>291</v>
      </c>
      <c r="C1321" s="271">
        <v>44700</v>
      </c>
      <c r="D1321" s="271">
        <v>44700</v>
      </c>
      <c r="E1321" s="272" t="s">
        <v>1172</v>
      </c>
      <c r="F1321" s="273" t="s">
        <v>1173</v>
      </c>
      <c r="G1321" s="276" t="s">
        <v>1174</v>
      </c>
      <c r="H1321" s="273" t="s">
        <v>137</v>
      </c>
      <c r="I1321" s="273" t="s">
        <v>33</v>
      </c>
      <c r="J1321" s="277">
        <v>3992.06</v>
      </c>
      <c r="L1321" s="277">
        <v>4.13</v>
      </c>
      <c r="M1321" s="277">
        <v>5.37</v>
      </c>
      <c r="N1321" s="275">
        <v>1188.04</v>
      </c>
      <c r="O1321" s="278">
        <v>0.25</v>
      </c>
      <c r="P1321" s="278"/>
      <c r="Q1321" s="275">
        <v>47.21</v>
      </c>
      <c r="R1321" s="273" t="s">
        <v>142</v>
      </c>
      <c r="S1321" s="279" t="s">
        <v>41</v>
      </c>
      <c r="T1321" s="279">
        <v>16</v>
      </c>
      <c r="U1321" s="274" t="s">
        <v>164</v>
      </c>
      <c r="V1321" s="454"/>
      <c r="X1321" s="275">
        <v>47.21</v>
      </c>
      <c r="Y1321" s="275"/>
      <c r="AG1321" s="290">
        <f>X1321</f>
        <v>47.21</v>
      </c>
      <c r="AI1321" s="261"/>
      <c r="AJ1321" s="642"/>
    </row>
    <row r="1322" spans="1:77" s="273" customFormat="1" ht="12" customHeight="1">
      <c r="B1322" s="258" t="s">
        <v>291</v>
      </c>
      <c r="C1322" s="271"/>
      <c r="D1322" s="271"/>
      <c r="E1322" s="272" t="s">
        <v>1172</v>
      </c>
      <c r="F1322" s="273" t="s">
        <v>1173</v>
      </c>
      <c r="G1322" s="276" t="s">
        <v>1174</v>
      </c>
      <c r="H1322" s="273" t="s">
        <v>183</v>
      </c>
      <c r="I1322" s="273" t="s">
        <v>33</v>
      </c>
      <c r="J1322" s="277">
        <v>5564.52</v>
      </c>
      <c r="L1322" s="277">
        <v>5.8</v>
      </c>
      <c r="M1322" s="277">
        <v>5.8</v>
      </c>
      <c r="N1322" s="275">
        <v>0</v>
      </c>
      <c r="O1322" s="278">
        <v>0.25</v>
      </c>
      <c r="P1322" s="278"/>
      <c r="Q1322" s="275">
        <v>0</v>
      </c>
      <c r="R1322" s="273" t="s">
        <v>142</v>
      </c>
      <c r="S1322" s="279" t="s">
        <v>41</v>
      </c>
      <c r="T1322" s="279">
        <v>16</v>
      </c>
      <c r="U1322" s="274" t="s">
        <v>164</v>
      </c>
      <c r="V1322" s="454"/>
      <c r="X1322" s="275">
        <v>0</v>
      </c>
      <c r="Y1322" s="275"/>
      <c r="AG1322" s="273">
        <f>X1322</f>
        <v>0</v>
      </c>
      <c r="AI1322" s="261"/>
      <c r="AJ1322" s="642"/>
    </row>
    <row r="1323" spans="1:77" s="273" customFormat="1" ht="12" customHeight="1">
      <c r="B1323" s="258" t="s">
        <v>291</v>
      </c>
      <c r="C1323" s="271"/>
      <c r="D1323" s="271"/>
      <c r="E1323" s="272" t="s">
        <v>1172</v>
      </c>
      <c r="F1323" s="273" t="s">
        <v>1173</v>
      </c>
      <c r="G1323" s="276" t="s">
        <v>1174</v>
      </c>
      <c r="H1323" s="273" t="s">
        <v>99</v>
      </c>
      <c r="I1323" s="273" t="s">
        <v>33</v>
      </c>
      <c r="J1323" s="277">
        <v>9030</v>
      </c>
      <c r="L1323" s="277">
        <v>7</v>
      </c>
      <c r="M1323" s="277">
        <v>7</v>
      </c>
      <c r="N1323" s="275">
        <v>0</v>
      </c>
      <c r="O1323" s="278">
        <v>0.25</v>
      </c>
      <c r="P1323" s="278"/>
      <c r="Q1323" s="275">
        <v>0</v>
      </c>
      <c r="R1323" s="273" t="s">
        <v>142</v>
      </c>
      <c r="S1323" s="279" t="s">
        <v>41</v>
      </c>
      <c r="T1323" s="279">
        <v>16</v>
      </c>
      <c r="U1323" s="274" t="s">
        <v>164</v>
      </c>
      <c r="V1323" s="454"/>
      <c r="X1323" s="275">
        <v>0</v>
      </c>
      <c r="Y1323" s="275"/>
      <c r="AG1323" s="273">
        <f>X1323</f>
        <v>0</v>
      </c>
      <c r="AI1323" s="261"/>
      <c r="AJ1323" s="642"/>
    </row>
    <row r="1324" spans="1:77" s="261" customFormat="1" ht="12" customHeight="1">
      <c r="A1324" s="379" t="s">
        <v>3893</v>
      </c>
      <c r="B1324" s="380" t="s">
        <v>291</v>
      </c>
      <c r="C1324" s="381"/>
      <c r="D1324" s="381"/>
      <c r="E1324" s="382" t="s">
        <v>1175</v>
      </c>
      <c r="F1324" s="379" t="s">
        <v>1085</v>
      </c>
      <c r="G1324" s="383" t="s">
        <v>1086</v>
      </c>
      <c r="H1324" s="379" t="s">
        <v>310</v>
      </c>
      <c r="I1324" s="379" t="s">
        <v>33</v>
      </c>
      <c r="J1324" s="385">
        <v>10373.629999999999</v>
      </c>
      <c r="K1324" s="379"/>
      <c r="L1324" s="385">
        <v>11.04</v>
      </c>
      <c r="M1324" s="385">
        <v>6.25</v>
      </c>
      <c r="N1324" s="386"/>
      <c r="O1324" s="387">
        <v>0.25</v>
      </c>
      <c r="P1324" s="387"/>
      <c r="Q1324" s="386">
        <v>952.15</v>
      </c>
      <c r="R1324" s="379" t="s">
        <v>128</v>
      </c>
      <c r="S1324" s="388" t="s">
        <v>34</v>
      </c>
      <c r="T1324" s="388">
        <v>79</v>
      </c>
      <c r="U1324" s="389" t="s">
        <v>164</v>
      </c>
      <c r="V1324" s="433"/>
      <c r="W1324" s="379"/>
      <c r="X1324" s="386">
        <v>952.15</v>
      </c>
      <c r="Y1324" s="386"/>
      <c r="Z1324" s="379"/>
      <c r="AA1324" s="379"/>
      <c r="AB1324" s="379"/>
      <c r="AC1324" s="379"/>
      <c r="AD1324" s="379"/>
      <c r="AE1324" s="379"/>
      <c r="AF1324" s="379"/>
      <c r="AG1324" s="379"/>
      <c r="AH1324" s="379"/>
      <c r="AI1324" s="379"/>
      <c r="AJ1324" s="416">
        <v>952.15</v>
      </c>
      <c r="AK1324" s="394"/>
      <c r="AL1324" s="394"/>
      <c r="AM1324" s="394"/>
      <c r="AN1324" s="394"/>
      <c r="AO1324" s="394"/>
      <c r="AP1324" s="394"/>
      <c r="AQ1324" s="394"/>
      <c r="AR1324" s="394"/>
      <c r="AS1324" s="394"/>
      <c r="AT1324" s="394"/>
      <c r="AU1324" s="394"/>
      <c r="AV1324" s="394"/>
      <c r="AW1324" s="394"/>
      <c r="AX1324" s="394"/>
      <c r="AY1324" s="394"/>
      <c r="AZ1324" s="394"/>
      <c r="BA1324" s="394"/>
      <c r="BB1324" s="394"/>
      <c r="BC1324" s="394"/>
      <c r="BD1324" s="394"/>
      <c r="BE1324" s="394"/>
      <c r="BF1324" s="394"/>
      <c r="BG1324" s="394"/>
      <c r="BH1324" s="394"/>
      <c r="BI1324" s="394"/>
      <c r="BJ1324" s="394"/>
      <c r="BK1324" s="394"/>
      <c r="BL1324" s="394"/>
      <c r="BM1324" s="394"/>
      <c r="BN1324" s="394"/>
      <c r="BO1324" s="394"/>
      <c r="BP1324" s="394"/>
      <c r="BQ1324" s="394"/>
      <c r="BR1324" s="394"/>
      <c r="BS1324" s="394"/>
      <c r="BT1324" s="394"/>
      <c r="BU1324" s="394"/>
      <c r="BV1324" s="394"/>
      <c r="BW1324" s="394"/>
      <c r="BX1324" s="394"/>
      <c r="BY1324" s="394"/>
    </row>
    <row r="1325" spans="1:77" s="261" customFormat="1" ht="12" customHeight="1">
      <c r="B1325" s="258" t="s">
        <v>291</v>
      </c>
      <c r="C1325" s="259">
        <v>44697</v>
      </c>
      <c r="D1325" s="259">
        <v>44697</v>
      </c>
      <c r="E1325" s="260" t="s">
        <v>1175</v>
      </c>
      <c r="F1325" s="261" t="s">
        <v>1085</v>
      </c>
      <c r="G1325" s="262" t="s">
        <v>1086</v>
      </c>
      <c r="H1325" s="261" t="s">
        <v>140</v>
      </c>
      <c r="I1325" s="261" t="s">
        <v>33</v>
      </c>
      <c r="J1325" s="263">
        <v>16807.189999999999</v>
      </c>
      <c r="L1325" s="263">
        <v>11.44</v>
      </c>
      <c r="M1325" s="263">
        <v>11.44</v>
      </c>
      <c r="N1325" s="265"/>
      <c r="O1325" s="266">
        <v>0.25</v>
      </c>
      <c r="P1325" s="266"/>
      <c r="Q1325" s="265">
        <v>0</v>
      </c>
      <c r="R1325" s="261" t="s">
        <v>128</v>
      </c>
      <c r="S1325" s="267" t="s">
        <v>34</v>
      </c>
      <c r="T1325" s="267">
        <v>79</v>
      </c>
      <c r="U1325" s="268" t="s">
        <v>164</v>
      </c>
      <c r="V1325" s="427"/>
      <c r="X1325" s="265">
        <v>0</v>
      </c>
      <c r="Y1325" s="265"/>
      <c r="AG1325" s="261">
        <f>X1325</f>
        <v>0</v>
      </c>
      <c r="AJ1325" s="642"/>
      <c r="AK1325" s="273"/>
      <c r="AL1325" s="273"/>
      <c r="AM1325" s="273"/>
      <c r="AN1325" s="273"/>
      <c r="AO1325" s="273"/>
      <c r="AP1325" s="273"/>
      <c r="AQ1325" s="273"/>
      <c r="AR1325" s="273"/>
      <c r="AS1325" s="273"/>
      <c r="AT1325" s="273"/>
      <c r="AU1325" s="273"/>
      <c r="AV1325" s="273"/>
      <c r="AW1325" s="273"/>
      <c r="AX1325" s="273"/>
      <c r="AY1325" s="273"/>
      <c r="AZ1325" s="273"/>
      <c r="BA1325" s="273"/>
      <c r="BB1325" s="273"/>
      <c r="BC1325" s="273"/>
      <c r="BD1325" s="273"/>
      <c r="BE1325" s="273"/>
      <c r="BF1325" s="273"/>
      <c r="BG1325" s="273"/>
      <c r="BH1325" s="273"/>
      <c r="BI1325" s="273"/>
      <c r="BJ1325" s="273"/>
      <c r="BK1325" s="273"/>
      <c r="BL1325" s="273"/>
      <c r="BM1325" s="273"/>
      <c r="BN1325" s="273"/>
      <c r="BO1325" s="273"/>
      <c r="BP1325" s="273"/>
      <c r="BQ1325" s="273"/>
      <c r="BR1325" s="273"/>
      <c r="BS1325" s="273"/>
      <c r="BT1325" s="273"/>
      <c r="BU1325" s="273"/>
      <c r="BV1325" s="273"/>
      <c r="BW1325" s="273"/>
      <c r="BX1325" s="273"/>
      <c r="BY1325" s="273"/>
    </row>
    <row r="1326" spans="1:77" s="261" customFormat="1" ht="12" customHeight="1">
      <c r="B1326" s="258" t="s">
        <v>291</v>
      </c>
      <c r="C1326" s="259"/>
      <c r="D1326" s="259"/>
      <c r="E1326" s="260" t="s">
        <v>1175</v>
      </c>
      <c r="F1326" s="261" t="s">
        <v>1085</v>
      </c>
      <c r="G1326" s="262" t="s">
        <v>1086</v>
      </c>
      <c r="H1326" s="261" t="s">
        <v>99</v>
      </c>
      <c r="I1326" s="261" t="s">
        <v>33</v>
      </c>
      <c r="J1326" s="263">
        <v>44014.23</v>
      </c>
      <c r="L1326" s="263">
        <v>37.25</v>
      </c>
      <c r="M1326" s="263">
        <v>37.24</v>
      </c>
      <c r="N1326" s="265"/>
      <c r="O1326" s="266">
        <v>0.25</v>
      </c>
      <c r="P1326" s="266"/>
      <c r="Q1326" s="265">
        <v>0</v>
      </c>
      <c r="R1326" s="261" t="s">
        <v>128</v>
      </c>
      <c r="S1326" s="267" t="s">
        <v>34</v>
      </c>
      <c r="T1326" s="267">
        <v>79</v>
      </c>
      <c r="U1326" s="268" t="s">
        <v>164</v>
      </c>
      <c r="V1326" s="427"/>
      <c r="X1326" s="265">
        <v>0</v>
      </c>
      <c r="Y1326" s="265"/>
      <c r="AG1326" s="261">
        <f>X1326</f>
        <v>0</v>
      </c>
      <c r="AJ1326" s="642"/>
      <c r="AK1326" s="273"/>
      <c r="AL1326" s="273"/>
      <c r="AM1326" s="273"/>
      <c r="AN1326" s="273"/>
      <c r="AO1326" s="273"/>
      <c r="AP1326" s="273"/>
      <c r="AQ1326" s="273"/>
      <c r="AR1326" s="273"/>
      <c r="AS1326" s="273"/>
      <c r="AT1326" s="273"/>
      <c r="AU1326" s="273"/>
      <c r="AV1326" s="273"/>
      <c r="AW1326" s="273"/>
      <c r="AX1326" s="273"/>
      <c r="AY1326" s="273"/>
      <c r="AZ1326" s="273"/>
      <c r="BA1326" s="273"/>
      <c r="BB1326" s="273"/>
      <c r="BC1326" s="273"/>
      <c r="BD1326" s="273"/>
      <c r="BE1326" s="273"/>
      <c r="BF1326" s="273"/>
      <c r="BG1326" s="273"/>
      <c r="BH1326" s="273"/>
      <c r="BI1326" s="273"/>
      <c r="BJ1326" s="273"/>
      <c r="BK1326" s="273"/>
      <c r="BL1326" s="273"/>
      <c r="BM1326" s="273"/>
      <c r="BN1326" s="273"/>
      <c r="BO1326" s="273"/>
      <c r="BP1326" s="273"/>
      <c r="BQ1326" s="273"/>
      <c r="BR1326" s="273"/>
      <c r="BS1326" s="273"/>
      <c r="BT1326" s="273"/>
      <c r="BU1326" s="273"/>
      <c r="BV1326" s="273"/>
      <c r="BW1326" s="273"/>
      <c r="BX1326" s="273"/>
      <c r="BY1326" s="273"/>
    </row>
    <row r="1327" spans="1:77" s="261" customFormat="1" ht="12" customHeight="1">
      <c r="B1327" s="258" t="s">
        <v>291</v>
      </c>
      <c r="C1327" s="259"/>
      <c r="D1327" s="259"/>
      <c r="E1327" s="260" t="s">
        <v>1175</v>
      </c>
      <c r="F1327" s="261" t="s">
        <v>1085</v>
      </c>
      <c r="G1327" s="262" t="s">
        <v>1086</v>
      </c>
      <c r="H1327" s="261" t="s">
        <v>27</v>
      </c>
      <c r="I1327" s="261" t="s">
        <v>33</v>
      </c>
      <c r="J1327" s="263">
        <v>32866.519999999997</v>
      </c>
      <c r="L1327" s="263">
        <v>25.24</v>
      </c>
      <c r="M1327" s="263">
        <v>25.24</v>
      </c>
      <c r="N1327" s="265"/>
      <c r="O1327" s="266">
        <v>0.25</v>
      </c>
      <c r="P1327" s="266"/>
      <c r="Q1327" s="265">
        <v>0</v>
      </c>
      <c r="R1327" s="261" t="s">
        <v>128</v>
      </c>
      <c r="S1327" s="267" t="s">
        <v>34</v>
      </c>
      <c r="T1327" s="267">
        <v>79</v>
      </c>
      <c r="U1327" s="268" t="s">
        <v>164</v>
      </c>
      <c r="V1327" s="427"/>
      <c r="X1327" s="265">
        <v>0</v>
      </c>
      <c r="Y1327" s="265"/>
      <c r="AG1327" s="261">
        <f>X1327</f>
        <v>0</v>
      </c>
      <c r="AJ1327" s="642"/>
      <c r="AK1327" s="273"/>
      <c r="AL1327" s="273"/>
      <c r="AM1327" s="273"/>
      <c r="AN1327" s="273"/>
      <c r="AO1327" s="273"/>
      <c r="AP1327" s="273"/>
      <c r="AQ1327" s="273"/>
      <c r="AR1327" s="273"/>
      <c r="AS1327" s="273"/>
      <c r="AT1327" s="273"/>
      <c r="AU1327" s="273"/>
      <c r="AV1327" s="273"/>
      <c r="AW1327" s="273"/>
      <c r="AX1327" s="273"/>
      <c r="AY1327" s="273"/>
      <c r="AZ1327" s="273"/>
      <c r="BA1327" s="273"/>
      <c r="BB1327" s="273"/>
      <c r="BC1327" s="273"/>
      <c r="BD1327" s="273"/>
      <c r="BE1327" s="273"/>
      <c r="BF1327" s="273"/>
      <c r="BG1327" s="273"/>
      <c r="BH1327" s="273"/>
      <c r="BI1327" s="273"/>
      <c r="BJ1327" s="273"/>
      <c r="BK1327" s="273"/>
      <c r="BL1327" s="273"/>
      <c r="BM1327" s="273"/>
      <c r="BN1327" s="273"/>
      <c r="BO1327" s="273"/>
      <c r="BP1327" s="273"/>
      <c r="BQ1327" s="273"/>
      <c r="BR1327" s="273"/>
      <c r="BS1327" s="273"/>
      <c r="BT1327" s="273"/>
      <c r="BU1327" s="273"/>
      <c r="BV1327" s="273"/>
      <c r="BW1327" s="273"/>
      <c r="BX1327" s="273"/>
      <c r="BY1327" s="273"/>
    </row>
    <row r="1328" spans="1:77" s="261" customFormat="1" ht="12" customHeight="1">
      <c r="B1328" s="258" t="s">
        <v>291</v>
      </c>
      <c r="C1328" s="259"/>
      <c r="D1328" s="259"/>
      <c r="E1328" s="260" t="s">
        <v>1175</v>
      </c>
      <c r="F1328" s="261" t="s">
        <v>1085</v>
      </c>
      <c r="G1328" s="262" t="s">
        <v>1086</v>
      </c>
      <c r="H1328" s="261" t="s">
        <v>183</v>
      </c>
      <c r="I1328" s="261" t="s">
        <v>33</v>
      </c>
      <c r="J1328" s="263">
        <v>7078.33</v>
      </c>
      <c r="L1328" s="263">
        <v>6.76</v>
      </c>
      <c r="M1328" s="263">
        <v>6.41</v>
      </c>
      <c r="N1328" s="265"/>
      <c r="O1328" s="266">
        <v>0.25</v>
      </c>
      <c r="P1328" s="266"/>
      <c r="Q1328" s="265">
        <v>0</v>
      </c>
      <c r="R1328" s="261" t="s">
        <v>128</v>
      </c>
      <c r="S1328" s="267" t="s">
        <v>34</v>
      </c>
      <c r="T1328" s="267">
        <v>79</v>
      </c>
      <c r="U1328" s="268" t="s">
        <v>164</v>
      </c>
      <c r="V1328" s="427"/>
      <c r="X1328" s="265">
        <v>0</v>
      </c>
      <c r="Y1328" s="265"/>
      <c r="AG1328" s="261">
        <f>X1328</f>
        <v>0</v>
      </c>
      <c r="AJ1328" s="642"/>
      <c r="AK1328" s="273"/>
      <c r="AL1328" s="273"/>
      <c r="AM1328" s="273"/>
      <c r="AN1328" s="273"/>
      <c r="AO1328" s="273"/>
      <c r="AP1328" s="273"/>
      <c r="AQ1328" s="273"/>
      <c r="AR1328" s="273"/>
      <c r="AS1328" s="273"/>
      <c r="AT1328" s="273"/>
      <c r="AU1328" s="273"/>
      <c r="AV1328" s="273"/>
      <c r="AW1328" s="273"/>
      <c r="AX1328" s="273"/>
      <c r="AY1328" s="273"/>
      <c r="AZ1328" s="273"/>
      <c r="BA1328" s="273"/>
      <c r="BB1328" s="273"/>
      <c r="BC1328" s="273"/>
      <c r="BD1328" s="273"/>
      <c r="BE1328" s="273"/>
      <c r="BF1328" s="273"/>
      <c r="BG1328" s="273"/>
      <c r="BH1328" s="273"/>
      <c r="BI1328" s="273"/>
      <c r="BJ1328" s="273"/>
      <c r="BK1328" s="273"/>
      <c r="BL1328" s="273"/>
      <c r="BM1328" s="273"/>
      <c r="BN1328" s="273"/>
      <c r="BO1328" s="273"/>
      <c r="BP1328" s="273"/>
      <c r="BQ1328" s="273"/>
      <c r="BR1328" s="273"/>
      <c r="BS1328" s="273"/>
      <c r="BT1328" s="273"/>
      <c r="BU1328" s="273"/>
      <c r="BV1328" s="273"/>
      <c r="BW1328" s="273"/>
      <c r="BX1328" s="273"/>
      <c r="BY1328" s="273"/>
    </row>
    <row r="1329" spans="1:77" s="6" customFormat="1" ht="12" customHeight="1">
      <c r="A1329" s="379"/>
      <c r="B1329" s="379" t="s">
        <v>291</v>
      </c>
      <c r="C1329" s="381">
        <v>44699</v>
      </c>
      <c r="D1329" s="381">
        <v>44700</v>
      </c>
      <c r="E1329" s="382" t="s">
        <v>1176</v>
      </c>
      <c r="F1329" s="379" t="s">
        <v>245</v>
      </c>
      <c r="G1329" s="383">
        <v>4294</v>
      </c>
      <c r="H1329" s="379" t="s">
        <v>27</v>
      </c>
      <c r="I1329" s="379" t="s">
        <v>888</v>
      </c>
      <c r="J1329" s="385">
        <v>7462</v>
      </c>
      <c r="K1329" s="379"/>
      <c r="L1329" s="385">
        <v>4.55</v>
      </c>
      <c r="M1329" s="385">
        <v>4.55</v>
      </c>
      <c r="N1329" s="386"/>
      <c r="O1329" s="387">
        <v>0.2</v>
      </c>
      <c r="P1329" s="387"/>
      <c r="Q1329" s="386">
        <v>0</v>
      </c>
      <c r="R1329" s="379" t="s">
        <v>35</v>
      </c>
      <c r="S1329" s="388" t="s">
        <v>41</v>
      </c>
      <c r="T1329" s="388">
        <v>17</v>
      </c>
      <c r="U1329" s="389" t="s">
        <v>164</v>
      </c>
      <c r="V1329" s="433"/>
      <c r="W1329" s="379"/>
      <c r="X1329" s="386">
        <v>0</v>
      </c>
      <c r="Y1329" s="386"/>
      <c r="Z1329" s="379"/>
      <c r="AA1329" s="379"/>
      <c r="AB1329" s="379"/>
      <c r="AC1329" s="379"/>
      <c r="AD1329" s="379"/>
      <c r="AE1329" s="379"/>
      <c r="AF1329" s="379"/>
      <c r="AG1329" s="379"/>
      <c r="AH1329" s="379"/>
      <c r="AI1329" s="379"/>
      <c r="AJ1329" s="390">
        <v>0</v>
      </c>
      <c r="AK1329" s="394"/>
      <c r="AL1329" s="394"/>
      <c r="AM1329" s="394"/>
      <c r="AN1329" s="394"/>
      <c r="AO1329" s="394"/>
      <c r="AP1329" s="394"/>
      <c r="AQ1329" s="394"/>
      <c r="AR1329" s="394"/>
      <c r="AS1329" s="394"/>
      <c r="AT1329" s="394"/>
      <c r="AU1329" s="394"/>
      <c r="AV1329" s="394"/>
      <c r="AW1329" s="394"/>
      <c r="AX1329" s="394"/>
      <c r="AY1329" s="394"/>
      <c r="AZ1329" s="394"/>
      <c r="BA1329" s="394"/>
      <c r="BB1329" s="394"/>
      <c r="BC1329" s="394"/>
      <c r="BD1329" s="394"/>
      <c r="BE1329" s="394"/>
      <c r="BF1329" s="394"/>
      <c r="BG1329" s="394"/>
      <c r="BH1329" s="394"/>
      <c r="BI1329" s="394"/>
      <c r="BJ1329" s="394"/>
      <c r="BK1329" s="394"/>
      <c r="BL1329" s="394"/>
      <c r="BM1329" s="394"/>
      <c r="BN1329" s="394"/>
      <c r="BO1329" s="394"/>
      <c r="BP1329" s="394"/>
      <c r="BQ1329" s="394"/>
      <c r="BR1329" s="394"/>
      <c r="BS1329" s="394"/>
      <c r="BT1329" s="394"/>
      <c r="BU1329" s="394"/>
      <c r="BV1329" s="394"/>
      <c r="BW1329" s="394"/>
      <c r="BX1329" s="394"/>
      <c r="BY1329" s="394"/>
    </row>
    <row r="1330" spans="1:77" s="6" customFormat="1" ht="12" customHeight="1">
      <c r="A1330" s="379"/>
      <c r="B1330" s="379" t="s">
        <v>291</v>
      </c>
      <c r="C1330" s="381"/>
      <c r="D1330" s="381"/>
      <c r="E1330" s="382" t="s">
        <v>1176</v>
      </c>
      <c r="F1330" s="379" t="s">
        <v>245</v>
      </c>
      <c r="G1330" s="383">
        <v>4294</v>
      </c>
      <c r="H1330" s="379" t="s">
        <v>140</v>
      </c>
      <c r="I1330" s="379" t="s">
        <v>888</v>
      </c>
      <c r="J1330" s="385">
        <v>40600.620000000003</v>
      </c>
      <c r="K1330" s="379"/>
      <c r="L1330" s="385">
        <v>21.38</v>
      </c>
      <c r="M1330" s="385">
        <v>21.38</v>
      </c>
      <c r="N1330" s="386"/>
      <c r="O1330" s="387">
        <v>0.2</v>
      </c>
      <c r="P1330" s="387"/>
      <c r="Q1330" s="386">
        <v>0</v>
      </c>
      <c r="R1330" s="379" t="s">
        <v>35</v>
      </c>
      <c r="S1330" s="388" t="s">
        <v>41</v>
      </c>
      <c r="T1330" s="388">
        <v>17</v>
      </c>
      <c r="U1330" s="389" t="s">
        <v>164</v>
      </c>
      <c r="V1330" s="433"/>
      <c r="W1330" s="379"/>
      <c r="X1330" s="386">
        <v>0</v>
      </c>
      <c r="Y1330" s="386"/>
      <c r="Z1330" s="379"/>
      <c r="AA1330" s="379"/>
      <c r="AB1330" s="379"/>
      <c r="AC1330" s="379"/>
      <c r="AD1330" s="379"/>
      <c r="AE1330" s="379"/>
      <c r="AF1330" s="379"/>
      <c r="AG1330" s="379"/>
      <c r="AH1330" s="379"/>
      <c r="AI1330" s="379"/>
      <c r="AJ1330" s="390">
        <v>0</v>
      </c>
      <c r="AK1330" s="394"/>
      <c r="AL1330" s="394"/>
      <c r="AM1330" s="394"/>
      <c r="AN1330" s="394"/>
      <c r="AO1330" s="394"/>
      <c r="AP1330" s="394"/>
      <c r="AQ1330" s="394"/>
      <c r="AR1330" s="394"/>
      <c r="AS1330" s="394"/>
      <c r="AT1330" s="394"/>
      <c r="AU1330" s="394"/>
      <c r="AV1330" s="394"/>
      <c r="AW1330" s="394"/>
      <c r="AX1330" s="394"/>
      <c r="AY1330" s="394"/>
      <c r="AZ1330" s="394"/>
      <c r="BA1330" s="394"/>
      <c r="BB1330" s="394"/>
      <c r="BC1330" s="394"/>
      <c r="BD1330" s="394"/>
      <c r="BE1330" s="394"/>
      <c r="BF1330" s="394"/>
      <c r="BG1330" s="394"/>
      <c r="BH1330" s="394"/>
      <c r="BI1330" s="394"/>
      <c r="BJ1330" s="394"/>
      <c r="BK1330" s="394"/>
      <c r="BL1330" s="394"/>
      <c r="BM1330" s="394"/>
      <c r="BN1330" s="394"/>
      <c r="BO1330" s="394"/>
      <c r="BP1330" s="394"/>
      <c r="BQ1330" s="394"/>
      <c r="BR1330" s="394"/>
      <c r="BS1330" s="394"/>
      <c r="BT1330" s="394"/>
      <c r="BU1330" s="394"/>
      <c r="BV1330" s="394"/>
      <c r="BW1330" s="394"/>
      <c r="BX1330" s="394"/>
      <c r="BY1330" s="394"/>
    </row>
    <row r="1331" spans="1:77" s="6" customFormat="1" ht="12" customHeight="1">
      <c r="A1331" s="379"/>
      <c r="B1331" s="379" t="s">
        <v>291</v>
      </c>
      <c r="C1331" s="381"/>
      <c r="D1331" s="381"/>
      <c r="E1331" s="382" t="s">
        <v>1176</v>
      </c>
      <c r="F1331" s="379" t="s">
        <v>245</v>
      </c>
      <c r="G1331" s="383">
        <v>4294</v>
      </c>
      <c r="H1331" s="379" t="s">
        <v>336</v>
      </c>
      <c r="I1331" s="379" t="s">
        <v>888</v>
      </c>
      <c r="J1331" s="385">
        <v>39694.449999999997</v>
      </c>
      <c r="K1331" s="379"/>
      <c r="L1331" s="385">
        <v>26.97</v>
      </c>
      <c r="M1331" s="385">
        <v>26.97</v>
      </c>
      <c r="N1331" s="386"/>
      <c r="O1331" s="387">
        <v>0.2</v>
      </c>
      <c r="P1331" s="387"/>
      <c r="Q1331" s="386">
        <v>0</v>
      </c>
      <c r="R1331" s="379" t="s">
        <v>35</v>
      </c>
      <c r="S1331" s="388" t="s">
        <v>41</v>
      </c>
      <c r="T1331" s="388">
        <v>17</v>
      </c>
      <c r="U1331" s="389" t="s">
        <v>164</v>
      </c>
      <c r="V1331" s="433"/>
      <c r="W1331" s="379"/>
      <c r="X1331" s="386">
        <v>0</v>
      </c>
      <c r="Y1331" s="386"/>
      <c r="Z1331" s="379"/>
      <c r="AA1331" s="379"/>
      <c r="AB1331" s="379"/>
      <c r="AC1331" s="379"/>
      <c r="AD1331" s="379"/>
      <c r="AE1331" s="379"/>
      <c r="AF1331" s="379"/>
      <c r="AG1331" s="379"/>
      <c r="AH1331" s="379"/>
      <c r="AI1331" s="379"/>
      <c r="AJ1331" s="390">
        <v>0</v>
      </c>
      <c r="AK1331" s="394"/>
      <c r="AL1331" s="394"/>
      <c r="AM1331" s="394"/>
      <c r="AN1331" s="394"/>
      <c r="AO1331" s="394"/>
      <c r="AP1331" s="394"/>
      <c r="AQ1331" s="394"/>
      <c r="AR1331" s="394"/>
      <c r="AS1331" s="394"/>
      <c r="AT1331" s="394"/>
      <c r="AU1331" s="394"/>
      <c r="AV1331" s="394"/>
      <c r="AW1331" s="394"/>
      <c r="AX1331" s="394"/>
      <c r="AY1331" s="394"/>
      <c r="AZ1331" s="394"/>
      <c r="BA1331" s="394"/>
      <c r="BB1331" s="394"/>
      <c r="BC1331" s="394"/>
      <c r="BD1331" s="394"/>
      <c r="BE1331" s="394"/>
      <c r="BF1331" s="394"/>
      <c r="BG1331" s="394"/>
      <c r="BH1331" s="394"/>
      <c r="BI1331" s="394"/>
      <c r="BJ1331" s="394"/>
      <c r="BK1331" s="394"/>
      <c r="BL1331" s="394"/>
      <c r="BM1331" s="394"/>
      <c r="BN1331" s="394"/>
      <c r="BO1331" s="394"/>
      <c r="BP1331" s="394"/>
      <c r="BQ1331" s="394"/>
      <c r="BR1331" s="394"/>
      <c r="BS1331" s="394"/>
      <c r="BT1331" s="394"/>
      <c r="BU1331" s="394"/>
      <c r="BV1331" s="394"/>
      <c r="BW1331" s="394"/>
      <c r="BX1331" s="394"/>
      <c r="BY1331" s="394"/>
    </row>
    <row r="1332" spans="1:77" s="6" customFormat="1" ht="12" customHeight="1">
      <c r="A1332" s="379"/>
      <c r="B1332" s="379" t="s">
        <v>291</v>
      </c>
      <c r="C1332" s="381"/>
      <c r="D1332" s="381"/>
      <c r="E1332" s="382" t="s">
        <v>1176</v>
      </c>
      <c r="F1332" s="379" t="s">
        <v>245</v>
      </c>
      <c r="G1332" s="383">
        <v>4294</v>
      </c>
      <c r="H1332" s="379" t="s">
        <v>137</v>
      </c>
      <c r="I1332" s="379" t="s">
        <v>888</v>
      </c>
      <c r="J1332" s="385">
        <v>14952.4</v>
      </c>
      <c r="K1332" s="379"/>
      <c r="L1332" s="385">
        <v>12.89</v>
      </c>
      <c r="M1332" s="385">
        <v>12.89</v>
      </c>
      <c r="N1332" s="386">
        <f>J1332*0.3</f>
        <v>4485.7199999999993</v>
      </c>
      <c r="O1332" s="387">
        <v>0.2</v>
      </c>
      <c r="P1332" s="387"/>
      <c r="Q1332" s="386">
        <v>0</v>
      </c>
      <c r="R1332" s="379" t="s">
        <v>35</v>
      </c>
      <c r="S1332" s="388" t="s">
        <v>41</v>
      </c>
      <c r="T1332" s="388">
        <v>17</v>
      </c>
      <c r="U1332" s="389" t="s">
        <v>164</v>
      </c>
      <c r="V1332" s="433"/>
      <c r="W1332" s="379"/>
      <c r="X1332" s="386">
        <v>0</v>
      </c>
      <c r="Y1332" s="386"/>
      <c r="Z1332" s="379"/>
      <c r="AA1332" s="379"/>
      <c r="AB1332" s="379"/>
      <c r="AC1332" s="379"/>
      <c r="AD1332" s="379"/>
      <c r="AE1332" s="379"/>
      <c r="AF1332" s="379"/>
      <c r="AG1332" s="379"/>
      <c r="AH1332" s="379"/>
      <c r="AI1332" s="379"/>
      <c r="AJ1332" s="390">
        <v>0</v>
      </c>
      <c r="AK1332" s="394"/>
      <c r="AL1332" s="394"/>
      <c r="AM1332" s="394"/>
      <c r="AN1332" s="394"/>
      <c r="AO1332" s="394"/>
      <c r="AP1332" s="394"/>
      <c r="AQ1332" s="394"/>
      <c r="AR1332" s="394"/>
      <c r="AS1332" s="394"/>
      <c r="AT1332" s="394"/>
      <c r="AU1332" s="394"/>
      <c r="AV1332" s="394"/>
      <c r="AW1332" s="394"/>
      <c r="AX1332" s="394"/>
      <c r="AY1332" s="394"/>
      <c r="AZ1332" s="394"/>
      <c r="BA1332" s="394"/>
      <c r="BB1332" s="394"/>
      <c r="BC1332" s="394"/>
      <c r="BD1332" s="394"/>
      <c r="BE1332" s="394"/>
      <c r="BF1332" s="394"/>
      <c r="BG1332" s="394"/>
      <c r="BH1332" s="394"/>
      <c r="BI1332" s="394"/>
      <c r="BJ1332" s="394"/>
      <c r="BK1332" s="394"/>
      <c r="BL1332" s="394"/>
      <c r="BM1332" s="394"/>
      <c r="BN1332" s="394"/>
      <c r="BO1332" s="394"/>
      <c r="BP1332" s="394"/>
      <c r="BQ1332" s="394"/>
      <c r="BR1332" s="394"/>
      <c r="BS1332" s="394"/>
      <c r="BT1332" s="394"/>
      <c r="BU1332" s="394"/>
      <c r="BV1332" s="394"/>
      <c r="BW1332" s="394"/>
      <c r="BX1332" s="394"/>
      <c r="BY1332" s="394"/>
    </row>
    <row r="1333" spans="1:77" s="379" customFormat="1" ht="12" customHeight="1">
      <c r="B1333" s="379" t="s">
        <v>291</v>
      </c>
      <c r="C1333" s="381"/>
      <c r="D1333" s="381"/>
      <c r="E1333" s="382" t="s">
        <v>1176</v>
      </c>
      <c r="F1333" s="379" t="s">
        <v>245</v>
      </c>
      <c r="G1333" s="383">
        <v>4294</v>
      </c>
      <c r="H1333" s="379" t="s">
        <v>183</v>
      </c>
      <c r="I1333" s="379" t="s">
        <v>888</v>
      </c>
      <c r="J1333" s="385">
        <v>40843.24</v>
      </c>
      <c r="L1333" s="385">
        <v>32.97</v>
      </c>
      <c r="M1333" s="385">
        <v>32.97</v>
      </c>
      <c r="N1333" s="386"/>
      <c r="O1333" s="387">
        <v>0.2</v>
      </c>
      <c r="P1333" s="387"/>
      <c r="Q1333" s="386">
        <v>113.07</v>
      </c>
      <c r="R1333" s="379" t="s">
        <v>35</v>
      </c>
      <c r="S1333" s="388" t="s">
        <v>41</v>
      </c>
      <c r="T1333" s="388">
        <v>17</v>
      </c>
      <c r="U1333" s="389" t="s">
        <v>164</v>
      </c>
      <c r="V1333" s="433"/>
      <c r="X1333" s="386">
        <v>113.07</v>
      </c>
      <c r="Y1333" s="386"/>
      <c r="AJ1333" s="390">
        <v>113.07</v>
      </c>
      <c r="AK1333" s="394"/>
      <c r="AL1333" s="394"/>
      <c r="AM1333" s="394"/>
      <c r="AN1333" s="394"/>
      <c r="AO1333" s="394"/>
      <c r="AP1333" s="394"/>
      <c r="AQ1333" s="394"/>
      <c r="AR1333" s="394"/>
      <c r="AS1333" s="394"/>
      <c r="AT1333" s="394"/>
      <c r="AU1333" s="394"/>
      <c r="AV1333" s="394"/>
      <c r="AW1333" s="394"/>
      <c r="AX1333" s="394"/>
      <c r="AY1333" s="394"/>
      <c r="AZ1333" s="394"/>
      <c r="BA1333" s="394"/>
      <c r="BB1333" s="394"/>
      <c r="BC1333" s="394"/>
      <c r="BD1333" s="394"/>
      <c r="BE1333" s="394"/>
      <c r="BF1333" s="394"/>
      <c r="BG1333" s="394"/>
      <c r="BH1333" s="394"/>
      <c r="BI1333" s="394"/>
      <c r="BJ1333" s="394"/>
      <c r="BK1333" s="394"/>
      <c r="BL1333" s="394"/>
      <c r="BM1333" s="394"/>
      <c r="BN1333" s="394"/>
      <c r="BO1333" s="394"/>
      <c r="BP1333" s="394"/>
      <c r="BQ1333" s="394"/>
      <c r="BR1333" s="394"/>
      <c r="BS1333" s="394"/>
      <c r="BT1333" s="394"/>
      <c r="BU1333" s="394"/>
      <c r="BV1333" s="394"/>
      <c r="BW1333" s="394"/>
      <c r="BX1333" s="394"/>
      <c r="BY1333" s="394"/>
    </row>
    <row r="1334" spans="1:77" s="181" customFormat="1" ht="12" customHeight="1">
      <c r="B1334" s="181" t="s">
        <v>291</v>
      </c>
      <c r="C1334" s="179">
        <v>44700</v>
      </c>
      <c r="D1334" s="179">
        <v>44700</v>
      </c>
      <c r="E1334" s="180" t="s">
        <v>1178</v>
      </c>
      <c r="F1334" s="181" t="s">
        <v>368</v>
      </c>
      <c r="G1334" s="182">
        <v>4351</v>
      </c>
      <c r="H1334" s="181" t="s">
        <v>295</v>
      </c>
      <c r="I1334" s="181" t="s">
        <v>888</v>
      </c>
      <c r="J1334" s="183">
        <v>9742.5</v>
      </c>
      <c r="L1334" s="183">
        <v>15</v>
      </c>
      <c r="M1334" s="183">
        <v>15</v>
      </c>
      <c r="N1334" s="185"/>
      <c r="O1334" s="186">
        <v>0.2</v>
      </c>
      <c r="P1334" s="186"/>
      <c r="Q1334" s="185">
        <v>0</v>
      </c>
      <c r="R1334" s="181" t="s">
        <v>369</v>
      </c>
      <c r="S1334" s="187" t="s">
        <v>41</v>
      </c>
      <c r="T1334" s="187">
        <v>87</v>
      </c>
      <c r="U1334" s="188" t="s">
        <v>164</v>
      </c>
      <c r="V1334" s="441"/>
      <c r="X1334" s="185">
        <v>0</v>
      </c>
      <c r="Y1334" s="185"/>
      <c r="AE1334" s="204">
        <f t="shared" ref="AE1334:AE1340" si="21">X1334</f>
        <v>0</v>
      </c>
      <c r="AJ1334" s="189"/>
    </row>
    <row r="1335" spans="1:77" s="181" customFormat="1" ht="12" customHeight="1">
      <c r="B1335" s="181" t="s">
        <v>291</v>
      </c>
      <c r="C1335" s="179"/>
      <c r="D1335" s="179"/>
      <c r="E1335" s="180" t="s">
        <v>1178</v>
      </c>
      <c r="F1335" s="181" t="s">
        <v>368</v>
      </c>
      <c r="G1335" s="182">
        <v>4351</v>
      </c>
      <c r="H1335" s="181" t="s">
        <v>99</v>
      </c>
      <c r="I1335" s="181" t="s">
        <v>888</v>
      </c>
      <c r="J1335" s="183">
        <v>30420</v>
      </c>
      <c r="L1335" s="183">
        <v>26</v>
      </c>
      <c r="M1335" s="183">
        <v>26</v>
      </c>
      <c r="N1335" s="185"/>
      <c r="O1335" s="186">
        <v>0.2</v>
      </c>
      <c r="P1335" s="186"/>
      <c r="Q1335" s="185">
        <v>0</v>
      </c>
      <c r="R1335" s="181" t="s">
        <v>369</v>
      </c>
      <c r="S1335" s="187" t="s">
        <v>41</v>
      </c>
      <c r="T1335" s="187">
        <v>87</v>
      </c>
      <c r="U1335" s="188" t="s">
        <v>164</v>
      </c>
      <c r="V1335" s="441"/>
      <c r="X1335" s="185">
        <v>0</v>
      </c>
      <c r="Y1335" s="185"/>
      <c r="AE1335" s="204">
        <f t="shared" si="21"/>
        <v>0</v>
      </c>
      <c r="AJ1335" s="189"/>
    </row>
    <row r="1336" spans="1:77" s="181" customFormat="1" ht="12" customHeight="1">
      <c r="B1336" s="181" t="s">
        <v>291</v>
      </c>
      <c r="C1336" s="179"/>
      <c r="D1336" s="179"/>
      <c r="E1336" s="180" t="s">
        <v>1178</v>
      </c>
      <c r="F1336" s="181" t="s">
        <v>368</v>
      </c>
      <c r="G1336" s="182">
        <v>4351</v>
      </c>
      <c r="H1336" s="181" t="s">
        <v>27</v>
      </c>
      <c r="I1336" s="181" t="s">
        <v>888</v>
      </c>
      <c r="J1336" s="183">
        <v>39730.5</v>
      </c>
      <c r="L1336" s="183">
        <v>27</v>
      </c>
      <c r="M1336" s="183">
        <v>27</v>
      </c>
      <c r="N1336" s="185"/>
      <c r="O1336" s="186">
        <v>0.2</v>
      </c>
      <c r="P1336" s="186"/>
      <c r="Q1336" s="185">
        <v>0</v>
      </c>
      <c r="R1336" s="181" t="s">
        <v>369</v>
      </c>
      <c r="S1336" s="187" t="s">
        <v>41</v>
      </c>
      <c r="T1336" s="187">
        <v>87</v>
      </c>
      <c r="U1336" s="188" t="s">
        <v>164</v>
      </c>
      <c r="V1336" s="441"/>
      <c r="X1336" s="185">
        <v>0</v>
      </c>
      <c r="Y1336" s="185"/>
      <c r="AE1336" s="204">
        <f t="shared" si="21"/>
        <v>0</v>
      </c>
      <c r="AJ1336" s="189"/>
    </row>
    <row r="1337" spans="1:77" s="181" customFormat="1" ht="12" customHeight="1">
      <c r="B1337" s="181" t="s">
        <v>291</v>
      </c>
      <c r="C1337" s="179"/>
      <c r="D1337" s="179"/>
      <c r="E1337" s="180" t="s">
        <v>1178</v>
      </c>
      <c r="F1337" s="181" t="s">
        <v>368</v>
      </c>
      <c r="G1337" s="182">
        <v>4351</v>
      </c>
      <c r="H1337" s="181" t="s">
        <v>183</v>
      </c>
      <c r="I1337" s="181" t="s">
        <v>888</v>
      </c>
      <c r="J1337" s="183">
        <v>23460</v>
      </c>
      <c r="L1337" s="183">
        <v>23</v>
      </c>
      <c r="M1337" s="183">
        <v>23</v>
      </c>
      <c r="N1337" s="185"/>
      <c r="O1337" s="186">
        <v>0.2</v>
      </c>
      <c r="P1337" s="186"/>
      <c r="Q1337" s="185">
        <v>0</v>
      </c>
      <c r="R1337" s="181" t="s">
        <v>369</v>
      </c>
      <c r="S1337" s="187" t="s">
        <v>41</v>
      </c>
      <c r="T1337" s="187">
        <v>87</v>
      </c>
      <c r="U1337" s="188" t="s">
        <v>164</v>
      </c>
      <c r="V1337" s="441"/>
      <c r="X1337" s="185">
        <v>0</v>
      </c>
      <c r="Y1337" s="185"/>
      <c r="AE1337" s="204">
        <f t="shared" si="21"/>
        <v>0</v>
      </c>
      <c r="AJ1337" s="189"/>
    </row>
    <row r="1338" spans="1:77" s="181" customFormat="1" ht="12" customHeight="1">
      <c r="B1338" s="181" t="s">
        <v>291</v>
      </c>
      <c r="C1338" s="179"/>
      <c r="D1338" s="179"/>
      <c r="E1338" s="180" t="s">
        <v>1178</v>
      </c>
      <c r="F1338" s="181" t="s">
        <v>368</v>
      </c>
      <c r="G1338" s="182">
        <v>4351</v>
      </c>
      <c r="H1338" s="181" t="s">
        <v>1179</v>
      </c>
      <c r="I1338" s="181" t="s">
        <v>888</v>
      </c>
      <c r="J1338" s="183">
        <v>3027.36</v>
      </c>
      <c r="L1338" s="183">
        <v>5.3</v>
      </c>
      <c r="M1338" s="183">
        <v>5.3</v>
      </c>
      <c r="N1338" s="185"/>
      <c r="O1338" s="186">
        <v>0.2</v>
      </c>
      <c r="P1338" s="186"/>
      <c r="Q1338" s="185">
        <v>0</v>
      </c>
      <c r="R1338" s="181" t="s">
        <v>369</v>
      </c>
      <c r="S1338" s="187" t="s">
        <v>41</v>
      </c>
      <c r="T1338" s="187">
        <v>87</v>
      </c>
      <c r="U1338" s="188" t="s">
        <v>164</v>
      </c>
      <c r="V1338" s="441"/>
      <c r="X1338" s="185">
        <v>0</v>
      </c>
      <c r="Y1338" s="185"/>
      <c r="AE1338" s="204">
        <f t="shared" si="21"/>
        <v>0</v>
      </c>
      <c r="AJ1338" s="189"/>
    </row>
    <row r="1339" spans="1:77" s="181" customFormat="1" ht="12" customHeight="1">
      <c r="B1339" s="181" t="s">
        <v>291</v>
      </c>
      <c r="C1339" s="179"/>
      <c r="D1339" s="179"/>
      <c r="E1339" s="180" t="s">
        <v>1178</v>
      </c>
      <c r="F1339" s="181" t="s">
        <v>368</v>
      </c>
      <c r="G1339" s="182">
        <v>4351</v>
      </c>
      <c r="H1339" s="181" t="s">
        <v>163</v>
      </c>
      <c r="I1339" s="181" t="s">
        <v>888</v>
      </c>
      <c r="J1339" s="183">
        <v>41684</v>
      </c>
      <c r="L1339" s="183">
        <v>40</v>
      </c>
      <c r="M1339" s="183">
        <v>40</v>
      </c>
      <c r="N1339" s="185"/>
      <c r="O1339" s="186">
        <v>0.2</v>
      </c>
      <c r="P1339" s="186"/>
      <c r="Q1339" s="185">
        <v>0</v>
      </c>
      <c r="R1339" s="181" t="s">
        <v>369</v>
      </c>
      <c r="S1339" s="187" t="s">
        <v>41</v>
      </c>
      <c r="T1339" s="187">
        <v>87</v>
      </c>
      <c r="U1339" s="188" t="s">
        <v>164</v>
      </c>
      <c r="V1339" s="441"/>
      <c r="X1339" s="185">
        <v>0</v>
      </c>
      <c r="Y1339" s="185"/>
      <c r="AE1339" s="204">
        <f t="shared" si="21"/>
        <v>0</v>
      </c>
      <c r="AJ1339" s="189"/>
    </row>
    <row r="1340" spans="1:77" s="181" customFormat="1" ht="12" customHeight="1">
      <c r="B1340" s="181" t="s">
        <v>291</v>
      </c>
      <c r="C1340" s="179"/>
      <c r="D1340" s="179"/>
      <c r="E1340" s="180" t="s">
        <v>1178</v>
      </c>
      <c r="F1340" s="181" t="s">
        <v>368</v>
      </c>
      <c r="G1340" s="182">
        <v>4351</v>
      </c>
      <c r="H1340" s="181" t="s">
        <v>550</v>
      </c>
      <c r="I1340" s="181" t="s">
        <v>888</v>
      </c>
      <c r="J1340" s="183">
        <v>2640</v>
      </c>
      <c r="L1340" s="183">
        <v>5</v>
      </c>
      <c r="M1340" s="183">
        <v>5</v>
      </c>
      <c r="N1340" s="185"/>
      <c r="O1340" s="186">
        <v>0.2</v>
      </c>
      <c r="P1340" s="186"/>
      <c r="Q1340" s="185">
        <v>0</v>
      </c>
      <c r="R1340" s="181" t="s">
        <v>369</v>
      </c>
      <c r="S1340" s="187" t="s">
        <v>41</v>
      </c>
      <c r="T1340" s="187">
        <v>87</v>
      </c>
      <c r="U1340" s="188" t="s">
        <v>164</v>
      </c>
      <c r="V1340" s="441"/>
      <c r="X1340" s="185">
        <v>0</v>
      </c>
      <c r="Y1340" s="185"/>
      <c r="AE1340" s="204">
        <f t="shared" si="21"/>
        <v>0</v>
      </c>
      <c r="AJ1340" s="189"/>
    </row>
    <row r="1341" spans="1:77" s="291" customFormat="1" ht="12" customHeight="1">
      <c r="A1341" s="379"/>
      <c r="B1341" s="406" t="s">
        <v>291</v>
      </c>
      <c r="C1341" s="381"/>
      <c r="D1341" s="381"/>
      <c r="E1341" s="382" t="s">
        <v>1180</v>
      </c>
      <c r="F1341" s="379" t="s">
        <v>1181</v>
      </c>
      <c r="G1341" s="383">
        <v>4374</v>
      </c>
      <c r="H1341" s="379" t="s">
        <v>765</v>
      </c>
      <c r="I1341" s="394" t="s">
        <v>33</v>
      </c>
      <c r="J1341" s="385">
        <v>47805.68</v>
      </c>
      <c r="K1341" s="379"/>
      <c r="L1341" s="385">
        <v>38.630000000000003</v>
      </c>
      <c r="M1341" s="385">
        <v>53.45</v>
      </c>
      <c r="N1341" s="386"/>
      <c r="O1341" s="387">
        <v>0.2</v>
      </c>
      <c r="P1341" s="387"/>
      <c r="Q1341" s="386">
        <v>8388.98</v>
      </c>
      <c r="R1341" s="379" t="s">
        <v>35</v>
      </c>
      <c r="S1341" s="399" t="s">
        <v>41</v>
      </c>
      <c r="T1341" s="399">
        <v>79</v>
      </c>
      <c r="U1341" s="389" t="s">
        <v>164</v>
      </c>
      <c r="V1341" s="433"/>
      <c r="W1341" s="379"/>
      <c r="X1341" s="386">
        <v>8388.98</v>
      </c>
      <c r="Y1341" s="386"/>
      <c r="Z1341" s="379"/>
      <c r="AA1341" s="379"/>
      <c r="AB1341" s="379"/>
      <c r="AC1341" s="379"/>
      <c r="AD1341" s="379"/>
      <c r="AE1341" s="379"/>
      <c r="AF1341" s="379"/>
      <c r="AG1341" s="379"/>
      <c r="AH1341" s="379"/>
      <c r="AI1341" s="379"/>
      <c r="AJ1341" s="390">
        <v>8388.98</v>
      </c>
      <c r="AK1341" s="379"/>
      <c r="AL1341" s="379"/>
      <c r="AM1341" s="379"/>
      <c r="AN1341" s="379"/>
      <c r="AO1341" s="379"/>
      <c r="AP1341" s="379"/>
      <c r="AQ1341" s="379"/>
      <c r="AR1341" s="379"/>
      <c r="AS1341" s="379"/>
      <c r="AT1341" s="379"/>
      <c r="AU1341" s="379"/>
      <c r="AV1341" s="379"/>
      <c r="AW1341" s="379"/>
      <c r="AX1341" s="379"/>
      <c r="AY1341" s="379"/>
      <c r="AZ1341" s="379"/>
      <c r="BA1341" s="379"/>
      <c r="BB1341" s="379"/>
      <c r="BC1341" s="379"/>
      <c r="BD1341" s="379"/>
      <c r="BE1341" s="379"/>
      <c r="BF1341" s="379"/>
      <c r="BG1341" s="379"/>
      <c r="BH1341" s="379"/>
      <c r="BI1341" s="379"/>
      <c r="BJ1341" s="379"/>
      <c r="BK1341" s="379"/>
      <c r="BL1341" s="379"/>
      <c r="BM1341" s="379"/>
      <c r="BN1341" s="379"/>
      <c r="BO1341" s="379"/>
      <c r="BP1341" s="379"/>
      <c r="BQ1341" s="379"/>
      <c r="BR1341" s="379"/>
      <c r="BS1341" s="379"/>
      <c r="BT1341" s="379"/>
      <c r="BU1341" s="379"/>
      <c r="BV1341" s="379"/>
      <c r="BW1341" s="379"/>
      <c r="BX1341" s="379"/>
      <c r="BY1341" s="379"/>
    </row>
    <row r="1342" spans="1:77" s="6" customFormat="1" ht="12" customHeight="1">
      <c r="A1342" s="379"/>
      <c r="B1342" s="406" t="s">
        <v>291</v>
      </c>
      <c r="C1342" s="381"/>
      <c r="D1342" s="381"/>
      <c r="E1342" s="382" t="s">
        <v>1180</v>
      </c>
      <c r="F1342" s="379" t="s">
        <v>1181</v>
      </c>
      <c r="G1342" s="383">
        <v>4374</v>
      </c>
      <c r="H1342" s="379" t="s">
        <v>866</v>
      </c>
      <c r="I1342" s="394" t="s">
        <v>33</v>
      </c>
      <c r="J1342" s="385">
        <v>27982.26</v>
      </c>
      <c r="K1342" s="379"/>
      <c r="L1342" s="385">
        <v>30.04</v>
      </c>
      <c r="M1342" s="385">
        <v>30.04</v>
      </c>
      <c r="N1342" s="386"/>
      <c r="O1342" s="387">
        <v>0.2</v>
      </c>
      <c r="P1342" s="387"/>
      <c r="Q1342" s="386">
        <v>7475.45</v>
      </c>
      <c r="R1342" s="379" t="s">
        <v>35</v>
      </c>
      <c r="S1342" s="399" t="s">
        <v>41</v>
      </c>
      <c r="T1342" s="399">
        <v>79</v>
      </c>
      <c r="U1342" s="389" t="s">
        <v>164</v>
      </c>
      <c r="V1342" s="433"/>
      <c r="W1342" s="379"/>
      <c r="X1342" s="386">
        <v>7475.45</v>
      </c>
      <c r="Y1342" s="386"/>
      <c r="Z1342" s="379"/>
      <c r="AA1342" s="379"/>
      <c r="AB1342" s="379"/>
      <c r="AC1342" s="379"/>
      <c r="AD1342" s="379"/>
      <c r="AE1342" s="379"/>
      <c r="AF1342" s="379"/>
      <c r="AG1342" s="379"/>
      <c r="AH1342" s="379"/>
      <c r="AI1342" s="379"/>
      <c r="AJ1342" s="416">
        <v>7475.45</v>
      </c>
      <c r="AK1342" s="379"/>
      <c r="AL1342" s="379"/>
      <c r="AM1342" s="379"/>
      <c r="AN1342" s="379"/>
      <c r="AO1342" s="379"/>
      <c r="AP1342" s="379"/>
      <c r="AQ1342" s="379"/>
      <c r="AR1342" s="379"/>
      <c r="AS1342" s="379"/>
      <c r="AT1342" s="379"/>
      <c r="AU1342" s="379"/>
      <c r="AV1342" s="379"/>
      <c r="AW1342" s="379"/>
      <c r="AX1342" s="379"/>
      <c r="AY1342" s="379"/>
      <c r="AZ1342" s="379"/>
      <c r="BA1342" s="379"/>
      <c r="BB1342" s="379"/>
      <c r="BC1342" s="379"/>
      <c r="BD1342" s="379"/>
      <c r="BE1342" s="379"/>
      <c r="BF1342" s="379"/>
      <c r="BG1342" s="379"/>
      <c r="BH1342" s="379"/>
      <c r="BI1342" s="379"/>
      <c r="BJ1342" s="379"/>
      <c r="BK1342" s="379"/>
      <c r="BL1342" s="379"/>
      <c r="BM1342" s="379"/>
      <c r="BN1342" s="379"/>
      <c r="BO1342" s="379"/>
      <c r="BP1342" s="379"/>
      <c r="BQ1342" s="379"/>
      <c r="BR1342" s="379"/>
      <c r="BS1342" s="379"/>
      <c r="BT1342" s="379"/>
      <c r="BU1342" s="379"/>
      <c r="BV1342" s="379"/>
      <c r="BW1342" s="379"/>
      <c r="BX1342" s="379"/>
      <c r="BY1342" s="379"/>
    </row>
    <row r="1343" spans="1:77" s="379" customFormat="1" ht="12" customHeight="1">
      <c r="B1343" s="406" t="s">
        <v>291</v>
      </c>
      <c r="C1343" s="381"/>
      <c r="D1343" s="381"/>
      <c r="E1343" s="382" t="s">
        <v>1180</v>
      </c>
      <c r="F1343" s="379" t="s">
        <v>1181</v>
      </c>
      <c r="G1343" s="383">
        <v>4374</v>
      </c>
      <c r="H1343" s="379" t="s">
        <v>310</v>
      </c>
      <c r="I1343" s="394" t="s">
        <v>33</v>
      </c>
      <c r="J1343" s="385">
        <v>10867.86</v>
      </c>
      <c r="L1343" s="385">
        <v>12.74</v>
      </c>
      <c r="M1343" s="385">
        <v>12.74</v>
      </c>
      <c r="N1343" s="386">
        <f>J1343*0.4</f>
        <v>4347.1440000000002</v>
      </c>
      <c r="O1343" s="387">
        <v>0.2</v>
      </c>
      <c r="P1343" s="387"/>
      <c r="Q1343" s="386">
        <v>3275.33</v>
      </c>
      <c r="R1343" s="379" t="s">
        <v>35</v>
      </c>
      <c r="S1343" s="399" t="s">
        <v>41</v>
      </c>
      <c r="T1343" s="399">
        <v>79</v>
      </c>
      <c r="U1343" s="389" t="s">
        <v>164</v>
      </c>
      <c r="V1343" s="433"/>
      <c r="X1343" s="386">
        <v>3275.33</v>
      </c>
      <c r="Y1343" s="386"/>
      <c r="AJ1343" s="416">
        <v>3275.33</v>
      </c>
    </row>
    <row r="1344" spans="1:77" s="291" customFormat="1" ht="12" customHeight="1">
      <c r="B1344" s="313" t="s">
        <v>291</v>
      </c>
      <c r="C1344" s="292">
        <v>44700</v>
      </c>
      <c r="D1344" s="292">
        <v>44700</v>
      </c>
      <c r="E1344" s="293" t="s">
        <v>1180</v>
      </c>
      <c r="F1344" s="291" t="s">
        <v>1181</v>
      </c>
      <c r="G1344" s="294">
        <v>4374</v>
      </c>
      <c r="H1344" s="291" t="s">
        <v>99</v>
      </c>
      <c r="I1344" s="303" t="s">
        <v>33</v>
      </c>
      <c r="J1344" s="296">
        <v>77160.710000000006</v>
      </c>
      <c r="L1344" s="296">
        <v>70.37</v>
      </c>
      <c r="M1344" s="296">
        <v>70.37</v>
      </c>
      <c r="N1344" s="297">
        <v>0</v>
      </c>
      <c r="O1344" s="298">
        <v>0.2</v>
      </c>
      <c r="P1344" s="298"/>
      <c r="Q1344" s="297">
        <v>0</v>
      </c>
      <c r="R1344" s="291" t="s">
        <v>35</v>
      </c>
      <c r="S1344" s="308" t="s">
        <v>41</v>
      </c>
      <c r="T1344" s="308">
        <v>79</v>
      </c>
      <c r="U1344" s="300" t="s">
        <v>164</v>
      </c>
      <c r="V1344" s="333"/>
      <c r="X1344" s="297">
        <v>0</v>
      </c>
      <c r="Y1344" s="297"/>
      <c r="AH1344" s="291">
        <f>X1344</f>
        <v>0</v>
      </c>
      <c r="AI1344" s="311"/>
      <c r="AJ1344" s="468"/>
    </row>
    <row r="1345" spans="1:77" s="153" customFormat="1" ht="12" customHeight="1">
      <c r="A1345" s="379"/>
      <c r="B1345" s="406" t="s">
        <v>291</v>
      </c>
      <c r="C1345" s="381">
        <v>44696</v>
      </c>
      <c r="D1345" s="381">
        <v>44700</v>
      </c>
      <c r="E1345" s="382" t="s">
        <v>1182</v>
      </c>
      <c r="F1345" s="379" t="s">
        <v>744</v>
      </c>
      <c r="G1345" s="383" t="s">
        <v>745</v>
      </c>
      <c r="H1345" s="379" t="s">
        <v>192</v>
      </c>
      <c r="I1345" s="394" t="s">
        <v>1168</v>
      </c>
      <c r="J1345" s="385">
        <v>24523.61</v>
      </c>
      <c r="K1345" s="379"/>
      <c r="L1345" s="385">
        <v>22.48</v>
      </c>
      <c r="M1345" s="385">
        <v>22.48</v>
      </c>
      <c r="N1345" s="386"/>
      <c r="O1345" s="387">
        <v>0.2</v>
      </c>
      <c r="P1345" s="387">
        <v>0.1</v>
      </c>
      <c r="Q1345" s="386">
        <v>250.39</v>
      </c>
      <c r="R1345" s="379" t="s">
        <v>146</v>
      </c>
      <c r="S1345" s="388" t="s">
        <v>74</v>
      </c>
      <c r="T1345" s="388">
        <v>65</v>
      </c>
      <c r="U1345" s="389" t="s">
        <v>164</v>
      </c>
      <c r="V1345" s="433"/>
      <c r="W1345" s="379"/>
      <c r="X1345" s="386">
        <v>250.39</v>
      </c>
      <c r="Y1345" s="386"/>
      <c r="Z1345" s="379"/>
      <c r="AA1345" s="379"/>
      <c r="AB1345" s="379"/>
      <c r="AC1345" s="379"/>
      <c r="AD1345" s="391"/>
      <c r="AE1345" s="379"/>
      <c r="AF1345" s="379"/>
      <c r="AG1345" s="379"/>
      <c r="AH1345" s="379"/>
      <c r="AI1345" s="379"/>
      <c r="AJ1345" s="416">
        <v>250.39</v>
      </c>
      <c r="AK1345" s="379"/>
      <c r="AL1345" s="379"/>
      <c r="AM1345" s="379"/>
      <c r="AN1345" s="379"/>
      <c r="AO1345" s="379"/>
      <c r="AP1345" s="379"/>
      <c r="AQ1345" s="379"/>
      <c r="AR1345" s="379"/>
      <c r="AS1345" s="379"/>
      <c r="AT1345" s="379"/>
      <c r="AU1345" s="379"/>
      <c r="AV1345" s="379"/>
      <c r="AW1345" s="379"/>
      <c r="AX1345" s="379"/>
      <c r="AY1345" s="379"/>
      <c r="AZ1345" s="379"/>
      <c r="BA1345" s="379"/>
      <c r="BB1345" s="379"/>
      <c r="BC1345" s="379"/>
      <c r="BD1345" s="379"/>
      <c r="BE1345" s="379"/>
      <c r="BF1345" s="379"/>
      <c r="BG1345" s="379"/>
      <c r="BH1345" s="379"/>
      <c r="BI1345" s="379"/>
      <c r="BJ1345" s="379"/>
      <c r="BK1345" s="379"/>
      <c r="BL1345" s="379"/>
      <c r="BM1345" s="379"/>
      <c r="BN1345" s="379"/>
      <c r="BO1345" s="379"/>
      <c r="BP1345" s="379"/>
      <c r="BQ1345" s="379"/>
      <c r="BR1345" s="379"/>
      <c r="BS1345" s="379"/>
      <c r="BT1345" s="379"/>
      <c r="BU1345" s="379"/>
      <c r="BV1345" s="379"/>
      <c r="BW1345" s="379"/>
      <c r="BX1345" s="379"/>
      <c r="BY1345" s="379"/>
    </row>
    <row r="1346" spans="1:77" s="6" customFormat="1" ht="12" customHeight="1">
      <c r="A1346" s="379"/>
      <c r="B1346" s="406" t="s">
        <v>291</v>
      </c>
      <c r="C1346" s="381"/>
      <c r="D1346" s="381"/>
      <c r="E1346" s="382" t="s">
        <v>1182</v>
      </c>
      <c r="F1346" s="379" t="s">
        <v>744</v>
      </c>
      <c r="G1346" s="383" t="s">
        <v>745</v>
      </c>
      <c r="H1346" s="379" t="s">
        <v>134</v>
      </c>
      <c r="I1346" s="394" t="s">
        <v>1168</v>
      </c>
      <c r="J1346" s="385">
        <v>13896</v>
      </c>
      <c r="K1346" s="379"/>
      <c r="L1346" s="385">
        <v>9</v>
      </c>
      <c r="M1346" s="385">
        <v>9</v>
      </c>
      <c r="N1346" s="386">
        <f>4168</f>
        <v>4168</v>
      </c>
      <c r="O1346" s="387">
        <v>0.2</v>
      </c>
      <c r="P1346" s="387">
        <v>0.1</v>
      </c>
      <c r="Q1346" s="386">
        <v>0</v>
      </c>
      <c r="R1346" s="379" t="s">
        <v>146</v>
      </c>
      <c r="S1346" s="388" t="s">
        <v>74</v>
      </c>
      <c r="T1346" s="388">
        <v>65</v>
      </c>
      <c r="U1346" s="389" t="s">
        <v>164</v>
      </c>
      <c r="V1346" s="433"/>
      <c r="W1346" s="379"/>
      <c r="X1346" s="386">
        <v>0</v>
      </c>
      <c r="Y1346" s="386"/>
      <c r="Z1346" s="379"/>
      <c r="AA1346" s="379"/>
      <c r="AB1346" s="379"/>
      <c r="AC1346" s="379"/>
      <c r="AD1346" s="379"/>
      <c r="AE1346" s="379"/>
      <c r="AF1346" s="379"/>
      <c r="AG1346" s="379"/>
      <c r="AH1346" s="379"/>
      <c r="AI1346" s="379"/>
      <c r="AJ1346" s="390">
        <v>0</v>
      </c>
      <c r="AK1346" s="379"/>
      <c r="AL1346" s="379"/>
      <c r="AM1346" s="379"/>
      <c r="AN1346" s="379"/>
      <c r="AO1346" s="379"/>
      <c r="AP1346" s="379"/>
      <c r="AQ1346" s="379"/>
      <c r="AR1346" s="379"/>
      <c r="AS1346" s="379"/>
      <c r="AT1346" s="379"/>
      <c r="AU1346" s="379"/>
      <c r="AV1346" s="379"/>
      <c r="AW1346" s="379"/>
      <c r="AX1346" s="379"/>
      <c r="AY1346" s="379"/>
      <c r="AZ1346" s="379"/>
      <c r="BA1346" s="379"/>
      <c r="BB1346" s="379"/>
      <c r="BC1346" s="379"/>
      <c r="BD1346" s="379"/>
      <c r="BE1346" s="379"/>
      <c r="BF1346" s="379"/>
      <c r="BG1346" s="379"/>
      <c r="BH1346" s="379"/>
      <c r="BI1346" s="379"/>
      <c r="BJ1346" s="379"/>
      <c r="BK1346" s="379"/>
      <c r="BL1346" s="379"/>
      <c r="BM1346" s="379"/>
      <c r="BN1346" s="379"/>
      <c r="BO1346" s="379"/>
      <c r="BP1346" s="379"/>
      <c r="BQ1346" s="379"/>
      <c r="BR1346" s="379"/>
      <c r="BS1346" s="379"/>
      <c r="BT1346" s="379"/>
      <c r="BU1346" s="379"/>
      <c r="BV1346" s="379"/>
      <c r="BW1346" s="379"/>
      <c r="BX1346" s="379"/>
      <c r="BY1346" s="379"/>
    </row>
    <row r="1347" spans="1:77" s="291" customFormat="1" ht="12" customHeight="1">
      <c r="B1347" s="313" t="s">
        <v>291</v>
      </c>
      <c r="C1347" s="292">
        <v>44700</v>
      </c>
      <c r="D1347" s="292">
        <v>44700</v>
      </c>
      <c r="E1347" s="293" t="s">
        <v>1183</v>
      </c>
      <c r="F1347" s="291" t="s">
        <v>436</v>
      </c>
      <c r="G1347" s="294" t="s">
        <v>437</v>
      </c>
      <c r="H1347" s="291" t="s">
        <v>99</v>
      </c>
      <c r="I1347" s="303" t="s">
        <v>33</v>
      </c>
      <c r="J1347" s="296">
        <v>25768.14</v>
      </c>
      <c r="L1347" s="296">
        <v>23.87</v>
      </c>
      <c r="M1347" s="296">
        <v>23.87</v>
      </c>
      <c r="N1347" s="297">
        <f>6626.72516-2761.5039</f>
        <v>3865.2212599999998</v>
      </c>
      <c r="O1347" s="298">
        <v>0.3</v>
      </c>
      <c r="P1347" s="298"/>
      <c r="Q1347" s="311">
        <v>0</v>
      </c>
      <c r="R1347" s="291" t="s">
        <v>42</v>
      </c>
      <c r="S1347" s="299" t="s">
        <v>41</v>
      </c>
      <c r="T1347" s="299">
        <v>17</v>
      </c>
      <c r="U1347" s="300" t="s">
        <v>164</v>
      </c>
      <c r="V1347" s="333"/>
      <c r="X1347" s="297">
        <v>0</v>
      </c>
      <c r="Y1347" s="297"/>
      <c r="AH1347" s="291">
        <f>X1347</f>
        <v>0</v>
      </c>
      <c r="AI1347" s="311"/>
      <c r="AJ1347" s="468"/>
    </row>
    <row r="1348" spans="1:77" s="291" customFormat="1" ht="12" customHeight="1">
      <c r="B1348" s="313" t="s">
        <v>291</v>
      </c>
      <c r="C1348" s="292"/>
      <c r="D1348" s="292"/>
      <c r="E1348" s="293" t="s">
        <v>1183</v>
      </c>
      <c r="F1348" s="291" t="s">
        <v>436</v>
      </c>
      <c r="G1348" s="294" t="s">
        <v>437</v>
      </c>
      <c r="H1348" s="291" t="s">
        <v>137</v>
      </c>
      <c r="I1348" s="303" t="s">
        <v>33</v>
      </c>
      <c r="J1348" s="296">
        <v>13807.52</v>
      </c>
      <c r="L1348" s="296">
        <v>15.71</v>
      </c>
      <c r="M1348" s="296">
        <v>15.71</v>
      </c>
      <c r="N1348" s="297">
        <f>2761.5038</f>
        <v>2761.5038</v>
      </c>
      <c r="O1348" s="298">
        <v>0.3</v>
      </c>
      <c r="P1348" s="298"/>
      <c r="Q1348" s="311">
        <v>0</v>
      </c>
      <c r="R1348" s="291" t="s">
        <v>42</v>
      </c>
      <c r="S1348" s="299" t="s">
        <v>41</v>
      </c>
      <c r="T1348" s="299">
        <v>17</v>
      </c>
      <c r="U1348" s="300" t="s">
        <v>164</v>
      </c>
      <c r="V1348" s="333"/>
      <c r="X1348" s="297">
        <v>0</v>
      </c>
      <c r="Y1348" s="297"/>
      <c r="AH1348" s="291">
        <f>X1348</f>
        <v>0</v>
      </c>
      <c r="AI1348" s="311"/>
      <c r="AJ1348" s="468"/>
    </row>
    <row r="1349" spans="1:77" s="337" customFormat="1" ht="12" customHeight="1">
      <c r="B1349" s="367" t="s">
        <v>291</v>
      </c>
      <c r="C1349" s="349">
        <v>44699</v>
      </c>
      <c r="D1349" s="349">
        <v>44700</v>
      </c>
      <c r="E1349" s="350" t="s">
        <v>1184</v>
      </c>
      <c r="F1349" s="337" t="s">
        <v>1185</v>
      </c>
      <c r="G1349" s="351" t="s">
        <v>1186</v>
      </c>
      <c r="H1349" s="337" t="s">
        <v>814</v>
      </c>
      <c r="I1349" s="341" t="s">
        <v>1168</v>
      </c>
      <c r="J1349" s="352">
        <v>13840</v>
      </c>
      <c r="L1349" s="352">
        <v>10</v>
      </c>
      <c r="M1349" s="352">
        <v>10</v>
      </c>
      <c r="N1349" s="354"/>
      <c r="O1349" s="355">
        <v>0.25</v>
      </c>
      <c r="P1349" s="355">
        <v>0.1</v>
      </c>
      <c r="Q1349" s="344">
        <v>0</v>
      </c>
      <c r="R1349" s="337" t="s">
        <v>112</v>
      </c>
      <c r="S1349" s="346" t="s">
        <v>113</v>
      </c>
      <c r="T1349" s="346">
        <v>64</v>
      </c>
      <c r="U1349" s="357" t="s">
        <v>164</v>
      </c>
      <c r="V1349" s="451"/>
      <c r="X1349" s="354">
        <v>0</v>
      </c>
      <c r="Y1349" s="354"/>
      <c r="AI1349" s="337">
        <v>0</v>
      </c>
      <c r="AJ1349" s="358"/>
      <c r="AK1349" s="369"/>
    </row>
    <row r="1350" spans="1:77" s="337" customFormat="1" ht="12" customHeight="1">
      <c r="B1350" s="367" t="s">
        <v>291</v>
      </c>
      <c r="C1350" s="349"/>
      <c r="D1350" s="349"/>
      <c r="E1350" s="350" t="s">
        <v>1184</v>
      </c>
      <c r="F1350" s="337" t="s">
        <v>1185</v>
      </c>
      <c r="G1350" s="351" t="s">
        <v>1186</v>
      </c>
      <c r="H1350" s="337" t="s">
        <v>866</v>
      </c>
      <c r="I1350" s="341" t="s">
        <v>1168</v>
      </c>
      <c r="J1350" s="352">
        <v>30810</v>
      </c>
      <c r="L1350" s="352">
        <v>15</v>
      </c>
      <c r="M1350" s="352">
        <v>5</v>
      </c>
      <c r="N1350" s="354">
        <f>J1350/3*0.2</f>
        <v>2054</v>
      </c>
      <c r="O1350" s="355">
        <v>0.25</v>
      </c>
      <c r="P1350" s="355">
        <v>0.1</v>
      </c>
      <c r="Q1350" s="354">
        <v>0</v>
      </c>
      <c r="R1350" s="337" t="s">
        <v>112</v>
      </c>
      <c r="S1350" s="346" t="s">
        <v>113</v>
      </c>
      <c r="T1350" s="346">
        <v>64</v>
      </c>
      <c r="U1350" s="357" t="s">
        <v>164</v>
      </c>
      <c r="V1350" s="434"/>
      <c r="X1350" s="354">
        <v>0</v>
      </c>
      <c r="Y1350" s="354"/>
      <c r="AI1350" s="337">
        <v>0</v>
      </c>
      <c r="AJ1350" s="358"/>
      <c r="AK1350" s="369"/>
    </row>
    <row r="1351" spans="1:77" s="261" customFormat="1" ht="12" customHeight="1">
      <c r="B1351" s="270" t="s">
        <v>291</v>
      </c>
      <c r="C1351" s="259">
        <v>44700</v>
      </c>
      <c r="D1351" s="259">
        <v>44700</v>
      </c>
      <c r="E1351" s="260" t="s">
        <v>1187</v>
      </c>
      <c r="F1351" s="261" t="s">
        <v>1188</v>
      </c>
      <c r="G1351" s="262">
        <v>4418</v>
      </c>
      <c r="H1351" s="261" t="s">
        <v>99</v>
      </c>
      <c r="I1351" s="273" t="s">
        <v>33</v>
      </c>
      <c r="J1351" s="263">
        <v>8000</v>
      </c>
      <c r="L1351" s="263">
        <v>5</v>
      </c>
      <c r="M1351" s="263">
        <v>5</v>
      </c>
      <c r="N1351" s="265"/>
      <c r="O1351" s="266">
        <v>0.15</v>
      </c>
      <c r="P1351" s="266"/>
      <c r="Q1351" s="265">
        <v>0</v>
      </c>
      <c r="R1351" s="261" t="s">
        <v>77</v>
      </c>
      <c r="S1351" s="279" t="s">
        <v>41</v>
      </c>
      <c r="T1351" s="279">
        <v>17</v>
      </c>
      <c r="U1351" s="268" t="s">
        <v>164</v>
      </c>
      <c r="V1351" s="427"/>
      <c r="W1351" s="261" t="s">
        <v>3551</v>
      </c>
      <c r="X1351" s="265">
        <v>0</v>
      </c>
      <c r="Y1351" s="265"/>
      <c r="AG1351" s="261">
        <f>X1351</f>
        <v>0</v>
      </c>
      <c r="AJ1351" s="642"/>
    </row>
    <row r="1352" spans="1:77" s="261" customFormat="1" ht="12" customHeight="1">
      <c r="B1352" s="270" t="s">
        <v>291</v>
      </c>
      <c r="C1352" s="259"/>
      <c r="D1352" s="259"/>
      <c r="E1352" s="260" t="s">
        <v>1187</v>
      </c>
      <c r="F1352" s="261" t="s">
        <v>1188</v>
      </c>
      <c r="G1352" s="262">
        <v>4418</v>
      </c>
      <c r="H1352" s="261" t="s">
        <v>27</v>
      </c>
      <c r="I1352" s="273" t="s">
        <v>33</v>
      </c>
      <c r="J1352" s="263">
        <v>12240</v>
      </c>
      <c r="L1352" s="263">
        <v>8</v>
      </c>
      <c r="M1352" s="263">
        <v>8</v>
      </c>
      <c r="N1352" s="265"/>
      <c r="O1352" s="266">
        <v>0.15</v>
      </c>
      <c r="P1352" s="266"/>
      <c r="Q1352" s="265">
        <v>0</v>
      </c>
      <c r="R1352" s="261" t="s">
        <v>77</v>
      </c>
      <c r="S1352" s="279" t="s">
        <v>41</v>
      </c>
      <c r="T1352" s="279">
        <v>17</v>
      </c>
      <c r="U1352" s="268" t="s">
        <v>164</v>
      </c>
      <c r="V1352" s="427"/>
      <c r="W1352" s="261" t="s">
        <v>3551</v>
      </c>
      <c r="X1352" s="265">
        <v>0</v>
      </c>
      <c r="Y1352" s="265"/>
      <c r="AG1352" s="261">
        <f>X1352</f>
        <v>0</v>
      </c>
      <c r="AJ1352" s="642"/>
    </row>
    <row r="1353" spans="1:77" s="261" customFormat="1" ht="12" customHeight="1">
      <c r="B1353" s="270" t="s">
        <v>291</v>
      </c>
      <c r="C1353" s="259"/>
      <c r="D1353" s="259"/>
      <c r="E1353" s="260" t="s">
        <v>1187</v>
      </c>
      <c r="F1353" s="261" t="s">
        <v>1188</v>
      </c>
      <c r="G1353" s="262">
        <v>4418</v>
      </c>
      <c r="H1353" s="261" t="s">
        <v>183</v>
      </c>
      <c r="I1353" s="273" t="s">
        <v>33</v>
      </c>
      <c r="J1353" s="263">
        <v>8430</v>
      </c>
      <c r="L1353" s="263">
        <v>10</v>
      </c>
      <c r="M1353" s="263">
        <v>10</v>
      </c>
      <c r="N1353" s="265"/>
      <c r="O1353" s="266">
        <v>0.15</v>
      </c>
      <c r="P1353" s="266"/>
      <c r="Q1353" s="265">
        <v>0</v>
      </c>
      <c r="R1353" s="261" t="s">
        <v>77</v>
      </c>
      <c r="S1353" s="279" t="s">
        <v>41</v>
      </c>
      <c r="T1353" s="279">
        <v>17</v>
      </c>
      <c r="U1353" s="268" t="s">
        <v>164</v>
      </c>
      <c r="V1353" s="427"/>
      <c r="X1353" s="265">
        <v>0</v>
      </c>
      <c r="Y1353" s="265"/>
      <c r="AF1353" s="257">
        <f t="shared" ref="AF1353:AF1359" si="22">X1353</f>
        <v>0</v>
      </c>
      <c r="AJ1353" s="642"/>
    </row>
    <row r="1354" spans="1:77" s="205" customFormat="1" ht="12" customHeight="1">
      <c r="B1354" s="229" t="s">
        <v>291</v>
      </c>
      <c r="C1354" s="207">
        <v>44700</v>
      </c>
      <c r="D1354" s="207">
        <v>44700</v>
      </c>
      <c r="E1354" s="208" t="s">
        <v>1189</v>
      </c>
      <c r="F1354" s="205" t="s">
        <v>1190</v>
      </c>
      <c r="G1354" s="209">
        <v>4270</v>
      </c>
      <c r="H1354" s="205" t="s">
        <v>99</v>
      </c>
      <c r="I1354" s="205" t="s">
        <v>888</v>
      </c>
      <c r="J1354" s="210">
        <v>76966.39</v>
      </c>
      <c r="L1354" s="210">
        <v>59.24</v>
      </c>
      <c r="M1354" s="210">
        <v>59.24</v>
      </c>
      <c r="N1354" s="213"/>
      <c r="O1354" s="212">
        <v>0.15</v>
      </c>
      <c r="P1354" s="212"/>
      <c r="Q1354" s="213">
        <v>0</v>
      </c>
      <c r="R1354" s="205" t="s">
        <v>281</v>
      </c>
      <c r="S1354" s="214" t="s">
        <v>228</v>
      </c>
      <c r="T1354" s="214">
        <v>36</v>
      </c>
      <c r="U1354" s="215" t="s">
        <v>164</v>
      </c>
      <c r="V1354" s="438"/>
      <c r="W1354" s="205" t="s">
        <v>2814</v>
      </c>
      <c r="X1354" s="213">
        <v>0</v>
      </c>
      <c r="Y1354" s="213"/>
      <c r="AF1354" s="230">
        <f t="shared" si="22"/>
        <v>0</v>
      </c>
      <c r="AJ1354" s="216"/>
    </row>
    <row r="1355" spans="1:77" s="205" customFormat="1" ht="12" customHeight="1">
      <c r="B1355" s="229" t="s">
        <v>291</v>
      </c>
      <c r="C1355" s="207"/>
      <c r="D1355" s="207"/>
      <c r="E1355" s="208" t="s">
        <v>1189</v>
      </c>
      <c r="F1355" s="205" t="s">
        <v>1190</v>
      </c>
      <c r="G1355" s="209">
        <v>4270</v>
      </c>
      <c r="H1355" s="205" t="s">
        <v>27</v>
      </c>
      <c r="I1355" s="205" t="s">
        <v>888</v>
      </c>
      <c r="J1355" s="210">
        <v>40095.08</v>
      </c>
      <c r="L1355" s="210">
        <v>27.27</v>
      </c>
      <c r="M1355" s="210">
        <v>27.27</v>
      </c>
      <c r="N1355" s="213"/>
      <c r="O1355" s="212">
        <v>0.15</v>
      </c>
      <c r="P1355" s="212"/>
      <c r="Q1355" s="213">
        <v>0</v>
      </c>
      <c r="R1355" s="205" t="s">
        <v>281</v>
      </c>
      <c r="S1355" s="214" t="s">
        <v>228</v>
      </c>
      <c r="T1355" s="214">
        <v>36</v>
      </c>
      <c r="U1355" s="215" t="s">
        <v>164</v>
      </c>
      <c r="V1355" s="438"/>
      <c r="W1355" s="205" t="s">
        <v>2814</v>
      </c>
      <c r="X1355" s="213">
        <v>0</v>
      </c>
      <c r="Y1355" s="213"/>
      <c r="AF1355" s="230">
        <f t="shared" si="22"/>
        <v>0</v>
      </c>
      <c r="AJ1355" s="216"/>
    </row>
    <row r="1356" spans="1:77" s="205" customFormat="1" ht="12" customHeight="1">
      <c r="B1356" s="229" t="s">
        <v>291</v>
      </c>
      <c r="C1356" s="207"/>
      <c r="D1356" s="207"/>
      <c r="E1356" s="208" t="s">
        <v>1189</v>
      </c>
      <c r="F1356" s="205" t="s">
        <v>1190</v>
      </c>
      <c r="G1356" s="209">
        <v>4270</v>
      </c>
      <c r="H1356" s="205" t="s">
        <v>183</v>
      </c>
      <c r="I1356" s="205" t="s">
        <v>888</v>
      </c>
      <c r="J1356" s="210">
        <v>18512.259999999998</v>
      </c>
      <c r="L1356" s="210">
        <v>17.04</v>
      </c>
      <c r="M1356" s="210">
        <v>17.04</v>
      </c>
      <c r="N1356" s="213"/>
      <c r="O1356" s="212">
        <v>0.15</v>
      </c>
      <c r="P1356" s="212"/>
      <c r="Q1356" s="213">
        <v>0</v>
      </c>
      <c r="R1356" s="205" t="s">
        <v>281</v>
      </c>
      <c r="S1356" s="214" t="s">
        <v>228</v>
      </c>
      <c r="T1356" s="214">
        <v>36</v>
      </c>
      <c r="U1356" s="215" t="s">
        <v>164</v>
      </c>
      <c r="V1356" s="438"/>
      <c r="W1356" s="205" t="s">
        <v>2814</v>
      </c>
      <c r="X1356" s="213">
        <v>0</v>
      </c>
      <c r="Y1356" s="213"/>
      <c r="AF1356" s="230">
        <f t="shared" si="22"/>
        <v>0</v>
      </c>
      <c r="AJ1356" s="216"/>
    </row>
    <row r="1357" spans="1:77" s="205" customFormat="1" ht="12" customHeight="1">
      <c r="B1357" s="229" t="s">
        <v>291</v>
      </c>
      <c r="C1357" s="207">
        <v>44700</v>
      </c>
      <c r="D1357" s="207">
        <v>44700</v>
      </c>
      <c r="E1357" s="208" t="s">
        <v>1191</v>
      </c>
      <c r="F1357" s="205" t="s">
        <v>1192</v>
      </c>
      <c r="G1357" s="209">
        <v>4274</v>
      </c>
      <c r="H1357" s="205" t="s">
        <v>99</v>
      </c>
      <c r="I1357" s="205" t="s">
        <v>888</v>
      </c>
      <c r="J1357" s="210">
        <v>49747.71</v>
      </c>
      <c r="L1357" s="210">
        <v>39.76</v>
      </c>
      <c r="M1357" s="210">
        <v>39.76</v>
      </c>
      <c r="N1357" s="213"/>
      <c r="O1357" s="212">
        <v>0.15</v>
      </c>
      <c r="P1357" s="212"/>
      <c r="Q1357" s="213">
        <v>0</v>
      </c>
      <c r="R1357" s="205" t="s">
        <v>281</v>
      </c>
      <c r="S1357" s="214" t="s">
        <v>228</v>
      </c>
      <c r="T1357" s="214">
        <v>36</v>
      </c>
      <c r="U1357" s="215" t="s">
        <v>164</v>
      </c>
      <c r="V1357" s="438"/>
      <c r="W1357" s="205" t="s">
        <v>2813</v>
      </c>
      <c r="X1357" s="213">
        <v>0</v>
      </c>
      <c r="Y1357" s="213"/>
      <c r="AF1357" s="230">
        <f t="shared" si="22"/>
        <v>0</v>
      </c>
      <c r="AJ1357" s="216"/>
    </row>
    <row r="1358" spans="1:77" s="205" customFormat="1" ht="12" customHeight="1">
      <c r="B1358" s="229" t="s">
        <v>291</v>
      </c>
      <c r="C1358" s="207"/>
      <c r="D1358" s="207"/>
      <c r="E1358" s="208" t="s">
        <v>1191</v>
      </c>
      <c r="F1358" s="205" t="s">
        <v>1192</v>
      </c>
      <c r="G1358" s="209">
        <v>4274</v>
      </c>
      <c r="H1358" s="205" t="s">
        <v>27</v>
      </c>
      <c r="I1358" s="205" t="s">
        <v>888</v>
      </c>
      <c r="J1358" s="210">
        <v>67501.149999999994</v>
      </c>
      <c r="L1358" s="210">
        <v>62.11</v>
      </c>
      <c r="M1358" s="210">
        <v>62.11</v>
      </c>
      <c r="N1358" s="213"/>
      <c r="O1358" s="212">
        <v>0.15</v>
      </c>
      <c r="P1358" s="212"/>
      <c r="Q1358" s="213">
        <v>0</v>
      </c>
      <c r="R1358" s="205" t="s">
        <v>281</v>
      </c>
      <c r="S1358" s="214" t="s">
        <v>228</v>
      </c>
      <c r="T1358" s="214">
        <v>36</v>
      </c>
      <c r="U1358" s="215" t="s">
        <v>164</v>
      </c>
      <c r="V1358" s="438"/>
      <c r="W1358" s="205" t="s">
        <v>2813</v>
      </c>
      <c r="X1358" s="213">
        <v>0</v>
      </c>
      <c r="Y1358" s="213"/>
      <c r="AF1358" s="230">
        <f t="shared" si="22"/>
        <v>0</v>
      </c>
      <c r="AJ1358" s="216"/>
    </row>
    <row r="1359" spans="1:77" s="205" customFormat="1" ht="12" customHeight="1">
      <c r="B1359" s="229" t="s">
        <v>291</v>
      </c>
      <c r="C1359" s="207"/>
      <c r="D1359" s="207"/>
      <c r="E1359" s="208" t="s">
        <v>1191</v>
      </c>
      <c r="F1359" s="205" t="s">
        <v>1192</v>
      </c>
      <c r="G1359" s="209">
        <v>4274</v>
      </c>
      <c r="H1359" s="205" t="s">
        <v>183</v>
      </c>
      <c r="I1359" s="205" t="s">
        <v>888</v>
      </c>
      <c r="J1359" s="210">
        <v>26533.26</v>
      </c>
      <c r="L1359" s="210">
        <v>33.35</v>
      </c>
      <c r="M1359" s="210">
        <v>33.35</v>
      </c>
      <c r="N1359" s="213"/>
      <c r="O1359" s="212">
        <v>0.15</v>
      </c>
      <c r="P1359" s="212"/>
      <c r="Q1359" s="213">
        <v>0</v>
      </c>
      <c r="R1359" s="205" t="s">
        <v>281</v>
      </c>
      <c r="S1359" s="214" t="s">
        <v>228</v>
      </c>
      <c r="T1359" s="214">
        <v>36</v>
      </c>
      <c r="U1359" s="215" t="s">
        <v>164</v>
      </c>
      <c r="V1359" s="438"/>
      <c r="W1359" s="205" t="s">
        <v>2813</v>
      </c>
      <c r="X1359" s="213">
        <v>0</v>
      </c>
      <c r="Y1359" s="213"/>
      <c r="AF1359" s="230">
        <f t="shared" si="22"/>
        <v>0</v>
      </c>
      <c r="AJ1359" s="216"/>
    </row>
    <row r="1360" spans="1:77" s="647" customFormat="1" ht="12" customHeight="1">
      <c r="B1360" s="664" t="s">
        <v>291</v>
      </c>
      <c r="C1360" s="648">
        <v>44697</v>
      </c>
      <c r="D1360" s="648">
        <v>44699</v>
      </c>
      <c r="E1360" s="649" t="s">
        <v>1193</v>
      </c>
      <c r="F1360" s="647" t="s">
        <v>1194</v>
      </c>
      <c r="G1360" s="650">
        <v>3810</v>
      </c>
      <c r="H1360" s="647" t="s">
        <v>99</v>
      </c>
      <c r="I1360" s="647" t="s">
        <v>1195</v>
      </c>
      <c r="J1360" s="651">
        <v>59696</v>
      </c>
      <c r="L1360" s="651">
        <v>70</v>
      </c>
      <c r="M1360" s="651">
        <v>70</v>
      </c>
      <c r="N1360" s="652"/>
      <c r="O1360" s="653">
        <v>0.2</v>
      </c>
      <c r="P1360" s="653"/>
      <c r="Q1360" s="652">
        <v>0</v>
      </c>
      <c r="R1360" s="660" t="s">
        <v>35</v>
      </c>
      <c r="S1360" s="654" t="s">
        <v>41</v>
      </c>
      <c r="T1360" s="654">
        <v>16</v>
      </c>
      <c r="U1360" s="655" t="s">
        <v>164</v>
      </c>
      <c r="V1360" s="656"/>
      <c r="X1360" s="652">
        <v>0</v>
      </c>
      <c r="Y1360" s="652"/>
      <c r="AI1360" s="647">
        <f>X1360</f>
        <v>0</v>
      </c>
      <c r="AJ1360" s="657"/>
      <c r="AK1360" s="658"/>
    </row>
    <row r="1361" spans="1:77" s="647" customFormat="1" ht="12" customHeight="1">
      <c r="B1361" s="664" t="s">
        <v>291</v>
      </c>
      <c r="C1361" s="648"/>
      <c r="D1361" s="648"/>
      <c r="E1361" s="649" t="s">
        <v>1193</v>
      </c>
      <c r="F1361" s="647" t="s">
        <v>1194</v>
      </c>
      <c r="G1361" s="650">
        <v>3810</v>
      </c>
      <c r="H1361" s="647" t="s">
        <v>27</v>
      </c>
      <c r="I1361" s="647" t="s">
        <v>1195</v>
      </c>
      <c r="J1361" s="651">
        <v>22253</v>
      </c>
      <c r="L1361" s="651">
        <v>22</v>
      </c>
      <c r="M1361" s="651">
        <v>22</v>
      </c>
      <c r="N1361" s="652"/>
      <c r="O1361" s="653">
        <v>0.2</v>
      </c>
      <c r="P1361" s="653"/>
      <c r="Q1361" s="652">
        <v>0</v>
      </c>
      <c r="R1361" s="660" t="s">
        <v>35</v>
      </c>
      <c r="S1361" s="654" t="s">
        <v>41</v>
      </c>
      <c r="T1361" s="654">
        <v>16</v>
      </c>
      <c r="U1361" s="655" t="s">
        <v>164</v>
      </c>
      <c r="V1361" s="656"/>
      <c r="X1361" s="652">
        <v>0</v>
      </c>
      <c r="Y1361" s="652"/>
      <c r="AI1361" s="647">
        <f>X1361</f>
        <v>0</v>
      </c>
      <c r="AJ1361" s="657"/>
      <c r="AK1361" s="658"/>
    </row>
    <row r="1362" spans="1:77" s="647" customFormat="1" ht="12" customHeight="1">
      <c r="B1362" s="664" t="s">
        <v>291</v>
      </c>
      <c r="C1362" s="648"/>
      <c r="D1362" s="648"/>
      <c r="E1362" s="649" t="s">
        <v>1193</v>
      </c>
      <c r="F1362" s="647" t="s">
        <v>1194</v>
      </c>
      <c r="G1362" s="650">
        <v>3810</v>
      </c>
      <c r="H1362" s="647" t="s">
        <v>183</v>
      </c>
      <c r="I1362" s="647" t="s">
        <v>1195</v>
      </c>
      <c r="J1362" s="651">
        <v>30976</v>
      </c>
      <c r="L1362" s="651">
        <v>40</v>
      </c>
      <c r="M1362" s="651">
        <v>40</v>
      </c>
      <c r="N1362" s="652"/>
      <c r="O1362" s="653">
        <v>0.2</v>
      </c>
      <c r="P1362" s="653"/>
      <c r="Q1362" s="652">
        <v>0</v>
      </c>
      <c r="R1362" s="660" t="s">
        <v>35</v>
      </c>
      <c r="S1362" s="654" t="s">
        <v>41</v>
      </c>
      <c r="T1362" s="654">
        <v>16</v>
      </c>
      <c r="U1362" s="655" t="s">
        <v>164</v>
      </c>
      <c r="V1362" s="656"/>
      <c r="X1362" s="652">
        <v>0</v>
      </c>
      <c r="Y1362" s="652"/>
      <c r="AI1362" s="647">
        <f>X1362</f>
        <v>0</v>
      </c>
      <c r="AJ1362" s="657"/>
      <c r="AK1362" s="658"/>
    </row>
    <row r="1363" spans="1:77" s="379" customFormat="1" ht="12" customHeight="1">
      <c r="B1363" s="406" t="s">
        <v>291</v>
      </c>
      <c r="C1363" s="381"/>
      <c r="D1363" s="381"/>
      <c r="E1363" s="382" t="s">
        <v>1193</v>
      </c>
      <c r="F1363" s="379" t="s">
        <v>1194</v>
      </c>
      <c r="G1363" s="383">
        <v>3810</v>
      </c>
      <c r="H1363" s="379" t="s">
        <v>898</v>
      </c>
      <c r="I1363" s="379" t="s">
        <v>1195</v>
      </c>
      <c r="J1363" s="385">
        <v>12306</v>
      </c>
      <c r="L1363" s="385">
        <v>15</v>
      </c>
      <c r="M1363" s="385">
        <v>8</v>
      </c>
      <c r="N1363" s="386"/>
      <c r="O1363" s="387">
        <v>0.2</v>
      </c>
      <c r="P1363" s="387"/>
      <c r="Q1363" s="386">
        <v>0</v>
      </c>
      <c r="R1363" s="394" t="s">
        <v>35</v>
      </c>
      <c r="S1363" s="388" t="s">
        <v>41</v>
      </c>
      <c r="T1363" s="388">
        <v>16</v>
      </c>
      <c r="U1363" s="389" t="s">
        <v>164</v>
      </c>
      <c r="V1363" s="433"/>
      <c r="X1363" s="386">
        <v>0</v>
      </c>
      <c r="Y1363" s="386"/>
      <c r="AJ1363" s="390">
        <v>0</v>
      </c>
    </row>
    <row r="1364" spans="1:77" s="273" customFormat="1" ht="12" customHeight="1">
      <c r="B1364" s="270" t="s">
        <v>291</v>
      </c>
      <c r="C1364" s="271">
        <v>44697</v>
      </c>
      <c r="D1364" s="271">
        <v>44699</v>
      </c>
      <c r="E1364" s="272" t="s">
        <v>1196</v>
      </c>
      <c r="F1364" s="273" t="s">
        <v>1156</v>
      </c>
      <c r="G1364" s="276" t="s">
        <v>556</v>
      </c>
      <c r="H1364" s="273" t="s">
        <v>99</v>
      </c>
      <c r="I1364" s="273" t="s">
        <v>33</v>
      </c>
      <c r="J1364" s="277">
        <v>59699.21</v>
      </c>
      <c r="L1364" s="277">
        <v>48.99</v>
      </c>
      <c r="M1364" s="277">
        <v>48.99</v>
      </c>
      <c r="N1364" s="275">
        <f>0.15*J1364</f>
        <v>8954.8814999999995</v>
      </c>
      <c r="O1364" s="278">
        <v>0.2</v>
      </c>
      <c r="P1364" s="278"/>
      <c r="Q1364" s="275">
        <v>0</v>
      </c>
      <c r="R1364" s="261" t="s">
        <v>42</v>
      </c>
      <c r="S1364" s="279" t="s">
        <v>41</v>
      </c>
      <c r="T1364" s="279">
        <v>79</v>
      </c>
      <c r="U1364" s="274" t="s">
        <v>164</v>
      </c>
      <c r="V1364" s="454"/>
      <c r="X1364" s="275">
        <v>0</v>
      </c>
      <c r="Y1364" s="275"/>
      <c r="AG1364" s="273">
        <f>X1364</f>
        <v>0</v>
      </c>
      <c r="AI1364" s="261"/>
      <c r="AJ1364" s="642"/>
      <c r="AK1364" s="261"/>
      <c r="AL1364" s="261"/>
      <c r="AM1364" s="261"/>
      <c r="AN1364" s="261"/>
      <c r="AO1364" s="261"/>
      <c r="AP1364" s="261"/>
      <c r="AQ1364" s="261"/>
      <c r="AR1364" s="261"/>
      <c r="AS1364" s="261"/>
      <c r="AT1364" s="261"/>
      <c r="AU1364" s="261"/>
      <c r="AV1364" s="261"/>
      <c r="AW1364" s="261"/>
      <c r="AX1364" s="261"/>
      <c r="AY1364" s="261"/>
      <c r="AZ1364" s="261"/>
      <c r="BA1364" s="261"/>
      <c r="BB1364" s="261"/>
      <c r="BC1364" s="261"/>
      <c r="BD1364" s="261"/>
      <c r="BE1364" s="261"/>
      <c r="BF1364" s="261"/>
      <c r="BG1364" s="261"/>
      <c r="BH1364" s="261"/>
      <c r="BI1364" s="261"/>
      <c r="BJ1364" s="261"/>
      <c r="BK1364" s="261"/>
      <c r="BL1364" s="261"/>
      <c r="BM1364" s="261"/>
      <c r="BN1364" s="261"/>
      <c r="BO1364" s="261"/>
      <c r="BP1364" s="261"/>
      <c r="BQ1364" s="261"/>
      <c r="BR1364" s="261"/>
      <c r="BS1364" s="261"/>
      <c r="BT1364" s="261"/>
      <c r="BU1364" s="261"/>
      <c r="BV1364" s="261"/>
      <c r="BW1364" s="261"/>
      <c r="BX1364" s="261"/>
      <c r="BY1364" s="261"/>
    </row>
    <row r="1365" spans="1:77" s="273" customFormat="1" ht="12" customHeight="1">
      <c r="B1365" s="270" t="s">
        <v>291</v>
      </c>
      <c r="C1365" s="271"/>
      <c r="D1365" s="271"/>
      <c r="E1365" s="272" t="s">
        <v>1196</v>
      </c>
      <c r="F1365" s="273" t="s">
        <v>1156</v>
      </c>
      <c r="G1365" s="276" t="s">
        <v>556</v>
      </c>
      <c r="H1365" s="273" t="s">
        <v>432</v>
      </c>
      <c r="I1365" s="273" t="s">
        <v>33</v>
      </c>
      <c r="J1365" s="277">
        <v>3651.9</v>
      </c>
      <c r="L1365" s="277">
        <v>7</v>
      </c>
      <c r="M1365" s="277">
        <v>7</v>
      </c>
      <c r="N1365" s="275">
        <f>0.25*J1365</f>
        <v>912.97500000000002</v>
      </c>
      <c r="O1365" s="278">
        <v>0.2</v>
      </c>
      <c r="P1365" s="278"/>
      <c r="Q1365" s="275">
        <v>0</v>
      </c>
      <c r="R1365" s="261" t="s">
        <v>42</v>
      </c>
      <c r="S1365" s="279" t="s">
        <v>41</v>
      </c>
      <c r="T1365" s="279">
        <v>79</v>
      </c>
      <c r="U1365" s="274" t="s">
        <v>164</v>
      </c>
      <c r="V1365" s="454"/>
      <c r="X1365" s="275">
        <v>0</v>
      </c>
      <c r="Y1365" s="275"/>
      <c r="AG1365" s="273">
        <f>X1365</f>
        <v>0</v>
      </c>
      <c r="AI1365" s="261"/>
      <c r="AJ1365" s="642"/>
      <c r="AK1365" s="261"/>
      <c r="AL1365" s="261"/>
      <c r="AM1365" s="261"/>
      <c r="AN1365" s="261"/>
      <c r="AO1365" s="261"/>
      <c r="AP1365" s="261"/>
      <c r="AQ1365" s="261"/>
      <c r="AR1365" s="261"/>
      <c r="AS1365" s="261"/>
      <c r="AT1365" s="261"/>
      <c r="AU1365" s="261"/>
      <c r="AV1365" s="261"/>
      <c r="AW1365" s="261"/>
      <c r="AX1365" s="261"/>
      <c r="AY1365" s="261"/>
      <c r="AZ1365" s="261"/>
      <c r="BA1365" s="261"/>
      <c r="BB1365" s="261"/>
      <c r="BC1365" s="261"/>
      <c r="BD1365" s="261"/>
      <c r="BE1365" s="261"/>
      <c r="BF1365" s="261"/>
      <c r="BG1365" s="261"/>
      <c r="BH1365" s="261"/>
      <c r="BI1365" s="261"/>
      <c r="BJ1365" s="261"/>
      <c r="BK1365" s="261"/>
      <c r="BL1365" s="261"/>
      <c r="BM1365" s="261"/>
      <c r="BN1365" s="261"/>
      <c r="BO1365" s="261"/>
      <c r="BP1365" s="261"/>
      <c r="BQ1365" s="261"/>
      <c r="BR1365" s="261"/>
      <c r="BS1365" s="261"/>
      <c r="BT1365" s="261"/>
      <c r="BU1365" s="261"/>
      <c r="BV1365" s="261"/>
      <c r="BW1365" s="261"/>
      <c r="BX1365" s="261"/>
      <c r="BY1365" s="261"/>
    </row>
    <row r="1366" spans="1:77" s="273" customFormat="1" ht="12" customHeight="1">
      <c r="B1366" s="270" t="s">
        <v>291</v>
      </c>
      <c r="C1366" s="271"/>
      <c r="D1366" s="271"/>
      <c r="E1366" s="272" t="s">
        <v>1196</v>
      </c>
      <c r="F1366" s="273" t="s">
        <v>1156</v>
      </c>
      <c r="G1366" s="276" t="s">
        <v>556</v>
      </c>
      <c r="H1366" s="273" t="s">
        <v>183</v>
      </c>
      <c r="I1366" s="273" t="s">
        <v>33</v>
      </c>
      <c r="J1366" s="277">
        <v>14631.89</v>
      </c>
      <c r="L1366" s="277">
        <v>15.73</v>
      </c>
      <c r="M1366" s="277">
        <v>15.73</v>
      </c>
      <c r="N1366" s="275">
        <f>0.15*J1366</f>
        <v>2194.7835</v>
      </c>
      <c r="O1366" s="278">
        <v>0.2</v>
      </c>
      <c r="P1366" s="278"/>
      <c r="Q1366" s="275">
        <v>0</v>
      </c>
      <c r="R1366" s="261" t="s">
        <v>42</v>
      </c>
      <c r="S1366" s="279" t="s">
        <v>41</v>
      </c>
      <c r="T1366" s="279">
        <v>79</v>
      </c>
      <c r="U1366" s="274" t="s">
        <v>164</v>
      </c>
      <c r="V1366" s="454"/>
      <c r="X1366" s="275">
        <v>0</v>
      </c>
      <c r="Y1366" s="275"/>
      <c r="AG1366" s="273">
        <f>X1366</f>
        <v>0</v>
      </c>
      <c r="AI1366" s="261"/>
      <c r="AJ1366" s="642"/>
      <c r="AK1366" s="261"/>
      <c r="AL1366" s="261"/>
      <c r="AM1366" s="261"/>
      <c r="AN1366" s="261"/>
      <c r="AO1366" s="261"/>
      <c r="AP1366" s="261"/>
      <c r="AQ1366" s="261"/>
      <c r="AR1366" s="261"/>
      <c r="AS1366" s="261"/>
      <c r="AT1366" s="261"/>
      <c r="AU1366" s="261"/>
      <c r="AV1366" s="261"/>
      <c r="AW1366" s="261"/>
      <c r="AX1366" s="261"/>
      <c r="AY1366" s="261"/>
      <c r="AZ1366" s="261"/>
      <c r="BA1366" s="261"/>
      <c r="BB1366" s="261"/>
      <c r="BC1366" s="261"/>
      <c r="BD1366" s="261"/>
      <c r="BE1366" s="261"/>
      <c r="BF1366" s="261"/>
      <c r="BG1366" s="261"/>
      <c r="BH1366" s="261"/>
      <c r="BI1366" s="261"/>
      <c r="BJ1366" s="261"/>
      <c r="BK1366" s="261"/>
      <c r="BL1366" s="261"/>
      <c r="BM1366" s="261"/>
      <c r="BN1366" s="261"/>
      <c r="BO1366" s="261"/>
      <c r="BP1366" s="261"/>
      <c r="BQ1366" s="261"/>
      <c r="BR1366" s="261"/>
      <c r="BS1366" s="261"/>
      <c r="BT1366" s="261"/>
      <c r="BU1366" s="261"/>
      <c r="BV1366" s="261"/>
      <c r="BW1366" s="261"/>
      <c r="BX1366" s="261"/>
      <c r="BY1366" s="261"/>
    </row>
    <row r="1367" spans="1:77" s="394" customFormat="1" ht="12" customHeight="1">
      <c r="B1367" s="406" t="s">
        <v>291</v>
      </c>
      <c r="C1367" s="392">
        <v>44699</v>
      </c>
      <c r="D1367" s="392">
        <v>44699</v>
      </c>
      <c r="E1367" s="393" t="s">
        <v>1197</v>
      </c>
      <c r="F1367" s="394" t="s">
        <v>1198</v>
      </c>
      <c r="G1367" s="400" t="s">
        <v>1199</v>
      </c>
      <c r="H1367" s="394" t="s">
        <v>99</v>
      </c>
      <c r="I1367" s="394" t="s">
        <v>888</v>
      </c>
      <c r="J1367" s="395">
        <v>10494</v>
      </c>
      <c r="L1367" s="395">
        <v>9</v>
      </c>
      <c r="M1367" s="395">
        <v>9</v>
      </c>
      <c r="N1367" s="396"/>
      <c r="O1367" s="397">
        <v>0.2</v>
      </c>
      <c r="P1367" s="397"/>
      <c r="Q1367" s="396">
        <v>617.34</v>
      </c>
      <c r="R1367" s="394" t="s">
        <v>257</v>
      </c>
      <c r="S1367" s="399" t="s">
        <v>624</v>
      </c>
      <c r="T1367" s="399">
        <v>32</v>
      </c>
      <c r="U1367" s="398" t="s">
        <v>164</v>
      </c>
      <c r="V1367" s="449"/>
      <c r="X1367" s="396">
        <v>617.34</v>
      </c>
      <c r="Y1367" s="396"/>
      <c r="AI1367" s="379"/>
      <c r="AJ1367" s="395">
        <v>617.34</v>
      </c>
      <c r="AK1367" s="379"/>
      <c r="AL1367" s="379"/>
      <c r="AM1367" s="379"/>
      <c r="AN1367" s="379"/>
      <c r="AO1367" s="379"/>
      <c r="AP1367" s="379"/>
      <c r="AQ1367" s="379"/>
      <c r="AR1367" s="379"/>
      <c r="AS1367" s="379"/>
      <c r="AT1367" s="379"/>
      <c r="AU1367" s="379"/>
      <c r="AV1367" s="379"/>
      <c r="AW1367" s="379"/>
      <c r="AX1367" s="379"/>
      <c r="AY1367" s="379"/>
      <c r="AZ1367" s="379"/>
      <c r="BA1367" s="379"/>
      <c r="BB1367" s="379"/>
      <c r="BC1367" s="379"/>
      <c r="BD1367" s="379"/>
      <c r="BE1367" s="379"/>
      <c r="BF1367" s="379"/>
      <c r="BG1367" s="379"/>
      <c r="BH1367" s="379"/>
      <c r="BI1367" s="379"/>
      <c r="BJ1367" s="379"/>
      <c r="BK1367" s="379"/>
      <c r="BL1367" s="379"/>
      <c r="BM1367" s="379"/>
      <c r="BN1367" s="379"/>
      <c r="BO1367" s="379"/>
      <c r="BP1367" s="379"/>
      <c r="BQ1367" s="379"/>
      <c r="BR1367" s="379"/>
      <c r="BS1367" s="379"/>
      <c r="BT1367" s="379"/>
      <c r="BU1367" s="379"/>
      <c r="BV1367" s="379"/>
      <c r="BW1367" s="379"/>
      <c r="BX1367" s="379"/>
      <c r="BY1367" s="379"/>
    </row>
    <row r="1368" spans="1:77" s="394" customFormat="1" ht="12" customHeight="1">
      <c r="B1368" s="406" t="s">
        <v>291</v>
      </c>
      <c r="C1368" s="392"/>
      <c r="D1368" s="392"/>
      <c r="E1368" s="393" t="s">
        <v>1197</v>
      </c>
      <c r="F1368" s="394" t="s">
        <v>1198</v>
      </c>
      <c r="G1368" s="400" t="s">
        <v>1199</v>
      </c>
      <c r="H1368" s="394" t="s">
        <v>941</v>
      </c>
      <c r="I1368" s="394" t="s">
        <v>888</v>
      </c>
      <c r="J1368" s="395">
        <v>9795.5</v>
      </c>
      <c r="L1368" s="395">
        <v>11</v>
      </c>
      <c r="M1368" s="395">
        <v>11.16</v>
      </c>
      <c r="N1368" s="396"/>
      <c r="O1368" s="397">
        <v>0.2</v>
      </c>
      <c r="P1368" s="397"/>
      <c r="Q1368" s="396">
        <v>0</v>
      </c>
      <c r="R1368" s="394" t="s">
        <v>257</v>
      </c>
      <c r="S1368" s="399" t="s">
        <v>624</v>
      </c>
      <c r="T1368" s="399">
        <v>32</v>
      </c>
      <c r="U1368" s="398" t="s">
        <v>164</v>
      </c>
      <c r="V1368" s="449"/>
      <c r="X1368" s="396">
        <v>0</v>
      </c>
      <c r="Y1368" s="396"/>
      <c r="AI1368" s="379"/>
      <c r="AJ1368" s="390">
        <v>0</v>
      </c>
      <c r="AK1368" s="379"/>
      <c r="AL1368" s="379"/>
      <c r="AM1368" s="379"/>
      <c r="AN1368" s="379"/>
      <c r="AO1368" s="379"/>
      <c r="AP1368" s="379"/>
      <c r="AQ1368" s="379"/>
      <c r="AR1368" s="379"/>
      <c r="AS1368" s="379"/>
      <c r="AT1368" s="379"/>
      <c r="AU1368" s="379"/>
      <c r="AV1368" s="379"/>
      <c r="AW1368" s="379"/>
      <c r="AX1368" s="379"/>
      <c r="AY1368" s="379"/>
      <c r="AZ1368" s="379"/>
      <c r="BA1368" s="379"/>
      <c r="BB1368" s="379"/>
      <c r="BC1368" s="379"/>
      <c r="BD1368" s="379"/>
      <c r="BE1368" s="379"/>
      <c r="BF1368" s="379"/>
      <c r="BG1368" s="379"/>
      <c r="BH1368" s="379"/>
      <c r="BI1368" s="379"/>
      <c r="BJ1368" s="379"/>
      <c r="BK1368" s="379"/>
      <c r="BL1368" s="379"/>
      <c r="BM1368" s="379"/>
      <c r="BN1368" s="379"/>
      <c r="BO1368" s="379"/>
      <c r="BP1368" s="379"/>
      <c r="BQ1368" s="379"/>
      <c r="BR1368" s="379"/>
      <c r="BS1368" s="379"/>
      <c r="BT1368" s="379"/>
      <c r="BU1368" s="379"/>
      <c r="BV1368" s="379"/>
      <c r="BW1368" s="379"/>
      <c r="BX1368" s="379"/>
      <c r="BY1368" s="379"/>
    </row>
    <row r="1369" spans="1:77" s="303" customFormat="1" ht="12" customHeight="1">
      <c r="A1369" s="303" t="s">
        <v>3893</v>
      </c>
      <c r="B1369" s="291" t="s">
        <v>291</v>
      </c>
      <c r="C1369" s="301">
        <v>44697</v>
      </c>
      <c r="D1369" s="301">
        <v>44699</v>
      </c>
      <c r="E1369" s="302" t="s">
        <v>1200</v>
      </c>
      <c r="F1369" s="303" t="s">
        <v>315</v>
      </c>
      <c r="G1369" s="304">
        <v>3964</v>
      </c>
      <c r="H1369" s="303" t="s">
        <v>1201</v>
      </c>
      <c r="I1369" s="303" t="s">
        <v>888</v>
      </c>
      <c r="J1369" s="305">
        <v>42000</v>
      </c>
      <c r="L1369" s="305">
        <v>12</v>
      </c>
      <c r="M1369" s="305">
        <v>12</v>
      </c>
      <c r="N1369" s="306"/>
      <c r="O1369" s="307">
        <v>0.3</v>
      </c>
      <c r="P1369" s="307"/>
      <c r="Q1369" s="306">
        <v>0</v>
      </c>
      <c r="R1369" s="291" t="s">
        <v>35</v>
      </c>
      <c r="S1369" s="299" t="s">
        <v>41</v>
      </c>
      <c r="T1369" s="299">
        <v>86</v>
      </c>
      <c r="U1369" s="309" t="s">
        <v>164</v>
      </c>
      <c r="V1369" s="447"/>
      <c r="W1369" s="303" t="s">
        <v>3905</v>
      </c>
      <c r="X1369" s="306">
        <v>0</v>
      </c>
      <c r="Y1369" s="306"/>
      <c r="AH1369" s="303">
        <f>X1369</f>
        <v>0</v>
      </c>
      <c r="AI1369" s="311"/>
      <c r="AJ1369" s="468"/>
      <c r="AK1369" s="291"/>
      <c r="AL1369" s="291"/>
      <c r="AM1369" s="291"/>
      <c r="AN1369" s="291"/>
      <c r="AO1369" s="291"/>
      <c r="AP1369" s="291"/>
      <c r="AQ1369" s="291"/>
      <c r="AR1369" s="291"/>
      <c r="AS1369" s="291"/>
      <c r="AT1369" s="291"/>
      <c r="AU1369" s="291"/>
      <c r="AV1369" s="291"/>
      <c r="AW1369" s="291"/>
      <c r="AX1369" s="291"/>
      <c r="AY1369" s="291"/>
      <c r="AZ1369" s="291"/>
      <c r="BA1369" s="291"/>
      <c r="BB1369" s="291"/>
      <c r="BC1369" s="291"/>
      <c r="BD1369" s="291"/>
      <c r="BE1369" s="291"/>
      <c r="BF1369" s="291"/>
      <c r="BG1369" s="291"/>
      <c r="BH1369" s="291"/>
      <c r="BI1369" s="291"/>
      <c r="BJ1369" s="291"/>
      <c r="BK1369" s="291"/>
      <c r="BL1369" s="291"/>
      <c r="BM1369" s="291"/>
      <c r="BN1369" s="291"/>
      <c r="BO1369" s="291"/>
      <c r="BP1369" s="291"/>
      <c r="BQ1369" s="291"/>
      <c r="BR1369" s="291"/>
      <c r="BS1369" s="291"/>
      <c r="BT1369" s="291"/>
      <c r="BU1369" s="291"/>
      <c r="BV1369" s="291"/>
      <c r="BW1369" s="291"/>
      <c r="BX1369" s="291"/>
      <c r="BY1369" s="291"/>
    </row>
    <row r="1370" spans="1:77" s="303" customFormat="1" ht="12" customHeight="1">
      <c r="B1370" s="291" t="s">
        <v>291</v>
      </c>
      <c r="C1370" s="301"/>
      <c r="D1370" s="301"/>
      <c r="E1370" s="302" t="s">
        <v>1202</v>
      </c>
      <c r="F1370" s="303" t="s">
        <v>1203</v>
      </c>
      <c r="G1370" s="304">
        <v>3758</v>
      </c>
      <c r="H1370" s="303" t="s">
        <v>183</v>
      </c>
      <c r="I1370" s="303" t="s">
        <v>33</v>
      </c>
      <c r="J1370" s="305">
        <v>5000.9399999999996</v>
      </c>
      <c r="L1370" s="305">
        <v>4.9000000000000004</v>
      </c>
      <c r="M1370" s="305">
        <v>4.9000000000000004</v>
      </c>
      <c r="N1370" s="306">
        <v>1031.69</v>
      </c>
      <c r="O1370" s="307">
        <v>0.15</v>
      </c>
      <c r="P1370" s="307"/>
      <c r="Q1370" s="306">
        <v>0</v>
      </c>
      <c r="R1370" s="303" t="s">
        <v>142</v>
      </c>
      <c r="S1370" s="308" t="s">
        <v>41</v>
      </c>
      <c r="T1370" s="308">
        <v>24</v>
      </c>
      <c r="U1370" s="309" t="s">
        <v>164</v>
      </c>
      <c r="V1370" s="447"/>
      <c r="X1370" s="306">
        <v>0</v>
      </c>
      <c r="Y1370" s="297"/>
      <c r="AH1370" s="303">
        <f>X1370</f>
        <v>0</v>
      </c>
      <c r="AI1370" s="311"/>
      <c r="AJ1370" s="468"/>
      <c r="AK1370" s="291"/>
      <c r="AL1370" s="291"/>
      <c r="AM1370" s="291"/>
      <c r="AN1370" s="291"/>
      <c r="AO1370" s="291"/>
      <c r="AP1370" s="291"/>
      <c r="AQ1370" s="291"/>
      <c r="AR1370" s="291"/>
      <c r="AS1370" s="291"/>
      <c r="AT1370" s="291"/>
      <c r="AU1370" s="291"/>
      <c r="AV1370" s="291"/>
      <c r="AW1370" s="291"/>
      <c r="AX1370" s="291"/>
      <c r="AY1370" s="291"/>
      <c r="AZ1370" s="291"/>
      <c r="BA1370" s="291"/>
      <c r="BB1370" s="291"/>
      <c r="BC1370" s="291"/>
      <c r="BD1370" s="291"/>
      <c r="BE1370" s="291"/>
      <c r="BF1370" s="291"/>
      <c r="BG1370" s="291"/>
      <c r="BH1370" s="291"/>
      <c r="BI1370" s="291"/>
      <c r="BJ1370" s="291"/>
      <c r="BK1370" s="291"/>
      <c r="BL1370" s="291"/>
      <c r="BM1370" s="291"/>
      <c r="BN1370" s="291"/>
      <c r="BO1370" s="291"/>
      <c r="BP1370" s="291"/>
      <c r="BQ1370" s="291"/>
      <c r="BR1370" s="291"/>
      <c r="BS1370" s="291"/>
      <c r="BT1370" s="291"/>
      <c r="BU1370" s="291"/>
      <c r="BV1370" s="291"/>
      <c r="BW1370" s="291"/>
      <c r="BX1370" s="291"/>
      <c r="BY1370" s="291"/>
    </row>
    <row r="1371" spans="1:77" s="218" customFormat="1" ht="12" customHeight="1">
      <c r="B1371" s="205" t="s">
        <v>291</v>
      </c>
      <c r="C1371" s="225">
        <v>44699</v>
      </c>
      <c r="D1371" s="225">
        <v>44699</v>
      </c>
      <c r="E1371" s="226" t="s">
        <v>1202</v>
      </c>
      <c r="F1371" s="218" t="s">
        <v>1203</v>
      </c>
      <c r="G1371" s="220">
        <v>3758</v>
      </c>
      <c r="H1371" s="218" t="s">
        <v>99</v>
      </c>
      <c r="I1371" s="218" t="s">
        <v>33</v>
      </c>
      <c r="J1371" s="222">
        <v>6682.11</v>
      </c>
      <c r="L1371" s="222">
        <v>5.7</v>
      </c>
      <c r="M1371" s="222">
        <v>5.7</v>
      </c>
      <c r="N1371" s="223"/>
      <c r="O1371" s="224">
        <v>0.15</v>
      </c>
      <c r="P1371" s="224"/>
      <c r="Q1371" s="223">
        <v>0</v>
      </c>
      <c r="R1371" s="218" t="s">
        <v>142</v>
      </c>
      <c r="S1371" s="221" t="s">
        <v>41</v>
      </c>
      <c r="T1371" s="221">
        <v>24</v>
      </c>
      <c r="U1371" s="227" t="s">
        <v>164</v>
      </c>
      <c r="V1371" s="455"/>
      <c r="W1371" s="218" t="s">
        <v>2867</v>
      </c>
      <c r="X1371" s="223">
        <v>0</v>
      </c>
      <c r="Y1371" s="223"/>
      <c r="AF1371" s="230">
        <f>X1371</f>
        <v>0</v>
      </c>
      <c r="AI1371" s="205"/>
      <c r="AJ1371" s="216"/>
      <c r="AK1371" s="205"/>
      <c r="AL1371" s="205"/>
      <c r="AM1371" s="205"/>
      <c r="AN1371" s="205"/>
      <c r="AO1371" s="205"/>
      <c r="AP1371" s="205"/>
      <c r="AQ1371" s="205"/>
      <c r="AR1371" s="205"/>
      <c r="AS1371" s="205"/>
      <c r="AT1371" s="205"/>
      <c r="AU1371" s="205"/>
      <c r="AV1371" s="205"/>
      <c r="AW1371" s="205"/>
      <c r="AX1371" s="205"/>
      <c r="AY1371" s="205"/>
      <c r="AZ1371" s="205"/>
      <c r="BA1371" s="205"/>
      <c r="BB1371" s="205"/>
      <c r="BC1371" s="205"/>
      <c r="BD1371" s="205"/>
      <c r="BE1371" s="205"/>
      <c r="BF1371" s="205"/>
      <c r="BG1371" s="205"/>
      <c r="BH1371" s="205"/>
      <c r="BI1371" s="205"/>
      <c r="BJ1371" s="205"/>
      <c r="BK1371" s="205"/>
      <c r="BL1371" s="205"/>
      <c r="BM1371" s="205"/>
      <c r="BN1371" s="205"/>
      <c r="BO1371" s="205"/>
      <c r="BP1371" s="205"/>
      <c r="BQ1371" s="205"/>
      <c r="BR1371" s="205"/>
      <c r="BS1371" s="205"/>
      <c r="BT1371" s="205"/>
      <c r="BU1371" s="205"/>
      <c r="BV1371" s="205"/>
      <c r="BW1371" s="205"/>
      <c r="BX1371" s="205"/>
      <c r="BY1371" s="205"/>
    </row>
    <row r="1372" spans="1:77" s="218" customFormat="1" ht="12" customHeight="1">
      <c r="B1372" s="205" t="s">
        <v>291</v>
      </c>
      <c r="C1372" s="225"/>
      <c r="D1372" s="225"/>
      <c r="E1372" s="226" t="s">
        <v>1202</v>
      </c>
      <c r="F1372" s="218" t="s">
        <v>1203</v>
      </c>
      <c r="G1372" s="220">
        <v>3758</v>
      </c>
      <c r="H1372" s="218" t="s">
        <v>162</v>
      </c>
      <c r="I1372" s="218" t="s">
        <v>33</v>
      </c>
      <c r="J1372" s="222">
        <v>430.92</v>
      </c>
      <c r="L1372" s="222">
        <v>1.8</v>
      </c>
      <c r="M1372" s="222">
        <v>1.8</v>
      </c>
      <c r="N1372" s="223"/>
      <c r="O1372" s="224">
        <v>0.15</v>
      </c>
      <c r="P1372" s="224"/>
      <c r="Q1372" s="223">
        <v>0</v>
      </c>
      <c r="R1372" s="218" t="s">
        <v>142</v>
      </c>
      <c r="S1372" s="221" t="s">
        <v>41</v>
      </c>
      <c r="T1372" s="221">
        <v>24</v>
      </c>
      <c r="U1372" s="227" t="s">
        <v>164</v>
      </c>
      <c r="V1372" s="455"/>
      <c r="W1372" s="218" t="s">
        <v>2867</v>
      </c>
      <c r="X1372" s="223">
        <v>0</v>
      </c>
      <c r="Y1372" s="223"/>
      <c r="AF1372" s="230">
        <f>X1372</f>
        <v>0</v>
      </c>
      <c r="AI1372" s="205"/>
      <c r="AJ1372" s="216"/>
      <c r="AK1372" s="205"/>
      <c r="AL1372" s="205"/>
      <c r="AM1372" s="205"/>
      <c r="AN1372" s="205"/>
      <c r="AO1372" s="205"/>
      <c r="AP1372" s="205"/>
      <c r="AQ1372" s="205"/>
      <c r="AR1372" s="205"/>
      <c r="AS1372" s="205"/>
      <c r="AT1372" s="205"/>
      <c r="AU1372" s="205"/>
      <c r="AV1372" s="205"/>
      <c r="AW1372" s="205"/>
      <c r="AX1372" s="205"/>
      <c r="AY1372" s="205"/>
      <c r="AZ1372" s="205"/>
      <c r="BA1372" s="205"/>
      <c r="BB1372" s="205"/>
      <c r="BC1372" s="205"/>
      <c r="BD1372" s="205"/>
      <c r="BE1372" s="205"/>
      <c r="BF1372" s="205"/>
      <c r="BG1372" s="205"/>
      <c r="BH1372" s="205"/>
      <c r="BI1372" s="205"/>
      <c r="BJ1372" s="205"/>
      <c r="BK1372" s="205"/>
      <c r="BL1372" s="205"/>
      <c r="BM1372" s="205"/>
      <c r="BN1372" s="205"/>
      <c r="BO1372" s="205"/>
      <c r="BP1372" s="205"/>
      <c r="BQ1372" s="205"/>
      <c r="BR1372" s="205"/>
      <c r="BS1372" s="205"/>
      <c r="BT1372" s="205"/>
      <c r="BU1372" s="205"/>
      <c r="BV1372" s="205"/>
      <c r="BW1372" s="205"/>
      <c r="BX1372" s="205"/>
      <c r="BY1372" s="205"/>
    </row>
    <row r="1373" spans="1:77" s="218" customFormat="1" ht="12" customHeight="1">
      <c r="B1373" s="205" t="s">
        <v>291</v>
      </c>
      <c r="C1373" s="225">
        <v>44700</v>
      </c>
      <c r="D1373" s="225">
        <v>44700</v>
      </c>
      <c r="E1373" s="226" t="s">
        <v>1204</v>
      </c>
      <c r="F1373" s="218" t="s">
        <v>219</v>
      </c>
      <c r="G1373" s="220">
        <v>4141</v>
      </c>
      <c r="H1373" s="218" t="s">
        <v>162</v>
      </c>
      <c r="I1373" s="218" t="s">
        <v>33</v>
      </c>
      <c r="J1373" s="222">
        <v>5704.38</v>
      </c>
      <c r="L1373" s="222">
        <v>12.06</v>
      </c>
      <c r="M1373" s="222">
        <v>12.02</v>
      </c>
      <c r="N1373" s="223"/>
      <c r="O1373" s="224">
        <v>0.2</v>
      </c>
      <c r="P1373" s="224"/>
      <c r="Q1373" s="223">
        <v>4031.51</v>
      </c>
      <c r="R1373" s="205" t="s">
        <v>73</v>
      </c>
      <c r="S1373" s="214" t="s">
        <v>150</v>
      </c>
      <c r="T1373" s="214">
        <v>31</v>
      </c>
      <c r="U1373" s="227" t="s">
        <v>164</v>
      </c>
      <c r="V1373" s="455"/>
      <c r="X1373" s="223">
        <v>4031.51</v>
      </c>
      <c r="Y1373" s="223"/>
      <c r="AF1373" s="230">
        <f>X1373</f>
        <v>4031.51</v>
      </c>
      <c r="AI1373" s="205"/>
      <c r="AJ1373" s="216"/>
      <c r="AK1373" s="205"/>
      <c r="AL1373" s="205"/>
      <c r="AM1373" s="205"/>
      <c r="AN1373" s="205"/>
      <c r="AO1373" s="205"/>
      <c r="AP1373" s="205"/>
      <c r="AQ1373" s="205"/>
      <c r="AR1373" s="205"/>
      <c r="AS1373" s="205"/>
      <c r="AT1373" s="205"/>
      <c r="AU1373" s="205"/>
      <c r="AV1373" s="205"/>
      <c r="AW1373" s="205"/>
      <c r="AX1373" s="205"/>
      <c r="AY1373" s="205"/>
      <c r="AZ1373" s="205"/>
      <c r="BA1373" s="205"/>
      <c r="BB1373" s="205"/>
      <c r="BC1373" s="205"/>
      <c r="BD1373" s="205"/>
      <c r="BE1373" s="205"/>
      <c r="BF1373" s="205"/>
      <c r="BG1373" s="205"/>
      <c r="BH1373" s="205"/>
      <c r="BI1373" s="205"/>
      <c r="BJ1373" s="205"/>
      <c r="BK1373" s="205"/>
      <c r="BL1373" s="205"/>
      <c r="BM1373" s="205"/>
      <c r="BN1373" s="205"/>
      <c r="BO1373" s="205"/>
      <c r="BP1373" s="205"/>
      <c r="BQ1373" s="205"/>
      <c r="BR1373" s="205"/>
      <c r="BS1373" s="205"/>
      <c r="BT1373" s="205"/>
      <c r="BU1373" s="205"/>
      <c r="BV1373" s="205"/>
      <c r="BW1373" s="205"/>
      <c r="BX1373" s="205"/>
      <c r="BY1373" s="205"/>
    </row>
    <row r="1374" spans="1:77" s="394" customFormat="1" ht="12" customHeight="1">
      <c r="B1374" s="379" t="s">
        <v>291</v>
      </c>
      <c r="C1374" s="392">
        <v>44699</v>
      </c>
      <c r="D1374" s="392">
        <v>44699</v>
      </c>
      <c r="E1374" s="393" t="s">
        <v>1205</v>
      </c>
      <c r="F1374" s="394" t="s">
        <v>1206</v>
      </c>
      <c r="G1374" s="400" t="s">
        <v>1207</v>
      </c>
      <c r="H1374" s="394" t="s">
        <v>99</v>
      </c>
      <c r="I1374" s="394" t="s">
        <v>888</v>
      </c>
      <c r="J1374" s="395">
        <v>60210.96</v>
      </c>
      <c r="L1374" s="395">
        <v>47.56</v>
      </c>
      <c r="M1374" s="395">
        <v>47.56</v>
      </c>
      <c r="N1374" s="396"/>
      <c r="O1374" s="397">
        <v>0.2</v>
      </c>
      <c r="P1374" s="397"/>
      <c r="Q1374" s="396">
        <v>10158.34</v>
      </c>
      <c r="R1374" s="394" t="s">
        <v>257</v>
      </c>
      <c r="S1374" s="399" t="s">
        <v>624</v>
      </c>
      <c r="T1374" s="399">
        <v>32</v>
      </c>
      <c r="U1374" s="398" t="s">
        <v>164</v>
      </c>
      <c r="V1374" s="449"/>
      <c r="X1374" s="396">
        <v>10158.34</v>
      </c>
      <c r="Y1374" s="396"/>
      <c r="AI1374" s="379"/>
      <c r="AJ1374" s="395">
        <v>10158.34</v>
      </c>
      <c r="AK1374" s="379"/>
      <c r="AL1374" s="379"/>
      <c r="AM1374" s="379"/>
      <c r="AN1374" s="379"/>
      <c r="AO1374" s="379"/>
      <c r="AP1374" s="379"/>
      <c r="AQ1374" s="379"/>
      <c r="AR1374" s="379"/>
      <c r="AS1374" s="379"/>
      <c r="AT1374" s="379"/>
      <c r="AU1374" s="379"/>
      <c r="AV1374" s="379"/>
      <c r="AW1374" s="379"/>
      <c r="AX1374" s="379"/>
      <c r="AY1374" s="379"/>
      <c r="AZ1374" s="379"/>
      <c r="BA1374" s="379"/>
      <c r="BB1374" s="379"/>
      <c r="BC1374" s="379"/>
      <c r="BD1374" s="379"/>
      <c r="BE1374" s="379"/>
      <c r="BF1374" s="379"/>
      <c r="BG1374" s="379"/>
      <c r="BH1374" s="379"/>
      <c r="BI1374" s="379"/>
      <c r="BJ1374" s="379"/>
      <c r="BK1374" s="379"/>
      <c r="BL1374" s="379"/>
      <c r="BM1374" s="379"/>
      <c r="BN1374" s="379"/>
      <c r="BO1374" s="379"/>
      <c r="BP1374" s="379"/>
      <c r="BQ1374" s="379"/>
      <c r="BR1374" s="379"/>
      <c r="BS1374" s="379"/>
      <c r="BT1374" s="379"/>
      <c r="BU1374" s="379"/>
      <c r="BV1374" s="379"/>
      <c r="BW1374" s="379"/>
      <c r="BX1374" s="379"/>
      <c r="BY1374" s="379"/>
    </row>
    <row r="1375" spans="1:77" s="273" customFormat="1" ht="12" customHeight="1">
      <c r="A1375" s="394"/>
      <c r="B1375" s="379" t="s">
        <v>291</v>
      </c>
      <c r="C1375" s="392"/>
      <c r="D1375" s="392"/>
      <c r="E1375" s="393" t="s">
        <v>1208</v>
      </c>
      <c r="F1375" s="394" t="s">
        <v>1209</v>
      </c>
      <c r="G1375" s="400" t="s">
        <v>1210</v>
      </c>
      <c r="H1375" s="394" t="s">
        <v>993</v>
      </c>
      <c r="I1375" s="394" t="s">
        <v>1211</v>
      </c>
      <c r="J1375" s="395">
        <v>26789.119999999999</v>
      </c>
      <c r="K1375" s="394"/>
      <c r="L1375" s="395">
        <v>11.89</v>
      </c>
      <c r="M1375" s="395">
        <v>11.89</v>
      </c>
      <c r="N1375" s="396"/>
      <c r="O1375" s="397">
        <v>0.2</v>
      </c>
      <c r="P1375" s="397"/>
      <c r="Q1375" s="396">
        <v>14164.79</v>
      </c>
      <c r="R1375" s="394" t="s">
        <v>128</v>
      </c>
      <c r="S1375" s="399" t="s">
        <v>34</v>
      </c>
      <c r="T1375" s="399">
        <v>17</v>
      </c>
      <c r="U1375" s="398" t="s">
        <v>164</v>
      </c>
      <c r="V1375" s="449"/>
      <c r="W1375" s="394"/>
      <c r="X1375" s="396">
        <v>14164.79</v>
      </c>
      <c r="Y1375" s="396"/>
      <c r="Z1375" s="394"/>
      <c r="AA1375" s="394"/>
      <c r="AB1375" s="394"/>
      <c r="AC1375" s="394"/>
      <c r="AD1375" s="394"/>
      <c r="AE1375" s="394"/>
      <c r="AF1375" s="394"/>
      <c r="AG1375" s="394"/>
      <c r="AH1375" s="394"/>
      <c r="AI1375" s="379"/>
      <c r="AJ1375" s="395">
        <v>14164.79</v>
      </c>
      <c r="AK1375" s="394"/>
      <c r="AL1375" s="394"/>
      <c r="AM1375" s="394"/>
      <c r="AN1375" s="394"/>
      <c r="AO1375" s="394"/>
      <c r="AP1375" s="394"/>
      <c r="AQ1375" s="394"/>
      <c r="AR1375" s="394"/>
      <c r="AS1375" s="394"/>
      <c r="AT1375" s="394"/>
      <c r="AU1375" s="394"/>
      <c r="AV1375" s="394"/>
      <c r="AW1375" s="394"/>
      <c r="AX1375" s="394"/>
      <c r="AY1375" s="394"/>
      <c r="AZ1375" s="394"/>
      <c r="BA1375" s="394"/>
      <c r="BB1375" s="394"/>
      <c r="BC1375" s="394"/>
      <c r="BD1375" s="394"/>
      <c r="BE1375" s="394"/>
      <c r="BF1375" s="394"/>
      <c r="BG1375" s="394"/>
      <c r="BH1375" s="394"/>
      <c r="BI1375" s="394"/>
      <c r="BJ1375" s="394"/>
      <c r="BK1375" s="394"/>
      <c r="BL1375" s="394"/>
      <c r="BM1375" s="394"/>
      <c r="BN1375" s="394"/>
      <c r="BO1375" s="394"/>
      <c r="BP1375" s="394"/>
      <c r="BQ1375" s="394"/>
      <c r="BR1375" s="394"/>
      <c r="BS1375" s="394"/>
      <c r="BT1375" s="394"/>
      <c r="BU1375" s="394"/>
      <c r="BV1375" s="394"/>
      <c r="BW1375" s="394"/>
      <c r="BX1375" s="394"/>
      <c r="BY1375" s="394"/>
    </row>
    <row r="1376" spans="1:77" s="394" customFormat="1" ht="12" customHeight="1">
      <c r="B1376" s="379" t="s">
        <v>291</v>
      </c>
      <c r="C1376" s="392"/>
      <c r="D1376" s="392"/>
      <c r="E1376" s="393" t="s">
        <v>1208</v>
      </c>
      <c r="F1376" s="394" t="s">
        <v>1209</v>
      </c>
      <c r="G1376" s="400" t="s">
        <v>1210</v>
      </c>
      <c r="H1376" s="394" t="s">
        <v>1018</v>
      </c>
      <c r="I1376" s="394" t="s">
        <v>1211</v>
      </c>
      <c r="J1376" s="395">
        <v>30294.66</v>
      </c>
      <c r="L1376" s="395">
        <v>25.63</v>
      </c>
      <c r="M1376" s="395">
        <v>25.63</v>
      </c>
      <c r="N1376" s="396"/>
      <c r="O1376" s="397">
        <v>0.2</v>
      </c>
      <c r="P1376" s="397"/>
      <c r="Q1376" s="396">
        <v>6873.97</v>
      </c>
      <c r="R1376" s="394" t="s">
        <v>128</v>
      </c>
      <c r="S1376" s="399" t="s">
        <v>34</v>
      </c>
      <c r="T1376" s="399">
        <v>17</v>
      </c>
      <c r="U1376" s="398" t="s">
        <v>164</v>
      </c>
      <c r="V1376" s="449"/>
      <c r="X1376" s="396">
        <v>6873.97</v>
      </c>
      <c r="Y1376" s="396"/>
      <c r="AI1376" s="379"/>
      <c r="AJ1376" s="395">
        <v>6873.97</v>
      </c>
    </row>
    <row r="1377" spans="1:77" s="273" customFormat="1" ht="12" customHeight="1">
      <c r="B1377" s="261" t="s">
        <v>291</v>
      </c>
      <c r="C1377" s="271">
        <v>44700</v>
      </c>
      <c r="D1377" s="271">
        <v>44700</v>
      </c>
      <c r="E1377" s="272" t="s">
        <v>1208</v>
      </c>
      <c r="F1377" s="273" t="s">
        <v>1209</v>
      </c>
      <c r="G1377" s="276" t="s">
        <v>1210</v>
      </c>
      <c r="H1377" s="273" t="s">
        <v>192</v>
      </c>
      <c r="I1377" s="273" t="s">
        <v>1211</v>
      </c>
      <c r="J1377" s="277">
        <v>32040.959999999999</v>
      </c>
      <c r="L1377" s="277">
        <v>30.43</v>
      </c>
      <c r="M1377" s="277">
        <v>30.43</v>
      </c>
      <c r="N1377" s="275"/>
      <c r="O1377" s="278">
        <v>0.2</v>
      </c>
      <c r="P1377" s="278"/>
      <c r="Q1377" s="275">
        <v>6746.51</v>
      </c>
      <c r="R1377" s="273" t="s">
        <v>128</v>
      </c>
      <c r="S1377" s="279" t="s">
        <v>34</v>
      </c>
      <c r="T1377" s="279">
        <v>17</v>
      </c>
      <c r="U1377" s="274" t="s">
        <v>164</v>
      </c>
      <c r="V1377" s="454"/>
      <c r="X1377" s="275">
        <v>6746.51</v>
      </c>
      <c r="Y1377" s="275"/>
      <c r="AG1377" s="273">
        <f>X1377</f>
        <v>6746.51</v>
      </c>
      <c r="AI1377" s="261"/>
      <c r="AJ1377" s="642"/>
      <c r="AK1377" s="261"/>
      <c r="AL1377" s="261"/>
      <c r="AM1377" s="261"/>
      <c r="AN1377" s="261"/>
      <c r="AO1377" s="261"/>
      <c r="AP1377" s="261"/>
      <c r="AQ1377" s="261"/>
      <c r="AR1377" s="261"/>
      <c r="AS1377" s="261"/>
      <c r="AT1377" s="261"/>
      <c r="AU1377" s="261"/>
      <c r="AV1377" s="261"/>
      <c r="AW1377" s="261"/>
      <c r="AX1377" s="261"/>
      <c r="AY1377" s="261"/>
      <c r="AZ1377" s="261"/>
      <c r="BA1377" s="261"/>
      <c r="BB1377" s="261"/>
      <c r="BC1377" s="261"/>
      <c r="BD1377" s="261"/>
      <c r="BE1377" s="261"/>
      <c r="BF1377" s="261"/>
      <c r="BG1377" s="261"/>
      <c r="BH1377" s="261"/>
      <c r="BI1377" s="261"/>
      <c r="BJ1377" s="261"/>
      <c r="BK1377" s="261"/>
      <c r="BL1377" s="261"/>
      <c r="BM1377" s="261"/>
      <c r="BN1377" s="261"/>
      <c r="BO1377" s="261"/>
      <c r="BP1377" s="261"/>
      <c r="BQ1377" s="261"/>
      <c r="BR1377" s="261"/>
      <c r="BS1377" s="261"/>
      <c r="BT1377" s="261"/>
      <c r="BU1377" s="261"/>
      <c r="BV1377" s="261"/>
      <c r="BW1377" s="261"/>
      <c r="BX1377" s="261"/>
      <c r="BY1377" s="261"/>
    </row>
    <row r="1378" spans="1:77" s="273" customFormat="1" ht="12" customHeight="1">
      <c r="A1378" s="394"/>
      <c r="B1378" s="379" t="s">
        <v>291</v>
      </c>
      <c r="C1378" s="392"/>
      <c r="D1378" s="392"/>
      <c r="E1378" s="393" t="s">
        <v>1212</v>
      </c>
      <c r="F1378" s="394" t="s">
        <v>1213</v>
      </c>
      <c r="G1378" s="400">
        <v>4210</v>
      </c>
      <c r="H1378" s="394" t="s">
        <v>993</v>
      </c>
      <c r="I1378" s="394" t="s">
        <v>961</v>
      </c>
      <c r="J1378" s="395">
        <v>111286.22</v>
      </c>
      <c r="K1378" s="394"/>
      <c r="L1378" s="395">
        <v>54.52</v>
      </c>
      <c r="M1378" s="395">
        <v>10</v>
      </c>
      <c r="N1378" s="396"/>
      <c r="O1378" s="397">
        <v>0.25</v>
      </c>
      <c r="P1378" s="397"/>
      <c r="Q1378" s="396">
        <v>0</v>
      </c>
      <c r="R1378" s="394" t="s">
        <v>128</v>
      </c>
      <c r="S1378" s="399" t="s">
        <v>41</v>
      </c>
      <c r="T1378" s="399">
        <v>86</v>
      </c>
      <c r="U1378" s="398" t="s">
        <v>164</v>
      </c>
      <c r="V1378" s="449"/>
      <c r="W1378" s="394"/>
      <c r="X1378" s="396">
        <v>0</v>
      </c>
      <c r="Y1378" s="396"/>
      <c r="Z1378" s="394"/>
      <c r="AA1378" s="394"/>
      <c r="AB1378" s="394"/>
      <c r="AC1378" s="394"/>
      <c r="AD1378" s="394"/>
      <c r="AE1378" s="394"/>
      <c r="AF1378" s="394"/>
      <c r="AG1378" s="394"/>
      <c r="AH1378" s="394"/>
      <c r="AI1378" s="379"/>
      <c r="AJ1378" s="390">
        <v>0</v>
      </c>
      <c r="AK1378" s="394"/>
      <c r="AL1378" s="394"/>
      <c r="AM1378" s="394"/>
      <c r="AN1378" s="394"/>
      <c r="AO1378" s="394"/>
      <c r="AP1378" s="394"/>
      <c r="AQ1378" s="394"/>
      <c r="AR1378" s="394"/>
      <c r="AS1378" s="394"/>
      <c r="AT1378" s="394"/>
      <c r="AU1378" s="394"/>
      <c r="AV1378" s="394"/>
      <c r="AW1378" s="394"/>
      <c r="AX1378" s="394"/>
      <c r="AY1378" s="394"/>
      <c r="AZ1378" s="394"/>
      <c r="BA1378" s="394"/>
      <c r="BB1378" s="394"/>
      <c r="BC1378" s="394"/>
      <c r="BD1378" s="394"/>
      <c r="BE1378" s="394"/>
      <c r="BF1378" s="394"/>
      <c r="BG1378" s="394"/>
      <c r="BH1378" s="394"/>
      <c r="BI1378" s="394"/>
      <c r="BJ1378" s="394"/>
      <c r="BK1378" s="394"/>
      <c r="BL1378" s="394"/>
      <c r="BM1378" s="394"/>
      <c r="BN1378" s="394"/>
      <c r="BO1378" s="394"/>
      <c r="BP1378" s="394"/>
      <c r="BQ1378" s="394"/>
      <c r="BR1378" s="394"/>
      <c r="BS1378" s="394"/>
      <c r="BT1378" s="394"/>
      <c r="BU1378" s="394"/>
      <c r="BV1378" s="394"/>
      <c r="BW1378" s="394"/>
      <c r="BX1378" s="394"/>
      <c r="BY1378" s="394"/>
    </row>
    <row r="1379" spans="1:77" s="394" customFormat="1" ht="12" customHeight="1">
      <c r="B1379" s="379" t="s">
        <v>291</v>
      </c>
      <c r="C1379" s="392"/>
      <c r="D1379" s="392"/>
      <c r="E1379" s="393" t="s">
        <v>1212</v>
      </c>
      <c r="F1379" s="394" t="s">
        <v>1213</v>
      </c>
      <c r="G1379" s="400">
        <v>4210</v>
      </c>
      <c r="H1379" s="394" t="s">
        <v>765</v>
      </c>
      <c r="I1379" s="394" t="s">
        <v>958</v>
      </c>
      <c r="J1379" s="395">
        <v>38746.129999999997</v>
      </c>
      <c r="L1379" s="395">
        <v>35.020000000000003</v>
      </c>
      <c r="M1379" s="395">
        <v>35.020000000000003</v>
      </c>
      <c r="N1379" s="396"/>
      <c r="O1379" s="397">
        <v>0.25</v>
      </c>
      <c r="P1379" s="397"/>
      <c r="Q1379" s="396">
        <v>0</v>
      </c>
      <c r="R1379" s="394" t="s">
        <v>128</v>
      </c>
      <c r="S1379" s="399" t="s">
        <v>41</v>
      </c>
      <c r="T1379" s="399">
        <v>86</v>
      </c>
      <c r="U1379" s="398" t="s">
        <v>164</v>
      </c>
      <c r="V1379" s="449"/>
      <c r="X1379" s="396">
        <v>0</v>
      </c>
      <c r="Y1379" s="396"/>
      <c r="AI1379" s="379"/>
      <c r="AJ1379" s="390">
        <v>0</v>
      </c>
    </row>
    <row r="1380" spans="1:77" s="273" customFormat="1" ht="12" customHeight="1">
      <c r="B1380" s="261" t="s">
        <v>291</v>
      </c>
      <c r="C1380" s="271">
        <v>44699</v>
      </c>
      <c r="D1380" s="271">
        <v>44701</v>
      </c>
      <c r="E1380" s="272" t="s">
        <v>1212</v>
      </c>
      <c r="F1380" s="273" t="s">
        <v>1213</v>
      </c>
      <c r="G1380" s="276">
        <v>4210</v>
      </c>
      <c r="H1380" s="273" t="s">
        <v>99</v>
      </c>
      <c r="I1380" s="273" t="s">
        <v>961</v>
      </c>
      <c r="J1380" s="277">
        <v>117722.18</v>
      </c>
      <c r="L1380" s="277">
        <v>91.52</v>
      </c>
      <c r="M1380" s="277">
        <v>91.52</v>
      </c>
      <c r="N1380" s="275"/>
      <c r="O1380" s="278">
        <v>0.25</v>
      </c>
      <c r="P1380" s="278"/>
      <c r="Q1380" s="275">
        <v>4095.06</v>
      </c>
      <c r="R1380" s="273" t="s">
        <v>128</v>
      </c>
      <c r="S1380" s="279" t="s">
        <v>41</v>
      </c>
      <c r="T1380" s="279">
        <v>86</v>
      </c>
      <c r="U1380" s="274" t="s">
        <v>164</v>
      </c>
      <c r="V1380" s="454"/>
      <c r="X1380" s="275">
        <v>4095.06</v>
      </c>
      <c r="Y1380" s="275"/>
      <c r="AG1380" s="273">
        <f>X1380</f>
        <v>4095.06</v>
      </c>
      <c r="AI1380" s="261"/>
      <c r="AJ1380" s="642"/>
    </row>
    <row r="1381" spans="1:77" s="273" customFormat="1" ht="12" customHeight="1">
      <c r="B1381" s="261" t="s">
        <v>291</v>
      </c>
      <c r="C1381" s="271"/>
      <c r="D1381" s="271"/>
      <c r="E1381" s="272" t="s">
        <v>1212</v>
      </c>
      <c r="F1381" s="273" t="s">
        <v>1213</v>
      </c>
      <c r="G1381" s="276">
        <v>4210</v>
      </c>
      <c r="H1381" s="273" t="s">
        <v>310</v>
      </c>
      <c r="I1381" s="273" t="s">
        <v>961</v>
      </c>
      <c r="J1381" s="277">
        <v>7640.16</v>
      </c>
      <c r="L1381" s="277">
        <v>10.59</v>
      </c>
      <c r="M1381" s="277">
        <v>10.59</v>
      </c>
      <c r="N1381" s="275"/>
      <c r="O1381" s="278">
        <v>0.25</v>
      </c>
      <c r="P1381" s="278"/>
      <c r="Q1381" s="275">
        <v>1723.39</v>
      </c>
      <c r="R1381" s="273" t="s">
        <v>128</v>
      </c>
      <c r="S1381" s="279" t="s">
        <v>41</v>
      </c>
      <c r="T1381" s="279">
        <v>86</v>
      </c>
      <c r="U1381" s="274" t="s">
        <v>164</v>
      </c>
      <c r="V1381" s="454"/>
      <c r="X1381" s="275">
        <v>1723.39</v>
      </c>
      <c r="Y1381" s="275"/>
      <c r="AG1381" s="273">
        <f>X1381</f>
        <v>1723.39</v>
      </c>
      <c r="AI1381" s="261"/>
      <c r="AJ1381" s="642"/>
    </row>
    <row r="1382" spans="1:77" s="218" customFormat="1" ht="12" customHeight="1">
      <c r="B1382" s="229" t="s">
        <v>291</v>
      </c>
      <c r="C1382" s="225">
        <v>44700</v>
      </c>
      <c r="D1382" s="225">
        <v>44700</v>
      </c>
      <c r="E1382" s="226" t="s">
        <v>1214</v>
      </c>
      <c r="F1382" s="218" t="s">
        <v>198</v>
      </c>
      <c r="G1382" s="220">
        <v>4538</v>
      </c>
      <c r="H1382" s="218" t="s">
        <v>183</v>
      </c>
      <c r="I1382" s="218" t="s">
        <v>33</v>
      </c>
      <c r="J1382" s="222">
        <v>4937.9799999999996</v>
      </c>
      <c r="L1382" s="222">
        <v>4.04</v>
      </c>
      <c r="M1382" s="222">
        <v>4.04</v>
      </c>
      <c r="N1382" s="223"/>
      <c r="O1382" s="224">
        <v>0.15</v>
      </c>
      <c r="P1382" s="224"/>
      <c r="Q1382" s="223">
        <v>338.12</v>
      </c>
      <c r="R1382" s="218" t="s">
        <v>73</v>
      </c>
      <c r="S1382" s="221" t="s">
        <v>113</v>
      </c>
      <c r="T1382" s="221">
        <v>64</v>
      </c>
      <c r="U1382" s="227" t="s">
        <v>164</v>
      </c>
      <c r="V1382" s="455"/>
      <c r="X1382" s="223">
        <v>338.12</v>
      </c>
      <c r="Y1382" s="223"/>
      <c r="AF1382" s="230">
        <f>X1382</f>
        <v>338.12</v>
      </c>
      <c r="AI1382" s="205"/>
      <c r="AJ1382" s="216"/>
    </row>
    <row r="1383" spans="1:77" s="218" customFormat="1" ht="12" customHeight="1">
      <c r="B1383" s="229" t="s">
        <v>291</v>
      </c>
      <c r="C1383" s="225"/>
      <c r="D1383" s="225"/>
      <c r="E1383" s="226" t="s">
        <v>1214</v>
      </c>
      <c r="F1383" s="218" t="s">
        <v>198</v>
      </c>
      <c r="G1383" s="220">
        <v>4538</v>
      </c>
      <c r="H1383" s="218" t="s">
        <v>99</v>
      </c>
      <c r="I1383" s="218" t="s">
        <v>33</v>
      </c>
      <c r="J1383" s="222">
        <v>23599.03</v>
      </c>
      <c r="L1383" s="222">
        <v>21.68</v>
      </c>
      <c r="M1383" s="222">
        <v>21.68</v>
      </c>
      <c r="N1383" s="223"/>
      <c r="O1383" s="224">
        <v>0.15</v>
      </c>
      <c r="P1383" s="224"/>
      <c r="Q1383" s="223">
        <v>2311.14</v>
      </c>
      <c r="R1383" s="218" t="s">
        <v>73</v>
      </c>
      <c r="S1383" s="221" t="s">
        <v>113</v>
      </c>
      <c r="T1383" s="221">
        <v>64</v>
      </c>
      <c r="U1383" s="227" t="s">
        <v>164</v>
      </c>
      <c r="V1383" s="455"/>
      <c r="X1383" s="223">
        <v>2311.14</v>
      </c>
      <c r="Y1383" s="223"/>
      <c r="AF1383" s="230">
        <f>X1383</f>
        <v>2311.14</v>
      </c>
      <c r="AI1383" s="205"/>
      <c r="AJ1383" s="216"/>
    </row>
    <row r="1384" spans="1:77" s="341" customFormat="1" ht="12" customHeight="1">
      <c r="B1384" s="367" t="s">
        <v>291</v>
      </c>
      <c r="C1384" s="339"/>
      <c r="D1384" s="339"/>
      <c r="E1384" s="340" t="s">
        <v>1214</v>
      </c>
      <c r="F1384" s="341" t="s">
        <v>198</v>
      </c>
      <c r="G1384" s="342">
        <v>4538</v>
      </c>
      <c r="H1384" s="341" t="s">
        <v>765</v>
      </c>
      <c r="I1384" s="341" t="s">
        <v>33</v>
      </c>
      <c r="J1384" s="343">
        <v>18874.62</v>
      </c>
      <c r="L1384" s="343">
        <v>17.190000000000001</v>
      </c>
      <c r="M1384" s="343">
        <v>17.190000000000001</v>
      </c>
      <c r="N1384" s="344"/>
      <c r="O1384" s="345">
        <v>0.15</v>
      </c>
      <c r="P1384" s="345"/>
      <c r="Q1384" s="344">
        <v>0</v>
      </c>
      <c r="R1384" s="341" t="s">
        <v>73</v>
      </c>
      <c r="S1384" s="346" t="s">
        <v>113</v>
      </c>
      <c r="T1384" s="346">
        <v>64</v>
      </c>
      <c r="U1384" s="347" t="s">
        <v>164</v>
      </c>
      <c r="V1384" s="451"/>
      <c r="X1384" s="344">
        <v>0</v>
      </c>
      <c r="Y1384" s="344"/>
      <c r="AI1384" s="337">
        <v>0</v>
      </c>
      <c r="AJ1384" s="358"/>
      <c r="AK1384" s="369"/>
    </row>
    <row r="1385" spans="1:77" s="273" customFormat="1" ht="12" customHeight="1">
      <c r="B1385" s="270" t="s">
        <v>291</v>
      </c>
      <c r="C1385" s="271">
        <v>44700</v>
      </c>
      <c r="D1385" s="271">
        <v>44700</v>
      </c>
      <c r="E1385" s="272" t="s">
        <v>1215</v>
      </c>
      <c r="F1385" s="273" t="s">
        <v>1216</v>
      </c>
      <c r="G1385" s="276">
        <v>3542</v>
      </c>
      <c r="H1385" s="273" t="s">
        <v>99</v>
      </c>
      <c r="I1385" s="273" t="s">
        <v>958</v>
      </c>
      <c r="J1385" s="277">
        <v>7846.66</v>
      </c>
      <c r="L1385" s="277">
        <v>8.16</v>
      </c>
      <c r="M1385" s="277">
        <v>8.16</v>
      </c>
      <c r="N1385" s="275">
        <f>838+671</f>
        <v>1509</v>
      </c>
      <c r="O1385" s="278">
        <v>0.15</v>
      </c>
      <c r="P1385" s="278"/>
      <c r="Q1385" s="275">
        <v>0</v>
      </c>
      <c r="R1385" s="273" t="s">
        <v>105</v>
      </c>
      <c r="S1385" s="279" t="s">
        <v>30</v>
      </c>
      <c r="T1385" s="279">
        <v>39</v>
      </c>
      <c r="U1385" s="274" t="s">
        <v>164</v>
      </c>
      <c r="V1385" s="454"/>
      <c r="W1385" s="273" t="s">
        <v>3803</v>
      </c>
      <c r="X1385" s="275">
        <v>0</v>
      </c>
      <c r="Y1385" s="275"/>
      <c r="AG1385" s="273">
        <f>X1385</f>
        <v>0</v>
      </c>
      <c r="AI1385" s="261"/>
      <c r="AJ1385" s="642"/>
    </row>
    <row r="1386" spans="1:77" s="273" customFormat="1" ht="12" customHeight="1">
      <c r="B1386" s="270" t="s">
        <v>291</v>
      </c>
      <c r="C1386" s="271"/>
      <c r="D1386" s="271"/>
      <c r="E1386" s="272" t="s">
        <v>1215</v>
      </c>
      <c r="F1386" s="273" t="s">
        <v>1216</v>
      </c>
      <c r="G1386" s="276">
        <v>3542</v>
      </c>
      <c r="H1386" s="273" t="s">
        <v>138</v>
      </c>
      <c r="I1386" s="273" t="s">
        <v>958</v>
      </c>
      <c r="J1386" s="277">
        <v>14996</v>
      </c>
      <c r="L1386" s="277">
        <v>13.04</v>
      </c>
      <c r="M1386" s="277">
        <v>13.04</v>
      </c>
      <c r="N1386" s="275">
        <f>699+1023</f>
        <v>1722</v>
      </c>
      <c r="O1386" s="278">
        <v>0.15</v>
      </c>
      <c r="P1386" s="278"/>
      <c r="Q1386" s="275">
        <v>0</v>
      </c>
      <c r="R1386" s="273" t="s">
        <v>105</v>
      </c>
      <c r="S1386" s="279" t="s">
        <v>30</v>
      </c>
      <c r="T1386" s="279">
        <v>39</v>
      </c>
      <c r="U1386" s="274" t="s">
        <v>164</v>
      </c>
      <c r="V1386" s="454"/>
      <c r="W1386" s="273" t="s">
        <v>3803</v>
      </c>
      <c r="X1386" s="275">
        <v>0</v>
      </c>
      <c r="Y1386" s="275"/>
      <c r="AG1386" s="273">
        <f>X1386</f>
        <v>0</v>
      </c>
      <c r="AI1386" s="261"/>
      <c r="AJ1386" s="642"/>
    </row>
    <row r="1387" spans="1:77" s="273" customFormat="1" ht="12" customHeight="1">
      <c r="B1387" s="270" t="s">
        <v>291</v>
      </c>
      <c r="C1387" s="271"/>
      <c r="D1387" s="271"/>
      <c r="E1387" s="272" t="s">
        <v>1215</v>
      </c>
      <c r="F1387" s="273" t="s">
        <v>1216</v>
      </c>
      <c r="G1387" s="276">
        <v>3542</v>
      </c>
      <c r="H1387" s="273" t="s">
        <v>183</v>
      </c>
      <c r="I1387" s="273" t="s">
        <v>958</v>
      </c>
      <c r="J1387" s="277">
        <v>11303.57</v>
      </c>
      <c r="L1387" s="277">
        <v>11.83</v>
      </c>
      <c r="M1387" s="277">
        <v>11.83</v>
      </c>
      <c r="N1387" s="275">
        <v>430</v>
      </c>
      <c r="O1387" s="278">
        <v>0.15</v>
      </c>
      <c r="P1387" s="278"/>
      <c r="Q1387" s="275">
        <v>0</v>
      </c>
      <c r="R1387" s="273" t="s">
        <v>105</v>
      </c>
      <c r="S1387" s="279" t="s">
        <v>30</v>
      </c>
      <c r="T1387" s="279">
        <v>39</v>
      </c>
      <c r="U1387" s="274" t="s">
        <v>164</v>
      </c>
      <c r="V1387" s="454"/>
      <c r="W1387" s="273" t="s">
        <v>3803</v>
      </c>
      <c r="X1387" s="275">
        <v>0</v>
      </c>
      <c r="Y1387" s="275"/>
      <c r="AG1387" s="273">
        <f>X1387</f>
        <v>0</v>
      </c>
      <c r="AI1387" s="261"/>
      <c r="AJ1387" s="642"/>
    </row>
    <row r="1388" spans="1:77" s="394" customFormat="1" ht="12" customHeight="1">
      <c r="B1388" s="406" t="s">
        <v>291</v>
      </c>
      <c r="C1388" s="392">
        <v>44699</v>
      </c>
      <c r="D1388" s="392">
        <v>44701</v>
      </c>
      <c r="E1388" s="393" t="s">
        <v>1217</v>
      </c>
      <c r="F1388" s="394" t="s">
        <v>635</v>
      </c>
      <c r="G1388" s="400">
        <v>4031</v>
      </c>
      <c r="H1388" s="394" t="s">
        <v>765</v>
      </c>
      <c r="I1388" s="394" t="s">
        <v>1211</v>
      </c>
      <c r="J1388" s="395">
        <v>51710.58</v>
      </c>
      <c r="L1388" s="395">
        <v>50.41</v>
      </c>
      <c r="M1388" s="395">
        <v>50.41</v>
      </c>
      <c r="N1388" s="396"/>
      <c r="O1388" s="397">
        <v>0.2</v>
      </c>
      <c r="P1388" s="397"/>
      <c r="Q1388" s="396">
        <f>0+421.5</f>
        <v>421.5</v>
      </c>
      <c r="R1388" s="394" t="s">
        <v>42</v>
      </c>
      <c r="S1388" s="399" t="s">
        <v>41</v>
      </c>
      <c r="T1388" s="399">
        <v>17</v>
      </c>
      <c r="U1388" s="398" t="s">
        <v>164</v>
      </c>
      <c r="V1388" s="449">
        <v>421.5</v>
      </c>
      <c r="X1388" s="449">
        <v>421.5</v>
      </c>
      <c r="Y1388" s="396"/>
      <c r="AI1388" s="379"/>
      <c r="AJ1388" s="469">
        <v>421.5</v>
      </c>
    </row>
    <row r="1389" spans="1:77" s="394" customFormat="1" ht="12" customHeight="1">
      <c r="B1389" s="406" t="s">
        <v>291</v>
      </c>
      <c r="C1389" s="392"/>
      <c r="D1389" s="392"/>
      <c r="E1389" s="393" t="s">
        <v>1217</v>
      </c>
      <c r="F1389" s="394" t="s">
        <v>635</v>
      </c>
      <c r="G1389" s="400">
        <v>4031</v>
      </c>
      <c r="H1389" s="394" t="s">
        <v>140</v>
      </c>
      <c r="I1389" s="394" t="s">
        <v>1211</v>
      </c>
      <c r="J1389" s="395">
        <v>30370.57</v>
      </c>
      <c r="L1389" s="395">
        <v>21.19</v>
      </c>
      <c r="M1389" s="395">
        <v>21.19</v>
      </c>
      <c r="N1389" s="396">
        <f>J1389*0.35</f>
        <v>10629.699499999999</v>
      </c>
      <c r="O1389" s="397">
        <v>0.2</v>
      </c>
      <c r="P1389" s="397"/>
      <c r="Q1389" s="396">
        <v>2709.93</v>
      </c>
      <c r="R1389" s="394" t="s">
        <v>42</v>
      </c>
      <c r="S1389" s="399" t="s">
        <v>41</v>
      </c>
      <c r="T1389" s="399">
        <v>17</v>
      </c>
      <c r="U1389" s="398" t="s">
        <v>164</v>
      </c>
      <c r="V1389" s="449"/>
      <c r="X1389" s="396">
        <v>2709.93</v>
      </c>
      <c r="Y1389" s="396"/>
      <c r="AI1389" s="379"/>
      <c r="AJ1389" s="395">
        <v>2709.93</v>
      </c>
    </row>
    <row r="1390" spans="1:77" s="394" customFormat="1" ht="12" customHeight="1">
      <c r="B1390" s="406" t="s">
        <v>291</v>
      </c>
      <c r="C1390" s="392"/>
      <c r="D1390" s="392"/>
      <c r="E1390" s="393" t="s">
        <v>1217</v>
      </c>
      <c r="F1390" s="394" t="s">
        <v>635</v>
      </c>
      <c r="G1390" s="400">
        <v>4031</v>
      </c>
      <c r="H1390" s="394" t="s">
        <v>99</v>
      </c>
      <c r="I1390" s="394" t="s">
        <v>1211</v>
      </c>
      <c r="J1390" s="395">
        <v>96582.88</v>
      </c>
      <c r="L1390" s="395">
        <v>87.54</v>
      </c>
      <c r="M1390" s="395">
        <v>87.54</v>
      </c>
      <c r="N1390" s="396">
        <f>J1390*0.35</f>
        <v>33804.008000000002</v>
      </c>
      <c r="O1390" s="397">
        <v>0.2</v>
      </c>
      <c r="P1390" s="397"/>
      <c r="Q1390" s="396">
        <v>1092.1199999999999</v>
      </c>
      <c r="R1390" s="394" t="s">
        <v>42</v>
      </c>
      <c r="S1390" s="399" t="s">
        <v>41</v>
      </c>
      <c r="T1390" s="399">
        <v>17</v>
      </c>
      <c r="U1390" s="398" t="s">
        <v>164</v>
      </c>
      <c r="V1390" s="449"/>
      <c r="X1390" s="396">
        <v>1092.1199999999999</v>
      </c>
      <c r="Y1390" s="396"/>
      <c r="AI1390" s="379"/>
      <c r="AJ1390" s="395">
        <v>1092.1199999999999</v>
      </c>
    </row>
    <row r="1391" spans="1:77" s="394" customFormat="1" ht="12" customHeight="1">
      <c r="B1391" s="406" t="s">
        <v>291</v>
      </c>
      <c r="C1391" s="392"/>
      <c r="D1391" s="392"/>
      <c r="E1391" s="393" t="s">
        <v>1217</v>
      </c>
      <c r="F1391" s="394" t="s">
        <v>635</v>
      </c>
      <c r="G1391" s="400">
        <v>4031</v>
      </c>
      <c r="H1391" s="394" t="s">
        <v>910</v>
      </c>
      <c r="I1391" s="394" t="s">
        <v>1211</v>
      </c>
      <c r="J1391" s="395">
        <v>104500.94</v>
      </c>
      <c r="L1391" s="395">
        <v>56.7</v>
      </c>
      <c r="M1391" s="395">
        <v>56.7</v>
      </c>
      <c r="N1391" s="396"/>
      <c r="O1391" s="397">
        <v>0.2</v>
      </c>
      <c r="P1391" s="397"/>
      <c r="Q1391" s="396">
        <v>2997.25</v>
      </c>
      <c r="R1391" s="394" t="s">
        <v>42</v>
      </c>
      <c r="S1391" s="399" t="s">
        <v>41</v>
      </c>
      <c r="T1391" s="399">
        <v>17</v>
      </c>
      <c r="U1391" s="398" t="s">
        <v>164</v>
      </c>
      <c r="V1391" s="449">
        <v>780</v>
      </c>
      <c r="X1391" s="396">
        <v>2997.25</v>
      </c>
      <c r="Y1391" s="396"/>
      <c r="AI1391" s="379"/>
      <c r="AJ1391" s="395">
        <v>2997.25</v>
      </c>
    </row>
    <row r="1392" spans="1:77" s="394" customFormat="1" ht="12" customHeight="1">
      <c r="B1392" s="406" t="s">
        <v>291</v>
      </c>
      <c r="C1392" s="392"/>
      <c r="D1392" s="392"/>
      <c r="E1392" s="393" t="s">
        <v>1217</v>
      </c>
      <c r="F1392" s="394" t="s">
        <v>635</v>
      </c>
      <c r="G1392" s="400">
        <v>4031</v>
      </c>
      <c r="H1392" s="394" t="s">
        <v>1218</v>
      </c>
      <c r="I1392" s="394" t="s">
        <v>1211</v>
      </c>
      <c r="J1392" s="395">
        <v>23897.02</v>
      </c>
      <c r="L1392" s="395">
        <v>22.88</v>
      </c>
      <c r="M1392" s="395">
        <v>22.88</v>
      </c>
      <c r="N1392" s="396"/>
      <c r="O1392" s="397">
        <v>0.2</v>
      </c>
      <c r="P1392" s="397"/>
      <c r="Q1392" s="396">
        <v>5392.38</v>
      </c>
      <c r="R1392" s="394" t="s">
        <v>42</v>
      </c>
      <c r="S1392" s="399" t="s">
        <v>41</v>
      </c>
      <c r="T1392" s="399">
        <v>17</v>
      </c>
      <c r="U1392" s="398" t="s">
        <v>164</v>
      </c>
      <c r="V1392" s="449"/>
      <c r="X1392" s="396">
        <v>5392.38</v>
      </c>
      <c r="Y1392" s="396"/>
      <c r="AI1392" s="379"/>
      <c r="AJ1392" s="395">
        <v>5392.38</v>
      </c>
    </row>
    <row r="1393" spans="1:77" s="394" customFormat="1" ht="12" customHeight="1">
      <c r="B1393" s="406" t="s">
        <v>291</v>
      </c>
      <c r="C1393" s="392"/>
      <c r="D1393" s="392"/>
      <c r="E1393" s="393" t="s">
        <v>1217</v>
      </c>
      <c r="F1393" s="394" t="s">
        <v>635</v>
      </c>
      <c r="G1393" s="400">
        <v>4031</v>
      </c>
      <c r="H1393" s="394" t="s">
        <v>183</v>
      </c>
      <c r="I1393" s="394" t="s">
        <v>1211</v>
      </c>
      <c r="J1393" s="395">
        <v>7165.04</v>
      </c>
      <c r="L1393" s="395">
        <v>6.65</v>
      </c>
      <c r="M1393" s="395">
        <v>6.65</v>
      </c>
      <c r="N1393" s="396">
        <f>J1393*0.5</f>
        <v>3582.52</v>
      </c>
      <c r="O1393" s="397">
        <v>0.2</v>
      </c>
      <c r="P1393" s="397"/>
      <c r="Q1393" s="396">
        <v>629.82000000000005</v>
      </c>
      <c r="R1393" s="394" t="s">
        <v>42</v>
      </c>
      <c r="S1393" s="399" t="s">
        <v>41</v>
      </c>
      <c r="T1393" s="399">
        <v>17</v>
      </c>
      <c r="U1393" s="398" t="s">
        <v>164</v>
      </c>
      <c r="V1393" s="449"/>
      <c r="X1393" s="396">
        <v>629.82000000000005</v>
      </c>
      <c r="Y1393" s="396"/>
      <c r="AI1393" s="379"/>
      <c r="AJ1393" s="395">
        <v>629.82000000000005</v>
      </c>
    </row>
    <row r="1394" spans="1:77" s="394" customFormat="1" ht="12" customHeight="1">
      <c r="B1394" s="406" t="s">
        <v>291</v>
      </c>
      <c r="C1394" s="392"/>
      <c r="D1394" s="392"/>
      <c r="E1394" s="393" t="s">
        <v>1217</v>
      </c>
      <c r="F1394" s="394" t="s">
        <v>635</v>
      </c>
      <c r="G1394" s="400">
        <v>4031</v>
      </c>
      <c r="H1394" s="394" t="s">
        <v>814</v>
      </c>
      <c r="I1394" s="394" t="s">
        <v>1211</v>
      </c>
      <c r="J1394" s="395">
        <v>16250</v>
      </c>
      <c r="L1394" s="395">
        <v>10</v>
      </c>
      <c r="M1394" s="395">
        <v>10</v>
      </c>
      <c r="N1394" s="396"/>
      <c r="O1394" s="397">
        <v>0.2</v>
      </c>
      <c r="P1394" s="397"/>
      <c r="Q1394" s="396">
        <v>24.62</v>
      </c>
      <c r="R1394" s="394" t="s">
        <v>42</v>
      </c>
      <c r="S1394" s="399" t="s">
        <v>41</v>
      </c>
      <c r="T1394" s="399">
        <v>17</v>
      </c>
      <c r="U1394" s="398" t="s">
        <v>164</v>
      </c>
      <c r="V1394" s="449"/>
      <c r="X1394" s="396">
        <v>24.62</v>
      </c>
      <c r="Y1394" s="396"/>
      <c r="AI1394" s="379"/>
      <c r="AJ1394" s="395">
        <v>24.62</v>
      </c>
    </row>
    <row r="1395" spans="1:77" s="394" customFormat="1" ht="12" customHeight="1">
      <c r="B1395" s="406" t="s">
        <v>291</v>
      </c>
      <c r="C1395" s="392"/>
      <c r="D1395" s="392"/>
      <c r="E1395" s="393" t="s">
        <v>1217</v>
      </c>
      <c r="F1395" s="394" t="s">
        <v>635</v>
      </c>
      <c r="G1395" s="400">
        <v>4031</v>
      </c>
      <c r="H1395" s="394" t="s">
        <v>137</v>
      </c>
      <c r="I1395" s="394" t="s">
        <v>1211</v>
      </c>
      <c r="J1395" s="395">
        <v>27416</v>
      </c>
      <c r="L1395" s="395">
        <v>11.5</v>
      </c>
      <c r="M1395" s="395">
        <v>11.5</v>
      </c>
      <c r="N1395" s="396"/>
      <c r="O1395" s="397">
        <v>0.2</v>
      </c>
      <c r="P1395" s="397"/>
      <c r="Q1395" s="396">
        <v>1228.5</v>
      </c>
      <c r="R1395" s="394" t="s">
        <v>42</v>
      </c>
      <c r="S1395" s="399" t="s">
        <v>41</v>
      </c>
      <c r="T1395" s="399">
        <v>17</v>
      </c>
      <c r="U1395" s="398" t="s">
        <v>164</v>
      </c>
      <c r="V1395" s="449"/>
      <c r="X1395" s="396">
        <v>1228.5</v>
      </c>
      <c r="Y1395" s="396"/>
      <c r="AI1395" s="379"/>
      <c r="AJ1395" s="395">
        <v>1228.5</v>
      </c>
    </row>
    <row r="1396" spans="1:77" s="303" customFormat="1" ht="12" customHeight="1">
      <c r="B1396" s="313" t="s">
        <v>291</v>
      </c>
      <c r="C1396" s="301">
        <v>44699</v>
      </c>
      <c r="D1396" s="301">
        <v>44701</v>
      </c>
      <c r="E1396" s="302" t="s">
        <v>1219</v>
      </c>
      <c r="F1396" s="303" t="s">
        <v>863</v>
      </c>
      <c r="G1396" s="304" t="s">
        <v>864</v>
      </c>
      <c r="H1396" s="303" t="s">
        <v>910</v>
      </c>
      <c r="I1396" s="303" t="s">
        <v>156</v>
      </c>
      <c r="J1396" s="305">
        <v>30625</v>
      </c>
      <c r="L1396" s="305">
        <v>14</v>
      </c>
      <c r="M1396" s="305">
        <v>5</v>
      </c>
      <c r="N1396" s="306">
        <f>831.25+1663.2</f>
        <v>2494.4499999999998</v>
      </c>
      <c r="O1396" s="307">
        <v>0.25</v>
      </c>
      <c r="P1396" s="307">
        <v>0.1</v>
      </c>
      <c r="Q1396" s="306">
        <v>0</v>
      </c>
      <c r="R1396" s="291" t="s">
        <v>112</v>
      </c>
      <c r="S1396" s="299" t="s">
        <v>113</v>
      </c>
      <c r="T1396" s="299">
        <v>64</v>
      </c>
      <c r="U1396" s="309" t="s">
        <v>164</v>
      </c>
      <c r="V1396" s="447"/>
      <c r="X1396" s="297">
        <v>0</v>
      </c>
      <c r="Y1396" s="306"/>
      <c r="AH1396" s="303">
        <f>X1396</f>
        <v>0</v>
      </c>
      <c r="AI1396" s="311"/>
      <c r="AJ1396" s="468"/>
    </row>
    <row r="1397" spans="1:77" s="341" customFormat="1" ht="12" customHeight="1">
      <c r="B1397" s="367" t="s">
        <v>291</v>
      </c>
      <c r="C1397" s="339"/>
      <c r="D1397" s="339"/>
      <c r="E1397" s="340" t="s">
        <v>1219</v>
      </c>
      <c r="F1397" s="341" t="s">
        <v>863</v>
      </c>
      <c r="G1397" s="342" t="s">
        <v>864</v>
      </c>
      <c r="H1397" s="341" t="s">
        <v>865</v>
      </c>
      <c r="I1397" s="341" t="s">
        <v>156</v>
      </c>
      <c r="J1397" s="343">
        <v>7700</v>
      </c>
      <c r="L1397" s="343">
        <v>4</v>
      </c>
      <c r="M1397" s="343">
        <v>4</v>
      </c>
      <c r="N1397" s="344">
        <f>770</f>
        <v>770</v>
      </c>
      <c r="O1397" s="345">
        <v>0.25</v>
      </c>
      <c r="P1397" s="345">
        <v>0.1</v>
      </c>
      <c r="Q1397" s="344">
        <v>0</v>
      </c>
      <c r="R1397" s="337" t="s">
        <v>112</v>
      </c>
      <c r="S1397" s="356" t="s">
        <v>113</v>
      </c>
      <c r="T1397" s="356">
        <v>64</v>
      </c>
      <c r="U1397" s="347" t="s">
        <v>164</v>
      </c>
      <c r="V1397" s="451"/>
      <c r="X1397" s="344">
        <v>0</v>
      </c>
      <c r="Y1397" s="344"/>
      <c r="AI1397" s="337">
        <v>0</v>
      </c>
      <c r="AJ1397" s="358"/>
      <c r="AK1397" s="369"/>
    </row>
    <row r="1398" spans="1:77" s="341" customFormat="1" ht="12" customHeight="1">
      <c r="B1398" s="367" t="s">
        <v>291</v>
      </c>
      <c r="C1398" s="339"/>
      <c r="D1398" s="339"/>
      <c r="E1398" s="340" t="s">
        <v>1219</v>
      </c>
      <c r="F1398" s="341" t="s">
        <v>863</v>
      </c>
      <c r="G1398" s="342" t="s">
        <v>864</v>
      </c>
      <c r="H1398" s="341" t="s">
        <v>866</v>
      </c>
      <c r="I1398" s="341" t="s">
        <v>156</v>
      </c>
      <c r="J1398" s="343">
        <v>57750</v>
      </c>
      <c r="L1398" s="343">
        <v>30</v>
      </c>
      <c r="M1398" s="343">
        <v>10</v>
      </c>
      <c r="N1398" s="344">
        <f>J1398/30*2.5*22%</f>
        <v>1058.75</v>
      </c>
      <c r="O1398" s="345">
        <v>0.25</v>
      </c>
      <c r="P1398" s="345">
        <v>0.1</v>
      </c>
      <c r="Q1398" s="344">
        <v>0</v>
      </c>
      <c r="R1398" s="337" t="s">
        <v>112</v>
      </c>
      <c r="S1398" s="356" t="s">
        <v>113</v>
      </c>
      <c r="T1398" s="356">
        <v>64</v>
      </c>
      <c r="U1398" s="347" t="s">
        <v>164</v>
      </c>
      <c r="V1398" s="451"/>
      <c r="X1398" s="344">
        <v>0</v>
      </c>
      <c r="Y1398" s="344"/>
      <c r="AI1398" s="337">
        <v>0</v>
      </c>
      <c r="AJ1398" s="358"/>
      <c r="AK1398" s="369"/>
    </row>
    <row r="1399" spans="1:77" s="218" customFormat="1" ht="12" customHeight="1">
      <c r="B1399" s="205" t="s">
        <v>291</v>
      </c>
      <c r="C1399" s="225">
        <v>44700</v>
      </c>
      <c r="D1399" s="225">
        <v>44700</v>
      </c>
      <c r="E1399" s="226" t="s">
        <v>1220</v>
      </c>
      <c r="F1399" s="205" t="s">
        <v>238</v>
      </c>
      <c r="G1399" s="209">
        <v>4539</v>
      </c>
      <c r="H1399" s="205" t="s">
        <v>99</v>
      </c>
      <c r="I1399" s="218" t="s">
        <v>33</v>
      </c>
      <c r="J1399" s="222">
        <v>4233.5200000000004</v>
      </c>
      <c r="L1399" s="222">
        <v>3.62</v>
      </c>
      <c r="M1399" s="222">
        <v>3.62</v>
      </c>
      <c r="N1399" s="223"/>
      <c r="O1399" s="224">
        <v>0.15</v>
      </c>
      <c r="P1399" s="224"/>
      <c r="Q1399" s="223">
        <v>1025.81</v>
      </c>
      <c r="R1399" s="205" t="s">
        <v>73</v>
      </c>
      <c r="S1399" s="214" t="s">
        <v>113</v>
      </c>
      <c r="T1399" s="214">
        <v>31</v>
      </c>
      <c r="U1399" s="227" t="s">
        <v>164</v>
      </c>
      <c r="V1399" s="455"/>
      <c r="X1399" s="223">
        <v>1025.81</v>
      </c>
      <c r="Y1399" s="223"/>
      <c r="AF1399" s="230">
        <f>X1399</f>
        <v>1025.81</v>
      </c>
      <c r="AI1399" s="205"/>
      <c r="AJ1399" s="216"/>
    </row>
    <row r="1400" spans="1:77" s="184" customFormat="1" ht="12" customHeight="1">
      <c r="B1400" s="178" t="s">
        <v>290</v>
      </c>
      <c r="C1400" s="192">
        <v>44696</v>
      </c>
      <c r="D1400" s="192">
        <v>44700</v>
      </c>
      <c r="E1400" s="193" t="s">
        <v>1221</v>
      </c>
      <c r="F1400" s="181" t="s">
        <v>1127</v>
      </c>
      <c r="G1400" s="182" t="s">
        <v>1128</v>
      </c>
      <c r="H1400" s="184" t="s">
        <v>183</v>
      </c>
      <c r="I1400" s="181" t="s">
        <v>1168</v>
      </c>
      <c r="J1400" s="195">
        <v>6651.61</v>
      </c>
      <c r="L1400" s="195">
        <v>5.69</v>
      </c>
      <c r="M1400" s="195">
        <v>5.69</v>
      </c>
      <c r="N1400" s="196">
        <f>841.68+139.11</f>
        <v>980.79</v>
      </c>
      <c r="O1400" s="197">
        <v>0.3</v>
      </c>
      <c r="P1400" s="197">
        <v>0.05</v>
      </c>
      <c r="Q1400" s="196">
        <v>406.34</v>
      </c>
      <c r="R1400" s="181" t="s">
        <v>112</v>
      </c>
      <c r="S1400" s="187" t="s">
        <v>113</v>
      </c>
      <c r="T1400" s="187">
        <v>64</v>
      </c>
      <c r="U1400" s="198" t="s">
        <v>164</v>
      </c>
      <c r="V1400" s="450"/>
      <c r="X1400" s="196">
        <v>406.34</v>
      </c>
      <c r="Y1400" s="196"/>
      <c r="AE1400" s="235">
        <f>X1400</f>
        <v>406.34</v>
      </c>
      <c r="AI1400" s="181"/>
      <c r="AJ1400" s="189"/>
    </row>
    <row r="1401" spans="1:77" s="117" customFormat="1" ht="12" customHeight="1">
      <c r="A1401" s="394"/>
      <c r="B1401" s="380" t="s">
        <v>291</v>
      </c>
      <c r="C1401" s="392">
        <v>44699</v>
      </c>
      <c r="D1401" s="392">
        <v>44699</v>
      </c>
      <c r="E1401" s="393" t="s">
        <v>1222</v>
      </c>
      <c r="F1401" s="379" t="s">
        <v>603</v>
      </c>
      <c r="G1401" s="383">
        <v>3866</v>
      </c>
      <c r="H1401" s="394" t="s">
        <v>99</v>
      </c>
      <c r="I1401" s="394" t="s">
        <v>888</v>
      </c>
      <c r="J1401" s="395">
        <v>93607.1</v>
      </c>
      <c r="K1401" s="394"/>
      <c r="L1401" s="395">
        <v>53.7</v>
      </c>
      <c r="M1401" s="395">
        <v>53.6</v>
      </c>
      <c r="N1401" s="396"/>
      <c r="O1401" s="397">
        <v>0.2</v>
      </c>
      <c r="P1401" s="397"/>
      <c r="Q1401" s="396">
        <v>0</v>
      </c>
      <c r="R1401" s="379" t="s">
        <v>35</v>
      </c>
      <c r="S1401" s="388" t="s">
        <v>41</v>
      </c>
      <c r="T1401" s="388">
        <v>86</v>
      </c>
      <c r="U1401" s="398" t="s">
        <v>164</v>
      </c>
      <c r="V1401" s="449"/>
      <c r="W1401" s="394"/>
      <c r="X1401" s="396">
        <v>0</v>
      </c>
      <c r="Y1401" s="396"/>
      <c r="Z1401" s="394"/>
      <c r="AA1401" s="394"/>
      <c r="AB1401" s="394"/>
      <c r="AC1401" s="394"/>
      <c r="AD1401" s="394"/>
      <c r="AE1401" s="394"/>
      <c r="AF1401" s="394"/>
      <c r="AG1401" s="394"/>
      <c r="AH1401" s="394"/>
      <c r="AI1401" s="379"/>
      <c r="AJ1401" s="390">
        <v>0</v>
      </c>
      <c r="AK1401" s="394"/>
      <c r="AL1401" s="394"/>
      <c r="AM1401" s="394"/>
      <c r="AN1401" s="394"/>
      <c r="AO1401" s="394"/>
      <c r="AP1401" s="394"/>
      <c r="AQ1401" s="394"/>
      <c r="AR1401" s="394"/>
      <c r="AS1401" s="394"/>
      <c r="AT1401" s="394"/>
      <c r="AU1401" s="394"/>
      <c r="AV1401" s="394"/>
      <c r="AW1401" s="394"/>
      <c r="AX1401" s="394"/>
      <c r="AY1401" s="394"/>
      <c r="AZ1401" s="394"/>
      <c r="BA1401" s="394"/>
      <c r="BB1401" s="394"/>
      <c r="BC1401" s="394"/>
      <c r="BD1401" s="394"/>
      <c r="BE1401" s="394"/>
      <c r="BF1401" s="394"/>
      <c r="BG1401" s="394"/>
      <c r="BH1401" s="394"/>
      <c r="BI1401" s="394"/>
      <c r="BJ1401" s="394"/>
      <c r="BK1401" s="394"/>
      <c r="BL1401" s="394"/>
      <c r="BM1401" s="394"/>
      <c r="BN1401" s="394"/>
      <c r="BO1401" s="394"/>
      <c r="BP1401" s="394"/>
      <c r="BQ1401" s="394"/>
      <c r="BR1401" s="394"/>
      <c r="BS1401" s="394"/>
      <c r="BT1401" s="394"/>
      <c r="BU1401" s="394"/>
      <c r="BV1401" s="394"/>
      <c r="BW1401" s="394"/>
      <c r="BX1401" s="394"/>
      <c r="BY1401" s="394"/>
    </row>
    <row r="1402" spans="1:77" s="303" customFormat="1" ht="12" customHeight="1">
      <c r="B1402" s="310" t="s">
        <v>291</v>
      </c>
      <c r="C1402" s="301"/>
      <c r="D1402" s="301"/>
      <c r="E1402" s="302" t="s">
        <v>1222</v>
      </c>
      <c r="F1402" s="291" t="s">
        <v>603</v>
      </c>
      <c r="G1402" s="294">
        <v>3866</v>
      </c>
      <c r="H1402" s="303" t="s">
        <v>27</v>
      </c>
      <c r="I1402" s="303" t="s">
        <v>888</v>
      </c>
      <c r="J1402" s="305">
        <v>16631.71</v>
      </c>
      <c r="L1402" s="305">
        <v>10.199999999999999</v>
      </c>
      <c r="M1402" s="305">
        <v>10.1</v>
      </c>
      <c r="N1402" s="306"/>
      <c r="O1402" s="307">
        <v>0.2</v>
      </c>
      <c r="P1402" s="307"/>
      <c r="Q1402" s="306">
        <v>0</v>
      </c>
      <c r="R1402" s="291" t="s">
        <v>35</v>
      </c>
      <c r="S1402" s="299" t="s">
        <v>41</v>
      </c>
      <c r="T1402" s="299">
        <v>86</v>
      </c>
      <c r="U1402" s="309" t="s">
        <v>164</v>
      </c>
      <c r="V1402" s="447"/>
      <c r="W1402" s="291" t="s">
        <v>3889</v>
      </c>
      <c r="X1402" s="297">
        <v>0</v>
      </c>
      <c r="Y1402" s="297"/>
      <c r="AH1402" s="303">
        <f>X1402</f>
        <v>0</v>
      </c>
      <c r="AI1402" s="311"/>
      <c r="AJ1402" s="468"/>
    </row>
    <row r="1403" spans="1:77" s="303" customFormat="1" ht="12" customHeight="1">
      <c r="B1403" s="310" t="s">
        <v>291</v>
      </c>
      <c r="C1403" s="301">
        <v>44699</v>
      </c>
      <c r="D1403" s="301">
        <v>44701</v>
      </c>
      <c r="E1403" s="302" t="s">
        <v>1223</v>
      </c>
      <c r="F1403" s="303" t="s">
        <v>1120</v>
      </c>
      <c r="G1403" s="304" t="s">
        <v>1121</v>
      </c>
      <c r="H1403" s="303" t="s">
        <v>866</v>
      </c>
      <c r="I1403" s="303" t="s">
        <v>156</v>
      </c>
      <c r="J1403" s="305">
        <v>111918.53</v>
      </c>
      <c r="L1403" s="305">
        <v>42.54</v>
      </c>
      <c r="M1403" s="305">
        <v>15.76</v>
      </c>
      <c r="N1403" s="306">
        <f>1843.47+3705.62</f>
        <v>5549.09</v>
      </c>
      <c r="O1403" s="307">
        <v>0.3</v>
      </c>
      <c r="P1403" s="307">
        <v>0.1</v>
      </c>
      <c r="Q1403" s="306">
        <v>0</v>
      </c>
      <c r="R1403" s="303" t="s">
        <v>112</v>
      </c>
      <c r="S1403" s="308" t="s">
        <v>113</v>
      </c>
      <c r="T1403" s="308">
        <v>64</v>
      </c>
      <c r="U1403" s="309" t="s">
        <v>164</v>
      </c>
      <c r="V1403" s="447"/>
      <c r="X1403" s="306">
        <v>0</v>
      </c>
      <c r="Y1403" s="306"/>
      <c r="AH1403" s="303">
        <f>X1403</f>
        <v>0</v>
      </c>
      <c r="AI1403" s="311"/>
      <c r="AJ1403" s="468"/>
    </row>
    <row r="1404" spans="1:77" s="273" customFormat="1" ht="12" customHeight="1">
      <c r="B1404" s="261" t="s">
        <v>291</v>
      </c>
      <c r="C1404" s="271">
        <v>44696</v>
      </c>
      <c r="D1404" s="271">
        <v>44700</v>
      </c>
      <c r="E1404" s="272" t="s">
        <v>1224</v>
      </c>
      <c r="F1404" s="273" t="s">
        <v>1225</v>
      </c>
      <c r="G1404" s="276" t="s">
        <v>1226</v>
      </c>
      <c r="H1404" s="273" t="s">
        <v>99</v>
      </c>
      <c r="I1404" s="273" t="s">
        <v>33</v>
      </c>
      <c r="J1404" s="277">
        <v>36085.29</v>
      </c>
      <c r="L1404" s="277">
        <v>28.85</v>
      </c>
      <c r="M1404" s="277">
        <v>29.67</v>
      </c>
      <c r="N1404" s="275"/>
      <c r="O1404" s="278">
        <v>0.25</v>
      </c>
      <c r="P1404" s="278"/>
      <c r="Q1404" s="275">
        <v>0</v>
      </c>
      <c r="R1404" s="273" t="s">
        <v>128</v>
      </c>
      <c r="S1404" s="279" t="s">
        <v>41</v>
      </c>
      <c r="T1404" s="279">
        <v>86</v>
      </c>
      <c r="U1404" s="274" t="s">
        <v>164</v>
      </c>
      <c r="V1404" s="454"/>
      <c r="X1404" s="275">
        <v>0</v>
      </c>
      <c r="Y1404" s="275"/>
      <c r="AG1404" s="273">
        <f>X1404</f>
        <v>0</v>
      </c>
      <c r="AI1404" s="261"/>
      <c r="AJ1404" s="642"/>
    </row>
    <row r="1405" spans="1:77" s="273" customFormat="1" ht="12" customHeight="1">
      <c r="B1405" s="261" t="s">
        <v>291</v>
      </c>
      <c r="C1405" s="271"/>
      <c r="D1405" s="271"/>
      <c r="E1405" s="272" t="s">
        <v>1224</v>
      </c>
      <c r="F1405" s="273" t="s">
        <v>1225</v>
      </c>
      <c r="G1405" s="276" t="s">
        <v>1226</v>
      </c>
      <c r="H1405" s="273" t="s">
        <v>27</v>
      </c>
      <c r="I1405" s="273" t="s">
        <v>33</v>
      </c>
      <c r="J1405" s="277">
        <v>20800.82</v>
      </c>
      <c r="L1405" s="277">
        <v>14.97</v>
      </c>
      <c r="M1405" s="277">
        <v>14.7</v>
      </c>
      <c r="N1405" s="275"/>
      <c r="O1405" s="278">
        <v>0.25</v>
      </c>
      <c r="P1405" s="278"/>
      <c r="Q1405" s="275">
        <v>0</v>
      </c>
      <c r="R1405" s="273" t="s">
        <v>128</v>
      </c>
      <c r="S1405" s="279" t="s">
        <v>41</v>
      </c>
      <c r="T1405" s="279">
        <v>86</v>
      </c>
      <c r="U1405" s="274" t="s">
        <v>164</v>
      </c>
      <c r="V1405" s="454"/>
      <c r="X1405" s="275">
        <v>0</v>
      </c>
      <c r="Y1405" s="275"/>
      <c r="AG1405" s="273">
        <f>X1405</f>
        <v>0</v>
      </c>
      <c r="AI1405" s="261"/>
      <c r="AJ1405" s="642"/>
    </row>
    <row r="1406" spans="1:77" s="117" customFormat="1" ht="12" customHeight="1">
      <c r="A1406" s="394"/>
      <c r="B1406" s="379" t="s">
        <v>291</v>
      </c>
      <c r="C1406" s="392"/>
      <c r="D1406" s="392"/>
      <c r="E1406" s="393" t="s">
        <v>1224</v>
      </c>
      <c r="F1406" s="394" t="s">
        <v>1225</v>
      </c>
      <c r="G1406" s="400" t="s">
        <v>1226</v>
      </c>
      <c r="H1406" s="394" t="s">
        <v>910</v>
      </c>
      <c r="I1406" s="394" t="s">
        <v>33</v>
      </c>
      <c r="J1406" s="395">
        <v>32987.79</v>
      </c>
      <c r="K1406" s="394"/>
      <c r="L1406" s="395">
        <v>23.47</v>
      </c>
      <c r="M1406" s="395">
        <v>23.6</v>
      </c>
      <c r="N1406" s="396"/>
      <c r="O1406" s="397">
        <v>0.25</v>
      </c>
      <c r="P1406" s="397"/>
      <c r="Q1406" s="396">
        <v>0</v>
      </c>
      <c r="R1406" s="394" t="s">
        <v>128</v>
      </c>
      <c r="S1406" s="399" t="s">
        <v>41</v>
      </c>
      <c r="T1406" s="399">
        <v>86</v>
      </c>
      <c r="U1406" s="398" t="s">
        <v>164</v>
      </c>
      <c r="V1406" s="449"/>
      <c r="W1406" s="394"/>
      <c r="X1406" s="396">
        <v>0</v>
      </c>
      <c r="Y1406" s="396"/>
      <c r="Z1406" s="394"/>
      <c r="AA1406" s="394"/>
      <c r="AB1406" s="394"/>
      <c r="AC1406" s="394"/>
      <c r="AD1406" s="394"/>
      <c r="AE1406" s="394"/>
      <c r="AF1406" s="394"/>
      <c r="AG1406" s="394"/>
      <c r="AH1406" s="394"/>
      <c r="AI1406" s="379"/>
      <c r="AJ1406" s="390">
        <v>0</v>
      </c>
      <c r="AK1406" s="394"/>
      <c r="AL1406" s="394"/>
      <c r="AM1406" s="394"/>
      <c r="AN1406" s="394"/>
      <c r="AO1406" s="394"/>
      <c r="AP1406" s="394"/>
      <c r="AQ1406" s="394"/>
      <c r="AR1406" s="394"/>
      <c r="AS1406" s="394"/>
      <c r="AT1406" s="394"/>
      <c r="AU1406" s="394"/>
      <c r="AV1406" s="394"/>
      <c r="AW1406" s="394"/>
      <c r="AX1406" s="394"/>
      <c r="AY1406" s="394"/>
      <c r="AZ1406" s="394"/>
      <c r="BA1406" s="394"/>
      <c r="BB1406" s="394"/>
      <c r="BC1406" s="394"/>
      <c r="BD1406" s="394"/>
      <c r="BE1406" s="394"/>
      <c r="BF1406" s="394"/>
      <c r="BG1406" s="394"/>
      <c r="BH1406" s="394"/>
      <c r="BI1406" s="394"/>
      <c r="BJ1406" s="394"/>
      <c r="BK1406" s="394"/>
      <c r="BL1406" s="394"/>
      <c r="BM1406" s="394"/>
      <c r="BN1406" s="394"/>
      <c r="BO1406" s="394"/>
      <c r="BP1406" s="394"/>
      <c r="BQ1406" s="394"/>
      <c r="BR1406" s="394"/>
      <c r="BS1406" s="394"/>
      <c r="BT1406" s="394"/>
      <c r="BU1406" s="394"/>
      <c r="BV1406" s="394"/>
      <c r="BW1406" s="394"/>
      <c r="BX1406" s="394"/>
      <c r="BY1406" s="394"/>
    </row>
    <row r="1407" spans="1:77" s="394" customFormat="1" ht="12" customHeight="1">
      <c r="B1407" s="379" t="s">
        <v>291</v>
      </c>
      <c r="C1407" s="392"/>
      <c r="D1407" s="392"/>
      <c r="E1407" s="393" t="s">
        <v>1224</v>
      </c>
      <c r="F1407" s="394" t="s">
        <v>1225</v>
      </c>
      <c r="G1407" s="400" t="s">
        <v>1226</v>
      </c>
      <c r="H1407" s="394" t="s">
        <v>866</v>
      </c>
      <c r="I1407" s="394" t="s">
        <v>33</v>
      </c>
      <c r="J1407" s="395">
        <v>10747.31</v>
      </c>
      <c r="L1407" s="395">
        <v>11.45</v>
      </c>
      <c r="M1407" s="395">
        <v>11.45</v>
      </c>
      <c r="N1407" s="396"/>
      <c r="O1407" s="397">
        <v>0.25</v>
      </c>
      <c r="P1407" s="397"/>
      <c r="Q1407" s="396">
        <v>0</v>
      </c>
      <c r="R1407" s="394" t="s">
        <v>128</v>
      </c>
      <c r="S1407" s="399" t="s">
        <v>41</v>
      </c>
      <c r="T1407" s="399">
        <v>86</v>
      </c>
      <c r="U1407" s="398" t="s">
        <v>164</v>
      </c>
      <c r="V1407" s="449"/>
      <c r="X1407" s="396">
        <v>0</v>
      </c>
      <c r="Y1407" s="396"/>
      <c r="AI1407" s="379"/>
      <c r="AJ1407" s="390">
        <v>0</v>
      </c>
    </row>
    <row r="1408" spans="1:77" s="273" customFormat="1" ht="12" customHeight="1">
      <c r="B1408" s="261" t="s">
        <v>291</v>
      </c>
      <c r="C1408" s="271"/>
      <c r="D1408" s="271"/>
      <c r="E1408" s="272" t="s">
        <v>1224</v>
      </c>
      <c r="F1408" s="273" t="s">
        <v>1225</v>
      </c>
      <c r="G1408" s="276" t="s">
        <v>1226</v>
      </c>
      <c r="H1408" s="273" t="s">
        <v>183</v>
      </c>
      <c r="I1408" s="273" t="s">
        <v>33</v>
      </c>
      <c r="J1408" s="277">
        <v>15492.32</v>
      </c>
      <c r="L1408" s="277">
        <v>14.12</v>
      </c>
      <c r="M1408" s="277">
        <v>13.7</v>
      </c>
      <c r="N1408" s="275"/>
      <c r="O1408" s="278">
        <v>0.25</v>
      </c>
      <c r="P1408" s="278"/>
      <c r="Q1408" s="275">
        <v>0</v>
      </c>
      <c r="R1408" s="273" t="s">
        <v>128</v>
      </c>
      <c r="S1408" s="279" t="s">
        <v>41</v>
      </c>
      <c r="T1408" s="279">
        <v>86</v>
      </c>
      <c r="U1408" s="274" t="s">
        <v>164</v>
      </c>
      <c r="V1408" s="454"/>
      <c r="X1408" s="275">
        <v>0</v>
      </c>
      <c r="Y1408" s="275"/>
      <c r="AG1408" s="273">
        <f>X1408</f>
        <v>0</v>
      </c>
      <c r="AI1408" s="261"/>
      <c r="AJ1408" s="642"/>
    </row>
    <row r="1409" spans="1:77" s="341" customFormat="1" ht="12" customHeight="1">
      <c r="B1409" s="337" t="s">
        <v>291</v>
      </c>
      <c r="C1409" s="339">
        <v>44701</v>
      </c>
      <c r="D1409" s="339">
        <v>44701</v>
      </c>
      <c r="E1409" s="340" t="s">
        <v>1227</v>
      </c>
      <c r="F1409" s="341" t="s">
        <v>1228</v>
      </c>
      <c r="G1409" s="342">
        <v>3879</v>
      </c>
      <c r="H1409" s="341" t="s">
        <v>99</v>
      </c>
      <c r="I1409" s="341" t="s">
        <v>33</v>
      </c>
      <c r="J1409" s="343">
        <v>18809.400000000001</v>
      </c>
      <c r="L1409" s="343">
        <v>18.8</v>
      </c>
      <c r="M1409" s="343">
        <v>18.8</v>
      </c>
      <c r="N1409" s="344"/>
      <c r="O1409" s="345">
        <v>0.2</v>
      </c>
      <c r="P1409" s="345"/>
      <c r="Q1409" s="344">
        <v>0</v>
      </c>
      <c r="R1409" s="341" t="s">
        <v>128</v>
      </c>
      <c r="S1409" s="346" t="s">
        <v>41</v>
      </c>
      <c r="T1409" s="346">
        <v>86</v>
      </c>
      <c r="U1409" s="347" t="s">
        <v>164</v>
      </c>
      <c r="V1409" s="451"/>
      <c r="X1409" s="344">
        <v>0</v>
      </c>
      <c r="Y1409" s="344"/>
      <c r="AI1409" s="341">
        <f>X1409</f>
        <v>0</v>
      </c>
      <c r="AJ1409" s="358"/>
      <c r="AK1409" s="369"/>
      <c r="AL1409" s="337"/>
      <c r="AM1409" s="337"/>
      <c r="AN1409" s="337"/>
      <c r="AO1409" s="337"/>
      <c r="AP1409" s="337"/>
      <c r="AQ1409" s="337"/>
      <c r="AR1409" s="337"/>
      <c r="AS1409" s="337"/>
      <c r="AT1409" s="337"/>
      <c r="AU1409" s="337"/>
      <c r="AV1409" s="337"/>
      <c r="AW1409" s="337"/>
      <c r="AX1409" s="337"/>
      <c r="AY1409" s="337"/>
      <c r="AZ1409" s="337"/>
      <c r="BA1409" s="337"/>
      <c r="BB1409" s="337"/>
      <c r="BC1409" s="337"/>
      <c r="BD1409" s="337"/>
      <c r="BE1409" s="337"/>
      <c r="BF1409" s="337"/>
      <c r="BG1409" s="337"/>
      <c r="BH1409" s="337"/>
      <c r="BI1409" s="337"/>
      <c r="BJ1409" s="337"/>
      <c r="BK1409" s="337"/>
      <c r="BL1409" s="337"/>
      <c r="BM1409" s="337"/>
      <c r="BN1409" s="337"/>
      <c r="BO1409" s="337"/>
      <c r="BP1409" s="337"/>
      <c r="BQ1409" s="337"/>
      <c r="BR1409" s="337"/>
      <c r="BS1409" s="337"/>
      <c r="BT1409" s="337"/>
      <c r="BU1409" s="337"/>
      <c r="BV1409" s="337"/>
      <c r="BW1409" s="337"/>
      <c r="BX1409" s="337"/>
      <c r="BY1409" s="337"/>
    </row>
    <row r="1410" spans="1:77" s="341" customFormat="1" ht="12" customHeight="1">
      <c r="B1410" s="337" t="s">
        <v>291</v>
      </c>
      <c r="C1410" s="339"/>
      <c r="D1410" s="339"/>
      <c r="E1410" s="340" t="s">
        <v>1227</v>
      </c>
      <c r="F1410" s="341" t="s">
        <v>1228</v>
      </c>
      <c r="G1410" s="342">
        <v>3879</v>
      </c>
      <c r="H1410" s="341" t="s">
        <v>162</v>
      </c>
      <c r="I1410" s="341" t="s">
        <v>33</v>
      </c>
      <c r="J1410" s="343">
        <v>6805.04</v>
      </c>
      <c r="L1410" s="343">
        <v>16.28</v>
      </c>
      <c r="M1410" s="343">
        <v>16.28</v>
      </c>
      <c r="N1410" s="344"/>
      <c r="O1410" s="345">
        <v>0.2</v>
      </c>
      <c r="P1410" s="345"/>
      <c r="Q1410" s="344">
        <v>0</v>
      </c>
      <c r="R1410" s="341" t="s">
        <v>128</v>
      </c>
      <c r="S1410" s="346" t="s">
        <v>41</v>
      </c>
      <c r="T1410" s="346">
        <v>86</v>
      </c>
      <c r="U1410" s="347" t="s">
        <v>164</v>
      </c>
      <c r="V1410" s="451"/>
      <c r="X1410" s="344">
        <v>0</v>
      </c>
      <c r="Y1410" s="344"/>
      <c r="AI1410" s="341">
        <f>X1410</f>
        <v>0</v>
      </c>
      <c r="AJ1410" s="358"/>
      <c r="AK1410" s="369"/>
      <c r="AL1410" s="337"/>
      <c r="AM1410" s="337"/>
      <c r="AN1410" s="337"/>
      <c r="AO1410" s="337"/>
      <c r="AP1410" s="337"/>
      <c r="AQ1410" s="337"/>
      <c r="AR1410" s="337"/>
      <c r="AS1410" s="337"/>
      <c r="AT1410" s="337"/>
      <c r="AU1410" s="337"/>
      <c r="AV1410" s="337"/>
      <c r="AW1410" s="337"/>
      <c r="AX1410" s="337"/>
      <c r="AY1410" s="337"/>
      <c r="AZ1410" s="337"/>
      <c r="BA1410" s="337"/>
      <c r="BB1410" s="337"/>
      <c r="BC1410" s="337"/>
      <c r="BD1410" s="337"/>
      <c r="BE1410" s="337"/>
      <c r="BF1410" s="337"/>
      <c r="BG1410" s="337"/>
      <c r="BH1410" s="337"/>
      <c r="BI1410" s="337"/>
      <c r="BJ1410" s="337"/>
      <c r="BK1410" s="337"/>
      <c r="BL1410" s="337"/>
      <c r="BM1410" s="337"/>
      <c r="BN1410" s="337"/>
      <c r="BO1410" s="337"/>
      <c r="BP1410" s="337"/>
      <c r="BQ1410" s="337"/>
      <c r="BR1410" s="337"/>
      <c r="BS1410" s="337"/>
      <c r="BT1410" s="337"/>
      <c r="BU1410" s="337"/>
      <c r="BV1410" s="337"/>
      <c r="BW1410" s="337"/>
      <c r="BX1410" s="337"/>
      <c r="BY1410" s="337"/>
    </row>
    <row r="1411" spans="1:77" s="341" customFormat="1" ht="12" customHeight="1">
      <c r="B1411" s="337" t="s">
        <v>291</v>
      </c>
      <c r="C1411" s="339"/>
      <c r="D1411" s="339"/>
      <c r="E1411" s="340" t="s">
        <v>1227</v>
      </c>
      <c r="F1411" s="341" t="s">
        <v>1228</v>
      </c>
      <c r="G1411" s="342">
        <v>3879</v>
      </c>
      <c r="H1411" s="341" t="s">
        <v>910</v>
      </c>
      <c r="I1411" s="341" t="s">
        <v>33</v>
      </c>
      <c r="J1411" s="343">
        <v>37801.230000000003</v>
      </c>
      <c r="L1411" s="343">
        <v>28.54</v>
      </c>
      <c r="M1411" s="343">
        <v>28.54</v>
      </c>
      <c r="N1411" s="344"/>
      <c r="O1411" s="345">
        <v>0.2</v>
      </c>
      <c r="P1411" s="345"/>
      <c r="Q1411" s="344">
        <v>0</v>
      </c>
      <c r="R1411" s="341" t="s">
        <v>128</v>
      </c>
      <c r="S1411" s="346" t="s">
        <v>41</v>
      </c>
      <c r="T1411" s="346">
        <v>86</v>
      </c>
      <c r="U1411" s="347" t="s">
        <v>164</v>
      </c>
      <c r="V1411" s="451"/>
      <c r="X1411" s="344">
        <v>0</v>
      </c>
      <c r="Y1411" s="344"/>
      <c r="AI1411" s="341">
        <f>X1411</f>
        <v>0</v>
      </c>
      <c r="AJ1411" s="358"/>
      <c r="AK1411" s="369"/>
      <c r="AL1411" s="337"/>
      <c r="AM1411" s="337"/>
      <c r="AN1411" s="337"/>
      <c r="AO1411" s="337"/>
      <c r="AP1411" s="337"/>
      <c r="AQ1411" s="337"/>
      <c r="AR1411" s="337"/>
      <c r="AS1411" s="337"/>
      <c r="AT1411" s="337"/>
      <c r="AU1411" s="337"/>
      <c r="AV1411" s="337"/>
      <c r="AW1411" s="337"/>
      <c r="AX1411" s="337"/>
      <c r="AY1411" s="337"/>
      <c r="AZ1411" s="337"/>
      <c r="BA1411" s="337"/>
      <c r="BB1411" s="337"/>
      <c r="BC1411" s="337"/>
      <c r="BD1411" s="337"/>
      <c r="BE1411" s="337"/>
      <c r="BF1411" s="337"/>
      <c r="BG1411" s="337"/>
      <c r="BH1411" s="337"/>
      <c r="BI1411" s="337"/>
      <c r="BJ1411" s="337"/>
      <c r="BK1411" s="337"/>
      <c r="BL1411" s="337"/>
      <c r="BM1411" s="337"/>
      <c r="BN1411" s="337"/>
      <c r="BO1411" s="337"/>
      <c r="BP1411" s="337"/>
      <c r="BQ1411" s="337"/>
      <c r="BR1411" s="337"/>
      <c r="BS1411" s="337"/>
      <c r="BT1411" s="337"/>
      <c r="BU1411" s="337"/>
      <c r="BV1411" s="337"/>
      <c r="BW1411" s="337"/>
      <c r="BX1411" s="337"/>
      <c r="BY1411" s="337"/>
    </row>
    <row r="1412" spans="1:77" s="341" customFormat="1" ht="12" customHeight="1">
      <c r="B1412" s="337" t="s">
        <v>291</v>
      </c>
      <c r="C1412" s="339"/>
      <c r="D1412" s="339"/>
      <c r="E1412" s="340" t="s">
        <v>1227</v>
      </c>
      <c r="F1412" s="341" t="s">
        <v>1228</v>
      </c>
      <c r="G1412" s="342">
        <v>3879</v>
      </c>
      <c r="H1412" s="341" t="s">
        <v>183</v>
      </c>
      <c r="I1412" s="341" t="s">
        <v>33</v>
      </c>
      <c r="J1412" s="343">
        <v>11847.48</v>
      </c>
      <c r="L1412" s="343">
        <v>11.63</v>
      </c>
      <c r="M1412" s="343">
        <v>11.63</v>
      </c>
      <c r="N1412" s="344"/>
      <c r="O1412" s="345">
        <v>0.2</v>
      </c>
      <c r="P1412" s="345"/>
      <c r="Q1412" s="344">
        <v>0</v>
      </c>
      <c r="R1412" s="341" t="s">
        <v>128</v>
      </c>
      <c r="S1412" s="346" t="s">
        <v>41</v>
      </c>
      <c r="T1412" s="346">
        <v>86</v>
      </c>
      <c r="U1412" s="347" t="s">
        <v>164</v>
      </c>
      <c r="V1412" s="451"/>
      <c r="X1412" s="344">
        <v>0</v>
      </c>
      <c r="Y1412" s="344"/>
      <c r="AI1412" s="341">
        <f>X1412</f>
        <v>0</v>
      </c>
      <c r="AJ1412" s="358"/>
      <c r="AK1412" s="369"/>
      <c r="AL1412" s="337"/>
      <c r="AM1412" s="337"/>
      <c r="AN1412" s="337"/>
      <c r="AO1412" s="337"/>
      <c r="AP1412" s="337"/>
      <c r="AQ1412" s="337"/>
      <c r="AR1412" s="337"/>
      <c r="AS1412" s="337"/>
      <c r="AT1412" s="337"/>
      <c r="AU1412" s="337"/>
      <c r="AV1412" s="337"/>
      <c r="AW1412" s="337"/>
      <c r="AX1412" s="337"/>
      <c r="AY1412" s="337"/>
      <c r="AZ1412" s="337"/>
      <c r="BA1412" s="337"/>
      <c r="BB1412" s="337"/>
      <c r="BC1412" s="337"/>
      <c r="BD1412" s="337"/>
      <c r="BE1412" s="337"/>
      <c r="BF1412" s="337"/>
      <c r="BG1412" s="337"/>
      <c r="BH1412" s="337"/>
      <c r="BI1412" s="337"/>
      <c r="BJ1412" s="337"/>
      <c r="BK1412" s="337"/>
      <c r="BL1412" s="337"/>
      <c r="BM1412" s="337"/>
      <c r="BN1412" s="337"/>
      <c r="BO1412" s="337"/>
      <c r="BP1412" s="337"/>
      <c r="BQ1412" s="337"/>
      <c r="BR1412" s="337"/>
      <c r="BS1412" s="337"/>
      <c r="BT1412" s="337"/>
      <c r="BU1412" s="337"/>
      <c r="BV1412" s="337"/>
      <c r="BW1412" s="337"/>
      <c r="BX1412" s="337"/>
      <c r="BY1412" s="337"/>
    </row>
    <row r="1413" spans="1:77" s="273" customFormat="1" ht="12" customHeight="1">
      <c r="B1413" s="261" t="s">
        <v>291</v>
      </c>
      <c r="C1413" s="271">
        <v>44694</v>
      </c>
      <c r="D1413" s="271">
        <v>44701</v>
      </c>
      <c r="E1413" s="272" t="s">
        <v>1229</v>
      </c>
      <c r="F1413" s="273" t="s">
        <v>1230</v>
      </c>
      <c r="G1413" s="276">
        <v>4026</v>
      </c>
      <c r="H1413" s="273" t="s">
        <v>99</v>
      </c>
      <c r="I1413" s="273" t="s">
        <v>33</v>
      </c>
      <c r="J1413" s="277">
        <v>35863.9</v>
      </c>
      <c r="L1413" s="277">
        <v>25.15</v>
      </c>
      <c r="M1413" s="277">
        <v>25.15</v>
      </c>
      <c r="N1413" s="275">
        <v>10759.17</v>
      </c>
      <c r="O1413" s="278">
        <v>0.2</v>
      </c>
      <c r="P1413" s="278"/>
      <c r="Q1413" s="275">
        <v>0</v>
      </c>
      <c r="R1413" s="273" t="s">
        <v>69</v>
      </c>
      <c r="S1413" s="279" t="s">
        <v>65</v>
      </c>
      <c r="T1413" s="279">
        <v>49</v>
      </c>
      <c r="U1413" s="274" t="s">
        <v>164</v>
      </c>
      <c r="V1413" s="454"/>
      <c r="X1413" s="275">
        <v>0</v>
      </c>
      <c r="Y1413" s="275"/>
      <c r="AG1413" s="273">
        <f>X1413</f>
        <v>0</v>
      </c>
      <c r="AI1413" s="261"/>
      <c r="AJ1413" s="642"/>
    </row>
    <row r="1414" spans="1:77" s="273" customFormat="1" ht="12" customHeight="1">
      <c r="B1414" s="261" t="s">
        <v>291</v>
      </c>
      <c r="C1414" s="271"/>
      <c r="D1414" s="271"/>
      <c r="E1414" s="272" t="s">
        <v>1229</v>
      </c>
      <c r="F1414" s="273" t="s">
        <v>1230</v>
      </c>
      <c r="G1414" s="276">
        <v>4026</v>
      </c>
      <c r="H1414" s="273" t="s">
        <v>898</v>
      </c>
      <c r="I1414" s="273" t="s">
        <v>33</v>
      </c>
      <c r="J1414" s="277">
        <v>15075.36</v>
      </c>
      <c r="L1414" s="277">
        <v>11.6</v>
      </c>
      <c r="M1414" s="277">
        <v>11.6</v>
      </c>
      <c r="N1414" s="275">
        <v>1407.4667999999999</v>
      </c>
      <c r="O1414" s="278">
        <v>0.2</v>
      </c>
      <c r="P1414" s="278"/>
      <c r="Q1414" s="275">
        <v>0</v>
      </c>
      <c r="R1414" s="273" t="s">
        <v>69</v>
      </c>
      <c r="S1414" s="279" t="s">
        <v>65</v>
      </c>
      <c r="T1414" s="279">
        <v>49</v>
      </c>
      <c r="U1414" s="274" t="s">
        <v>164</v>
      </c>
      <c r="V1414" s="454"/>
      <c r="W1414" s="273" t="s">
        <v>3827</v>
      </c>
      <c r="X1414" s="275">
        <v>0</v>
      </c>
      <c r="Y1414" s="275"/>
      <c r="AG1414" s="273">
        <f>X1414</f>
        <v>0</v>
      </c>
      <c r="AI1414" s="261"/>
      <c r="AJ1414" s="642"/>
    </row>
    <row r="1415" spans="1:77" s="273" customFormat="1" ht="12" customHeight="1">
      <c r="B1415" s="261" t="s">
        <v>291</v>
      </c>
      <c r="C1415" s="271"/>
      <c r="D1415" s="271"/>
      <c r="E1415" s="272" t="s">
        <v>1229</v>
      </c>
      <c r="F1415" s="273" t="s">
        <v>1230</v>
      </c>
      <c r="G1415" s="276">
        <v>4026</v>
      </c>
      <c r="H1415" s="273" t="s">
        <v>183</v>
      </c>
      <c r="I1415" s="273" t="s">
        <v>33</v>
      </c>
      <c r="J1415" s="277">
        <v>5583.06</v>
      </c>
      <c r="L1415" s="277">
        <v>4.9000000000000004</v>
      </c>
      <c r="M1415" s="277">
        <v>4.9000000000000004</v>
      </c>
      <c r="N1415" s="275">
        <v>1727.838</v>
      </c>
      <c r="O1415" s="278">
        <v>0.2</v>
      </c>
      <c r="P1415" s="278"/>
      <c r="Q1415" s="275">
        <v>162.29</v>
      </c>
      <c r="R1415" s="273" t="s">
        <v>69</v>
      </c>
      <c r="S1415" s="279" t="s">
        <v>65</v>
      </c>
      <c r="T1415" s="279">
        <v>49</v>
      </c>
      <c r="U1415" s="274" t="s">
        <v>164</v>
      </c>
      <c r="V1415" s="454"/>
      <c r="X1415" s="275">
        <v>162.29</v>
      </c>
      <c r="Y1415" s="275"/>
      <c r="AG1415" s="273">
        <f>X1415</f>
        <v>162.29</v>
      </c>
      <c r="AI1415" s="261"/>
      <c r="AJ1415" s="642"/>
    </row>
    <row r="1416" spans="1:77" s="273" customFormat="1" ht="12" customHeight="1">
      <c r="B1416" s="261" t="s">
        <v>291</v>
      </c>
      <c r="C1416" s="271"/>
      <c r="D1416" s="271"/>
      <c r="E1416" s="272" t="s">
        <v>1229</v>
      </c>
      <c r="F1416" s="273" t="s">
        <v>1230</v>
      </c>
      <c r="G1416" s="276">
        <v>4026</v>
      </c>
      <c r="H1416" s="273" t="s">
        <v>1231</v>
      </c>
      <c r="I1416" s="273" t="s">
        <v>33</v>
      </c>
      <c r="J1416" s="277">
        <v>14946</v>
      </c>
      <c r="L1416" s="277">
        <v>5.3</v>
      </c>
      <c r="M1416" s="277">
        <v>5.3</v>
      </c>
      <c r="N1416" s="275">
        <v>5999.6</v>
      </c>
      <c r="O1416" s="278">
        <v>0.2</v>
      </c>
      <c r="P1416" s="278"/>
      <c r="Q1416" s="275">
        <v>5702.8</v>
      </c>
      <c r="R1416" s="273" t="s">
        <v>69</v>
      </c>
      <c r="S1416" s="279" t="s">
        <v>65</v>
      </c>
      <c r="T1416" s="279">
        <v>49</v>
      </c>
      <c r="U1416" s="274" t="s">
        <v>164</v>
      </c>
      <c r="V1416" s="454"/>
      <c r="X1416" s="275">
        <v>5702.8</v>
      </c>
      <c r="Y1416" s="275"/>
      <c r="AG1416" s="273">
        <f>X1416</f>
        <v>5702.8</v>
      </c>
      <c r="AI1416" s="261"/>
      <c r="AJ1416" s="642"/>
    </row>
    <row r="1417" spans="1:77" s="218" customFormat="1" ht="12" customHeight="1">
      <c r="A1417" s="394"/>
      <c r="B1417" s="380" t="s">
        <v>291</v>
      </c>
      <c r="C1417" s="392"/>
      <c r="D1417" s="392"/>
      <c r="E1417" s="393" t="s">
        <v>1232</v>
      </c>
      <c r="F1417" s="379" t="s">
        <v>187</v>
      </c>
      <c r="G1417" s="383">
        <v>3841</v>
      </c>
      <c r="H1417" s="394" t="s">
        <v>910</v>
      </c>
      <c r="I1417" s="394" t="s">
        <v>888</v>
      </c>
      <c r="J1417" s="395">
        <v>63477.07</v>
      </c>
      <c r="K1417" s="394"/>
      <c r="L1417" s="395">
        <v>39.01</v>
      </c>
      <c r="M1417" s="395">
        <v>39.01</v>
      </c>
      <c r="N1417" s="396"/>
      <c r="O1417" s="387">
        <v>0.15</v>
      </c>
      <c r="P1417" s="397"/>
      <c r="Q1417" s="396">
        <v>0</v>
      </c>
      <c r="R1417" s="379" t="s">
        <v>73</v>
      </c>
      <c r="S1417" s="388" t="s">
        <v>113</v>
      </c>
      <c r="T1417" s="388">
        <v>31</v>
      </c>
      <c r="U1417" s="398" t="s">
        <v>164</v>
      </c>
      <c r="V1417" s="449"/>
      <c r="W1417" s="394"/>
      <c r="X1417" s="396">
        <v>0</v>
      </c>
      <c r="Y1417" s="396"/>
      <c r="Z1417" s="394"/>
      <c r="AA1417" s="394"/>
      <c r="AB1417" s="394"/>
      <c r="AC1417" s="394"/>
      <c r="AD1417" s="394"/>
      <c r="AE1417" s="394"/>
      <c r="AF1417" s="394"/>
      <c r="AG1417" s="394"/>
      <c r="AH1417" s="394"/>
      <c r="AI1417" s="379"/>
      <c r="AJ1417" s="390">
        <v>0</v>
      </c>
      <c r="AK1417" s="394"/>
      <c r="AL1417" s="394"/>
      <c r="AM1417" s="394"/>
      <c r="AN1417" s="394"/>
      <c r="AO1417" s="394"/>
      <c r="AP1417" s="394"/>
      <c r="AQ1417" s="394"/>
      <c r="AR1417" s="394"/>
      <c r="AS1417" s="394"/>
      <c r="AT1417" s="394"/>
      <c r="AU1417" s="394"/>
      <c r="AV1417" s="394"/>
      <c r="AW1417" s="394"/>
      <c r="AX1417" s="394"/>
      <c r="AY1417" s="394"/>
      <c r="AZ1417" s="394"/>
      <c r="BA1417" s="394"/>
      <c r="BB1417" s="394"/>
      <c r="BC1417" s="394"/>
      <c r="BD1417" s="394"/>
      <c r="BE1417" s="394"/>
      <c r="BF1417" s="394"/>
      <c r="BG1417" s="394"/>
      <c r="BH1417" s="394"/>
      <c r="BI1417" s="394"/>
      <c r="BJ1417" s="394"/>
      <c r="BK1417" s="394"/>
      <c r="BL1417" s="394"/>
      <c r="BM1417" s="394"/>
      <c r="BN1417" s="394"/>
      <c r="BO1417" s="394"/>
      <c r="BP1417" s="394"/>
      <c r="BQ1417" s="394"/>
      <c r="BR1417" s="394"/>
      <c r="BS1417" s="394"/>
      <c r="BT1417" s="394"/>
      <c r="BU1417" s="394"/>
      <c r="BV1417" s="394"/>
      <c r="BW1417" s="394"/>
      <c r="BX1417" s="394"/>
      <c r="BY1417" s="394"/>
    </row>
    <row r="1418" spans="1:77" s="218" customFormat="1" ht="12" customHeight="1">
      <c r="A1418" s="394"/>
      <c r="B1418" s="380" t="s">
        <v>291</v>
      </c>
      <c r="C1418" s="392"/>
      <c r="D1418" s="392"/>
      <c r="E1418" s="393" t="s">
        <v>1232</v>
      </c>
      <c r="F1418" s="379" t="s">
        <v>187</v>
      </c>
      <c r="G1418" s="383">
        <v>3841</v>
      </c>
      <c r="H1418" s="394" t="s">
        <v>765</v>
      </c>
      <c r="I1418" s="394" t="s">
        <v>888</v>
      </c>
      <c r="J1418" s="395">
        <v>27370</v>
      </c>
      <c r="K1418" s="394"/>
      <c r="L1418" s="395">
        <v>34</v>
      </c>
      <c r="M1418" s="395">
        <v>34</v>
      </c>
      <c r="N1418" s="396"/>
      <c r="O1418" s="387">
        <v>0.15</v>
      </c>
      <c r="P1418" s="397"/>
      <c r="Q1418" s="396">
        <v>0</v>
      </c>
      <c r="R1418" s="379" t="s">
        <v>73</v>
      </c>
      <c r="S1418" s="388" t="s">
        <v>113</v>
      </c>
      <c r="T1418" s="388">
        <v>31</v>
      </c>
      <c r="U1418" s="398" t="s">
        <v>164</v>
      </c>
      <c r="V1418" s="449"/>
      <c r="W1418" s="394"/>
      <c r="X1418" s="396">
        <v>0</v>
      </c>
      <c r="Y1418" s="396"/>
      <c r="Z1418" s="394"/>
      <c r="AA1418" s="394"/>
      <c r="AB1418" s="394"/>
      <c r="AC1418" s="394"/>
      <c r="AD1418" s="394"/>
      <c r="AE1418" s="394"/>
      <c r="AF1418" s="394"/>
      <c r="AG1418" s="394"/>
      <c r="AH1418" s="394"/>
      <c r="AI1418" s="379"/>
      <c r="AJ1418" s="390">
        <v>0</v>
      </c>
      <c r="AK1418" s="394"/>
      <c r="AL1418" s="394"/>
      <c r="AM1418" s="394"/>
      <c r="AN1418" s="394"/>
      <c r="AO1418" s="394"/>
      <c r="AP1418" s="394"/>
      <c r="AQ1418" s="394"/>
      <c r="AR1418" s="394"/>
      <c r="AS1418" s="394"/>
      <c r="AT1418" s="394"/>
      <c r="AU1418" s="394"/>
      <c r="AV1418" s="394"/>
      <c r="AW1418" s="394"/>
      <c r="AX1418" s="394"/>
      <c r="AY1418" s="394"/>
      <c r="AZ1418" s="394"/>
      <c r="BA1418" s="394"/>
      <c r="BB1418" s="394"/>
      <c r="BC1418" s="394"/>
      <c r="BD1418" s="394"/>
      <c r="BE1418" s="394"/>
      <c r="BF1418" s="394"/>
      <c r="BG1418" s="394"/>
      <c r="BH1418" s="394"/>
      <c r="BI1418" s="394"/>
      <c r="BJ1418" s="394"/>
      <c r="BK1418" s="394"/>
      <c r="BL1418" s="394"/>
      <c r="BM1418" s="394"/>
      <c r="BN1418" s="394"/>
      <c r="BO1418" s="394"/>
      <c r="BP1418" s="394"/>
      <c r="BQ1418" s="394"/>
      <c r="BR1418" s="394"/>
      <c r="BS1418" s="394"/>
      <c r="BT1418" s="394"/>
      <c r="BU1418" s="394"/>
      <c r="BV1418" s="394"/>
      <c r="BW1418" s="394"/>
      <c r="BX1418" s="394"/>
      <c r="BY1418" s="394"/>
    </row>
    <row r="1419" spans="1:77" s="218" customFormat="1" ht="12" customHeight="1">
      <c r="B1419" s="206" t="s">
        <v>291</v>
      </c>
      <c r="C1419" s="225">
        <v>44701</v>
      </c>
      <c r="D1419" s="225">
        <v>44701</v>
      </c>
      <c r="E1419" s="226" t="s">
        <v>1232</v>
      </c>
      <c r="F1419" s="205" t="s">
        <v>187</v>
      </c>
      <c r="G1419" s="209">
        <v>3841</v>
      </c>
      <c r="H1419" s="218" t="s">
        <v>162</v>
      </c>
      <c r="I1419" s="218" t="s">
        <v>888</v>
      </c>
      <c r="J1419" s="222">
        <v>5435.45</v>
      </c>
      <c r="L1419" s="222">
        <v>17.510000000000002</v>
      </c>
      <c r="M1419" s="222">
        <v>17.510000000000002</v>
      </c>
      <c r="N1419" s="223"/>
      <c r="O1419" s="212">
        <v>0.15</v>
      </c>
      <c r="P1419" s="224"/>
      <c r="Q1419" s="223">
        <v>3396.55</v>
      </c>
      <c r="R1419" s="205" t="s">
        <v>73</v>
      </c>
      <c r="S1419" s="214" t="s">
        <v>113</v>
      </c>
      <c r="T1419" s="214">
        <v>31</v>
      </c>
      <c r="U1419" s="227" t="s">
        <v>164</v>
      </c>
      <c r="V1419" s="455"/>
      <c r="X1419" s="223">
        <v>3396.55</v>
      </c>
      <c r="Y1419" s="223"/>
      <c r="AF1419" s="230">
        <f>X1419</f>
        <v>3396.55</v>
      </c>
      <c r="AI1419" s="205"/>
      <c r="AJ1419" s="216"/>
    </row>
    <row r="1420" spans="1:77" s="218" customFormat="1" ht="12" customHeight="1">
      <c r="B1420" s="206" t="s">
        <v>291</v>
      </c>
      <c r="C1420" s="225"/>
      <c r="D1420" s="225"/>
      <c r="E1420" s="226" t="s">
        <v>1232</v>
      </c>
      <c r="F1420" s="205" t="s">
        <v>187</v>
      </c>
      <c r="G1420" s="209">
        <v>3841</v>
      </c>
      <c r="H1420" s="218" t="s">
        <v>99</v>
      </c>
      <c r="I1420" s="218" t="s">
        <v>888</v>
      </c>
      <c r="J1420" s="222">
        <v>39722.129999999997</v>
      </c>
      <c r="L1420" s="222">
        <v>39.409999999999997</v>
      </c>
      <c r="M1420" s="222">
        <v>39.409999999999997</v>
      </c>
      <c r="N1420" s="223"/>
      <c r="O1420" s="212">
        <v>0.15</v>
      </c>
      <c r="P1420" s="224"/>
      <c r="Q1420" s="223">
        <v>2542.8000000000002</v>
      </c>
      <c r="R1420" s="205" t="s">
        <v>73</v>
      </c>
      <c r="S1420" s="214" t="s">
        <v>113</v>
      </c>
      <c r="T1420" s="214">
        <v>31</v>
      </c>
      <c r="U1420" s="227" t="s">
        <v>164</v>
      </c>
      <c r="V1420" s="455"/>
      <c r="X1420" s="223">
        <v>2542.8000000000002</v>
      </c>
      <c r="Y1420" s="223"/>
      <c r="AF1420" s="230">
        <f>X1420</f>
        <v>2542.8000000000002</v>
      </c>
      <c r="AI1420" s="205"/>
      <c r="AJ1420" s="216"/>
    </row>
    <row r="1421" spans="1:77" s="218" customFormat="1" ht="12" customHeight="1">
      <c r="B1421" s="206" t="s">
        <v>291</v>
      </c>
      <c r="C1421" s="225"/>
      <c r="D1421" s="225"/>
      <c r="E1421" s="226" t="s">
        <v>1232</v>
      </c>
      <c r="F1421" s="205" t="s">
        <v>187</v>
      </c>
      <c r="G1421" s="209">
        <v>3841</v>
      </c>
      <c r="H1421" s="218" t="s">
        <v>163</v>
      </c>
      <c r="I1421" s="218" t="s">
        <v>888</v>
      </c>
      <c r="J1421" s="222">
        <v>5559.57</v>
      </c>
      <c r="L1421" s="222">
        <v>10.62</v>
      </c>
      <c r="M1421" s="222">
        <v>10.62</v>
      </c>
      <c r="N1421" s="223"/>
      <c r="O1421" s="212">
        <v>0.15</v>
      </c>
      <c r="P1421" s="224"/>
      <c r="Q1421" s="223">
        <v>0</v>
      </c>
      <c r="R1421" s="205" t="s">
        <v>73</v>
      </c>
      <c r="S1421" s="214" t="s">
        <v>113</v>
      </c>
      <c r="T1421" s="214">
        <v>31</v>
      </c>
      <c r="U1421" s="227" t="s">
        <v>164</v>
      </c>
      <c r="V1421" s="455"/>
      <c r="X1421" s="223">
        <v>0</v>
      </c>
      <c r="Y1421" s="223"/>
      <c r="AF1421" s="230">
        <f>X1421</f>
        <v>0</v>
      </c>
      <c r="AI1421" s="205"/>
      <c r="AJ1421" s="216"/>
    </row>
    <row r="1422" spans="1:77" s="273" customFormat="1" ht="12" customHeight="1">
      <c r="B1422" s="258" t="s">
        <v>291</v>
      </c>
      <c r="C1422" s="271"/>
      <c r="D1422" s="271"/>
      <c r="E1422" s="272" t="s">
        <v>1232</v>
      </c>
      <c r="F1422" s="261" t="s">
        <v>187</v>
      </c>
      <c r="G1422" s="262">
        <v>3841</v>
      </c>
      <c r="H1422" s="273" t="s">
        <v>183</v>
      </c>
      <c r="I1422" s="273" t="s">
        <v>888</v>
      </c>
      <c r="J1422" s="277">
        <v>14362.86</v>
      </c>
      <c r="L1422" s="277">
        <v>16.353999999999999</v>
      </c>
      <c r="M1422" s="277">
        <v>16.353999999999999</v>
      </c>
      <c r="N1422" s="275"/>
      <c r="O1422" s="266">
        <v>0.15</v>
      </c>
      <c r="P1422" s="278"/>
      <c r="Q1422" s="275">
        <v>0</v>
      </c>
      <c r="R1422" s="261" t="s">
        <v>73</v>
      </c>
      <c r="S1422" s="267" t="s">
        <v>113</v>
      </c>
      <c r="T1422" s="267">
        <v>31</v>
      </c>
      <c r="U1422" s="274" t="s">
        <v>164</v>
      </c>
      <c r="V1422" s="454"/>
      <c r="X1422" s="275">
        <v>0</v>
      </c>
      <c r="Y1422" s="275"/>
      <c r="AG1422" s="273">
        <f>X1422</f>
        <v>0</v>
      </c>
      <c r="AI1422" s="261"/>
      <c r="AJ1422" s="642"/>
    </row>
    <row r="1423" spans="1:77" s="394" customFormat="1" ht="12" customHeight="1">
      <c r="B1423" s="380" t="s">
        <v>291</v>
      </c>
      <c r="C1423" s="392">
        <v>44699</v>
      </c>
      <c r="D1423" s="392">
        <v>44701</v>
      </c>
      <c r="E1423" s="393" t="s">
        <v>1233</v>
      </c>
      <c r="F1423" s="394" t="s">
        <v>1234</v>
      </c>
      <c r="G1423" s="400">
        <v>3565</v>
      </c>
      <c r="H1423" s="394" t="s">
        <v>27</v>
      </c>
      <c r="I1423" s="394" t="s">
        <v>33</v>
      </c>
      <c r="J1423" s="395">
        <v>347772</v>
      </c>
      <c r="L1423" s="395">
        <v>11.68</v>
      </c>
      <c r="M1423" s="395">
        <v>11.68</v>
      </c>
      <c r="N1423" s="396"/>
      <c r="O1423" s="397">
        <v>0.15</v>
      </c>
      <c r="P1423" s="397"/>
      <c r="Q1423" s="396">
        <v>2745.08</v>
      </c>
      <c r="R1423" s="394" t="s">
        <v>35</v>
      </c>
      <c r="S1423" s="399" t="s">
        <v>41</v>
      </c>
      <c r="T1423" s="399">
        <v>79</v>
      </c>
      <c r="U1423" s="398" t="s">
        <v>164</v>
      </c>
      <c r="V1423" s="449"/>
      <c r="X1423" s="396">
        <v>2745.08</v>
      </c>
      <c r="Y1423" s="396"/>
      <c r="AI1423" s="379"/>
      <c r="AJ1423" s="395">
        <v>2745.08</v>
      </c>
    </row>
    <row r="1424" spans="1:77" s="660" customFormat="1" ht="12" customHeight="1">
      <c r="B1424" s="661" t="s">
        <v>291</v>
      </c>
      <c r="C1424" s="665"/>
      <c r="D1424" s="665"/>
      <c r="E1424" s="666" t="s">
        <v>1233</v>
      </c>
      <c r="F1424" s="660" t="s">
        <v>1234</v>
      </c>
      <c r="G1424" s="667">
        <v>3565</v>
      </c>
      <c r="H1424" s="660" t="s">
        <v>183</v>
      </c>
      <c r="I1424" s="660" t="s">
        <v>33</v>
      </c>
      <c r="J1424" s="668">
        <v>31026.93</v>
      </c>
      <c r="L1424" s="668">
        <v>33</v>
      </c>
      <c r="M1424" s="668">
        <v>33</v>
      </c>
      <c r="N1424" s="669"/>
      <c r="O1424" s="670">
        <v>0.15</v>
      </c>
      <c r="P1424" s="670"/>
      <c r="Q1424" s="669">
        <v>1992.23</v>
      </c>
      <c r="R1424" s="660" t="s">
        <v>35</v>
      </c>
      <c r="S1424" s="671" t="s">
        <v>41</v>
      </c>
      <c r="T1424" s="671">
        <v>79</v>
      </c>
      <c r="U1424" s="672" t="s">
        <v>164</v>
      </c>
      <c r="V1424" s="673"/>
      <c r="X1424" s="669">
        <v>1992.23</v>
      </c>
      <c r="Y1424" s="669"/>
      <c r="AI1424" s="669">
        <v>1992.23</v>
      </c>
      <c r="AJ1424" s="657"/>
      <c r="AK1424" s="658"/>
    </row>
    <row r="1425" spans="1:77" s="660" customFormat="1" ht="12" customHeight="1">
      <c r="B1425" s="661" t="s">
        <v>291</v>
      </c>
      <c r="C1425" s="665"/>
      <c r="D1425" s="665"/>
      <c r="E1425" s="666" t="s">
        <v>1233</v>
      </c>
      <c r="F1425" s="660" t="s">
        <v>1234</v>
      </c>
      <c r="G1425" s="667">
        <v>3565</v>
      </c>
      <c r="H1425" s="660" t="s">
        <v>99</v>
      </c>
      <c r="I1425" s="660" t="s">
        <v>33</v>
      </c>
      <c r="J1425" s="668">
        <v>53768.92</v>
      </c>
      <c r="L1425" s="668">
        <v>49.1</v>
      </c>
      <c r="M1425" s="668">
        <v>49.1</v>
      </c>
      <c r="N1425" s="669"/>
      <c r="O1425" s="670">
        <v>0.15</v>
      </c>
      <c r="P1425" s="670"/>
      <c r="Q1425" s="669">
        <v>0</v>
      </c>
      <c r="R1425" s="660" t="s">
        <v>35</v>
      </c>
      <c r="S1425" s="671" t="s">
        <v>41</v>
      </c>
      <c r="T1425" s="671">
        <v>79</v>
      </c>
      <c r="U1425" s="672" t="s">
        <v>164</v>
      </c>
      <c r="V1425" s="673"/>
      <c r="X1425" s="669">
        <v>0</v>
      </c>
      <c r="Y1425" s="669"/>
      <c r="AI1425" s="647">
        <v>0</v>
      </c>
      <c r="AJ1425" s="657"/>
      <c r="AK1425" s="658"/>
    </row>
    <row r="1426" spans="1:77" s="660" customFormat="1" ht="12" customHeight="1">
      <c r="B1426" s="661" t="s">
        <v>291</v>
      </c>
      <c r="C1426" s="665"/>
      <c r="D1426" s="665"/>
      <c r="E1426" s="666" t="s">
        <v>1233</v>
      </c>
      <c r="F1426" s="660" t="s">
        <v>1234</v>
      </c>
      <c r="G1426" s="667">
        <v>3565</v>
      </c>
      <c r="H1426" s="660" t="s">
        <v>140</v>
      </c>
      <c r="I1426" s="660" t="s">
        <v>33</v>
      </c>
      <c r="J1426" s="668">
        <v>13084.25</v>
      </c>
      <c r="L1426" s="668">
        <v>9.9499999999999993</v>
      </c>
      <c r="M1426" s="668">
        <v>9.9499999999999993</v>
      </c>
      <c r="N1426" s="669"/>
      <c r="O1426" s="670">
        <v>0.15</v>
      </c>
      <c r="P1426" s="670"/>
      <c r="Q1426" s="669">
        <v>3544.69</v>
      </c>
      <c r="R1426" s="660" t="s">
        <v>35</v>
      </c>
      <c r="S1426" s="671" t="s">
        <v>41</v>
      </c>
      <c r="T1426" s="671">
        <v>79</v>
      </c>
      <c r="U1426" s="672" t="s">
        <v>164</v>
      </c>
      <c r="V1426" s="673"/>
      <c r="X1426" s="669">
        <v>3544.69</v>
      </c>
      <c r="Y1426" s="669"/>
      <c r="AI1426" s="669">
        <v>3544.69</v>
      </c>
      <c r="AJ1426" s="657"/>
      <c r="AK1426" s="658"/>
    </row>
    <row r="1427" spans="1:77" s="117" customFormat="1" ht="12" customHeight="1">
      <c r="A1427" s="472"/>
      <c r="B1427" s="486" t="s">
        <v>291</v>
      </c>
      <c r="C1427" s="474"/>
      <c r="D1427" s="474"/>
      <c r="E1427" s="475" t="s">
        <v>1235</v>
      </c>
      <c r="F1427" s="472" t="s">
        <v>344</v>
      </c>
      <c r="G1427" s="476">
        <v>3606</v>
      </c>
      <c r="H1427" s="472" t="s">
        <v>137</v>
      </c>
      <c r="I1427" s="472" t="s">
        <v>33</v>
      </c>
      <c r="J1427" s="477">
        <v>7140</v>
      </c>
      <c r="K1427" s="472"/>
      <c r="L1427" s="477">
        <v>10</v>
      </c>
      <c r="M1427" s="477">
        <v>10</v>
      </c>
      <c r="N1427" s="478">
        <f>J1427*0.3</f>
        <v>2142</v>
      </c>
      <c r="O1427" s="480">
        <v>0.2</v>
      </c>
      <c r="P1427" s="480"/>
      <c r="Q1427" s="478">
        <v>0</v>
      </c>
      <c r="R1427" s="472" t="s">
        <v>35</v>
      </c>
      <c r="S1427" s="482" t="s">
        <v>41</v>
      </c>
      <c r="T1427" s="482">
        <v>86</v>
      </c>
      <c r="U1427" s="483" t="s">
        <v>164</v>
      </c>
      <c r="V1427" s="484"/>
      <c r="W1427" s="472"/>
      <c r="X1427" s="478">
        <v>0</v>
      </c>
      <c r="Y1427" s="478"/>
      <c r="Z1427" s="472"/>
      <c r="AA1427" s="472"/>
      <c r="AB1427" s="472"/>
      <c r="AC1427" s="472"/>
      <c r="AD1427" s="472"/>
      <c r="AE1427" s="472"/>
      <c r="AF1427" s="472"/>
      <c r="AG1427" s="472"/>
      <c r="AH1427" s="472"/>
      <c r="AI1427" s="473"/>
      <c r="AJ1427" s="485"/>
      <c r="AK1427" s="472">
        <v>0</v>
      </c>
      <c r="AL1427" s="472"/>
      <c r="AM1427" s="472"/>
      <c r="AN1427" s="472"/>
      <c r="AO1427" s="472"/>
      <c r="AP1427" s="472"/>
      <c r="AQ1427" s="472"/>
      <c r="AR1427" s="472"/>
      <c r="AS1427" s="472"/>
      <c r="AT1427" s="472"/>
      <c r="AU1427" s="472"/>
      <c r="AV1427" s="472"/>
      <c r="AW1427" s="472"/>
      <c r="AX1427" s="472"/>
      <c r="AY1427" s="472"/>
      <c r="AZ1427" s="472"/>
      <c r="BA1427" s="472"/>
      <c r="BB1427" s="472"/>
      <c r="BC1427" s="472"/>
      <c r="BD1427" s="472"/>
      <c r="BE1427" s="472"/>
      <c r="BF1427" s="472"/>
      <c r="BG1427" s="472"/>
      <c r="BH1427" s="472"/>
      <c r="BI1427" s="472"/>
      <c r="BJ1427" s="472"/>
      <c r="BK1427" s="472"/>
      <c r="BL1427" s="472"/>
      <c r="BM1427" s="472"/>
      <c r="BN1427" s="472"/>
      <c r="BO1427" s="472"/>
      <c r="BP1427" s="472"/>
      <c r="BQ1427" s="472"/>
      <c r="BR1427" s="472"/>
      <c r="BS1427" s="472"/>
      <c r="BT1427" s="472"/>
      <c r="BU1427" s="472"/>
      <c r="BV1427" s="472"/>
      <c r="BW1427" s="472"/>
      <c r="BX1427" s="472"/>
      <c r="BY1427" s="472"/>
    </row>
    <row r="1428" spans="1:77" s="117" customFormat="1" ht="12" customHeight="1">
      <c r="A1428" s="472"/>
      <c r="B1428" s="486" t="s">
        <v>291</v>
      </c>
      <c r="C1428" s="474"/>
      <c r="D1428" s="474"/>
      <c r="E1428" s="475" t="s">
        <v>1235</v>
      </c>
      <c r="F1428" s="472" t="s">
        <v>344</v>
      </c>
      <c r="G1428" s="476">
        <v>3606</v>
      </c>
      <c r="H1428" s="472" t="s">
        <v>310</v>
      </c>
      <c r="I1428" s="472" t="s">
        <v>33</v>
      </c>
      <c r="J1428" s="477">
        <v>4940</v>
      </c>
      <c r="K1428" s="472"/>
      <c r="L1428" s="477">
        <v>10</v>
      </c>
      <c r="M1428" s="477">
        <v>10</v>
      </c>
      <c r="N1428" s="478">
        <f>J1428*0.4</f>
        <v>1976</v>
      </c>
      <c r="O1428" s="480">
        <v>0.2</v>
      </c>
      <c r="P1428" s="480"/>
      <c r="Q1428" s="478">
        <v>0</v>
      </c>
      <c r="R1428" s="472" t="s">
        <v>35</v>
      </c>
      <c r="S1428" s="482" t="s">
        <v>41</v>
      </c>
      <c r="T1428" s="482">
        <v>86</v>
      </c>
      <c r="U1428" s="483" t="s">
        <v>164</v>
      </c>
      <c r="V1428" s="484"/>
      <c r="W1428" s="472"/>
      <c r="X1428" s="478">
        <v>0</v>
      </c>
      <c r="Y1428" s="478"/>
      <c r="Z1428" s="472"/>
      <c r="AA1428" s="472"/>
      <c r="AB1428" s="472"/>
      <c r="AC1428" s="472"/>
      <c r="AD1428" s="472"/>
      <c r="AE1428" s="472"/>
      <c r="AF1428" s="472"/>
      <c r="AG1428" s="472"/>
      <c r="AH1428" s="472"/>
      <c r="AI1428" s="473"/>
      <c r="AJ1428" s="485"/>
      <c r="AK1428" s="472">
        <v>0</v>
      </c>
      <c r="AL1428" s="472"/>
      <c r="AM1428" s="472"/>
      <c r="AN1428" s="472"/>
      <c r="AO1428" s="472"/>
      <c r="AP1428" s="472"/>
      <c r="AQ1428" s="472"/>
      <c r="AR1428" s="472"/>
      <c r="AS1428" s="472"/>
      <c r="AT1428" s="472"/>
      <c r="AU1428" s="472"/>
      <c r="AV1428" s="472"/>
      <c r="AW1428" s="472"/>
      <c r="AX1428" s="472"/>
      <c r="AY1428" s="472"/>
      <c r="AZ1428" s="472"/>
      <c r="BA1428" s="472"/>
      <c r="BB1428" s="472"/>
      <c r="BC1428" s="472"/>
      <c r="BD1428" s="472"/>
      <c r="BE1428" s="472"/>
      <c r="BF1428" s="472"/>
      <c r="BG1428" s="472"/>
      <c r="BH1428" s="472"/>
      <c r="BI1428" s="472"/>
      <c r="BJ1428" s="472"/>
      <c r="BK1428" s="472"/>
      <c r="BL1428" s="472"/>
      <c r="BM1428" s="472"/>
      <c r="BN1428" s="472"/>
      <c r="BO1428" s="472"/>
      <c r="BP1428" s="472"/>
      <c r="BQ1428" s="472"/>
      <c r="BR1428" s="472"/>
      <c r="BS1428" s="472"/>
      <c r="BT1428" s="472"/>
      <c r="BU1428" s="472"/>
      <c r="BV1428" s="472"/>
      <c r="BW1428" s="472"/>
      <c r="BX1428" s="472"/>
      <c r="BY1428" s="472"/>
    </row>
    <row r="1429" spans="1:77" s="117" customFormat="1" ht="12" customHeight="1">
      <c r="A1429" s="394"/>
      <c r="B1429" s="380" t="s">
        <v>291</v>
      </c>
      <c r="C1429" s="392">
        <v>44701</v>
      </c>
      <c r="D1429" s="392">
        <v>44701</v>
      </c>
      <c r="E1429" s="393" t="s">
        <v>1235</v>
      </c>
      <c r="F1429" s="394" t="s">
        <v>344</v>
      </c>
      <c r="G1429" s="400">
        <v>3606</v>
      </c>
      <c r="H1429" s="394" t="s">
        <v>295</v>
      </c>
      <c r="I1429" s="394" t="s">
        <v>33</v>
      </c>
      <c r="J1429" s="395">
        <v>7098</v>
      </c>
      <c r="K1429" s="394"/>
      <c r="L1429" s="395">
        <v>13</v>
      </c>
      <c r="M1429" s="395">
        <v>13</v>
      </c>
      <c r="N1429" s="396"/>
      <c r="O1429" s="397">
        <v>0.2</v>
      </c>
      <c r="P1429" s="397"/>
      <c r="Q1429" s="396">
        <v>0</v>
      </c>
      <c r="R1429" s="394" t="s">
        <v>35</v>
      </c>
      <c r="S1429" s="399" t="s">
        <v>41</v>
      </c>
      <c r="T1429" s="399">
        <v>86</v>
      </c>
      <c r="U1429" s="398" t="s">
        <v>164</v>
      </c>
      <c r="V1429" s="449"/>
      <c r="W1429" s="394"/>
      <c r="X1429" s="396">
        <v>0</v>
      </c>
      <c r="Y1429" s="396"/>
      <c r="Z1429" s="394"/>
      <c r="AA1429" s="394"/>
      <c r="AB1429" s="394"/>
      <c r="AC1429" s="394"/>
      <c r="AD1429" s="394"/>
      <c r="AE1429" s="394"/>
      <c r="AF1429" s="394"/>
      <c r="AG1429" s="394"/>
      <c r="AH1429" s="394"/>
      <c r="AI1429" s="379"/>
      <c r="AJ1429" s="390">
        <v>0</v>
      </c>
      <c r="AK1429" s="394"/>
      <c r="AL1429" s="394"/>
      <c r="AM1429" s="394"/>
      <c r="AN1429" s="394"/>
      <c r="AO1429" s="394"/>
      <c r="AP1429" s="394"/>
      <c r="AQ1429" s="394"/>
      <c r="AR1429" s="394"/>
      <c r="AS1429" s="394"/>
      <c r="AT1429" s="394"/>
      <c r="AU1429" s="394"/>
      <c r="AV1429" s="394"/>
      <c r="AW1429" s="394"/>
      <c r="AX1429" s="394"/>
      <c r="AY1429" s="394"/>
      <c r="AZ1429" s="394"/>
      <c r="BA1429" s="394"/>
      <c r="BB1429" s="394"/>
      <c r="BC1429" s="394"/>
      <c r="BD1429" s="394"/>
      <c r="BE1429" s="394"/>
      <c r="BF1429" s="394"/>
      <c r="BG1429" s="394"/>
      <c r="BH1429" s="394"/>
      <c r="BI1429" s="394"/>
      <c r="BJ1429" s="394"/>
      <c r="BK1429" s="394"/>
      <c r="BL1429" s="394"/>
      <c r="BM1429" s="394"/>
      <c r="BN1429" s="394"/>
      <c r="BO1429" s="394"/>
      <c r="BP1429" s="394"/>
      <c r="BQ1429" s="394"/>
      <c r="BR1429" s="394"/>
      <c r="BS1429" s="394"/>
      <c r="BT1429" s="394"/>
      <c r="BU1429" s="394"/>
      <c r="BV1429" s="394"/>
      <c r="BW1429" s="394"/>
      <c r="BX1429" s="394"/>
      <c r="BY1429" s="394"/>
    </row>
    <row r="1430" spans="1:77" s="117" customFormat="1" ht="12" customHeight="1">
      <c r="A1430" s="394"/>
      <c r="B1430" s="380" t="s">
        <v>291</v>
      </c>
      <c r="C1430" s="392"/>
      <c r="D1430" s="392"/>
      <c r="E1430" s="393" t="s">
        <v>1235</v>
      </c>
      <c r="F1430" s="394" t="s">
        <v>344</v>
      </c>
      <c r="G1430" s="400">
        <v>3606</v>
      </c>
      <c r="H1430" s="394" t="s">
        <v>27</v>
      </c>
      <c r="I1430" s="394" t="s">
        <v>33</v>
      </c>
      <c r="J1430" s="395">
        <v>21600</v>
      </c>
      <c r="K1430" s="394"/>
      <c r="L1430" s="395">
        <v>20</v>
      </c>
      <c r="M1430" s="395">
        <v>20</v>
      </c>
      <c r="N1430" s="396"/>
      <c r="O1430" s="397">
        <v>0.2</v>
      </c>
      <c r="P1430" s="397"/>
      <c r="Q1430" s="396">
        <v>0</v>
      </c>
      <c r="R1430" s="394" t="s">
        <v>35</v>
      </c>
      <c r="S1430" s="399" t="s">
        <v>41</v>
      </c>
      <c r="T1430" s="399">
        <v>86</v>
      </c>
      <c r="U1430" s="398" t="s">
        <v>164</v>
      </c>
      <c r="V1430" s="449"/>
      <c r="W1430" s="394"/>
      <c r="X1430" s="396">
        <v>0</v>
      </c>
      <c r="Y1430" s="396"/>
      <c r="Z1430" s="394"/>
      <c r="AA1430" s="394"/>
      <c r="AB1430" s="394"/>
      <c r="AC1430" s="394"/>
      <c r="AD1430" s="394"/>
      <c r="AE1430" s="394"/>
      <c r="AF1430" s="394"/>
      <c r="AG1430" s="394"/>
      <c r="AH1430" s="394"/>
      <c r="AI1430" s="379"/>
      <c r="AJ1430" s="390">
        <v>0</v>
      </c>
      <c r="AK1430" s="394"/>
      <c r="AL1430" s="394"/>
      <c r="AM1430" s="394"/>
      <c r="AN1430" s="394"/>
      <c r="AO1430" s="394"/>
      <c r="AP1430" s="394"/>
      <c r="AQ1430" s="394"/>
      <c r="AR1430" s="394"/>
      <c r="AS1430" s="394"/>
      <c r="AT1430" s="394"/>
      <c r="AU1430" s="394"/>
      <c r="AV1430" s="394"/>
      <c r="AW1430" s="394"/>
      <c r="AX1430" s="394"/>
      <c r="AY1430" s="394"/>
      <c r="AZ1430" s="394"/>
      <c r="BA1430" s="394"/>
      <c r="BB1430" s="394"/>
      <c r="BC1430" s="394"/>
      <c r="BD1430" s="394"/>
      <c r="BE1430" s="394"/>
      <c r="BF1430" s="394"/>
      <c r="BG1430" s="394"/>
      <c r="BH1430" s="394"/>
      <c r="BI1430" s="394"/>
      <c r="BJ1430" s="394"/>
      <c r="BK1430" s="394"/>
      <c r="BL1430" s="394"/>
      <c r="BM1430" s="394"/>
      <c r="BN1430" s="394"/>
      <c r="BO1430" s="394"/>
      <c r="BP1430" s="394"/>
      <c r="BQ1430" s="394"/>
      <c r="BR1430" s="394"/>
      <c r="BS1430" s="394"/>
      <c r="BT1430" s="394"/>
      <c r="BU1430" s="394"/>
      <c r="BV1430" s="394"/>
      <c r="BW1430" s="394"/>
      <c r="BX1430" s="394"/>
      <c r="BY1430" s="394"/>
    </row>
    <row r="1431" spans="1:77" s="117" customFormat="1" ht="12" customHeight="1">
      <c r="A1431" s="394"/>
      <c r="B1431" s="380" t="s">
        <v>291</v>
      </c>
      <c r="C1431" s="392"/>
      <c r="D1431" s="392"/>
      <c r="E1431" s="393" t="s">
        <v>1235</v>
      </c>
      <c r="F1431" s="394" t="s">
        <v>344</v>
      </c>
      <c r="G1431" s="400">
        <v>3606</v>
      </c>
      <c r="H1431" s="394" t="s">
        <v>910</v>
      </c>
      <c r="I1431" s="394" t="s">
        <v>33</v>
      </c>
      <c r="J1431" s="395">
        <v>41944</v>
      </c>
      <c r="K1431" s="394"/>
      <c r="L1431" s="395">
        <v>28</v>
      </c>
      <c r="M1431" s="395">
        <v>28</v>
      </c>
      <c r="N1431" s="396"/>
      <c r="O1431" s="397">
        <v>0.2</v>
      </c>
      <c r="P1431" s="397"/>
      <c r="Q1431" s="396">
        <v>0</v>
      </c>
      <c r="R1431" s="394" t="s">
        <v>35</v>
      </c>
      <c r="S1431" s="399" t="s">
        <v>41</v>
      </c>
      <c r="T1431" s="399">
        <v>86</v>
      </c>
      <c r="U1431" s="398" t="s">
        <v>164</v>
      </c>
      <c r="V1431" s="449"/>
      <c r="W1431" s="394"/>
      <c r="X1431" s="396">
        <v>0</v>
      </c>
      <c r="Y1431" s="396"/>
      <c r="Z1431" s="394"/>
      <c r="AA1431" s="394"/>
      <c r="AB1431" s="394"/>
      <c r="AC1431" s="394"/>
      <c r="AD1431" s="394"/>
      <c r="AE1431" s="394"/>
      <c r="AF1431" s="394"/>
      <c r="AG1431" s="394"/>
      <c r="AH1431" s="394"/>
      <c r="AI1431" s="379"/>
      <c r="AJ1431" s="390">
        <v>0</v>
      </c>
      <c r="AK1431" s="394"/>
      <c r="AL1431" s="394"/>
      <c r="AM1431" s="394"/>
      <c r="AN1431" s="394"/>
      <c r="AO1431" s="394"/>
      <c r="AP1431" s="394"/>
      <c r="AQ1431" s="394"/>
      <c r="AR1431" s="394"/>
      <c r="AS1431" s="394"/>
      <c r="AT1431" s="394"/>
      <c r="AU1431" s="394"/>
      <c r="AV1431" s="394"/>
      <c r="AW1431" s="394"/>
      <c r="AX1431" s="394"/>
      <c r="AY1431" s="394"/>
      <c r="AZ1431" s="394"/>
      <c r="BA1431" s="394"/>
      <c r="BB1431" s="394"/>
      <c r="BC1431" s="394"/>
      <c r="BD1431" s="394"/>
      <c r="BE1431" s="394"/>
      <c r="BF1431" s="394"/>
      <c r="BG1431" s="394"/>
      <c r="BH1431" s="394"/>
      <c r="BI1431" s="394"/>
      <c r="BJ1431" s="394"/>
      <c r="BK1431" s="394"/>
      <c r="BL1431" s="394"/>
      <c r="BM1431" s="394"/>
      <c r="BN1431" s="394"/>
      <c r="BO1431" s="394"/>
      <c r="BP1431" s="394"/>
      <c r="BQ1431" s="394"/>
      <c r="BR1431" s="394"/>
      <c r="BS1431" s="394"/>
      <c r="BT1431" s="394"/>
      <c r="BU1431" s="394"/>
      <c r="BV1431" s="394"/>
      <c r="BW1431" s="394"/>
      <c r="BX1431" s="394"/>
      <c r="BY1431" s="394"/>
    </row>
    <row r="1432" spans="1:77" s="394" customFormat="1" ht="12" customHeight="1">
      <c r="B1432" s="380" t="s">
        <v>291</v>
      </c>
      <c r="C1432" s="392"/>
      <c r="D1432" s="392"/>
      <c r="E1432" s="393" t="s">
        <v>1235</v>
      </c>
      <c r="F1432" s="394" t="s">
        <v>344</v>
      </c>
      <c r="G1432" s="400">
        <v>3606</v>
      </c>
      <c r="H1432" s="394" t="s">
        <v>866</v>
      </c>
      <c r="I1432" s="394" t="s">
        <v>33</v>
      </c>
      <c r="J1432" s="395">
        <v>24260.6</v>
      </c>
      <c r="L1432" s="395">
        <v>28</v>
      </c>
      <c r="M1432" s="395">
        <v>28</v>
      </c>
      <c r="N1432" s="396"/>
      <c r="O1432" s="397">
        <v>0.2</v>
      </c>
      <c r="P1432" s="397"/>
      <c r="Q1432" s="396">
        <v>0</v>
      </c>
      <c r="R1432" s="394" t="s">
        <v>35</v>
      </c>
      <c r="S1432" s="399" t="s">
        <v>41</v>
      </c>
      <c r="T1432" s="399">
        <v>86</v>
      </c>
      <c r="U1432" s="398" t="s">
        <v>164</v>
      </c>
      <c r="V1432" s="449"/>
      <c r="X1432" s="396">
        <v>0</v>
      </c>
      <c r="Y1432" s="396"/>
      <c r="AI1432" s="379"/>
      <c r="AJ1432" s="390">
        <v>0</v>
      </c>
    </row>
    <row r="1433" spans="1:77" s="472" customFormat="1" ht="12" customHeight="1">
      <c r="A1433" s="394"/>
      <c r="B1433" s="380" t="s">
        <v>291</v>
      </c>
      <c r="C1433" s="392"/>
      <c r="D1433" s="392"/>
      <c r="E1433" s="393" t="s">
        <v>1235</v>
      </c>
      <c r="F1433" s="394" t="s">
        <v>344</v>
      </c>
      <c r="G1433" s="400">
        <v>3606</v>
      </c>
      <c r="H1433" s="394" t="s">
        <v>765</v>
      </c>
      <c r="I1433" s="394" t="s">
        <v>33</v>
      </c>
      <c r="J1433" s="395">
        <v>36900</v>
      </c>
      <c r="K1433" s="394"/>
      <c r="L1433" s="395">
        <v>41</v>
      </c>
      <c r="M1433" s="395">
        <v>41</v>
      </c>
      <c r="N1433" s="396"/>
      <c r="O1433" s="397">
        <v>0.2</v>
      </c>
      <c r="P1433" s="397"/>
      <c r="Q1433" s="396">
        <v>0</v>
      </c>
      <c r="R1433" s="394" t="s">
        <v>35</v>
      </c>
      <c r="S1433" s="399" t="s">
        <v>41</v>
      </c>
      <c r="T1433" s="399">
        <v>86</v>
      </c>
      <c r="U1433" s="398" t="s">
        <v>164</v>
      </c>
      <c r="V1433" s="449"/>
      <c r="W1433" s="394"/>
      <c r="X1433" s="396">
        <v>0</v>
      </c>
      <c r="Y1433" s="396"/>
      <c r="Z1433" s="394"/>
      <c r="AA1433" s="394"/>
      <c r="AB1433" s="394"/>
      <c r="AC1433" s="394"/>
      <c r="AD1433" s="394"/>
      <c r="AE1433" s="394"/>
      <c r="AF1433" s="394"/>
      <c r="AG1433" s="394"/>
      <c r="AH1433" s="394"/>
      <c r="AI1433" s="379"/>
      <c r="AJ1433" s="390">
        <v>0</v>
      </c>
      <c r="AK1433" s="394"/>
      <c r="AL1433" s="394"/>
      <c r="AM1433" s="394"/>
      <c r="AN1433" s="394"/>
      <c r="AO1433" s="394"/>
      <c r="AP1433" s="394"/>
      <c r="AQ1433" s="394"/>
      <c r="AR1433" s="394"/>
      <c r="AS1433" s="394"/>
      <c r="AT1433" s="394"/>
      <c r="AU1433" s="394"/>
      <c r="AV1433" s="394"/>
      <c r="AW1433" s="394"/>
      <c r="AX1433" s="394"/>
      <c r="AY1433" s="394"/>
      <c r="AZ1433" s="394"/>
      <c r="BA1433" s="394"/>
      <c r="BB1433" s="394"/>
      <c r="BC1433" s="394"/>
      <c r="BD1433" s="394"/>
      <c r="BE1433" s="394"/>
      <c r="BF1433" s="394"/>
      <c r="BG1433" s="394"/>
      <c r="BH1433" s="394"/>
      <c r="BI1433" s="394"/>
      <c r="BJ1433" s="394"/>
      <c r="BK1433" s="394"/>
      <c r="BL1433" s="394"/>
      <c r="BM1433" s="394"/>
      <c r="BN1433" s="394"/>
      <c r="BO1433" s="394"/>
      <c r="BP1433" s="394"/>
      <c r="BQ1433" s="394"/>
      <c r="BR1433" s="394"/>
      <c r="BS1433" s="394"/>
      <c r="BT1433" s="394"/>
      <c r="BU1433" s="394"/>
      <c r="BV1433" s="394"/>
      <c r="BW1433" s="394"/>
      <c r="BX1433" s="394"/>
      <c r="BY1433" s="394"/>
    </row>
    <row r="1434" spans="1:77" s="472" customFormat="1" ht="12" customHeight="1">
      <c r="A1434" s="394"/>
      <c r="B1434" s="380" t="s">
        <v>291</v>
      </c>
      <c r="C1434" s="392"/>
      <c r="D1434" s="392"/>
      <c r="E1434" s="393" t="s">
        <v>1235</v>
      </c>
      <c r="F1434" s="394" t="s">
        <v>344</v>
      </c>
      <c r="G1434" s="400">
        <v>3606</v>
      </c>
      <c r="H1434" s="394" t="s">
        <v>99</v>
      </c>
      <c r="I1434" s="394" t="s">
        <v>33</v>
      </c>
      <c r="J1434" s="395">
        <v>85050</v>
      </c>
      <c r="K1434" s="394"/>
      <c r="L1434" s="395">
        <v>90</v>
      </c>
      <c r="M1434" s="395">
        <v>90</v>
      </c>
      <c r="N1434" s="396"/>
      <c r="O1434" s="397">
        <v>0.2</v>
      </c>
      <c r="P1434" s="397"/>
      <c r="Q1434" s="396">
        <v>1833.57</v>
      </c>
      <c r="R1434" s="394" t="s">
        <v>35</v>
      </c>
      <c r="S1434" s="399" t="s">
        <v>41</v>
      </c>
      <c r="T1434" s="399">
        <v>86</v>
      </c>
      <c r="U1434" s="398" t="s">
        <v>164</v>
      </c>
      <c r="V1434" s="449"/>
      <c r="W1434" s="394"/>
      <c r="X1434" s="396">
        <v>1833.57</v>
      </c>
      <c r="Y1434" s="396"/>
      <c r="Z1434" s="394"/>
      <c r="AA1434" s="394"/>
      <c r="AB1434" s="394"/>
      <c r="AC1434" s="394"/>
      <c r="AD1434" s="394"/>
      <c r="AE1434" s="394"/>
      <c r="AF1434" s="394"/>
      <c r="AG1434" s="394"/>
      <c r="AH1434" s="394"/>
      <c r="AI1434" s="379"/>
      <c r="AJ1434" s="395">
        <v>1833.57</v>
      </c>
      <c r="AK1434" s="394"/>
      <c r="AL1434" s="394"/>
      <c r="AM1434" s="394"/>
      <c r="AN1434" s="394"/>
      <c r="AO1434" s="394"/>
      <c r="AP1434" s="394"/>
      <c r="AQ1434" s="394"/>
      <c r="AR1434" s="394"/>
      <c r="AS1434" s="394"/>
      <c r="AT1434" s="394"/>
      <c r="AU1434" s="394"/>
      <c r="AV1434" s="394"/>
      <c r="AW1434" s="394"/>
      <c r="AX1434" s="394"/>
      <c r="AY1434" s="394"/>
      <c r="AZ1434" s="394"/>
      <c r="BA1434" s="394"/>
      <c r="BB1434" s="394"/>
      <c r="BC1434" s="394"/>
      <c r="BD1434" s="394"/>
      <c r="BE1434" s="394"/>
      <c r="BF1434" s="394"/>
      <c r="BG1434" s="394"/>
      <c r="BH1434" s="394"/>
      <c r="BI1434" s="394"/>
      <c r="BJ1434" s="394"/>
      <c r="BK1434" s="394"/>
      <c r="BL1434" s="394"/>
      <c r="BM1434" s="394"/>
      <c r="BN1434" s="394"/>
      <c r="BO1434" s="394"/>
      <c r="BP1434" s="394"/>
      <c r="BQ1434" s="394"/>
      <c r="BR1434" s="394"/>
      <c r="BS1434" s="394"/>
      <c r="BT1434" s="394"/>
      <c r="BU1434" s="394"/>
      <c r="BV1434" s="394"/>
      <c r="BW1434" s="394"/>
      <c r="BX1434" s="394"/>
      <c r="BY1434" s="394"/>
    </row>
    <row r="1435" spans="1:77" s="303" customFormat="1" ht="12" customHeight="1">
      <c r="B1435" s="310" t="s">
        <v>291</v>
      </c>
      <c r="C1435" s="301">
        <v>44701</v>
      </c>
      <c r="D1435" s="301">
        <v>44701</v>
      </c>
      <c r="E1435" s="302" t="s">
        <v>1236</v>
      </c>
      <c r="F1435" s="291" t="s">
        <v>1041</v>
      </c>
      <c r="G1435" s="294">
        <v>4627</v>
      </c>
      <c r="H1435" s="303" t="s">
        <v>310</v>
      </c>
      <c r="I1435" s="303" t="s">
        <v>33</v>
      </c>
      <c r="J1435" s="305">
        <v>9386.14</v>
      </c>
      <c r="L1435" s="305">
        <v>9.73</v>
      </c>
      <c r="M1435" s="305">
        <v>9.73</v>
      </c>
      <c r="N1435" s="306"/>
      <c r="O1435" s="307">
        <v>0.2</v>
      </c>
      <c r="P1435" s="307"/>
      <c r="Q1435" s="306">
        <v>0</v>
      </c>
      <c r="R1435" s="291" t="s">
        <v>128</v>
      </c>
      <c r="S1435" s="299" t="s">
        <v>41</v>
      </c>
      <c r="T1435" s="299">
        <v>86</v>
      </c>
      <c r="U1435" s="309" t="s">
        <v>164</v>
      </c>
      <c r="V1435" s="447"/>
      <c r="W1435" s="303" t="s">
        <v>3895</v>
      </c>
      <c r="X1435" s="306">
        <v>0</v>
      </c>
      <c r="Y1435" s="306"/>
      <c r="AH1435" s="303">
        <f>X1435</f>
        <v>0</v>
      </c>
      <c r="AI1435" s="311"/>
      <c r="AJ1435" s="468"/>
    </row>
    <row r="1436" spans="1:77" s="394" customFormat="1" ht="12" customHeight="1">
      <c r="B1436" s="379" t="s">
        <v>291</v>
      </c>
      <c r="C1436" s="392">
        <v>44700</v>
      </c>
      <c r="D1436" s="392">
        <v>44701</v>
      </c>
      <c r="E1436" s="393" t="s">
        <v>1237</v>
      </c>
      <c r="F1436" s="379" t="s">
        <v>1060</v>
      </c>
      <c r="G1436" s="383">
        <v>4462</v>
      </c>
      <c r="H1436" s="379" t="s">
        <v>183</v>
      </c>
      <c r="I1436" s="379" t="s">
        <v>958</v>
      </c>
      <c r="J1436" s="395">
        <v>10266.89</v>
      </c>
      <c r="L1436" s="395">
        <v>10.71</v>
      </c>
      <c r="M1436" s="395">
        <v>10.71</v>
      </c>
      <c r="N1436" s="396"/>
      <c r="O1436" s="397">
        <v>0.15</v>
      </c>
      <c r="P1436" s="397"/>
      <c r="Q1436" s="396">
        <v>0</v>
      </c>
      <c r="R1436" s="379" t="s">
        <v>128</v>
      </c>
      <c r="S1436" s="388" t="s">
        <v>34</v>
      </c>
      <c r="T1436" s="388">
        <v>79</v>
      </c>
      <c r="U1436" s="398" t="s">
        <v>164</v>
      </c>
      <c r="V1436" s="449"/>
      <c r="X1436" s="396">
        <v>0</v>
      </c>
      <c r="Y1436" s="396"/>
      <c r="AI1436" s="379"/>
      <c r="AJ1436" s="390">
        <v>0</v>
      </c>
    </row>
    <row r="1437" spans="1:77" s="117" customFormat="1" ht="12" customHeight="1">
      <c r="A1437" s="394"/>
      <c r="B1437" s="379" t="s">
        <v>291</v>
      </c>
      <c r="C1437" s="392"/>
      <c r="D1437" s="392"/>
      <c r="E1437" s="393" t="s">
        <v>1237</v>
      </c>
      <c r="F1437" s="379" t="s">
        <v>1060</v>
      </c>
      <c r="G1437" s="383">
        <v>4462</v>
      </c>
      <c r="H1437" s="379" t="s">
        <v>310</v>
      </c>
      <c r="I1437" s="379" t="s">
        <v>958</v>
      </c>
      <c r="J1437" s="395">
        <v>7737.13</v>
      </c>
      <c r="K1437" s="394"/>
      <c r="L1437" s="395">
        <v>9.52</v>
      </c>
      <c r="M1437" s="395">
        <v>9.52</v>
      </c>
      <c r="N1437" s="396"/>
      <c r="O1437" s="397">
        <v>0.15</v>
      </c>
      <c r="P1437" s="397"/>
      <c r="Q1437" s="396">
        <v>0</v>
      </c>
      <c r="R1437" s="379" t="s">
        <v>128</v>
      </c>
      <c r="S1437" s="388" t="s">
        <v>34</v>
      </c>
      <c r="T1437" s="388">
        <v>79</v>
      </c>
      <c r="U1437" s="398" t="s">
        <v>164</v>
      </c>
      <c r="V1437" s="449"/>
      <c r="W1437" s="394"/>
      <c r="X1437" s="396">
        <v>0</v>
      </c>
      <c r="Y1437" s="396"/>
      <c r="Z1437" s="394"/>
      <c r="AA1437" s="394"/>
      <c r="AB1437" s="394"/>
      <c r="AC1437" s="394"/>
      <c r="AD1437" s="394"/>
      <c r="AE1437" s="394"/>
      <c r="AF1437" s="394"/>
      <c r="AG1437" s="394"/>
      <c r="AH1437" s="394"/>
      <c r="AI1437" s="379"/>
      <c r="AJ1437" s="390">
        <v>0</v>
      </c>
      <c r="AK1437" s="394"/>
      <c r="AL1437" s="394"/>
      <c r="AM1437" s="394"/>
      <c r="AN1437" s="394"/>
      <c r="AO1437" s="394"/>
      <c r="AP1437" s="394"/>
      <c r="AQ1437" s="394"/>
      <c r="AR1437" s="394"/>
      <c r="AS1437" s="394"/>
      <c r="AT1437" s="394"/>
      <c r="AU1437" s="394"/>
      <c r="AV1437" s="394"/>
      <c r="AW1437" s="394"/>
      <c r="AX1437" s="394"/>
      <c r="AY1437" s="394"/>
      <c r="AZ1437" s="394"/>
      <c r="BA1437" s="394"/>
      <c r="BB1437" s="394"/>
      <c r="BC1437" s="394"/>
      <c r="BD1437" s="394"/>
      <c r="BE1437" s="394"/>
      <c r="BF1437" s="394"/>
      <c r="BG1437" s="394"/>
      <c r="BH1437" s="394"/>
      <c r="BI1437" s="394"/>
      <c r="BJ1437" s="394"/>
      <c r="BK1437" s="394"/>
      <c r="BL1437" s="394"/>
      <c r="BM1437" s="394"/>
      <c r="BN1437" s="394"/>
      <c r="BO1437" s="394"/>
      <c r="BP1437" s="394"/>
      <c r="BQ1437" s="394"/>
      <c r="BR1437" s="394"/>
      <c r="BS1437" s="394"/>
      <c r="BT1437" s="394"/>
      <c r="BU1437" s="394"/>
      <c r="BV1437" s="394"/>
      <c r="BW1437" s="394"/>
      <c r="BX1437" s="394"/>
      <c r="BY1437" s="394"/>
    </row>
    <row r="1438" spans="1:77" s="117" customFormat="1" ht="12" customHeight="1">
      <c r="A1438" s="394"/>
      <c r="B1438" s="379" t="s">
        <v>291</v>
      </c>
      <c r="C1438" s="392"/>
      <c r="D1438" s="392"/>
      <c r="E1438" s="393" t="s">
        <v>1237</v>
      </c>
      <c r="F1438" s="379" t="s">
        <v>1060</v>
      </c>
      <c r="G1438" s="383">
        <v>4462</v>
      </c>
      <c r="H1438" s="379" t="s">
        <v>765</v>
      </c>
      <c r="I1438" s="379" t="s">
        <v>958</v>
      </c>
      <c r="J1438" s="395">
        <v>20014.560000000001</v>
      </c>
      <c r="K1438" s="394"/>
      <c r="L1438" s="395">
        <v>19.87</v>
      </c>
      <c r="M1438" s="395">
        <v>19.87</v>
      </c>
      <c r="N1438" s="396"/>
      <c r="O1438" s="397">
        <v>0.15</v>
      </c>
      <c r="P1438" s="397"/>
      <c r="Q1438" s="396">
        <v>0</v>
      </c>
      <c r="R1438" s="379" t="s">
        <v>128</v>
      </c>
      <c r="S1438" s="388" t="s">
        <v>34</v>
      </c>
      <c r="T1438" s="388">
        <v>79</v>
      </c>
      <c r="U1438" s="398" t="s">
        <v>164</v>
      </c>
      <c r="V1438" s="449"/>
      <c r="W1438" s="394"/>
      <c r="X1438" s="396">
        <v>0</v>
      </c>
      <c r="Y1438" s="396"/>
      <c r="Z1438" s="394"/>
      <c r="AA1438" s="394"/>
      <c r="AB1438" s="394"/>
      <c r="AC1438" s="394"/>
      <c r="AD1438" s="394"/>
      <c r="AE1438" s="394"/>
      <c r="AF1438" s="394"/>
      <c r="AG1438" s="394"/>
      <c r="AH1438" s="394"/>
      <c r="AI1438" s="379"/>
      <c r="AJ1438" s="390">
        <v>0</v>
      </c>
      <c r="AK1438" s="394"/>
      <c r="AL1438" s="394"/>
      <c r="AM1438" s="394"/>
      <c r="AN1438" s="394"/>
      <c r="AO1438" s="394"/>
      <c r="AP1438" s="394"/>
      <c r="AQ1438" s="394"/>
      <c r="AR1438" s="394"/>
      <c r="AS1438" s="394"/>
      <c r="AT1438" s="394"/>
      <c r="AU1438" s="394"/>
      <c r="AV1438" s="394"/>
      <c r="AW1438" s="394"/>
      <c r="AX1438" s="394"/>
      <c r="AY1438" s="394"/>
      <c r="AZ1438" s="394"/>
      <c r="BA1438" s="394"/>
      <c r="BB1438" s="394"/>
      <c r="BC1438" s="394"/>
      <c r="BD1438" s="394"/>
      <c r="BE1438" s="394"/>
      <c r="BF1438" s="394"/>
      <c r="BG1438" s="394"/>
      <c r="BH1438" s="394"/>
      <c r="BI1438" s="394"/>
      <c r="BJ1438" s="394"/>
      <c r="BK1438" s="394"/>
      <c r="BL1438" s="394"/>
      <c r="BM1438" s="394"/>
      <c r="BN1438" s="394"/>
      <c r="BO1438" s="394"/>
      <c r="BP1438" s="394"/>
      <c r="BQ1438" s="394"/>
      <c r="BR1438" s="394"/>
      <c r="BS1438" s="394"/>
      <c r="BT1438" s="394"/>
      <c r="BU1438" s="394"/>
      <c r="BV1438" s="394"/>
      <c r="BW1438" s="394"/>
      <c r="BX1438" s="394"/>
      <c r="BY1438" s="394"/>
    </row>
    <row r="1439" spans="1:77" s="218" customFormat="1" ht="12" customHeight="1">
      <c r="A1439" s="472"/>
      <c r="B1439" s="473" t="s">
        <v>291</v>
      </c>
      <c r="C1439" s="474"/>
      <c r="D1439" s="474"/>
      <c r="E1439" s="475" t="s">
        <v>1238</v>
      </c>
      <c r="F1439" s="472" t="s">
        <v>1239</v>
      </c>
      <c r="G1439" s="476">
        <v>3941</v>
      </c>
      <c r="H1439" s="472" t="s">
        <v>183</v>
      </c>
      <c r="I1439" s="472" t="s">
        <v>156</v>
      </c>
      <c r="J1439" s="477">
        <v>1019.54</v>
      </c>
      <c r="K1439" s="472"/>
      <c r="L1439" s="477">
        <v>1.5</v>
      </c>
      <c r="M1439" s="477">
        <v>1.5</v>
      </c>
      <c r="N1439" s="478">
        <v>407.81</v>
      </c>
      <c r="O1439" s="480">
        <v>0.25</v>
      </c>
      <c r="P1439" s="480">
        <v>0.1</v>
      </c>
      <c r="Q1439" s="478">
        <v>286.32</v>
      </c>
      <c r="R1439" s="472" t="s">
        <v>112</v>
      </c>
      <c r="S1439" s="482" t="s">
        <v>113</v>
      </c>
      <c r="T1439" s="482">
        <v>64</v>
      </c>
      <c r="U1439" s="483" t="s">
        <v>164</v>
      </c>
      <c r="V1439" s="484"/>
      <c r="W1439" s="472"/>
      <c r="X1439" s="478">
        <v>286.32</v>
      </c>
      <c r="Y1439" s="478"/>
      <c r="Z1439" s="472"/>
      <c r="AA1439" s="472"/>
      <c r="AB1439" s="472"/>
      <c r="AC1439" s="472"/>
      <c r="AD1439" s="472"/>
      <c r="AE1439" s="472"/>
      <c r="AF1439" s="472"/>
      <c r="AG1439" s="472"/>
      <c r="AH1439" s="472"/>
      <c r="AI1439" s="473"/>
      <c r="AJ1439" s="485"/>
      <c r="AK1439" s="506">
        <v>286.32</v>
      </c>
      <c r="AL1439" s="472"/>
      <c r="AM1439" s="472"/>
      <c r="AN1439" s="472"/>
      <c r="AO1439" s="472"/>
      <c r="AP1439" s="472"/>
      <c r="AQ1439" s="472"/>
      <c r="AR1439" s="472"/>
      <c r="AS1439" s="472"/>
      <c r="AT1439" s="472"/>
      <c r="AU1439" s="472"/>
      <c r="AV1439" s="472"/>
      <c r="AW1439" s="472"/>
      <c r="AX1439" s="472"/>
      <c r="AY1439" s="472"/>
      <c r="AZ1439" s="472"/>
      <c r="BA1439" s="472"/>
      <c r="BB1439" s="472"/>
      <c r="BC1439" s="472"/>
      <c r="BD1439" s="472"/>
      <c r="BE1439" s="472"/>
      <c r="BF1439" s="472"/>
      <c r="BG1439" s="472"/>
      <c r="BH1439" s="472"/>
      <c r="BI1439" s="472"/>
      <c r="BJ1439" s="472"/>
      <c r="BK1439" s="472"/>
      <c r="BL1439" s="472"/>
      <c r="BM1439" s="472"/>
      <c r="BN1439" s="472"/>
      <c r="BO1439" s="472"/>
      <c r="BP1439" s="472"/>
      <c r="BQ1439" s="472"/>
      <c r="BR1439" s="472"/>
      <c r="BS1439" s="472"/>
      <c r="BT1439" s="472"/>
      <c r="BU1439" s="472"/>
      <c r="BV1439" s="472"/>
      <c r="BW1439" s="472"/>
      <c r="BX1439" s="472"/>
      <c r="BY1439" s="472"/>
    </row>
    <row r="1440" spans="1:77" s="660" customFormat="1" ht="12" customHeight="1">
      <c r="B1440" s="647" t="s">
        <v>291</v>
      </c>
      <c r="C1440" s="665"/>
      <c r="D1440" s="665"/>
      <c r="E1440" s="666" t="s">
        <v>1238</v>
      </c>
      <c r="F1440" s="660" t="s">
        <v>1239</v>
      </c>
      <c r="G1440" s="667">
        <v>3941</v>
      </c>
      <c r="H1440" s="660" t="s">
        <v>866</v>
      </c>
      <c r="I1440" s="660" t="s">
        <v>156</v>
      </c>
      <c r="J1440" s="668">
        <v>34615</v>
      </c>
      <c r="L1440" s="668">
        <v>21.5</v>
      </c>
      <c r="M1440" s="668">
        <v>5.5</v>
      </c>
      <c r="N1440" s="669">
        <v>1593.9</v>
      </c>
      <c r="O1440" s="670">
        <v>0.25</v>
      </c>
      <c r="P1440" s="670">
        <v>0.1</v>
      </c>
      <c r="Q1440" s="669">
        <v>0</v>
      </c>
      <c r="R1440" s="660" t="s">
        <v>112</v>
      </c>
      <c r="S1440" s="671" t="s">
        <v>113</v>
      </c>
      <c r="T1440" s="671">
        <v>64</v>
      </c>
      <c r="U1440" s="672" t="s">
        <v>164</v>
      </c>
      <c r="V1440" s="673"/>
      <c r="X1440" s="669">
        <v>0</v>
      </c>
      <c r="Y1440" s="669"/>
      <c r="AI1440" s="647">
        <v>0</v>
      </c>
      <c r="AJ1440" s="657"/>
      <c r="AK1440" s="658"/>
      <c r="AL1440" s="647"/>
      <c r="AM1440" s="647"/>
      <c r="AN1440" s="647"/>
      <c r="AO1440" s="647"/>
      <c r="AP1440" s="647"/>
      <c r="AQ1440" s="647"/>
      <c r="AR1440" s="647"/>
      <c r="AS1440" s="647"/>
      <c r="AT1440" s="647"/>
      <c r="AU1440" s="647"/>
      <c r="AV1440" s="647"/>
      <c r="AW1440" s="647"/>
      <c r="AX1440" s="647"/>
      <c r="AY1440" s="647"/>
      <c r="AZ1440" s="647"/>
      <c r="BA1440" s="647"/>
      <c r="BB1440" s="647"/>
      <c r="BC1440" s="647"/>
      <c r="BD1440" s="647"/>
      <c r="BE1440" s="647"/>
      <c r="BF1440" s="647"/>
      <c r="BG1440" s="647"/>
      <c r="BH1440" s="647"/>
      <c r="BI1440" s="647"/>
      <c r="BJ1440" s="647"/>
      <c r="BK1440" s="647"/>
      <c r="BL1440" s="647"/>
      <c r="BM1440" s="647"/>
      <c r="BN1440" s="647"/>
      <c r="BO1440" s="647"/>
      <c r="BP1440" s="647"/>
      <c r="BQ1440" s="647"/>
      <c r="BR1440" s="647"/>
      <c r="BS1440" s="647"/>
      <c r="BT1440" s="647"/>
      <c r="BU1440" s="647"/>
      <c r="BV1440" s="647"/>
      <c r="BW1440" s="647"/>
      <c r="BX1440" s="647"/>
      <c r="BY1440" s="647"/>
    </row>
    <row r="1441" spans="1:77" s="218" customFormat="1" ht="12" customHeight="1">
      <c r="B1441" s="205" t="s">
        <v>291</v>
      </c>
      <c r="C1441" s="225">
        <v>44699</v>
      </c>
      <c r="D1441" s="225">
        <v>44701</v>
      </c>
      <c r="E1441" s="226" t="s">
        <v>1238</v>
      </c>
      <c r="F1441" s="218" t="s">
        <v>1239</v>
      </c>
      <c r="G1441" s="220">
        <v>3941</v>
      </c>
      <c r="H1441" s="218" t="s">
        <v>99</v>
      </c>
      <c r="I1441" s="218" t="s">
        <v>156</v>
      </c>
      <c r="J1441" s="222">
        <v>2892.56</v>
      </c>
      <c r="L1441" s="222">
        <v>4</v>
      </c>
      <c r="M1441" s="222">
        <v>3.1</v>
      </c>
      <c r="N1441" s="223">
        <v>867.77</v>
      </c>
      <c r="O1441" s="224">
        <v>0.25</v>
      </c>
      <c r="P1441" s="224">
        <v>0.1</v>
      </c>
      <c r="Q1441" s="223">
        <v>0</v>
      </c>
      <c r="R1441" s="218" t="s">
        <v>112</v>
      </c>
      <c r="S1441" s="221" t="s">
        <v>113</v>
      </c>
      <c r="T1441" s="221">
        <v>64</v>
      </c>
      <c r="U1441" s="227" t="s">
        <v>164</v>
      </c>
      <c r="V1441" s="227"/>
      <c r="W1441" s="228"/>
      <c r="X1441" s="223">
        <v>0</v>
      </c>
      <c r="Y1441" s="223"/>
      <c r="AF1441" s="230">
        <f>X1441</f>
        <v>0</v>
      </c>
      <c r="AI1441" s="205"/>
      <c r="AJ1441" s="216"/>
    </row>
    <row r="1442" spans="1:77" s="164" customFormat="1" ht="12" customHeight="1">
      <c r="B1442" s="153" t="s">
        <v>291</v>
      </c>
      <c r="C1442" s="166">
        <v>44701</v>
      </c>
      <c r="D1442" s="166">
        <v>44701</v>
      </c>
      <c r="E1442" s="167" t="s">
        <v>1242</v>
      </c>
      <c r="F1442" s="164" t="s">
        <v>1240</v>
      </c>
      <c r="G1442" s="168">
        <v>1003</v>
      </c>
      <c r="H1442" s="164" t="s">
        <v>866</v>
      </c>
      <c r="I1442" s="164" t="s">
        <v>732</v>
      </c>
      <c r="J1442" s="169">
        <v>61267.5</v>
      </c>
      <c r="L1442" s="169">
        <v>35</v>
      </c>
      <c r="M1442" s="169">
        <v>14</v>
      </c>
      <c r="N1442" s="170"/>
      <c r="O1442" s="171">
        <v>0.15</v>
      </c>
      <c r="P1442" s="171"/>
      <c r="Q1442" s="170">
        <v>0</v>
      </c>
      <c r="R1442" s="164" t="s">
        <v>149</v>
      </c>
      <c r="S1442" s="172" t="s">
        <v>113</v>
      </c>
      <c r="T1442" s="172">
        <v>64</v>
      </c>
      <c r="U1442" s="173" t="s">
        <v>164</v>
      </c>
      <c r="V1442" s="452"/>
      <c r="X1442" s="170">
        <v>0</v>
      </c>
      <c r="Y1442" s="170"/>
      <c r="AD1442" s="177">
        <f>X1442</f>
        <v>0</v>
      </c>
      <c r="AI1442" s="153"/>
      <c r="AJ1442" s="644"/>
    </row>
    <row r="1443" spans="1:77" s="660" customFormat="1" ht="12" customHeight="1">
      <c r="B1443" s="664" t="s">
        <v>291</v>
      </c>
      <c r="C1443" s="665">
        <v>44698</v>
      </c>
      <c r="D1443" s="665">
        <v>44701</v>
      </c>
      <c r="E1443" s="666" t="s">
        <v>1241</v>
      </c>
      <c r="F1443" s="647" t="s">
        <v>1185</v>
      </c>
      <c r="G1443" s="650" t="s">
        <v>1186</v>
      </c>
      <c r="H1443" s="647" t="s">
        <v>866</v>
      </c>
      <c r="I1443" s="660" t="s">
        <v>1168</v>
      </c>
      <c r="J1443" s="651">
        <v>30810</v>
      </c>
      <c r="K1443" s="647"/>
      <c r="L1443" s="651">
        <v>15</v>
      </c>
      <c r="M1443" s="651">
        <v>7</v>
      </c>
      <c r="N1443" s="669">
        <f>1848.6+410.8</f>
        <v>2259.4</v>
      </c>
      <c r="O1443" s="653">
        <v>0.25</v>
      </c>
      <c r="P1443" s="653">
        <v>0.1</v>
      </c>
      <c r="Q1443" s="674">
        <v>0</v>
      </c>
      <c r="R1443" s="647" t="s">
        <v>112</v>
      </c>
      <c r="S1443" s="671" t="s">
        <v>113</v>
      </c>
      <c r="T1443" s="671">
        <v>64</v>
      </c>
      <c r="U1443" s="672" t="s">
        <v>164</v>
      </c>
      <c r="V1443" s="672"/>
      <c r="X1443" s="669">
        <v>0</v>
      </c>
      <c r="Y1443" s="669"/>
      <c r="AI1443" s="647">
        <v>0</v>
      </c>
      <c r="AJ1443" s="657"/>
      <c r="AK1443" s="658"/>
    </row>
    <row r="1444" spans="1:77" s="205" customFormat="1" ht="11.25" customHeight="1">
      <c r="A1444" s="379"/>
      <c r="B1444" s="379" t="s">
        <v>291</v>
      </c>
      <c r="C1444" s="381"/>
      <c r="D1444" s="381"/>
      <c r="E1444" s="382" t="s">
        <v>1246</v>
      </c>
      <c r="F1444" s="379" t="s">
        <v>189</v>
      </c>
      <c r="G1444" s="383">
        <v>3814</v>
      </c>
      <c r="H1444" s="379" t="s">
        <v>765</v>
      </c>
      <c r="I1444" s="379" t="s">
        <v>888</v>
      </c>
      <c r="J1444" s="385">
        <v>41083.56</v>
      </c>
      <c r="K1444" s="384"/>
      <c r="L1444" s="385">
        <v>57.54</v>
      </c>
      <c r="M1444" s="385">
        <v>57.54</v>
      </c>
      <c r="N1444" s="386"/>
      <c r="O1444" s="387">
        <v>0.15</v>
      </c>
      <c r="P1444" s="387"/>
      <c r="Q1444" s="386">
        <v>0</v>
      </c>
      <c r="R1444" s="379" t="s">
        <v>73</v>
      </c>
      <c r="S1444" s="388" t="s">
        <v>113</v>
      </c>
      <c r="T1444" s="388">
        <v>31</v>
      </c>
      <c r="U1444" s="389" t="s">
        <v>164</v>
      </c>
      <c r="V1444" s="433"/>
      <c r="W1444" s="379"/>
      <c r="X1444" s="386">
        <v>0</v>
      </c>
      <c r="Y1444" s="386"/>
      <c r="Z1444" s="379"/>
      <c r="AA1444" s="379"/>
      <c r="AB1444" s="379"/>
      <c r="AC1444" s="379"/>
      <c r="AD1444" s="379"/>
      <c r="AE1444" s="379"/>
      <c r="AF1444" s="379"/>
      <c r="AG1444" s="379"/>
      <c r="AH1444" s="379"/>
      <c r="AI1444" s="379"/>
      <c r="AJ1444" s="390">
        <v>0</v>
      </c>
      <c r="AK1444" s="394"/>
      <c r="AL1444" s="394"/>
      <c r="AM1444" s="394"/>
      <c r="AN1444" s="394"/>
      <c r="AO1444" s="394"/>
      <c r="AP1444" s="394"/>
      <c r="AQ1444" s="394"/>
      <c r="AR1444" s="394"/>
      <c r="AS1444" s="394"/>
      <c r="AT1444" s="394"/>
      <c r="AU1444" s="394"/>
      <c r="AV1444" s="394"/>
      <c r="AW1444" s="394"/>
      <c r="AX1444" s="394"/>
      <c r="AY1444" s="394"/>
      <c r="AZ1444" s="394"/>
      <c r="BA1444" s="394"/>
      <c r="BB1444" s="394"/>
      <c r="BC1444" s="394"/>
      <c r="BD1444" s="394"/>
      <c r="BE1444" s="394"/>
      <c r="BF1444" s="394"/>
      <c r="BG1444" s="394"/>
      <c r="BH1444" s="394"/>
      <c r="BI1444" s="394"/>
      <c r="BJ1444" s="394"/>
      <c r="BK1444" s="394"/>
      <c r="BL1444" s="394"/>
      <c r="BM1444" s="394"/>
      <c r="BN1444" s="394"/>
      <c r="BO1444" s="394"/>
      <c r="BP1444" s="394"/>
      <c r="BQ1444" s="394"/>
      <c r="BR1444" s="394"/>
      <c r="BS1444" s="394"/>
      <c r="BT1444" s="394"/>
      <c r="BU1444" s="394"/>
      <c r="BV1444" s="394"/>
      <c r="BW1444" s="394"/>
      <c r="BX1444" s="394"/>
      <c r="BY1444" s="394"/>
    </row>
    <row r="1445" spans="1:77" s="205" customFormat="1" ht="11.25" customHeight="1">
      <c r="B1445" s="205" t="s">
        <v>291</v>
      </c>
      <c r="C1445" s="207">
        <v>44701</v>
      </c>
      <c r="D1445" s="207">
        <v>44701</v>
      </c>
      <c r="E1445" s="208" t="s">
        <v>1246</v>
      </c>
      <c r="F1445" s="205" t="s">
        <v>189</v>
      </c>
      <c r="G1445" s="209">
        <v>3814</v>
      </c>
      <c r="H1445" s="205" t="s">
        <v>138</v>
      </c>
      <c r="I1445" s="205" t="s">
        <v>888</v>
      </c>
      <c r="J1445" s="210">
        <v>29980.57</v>
      </c>
      <c r="L1445" s="210">
        <v>24.53</v>
      </c>
      <c r="M1445" s="210">
        <v>24.53</v>
      </c>
      <c r="N1445" s="213"/>
      <c r="O1445" s="212">
        <v>0.15</v>
      </c>
      <c r="P1445" s="212"/>
      <c r="Q1445" s="213">
        <v>3848.02</v>
      </c>
      <c r="R1445" s="205" t="s">
        <v>73</v>
      </c>
      <c r="S1445" s="214" t="s">
        <v>113</v>
      </c>
      <c r="T1445" s="214">
        <v>31</v>
      </c>
      <c r="U1445" s="215" t="s">
        <v>164</v>
      </c>
      <c r="V1445" s="438"/>
      <c r="X1445" s="213">
        <v>3848.02</v>
      </c>
      <c r="Y1445" s="213"/>
      <c r="AF1445" s="230">
        <f>X1445</f>
        <v>3848.02</v>
      </c>
      <c r="AJ1445" s="216"/>
      <c r="AK1445" s="218"/>
      <c r="AL1445" s="218"/>
      <c r="AM1445" s="218"/>
      <c r="AN1445" s="218"/>
      <c r="AO1445" s="218"/>
      <c r="AP1445" s="218"/>
      <c r="AQ1445" s="218"/>
      <c r="AR1445" s="218"/>
      <c r="AS1445" s="218"/>
      <c r="AT1445" s="218"/>
      <c r="AU1445" s="218"/>
      <c r="AV1445" s="218"/>
      <c r="AW1445" s="218"/>
      <c r="AX1445" s="218"/>
      <c r="AY1445" s="218"/>
      <c r="AZ1445" s="218"/>
      <c r="BA1445" s="218"/>
      <c r="BB1445" s="218"/>
      <c r="BC1445" s="218"/>
      <c r="BD1445" s="218"/>
      <c r="BE1445" s="218"/>
      <c r="BF1445" s="218"/>
      <c r="BG1445" s="218"/>
      <c r="BH1445" s="218"/>
      <c r="BI1445" s="218"/>
      <c r="BJ1445" s="218"/>
      <c r="BK1445" s="218"/>
      <c r="BL1445" s="218"/>
      <c r="BM1445" s="218"/>
      <c r="BN1445" s="218"/>
      <c r="BO1445" s="218"/>
      <c r="BP1445" s="218"/>
      <c r="BQ1445" s="218"/>
      <c r="BR1445" s="218"/>
      <c r="BS1445" s="218"/>
      <c r="BT1445" s="218"/>
      <c r="BU1445" s="218"/>
      <c r="BV1445" s="218"/>
      <c r="BW1445" s="218"/>
      <c r="BX1445" s="218"/>
      <c r="BY1445" s="218"/>
    </row>
    <row r="1446" spans="1:77" s="205" customFormat="1" ht="11.25" customHeight="1">
      <c r="B1446" s="205" t="s">
        <v>291</v>
      </c>
      <c r="C1446" s="207"/>
      <c r="D1446" s="207"/>
      <c r="E1446" s="208" t="s">
        <v>1246</v>
      </c>
      <c r="F1446" s="205" t="s">
        <v>189</v>
      </c>
      <c r="G1446" s="209">
        <v>3814</v>
      </c>
      <c r="H1446" s="205" t="s">
        <v>140</v>
      </c>
      <c r="I1446" s="205" t="s">
        <v>888</v>
      </c>
      <c r="J1446" s="210">
        <v>18186.400000000001</v>
      </c>
      <c r="L1446" s="210">
        <v>17.899999999999999</v>
      </c>
      <c r="M1446" s="210">
        <v>17.899999999999999</v>
      </c>
      <c r="N1446" s="213"/>
      <c r="O1446" s="212">
        <v>0.15</v>
      </c>
      <c r="P1446" s="212"/>
      <c r="Q1446" s="213">
        <v>203.64</v>
      </c>
      <c r="R1446" s="205" t="s">
        <v>73</v>
      </c>
      <c r="S1446" s="214" t="s">
        <v>113</v>
      </c>
      <c r="T1446" s="214">
        <v>31</v>
      </c>
      <c r="U1446" s="215" t="s">
        <v>164</v>
      </c>
      <c r="V1446" s="438"/>
      <c r="X1446" s="213">
        <v>203.64</v>
      </c>
      <c r="Y1446" s="213"/>
      <c r="AF1446" s="230">
        <f>X1446</f>
        <v>203.64</v>
      </c>
      <c r="AJ1446" s="216"/>
      <c r="AK1446" s="218"/>
      <c r="AL1446" s="218"/>
      <c r="AM1446" s="218"/>
      <c r="AN1446" s="218"/>
      <c r="AO1446" s="218"/>
      <c r="AP1446" s="218"/>
      <c r="AQ1446" s="218"/>
      <c r="AR1446" s="218"/>
      <c r="AS1446" s="218"/>
      <c r="AT1446" s="218"/>
      <c r="AU1446" s="218"/>
      <c r="AV1446" s="218"/>
      <c r="AW1446" s="218"/>
      <c r="AX1446" s="218"/>
      <c r="AY1446" s="218"/>
      <c r="AZ1446" s="218"/>
      <c r="BA1446" s="218"/>
      <c r="BB1446" s="218"/>
      <c r="BC1446" s="218"/>
      <c r="BD1446" s="218"/>
      <c r="BE1446" s="218"/>
      <c r="BF1446" s="218"/>
      <c r="BG1446" s="218"/>
      <c r="BH1446" s="218"/>
      <c r="BI1446" s="218"/>
      <c r="BJ1446" s="218"/>
      <c r="BK1446" s="218"/>
      <c r="BL1446" s="218"/>
      <c r="BM1446" s="218"/>
      <c r="BN1446" s="218"/>
      <c r="BO1446" s="218"/>
      <c r="BP1446" s="218"/>
      <c r="BQ1446" s="218"/>
      <c r="BR1446" s="218"/>
      <c r="BS1446" s="218"/>
      <c r="BT1446" s="218"/>
      <c r="BU1446" s="218"/>
      <c r="BV1446" s="218"/>
      <c r="BW1446" s="218"/>
      <c r="BX1446" s="218"/>
      <c r="BY1446" s="218"/>
    </row>
    <row r="1447" spans="1:77" s="205" customFormat="1" ht="11.25" customHeight="1">
      <c r="B1447" s="205" t="s">
        <v>291</v>
      </c>
      <c r="C1447" s="207"/>
      <c r="D1447" s="207"/>
      <c r="E1447" s="208" t="s">
        <v>1246</v>
      </c>
      <c r="F1447" s="205" t="s">
        <v>189</v>
      </c>
      <c r="G1447" s="209">
        <v>3814</v>
      </c>
      <c r="H1447" s="205" t="s">
        <v>99</v>
      </c>
      <c r="I1447" s="205" t="s">
        <v>888</v>
      </c>
      <c r="J1447" s="210">
        <v>47478.33</v>
      </c>
      <c r="L1447" s="210">
        <v>46.16</v>
      </c>
      <c r="M1447" s="210">
        <v>46.16</v>
      </c>
      <c r="O1447" s="212">
        <v>0.15</v>
      </c>
      <c r="Q1447" s="213">
        <v>0</v>
      </c>
      <c r="R1447" s="205" t="s">
        <v>73</v>
      </c>
      <c r="S1447" s="214" t="s">
        <v>113</v>
      </c>
      <c r="T1447" s="214">
        <v>31</v>
      </c>
      <c r="U1447" s="215" t="s">
        <v>164</v>
      </c>
      <c r="V1447" s="438"/>
      <c r="X1447" s="213">
        <v>0</v>
      </c>
      <c r="Y1447" s="213"/>
      <c r="AF1447" s="230">
        <f>X1447</f>
        <v>0</v>
      </c>
      <c r="AJ1447" s="216"/>
      <c r="AK1447" s="218"/>
      <c r="AL1447" s="218"/>
      <c r="AM1447" s="218"/>
      <c r="AN1447" s="218"/>
      <c r="AO1447" s="218"/>
      <c r="AP1447" s="218"/>
      <c r="AQ1447" s="218"/>
      <c r="AR1447" s="218"/>
      <c r="AS1447" s="218"/>
      <c r="AT1447" s="218"/>
      <c r="AU1447" s="218"/>
      <c r="AV1447" s="218"/>
      <c r="AW1447" s="218"/>
      <c r="AX1447" s="218"/>
      <c r="AY1447" s="218"/>
      <c r="AZ1447" s="218"/>
      <c r="BA1447" s="218"/>
      <c r="BB1447" s="218"/>
      <c r="BC1447" s="218"/>
      <c r="BD1447" s="218"/>
      <c r="BE1447" s="218"/>
      <c r="BF1447" s="218"/>
      <c r="BG1447" s="218"/>
      <c r="BH1447" s="218"/>
      <c r="BI1447" s="218"/>
      <c r="BJ1447" s="218"/>
      <c r="BK1447" s="218"/>
      <c r="BL1447" s="218"/>
      <c r="BM1447" s="218"/>
      <c r="BN1447" s="218"/>
      <c r="BO1447" s="218"/>
      <c r="BP1447" s="218"/>
      <c r="BQ1447" s="218"/>
      <c r="BR1447" s="218"/>
      <c r="BS1447" s="218"/>
      <c r="BT1447" s="218"/>
      <c r="BU1447" s="218"/>
      <c r="BV1447" s="218"/>
      <c r="BW1447" s="218"/>
      <c r="BX1447" s="218"/>
      <c r="BY1447" s="218"/>
    </row>
    <row r="1448" spans="1:77" s="205" customFormat="1" ht="11.25" customHeight="1">
      <c r="B1448" s="205" t="s">
        <v>291</v>
      </c>
      <c r="C1448" s="207"/>
      <c r="D1448" s="207"/>
      <c r="E1448" s="208" t="s">
        <v>1246</v>
      </c>
      <c r="F1448" s="205" t="s">
        <v>189</v>
      </c>
      <c r="G1448" s="209">
        <v>3814</v>
      </c>
      <c r="H1448" s="205" t="s">
        <v>183</v>
      </c>
      <c r="I1448" s="205" t="s">
        <v>888</v>
      </c>
      <c r="J1448" s="210">
        <v>13373.82</v>
      </c>
      <c r="K1448" s="219"/>
      <c r="L1448" s="210">
        <v>15.56</v>
      </c>
      <c r="M1448" s="210">
        <v>15.56</v>
      </c>
      <c r="N1448" s="213"/>
      <c r="O1448" s="212">
        <v>0.15</v>
      </c>
      <c r="P1448" s="212"/>
      <c r="Q1448" s="213">
        <v>0</v>
      </c>
      <c r="R1448" s="205" t="s">
        <v>73</v>
      </c>
      <c r="S1448" s="214" t="s">
        <v>113</v>
      </c>
      <c r="T1448" s="214">
        <v>31</v>
      </c>
      <c r="U1448" s="215" t="s">
        <v>164</v>
      </c>
      <c r="V1448" s="438"/>
      <c r="W1448" s="205" t="s">
        <v>3126</v>
      </c>
      <c r="X1448" s="213">
        <v>0</v>
      </c>
      <c r="Y1448" s="213"/>
      <c r="AF1448" s="230">
        <f>X1448</f>
        <v>0</v>
      </c>
      <c r="AJ1448" s="216"/>
      <c r="AK1448" s="218"/>
      <c r="AL1448" s="218"/>
      <c r="AM1448" s="218"/>
      <c r="AN1448" s="218"/>
      <c r="AO1448" s="218"/>
      <c r="AP1448" s="218"/>
      <c r="AQ1448" s="218"/>
      <c r="AR1448" s="218"/>
      <c r="AS1448" s="218"/>
      <c r="AT1448" s="218"/>
      <c r="AU1448" s="218"/>
      <c r="AV1448" s="218"/>
      <c r="AW1448" s="218"/>
      <c r="AX1448" s="218"/>
      <c r="AY1448" s="218"/>
      <c r="AZ1448" s="218"/>
      <c r="BA1448" s="218"/>
      <c r="BB1448" s="218"/>
      <c r="BC1448" s="218"/>
      <c r="BD1448" s="218"/>
      <c r="BE1448" s="218"/>
      <c r="BF1448" s="218"/>
      <c r="BG1448" s="218"/>
      <c r="BH1448" s="218"/>
      <c r="BI1448" s="218"/>
      <c r="BJ1448" s="218"/>
      <c r="BK1448" s="218"/>
      <c r="BL1448" s="218"/>
      <c r="BM1448" s="218"/>
      <c r="BN1448" s="218"/>
      <c r="BO1448" s="218"/>
      <c r="BP1448" s="218"/>
      <c r="BQ1448" s="218"/>
      <c r="BR1448" s="218"/>
      <c r="BS1448" s="218"/>
      <c r="BT1448" s="218"/>
      <c r="BU1448" s="218"/>
      <c r="BV1448" s="218"/>
      <c r="BW1448" s="218"/>
      <c r="BX1448" s="218"/>
      <c r="BY1448" s="218"/>
    </row>
    <row r="1449" spans="1:77" s="379" customFormat="1" ht="12" customHeight="1">
      <c r="B1449" s="379" t="s">
        <v>291</v>
      </c>
      <c r="C1449" s="381">
        <v>44700</v>
      </c>
      <c r="D1449" s="381">
        <v>44700</v>
      </c>
      <c r="E1449" s="382" t="s">
        <v>1247</v>
      </c>
      <c r="F1449" s="379" t="s">
        <v>385</v>
      </c>
      <c r="G1449" s="383">
        <v>4129</v>
      </c>
      <c r="H1449" s="379" t="s">
        <v>684</v>
      </c>
      <c r="I1449" s="379" t="s">
        <v>888</v>
      </c>
      <c r="J1449" s="385">
        <v>5820</v>
      </c>
      <c r="L1449" s="385">
        <v>4</v>
      </c>
      <c r="M1449" s="385">
        <v>4</v>
      </c>
      <c r="N1449" s="386"/>
      <c r="O1449" s="387">
        <v>0.2</v>
      </c>
      <c r="P1449" s="387"/>
      <c r="Q1449" s="386">
        <v>2736</v>
      </c>
      <c r="R1449" s="379" t="s">
        <v>77</v>
      </c>
      <c r="S1449" s="388" t="s">
        <v>41</v>
      </c>
      <c r="T1449" s="388">
        <v>86</v>
      </c>
      <c r="U1449" s="389" t="s">
        <v>164</v>
      </c>
      <c r="V1449" s="433"/>
      <c r="X1449" s="386">
        <v>2736</v>
      </c>
      <c r="Y1449" s="386"/>
      <c r="AJ1449" s="416">
        <v>2736</v>
      </c>
      <c r="AK1449" s="394"/>
      <c r="AL1449" s="394"/>
      <c r="AM1449" s="394"/>
      <c r="AN1449" s="394"/>
      <c r="AO1449" s="394"/>
      <c r="AP1449" s="394"/>
      <c r="AQ1449" s="394"/>
      <c r="AR1449" s="394"/>
      <c r="AS1449" s="394"/>
      <c r="AT1449" s="394"/>
      <c r="AU1449" s="394"/>
      <c r="AV1449" s="394"/>
      <c r="AW1449" s="394"/>
      <c r="AX1449" s="394"/>
      <c r="AY1449" s="394"/>
      <c r="AZ1449" s="394"/>
      <c r="BA1449" s="394"/>
      <c r="BB1449" s="394"/>
      <c r="BC1449" s="394"/>
      <c r="BD1449" s="394"/>
      <c r="BE1449" s="394"/>
      <c r="BF1449" s="394"/>
      <c r="BG1449" s="394"/>
      <c r="BH1449" s="394"/>
      <c r="BI1449" s="394"/>
      <c r="BJ1449" s="394"/>
      <c r="BK1449" s="394"/>
      <c r="BL1449" s="394"/>
      <c r="BM1449" s="394"/>
      <c r="BN1449" s="394"/>
      <c r="BO1449" s="394"/>
      <c r="BP1449" s="394"/>
      <c r="BQ1449" s="394"/>
      <c r="BR1449" s="394"/>
      <c r="BS1449" s="394"/>
      <c r="BT1449" s="394"/>
      <c r="BU1449" s="394"/>
      <c r="BV1449" s="394"/>
      <c r="BW1449" s="394"/>
      <c r="BX1449" s="394"/>
      <c r="BY1449" s="394"/>
    </row>
    <row r="1450" spans="1:77" s="379" customFormat="1" ht="12" customHeight="1">
      <c r="B1450" s="379" t="s">
        <v>291</v>
      </c>
      <c r="C1450" s="381"/>
      <c r="D1450" s="381"/>
      <c r="E1450" s="382" t="s">
        <v>1247</v>
      </c>
      <c r="F1450" s="379" t="s">
        <v>385</v>
      </c>
      <c r="G1450" s="383">
        <v>4129</v>
      </c>
      <c r="H1450" s="379" t="s">
        <v>356</v>
      </c>
      <c r="I1450" s="379" t="s">
        <v>888</v>
      </c>
      <c r="J1450" s="385">
        <v>10974.99</v>
      </c>
      <c r="L1450" s="385">
        <v>15.26</v>
      </c>
      <c r="M1450" s="385">
        <v>15.26</v>
      </c>
      <c r="N1450" s="386"/>
      <c r="O1450" s="387">
        <v>0.2</v>
      </c>
      <c r="P1450" s="387"/>
      <c r="Q1450" s="386">
        <v>0</v>
      </c>
      <c r="R1450" s="379" t="s">
        <v>77</v>
      </c>
      <c r="S1450" s="388" t="s">
        <v>41</v>
      </c>
      <c r="T1450" s="388">
        <v>86</v>
      </c>
      <c r="U1450" s="389" t="s">
        <v>164</v>
      </c>
      <c r="V1450" s="433"/>
      <c r="X1450" s="386">
        <v>0</v>
      </c>
      <c r="Y1450" s="386"/>
      <c r="AJ1450" s="390">
        <v>0</v>
      </c>
      <c r="AK1450" s="394"/>
      <c r="AL1450" s="394"/>
      <c r="AM1450" s="394"/>
      <c r="AN1450" s="394"/>
      <c r="AO1450" s="394"/>
      <c r="AP1450" s="394"/>
      <c r="AQ1450" s="394"/>
      <c r="AR1450" s="394"/>
      <c r="AS1450" s="394"/>
      <c r="AT1450" s="394"/>
      <c r="AU1450" s="394"/>
      <c r="AV1450" s="394"/>
      <c r="AW1450" s="394"/>
      <c r="AX1450" s="394"/>
      <c r="AY1450" s="394"/>
      <c r="AZ1450" s="394"/>
      <c r="BA1450" s="394"/>
      <c r="BB1450" s="394"/>
      <c r="BC1450" s="394"/>
      <c r="BD1450" s="394"/>
      <c r="BE1450" s="394"/>
      <c r="BF1450" s="394"/>
      <c r="BG1450" s="394"/>
      <c r="BH1450" s="394"/>
      <c r="BI1450" s="394"/>
      <c r="BJ1450" s="394"/>
      <c r="BK1450" s="394"/>
      <c r="BL1450" s="394"/>
      <c r="BM1450" s="394"/>
      <c r="BN1450" s="394"/>
      <c r="BO1450" s="394"/>
      <c r="BP1450" s="394"/>
      <c r="BQ1450" s="394"/>
      <c r="BR1450" s="394"/>
      <c r="BS1450" s="394"/>
      <c r="BT1450" s="394"/>
      <c r="BU1450" s="394"/>
      <c r="BV1450" s="394"/>
      <c r="BW1450" s="394"/>
      <c r="BX1450" s="394"/>
      <c r="BY1450" s="394"/>
    </row>
    <row r="1451" spans="1:77" s="379" customFormat="1" ht="12" customHeight="1">
      <c r="B1451" s="379" t="s">
        <v>291</v>
      </c>
      <c r="C1451" s="381"/>
      <c r="D1451" s="381"/>
      <c r="E1451" s="382" t="s">
        <v>1247</v>
      </c>
      <c r="F1451" s="379" t="s">
        <v>385</v>
      </c>
      <c r="G1451" s="383">
        <v>4129</v>
      </c>
      <c r="H1451" s="379" t="s">
        <v>1015</v>
      </c>
      <c r="I1451" s="379" t="s">
        <v>888</v>
      </c>
      <c r="J1451" s="385">
        <v>8036</v>
      </c>
      <c r="L1451" s="385">
        <v>7</v>
      </c>
      <c r="M1451" s="385">
        <v>7</v>
      </c>
      <c r="N1451" s="386"/>
      <c r="O1451" s="387">
        <v>0.2</v>
      </c>
      <c r="P1451" s="387"/>
      <c r="Q1451" s="386">
        <v>0</v>
      </c>
      <c r="R1451" s="379" t="s">
        <v>77</v>
      </c>
      <c r="S1451" s="388" t="s">
        <v>41</v>
      </c>
      <c r="T1451" s="388">
        <v>86</v>
      </c>
      <c r="U1451" s="389" t="s">
        <v>164</v>
      </c>
      <c r="V1451" s="433"/>
      <c r="X1451" s="386">
        <v>0</v>
      </c>
      <c r="Y1451" s="386"/>
      <c r="AJ1451" s="390">
        <v>0</v>
      </c>
      <c r="AK1451" s="394"/>
      <c r="AL1451" s="394"/>
      <c r="AM1451" s="394"/>
      <c r="AN1451" s="394"/>
      <c r="AO1451" s="394"/>
      <c r="AP1451" s="394"/>
      <c r="AQ1451" s="394"/>
      <c r="AR1451" s="394"/>
      <c r="AS1451" s="394"/>
      <c r="AT1451" s="394"/>
      <c r="AU1451" s="394"/>
      <c r="AV1451" s="394"/>
      <c r="AW1451" s="394"/>
      <c r="AX1451" s="394"/>
      <c r="AY1451" s="394"/>
      <c r="AZ1451" s="394"/>
      <c r="BA1451" s="394"/>
      <c r="BB1451" s="394"/>
      <c r="BC1451" s="394"/>
      <c r="BD1451" s="394"/>
      <c r="BE1451" s="394"/>
      <c r="BF1451" s="394"/>
      <c r="BG1451" s="394"/>
      <c r="BH1451" s="394"/>
      <c r="BI1451" s="394"/>
      <c r="BJ1451" s="394"/>
      <c r="BK1451" s="394"/>
      <c r="BL1451" s="394"/>
      <c r="BM1451" s="394"/>
      <c r="BN1451" s="394"/>
      <c r="BO1451" s="394"/>
      <c r="BP1451" s="394"/>
      <c r="BQ1451" s="394"/>
      <c r="BR1451" s="394"/>
      <c r="BS1451" s="394"/>
      <c r="BT1451" s="394"/>
      <c r="BU1451" s="394"/>
      <c r="BV1451" s="394"/>
      <c r="BW1451" s="394"/>
      <c r="BX1451" s="394"/>
      <c r="BY1451" s="394"/>
    </row>
    <row r="1452" spans="1:77" s="379" customFormat="1" ht="12" customHeight="1">
      <c r="B1452" s="379" t="s">
        <v>291</v>
      </c>
      <c r="C1452" s="381"/>
      <c r="D1452" s="381"/>
      <c r="E1452" s="382" t="s">
        <v>1247</v>
      </c>
      <c r="F1452" s="379" t="s">
        <v>385</v>
      </c>
      <c r="G1452" s="383">
        <v>4129</v>
      </c>
      <c r="H1452" s="379" t="s">
        <v>528</v>
      </c>
      <c r="I1452" s="379" t="s">
        <v>888</v>
      </c>
      <c r="J1452" s="385">
        <v>85095.360000000001</v>
      </c>
      <c r="L1452" s="385">
        <v>48.24</v>
      </c>
      <c r="M1452" s="385">
        <v>48.24</v>
      </c>
      <c r="N1452" s="386"/>
      <c r="O1452" s="387">
        <v>0.2</v>
      </c>
      <c r="P1452" s="387"/>
      <c r="Q1452" s="386">
        <v>0</v>
      </c>
      <c r="R1452" s="379" t="s">
        <v>77</v>
      </c>
      <c r="S1452" s="388" t="s">
        <v>41</v>
      </c>
      <c r="T1452" s="388">
        <v>86</v>
      </c>
      <c r="U1452" s="389" t="s">
        <v>164</v>
      </c>
      <c r="V1452" s="433"/>
      <c r="X1452" s="386">
        <v>0</v>
      </c>
      <c r="Y1452" s="386"/>
      <c r="AJ1452" s="390">
        <v>0</v>
      </c>
      <c r="AK1452" s="394"/>
      <c r="AL1452" s="394"/>
      <c r="AM1452" s="394"/>
      <c r="AN1452" s="394"/>
      <c r="AO1452" s="394"/>
      <c r="AP1452" s="394"/>
      <c r="AQ1452" s="394"/>
      <c r="AR1452" s="394"/>
      <c r="AS1452" s="394"/>
      <c r="AT1452" s="394"/>
      <c r="AU1452" s="394"/>
      <c r="AV1452" s="394"/>
      <c r="AW1452" s="394"/>
      <c r="AX1452" s="394"/>
      <c r="AY1452" s="394"/>
      <c r="AZ1452" s="394"/>
      <c r="BA1452" s="394"/>
      <c r="BB1452" s="394"/>
      <c r="BC1452" s="394"/>
      <c r="BD1452" s="394"/>
      <c r="BE1452" s="394"/>
      <c r="BF1452" s="394"/>
      <c r="BG1452" s="394"/>
      <c r="BH1452" s="394"/>
      <c r="BI1452" s="394"/>
      <c r="BJ1452" s="394"/>
      <c r="BK1452" s="394"/>
      <c r="BL1452" s="394"/>
      <c r="BM1452" s="394"/>
      <c r="BN1452" s="394"/>
      <c r="BO1452" s="394"/>
      <c r="BP1452" s="394"/>
      <c r="BQ1452" s="394"/>
      <c r="BR1452" s="394"/>
      <c r="BS1452" s="394"/>
      <c r="BT1452" s="394"/>
      <c r="BU1452" s="394"/>
      <c r="BV1452" s="394"/>
      <c r="BW1452" s="394"/>
      <c r="BX1452" s="394"/>
      <c r="BY1452" s="394"/>
    </row>
    <row r="1453" spans="1:77" s="379" customFormat="1" ht="12" customHeight="1">
      <c r="B1453" s="379" t="s">
        <v>291</v>
      </c>
      <c r="C1453" s="381"/>
      <c r="D1453" s="381"/>
      <c r="E1453" s="382" t="s">
        <v>1247</v>
      </c>
      <c r="F1453" s="379" t="s">
        <v>385</v>
      </c>
      <c r="G1453" s="383">
        <v>4129</v>
      </c>
      <c r="H1453" s="379" t="s">
        <v>192</v>
      </c>
      <c r="I1453" s="379" t="s">
        <v>888</v>
      </c>
      <c r="J1453" s="385">
        <v>133447.07999999999</v>
      </c>
      <c r="L1453" s="385">
        <v>84.89</v>
      </c>
      <c r="M1453" s="385">
        <v>84.89</v>
      </c>
      <c r="N1453" s="386"/>
      <c r="O1453" s="387">
        <v>0.2</v>
      </c>
      <c r="P1453" s="387"/>
      <c r="Q1453" s="386">
        <v>0</v>
      </c>
      <c r="R1453" s="379" t="s">
        <v>77</v>
      </c>
      <c r="S1453" s="388" t="s">
        <v>41</v>
      </c>
      <c r="T1453" s="388">
        <v>86</v>
      </c>
      <c r="U1453" s="389" t="s">
        <v>164</v>
      </c>
      <c r="V1453" s="433"/>
      <c r="X1453" s="386">
        <v>0</v>
      </c>
      <c r="Y1453" s="386"/>
      <c r="AJ1453" s="390">
        <v>0</v>
      </c>
      <c r="AK1453" s="394"/>
      <c r="AL1453" s="394"/>
      <c r="AM1453" s="394"/>
      <c r="AN1453" s="394"/>
      <c r="AO1453" s="394"/>
      <c r="AP1453" s="394"/>
      <c r="AQ1453" s="394"/>
      <c r="AR1453" s="394"/>
      <c r="AS1453" s="394"/>
      <c r="AT1453" s="394"/>
      <c r="AU1453" s="394"/>
      <c r="AV1453" s="394"/>
      <c r="AW1453" s="394"/>
      <c r="AX1453" s="394"/>
      <c r="AY1453" s="394"/>
      <c r="AZ1453" s="394"/>
      <c r="BA1453" s="394"/>
      <c r="BB1453" s="394"/>
      <c r="BC1453" s="394"/>
      <c r="BD1453" s="394"/>
      <c r="BE1453" s="394"/>
      <c r="BF1453" s="394"/>
      <c r="BG1453" s="394"/>
      <c r="BH1453" s="394"/>
      <c r="BI1453" s="394"/>
      <c r="BJ1453" s="394"/>
      <c r="BK1453" s="394"/>
      <c r="BL1453" s="394"/>
      <c r="BM1453" s="394"/>
      <c r="BN1453" s="394"/>
      <c r="BO1453" s="394"/>
      <c r="BP1453" s="394"/>
      <c r="BQ1453" s="394"/>
      <c r="BR1453" s="394"/>
      <c r="BS1453" s="394"/>
      <c r="BT1453" s="394"/>
      <c r="BU1453" s="394"/>
      <c r="BV1453" s="394"/>
      <c r="BW1453" s="394"/>
      <c r="BX1453" s="394"/>
      <c r="BY1453" s="394"/>
    </row>
    <row r="1454" spans="1:77" s="379" customFormat="1" ht="12" customHeight="1">
      <c r="B1454" s="379" t="s">
        <v>291</v>
      </c>
      <c r="C1454" s="381"/>
      <c r="D1454" s="381"/>
      <c r="E1454" s="382" t="s">
        <v>1247</v>
      </c>
      <c r="F1454" s="379" t="s">
        <v>385</v>
      </c>
      <c r="G1454" s="383">
        <v>4129</v>
      </c>
      <c r="H1454" s="379" t="s">
        <v>134</v>
      </c>
      <c r="I1454" s="379" t="s">
        <v>888</v>
      </c>
      <c r="J1454" s="385">
        <v>54576.34</v>
      </c>
      <c r="L1454" s="385">
        <v>40.82</v>
      </c>
      <c r="M1454" s="385">
        <v>40.82</v>
      </c>
      <c r="N1454" s="386"/>
      <c r="O1454" s="387">
        <v>0.2</v>
      </c>
      <c r="P1454" s="387"/>
      <c r="Q1454" s="386">
        <v>0</v>
      </c>
      <c r="R1454" s="379" t="s">
        <v>77</v>
      </c>
      <c r="S1454" s="388" t="s">
        <v>41</v>
      </c>
      <c r="T1454" s="388">
        <v>86</v>
      </c>
      <c r="U1454" s="389" t="s">
        <v>164</v>
      </c>
      <c r="V1454" s="433"/>
      <c r="X1454" s="386">
        <v>0</v>
      </c>
      <c r="Y1454" s="386"/>
      <c r="AJ1454" s="390">
        <v>0</v>
      </c>
      <c r="AK1454" s="394"/>
      <c r="AL1454" s="394"/>
      <c r="AM1454" s="394"/>
      <c r="AN1454" s="394"/>
      <c r="AO1454" s="394"/>
      <c r="AP1454" s="394"/>
      <c r="AQ1454" s="394"/>
      <c r="AR1454" s="394"/>
      <c r="AS1454" s="394"/>
      <c r="AT1454" s="394"/>
      <c r="AU1454" s="394"/>
      <c r="AV1454" s="394"/>
      <c r="AW1454" s="394"/>
      <c r="AX1454" s="394"/>
      <c r="AY1454" s="394"/>
      <c r="AZ1454" s="394"/>
      <c r="BA1454" s="394"/>
      <c r="BB1454" s="394"/>
      <c r="BC1454" s="394"/>
      <c r="BD1454" s="394"/>
      <c r="BE1454" s="394"/>
      <c r="BF1454" s="394"/>
      <c r="BG1454" s="394"/>
      <c r="BH1454" s="394"/>
      <c r="BI1454" s="394"/>
      <c r="BJ1454" s="394"/>
      <c r="BK1454" s="394"/>
      <c r="BL1454" s="394"/>
      <c r="BM1454" s="394"/>
      <c r="BN1454" s="394"/>
      <c r="BO1454" s="394"/>
      <c r="BP1454" s="394"/>
      <c r="BQ1454" s="394"/>
      <c r="BR1454" s="394"/>
      <c r="BS1454" s="394"/>
      <c r="BT1454" s="394"/>
      <c r="BU1454" s="394"/>
      <c r="BV1454" s="394"/>
      <c r="BW1454" s="394"/>
      <c r="BX1454" s="394"/>
      <c r="BY1454" s="394"/>
    </row>
    <row r="1455" spans="1:77" s="379" customFormat="1" ht="12" customHeight="1">
      <c r="B1455" s="379" t="s">
        <v>291</v>
      </c>
      <c r="C1455" s="381"/>
      <c r="D1455" s="381"/>
      <c r="E1455" s="382" t="s">
        <v>1247</v>
      </c>
      <c r="F1455" s="379" t="s">
        <v>385</v>
      </c>
      <c r="G1455" s="383">
        <v>4129</v>
      </c>
      <c r="H1455" s="379" t="s">
        <v>386</v>
      </c>
      <c r="I1455" s="379" t="s">
        <v>888</v>
      </c>
      <c r="J1455" s="385">
        <v>12015.47</v>
      </c>
      <c r="L1455" s="385">
        <v>11.33</v>
      </c>
      <c r="M1455" s="385">
        <v>11.33</v>
      </c>
      <c r="N1455" s="386"/>
      <c r="O1455" s="387">
        <v>0.2</v>
      </c>
      <c r="P1455" s="387"/>
      <c r="Q1455" s="386">
        <v>0</v>
      </c>
      <c r="R1455" s="379" t="s">
        <v>77</v>
      </c>
      <c r="S1455" s="388" t="s">
        <v>41</v>
      </c>
      <c r="T1455" s="388">
        <v>86</v>
      </c>
      <c r="U1455" s="389" t="s">
        <v>164</v>
      </c>
      <c r="V1455" s="433"/>
      <c r="X1455" s="386">
        <v>0</v>
      </c>
      <c r="Y1455" s="386"/>
      <c r="AJ1455" s="390">
        <v>0</v>
      </c>
      <c r="AK1455" s="394"/>
      <c r="AL1455" s="394"/>
      <c r="AM1455" s="394"/>
      <c r="AN1455" s="394"/>
      <c r="AO1455" s="394"/>
      <c r="AP1455" s="394"/>
      <c r="AQ1455" s="394"/>
      <c r="AR1455" s="394"/>
      <c r="AS1455" s="394"/>
      <c r="AT1455" s="394"/>
      <c r="AU1455" s="394"/>
      <c r="AV1455" s="394"/>
      <c r="AW1455" s="394"/>
      <c r="AX1455" s="394"/>
      <c r="AY1455" s="394"/>
      <c r="AZ1455" s="394"/>
      <c r="BA1455" s="394"/>
      <c r="BB1455" s="394"/>
      <c r="BC1455" s="394"/>
      <c r="BD1455" s="394"/>
      <c r="BE1455" s="394"/>
      <c r="BF1455" s="394"/>
      <c r="BG1455" s="394"/>
      <c r="BH1455" s="394"/>
      <c r="BI1455" s="394"/>
      <c r="BJ1455" s="394"/>
      <c r="BK1455" s="394"/>
      <c r="BL1455" s="394"/>
      <c r="BM1455" s="394"/>
      <c r="BN1455" s="394"/>
      <c r="BO1455" s="394"/>
      <c r="BP1455" s="394"/>
      <c r="BQ1455" s="394"/>
      <c r="BR1455" s="394"/>
      <c r="BS1455" s="394"/>
      <c r="BT1455" s="394"/>
      <c r="BU1455" s="394"/>
      <c r="BV1455" s="394"/>
      <c r="BW1455" s="394"/>
      <c r="BX1455" s="394"/>
      <c r="BY1455" s="394"/>
    </row>
    <row r="1456" spans="1:77" s="379" customFormat="1" ht="12" customHeight="1">
      <c r="B1456" s="379" t="s">
        <v>291</v>
      </c>
      <c r="C1456" s="381"/>
      <c r="D1456" s="381"/>
      <c r="E1456" s="382" t="s">
        <v>1247</v>
      </c>
      <c r="F1456" s="379" t="s">
        <v>385</v>
      </c>
      <c r="G1456" s="383">
        <v>4129</v>
      </c>
      <c r="H1456" s="379" t="s">
        <v>1018</v>
      </c>
      <c r="I1456" s="379" t="s">
        <v>888</v>
      </c>
      <c r="J1456" s="385">
        <v>19000</v>
      </c>
      <c r="L1456" s="385">
        <v>9.5</v>
      </c>
      <c r="M1456" s="385">
        <v>9.5</v>
      </c>
      <c r="N1456" s="386"/>
      <c r="O1456" s="387">
        <v>0.2</v>
      </c>
      <c r="P1456" s="387"/>
      <c r="Q1456" s="386">
        <v>0</v>
      </c>
      <c r="R1456" s="379" t="s">
        <v>77</v>
      </c>
      <c r="S1456" s="388" t="s">
        <v>41</v>
      </c>
      <c r="T1456" s="388">
        <v>86</v>
      </c>
      <c r="U1456" s="389" t="s">
        <v>164</v>
      </c>
      <c r="V1456" s="433"/>
      <c r="X1456" s="386">
        <v>0</v>
      </c>
      <c r="Y1456" s="386"/>
      <c r="AJ1456" s="390">
        <v>0</v>
      </c>
      <c r="AK1456" s="394"/>
      <c r="AL1456" s="394"/>
      <c r="AM1456" s="394"/>
      <c r="AN1456" s="394"/>
      <c r="AO1456" s="394"/>
      <c r="AP1456" s="394"/>
      <c r="AQ1456" s="394"/>
      <c r="AR1456" s="394"/>
      <c r="AS1456" s="394"/>
      <c r="AT1456" s="394"/>
      <c r="AU1456" s="394"/>
      <c r="AV1456" s="394"/>
      <c r="AW1456" s="394"/>
      <c r="AX1456" s="394"/>
      <c r="AY1456" s="394"/>
      <c r="AZ1456" s="394"/>
      <c r="BA1456" s="394"/>
      <c r="BB1456" s="394"/>
      <c r="BC1456" s="394"/>
      <c r="BD1456" s="394"/>
      <c r="BE1456" s="394"/>
      <c r="BF1456" s="394"/>
      <c r="BG1456" s="394"/>
      <c r="BH1456" s="394"/>
      <c r="BI1456" s="394"/>
      <c r="BJ1456" s="394"/>
      <c r="BK1456" s="394"/>
      <c r="BL1456" s="394"/>
      <c r="BM1456" s="394"/>
      <c r="BN1456" s="394"/>
      <c r="BO1456" s="394"/>
      <c r="BP1456" s="394"/>
      <c r="BQ1456" s="394"/>
      <c r="BR1456" s="394"/>
      <c r="BS1456" s="394"/>
      <c r="BT1456" s="394"/>
      <c r="BU1456" s="394"/>
      <c r="BV1456" s="394"/>
      <c r="BW1456" s="394"/>
      <c r="BX1456" s="394"/>
      <c r="BY1456" s="394"/>
    </row>
    <row r="1457" spans="1:77" s="379" customFormat="1" ht="12" customHeight="1">
      <c r="B1457" s="379" t="s">
        <v>291</v>
      </c>
      <c r="C1457" s="381"/>
      <c r="D1457" s="381"/>
      <c r="E1457" s="382" t="s">
        <v>1247</v>
      </c>
      <c r="F1457" s="379" t="s">
        <v>385</v>
      </c>
      <c r="G1457" s="383">
        <v>4129</v>
      </c>
      <c r="H1457" s="379" t="s">
        <v>1177</v>
      </c>
      <c r="I1457" s="379" t="s">
        <v>888</v>
      </c>
      <c r="J1457" s="385">
        <v>2821</v>
      </c>
      <c r="L1457" s="385">
        <v>2.6</v>
      </c>
      <c r="M1457" s="385">
        <v>2.6</v>
      </c>
      <c r="N1457" s="386"/>
      <c r="O1457" s="387">
        <v>0.2</v>
      </c>
      <c r="P1457" s="387"/>
      <c r="Q1457" s="386">
        <v>0</v>
      </c>
      <c r="R1457" s="379" t="s">
        <v>77</v>
      </c>
      <c r="S1457" s="388" t="s">
        <v>41</v>
      </c>
      <c r="T1457" s="388">
        <v>86</v>
      </c>
      <c r="U1457" s="389" t="s">
        <v>164</v>
      </c>
      <c r="V1457" s="433"/>
      <c r="X1457" s="386">
        <v>0</v>
      </c>
      <c r="Y1457" s="386"/>
      <c r="AJ1457" s="390">
        <v>0</v>
      </c>
      <c r="AK1457" s="394"/>
      <c r="AL1457" s="394"/>
      <c r="AM1457" s="394"/>
      <c r="AN1457" s="394"/>
      <c r="AO1457" s="394"/>
      <c r="AP1457" s="394"/>
      <c r="AQ1457" s="394"/>
      <c r="AR1457" s="394"/>
      <c r="AS1457" s="394"/>
      <c r="AT1457" s="394"/>
      <c r="AU1457" s="394"/>
      <c r="AV1457" s="394"/>
      <c r="AW1457" s="394"/>
      <c r="AX1457" s="394"/>
      <c r="AY1457" s="394"/>
      <c r="AZ1457" s="394"/>
      <c r="BA1457" s="394"/>
      <c r="BB1457" s="394"/>
      <c r="BC1457" s="394"/>
      <c r="BD1457" s="394"/>
      <c r="BE1457" s="394"/>
      <c r="BF1457" s="394"/>
      <c r="BG1457" s="394"/>
      <c r="BH1457" s="394"/>
      <c r="BI1457" s="394"/>
      <c r="BJ1457" s="394"/>
      <c r="BK1457" s="394"/>
      <c r="BL1457" s="394"/>
      <c r="BM1457" s="394"/>
      <c r="BN1457" s="394"/>
      <c r="BO1457" s="394"/>
      <c r="BP1457" s="394"/>
      <c r="BQ1457" s="394"/>
      <c r="BR1457" s="394"/>
      <c r="BS1457" s="394"/>
      <c r="BT1457" s="394"/>
      <c r="BU1457" s="394"/>
      <c r="BV1457" s="394"/>
      <c r="BW1457" s="394"/>
      <c r="BX1457" s="394"/>
      <c r="BY1457" s="394"/>
    </row>
    <row r="1458" spans="1:77" s="205" customFormat="1" ht="11.25" customHeight="1">
      <c r="A1458" s="379"/>
      <c r="B1458" s="379" t="s">
        <v>291</v>
      </c>
      <c r="C1458" s="381"/>
      <c r="D1458" s="381"/>
      <c r="E1458" s="382" t="s">
        <v>1248</v>
      </c>
      <c r="F1458" s="379" t="s">
        <v>223</v>
      </c>
      <c r="G1458" s="383">
        <v>3628</v>
      </c>
      <c r="H1458" s="379" t="s">
        <v>765</v>
      </c>
      <c r="I1458" s="379" t="s">
        <v>961</v>
      </c>
      <c r="J1458" s="385">
        <v>41529.599999999999</v>
      </c>
      <c r="K1458" s="384"/>
      <c r="L1458" s="385">
        <v>51.5</v>
      </c>
      <c r="M1458" s="385">
        <v>51.5</v>
      </c>
      <c r="N1458" s="386"/>
      <c r="O1458" s="387">
        <v>0.15</v>
      </c>
      <c r="P1458" s="387"/>
      <c r="Q1458" s="386">
        <v>0</v>
      </c>
      <c r="R1458" s="379" t="s">
        <v>73</v>
      </c>
      <c r="S1458" s="388" t="s">
        <v>113</v>
      </c>
      <c r="T1458" s="388">
        <v>31</v>
      </c>
      <c r="U1458" s="389" t="s">
        <v>164</v>
      </c>
      <c r="V1458" s="433"/>
      <c r="W1458" s="379"/>
      <c r="X1458" s="386">
        <v>0</v>
      </c>
      <c r="Y1458" s="386"/>
      <c r="Z1458" s="379"/>
      <c r="AA1458" s="379"/>
      <c r="AB1458" s="379"/>
      <c r="AC1458" s="379"/>
      <c r="AD1458" s="379"/>
      <c r="AE1458" s="379"/>
      <c r="AF1458" s="379"/>
      <c r="AG1458" s="379"/>
      <c r="AH1458" s="379"/>
      <c r="AI1458" s="379"/>
      <c r="AJ1458" s="390">
        <v>0</v>
      </c>
      <c r="AK1458" s="394"/>
      <c r="AL1458" s="394"/>
      <c r="AM1458" s="394"/>
      <c r="AN1458" s="394"/>
      <c r="AO1458" s="394"/>
      <c r="AP1458" s="394"/>
      <c r="AQ1458" s="394"/>
      <c r="AR1458" s="394"/>
      <c r="AS1458" s="394"/>
      <c r="AT1458" s="394"/>
      <c r="AU1458" s="394"/>
      <c r="AV1458" s="394"/>
      <c r="AW1458" s="394"/>
      <c r="AX1458" s="394"/>
      <c r="AY1458" s="394"/>
      <c r="AZ1458" s="394"/>
      <c r="BA1458" s="394"/>
      <c r="BB1458" s="394"/>
      <c r="BC1458" s="394"/>
      <c r="BD1458" s="394"/>
      <c r="BE1458" s="394"/>
      <c r="BF1458" s="394"/>
      <c r="BG1458" s="394"/>
      <c r="BH1458" s="394"/>
      <c r="BI1458" s="394"/>
      <c r="BJ1458" s="394"/>
      <c r="BK1458" s="394"/>
      <c r="BL1458" s="394"/>
      <c r="BM1458" s="394"/>
      <c r="BN1458" s="394"/>
      <c r="BO1458" s="394"/>
      <c r="BP1458" s="394"/>
      <c r="BQ1458" s="394"/>
      <c r="BR1458" s="394"/>
      <c r="BS1458" s="394"/>
      <c r="BT1458" s="394"/>
      <c r="BU1458" s="394"/>
      <c r="BV1458" s="394"/>
      <c r="BW1458" s="394"/>
      <c r="BX1458" s="394"/>
      <c r="BY1458" s="394"/>
    </row>
    <row r="1459" spans="1:77" s="379" customFormat="1" ht="11.25" customHeight="1">
      <c r="B1459" s="379" t="s">
        <v>291</v>
      </c>
      <c r="C1459" s="381"/>
      <c r="D1459" s="381"/>
      <c r="E1459" s="382" t="s">
        <v>1248</v>
      </c>
      <c r="F1459" s="379" t="s">
        <v>223</v>
      </c>
      <c r="G1459" s="383">
        <v>3628</v>
      </c>
      <c r="H1459" s="379" t="s">
        <v>910</v>
      </c>
      <c r="I1459" s="379" t="s">
        <v>961</v>
      </c>
      <c r="J1459" s="385">
        <v>17676.23</v>
      </c>
      <c r="L1459" s="385">
        <v>12.47</v>
      </c>
      <c r="M1459" s="385">
        <v>12.47</v>
      </c>
      <c r="O1459" s="387">
        <v>0.15</v>
      </c>
      <c r="P1459" s="387"/>
      <c r="Q1459" s="386">
        <v>0</v>
      </c>
      <c r="R1459" s="379" t="s">
        <v>73</v>
      </c>
      <c r="S1459" s="388" t="s">
        <v>113</v>
      </c>
      <c r="T1459" s="388">
        <v>31</v>
      </c>
      <c r="U1459" s="389" t="s">
        <v>164</v>
      </c>
      <c r="V1459" s="433"/>
      <c r="X1459" s="386">
        <v>0</v>
      </c>
      <c r="Y1459" s="386"/>
      <c r="AJ1459" s="390">
        <v>0</v>
      </c>
      <c r="AK1459" s="394"/>
      <c r="AL1459" s="394"/>
      <c r="AM1459" s="394"/>
      <c r="AN1459" s="394"/>
      <c r="AO1459" s="394"/>
      <c r="AP1459" s="394"/>
      <c r="AQ1459" s="394"/>
      <c r="AR1459" s="394"/>
      <c r="AS1459" s="394"/>
      <c r="AT1459" s="394"/>
      <c r="AU1459" s="394"/>
      <c r="AV1459" s="394"/>
      <c r="AW1459" s="394"/>
      <c r="AX1459" s="394"/>
      <c r="AY1459" s="394"/>
      <c r="AZ1459" s="394"/>
      <c r="BA1459" s="394"/>
      <c r="BB1459" s="394"/>
      <c r="BC1459" s="394"/>
      <c r="BD1459" s="394"/>
      <c r="BE1459" s="394"/>
      <c r="BF1459" s="394"/>
      <c r="BG1459" s="394"/>
      <c r="BH1459" s="394"/>
      <c r="BI1459" s="394"/>
      <c r="BJ1459" s="394"/>
      <c r="BK1459" s="394"/>
      <c r="BL1459" s="394"/>
      <c r="BM1459" s="394"/>
      <c r="BN1459" s="394"/>
      <c r="BO1459" s="394"/>
      <c r="BP1459" s="394"/>
      <c r="BQ1459" s="394"/>
      <c r="BR1459" s="394"/>
      <c r="BS1459" s="394"/>
      <c r="BT1459" s="394"/>
      <c r="BU1459" s="394"/>
      <c r="BV1459" s="394"/>
      <c r="BW1459" s="394"/>
      <c r="BX1459" s="394"/>
      <c r="BY1459" s="394"/>
    </row>
    <row r="1460" spans="1:77" s="379" customFormat="1" ht="11.25" customHeight="1">
      <c r="B1460" s="379" t="s">
        <v>291</v>
      </c>
      <c r="C1460" s="381"/>
      <c r="D1460" s="381"/>
      <c r="E1460" s="382" t="s">
        <v>1248</v>
      </c>
      <c r="F1460" s="379" t="s">
        <v>223</v>
      </c>
      <c r="G1460" s="383">
        <v>3628</v>
      </c>
      <c r="H1460" s="379" t="s">
        <v>814</v>
      </c>
      <c r="I1460" s="379" t="s">
        <v>961</v>
      </c>
      <c r="J1460" s="385">
        <v>7911.36</v>
      </c>
      <c r="K1460" s="384"/>
      <c r="L1460" s="385">
        <v>12.06</v>
      </c>
      <c r="M1460" s="385">
        <v>12.06</v>
      </c>
      <c r="N1460" s="386"/>
      <c r="O1460" s="387">
        <v>0.15</v>
      </c>
      <c r="P1460" s="387"/>
      <c r="Q1460" s="386">
        <v>0</v>
      </c>
      <c r="R1460" s="379" t="s">
        <v>73</v>
      </c>
      <c r="S1460" s="388" t="s">
        <v>113</v>
      </c>
      <c r="T1460" s="388">
        <v>82</v>
      </c>
      <c r="U1460" s="389" t="s">
        <v>164</v>
      </c>
      <c r="V1460" s="433"/>
      <c r="X1460" s="386">
        <v>0</v>
      </c>
      <c r="Y1460" s="386"/>
      <c r="AJ1460" s="390">
        <v>0</v>
      </c>
      <c r="AK1460" s="394"/>
      <c r="AL1460" s="394"/>
      <c r="AM1460" s="394"/>
      <c r="AN1460" s="394"/>
      <c r="AO1460" s="394"/>
      <c r="AP1460" s="394"/>
      <c r="AQ1460" s="394"/>
      <c r="AR1460" s="394"/>
      <c r="AS1460" s="394"/>
      <c r="AT1460" s="394"/>
      <c r="AU1460" s="394"/>
      <c r="AV1460" s="394"/>
      <c r="AW1460" s="394"/>
      <c r="AX1460" s="394"/>
      <c r="AY1460" s="394"/>
      <c r="AZ1460" s="394"/>
      <c r="BA1460" s="394"/>
      <c r="BB1460" s="394"/>
      <c r="BC1460" s="394"/>
      <c r="BD1460" s="394"/>
      <c r="BE1460" s="394"/>
      <c r="BF1460" s="394"/>
      <c r="BG1460" s="394"/>
      <c r="BH1460" s="394"/>
      <c r="BI1460" s="394"/>
      <c r="BJ1460" s="394"/>
      <c r="BK1460" s="394"/>
      <c r="BL1460" s="394"/>
      <c r="BM1460" s="394"/>
      <c r="BN1460" s="394"/>
      <c r="BO1460" s="394"/>
      <c r="BP1460" s="394"/>
      <c r="BQ1460" s="394"/>
      <c r="BR1460" s="394"/>
      <c r="BS1460" s="394"/>
      <c r="BT1460" s="394"/>
      <c r="BU1460" s="394"/>
      <c r="BV1460" s="394"/>
      <c r="BW1460" s="394"/>
      <c r="BX1460" s="394"/>
      <c r="BY1460" s="394"/>
    </row>
    <row r="1461" spans="1:77" s="205" customFormat="1" ht="11.25" customHeight="1">
      <c r="A1461" s="379"/>
      <c r="B1461" s="379" t="s">
        <v>291</v>
      </c>
      <c r="C1461" s="381"/>
      <c r="D1461" s="381"/>
      <c r="E1461" s="382" t="s">
        <v>1248</v>
      </c>
      <c r="F1461" s="379" t="s">
        <v>223</v>
      </c>
      <c r="G1461" s="383">
        <v>3628</v>
      </c>
      <c r="H1461" s="379" t="s">
        <v>765</v>
      </c>
      <c r="I1461" s="379" t="s">
        <v>961</v>
      </c>
      <c r="J1461" s="385">
        <v>8217.2199999999993</v>
      </c>
      <c r="K1461" s="384"/>
      <c r="L1461" s="385">
        <v>10.19</v>
      </c>
      <c r="M1461" s="385">
        <v>10.19</v>
      </c>
      <c r="N1461" s="386"/>
      <c r="O1461" s="387">
        <v>0.15</v>
      </c>
      <c r="P1461" s="387"/>
      <c r="Q1461" s="386">
        <v>0</v>
      </c>
      <c r="R1461" s="379" t="s">
        <v>73</v>
      </c>
      <c r="S1461" s="388" t="s">
        <v>113</v>
      </c>
      <c r="T1461" s="388">
        <v>82</v>
      </c>
      <c r="U1461" s="389" t="s">
        <v>164</v>
      </c>
      <c r="V1461" s="433"/>
      <c r="W1461" s="379"/>
      <c r="X1461" s="386">
        <v>0</v>
      </c>
      <c r="Y1461" s="386"/>
      <c r="Z1461" s="379"/>
      <c r="AA1461" s="379"/>
      <c r="AB1461" s="379"/>
      <c r="AC1461" s="379"/>
      <c r="AD1461" s="379"/>
      <c r="AE1461" s="379"/>
      <c r="AF1461" s="379"/>
      <c r="AG1461" s="379"/>
      <c r="AH1461" s="379"/>
      <c r="AI1461" s="379"/>
      <c r="AJ1461" s="390">
        <v>0</v>
      </c>
      <c r="AK1461" s="394"/>
      <c r="AL1461" s="394"/>
      <c r="AM1461" s="394"/>
      <c r="AN1461" s="394"/>
      <c r="AO1461" s="394"/>
      <c r="AP1461" s="394"/>
      <c r="AQ1461" s="394"/>
      <c r="AR1461" s="394"/>
      <c r="AS1461" s="394"/>
      <c r="AT1461" s="394"/>
      <c r="AU1461" s="394"/>
      <c r="AV1461" s="394"/>
      <c r="AW1461" s="394"/>
      <c r="AX1461" s="394"/>
      <c r="AY1461" s="394"/>
      <c r="AZ1461" s="394"/>
      <c r="BA1461" s="394"/>
      <c r="BB1461" s="394"/>
      <c r="BC1461" s="394"/>
      <c r="BD1461" s="394"/>
      <c r="BE1461" s="394"/>
      <c r="BF1461" s="394"/>
      <c r="BG1461" s="394"/>
      <c r="BH1461" s="394"/>
      <c r="BI1461" s="394"/>
      <c r="BJ1461" s="394"/>
      <c r="BK1461" s="394"/>
      <c r="BL1461" s="394"/>
      <c r="BM1461" s="394"/>
      <c r="BN1461" s="394"/>
      <c r="BO1461" s="394"/>
      <c r="BP1461" s="394"/>
      <c r="BQ1461" s="394"/>
      <c r="BR1461" s="394"/>
      <c r="BS1461" s="394"/>
      <c r="BT1461" s="394"/>
      <c r="BU1461" s="394"/>
      <c r="BV1461" s="394"/>
      <c r="BW1461" s="394"/>
      <c r="BX1461" s="394"/>
      <c r="BY1461" s="394"/>
    </row>
    <row r="1462" spans="1:77" s="205" customFormat="1" ht="11.25" customHeight="1">
      <c r="B1462" s="205" t="s">
        <v>291</v>
      </c>
      <c r="C1462" s="207">
        <v>44701</v>
      </c>
      <c r="D1462" s="207">
        <v>44701</v>
      </c>
      <c r="E1462" s="208" t="s">
        <v>1248</v>
      </c>
      <c r="F1462" s="205" t="s">
        <v>223</v>
      </c>
      <c r="G1462" s="209">
        <v>3628</v>
      </c>
      <c r="H1462" s="205" t="s">
        <v>27</v>
      </c>
      <c r="I1462" s="205" t="s">
        <v>961</v>
      </c>
      <c r="J1462" s="210">
        <v>3593.05</v>
      </c>
      <c r="K1462" s="219"/>
      <c r="L1462" s="210">
        <v>3.09</v>
      </c>
      <c r="M1462" s="210">
        <v>3.09</v>
      </c>
      <c r="N1462" s="213"/>
      <c r="O1462" s="212">
        <v>0.15</v>
      </c>
      <c r="P1462" s="212"/>
      <c r="Q1462" s="213">
        <v>185.96</v>
      </c>
      <c r="R1462" s="205" t="s">
        <v>73</v>
      </c>
      <c r="S1462" s="214" t="s">
        <v>113</v>
      </c>
      <c r="T1462" s="214">
        <v>82</v>
      </c>
      <c r="U1462" s="215" t="s">
        <v>164</v>
      </c>
      <c r="V1462" s="438"/>
      <c r="X1462" s="213">
        <v>185.96</v>
      </c>
      <c r="Y1462" s="213"/>
      <c r="AF1462" s="230">
        <f t="shared" ref="AF1462:AF1467" si="23">X1462</f>
        <v>185.96</v>
      </c>
      <c r="AJ1462" s="216"/>
      <c r="AK1462" s="218"/>
      <c r="AL1462" s="218"/>
      <c r="AM1462" s="218"/>
      <c r="AN1462" s="218"/>
      <c r="AO1462" s="218"/>
      <c r="AP1462" s="218"/>
      <c r="AQ1462" s="218"/>
      <c r="AR1462" s="218"/>
      <c r="AS1462" s="218"/>
      <c r="AT1462" s="218"/>
      <c r="AU1462" s="218"/>
      <c r="AV1462" s="218"/>
      <c r="AW1462" s="218"/>
      <c r="AX1462" s="218"/>
      <c r="AY1462" s="218"/>
      <c r="AZ1462" s="218"/>
      <c r="BA1462" s="218"/>
      <c r="BB1462" s="218"/>
      <c r="BC1462" s="218"/>
      <c r="BD1462" s="218"/>
      <c r="BE1462" s="218"/>
      <c r="BF1462" s="218"/>
      <c r="BG1462" s="218"/>
      <c r="BH1462" s="218"/>
      <c r="BI1462" s="218"/>
      <c r="BJ1462" s="218"/>
      <c r="BK1462" s="218"/>
      <c r="BL1462" s="218"/>
      <c r="BM1462" s="218"/>
      <c r="BN1462" s="218"/>
      <c r="BO1462" s="218"/>
      <c r="BP1462" s="218"/>
      <c r="BQ1462" s="218"/>
      <c r="BR1462" s="218"/>
      <c r="BS1462" s="218"/>
      <c r="BT1462" s="218"/>
      <c r="BU1462" s="218"/>
      <c r="BV1462" s="218"/>
      <c r="BW1462" s="218"/>
      <c r="BX1462" s="218"/>
      <c r="BY1462" s="218"/>
    </row>
    <row r="1463" spans="1:77" s="205" customFormat="1" ht="11.25" customHeight="1">
      <c r="B1463" s="205" t="s">
        <v>291</v>
      </c>
      <c r="C1463" s="207"/>
      <c r="D1463" s="207"/>
      <c r="E1463" s="208" t="s">
        <v>1248</v>
      </c>
      <c r="F1463" s="205" t="s">
        <v>223</v>
      </c>
      <c r="G1463" s="209">
        <v>3628</v>
      </c>
      <c r="H1463" s="205" t="s">
        <v>140</v>
      </c>
      <c r="I1463" s="205" t="s">
        <v>961</v>
      </c>
      <c r="J1463" s="210">
        <v>11422.32</v>
      </c>
      <c r="L1463" s="210">
        <v>10.46</v>
      </c>
      <c r="M1463" s="210">
        <v>10.46</v>
      </c>
      <c r="O1463" s="212">
        <v>0.15</v>
      </c>
      <c r="P1463" s="212"/>
      <c r="Q1463" s="213">
        <v>1543.9</v>
      </c>
      <c r="R1463" s="205" t="s">
        <v>73</v>
      </c>
      <c r="S1463" s="214" t="s">
        <v>113</v>
      </c>
      <c r="T1463" s="214">
        <v>31</v>
      </c>
      <c r="U1463" s="215" t="s">
        <v>164</v>
      </c>
      <c r="V1463" s="455">
        <v>1543.9</v>
      </c>
      <c r="X1463" s="213">
        <v>1543.9</v>
      </c>
      <c r="Y1463" s="213"/>
      <c r="AF1463" s="230">
        <f t="shared" si="23"/>
        <v>1543.9</v>
      </c>
      <c r="AJ1463" s="216"/>
      <c r="AK1463" s="218"/>
      <c r="AL1463" s="218"/>
      <c r="AM1463" s="218"/>
      <c r="AN1463" s="218"/>
      <c r="AO1463" s="218"/>
      <c r="AP1463" s="218"/>
      <c r="AQ1463" s="218"/>
      <c r="AR1463" s="218"/>
      <c r="AS1463" s="218"/>
      <c r="AT1463" s="218"/>
      <c r="AU1463" s="218"/>
      <c r="AV1463" s="218"/>
      <c r="AW1463" s="218"/>
      <c r="AX1463" s="218"/>
      <c r="AY1463" s="218"/>
      <c r="AZ1463" s="218"/>
      <c r="BA1463" s="218"/>
      <c r="BB1463" s="218"/>
      <c r="BC1463" s="218"/>
      <c r="BD1463" s="218"/>
      <c r="BE1463" s="218"/>
      <c r="BF1463" s="218"/>
      <c r="BG1463" s="218"/>
      <c r="BH1463" s="218"/>
      <c r="BI1463" s="218"/>
      <c r="BJ1463" s="218"/>
      <c r="BK1463" s="218"/>
      <c r="BL1463" s="218"/>
      <c r="BM1463" s="218"/>
      <c r="BN1463" s="218"/>
      <c r="BO1463" s="218"/>
      <c r="BP1463" s="218"/>
      <c r="BQ1463" s="218"/>
      <c r="BR1463" s="218"/>
      <c r="BS1463" s="218"/>
      <c r="BT1463" s="218"/>
      <c r="BU1463" s="218"/>
      <c r="BV1463" s="218"/>
      <c r="BW1463" s="218"/>
      <c r="BX1463" s="218"/>
      <c r="BY1463" s="218"/>
    </row>
    <row r="1464" spans="1:77" s="205" customFormat="1" ht="11.25" customHeight="1">
      <c r="B1464" s="205" t="s">
        <v>291</v>
      </c>
      <c r="C1464" s="207"/>
      <c r="D1464" s="207"/>
      <c r="E1464" s="208" t="s">
        <v>1248</v>
      </c>
      <c r="F1464" s="205" t="s">
        <v>223</v>
      </c>
      <c r="G1464" s="209">
        <v>3628</v>
      </c>
      <c r="H1464" s="205" t="s">
        <v>99</v>
      </c>
      <c r="I1464" s="205" t="s">
        <v>961</v>
      </c>
      <c r="J1464" s="210">
        <v>14414.11</v>
      </c>
      <c r="L1464" s="210">
        <v>14.94</v>
      </c>
      <c r="M1464" s="210">
        <v>14.94</v>
      </c>
      <c r="O1464" s="212">
        <v>0.15</v>
      </c>
      <c r="P1464" s="212"/>
      <c r="Q1464" s="213">
        <v>0</v>
      </c>
      <c r="R1464" s="205" t="s">
        <v>73</v>
      </c>
      <c r="S1464" s="214" t="s">
        <v>113</v>
      </c>
      <c r="T1464" s="214">
        <v>31</v>
      </c>
      <c r="U1464" s="215" t="s">
        <v>164</v>
      </c>
      <c r="V1464" s="438"/>
      <c r="W1464" s="205" t="s">
        <v>3162</v>
      </c>
      <c r="X1464" s="213">
        <v>0</v>
      </c>
      <c r="Y1464" s="213"/>
      <c r="AF1464" s="230">
        <f t="shared" si="23"/>
        <v>0</v>
      </c>
      <c r="AJ1464" s="216"/>
      <c r="AK1464" s="218"/>
      <c r="AL1464" s="218"/>
      <c r="AM1464" s="218"/>
      <c r="AN1464" s="218"/>
      <c r="AO1464" s="218"/>
      <c r="AP1464" s="218"/>
      <c r="AQ1464" s="218"/>
      <c r="AR1464" s="218"/>
      <c r="AS1464" s="218"/>
      <c r="AT1464" s="218"/>
      <c r="AU1464" s="218"/>
      <c r="AV1464" s="218"/>
      <c r="AW1464" s="218"/>
      <c r="AX1464" s="218"/>
      <c r="AY1464" s="218"/>
      <c r="AZ1464" s="218"/>
      <c r="BA1464" s="218"/>
      <c r="BB1464" s="218"/>
      <c r="BC1464" s="218"/>
      <c r="BD1464" s="218"/>
      <c r="BE1464" s="218"/>
      <c r="BF1464" s="218"/>
      <c r="BG1464" s="218"/>
      <c r="BH1464" s="218"/>
      <c r="BI1464" s="218"/>
      <c r="BJ1464" s="218"/>
      <c r="BK1464" s="218"/>
      <c r="BL1464" s="218"/>
      <c r="BM1464" s="218"/>
      <c r="BN1464" s="218"/>
      <c r="BO1464" s="218"/>
      <c r="BP1464" s="218"/>
      <c r="BQ1464" s="218"/>
      <c r="BR1464" s="218"/>
      <c r="BS1464" s="218"/>
      <c r="BT1464" s="218"/>
      <c r="BU1464" s="218"/>
      <c r="BV1464" s="218"/>
      <c r="BW1464" s="218"/>
      <c r="BX1464" s="218"/>
      <c r="BY1464" s="218"/>
    </row>
    <row r="1465" spans="1:77" s="205" customFormat="1" ht="11.25" customHeight="1">
      <c r="B1465" s="205" t="s">
        <v>291</v>
      </c>
      <c r="C1465" s="207"/>
      <c r="D1465" s="207"/>
      <c r="E1465" s="208" t="s">
        <v>1248</v>
      </c>
      <c r="F1465" s="205" t="s">
        <v>223</v>
      </c>
      <c r="G1465" s="209">
        <v>3628</v>
      </c>
      <c r="H1465" s="205" t="s">
        <v>27</v>
      </c>
      <c r="I1465" s="205" t="s">
        <v>961</v>
      </c>
      <c r="J1465" s="210">
        <v>15186.78</v>
      </c>
      <c r="L1465" s="210">
        <v>14.18</v>
      </c>
      <c r="M1465" s="210">
        <v>14.18</v>
      </c>
      <c r="O1465" s="212">
        <v>0.15</v>
      </c>
      <c r="P1465" s="212"/>
      <c r="Q1465" s="213">
        <v>1048.6099999999999</v>
      </c>
      <c r="R1465" s="205" t="s">
        <v>73</v>
      </c>
      <c r="S1465" s="214" t="s">
        <v>113</v>
      </c>
      <c r="T1465" s="214">
        <v>31</v>
      </c>
      <c r="U1465" s="215" t="s">
        <v>164</v>
      </c>
      <c r="V1465" s="438"/>
      <c r="X1465" s="213">
        <v>1048.6099999999999</v>
      </c>
      <c r="Y1465" s="213"/>
      <c r="AF1465" s="230">
        <f t="shared" si="23"/>
        <v>1048.6099999999999</v>
      </c>
      <c r="AJ1465" s="216"/>
      <c r="AK1465" s="218"/>
      <c r="AL1465" s="218"/>
      <c r="AM1465" s="218"/>
      <c r="AN1465" s="218"/>
      <c r="AO1465" s="218"/>
      <c r="AP1465" s="218"/>
      <c r="AQ1465" s="218"/>
      <c r="AR1465" s="218"/>
      <c r="AS1465" s="218"/>
      <c r="AT1465" s="218"/>
      <c r="AU1465" s="218"/>
      <c r="AV1465" s="218"/>
      <c r="AW1465" s="218"/>
      <c r="AX1465" s="218"/>
      <c r="AY1465" s="218"/>
      <c r="AZ1465" s="218"/>
      <c r="BA1465" s="218"/>
      <c r="BB1465" s="218"/>
      <c r="BC1465" s="218"/>
      <c r="BD1465" s="218"/>
      <c r="BE1465" s="218"/>
      <c r="BF1465" s="218"/>
      <c r="BG1465" s="218"/>
      <c r="BH1465" s="218"/>
      <c r="BI1465" s="218"/>
      <c r="BJ1465" s="218"/>
      <c r="BK1465" s="218"/>
      <c r="BL1465" s="218"/>
      <c r="BM1465" s="218"/>
      <c r="BN1465" s="218"/>
      <c r="BO1465" s="218"/>
      <c r="BP1465" s="218"/>
      <c r="BQ1465" s="218"/>
      <c r="BR1465" s="218"/>
      <c r="BS1465" s="218"/>
      <c r="BT1465" s="218"/>
      <c r="BU1465" s="218"/>
      <c r="BV1465" s="218"/>
      <c r="BW1465" s="218"/>
      <c r="BX1465" s="218"/>
      <c r="BY1465" s="218"/>
    </row>
    <row r="1466" spans="1:77" s="205" customFormat="1" ht="11.25" customHeight="1">
      <c r="B1466" s="205" t="s">
        <v>291</v>
      </c>
      <c r="C1466" s="207"/>
      <c r="D1466" s="207"/>
      <c r="E1466" s="208" t="s">
        <v>1248</v>
      </c>
      <c r="F1466" s="205" t="s">
        <v>223</v>
      </c>
      <c r="G1466" s="209">
        <v>3628</v>
      </c>
      <c r="H1466" s="205" t="s">
        <v>138</v>
      </c>
      <c r="I1466" s="205" t="s">
        <v>961</v>
      </c>
      <c r="J1466" s="210">
        <v>11486.87</v>
      </c>
      <c r="K1466" s="219"/>
      <c r="L1466" s="210">
        <v>12.14</v>
      </c>
      <c r="M1466" s="210">
        <v>12.14</v>
      </c>
      <c r="N1466" s="213"/>
      <c r="O1466" s="212">
        <v>0.15</v>
      </c>
      <c r="P1466" s="212"/>
      <c r="Q1466" s="213">
        <v>0</v>
      </c>
      <c r="R1466" s="205" t="s">
        <v>73</v>
      </c>
      <c r="S1466" s="214" t="s">
        <v>113</v>
      </c>
      <c r="T1466" s="214">
        <v>82</v>
      </c>
      <c r="U1466" s="215" t="s">
        <v>164</v>
      </c>
      <c r="V1466" s="438"/>
      <c r="X1466" s="213">
        <v>0</v>
      </c>
      <c r="Y1466" s="213"/>
      <c r="AF1466" s="230">
        <f t="shared" si="23"/>
        <v>0</v>
      </c>
      <c r="AJ1466" s="216"/>
      <c r="AK1466" s="218"/>
      <c r="AL1466" s="218"/>
      <c r="AM1466" s="218"/>
      <c r="AN1466" s="218"/>
      <c r="AO1466" s="218"/>
      <c r="AP1466" s="218"/>
      <c r="AQ1466" s="218"/>
      <c r="AR1466" s="218"/>
      <c r="AS1466" s="218"/>
      <c r="AT1466" s="218"/>
      <c r="AU1466" s="218"/>
      <c r="AV1466" s="218"/>
      <c r="AW1466" s="218"/>
      <c r="AX1466" s="218"/>
      <c r="AY1466" s="218"/>
      <c r="AZ1466" s="218"/>
      <c r="BA1466" s="218"/>
      <c r="BB1466" s="218"/>
      <c r="BC1466" s="218"/>
      <c r="BD1466" s="218"/>
      <c r="BE1466" s="218"/>
      <c r="BF1466" s="218"/>
      <c r="BG1466" s="218"/>
      <c r="BH1466" s="218"/>
      <c r="BI1466" s="218"/>
      <c r="BJ1466" s="218"/>
      <c r="BK1466" s="218"/>
      <c r="BL1466" s="218"/>
      <c r="BM1466" s="218"/>
      <c r="BN1466" s="218"/>
      <c r="BO1466" s="218"/>
      <c r="BP1466" s="218"/>
      <c r="BQ1466" s="218"/>
      <c r="BR1466" s="218"/>
      <c r="BS1466" s="218"/>
      <c r="BT1466" s="218"/>
      <c r="BU1466" s="218"/>
      <c r="BV1466" s="218"/>
      <c r="BW1466" s="218"/>
      <c r="BX1466" s="218"/>
      <c r="BY1466" s="218"/>
    </row>
    <row r="1467" spans="1:77" s="205" customFormat="1" ht="11.25" customHeight="1">
      <c r="B1467" s="205" t="s">
        <v>291</v>
      </c>
      <c r="C1467" s="207"/>
      <c r="D1467" s="207"/>
      <c r="E1467" s="208" t="s">
        <v>1248</v>
      </c>
      <c r="F1467" s="205" t="s">
        <v>223</v>
      </c>
      <c r="G1467" s="209">
        <v>3628</v>
      </c>
      <c r="H1467" s="205" t="s">
        <v>99</v>
      </c>
      <c r="I1467" s="205" t="s">
        <v>961</v>
      </c>
      <c r="J1467" s="210">
        <v>25711.919999999998</v>
      </c>
      <c r="K1467" s="219"/>
      <c r="L1467" s="210">
        <v>26.65</v>
      </c>
      <c r="M1467" s="210">
        <v>26.65</v>
      </c>
      <c r="N1467" s="213"/>
      <c r="O1467" s="212">
        <v>0.15</v>
      </c>
      <c r="P1467" s="212"/>
      <c r="Q1467" s="213">
        <v>0</v>
      </c>
      <c r="R1467" s="205" t="s">
        <v>73</v>
      </c>
      <c r="S1467" s="214" t="s">
        <v>113</v>
      </c>
      <c r="T1467" s="214">
        <v>82</v>
      </c>
      <c r="U1467" s="215" t="s">
        <v>164</v>
      </c>
      <c r="V1467" s="438"/>
      <c r="X1467" s="213">
        <v>0</v>
      </c>
      <c r="Y1467" s="213"/>
      <c r="AF1467" s="230">
        <f t="shared" si="23"/>
        <v>0</v>
      </c>
      <c r="AJ1467" s="216"/>
      <c r="AK1467" s="218"/>
      <c r="AL1467" s="218"/>
      <c r="AM1467" s="218"/>
      <c r="AN1467" s="218"/>
      <c r="AO1467" s="218"/>
      <c r="AP1467" s="218"/>
      <c r="AQ1467" s="218"/>
      <c r="AR1467" s="218"/>
      <c r="AS1467" s="218"/>
      <c r="AT1467" s="218"/>
      <c r="AU1467" s="218"/>
      <c r="AV1467" s="218"/>
      <c r="AW1467" s="218"/>
      <c r="AX1467" s="218"/>
      <c r="AY1467" s="218"/>
      <c r="AZ1467" s="218"/>
      <c r="BA1467" s="218"/>
      <c r="BB1467" s="218"/>
      <c r="BC1467" s="218"/>
      <c r="BD1467" s="218"/>
      <c r="BE1467" s="218"/>
      <c r="BF1467" s="218"/>
      <c r="BG1467" s="218"/>
      <c r="BH1467" s="218"/>
      <c r="BI1467" s="218"/>
      <c r="BJ1467" s="218"/>
      <c r="BK1467" s="218"/>
      <c r="BL1467" s="218"/>
      <c r="BM1467" s="218"/>
      <c r="BN1467" s="218"/>
      <c r="BO1467" s="218"/>
      <c r="BP1467" s="218"/>
      <c r="BQ1467" s="218"/>
      <c r="BR1467" s="218"/>
      <c r="BS1467" s="218"/>
      <c r="BT1467" s="218"/>
      <c r="BU1467" s="218"/>
      <c r="BV1467" s="218"/>
      <c r="BW1467" s="218"/>
      <c r="BX1467" s="218"/>
      <c r="BY1467" s="218"/>
    </row>
    <row r="1468" spans="1:77" s="6" customFormat="1" ht="11.25" customHeight="1">
      <c r="A1468" s="546"/>
      <c r="B1468" s="546" t="s">
        <v>291</v>
      </c>
      <c r="C1468" s="547">
        <v>44701</v>
      </c>
      <c r="D1468" s="547">
        <v>44701</v>
      </c>
      <c r="E1468" s="548" t="s">
        <v>1249</v>
      </c>
      <c r="F1468" s="546" t="s">
        <v>1250</v>
      </c>
      <c r="G1468" s="549" t="s">
        <v>1251</v>
      </c>
      <c r="H1468" s="546" t="s">
        <v>898</v>
      </c>
      <c r="I1468" s="546" t="s">
        <v>33</v>
      </c>
      <c r="J1468" s="550">
        <v>27592.36</v>
      </c>
      <c r="K1468" s="551"/>
      <c r="L1468" s="550">
        <v>20.39</v>
      </c>
      <c r="M1468" s="550">
        <v>20.39</v>
      </c>
      <c r="N1468" s="552"/>
      <c r="O1468" s="553">
        <v>0.25</v>
      </c>
      <c r="P1468" s="553"/>
      <c r="Q1468" s="552">
        <v>12253.63</v>
      </c>
      <c r="R1468" s="546" t="s">
        <v>128</v>
      </c>
      <c r="S1468" s="554" t="s">
        <v>41</v>
      </c>
      <c r="T1468" s="554">
        <v>79</v>
      </c>
      <c r="U1468" s="555" t="s">
        <v>164</v>
      </c>
      <c r="V1468" s="556"/>
      <c r="W1468" s="546"/>
      <c r="X1468" s="552">
        <v>12253.63</v>
      </c>
      <c r="Y1468" s="552"/>
      <c r="Z1468" s="546"/>
      <c r="AA1468" s="546"/>
      <c r="AB1468" s="546"/>
      <c r="AC1468" s="546"/>
      <c r="AD1468" s="546"/>
      <c r="AE1468" s="546"/>
      <c r="AF1468" s="546"/>
      <c r="AG1468" s="546"/>
      <c r="AH1468" s="546"/>
      <c r="AI1468" s="546"/>
      <c r="AJ1468" s="557"/>
      <c r="AK1468" s="558"/>
      <c r="AL1468" s="558"/>
      <c r="AM1468" s="577">
        <v>12253.63</v>
      </c>
      <c r="AN1468" s="558"/>
      <c r="AO1468" s="558"/>
      <c r="AP1468" s="558"/>
      <c r="AQ1468" s="558"/>
      <c r="AR1468" s="558"/>
      <c r="AS1468" s="558"/>
      <c r="AT1468" s="558"/>
      <c r="AU1468" s="558"/>
      <c r="AV1468" s="558"/>
      <c r="AW1468" s="558"/>
      <c r="AX1468" s="558"/>
      <c r="AY1468" s="558"/>
      <c r="AZ1468" s="558"/>
      <c r="BA1468" s="558"/>
      <c r="BB1468" s="558"/>
      <c r="BC1468" s="558"/>
      <c r="BD1468" s="558"/>
      <c r="BE1468" s="558"/>
      <c r="BF1468" s="558"/>
      <c r="BG1468" s="558"/>
      <c r="BH1468" s="558"/>
      <c r="BI1468" s="558"/>
      <c r="BJ1468" s="558"/>
      <c r="BK1468" s="558"/>
      <c r="BL1468" s="558"/>
      <c r="BM1468" s="558"/>
      <c r="BN1468" s="558"/>
      <c r="BO1468" s="558"/>
      <c r="BP1468" s="558"/>
      <c r="BQ1468" s="558"/>
      <c r="BR1468" s="558"/>
      <c r="BS1468" s="558"/>
      <c r="BT1468" s="558"/>
      <c r="BU1468" s="558"/>
      <c r="BV1468" s="558"/>
      <c r="BW1468" s="558"/>
      <c r="BX1468" s="558"/>
      <c r="BY1468" s="558"/>
    </row>
    <row r="1469" spans="1:77" s="291" customFormat="1" ht="11.25" customHeight="1">
      <c r="B1469" s="291" t="s">
        <v>291</v>
      </c>
      <c r="C1469" s="292"/>
      <c r="D1469" s="292"/>
      <c r="E1469" s="293" t="s">
        <v>1249</v>
      </c>
      <c r="F1469" s="291" t="s">
        <v>1250</v>
      </c>
      <c r="G1469" s="294" t="s">
        <v>1251</v>
      </c>
      <c r="H1469" s="291" t="s">
        <v>207</v>
      </c>
      <c r="I1469" s="291" t="s">
        <v>33</v>
      </c>
      <c r="J1469" s="296">
        <v>5086.3999999999996</v>
      </c>
      <c r="K1469" s="295"/>
      <c r="L1469" s="296">
        <v>5.78</v>
      </c>
      <c r="M1469" s="296">
        <v>5.78</v>
      </c>
      <c r="N1469" s="297"/>
      <c r="O1469" s="298">
        <v>0.25</v>
      </c>
      <c r="P1469" s="298"/>
      <c r="Q1469" s="297">
        <v>0</v>
      </c>
      <c r="R1469" s="291" t="s">
        <v>128</v>
      </c>
      <c r="S1469" s="299" t="s">
        <v>41</v>
      </c>
      <c r="T1469" s="299">
        <v>79</v>
      </c>
      <c r="U1469" s="300" t="s">
        <v>164</v>
      </c>
      <c r="V1469" s="333"/>
      <c r="X1469" s="297">
        <v>0</v>
      </c>
      <c r="Y1469" s="297"/>
      <c r="AH1469" s="291">
        <f>X1469</f>
        <v>0</v>
      </c>
      <c r="AI1469" s="311"/>
      <c r="AJ1469" s="468"/>
      <c r="AK1469" s="303"/>
      <c r="AL1469" s="303"/>
      <c r="AM1469" s="303"/>
      <c r="AN1469" s="303"/>
      <c r="AO1469" s="303"/>
      <c r="AP1469" s="303"/>
      <c r="AQ1469" s="303"/>
      <c r="AR1469" s="303"/>
      <c r="AS1469" s="303"/>
      <c r="AT1469" s="303"/>
      <c r="AU1469" s="303"/>
      <c r="AV1469" s="303"/>
      <c r="AW1469" s="303"/>
      <c r="AX1469" s="303"/>
      <c r="AY1469" s="303"/>
      <c r="AZ1469" s="303"/>
      <c r="BA1469" s="303"/>
      <c r="BB1469" s="303"/>
      <c r="BC1469" s="303"/>
      <c r="BD1469" s="303"/>
      <c r="BE1469" s="303"/>
      <c r="BF1469" s="303"/>
      <c r="BG1469" s="303"/>
      <c r="BH1469" s="303"/>
      <c r="BI1469" s="303"/>
      <c r="BJ1469" s="303"/>
      <c r="BK1469" s="303"/>
      <c r="BL1469" s="303"/>
      <c r="BM1469" s="303"/>
      <c r="BN1469" s="303"/>
      <c r="BO1469" s="303"/>
      <c r="BP1469" s="303"/>
      <c r="BQ1469" s="303"/>
      <c r="BR1469" s="303"/>
      <c r="BS1469" s="303"/>
      <c r="BT1469" s="303"/>
      <c r="BU1469" s="303"/>
      <c r="BV1469" s="303"/>
      <c r="BW1469" s="303"/>
      <c r="BX1469" s="303"/>
      <c r="BY1469" s="303"/>
    </row>
    <row r="1470" spans="1:77" s="291" customFormat="1" ht="11.25" customHeight="1">
      <c r="B1470" s="291" t="s">
        <v>291</v>
      </c>
      <c r="C1470" s="292"/>
      <c r="D1470" s="292"/>
      <c r="E1470" s="293" t="s">
        <v>1249</v>
      </c>
      <c r="F1470" s="291" t="s">
        <v>1250</v>
      </c>
      <c r="G1470" s="294" t="s">
        <v>1251</v>
      </c>
      <c r="H1470" s="291" t="s">
        <v>163</v>
      </c>
      <c r="I1470" s="291" t="s">
        <v>33</v>
      </c>
      <c r="J1470" s="296">
        <v>14827.4</v>
      </c>
      <c r="K1470" s="295"/>
      <c r="L1470" s="296">
        <v>16.66</v>
      </c>
      <c r="M1470" s="296">
        <v>16.66</v>
      </c>
      <c r="N1470" s="297"/>
      <c r="O1470" s="298">
        <v>0.25</v>
      </c>
      <c r="P1470" s="298"/>
      <c r="Q1470" s="297">
        <v>0</v>
      </c>
      <c r="R1470" s="291" t="s">
        <v>128</v>
      </c>
      <c r="S1470" s="299" t="s">
        <v>41</v>
      </c>
      <c r="T1470" s="299">
        <v>79</v>
      </c>
      <c r="U1470" s="300" t="s">
        <v>164</v>
      </c>
      <c r="V1470" s="333"/>
      <c r="X1470" s="297">
        <v>0</v>
      </c>
      <c r="Y1470" s="297"/>
      <c r="AH1470" s="291">
        <f>X1470</f>
        <v>0</v>
      </c>
      <c r="AI1470" s="311"/>
      <c r="AJ1470" s="468"/>
      <c r="AK1470" s="303"/>
      <c r="AL1470" s="303"/>
      <c r="AM1470" s="303"/>
      <c r="AN1470" s="303"/>
      <c r="AO1470" s="303"/>
      <c r="AP1470" s="303"/>
      <c r="AQ1470" s="303"/>
      <c r="AR1470" s="303"/>
      <c r="AS1470" s="303"/>
      <c r="AT1470" s="303"/>
      <c r="AU1470" s="303"/>
      <c r="AV1470" s="303"/>
      <c r="AW1470" s="303"/>
      <c r="AX1470" s="303"/>
      <c r="AY1470" s="303"/>
      <c r="AZ1470" s="303"/>
      <c r="BA1470" s="303"/>
      <c r="BB1470" s="303"/>
      <c r="BC1470" s="303"/>
      <c r="BD1470" s="303"/>
      <c r="BE1470" s="303"/>
      <c r="BF1470" s="303"/>
      <c r="BG1470" s="303"/>
      <c r="BH1470" s="303"/>
      <c r="BI1470" s="303"/>
      <c r="BJ1470" s="303"/>
      <c r="BK1470" s="303"/>
      <c r="BL1470" s="303"/>
      <c r="BM1470" s="303"/>
      <c r="BN1470" s="303"/>
      <c r="BO1470" s="303"/>
      <c r="BP1470" s="303"/>
      <c r="BQ1470" s="303"/>
      <c r="BR1470" s="303"/>
      <c r="BS1470" s="303"/>
      <c r="BT1470" s="303"/>
      <c r="BU1470" s="303"/>
      <c r="BV1470" s="303"/>
      <c r="BW1470" s="303"/>
      <c r="BX1470" s="303"/>
      <c r="BY1470" s="303"/>
    </row>
    <row r="1471" spans="1:77" s="291" customFormat="1" ht="11.25" customHeight="1">
      <c r="B1471" s="291" t="s">
        <v>291</v>
      </c>
      <c r="C1471" s="292">
        <v>44699</v>
      </c>
      <c r="D1471" s="292">
        <v>44701</v>
      </c>
      <c r="E1471" s="293" t="s">
        <v>1252</v>
      </c>
      <c r="F1471" s="291" t="s">
        <v>1253</v>
      </c>
      <c r="G1471" s="294" t="s">
        <v>1254</v>
      </c>
      <c r="H1471" s="291" t="s">
        <v>866</v>
      </c>
      <c r="I1471" s="291" t="s">
        <v>156</v>
      </c>
      <c r="J1471" s="296">
        <v>20840.78</v>
      </c>
      <c r="K1471" s="295"/>
      <c r="L1471" s="296">
        <v>13.45</v>
      </c>
      <c r="M1471" s="296">
        <v>2.2999999999999998</v>
      </c>
      <c r="N1471" s="297">
        <v>890.96</v>
      </c>
      <c r="O1471" s="298">
        <v>0.25</v>
      </c>
      <c r="P1471" s="298">
        <v>0.1</v>
      </c>
      <c r="Q1471" s="297">
        <v>0</v>
      </c>
      <c r="R1471" s="291" t="s">
        <v>112</v>
      </c>
      <c r="S1471" s="299" t="s">
        <v>113</v>
      </c>
      <c r="T1471" s="299">
        <v>64</v>
      </c>
      <c r="U1471" s="300" t="s">
        <v>164</v>
      </c>
      <c r="V1471" s="333"/>
      <c r="W1471" s="291" t="s">
        <v>3846</v>
      </c>
      <c r="X1471" s="297">
        <v>0</v>
      </c>
      <c r="Y1471" s="297"/>
      <c r="AH1471" s="291">
        <f>X1471</f>
        <v>0</v>
      </c>
      <c r="AI1471" s="311"/>
      <c r="AJ1471" s="468"/>
      <c r="AK1471" s="303"/>
      <c r="AL1471" s="303"/>
      <c r="AM1471" s="303"/>
      <c r="AN1471" s="303"/>
      <c r="AO1471" s="303"/>
      <c r="AP1471" s="303"/>
      <c r="AQ1471" s="303"/>
      <c r="AR1471" s="303"/>
      <c r="AS1471" s="303"/>
      <c r="AT1471" s="303"/>
      <c r="AU1471" s="303"/>
      <c r="AV1471" s="303"/>
      <c r="AW1471" s="303"/>
      <c r="AX1471" s="303"/>
      <c r="AY1471" s="303"/>
      <c r="AZ1471" s="303"/>
      <c r="BA1471" s="303"/>
      <c r="BB1471" s="303"/>
      <c r="BC1471" s="303"/>
      <c r="BD1471" s="303"/>
      <c r="BE1471" s="303"/>
      <c r="BF1471" s="303"/>
      <c r="BG1471" s="303"/>
      <c r="BH1471" s="303"/>
      <c r="BI1471" s="303"/>
      <c r="BJ1471" s="303"/>
      <c r="BK1471" s="303"/>
      <c r="BL1471" s="303"/>
      <c r="BM1471" s="303"/>
      <c r="BN1471" s="303"/>
      <c r="BO1471" s="303"/>
      <c r="BP1471" s="303"/>
      <c r="BQ1471" s="303"/>
      <c r="BR1471" s="303"/>
      <c r="BS1471" s="303"/>
      <c r="BT1471" s="303"/>
      <c r="BU1471" s="303"/>
      <c r="BV1471" s="303"/>
      <c r="BW1471" s="303"/>
      <c r="BX1471" s="303"/>
      <c r="BY1471" s="303"/>
    </row>
    <row r="1472" spans="1:77" s="205" customFormat="1" ht="11.25" customHeight="1">
      <c r="B1472" s="205" t="s">
        <v>291</v>
      </c>
      <c r="C1472" s="207">
        <v>44696</v>
      </c>
      <c r="D1472" s="207">
        <v>44701</v>
      </c>
      <c r="E1472" s="208" t="s">
        <v>1255</v>
      </c>
      <c r="F1472" s="205" t="s">
        <v>1256</v>
      </c>
      <c r="G1472" s="209" t="s">
        <v>1257</v>
      </c>
      <c r="H1472" s="205" t="s">
        <v>250</v>
      </c>
      <c r="I1472" s="205" t="s">
        <v>33</v>
      </c>
      <c r="J1472" s="210">
        <v>9909.76</v>
      </c>
      <c r="K1472" s="219"/>
      <c r="L1472" s="210">
        <v>12.64</v>
      </c>
      <c r="M1472" s="210">
        <v>12.64</v>
      </c>
      <c r="N1472" s="213">
        <v>0</v>
      </c>
      <c r="O1472" s="212">
        <v>0.15</v>
      </c>
      <c r="P1472" s="212"/>
      <c r="Q1472" s="213">
        <v>0</v>
      </c>
      <c r="R1472" s="205" t="s">
        <v>281</v>
      </c>
      <c r="S1472" s="214" t="s">
        <v>1258</v>
      </c>
      <c r="T1472" s="214">
        <v>36</v>
      </c>
      <c r="U1472" s="215" t="s">
        <v>164</v>
      </c>
      <c r="V1472" s="438"/>
      <c r="W1472" s="205" t="s">
        <v>2815</v>
      </c>
      <c r="X1472" s="213">
        <v>0</v>
      </c>
      <c r="Y1472" s="213"/>
      <c r="AF1472" s="230">
        <f>X1472</f>
        <v>0</v>
      </c>
      <c r="AJ1472" s="216"/>
      <c r="AK1472" s="218"/>
      <c r="AL1472" s="218"/>
      <c r="AM1472" s="218"/>
      <c r="AN1472" s="218"/>
      <c r="AO1472" s="218"/>
      <c r="AP1472" s="218"/>
      <c r="AQ1472" s="218"/>
      <c r="AR1472" s="218"/>
      <c r="AS1472" s="218"/>
      <c r="AT1472" s="218"/>
      <c r="AU1472" s="218"/>
      <c r="AV1472" s="218"/>
      <c r="AW1472" s="218"/>
      <c r="AX1472" s="218"/>
      <c r="AY1472" s="218"/>
      <c r="AZ1472" s="218"/>
      <c r="BA1472" s="218"/>
      <c r="BB1472" s="218"/>
      <c r="BC1472" s="218"/>
      <c r="BD1472" s="218"/>
      <c r="BE1472" s="218"/>
      <c r="BF1472" s="218"/>
      <c r="BG1472" s="218"/>
      <c r="BH1472" s="218"/>
      <c r="BI1472" s="218"/>
      <c r="BJ1472" s="218"/>
      <c r="BK1472" s="218"/>
      <c r="BL1472" s="218"/>
      <c r="BM1472" s="218"/>
      <c r="BN1472" s="218"/>
      <c r="BO1472" s="218"/>
      <c r="BP1472" s="218"/>
      <c r="BQ1472" s="218"/>
      <c r="BR1472" s="218"/>
      <c r="BS1472" s="218"/>
      <c r="BT1472" s="218"/>
      <c r="BU1472" s="218"/>
      <c r="BV1472" s="218"/>
      <c r="BW1472" s="218"/>
      <c r="BX1472" s="218"/>
      <c r="BY1472" s="218"/>
    </row>
    <row r="1473" spans="1:77" s="205" customFormat="1" ht="11.25" customHeight="1">
      <c r="B1473" s="205" t="s">
        <v>291</v>
      </c>
      <c r="C1473" s="207"/>
      <c r="D1473" s="207"/>
      <c r="E1473" s="208" t="s">
        <v>1255</v>
      </c>
      <c r="F1473" s="205" t="s">
        <v>1256</v>
      </c>
      <c r="G1473" s="209" t="s">
        <v>1257</v>
      </c>
      <c r="H1473" s="205" t="s">
        <v>157</v>
      </c>
      <c r="I1473" s="205" t="s">
        <v>33</v>
      </c>
      <c r="J1473" s="210">
        <v>27654.9</v>
      </c>
      <c r="K1473" s="219"/>
      <c r="L1473" s="210">
        <v>20.260000000000002</v>
      </c>
      <c r="M1473" s="210">
        <v>20.260000000000002</v>
      </c>
      <c r="N1473" s="213">
        <v>0</v>
      </c>
      <c r="O1473" s="212">
        <v>0.15</v>
      </c>
      <c r="P1473" s="212"/>
      <c r="Q1473" s="213">
        <v>0</v>
      </c>
      <c r="R1473" s="205" t="s">
        <v>281</v>
      </c>
      <c r="S1473" s="214" t="s">
        <v>1258</v>
      </c>
      <c r="T1473" s="214">
        <v>36</v>
      </c>
      <c r="U1473" s="215" t="s">
        <v>164</v>
      </c>
      <c r="V1473" s="438"/>
      <c r="W1473" s="205" t="s">
        <v>2815</v>
      </c>
      <c r="X1473" s="213">
        <v>0</v>
      </c>
      <c r="Y1473" s="213"/>
      <c r="AF1473" s="230">
        <f>X1473</f>
        <v>0</v>
      </c>
      <c r="AJ1473" s="216"/>
      <c r="AK1473" s="218"/>
      <c r="AL1473" s="218"/>
      <c r="AM1473" s="218"/>
      <c r="AN1473" s="218"/>
      <c r="AO1473" s="218"/>
      <c r="AP1473" s="218"/>
      <c r="AQ1473" s="218"/>
      <c r="AR1473" s="218"/>
      <c r="AS1473" s="218"/>
      <c r="AT1473" s="218"/>
      <c r="AU1473" s="218"/>
      <c r="AV1473" s="218"/>
      <c r="AW1473" s="218"/>
      <c r="AX1473" s="218"/>
      <c r="AY1473" s="218"/>
      <c r="AZ1473" s="218"/>
      <c r="BA1473" s="218"/>
      <c r="BB1473" s="218"/>
      <c r="BC1473" s="218"/>
      <c r="BD1473" s="218"/>
      <c r="BE1473" s="218"/>
      <c r="BF1473" s="218"/>
      <c r="BG1473" s="218"/>
      <c r="BH1473" s="218"/>
      <c r="BI1473" s="218"/>
      <c r="BJ1473" s="218"/>
      <c r="BK1473" s="218"/>
      <c r="BL1473" s="218"/>
      <c r="BM1473" s="218"/>
      <c r="BN1473" s="218"/>
      <c r="BO1473" s="218"/>
      <c r="BP1473" s="218"/>
      <c r="BQ1473" s="218"/>
      <c r="BR1473" s="218"/>
      <c r="BS1473" s="218"/>
      <c r="BT1473" s="218"/>
      <c r="BU1473" s="218"/>
      <c r="BV1473" s="218"/>
      <c r="BW1473" s="218"/>
      <c r="BX1473" s="218"/>
      <c r="BY1473" s="218"/>
    </row>
    <row r="1474" spans="1:77" s="379" customFormat="1" ht="11.25" customHeight="1">
      <c r="B1474" s="380" t="s">
        <v>291</v>
      </c>
      <c r="C1474" s="381"/>
      <c r="D1474" s="381"/>
      <c r="E1474" s="382" t="s">
        <v>1259</v>
      </c>
      <c r="F1474" s="379" t="s">
        <v>182</v>
      </c>
      <c r="G1474" s="383">
        <v>3842</v>
      </c>
      <c r="H1474" s="379" t="s">
        <v>910</v>
      </c>
      <c r="I1474" s="379" t="s">
        <v>888</v>
      </c>
      <c r="J1474" s="385">
        <v>52744.7</v>
      </c>
      <c r="K1474" s="384"/>
      <c r="L1474" s="385">
        <v>29.86</v>
      </c>
      <c r="M1474" s="385">
        <v>29.86</v>
      </c>
      <c r="N1474" s="386"/>
      <c r="O1474" s="387">
        <v>0.15</v>
      </c>
      <c r="P1474" s="387"/>
      <c r="Q1474" s="386">
        <v>0</v>
      </c>
      <c r="R1474" s="379" t="s">
        <v>73</v>
      </c>
      <c r="S1474" s="388" t="s">
        <v>113</v>
      </c>
      <c r="T1474" s="388">
        <v>31</v>
      </c>
      <c r="U1474" s="389" t="s">
        <v>164</v>
      </c>
      <c r="V1474" s="433"/>
      <c r="X1474" s="386">
        <v>0</v>
      </c>
      <c r="Y1474" s="386"/>
      <c r="AJ1474" s="390">
        <v>0</v>
      </c>
      <c r="AK1474" s="394"/>
      <c r="AL1474" s="394"/>
      <c r="AM1474" s="394"/>
      <c r="AN1474" s="394"/>
      <c r="AO1474" s="394"/>
      <c r="AP1474" s="394"/>
      <c r="AQ1474" s="394"/>
      <c r="AR1474" s="394"/>
      <c r="AS1474" s="394"/>
      <c r="AT1474" s="394"/>
      <c r="AU1474" s="394"/>
      <c r="AV1474" s="394"/>
      <c r="AW1474" s="394"/>
      <c r="AX1474" s="394"/>
      <c r="AY1474" s="394"/>
      <c r="AZ1474" s="394"/>
      <c r="BA1474" s="394"/>
      <c r="BB1474" s="394"/>
      <c r="BC1474" s="394"/>
      <c r="BD1474" s="394"/>
      <c r="BE1474" s="394"/>
      <c r="BF1474" s="394"/>
      <c r="BG1474" s="394"/>
      <c r="BH1474" s="394"/>
      <c r="BI1474" s="394"/>
      <c r="BJ1474" s="394"/>
      <c r="BK1474" s="394"/>
      <c r="BL1474" s="394"/>
      <c r="BM1474" s="394"/>
      <c r="BN1474" s="394"/>
      <c r="BO1474" s="394"/>
      <c r="BP1474" s="394"/>
      <c r="BQ1474" s="394"/>
      <c r="BR1474" s="394"/>
      <c r="BS1474" s="394"/>
      <c r="BT1474" s="394"/>
      <c r="BU1474" s="394"/>
      <c r="BV1474" s="394"/>
      <c r="BW1474" s="394"/>
      <c r="BX1474" s="394"/>
      <c r="BY1474" s="394"/>
    </row>
    <row r="1475" spans="1:77" s="205" customFormat="1" ht="11.25" customHeight="1">
      <c r="B1475" s="206" t="s">
        <v>291</v>
      </c>
      <c r="C1475" s="207">
        <v>44701</v>
      </c>
      <c r="D1475" s="207">
        <v>44701</v>
      </c>
      <c r="E1475" s="208" t="s">
        <v>1259</v>
      </c>
      <c r="F1475" s="205" t="s">
        <v>182</v>
      </c>
      <c r="G1475" s="209">
        <v>3842</v>
      </c>
      <c r="H1475" s="205" t="s">
        <v>163</v>
      </c>
      <c r="I1475" s="205" t="s">
        <v>888</v>
      </c>
      <c r="J1475" s="210">
        <v>3286.14</v>
      </c>
      <c r="K1475" s="219"/>
      <c r="L1475" s="210">
        <v>5.72</v>
      </c>
      <c r="M1475" s="210">
        <v>5.72</v>
      </c>
      <c r="N1475" s="213"/>
      <c r="O1475" s="212">
        <v>0.15</v>
      </c>
      <c r="P1475" s="212"/>
      <c r="Q1475" s="213">
        <v>929.92</v>
      </c>
      <c r="R1475" s="205" t="s">
        <v>73</v>
      </c>
      <c r="S1475" s="214" t="s">
        <v>113</v>
      </c>
      <c r="T1475" s="214">
        <v>31</v>
      </c>
      <c r="U1475" s="215" t="s">
        <v>164</v>
      </c>
      <c r="V1475" s="438"/>
      <c r="X1475" s="213">
        <v>929.92</v>
      </c>
      <c r="Y1475" s="213"/>
      <c r="AF1475" s="230">
        <f>X1475</f>
        <v>929.92</v>
      </c>
      <c r="AJ1475" s="216"/>
      <c r="AK1475" s="218"/>
      <c r="AL1475" s="218"/>
      <c r="AM1475" s="218"/>
      <c r="AN1475" s="218"/>
      <c r="AO1475" s="218"/>
      <c r="AP1475" s="218"/>
      <c r="AQ1475" s="218"/>
      <c r="AR1475" s="218"/>
      <c r="AS1475" s="218"/>
      <c r="AT1475" s="218"/>
      <c r="AU1475" s="218"/>
      <c r="AV1475" s="218"/>
      <c r="AW1475" s="218"/>
      <c r="AX1475" s="218"/>
      <c r="AY1475" s="218"/>
      <c r="AZ1475" s="218"/>
      <c r="BA1475" s="218"/>
      <c r="BB1475" s="218"/>
      <c r="BC1475" s="218"/>
      <c r="BD1475" s="218"/>
      <c r="BE1475" s="218"/>
      <c r="BF1475" s="218"/>
      <c r="BG1475" s="218"/>
      <c r="BH1475" s="218"/>
      <c r="BI1475" s="218"/>
      <c r="BJ1475" s="218"/>
      <c r="BK1475" s="218"/>
      <c r="BL1475" s="218"/>
      <c r="BM1475" s="218"/>
      <c r="BN1475" s="218"/>
      <c r="BO1475" s="218"/>
      <c r="BP1475" s="218"/>
      <c r="BQ1475" s="218"/>
      <c r="BR1475" s="218"/>
      <c r="BS1475" s="218"/>
      <c r="BT1475" s="218"/>
      <c r="BU1475" s="218"/>
      <c r="BV1475" s="218"/>
      <c r="BW1475" s="218"/>
      <c r="BX1475" s="218"/>
      <c r="BY1475" s="218"/>
    </row>
    <row r="1476" spans="1:77" s="205" customFormat="1" ht="11.25" customHeight="1">
      <c r="B1476" s="206" t="s">
        <v>291</v>
      </c>
      <c r="C1476" s="207"/>
      <c r="D1476" s="207"/>
      <c r="E1476" s="208" t="s">
        <v>1259</v>
      </c>
      <c r="F1476" s="205" t="s">
        <v>182</v>
      </c>
      <c r="G1476" s="209">
        <v>3842</v>
      </c>
      <c r="H1476" s="205" t="s">
        <v>99</v>
      </c>
      <c r="I1476" s="205" t="s">
        <v>888</v>
      </c>
      <c r="J1476" s="210">
        <v>95901.35</v>
      </c>
      <c r="K1476" s="219"/>
      <c r="L1476" s="210">
        <v>89.93</v>
      </c>
      <c r="M1476" s="210">
        <v>89.93</v>
      </c>
      <c r="N1476" s="213"/>
      <c r="O1476" s="212">
        <v>0.15</v>
      </c>
      <c r="P1476" s="212"/>
      <c r="Q1476" s="213">
        <v>2629.55</v>
      </c>
      <c r="R1476" s="205" t="s">
        <v>73</v>
      </c>
      <c r="S1476" s="214" t="s">
        <v>113</v>
      </c>
      <c r="T1476" s="214">
        <v>31</v>
      </c>
      <c r="U1476" s="215" t="s">
        <v>164</v>
      </c>
      <c r="V1476" s="438"/>
      <c r="X1476" s="213">
        <v>2629.55</v>
      </c>
      <c r="Y1476" s="213"/>
      <c r="AF1476" s="230">
        <f>X1476</f>
        <v>2629.55</v>
      </c>
      <c r="AJ1476" s="216"/>
      <c r="AK1476" s="218"/>
      <c r="AL1476" s="218"/>
      <c r="AM1476" s="218"/>
      <c r="AN1476" s="218"/>
      <c r="AO1476" s="218"/>
      <c r="AP1476" s="218"/>
      <c r="AQ1476" s="218"/>
      <c r="AR1476" s="218"/>
      <c r="AS1476" s="218"/>
      <c r="AT1476" s="218"/>
      <c r="AU1476" s="218"/>
      <c r="AV1476" s="218"/>
      <c r="AW1476" s="218"/>
      <c r="AX1476" s="218"/>
      <c r="AY1476" s="218"/>
      <c r="AZ1476" s="218"/>
      <c r="BA1476" s="218"/>
      <c r="BB1476" s="218"/>
      <c r="BC1476" s="218"/>
      <c r="BD1476" s="218"/>
      <c r="BE1476" s="218"/>
      <c r="BF1476" s="218"/>
      <c r="BG1476" s="218"/>
      <c r="BH1476" s="218"/>
      <c r="BI1476" s="218"/>
      <c r="BJ1476" s="218"/>
      <c r="BK1476" s="218"/>
      <c r="BL1476" s="218"/>
      <c r="BM1476" s="218"/>
      <c r="BN1476" s="218"/>
      <c r="BO1476" s="218"/>
      <c r="BP1476" s="218"/>
      <c r="BQ1476" s="218"/>
      <c r="BR1476" s="218"/>
      <c r="BS1476" s="218"/>
      <c r="BT1476" s="218"/>
      <c r="BU1476" s="218"/>
      <c r="BV1476" s="218"/>
      <c r="BW1476" s="218"/>
      <c r="BX1476" s="218"/>
      <c r="BY1476" s="218"/>
    </row>
    <row r="1477" spans="1:77" s="205" customFormat="1" ht="11.25" customHeight="1">
      <c r="B1477" s="206" t="s">
        <v>291</v>
      </c>
      <c r="C1477" s="207"/>
      <c r="D1477" s="207"/>
      <c r="E1477" s="208" t="s">
        <v>1259</v>
      </c>
      <c r="F1477" s="205" t="s">
        <v>182</v>
      </c>
      <c r="G1477" s="209">
        <v>3842</v>
      </c>
      <c r="H1477" s="205" t="s">
        <v>27</v>
      </c>
      <c r="I1477" s="205" t="s">
        <v>888</v>
      </c>
      <c r="J1477" s="210">
        <v>11263.56</v>
      </c>
      <c r="K1477" s="219"/>
      <c r="L1477" s="210">
        <v>12.19</v>
      </c>
      <c r="M1477" s="210">
        <v>12.19</v>
      </c>
      <c r="N1477" s="213"/>
      <c r="O1477" s="212">
        <v>0.15</v>
      </c>
      <c r="P1477" s="212"/>
      <c r="Q1477" s="213">
        <v>6815.47</v>
      </c>
      <c r="R1477" s="205" t="s">
        <v>73</v>
      </c>
      <c r="S1477" s="214" t="s">
        <v>113</v>
      </c>
      <c r="T1477" s="214">
        <v>31</v>
      </c>
      <c r="U1477" s="215" t="s">
        <v>164</v>
      </c>
      <c r="V1477" s="438"/>
      <c r="X1477" s="213">
        <v>6815.47</v>
      </c>
      <c r="Y1477" s="213"/>
      <c r="AF1477" s="230">
        <f>X1477</f>
        <v>6815.47</v>
      </c>
      <c r="AJ1477" s="216"/>
      <c r="AK1477" s="218"/>
      <c r="AL1477" s="218"/>
      <c r="AM1477" s="218"/>
      <c r="AN1477" s="218"/>
      <c r="AO1477" s="218"/>
      <c r="AP1477" s="218"/>
      <c r="AQ1477" s="218"/>
      <c r="AR1477" s="218"/>
      <c r="AS1477" s="218"/>
      <c r="AT1477" s="218"/>
      <c r="AU1477" s="218"/>
      <c r="AV1477" s="218"/>
      <c r="AW1477" s="218"/>
      <c r="AX1477" s="218"/>
      <c r="AY1477" s="218"/>
      <c r="AZ1477" s="218"/>
      <c r="BA1477" s="218"/>
      <c r="BB1477" s="218"/>
      <c r="BC1477" s="218"/>
      <c r="BD1477" s="218"/>
      <c r="BE1477" s="218"/>
      <c r="BF1477" s="218"/>
      <c r="BG1477" s="218"/>
      <c r="BH1477" s="218"/>
      <c r="BI1477" s="218"/>
      <c r="BJ1477" s="218"/>
      <c r="BK1477" s="218"/>
      <c r="BL1477" s="218"/>
      <c r="BM1477" s="218"/>
      <c r="BN1477" s="218"/>
      <c r="BO1477" s="218"/>
      <c r="BP1477" s="218"/>
      <c r="BQ1477" s="218"/>
      <c r="BR1477" s="218"/>
      <c r="BS1477" s="218"/>
      <c r="BT1477" s="218"/>
      <c r="BU1477" s="218"/>
      <c r="BV1477" s="218"/>
      <c r="BW1477" s="218"/>
      <c r="BX1477" s="218"/>
      <c r="BY1477" s="218"/>
    </row>
    <row r="1478" spans="1:77" s="205" customFormat="1" ht="11.25" customHeight="1">
      <c r="B1478" s="206" t="s">
        <v>291</v>
      </c>
      <c r="C1478" s="207"/>
      <c r="D1478" s="207"/>
      <c r="E1478" s="208" t="s">
        <v>1259</v>
      </c>
      <c r="F1478" s="205" t="s">
        <v>182</v>
      </c>
      <c r="G1478" s="209">
        <v>3842</v>
      </c>
      <c r="H1478" s="205" t="s">
        <v>183</v>
      </c>
      <c r="I1478" s="205" t="s">
        <v>888</v>
      </c>
      <c r="J1478" s="210">
        <v>26686.26</v>
      </c>
      <c r="K1478" s="219"/>
      <c r="L1478" s="210">
        <v>38.76</v>
      </c>
      <c r="M1478" s="210">
        <v>38.76</v>
      </c>
      <c r="N1478" s="213"/>
      <c r="O1478" s="212">
        <v>0.15</v>
      </c>
      <c r="P1478" s="212"/>
      <c r="Q1478" s="213">
        <v>0</v>
      </c>
      <c r="R1478" s="205" t="s">
        <v>73</v>
      </c>
      <c r="S1478" s="214" t="s">
        <v>113</v>
      </c>
      <c r="T1478" s="214">
        <v>31</v>
      </c>
      <c r="U1478" s="215" t="s">
        <v>164</v>
      </c>
      <c r="V1478" s="438"/>
      <c r="W1478" s="205" t="s">
        <v>3327</v>
      </c>
      <c r="X1478" s="213">
        <v>0</v>
      </c>
      <c r="Y1478" s="213"/>
      <c r="AF1478" s="230">
        <f>X1478</f>
        <v>0</v>
      </c>
      <c r="AJ1478" s="216"/>
      <c r="AK1478" s="218"/>
      <c r="AL1478" s="218"/>
      <c r="AM1478" s="218"/>
      <c r="AN1478" s="218"/>
      <c r="AO1478" s="218"/>
      <c r="AP1478" s="218"/>
      <c r="AQ1478" s="218"/>
      <c r="AR1478" s="218"/>
      <c r="AS1478" s="218"/>
      <c r="AT1478" s="218"/>
      <c r="AU1478" s="218"/>
      <c r="AV1478" s="218"/>
      <c r="AW1478" s="218"/>
      <c r="AX1478" s="218"/>
      <c r="AY1478" s="218"/>
      <c r="AZ1478" s="218"/>
      <c r="BA1478" s="218"/>
      <c r="BB1478" s="218"/>
      <c r="BC1478" s="218"/>
      <c r="BD1478" s="218"/>
      <c r="BE1478" s="218"/>
      <c r="BF1478" s="218"/>
      <c r="BG1478" s="218"/>
      <c r="BH1478" s="218"/>
      <c r="BI1478" s="218"/>
      <c r="BJ1478" s="218"/>
      <c r="BK1478" s="218"/>
      <c r="BL1478" s="218"/>
      <c r="BM1478" s="218"/>
      <c r="BN1478" s="218"/>
      <c r="BO1478" s="218"/>
      <c r="BP1478" s="218"/>
      <c r="BQ1478" s="218"/>
      <c r="BR1478" s="218"/>
      <c r="BS1478" s="218"/>
      <c r="BT1478" s="218"/>
      <c r="BU1478" s="218"/>
      <c r="BV1478" s="218"/>
      <c r="BW1478" s="218"/>
      <c r="BX1478" s="218"/>
      <c r="BY1478" s="218"/>
    </row>
    <row r="1479" spans="1:77" s="6" customFormat="1" ht="11.25" customHeight="1">
      <c r="A1479" s="379"/>
      <c r="B1479" s="380" t="s">
        <v>291</v>
      </c>
      <c r="C1479" s="381"/>
      <c r="D1479" s="381"/>
      <c r="E1479" s="382" t="s">
        <v>1259</v>
      </c>
      <c r="F1479" s="379" t="s">
        <v>182</v>
      </c>
      <c r="G1479" s="383">
        <v>3842</v>
      </c>
      <c r="H1479" s="379" t="s">
        <v>765</v>
      </c>
      <c r="I1479" s="379" t="s">
        <v>888</v>
      </c>
      <c r="J1479" s="385">
        <v>64908.41</v>
      </c>
      <c r="K1479" s="384"/>
      <c r="L1479" s="385">
        <v>85.07</v>
      </c>
      <c r="M1479" s="385">
        <v>85.07</v>
      </c>
      <c r="N1479" s="386"/>
      <c r="O1479" s="387">
        <v>0.15</v>
      </c>
      <c r="P1479" s="387"/>
      <c r="Q1479" s="386">
        <v>0</v>
      </c>
      <c r="R1479" s="379" t="s">
        <v>73</v>
      </c>
      <c r="S1479" s="388" t="s">
        <v>113</v>
      </c>
      <c r="T1479" s="388">
        <v>31</v>
      </c>
      <c r="U1479" s="389" t="s">
        <v>164</v>
      </c>
      <c r="V1479" s="433"/>
      <c r="W1479" s="379"/>
      <c r="X1479" s="386">
        <v>0</v>
      </c>
      <c r="Y1479" s="386"/>
      <c r="Z1479" s="379"/>
      <c r="AA1479" s="379"/>
      <c r="AB1479" s="379"/>
      <c r="AC1479" s="379"/>
      <c r="AD1479" s="379"/>
      <c r="AE1479" s="379"/>
      <c r="AF1479" s="379"/>
      <c r="AG1479" s="379"/>
      <c r="AH1479" s="379"/>
      <c r="AI1479" s="379"/>
      <c r="AJ1479" s="390">
        <v>0</v>
      </c>
      <c r="AK1479" s="394"/>
      <c r="AL1479" s="394"/>
      <c r="AM1479" s="394"/>
      <c r="AN1479" s="394"/>
      <c r="AO1479" s="394"/>
      <c r="AP1479" s="394"/>
      <c r="AQ1479" s="394"/>
      <c r="AR1479" s="394"/>
      <c r="AS1479" s="394"/>
      <c r="AT1479" s="394"/>
      <c r="AU1479" s="394"/>
      <c r="AV1479" s="394"/>
      <c r="AW1479" s="394"/>
      <c r="AX1479" s="394"/>
      <c r="AY1479" s="394"/>
      <c r="AZ1479" s="394"/>
      <c r="BA1479" s="394"/>
      <c r="BB1479" s="394"/>
      <c r="BC1479" s="394"/>
      <c r="BD1479" s="394"/>
      <c r="BE1479" s="394"/>
      <c r="BF1479" s="394"/>
      <c r="BG1479" s="394"/>
      <c r="BH1479" s="394"/>
      <c r="BI1479" s="394"/>
      <c r="BJ1479" s="394"/>
      <c r="BK1479" s="394"/>
      <c r="BL1479" s="394"/>
      <c r="BM1479" s="394"/>
      <c r="BN1479" s="394"/>
      <c r="BO1479" s="394"/>
      <c r="BP1479" s="394"/>
      <c r="BQ1479" s="394"/>
      <c r="BR1479" s="394"/>
      <c r="BS1479" s="394"/>
      <c r="BT1479" s="394"/>
      <c r="BU1479" s="394"/>
      <c r="BV1479" s="394"/>
      <c r="BW1479" s="394"/>
      <c r="BX1479" s="394"/>
      <c r="BY1479" s="394"/>
    </row>
    <row r="1480" spans="1:77" s="261" customFormat="1" ht="11.25" customHeight="1">
      <c r="B1480" s="258" t="s">
        <v>291</v>
      </c>
      <c r="C1480" s="259">
        <v>44696</v>
      </c>
      <c r="D1480" s="259">
        <v>44701</v>
      </c>
      <c r="E1480" s="260" t="s">
        <v>1260</v>
      </c>
      <c r="F1480" s="261" t="s">
        <v>1261</v>
      </c>
      <c r="G1480" s="262">
        <v>3852</v>
      </c>
      <c r="H1480" s="261" t="s">
        <v>192</v>
      </c>
      <c r="I1480" s="261" t="s">
        <v>33</v>
      </c>
      <c r="J1480" s="263">
        <v>14996.02</v>
      </c>
      <c r="L1480" s="263">
        <v>9.1199999999999992</v>
      </c>
      <c r="M1480" s="263">
        <v>9.1199999999999992</v>
      </c>
      <c r="N1480" s="265">
        <f>4319.47</f>
        <v>4319.47</v>
      </c>
      <c r="O1480" s="266">
        <v>0.2</v>
      </c>
      <c r="P1480" s="266"/>
      <c r="Q1480" s="265">
        <v>1511.04</v>
      </c>
      <c r="R1480" s="261" t="s">
        <v>142</v>
      </c>
      <c r="S1480" s="267" t="s">
        <v>41</v>
      </c>
      <c r="T1480" s="267">
        <v>16</v>
      </c>
      <c r="U1480" s="268" t="s">
        <v>164</v>
      </c>
      <c r="V1480" s="427"/>
      <c r="X1480" s="265">
        <v>1511.04</v>
      </c>
      <c r="Y1480" s="265"/>
      <c r="AG1480" s="261">
        <f>X1480</f>
        <v>1511.04</v>
      </c>
      <c r="AJ1480" s="642"/>
      <c r="AK1480" s="273"/>
      <c r="AL1480" s="273"/>
      <c r="AM1480" s="273"/>
      <c r="AN1480" s="273"/>
      <c r="AO1480" s="273"/>
      <c r="AP1480" s="273"/>
      <c r="AQ1480" s="273"/>
      <c r="AR1480" s="273"/>
      <c r="AS1480" s="273"/>
      <c r="AT1480" s="273"/>
      <c r="AU1480" s="273"/>
      <c r="AV1480" s="273"/>
      <c r="AW1480" s="273"/>
      <c r="AX1480" s="273"/>
      <c r="AY1480" s="273"/>
      <c r="AZ1480" s="273"/>
      <c r="BA1480" s="273"/>
      <c r="BB1480" s="273"/>
      <c r="BC1480" s="273"/>
      <c r="BD1480" s="273"/>
      <c r="BE1480" s="273"/>
      <c r="BF1480" s="273"/>
      <c r="BG1480" s="273"/>
      <c r="BH1480" s="273"/>
      <c r="BI1480" s="273"/>
      <c r="BJ1480" s="273"/>
      <c r="BK1480" s="273"/>
      <c r="BL1480" s="273"/>
      <c r="BM1480" s="273"/>
      <c r="BN1480" s="273"/>
      <c r="BO1480" s="273"/>
      <c r="BP1480" s="273"/>
      <c r="BQ1480" s="273"/>
      <c r="BR1480" s="273"/>
      <c r="BS1480" s="273"/>
      <c r="BT1480" s="273"/>
      <c r="BU1480" s="273"/>
      <c r="BV1480" s="273"/>
      <c r="BW1480" s="273"/>
      <c r="BX1480" s="273"/>
      <c r="BY1480" s="273"/>
    </row>
    <row r="1481" spans="1:77" s="261" customFormat="1" ht="11.25" customHeight="1">
      <c r="B1481" s="258" t="s">
        <v>291</v>
      </c>
      <c r="C1481" s="259"/>
      <c r="D1481" s="259"/>
      <c r="E1481" s="260" t="s">
        <v>1260</v>
      </c>
      <c r="F1481" s="261" t="s">
        <v>1261</v>
      </c>
      <c r="G1481" s="262">
        <v>3852</v>
      </c>
      <c r="H1481" s="261" t="s">
        <v>1052</v>
      </c>
      <c r="I1481" s="261" t="s">
        <v>33</v>
      </c>
      <c r="J1481" s="263">
        <v>15446.34</v>
      </c>
      <c r="K1481" s="264"/>
      <c r="L1481" s="263">
        <v>11.48</v>
      </c>
      <c r="M1481" s="263">
        <v>11.48</v>
      </c>
      <c r="N1481" s="265">
        <f>9246.18</f>
        <v>9246.18</v>
      </c>
      <c r="O1481" s="266">
        <v>0.2</v>
      </c>
      <c r="P1481" s="266"/>
      <c r="Q1481" s="265">
        <v>4711.3900000000003</v>
      </c>
      <c r="R1481" s="261" t="s">
        <v>142</v>
      </c>
      <c r="S1481" s="267" t="s">
        <v>41</v>
      </c>
      <c r="T1481" s="267">
        <v>16</v>
      </c>
      <c r="U1481" s="268" t="s">
        <v>164</v>
      </c>
      <c r="V1481" s="427"/>
      <c r="X1481" s="265">
        <v>4711.3900000000003</v>
      </c>
      <c r="Y1481" s="265"/>
      <c r="AG1481" s="261">
        <f>X1481</f>
        <v>4711.3900000000003</v>
      </c>
      <c r="AJ1481" s="642"/>
      <c r="AK1481" s="273"/>
      <c r="AL1481" s="273"/>
      <c r="AM1481" s="273"/>
      <c r="AN1481" s="273"/>
      <c r="AO1481" s="273"/>
      <c r="AP1481" s="273"/>
      <c r="AQ1481" s="273"/>
      <c r="AR1481" s="273"/>
      <c r="AS1481" s="273"/>
      <c r="AT1481" s="273"/>
      <c r="AU1481" s="273"/>
      <c r="AV1481" s="273"/>
      <c r="AW1481" s="273"/>
      <c r="AX1481" s="273"/>
      <c r="AY1481" s="273"/>
      <c r="AZ1481" s="273"/>
      <c r="BA1481" s="273"/>
      <c r="BB1481" s="273"/>
      <c r="BC1481" s="273"/>
      <c r="BD1481" s="273"/>
      <c r="BE1481" s="273"/>
      <c r="BF1481" s="273"/>
      <c r="BG1481" s="273"/>
      <c r="BH1481" s="273"/>
      <c r="BI1481" s="273"/>
      <c r="BJ1481" s="273"/>
      <c r="BK1481" s="273"/>
      <c r="BL1481" s="273"/>
      <c r="BM1481" s="273"/>
      <c r="BN1481" s="273"/>
      <c r="BO1481" s="273"/>
      <c r="BP1481" s="273"/>
      <c r="BQ1481" s="273"/>
      <c r="BR1481" s="273"/>
      <c r="BS1481" s="273"/>
      <c r="BT1481" s="273"/>
      <c r="BU1481" s="273"/>
      <c r="BV1481" s="273"/>
      <c r="BW1481" s="273"/>
      <c r="BX1481" s="273"/>
      <c r="BY1481" s="273"/>
    </row>
    <row r="1482" spans="1:77" s="261" customFormat="1" ht="11.25" customHeight="1">
      <c r="B1482" s="258" t="s">
        <v>291</v>
      </c>
      <c r="C1482" s="259"/>
      <c r="D1482" s="259"/>
      <c r="E1482" s="260" t="s">
        <v>1260</v>
      </c>
      <c r="F1482" s="261" t="s">
        <v>1261</v>
      </c>
      <c r="G1482" s="262">
        <v>3852</v>
      </c>
      <c r="H1482" s="261" t="s">
        <v>356</v>
      </c>
      <c r="I1482" s="261" t="s">
        <v>33</v>
      </c>
      <c r="J1482" s="263">
        <v>7233.84</v>
      </c>
      <c r="K1482" s="264"/>
      <c r="L1482" s="263">
        <v>5.91</v>
      </c>
      <c r="M1482" s="263">
        <v>5.91</v>
      </c>
      <c r="N1482" s="265">
        <f>3463.06</f>
        <v>3463.06</v>
      </c>
      <c r="O1482" s="266">
        <v>0.2</v>
      </c>
      <c r="P1482" s="266"/>
      <c r="Q1482" s="265">
        <v>2994.82</v>
      </c>
      <c r="R1482" s="261" t="s">
        <v>142</v>
      </c>
      <c r="S1482" s="267" t="s">
        <v>41</v>
      </c>
      <c r="T1482" s="267">
        <v>16</v>
      </c>
      <c r="U1482" s="268" t="s">
        <v>164</v>
      </c>
      <c r="V1482" s="427"/>
      <c r="X1482" s="265">
        <v>2994.82</v>
      </c>
      <c r="Y1482" s="265"/>
      <c r="AG1482" s="261">
        <f>X1482</f>
        <v>2994.82</v>
      </c>
      <c r="AJ1482" s="642"/>
      <c r="AK1482" s="273"/>
      <c r="AL1482" s="273"/>
      <c r="AM1482" s="273"/>
      <c r="AN1482" s="273"/>
      <c r="AO1482" s="273"/>
      <c r="AP1482" s="273"/>
      <c r="AQ1482" s="273"/>
      <c r="AR1482" s="273"/>
      <c r="AS1482" s="273"/>
      <c r="AT1482" s="273"/>
      <c r="AU1482" s="273"/>
      <c r="AV1482" s="273"/>
      <c r="AW1482" s="273"/>
      <c r="AX1482" s="273"/>
      <c r="AY1482" s="273"/>
      <c r="AZ1482" s="273"/>
      <c r="BA1482" s="273"/>
      <c r="BB1482" s="273"/>
      <c r="BC1482" s="273"/>
      <c r="BD1482" s="273"/>
      <c r="BE1482" s="273"/>
      <c r="BF1482" s="273"/>
      <c r="BG1482" s="273"/>
      <c r="BH1482" s="273"/>
      <c r="BI1482" s="273"/>
      <c r="BJ1482" s="273"/>
      <c r="BK1482" s="273"/>
      <c r="BL1482" s="273"/>
      <c r="BM1482" s="273"/>
      <c r="BN1482" s="273"/>
      <c r="BO1482" s="273"/>
      <c r="BP1482" s="273"/>
      <c r="BQ1482" s="273"/>
      <c r="BR1482" s="273"/>
      <c r="BS1482" s="273"/>
      <c r="BT1482" s="273"/>
      <c r="BU1482" s="273"/>
      <c r="BV1482" s="273"/>
      <c r="BW1482" s="273"/>
      <c r="BX1482" s="273"/>
      <c r="BY1482" s="273"/>
    </row>
    <row r="1483" spans="1:77" s="6" customFormat="1" ht="11.25" customHeight="1">
      <c r="A1483" s="473"/>
      <c r="B1483" s="473" t="s">
        <v>291</v>
      </c>
      <c r="C1483" s="487"/>
      <c r="D1483" s="487"/>
      <c r="E1483" s="488" t="s">
        <v>1262</v>
      </c>
      <c r="F1483" s="473" t="s">
        <v>81</v>
      </c>
      <c r="G1483" s="496">
        <v>3577</v>
      </c>
      <c r="H1483" s="473" t="s">
        <v>765</v>
      </c>
      <c r="I1483" s="491" t="s">
        <v>111</v>
      </c>
      <c r="J1483" s="490">
        <v>15219.75</v>
      </c>
      <c r="K1483" s="491"/>
      <c r="L1483" s="490">
        <v>16.25</v>
      </c>
      <c r="M1483" s="490">
        <v>16.25</v>
      </c>
      <c r="N1483" s="492"/>
      <c r="O1483" s="493">
        <v>0.2</v>
      </c>
      <c r="P1483" s="493"/>
      <c r="Q1483" s="492">
        <v>4951.9799999999996</v>
      </c>
      <c r="R1483" s="473" t="s">
        <v>77</v>
      </c>
      <c r="S1483" s="481" t="s">
        <v>41</v>
      </c>
      <c r="T1483" s="481">
        <v>16</v>
      </c>
      <c r="U1483" s="494" t="s">
        <v>164</v>
      </c>
      <c r="V1483" s="495"/>
      <c r="W1483" s="473"/>
      <c r="X1483" s="492">
        <v>4951.9799999999996</v>
      </c>
      <c r="Y1483" s="492"/>
      <c r="Z1483" s="473"/>
      <c r="AA1483" s="473"/>
      <c r="AB1483" s="473"/>
      <c r="AC1483" s="473"/>
      <c r="AD1483" s="473"/>
      <c r="AE1483" s="473"/>
      <c r="AF1483" s="473"/>
      <c r="AG1483" s="473"/>
      <c r="AH1483" s="473"/>
      <c r="AI1483" s="473"/>
      <c r="AJ1483" s="485"/>
      <c r="AK1483" s="505">
        <v>4951.9799999999996</v>
      </c>
      <c r="AL1483" s="472"/>
      <c r="AM1483" s="472"/>
      <c r="AN1483" s="472"/>
      <c r="AO1483" s="472"/>
      <c r="AP1483" s="472"/>
      <c r="AQ1483" s="472"/>
      <c r="AR1483" s="472"/>
      <c r="AS1483" s="472"/>
      <c r="AT1483" s="472"/>
      <c r="AU1483" s="472"/>
      <c r="AV1483" s="472"/>
      <c r="AW1483" s="472"/>
      <c r="AX1483" s="472"/>
      <c r="AY1483" s="472"/>
      <c r="AZ1483" s="472"/>
      <c r="BA1483" s="472"/>
      <c r="BB1483" s="472"/>
      <c r="BC1483" s="472"/>
      <c r="BD1483" s="472"/>
      <c r="BE1483" s="472"/>
      <c r="BF1483" s="472"/>
      <c r="BG1483" s="472"/>
      <c r="BH1483" s="472"/>
      <c r="BI1483" s="472"/>
      <c r="BJ1483" s="472"/>
      <c r="BK1483" s="472"/>
      <c r="BL1483" s="472"/>
      <c r="BM1483" s="472"/>
      <c r="BN1483" s="472"/>
      <c r="BO1483" s="472"/>
      <c r="BP1483" s="472"/>
      <c r="BQ1483" s="472"/>
      <c r="BR1483" s="472"/>
      <c r="BS1483" s="472"/>
      <c r="BT1483" s="472"/>
      <c r="BU1483" s="472"/>
      <c r="BV1483" s="472"/>
      <c r="BW1483" s="472"/>
      <c r="BX1483" s="472"/>
      <c r="BY1483" s="472"/>
    </row>
    <row r="1484" spans="1:77" s="337" customFormat="1" ht="11.25" customHeight="1">
      <c r="A1484" s="379"/>
      <c r="B1484" s="379" t="s">
        <v>291</v>
      </c>
      <c r="C1484" s="381">
        <v>44697</v>
      </c>
      <c r="D1484" s="381">
        <v>44701</v>
      </c>
      <c r="E1484" s="382" t="s">
        <v>1262</v>
      </c>
      <c r="F1484" s="379" t="s">
        <v>81</v>
      </c>
      <c r="G1484" s="404">
        <v>3577</v>
      </c>
      <c r="H1484" s="379" t="s">
        <v>99</v>
      </c>
      <c r="I1484" s="384" t="s">
        <v>111</v>
      </c>
      <c r="J1484" s="385">
        <v>46106.85</v>
      </c>
      <c r="K1484" s="384"/>
      <c r="L1484" s="385">
        <v>50.39</v>
      </c>
      <c r="M1484" s="385">
        <v>50.39</v>
      </c>
      <c r="N1484" s="386"/>
      <c r="O1484" s="387">
        <v>0.2</v>
      </c>
      <c r="P1484" s="387"/>
      <c r="Q1484" s="386">
        <v>0</v>
      </c>
      <c r="R1484" s="379" t="s">
        <v>77</v>
      </c>
      <c r="S1484" s="388" t="s">
        <v>41</v>
      </c>
      <c r="T1484" s="388">
        <v>16</v>
      </c>
      <c r="U1484" s="389" t="s">
        <v>164</v>
      </c>
      <c r="V1484" s="433"/>
      <c r="W1484" s="379"/>
      <c r="X1484" s="386">
        <v>0</v>
      </c>
      <c r="Y1484" s="386"/>
      <c r="Z1484" s="379"/>
      <c r="AA1484" s="379"/>
      <c r="AB1484" s="379"/>
      <c r="AC1484" s="379"/>
      <c r="AD1484" s="379"/>
      <c r="AE1484" s="379"/>
      <c r="AF1484" s="379"/>
      <c r="AG1484" s="379"/>
      <c r="AH1484" s="379"/>
      <c r="AI1484" s="379"/>
      <c r="AJ1484" s="390">
        <v>0</v>
      </c>
      <c r="AK1484" s="394"/>
      <c r="AL1484" s="394"/>
      <c r="AM1484" s="394"/>
      <c r="AN1484" s="394"/>
      <c r="AO1484" s="394"/>
      <c r="AP1484" s="394"/>
      <c r="AQ1484" s="394"/>
      <c r="AR1484" s="394"/>
      <c r="AS1484" s="394"/>
      <c r="AT1484" s="394"/>
      <c r="AU1484" s="394"/>
      <c r="AV1484" s="394"/>
      <c r="AW1484" s="394"/>
      <c r="AX1484" s="394"/>
      <c r="AY1484" s="394"/>
      <c r="AZ1484" s="394"/>
      <c r="BA1484" s="394"/>
      <c r="BB1484" s="394"/>
      <c r="BC1484" s="394"/>
      <c r="BD1484" s="394"/>
      <c r="BE1484" s="394"/>
      <c r="BF1484" s="394"/>
      <c r="BG1484" s="394"/>
      <c r="BH1484" s="394"/>
      <c r="BI1484" s="394"/>
      <c r="BJ1484" s="394"/>
      <c r="BK1484" s="394"/>
      <c r="BL1484" s="394"/>
      <c r="BM1484" s="394"/>
      <c r="BN1484" s="394"/>
      <c r="BO1484" s="394"/>
      <c r="BP1484" s="394"/>
      <c r="BQ1484" s="394"/>
      <c r="BR1484" s="394"/>
      <c r="BS1484" s="394"/>
      <c r="BT1484" s="394"/>
      <c r="BU1484" s="394"/>
      <c r="BV1484" s="394"/>
      <c r="BW1484" s="394"/>
      <c r="BX1484" s="394"/>
      <c r="BY1484" s="394"/>
    </row>
    <row r="1485" spans="1:77" s="647" customFormat="1" ht="11.25" customHeight="1">
      <c r="B1485" s="647" t="s">
        <v>291</v>
      </c>
      <c r="C1485" s="648"/>
      <c r="D1485" s="648"/>
      <c r="E1485" s="649" t="s">
        <v>1262</v>
      </c>
      <c r="F1485" s="647" t="s">
        <v>81</v>
      </c>
      <c r="G1485" s="675">
        <v>3577</v>
      </c>
      <c r="H1485" s="647" t="s">
        <v>27</v>
      </c>
      <c r="I1485" s="676" t="s">
        <v>111</v>
      </c>
      <c r="J1485" s="651">
        <v>41184.720000000001</v>
      </c>
      <c r="K1485" s="676"/>
      <c r="L1485" s="651">
        <v>33.159999999999997</v>
      </c>
      <c r="M1485" s="651">
        <v>33.159999999999997</v>
      </c>
      <c r="N1485" s="652"/>
      <c r="O1485" s="653">
        <v>0.2</v>
      </c>
      <c r="P1485" s="653"/>
      <c r="Q1485" s="652">
        <v>0</v>
      </c>
      <c r="R1485" s="647" t="s">
        <v>77</v>
      </c>
      <c r="S1485" s="654" t="s">
        <v>41</v>
      </c>
      <c r="T1485" s="654">
        <v>16</v>
      </c>
      <c r="U1485" s="655" t="s">
        <v>164</v>
      </c>
      <c r="V1485" s="656"/>
      <c r="X1485" s="652">
        <v>0</v>
      </c>
      <c r="Y1485" s="652"/>
      <c r="AI1485" s="647">
        <v>0</v>
      </c>
      <c r="AJ1485" s="657"/>
      <c r="AK1485" s="658"/>
    </row>
    <row r="1486" spans="1:77" s="394" customFormat="1" ht="12" customHeight="1">
      <c r="B1486" s="379" t="s">
        <v>291</v>
      </c>
      <c r="C1486" s="392">
        <v>44701</v>
      </c>
      <c r="D1486" s="392">
        <v>44701</v>
      </c>
      <c r="E1486" s="393" t="s">
        <v>1263</v>
      </c>
      <c r="F1486" s="379" t="s">
        <v>1264</v>
      </c>
      <c r="G1486" s="383" t="s">
        <v>1265</v>
      </c>
      <c r="H1486" s="379" t="s">
        <v>814</v>
      </c>
      <c r="I1486" s="379" t="s">
        <v>888</v>
      </c>
      <c r="J1486" s="385">
        <v>2950.81</v>
      </c>
      <c r="K1486" s="379"/>
      <c r="L1486" s="385">
        <v>6.32</v>
      </c>
      <c r="M1486" s="385">
        <v>6.32</v>
      </c>
      <c r="N1486" s="396"/>
      <c r="O1486" s="387">
        <v>0.15</v>
      </c>
      <c r="P1486" s="387"/>
      <c r="Q1486" s="418">
        <v>0</v>
      </c>
      <c r="R1486" s="379" t="s">
        <v>149</v>
      </c>
      <c r="S1486" s="399" t="s">
        <v>113</v>
      </c>
      <c r="T1486" s="399">
        <v>40</v>
      </c>
      <c r="U1486" s="398" t="s">
        <v>164</v>
      </c>
      <c r="V1486" s="398"/>
      <c r="X1486" s="396">
        <v>0</v>
      </c>
      <c r="Y1486" s="396"/>
      <c r="AI1486" s="379"/>
      <c r="AJ1486" s="390">
        <v>0</v>
      </c>
    </row>
    <row r="1487" spans="1:77" s="472" customFormat="1" ht="12" customHeight="1">
      <c r="B1487" s="473" t="s">
        <v>291</v>
      </c>
      <c r="C1487" s="474">
        <v>44701</v>
      </c>
      <c r="D1487" s="474">
        <v>44701</v>
      </c>
      <c r="E1487" s="475" t="s">
        <v>1266</v>
      </c>
      <c r="F1487" s="473" t="s">
        <v>656</v>
      </c>
      <c r="G1487" s="489" t="s">
        <v>657</v>
      </c>
      <c r="H1487" s="473" t="s">
        <v>99</v>
      </c>
      <c r="I1487" s="473" t="s">
        <v>33</v>
      </c>
      <c r="J1487" s="490">
        <v>14950</v>
      </c>
      <c r="K1487" s="473"/>
      <c r="L1487" s="490">
        <v>11.5</v>
      </c>
      <c r="M1487" s="490">
        <v>7.3</v>
      </c>
      <c r="N1487" s="478">
        <v>2242.5</v>
      </c>
      <c r="O1487" s="493">
        <v>0.25</v>
      </c>
      <c r="P1487" s="493"/>
      <c r="Q1487" s="504">
        <v>2793.75</v>
      </c>
      <c r="R1487" s="473" t="s">
        <v>281</v>
      </c>
      <c r="S1487" s="482" t="s">
        <v>228</v>
      </c>
      <c r="T1487" s="482">
        <v>23</v>
      </c>
      <c r="U1487" s="483" t="s">
        <v>164</v>
      </c>
      <c r="V1487" s="483"/>
      <c r="X1487" s="504">
        <v>2793.75</v>
      </c>
      <c r="Y1487" s="478"/>
      <c r="AI1487" s="473"/>
      <c r="AJ1487" s="485"/>
      <c r="AK1487" s="504">
        <v>2793.75</v>
      </c>
    </row>
    <row r="1488" spans="1:77" s="472" customFormat="1" ht="12" customHeight="1">
      <c r="B1488" s="473" t="s">
        <v>291</v>
      </c>
      <c r="C1488" s="474"/>
      <c r="D1488" s="474"/>
      <c r="E1488" s="475" t="s">
        <v>1266</v>
      </c>
      <c r="F1488" s="473" t="s">
        <v>656</v>
      </c>
      <c r="G1488" s="489" t="s">
        <v>657</v>
      </c>
      <c r="H1488" s="473" t="s">
        <v>140</v>
      </c>
      <c r="I1488" s="473" t="s">
        <v>33</v>
      </c>
      <c r="J1488" s="490">
        <v>14322.6</v>
      </c>
      <c r="K1488" s="473"/>
      <c r="L1488" s="490">
        <v>7.3</v>
      </c>
      <c r="M1488" s="490">
        <v>7.3</v>
      </c>
      <c r="N1488" s="478">
        <v>6015.4920000000002</v>
      </c>
      <c r="O1488" s="493">
        <v>0.25</v>
      </c>
      <c r="P1488" s="493"/>
      <c r="Q1488" s="504">
        <v>2987.96</v>
      </c>
      <c r="R1488" s="473" t="s">
        <v>281</v>
      </c>
      <c r="S1488" s="482" t="s">
        <v>228</v>
      </c>
      <c r="T1488" s="482">
        <v>23</v>
      </c>
      <c r="U1488" s="483" t="s">
        <v>164</v>
      </c>
      <c r="V1488" s="483"/>
      <c r="X1488" s="504">
        <v>2987.96</v>
      </c>
      <c r="Y1488" s="478"/>
      <c r="AI1488" s="473"/>
      <c r="AJ1488" s="485"/>
      <c r="AK1488" s="504">
        <v>2987.96</v>
      </c>
    </row>
    <row r="1489" spans="1:77" s="472" customFormat="1" ht="12" customHeight="1">
      <c r="B1489" s="473" t="s">
        <v>291</v>
      </c>
      <c r="C1489" s="474"/>
      <c r="D1489" s="474"/>
      <c r="E1489" s="475" t="s">
        <v>1266</v>
      </c>
      <c r="F1489" s="473" t="s">
        <v>656</v>
      </c>
      <c r="G1489" s="489" t="s">
        <v>657</v>
      </c>
      <c r="H1489" s="473" t="s">
        <v>27</v>
      </c>
      <c r="I1489" s="473" t="s">
        <v>33</v>
      </c>
      <c r="J1489" s="490">
        <v>28875</v>
      </c>
      <c r="K1489" s="473"/>
      <c r="L1489" s="490">
        <v>16.5</v>
      </c>
      <c r="M1489" s="490">
        <v>16.5</v>
      </c>
      <c r="N1489" s="478">
        <v>4042.5</v>
      </c>
      <c r="O1489" s="493">
        <v>0.25</v>
      </c>
      <c r="P1489" s="493"/>
      <c r="Q1489" s="504">
        <v>0</v>
      </c>
      <c r="R1489" s="473" t="s">
        <v>281</v>
      </c>
      <c r="S1489" s="482" t="s">
        <v>228</v>
      </c>
      <c r="T1489" s="482">
        <v>23</v>
      </c>
      <c r="U1489" s="483" t="s">
        <v>164</v>
      </c>
      <c r="V1489" s="483"/>
      <c r="X1489" s="478">
        <v>0</v>
      </c>
      <c r="Y1489" s="478"/>
      <c r="AI1489" s="473"/>
      <c r="AJ1489" s="485"/>
      <c r="AK1489" s="472">
        <v>0</v>
      </c>
    </row>
    <row r="1490" spans="1:77" s="472" customFormat="1" ht="12" customHeight="1">
      <c r="B1490" s="473" t="s">
        <v>291</v>
      </c>
      <c r="C1490" s="474"/>
      <c r="D1490" s="474"/>
      <c r="E1490" s="475" t="s">
        <v>1266</v>
      </c>
      <c r="F1490" s="473" t="s">
        <v>656</v>
      </c>
      <c r="G1490" s="489" t="s">
        <v>657</v>
      </c>
      <c r="H1490" s="473" t="s">
        <v>137</v>
      </c>
      <c r="I1490" s="473" t="s">
        <v>33</v>
      </c>
      <c r="J1490" s="490">
        <v>11700</v>
      </c>
      <c r="K1490" s="473"/>
      <c r="L1490" s="490">
        <v>9</v>
      </c>
      <c r="M1490" s="490">
        <v>9</v>
      </c>
      <c r="N1490" s="478">
        <v>2691</v>
      </c>
      <c r="O1490" s="493">
        <v>0.25</v>
      </c>
      <c r="P1490" s="493"/>
      <c r="Q1490" s="504">
        <v>0</v>
      </c>
      <c r="R1490" s="473" t="s">
        <v>281</v>
      </c>
      <c r="S1490" s="482" t="s">
        <v>228</v>
      </c>
      <c r="T1490" s="482">
        <v>23</v>
      </c>
      <c r="U1490" s="483" t="s">
        <v>164</v>
      </c>
      <c r="V1490" s="483"/>
      <c r="X1490" s="478">
        <v>0</v>
      </c>
      <c r="Y1490" s="478"/>
      <c r="AI1490" s="473"/>
      <c r="AJ1490" s="485"/>
      <c r="AK1490" s="472">
        <v>0</v>
      </c>
    </row>
    <row r="1491" spans="1:77" s="472" customFormat="1" ht="12" customHeight="1">
      <c r="B1491" s="473" t="s">
        <v>291</v>
      </c>
      <c r="C1491" s="474"/>
      <c r="D1491" s="474"/>
      <c r="E1491" s="475" t="s">
        <v>1266</v>
      </c>
      <c r="F1491" s="473" t="s">
        <v>656</v>
      </c>
      <c r="G1491" s="489" t="s">
        <v>657</v>
      </c>
      <c r="H1491" s="472" t="s">
        <v>550</v>
      </c>
      <c r="I1491" s="473" t="s">
        <v>33</v>
      </c>
      <c r="J1491" s="490">
        <v>1646.4</v>
      </c>
      <c r="K1491" s="473"/>
      <c r="L1491" s="490">
        <v>2</v>
      </c>
      <c r="M1491" s="490">
        <v>15</v>
      </c>
      <c r="N1491" s="478">
        <v>279.88799999999998</v>
      </c>
      <c r="O1491" s="493">
        <v>0.25</v>
      </c>
      <c r="P1491" s="493"/>
      <c r="Q1491" s="504">
        <v>979.75</v>
      </c>
      <c r="R1491" s="473" t="s">
        <v>281</v>
      </c>
      <c r="S1491" s="482" t="s">
        <v>228</v>
      </c>
      <c r="T1491" s="482">
        <v>23</v>
      </c>
      <c r="U1491" s="483" t="s">
        <v>164</v>
      </c>
      <c r="V1491" s="483"/>
      <c r="X1491" s="504">
        <v>979.75</v>
      </c>
      <c r="Y1491" s="478"/>
      <c r="AI1491" s="473"/>
      <c r="AJ1491" s="485"/>
      <c r="AK1491" s="504">
        <v>979.75</v>
      </c>
    </row>
    <row r="1492" spans="1:77" s="218" customFormat="1" ht="12" customHeight="1">
      <c r="A1492" s="394"/>
      <c r="B1492" s="379" t="s">
        <v>291</v>
      </c>
      <c r="C1492" s="392"/>
      <c r="D1492" s="392"/>
      <c r="E1492" s="393" t="s">
        <v>1267</v>
      </c>
      <c r="F1492" s="379" t="s">
        <v>180</v>
      </c>
      <c r="G1492" s="400">
        <v>3815</v>
      </c>
      <c r="H1492" s="394" t="s">
        <v>765</v>
      </c>
      <c r="I1492" s="394" t="s">
        <v>888</v>
      </c>
      <c r="J1492" s="395">
        <v>16759.16</v>
      </c>
      <c r="K1492" s="394"/>
      <c r="L1492" s="395">
        <v>24.81</v>
      </c>
      <c r="M1492" s="395">
        <v>24.81</v>
      </c>
      <c r="N1492" s="396"/>
      <c r="O1492" s="387">
        <v>0.15</v>
      </c>
      <c r="P1492" s="397"/>
      <c r="Q1492" s="396">
        <v>0</v>
      </c>
      <c r="R1492" s="379" t="s">
        <v>73</v>
      </c>
      <c r="S1492" s="388" t="s">
        <v>113</v>
      </c>
      <c r="T1492" s="388">
        <v>31</v>
      </c>
      <c r="U1492" s="398" t="s">
        <v>164</v>
      </c>
      <c r="V1492" s="449"/>
      <c r="W1492" s="394"/>
      <c r="X1492" s="396">
        <v>0</v>
      </c>
      <c r="Y1492" s="396"/>
      <c r="Z1492" s="394"/>
      <c r="AA1492" s="394"/>
      <c r="AB1492" s="394"/>
      <c r="AC1492" s="394"/>
      <c r="AD1492" s="394"/>
      <c r="AE1492" s="394"/>
      <c r="AF1492" s="394"/>
      <c r="AG1492" s="394"/>
      <c r="AH1492" s="394"/>
      <c r="AI1492" s="379"/>
      <c r="AJ1492" s="390">
        <v>0</v>
      </c>
      <c r="AK1492" s="394"/>
      <c r="AL1492" s="394"/>
      <c r="AM1492" s="394"/>
      <c r="AN1492" s="394"/>
      <c r="AO1492" s="394"/>
      <c r="AP1492" s="394"/>
      <c r="AQ1492" s="394"/>
      <c r="AR1492" s="394"/>
      <c r="AS1492" s="394"/>
      <c r="AT1492" s="394"/>
      <c r="AU1492" s="394"/>
      <c r="AV1492" s="394"/>
      <c r="AW1492" s="394"/>
      <c r="AX1492" s="394"/>
      <c r="AY1492" s="394"/>
      <c r="AZ1492" s="394"/>
      <c r="BA1492" s="394"/>
      <c r="BB1492" s="394"/>
      <c r="BC1492" s="394"/>
      <c r="BD1492" s="394"/>
      <c r="BE1492" s="394"/>
      <c r="BF1492" s="394"/>
      <c r="BG1492" s="394"/>
      <c r="BH1492" s="394"/>
      <c r="BI1492" s="394"/>
      <c r="BJ1492" s="394"/>
      <c r="BK1492" s="394"/>
      <c r="BL1492" s="394"/>
      <c r="BM1492" s="394"/>
      <c r="BN1492" s="394"/>
      <c r="BO1492" s="394"/>
      <c r="BP1492" s="394"/>
      <c r="BQ1492" s="394"/>
      <c r="BR1492" s="394"/>
      <c r="BS1492" s="394"/>
      <c r="BT1492" s="394"/>
      <c r="BU1492" s="394"/>
      <c r="BV1492" s="394"/>
      <c r="BW1492" s="394"/>
      <c r="BX1492" s="394"/>
      <c r="BY1492" s="394"/>
    </row>
    <row r="1493" spans="1:77" s="218" customFormat="1" ht="12" customHeight="1">
      <c r="B1493" s="205" t="s">
        <v>291</v>
      </c>
      <c r="C1493" s="225">
        <v>44701</v>
      </c>
      <c r="D1493" s="225">
        <v>44702</v>
      </c>
      <c r="E1493" s="226" t="s">
        <v>1267</v>
      </c>
      <c r="F1493" s="205" t="s">
        <v>180</v>
      </c>
      <c r="G1493" s="209">
        <v>3815</v>
      </c>
      <c r="H1493" s="205" t="s">
        <v>140</v>
      </c>
      <c r="I1493" s="218" t="s">
        <v>888</v>
      </c>
      <c r="J1493" s="210">
        <v>10629.36</v>
      </c>
      <c r="K1493" s="205"/>
      <c r="L1493" s="210">
        <v>10.36</v>
      </c>
      <c r="M1493" s="210">
        <v>10.36</v>
      </c>
      <c r="N1493" s="223"/>
      <c r="O1493" s="212">
        <v>0.15</v>
      </c>
      <c r="P1493" s="212"/>
      <c r="Q1493" s="234">
        <v>1346.04</v>
      </c>
      <c r="R1493" s="205" t="s">
        <v>73</v>
      </c>
      <c r="S1493" s="214" t="s">
        <v>113</v>
      </c>
      <c r="T1493" s="214">
        <v>31</v>
      </c>
      <c r="U1493" s="227" t="s">
        <v>164</v>
      </c>
      <c r="V1493" s="455">
        <v>184.68</v>
      </c>
      <c r="X1493" s="223">
        <v>1346.04</v>
      </c>
      <c r="Y1493" s="223"/>
      <c r="AF1493" s="230">
        <f>X1493</f>
        <v>1346.04</v>
      </c>
      <c r="AI1493" s="205"/>
      <c r="AJ1493" s="216"/>
    </row>
    <row r="1494" spans="1:77" s="218" customFormat="1" ht="12" customHeight="1">
      <c r="B1494" s="205" t="s">
        <v>291</v>
      </c>
      <c r="C1494" s="225"/>
      <c r="D1494" s="225"/>
      <c r="E1494" s="226" t="s">
        <v>1267</v>
      </c>
      <c r="F1494" s="205" t="s">
        <v>180</v>
      </c>
      <c r="G1494" s="220">
        <v>3815</v>
      </c>
      <c r="H1494" s="205" t="s">
        <v>99</v>
      </c>
      <c r="I1494" s="218" t="s">
        <v>888</v>
      </c>
      <c r="J1494" s="222">
        <v>10155.450000000001</v>
      </c>
      <c r="L1494" s="222">
        <v>9.89</v>
      </c>
      <c r="M1494" s="222">
        <v>9.89</v>
      </c>
      <c r="N1494" s="223"/>
      <c r="O1494" s="212">
        <v>0.15</v>
      </c>
      <c r="P1494" s="224"/>
      <c r="Q1494" s="223">
        <v>0</v>
      </c>
      <c r="R1494" s="205" t="s">
        <v>73</v>
      </c>
      <c r="S1494" s="214" t="s">
        <v>113</v>
      </c>
      <c r="T1494" s="214">
        <v>31</v>
      </c>
      <c r="U1494" s="227" t="s">
        <v>164</v>
      </c>
      <c r="V1494" s="455"/>
      <c r="X1494" s="223">
        <v>0</v>
      </c>
      <c r="Y1494" s="223"/>
      <c r="AF1494" s="230">
        <f>X1494</f>
        <v>0</v>
      </c>
      <c r="AI1494" s="205"/>
      <c r="AJ1494" s="216"/>
    </row>
    <row r="1495" spans="1:77" s="218" customFormat="1" ht="12" customHeight="1">
      <c r="B1495" s="205" t="s">
        <v>291</v>
      </c>
      <c r="C1495" s="225">
        <v>44702</v>
      </c>
      <c r="D1495" s="225">
        <v>44702</v>
      </c>
      <c r="E1495" s="226" t="s">
        <v>1268</v>
      </c>
      <c r="F1495" s="205" t="s">
        <v>1269</v>
      </c>
      <c r="G1495" s="220">
        <v>4112</v>
      </c>
      <c r="H1495" s="218" t="s">
        <v>564</v>
      </c>
      <c r="I1495" s="218" t="s">
        <v>33</v>
      </c>
      <c r="J1495" s="222">
        <v>8861.16</v>
      </c>
      <c r="L1495" s="222">
        <v>13.2</v>
      </c>
      <c r="M1495" s="222">
        <v>12.95</v>
      </c>
      <c r="N1495" s="223"/>
      <c r="O1495" s="212">
        <v>0.15</v>
      </c>
      <c r="P1495" s="224"/>
      <c r="Q1495" s="223">
        <v>0</v>
      </c>
      <c r="R1495" s="205" t="s">
        <v>142</v>
      </c>
      <c r="S1495" s="214" t="s">
        <v>41</v>
      </c>
      <c r="T1495" s="214">
        <v>24</v>
      </c>
      <c r="U1495" s="227" t="s">
        <v>164</v>
      </c>
      <c r="V1495" s="455"/>
      <c r="W1495" s="218" t="s">
        <v>2785</v>
      </c>
      <c r="X1495" s="223">
        <v>0</v>
      </c>
      <c r="Y1495" s="223"/>
      <c r="AF1495" s="230">
        <f>X1495</f>
        <v>0</v>
      </c>
      <c r="AI1495" s="205"/>
      <c r="AJ1495" s="216"/>
    </row>
    <row r="1496" spans="1:77" s="218" customFormat="1" ht="12" customHeight="1">
      <c r="B1496" s="205" t="s">
        <v>291</v>
      </c>
      <c r="C1496" s="225"/>
      <c r="D1496" s="225"/>
      <c r="E1496" s="226" t="s">
        <v>1268</v>
      </c>
      <c r="F1496" s="205" t="s">
        <v>1269</v>
      </c>
      <c r="G1496" s="220">
        <v>4112</v>
      </c>
      <c r="H1496" s="218" t="s">
        <v>27</v>
      </c>
      <c r="I1496" s="218" t="s">
        <v>33</v>
      </c>
      <c r="J1496" s="222">
        <v>7258.95</v>
      </c>
      <c r="L1496" s="222">
        <v>6.75</v>
      </c>
      <c r="M1496" s="222">
        <v>6.75</v>
      </c>
      <c r="N1496" s="223"/>
      <c r="O1496" s="212">
        <v>0.15</v>
      </c>
      <c r="P1496" s="224"/>
      <c r="Q1496" s="223">
        <v>0</v>
      </c>
      <c r="R1496" s="205" t="s">
        <v>142</v>
      </c>
      <c r="S1496" s="214" t="s">
        <v>41</v>
      </c>
      <c r="T1496" s="214">
        <v>24</v>
      </c>
      <c r="U1496" s="227" t="s">
        <v>164</v>
      </c>
      <c r="V1496" s="455"/>
      <c r="W1496" s="218" t="s">
        <v>2785</v>
      </c>
      <c r="X1496" s="223">
        <v>0</v>
      </c>
      <c r="Y1496" s="223"/>
      <c r="AF1496" s="230">
        <f>X1496</f>
        <v>0</v>
      </c>
      <c r="AI1496" s="205"/>
      <c r="AJ1496" s="216"/>
    </row>
    <row r="1497" spans="1:77" s="218" customFormat="1" ht="12" customHeight="1">
      <c r="B1497" s="205" t="s">
        <v>291</v>
      </c>
      <c r="C1497" s="225"/>
      <c r="D1497" s="225"/>
      <c r="E1497" s="226" t="s">
        <v>1268</v>
      </c>
      <c r="F1497" s="205" t="s">
        <v>1269</v>
      </c>
      <c r="G1497" s="220">
        <v>4112</v>
      </c>
      <c r="H1497" s="218" t="s">
        <v>183</v>
      </c>
      <c r="I1497" s="218" t="s">
        <v>33</v>
      </c>
      <c r="J1497" s="222">
        <v>4347.53</v>
      </c>
      <c r="L1497" s="222">
        <v>4.55</v>
      </c>
      <c r="M1497" s="222">
        <v>4.55</v>
      </c>
      <c r="N1497" s="223"/>
      <c r="O1497" s="212">
        <v>0.15</v>
      </c>
      <c r="P1497" s="224"/>
      <c r="Q1497" s="223">
        <v>0</v>
      </c>
      <c r="R1497" s="205" t="s">
        <v>142</v>
      </c>
      <c r="S1497" s="214" t="s">
        <v>41</v>
      </c>
      <c r="T1497" s="214">
        <v>24</v>
      </c>
      <c r="U1497" s="227" t="s">
        <v>164</v>
      </c>
      <c r="V1497" s="455"/>
      <c r="W1497" s="218" t="s">
        <v>2785</v>
      </c>
      <c r="X1497" s="223">
        <v>0</v>
      </c>
      <c r="Y1497" s="223"/>
      <c r="AF1497" s="230">
        <f>X1497</f>
        <v>0</v>
      </c>
      <c r="AI1497" s="205"/>
      <c r="AJ1497" s="216"/>
    </row>
    <row r="1498" spans="1:77" s="303" customFormat="1" ht="12" customHeight="1">
      <c r="B1498" s="291" t="s">
        <v>291</v>
      </c>
      <c r="C1498" s="301">
        <v>44701</v>
      </c>
      <c r="D1498" s="301">
        <v>44702</v>
      </c>
      <c r="E1498" s="302" t="s">
        <v>1270</v>
      </c>
      <c r="F1498" s="291" t="s">
        <v>1041</v>
      </c>
      <c r="G1498" s="294">
        <v>4627</v>
      </c>
      <c r="H1498" s="303" t="s">
        <v>137</v>
      </c>
      <c r="I1498" s="303" t="s">
        <v>33</v>
      </c>
      <c r="J1498" s="305">
        <v>2599.3000000000002</v>
      </c>
      <c r="L1498" s="305">
        <v>2.78</v>
      </c>
      <c r="M1498" s="305">
        <v>2.78</v>
      </c>
      <c r="N1498" s="306"/>
      <c r="O1498" s="298">
        <v>0.2</v>
      </c>
      <c r="P1498" s="307"/>
      <c r="Q1498" s="306">
        <v>0</v>
      </c>
      <c r="R1498" s="291" t="s">
        <v>128</v>
      </c>
      <c r="S1498" s="299" t="s">
        <v>41</v>
      </c>
      <c r="T1498" s="299">
        <v>86</v>
      </c>
      <c r="U1498" s="309" t="s">
        <v>164</v>
      </c>
      <c r="V1498" s="447"/>
      <c r="W1498" s="303" t="s">
        <v>3895</v>
      </c>
      <c r="X1498" s="306">
        <v>0</v>
      </c>
      <c r="Y1498" s="306"/>
      <c r="AH1498" s="303">
        <f>X1498</f>
        <v>0</v>
      </c>
      <c r="AI1498" s="311"/>
      <c r="AJ1498" s="468"/>
    </row>
    <row r="1499" spans="1:77" s="273" customFormat="1" ht="12" customHeight="1">
      <c r="B1499" s="261" t="s">
        <v>291</v>
      </c>
      <c r="C1499" s="271">
        <v>44701</v>
      </c>
      <c r="D1499" s="271">
        <v>44701</v>
      </c>
      <c r="E1499" s="272" t="s">
        <v>1271</v>
      </c>
      <c r="F1499" s="261" t="s">
        <v>1272</v>
      </c>
      <c r="G1499" s="276" t="s">
        <v>1273</v>
      </c>
      <c r="H1499" s="273" t="s">
        <v>99</v>
      </c>
      <c r="I1499" s="273" t="s">
        <v>33</v>
      </c>
      <c r="J1499" s="277">
        <v>46711.62</v>
      </c>
      <c r="L1499" s="277">
        <v>37.520000000000003</v>
      </c>
      <c r="M1499" s="277">
        <v>37.520000000000003</v>
      </c>
      <c r="N1499" s="275"/>
      <c r="O1499" s="266">
        <v>0.25</v>
      </c>
      <c r="P1499" s="278"/>
      <c r="Q1499" s="275">
        <v>910.81</v>
      </c>
      <c r="R1499" s="261" t="s">
        <v>128</v>
      </c>
      <c r="S1499" s="267" t="s">
        <v>1274</v>
      </c>
      <c r="T1499" s="267">
        <v>79</v>
      </c>
      <c r="U1499" s="274" t="s">
        <v>164</v>
      </c>
      <c r="V1499" s="454"/>
      <c r="X1499" s="275">
        <v>910.81</v>
      </c>
      <c r="Y1499" s="275"/>
      <c r="AG1499" s="273">
        <f>X1499</f>
        <v>910.81</v>
      </c>
      <c r="AI1499" s="261"/>
      <c r="AJ1499" s="642"/>
    </row>
    <row r="1500" spans="1:77" s="273" customFormat="1" ht="12" customHeight="1">
      <c r="B1500" s="261" t="s">
        <v>291</v>
      </c>
      <c r="C1500" s="271"/>
      <c r="D1500" s="271"/>
      <c r="E1500" s="272" t="s">
        <v>1271</v>
      </c>
      <c r="F1500" s="261" t="s">
        <v>1272</v>
      </c>
      <c r="G1500" s="276" t="s">
        <v>1273</v>
      </c>
      <c r="H1500" s="273" t="s">
        <v>183</v>
      </c>
      <c r="I1500" s="273" t="s">
        <v>33</v>
      </c>
      <c r="J1500" s="277">
        <v>7390.97</v>
      </c>
      <c r="L1500" s="277">
        <v>7.21</v>
      </c>
      <c r="M1500" s="277">
        <v>7.21</v>
      </c>
      <c r="N1500" s="275"/>
      <c r="O1500" s="266">
        <v>0.25</v>
      </c>
      <c r="P1500" s="278"/>
      <c r="Q1500" s="275">
        <v>0</v>
      </c>
      <c r="R1500" s="261" t="s">
        <v>128</v>
      </c>
      <c r="S1500" s="267" t="s">
        <v>1274</v>
      </c>
      <c r="T1500" s="267">
        <v>79</v>
      </c>
      <c r="U1500" s="274" t="s">
        <v>164</v>
      </c>
      <c r="V1500" s="454"/>
      <c r="X1500" s="275">
        <v>0</v>
      </c>
      <c r="Y1500" s="275"/>
      <c r="AG1500" s="273">
        <f>X1500</f>
        <v>0</v>
      </c>
      <c r="AI1500" s="261"/>
      <c r="AJ1500" s="642"/>
    </row>
    <row r="1501" spans="1:77" s="273" customFormat="1" ht="12" customHeight="1">
      <c r="B1501" s="261" t="s">
        <v>291</v>
      </c>
      <c r="C1501" s="271"/>
      <c r="D1501" s="271"/>
      <c r="E1501" s="272" t="s">
        <v>1271</v>
      </c>
      <c r="F1501" s="261" t="s">
        <v>1272</v>
      </c>
      <c r="G1501" s="276" t="s">
        <v>1273</v>
      </c>
      <c r="H1501" s="273" t="s">
        <v>27</v>
      </c>
      <c r="I1501" s="273" t="s">
        <v>33</v>
      </c>
      <c r="J1501" s="277">
        <v>7390.97</v>
      </c>
      <c r="L1501" s="277">
        <v>10.01</v>
      </c>
      <c r="M1501" s="277">
        <v>10.01</v>
      </c>
      <c r="N1501" s="275"/>
      <c r="O1501" s="266">
        <v>0.25</v>
      </c>
      <c r="P1501" s="278"/>
      <c r="Q1501" s="275">
        <v>695.59</v>
      </c>
      <c r="R1501" s="261" t="s">
        <v>128</v>
      </c>
      <c r="S1501" s="267" t="s">
        <v>1274</v>
      </c>
      <c r="T1501" s="267">
        <v>79</v>
      </c>
      <c r="U1501" s="274" t="s">
        <v>164</v>
      </c>
      <c r="V1501" s="454"/>
      <c r="X1501" s="275">
        <v>695.59</v>
      </c>
      <c r="Y1501" s="275"/>
      <c r="AG1501" s="273">
        <f>X1501</f>
        <v>695.59</v>
      </c>
      <c r="AI1501" s="261"/>
      <c r="AJ1501" s="642"/>
    </row>
    <row r="1502" spans="1:77" s="660" customFormat="1" ht="12" customHeight="1">
      <c r="B1502" s="647" t="s">
        <v>291</v>
      </c>
      <c r="C1502" s="665">
        <v>44701</v>
      </c>
      <c r="D1502" s="665">
        <v>44701</v>
      </c>
      <c r="E1502" s="666" t="s">
        <v>1275</v>
      </c>
      <c r="F1502" s="647" t="s">
        <v>950</v>
      </c>
      <c r="G1502" s="650">
        <v>3600</v>
      </c>
      <c r="H1502" s="647" t="s">
        <v>99</v>
      </c>
      <c r="I1502" s="647" t="s">
        <v>33</v>
      </c>
      <c r="J1502" s="651">
        <v>53960</v>
      </c>
      <c r="L1502" s="651">
        <v>59.35</v>
      </c>
      <c r="M1502" s="651">
        <v>59.35</v>
      </c>
      <c r="N1502" s="669">
        <v>7780.5</v>
      </c>
      <c r="O1502" s="653">
        <v>0.15</v>
      </c>
      <c r="P1502" s="670"/>
      <c r="Q1502" s="669">
        <v>0</v>
      </c>
      <c r="R1502" s="647" t="s">
        <v>128</v>
      </c>
      <c r="S1502" s="654" t="s">
        <v>41</v>
      </c>
      <c r="T1502" s="654">
        <v>86</v>
      </c>
      <c r="U1502" s="672" t="s">
        <v>164</v>
      </c>
      <c r="V1502" s="673"/>
      <c r="X1502" s="669">
        <v>0</v>
      </c>
      <c r="Y1502" s="669"/>
      <c r="AI1502" s="647">
        <v>0</v>
      </c>
      <c r="AJ1502" s="657"/>
      <c r="AK1502" s="658"/>
      <c r="AL1502" s="647"/>
      <c r="AM1502" s="647"/>
      <c r="AN1502" s="647"/>
      <c r="AO1502" s="647"/>
      <c r="AP1502" s="647"/>
      <c r="AQ1502" s="647"/>
      <c r="AR1502" s="647"/>
      <c r="AS1502" s="647"/>
      <c r="AT1502" s="647"/>
      <c r="AU1502" s="647"/>
      <c r="AV1502" s="647"/>
      <c r="AW1502" s="647"/>
      <c r="AX1502" s="647"/>
      <c r="AY1502" s="647"/>
      <c r="AZ1502" s="647"/>
      <c r="BA1502" s="647"/>
      <c r="BB1502" s="647"/>
      <c r="BC1502" s="647"/>
      <c r="BD1502" s="647"/>
      <c r="BE1502" s="647"/>
      <c r="BF1502" s="647"/>
      <c r="BG1502" s="647"/>
      <c r="BH1502" s="647"/>
      <c r="BI1502" s="647"/>
      <c r="BJ1502" s="647"/>
      <c r="BK1502" s="647"/>
      <c r="BL1502" s="647"/>
      <c r="BM1502" s="647"/>
      <c r="BN1502" s="647"/>
      <c r="BO1502" s="647"/>
      <c r="BP1502" s="647"/>
      <c r="BQ1502" s="647"/>
      <c r="BR1502" s="647"/>
      <c r="BS1502" s="647"/>
      <c r="BT1502" s="647"/>
      <c r="BU1502" s="647"/>
      <c r="BV1502" s="647"/>
      <c r="BW1502" s="647"/>
      <c r="BX1502" s="647"/>
      <c r="BY1502" s="647"/>
    </row>
    <row r="1503" spans="1:77" s="660" customFormat="1" ht="12" customHeight="1">
      <c r="B1503" s="647" t="s">
        <v>291</v>
      </c>
      <c r="C1503" s="665"/>
      <c r="D1503" s="665"/>
      <c r="E1503" s="666" t="s">
        <v>1275</v>
      </c>
      <c r="F1503" s="647" t="s">
        <v>950</v>
      </c>
      <c r="G1503" s="650">
        <v>3600</v>
      </c>
      <c r="H1503" s="647" t="s">
        <v>27</v>
      </c>
      <c r="I1503" s="647" t="s">
        <v>33</v>
      </c>
      <c r="J1503" s="651">
        <v>25620</v>
      </c>
      <c r="L1503" s="651">
        <v>27.6</v>
      </c>
      <c r="M1503" s="651">
        <v>27.6</v>
      </c>
      <c r="N1503" s="669">
        <v>3535.56</v>
      </c>
      <c r="O1503" s="653">
        <v>0.15</v>
      </c>
      <c r="P1503" s="670"/>
      <c r="Q1503" s="669">
        <v>0</v>
      </c>
      <c r="R1503" s="647" t="s">
        <v>128</v>
      </c>
      <c r="S1503" s="654" t="s">
        <v>41</v>
      </c>
      <c r="T1503" s="654">
        <v>86</v>
      </c>
      <c r="U1503" s="672" t="s">
        <v>164</v>
      </c>
      <c r="V1503" s="673"/>
      <c r="X1503" s="669">
        <v>0</v>
      </c>
      <c r="Y1503" s="669"/>
      <c r="AI1503" s="647">
        <v>0</v>
      </c>
      <c r="AJ1503" s="657"/>
      <c r="AK1503" s="658"/>
      <c r="AL1503" s="647"/>
      <c r="AM1503" s="647"/>
      <c r="AN1503" s="647"/>
      <c r="AO1503" s="647"/>
      <c r="AP1503" s="647"/>
      <c r="AQ1503" s="647"/>
      <c r="AR1503" s="647"/>
      <c r="AS1503" s="647"/>
      <c r="AT1503" s="647"/>
      <c r="AU1503" s="647"/>
      <c r="AV1503" s="647"/>
      <c r="AW1503" s="647"/>
      <c r="AX1503" s="647"/>
      <c r="AY1503" s="647"/>
      <c r="AZ1503" s="647"/>
      <c r="BA1503" s="647"/>
      <c r="BB1503" s="647"/>
      <c r="BC1503" s="647"/>
      <c r="BD1503" s="647"/>
      <c r="BE1503" s="647"/>
      <c r="BF1503" s="647"/>
      <c r="BG1503" s="647"/>
      <c r="BH1503" s="647"/>
      <c r="BI1503" s="647"/>
      <c r="BJ1503" s="647"/>
      <c r="BK1503" s="647"/>
      <c r="BL1503" s="647"/>
      <c r="BM1503" s="647"/>
      <c r="BN1503" s="647"/>
      <c r="BO1503" s="647"/>
      <c r="BP1503" s="647"/>
      <c r="BQ1503" s="647"/>
      <c r="BR1503" s="647"/>
      <c r="BS1503" s="647"/>
      <c r="BT1503" s="647"/>
      <c r="BU1503" s="647"/>
      <c r="BV1503" s="647"/>
      <c r="BW1503" s="647"/>
      <c r="BX1503" s="647"/>
      <c r="BY1503" s="647"/>
    </row>
    <row r="1504" spans="1:77" s="660" customFormat="1" ht="12" customHeight="1">
      <c r="B1504" s="647" t="s">
        <v>291</v>
      </c>
      <c r="C1504" s="665"/>
      <c r="D1504" s="665"/>
      <c r="E1504" s="666" t="s">
        <v>1275</v>
      </c>
      <c r="F1504" s="647" t="s">
        <v>950</v>
      </c>
      <c r="G1504" s="650">
        <v>3600</v>
      </c>
      <c r="H1504" s="647" t="s">
        <v>183</v>
      </c>
      <c r="I1504" s="647" t="s">
        <v>33</v>
      </c>
      <c r="J1504" s="651">
        <v>12889.5</v>
      </c>
      <c r="L1504" s="651">
        <v>20.03</v>
      </c>
      <c r="M1504" s="651">
        <v>20.03</v>
      </c>
      <c r="N1504" s="669">
        <v>7733.7</v>
      </c>
      <c r="O1504" s="653">
        <v>0.15</v>
      </c>
      <c r="P1504" s="670"/>
      <c r="Q1504" s="669">
        <v>0</v>
      </c>
      <c r="R1504" s="647" t="s">
        <v>128</v>
      </c>
      <c r="S1504" s="654" t="s">
        <v>41</v>
      </c>
      <c r="T1504" s="654">
        <v>86</v>
      </c>
      <c r="U1504" s="672" t="s">
        <v>164</v>
      </c>
      <c r="V1504" s="673"/>
      <c r="X1504" s="669">
        <v>0</v>
      </c>
      <c r="Y1504" s="669"/>
      <c r="AI1504" s="647">
        <v>0</v>
      </c>
      <c r="AJ1504" s="657"/>
      <c r="AK1504" s="658"/>
      <c r="AL1504" s="647"/>
      <c r="AM1504" s="647"/>
      <c r="AN1504" s="647"/>
      <c r="AO1504" s="647"/>
      <c r="AP1504" s="647"/>
      <c r="AQ1504" s="647"/>
      <c r="AR1504" s="647"/>
      <c r="AS1504" s="647"/>
      <c r="AT1504" s="647"/>
      <c r="AU1504" s="647"/>
      <c r="AV1504" s="647"/>
      <c r="AW1504" s="647"/>
      <c r="AX1504" s="647"/>
      <c r="AY1504" s="647"/>
      <c r="AZ1504" s="647"/>
      <c r="BA1504" s="647"/>
      <c r="BB1504" s="647"/>
      <c r="BC1504" s="647"/>
      <c r="BD1504" s="647"/>
      <c r="BE1504" s="647"/>
      <c r="BF1504" s="647"/>
      <c r="BG1504" s="647"/>
      <c r="BH1504" s="647"/>
      <c r="BI1504" s="647"/>
      <c r="BJ1504" s="647"/>
      <c r="BK1504" s="647"/>
      <c r="BL1504" s="647"/>
      <c r="BM1504" s="647"/>
      <c r="BN1504" s="647"/>
      <c r="BO1504" s="647"/>
      <c r="BP1504" s="647"/>
      <c r="BQ1504" s="647"/>
      <c r="BR1504" s="647"/>
      <c r="BS1504" s="647"/>
      <c r="BT1504" s="647"/>
      <c r="BU1504" s="647"/>
      <c r="BV1504" s="647"/>
      <c r="BW1504" s="647"/>
      <c r="BX1504" s="647"/>
      <c r="BY1504" s="647"/>
    </row>
    <row r="1505" spans="1:77" s="660" customFormat="1" ht="12" customHeight="1">
      <c r="B1505" s="647" t="s">
        <v>291</v>
      </c>
      <c r="C1505" s="665"/>
      <c r="D1505" s="665"/>
      <c r="E1505" s="666" t="s">
        <v>1275</v>
      </c>
      <c r="F1505" s="647" t="s">
        <v>950</v>
      </c>
      <c r="G1505" s="650">
        <v>3600</v>
      </c>
      <c r="H1505" s="647" t="s">
        <v>442</v>
      </c>
      <c r="I1505" s="647" t="s">
        <v>33</v>
      </c>
      <c r="J1505" s="651">
        <v>5122</v>
      </c>
      <c r="L1505" s="651">
        <v>6.34</v>
      </c>
      <c r="M1505" s="651">
        <v>6.34</v>
      </c>
      <c r="N1505" s="669">
        <v>512.20000000000005</v>
      </c>
      <c r="O1505" s="653">
        <v>0.15</v>
      </c>
      <c r="P1505" s="670"/>
      <c r="Q1505" s="669">
        <v>1133.5899999999999</v>
      </c>
      <c r="R1505" s="647" t="s">
        <v>128</v>
      </c>
      <c r="S1505" s="654" t="s">
        <v>41</v>
      </c>
      <c r="T1505" s="654">
        <v>86</v>
      </c>
      <c r="U1505" s="672" t="s">
        <v>164</v>
      </c>
      <c r="V1505" s="673"/>
      <c r="X1505" s="669">
        <v>1133.5899999999999</v>
      </c>
      <c r="Y1505" s="669"/>
      <c r="AI1505" s="669">
        <v>1133.5899999999999</v>
      </c>
      <c r="AJ1505" s="657"/>
      <c r="AK1505" s="658"/>
      <c r="AL1505" s="647"/>
      <c r="AM1505" s="647"/>
      <c r="AN1505" s="647"/>
      <c r="AO1505" s="647"/>
      <c r="AP1505" s="647"/>
      <c r="AQ1505" s="647"/>
      <c r="AR1505" s="647"/>
      <c r="AS1505" s="647"/>
      <c r="AT1505" s="647"/>
      <c r="AU1505" s="647"/>
      <c r="AV1505" s="647"/>
      <c r="AW1505" s="647"/>
      <c r="AX1505" s="647"/>
      <c r="AY1505" s="647"/>
      <c r="AZ1505" s="647"/>
      <c r="BA1505" s="647"/>
      <c r="BB1505" s="647"/>
      <c r="BC1505" s="647"/>
      <c r="BD1505" s="647"/>
      <c r="BE1505" s="647"/>
      <c r="BF1505" s="647"/>
      <c r="BG1505" s="647"/>
      <c r="BH1505" s="647"/>
      <c r="BI1505" s="647"/>
      <c r="BJ1505" s="647"/>
      <c r="BK1505" s="647"/>
      <c r="BL1505" s="647"/>
      <c r="BM1505" s="647"/>
      <c r="BN1505" s="647"/>
      <c r="BO1505" s="647"/>
      <c r="BP1505" s="647"/>
      <c r="BQ1505" s="647"/>
      <c r="BR1505" s="647"/>
      <c r="BS1505" s="647"/>
      <c r="BT1505" s="647"/>
      <c r="BU1505" s="647"/>
      <c r="BV1505" s="647"/>
      <c r="BW1505" s="647"/>
      <c r="BX1505" s="647"/>
      <c r="BY1505" s="647"/>
    </row>
    <row r="1506" spans="1:77" s="660" customFormat="1" ht="12" customHeight="1">
      <c r="B1506" s="647" t="s">
        <v>291</v>
      </c>
      <c r="C1506" s="665"/>
      <c r="D1506" s="665"/>
      <c r="E1506" s="666" t="s">
        <v>1275</v>
      </c>
      <c r="F1506" s="647" t="s">
        <v>950</v>
      </c>
      <c r="G1506" s="650">
        <v>3600</v>
      </c>
      <c r="H1506" s="647" t="s">
        <v>162</v>
      </c>
      <c r="I1506" s="647" t="s">
        <v>33</v>
      </c>
      <c r="J1506" s="651">
        <v>2926</v>
      </c>
      <c r="L1506" s="651">
        <v>2.97</v>
      </c>
      <c r="M1506" s="651">
        <v>2.97</v>
      </c>
      <c r="N1506" s="669">
        <f>J1506*0.2</f>
        <v>585.20000000000005</v>
      </c>
      <c r="O1506" s="653">
        <v>0.15</v>
      </c>
      <c r="P1506" s="670"/>
      <c r="Q1506" s="669">
        <v>528.75</v>
      </c>
      <c r="R1506" s="647" t="s">
        <v>128</v>
      </c>
      <c r="S1506" s="654" t="s">
        <v>41</v>
      </c>
      <c r="T1506" s="654">
        <v>86</v>
      </c>
      <c r="U1506" s="672" t="s">
        <v>164</v>
      </c>
      <c r="V1506" s="673"/>
      <c r="X1506" s="669">
        <v>528.75</v>
      </c>
      <c r="Y1506" s="669"/>
      <c r="AI1506" s="669">
        <v>528.75</v>
      </c>
      <c r="AJ1506" s="657"/>
      <c r="AK1506" s="658"/>
      <c r="AL1506" s="647"/>
      <c r="AM1506" s="647"/>
      <c r="AN1506" s="647"/>
      <c r="AO1506" s="647"/>
      <c r="AP1506" s="647"/>
      <c r="AQ1506" s="647"/>
      <c r="AR1506" s="647"/>
      <c r="AS1506" s="647"/>
      <c r="AT1506" s="647"/>
      <c r="AU1506" s="647"/>
      <c r="AV1506" s="647"/>
      <c r="AW1506" s="647"/>
      <c r="AX1506" s="647"/>
      <c r="AY1506" s="647"/>
      <c r="AZ1506" s="647"/>
      <c r="BA1506" s="647"/>
      <c r="BB1506" s="647"/>
      <c r="BC1506" s="647"/>
      <c r="BD1506" s="647"/>
      <c r="BE1506" s="647"/>
      <c r="BF1506" s="647"/>
      <c r="BG1506" s="647"/>
      <c r="BH1506" s="647"/>
      <c r="BI1506" s="647"/>
      <c r="BJ1506" s="647"/>
      <c r="BK1506" s="647"/>
      <c r="BL1506" s="647"/>
      <c r="BM1506" s="647"/>
      <c r="BN1506" s="647"/>
      <c r="BO1506" s="647"/>
      <c r="BP1506" s="647"/>
      <c r="BQ1506" s="647"/>
      <c r="BR1506" s="647"/>
      <c r="BS1506" s="647"/>
      <c r="BT1506" s="647"/>
      <c r="BU1506" s="647"/>
      <c r="BV1506" s="647"/>
      <c r="BW1506" s="647"/>
      <c r="BX1506" s="647"/>
      <c r="BY1506" s="647"/>
    </row>
    <row r="1507" spans="1:77" s="394" customFormat="1" ht="12" customHeight="1">
      <c r="B1507" s="380" t="s">
        <v>291</v>
      </c>
      <c r="C1507" s="392">
        <v>44700</v>
      </c>
      <c r="D1507" s="392">
        <v>44702</v>
      </c>
      <c r="E1507" s="393" t="s">
        <v>1276</v>
      </c>
      <c r="F1507" s="379" t="s">
        <v>841</v>
      </c>
      <c r="G1507" s="383">
        <v>3813</v>
      </c>
      <c r="H1507" s="379" t="s">
        <v>99</v>
      </c>
      <c r="I1507" s="394" t="s">
        <v>961</v>
      </c>
      <c r="J1507" s="395">
        <v>28289.360000000001</v>
      </c>
      <c r="L1507" s="395">
        <v>33.549999999999997</v>
      </c>
      <c r="M1507" s="395">
        <v>33.54</v>
      </c>
      <c r="N1507" s="396">
        <v>7710</v>
      </c>
      <c r="O1507" s="387">
        <v>0.15</v>
      </c>
      <c r="P1507" s="397"/>
      <c r="Q1507" s="396">
        <v>4238.04</v>
      </c>
      <c r="R1507" s="379" t="s">
        <v>146</v>
      </c>
      <c r="S1507" s="388" t="s">
        <v>113</v>
      </c>
      <c r="T1507" s="388">
        <v>31</v>
      </c>
      <c r="U1507" s="398" t="s">
        <v>164</v>
      </c>
      <c r="V1507" s="449"/>
      <c r="X1507" s="396">
        <v>4238.04</v>
      </c>
      <c r="Y1507" s="396"/>
      <c r="AI1507" s="386"/>
      <c r="AJ1507" s="395">
        <v>4238.04</v>
      </c>
    </row>
    <row r="1508" spans="1:77" s="394" customFormat="1" ht="12" customHeight="1">
      <c r="B1508" s="380" t="s">
        <v>291</v>
      </c>
      <c r="C1508" s="392"/>
      <c r="D1508" s="392"/>
      <c r="E1508" s="393" t="s">
        <v>1276</v>
      </c>
      <c r="F1508" s="379" t="s">
        <v>841</v>
      </c>
      <c r="G1508" s="383">
        <v>3813</v>
      </c>
      <c r="H1508" s="379" t="s">
        <v>27</v>
      </c>
      <c r="I1508" s="394" t="s">
        <v>961</v>
      </c>
      <c r="J1508" s="395">
        <v>21777.56</v>
      </c>
      <c r="L1508" s="395">
        <v>21.68</v>
      </c>
      <c r="M1508" s="395">
        <v>21.67</v>
      </c>
      <c r="N1508" s="396">
        <v>6651</v>
      </c>
      <c r="O1508" s="387">
        <v>0.15</v>
      </c>
      <c r="P1508" s="397"/>
      <c r="Q1508" s="396">
        <v>1589.69</v>
      </c>
      <c r="R1508" s="379" t="s">
        <v>146</v>
      </c>
      <c r="S1508" s="388" t="s">
        <v>113</v>
      </c>
      <c r="T1508" s="388">
        <v>31</v>
      </c>
      <c r="U1508" s="398" t="s">
        <v>164</v>
      </c>
      <c r="V1508" s="449"/>
      <c r="X1508" s="396">
        <v>1589.69</v>
      </c>
      <c r="Y1508" s="396"/>
      <c r="AI1508" s="379"/>
      <c r="AJ1508" s="395">
        <v>1589.69</v>
      </c>
    </row>
    <row r="1509" spans="1:77" s="164" customFormat="1" ht="12" customHeight="1">
      <c r="B1509" s="154" t="s">
        <v>291</v>
      </c>
      <c r="C1509" s="166"/>
      <c r="D1509" s="166"/>
      <c r="E1509" s="167" t="s">
        <v>1276</v>
      </c>
      <c r="F1509" s="153" t="s">
        <v>841</v>
      </c>
      <c r="G1509" s="157">
        <v>3813</v>
      </c>
      <c r="H1509" s="164" t="s">
        <v>910</v>
      </c>
      <c r="I1509" s="164" t="s">
        <v>961</v>
      </c>
      <c r="J1509" s="169">
        <v>126316.08</v>
      </c>
      <c r="L1509" s="169">
        <v>67.650000000000006</v>
      </c>
      <c r="M1509" s="169">
        <v>67.64</v>
      </c>
      <c r="N1509" s="170"/>
      <c r="O1509" s="160">
        <v>0.15</v>
      </c>
      <c r="P1509" s="171"/>
      <c r="Q1509" s="170">
        <v>0</v>
      </c>
      <c r="R1509" s="153" t="s">
        <v>146</v>
      </c>
      <c r="S1509" s="161" t="s">
        <v>113</v>
      </c>
      <c r="T1509" s="161">
        <v>31</v>
      </c>
      <c r="U1509" s="173" t="s">
        <v>164</v>
      </c>
      <c r="V1509" s="452"/>
      <c r="X1509" s="170">
        <v>0</v>
      </c>
      <c r="Y1509" s="170"/>
      <c r="AD1509" s="177">
        <f>X1509</f>
        <v>0</v>
      </c>
      <c r="AI1509" s="153"/>
      <c r="AJ1509" s="644"/>
    </row>
    <row r="1510" spans="1:77" s="303" customFormat="1" ht="12" customHeight="1">
      <c r="B1510" s="313" t="s">
        <v>291</v>
      </c>
      <c r="C1510" s="301">
        <v>44702</v>
      </c>
      <c r="D1510" s="301">
        <v>44702</v>
      </c>
      <c r="E1510" s="302" t="s">
        <v>1277</v>
      </c>
      <c r="F1510" s="291" t="s">
        <v>436</v>
      </c>
      <c r="G1510" s="294" t="s">
        <v>437</v>
      </c>
      <c r="H1510" s="291" t="s">
        <v>27</v>
      </c>
      <c r="I1510" s="303" t="s">
        <v>33</v>
      </c>
      <c r="J1510" s="305">
        <v>19521.439999999999</v>
      </c>
      <c r="L1510" s="305">
        <v>18.84</v>
      </c>
      <c r="M1510" s="305">
        <v>18.84</v>
      </c>
      <c r="N1510" s="306"/>
      <c r="O1510" s="298">
        <v>0.3</v>
      </c>
      <c r="P1510" s="307"/>
      <c r="Q1510" s="306">
        <v>0</v>
      </c>
      <c r="R1510" s="291" t="s">
        <v>42</v>
      </c>
      <c r="S1510" s="299" t="s">
        <v>41</v>
      </c>
      <c r="T1510" s="299">
        <v>17</v>
      </c>
      <c r="U1510" s="309" t="s">
        <v>164</v>
      </c>
      <c r="V1510" s="447"/>
      <c r="X1510" s="306">
        <v>0</v>
      </c>
      <c r="Y1510" s="297"/>
      <c r="AH1510" s="303">
        <f>X1510</f>
        <v>0</v>
      </c>
      <c r="AI1510" s="311"/>
      <c r="AJ1510" s="468"/>
    </row>
    <row r="1511" spans="1:77" s="117" customFormat="1" ht="12" customHeight="1">
      <c r="A1511" s="394"/>
      <c r="B1511" s="380" t="s">
        <v>291</v>
      </c>
      <c r="C1511" s="392">
        <v>44699</v>
      </c>
      <c r="D1511" s="392">
        <v>44702</v>
      </c>
      <c r="E1511" s="393" t="s">
        <v>1278</v>
      </c>
      <c r="F1511" s="379" t="s">
        <v>1116</v>
      </c>
      <c r="G1511" s="383">
        <v>3716</v>
      </c>
      <c r="H1511" s="379" t="s">
        <v>765</v>
      </c>
      <c r="I1511" s="394" t="s">
        <v>28</v>
      </c>
      <c r="J1511" s="395">
        <v>11826.17</v>
      </c>
      <c r="K1511" s="394"/>
      <c r="L1511" s="395">
        <v>11.01</v>
      </c>
      <c r="M1511" s="395">
        <v>5.76</v>
      </c>
      <c r="N1511" s="396"/>
      <c r="O1511" s="387">
        <v>0.15</v>
      </c>
      <c r="P1511" s="397"/>
      <c r="Q1511" s="396">
        <v>0</v>
      </c>
      <c r="R1511" s="379" t="s">
        <v>112</v>
      </c>
      <c r="S1511" s="388" t="s">
        <v>113</v>
      </c>
      <c r="T1511" s="388">
        <v>64</v>
      </c>
      <c r="U1511" s="398" t="s">
        <v>164</v>
      </c>
      <c r="V1511" s="462"/>
      <c r="W1511" s="394"/>
      <c r="X1511" s="396">
        <v>0</v>
      </c>
      <c r="Y1511" s="396"/>
      <c r="Z1511" s="394"/>
      <c r="AA1511" s="394"/>
      <c r="AB1511" s="394"/>
      <c r="AC1511" s="394"/>
      <c r="AD1511" s="394"/>
      <c r="AE1511" s="394"/>
      <c r="AF1511" s="394"/>
      <c r="AG1511" s="394"/>
      <c r="AH1511" s="394"/>
      <c r="AI1511" s="379"/>
      <c r="AJ1511" s="390">
        <v>0</v>
      </c>
      <c r="AK1511" s="394"/>
      <c r="AL1511" s="394"/>
      <c r="AM1511" s="394"/>
      <c r="AN1511" s="394"/>
      <c r="AO1511" s="394"/>
      <c r="AP1511" s="394"/>
      <c r="AQ1511" s="394"/>
      <c r="AR1511" s="394"/>
      <c r="AS1511" s="394"/>
      <c r="AT1511" s="394"/>
      <c r="AU1511" s="394"/>
      <c r="AV1511" s="394"/>
      <c r="AW1511" s="394"/>
      <c r="AX1511" s="394"/>
      <c r="AY1511" s="394"/>
      <c r="AZ1511" s="394"/>
      <c r="BA1511" s="394"/>
      <c r="BB1511" s="394"/>
      <c r="BC1511" s="394"/>
      <c r="BD1511" s="394"/>
      <c r="BE1511" s="394"/>
      <c r="BF1511" s="394"/>
      <c r="BG1511" s="394"/>
      <c r="BH1511" s="394"/>
      <c r="BI1511" s="394"/>
      <c r="BJ1511" s="394"/>
      <c r="BK1511" s="394"/>
      <c r="BL1511" s="394"/>
      <c r="BM1511" s="394"/>
      <c r="BN1511" s="394"/>
      <c r="BO1511" s="394"/>
      <c r="BP1511" s="394"/>
      <c r="BQ1511" s="394"/>
      <c r="BR1511" s="394"/>
      <c r="BS1511" s="394"/>
      <c r="BT1511" s="394"/>
      <c r="BU1511" s="394"/>
      <c r="BV1511" s="394"/>
      <c r="BW1511" s="394"/>
      <c r="BX1511" s="394"/>
      <c r="BY1511" s="394"/>
    </row>
    <row r="1512" spans="1:77" s="117" customFormat="1" ht="12" customHeight="1">
      <c r="A1512" s="394"/>
      <c r="B1512" s="380" t="s">
        <v>291</v>
      </c>
      <c r="C1512" s="392"/>
      <c r="D1512" s="392"/>
      <c r="E1512" s="393" t="s">
        <v>1278</v>
      </c>
      <c r="F1512" s="379" t="s">
        <v>1116</v>
      </c>
      <c r="G1512" s="383">
        <v>3716</v>
      </c>
      <c r="H1512" s="379" t="s">
        <v>866</v>
      </c>
      <c r="I1512" s="394" t="s">
        <v>28</v>
      </c>
      <c r="J1512" s="395">
        <v>21736.26</v>
      </c>
      <c r="K1512" s="394"/>
      <c r="L1512" s="395">
        <v>13.27</v>
      </c>
      <c r="M1512" s="395">
        <v>11.34</v>
      </c>
      <c r="N1512" s="396">
        <v>1538.41</v>
      </c>
      <c r="O1512" s="387">
        <v>0.15</v>
      </c>
      <c r="P1512" s="397"/>
      <c r="Q1512" s="396">
        <v>0</v>
      </c>
      <c r="R1512" s="379" t="s">
        <v>112</v>
      </c>
      <c r="S1512" s="388" t="s">
        <v>113</v>
      </c>
      <c r="T1512" s="388">
        <v>64</v>
      </c>
      <c r="U1512" s="398" t="s">
        <v>164</v>
      </c>
      <c r="V1512" s="462"/>
      <c r="W1512" s="394"/>
      <c r="X1512" s="396">
        <v>0</v>
      </c>
      <c r="Y1512" s="396"/>
      <c r="Z1512" s="394"/>
      <c r="AA1512" s="394"/>
      <c r="AB1512" s="394"/>
      <c r="AC1512" s="394"/>
      <c r="AD1512" s="394"/>
      <c r="AE1512" s="394"/>
      <c r="AF1512" s="394"/>
      <c r="AG1512" s="394"/>
      <c r="AH1512" s="394"/>
      <c r="AI1512" s="379"/>
      <c r="AJ1512" s="390">
        <v>0</v>
      </c>
      <c r="AK1512" s="394"/>
      <c r="AL1512" s="394"/>
      <c r="AM1512" s="394"/>
      <c r="AN1512" s="394"/>
      <c r="AO1512" s="394"/>
      <c r="AP1512" s="394"/>
      <c r="AQ1512" s="394"/>
      <c r="AR1512" s="394"/>
      <c r="AS1512" s="394"/>
      <c r="AT1512" s="394"/>
      <c r="AU1512" s="394"/>
      <c r="AV1512" s="394"/>
      <c r="AW1512" s="394"/>
      <c r="AX1512" s="394"/>
      <c r="AY1512" s="394"/>
      <c r="AZ1512" s="394"/>
      <c r="BA1512" s="394"/>
      <c r="BB1512" s="394"/>
      <c r="BC1512" s="394"/>
      <c r="BD1512" s="394"/>
      <c r="BE1512" s="394"/>
      <c r="BF1512" s="394"/>
      <c r="BG1512" s="394"/>
      <c r="BH1512" s="394"/>
      <c r="BI1512" s="394"/>
      <c r="BJ1512" s="394"/>
      <c r="BK1512" s="394"/>
      <c r="BL1512" s="394"/>
      <c r="BM1512" s="394"/>
      <c r="BN1512" s="394"/>
      <c r="BO1512" s="394"/>
      <c r="BP1512" s="394"/>
      <c r="BQ1512" s="394"/>
      <c r="BR1512" s="394"/>
      <c r="BS1512" s="394"/>
      <c r="BT1512" s="394"/>
      <c r="BU1512" s="394"/>
      <c r="BV1512" s="394"/>
      <c r="BW1512" s="394"/>
      <c r="BX1512" s="394"/>
      <c r="BY1512" s="394"/>
    </row>
    <row r="1513" spans="1:77" s="394" customFormat="1" ht="12" customHeight="1">
      <c r="B1513" s="380" t="s">
        <v>291</v>
      </c>
      <c r="C1513" s="392">
        <v>44699</v>
      </c>
      <c r="D1513" s="392">
        <v>44702</v>
      </c>
      <c r="E1513" s="393" t="s">
        <v>1279</v>
      </c>
      <c r="F1513" s="379" t="s">
        <v>1280</v>
      </c>
      <c r="G1513" s="400">
        <v>3902</v>
      </c>
      <c r="H1513" s="394" t="s">
        <v>99</v>
      </c>
      <c r="I1513" s="394" t="s">
        <v>961</v>
      </c>
      <c r="J1513" s="395">
        <v>107469.42</v>
      </c>
      <c r="L1513" s="395">
        <v>85.03</v>
      </c>
      <c r="M1513" s="395">
        <v>65</v>
      </c>
      <c r="N1513" s="396"/>
      <c r="O1513" s="387">
        <v>0.15</v>
      </c>
      <c r="P1513" s="397"/>
      <c r="Q1513" s="396">
        <v>0</v>
      </c>
      <c r="R1513" s="379" t="s">
        <v>128</v>
      </c>
      <c r="S1513" s="388" t="s">
        <v>41</v>
      </c>
      <c r="T1513" s="388">
        <v>86</v>
      </c>
      <c r="U1513" s="398" t="s">
        <v>164</v>
      </c>
      <c r="V1513" s="449"/>
      <c r="X1513" s="396">
        <v>0</v>
      </c>
      <c r="Y1513" s="396"/>
      <c r="AI1513" s="379"/>
      <c r="AJ1513" s="390">
        <v>0</v>
      </c>
    </row>
    <row r="1514" spans="1:77" s="394" customFormat="1" ht="12" customHeight="1">
      <c r="B1514" s="380" t="s">
        <v>291</v>
      </c>
      <c r="C1514" s="392"/>
      <c r="D1514" s="392"/>
      <c r="E1514" s="393" t="s">
        <v>1279</v>
      </c>
      <c r="F1514" s="379" t="s">
        <v>1280</v>
      </c>
      <c r="G1514" s="400">
        <v>3902</v>
      </c>
      <c r="H1514" s="394" t="s">
        <v>163</v>
      </c>
      <c r="I1514" s="394" t="s">
        <v>961</v>
      </c>
      <c r="J1514" s="395">
        <v>12662.14</v>
      </c>
      <c r="L1514" s="395">
        <v>14.88</v>
      </c>
      <c r="M1514" s="395">
        <v>14.88</v>
      </c>
      <c r="N1514" s="396"/>
      <c r="O1514" s="387">
        <v>0.15</v>
      </c>
      <c r="P1514" s="397"/>
      <c r="Q1514" s="396">
        <v>0</v>
      </c>
      <c r="R1514" s="379" t="s">
        <v>128</v>
      </c>
      <c r="S1514" s="388" t="s">
        <v>41</v>
      </c>
      <c r="T1514" s="388">
        <v>86</v>
      </c>
      <c r="U1514" s="398" t="s">
        <v>164</v>
      </c>
      <c r="V1514" s="449"/>
      <c r="X1514" s="396">
        <v>0</v>
      </c>
      <c r="Y1514" s="396"/>
      <c r="AI1514" s="379"/>
      <c r="AJ1514" s="390">
        <v>0</v>
      </c>
    </row>
    <row r="1515" spans="1:77" s="394" customFormat="1" ht="12" customHeight="1">
      <c r="B1515" s="380" t="s">
        <v>291</v>
      </c>
      <c r="C1515" s="392"/>
      <c r="D1515" s="392"/>
      <c r="E1515" s="393" t="s">
        <v>1279</v>
      </c>
      <c r="F1515" s="379" t="s">
        <v>1280</v>
      </c>
      <c r="G1515" s="400">
        <v>3902</v>
      </c>
      <c r="H1515" s="394" t="s">
        <v>27</v>
      </c>
      <c r="I1515" s="394" t="s">
        <v>961</v>
      </c>
      <c r="J1515" s="395">
        <v>61258.239999999998</v>
      </c>
      <c r="L1515" s="395">
        <v>51.96</v>
      </c>
      <c r="M1515" s="395">
        <v>51.96</v>
      </c>
      <c r="N1515" s="396"/>
      <c r="O1515" s="387">
        <v>0.15</v>
      </c>
      <c r="P1515" s="397"/>
      <c r="Q1515" s="396">
        <v>0</v>
      </c>
      <c r="R1515" s="379" t="s">
        <v>128</v>
      </c>
      <c r="S1515" s="388" t="s">
        <v>41</v>
      </c>
      <c r="T1515" s="388">
        <v>86</v>
      </c>
      <c r="U1515" s="398" t="s">
        <v>164</v>
      </c>
      <c r="V1515" s="449"/>
      <c r="X1515" s="396">
        <v>0</v>
      </c>
      <c r="Y1515" s="396"/>
      <c r="AI1515" s="379"/>
      <c r="AJ1515" s="390">
        <v>0</v>
      </c>
    </row>
    <row r="1516" spans="1:77" s="394" customFormat="1" ht="12" customHeight="1">
      <c r="B1516" s="380" t="s">
        <v>291</v>
      </c>
      <c r="C1516" s="392"/>
      <c r="D1516" s="392"/>
      <c r="E1516" s="393" t="s">
        <v>1279</v>
      </c>
      <c r="F1516" s="379" t="s">
        <v>1280</v>
      </c>
      <c r="G1516" s="400">
        <v>3902</v>
      </c>
      <c r="H1516" s="394" t="s">
        <v>183</v>
      </c>
      <c r="I1516" s="394" t="s">
        <v>961</v>
      </c>
      <c r="J1516" s="395">
        <v>8693.92</v>
      </c>
      <c r="L1516" s="395">
        <v>8.4600000000000009</v>
      </c>
      <c r="M1516" s="395">
        <v>8.4600000000000009</v>
      </c>
      <c r="N1516" s="396"/>
      <c r="O1516" s="387">
        <v>0.15</v>
      </c>
      <c r="P1516" s="397"/>
      <c r="Q1516" s="396">
        <v>588.12</v>
      </c>
      <c r="R1516" s="379" t="s">
        <v>128</v>
      </c>
      <c r="S1516" s="388" t="s">
        <v>41</v>
      </c>
      <c r="T1516" s="388">
        <v>86</v>
      </c>
      <c r="U1516" s="398" t="s">
        <v>164</v>
      </c>
      <c r="V1516" s="449"/>
      <c r="X1516" s="396">
        <v>588.12</v>
      </c>
      <c r="Y1516" s="396"/>
      <c r="AI1516" s="379"/>
      <c r="AJ1516" s="395">
        <v>588.12</v>
      </c>
    </row>
    <row r="1517" spans="1:77" s="273" customFormat="1" ht="12" customHeight="1">
      <c r="B1517" s="258" t="s">
        <v>291</v>
      </c>
      <c r="C1517" s="271">
        <v>44703</v>
      </c>
      <c r="D1517" s="271">
        <v>44703</v>
      </c>
      <c r="E1517" s="272" t="s">
        <v>1281</v>
      </c>
      <c r="F1517" s="261" t="s">
        <v>1282</v>
      </c>
      <c r="G1517" s="276">
        <v>4578</v>
      </c>
      <c r="H1517" s="273" t="s">
        <v>140</v>
      </c>
      <c r="I1517" s="273" t="s">
        <v>958</v>
      </c>
      <c r="J1517" s="277">
        <v>30002.25</v>
      </c>
      <c r="L1517" s="277">
        <v>25</v>
      </c>
      <c r="M1517" s="277">
        <v>25</v>
      </c>
      <c r="N1517" s="275"/>
      <c r="O1517" s="266">
        <v>0.2</v>
      </c>
      <c r="P1517" s="278"/>
      <c r="Q1517" s="275">
        <v>5689.8</v>
      </c>
      <c r="R1517" s="261" t="s">
        <v>73</v>
      </c>
      <c r="S1517" s="267" t="s">
        <v>65</v>
      </c>
      <c r="T1517" s="267" t="s">
        <v>178</v>
      </c>
      <c r="U1517" s="274" t="s">
        <v>164</v>
      </c>
      <c r="V1517" s="454"/>
      <c r="X1517" s="275">
        <v>5689.8</v>
      </c>
      <c r="Y1517" s="275"/>
      <c r="AG1517" s="273">
        <f t="shared" ref="AG1517:AG1522" si="24">X1517</f>
        <v>5689.8</v>
      </c>
      <c r="AI1517" s="261"/>
      <c r="AJ1517" s="642"/>
    </row>
    <row r="1518" spans="1:77" s="273" customFormat="1" ht="12" customHeight="1">
      <c r="B1518" s="258" t="s">
        <v>291</v>
      </c>
      <c r="C1518" s="271"/>
      <c r="D1518" s="271"/>
      <c r="E1518" s="272" t="s">
        <v>1281</v>
      </c>
      <c r="F1518" s="261" t="s">
        <v>1282</v>
      </c>
      <c r="G1518" s="276">
        <v>4578</v>
      </c>
      <c r="H1518" s="273" t="s">
        <v>140</v>
      </c>
      <c r="I1518" s="273" t="s">
        <v>958</v>
      </c>
      <c r="J1518" s="277">
        <v>28439.19</v>
      </c>
      <c r="L1518" s="277">
        <v>33.450000000000003</v>
      </c>
      <c r="M1518" s="277">
        <v>33.44</v>
      </c>
      <c r="N1518" s="275"/>
      <c r="O1518" s="266">
        <v>0.2</v>
      </c>
      <c r="P1518" s="278"/>
      <c r="Q1518" s="275">
        <v>0</v>
      </c>
      <c r="R1518" s="261" t="s">
        <v>73</v>
      </c>
      <c r="S1518" s="267" t="s">
        <v>65</v>
      </c>
      <c r="T1518" s="267">
        <v>11</v>
      </c>
      <c r="U1518" s="274" t="s">
        <v>164</v>
      </c>
      <c r="V1518" s="454"/>
      <c r="X1518" s="275">
        <v>0</v>
      </c>
      <c r="Y1518" s="275"/>
      <c r="AG1518" s="273">
        <f t="shared" si="24"/>
        <v>0</v>
      </c>
      <c r="AI1518" s="261"/>
      <c r="AJ1518" s="642"/>
    </row>
    <row r="1519" spans="1:77" s="273" customFormat="1" ht="12" customHeight="1">
      <c r="B1519" s="258" t="s">
        <v>291</v>
      </c>
      <c r="C1519" s="271">
        <v>44703</v>
      </c>
      <c r="D1519" s="271">
        <v>44703</v>
      </c>
      <c r="E1519" s="272" t="s">
        <v>1283</v>
      </c>
      <c r="F1519" s="261" t="s">
        <v>1284</v>
      </c>
      <c r="G1519" s="276">
        <v>4577</v>
      </c>
      <c r="H1519" s="273" t="s">
        <v>99</v>
      </c>
      <c r="I1519" s="273" t="s">
        <v>958</v>
      </c>
      <c r="J1519" s="277">
        <v>8055.6</v>
      </c>
      <c r="L1519" s="277">
        <v>9.59</v>
      </c>
      <c r="M1519" s="277">
        <v>9.58</v>
      </c>
      <c r="N1519" s="275"/>
      <c r="O1519" s="266">
        <v>0.2</v>
      </c>
      <c r="P1519" s="278"/>
      <c r="Q1519" s="275">
        <v>1406.58</v>
      </c>
      <c r="R1519" s="261" t="s">
        <v>73</v>
      </c>
      <c r="S1519" s="267" t="s">
        <v>65</v>
      </c>
      <c r="T1519" s="267">
        <v>11</v>
      </c>
      <c r="U1519" s="274" t="s">
        <v>164</v>
      </c>
      <c r="V1519" s="454"/>
      <c r="X1519" s="275">
        <v>1406.58</v>
      </c>
      <c r="Y1519" s="275"/>
      <c r="AG1519" s="273">
        <f t="shared" si="24"/>
        <v>1406.58</v>
      </c>
      <c r="AI1519" s="261"/>
      <c r="AJ1519" s="642"/>
    </row>
    <row r="1520" spans="1:77" s="273" customFormat="1" ht="12" customHeight="1">
      <c r="B1520" s="258" t="s">
        <v>291</v>
      </c>
      <c r="C1520" s="271"/>
      <c r="D1520" s="271"/>
      <c r="E1520" s="272" t="s">
        <v>1283</v>
      </c>
      <c r="F1520" s="261" t="s">
        <v>1284</v>
      </c>
      <c r="G1520" s="276">
        <v>4577</v>
      </c>
      <c r="H1520" s="273" t="s">
        <v>140</v>
      </c>
      <c r="I1520" s="273" t="s">
        <v>958</v>
      </c>
      <c r="J1520" s="277">
        <v>29630.22</v>
      </c>
      <c r="L1520" s="277">
        <v>24.69</v>
      </c>
      <c r="M1520" s="277">
        <v>24.68</v>
      </c>
      <c r="N1520" s="275"/>
      <c r="O1520" s="266">
        <v>0.2</v>
      </c>
      <c r="P1520" s="278"/>
      <c r="Q1520" s="275">
        <v>11888.92</v>
      </c>
      <c r="R1520" s="261" t="s">
        <v>73</v>
      </c>
      <c r="S1520" s="267" t="s">
        <v>65</v>
      </c>
      <c r="T1520" s="267">
        <v>11</v>
      </c>
      <c r="U1520" s="274" t="s">
        <v>164</v>
      </c>
      <c r="V1520" s="454"/>
      <c r="X1520" s="275">
        <v>11888.92</v>
      </c>
      <c r="Y1520" s="275"/>
      <c r="AG1520" s="273">
        <f t="shared" si="24"/>
        <v>11888.92</v>
      </c>
      <c r="AI1520" s="261"/>
      <c r="AJ1520" s="642"/>
    </row>
    <row r="1521" spans="1:77" s="273" customFormat="1" ht="12" customHeight="1">
      <c r="B1521" s="258" t="s">
        <v>291</v>
      </c>
      <c r="C1521" s="271"/>
      <c r="D1521" s="271"/>
      <c r="E1521" s="272" t="s">
        <v>1283</v>
      </c>
      <c r="F1521" s="261" t="s">
        <v>1284</v>
      </c>
      <c r="G1521" s="276">
        <v>4577</v>
      </c>
      <c r="H1521" s="273" t="s">
        <v>183</v>
      </c>
      <c r="I1521" s="273" t="s">
        <v>958</v>
      </c>
      <c r="J1521" s="277">
        <v>21529.24</v>
      </c>
      <c r="L1521" s="277">
        <v>23.46</v>
      </c>
      <c r="M1521" s="277">
        <v>23.46</v>
      </c>
      <c r="N1521" s="275"/>
      <c r="O1521" s="266">
        <v>0.2</v>
      </c>
      <c r="P1521" s="278"/>
      <c r="Q1521" s="275">
        <v>9809.25</v>
      </c>
      <c r="R1521" s="261" t="s">
        <v>73</v>
      </c>
      <c r="S1521" s="267" t="s">
        <v>65</v>
      </c>
      <c r="T1521" s="267">
        <v>11</v>
      </c>
      <c r="U1521" s="274" t="s">
        <v>164</v>
      </c>
      <c r="V1521" s="454"/>
      <c r="X1521" s="275">
        <v>9809.25</v>
      </c>
      <c r="Y1521" s="275"/>
      <c r="AG1521" s="273">
        <f t="shared" si="24"/>
        <v>9809.25</v>
      </c>
      <c r="AI1521" s="261"/>
      <c r="AJ1521" s="642"/>
    </row>
    <row r="1522" spans="1:77" s="273" customFormat="1" ht="12" customHeight="1">
      <c r="B1522" s="258" t="s">
        <v>291</v>
      </c>
      <c r="C1522" s="271"/>
      <c r="D1522" s="271"/>
      <c r="E1522" s="272" t="s">
        <v>1283</v>
      </c>
      <c r="F1522" s="261" t="s">
        <v>1284</v>
      </c>
      <c r="G1522" s="276">
        <v>4577</v>
      </c>
      <c r="H1522" s="273" t="s">
        <v>162</v>
      </c>
      <c r="I1522" s="273" t="s">
        <v>958</v>
      </c>
      <c r="J1522" s="277">
        <v>764.4</v>
      </c>
      <c r="L1522" s="277">
        <v>2.6</v>
      </c>
      <c r="M1522" s="277">
        <v>2.6</v>
      </c>
      <c r="N1522" s="275"/>
      <c r="O1522" s="266">
        <v>0.2</v>
      </c>
      <c r="P1522" s="278"/>
      <c r="Q1522" s="275">
        <v>538.72</v>
      </c>
      <c r="R1522" s="261" t="s">
        <v>73</v>
      </c>
      <c r="S1522" s="267" t="s">
        <v>65</v>
      </c>
      <c r="T1522" s="267">
        <v>11</v>
      </c>
      <c r="U1522" s="274" t="s">
        <v>164</v>
      </c>
      <c r="V1522" s="454"/>
      <c r="X1522" s="275">
        <v>538.72</v>
      </c>
      <c r="Y1522" s="275"/>
      <c r="AG1522" s="273">
        <f t="shared" si="24"/>
        <v>538.72</v>
      </c>
      <c r="AI1522" s="261"/>
      <c r="AJ1522" s="642"/>
    </row>
    <row r="1523" spans="1:77" s="341" customFormat="1" ht="12" customHeight="1">
      <c r="B1523" s="337" t="s">
        <v>291</v>
      </c>
      <c r="C1523" s="339"/>
      <c r="D1523" s="339"/>
      <c r="E1523" s="340" t="s">
        <v>1285</v>
      </c>
      <c r="F1523" s="337" t="s">
        <v>378</v>
      </c>
      <c r="G1523" s="351" t="s">
        <v>379</v>
      </c>
      <c r="H1523" s="341" t="s">
        <v>866</v>
      </c>
      <c r="I1523" s="341" t="s">
        <v>888</v>
      </c>
      <c r="J1523" s="343">
        <v>44730</v>
      </c>
      <c r="L1523" s="343">
        <v>36</v>
      </c>
      <c r="M1523" s="343">
        <v>36</v>
      </c>
      <c r="N1523" s="344">
        <f>5114+2112+321+578</f>
        <v>8125</v>
      </c>
      <c r="O1523" s="355">
        <v>0.15</v>
      </c>
      <c r="P1523" s="345"/>
      <c r="Q1523" s="344">
        <v>0</v>
      </c>
      <c r="R1523" s="337" t="s">
        <v>142</v>
      </c>
      <c r="S1523" s="356" t="s">
        <v>2866</v>
      </c>
      <c r="T1523" s="356">
        <v>24</v>
      </c>
      <c r="U1523" s="347" t="s">
        <v>164</v>
      </c>
      <c r="V1523" s="451"/>
      <c r="X1523" s="344">
        <v>0</v>
      </c>
      <c r="Y1523" s="344"/>
      <c r="AI1523" s="341">
        <f>X1523</f>
        <v>0</v>
      </c>
      <c r="AJ1523" s="358"/>
      <c r="AK1523" s="369"/>
      <c r="AL1523" s="337"/>
      <c r="AM1523" s="337"/>
      <c r="AN1523" s="337"/>
      <c r="AO1523" s="337"/>
      <c r="AP1523" s="337"/>
      <c r="AQ1523" s="337"/>
      <c r="AR1523" s="337"/>
      <c r="AS1523" s="337"/>
      <c r="AT1523" s="337"/>
      <c r="AU1523" s="337"/>
      <c r="AV1523" s="337"/>
      <c r="AW1523" s="337"/>
      <c r="AX1523" s="337"/>
      <c r="AY1523" s="337"/>
      <c r="AZ1523" s="337"/>
      <c r="BA1523" s="337"/>
      <c r="BB1523" s="337"/>
      <c r="BC1523" s="337"/>
      <c r="BD1523" s="337"/>
      <c r="BE1523" s="337"/>
      <c r="BF1523" s="337"/>
      <c r="BG1523" s="337"/>
      <c r="BH1523" s="337"/>
      <c r="BI1523" s="337"/>
      <c r="BJ1523" s="337"/>
      <c r="BK1523" s="337"/>
      <c r="BL1523" s="337"/>
      <c r="BM1523" s="337"/>
      <c r="BN1523" s="337"/>
      <c r="BO1523" s="337"/>
      <c r="BP1523" s="337"/>
      <c r="BQ1523" s="337"/>
      <c r="BR1523" s="337"/>
      <c r="BS1523" s="337"/>
      <c r="BT1523" s="337"/>
      <c r="BU1523" s="337"/>
      <c r="BV1523" s="337"/>
      <c r="BW1523" s="337"/>
      <c r="BX1523" s="337"/>
      <c r="BY1523" s="337"/>
    </row>
    <row r="1524" spans="1:77" s="273" customFormat="1" ht="12" customHeight="1">
      <c r="B1524" s="261" t="s">
        <v>291</v>
      </c>
      <c r="C1524" s="271">
        <v>44703</v>
      </c>
      <c r="D1524" s="271">
        <v>44703</v>
      </c>
      <c r="E1524" s="272" t="s">
        <v>1285</v>
      </c>
      <c r="F1524" s="261" t="s">
        <v>378</v>
      </c>
      <c r="G1524" s="262" t="s">
        <v>379</v>
      </c>
      <c r="H1524" s="273" t="s">
        <v>99</v>
      </c>
      <c r="I1524" s="273" t="s">
        <v>888</v>
      </c>
      <c r="J1524" s="277">
        <v>158785.1</v>
      </c>
      <c r="L1524" s="277">
        <v>131</v>
      </c>
      <c r="M1524" s="277">
        <v>131</v>
      </c>
      <c r="N1524" s="275">
        <v>5129</v>
      </c>
      <c r="O1524" s="266">
        <v>0.15</v>
      </c>
      <c r="P1524" s="278"/>
      <c r="Q1524" s="275">
        <v>0</v>
      </c>
      <c r="R1524" s="261" t="s">
        <v>142</v>
      </c>
      <c r="S1524" s="267" t="s">
        <v>2866</v>
      </c>
      <c r="T1524" s="267">
        <v>24</v>
      </c>
      <c r="U1524" s="274" t="s">
        <v>164</v>
      </c>
      <c r="V1524" s="454"/>
      <c r="X1524" s="275">
        <v>0</v>
      </c>
      <c r="Y1524" s="275"/>
      <c r="AG1524" s="273">
        <f>X1524</f>
        <v>0</v>
      </c>
      <c r="AI1524" s="261"/>
      <c r="AJ1524" s="642"/>
    </row>
    <row r="1525" spans="1:77" s="273" customFormat="1" ht="12" customHeight="1">
      <c r="B1525" s="261" t="s">
        <v>291</v>
      </c>
      <c r="C1525" s="271"/>
      <c r="D1525" s="271"/>
      <c r="E1525" s="272" t="s">
        <v>1285</v>
      </c>
      <c r="F1525" s="261" t="s">
        <v>378</v>
      </c>
      <c r="G1525" s="262" t="s">
        <v>379</v>
      </c>
      <c r="H1525" s="273" t="s">
        <v>27</v>
      </c>
      <c r="I1525" s="273" t="s">
        <v>888</v>
      </c>
      <c r="J1525" s="277">
        <v>38362.5</v>
      </c>
      <c r="L1525" s="277">
        <v>33</v>
      </c>
      <c r="M1525" s="277">
        <v>33</v>
      </c>
      <c r="N1525" s="275">
        <v>7491</v>
      </c>
      <c r="O1525" s="266">
        <v>0.15</v>
      </c>
      <c r="P1525" s="278"/>
      <c r="Q1525" s="275">
        <v>0</v>
      </c>
      <c r="R1525" s="261" t="s">
        <v>142</v>
      </c>
      <c r="S1525" s="267" t="s">
        <v>2866</v>
      </c>
      <c r="T1525" s="267">
        <v>24</v>
      </c>
      <c r="U1525" s="274" t="s">
        <v>164</v>
      </c>
      <c r="V1525" s="454"/>
      <c r="X1525" s="275">
        <v>0</v>
      </c>
      <c r="Y1525" s="275"/>
      <c r="AG1525" s="273">
        <f>X1525</f>
        <v>0</v>
      </c>
      <c r="AI1525" s="261"/>
      <c r="AJ1525" s="642"/>
    </row>
    <row r="1526" spans="1:77" s="273" customFormat="1" ht="12" customHeight="1">
      <c r="B1526" s="261" t="s">
        <v>291</v>
      </c>
      <c r="C1526" s="271"/>
      <c r="D1526" s="271"/>
      <c r="E1526" s="272" t="s">
        <v>1285</v>
      </c>
      <c r="F1526" s="261" t="s">
        <v>378</v>
      </c>
      <c r="G1526" s="262" t="s">
        <v>379</v>
      </c>
      <c r="H1526" s="273" t="s">
        <v>765</v>
      </c>
      <c r="I1526" s="273" t="s">
        <v>888</v>
      </c>
      <c r="J1526" s="277">
        <v>90097.5</v>
      </c>
      <c r="L1526" s="277">
        <v>82</v>
      </c>
      <c r="M1526" s="277">
        <v>82</v>
      </c>
      <c r="N1526" s="275">
        <f>1533+923+3107+1198+833+491+174+477+877+143+401+715+643+2294+642+532</f>
        <v>14983</v>
      </c>
      <c r="O1526" s="266">
        <v>0.15</v>
      </c>
      <c r="P1526" s="278"/>
      <c r="Q1526" s="275">
        <v>0</v>
      </c>
      <c r="R1526" s="261" t="s">
        <v>142</v>
      </c>
      <c r="S1526" s="267" t="s">
        <v>2866</v>
      </c>
      <c r="T1526" s="267">
        <v>24</v>
      </c>
      <c r="U1526" s="274" t="s">
        <v>164</v>
      </c>
      <c r="V1526" s="454"/>
      <c r="W1526" s="273" t="s">
        <v>3789</v>
      </c>
      <c r="X1526" s="275">
        <v>0</v>
      </c>
      <c r="Y1526" s="275"/>
      <c r="AG1526" s="273">
        <f>X1526</f>
        <v>0</v>
      </c>
      <c r="AI1526" s="261"/>
      <c r="AJ1526" s="642"/>
    </row>
    <row r="1527" spans="1:77" s="117" customFormat="1" ht="12" customHeight="1">
      <c r="A1527" s="394"/>
      <c r="B1527" s="379" t="s">
        <v>291</v>
      </c>
      <c r="C1527" s="392">
        <v>44701</v>
      </c>
      <c r="D1527" s="392">
        <v>44703</v>
      </c>
      <c r="E1527" s="393" t="s">
        <v>1286</v>
      </c>
      <c r="F1527" s="379" t="s">
        <v>342</v>
      </c>
      <c r="G1527" s="383" t="s">
        <v>530</v>
      </c>
      <c r="H1527" s="394" t="s">
        <v>27</v>
      </c>
      <c r="I1527" s="394" t="s">
        <v>888</v>
      </c>
      <c r="J1527" s="395">
        <v>21887.88</v>
      </c>
      <c r="K1527" s="394"/>
      <c r="L1527" s="395">
        <v>16.36</v>
      </c>
      <c r="M1527" s="395">
        <v>16.36</v>
      </c>
      <c r="N1527" s="396"/>
      <c r="O1527" s="387">
        <v>0.2</v>
      </c>
      <c r="P1527" s="397"/>
      <c r="Q1527" s="396">
        <v>0</v>
      </c>
      <c r="R1527" s="379" t="s">
        <v>35</v>
      </c>
      <c r="S1527" s="388" t="s">
        <v>41</v>
      </c>
      <c r="T1527" s="388">
        <v>86</v>
      </c>
      <c r="U1527" s="398" t="s">
        <v>164</v>
      </c>
      <c r="V1527" s="449"/>
      <c r="W1527" s="394"/>
      <c r="X1527" s="396">
        <v>0</v>
      </c>
      <c r="Y1527" s="396"/>
      <c r="Z1527" s="394"/>
      <c r="AA1527" s="394"/>
      <c r="AB1527" s="394"/>
      <c r="AC1527" s="394"/>
      <c r="AD1527" s="394"/>
      <c r="AE1527" s="394"/>
      <c r="AF1527" s="394"/>
      <c r="AG1527" s="394"/>
      <c r="AH1527" s="394"/>
      <c r="AI1527" s="379"/>
      <c r="AJ1527" s="390">
        <v>0</v>
      </c>
      <c r="AK1527" s="394"/>
      <c r="AL1527" s="394"/>
      <c r="AM1527" s="394"/>
      <c r="AN1527" s="394"/>
      <c r="AO1527" s="394"/>
      <c r="AP1527" s="394"/>
      <c r="AQ1527" s="394"/>
      <c r="AR1527" s="394"/>
      <c r="AS1527" s="394"/>
      <c r="AT1527" s="394"/>
      <c r="AU1527" s="394"/>
      <c r="AV1527" s="394"/>
      <c r="AW1527" s="394"/>
      <c r="AX1527" s="394"/>
      <c r="AY1527" s="394"/>
      <c r="AZ1527" s="394"/>
      <c r="BA1527" s="394"/>
      <c r="BB1527" s="394"/>
      <c r="BC1527" s="394"/>
      <c r="BD1527" s="394"/>
      <c r="BE1527" s="394"/>
      <c r="BF1527" s="394"/>
      <c r="BG1527" s="394"/>
      <c r="BH1527" s="394"/>
      <c r="BI1527" s="394"/>
      <c r="BJ1527" s="394"/>
      <c r="BK1527" s="394"/>
      <c r="BL1527" s="394"/>
      <c r="BM1527" s="394"/>
      <c r="BN1527" s="394"/>
      <c r="BO1527" s="394"/>
      <c r="BP1527" s="394"/>
      <c r="BQ1527" s="394"/>
      <c r="BR1527" s="394"/>
      <c r="BS1527" s="394"/>
      <c r="BT1527" s="394"/>
      <c r="BU1527" s="394"/>
      <c r="BV1527" s="394"/>
      <c r="BW1527" s="394"/>
      <c r="BX1527" s="394"/>
      <c r="BY1527" s="394"/>
    </row>
    <row r="1528" spans="1:77" s="117" customFormat="1" ht="12" customHeight="1">
      <c r="A1528" s="394"/>
      <c r="B1528" s="379" t="s">
        <v>291</v>
      </c>
      <c r="C1528" s="392"/>
      <c r="D1528" s="392"/>
      <c r="E1528" s="393" t="s">
        <v>1286</v>
      </c>
      <c r="F1528" s="379" t="s">
        <v>342</v>
      </c>
      <c r="G1528" s="383" t="s">
        <v>530</v>
      </c>
      <c r="H1528" s="394" t="s">
        <v>310</v>
      </c>
      <c r="I1528" s="394" t="s">
        <v>888</v>
      </c>
      <c r="J1528" s="395">
        <v>5932.21</v>
      </c>
      <c r="K1528" s="394"/>
      <c r="L1528" s="395">
        <v>8.01</v>
      </c>
      <c r="M1528" s="395">
        <v>8.01</v>
      </c>
      <c r="N1528" s="396">
        <f>J1528*0.4</f>
        <v>2372.884</v>
      </c>
      <c r="O1528" s="387">
        <v>0.2</v>
      </c>
      <c r="P1528" s="397"/>
      <c r="Q1528" s="396">
        <v>0</v>
      </c>
      <c r="R1528" s="379" t="s">
        <v>35</v>
      </c>
      <c r="S1528" s="388" t="s">
        <v>41</v>
      </c>
      <c r="T1528" s="388">
        <v>86</v>
      </c>
      <c r="U1528" s="398" t="s">
        <v>164</v>
      </c>
      <c r="V1528" s="449"/>
      <c r="W1528" s="394"/>
      <c r="X1528" s="396">
        <v>0</v>
      </c>
      <c r="Y1528" s="396"/>
      <c r="Z1528" s="394"/>
      <c r="AA1528" s="394"/>
      <c r="AB1528" s="394"/>
      <c r="AC1528" s="394"/>
      <c r="AD1528" s="394"/>
      <c r="AE1528" s="394"/>
      <c r="AF1528" s="394"/>
      <c r="AG1528" s="394"/>
      <c r="AH1528" s="394"/>
      <c r="AI1528" s="379"/>
      <c r="AJ1528" s="390">
        <v>0</v>
      </c>
      <c r="AK1528" s="394"/>
      <c r="AL1528" s="394"/>
      <c r="AM1528" s="394"/>
      <c r="AN1528" s="394"/>
      <c r="AO1528" s="394"/>
      <c r="AP1528" s="394"/>
      <c r="AQ1528" s="394"/>
      <c r="AR1528" s="394"/>
      <c r="AS1528" s="394"/>
      <c r="AT1528" s="394"/>
      <c r="AU1528" s="394"/>
      <c r="AV1528" s="394"/>
      <c r="AW1528" s="394"/>
      <c r="AX1528" s="394"/>
      <c r="AY1528" s="394"/>
      <c r="AZ1528" s="394"/>
      <c r="BA1528" s="394"/>
      <c r="BB1528" s="394"/>
      <c r="BC1528" s="394"/>
      <c r="BD1528" s="394"/>
      <c r="BE1528" s="394"/>
      <c r="BF1528" s="394"/>
      <c r="BG1528" s="394"/>
      <c r="BH1528" s="394"/>
      <c r="BI1528" s="394"/>
      <c r="BJ1528" s="394"/>
      <c r="BK1528" s="394"/>
      <c r="BL1528" s="394"/>
      <c r="BM1528" s="394"/>
      <c r="BN1528" s="394"/>
      <c r="BO1528" s="394"/>
      <c r="BP1528" s="394"/>
      <c r="BQ1528" s="394"/>
      <c r="BR1528" s="394"/>
      <c r="BS1528" s="394"/>
      <c r="BT1528" s="394"/>
      <c r="BU1528" s="394"/>
      <c r="BV1528" s="394"/>
      <c r="BW1528" s="394"/>
      <c r="BX1528" s="394"/>
      <c r="BY1528" s="394"/>
    </row>
    <row r="1529" spans="1:77" s="117" customFormat="1" ht="12" customHeight="1">
      <c r="A1529" s="394"/>
      <c r="B1529" s="379" t="s">
        <v>291</v>
      </c>
      <c r="C1529" s="392"/>
      <c r="D1529" s="392"/>
      <c r="E1529" s="393" t="s">
        <v>1286</v>
      </c>
      <c r="F1529" s="379" t="s">
        <v>342</v>
      </c>
      <c r="G1529" s="383" t="s">
        <v>530</v>
      </c>
      <c r="H1529" s="394" t="s">
        <v>765</v>
      </c>
      <c r="I1529" s="394" t="s">
        <v>888</v>
      </c>
      <c r="J1529" s="395">
        <v>18925.43</v>
      </c>
      <c r="K1529" s="394"/>
      <c r="L1529" s="395">
        <v>18.05</v>
      </c>
      <c r="M1529" s="395">
        <v>18.05</v>
      </c>
      <c r="N1529" s="396"/>
      <c r="O1529" s="387">
        <v>0.2</v>
      </c>
      <c r="P1529" s="397"/>
      <c r="Q1529" s="396">
        <v>0</v>
      </c>
      <c r="R1529" s="379" t="s">
        <v>35</v>
      </c>
      <c r="S1529" s="388" t="s">
        <v>41</v>
      </c>
      <c r="T1529" s="388">
        <v>86</v>
      </c>
      <c r="U1529" s="398" t="s">
        <v>164</v>
      </c>
      <c r="V1529" s="449"/>
      <c r="W1529" s="394"/>
      <c r="X1529" s="396">
        <v>0</v>
      </c>
      <c r="Y1529" s="396"/>
      <c r="Z1529" s="394"/>
      <c r="AA1529" s="394"/>
      <c r="AB1529" s="394"/>
      <c r="AC1529" s="394"/>
      <c r="AD1529" s="394"/>
      <c r="AE1529" s="394"/>
      <c r="AF1529" s="394"/>
      <c r="AG1529" s="394"/>
      <c r="AH1529" s="394"/>
      <c r="AI1529" s="379"/>
      <c r="AJ1529" s="390">
        <v>0</v>
      </c>
      <c r="AK1529" s="394"/>
      <c r="AL1529" s="394"/>
      <c r="AM1529" s="394"/>
      <c r="AN1529" s="394"/>
      <c r="AO1529" s="394"/>
      <c r="AP1529" s="394"/>
      <c r="AQ1529" s="394"/>
      <c r="AR1529" s="394"/>
      <c r="AS1529" s="394"/>
      <c r="AT1529" s="394"/>
      <c r="AU1529" s="394"/>
      <c r="AV1529" s="394"/>
      <c r="AW1529" s="394"/>
      <c r="AX1529" s="394"/>
      <c r="AY1529" s="394"/>
      <c r="AZ1529" s="394"/>
      <c r="BA1529" s="394"/>
      <c r="BB1529" s="394"/>
      <c r="BC1529" s="394"/>
      <c r="BD1529" s="394"/>
      <c r="BE1529" s="394"/>
      <c r="BF1529" s="394"/>
      <c r="BG1529" s="394"/>
      <c r="BH1529" s="394"/>
      <c r="BI1529" s="394"/>
      <c r="BJ1529" s="394"/>
      <c r="BK1529" s="394"/>
      <c r="BL1529" s="394"/>
      <c r="BM1529" s="394"/>
      <c r="BN1529" s="394"/>
      <c r="BO1529" s="394"/>
      <c r="BP1529" s="394"/>
      <c r="BQ1529" s="394"/>
      <c r="BR1529" s="394"/>
      <c r="BS1529" s="394"/>
      <c r="BT1529" s="394"/>
      <c r="BU1529" s="394"/>
      <c r="BV1529" s="394"/>
      <c r="BW1529" s="394"/>
      <c r="BX1529" s="394"/>
      <c r="BY1529" s="394"/>
    </row>
    <row r="1530" spans="1:77" s="117" customFormat="1" ht="12" customHeight="1">
      <c r="A1530" s="394"/>
      <c r="B1530" s="379" t="s">
        <v>291</v>
      </c>
      <c r="C1530" s="392"/>
      <c r="D1530" s="392"/>
      <c r="E1530" s="393" t="s">
        <v>1286</v>
      </c>
      <c r="F1530" s="379" t="s">
        <v>342</v>
      </c>
      <c r="G1530" s="383" t="s">
        <v>530</v>
      </c>
      <c r="H1530" s="394" t="s">
        <v>99</v>
      </c>
      <c r="I1530" s="394" t="s">
        <v>888</v>
      </c>
      <c r="J1530" s="395">
        <v>33143.370000000003</v>
      </c>
      <c r="K1530" s="394"/>
      <c r="L1530" s="395">
        <v>24.22</v>
      </c>
      <c r="M1530" s="395">
        <v>24.22</v>
      </c>
      <c r="N1530" s="396"/>
      <c r="O1530" s="387">
        <v>0.2</v>
      </c>
      <c r="P1530" s="397"/>
      <c r="Q1530" s="396">
        <v>0</v>
      </c>
      <c r="R1530" s="379" t="s">
        <v>35</v>
      </c>
      <c r="S1530" s="388" t="s">
        <v>41</v>
      </c>
      <c r="T1530" s="388">
        <v>86</v>
      </c>
      <c r="U1530" s="398" t="s">
        <v>164</v>
      </c>
      <c r="V1530" s="449"/>
      <c r="W1530" s="394"/>
      <c r="X1530" s="396">
        <v>0</v>
      </c>
      <c r="Y1530" s="396"/>
      <c r="Z1530" s="394"/>
      <c r="AA1530" s="394"/>
      <c r="AB1530" s="394"/>
      <c r="AC1530" s="394"/>
      <c r="AD1530" s="394"/>
      <c r="AE1530" s="394"/>
      <c r="AF1530" s="394"/>
      <c r="AG1530" s="394"/>
      <c r="AH1530" s="394"/>
      <c r="AI1530" s="379"/>
      <c r="AJ1530" s="390">
        <v>0</v>
      </c>
      <c r="AK1530" s="394"/>
      <c r="AL1530" s="394"/>
      <c r="AM1530" s="394"/>
      <c r="AN1530" s="394"/>
      <c r="AO1530" s="394"/>
      <c r="AP1530" s="394"/>
      <c r="AQ1530" s="394"/>
      <c r="AR1530" s="394"/>
      <c r="AS1530" s="394"/>
      <c r="AT1530" s="394"/>
      <c r="AU1530" s="394"/>
      <c r="AV1530" s="394"/>
      <c r="AW1530" s="394"/>
      <c r="AX1530" s="394"/>
      <c r="AY1530" s="394"/>
      <c r="AZ1530" s="394"/>
      <c r="BA1530" s="394"/>
      <c r="BB1530" s="394"/>
      <c r="BC1530" s="394"/>
      <c r="BD1530" s="394"/>
      <c r="BE1530" s="394"/>
      <c r="BF1530" s="394"/>
      <c r="BG1530" s="394"/>
      <c r="BH1530" s="394"/>
      <c r="BI1530" s="394"/>
      <c r="BJ1530" s="394"/>
      <c r="BK1530" s="394"/>
      <c r="BL1530" s="394"/>
      <c r="BM1530" s="394"/>
      <c r="BN1530" s="394"/>
      <c r="BO1530" s="394"/>
      <c r="BP1530" s="394"/>
      <c r="BQ1530" s="394"/>
      <c r="BR1530" s="394"/>
      <c r="BS1530" s="394"/>
      <c r="BT1530" s="394"/>
      <c r="BU1530" s="394"/>
      <c r="BV1530" s="394"/>
      <c r="BW1530" s="394"/>
      <c r="BX1530" s="394"/>
      <c r="BY1530" s="394"/>
    </row>
    <row r="1531" spans="1:77" s="117" customFormat="1" ht="12" customHeight="1">
      <c r="A1531" s="394"/>
      <c r="B1531" s="379" t="s">
        <v>291</v>
      </c>
      <c r="C1531" s="392"/>
      <c r="D1531" s="392"/>
      <c r="E1531" s="393" t="s">
        <v>1286</v>
      </c>
      <c r="F1531" s="379" t="s">
        <v>342</v>
      </c>
      <c r="G1531" s="383" t="s">
        <v>530</v>
      </c>
      <c r="H1531" s="394" t="s">
        <v>163</v>
      </c>
      <c r="I1531" s="394" t="s">
        <v>888</v>
      </c>
      <c r="J1531" s="395">
        <v>15523.06</v>
      </c>
      <c r="K1531" s="394"/>
      <c r="L1531" s="395">
        <v>21.2</v>
      </c>
      <c r="M1531" s="395">
        <v>21.2</v>
      </c>
      <c r="N1531" s="396"/>
      <c r="O1531" s="387">
        <v>0.2</v>
      </c>
      <c r="P1531" s="397"/>
      <c r="Q1531" s="396">
        <v>0</v>
      </c>
      <c r="R1531" s="379" t="s">
        <v>35</v>
      </c>
      <c r="S1531" s="388" t="s">
        <v>41</v>
      </c>
      <c r="T1531" s="388">
        <v>86</v>
      </c>
      <c r="U1531" s="398" t="s">
        <v>164</v>
      </c>
      <c r="V1531" s="449"/>
      <c r="W1531" s="394"/>
      <c r="X1531" s="396">
        <v>0</v>
      </c>
      <c r="Y1531" s="396"/>
      <c r="Z1531" s="394"/>
      <c r="AA1531" s="394"/>
      <c r="AB1531" s="394"/>
      <c r="AC1531" s="394"/>
      <c r="AD1531" s="394"/>
      <c r="AE1531" s="394"/>
      <c r="AF1531" s="394"/>
      <c r="AG1531" s="394"/>
      <c r="AH1531" s="394"/>
      <c r="AI1531" s="379"/>
      <c r="AJ1531" s="390">
        <v>0</v>
      </c>
      <c r="AK1531" s="394"/>
      <c r="AL1531" s="394"/>
      <c r="AM1531" s="394"/>
      <c r="AN1531" s="394"/>
      <c r="AO1531" s="394"/>
      <c r="AP1531" s="394"/>
      <c r="AQ1531" s="394"/>
      <c r="AR1531" s="394"/>
      <c r="AS1531" s="394"/>
      <c r="AT1531" s="394"/>
      <c r="AU1531" s="394"/>
      <c r="AV1531" s="394"/>
      <c r="AW1531" s="394"/>
      <c r="AX1531" s="394"/>
      <c r="AY1531" s="394"/>
      <c r="AZ1531" s="394"/>
      <c r="BA1531" s="394"/>
      <c r="BB1531" s="394"/>
      <c r="BC1531" s="394"/>
      <c r="BD1531" s="394"/>
      <c r="BE1531" s="394"/>
      <c r="BF1531" s="394"/>
      <c r="BG1531" s="394"/>
      <c r="BH1531" s="394"/>
      <c r="BI1531" s="394"/>
      <c r="BJ1531" s="394"/>
      <c r="BK1531" s="394"/>
      <c r="BL1531" s="394"/>
      <c r="BM1531" s="394"/>
      <c r="BN1531" s="394"/>
      <c r="BO1531" s="394"/>
      <c r="BP1531" s="394"/>
      <c r="BQ1531" s="394"/>
      <c r="BR1531" s="394"/>
      <c r="BS1531" s="394"/>
      <c r="BT1531" s="394"/>
      <c r="BU1531" s="394"/>
      <c r="BV1531" s="394"/>
      <c r="BW1531" s="394"/>
      <c r="BX1531" s="394"/>
      <c r="BY1531" s="394"/>
    </row>
    <row r="1532" spans="1:77" s="273" customFormat="1" ht="12" customHeight="1">
      <c r="B1532" s="258" t="s">
        <v>291</v>
      </c>
      <c r="C1532" s="271">
        <v>44701</v>
      </c>
      <c r="D1532" s="271">
        <v>44703</v>
      </c>
      <c r="E1532" s="272" t="s">
        <v>1287</v>
      </c>
      <c r="F1532" s="261" t="s">
        <v>519</v>
      </c>
      <c r="G1532" s="262">
        <v>4486</v>
      </c>
      <c r="H1532" s="273" t="s">
        <v>336</v>
      </c>
      <c r="I1532" s="273" t="s">
        <v>33</v>
      </c>
      <c r="J1532" s="277">
        <v>11378.78</v>
      </c>
      <c r="L1532" s="277">
        <v>8.5</v>
      </c>
      <c r="M1532" s="277">
        <v>8.5</v>
      </c>
      <c r="N1532" s="275"/>
      <c r="O1532" s="266">
        <v>0.2</v>
      </c>
      <c r="P1532" s="278"/>
      <c r="Q1532" s="275">
        <v>0</v>
      </c>
      <c r="R1532" s="261" t="s">
        <v>128</v>
      </c>
      <c r="S1532" s="267" t="s">
        <v>41</v>
      </c>
      <c r="T1532" s="267">
        <v>79</v>
      </c>
      <c r="U1532" s="274" t="s">
        <v>164</v>
      </c>
      <c r="V1532" s="454"/>
      <c r="X1532" s="275">
        <v>0</v>
      </c>
      <c r="Y1532" s="275"/>
      <c r="AG1532" s="273">
        <f>X1532</f>
        <v>0</v>
      </c>
      <c r="AI1532" s="261"/>
      <c r="AJ1532" s="642"/>
    </row>
    <row r="1533" spans="1:77" s="273" customFormat="1" ht="12" customHeight="1">
      <c r="B1533" s="258" t="s">
        <v>291</v>
      </c>
      <c r="C1533" s="271"/>
      <c r="D1533" s="271"/>
      <c r="E1533" s="272" t="s">
        <v>1287</v>
      </c>
      <c r="F1533" s="261" t="s">
        <v>519</v>
      </c>
      <c r="G1533" s="262">
        <v>4486</v>
      </c>
      <c r="H1533" s="273" t="s">
        <v>99</v>
      </c>
      <c r="I1533" s="273" t="s">
        <v>33</v>
      </c>
      <c r="J1533" s="277">
        <v>106548</v>
      </c>
      <c r="L1533" s="277">
        <v>78</v>
      </c>
      <c r="M1533" s="277">
        <v>78</v>
      </c>
      <c r="N1533" s="275"/>
      <c r="O1533" s="266">
        <v>0.2</v>
      </c>
      <c r="P1533" s="278"/>
      <c r="Q1533" s="275">
        <v>156</v>
      </c>
      <c r="R1533" s="261" t="s">
        <v>128</v>
      </c>
      <c r="S1533" s="267" t="s">
        <v>41</v>
      </c>
      <c r="T1533" s="267">
        <v>79</v>
      </c>
      <c r="U1533" s="274" t="s">
        <v>164</v>
      </c>
      <c r="V1533" s="454"/>
      <c r="X1533" s="275">
        <v>156</v>
      </c>
      <c r="Y1533" s="275"/>
      <c r="AG1533" s="273">
        <f>X1533</f>
        <v>156</v>
      </c>
      <c r="AI1533" s="261"/>
      <c r="AJ1533" s="642"/>
    </row>
    <row r="1534" spans="1:77" s="273" customFormat="1" ht="12" customHeight="1">
      <c r="B1534" s="258" t="s">
        <v>291</v>
      </c>
      <c r="C1534" s="271"/>
      <c r="D1534" s="271"/>
      <c r="E1534" s="272" t="s">
        <v>1287</v>
      </c>
      <c r="F1534" s="261" t="s">
        <v>519</v>
      </c>
      <c r="G1534" s="262">
        <v>4486</v>
      </c>
      <c r="H1534" s="273" t="s">
        <v>27</v>
      </c>
      <c r="I1534" s="273" t="s">
        <v>33</v>
      </c>
      <c r="J1534" s="277">
        <v>58307</v>
      </c>
      <c r="L1534" s="277">
        <v>39.799999999999997</v>
      </c>
      <c r="M1534" s="277">
        <v>39.799999999999997</v>
      </c>
      <c r="N1534" s="275"/>
      <c r="O1534" s="266">
        <v>0.2</v>
      </c>
      <c r="P1534" s="278"/>
      <c r="Q1534" s="275">
        <v>2743.25</v>
      </c>
      <c r="R1534" s="261" t="s">
        <v>128</v>
      </c>
      <c r="S1534" s="267" t="s">
        <v>41</v>
      </c>
      <c r="T1534" s="267">
        <v>79</v>
      </c>
      <c r="U1534" s="274" t="s">
        <v>164</v>
      </c>
      <c r="V1534" s="454"/>
      <c r="X1534" s="275">
        <v>2743.25</v>
      </c>
      <c r="Y1534" s="275"/>
      <c r="AG1534" s="273">
        <f>X1534</f>
        <v>2743.25</v>
      </c>
      <c r="AI1534" s="261"/>
      <c r="AJ1534" s="642"/>
    </row>
    <row r="1535" spans="1:77" s="273" customFormat="1" ht="12" customHeight="1">
      <c r="B1535" s="258" t="s">
        <v>291</v>
      </c>
      <c r="C1535" s="271"/>
      <c r="D1535" s="271"/>
      <c r="E1535" s="272" t="s">
        <v>1287</v>
      </c>
      <c r="F1535" s="261" t="s">
        <v>519</v>
      </c>
      <c r="G1535" s="262">
        <v>4486</v>
      </c>
      <c r="H1535" s="273" t="s">
        <v>183</v>
      </c>
      <c r="I1535" s="273" t="s">
        <v>33</v>
      </c>
      <c r="J1535" s="277">
        <v>15583.85</v>
      </c>
      <c r="L1535" s="277">
        <v>12.9</v>
      </c>
      <c r="M1535" s="277">
        <v>12.9</v>
      </c>
      <c r="N1535" s="275"/>
      <c r="O1535" s="266">
        <v>0.2</v>
      </c>
      <c r="P1535" s="278"/>
      <c r="Q1535" s="275">
        <v>0</v>
      </c>
      <c r="R1535" s="261" t="s">
        <v>128</v>
      </c>
      <c r="S1535" s="267" t="s">
        <v>41</v>
      </c>
      <c r="T1535" s="267">
        <v>79</v>
      </c>
      <c r="U1535" s="274" t="s">
        <v>164</v>
      </c>
      <c r="V1535" s="454"/>
      <c r="X1535" s="275">
        <v>0</v>
      </c>
      <c r="Y1535" s="275"/>
      <c r="AG1535" s="273">
        <f>X1535</f>
        <v>0</v>
      </c>
      <c r="AI1535" s="261"/>
      <c r="AJ1535" s="642"/>
    </row>
    <row r="1536" spans="1:77" s="273" customFormat="1" ht="12" customHeight="1">
      <c r="B1536" s="258" t="s">
        <v>291</v>
      </c>
      <c r="C1536" s="271"/>
      <c r="D1536" s="271"/>
      <c r="E1536" s="272" t="s">
        <v>1287</v>
      </c>
      <c r="F1536" s="261" t="s">
        <v>519</v>
      </c>
      <c r="G1536" s="262">
        <v>4486</v>
      </c>
      <c r="H1536" s="273" t="s">
        <v>433</v>
      </c>
      <c r="I1536" s="273" t="s">
        <v>33</v>
      </c>
      <c r="J1536" s="277">
        <v>17605.98</v>
      </c>
      <c r="L1536" s="277">
        <v>15.7</v>
      </c>
      <c r="M1536" s="277">
        <v>15.7</v>
      </c>
      <c r="N1536" s="275"/>
      <c r="O1536" s="266">
        <v>0.2</v>
      </c>
      <c r="P1536" s="278"/>
      <c r="Q1536" s="275">
        <v>768.51</v>
      </c>
      <c r="R1536" s="261" t="s">
        <v>128</v>
      </c>
      <c r="S1536" s="267" t="s">
        <v>41</v>
      </c>
      <c r="T1536" s="267">
        <v>79</v>
      </c>
      <c r="U1536" s="274" t="s">
        <v>164</v>
      </c>
      <c r="V1536" s="454"/>
      <c r="X1536" s="275">
        <v>768.51</v>
      </c>
      <c r="Y1536" s="275"/>
      <c r="AG1536" s="273">
        <f>X1536</f>
        <v>768.51</v>
      </c>
      <c r="AI1536" s="261"/>
      <c r="AJ1536" s="642"/>
    </row>
    <row r="1537" spans="1:77" s="394" customFormat="1" ht="12" customHeight="1">
      <c r="B1537" s="379" t="s">
        <v>291</v>
      </c>
      <c r="C1537" s="392">
        <v>44702</v>
      </c>
      <c r="D1537" s="392">
        <v>44703</v>
      </c>
      <c r="E1537" s="393" t="s">
        <v>1288</v>
      </c>
      <c r="F1537" s="379" t="s">
        <v>3823</v>
      </c>
      <c r="G1537" s="383">
        <v>4000</v>
      </c>
      <c r="H1537" s="394" t="s">
        <v>765</v>
      </c>
      <c r="I1537" s="394" t="s">
        <v>958</v>
      </c>
      <c r="J1537" s="395">
        <v>36511.199999999997</v>
      </c>
      <c r="L1537" s="395">
        <v>33</v>
      </c>
      <c r="M1537" s="395">
        <v>33</v>
      </c>
      <c r="N1537" s="396"/>
      <c r="O1537" s="387">
        <v>0.15</v>
      </c>
      <c r="P1537" s="397"/>
      <c r="Q1537" s="396">
        <v>0</v>
      </c>
      <c r="R1537" s="379" t="s">
        <v>128</v>
      </c>
      <c r="S1537" s="388" t="s">
        <v>41</v>
      </c>
      <c r="T1537" s="388">
        <v>86</v>
      </c>
      <c r="U1537" s="398" t="s">
        <v>164</v>
      </c>
      <c r="V1537" s="449"/>
      <c r="X1537" s="396">
        <v>0</v>
      </c>
      <c r="Y1537" s="396"/>
      <c r="AI1537" s="379"/>
      <c r="AJ1537" s="390">
        <v>0</v>
      </c>
    </row>
    <row r="1538" spans="1:77" s="341" customFormat="1" ht="12" customHeight="1">
      <c r="B1538" s="337" t="s">
        <v>291</v>
      </c>
      <c r="C1538" s="339">
        <v>44700</v>
      </c>
      <c r="D1538" s="339">
        <v>44703</v>
      </c>
      <c r="E1538" s="340" t="s">
        <v>1289</v>
      </c>
      <c r="F1538" s="337" t="s">
        <v>1290</v>
      </c>
      <c r="G1538" s="351">
        <v>3616</v>
      </c>
      <c r="H1538" s="341" t="s">
        <v>99</v>
      </c>
      <c r="I1538" s="341" t="s">
        <v>888</v>
      </c>
      <c r="J1538" s="343">
        <v>29881.599999999999</v>
      </c>
      <c r="L1538" s="343">
        <v>28</v>
      </c>
      <c r="M1538" s="343">
        <v>28</v>
      </c>
      <c r="N1538" s="344">
        <v>9943.1023999999998</v>
      </c>
      <c r="O1538" s="355">
        <v>0.2</v>
      </c>
      <c r="P1538" s="345"/>
      <c r="Q1538" s="344">
        <v>0</v>
      </c>
      <c r="R1538" s="337" t="s">
        <v>42</v>
      </c>
      <c r="S1538" s="356" t="s">
        <v>41</v>
      </c>
      <c r="T1538" s="356">
        <v>17</v>
      </c>
      <c r="U1538" s="347" t="s">
        <v>164</v>
      </c>
      <c r="V1538" s="451"/>
      <c r="X1538" s="344">
        <v>0</v>
      </c>
      <c r="Y1538" s="344"/>
      <c r="AI1538" s="337">
        <v>0</v>
      </c>
      <c r="AJ1538" s="358"/>
      <c r="AK1538" s="369"/>
    </row>
    <row r="1539" spans="1:77" s="341" customFormat="1" ht="12" customHeight="1">
      <c r="B1539" s="337" t="s">
        <v>291</v>
      </c>
      <c r="C1539" s="339"/>
      <c r="D1539" s="339"/>
      <c r="E1539" s="340" t="s">
        <v>1289</v>
      </c>
      <c r="F1539" s="337" t="s">
        <v>1290</v>
      </c>
      <c r="G1539" s="351">
        <v>3616</v>
      </c>
      <c r="H1539" s="341" t="s">
        <v>183</v>
      </c>
      <c r="I1539" s="341" t="s">
        <v>888</v>
      </c>
      <c r="J1539" s="343">
        <v>20851.599999999999</v>
      </c>
      <c r="L1539" s="343">
        <v>22</v>
      </c>
      <c r="M1539" s="343">
        <v>22</v>
      </c>
      <c r="N1539" s="344"/>
      <c r="O1539" s="355">
        <v>0.2</v>
      </c>
      <c r="P1539" s="345"/>
      <c r="Q1539" s="344">
        <v>594.44000000000005</v>
      </c>
      <c r="R1539" s="337" t="s">
        <v>42</v>
      </c>
      <c r="S1539" s="356" t="s">
        <v>41</v>
      </c>
      <c r="T1539" s="356">
        <v>17</v>
      </c>
      <c r="U1539" s="347" t="s">
        <v>164</v>
      </c>
      <c r="V1539" s="451"/>
      <c r="X1539" s="344">
        <v>594.44000000000005</v>
      </c>
      <c r="Y1539" s="344"/>
      <c r="AI1539" s="344">
        <v>594.44000000000005</v>
      </c>
      <c r="AJ1539" s="358"/>
      <c r="AK1539" s="369"/>
    </row>
    <row r="1540" spans="1:77" s="117" customFormat="1" ht="12" customHeight="1">
      <c r="A1540" s="394"/>
      <c r="B1540" s="379" t="s">
        <v>291</v>
      </c>
      <c r="C1540" s="392">
        <v>44702</v>
      </c>
      <c r="D1540" s="392">
        <v>44703</v>
      </c>
      <c r="E1540" s="393" t="s">
        <v>1291</v>
      </c>
      <c r="F1540" s="379" t="s">
        <v>3835</v>
      </c>
      <c r="G1540" s="383" t="s">
        <v>470</v>
      </c>
      <c r="H1540" s="394" t="s">
        <v>99</v>
      </c>
      <c r="I1540" s="394" t="s">
        <v>961</v>
      </c>
      <c r="J1540" s="395">
        <v>76954.19</v>
      </c>
      <c r="K1540" s="394"/>
      <c r="L1540" s="395">
        <v>74.03</v>
      </c>
      <c r="M1540" s="395">
        <v>74</v>
      </c>
      <c r="N1540" s="396"/>
      <c r="O1540" s="387">
        <v>0.25</v>
      </c>
      <c r="P1540" s="397"/>
      <c r="Q1540" s="396">
        <v>0</v>
      </c>
      <c r="R1540" s="379" t="s">
        <v>229</v>
      </c>
      <c r="S1540" s="388" t="s">
        <v>228</v>
      </c>
      <c r="T1540" s="388">
        <v>36</v>
      </c>
      <c r="U1540" s="398" t="s">
        <v>164</v>
      </c>
      <c r="V1540" s="449"/>
      <c r="W1540" s="394"/>
      <c r="X1540" s="396">
        <v>0</v>
      </c>
      <c r="Y1540" s="396"/>
      <c r="Z1540" s="394"/>
      <c r="AA1540" s="394"/>
      <c r="AB1540" s="394"/>
      <c r="AC1540" s="394"/>
      <c r="AD1540" s="394"/>
      <c r="AE1540" s="394"/>
      <c r="AF1540" s="394"/>
      <c r="AG1540" s="394"/>
      <c r="AH1540" s="394"/>
      <c r="AI1540" s="379"/>
      <c r="AJ1540" s="390">
        <v>0</v>
      </c>
      <c r="AK1540" s="394"/>
      <c r="AL1540" s="394"/>
      <c r="AM1540" s="394"/>
      <c r="AN1540" s="394"/>
      <c r="AO1540" s="394"/>
      <c r="AP1540" s="394"/>
      <c r="AQ1540" s="394"/>
      <c r="AR1540" s="394"/>
      <c r="AS1540" s="394"/>
      <c r="AT1540" s="394"/>
      <c r="AU1540" s="394"/>
      <c r="AV1540" s="394"/>
      <c r="AW1540" s="394"/>
      <c r="AX1540" s="394"/>
      <c r="AY1540" s="394"/>
      <c r="AZ1540" s="394"/>
      <c r="BA1540" s="394"/>
      <c r="BB1540" s="394"/>
      <c r="BC1540" s="394"/>
      <c r="BD1540" s="394"/>
      <c r="BE1540" s="394"/>
      <c r="BF1540" s="394"/>
      <c r="BG1540" s="394"/>
      <c r="BH1540" s="394"/>
      <c r="BI1540" s="394"/>
      <c r="BJ1540" s="394"/>
      <c r="BK1540" s="394"/>
      <c r="BL1540" s="394"/>
      <c r="BM1540" s="394"/>
      <c r="BN1540" s="394"/>
      <c r="BO1540" s="394"/>
      <c r="BP1540" s="394"/>
      <c r="BQ1540" s="394"/>
      <c r="BR1540" s="394"/>
      <c r="BS1540" s="394"/>
      <c r="BT1540" s="394"/>
      <c r="BU1540" s="394"/>
      <c r="BV1540" s="394"/>
      <c r="BW1540" s="394"/>
      <c r="BX1540" s="394"/>
      <c r="BY1540" s="394"/>
    </row>
    <row r="1541" spans="1:77" s="117" customFormat="1" ht="12" customHeight="1">
      <c r="A1541" s="394"/>
      <c r="B1541" s="379" t="s">
        <v>291</v>
      </c>
      <c r="C1541" s="392"/>
      <c r="D1541" s="392"/>
      <c r="E1541" s="393" t="s">
        <v>1291</v>
      </c>
      <c r="F1541" s="379" t="s">
        <v>3835</v>
      </c>
      <c r="G1541" s="383" t="s">
        <v>470</v>
      </c>
      <c r="H1541" s="394" t="s">
        <v>162</v>
      </c>
      <c r="I1541" s="394" t="s">
        <v>961</v>
      </c>
      <c r="J1541" s="395">
        <v>7432.81</v>
      </c>
      <c r="K1541" s="394"/>
      <c r="L1541" s="395">
        <v>12.71</v>
      </c>
      <c r="M1541" s="395">
        <v>12.69</v>
      </c>
      <c r="N1541" s="396"/>
      <c r="O1541" s="387">
        <v>0.25</v>
      </c>
      <c r="P1541" s="397"/>
      <c r="Q1541" s="396">
        <v>0</v>
      </c>
      <c r="R1541" s="379" t="s">
        <v>229</v>
      </c>
      <c r="S1541" s="388" t="s">
        <v>228</v>
      </c>
      <c r="T1541" s="388">
        <v>36</v>
      </c>
      <c r="U1541" s="389" t="s">
        <v>164</v>
      </c>
      <c r="V1541" s="449"/>
      <c r="W1541" s="394"/>
      <c r="X1541" s="396">
        <v>0</v>
      </c>
      <c r="Y1541" s="396"/>
      <c r="Z1541" s="394"/>
      <c r="AA1541" s="394"/>
      <c r="AB1541" s="394"/>
      <c r="AC1541" s="394"/>
      <c r="AD1541" s="394"/>
      <c r="AE1541" s="394"/>
      <c r="AF1541" s="394"/>
      <c r="AG1541" s="394"/>
      <c r="AH1541" s="394"/>
      <c r="AI1541" s="379"/>
      <c r="AJ1541" s="390">
        <v>0</v>
      </c>
      <c r="AK1541" s="394"/>
      <c r="AL1541" s="394"/>
      <c r="AM1541" s="394"/>
      <c r="AN1541" s="394"/>
      <c r="AO1541" s="394"/>
      <c r="AP1541" s="394"/>
      <c r="AQ1541" s="394"/>
      <c r="AR1541" s="394"/>
      <c r="AS1541" s="394"/>
      <c r="AT1541" s="394"/>
      <c r="AU1541" s="394"/>
      <c r="AV1541" s="394"/>
      <c r="AW1541" s="394"/>
      <c r="AX1541" s="394"/>
      <c r="AY1541" s="394"/>
      <c r="AZ1541" s="394"/>
      <c r="BA1541" s="394"/>
      <c r="BB1541" s="394"/>
      <c r="BC1541" s="394"/>
      <c r="BD1541" s="394"/>
      <c r="BE1541" s="394"/>
      <c r="BF1541" s="394"/>
      <c r="BG1541" s="394"/>
      <c r="BH1541" s="394"/>
      <c r="BI1541" s="394"/>
      <c r="BJ1541" s="394"/>
      <c r="BK1541" s="394"/>
      <c r="BL1541" s="394"/>
      <c r="BM1541" s="394"/>
      <c r="BN1541" s="394"/>
      <c r="BO1541" s="394"/>
      <c r="BP1541" s="394"/>
      <c r="BQ1541" s="394"/>
      <c r="BR1541" s="394"/>
      <c r="BS1541" s="394"/>
      <c r="BT1541" s="394"/>
      <c r="BU1541" s="394"/>
      <c r="BV1541" s="394"/>
      <c r="BW1541" s="394"/>
      <c r="BX1541" s="394"/>
      <c r="BY1541" s="394"/>
    </row>
    <row r="1542" spans="1:77" s="117" customFormat="1" ht="12" customHeight="1">
      <c r="A1542" s="394"/>
      <c r="B1542" s="379" t="s">
        <v>291</v>
      </c>
      <c r="C1542" s="392"/>
      <c r="D1542" s="392"/>
      <c r="E1542" s="393" t="s">
        <v>1291</v>
      </c>
      <c r="F1542" s="379" t="s">
        <v>3835</v>
      </c>
      <c r="G1542" s="383" t="s">
        <v>470</v>
      </c>
      <c r="H1542" s="394" t="s">
        <v>310</v>
      </c>
      <c r="I1542" s="394" t="s">
        <v>961</v>
      </c>
      <c r="J1542" s="395">
        <v>3563.6</v>
      </c>
      <c r="K1542" s="394"/>
      <c r="L1542" s="395">
        <v>5.9</v>
      </c>
      <c r="M1542" s="395">
        <v>5.85</v>
      </c>
      <c r="N1542" s="396"/>
      <c r="O1542" s="387">
        <v>0.25</v>
      </c>
      <c r="P1542" s="397"/>
      <c r="Q1542" s="396">
        <v>0</v>
      </c>
      <c r="R1542" s="379" t="s">
        <v>229</v>
      </c>
      <c r="S1542" s="388" t="s">
        <v>228</v>
      </c>
      <c r="T1542" s="388">
        <v>36</v>
      </c>
      <c r="U1542" s="389" t="s">
        <v>164</v>
      </c>
      <c r="V1542" s="449"/>
      <c r="W1542" s="394"/>
      <c r="X1542" s="396">
        <v>0</v>
      </c>
      <c r="Y1542" s="396"/>
      <c r="Z1542" s="394"/>
      <c r="AA1542" s="394"/>
      <c r="AB1542" s="394"/>
      <c r="AC1542" s="394"/>
      <c r="AD1542" s="394"/>
      <c r="AE1542" s="394"/>
      <c r="AF1542" s="394"/>
      <c r="AG1542" s="394"/>
      <c r="AH1542" s="394"/>
      <c r="AI1542" s="379"/>
      <c r="AJ1542" s="390">
        <v>0</v>
      </c>
      <c r="AK1542" s="394"/>
      <c r="AL1542" s="394"/>
      <c r="AM1542" s="394"/>
      <c r="AN1542" s="394"/>
      <c r="AO1542" s="394"/>
      <c r="AP1542" s="394"/>
      <c r="AQ1542" s="394"/>
      <c r="AR1542" s="394"/>
      <c r="AS1542" s="394"/>
      <c r="AT1542" s="394"/>
      <c r="AU1542" s="394"/>
      <c r="AV1542" s="394"/>
      <c r="AW1542" s="394"/>
      <c r="AX1542" s="394"/>
      <c r="AY1542" s="394"/>
      <c r="AZ1542" s="394"/>
      <c r="BA1542" s="394"/>
      <c r="BB1542" s="394"/>
      <c r="BC1542" s="394"/>
      <c r="BD1542" s="394"/>
      <c r="BE1542" s="394"/>
      <c r="BF1542" s="394"/>
      <c r="BG1542" s="394"/>
      <c r="BH1542" s="394"/>
      <c r="BI1542" s="394"/>
      <c r="BJ1542" s="394"/>
      <c r="BK1542" s="394"/>
      <c r="BL1542" s="394"/>
      <c r="BM1542" s="394"/>
      <c r="BN1542" s="394"/>
      <c r="BO1542" s="394"/>
      <c r="BP1542" s="394"/>
      <c r="BQ1542" s="394"/>
      <c r="BR1542" s="394"/>
      <c r="BS1542" s="394"/>
      <c r="BT1542" s="394"/>
      <c r="BU1542" s="394"/>
      <c r="BV1542" s="394"/>
      <c r="BW1542" s="394"/>
      <c r="BX1542" s="394"/>
      <c r="BY1542" s="394"/>
    </row>
    <row r="1543" spans="1:77" s="117" customFormat="1" ht="12" customHeight="1">
      <c r="A1543" s="394"/>
      <c r="B1543" s="379" t="s">
        <v>291</v>
      </c>
      <c r="C1543" s="392"/>
      <c r="D1543" s="392"/>
      <c r="E1543" s="393" t="s">
        <v>1291</v>
      </c>
      <c r="F1543" s="379" t="s">
        <v>3835</v>
      </c>
      <c r="G1543" s="383" t="s">
        <v>470</v>
      </c>
      <c r="H1543" s="394" t="s">
        <v>163</v>
      </c>
      <c r="I1543" s="394" t="s">
        <v>961</v>
      </c>
      <c r="J1543" s="395">
        <v>30396.13</v>
      </c>
      <c r="K1543" s="394"/>
      <c r="L1543" s="395">
        <v>36.42</v>
      </c>
      <c r="M1543" s="395">
        <v>36.380000000000003</v>
      </c>
      <c r="N1543" s="396"/>
      <c r="O1543" s="387">
        <v>0.25</v>
      </c>
      <c r="P1543" s="397"/>
      <c r="Q1543" s="396">
        <v>0</v>
      </c>
      <c r="R1543" s="379" t="s">
        <v>229</v>
      </c>
      <c r="S1543" s="388" t="s">
        <v>228</v>
      </c>
      <c r="T1543" s="388">
        <v>36</v>
      </c>
      <c r="U1543" s="389" t="s">
        <v>164</v>
      </c>
      <c r="V1543" s="449"/>
      <c r="W1543" s="394"/>
      <c r="X1543" s="396">
        <v>0</v>
      </c>
      <c r="Y1543" s="396"/>
      <c r="Z1543" s="394"/>
      <c r="AA1543" s="394"/>
      <c r="AB1543" s="394"/>
      <c r="AC1543" s="394"/>
      <c r="AD1543" s="394"/>
      <c r="AE1543" s="394"/>
      <c r="AF1543" s="394"/>
      <c r="AG1543" s="394"/>
      <c r="AH1543" s="394"/>
      <c r="AI1543" s="379"/>
      <c r="AJ1543" s="390">
        <v>0</v>
      </c>
      <c r="AK1543" s="394"/>
      <c r="AL1543" s="394"/>
      <c r="AM1543" s="394"/>
      <c r="AN1543" s="394"/>
      <c r="AO1543" s="394"/>
      <c r="AP1543" s="394"/>
      <c r="AQ1543" s="394"/>
      <c r="AR1543" s="394"/>
      <c r="AS1543" s="394"/>
      <c r="AT1543" s="394"/>
      <c r="AU1543" s="394"/>
      <c r="AV1543" s="394"/>
      <c r="AW1543" s="394"/>
      <c r="AX1543" s="394"/>
      <c r="AY1543" s="394"/>
      <c r="AZ1543" s="394"/>
      <c r="BA1543" s="394"/>
      <c r="BB1543" s="394"/>
      <c r="BC1543" s="394"/>
      <c r="BD1543" s="394"/>
      <c r="BE1543" s="394"/>
      <c r="BF1543" s="394"/>
      <c r="BG1543" s="394"/>
      <c r="BH1543" s="394"/>
      <c r="BI1543" s="394"/>
      <c r="BJ1543" s="394"/>
      <c r="BK1543" s="394"/>
      <c r="BL1543" s="394"/>
      <c r="BM1543" s="394"/>
      <c r="BN1543" s="394"/>
      <c r="BO1543" s="394"/>
      <c r="BP1543" s="394"/>
      <c r="BQ1543" s="394"/>
      <c r="BR1543" s="394"/>
      <c r="BS1543" s="394"/>
      <c r="BT1543" s="394"/>
      <c r="BU1543" s="394"/>
      <c r="BV1543" s="394"/>
      <c r="BW1543" s="394"/>
      <c r="BX1543" s="394"/>
      <c r="BY1543" s="394"/>
    </row>
    <row r="1544" spans="1:77" s="117" customFormat="1" ht="12" customHeight="1">
      <c r="A1544" s="394"/>
      <c r="B1544" s="379" t="s">
        <v>291</v>
      </c>
      <c r="C1544" s="392"/>
      <c r="D1544" s="392"/>
      <c r="E1544" s="393" t="s">
        <v>1291</v>
      </c>
      <c r="F1544" s="379" t="s">
        <v>3835</v>
      </c>
      <c r="G1544" s="383" t="s">
        <v>470</v>
      </c>
      <c r="H1544" s="394" t="s">
        <v>183</v>
      </c>
      <c r="I1544" s="394" t="s">
        <v>961</v>
      </c>
      <c r="J1544" s="395">
        <v>13257.22</v>
      </c>
      <c r="K1544" s="394"/>
      <c r="L1544" s="395">
        <v>16.440000000000001</v>
      </c>
      <c r="M1544" s="395">
        <v>16.38</v>
      </c>
      <c r="N1544" s="396"/>
      <c r="O1544" s="387">
        <v>0.25</v>
      </c>
      <c r="P1544" s="397"/>
      <c r="Q1544" s="396">
        <v>0</v>
      </c>
      <c r="R1544" s="379" t="s">
        <v>229</v>
      </c>
      <c r="S1544" s="388" t="s">
        <v>228</v>
      </c>
      <c r="T1544" s="388">
        <v>36</v>
      </c>
      <c r="U1544" s="389" t="s">
        <v>164</v>
      </c>
      <c r="V1544" s="449"/>
      <c r="W1544" s="394"/>
      <c r="X1544" s="396">
        <v>0</v>
      </c>
      <c r="Y1544" s="396"/>
      <c r="Z1544" s="394"/>
      <c r="AA1544" s="394"/>
      <c r="AB1544" s="394"/>
      <c r="AC1544" s="394"/>
      <c r="AD1544" s="394"/>
      <c r="AE1544" s="394"/>
      <c r="AF1544" s="394"/>
      <c r="AG1544" s="394"/>
      <c r="AH1544" s="394"/>
      <c r="AI1544" s="379"/>
      <c r="AJ1544" s="390">
        <v>0</v>
      </c>
      <c r="AK1544" s="394"/>
      <c r="AL1544" s="394"/>
      <c r="AM1544" s="394"/>
      <c r="AN1544" s="394"/>
      <c r="AO1544" s="394"/>
      <c r="AP1544" s="394"/>
      <c r="AQ1544" s="394"/>
      <c r="AR1544" s="394"/>
      <c r="AS1544" s="394"/>
      <c r="AT1544" s="394"/>
      <c r="AU1544" s="394"/>
      <c r="AV1544" s="394"/>
      <c r="AW1544" s="394"/>
      <c r="AX1544" s="394"/>
      <c r="AY1544" s="394"/>
      <c r="AZ1544" s="394"/>
      <c r="BA1544" s="394"/>
      <c r="BB1544" s="394"/>
      <c r="BC1544" s="394"/>
      <c r="BD1544" s="394"/>
      <c r="BE1544" s="394"/>
      <c r="BF1544" s="394"/>
      <c r="BG1544" s="394"/>
      <c r="BH1544" s="394"/>
      <c r="BI1544" s="394"/>
      <c r="BJ1544" s="394"/>
      <c r="BK1544" s="394"/>
      <c r="BL1544" s="394"/>
      <c r="BM1544" s="394"/>
      <c r="BN1544" s="394"/>
      <c r="BO1544" s="394"/>
      <c r="BP1544" s="394"/>
      <c r="BQ1544" s="394"/>
      <c r="BR1544" s="394"/>
      <c r="BS1544" s="394"/>
      <c r="BT1544" s="394"/>
      <c r="BU1544" s="394"/>
      <c r="BV1544" s="394"/>
      <c r="BW1544" s="394"/>
      <c r="BX1544" s="394"/>
      <c r="BY1544" s="394"/>
    </row>
    <row r="1545" spans="1:77" s="117" customFormat="1" ht="12" customHeight="1">
      <c r="A1545" s="394"/>
      <c r="B1545" s="379" t="s">
        <v>291</v>
      </c>
      <c r="C1545" s="392"/>
      <c r="D1545" s="392"/>
      <c r="E1545" s="393" t="s">
        <v>1291</v>
      </c>
      <c r="F1545" s="379" t="s">
        <v>3835</v>
      </c>
      <c r="G1545" s="383" t="s">
        <v>470</v>
      </c>
      <c r="H1545" s="394" t="s">
        <v>27</v>
      </c>
      <c r="I1545" s="394" t="s">
        <v>961</v>
      </c>
      <c r="J1545" s="395">
        <v>26081.279999999999</v>
      </c>
      <c r="K1545" s="394"/>
      <c r="L1545" s="395">
        <v>20.48</v>
      </c>
      <c r="M1545" s="395">
        <v>20.420000000000002</v>
      </c>
      <c r="N1545" s="396"/>
      <c r="O1545" s="387">
        <v>0.25</v>
      </c>
      <c r="P1545" s="397"/>
      <c r="Q1545" s="396">
        <v>0</v>
      </c>
      <c r="R1545" s="379" t="s">
        <v>229</v>
      </c>
      <c r="S1545" s="388" t="s">
        <v>228</v>
      </c>
      <c r="T1545" s="388">
        <v>36</v>
      </c>
      <c r="U1545" s="389" t="s">
        <v>164</v>
      </c>
      <c r="V1545" s="449"/>
      <c r="W1545" s="394"/>
      <c r="X1545" s="396">
        <v>0</v>
      </c>
      <c r="Y1545" s="396"/>
      <c r="Z1545" s="394"/>
      <c r="AA1545" s="394"/>
      <c r="AB1545" s="394"/>
      <c r="AC1545" s="394"/>
      <c r="AD1545" s="394"/>
      <c r="AE1545" s="394"/>
      <c r="AF1545" s="394"/>
      <c r="AG1545" s="394"/>
      <c r="AH1545" s="394"/>
      <c r="AI1545" s="379"/>
      <c r="AJ1545" s="390">
        <v>0</v>
      </c>
      <c r="AK1545" s="394"/>
      <c r="AL1545" s="394"/>
      <c r="AM1545" s="394"/>
      <c r="AN1545" s="394"/>
      <c r="AO1545" s="394"/>
      <c r="AP1545" s="394"/>
      <c r="AQ1545" s="394"/>
      <c r="AR1545" s="394"/>
      <c r="AS1545" s="394"/>
      <c r="AT1545" s="394"/>
      <c r="AU1545" s="394"/>
      <c r="AV1545" s="394"/>
      <c r="AW1545" s="394"/>
      <c r="AX1545" s="394"/>
      <c r="AY1545" s="394"/>
      <c r="AZ1545" s="394"/>
      <c r="BA1545" s="394"/>
      <c r="BB1545" s="394"/>
      <c r="BC1545" s="394"/>
      <c r="BD1545" s="394"/>
      <c r="BE1545" s="394"/>
      <c r="BF1545" s="394"/>
      <c r="BG1545" s="394"/>
      <c r="BH1545" s="394"/>
      <c r="BI1545" s="394"/>
      <c r="BJ1545" s="394"/>
      <c r="BK1545" s="394"/>
      <c r="BL1545" s="394"/>
      <c r="BM1545" s="394"/>
      <c r="BN1545" s="394"/>
      <c r="BO1545" s="394"/>
      <c r="BP1545" s="394"/>
      <c r="BQ1545" s="394"/>
      <c r="BR1545" s="394"/>
      <c r="BS1545" s="394"/>
      <c r="BT1545" s="394"/>
      <c r="BU1545" s="394"/>
      <c r="BV1545" s="394"/>
      <c r="BW1545" s="394"/>
      <c r="BX1545" s="394"/>
      <c r="BY1545" s="394"/>
    </row>
    <row r="1546" spans="1:77" s="218" customFormat="1" ht="12" customHeight="1">
      <c r="B1546" s="206" t="s">
        <v>291</v>
      </c>
      <c r="C1546" s="225">
        <v>44703</v>
      </c>
      <c r="D1546" s="225">
        <v>44703</v>
      </c>
      <c r="E1546" s="226" t="s">
        <v>1292</v>
      </c>
      <c r="F1546" s="205" t="s">
        <v>364</v>
      </c>
      <c r="G1546" s="209">
        <v>4537</v>
      </c>
      <c r="H1546" s="218" t="s">
        <v>99</v>
      </c>
      <c r="I1546" s="218" t="s">
        <v>958</v>
      </c>
      <c r="J1546" s="222">
        <v>131802.09</v>
      </c>
      <c r="L1546" s="222">
        <v>92.74</v>
      </c>
      <c r="M1546" s="222">
        <v>92.74</v>
      </c>
      <c r="N1546" s="223"/>
      <c r="O1546" s="212">
        <v>0.2</v>
      </c>
      <c r="P1546" s="224"/>
      <c r="Q1546" s="223">
        <v>13629.07</v>
      </c>
      <c r="R1546" s="205" t="s">
        <v>73</v>
      </c>
      <c r="S1546" s="214" t="s">
        <v>113</v>
      </c>
      <c r="T1546" s="214">
        <v>81</v>
      </c>
      <c r="U1546" s="227" t="s">
        <v>164</v>
      </c>
      <c r="V1546" s="455"/>
      <c r="X1546" s="223">
        <v>13629.07</v>
      </c>
      <c r="Y1546" s="223"/>
      <c r="AF1546" s="230">
        <f>X1546</f>
        <v>13629.07</v>
      </c>
      <c r="AI1546" s="205"/>
      <c r="AJ1546" s="216"/>
    </row>
    <row r="1547" spans="1:77" s="218" customFormat="1" ht="12" customHeight="1">
      <c r="B1547" s="206" t="s">
        <v>291</v>
      </c>
      <c r="C1547" s="225"/>
      <c r="D1547" s="225"/>
      <c r="E1547" s="226" t="s">
        <v>1292</v>
      </c>
      <c r="F1547" s="205" t="s">
        <v>364</v>
      </c>
      <c r="G1547" s="209">
        <v>4537</v>
      </c>
      <c r="H1547" s="218" t="s">
        <v>27</v>
      </c>
      <c r="I1547" s="218" t="s">
        <v>958</v>
      </c>
      <c r="J1547" s="222">
        <v>98543.9</v>
      </c>
      <c r="L1547" s="222">
        <v>58.31</v>
      </c>
      <c r="M1547" s="222">
        <v>58.31</v>
      </c>
      <c r="N1547" s="223"/>
      <c r="O1547" s="212">
        <v>0.2</v>
      </c>
      <c r="P1547" s="224"/>
      <c r="Q1547" s="223">
        <v>0</v>
      </c>
      <c r="R1547" s="205" t="s">
        <v>73</v>
      </c>
      <c r="S1547" s="214" t="s">
        <v>113</v>
      </c>
      <c r="T1547" s="214">
        <v>81</v>
      </c>
      <c r="U1547" s="227" t="s">
        <v>164</v>
      </c>
      <c r="V1547" s="455"/>
      <c r="W1547" s="205" t="s">
        <v>2997</v>
      </c>
      <c r="X1547" s="223">
        <v>0</v>
      </c>
      <c r="Y1547" s="223"/>
      <c r="AF1547" s="230">
        <f>X1547</f>
        <v>0</v>
      </c>
      <c r="AI1547" s="205"/>
      <c r="AJ1547" s="216"/>
    </row>
    <row r="1548" spans="1:77" s="218" customFormat="1" ht="12" customHeight="1">
      <c r="B1548" s="206" t="s">
        <v>291</v>
      </c>
      <c r="C1548" s="225"/>
      <c r="D1548" s="225"/>
      <c r="E1548" s="226" t="s">
        <v>1292</v>
      </c>
      <c r="F1548" s="205" t="s">
        <v>364</v>
      </c>
      <c r="G1548" s="209">
        <v>4537</v>
      </c>
      <c r="H1548" s="218" t="s">
        <v>183</v>
      </c>
      <c r="I1548" s="218" t="s">
        <v>958</v>
      </c>
      <c r="J1548" s="222">
        <v>88061.74</v>
      </c>
      <c r="L1548" s="222">
        <v>75.010000000000005</v>
      </c>
      <c r="M1548" s="222">
        <v>75.010000000000005</v>
      </c>
      <c r="N1548" s="223"/>
      <c r="O1548" s="212">
        <v>0.2</v>
      </c>
      <c r="P1548" s="224"/>
      <c r="Q1548" s="223">
        <v>10441.39</v>
      </c>
      <c r="R1548" s="205" t="s">
        <v>73</v>
      </c>
      <c r="S1548" s="214" t="s">
        <v>113</v>
      </c>
      <c r="T1548" s="214">
        <v>81</v>
      </c>
      <c r="U1548" s="227" t="s">
        <v>164</v>
      </c>
      <c r="V1548" s="455"/>
      <c r="X1548" s="223">
        <v>10441.39</v>
      </c>
      <c r="Y1548" s="223"/>
      <c r="AF1548" s="230">
        <f>X1548</f>
        <v>10441.39</v>
      </c>
      <c r="AJ1548" s="216"/>
    </row>
    <row r="1549" spans="1:77" s="394" customFormat="1" ht="12" customHeight="1">
      <c r="B1549" s="379" t="s">
        <v>291</v>
      </c>
      <c r="C1549" s="392">
        <v>44703</v>
      </c>
      <c r="D1549" s="392">
        <v>44703</v>
      </c>
      <c r="E1549" s="393" t="s">
        <v>1293</v>
      </c>
      <c r="F1549" s="379" t="s">
        <v>404</v>
      </c>
      <c r="G1549" s="383">
        <v>3604</v>
      </c>
      <c r="H1549" s="394" t="s">
        <v>866</v>
      </c>
      <c r="I1549" s="394" t="s">
        <v>33</v>
      </c>
      <c r="J1549" s="395">
        <v>3107.1</v>
      </c>
      <c r="L1549" s="395">
        <v>10.43</v>
      </c>
      <c r="M1549" s="395">
        <v>10.43</v>
      </c>
      <c r="N1549" s="396"/>
      <c r="O1549" s="387">
        <v>0.15</v>
      </c>
      <c r="P1549" s="397"/>
      <c r="Q1549" s="396">
        <v>332.14</v>
      </c>
      <c r="R1549" s="379" t="s">
        <v>35</v>
      </c>
      <c r="S1549" s="388" t="s">
        <v>41</v>
      </c>
      <c r="T1549" s="388">
        <v>86</v>
      </c>
      <c r="U1549" s="398" t="s">
        <v>164</v>
      </c>
      <c r="V1549" s="449"/>
      <c r="X1549" s="396">
        <v>332.14</v>
      </c>
      <c r="Y1549" s="396"/>
      <c r="AJ1549" s="395">
        <v>332.14</v>
      </c>
    </row>
    <row r="1550" spans="1:77" s="394" customFormat="1" ht="12" customHeight="1">
      <c r="B1550" s="379" t="s">
        <v>291</v>
      </c>
      <c r="C1550" s="392"/>
      <c r="D1550" s="392"/>
      <c r="E1550" s="393" t="s">
        <v>1293</v>
      </c>
      <c r="F1550" s="379" t="s">
        <v>404</v>
      </c>
      <c r="G1550" s="383">
        <v>3604</v>
      </c>
      <c r="H1550" s="394" t="s">
        <v>99</v>
      </c>
      <c r="I1550" s="394" t="s">
        <v>33</v>
      </c>
      <c r="J1550" s="395">
        <v>31785.08</v>
      </c>
      <c r="L1550" s="395">
        <v>28.83</v>
      </c>
      <c r="M1550" s="395">
        <v>28.83</v>
      </c>
      <c r="N1550" s="396"/>
      <c r="O1550" s="387">
        <v>0.15</v>
      </c>
      <c r="P1550" s="397"/>
      <c r="Q1550" s="396">
        <v>0</v>
      </c>
      <c r="R1550" s="379" t="s">
        <v>35</v>
      </c>
      <c r="S1550" s="388" t="s">
        <v>41</v>
      </c>
      <c r="T1550" s="388">
        <v>86</v>
      </c>
      <c r="U1550" s="398" t="s">
        <v>164</v>
      </c>
      <c r="V1550" s="449"/>
      <c r="X1550" s="396">
        <v>0</v>
      </c>
      <c r="Y1550" s="396"/>
      <c r="AJ1550" s="390">
        <v>0</v>
      </c>
    </row>
    <row r="1551" spans="1:77" s="394" customFormat="1" ht="12" customHeight="1">
      <c r="B1551" s="379" t="s">
        <v>291</v>
      </c>
      <c r="C1551" s="392"/>
      <c r="D1551" s="392"/>
      <c r="E1551" s="393" t="s">
        <v>1293</v>
      </c>
      <c r="F1551" s="379" t="s">
        <v>404</v>
      </c>
      <c r="G1551" s="383">
        <v>3604</v>
      </c>
      <c r="H1551" s="394" t="s">
        <v>27</v>
      </c>
      <c r="I1551" s="394" t="s">
        <v>33</v>
      </c>
      <c r="J1551" s="395">
        <v>22908.92</v>
      </c>
      <c r="L1551" s="395">
        <v>15.43</v>
      </c>
      <c r="M1551" s="395">
        <v>15.43</v>
      </c>
      <c r="N1551" s="396"/>
      <c r="O1551" s="387">
        <v>0.15</v>
      </c>
      <c r="P1551" s="397"/>
      <c r="Q1551" s="396">
        <v>0</v>
      </c>
      <c r="R1551" s="379" t="s">
        <v>35</v>
      </c>
      <c r="S1551" s="388" t="s">
        <v>41</v>
      </c>
      <c r="T1551" s="388">
        <v>16</v>
      </c>
      <c r="U1551" s="398" t="s">
        <v>164</v>
      </c>
      <c r="V1551" s="449"/>
      <c r="X1551" s="396">
        <v>0</v>
      </c>
      <c r="Y1551" s="396"/>
      <c r="AJ1551" s="390">
        <v>0</v>
      </c>
    </row>
    <row r="1552" spans="1:77" s="394" customFormat="1" ht="12" customHeight="1">
      <c r="B1552" s="379" t="s">
        <v>291</v>
      </c>
      <c r="C1552" s="392"/>
      <c r="D1552" s="392"/>
      <c r="E1552" s="393" t="s">
        <v>1293</v>
      </c>
      <c r="F1552" s="379" t="s">
        <v>404</v>
      </c>
      <c r="G1552" s="383">
        <v>3604</v>
      </c>
      <c r="H1552" s="394" t="s">
        <v>898</v>
      </c>
      <c r="I1552" s="394" t="s">
        <v>33</v>
      </c>
      <c r="J1552" s="395">
        <v>14661.98</v>
      </c>
      <c r="L1552" s="395">
        <v>9.0399999999999991</v>
      </c>
      <c r="M1552" s="395">
        <v>9.0399999999999991</v>
      </c>
      <c r="N1552" s="396"/>
      <c r="O1552" s="387">
        <v>0.15</v>
      </c>
      <c r="P1552" s="397"/>
      <c r="Q1552" s="396">
        <v>1432.91</v>
      </c>
      <c r="R1552" s="379" t="s">
        <v>35</v>
      </c>
      <c r="S1552" s="388" t="s">
        <v>41</v>
      </c>
      <c r="T1552" s="388">
        <v>86</v>
      </c>
      <c r="U1552" s="398" t="s">
        <v>164</v>
      </c>
      <c r="V1552" s="449"/>
      <c r="X1552" s="396">
        <v>1432.91</v>
      </c>
      <c r="Y1552" s="396"/>
      <c r="AJ1552" s="395">
        <v>1432.91</v>
      </c>
    </row>
    <row r="1553" spans="2:77" s="394" customFormat="1" ht="12" customHeight="1">
      <c r="B1553" s="379" t="s">
        <v>291</v>
      </c>
      <c r="C1553" s="392"/>
      <c r="D1553" s="392"/>
      <c r="E1553" s="393" t="s">
        <v>1293</v>
      </c>
      <c r="F1553" s="379" t="s">
        <v>404</v>
      </c>
      <c r="G1553" s="383">
        <v>3604</v>
      </c>
      <c r="H1553" s="394" t="s">
        <v>866</v>
      </c>
      <c r="I1553" s="394" t="s">
        <v>33</v>
      </c>
      <c r="J1553" s="395">
        <v>9003.85</v>
      </c>
      <c r="L1553" s="395">
        <v>9.36</v>
      </c>
      <c r="M1553" s="395">
        <v>9.36</v>
      </c>
      <c r="N1553" s="396"/>
      <c r="O1553" s="387">
        <v>0.15</v>
      </c>
      <c r="P1553" s="397"/>
      <c r="Q1553" s="396">
        <v>298.07</v>
      </c>
      <c r="R1553" s="379" t="s">
        <v>35</v>
      </c>
      <c r="S1553" s="388" t="s">
        <v>41</v>
      </c>
      <c r="T1553" s="388">
        <v>16</v>
      </c>
      <c r="U1553" s="398" t="s">
        <v>164</v>
      </c>
      <c r="V1553" s="449"/>
      <c r="X1553" s="396">
        <v>298.07</v>
      </c>
      <c r="Y1553" s="396"/>
      <c r="AJ1553" s="395">
        <v>298.07</v>
      </c>
    </row>
    <row r="1554" spans="2:77" s="394" customFormat="1" ht="12" customHeight="1">
      <c r="B1554" s="379" t="s">
        <v>291</v>
      </c>
      <c r="C1554" s="392"/>
      <c r="D1554" s="392"/>
      <c r="E1554" s="393" t="s">
        <v>1293</v>
      </c>
      <c r="F1554" s="379" t="s">
        <v>404</v>
      </c>
      <c r="G1554" s="383">
        <v>3604</v>
      </c>
      <c r="H1554" s="394" t="s">
        <v>183</v>
      </c>
      <c r="I1554" s="394" t="s">
        <v>33</v>
      </c>
      <c r="J1554" s="395">
        <v>5092.51</v>
      </c>
      <c r="L1554" s="395">
        <v>6.39</v>
      </c>
      <c r="M1554" s="395">
        <v>6.39</v>
      </c>
      <c r="N1554" s="396"/>
      <c r="O1554" s="387">
        <v>0.15</v>
      </c>
      <c r="P1554" s="397"/>
      <c r="Q1554" s="396">
        <v>0</v>
      </c>
      <c r="R1554" s="379" t="s">
        <v>35</v>
      </c>
      <c r="S1554" s="388" t="s">
        <v>41</v>
      </c>
      <c r="T1554" s="388">
        <v>86</v>
      </c>
      <c r="U1554" s="398" t="s">
        <v>164</v>
      </c>
      <c r="V1554" s="449"/>
      <c r="X1554" s="396">
        <v>0</v>
      </c>
      <c r="Y1554" s="396"/>
      <c r="AJ1554" s="390">
        <v>0</v>
      </c>
    </row>
    <row r="1555" spans="2:77" s="394" customFormat="1" ht="12" customHeight="1">
      <c r="B1555" s="379" t="s">
        <v>291</v>
      </c>
      <c r="C1555" s="392"/>
      <c r="D1555" s="392"/>
      <c r="E1555" s="393" t="s">
        <v>1293</v>
      </c>
      <c r="F1555" s="379" t="s">
        <v>404</v>
      </c>
      <c r="G1555" s="383">
        <v>3604</v>
      </c>
      <c r="H1555" s="394" t="s">
        <v>99</v>
      </c>
      <c r="I1555" s="394" t="s">
        <v>33</v>
      </c>
      <c r="J1555" s="395">
        <v>10275.299999999999</v>
      </c>
      <c r="L1555" s="395">
        <v>9.32</v>
      </c>
      <c r="M1555" s="395">
        <v>9.32</v>
      </c>
      <c r="N1555" s="396"/>
      <c r="O1555" s="387">
        <v>0.15</v>
      </c>
      <c r="P1555" s="397"/>
      <c r="Q1555" s="396">
        <v>0</v>
      </c>
      <c r="R1555" s="379" t="s">
        <v>35</v>
      </c>
      <c r="S1555" s="388" t="s">
        <v>41</v>
      </c>
      <c r="T1555" s="388">
        <v>16</v>
      </c>
      <c r="U1555" s="398" t="s">
        <v>164</v>
      </c>
      <c r="V1555" s="449"/>
      <c r="X1555" s="396">
        <v>0</v>
      </c>
      <c r="Y1555" s="396"/>
      <c r="AJ1555" s="390">
        <v>0</v>
      </c>
    </row>
    <row r="1556" spans="2:77" s="394" customFormat="1" ht="12" customHeight="1">
      <c r="B1556" s="379" t="s">
        <v>291</v>
      </c>
      <c r="C1556" s="392"/>
      <c r="D1556" s="392"/>
      <c r="E1556" s="393" t="s">
        <v>1293</v>
      </c>
      <c r="F1556" s="379" t="s">
        <v>404</v>
      </c>
      <c r="G1556" s="383">
        <v>3604</v>
      </c>
      <c r="H1556" s="394" t="s">
        <v>898</v>
      </c>
      <c r="I1556" s="394" t="s">
        <v>33</v>
      </c>
      <c r="J1556" s="395">
        <v>9385.1299999999992</v>
      </c>
      <c r="L1556" s="395">
        <v>10.28</v>
      </c>
      <c r="M1556" s="395">
        <v>10.28</v>
      </c>
      <c r="N1556" s="396"/>
      <c r="O1556" s="387">
        <v>0.15</v>
      </c>
      <c r="P1556" s="397"/>
      <c r="Q1556" s="396">
        <v>1629.46</v>
      </c>
      <c r="R1556" s="379" t="s">
        <v>35</v>
      </c>
      <c r="S1556" s="388" t="s">
        <v>41</v>
      </c>
      <c r="T1556" s="388">
        <v>16</v>
      </c>
      <c r="U1556" s="398" t="s">
        <v>164</v>
      </c>
      <c r="V1556" s="449"/>
      <c r="X1556" s="396">
        <v>1629.46</v>
      </c>
      <c r="Y1556" s="396"/>
      <c r="AJ1556" s="395">
        <v>1629.46</v>
      </c>
    </row>
    <row r="1557" spans="2:77" s="394" customFormat="1" ht="12" customHeight="1">
      <c r="B1557" s="379" t="s">
        <v>291</v>
      </c>
      <c r="C1557" s="392"/>
      <c r="D1557" s="392"/>
      <c r="E1557" s="393" t="s">
        <v>1293</v>
      </c>
      <c r="F1557" s="379" t="s">
        <v>404</v>
      </c>
      <c r="G1557" s="383">
        <v>3604</v>
      </c>
      <c r="H1557" s="394" t="s">
        <v>163</v>
      </c>
      <c r="I1557" s="394" t="s">
        <v>33</v>
      </c>
      <c r="J1557" s="395">
        <v>5775.33</v>
      </c>
      <c r="L1557" s="395">
        <v>8.14</v>
      </c>
      <c r="M1557" s="395">
        <v>8.14</v>
      </c>
      <c r="N1557" s="396"/>
      <c r="O1557" s="387">
        <v>0.15</v>
      </c>
      <c r="P1557" s="397"/>
      <c r="Q1557" s="396">
        <v>0</v>
      </c>
      <c r="R1557" s="379" t="s">
        <v>35</v>
      </c>
      <c r="S1557" s="388" t="s">
        <v>41</v>
      </c>
      <c r="T1557" s="388">
        <v>86</v>
      </c>
      <c r="U1557" s="398" t="s">
        <v>164</v>
      </c>
      <c r="V1557" s="449"/>
      <c r="X1557" s="396">
        <v>0</v>
      </c>
      <c r="Y1557" s="396"/>
      <c r="AJ1557" s="390">
        <v>0</v>
      </c>
    </row>
    <row r="1558" spans="2:77" s="394" customFormat="1" ht="12" customHeight="1">
      <c r="B1558" s="379" t="s">
        <v>291</v>
      </c>
      <c r="C1558" s="392"/>
      <c r="D1558" s="392"/>
      <c r="E1558" s="393" t="s">
        <v>1293</v>
      </c>
      <c r="F1558" s="379" t="s">
        <v>404</v>
      </c>
      <c r="G1558" s="383">
        <v>3604</v>
      </c>
      <c r="H1558" s="394" t="s">
        <v>183</v>
      </c>
      <c r="I1558" s="394" t="s">
        <v>33</v>
      </c>
      <c r="J1558" s="395">
        <v>3291.4</v>
      </c>
      <c r="L1558" s="395">
        <v>4.13</v>
      </c>
      <c r="M1558" s="395">
        <v>4.13</v>
      </c>
      <c r="N1558" s="396"/>
      <c r="O1558" s="387">
        <v>0.15</v>
      </c>
      <c r="P1558" s="397"/>
      <c r="Q1558" s="396">
        <v>0</v>
      </c>
      <c r="R1558" s="379" t="s">
        <v>35</v>
      </c>
      <c r="S1558" s="388" t="s">
        <v>41</v>
      </c>
      <c r="T1558" s="388">
        <v>16</v>
      </c>
      <c r="U1558" s="398" t="s">
        <v>164</v>
      </c>
      <c r="V1558" s="449"/>
      <c r="X1558" s="396">
        <v>0</v>
      </c>
      <c r="Y1558" s="396"/>
      <c r="AJ1558" s="390">
        <v>0</v>
      </c>
    </row>
    <row r="1559" spans="2:77" s="394" customFormat="1" ht="12" customHeight="1">
      <c r="B1559" s="380" t="s">
        <v>291</v>
      </c>
      <c r="C1559" s="392">
        <v>44703</v>
      </c>
      <c r="D1559" s="392">
        <v>44703</v>
      </c>
      <c r="E1559" s="393" t="s">
        <v>1294</v>
      </c>
      <c r="F1559" s="379" t="s">
        <v>724</v>
      </c>
      <c r="G1559" s="400">
        <v>4102</v>
      </c>
      <c r="H1559" s="394" t="s">
        <v>27</v>
      </c>
      <c r="I1559" s="394" t="s">
        <v>888</v>
      </c>
      <c r="J1559" s="395">
        <v>7960.52</v>
      </c>
      <c r="L1559" s="395">
        <v>7.51</v>
      </c>
      <c r="M1559" s="395">
        <v>7.51</v>
      </c>
      <c r="N1559" s="396"/>
      <c r="O1559" s="387">
        <v>0.2</v>
      </c>
      <c r="P1559" s="397"/>
      <c r="Q1559" s="396">
        <v>0</v>
      </c>
      <c r="R1559" s="379" t="s">
        <v>146</v>
      </c>
      <c r="S1559" s="388" t="s">
        <v>74</v>
      </c>
      <c r="T1559" s="388">
        <v>31</v>
      </c>
      <c r="U1559" s="398" t="s">
        <v>164</v>
      </c>
      <c r="V1559" s="449"/>
      <c r="X1559" s="396">
        <v>0</v>
      </c>
      <c r="Y1559" s="396"/>
      <c r="AJ1559" s="390">
        <v>0</v>
      </c>
    </row>
    <row r="1560" spans="2:77" s="394" customFormat="1" ht="12" customHeight="1">
      <c r="B1560" s="380" t="s">
        <v>291</v>
      </c>
      <c r="C1560" s="392"/>
      <c r="D1560" s="392"/>
      <c r="E1560" s="393" t="s">
        <v>1294</v>
      </c>
      <c r="F1560" s="379" t="s">
        <v>724</v>
      </c>
      <c r="G1560" s="400">
        <v>4102</v>
      </c>
      <c r="H1560" s="394" t="s">
        <v>295</v>
      </c>
      <c r="I1560" s="394" t="s">
        <v>888</v>
      </c>
      <c r="J1560" s="395">
        <v>3658.74</v>
      </c>
      <c r="L1560" s="395">
        <v>5.78</v>
      </c>
      <c r="M1560" s="395">
        <v>5.78</v>
      </c>
      <c r="N1560" s="396"/>
      <c r="O1560" s="387">
        <v>0.2</v>
      </c>
      <c r="P1560" s="397"/>
      <c r="Q1560" s="396">
        <v>0</v>
      </c>
      <c r="R1560" s="379" t="s">
        <v>146</v>
      </c>
      <c r="S1560" s="388" t="s">
        <v>74</v>
      </c>
      <c r="T1560" s="388">
        <v>31</v>
      </c>
      <c r="U1560" s="398" t="s">
        <v>164</v>
      </c>
      <c r="V1560" s="449"/>
      <c r="X1560" s="396">
        <v>0</v>
      </c>
      <c r="Y1560" s="396"/>
      <c r="AJ1560" s="390">
        <v>0</v>
      </c>
    </row>
    <row r="1561" spans="2:77" s="394" customFormat="1" ht="12" customHeight="1">
      <c r="B1561" s="380" t="s">
        <v>291</v>
      </c>
      <c r="C1561" s="392"/>
      <c r="D1561" s="392"/>
      <c r="E1561" s="393" t="s">
        <v>1294</v>
      </c>
      <c r="F1561" s="379" t="s">
        <v>724</v>
      </c>
      <c r="G1561" s="400">
        <v>4102</v>
      </c>
      <c r="H1561" s="394" t="s">
        <v>140</v>
      </c>
      <c r="I1561" s="394" t="s">
        <v>888</v>
      </c>
      <c r="J1561" s="395">
        <v>13600</v>
      </c>
      <c r="L1561" s="395">
        <v>10</v>
      </c>
      <c r="M1561" s="395">
        <v>10</v>
      </c>
      <c r="N1561" s="396"/>
      <c r="O1561" s="387">
        <v>0.2</v>
      </c>
      <c r="P1561" s="397"/>
      <c r="Q1561" s="396">
        <v>0</v>
      </c>
      <c r="R1561" s="379" t="s">
        <v>146</v>
      </c>
      <c r="S1561" s="388" t="s">
        <v>74</v>
      </c>
      <c r="T1561" s="388">
        <v>31</v>
      </c>
      <c r="U1561" s="398" t="s">
        <v>164</v>
      </c>
      <c r="V1561" s="449"/>
      <c r="X1561" s="396">
        <v>0</v>
      </c>
      <c r="Y1561" s="396"/>
      <c r="AJ1561" s="390">
        <v>0</v>
      </c>
    </row>
    <row r="1562" spans="2:77" s="394" customFormat="1" ht="12" customHeight="1">
      <c r="B1562" s="380" t="s">
        <v>291</v>
      </c>
      <c r="C1562" s="392"/>
      <c r="D1562" s="392"/>
      <c r="E1562" s="393" t="s">
        <v>1294</v>
      </c>
      <c r="F1562" s="379" t="s">
        <v>724</v>
      </c>
      <c r="G1562" s="400">
        <v>4102</v>
      </c>
      <c r="H1562" s="394" t="s">
        <v>99</v>
      </c>
      <c r="I1562" s="394" t="s">
        <v>888</v>
      </c>
      <c r="J1562" s="395">
        <v>72647.58</v>
      </c>
      <c r="L1562" s="395">
        <v>59.14</v>
      </c>
      <c r="M1562" s="395">
        <v>59.14</v>
      </c>
      <c r="N1562" s="396"/>
      <c r="O1562" s="387">
        <v>0.2</v>
      </c>
      <c r="P1562" s="397"/>
      <c r="Q1562" s="396">
        <v>0</v>
      </c>
      <c r="R1562" s="379" t="s">
        <v>146</v>
      </c>
      <c r="S1562" s="388" t="s">
        <v>74</v>
      </c>
      <c r="T1562" s="388">
        <v>31</v>
      </c>
      <c r="U1562" s="398" t="s">
        <v>164</v>
      </c>
      <c r="V1562" s="449"/>
      <c r="X1562" s="396">
        <v>0</v>
      </c>
      <c r="Y1562" s="396"/>
      <c r="AJ1562" s="390">
        <v>0</v>
      </c>
    </row>
    <row r="1563" spans="2:77" s="394" customFormat="1" ht="12" customHeight="1">
      <c r="B1563" s="380" t="s">
        <v>291</v>
      </c>
      <c r="C1563" s="392"/>
      <c r="D1563" s="392"/>
      <c r="E1563" s="393" t="s">
        <v>1294</v>
      </c>
      <c r="F1563" s="379" t="s">
        <v>724</v>
      </c>
      <c r="G1563" s="400">
        <v>4102</v>
      </c>
      <c r="H1563" s="394" t="s">
        <v>183</v>
      </c>
      <c r="I1563" s="394" t="s">
        <v>888</v>
      </c>
      <c r="J1563" s="395">
        <v>22188.79</v>
      </c>
      <c r="L1563" s="395">
        <v>19.98</v>
      </c>
      <c r="M1563" s="395">
        <v>19.98</v>
      </c>
      <c r="N1563" s="396"/>
      <c r="O1563" s="387">
        <v>0.2</v>
      </c>
      <c r="P1563" s="397"/>
      <c r="Q1563" s="396">
        <v>0</v>
      </c>
      <c r="R1563" s="379" t="s">
        <v>146</v>
      </c>
      <c r="S1563" s="388" t="s">
        <v>74</v>
      </c>
      <c r="T1563" s="388">
        <v>31</v>
      </c>
      <c r="U1563" s="398" t="s">
        <v>164</v>
      </c>
      <c r="V1563" s="449"/>
      <c r="X1563" s="396">
        <v>0</v>
      </c>
      <c r="Y1563" s="396"/>
      <c r="AI1563" s="379"/>
      <c r="AJ1563" s="390">
        <v>0</v>
      </c>
    </row>
    <row r="1564" spans="2:77" s="660" customFormat="1" ht="12" customHeight="1">
      <c r="B1564" s="647" t="s">
        <v>291</v>
      </c>
      <c r="C1564" s="665"/>
      <c r="D1564" s="665"/>
      <c r="E1564" s="666" t="s">
        <v>1295</v>
      </c>
      <c r="F1564" s="647" t="s">
        <v>206</v>
      </c>
      <c r="G1564" s="667">
        <v>4337</v>
      </c>
      <c r="H1564" s="660" t="s">
        <v>207</v>
      </c>
      <c r="I1564" s="660" t="s">
        <v>1296</v>
      </c>
      <c r="J1564" s="668">
        <v>3244.61</v>
      </c>
      <c r="L1564" s="668">
        <v>5.16</v>
      </c>
      <c r="M1564" s="668">
        <v>5.16</v>
      </c>
      <c r="N1564" s="669"/>
      <c r="O1564" s="653">
        <v>0.2</v>
      </c>
      <c r="P1564" s="670"/>
      <c r="Q1564" s="669">
        <v>449.13</v>
      </c>
      <c r="R1564" s="647" t="s">
        <v>146</v>
      </c>
      <c r="S1564" s="654" t="s">
        <v>74</v>
      </c>
      <c r="T1564" s="654">
        <v>32</v>
      </c>
      <c r="U1564" s="672" t="s">
        <v>164</v>
      </c>
      <c r="V1564" s="673"/>
      <c r="X1564" s="669">
        <v>449.13</v>
      </c>
      <c r="Y1564" s="669"/>
      <c r="AI1564" s="669">
        <v>449.13</v>
      </c>
      <c r="AJ1564" s="657"/>
      <c r="AK1564" s="658"/>
      <c r="AL1564" s="647"/>
      <c r="AM1564" s="647"/>
      <c r="AN1564" s="647"/>
      <c r="AO1564" s="647"/>
      <c r="AP1564" s="647"/>
      <c r="AQ1564" s="647"/>
      <c r="AR1564" s="647"/>
      <c r="AS1564" s="647"/>
      <c r="AT1564" s="647"/>
      <c r="AU1564" s="647"/>
      <c r="AV1564" s="647"/>
      <c r="AW1564" s="647"/>
      <c r="AX1564" s="647"/>
      <c r="AY1564" s="647"/>
      <c r="AZ1564" s="647"/>
      <c r="BA1564" s="647"/>
      <c r="BB1564" s="647"/>
      <c r="BC1564" s="647"/>
      <c r="BD1564" s="647"/>
      <c r="BE1564" s="647"/>
      <c r="BF1564" s="647"/>
      <c r="BG1564" s="647"/>
      <c r="BH1564" s="647"/>
      <c r="BI1564" s="647"/>
      <c r="BJ1564" s="647"/>
      <c r="BK1564" s="647"/>
      <c r="BL1564" s="647"/>
      <c r="BM1564" s="647"/>
      <c r="BN1564" s="647"/>
      <c r="BO1564" s="647"/>
      <c r="BP1564" s="647"/>
      <c r="BQ1564" s="647"/>
      <c r="BR1564" s="647"/>
      <c r="BS1564" s="647"/>
      <c r="BT1564" s="647"/>
      <c r="BU1564" s="647"/>
      <c r="BV1564" s="647"/>
      <c r="BW1564" s="647"/>
      <c r="BX1564" s="647"/>
      <c r="BY1564" s="647"/>
    </row>
    <row r="1565" spans="2:77" s="660" customFormat="1" ht="12" customHeight="1">
      <c r="B1565" s="647" t="s">
        <v>291</v>
      </c>
      <c r="C1565" s="665"/>
      <c r="D1565" s="665"/>
      <c r="E1565" s="666" t="s">
        <v>1295</v>
      </c>
      <c r="F1565" s="647" t="s">
        <v>206</v>
      </c>
      <c r="G1565" s="667">
        <v>4337</v>
      </c>
      <c r="H1565" s="660" t="s">
        <v>765</v>
      </c>
      <c r="I1565" s="660" t="s">
        <v>1296</v>
      </c>
      <c r="J1565" s="668">
        <v>40211.199999999997</v>
      </c>
      <c r="L1565" s="668">
        <v>48.8</v>
      </c>
      <c r="M1565" s="668">
        <v>8</v>
      </c>
      <c r="N1565" s="669"/>
      <c r="O1565" s="653">
        <v>0.2</v>
      </c>
      <c r="P1565" s="670"/>
      <c r="Q1565" s="669">
        <v>0</v>
      </c>
      <c r="R1565" s="647" t="s">
        <v>146</v>
      </c>
      <c r="S1565" s="654" t="s">
        <v>74</v>
      </c>
      <c r="T1565" s="654">
        <v>32</v>
      </c>
      <c r="U1565" s="672" t="s">
        <v>164</v>
      </c>
      <c r="V1565" s="673"/>
      <c r="X1565" s="669">
        <v>0</v>
      </c>
      <c r="Y1565" s="669"/>
      <c r="AI1565" s="647">
        <v>0</v>
      </c>
      <c r="AJ1565" s="657"/>
      <c r="AK1565" s="658"/>
      <c r="AL1565" s="647"/>
      <c r="AM1565" s="647"/>
      <c r="AN1565" s="647"/>
      <c r="AO1565" s="647"/>
      <c r="AP1565" s="647"/>
      <c r="AQ1565" s="647"/>
      <c r="AR1565" s="647"/>
      <c r="AS1565" s="647"/>
      <c r="AT1565" s="647"/>
      <c r="AU1565" s="647"/>
      <c r="AV1565" s="647"/>
      <c r="AW1565" s="647"/>
      <c r="AX1565" s="647"/>
      <c r="AY1565" s="647"/>
      <c r="AZ1565" s="647"/>
      <c r="BA1565" s="647"/>
      <c r="BB1565" s="647"/>
      <c r="BC1565" s="647"/>
      <c r="BD1565" s="647"/>
      <c r="BE1565" s="647"/>
      <c r="BF1565" s="647"/>
      <c r="BG1565" s="647"/>
      <c r="BH1565" s="647"/>
      <c r="BI1565" s="647"/>
      <c r="BJ1565" s="647"/>
      <c r="BK1565" s="647"/>
      <c r="BL1565" s="647"/>
      <c r="BM1565" s="647"/>
      <c r="BN1565" s="647"/>
      <c r="BO1565" s="647"/>
      <c r="BP1565" s="647"/>
      <c r="BQ1565" s="647"/>
      <c r="BR1565" s="647"/>
      <c r="BS1565" s="647"/>
      <c r="BT1565" s="647"/>
      <c r="BU1565" s="647"/>
      <c r="BV1565" s="647"/>
      <c r="BW1565" s="647"/>
      <c r="BX1565" s="647"/>
      <c r="BY1565" s="647"/>
    </row>
    <row r="1566" spans="2:77" s="273" customFormat="1" ht="12" customHeight="1">
      <c r="B1566" s="261" t="s">
        <v>291</v>
      </c>
      <c r="C1566" s="271">
        <v>44703</v>
      </c>
      <c r="D1566" s="271">
        <v>44703</v>
      </c>
      <c r="E1566" s="272" t="s">
        <v>1295</v>
      </c>
      <c r="F1566" s="261" t="s">
        <v>206</v>
      </c>
      <c r="G1566" s="276">
        <v>4337</v>
      </c>
      <c r="H1566" s="273" t="s">
        <v>163</v>
      </c>
      <c r="I1566" s="273" t="s">
        <v>1296</v>
      </c>
      <c r="J1566" s="277">
        <v>14845.22</v>
      </c>
      <c r="L1566" s="277">
        <v>18.82</v>
      </c>
      <c r="M1566" s="277">
        <v>18.82</v>
      </c>
      <c r="N1566" s="275"/>
      <c r="O1566" s="266">
        <v>0.2</v>
      </c>
      <c r="P1566" s="278"/>
      <c r="Q1566" s="275">
        <v>0</v>
      </c>
      <c r="R1566" s="261" t="s">
        <v>146</v>
      </c>
      <c r="S1566" s="267" t="s">
        <v>74</v>
      </c>
      <c r="T1566" s="267">
        <v>31</v>
      </c>
      <c r="U1566" s="274" t="s">
        <v>164</v>
      </c>
      <c r="V1566" s="454"/>
      <c r="X1566" s="275">
        <v>0</v>
      </c>
      <c r="Y1566" s="275"/>
      <c r="AG1566" s="273">
        <f>X1566</f>
        <v>0</v>
      </c>
      <c r="AI1566" s="261"/>
      <c r="AJ1566" s="642"/>
    </row>
    <row r="1567" spans="2:77" s="273" customFormat="1" ht="12" customHeight="1">
      <c r="B1567" s="261" t="s">
        <v>291</v>
      </c>
      <c r="C1567" s="271"/>
      <c r="D1567" s="271"/>
      <c r="E1567" s="272" t="s">
        <v>1295</v>
      </c>
      <c r="F1567" s="261" t="s">
        <v>206</v>
      </c>
      <c r="G1567" s="276">
        <v>4337</v>
      </c>
      <c r="H1567" s="273" t="s">
        <v>99</v>
      </c>
      <c r="I1567" s="273" t="s">
        <v>1296</v>
      </c>
      <c r="J1567" s="277">
        <v>20384.82</v>
      </c>
      <c r="L1567" s="277">
        <v>21.05</v>
      </c>
      <c r="M1567" s="277">
        <v>21.05</v>
      </c>
      <c r="N1567" s="275"/>
      <c r="O1567" s="266">
        <v>0.2</v>
      </c>
      <c r="P1567" s="278"/>
      <c r="Q1567" s="275">
        <v>0</v>
      </c>
      <c r="R1567" s="261" t="s">
        <v>146</v>
      </c>
      <c r="S1567" s="267" t="s">
        <v>74</v>
      </c>
      <c r="T1567" s="267">
        <v>32</v>
      </c>
      <c r="U1567" s="274" t="s">
        <v>164</v>
      </c>
      <c r="V1567" s="454"/>
      <c r="X1567" s="275">
        <v>0</v>
      </c>
      <c r="Y1567" s="275"/>
      <c r="AG1567" s="273">
        <f>X1567</f>
        <v>0</v>
      </c>
      <c r="AJ1567" s="642"/>
    </row>
    <row r="1568" spans="2:77" s="273" customFormat="1" ht="12" customHeight="1">
      <c r="B1568" s="261" t="s">
        <v>291</v>
      </c>
      <c r="C1568" s="271"/>
      <c r="D1568" s="271"/>
      <c r="E1568" s="272" t="s">
        <v>1295</v>
      </c>
      <c r="F1568" s="261" t="s">
        <v>206</v>
      </c>
      <c r="G1568" s="276">
        <v>4337</v>
      </c>
      <c r="H1568" s="273" t="s">
        <v>138</v>
      </c>
      <c r="I1568" s="273" t="s">
        <v>1296</v>
      </c>
      <c r="J1568" s="277">
        <v>24102.9</v>
      </c>
      <c r="L1568" s="277">
        <v>21.33</v>
      </c>
      <c r="M1568" s="277">
        <v>21.33</v>
      </c>
      <c r="N1568" s="275"/>
      <c r="O1568" s="266">
        <v>0.2</v>
      </c>
      <c r="P1568" s="278"/>
      <c r="Q1568" s="275">
        <v>0</v>
      </c>
      <c r="R1568" s="261" t="s">
        <v>146</v>
      </c>
      <c r="S1568" s="267" t="s">
        <v>74</v>
      </c>
      <c r="T1568" s="267">
        <v>32</v>
      </c>
      <c r="U1568" s="274" t="s">
        <v>164</v>
      </c>
      <c r="V1568" s="454"/>
      <c r="X1568" s="275">
        <v>0</v>
      </c>
      <c r="Y1568" s="275"/>
      <c r="AG1568" s="273">
        <f>X1568</f>
        <v>0</v>
      </c>
      <c r="AJ1568" s="642"/>
    </row>
    <row r="1569" spans="1:77" s="273" customFormat="1" ht="12" customHeight="1">
      <c r="B1569" s="261" t="s">
        <v>291</v>
      </c>
      <c r="C1569" s="271"/>
      <c r="D1569" s="271"/>
      <c r="E1569" s="272" t="s">
        <v>1295</v>
      </c>
      <c r="F1569" s="261" t="s">
        <v>206</v>
      </c>
      <c r="G1569" s="276">
        <v>4337</v>
      </c>
      <c r="H1569" s="273" t="s">
        <v>183</v>
      </c>
      <c r="I1569" s="273" t="s">
        <v>1296</v>
      </c>
      <c r="J1569" s="277">
        <v>13847.18</v>
      </c>
      <c r="L1569" s="277">
        <v>15.21</v>
      </c>
      <c r="M1569" s="277">
        <v>15.21</v>
      </c>
      <c r="N1569" s="275"/>
      <c r="O1569" s="266">
        <v>0.2</v>
      </c>
      <c r="P1569" s="278"/>
      <c r="Q1569" s="275">
        <v>0</v>
      </c>
      <c r="R1569" s="261" t="s">
        <v>146</v>
      </c>
      <c r="S1569" s="267" t="s">
        <v>74</v>
      </c>
      <c r="T1569" s="267">
        <v>32</v>
      </c>
      <c r="U1569" s="274" t="s">
        <v>164</v>
      </c>
      <c r="V1569" s="454"/>
      <c r="X1569" s="275">
        <v>0</v>
      </c>
      <c r="Y1569" s="275"/>
      <c r="AG1569" s="273">
        <f>X1569</f>
        <v>0</v>
      </c>
      <c r="AJ1569" s="642"/>
    </row>
    <row r="1570" spans="1:77" s="273" customFormat="1" ht="12" customHeight="1">
      <c r="B1570" s="261" t="s">
        <v>291</v>
      </c>
      <c r="C1570" s="271"/>
      <c r="D1570" s="271"/>
      <c r="E1570" s="272" t="s">
        <v>1295</v>
      </c>
      <c r="F1570" s="261" t="s">
        <v>206</v>
      </c>
      <c r="G1570" s="276">
        <v>4337</v>
      </c>
      <c r="H1570" s="273" t="s">
        <v>163</v>
      </c>
      <c r="I1570" s="273" t="s">
        <v>1296</v>
      </c>
      <c r="J1570" s="277">
        <v>1885.23</v>
      </c>
      <c r="L1570" s="277">
        <v>2.39</v>
      </c>
      <c r="M1570" s="277">
        <v>2.39</v>
      </c>
      <c r="N1570" s="275"/>
      <c r="O1570" s="266">
        <v>0.2</v>
      </c>
      <c r="P1570" s="278"/>
      <c r="Q1570" s="275">
        <v>0</v>
      </c>
      <c r="R1570" s="261" t="s">
        <v>146</v>
      </c>
      <c r="S1570" s="267" t="s">
        <v>74</v>
      </c>
      <c r="T1570" s="267">
        <v>32</v>
      </c>
      <c r="U1570" s="274" t="s">
        <v>164</v>
      </c>
      <c r="V1570" s="454"/>
      <c r="X1570" s="275">
        <v>0</v>
      </c>
      <c r="Y1570" s="275"/>
      <c r="AG1570" s="273">
        <f>X1570</f>
        <v>0</v>
      </c>
      <c r="AI1570" s="261"/>
      <c r="AJ1570" s="642"/>
    </row>
    <row r="1571" spans="1:77" s="117" customFormat="1" ht="12" customHeight="1">
      <c r="A1571" s="558"/>
      <c r="B1571" s="546" t="s">
        <v>291</v>
      </c>
      <c r="C1571" s="560">
        <v>44703</v>
      </c>
      <c r="D1571" s="560">
        <v>44704</v>
      </c>
      <c r="E1571" s="561" t="s">
        <v>1297</v>
      </c>
      <c r="F1571" s="546" t="s">
        <v>1298</v>
      </c>
      <c r="G1571" s="562" t="s">
        <v>1299</v>
      </c>
      <c r="H1571" s="558" t="s">
        <v>99</v>
      </c>
      <c r="I1571" s="558" t="s">
        <v>888</v>
      </c>
      <c r="J1571" s="563">
        <v>46592.56</v>
      </c>
      <c r="K1571" s="558"/>
      <c r="L1571" s="563">
        <v>42.28</v>
      </c>
      <c r="M1571" s="563">
        <v>42.28</v>
      </c>
      <c r="N1571" s="564"/>
      <c r="O1571" s="553">
        <v>0.2</v>
      </c>
      <c r="P1571" s="566"/>
      <c r="Q1571" s="564">
        <v>1819.16</v>
      </c>
      <c r="R1571" s="546" t="s">
        <v>285</v>
      </c>
      <c r="S1571" s="554" t="s">
        <v>275</v>
      </c>
      <c r="T1571" s="554">
        <v>21</v>
      </c>
      <c r="U1571" s="568" t="s">
        <v>164</v>
      </c>
      <c r="V1571" s="569"/>
      <c r="W1571" s="558"/>
      <c r="X1571" s="564">
        <v>1819.16</v>
      </c>
      <c r="Y1571" s="564"/>
      <c r="Z1571" s="558"/>
      <c r="AA1571" s="558"/>
      <c r="AB1571" s="558"/>
      <c r="AC1571" s="558"/>
      <c r="AD1571" s="558"/>
      <c r="AE1571" s="558"/>
      <c r="AF1571" s="558"/>
      <c r="AG1571" s="558"/>
      <c r="AH1571" s="558"/>
      <c r="AI1571" s="546"/>
      <c r="AJ1571" s="557"/>
      <c r="AK1571" s="558"/>
      <c r="AL1571" s="558"/>
      <c r="AM1571" s="579">
        <v>1819.16</v>
      </c>
      <c r="AN1571" s="558"/>
      <c r="AO1571" s="558"/>
      <c r="AP1571" s="558"/>
      <c r="AQ1571" s="558"/>
      <c r="AR1571" s="558"/>
      <c r="AS1571" s="558"/>
      <c r="AT1571" s="558"/>
      <c r="AU1571" s="558"/>
      <c r="AV1571" s="558"/>
      <c r="AW1571" s="558"/>
      <c r="AX1571" s="558"/>
      <c r="AY1571" s="558"/>
      <c r="AZ1571" s="558"/>
      <c r="BA1571" s="558"/>
      <c r="BB1571" s="558"/>
      <c r="BC1571" s="558"/>
      <c r="BD1571" s="558"/>
      <c r="BE1571" s="558"/>
      <c r="BF1571" s="558"/>
      <c r="BG1571" s="558"/>
      <c r="BH1571" s="558"/>
      <c r="BI1571" s="558"/>
      <c r="BJ1571" s="558"/>
      <c r="BK1571" s="558"/>
      <c r="BL1571" s="558"/>
      <c r="BM1571" s="558"/>
      <c r="BN1571" s="558"/>
      <c r="BO1571" s="558"/>
      <c r="BP1571" s="558"/>
      <c r="BQ1571" s="558"/>
      <c r="BR1571" s="558"/>
      <c r="BS1571" s="558"/>
      <c r="BT1571" s="558"/>
      <c r="BU1571" s="558"/>
      <c r="BV1571" s="558"/>
      <c r="BW1571" s="558"/>
      <c r="BX1571" s="558"/>
      <c r="BY1571" s="558"/>
    </row>
    <row r="1572" spans="1:77" s="303" customFormat="1" ht="12" customHeight="1">
      <c r="B1572" s="291" t="s">
        <v>291</v>
      </c>
      <c r="C1572" s="301"/>
      <c r="D1572" s="301"/>
      <c r="E1572" s="302" t="s">
        <v>1297</v>
      </c>
      <c r="F1572" s="291" t="s">
        <v>1298</v>
      </c>
      <c r="G1572" s="304" t="s">
        <v>1299</v>
      </c>
      <c r="H1572" s="303" t="s">
        <v>183</v>
      </c>
      <c r="I1572" s="303" t="s">
        <v>888</v>
      </c>
      <c r="J1572" s="305">
        <v>11004.96</v>
      </c>
      <c r="L1572" s="305">
        <v>12.12</v>
      </c>
      <c r="M1572" s="305">
        <v>12.12</v>
      </c>
      <c r="N1572" s="306"/>
      <c r="O1572" s="298">
        <v>0.2</v>
      </c>
      <c r="P1572" s="307"/>
      <c r="Q1572" s="306">
        <v>0</v>
      </c>
      <c r="R1572" s="291" t="s">
        <v>285</v>
      </c>
      <c r="S1572" s="299" t="s">
        <v>275</v>
      </c>
      <c r="T1572" s="299">
        <v>21</v>
      </c>
      <c r="U1572" s="309" t="s">
        <v>164</v>
      </c>
      <c r="V1572" s="447"/>
      <c r="X1572" s="306">
        <v>0</v>
      </c>
      <c r="Y1572" s="297"/>
      <c r="AH1572" s="303">
        <f>X1572</f>
        <v>0</v>
      </c>
      <c r="AI1572" s="311"/>
      <c r="AJ1572" s="468"/>
    </row>
    <row r="1573" spans="1:77" s="303" customFormat="1" ht="12" customHeight="1">
      <c r="B1573" s="291" t="s">
        <v>291</v>
      </c>
      <c r="C1573" s="301"/>
      <c r="D1573" s="301"/>
      <c r="E1573" s="302" t="s">
        <v>1297</v>
      </c>
      <c r="F1573" s="291" t="s">
        <v>1298</v>
      </c>
      <c r="G1573" s="304" t="s">
        <v>1299</v>
      </c>
      <c r="H1573" s="303" t="s">
        <v>27</v>
      </c>
      <c r="I1573" s="303" t="s">
        <v>888</v>
      </c>
      <c r="J1573" s="305">
        <v>12858.3</v>
      </c>
      <c r="L1573" s="305">
        <v>9.42</v>
      </c>
      <c r="M1573" s="305">
        <v>9.42</v>
      </c>
      <c r="N1573" s="306"/>
      <c r="O1573" s="298">
        <v>0.2</v>
      </c>
      <c r="P1573" s="307"/>
      <c r="Q1573" s="306">
        <v>0</v>
      </c>
      <c r="R1573" s="291" t="s">
        <v>285</v>
      </c>
      <c r="S1573" s="299" t="s">
        <v>275</v>
      </c>
      <c r="T1573" s="299">
        <v>21</v>
      </c>
      <c r="U1573" s="309" t="s">
        <v>164</v>
      </c>
      <c r="V1573" s="447"/>
      <c r="X1573" s="306">
        <v>0</v>
      </c>
      <c r="Y1573" s="297"/>
      <c r="AH1573" s="303">
        <f>X1573</f>
        <v>0</v>
      </c>
      <c r="AI1573" s="311"/>
      <c r="AJ1573" s="468"/>
    </row>
    <row r="1574" spans="1:77" s="303" customFormat="1" ht="12" customHeight="1">
      <c r="B1574" s="291" t="s">
        <v>291</v>
      </c>
      <c r="C1574" s="301"/>
      <c r="D1574" s="301"/>
      <c r="E1574" s="302" t="s">
        <v>1297</v>
      </c>
      <c r="F1574" s="291" t="s">
        <v>1298</v>
      </c>
      <c r="G1574" s="304" t="s">
        <v>1299</v>
      </c>
      <c r="H1574" s="303" t="s">
        <v>442</v>
      </c>
      <c r="I1574" s="303" t="s">
        <v>888</v>
      </c>
      <c r="J1574" s="305">
        <v>11116.04</v>
      </c>
      <c r="L1574" s="305">
        <v>13.07</v>
      </c>
      <c r="M1574" s="305">
        <v>13.07</v>
      </c>
      <c r="N1574" s="306"/>
      <c r="O1574" s="298">
        <v>0.2</v>
      </c>
      <c r="P1574" s="307"/>
      <c r="Q1574" s="306">
        <v>423.47</v>
      </c>
      <c r="R1574" s="291" t="s">
        <v>285</v>
      </c>
      <c r="S1574" s="299" t="s">
        <v>275</v>
      </c>
      <c r="T1574" s="299">
        <v>21</v>
      </c>
      <c r="U1574" s="309" t="s">
        <v>164</v>
      </c>
      <c r="V1574" s="447"/>
      <c r="X1574" s="306">
        <v>423.47</v>
      </c>
      <c r="Y1574" s="297"/>
      <c r="AH1574" s="303">
        <f>X1574</f>
        <v>423.47</v>
      </c>
      <c r="AI1574" s="311"/>
      <c r="AJ1574" s="468"/>
    </row>
    <row r="1575" spans="1:77" s="303" customFormat="1" ht="12" customHeight="1">
      <c r="B1575" s="291" t="s">
        <v>291</v>
      </c>
      <c r="C1575" s="301"/>
      <c r="D1575" s="301"/>
      <c r="E1575" s="302" t="s">
        <v>1297</v>
      </c>
      <c r="F1575" s="291" t="s">
        <v>1298</v>
      </c>
      <c r="G1575" s="304" t="s">
        <v>1299</v>
      </c>
      <c r="H1575" s="303" t="s">
        <v>1300</v>
      </c>
      <c r="I1575" s="303" t="s">
        <v>888</v>
      </c>
      <c r="J1575" s="305">
        <v>19059.3</v>
      </c>
      <c r="L1575" s="305">
        <v>10.86</v>
      </c>
      <c r="M1575" s="305">
        <v>10.86</v>
      </c>
      <c r="N1575" s="306"/>
      <c r="O1575" s="298">
        <v>0.2</v>
      </c>
      <c r="P1575" s="307"/>
      <c r="Q1575" s="306">
        <v>3067.47</v>
      </c>
      <c r="R1575" s="291" t="s">
        <v>285</v>
      </c>
      <c r="S1575" s="299" t="s">
        <v>275</v>
      </c>
      <c r="T1575" s="299">
        <v>21</v>
      </c>
      <c r="U1575" s="309" t="s">
        <v>164</v>
      </c>
      <c r="V1575" s="447"/>
      <c r="X1575" s="306">
        <v>3067.47</v>
      </c>
      <c r="Y1575" s="297"/>
      <c r="AH1575" s="303">
        <f>X1575</f>
        <v>3067.47</v>
      </c>
      <c r="AI1575" s="311"/>
      <c r="AJ1575" s="468"/>
    </row>
    <row r="1576" spans="1:77" s="273" customFormat="1" ht="12" customHeight="1">
      <c r="B1576" s="258" t="s">
        <v>291</v>
      </c>
      <c r="C1576" s="271">
        <v>44704</v>
      </c>
      <c r="D1576" s="271">
        <v>44704</v>
      </c>
      <c r="E1576" s="272" t="s">
        <v>1301</v>
      </c>
      <c r="F1576" s="261" t="s">
        <v>650</v>
      </c>
      <c r="G1576" s="276">
        <v>3819</v>
      </c>
      <c r="H1576" s="273" t="s">
        <v>163</v>
      </c>
      <c r="I1576" s="273" t="s">
        <v>33</v>
      </c>
      <c r="J1576" s="277">
        <v>8206.35</v>
      </c>
      <c r="L1576" s="277">
        <v>6.43</v>
      </c>
      <c r="M1576" s="277">
        <v>6.43</v>
      </c>
      <c r="N1576" s="265">
        <v>1641.27</v>
      </c>
      <c r="O1576" s="266">
        <v>0.15</v>
      </c>
      <c r="P1576" s="278"/>
      <c r="Q1576" s="265">
        <v>966.56</v>
      </c>
      <c r="R1576" s="261" t="s">
        <v>112</v>
      </c>
      <c r="S1576" s="267" t="s">
        <v>113</v>
      </c>
      <c r="T1576" s="267">
        <v>64</v>
      </c>
      <c r="U1576" s="274" t="s">
        <v>164</v>
      </c>
      <c r="V1576" s="454"/>
      <c r="X1576" s="265">
        <v>966.56</v>
      </c>
      <c r="Y1576" s="275"/>
      <c r="AG1576" s="273">
        <f>X1576</f>
        <v>966.56</v>
      </c>
      <c r="AI1576" s="261"/>
      <c r="AJ1576" s="642"/>
    </row>
    <row r="1577" spans="1:77" s="660" customFormat="1" ht="12" customHeight="1">
      <c r="B1577" s="661" t="s">
        <v>291</v>
      </c>
      <c r="C1577" s="665">
        <v>44704</v>
      </c>
      <c r="D1577" s="665">
        <v>44704</v>
      </c>
      <c r="E1577" s="666" t="s">
        <v>1302</v>
      </c>
      <c r="F1577" s="647" t="s">
        <v>366</v>
      </c>
      <c r="G1577" s="650">
        <v>3564</v>
      </c>
      <c r="H1577" s="660" t="s">
        <v>1141</v>
      </c>
      <c r="I1577" s="660" t="s">
        <v>33</v>
      </c>
      <c r="J1577" s="668">
        <v>10692</v>
      </c>
      <c r="L1577" s="668">
        <v>16.5</v>
      </c>
      <c r="M1577" s="668">
        <v>16.5</v>
      </c>
      <c r="N1577" s="669"/>
      <c r="O1577" s="653">
        <v>0.15</v>
      </c>
      <c r="P1577" s="670"/>
      <c r="Q1577" s="669">
        <v>0</v>
      </c>
      <c r="R1577" s="647" t="s">
        <v>35</v>
      </c>
      <c r="S1577" s="654" t="s">
        <v>41</v>
      </c>
      <c r="T1577" s="654">
        <v>86</v>
      </c>
      <c r="U1577" s="672" t="s">
        <v>164</v>
      </c>
      <c r="V1577" s="673"/>
      <c r="X1577" s="669">
        <v>0</v>
      </c>
      <c r="Y1577" s="669"/>
      <c r="AI1577" s="647">
        <v>0</v>
      </c>
      <c r="AJ1577" s="657"/>
      <c r="AK1577" s="658"/>
    </row>
    <row r="1578" spans="1:77" s="660" customFormat="1" ht="12" customHeight="1">
      <c r="B1578" s="661" t="s">
        <v>291</v>
      </c>
      <c r="C1578" s="665"/>
      <c r="D1578" s="665"/>
      <c r="E1578" s="666" t="s">
        <v>1302</v>
      </c>
      <c r="F1578" s="647" t="s">
        <v>366</v>
      </c>
      <c r="G1578" s="650">
        <v>3564</v>
      </c>
      <c r="H1578" s="660" t="s">
        <v>814</v>
      </c>
      <c r="I1578" s="660" t="s">
        <v>33</v>
      </c>
      <c r="J1578" s="668">
        <v>18482.099999999999</v>
      </c>
      <c r="L1578" s="668">
        <v>13.54</v>
      </c>
      <c r="M1578" s="668">
        <v>13.54</v>
      </c>
      <c r="N1578" s="669"/>
      <c r="O1578" s="653">
        <v>0.15</v>
      </c>
      <c r="P1578" s="670"/>
      <c r="Q1578" s="669">
        <v>0</v>
      </c>
      <c r="R1578" s="647" t="s">
        <v>35</v>
      </c>
      <c r="S1578" s="654" t="s">
        <v>41</v>
      </c>
      <c r="T1578" s="654">
        <v>86</v>
      </c>
      <c r="U1578" s="672" t="s">
        <v>164</v>
      </c>
      <c r="V1578" s="673"/>
      <c r="X1578" s="669">
        <v>0</v>
      </c>
      <c r="Y1578" s="669"/>
      <c r="AI1578" s="647">
        <v>0</v>
      </c>
      <c r="AJ1578" s="657"/>
      <c r="AK1578" s="658"/>
    </row>
    <row r="1579" spans="1:77" s="660" customFormat="1" ht="12" customHeight="1">
      <c r="B1579" s="661" t="s">
        <v>291</v>
      </c>
      <c r="C1579" s="665">
        <v>44704</v>
      </c>
      <c r="D1579" s="665">
        <v>44704</v>
      </c>
      <c r="E1579" s="666" t="s">
        <v>1303</v>
      </c>
      <c r="F1579" s="647" t="s">
        <v>353</v>
      </c>
      <c r="G1579" s="650">
        <v>3587</v>
      </c>
      <c r="H1579" s="660" t="s">
        <v>1218</v>
      </c>
      <c r="I1579" s="647" t="s">
        <v>33</v>
      </c>
      <c r="J1579" s="651">
        <v>15731.72</v>
      </c>
      <c r="K1579" s="647"/>
      <c r="L1579" s="651">
        <v>14.45</v>
      </c>
      <c r="M1579" s="651">
        <v>14.45</v>
      </c>
      <c r="N1579" s="669"/>
      <c r="O1579" s="653">
        <v>0.15</v>
      </c>
      <c r="P1579" s="670"/>
      <c r="Q1579" s="669">
        <v>0</v>
      </c>
      <c r="R1579" s="647" t="s">
        <v>35</v>
      </c>
      <c r="S1579" s="654" t="s">
        <v>41</v>
      </c>
      <c r="T1579" s="654">
        <v>86</v>
      </c>
      <c r="U1579" s="672" t="s">
        <v>164</v>
      </c>
      <c r="V1579" s="673"/>
      <c r="X1579" s="669">
        <v>0</v>
      </c>
      <c r="Y1579" s="669"/>
      <c r="AI1579" s="647">
        <v>0</v>
      </c>
      <c r="AJ1579" s="657"/>
      <c r="AK1579" s="658"/>
    </row>
    <row r="1580" spans="1:77" s="660" customFormat="1" ht="12" customHeight="1">
      <c r="B1580" s="661" t="s">
        <v>291</v>
      </c>
      <c r="C1580" s="665"/>
      <c r="D1580" s="665"/>
      <c r="E1580" s="666" t="s">
        <v>1303</v>
      </c>
      <c r="F1580" s="647" t="s">
        <v>353</v>
      </c>
      <c r="G1580" s="650">
        <v>3587</v>
      </c>
      <c r="H1580" s="660" t="s">
        <v>765</v>
      </c>
      <c r="I1580" s="647" t="s">
        <v>33</v>
      </c>
      <c r="J1580" s="668">
        <v>19121.13</v>
      </c>
      <c r="L1580" s="668">
        <v>17.649999999999999</v>
      </c>
      <c r="M1580" s="668">
        <v>17.649999999999999</v>
      </c>
      <c r="N1580" s="669"/>
      <c r="O1580" s="653">
        <v>0.15</v>
      </c>
      <c r="P1580" s="670"/>
      <c r="Q1580" s="669">
        <v>0</v>
      </c>
      <c r="R1580" s="647" t="s">
        <v>35</v>
      </c>
      <c r="S1580" s="654" t="s">
        <v>41</v>
      </c>
      <c r="T1580" s="654">
        <v>86</v>
      </c>
      <c r="U1580" s="672" t="s">
        <v>164</v>
      </c>
      <c r="V1580" s="673"/>
      <c r="X1580" s="669">
        <v>0</v>
      </c>
      <c r="Y1580" s="669"/>
      <c r="AI1580" s="647">
        <v>0</v>
      </c>
      <c r="AJ1580" s="657"/>
      <c r="AK1580" s="658"/>
    </row>
    <row r="1581" spans="1:77" s="394" customFormat="1" ht="12" customHeight="1">
      <c r="B1581" s="380" t="s">
        <v>291</v>
      </c>
      <c r="C1581" s="392">
        <v>44701</v>
      </c>
      <c r="D1581" s="392">
        <v>44704</v>
      </c>
      <c r="E1581" s="393" t="s">
        <v>1304</v>
      </c>
      <c r="F1581" s="379" t="s">
        <v>1305</v>
      </c>
      <c r="G1581" s="383">
        <v>4580</v>
      </c>
      <c r="H1581" s="394" t="s">
        <v>765</v>
      </c>
      <c r="I1581" s="394" t="s">
        <v>888</v>
      </c>
      <c r="J1581" s="395">
        <v>35054.9</v>
      </c>
      <c r="L1581" s="395">
        <v>36.21</v>
      </c>
      <c r="M1581" s="395">
        <v>36.21</v>
      </c>
      <c r="N1581" s="396">
        <f>+J1581*20%</f>
        <v>7010.9800000000005</v>
      </c>
      <c r="O1581" s="387">
        <v>0.15</v>
      </c>
      <c r="P1581" s="397"/>
      <c r="Q1581" s="396">
        <v>15344.45</v>
      </c>
      <c r="R1581" s="379" t="s">
        <v>146</v>
      </c>
      <c r="S1581" s="388" t="s">
        <v>113</v>
      </c>
      <c r="T1581" s="388">
        <v>31</v>
      </c>
      <c r="U1581" s="398" t="s">
        <v>164</v>
      </c>
      <c r="V1581" s="449"/>
      <c r="X1581" s="396">
        <v>15344.45</v>
      </c>
      <c r="Y1581" s="396"/>
      <c r="AI1581" s="379"/>
      <c r="AJ1581" s="395">
        <v>15344.45</v>
      </c>
    </row>
    <row r="1582" spans="1:77" s="394" customFormat="1" ht="12" customHeight="1">
      <c r="B1582" s="380" t="s">
        <v>291</v>
      </c>
      <c r="C1582" s="392"/>
      <c r="D1582" s="392"/>
      <c r="E1582" s="393" t="s">
        <v>1304</v>
      </c>
      <c r="F1582" s="379" t="s">
        <v>1305</v>
      </c>
      <c r="G1582" s="383">
        <v>4580</v>
      </c>
      <c r="H1582" s="394" t="s">
        <v>99</v>
      </c>
      <c r="I1582" s="394" t="s">
        <v>888</v>
      </c>
      <c r="J1582" s="395">
        <v>14833.9</v>
      </c>
      <c r="L1582" s="395">
        <v>13.96</v>
      </c>
      <c r="M1582" s="395">
        <v>13.96</v>
      </c>
      <c r="N1582" s="396">
        <f>J1582*30%</f>
        <v>4450.17</v>
      </c>
      <c r="O1582" s="387">
        <v>0.15</v>
      </c>
      <c r="P1582" s="397"/>
      <c r="Q1582" s="396">
        <v>1061.0999999999999</v>
      </c>
      <c r="R1582" s="379" t="s">
        <v>146</v>
      </c>
      <c r="S1582" s="388" t="s">
        <v>113</v>
      </c>
      <c r="T1582" s="388">
        <v>31</v>
      </c>
      <c r="U1582" s="398" t="s">
        <v>164</v>
      </c>
      <c r="V1582" s="449"/>
      <c r="X1582" s="396">
        <v>1061.0999999999999</v>
      </c>
      <c r="Y1582" s="396"/>
      <c r="AI1582" s="379"/>
      <c r="AJ1582" s="395">
        <v>1061.0999999999999</v>
      </c>
    </row>
    <row r="1583" spans="1:77" s="394" customFormat="1" ht="12" customHeight="1">
      <c r="B1583" s="380" t="s">
        <v>291</v>
      </c>
      <c r="C1583" s="392"/>
      <c r="D1583" s="392"/>
      <c r="E1583" s="393" t="s">
        <v>1304</v>
      </c>
      <c r="F1583" s="379" t="s">
        <v>1305</v>
      </c>
      <c r="G1583" s="383">
        <v>4580</v>
      </c>
      <c r="H1583" s="394" t="s">
        <v>814</v>
      </c>
      <c r="I1583" s="394" t="s">
        <v>888</v>
      </c>
      <c r="J1583" s="395">
        <v>42025.2</v>
      </c>
      <c r="L1583" s="395">
        <v>50.03</v>
      </c>
      <c r="M1583" s="395">
        <v>50.03</v>
      </c>
      <c r="N1583" s="396">
        <f>2436+1769</f>
        <v>4205</v>
      </c>
      <c r="O1583" s="387">
        <v>0.15</v>
      </c>
      <c r="P1583" s="397"/>
      <c r="Q1583" s="396">
        <v>35721.42</v>
      </c>
      <c r="R1583" s="379" t="s">
        <v>146</v>
      </c>
      <c r="S1583" s="388" t="s">
        <v>113</v>
      </c>
      <c r="T1583" s="388">
        <v>31</v>
      </c>
      <c r="U1583" s="398" t="s">
        <v>164</v>
      </c>
      <c r="V1583" s="449"/>
      <c r="X1583" s="396">
        <v>35721.42</v>
      </c>
      <c r="Y1583" s="396"/>
      <c r="AI1583" s="379"/>
      <c r="AJ1583" s="395">
        <v>35721.42</v>
      </c>
    </row>
    <row r="1584" spans="1:77" s="394" customFormat="1" ht="12" customHeight="1">
      <c r="B1584" s="380" t="s">
        <v>291</v>
      </c>
      <c r="C1584" s="392"/>
      <c r="D1584" s="392"/>
      <c r="E1584" s="393" t="s">
        <v>1304</v>
      </c>
      <c r="F1584" s="379" t="s">
        <v>1305</v>
      </c>
      <c r="G1584" s="383">
        <v>4580</v>
      </c>
      <c r="H1584" s="394" t="s">
        <v>866</v>
      </c>
      <c r="I1584" s="394" t="s">
        <v>888</v>
      </c>
      <c r="J1584" s="395">
        <v>32869.54</v>
      </c>
      <c r="L1584" s="395">
        <v>28.19</v>
      </c>
      <c r="M1584" s="395">
        <v>28.19</v>
      </c>
      <c r="N1584" s="396">
        <f>3731+4264</f>
        <v>7995</v>
      </c>
      <c r="O1584" s="387">
        <v>0.15</v>
      </c>
      <c r="P1584" s="397"/>
      <c r="Q1584" s="396">
        <v>14788.71</v>
      </c>
      <c r="R1584" s="379" t="s">
        <v>146</v>
      </c>
      <c r="S1584" s="388" t="s">
        <v>113</v>
      </c>
      <c r="T1584" s="388">
        <v>31</v>
      </c>
      <c r="U1584" s="398" t="s">
        <v>164</v>
      </c>
      <c r="V1584" s="449"/>
      <c r="X1584" s="396">
        <v>14788.71</v>
      </c>
      <c r="Y1584" s="396"/>
      <c r="AI1584" s="379"/>
      <c r="AJ1584" s="395">
        <v>14788.71</v>
      </c>
    </row>
    <row r="1585" spans="1:37" s="273" customFormat="1" ht="12" customHeight="1">
      <c r="B1585" s="261" t="s">
        <v>291</v>
      </c>
      <c r="C1585" s="271"/>
      <c r="D1585" s="271"/>
      <c r="E1585" s="272" t="s">
        <v>1306</v>
      </c>
      <c r="F1585" s="261" t="s">
        <v>450</v>
      </c>
      <c r="G1585" s="262" t="s">
        <v>451</v>
      </c>
      <c r="H1585" s="261" t="s">
        <v>99</v>
      </c>
      <c r="I1585" s="273" t="s">
        <v>33</v>
      </c>
      <c r="J1585" s="263">
        <v>33145.550000000003</v>
      </c>
      <c r="K1585" s="261"/>
      <c r="L1585" s="263">
        <v>22.69</v>
      </c>
      <c r="M1585" s="263">
        <v>22.69</v>
      </c>
      <c r="N1585" s="275">
        <v>3314.5551999999998</v>
      </c>
      <c r="O1585" s="266">
        <v>0.25</v>
      </c>
      <c r="P1585" s="278"/>
      <c r="Q1585" s="275">
        <v>0</v>
      </c>
      <c r="R1585" s="261" t="s">
        <v>281</v>
      </c>
      <c r="S1585" s="267" t="s">
        <v>228</v>
      </c>
      <c r="T1585" s="267">
        <v>36</v>
      </c>
      <c r="U1585" s="274" t="s">
        <v>164</v>
      </c>
      <c r="V1585" s="454"/>
      <c r="X1585" s="275">
        <v>0</v>
      </c>
      <c r="Y1585" s="275"/>
      <c r="AG1585" s="273">
        <f>X1585</f>
        <v>0</v>
      </c>
      <c r="AI1585" s="261"/>
      <c r="AJ1585" s="642"/>
    </row>
    <row r="1586" spans="1:37" s="273" customFormat="1" ht="12" customHeight="1">
      <c r="B1586" s="261" t="s">
        <v>291</v>
      </c>
      <c r="C1586" s="271"/>
      <c r="D1586" s="271"/>
      <c r="E1586" s="272" t="s">
        <v>1306</v>
      </c>
      <c r="F1586" s="261" t="s">
        <v>450</v>
      </c>
      <c r="G1586" s="262" t="s">
        <v>451</v>
      </c>
      <c r="H1586" s="261" t="s">
        <v>27</v>
      </c>
      <c r="I1586" s="273" t="s">
        <v>33</v>
      </c>
      <c r="J1586" s="263">
        <v>30473.65</v>
      </c>
      <c r="K1586" s="261"/>
      <c r="L1586" s="263">
        <v>23.33</v>
      </c>
      <c r="M1586" s="263">
        <v>23.33</v>
      </c>
      <c r="N1586" s="275">
        <v>0</v>
      </c>
      <c r="O1586" s="266">
        <v>0.25</v>
      </c>
      <c r="P1586" s="278"/>
      <c r="Q1586" s="275">
        <v>0</v>
      </c>
      <c r="R1586" s="261" t="s">
        <v>281</v>
      </c>
      <c r="S1586" s="267" t="s">
        <v>228</v>
      </c>
      <c r="T1586" s="267">
        <v>36</v>
      </c>
      <c r="U1586" s="274" t="s">
        <v>164</v>
      </c>
      <c r="V1586" s="454"/>
      <c r="X1586" s="275">
        <v>0</v>
      </c>
      <c r="Y1586" s="275"/>
      <c r="AG1586" s="273">
        <f>X1586</f>
        <v>0</v>
      </c>
      <c r="AI1586" s="261"/>
      <c r="AJ1586" s="642"/>
    </row>
    <row r="1587" spans="1:37" s="273" customFormat="1" ht="12" customHeight="1">
      <c r="B1587" s="261" t="s">
        <v>291</v>
      </c>
      <c r="C1587" s="271"/>
      <c r="D1587" s="271"/>
      <c r="E1587" s="272" t="s">
        <v>1306</v>
      </c>
      <c r="F1587" s="261" t="s">
        <v>450</v>
      </c>
      <c r="G1587" s="262" t="s">
        <v>451</v>
      </c>
      <c r="H1587" s="261" t="s">
        <v>183</v>
      </c>
      <c r="I1587" s="273" t="s">
        <v>33</v>
      </c>
      <c r="J1587" s="263">
        <v>28907.42</v>
      </c>
      <c r="K1587" s="261"/>
      <c r="L1587" s="263">
        <v>22.06</v>
      </c>
      <c r="M1587" s="263">
        <v>22.06</v>
      </c>
      <c r="N1587" s="275">
        <v>8094.0787200000004</v>
      </c>
      <c r="O1587" s="266">
        <v>0.25</v>
      </c>
      <c r="P1587" s="278"/>
      <c r="Q1587" s="275">
        <v>0</v>
      </c>
      <c r="R1587" s="261" t="s">
        <v>281</v>
      </c>
      <c r="S1587" s="267" t="s">
        <v>228</v>
      </c>
      <c r="T1587" s="267">
        <v>36</v>
      </c>
      <c r="U1587" s="274" t="s">
        <v>164</v>
      </c>
      <c r="V1587" s="454"/>
      <c r="X1587" s="275">
        <v>0</v>
      </c>
      <c r="Y1587" s="275"/>
      <c r="AG1587" s="273">
        <f>X1587</f>
        <v>0</v>
      </c>
      <c r="AI1587" s="261"/>
      <c r="AJ1587" s="642"/>
    </row>
    <row r="1588" spans="1:37" s="273" customFormat="1" ht="12" customHeight="1">
      <c r="B1588" s="261" t="s">
        <v>291</v>
      </c>
      <c r="C1588" s="271">
        <v>44704</v>
      </c>
      <c r="D1588" s="271">
        <v>44704</v>
      </c>
      <c r="E1588" s="272" t="s">
        <v>1307</v>
      </c>
      <c r="F1588" s="261" t="s">
        <v>120</v>
      </c>
      <c r="G1588" s="262">
        <v>3720</v>
      </c>
      <c r="H1588" s="273" t="s">
        <v>137</v>
      </c>
      <c r="I1588" s="273" t="s">
        <v>961</v>
      </c>
      <c r="J1588" s="277">
        <v>21955.25</v>
      </c>
      <c r="L1588" s="277">
        <v>18.5</v>
      </c>
      <c r="M1588" s="277">
        <v>18.5</v>
      </c>
      <c r="N1588" s="275">
        <v>5933.85</v>
      </c>
      <c r="O1588" s="266">
        <v>0.2</v>
      </c>
      <c r="P1588" s="278"/>
      <c r="Q1588" s="275">
        <v>0</v>
      </c>
      <c r="R1588" s="261" t="s">
        <v>50</v>
      </c>
      <c r="S1588" s="267" t="s">
        <v>51</v>
      </c>
      <c r="T1588" s="267">
        <v>55</v>
      </c>
      <c r="U1588" s="274" t="s">
        <v>164</v>
      </c>
      <c r="V1588" s="454"/>
      <c r="X1588" s="275">
        <v>0</v>
      </c>
      <c r="Y1588" s="275"/>
      <c r="AG1588" s="273">
        <f>X1588</f>
        <v>0</v>
      </c>
      <c r="AI1588" s="261"/>
      <c r="AJ1588" s="642"/>
    </row>
    <row r="1589" spans="1:37" s="303" customFormat="1" ht="12" customHeight="1">
      <c r="B1589" s="310" t="s">
        <v>291</v>
      </c>
      <c r="C1589" s="301"/>
      <c r="D1589" s="301"/>
      <c r="E1589" s="302" t="s">
        <v>1308</v>
      </c>
      <c r="F1589" s="291" t="s">
        <v>146</v>
      </c>
      <c r="G1589" s="294">
        <v>3793</v>
      </c>
      <c r="H1589" s="303" t="s">
        <v>99</v>
      </c>
      <c r="I1589" s="303" t="s">
        <v>33</v>
      </c>
      <c r="J1589" s="305">
        <v>32077.71</v>
      </c>
      <c r="L1589" s="305">
        <v>25.89</v>
      </c>
      <c r="M1589" s="305">
        <v>25.89</v>
      </c>
      <c r="N1589" s="306">
        <v>6415</v>
      </c>
      <c r="O1589" s="298">
        <v>0.2</v>
      </c>
      <c r="P1589" s="307"/>
      <c r="Q1589" s="306">
        <v>0</v>
      </c>
      <c r="R1589" s="291" t="s">
        <v>146</v>
      </c>
      <c r="S1589" s="299" t="s">
        <v>74</v>
      </c>
      <c r="T1589" s="299">
        <v>32</v>
      </c>
      <c r="U1589" s="309" t="s">
        <v>164</v>
      </c>
      <c r="V1589" s="447"/>
      <c r="W1589" s="291" t="s">
        <v>3898</v>
      </c>
      <c r="X1589" s="297">
        <v>0</v>
      </c>
      <c r="Y1589" s="306"/>
      <c r="AH1589" s="303">
        <f t="shared" ref="AH1589:AH1594" si="25">X1589</f>
        <v>0</v>
      </c>
      <c r="AI1589" s="311"/>
      <c r="AJ1589" s="468"/>
    </row>
    <row r="1590" spans="1:37" s="303" customFormat="1" ht="12" customHeight="1">
      <c r="B1590" s="310" t="s">
        <v>291</v>
      </c>
      <c r="C1590" s="301"/>
      <c r="D1590" s="301"/>
      <c r="E1590" s="302" t="s">
        <v>1308</v>
      </c>
      <c r="F1590" s="291" t="s">
        <v>146</v>
      </c>
      <c r="G1590" s="294">
        <v>3793</v>
      </c>
      <c r="H1590" s="303" t="s">
        <v>27</v>
      </c>
      <c r="I1590" s="303" t="s">
        <v>33</v>
      </c>
      <c r="J1590" s="305">
        <v>7877.73</v>
      </c>
      <c r="L1590" s="305">
        <v>8.0500000000000007</v>
      </c>
      <c r="M1590" s="305">
        <v>8.0500000000000007</v>
      </c>
      <c r="N1590" s="306">
        <v>2363</v>
      </c>
      <c r="O1590" s="298">
        <v>0.2</v>
      </c>
      <c r="P1590" s="307"/>
      <c r="Q1590" s="306">
        <v>0</v>
      </c>
      <c r="R1590" s="291" t="s">
        <v>146</v>
      </c>
      <c r="S1590" s="299" t="s">
        <v>74</v>
      </c>
      <c r="T1590" s="299">
        <v>32</v>
      </c>
      <c r="U1590" s="309" t="s">
        <v>164</v>
      </c>
      <c r="V1590" s="447"/>
      <c r="X1590" s="306">
        <v>0</v>
      </c>
      <c r="Y1590" s="297"/>
      <c r="AH1590" s="303">
        <f t="shared" si="25"/>
        <v>0</v>
      </c>
      <c r="AI1590" s="311"/>
      <c r="AJ1590" s="468"/>
    </row>
    <row r="1591" spans="1:37" s="303" customFormat="1" ht="12" customHeight="1">
      <c r="A1591" s="303" t="s">
        <v>3893</v>
      </c>
      <c r="B1591" s="310" t="s">
        <v>291</v>
      </c>
      <c r="C1591" s="301">
        <v>44699</v>
      </c>
      <c r="D1591" s="301">
        <v>44704</v>
      </c>
      <c r="E1591" s="302" t="s">
        <v>1308</v>
      </c>
      <c r="F1591" s="291" t="s">
        <v>146</v>
      </c>
      <c r="G1591" s="294">
        <v>3793</v>
      </c>
      <c r="H1591" s="303" t="s">
        <v>138</v>
      </c>
      <c r="I1591" s="303" t="s">
        <v>33</v>
      </c>
      <c r="J1591" s="305">
        <v>12517.2</v>
      </c>
      <c r="L1591" s="305">
        <v>8.5500000000000007</v>
      </c>
      <c r="M1591" s="305">
        <v>8.5500000000000007</v>
      </c>
      <c r="N1591" s="306">
        <v>3129</v>
      </c>
      <c r="O1591" s="298">
        <v>0.2</v>
      </c>
      <c r="P1591" s="307"/>
      <c r="Q1591" s="306">
        <v>943.92</v>
      </c>
      <c r="R1591" s="291" t="s">
        <v>146</v>
      </c>
      <c r="S1591" s="299" t="s">
        <v>74</v>
      </c>
      <c r="T1591" s="299">
        <v>32</v>
      </c>
      <c r="U1591" s="309" t="s">
        <v>164</v>
      </c>
      <c r="V1591" s="447"/>
      <c r="X1591" s="306">
        <v>943.92</v>
      </c>
      <c r="Y1591" s="306"/>
      <c r="AH1591" s="303">
        <f t="shared" si="25"/>
        <v>943.92</v>
      </c>
      <c r="AI1591" s="311"/>
      <c r="AJ1591" s="468"/>
    </row>
    <row r="1592" spans="1:37" s="303" customFormat="1" ht="12" customHeight="1">
      <c r="A1592" s="303" t="s">
        <v>3893</v>
      </c>
      <c r="B1592" s="310" t="s">
        <v>291</v>
      </c>
      <c r="C1592" s="301"/>
      <c r="D1592" s="301"/>
      <c r="E1592" s="302" t="s">
        <v>1308</v>
      </c>
      <c r="F1592" s="291" t="s">
        <v>146</v>
      </c>
      <c r="G1592" s="294">
        <v>3793</v>
      </c>
      <c r="H1592" s="303" t="s">
        <v>140</v>
      </c>
      <c r="I1592" s="303" t="s">
        <v>33</v>
      </c>
      <c r="J1592" s="305">
        <v>12164.8</v>
      </c>
      <c r="L1592" s="305">
        <v>7.89</v>
      </c>
      <c r="M1592" s="305">
        <v>7.89</v>
      </c>
      <c r="N1592" s="306">
        <v>2432</v>
      </c>
      <c r="O1592" s="298">
        <v>0.2</v>
      </c>
      <c r="P1592" s="307"/>
      <c r="Q1592" s="306">
        <v>0</v>
      </c>
      <c r="R1592" s="291" t="s">
        <v>146</v>
      </c>
      <c r="S1592" s="299" t="s">
        <v>74</v>
      </c>
      <c r="T1592" s="299">
        <v>32</v>
      </c>
      <c r="U1592" s="309" t="s">
        <v>164</v>
      </c>
      <c r="V1592" s="447"/>
      <c r="X1592" s="306">
        <v>0</v>
      </c>
      <c r="Y1592" s="306"/>
      <c r="AH1592" s="303">
        <f t="shared" si="25"/>
        <v>0</v>
      </c>
      <c r="AI1592" s="311"/>
      <c r="AJ1592" s="468"/>
    </row>
    <row r="1593" spans="1:37" s="303" customFormat="1" ht="12" customHeight="1">
      <c r="A1593" s="303" t="s">
        <v>3893</v>
      </c>
      <c r="B1593" s="310" t="s">
        <v>291</v>
      </c>
      <c r="C1593" s="301"/>
      <c r="D1593" s="301"/>
      <c r="E1593" s="302" t="s">
        <v>1308</v>
      </c>
      <c r="F1593" s="291" t="s">
        <v>146</v>
      </c>
      <c r="G1593" s="294">
        <v>3793</v>
      </c>
      <c r="H1593" s="303" t="s">
        <v>183</v>
      </c>
      <c r="I1593" s="303" t="s">
        <v>33</v>
      </c>
      <c r="J1593" s="305">
        <v>7751.24</v>
      </c>
      <c r="L1593" s="305">
        <v>6.58</v>
      </c>
      <c r="M1593" s="305">
        <v>6.58</v>
      </c>
      <c r="N1593" s="306">
        <v>1550</v>
      </c>
      <c r="O1593" s="298">
        <v>0.2</v>
      </c>
      <c r="P1593" s="307"/>
      <c r="Q1593" s="306">
        <v>113.09</v>
      </c>
      <c r="R1593" s="291" t="s">
        <v>146</v>
      </c>
      <c r="S1593" s="299" t="s">
        <v>74</v>
      </c>
      <c r="T1593" s="299">
        <v>32</v>
      </c>
      <c r="U1593" s="309" t="s">
        <v>164</v>
      </c>
      <c r="V1593" s="447">
        <v>113.09</v>
      </c>
      <c r="X1593" s="306">
        <v>113.09</v>
      </c>
      <c r="Y1593" s="306"/>
      <c r="AH1593" s="303">
        <f t="shared" si="25"/>
        <v>113.09</v>
      </c>
      <c r="AI1593" s="311"/>
      <c r="AJ1593" s="468"/>
    </row>
    <row r="1594" spans="1:37" s="303" customFormat="1" ht="12" customHeight="1">
      <c r="A1594" s="303" t="s">
        <v>3893</v>
      </c>
      <c r="B1594" s="310" t="s">
        <v>291</v>
      </c>
      <c r="C1594" s="301"/>
      <c r="D1594" s="301"/>
      <c r="E1594" s="302" t="s">
        <v>1308</v>
      </c>
      <c r="F1594" s="291" t="s">
        <v>146</v>
      </c>
      <c r="G1594" s="294">
        <v>3793</v>
      </c>
      <c r="H1594" s="303" t="s">
        <v>310</v>
      </c>
      <c r="I1594" s="303" t="s">
        <v>33</v>
      </c>
      <c r="J1594" s="305">
        <v>3418.52</v>
      </c>
      <c r="L1594" s="305">
        <v>5.73</v>
      </c>
      <c r="M1594" s="305">
        <v>5.73</v>
      </c>
      <c r="N1594" s="306">
        <v>4055</v>
      </c>
      <c r="O1594" s="298">
        <v>0.2</v>
      </c>
      <c r="P1594" s="307"/>
      <c r="Q1594" s="306">
        <v>938.46</v>
      </c>
      <c r="R1594" s="291" t="s">
        <v>146</v>
      </c>
      <c r="S1594" s="299" t="s">
        <v>74</v>
      </c>
      <c r="T1594" s="299">
        <v>32</v>
      </c>
      <c r="U1594" s="309" t="s">
        <v>164</v>
      </c>
      <c r="V1594" s="447"/>
      <c r="X1594" s="306">
        <v>938.46</v>
      </c>
      <c r="Y1594" s="306"/>
      <c r="AH1594" s="303">
        <f t="shared" si="25"/>
        <v>938.46</v>
      </c>
      <c r="AI1594" s="311"/>
      <c r="AJ1594" s="468"/>
    </row>
    <row r="1595" spans="1:37" s="394" customFormat="1" ht="12" customHeight="1">
      <c r="B1595" s="380" t="s">
        <v>291</v>
      </c>
      <c r="C1595" s="392"/>
      <c r="D1595" s="392"/>
      <c r="E1595" s="393" t="s">
        <v>1308</v>
      </c>
      <c r="F1595" s="379" t="s">
        <v>146</v>
      </c>
      <c r="G1595" s="383">
        <v>3793</v>
      </c>
      <c r="H1595" s="394" t="s">
        <v>814</v>
      </c>
      <c r="I1595" s="394" t="s">
        <v>33</v>
      </c>
      <c r="J1595" s="395">
        <v>13518.46</v>
      </c>
      <c r="L1595" s="395">
        <v>12.01</v>
      </c>
      <c r="M1595" s="395">
        <v>12.01</v>
      </c>
      <c r="N1595" s="396">
        <v>1025</v>
      </c>
      <c r="O1595" s="387">
        <v>0.2</v>
      </c>
      <c r="P1595" s="397"/>
      <c r="Q1595" s="396">
        <v>0</v>
      </c>
      <c r="R1595" s="379" t="s">
        <v>146</v>
      </c>
      <c r="S1595" s="388" t="s">
        <v>74</v>
      </c>
      <c r="T1595" s="388">
        <v>32</v>
      </c>
      <c r="U1595" s="398" t="s">
        <v>164</v>
      </c>
      <c r="V1595" s="449"/>
      <c r="X1595" s="396">
        <v>0</v>
      </c>
      <c r="Y1595" s="396"/>
      <c r="AI1595" s="379"/>
      <c r="AJ1595" s="390">
        <v>0</v>
      </c>
    </row>
    <row r="1596" spans="1:37" s="341" customFormat="1" ht="12" customHeight="1">
      <c r="A1596" s="341" t="s">
        <v>3893</v>
      </c>
      <c r="B1596" s="337" t="s">
        <v>291</v>
      </c>
      <c r="C1596" s="339">
        <v>44704</v>
      </c>
      <c r="D1596" s="339">
        <v>44704</v>
      </c>
      <c r="E1596" s="340" t="s">
        <v>1309</v>
      </c>
      <c r="F1596" s="337" t="s">
        <v>922</v>
      </c>
      <c r="G1596" s="351">
        <v>4545</v>
      </c>
      <c r="H1596" s="337" t="s">
        <v>140</v>
      </c>
      <c r="I1596" s="341" t="s">
        <v>156</v>
      </c>
      <c r="J1596" s="343">
        <v>36185.82</v>
      </c>
      <c r="L1596" s="343">
        <v>22</v>
      </c>
      <c r="M1596" s="343">
        <v>22</v>
      </c>
      <c r="N1596" s="344">
        <v>7237.1639999999998</v>
      </c>
      <c r="O1596" s="355">
        <v>0.3</v>
      </c>
      <c r="P1596" s="345">
        <v>0.1</v>
      </c>
      <c r="Q1596" s="344">
        <v>0</v>
      </c>
      <c r="R1596" s="337" t="s">
        <v>281</v>
      </c>
      <c r="S1596" s="356" t="s">
        <v>397</v>
      </c>
      <c r="T1596" s="356" t="s">
        <v>923</v>
      </c>
      <c r="U1596" s="347" t="s">
        <v>164</v>
      </c>
      <c r="V1596" s="451"/>
      <c r="X1596" s="344">
        <v>0</v>
      </c>
      <c r="Y1596" s="344"/>
      <c r="AI1596" s="337">
        <v>0</v>
      </c>
      <c r="AJ1596" s="358"/>
      <c r="AK1596" s="369"/>
    </row>
    <row r="1597" spans="1:37" s="341" customFormat="1" ht="12" customHeight="1">
      <c r="A1597" s="341" t="s">
        <v>3893</v>
      </c>
      <c r="B1597" s="337" t="s">
        <v>291</v>
      </c>
      <c r="C1597" s="339"/>
      <c r="D1597" s="339"/>
      <c r="E1597" s="340" t="s">
        <v>1309</v>
      </c>
      <c r="F1597" s="337" t="s">
        <v>922</v>
      </c>
      <c r="G1597" s="351">
        <v>4545</v>
      </c>
      <c r="H1597" s="337" t="s">
        <v>99</v>
      </c>
      <c r="I1597" s="341" t="s">
        <v>156</v>
      </c>
      <c r="J1597" s="343">
        <v>28147.84</v>
      </c>
      <c r="L1597" s="343">
        <v>20.6</v>
      </c>
      <c r="M1597" s="343">
        <v>20.6</v>
      </c>
      <c r="N1597" s="344">
        <v>9570.2656000000006</v>
      </c>
      <c r="O1597" s="355">
        <v>0.3</v>
      </c>
      <c r="P1597" s="345">
        <v>0.1</v>
      </c>
      <c r="Q1597" s="344">
        <v>0</v>
      </c>
      <c r="R1597" s="337" t="s">
        <v>281</v>
      </c>
      <c r="S1597" s="356" t="s">
        <v>397</v>
      </c>
      <c r="T1597" s="356" t="s">
        <v>923</v>
      </c>
      <c r="U1597" s="347" t="s">
        <v>164</v>
      </c>
      <c r="V1597" s="451"/>
      <c r="X1597" s="344">
        <v>0</v>
      </c>
      <c r="Y1597" s="344"/>
      <c r="AI1597" s="337">
        <v>0</v>
      </c>
      <c r="AJ1597" s="358"/>
      <c r="AK1597" s="369"/>
    </row>
    <row r="1598" spans="1:37" s="218" customFormat="1" ht="12" customHeight="1">
      <c r="B1598" s="205" t="s">
        <v>291</v>
      </c>
      <c r="C1598" s="225"/>
      <c r="D1598" s="225"/>
      <c r="E1598" s="226" t="s">
        <v>1309</v>
      </c>
      <c r="F1598" s="205" t="s">
        <v>922</v>
      </c>
      <c r="G1598" s="209">
        <v>4545</v>
      </c>
      <c r="H1598" s="205" t="s">
        <v>27</v>
      </c>
      <c r="I1598" s="218" t="s">
        <v>156</v>
      </c>
      <c r="J1598" s="222">
        <v>34056</v>
      </c>
      <c r="L1598" s="222">
        <v>30</v>
      </c>
      <c r="M1598" s="222">
        <v>30</v>
      </c>
      <c r="N1598" s="223"/>
      <c r="O1598" s="212">
        <v>0.3</v>
      </c>
      <c r="P1598" s="224">
        <v>0.1</v>
      </c>
      <c r="Q1598" s="223">
        <v>0</v>
      </c>
      <c r="R1598" s="205" t="s">
        <v>281</v>
      </c>
      <c r="S1598" s="214" t="s">
        <v>397</v>
      </c>
      <c r="T1598" s="214" t="s">
        <v>923</v>
      </c>
      <c r="U1598" s="227" t="s">
        <v>164</v>
      </c>
      <c r="V1598" s="455"/>
      <c r="X1598" s="223">
        <v>0</v>
      </c>
      <c r="Y1598" s="223"/>
      <c r="AF1598" s="230">
        <f>X1598</f>
        <v>0</v>
      </c>
      <c r="AI1598" s="205"/>
      <c r="AJ1598" s="216"/>
    </row>
    <row r="1599" spans="1:37" s="341" customFormat="1" ht="12" customHeight="1">
      <c r="A1599" s="341" t="s">
        <v>3893</v>
      </c>
      <c r="B1599" s="337" t="s">
        <v>291</v>
      </c>
      <c r="C1599" s="339"/>
      <c r="D1599" s="339"/>
      <c r="E1599" s="340" t="s">
        <v>1309</v>
      </c>
      <c r="F1599" s="337" t="s">
        <v>922</v>
      </c>
      <c r="G1599" s="351">
        <v>4545</v>
      </c>
      <c r="H1599" s="337" t="s">
        <v>137</v>
      </c>
      <c r="I1599" s="341" t="s">
        <v>156</v>
      </c>
      <c r="J1599" s="343">
        <v>50195.199999999997</v>
      </c>
      <c r="L1599" s="343">
        <v>32</v>
      </c>
      <c r="M1599" s="343">
        <v>32</v>
      </c>
      <c r="N1599" s="344">
        <v>18572.223999999998</v>
      </c>
      <c r="O1599" s="355">
        <v>0.3</v>
      </c>
      <c r="P1599" s="345">
        <v>0.1</v>
      </c>
      <c r="Q1599" s="344">
        <v>2421.7600000000002</v>
      </c>
      <c r="R1599" s="337" t="s">
        <v>281</v>
      </c>
      <c r="S1599" s="356" t="s">
        <v>397</v>
      </c>
      <c r="T1599" s="356" t="s">
        <v>923</v>
      </c>
      <c r="U1599" s="347" t="s">
        <v>164</v>
      </c>
      <c r="V1599" s="451"/>
      <c r="X1599" s="344">
        <v>2421.7600000000002</v>
      </c>
      <c r="Y1599" s="344"/>
      <c r="AI1599" s="344">
        <v>2421.7600000000002</v>
      </c>
      <c r="AJ1599" s="358"/>
      <c r="AK1599" s="369"/>
    </row>
    <row r="1600" spans="1:37" s="341" customFormat="1" ht="12" customHeight="1">
      <c r="A1600" s="341" t="s">
        <v>3893</v>
      </c>
      <c r="B1600" s="337" t="s">
        <v>291</v>
      </c>
      <c r="C1600" s="339"/>
      <c r="D1600" s="339"/>
      <c r="E1600" s="340" t="s">
        <v>1309</v>
      </c>
      <c r="F1600" s="337" t="s">
        <v>922</v>
      </c>
      <c r="G1600" s="351">
        <v>4545</v>
      </c>
      <c r="H1600" s="337" t="s">
        <v>183</v>
      </c>
      <c r="I1600" s="341" t="s">
        <v>156</v>
      </c>
      <c r="J1600" s="343">
        <v>22542</v>
      </c>
      <c r="L1600" s="343">
        <v>17</v>
      </c>
      <c r="M1600" s="343">
        <v>17</v>
      </c>
      <c r="N1600" s="344">
        <v>7213.44</v>
      </c>
      <c r="O1600" s="355">
        <v>0.3</v>
      </c>
      <c r="P1600" s="345">
        <v>0.1</v>
      </c>
      <c r="Q1600" s="344">
        <v>921.4</v>
      </c>
      <c r="R1600" s="337" t="s">
        <v>281</v>
      </c>
      <c r="S1600" s="356" t="s">
        <v>397</v>
      </c>
      <c r="T1600" s="356" t="s">
        <v>923</v>
      </c>
      <c r="U1600" s="347" t="s">
        <v>164</v>
      </c>
      <c r="V1600" s="451"/>
      <c r="X1600" s="344">
        <v>921.4</v>
      </c>
      <c r="Y1600" s="344"/>
      <c r="AI1600" s="344">
        <v>921.4</v>
      </c>
      <c r="AJ1600" s="358"/>
      <c r="AK1600" s="369"/>
    </row>
    <row r="1601" spans="1:77" s="164" customFormat="1" ht="12" customHeight="1">
      <c r="B1601" s="153" t="s">
        <v>291</v>
      </c>
      <c r="C1601" s="166">
        <v>44704</v>
      </c>
      <c r="D1601" s="166">
        <v>44704</v>
      </c>
      <c r="E1601" s="167" t="s">
        <v>1310</v>
      </c>
      <c r="F1601" s="153" t="s">
        <v>215</v>
      </c>
      <c r="G1601" s="157" t="s">
        <v>216</v>
      </c>
      <c r="H1601" s="164" t="s">
        <v>1018</v>
      </c>
      <c r="I1601" s="164" t="s">
        <v>156</v>
      </c>
      <c r="J1601" s="169">
        <v>22680</v>
      </c>
      <c r="L1601" s="169">
        <v>27</v>
      </c>
      <c r="M1601" s="169">
        <v>13.5</v>
      </c>
      <c r="N1601" s="170"/>
      <c r="O1601" s="160">
        <v>0.2</v>
      </c>
      <c r="P1601" s="171">
        <v>0.1</v>
      </c>
      <c r="Q1601" s="170">
        <v>0</v>
      </c>
      <c r="R1601" s="153" t="s">
        <v>146</v>
      </c>
      <c r="S1601" s="161" t="s">
        <v>74</v>
      </c>
      <c r="T1601" s="161">
        <v>32</v>
      </c>
      <c r="U1601" s="173" t="s">
        <v>164</v>
      </c>
      <c r="V1601" s="452"/>
      <c r="X1601" s="170">
        <v>0</v>
      </c>
      <c r="Y1601" s="170"/>
      <c r="AD1601" s="177">
        <f>X1601</f>
        <v>0</v>
      </c>
      <c r="AI1601" s="153"/>
      <c r="AJ1601" s="644"/>
    </row>
    <row r="1602" spans="1:77" s="164" customFormat="1" ht="12" customHeight="1">
      <c r="B1602" s="153" t="s">
        <v>291</v>
      </c>
      <c r="C1602" s="166"/>
      <c r="D1602" s="166"/>
      <c r="E1602" s="167" t="s">
        <v>1310</v>
      </c>
      <c r="F1602" s="153" t="s">
        <v>215</v>
      </c>
      <c r="G1602" s="157" t="s">
        <v>216</v>
      </c>
      <c r="H1602" s="164" t="s">
        <v>1138</v>
      </c>
      <c r="I1602" s="164" t="s">
        <v>156</v>
      </c>
      <c r="J1602" s="169">
        <v>14400</v>
      </c>
      <c r="L1602" s="169">
        <v>16</v>
      </c>
      <c r="M1602" s="169">
        <v>11.5</v>
      </c>
      <c r="N1602" s="170"/>
      <c r="O1602" s="160">
        <v>0.2</v>
      </c>
      <c r="P1602" s="171">
        <v>0.1</v>
      </c>
      <c r="Q1602" s="170">
        <v>0</v>
      </c>
      <c r="R1602" s="153" t="s">
        <v>146</v>
      </c>
      <c r="S1602" s="161" t="s">
        <v>74</v>
      </c>
      <c r="T1602" s="161">
        <v>32</v>
      </c>
      <c r="U1602" s="173" t="s">
        <v>164</v>
      </c>
      <c r="V1602" s="452"/>
      <c r="X1602" s="170">
        <v>0</v>
      </c>
      <c r="Y1602" s="170"/>
      <c r="AD1602" s="177">
        <f>X1602</f>
        <v>0</v>
      </c>
      <c r="AI1602" s="153"/>
      <c r="AJ1602" s="644"/>
    </row>
    <row r="1603" spans="1:77" s="394" customFormat="1" ht="12" customHeight="1">
      <c r="B1603" s="380" t="s">
        <v>291</v>
      </c>
      <c r="C1603" s="392">
        <v>44703</v>
      </c>
      <c r="D1603" s="392">
        <v>44704</v>
      </c>
      <c r="E1603" s="393" t="s">
        <v>1311</v>
      </c>
      <c r="F1603" s="379" t="s">
        <v>396</v>
      </c>
      <c r="G1603" s="383">
        <v>4224</v>
      </c>
      <c r="H1603" s="379" t="s">
        <v>27</v>
      </c>
      <c r="I1603" s="394" t="s">
        <v>156</v>
      </c>
      <c r="J1603" s="385">
        <v>22602.6</v>
      </c>
      <c r="K1603" s="379"/>
      <c r="L1603" s="385">
        <v>21.65</v>
      </c>
      <c r="M1603" s="385">
        <v>21.65</v>
      </c>
      <c r="N1603" s="386">
        <v>3164.364</v>
      </c>
      <c r="O1603" s="387">
        <v>0.2</v>
      </c>
      <c r="P1603" s="397">
        <v>0.1</v>
      </c>
      <c r="Q1603" s="386">
        <v>0</v>
      </c>
      <c r="R1603" s="379" t="s">
        <v>281</v>
      </c>
      <c r="S1603" s="388" t="s">
        <v>397</v>
      </c>
      <c r="T1603" s="388">
        <v>36</v>
      </c>
      <c r="U1603" s="398" t="s">
        <v>164</v>
      </c>
      <c r="V1603" s="449"/>
      <c r="X1603" s="396">
        <v>0</v>
      </c>
      <c r="Y1603" s="396"/>
      <c r="AI1603" s="379"/>
      <c r="AJ1603" s="390">
        <v>0</v>
      </c>
    </row>
    <row r="1604" spans="1:77" s="394" customFormat="1" ht="12" customHeight="1">
      <c r="B1604" s="380" t="s">
        <v>291</v>
      </c>
      <c r="C1604" s="392"/>
      <c r="D1604" s="392"/>
      <c r="E1604" s="393" t="s">
        <v>1311</v>
      </c>
      <c r="F1604" s="379" t="s">
        <v>396</v>
      </c>
      <c r="G1604" s="383">
        <v>4224</v>
      </c>
      <c r="H1604" s="379" t="s">
        <v>99</v>
      </c>
      <c r="I1604" s="394" t="s">
        <v>156</v>
      </c>
      <c r="J1604" s="385">
        <v>38607.1</v>
      </c>
      <c r="K1604" s="379"/>
      <c r="L1604" s="385">
        <v>38.24</v>
      </c>
      <c r="M1604" s="385">
        <v>38.24</v>
      </c>
      <c r="N1604" s="386">
        <v>9265.7049599999991</v>
      </c>
      <c r="O1604" s="387">
        <v>0.2</v>
      </c>
      <c r="P1604" s="397">
        <v>0.1</v>
      </c>
      <c r="Q1604" s="386">
        <v>2257.69</v>
      </c>
      <c r="R1604" s="379" t="s">
        <v>281</v>
      </c>
      <c r="S1604" s="388" t="s">
        <v>397</v>
      </c>
      <c r="T1604" s="388">
        <v>36</v>
      </c>
      <c r="U1604" s="398" t="s">
        <v>164</v>
      </c>
      <c r="V1604" s="449"/>
      <c r="X1604" s="386">
        <v>2257.69</v>
      </c>
      <c r="Y1604" s="396"/>
      <c r="AI1604" s="379"/>
      <c r="AJ1604" s="416">
        <v>2257.69</v>
      </c>
    </row>
    <row r="1605" spans="1:77" s="394" customFormat="1" ht="12" customHeight="1">
      <c r="B1605" s="380" t="s">
        <v>291</v>
      </c>
      <c r="C1605" s="392"/>
      <c r="D1605" s="392"/>
      <c r="E1605" s="393" t="s">
        <v>1311</v>
      </c>
      <c r="F1605" s="379" t="s">
        <v>396</v>
      </c>
      <c r="G1605" s="383">
        <v>4224</v>
      </c>
      <c r="H1605" s="379" t="s">
        <v>183</v>
      </c>
      <c r="I1605" s="394" t="s">
        <v>156</v>
      </c>
      <c r="J1605" s="385">
        <v>37240.800000000003</v>
      </c>
      <c r="K1605" s="379"/>
      <c r="L1605" s="385">
        <v>42.08</v>
      </c>
      <c r="M1605" s="385">
        <v>42.08</v>
      </c>
      <c r="N1605" s="386">
        <v>20119.59</v>
      </c>
      <c r="O1605" s="387">
        <v>0.2</v>
      </c>
      <c r="P1605" s="397">
        <v>0.1</v>
      </c>
      <c r="Q1605" s="386">
        <v>8899.92</v>
      </c>
      <c r="R1605" s="379" t="s">
        <v>281</v>
      </c>
      <c r="S1605" s="388" t="s">
        <v>397</v>
      </c>
      <c r="T1605" s="388">
        <v>36</v>
      </c>
      <c r="U1605" s="398" t="s">
        <v>164</v>
      </c>
      <c r="V1605" s="449"/>
      <c r="X1605" s="386">
        <v>8899.92</v>
      </c>
      <c r="Y1605" s="396"/>
      <c r="AJ1605" s="416">
        <v>8899.92</v>
      </c>
    </row>
    <row r="1606" spans="1:77" s="394" customFormat="1" ht="12" customHeight="1">
      <c r="B1606" s="380" t="s">
        <v>291</v>
      </c>
      <c r="C1606" s="392"/>
      <c r="D1606" s="392"/>
      <c r="E1606" s="393" t="s">
        <v>1311</v>
      </c>
      <c r="F1606" s="379" t="s">
        <v>396</v>
      </c>
      <c r="G1606" s="383">
        <v>4224</v>
      </c>
      <c r="H1606" s="379" t="s">
        <v>765</v>
      </c>
      <c r="I1606" s="394" t="s">
        <v>156</v>
      </c>
      <c r="J1606" s="385">
        <v>7000.56</v>
      </c>
      <c r="K1606" s="379"/>
      <c r="L1606" s="385">
        <v>9.26</v>
      </c>
      <c r="M1606" s="385">
        <v>9.26</v>
      </c>
      <c r="N1606" s="386">
        <v>0</v>
      </c>
      <c r="O1606" s="387">
        <v>0.2</v>
      </c>
      <c r="P1606" s="397">
        <v>0.1</v>
      </c>
      <c r="Q1606" s="386">
        <v>0</v>
      </c>
      <c r="R1606" s="379" t="s">
        <v>281</v>
      </c>
      <c r="S1606" s="388" t="s">
        <v>397</v>
      </c>
      <c r="T1606" s="388">
        <v>36</v>
      </c>
      <c r="U1606" s="398" t="s">
        <v>164</v>
      </c>
      <c r="V1606" s="449"/>
      <c r="X1606" s="396">
        <v>0</v>
      </c>
      <c r="Y1606" s="396"/>
      <c r="AJ1606" s="390">
        <v>0</v>
      </c>
    </row>
    <row r="1607" spans="1:77" s="341" customFormat="1" ht="12" customHeight="1">
      <c r="B1607" s="337" t="s">
        <v>291</v>
      </c>
      <c r="C1607" s="339">
        <v>44704</v>
      </c>
      <c r="D1607" s="339">
        <v>44704</v>
      </c>
      <c r="E1607" s="340" t="s">
        <v>1312</v>
      </c>
      <c r="F1607" s="337" t="s">
        <v>265</v>
      </c>
      <c r="G1607" s="342">
        <v>4601</v>
      </c>
      <c r="H1607" s="341" t="s">
        <v>1313</v>
      </c>
      <c r="I1607" s="341" t="s">
        <v>156</v>
      </c>
      <c r="J1607" s="343">
        <v>34020</v>
      </c>
      <c r="L1607" s="343">
        <v>63</v>
      </c>
      <c r="M1607" s="343">
        <v>63</v>
      </c>
      <c r="N1607" s="344"/>
      <c r="O1607" s="355">
        <v>0.2</v>
      </c>
      <c r="P1607" s="345">
        <v>0.1</v>
      </c>
      <c r="Q1607" s="344">
        <v>0</v>
      </c>
      <c r="R1607" s="337" t="s">
        <v>69</v>
      </c>
      <c r="S1607" s="356" t="s">
        <v>41</v>
      </c>
      <c r="T1607" s="356">
        <v>86</v>
      </c>
      <c r="U1607" s="347" t="s">
        <v>164</v>
      </c>
      <c r="V1607" s="451"/>
      <c r="W1607" s="341" t="s">
        <v>3933</v>
      </c>
      <c r="X1607" s="344">
        <v>0</v>
      </c>
      <c r="Y1607" s="344"/>
      <c r="AI1607" s="341">
        <f>X1607</f>
        <v>0</v>
      </c>
      <c r="AJ1607" s="358"/>
      <c r="AK1607" s="369"/>
      <c r="AL1607" s="337"/>
      <c r="AM1607" s="337"/>
      <c r="AN1607" s="337"/>
      <c r="AO1607" s="337"/>
      <c r="AP1607" s="337"/>
      <c r="AQ1607" s="337"/>
      <c r="AR1607" s="337"/>
      <c r="AS1607" s="337"/>
      <c r="AT1607" s="337"/>
      <c r="AU1607" s="337"/>
      <c r="AV1607" s="337"/>
      <c r="AW1607" s="337"/>
      <c r="AX1607" s="337"/>
      <c r="AY1607" s="337"/>
      <c r="AZ1607" s="337"/>
      <c r="BA1607" s="337"/>
      <c r="BB1607" s="337"/>
      <c r="BC1607" s="337"/>
      <c r="BD1607" s="337"/>
      <c r="BE1607" s="337"/>
      <c r="BF1607" s="337"/>
      <c r="BG1607" s="337"/>
      <c r="BH1607" s="337"/>
      <c r="BI1607" s="337"/>
      <c r="BJ1607" s="337"/>
      <c r="BK1607" s="337"/>
      <c r="BL1607" s="337"/>
      <c r="BM1607" s="337"/>
      <c r="BN1607" s="337"/>
      <c r="BO1607" s="337"/>
      <c r="BP1607" s="337"/>
      <c r="BQ1607" s="337"/>
      <c r="BR1607" s="337"/>
      <c r="BS1607" s="337"/>
      <c r="BT1607" s="337"/>
      <c r="BU1607" s="337"/>
      <c r="BV1607" s="337"/>
      <c r="BW1607" s="337"/>
      <c r="BX1607" s="337"/>
      <c r="BY1607" s="337"/>
    </row>
    <row r="1608" spans="1:77" s="558" customFormat="1" ht="12" customHeight="1">
      <c r="B1608" s="546" t="s">
        <v>291</v>
      </c>
      <c r="C1608" s="560">
        <v>44701</v>
      </c>
      <c r="D1608" s="560">
        <v>44704</v>
      </c>
      <c r="E1608" s="561" t="s">
        <v>1314</v>
      </c>
      <c r="F1608" s="546" t="s">
        <v>1315</v>
      </c>
      <c r="G1608" s="562">
        <v>3704</v>
      </c>
      <c r="H1608" s="558" t="s">
        <v>27</v>
      </c>
      <c r="I1608" s="558" t="s">
        <v>156</v>
      </c>
      <c r="J1608" s="563">
        <v>58296</v>
      </c>
      <c r="L1608" s="563">
        <v>42</v>
      </c>
      <c r="M1608" s="563">
        <v>8.08</v>
      </c>
      <c r="N1608" s="564">
        <f>6729.02</f>
        <v>6729.02</v>
      </c>
      <c r="O1608" s="553">
        <v>0.25</v>
      </c>
      <c r="P1608" s="566">
        <v>0.1</v>
      </c>
      <c r="Q1608" s="564">
        <v>3500.26</v>
      </c>
      <c r="R1608" s="546" t="s">
        <v>54</v>
      </c>
      <c r="S1608" s="554" t="s">
        <v>51</v>
      </c>
      <c r="T1608" s="554">
        <v>55</v>
      </c>
      <c r="U1608" s="568" t="s">
        <v>164</v>
      </c>
      <c r="V1608" s="569"/>
      <c r="X1608" s="564">
        <v>3500.26</v>
      </c>
      <c r="Y1608" s="564"/>
      <c r="AJ1608" s="557"/>
      <c r="AM1608" s="564">
        <v>3500.26</v>
      </c>
    </row>
    <row r="1609" spans="1:77" s="184" customFormat="1" ht="12" customHeight="1">
      <c r="A1609" s="558"/>
      <c r="B1609" s="546" t="s">
        <v>291</v>
      </c>
      <c r="C1609" s="560"/>
      <c r="D1609" s="560"/>
      <c r="E1609" s="561" t="s">
        <v>1314</v>
      </c>
      <c r="F1609" s="546" t="s">
        <v>1315</v>
      </c>
      <c r="G1609" s="562">
        <v>3704</v>
      </c>
      <c r="H1609" s="558" t="s">
        <v>137</v>
      </c>
      <c r="I1609" s="558" t="s">
        <v>156</v>
      </c>
      <c r="J1609" s="563">
        <v>15030.4</v>
      </c>
      <c r="K1609" s="558"/>
      <c r="L1609" s="563">
        <v>15.4</v>
      </c>
      <c r="M1609" s="563">
        <v>13</v>
      </c>
      <c r="N1609" s="564">
        <v>8881.6</v>
      </c>
      <c r="O1609" s="553">
        <v>0.25</v>
      </c>
      <c r="P1609" s="566">
        <v>0.1</v>
      </c>
      <c r="Q1609" s="564">
        <v>4347.2</v>
      </c>
      <c r="R1609" s="546" t="s">
        <v>54</v>
      </c>
      <c r="S1609" s="554" t="s">
        <v>51</v>
      </c>
      <c r="T1609" s="554">
        <v>55</v>
      </c>
      <c r="U1609" s="568" t="s">
        <v>164</v>
      </c>
      <c r="V1609" s="569"/>
      <c r="W1609" s="558"/>
      <c r="X1609" s="564">
        <v>4347.2</v>
      </c>
      <c r="Y1609" s="564"/>
      <c r="Z1609" s="558"/>
      <c r="AA1609" s="558"/>
      <c r="AB1609" s="558"/>
      <c r="AC1609" s="558"/>
      <c r="AD1609" s="558"/>
      <c r="AE1609" s="558"/>
      <c r="AF1609" s="558"/>
      <c r="AG1609" s="558"/>
      <c r="AH1609" s="558"/>
      <c r="AI1609" s="558"/>
      <c r="AJ1609" s="557"/>
      <c r="AK1609" s="558"/>
      <c r="AL1609" s="558"/>
      <c r="AM1609" s="564">
        <v>4347.2</v>
      </c>
      <c r="AN1609" s="558"/>
      <c r="AO1609" s="558"/>
      <c r="AP1609" s="558"/>
      <c r="AQ1609" s="558"/>
      <c r="AR1609" s="558"/>
      <c r="AS1609" s="558"/>
      <c r="AT1609" s="558"/>
      <c r="AU1609" s="558"/>
      <c r="AV1609" s="558"/>
      <c r="AW1609" s="558"/>
      <c r="AX1609" s="558"/>
      <c r="AY1609" s="558"/>
      <c r="AZ1609" s="558"/>
      <c r="BA1609" s="558"/>
      <c r="BB1609" s="558"/>
      <c r="BC1609" s="558"/>
      <c r="BD1609" s="558"/>
      <c r="BE1609" s="558"/>
      <c r="BF1609" s="558"/>
      <c r="BG1609" s="558"/>
      <c r="BH1609" s="558"/>
      <c r="BI1609" s="558"/>
      <c r="BJ1609" s="558"/>
      <c r="BK1609" s="558"/>
      <c r="BL1609" s="558"/>
      <c r="BM1609" s="558"/>
      <c r="BN1609" s="558"/>
      <c r="BO1609" s="558"/>
      <c r="BP1609" s="558"/>
      <c r="BQ1609" s="558"/>
      <c r="BR1609" s="558"/>
      <c r="BS1609" s="558"/>
      <c r="BT1609" s="558"/>
      <c r="BU1609" s="558"/>
      <c r="BV1609" s="558"/>
      <c r="BW1609" s="558"/>
      <c r="BX1609" s="558"/>
      <c r="BY1609" s="558"/>
    </row>
    <row r="1610" spans="1:77" s="558" customFormat="1" ht="12" customHeight="1">
      <c r="B1610" s="546" t="s">
        <v>291</v>
      </c>
      <c r="C1610" s="560"/>
      <c r="D1610" s="560"/>
      <c r="E1610" s="561" t="s">
        <v>1314</v>
      </c>
      <c r="F1610" s="546" t="s">
        <v>1315</v>
      </c>
      <c r="G1610" s="562">
        <v>3704</v>
      </c>
      <c r="H1610" s="558" t="s">
        <v>898</v>
      </c>
      <c r="I1610" s="558" t="s">
        <v>156</v>
      </c>
      <c r="J1610" s="563">
        <v>41490</v>
      </c>
      <c r="L1610" s="563">
        <v>30</v>
      </c>
      <c r="M1610" s="563">
        <v>30</v>
      </c>
      <c r="N1610" s="564">
        <v>10707.87</v>
      </c>
      <c r="O1610" s="553">
        <v>0.25</v>
      </c>
      <c r="P1610" s="566">
        <v>0.1</v>
      </c>
      <c r="Q1610" s="564">
        <v>0</v>
      </c>
      <c r="R1610" s="546" t="s">
        <v>54</v>
      </c>
      <c r="S1610" s="554" t="s">
        <v>51</v>
      </c>
      <c r="T1610" s="554">
        <v>55</v>
      </c>
      <c r="U1610" s="568" t="s">
        <v>164</v>
      </c>
      <c r="V1610" s="569"/>
      <c r="X1610" s="564">
        <v>0</v>
      </c>
      <c r="Y1610" s="564"/>
      <c r="AJ1610" s="557"/>
      <c r="AM1610" s="558">
        <v>0</v>
      </c>
    </row>
    <row r="1611" spans="1:77" s="184" customFormat="1" ht="12" customHeight="1">
      <c r="B1611" s="181" t="s">
        <v>291</v>
      </c>
      <c r="C1611" s="192"/>
      <c r="D1611" s="192"/>
      <c r="E1611" s="193" t="s">
        <v>1314</v>
      </c>
      <c r="F1611" s="181" t="s">
        <v>1315</v>
      </c>
      <c r="G1611" s="194">
        <v>3704</v>
      </c>
      <c r="H1611" s="184" t="s">
        <v>99</v>
      </c>
      <c r="I1611" s="184" t="s">
        <v>156</v>
      </c>
      <c r="J1611" s="195">
        <v>84684.800000000003</v>
      </c>
      <c r="L1611" s="195">
        <v>64</v>
      </c>
      <c r="M1611" s="195">
        <v>29.87</v>
      </c>
      <c r="N1611" s="196">
        <v>2765.75</v>
      </c>
      <c r="O1611" s="186">
        <v>0.25</v>
      </c>
      <c r="P1611" s="197">
        <v>0.1</v>
      </c>
      <c r="Q1611" s="196">
        <v>0</v>
      </c>
      <c r="R1611" s="181" t="s">
        <v>54</v>
      </c>
      <c r="S1611" s="187" t="s">
        <v>51</v>
      </c>
      <c r="T1611" s="187">
        <v>55</v>
      </c>
      <c r="U1611" s="198" t="s">
        <v>164</v>
      </c>
      <c r="V1611" s="450"/>
      <c r="X1611" s="196">
        <v>0</v>
      </c>
      <c r="Y1611" s="196"/>
      <c r="AE1611" s="235">
        <f>X1611</f>
        <v>0</v>
      </c>
      <c r="AJ1611" s="189"/>
    </row>
    <row r="1612" spans="1:77" s="341" customFormat="1" ht="12" customHeight="1">
      <c r="B1612" s="337" t="s">
        <v>291</v>
      </c>
      <c r="C1612" s="339"/>
      <c r="D1612" s="339"/>
      <c r="E1612" s="340" t="s">
        <v>1316</v>
      </c>
      <c r="F1612" s="337" t="s">
        <v>373</v>
      </c>
      <c r="G1612" s="351" t="s">
        <v>374</v>
      </c>
      <c r="H1612" s="341" t="s">
        <v>765</v>
      </c>
      <c r="I1612" s="341" t="s">
        <v>961</v>
      </c>
      <c r="J1612" s="343">
        <v>45687.18</v>
      </c>
      <c r="L1612" s="343">
        <v>71.62</v>
      </c>
      <c r="M1612" s="343">
        <v>71.62</v>
      </c>
      <c r="N1612" s="344"/>
      <c r="O1612" s="355">
        <v>0.25</v>
      </c>
      <c r="P1612" s="345"/>
      <c r="Q1612" s="344">
        <v>0</v>
      </c>
      <c r="R1612" s="337" t="s">
        <v>73</v>
      </c>
      <c r="S1612" s="356" t="s">
        <v>113</v>
      </c>
      <c r="T1612" s="356">
        <v>81</v>
      </c>
      <c r="U1612" s="347" t="s">
        <v>164</v>
      </c>
      <c r="V1612" s="451"/>
      <c r="X1612" s="344">
        <v>0</v>
      </c>
      <c r="Y1612" s="344"/>
      <c r="AI1612" s="341">
        <v>0</v>
      </c>
      <c r="AJ1612" s="358"/>
      <c r="AK1612" s="369"/>
      <c r="AL1612" s="337"/>
      <c r="AM1612" s="337"/>
      <c r="AN1612" s="337"/>
      <c r="AO1612" s="337"/>
      <c r="AP1612" s="337"/>
      <c r="AQ1612" s="337"/>
      <c r="AR1612" s="337"/>
      <c r="AS1612" s="337"/>
      <c r="AT1612" s="337"/>
      <c r="AU1612" s="337"/>
      <c r="AV1612" s="337"/>
      <c r="AW1612" s="337"/>
      <c r="AX1612" s="337"/>
      <c r="AY1612" s="337"/>
      <c r="AZ1612" s="337"/>
      <c r="BA1612" s="337"/>
      <c r="BB1612" s="337"/>
      <c r="BC1612" s="337"/>
      <c r="BD1612" s="337"/>
      <c r="BE1612" s="337"/>
      <c r="BF1612" s="337"/>
      <c r="BG1612" s="337"/>
      <c r="BH1612" s="337"/>
      <c r="BI1612" s="337"/>
      <c r="BJ1612" s="337"/>
      <c r="BK1612" s="337"/>
      <c r="BL1612" s="337"/>
      <c r="BM1612" s="337"/>
      <c r="BN1612" s="337"/>
      <c r="BO1612" s="337"/>
      <c r="BP1612" s="337"/>
      <c r="BQ1612" s="337"/>
      <c r="BR1612" s="337"/>
      <c r="BS1612" s="337"/>
      <c r="BT1612" s="337"/>
      <c r="BU1612" s="337"/>
      <c r="BV1612" s="337"/>
      <c r="BW1612" s="337"/>
      <c r="BX1612" s="337"/>
      <c r="BY1612" s="337"/>
    </row>
    <row r="1613" spans="1:77" s="218" customFormat="1" ht="12" customHeight="1">
      <c r="B1613" s="205" t="s">
        <v>291</v>
      </c>
      <c r="C1613" s="225">
        <v>44703</v>
      </c>
      <c r="D1613" s="225">
        <v>44704</v>
      </c>
      <c r="E1613" s="226" t="s">
        <v>1316</v>
      </c>
      <c r="F1613" s="205" t="s">
        <v>373</v>
      </c>
      <c r="G1613" s="209" t="s">
        <v>374</v>
      </c>
      <c r="H1613" s="218" t="s">
        <v>99</v>
      </c>
      <c r="I1613" s="218" t="s">
        <v>961</v>
      </c>
      <c r="J1613" s="222">
        <v>98854.07</v>
      </c>
      <c r="L1613" s="222">
        <v>82.98</v>
      </c>
      <c r="M1613" s="222">
        <v>82.98</v>
      </c>
      <c r="N1613" s="223"/>
      <c r="O1613" s="212">
        <v>0.25</v>
      </c>
      <c r="P1613" s="224"/>
      <c r="Q1613" s="223">
        <v>0</v>
      </c>
      <c r="R1613" s="205" t="s">
        <v>73</v>
      </c>
      <c r="S1613" s="214" t="s">
        <v>113</v>
      </c>
      <c r="T1613" s="214">
        <v>81</v>
      </c>
      <c r="U1613" s="227" t="s">
        <v>164</v>
      </c>
      <c r="V1613" s="455"/>
      <c r="X1613" s="223">
        <v>0</v>
      </c>
      <c r="Y1613" s="223"/>
      <c r="AF1613" s="230">
        <f>X1613</f>
        <v>0</v>
      </c>
      <c r="AJ1613" s="216"/>
    </row>
    <row r="1614" spans="1:77" s="218" customFormat="1" ht="12" customHeight="1">
      <c r="B1614" s="205" t="s">
        <v>291</v>
      </c>
      <c r="C1614" s="225"/>
      <c r="D1614" s="225"/>
      <c r="E1614" s="226" t="s">
        <v>1316</v>
      </c>
      <c r="F1614" s="205" t="s">
        <v>373</v>
      </c>
      <c r="G1614" s="209" t="s">
        <v>374</v>
      </c>
      <c r="H1614" s="218" t="s">
        <v>183</v>
      </c>
      <c r="I1614" s="218" t="s">
        <v>961</v>
      </c>
      <c r="J1614" s="222">
        <v>46919.25</v>
      </c>
      <c r="L1614" s="222">
        <v>49.65</v>
      </c>
      <c r="M1614" s="222">
        <v>49.65</v>
      </c>
      <c r="N1614" s="223"/>
      <c r="O1614" s="212">
        <v>0.25</v>
      </c>
      <c r="P1614" s="224"/>
      <c r="Q1614" s="223">
        <v>0</v>
      </c>
      <c r="R1614" s="205" t="s">
        <v>73</v>
      </c>
      <c r="S1614" s="214" t="s">
        <v>113</v>
      </c>
      <c r="T1614" s="214">
        <v>81</v>
      </c>
      <c r="U1614" s="227" t="s">
        <v>164</v>
      </c>
      <c r="V1614" s="455"/>
      <c r="X1614" s="223">
        <v>0</v>
      </c>
      <c r="Y1614" s="223"/>
      <c r="AF1614" s="230">
        <f>X1614</f>
        <v>0</v>
      </c>
      <c r="AJ1614" s="216"/>
    </row>
    <row r="1615" spans="1:77" s="218" customFormat="1" ht="12" customHeight="1">
      <c r="B1615" s="205" t="s">
        <v>291</v>
      </c>
      <c r="C1615" s="225">
        <v>44704</v>
      </c>
      <c r="D1615" s="225">
        <v>44704</v>
      </c>
      <c r="E1615" s="226" t="s">
        <v>1317</v>
      </c>
      <c r="F1615" s="205" t="s">
        <v>1318</v>
      </c>
      <c r="G1615" s="220" t="s">
        <v>1319</v>
      </c>
      <c r="H1615" s="218" t="s">
        <v>138</v>
      </c>
      <c r="I1615" s="218" t="s">
        <v>33</v>
      </c>
      <c r="J1615" s="222">
        <v>18375.66</v>
      </c>
      <c r="L1615" s="222">
        <v>17.91</v>
      </c>
      <c r="M1615" s="222">
        <v>17.91</v>
      </c>
      <c r="N1615" s="223"/>
      <c r="O1615" s="212">
        <v>0.25</v>
      </c>
      <c r="P1615" s="224"/>
      <c r="Q1615" s="223">
        <v>0</v>
      </c>
      <c r="R1615" s="205" t="s">
        <v>146</v>
      </c>
      <c r="S1615" s="214" t="s">
        <v>74</v>
      </c>
      <c r="T1615" s="214">
        <v>32</v>
      </c>
      <c r="U1615" s="227" t="s">
        <v>164</v>
      </c>
      <c r="V1615" s="455"/>
      <c r="X1615" s="223">
        <v>0</v>
      </c>
      <c r="Y1615" s="223"/>
      <c r="AF1615" s="230">
        <f>X1615</f>
        <v>0</v>
      </c>
      <c r="AJ1615" s="216"/>
    </row>
    <row r="1616" spans="1:77" s="218" customFormat="1" ht="12" customHeight="1">
      <c r="B1616" s="205" t="s">
        <v>291</v>
      </c>
      <c r="C1616" s="225"/>
      <c r="D1616" s="225"/>
      <c r="E1616" s="226" t="s">
        <v>1317</v>
      </c>
      <c r="F1616" s="205" t="s">
        <v>1318</v>
      </c>
      <c r="G1616" s="220" t="s">
        <v>1319</v>
      </c>
      <c r="H1616" s="218" t="s">
        <v>99</v>
      </c>
      <c r="I1616" s="218" t="s">
        <v>33</v>
      </c>
      <c r="J1616" s="222">
        <v>14525.08</v>
      </c>
      <c r="L1616" s="222">
        <v>15.73</v>
      </c>
      <c r="M1616" s="222">
        <v>15.73</v>
      </c>
      <c r="N1616" s="223"/>
      <c r="O1616" s="212">
        <v>0.25</v>
      </c>
      <c r="P1616" s="224"/>
      <c r="Q1616" s="223">
        <v>0</v>
      </c>
      <c r="R1616" s="205" t="s">
        <v>146</v>
      </c>
      <c r="S1616" s="214" t="s">
        <v>74</v>
      </c>
      <c r="T1616" s="214">
        <v>32</v>
      </c>
      <c r="U1616" s="227" t="s">
        <v>164</v>
      </c>
      <c r="V1616" s="455"/>
      <c r="X1616" s="223">
        <v>0</v>
      </c>
      <c r="Y1616" s="223"/>
      <c r="AF1616" s="230">
        <f>X1616</f>
        <v>0</v>
      </c>
      <c r="AJ1616" s="216"/>
    </row>
    <row r="1617" spans="2:77" s="341" customFormat="1" ht="12" customHeight="1">
      <c r="B1617" s="338" t="s">
        <v>291</v>
      </c>
      <c r="C1617" s="339">
        <v>44703</v>
      </c>
      <c r="D1617" s="339">
        <v>44704</v>
      </c>
      <c r="E1617" s="340" t="s">
        <v>1320</v>
      </c>
      <c r="F1617" s="337" t="s">
        <v>44</v>
      </c>
      <c r="G1617" s="342">
        <v>3991</v>
      </c>
      <c r="H1617" s="337" t="s">
        <v>99</v>
      </c>
      <c r="I1617" s="341" t="s">
        <v>888</v>
      </c>
      <c r="J1617" s="343">
        <v>91377.31</v>
      </c>
      <c r="L1617" s="343">
        <v>61.36</v>
      </c>
      <c r="M1617" s="343">
        <v>61.36</v>
      </c>
      <c r="N1617" s="344"/>
      <c r="O1617" s="355">
        <v>0.3</v>
      </c>
      <c r="P1617" s="345"/>
      <c r="Q1617" s="344">
        <v>0</v>
      </c>
      <c r="R1617" s="337" t="s">
        <v>35</v>
      </c>
      <c r="S1617" s="356" t="s">
        <v>41</v>
      </c>
      <c r="T1617" s="356">
        <v>79</v>
      </c>
      <c r="U1617" s="347" t="s">
        <v>164</v>
      </c>
      <c r="V1617" s="451"/>
      <c r="X1617" s="344">
        <v>0</v>
      </c>
      <c r="Y1617" s="344"/>
      <c r="AI1617" s="341">
        <f>X1617</f>
        <v>0</v>
      </c>
      <c r="AJ1617" s="358"/>
      <c r="AK1617" s="369"/>
      <c r="AL1617" s="337"/>
      <c r="AM1617" s="337"/>
      <c r="AN1617" s="337"/>
      <c r="AO1617" s="337"/>
      <c r="AP1617" s="337"/>
      <c r="AQ1617" s="337"/>
      <c r="AR1617" s="337"/>
      <c r="AS1617" s="337"/>
      <c r="AT1617" s="337"/>
      <c r="AU1617" s="337"/>
      <c r="AV1617" s="337"/>
      <c r="AW1617" s="337"/>
      <c r="AX1617" s="337"/>
      <c r="AY1617" s="337"/>
      <c r="AZ1617" s="337"/>
      <c r="BA1617" s="337"/>
      <c r="BB1617" s="337"/>
      <c r="BC1617" s="337"/>
      <c r="BD1617" s="337"/>
      <c r="BE1617" s="337"/>
      <c r="BF1617" s="337"/>
      <c r="BG1617" s="337"/>
      <c r="BH1617" s="337"/>
      <c r="BI1617" s="337"/>
      <c r="BJ1617" s="337"/>
      <c r="BK1617" s="337"/>
      <c r="BL1617" s="337"/>
      <c r="BM1617" s="337"/>
      <c r="BN1617" s="337"/>
      <c r="BO1617" s="337"/>
      <c r="BP1617" s="337"/>
      <c r="BQ1617" s="337"/>
      <c r="BR1617" s="337"/>
      <c r="BS1617" s="337"/>
      <c r="BT1617" s="337"/>
      <c r="BU1617" s="337"/>
      <c r="BV1617" s="337"/>
      <c r="BW1617" s="337"/>
      <c r="BX1617" s="337"/>
      <c r="BY1617" s="337"/>
    </row>
    <row r="1618" spans="2:77" s="394" customFormat="1" ht="12" customHeight="1">
      <c r="B1618" s="380" t="s">
        <v>291</v>
      </c>
      <c r="C1618" s="392"/>
      <c r="D1618" s="392"/>
      <c r="E1618" s="393" t="s">
        <v>1320</v>
      </c>
      <c r="F1618" s="379" t="s">
        <v>44</v>
      </c>
      <c r="G1618" s="400">
        <v>3991</v>
      </c>
      <c r="H1618" s="379" t="s">
        <v>27</v>
      </c>
      <c r="I1618" s="394" t="s">
        <v>888</v>
      </c>
      <c r="J1618" s="395">
        <v>59370.05</v>
      </c>
      <c r="L1618" s="395">
        <v>33.71</v>
      </c>
      <c r="M1618" s="395">
        <v>33.71</v>
      </c>
      <c r="N1618" s="396"/>
      <c r="O1618" s="387">
        <v>0.3</v>
      </c>
      <c r="P1618" s="397"/>
      <c r="Q1618" s="396">
        <v>0</v>
      </c>
      <c r="R1618" s="379" t="s">
        <v>35</v>
      </c>
      <c r="S1618" s="388" t="s">
        <v>41</v>
      </c>
      <c r="T1618" s="388">
        <v>79</v>
      </c>
      <c r="U1618" s="398" t="s">
        <v>164</v>
      </c>
      <c r="V1618" s="449"/>
      <c r="W1618" s="394" t="s">
        <v>3951</v>
      </c>
      <c r="X1618" s="396">
        <v>0</v>
      </c>
      <c r="Y1618" s="396"/>
      <c r="AI1618" s="399"/>
      <c r="AJ1618" s="390">
        <v>0</v>
      </c>
      <c r="AK1618" s="391"/>
      <c r="AL1618" s="379"/>
      <c r="AM1618" s="379"/>
      <c r="AN1618" s="379"/>
      <c r="AO1618" s="379"/>
      <c r="AP1618" s="379"/>
      <c r="AQ1618" s="379"/>
      <c r="AR1618" s="379"/>
      <c r="AS1618" s="379"/>
      <c r="AT1618" s="379"/>
      <c r="AU1618" s="379"/>
      <c r="AV1618" s="379"/>
      <c r="AW1618" s="379"/>
      <c r="AX1618" s="379"/>
      <c r="AY1618" s="379"/>
      <c r="AZ1618" s="379"/>
      <c r="BA1618" s="379"/>
      <c r="BB1618" s="379"/>
      <c r="BC1618" s="379"/>
      <c r="BD1618" s="379"/>
      <c r="BE1618" s="379"/>
      <c r="BF1618" s="379"/>
      <c r="BG1618" s="379"/>
      <c r="BH1618" s="379"/>
      <c r="BI1618" s="379"/>
      <c r="BJ1618" s="379"/>
      <c r="BK1618" s="379"/>
      <c r="BL1618" s="379"/>
      <c r="BM1618" s="379"/>
      <c r="BN1618" s="379"/>
      <c r="BO1618" s="379"/>
      <c r="BP1618" s="379"/>
      <c r="BQ1618" s="379"/>
      <c r="BR1618" s="379"/>
      <c r="BS1618" s="379"/>
      <c r="BT1618" s="379"/>
      <c r="BU1618" s="379"/>
      <c r="BV1618" s="379"/>
      <c r="BW1618" s="379"/>
      <c r="BX1618" s="379"/>
      <c r="BY1618" s="379"/>
    </row>
    <row r="1619" spans="2:77" s="341" customFormat="1" ht="12" customHeight="1">
      <c r="B1619" s="338" t="s">
        <v>291</v>
      </c>
      <c r="C1619" s="339"/>
      <c r="D1619" s="339"/>
      <c r="E1619" s="340" t="s">
        <v>1320</v>
      </c>
      <c r="F1619" s="337" t="s">
        <v>44</v>
      </c>
      <c r="G1619" s="342">
        <v>3991</v>
      </c>
      <c r="H1619" s="341" t="s">
        <v>310</v>
      </c>
      <c r="I1619" s="341" t="s">
        <v>888</v>
      </c>
      <c r="J1619" s="343">
        <v>25379.82</v>
      </c>
      <c r="L1619" s="343">
        <v>23.37</v>
      </c>
      <c r="M1619" s="343">
        <v>23.37</v>
      </c>
      <c r="N1619" s="344">
        <f>J1619*0.4</f>
        <v>10151.928</v>
      </c>
      <c r="O1619" s="355">
        <v>0.3</v>
      </c>
      <c r="P1619" s="345"/>
      <c r="Q1619" s="344">
        <v>0</v>
      </c>
      <c r="R1619" s="337" t="s">
        <v>35</v>
      </c>
      <c r="S1619" s="356" t="s">
        <v>41</v>
      </c>
      <c r="T1619" s="356">
        <v>79</v>
      </c>
      <c r="U1619" s="347" t="s">
        <v>164</v>
      </c>
      <c r="V1619" s="451"/>
      <c r="X1619" s="344">
        <v>0</v>
      </c>
      <c r="Y1619" s="344"/>
      <c r="AI1619" s="341">
        <f>X1619</f>
        <v>0</v>
      </c>
      <c r="AJ1619" s="358"/>
      <c r="AK1619" s="369"/>
      <c r="AL1619" s="337"/>
      <c r="AM1619" s="337"/>
      <c r="AN1619" s="337"/>
      <c r="AO1619" s="337"/>
      <c r="AP1619" s="337"/>
      <c r="AQ1619" s="337"/>
      <c r="AR1619" s="337"/>
      <c r="AS1619" s="337"/>
      <c r="AT1619" s="337"/>
      <c r="AU1619" s="337"/>
      <c r="AV1619" s="337"/>
      <c r="AW1619" s="337"/>
      <c r="AX1619" s="337"/>
      <c r="AY1619" s="337"/>
      <c r="AZ1619" s="337"/>
      <c r="BA1619" s="337"/>
      <c r="BB1619" s="337"/>
      <c r="BC1619" s="337"/>
      <c r="BD1619" s="337"/>
      <c r="BE1619" s="337"/>
      <c r="BF1619" s="337"/>
      <c r="BG1619" s="337"/>
      <c r="BH1619" s="337"/>
      <c r="BI1619" s="337"/>
      <c r="BJ1619" s="337"/>
      <c r="BK1619" s="337"/>
      <c r="BL1619" s="337"/>
      <c r="BM1619" s="337"/>
      <c r="BN1619" s="337"/>
      <c r="BO1619" s="337"/>
      <c r="BP1619" s="337"/>
      <c r="BQ1619" s="337"/>
      <c r="BR1619" s="337"/>
      <c r="BS1619" s="337"/>
      <c r="BT1619" s="337"/>
      <c r="BU1619" s="337"/>
      <c r="BV1619" s="337"/>
      <c r="BW1619" s="337"/>
      <c r="BX1619" s="337"/>
      <c r="BY1619" s="337"/>
    </row>
    <row r="1620" spans="2:77" s="394" customFormat="1" ht="12" customHeight="1">
      <c r="B1620" s="380" t="s">
        <v>291</v>
      </c>
      <c r="C1620" s="392">
        <v>44703</v>
      </c>
      <c r="D1620" s="392">
        <v>44704</v>
      </c>
      <c r="E1620" s="393" t="s">
        <v>1321</v>
      </c>
      <c r="F1620" s="379" t="s">
        <v>1322</v>
      </c>
      <c r="G1620" s="400">
        <v>4476</v>
      </c>
      <c r="H1620" s="394" t="s">
        <v>928</v>
      </c>
      <c r="I1620" s="394" t="s">
        <v>888</v>
      </c>
      <c r="J1620" s="395">
        <v>28576.9</v>
      </c>
      <c r="L1620" s="395">
        <v>20.75</v>
      </c>
      <c r="M1620" s="395">
        <v>20.75</v>
      </c>
      <c r="N1620" s="396"/>
      <c r="O1620" s="387">
        <v>0.3</v>
      </c>
      <c r="P1620" s="397"/>
      <c r="Q1620" s="396">
        <v>0</v>
      </c>
      <c r="R1620" s="379" t="s">
        <v>128</v>
      </c>
      <c r="S1620" s="388" t="s">
        <v>41</v>
      </c>
      <c r="T1620" s="388">
        <v>79</v>
      </c>
      <c r="U1620" s="398" t="s">
        <v>164</v>
      </c>
      <c r="V1620" s="449"/>
      <c r="X1620" s="396">
        <v>0</v>
      </c>
      <c r="Y1620" s="396"/>
      <c r="AJ1620" s="390">
        <v>0</v>
      </c>
    </row>
    <row r="1621" spans="2:77" s="394" customFormat="1" ht="12" customHeight="1">
      <c r="B1621" s="380" t="s">
        <v>291</v>
      </c>
      <c r="C1621" s="392"/>
      <c r="D1621" s="392"/>
      <c r="E1621" s="393" t="s">
        <v>1321</v>
      </c>
      <c r="F1621" s="379" t="s">
        <v>1322</v>
      </c>
      <c r="G1621" s="400">
        <v>4476</v>
      </c>
      <c r="H1621" s="394" t="s">
        <v>27</v>
      </c>
      <c r="I1621" s="394" t="s">
        <v>819</v>
      </c>
      <c r="J1621" s="395">
        <v>66360</v>
      </c>
      <c r="L1621" s="395">
        <v>42</v>
      </c>
      <c r="M1621" s="395">
        <v>42</v>
      </c>
      <c r="N1621" s="396"/>
      <c r="O1621" s="387">
        <v>0.3</v>
      </c>
      <c r="P1621" s="397">
        <v>0.1</v>
      </c>
      <c r="Q1621" s="396">
        <v>0</v>
      </c>
      <c r="R1621" s="379" t="s">
        <v>128</v>
      </c>
      <c r="S1621" s="388" t="s">
        <v>41</v>
      </c>
      <c r="T1621" s="388">
        <v>79</v>
      </c>
      <c r="U1621" s="398" t="s">
        <v>164</v>
      </c>
      <c r="V1621" s="449"/>
      <c r="X1621" s="396">
        <v>0</v>
      </c>
      <c r="Y1621" s="396"/>
      <c r="AJ1621" s="390">
        <v>0</v>
      </c>
    </row>
    <row r="1622" spans="2:77" s="394" customFormat="1" ht="12" customHeight="1">
      <c r="B1622" s="380" t="s">
        <v>291</v>
      </c>
      <c r="C1622" s="392"/>
      <c r="D1622" s="392"/>
      <c r="E1622" s="393" t="s">
        <v>1321</v>
      </c>
      <c r="F1622" s="379" t="s">
        <v>1322</v>
      </c>
      <c r="G1622" s="400">
        <v>4476</v>
      </c>
      <c r="H1622" s="394" t="s">
        <v>183</v>
      </c>
      <c r="I1622" s="394" t="s">
        <v>819</v>
      </c>
      <c r="J1622" s="395">
        <v>1800</v>
      </c>
      <c r="L1622" s="395">
        <v>27.27</v>
      </c>
      <c r="M1622" s="395">
        <v>12.5</v>
      </c>
      <c r="N1622" s="396"/>
      <c r="O1622" s="387">
        <v>0.3</v>
      </c>
      <c r="P1622" s="397">
        <v>0.1</v>
      </c>
      <c r="Q1622" s="396">
        <v>0</v>
      </c>
      <c r="R1622" s="379" t="s">
        <v>128</v>
      </c>
      <c r="S1622" s="388" t="s">
        <v>41</v>
      </c>
      <c r="T1622" s="388">
        <v>79</v>
      </c>
      <c r="U1622" s="398" t="s">
        <v>164</v>
      </c>
      <c r="V1622" s="449"/>
      <c r="X1622" s="396">
        <v>0</v>
      </c>
      <c r="Y1622" s="396"/>
      <c r="AJ1622" s="390">
        <v>0</v>
      </c>
    </row>
    <row r="1623" spans="2:77" s="341" customFormat="1" ht="12" customHeight="1">
      <c r="B1623" s="338" t="s">
        <v>291</v>
      </c>
      <c r="C1623" s="339"/>
      <c r="D1623" s="339"/>
      <c r="E1623" s="340" t="s">
        <v>1323</v>
      </c>
      <c r="F1623" s="337" t="s">
        <v>1324</v>
      </c>
      <c r="G1623" s="351">
        <v>4226</v>
      </c>
      <c r="H1623" s="337" t="s">
        <v>162</v>
      </c>
      <c r="I1623" s="341" t="s">
        <v>958</v>
      </c>
      <c r="J1623" s="352">
        <v>6935.04</v>
      </c>
      <c r="K1623" s="337"/>
      <c r="L1623" s="352">
        <v>7.74</v>
      </c>
      <c r="M1623" s="352">
        <v>7.4</v>
      </c>
      <c r="N1623" s="344">
        <v>4854.5280000000002</v>
      </c>
      <c r="O1623" s="355">
        <v>0.15</v>
      </c>
      <c r="P1623" s="355"/>
      <c r="Q1623" s="344">
        <v>1265.6400000000001</v>
      </c>
      <c r="R1623" s="337" t="s">
        <v>42</v>
      </c>
      <c r="S1623" s="346" t="s">
        <v>41</v>
      </c>
      <c r="T1623" s="346">
        <v>17</v>
      </c>
      <c r="U1623" s="347" t="s">
        <v>164</v>
      </c>
      <c r="V1623" s="347"/>
      <c r="X1623" s="344">
        <v>1265.6400000000001</v>
      </c>
      <c r="Y1623" s="344"/>
      <c r="AI1623" s="341">
        <v>1265.6400000000001</v>
      </c>
      <c r="AJ1623" s="358"/>
      <c r="AK1623" s="369"/>
      <c r="AL1623" s="337"/>
      <c r="AM1623" s="337"/>
      <c r="AN1623" s="337"/>
      <c r="AO1623" s="337"/>
      <c r="AP1623" s="337"/>
      <c r="AQ1623" s="337"/>
      <c r="AR1623" s="337"/>
      <c r="AS1623" s="337"/>
      <c r="AT1623" s="337"/>
      <c r="AU1623" s="337"/>
      <c r="AV1623" s="337"/>
      <c r="AW1623" s="337"/>
      <c r="AX1623" s="337"/>
      <c r="AY1623" s="337"/>
      <c r="AZ1623" s="337"/>
      <c r="BA1623" s="337"/>
      <c r="BB1623" s="337"/>
      <c r="BC1623" s="337"/>
      <c r="BD1623" s="337"/>
      <c r="BE1623" s="337"/>
      <c r="BF1623" s="337"/>
      <c r="BG1623" s="337"/>
      <c r="BH1623" s="337"/>
      <c r="BI1623" s="337"/>
      <c r="BJ1623" s="337"/>
      <c r="BK1623" s="337"/>
      <c r="BL1623" s="337"/>
      <c r="BM1623" s="337"/>
      <c r="BN1623" s="337"/>
      <c r="BO1623" s="337"/>
      <c r="BP1623" s="337"/>
      <c r="BQ1623" s="337"/>
      <c r="BR1623" s="337"/>
      <c r="BS1623" s="337"/>
      <c r="BT1623" s="337"/>
      <c r="BU1623" s="337"/>
      <c r="BV1623" s="337"/>
      <c r="BW1623" s="337"/>
      <c r="BX1623" s="337"/>
      <c r="BY1623" s="337"/>
    </row>
    <row r="1624" spans="2:77" s="250" customFormat="1" ht="12" customHeight="1">
      <c r="B1624" s="246" t="s">
        <v>291</v>
      </c>
      <c r="C1624" s="248">
        <v>44699</v>
      </c>
      <c r="D1624" s="248">
        <v>44704</v>
      </c>
      <c r="E1624" s="249" t="s">
        <v>1323</v>
      </c>
      <c r="F1624" s="236" t="s">
        <v>1324</v>
      </c>
      <c r="G1624" s="255">
        <v>4226</v>
      </c>
      <c r="H1624" s="250" t="s">
        <v>27</v>
      </c>
      <c r="I1624" s="250" t="s">
        <v>958</v>
      </c>
      <c r="J1624" s="251">
        <v>8045.28</v>
      </c>
      <c r="L1624" s="251">
        <v>5.55</v>
      </c>
      <c r="M1624" s="251">
        <v>5.53</v>
      </c>
      <c r="N1624" s="252">
        <v>2413.5839999999998</v>
      </c>
      <c r="O1624" s="243">
        <v>0.15</v>
      </c>
      <c r="P1624" s="253"/>
      <c r="Q1624" s="252">
        <v>0</v>
      </c>
      <c r="R1624" s="236" t="s">
        <v>42</v>
      </c>
      <c r="S1624" s="244" t="s">
        <v>41</v>
      </c>
      <c r="T1624" s="244">
        <v>17</v>
      </c>
      <c r="U1624" s="254" t="s">
        <v>164</v>
      </c>
      <c r="V1624" s="453"/>
      <c r="W1624" s="250" t="s">
        <v>3549</v>
      </c>
      <c r="X1624" s="252">
        <v>0</v>
      </c>
      <c r="Y1624" s="252"/>
      <c r="AG1624" s="250">
        <f>X1624</f>
        <v>0</v>
      </c>
      <c r="AJ1624" s="640"/>
    </row>
    <row r="1625" spans="2:77" s="250" customFormat="1" ht="12" customHeight="1">
      <c r="B1625" s="246" t="s">
        <v>291</v>
      </c>
      <c r="C1625" s="248"/>
      <c r="D1625" s="248"/>
      <c r="E1625" s="249" t="s">
        <v>1323</v>
      </c>
      <c r="F1625" s="236" t="s">
        <v>1324</v>
      </c>
      <c r="G1625" s="255">
        <v>4226</v>
      </c>
      <c r="H1625" s="250" t="s">
        <v>99</v>
      </c>
      <c r="I1625" s="250" t="s">
        <v>958</v>
      </c>
      <c r="J1625" s="251">
        <v>28977.61</v>
      </c>
      <c r="L1625" s="251">
        <v>23.69</v>
      </c>
      <c r="M1625" s="251">
        <v>23.45</v>
      </c>
      <c r="N1625" s="252">
        <v>8113.7302399999999</v>
      </c>
      <c r="O1625" s="243">
        <v>0.15</v>
      </c>
      <c r="P1625" s="253"/>
      <c r="Q1625" s="252">
        <v>0</v>
      </c>
      <c r="R1625" s="236" t="s">
        <v>42</v>
      </c>
      <c r="S1625" s="244" t="s">
        <v>41</v>
      </c>
      <c r="T1625" s="244">
        <v>17</v>
      </c>
      <c r="U1625" s="254" t="s">
        <v>164</v>
      </c>
      <c r="V1625" s="453"/>
      <c r="W1625" s="250" t="s">
        <v>3549</v>
      </c>
      <c r="X1625" s="252">
        <v>0</v>
      </c>
      <c r="Y1625" s="252"/>
      <c r="AG1625" s="250">
        <f>X1625</f>
        <v>0</v>
      </c>
      <c r="AJ1625" s="640"/>
    </row>
    <row r="1626" spans="2:77" s="250" customFormat="1" ht="12" customHeight="1">
      <c r="B1626" s="246" t="s">
        <v>291</v>
      </c>
      <c r="C1626" s="248"/>
      <c r="D1626" s="248"/>
      <c r="E1626" s="249" t="s">
        <v>1323</v>
      </c>
      <c r="F1626" s="236" t="s">
        <v>1324</v>
      </c>
      <c r="G1626" s="239">
        <v>4226</v>
      </c>
      <c r="H1626" s="236" t="s">
        <v>183</v>
      </c>
      <c r="I1626" s="250" t="s">
        <v>958</v>
      </c>
      <c r="J1626" s="240">
        <v>26818.85</v>
      </c>
      <c r="K1626" s="236"/>
      <c r="L1626" s="240">
        <v>30.12</v>
      </c>
      <c r="M1626" s="240">
        <v>30</v>
      </c>
      <c r="N1626" s="252">
        <v>2681.8847999999998</v>
      </c>
      <c r="O1626" s="243">
        <v>0.15</v>
      </c>
      <c r="P1626" s="243"/>
      <c r="Q1626" s="252">
        <v>0</v>
      </c>
      <c r="R1626" s="236" t="s">
        <v>42</v>
      </c>
      <c r="S1626" s="256" t="s">
        <v>41</v>
      </c>
      <c r="T1626" s="256">
        <v>17</v>
      </c>
      <c r="U1626" s="254" t="s">
        <v>164</v>
      </c>
      <c r="V1626" s="254"/>
      <c r="W1626" s="250" t="s">
        <v>3549</v>
      </c>
      <c r="X1626" s="252">
        <v>0</v>
      </c>
      <c r="Y1626" s="252"/>
      <c r="AG1626" s="250">
        <f>X1626</f>
        <v>0</v>
      </c>
      <c r="AJ1626" s="640"/>
    </row>
    <row r="1627" spans="2:77" s="218" customFormat="1" ht="11">
      <c r="B1627" s="206" t="s">
        <v>291</v>
      </c>
      <c r="C1627" s="225">
        <v>44704</v>
      </c>
      <c r="D1627" s="225">
        <v>44704</v>
      </c>
      <c r="E1627" s="226" t="s">
        <v>1325</v>
      </c>
      <c r="F1627" s="205" t="s">
        <v>182</v>
      </c>
      <c r="G1627" s="209">
        <v>3842</v>
      </c>
      <c r="H1627" s="205" t="s">
        <v>183</v>
      </c>
      <c r="I1627" s="218" t="s">
        <v>156</v>
      </c>
      <c r="J1627" s="210">
        <v>26686.26</v>
      </c>
      <c r="K1627" s="205"/>
      <c r="L1627" s="210">
        <v>38.76</v>
      </c>
      <c r="M1627" s="210">
        <v>17</v>
      </c>
      <c r="N1627" s="223"/>
      <c r="O1627" s="212">
        <v>0.15</v>
      </c>
      <c r="P1627" s="212">
        <v>0.1</v>
      </c>
      <c r="Q1627" s="234">
        <v>4053.85</v>
      </c>
      <c r="R1627" s="205" t="s">
        <v>73</v>
      </c>
      <c r="S1627" s="214" t="s">
        <v>113</v>
      </c>
      <c r="T1627" s="214">
        <v>31</v>
      </c>
      <c r="U1627" s="227" t="s">
        <v>164</v>
      </c>
      <c r="V1627" s="227"/>
      <c r="X1627" s="223">
        <v>4053.85</v>
      </c>
      <c r="Y1627" s="223"/>
      <c r="AF1627" s="230">
        <f>X1627</f>
        <v>4053.85</v>
      </c>
      <c r="AJ1627" s="216"/>
    </row>
    <row r="1628" spans="2:77" s="303" customFormat="1" ht="12" customHeight="1">
      <c r="B1628" s="310" t="s">
        <v>291</v>
      </c>
      <c r="C1628" s="301">
        <v>44701</v>
      </c>
      <c r="D1628" s="301">
        <v>44704</v>
      </c>
      <c r="E1628" s="302" t="s">
        <v>1326</v>
      </c>
      <c r="F1628" s="291" t="s">
        <v>1327</v>
      </c>
      <c r="G1628" s="294">
        <v>4164</v>
      </c>
      <c r="H1628" s="291" t="s">
        <v>295</v>
      </c>
      <c r="I1628" s="303" t="s">
        <v>958</v>
      </c>
      <c r="J1628" s="296">
        <v>1578.24</v>
      </c>
      <c r="K1628" s="291"/>
      <c r="L1628" s="296">
        <v>3.2</v>
      </c>
      <c r="M1628" s="296">
        <v>3.2</v>
      </c>
      <c r="N1628" s="306"/>
      <c r="O1628" s="298">
        <v>0.15</v>
      </c>
      <c r="P1628" s="298"/>
      <c r="Q1628" s="332">
        <v>262.45999999999998</v>
      </c>
      <c r="R1628" s="291" t="s">
        <v>128</v>
      </c>
      <c r="S1628" s="299" t="s">
        <v>41</v>
      </c>
      <c r="T1628" s="299">
        <v>86</v>
      </c>
      <c r="U1628" s="309" t="s">
        <v>164</v>
      </c>
      <c r="V1628" s="309"/>
      <c r="X1628" s="332">
        <v>262.45999999999998</v>
      </c>
      <c r="Y1628" s="306"/>
      <c r="AH1628" s="303">
        <f>X1628</f>
        <v>262.45999999999998</v>
      </c>
      <c r="AI1628" s="311"/>
      <c r="AJ1628" s="468"/>
    </row>
    <row r="1629" spans="2:77" s="303" customFormat="1" ht="12" customHeight="1">
      <c r="B1629" s="310" t="s">
        <v>291</v>
      </c>
      <c r="C1629" s="301"/>
      <c r="D1629" s="301"/>
      <c r="E1629" s="302" t="s">
        <v>1326</v>
      </c>
      <c r="F1629" s="291" t="s">
        <v>1327</v>
      </c>
      <c r="G1629" s="294">
        <v>4164</v>
      </c>
      <c r="H1629" s="291" t="s">
        <v>99</v>
      </c>
      <c r="I1629" s="303" t="s">
        <v>958</v>
      </c>
      <c r="J1629" s="296">
        <v>20326.64</v>
      </c>
      <c r="K1629" s="291"/>
      <c r="L1629" s="296">
        <v>18.649999999999999</v>
      </c>
      <c r="M1629" s="296">
        <v>18.649999999999999</v>
      </c>
      <c r="N1629" s="306"/>
      <c r="O1629" s="298">
        <v>0.15</v>
      </c>
      <c r="P1629" s="298"/>
      <c r="Q1629" s="332">
        <v>4332.68</v>
      </c>
      <c r="R1629" s="291" t="s">
        <v>128</v>
      </c>
      <c r="S1629" s="299" t="s">
        <v>41</v>
      </c>
      <c r="T1629" s="299">
        <v>86</v>
      </c>
      <c r="U1629" s="309" t="s">
        <v>164</v>
      </c>
      <c r="V1629" s="309"/>
      <c r="X1629" s="332">
        <v>4332.68</v>
      </c>
      <c r="Y1629" s="306"/>
      <c r="AH1629" s="303">
        <f>X1629</f>
        <v>4332.68</v>
      </c>
      <c r="AI1629" s="311"/>
      <c r="AJ1629" s="468"/>
    </row>
    <row r="1630" spans="2:77" s="303" customFormat="1" ht="12" customHeight="1">
      <c r="B1630" s="310" t="s">
        <v>291</v>
      </c>
      <c r="C1630" s="301"/>
      <c r="D1630" s="301"/>
      <c r="E1630" s="302" t="s">
        <v>1326</v>
      </c>
      <c r="F1630" s="291" t="s">
        <v>1327</v>
      </c>
      <c r="G1630" s="294">
        <v>4164</v>
      </c>
      <c r="H1630" s="303" t="s">
        <v>163</v>
      </c>
      <c r="I1630" s="303" t="s">
        <v>958</v>
      </c>
      <c r="J1630" s="305">
        <v>15515.32</v>
      </c>
      <c r="L1630" s="305">
        <v>20.9</v>
      </c>
      <c r="M1630" s="305">
        <v>20.9</v>
      </c>
      <c r="N1630" s="306"/>
      <c r="O1630" s="298">
        <v>0.15</v>
      </c>
      <c r="P1630" s="307"/>
      <c r="Q1630" s="306">
        <v>1715.49</v>
      </c>
      <c r="R1630" s="291" t="s">
        <v>128</v>
      </c>
      <c r="S1630" s="299" t="s">
        <v>41</v>
      </c>
      <c r="T1630" s="299">
        <v>86</v>
      </c>
      <c r="U1630" s="309" t="s">
        <v>164</v>
      </c>
      <c r="V1630" s="447"/>
      <c r="X1630" s="306">
        <v>1715.49</v>
      </c>
      <c r="Y1630" s="306"/>
      <c r="AH1630" s="303">
        <f>X1630</f>
        <v>1715.49</v>
      </c>
      <c r="AI1630" s="311"/>
      <c r="AJ1630" s="468"/>
    </row>
    <row r="1631" spans="2:77" s="394" customFormat="1" ht="12" customHeight="1">
      <c r="B1631" s="380" t="s">
        <v>291</v>
      </c>
      <c r="C1631" s="392">
        <v>44700</v>
      </c>
      <c r="D1631" s="392">
        <v>44704</v>
      </c>
      <c r="E1631" s="393" t="s">
        <v>1328</v>
      </c>
      <c r="F1631" s="379" t="s">
        <v>1329</v>
      </c>
      <c r="G1631" s="400">
        <v>4630</v>
      </c>
      <c r="H1631" s="394" t="s">
        <v>140</v>
      </c>
      <c r="I1631" s="394" t="s">
        <v>33</v>
      </c>
      <c r="J1631" s="395">
        <v>39158.21</v>
      </c>
      <c r="L1631" s="395">
        <v>28.8</v>
      </c>
      <c r="M1631" s="395">
        <v>19.57</v>
      </c>
      <c r="N1631" s="396"/>
      <c r="O1631" s="387">
        <v>0.25</v>
      </c>
      <c r="P1631" s="397"/>
      <c r="Q1631" s="396">
        <v>0</v>
      </c>
      <c r="R1631" s="379" t="s">
        <v>35</v>
      </c>
      <c r="S1631" s="388" t="s">
        <v>41</v>
      </c>
      <c r="T1631" s="388">
        <v>16</v>
      </c>
      <c r="U1631" s="398" t="s">
        <v>164</v>
      </c>
      <c r="V1631" s="449"/>
      <c r="X1631" s="396">
        <v>0</v>
      </c>
      <c r="Y1631" s="396"/>
      <c r="AJ1631" s="390">
        <v>0</v>
      </c>
    </row>
    <row r="1632" spans="2:77" s="394" customFormat="1" ht="12" customHeight="1">
      <c r="B1632" s="380" t="s">
        <v>291</v>
      </c>
      <c r="C1632" s="392"/>
      <c r="D1632" s="392"/>
      <c r="E1632" s="393" t="s">
        <v>1328</v>
      </c>
      <c r="F1632" s="379" t="s">
        <v>1329</v>
      </c>
      <c r="G1632" s="400">
        <v>4630</v>
      </c>
      <c r="H1632" s="394" t="s">
        <v>1018</v>
      </c>
      <c r="I1632" s="394" t="s">
        <v>33</v>
      </c>
      <c r="J1632" s="395">
        <v>26713.8</v>
      </c>
      <c r="L1632" s="395">
        <v>19.399999999999999</v>
      </c>
      <c r="M1632" s="395">
        <v>26.26</v>
      </c>
      <c r="N1632" s="396"/>
      <c r="O1632" s="387">
        <v>0.25</v>
      </c>
      <c r="P1632" s="397"/>
      <c r="Q1632" s="396">
        <v>0</v>
      </c>
      <c r="R1632" s="379" t="s">
        <v>35</v>
      </c>
      <c r="S1632" s="388" t="s">
        <v>41</v>
      </c>
      <c r="T1632" s="388">
        <v>16</v>
      </c>
      <c r="U1632" s="398" t="s">
        <v>164</v>
      </c>
      <c r="V1632" s="449"/>
      <c r="X1632" s="396">
        <v>0</v>
      </c>
      <c r="Y1632" s="396"/>
      <c r="AJ1632" s="390">
        <v>0</v>
      </c>
    </row>
    <row r="1633" spans="1:77" s="394" customFormat="1" ht="12" customHeight="1">
      <c r="B1633" s="380" t="s">
        <v>291</v>
      </c>
      <c r="C1633" s="392"/>
      <c r="D1633" s="392"/>
      <c r="E1633" s="393" t="s">
        <v>1328</v>
      </c>
      <c r="F1633" s="379" t="s">
        <v>1329</v>
      </c>
      <c r="G1633" s="400">
        <v>4630</v>
      </c>
      <c r="H1633" s="394" t="s">
        <v>912</v>
      </c>
      <c r="I1633" s="394" t="s">
        <v>33</v>
      </c>
      <c r="J1633" s="395">
        <v>43131.83</v>
      </c>
      <c r="L1633" s="395">
        <v>23.55</v>
      </c>
      <c r="M1633" s="395">
        <v>21.55</v>
      </c>
      <c r="N1633" s="396">
        <f>J1633*0.4</f>
        <v>17252.732</v>
      </c>
      <c r="O1633" s="387">
        <v>0.25</v>
      </c>
      <c r="P1633" s="397"/>
      <c r="Q1633" s="396">
        <v>0</v>
      </c>
      <c r="R1633" s="379" t="s">
        <v>35</v>
      </c>
      <c r="S1633" s="388" t="s">
        <v>41</v>
      </c>
      <c r="T1633" s="388">
        <v>16</v>
      </c>
      <c r="U1633" s="398" t="s">
        <v>164</v>
      </c>
      <c r="V1633" s="449"/>
      <c r="X1633" s="396">
        <v>0</v>
      </c>
      <c r="Y1633" s="396"/>
      <c r="AJ1633" s="390">
        <v>0</v>
      </c>
    </row>
    <row r="1634" spans="1:77" s="394" customFormat="1" ht="12" customHeight="1">
      <c r="B1634" s="380" t="s">
        <v>291</v>
      </c>
      <c r="C1634" s="392"/>
      <c r="D1634" s="392"/>
      <c r="E1634" s="393" t="s">
        <v>1328</v>
      </c>
      <c r="F1634" s="379" t="s">
        <v>1329</v>
      </c>
      <c r="G1634" s="400">
        <v>4630</v>
      </c>
      <c r="H1634" s="394" t="s">
        <v>99</v>
      </c>
      <c r="I1634" s="394" t="s">
        <v>33</v>
      </c>
      <c r="J1634" s="395">
        <v>39550.43</v>
      </c>
      <c r="L1634" s="395">
        <v>35.15</v>
      </c>
      <c r="M1634" s="395">
        <v>13.59</v>
      </c>
      <c r="N1634" s="396"/>
      <c r="O1634" s="387">
        <v>0.25</v>
      </c>
      <c r="P1634" s="397"/>
      <c r="Q1634" s="396">
        <v>0</v>
      </c>
      <c r="R1634" s="379" t="s">
        <v>35</v>
      </c>
      <c r="S1634" s="388" t="s">
        <v>41</v>
      </c>
      <c r="T1634" s="388">
        <v>16</v>
      </c>
      <c r="U1634" s="398" t="s">
        <v>164</v>
      </c>
      <c r="V1634" s="449"/>
      <c r="X1634" s="396">
        <v>0</v>
      </c>
      <c r="Y1634" s="396"/>
      <c r="AJ1634" s="390">
        <v>0</v>
      </c>
    </row>
    <row r="1635" spans="1:77" s="394" customFormat="1" ht="12" customHeight="1">
      <c r="B1635" s="380" t="s">
        <v>291</v>
      </c>
      <c r="C1635" s="392"/>
      <c r="D1635" s="392"/>
      <c r="E1635" s="393" t="s">
        <v>1328</v>
      </c>
      <c r="F1635" s="379" t="s">
        <v>1329</v>
      </c>
      <c r="G1635" s="400">
        <v>4630</v>
      </c>
      <c r="H1635" s="394" t="s">
        <v>684</v>
      </c>
      <c r="I1635" s="394" t="s">
        <v>33</v>
      </c>
      <c r="J1635" s="395">
        <v>26392.5</v>
      </c>
      <c r="L1635" s="395">
        <v>19.55</v>
      </c>
      <c r="M1635" s="395">
        <v>19.55</v>
      </c>
      <c r="N1635" s="396"/>
      <c r="O1635" s="387">
        <v>0.25</v>
      </c>
      <c r="P1635" s="397"/>
      <c r="Q1635" s="396">
        <v>0</v>
      </c>
      <c r="R1635" s="379" t="s">
        <v>35</v>
      </c>
      <c r="S1635" s="388" t="s">
        <v>41</v>
      </c>
      <c r="T1635" s="388">
        <v>16</v>
      </c>
      <c r="U1635" s="398" t="s">
        <v>164</v>
      </c>
      <c r="V1635" s="449"/>
      <c r="X1635" s="396">
        <v>0</v>
      </c>
      <c r="Y1635" s="396"/>
      <c r="AJ1635" s="390">
        <v>0</v>
      </c>
    </row>
    <row r="1636" spans="1:77" s="218" customFormat="1" ht="12" customHeight="1">
      <c r="B1636" s="206" t="s">
        <v>291</v>
      </c>
      <c r="C1636" s="225">
        <v>44704</v>
      </c>
      <c r="D1636" s="225">
        <v>44704</v>
      </c>
      <c r="E1636" s="226" t="s">
        <v>1330</v>
      </c>
      <c r="F1636" s="205" t="s">
        <v>1331</v>
      </c>
      <c r="G1636" s="220" t="s">
        <v>1332</v>
      </c>
      <c r="H1636" s="218" t="s">
        <v>910</v>
      </c>
      <c r="I1636" s="218" t="s">
        <v>28</v>
      </c>
      <c r="J1636" s="222">
        <v>13772.21</v>
      </c>
      <c r="L1636" s="222">
        <v>7.32</v>
      </c>
      <c r="M1636" s="222">
        <v>5.34</v>
      </c>
      <c r="N1636" s="223">
        <v>2225.7600000000002</v>
      </c>
      <c r="O1636" s="212">
        <v>0.2</v>
      </c>
      <c r="P1636" s="224"/>
      <c r="Q1636" s="223">
        <v>0</v>
      </c>
      <c r="R1636" s="205" t="s">
        <v>112</v>
      </c>
      <c r="S1636" s="214" t="s">
        <v>113</v>
      </c>
      <c r="T1636" s="214">
        <v>64</v>
      </c>
      <c r="U1636" s="227" t="s">
        <v>164</v>
      </c>
      <c r="V1636" s="455"/>
      <c r="W1636" s="218" t="s">
        <v>2925</v>
      </c>
      <c r="X1636" s="223">
        <v>0</v>
      </c>
      <c r="Y1636" s="223"/>
      <c r="AF1636" s="230">
        <f t="shared" ref="AF1636:AF1641" si="26">X1636</f>
        <v>0</v>
      </c>
      <c r="AJ1636" s="216"/>
    </row>
    <row r="1637" spans="1:77" s="218" customFormat="1" ht="12" customHeight="1">
      <c r="B1637" s="206" t="s">
        <v>291</v>
      </c>
      <c r="C1637" s="225">
        <v>44703</v>
      </c>
      <c r="D1637" s="225">
        <v>44704</v>
      </c>
      <c r="E1637" s="226" t="s">
        <v>1333</v>
      </c>
      <c r="F1637" s="205" t="s">
        <v>301</v>
      </c>
      <c r="G1637" s="220">
        <v>3849</v>
      </c>
      <c r="H1637" s="218" t="s">
        <v>27</v>
      </c>
      <c r="I1637" s="218" t="s">
        <v>156</v>
      </c>
      <c r="J1637" s="222">
        <v>8530.7000000000007</v>
      </c>
      <c r="L1637" s="222">
        <v>6.47</v>
      </c>
      <c r="M1637" s="222">
        <v>6.47</v>
      </c>
      <c r="N1637" s="223"/>
      <c r="O1637" s="212">
        <v>0.2</v>
      </c>
      <c r="P1637" s="224">
        <v>0.1</v>
      </c>
      <c r="Q1637" s="223">
        <v>0</v>
      </c>
      <c r="R1637" s="205" t="s">
        <v>142</v>
      </c>
      <c r="S1637" s="214" t="s">
        <v>41</v>
      </c>
      <c r="T1637" s="214">
        <v>16</v>
      </c>
      <c r="U1637" s="227" t="s">
        <v>164</v>
      </c>
      <c r="V1637" s="455"/>
      <c r="X1637" s="223">
        <v>0</v>
      </c>
      <c r="Y1637" s="223"/>
      <c r="AF1637" s="230">
        <f t="shared" si="26"/>
        <v>0</v>
      </c>
      <c r="AJ1637" s="216"/>
    </row>
    <row r="1638" spans="1:77" s="218" customFormat="1" ht="12" customHeight="1">
      <c r="B1638" s="206" t="s">
        <v>291</v>
      </c>
      <c r="C1638" s="225">
        <v>44701</v>
      </c>
      <c r="D1638" s="225">
        <v>44704</v>
      </c>
      <c r="E1638" s="226" t="s">
        <v>1349</v>
      </c>
      <c r="F1638" s="205" t="s">
        <v>1334</v>
      </c>
      <c r="G1638" s="209">
        <v>4363</v>
      </c>
      <c r="H1638" s="218" t="s">
        <v>140</v>
      </c>
      <c r="I1638" s="218" t="s">
        <v>33</v>
      </c>
      <c r="J1638" s="222">
        <v>16876.830000000002</v>
      </c>
      <c r="L1638" s="222">
        <v>8.0500000000000007</v>
      </c>
      <c r="M1638" s="222">
        <v>8.0500000000000007</v>
      </c>
      <c r="N1638" s="223"/>
      <c r="O1638" s="212">
        <v>0.25</v>
      </c>
      <c r="P1638" s="224"/>
      <c r="Q1638" s="223">
        <v>0</v>
      </c>
      <c r="R1638" s="205" t="s">
        <v>128</v>
      </c>
      <c r="S1638" s="214" t="s">
        <v>41</v>
      </c>
      <c r="T1638" s="214">
        <v>86</v>
      </c>
      <c r="U1638" s="227" t="s">
        <v>164</v>
      </c>
      <c r="V1638" s="455"/>
      <c r="X1638" s="223">
        <v>0</v>
      </c>
      <c r="Y1638" s="223"/>
      <c r="AF1638" s="230">
        <f t="shared" si="26"/>
        <v>0</v>
      </c>
      <c r="AJ1638" s="216"/>
    </row>
    <row r="1639" spans="1:77" s="218" customFormat="1" ht="12" customHeight="1">
      <c r="B1639" s="206" t="s">
        <v>291</v>
      </c>
      <c r="C1639" s="225"/>
      <c r="D1639" s="225"/>
      <c r="E1639" s="226" t="s">
        <v>1349</v>
      </c>
      <c r="F1639" s="205" t="s">
        <v>1334</v>
      </c>
      <c r="G1639" s="209">
        <v>4363</v>
      </c>
      <c r="H1639" s="218" t="s">
        <v>99</v>
      </c>
      <c r="I1639" s="218" t="s">
        <v>33</v>
      </c>
      <c r="J1639" s="222">
        <v>126187.8</v>
      </c>
      <c r="L1639" s="222">
        <v>86.43</v>
      </c>
      <c r="M1639" s="222">
        <v>86.43</v>
      </c>
      <c r="N1639" s="223"/>
      <c r="O1639" s="212">
        <v>0.25</v>
      </c>
      <c r="P1639" s="224"/>
      <c r="Q1639" s="223">
        <v>0</v>
      </c>
      <c r="R1639" s="205" t="s">
        <v>128</v>
      </c>
      <c r="S1639" s="214" t="s">
        <v>41</v>
      </c>
      <c r="T1639" s="214">
        <v>86</v>
      </c>
      <c r="U1639" s="227" t="s">
        <v>164</v>
      </c>
      <c r="V1639" s="455"/>
      <c r="X1639" s="223">
        <v>0</v>
      </c>
      <c r="Y1639" s="223"/>
      <c r="AF1639" s="230">
        <f t="shared" si="26"/>
        <v>0</v>
      </c>
      <c r="AJ1639" s="216"/>
    </row>
    <row r="1640" spans="1:77" s="218" customFormat="1" ht="12" customHeight="1">
      <c r="B1640" s="206" t="s">
        <v>291</v>
      </c>
      <c r="C1640" s="225"/>
      <c r="D1640" s="225"/>
      <c r="E1640" s="226" t="s">
        <v>1349</v>
      </c>
      <c r="F1640" s="205" t="s">
        <v>1334</v>
      </c>
      <c r="G1640" s="209">
        <v>4363</v>
      </c>
      <c r="H1640" s="218" t="s">
        <v>27</v>
      </c>
      <c r="I1640" s="218" t="s">
        <v>33</v>
      </c>
      <c r="J1640" s="222">
        <v>73946.600000000006</v>
      </c>
      <c r="L1640" s="222">
        <v>40.630000000000003</v>
      </c>
      <c r="M1640" s="222">
        <v>40.630000000000003</v>
      </c>
      <c r="N1640" s="223"/>
      <c r="O1640" s="212">
        <v>0.25</v>
      </c>
      <c r="P1640" s="224"/>
      <c r="Q1640" s="223">
        <v>0</v>
      </c>
      <c r="R1640" s="205" t="s">
        <v>128</v>
      </c>
      <c r="S1640" s="214" t="s">
        <v>41</v>
      </c>
      <c r="T1640" s="214">
        <v>86</v>
      </c>
      <c r="U1640" s="227" t="s">
        <v>164</v>
      </c>
      <c r="V1640" s="455"/>
      <c r="X1640" s="223">
        <v>0</v>
      </c>
      <c r="Y1640" s="223"/>
      <c r="AF1640" s="230">
        <f t="shared" si="26"/>
        <v>0</v>
      </c>
      <c r="AJ1640" s="216"/>
    </row>
    <row r="1641" spans="1:77" s="218" customFormat="1" ht="12" customHeight="1">
      <c r="B1641" s="206" t="s">
        <v>291</v>
      </c>
      <c r="C1641" s="225"/>
      <c r="D1641" s="225"/>
      <c r="E1641" s="226" t="s">
        <v>1349</v>
      </c>
      <c r="F1641" s="205" t="s">
        <v>1334</v>
      </c>
      <c r="G1641" s="209">
        <v>4363</v>
      </c>
      <c r="H1641" s="218" t="s">
        <v>183</v>
      </c>
      <c r="I1641" s="218" t="s">
        <v>33</v>
      </c>
      <c r="J1641" s="222">
        <v>56566.06</v>
      </c>
      <c r="L1641" s="222">
        <v>41.41</v>
      </c>
      <c r="M1641" s="222">
        <v>41.41</v>
      </c>
      <c r="N1641" s="223"/>
      <c r="O1641" s="212">
        <v>0.25</v>
      </c>
      <c r="P1641" s="224"/>
      <c r="Q1641" s="223">
        <v>0</v>
      </c>
      <c r="R1641" s="205" t="s">
        <v>128</v>
      </c>
      <c r="S1641" s="214" t="s">
        <v>41</v>
      </c>
      <c r="T1641" s="214">
        <v>86</v>
      </c>
      <c r="U1641" s="227" t="s">
        <v>164</v>
      </c>
      <c r="V1641" s="455"/>
      <c r="X1641" s="223">
        <v>0</v>
      </c>
      <c r="Y1641" s="223"/>
      <c r="AF1641" s="230">
        <f t="shared" si="26"/>
        <v>0</v>
      </c>
      <c r="AJ1641" s="216"/>
    </row>
    <row r="1642" spans="1:77" s="218" customFormat="1" ht="12" customHeight="1">
      <c r="A1642" s="394"/>
      <c r="B1642" s="380" t="s">
        <v>291</v>
      </c>
      <c r="C1642" s="392"/>
      <c r="D1642" s="392"/>
      <c r="E1642" s="393" t="s">
        <v>1335</v>
      </c>
      <c r="F1642" s="379" t="s">
        <v>172</v>
      </c>
      <c r="G1642" s="383" t="s">
        <v>173</v>
      </c>
      <c r="H1642" s="394" t="s">
        <v>765</v>
      </c>
      <c r="I1642" s="394" t="s">
        <v>33</v>
      </c>
      <c r="J1642" s="395">
        <v>16055</v>
      </c>
      <c r="K1642" s="394"/>
      <c r="L1642" s="395">
        <v>13</v>
      </c>
      <c r="M1642" s="395">
        <v>13</v>
      </c>
      <c r="N1642" s="396"/>
      <c r="O1642" s="387">
        <v>0.25</v>
      </c>
      <c r="P1642" s="397"/>
      <c r="Q1642" s="396">
        <v>0</v>
      </c>
      <c r="R1642" s="379" t="s">
        <v>73</v>
      </c>
      <c r="S1642" s="388" t="s">
        <v>113</v>
      </c>
      <c r="T1642" s="388">
        <v>31</v>
      </c>
      <c r="U1642" s="398" t="s">
        <v>164</v>
      </c>
      <c r="V1642" s="449"/>
      <c r="W1642" s="394"/>
      <c r="X1642" s="396">
        <v>0</v>
      </c>
      <c r="Y1642" s="396"/>
      <c r="Z1642" s="394"/>
      <c r="AA1642" s="394"/>
      <c r="AB1642" s="394"/>
      <c r="AC1642" s="394"/>
      <c r="AD1642" s="394"/>
      <c r="AE1642" s="394"/>
      <c r="AF1642" s="394"/>
      <c r="AG1642" s="394"/>
      <c r="AH1642" s="394"/>
      <c r="AI1642" s="394"/>
      <c r="AJ1642" s="390">
        <v>0</v>
      </c>
      <c r="AK1642" s="394"/>
      <c r="AL1642" s="394"/>
      <c r="AM1642" s="394"/>
      <c r="AN1642" s="394"/>
      <c r="AO1642" s="394"/>
      <c r="AP1642" s="394"/>
      <c r="AQ1642" s="394"/>
      <c r="AR1642" s="394"/>
      <c r="AS1642" s="394"/>
      <c r="AT1642" s="394"/>
      <c r="AU1642" s="394"/>
      <c r="AV1642" s="394"/>
      <c r="AW1642" s="394"/>
      <c r="AX1642" s="394"/>
      <c r="AY1642" s="394"/>
      <c r="AZ1642" s="394"/>
      <c r="BA1642" s="394"/>
      <c r="BB1642" s="394"/>
      <c r="BC1642" s="394"/>
      <c r="BD1642" s="394"/>
      <c r="BE1642" s="394"/>
      <c r="BF1642" s="394"/>
      <c r="BG1642" s="394"/>
      <c r="BH1642" s="394"/>
      <c r="BI1642" s="394"/>
      <c r="BJ1642" s="394"/>
      <c r="BK1642" s="394"/>
      <c r="BL1642" s="394"/>
      <c r="BM1642" s="394"/>
      <c r="BN1642" s="394"/>
      <c r="BO1642" s="394"/>
      <c r="BP1642" s="394"/>
      <c r="BQ1642" s="394"/>
      <c r="BR1642" s="394"/>
      <c r="BS1642" s="394"/>
      <c r="BT1642" s="394"/>
      <c r="BU1642" s="394"/>
      <c r="BV1642" s="394"/>
      <c r="BW1642" s="394"/>
      <c r="BX1642" s="394"/>
      <c r="BY1642" s="394"/>
    </row>
    <row r="1643" spans="1:77" s="218" customFormat="1" ht="12" customHeight="1">
      <c r="B1643" s="206" t="s">
        <v>291</v>
      </c>
      <c r="C1643" s="225">
        <v>44704</v>
      </c>
      <c r="D1643" s="225">
        <v>44705</v>
      </c>
      <c r="E1643" s="226" t="s">
        <v>1335</v>
      </c>
      <c r="F1643" s="205" t="s">
        <v>172</v>
      </c>
      <c r="G1643" s="209" t="s">
        <v>173</v>
      </c>
      <c r="H1643" s="218" t="s">
        <v>99</v>
      </c>
      <c r="I1643" s="218" t="s">
        <v>1336</v>
      </c>
      <c r="J1643" s="222">
        <v>16449.689999999999</v>
      </c>
      <c r="L1643" s="222">
        <v>14.62</v>
      </c>
      <c r="M1643" s="222">
        <v>14.62</v>
      </c>
      <c r="N1643" s="223"/>
      <c r="O1643" s="212">
        <v>0.25</v>
      </c>
      <c r="P1643" s="224">
        <v>0.1</v>
      </c>
      <c r="Q1643" s="223">
        <v>0</v>
      </c>
      <c r="R1643" s="205" t="s">
        <v>73</v>
      </c>
      <c r="S1643" s="214" t="s">
        <v>113</v>
      </c>
      <c r="T1643" s="214">
        <v>31</v>
      </c>
      <c r="U1643" s="227" t="s">
        <v>164</v>
      </c>
      <c r="V1643" s="455"/>
      <c r="X1643" s="223">
        <v>0</v>
      </c>
      <c r="Y1643" s="223"/>
      <c r="AF1643" s="230">
        <f>X1643</f>
        <v>0</v>
      </c>
      <c r="AJ1643" s="216"/>
    </row>
    <row r="1644" spans="1:77" s="218" customFormat="1" ht="12" customHeight="1">
      <c r="B1644" s="206" t="s">
        <v>291</v>
      </c>
      <c r="C1644" s="225"/>
      <c r="D1644" s="225"/>
      <c r="E1644" s="226" t="s">
        <v>1335</v>
      </c>
      <c r="F1644" s="205" t="s">
        <v>172</v>
      </c>
      <c r="G1644" s="209" t="s">
        <v>173</v>
      </c>
      <c r="H1644" s="218" t="s">
        <v>27</v>
      </c>
      <c r="I1644" s="218" t="s">
        <v>1336</v>
      </c>
      <c r="J1644" s="222">
        <v>40257.379999999997</v>
      </c>
      <c r="L1644" s="222">
        <v>34.630000000000003</v>
      </c>
      <c r="M1644" s="222">
        <v>34.630000000000003</v>
      </c>
      <c r="N1644" s="223"/>
      <c r="O1644" s="212">
        <v>0.25</v>
      </c>
      <c r="P1644" s="224">
        <v>0.1</v>
      </c>
      <c r="Q1644" s="223">
        <v>7647.81</v>
      </c>
      <c r="R1644" s="205" t="s">
        <v>73</v>
      </c>
      <c r="S1644" s="214" t="s">
        <v>113</v>
      </c>
      <c r="T1644" s="214">
        <v>31</v>
      </c>
      <c r="U1644" s="215" t="s">
        <v>164</v>
      </c>
      <c r="V1644" s="455"/>
      <c r="X1644" s="223">
        <v>7647.81</v>
      </c>
      <c r="Y1644" s="223"/>
      <c r="AF1644" s="230">
        <f>X1644</f>
        <v>7647.81</v>
      </c>
      <c r="AJ1644" s="216"/>
    </row>
    <row r="1645" spans="1:77" s="218" customFormat="1" ht="12" customHeight="1">
      <c r="B1645" s="206" t="s">
        <v>291</v>
      </c>
      <c r="C1645" s="225">
        <v>44704</v>
      </c>
      <c r="D1645" s="225">
        <v>44705</v>
      </c>
      <c r="E1645" s="226" t="s">
        <v>1337</v>
      </c>
      <c r="F1645" s="205" t="s">
        <v>195</v>
      </c>
      <c r="G1645" s="209" t="s">
        <v>196</v>
      </c>
      <c r="H1645" s="218" t="s">
        <v>99</v>
      </c>
      <c r="I1645" s="218" t="s">
        <v>1336</v>
      </c>
      <c r="J1645" s="222">
        <v>36448.559999999998</v>
      </c>
      <c r="L1645" s="222">
        <v>32.659999999999997</v>
      </c>
      <c r="M1645" s="222">
        <v>32.659999999999997</v>
      </c>
      <c r="N1645" s="223"/>
      <c r="O1645" s="212">
        <v>0.25</v>
      </c>
      <c r="P1645" s="224">
        <v>0.1</v>
      </c>
      <c r="Q1645" s="223">
        <v>1466.42</v>
      </c>
      <c r="R1645" s="205" t="s">
        <v>73</v>
      </c>
      <c r="S1645" s="214" t="s">
        <v>113</v>
      </c>
      <c r="T1645" s="214">
        <v>31</v>
      </c>
      <c r="U1645" s="227" t="s">
        <v>164</v>
      </c>
      <c r="V1645" s="455">
        <v>1466.42</v>
      </c>
      <c r="X1645" s="223">
        <v>1466.42</v>
      </c>
      <c r="Y1645" s="223"/>
      <c r="AF1645" s="230">
        <f>X1645</f>
        <v>1466.42</v>
      </c>
      <c r="AJ1645" s="216"/>
    </row>
    <row r="1646" spans="1:77" s="394" customFormat="1" ht="12" customHeight="1">
      <c r="B1646" s="380" t="s">
        <v>291</v>
      </c>
      <c r="C1646" s="392"/>
      <c r="D1646" s="392"/>
      <c r="E1646" s="393" t="s">
        <v>1337</v>
      </c>
      <c r="F1646" s="379" t="s">
        <v>195</v>
      </c>
      <c r="G1646" s="383" t="s">
        <v>196</v>
      </c>
      <c r="H1646" s="394" t="s">
        <v>765</v>
      </c>
      <c r="I1646" s="394" t="s">
        <v>33</v>
      </c>
      <c r="J1646" s="395">
        <v>21262.799999999999</v>
      </c>
      <c r="L1646" s="395">
        <v>18.329999999999998</v>
      </c>
      <c r="M1646" s="395">
        <v>18.329999999999998</v>
      </c>
      <c r="N1646" s="396"/>
      <c r="O1646" s="387">
        <v>0.25</v>
      </c>
      <c r="P1646" s="397"/>
      <c r="Q1646" s="396">
        <v>0</v>
      </c>
      <c r="R1646" s="379" t="s">
        <v>73</v>
      </c>
      <c r="S1646" s="388" t="s">
        <v>113</v>
      </c>
      <c r="T1646" s="388">
        <v>31</v>
      </c>
      <c r="U1646" s="398" t="s">
        <v>164</v>
      </c>
      <c r="V1646" s="449"/>
      <c r="X1646" s="396">
        <v>0</v>
      </c>
      <c r="Y1646" s="396"/>
      <c r="AJ1646" s="390">
        <v>0</v>
      </c>
    </row>
    <row r="1647" spans="1:77" s="394" customFormat="1" ht="12" customHeight="1">
      <c r="B1647" s="380" t="s">
        <v>291</v>
      </c>
      <c r="C1647" s="392"/>
      <c r="D1647" s="392"/>
      <c r="E1647" s="393" t="s">
        <v>1337</v>
      </c>
      <c r="F1647" s="379" t="s">
        <v>195</v>
      </c>
      <c r="G1647" s="383" t="s">
        <v>196</v>
      </c>
      <c r="H1647" s="394" t="s">
        <v>765</v>
      </c>
      <c r="I1647" s="394" t="s">
        <v>33</v>
      </c>
      <c r="J1647" s="395">
        <v>19267.599999999999</v>
      </c>
      <c r="L1647" s="395">
        <v>16.61</v>
      </c>
      <c r="M1647" s="395">
        <v>16.61</v>
      </c>
      <c r="N1647" s="396"/>
      <c r="O1647" s="387">
        <v>0.25</v>
      </c>
      <c r="P1647" s="397"/>
      <c r="Q1647" s="396">
        <v>0</v>
      </c>
      <c r="R1647" s="379" t="s">
        <v>73</v>
      </c>
      <c r="S1647" s="388" t="s">
        <v>113</v>
      </c>
      <c r="T1647" s="388">
        <v>32</v>
      </c>
      <c r="U1647" s="398" t="s">
        <v>164</v>
      </c>
      <c r="V1647" s="449"/>
      <c r="X1647" s="396">
        <v>0</v>
      </c>
      <c r="Y1647" s="396"/>
      <c r="AJ1647" s="390">
        <v>0</v>
      </c>
    </row>
    <row r="1648" spans="1:77" s="394" customFormat="1" ht="12" customHeight="1">
      <c r="B1648" s="380" t="s">
        <v>291</v>
      </c>
      <c r="C1648" s="392">
        <v>44701</v>
      </c>
      <c r="D1648" s="392">
        <v>44704</v>
      </c>
      <c r="E1648" s="393" t="s">
        <v>1338</v>
      </c>
      <c r="F1648" s="379" t="s">
        <v>1339</v>
      </c>
      <c r="G1648" s="400" t="s">
        <v>1340</v>
      </c>
      <c r="H1648" s="394" t="s">
        <v>27</v>
      </c>
      <c r="I1648" s="394" t="s">
        <v>156</v>
      </c>
      <c r="J1648" s="395">
        <v>69186.649999999994</v>
      </c>
      <c r="L1648" s="395">
        <v>60.76</v>
      </c>
      <c r="M1648" s="395">
        <v>60.76</v>
      </c>
      <c r="N1648" s="396">
        <f>131.49+546.82+3214.89+3656.4</f>
        <v>7549.6</v>
      </c>
      <c r="O1648" s="387">
        <v>0.25</v>
      </c>
      <c r="P1648" s="397">
        <v>0.1</v>
      </c>
      <c r="Q1648" s="396">
        <v>0</v>
      </c>
      <c r="R1648" s="379" t="s">
        <v>54</v>
      </c>
      <c r="S1648" s="388" t="s">
        <v>51</v>
      </c>
      <c r="T1648" s="388">
        <v>55</v>
      </c>
      <c r="U1648" s="398" t="s">
        <v>164</v>
      </c>
      <c r="V1648" s="449"/>
      <c r="X1648" s="396">
        <v>0</v>
      </c>
      <c r="Y1648" s="396"/>
      <c r="AJ1648" s="390">
        <v>0</v>
      </c>
    </row>
    <row r="1649" spans="1:77" s="184" customFormat="1" ht="12" customHeight="1">
      <c r="B1649" s="178" t="s">
        <v>291</v>
      </c>
      <c r="C1649" s="192"/>
      <c r="D1649" s="192"/>
      <c r="E1649" s="193" t="s">
        <v>1338</v>
      </c>
      <c r="F1649" s="181" t="s">
        <v>1339</v>
      </c>
      <c r="G1649" s="194" t="s">
        <v>1340</v>
      </c>
      <c r="H1649" s="184" t="s">
        <v>137</v>
      </c>
      <c r="I1649" s="184" t="s">
        <v>156</v>
      </c>
      <c r="J1649" s="195">
        <v>92166.28</v>
      </c>
      <c r="L1649" s="195">
        <v>77.23</v>
      </c>
      <c r="M1649" s="195">
        <v>77.22</v>
      </c>
      <c r="N1649" s="196"/>
      <c r="O1649" s="186">
        <v>0.25</v>
      </c>
      <c r="P1649" s="197">
        <v>0.1</v>
      </c>
      <c r="Q1649" s="196">
        <v>0</v>
      </c>
      <c r="R1649" s="181" t="s">
        <v>54</v>
      </c>
      <c r="S1649" s="187" t="s">
        <v>51</v>
      </c>
      <c r="T1649" s="187">
        <v>55</v>
      </c>
      <c r="U1649" s="198" t="s">
        <v>164</v>
      </c>
      <c r="V1649" s="450"/>
      <c r="X1649" s="196">
        <v>0</v>
      </c>
      <c r="Y1649" s="196"/>
      <c r="AE1649" s="235">
        <f>X1649</f>
        <v>0</v>
      </c>
      <c r="AJ1649" s="189"/>
    </row>
    <row r="1650" spans="1:77" s="164" customFormat="1" ht="12" customHeight="1">
      <c r="B1650" s="154" t="s">
        <v>291</v>
      </c>
      <c r="C1650" s="166"/>
      <c r="D1650" s="166"/>
      <c r="E1650" s="167" t="s">
        <v>1338</v>
      </c>
      <c r="F1650" s="153" t="s">
        <v>1339</v>
      </c>
      <c r="G1650" s="168" t="s">
        <v>1340</v>
      </c>
      <c r="H1650" s="164" t="s">
        <v>765</v>
      </c>
      <c r="I1650" s="164" t="s">
        <v>156</v>
      </c>
      <c r="J1650" s="169">
        <v>33603.9</v>
      </c>
      <c r="L1650" s="169">
        <v>22.44</v>
      </c>
      <c r="M1650" s="169">
        <v>22.43</v>
      </c>
      <c r="N1650" s="170"/>
      <c r="O1650" s="160">
        <v>0.25</v>
      </c>
      <c r="P1650" s="171">
        <v>0.1</v>
      </c>
      <c r="Q1650" s="170">
        <v>0</v>
      </c>
      <c r="R1650" s="153" t="s">
        <v>54</v>
      </c>
      <c r="S1650" s="161" t="s">
        <v>51</v>
      </c>
      <c r="T1650" s="161">
        <v>55</v>
      </c>
      <c r="U1650" s="173" t="s">
        <v>164</v>
      </c>
      <c r="V1650" s="452"/>
      <c r="X1650" s="170">
        <v>0</v>
      </c>
      <c r="Y1650" s="170"/>
      <c r="AD1650" s="177">
        <f>X1650</f>
        <v>0</v>
      </c>
      <c r="AJ1650" s="644"/>
    </row>
    <row r="1651" spans="1:77" s="523" customFormat="1" ht="12" customHeight="1">
      <c r="B1651" s="508" t="s">
        <v>291</v>
      </c>
      <c r="C1651" s="524"/>
      <c r="D1651" s="524"/>
      <c r="E1651" s="525" t="s">
        <v>1338</v>
      </c>
      <c r="F1651" s="507" t="s">
        <v>1339</v>
      </c>
      <c r="G1651" s="526" t="s">
        <v>1340</v>
      </c>
      <c r="H1651" s="523" t="s">
        <v>99</v>
      </c>
      <c r="I1651" s="523" t="s">
        <v>156</v>
      </c>
      <c r="J1651" s="527">
        <v>119537.93</v>
      </c>
      <c r="L1651" s="527">
        <v>99.6</v>
      </c>
      <c r="M1651" s="527">
        <v>23</v>
      </c>
      <c r="N1651" s="528">
        <f>3438.75</f>
        <v>3438.75</v>
      </c>
      <c r="O1651" s="515">
        <v>0.25</v>
      </c>
      <c r="P1651" s="530">
        <v>0.1</v>
      </c>
      <c r="Q1651" s="528">
        <v>793.92</v>
      </c>
      <c r="R1651" s="507" t="s">
        <v>54</v>
      </c>
      <c r="S1651" s="516" t="s">
        <v>51</v>
      </c>
      <c r="T1651" s="516">
        <v>55</v>
      </c>
      <c r="U1651" s="532" t="s">
        <v>164</v>
      </c>
      <c r="V1651" s="533"/>
      <c r="X1651" s="528">
        <v>793.92</v>
      </c>
      <c r="Y1651" s="528"/>
      <c r="AJ1651" s="522"/>
      <c r="AL1651" s="528">
        <v>793.92</v>
      </c>
    </row>
    <row r="1652" spans="1:77" s="394" customFormat="1" ht="12" customHeight="1">
      <c r="A1652" s="394" t="s">
        <v>3893</v>
      </c>
      <c r="B1652" s="379" t="s">
        <v>291</v>
      </c>
      <c r="C1652" s="392">
        <v>44703</v>
      </c>
      <c r="D1652" s="392">
        <v>44704</v>
      </c>
      <c r="E1652" s="393" t="s">
        <v>1341</v>
      </c>
      <c r="F1652" s="379" t="s">
        <v>963</v>
      </c>
      <c r="G1652" s="400">
        <v>4131</v>
      </c>
      <c r="H1652" s="379" t="s">
        <v>99</v>
      </c>
      <c r="I1652" s="394" t="s">
        <v>156</v>
      </c>
      <c r="J1652" s="385">
        <v>104566.15</v>
      </c>
      <c r="K1652" s="379"/>
      <c r="L1652" s="385">
        <v>94.63</v>
      </c>
      <c r="M1652" s="385">
        <v>94.63</v>
      </c>
      <c r="N1652" s="407"/>
      <c r="O1652" s="387">
        <v>0.2</v>
      </c>
      <c r="P1652" s="397">
        <v>0.1</v>
      </c>
      <c r="Q1652" s="386">
        <v>8043.55</v>
      </c>
      <c r="R1652" s="379" t="s">
        <v>229</v>
      </c>
      <c r="S1652" s="388" t="s">
        <v>228</v>
      </c>
      <c r="T1652" s="388">
        <v>36</v>
      </c>
      <c r="U1652" s="398" t="s">
        <v>164</v>
      </c>
      <c r="V1652" s="449"/>
      <c r="X1652" s="386">
        <v>8043.55</v>
      </c>
      <c r="Y1652" s="396"/>
      <c r="AJ1652" s="416">
        <v>8043.55</v>
      </c>
    </row>
    <row r="1653" spans="1:77" s="394" customFormat="1" ht="12" customHeight="1">
      <c r="A1653" s="394" t="s">
        <v>3893</v>
      </c>
      <c r="B1653" s="379" t="s">
        <v>291</v>
      </c>
      <c r="C1653" s="392"/>
      <c r="D1653" s="392"/>
      <c r="E1653" s="393" t="s">
        <v>1341</v>
      </c>
      <c r="F1653" s="379" t="s">
        <v>963</v>
      </c>
      <c r="G1653" s="400">
        <v>4131</v>
      </c>
      <c r="H1653" s="379" t="s">
        <v>27</v>
      </c>
      <c r="I1653" s="394" t="s">
        <v>156</v>
      </c>
      <c r="J1653" s="385">
        <v>100175.4</v>
      </c>
      <c r="K1653" s="379"/>
      <c r="L1653" s="385">
        <v>71.349999999999994</v>
      </c>
      <c r="M1653" s="385">
        <v>71.349999999999994</v>
      </c>
      <c r="N1653" s="407"/>
      <c r="O1653" s="387">
        <v>0.2</v>
      </c>
      <c r="P1653" s="397">
        <v>0.1</v>
      </c>
      <c r="Q1653" s="386">
        <v>0</v>
      </c>
      <c r="R1653" s="379" t="s">
        <v>229</v>
      </c>
      <c r="S1653" s="388" t="s">
        <v>228</v>
      </c>
      <c r="T1653" s="388">
        <v>36</v>
      </c>
      <c r="U1653" s="398" t="s">
        <v>164</v>
      </c>
      <c r="V1653" s="449"/>
      <c r="X1653" s="386">
        <v>0</v>
      </c>
      <c r="Y1653" s="396"/>
      <c r="AJ1653" s="416">
        <v>0</v>
      </c>
    </row>
    <row r="1654" spans="1:77" s="394" customFormat="1" ht="12" customHeight="1">
      <c r="A1654" s="394" t="s">
        <v>3893</v>
      </c>
      <c r="B1654" s="379" t="s">
        <v>291</v>
      </c>
      <c r="C1654" s="392"/>
      <c r="D1654" s="392"/>
      <c r="E1654" s="393" t="s">
        <v>1341</v>
      </c>
      <c r="F1654" s="379" t="s">
        <v>963</v>
      </c>
      <c r="G1654" s="400">
        <v>4131</v>
      </c>
      <c r="H1654" s="379" t="s">
        <v>162</v>
      </c>
      <c r="I1654" s="394" t="s">
        <v>156</v>
      </c>
      <c r="J1654" s="385">
        <v>6953.8</v>
      </c>
      <c r="K1654" s="379"/>
      <c r="L1654" s="385">
        <v>20.77</v>
      </c>
      <c r="M1654" s="385">
        <v>20.77</v>
      </c>
      <c r="N1654" s="407"/>
      <c r="O1654" s="387">
        <v>0.2</v>
      </c>
      <c r="P1654" s="397">
        <v>0.1</v>
      </c>
      <c r="Q1654" s="386">
        <v>702.86</v>
      </c>
      <c r="R1654" s="379" t="s">
        <v>229</v>
      </c>
      <c r="S1654" s="388" t="s">
        <v>228</v>
      </c>
      <c r="T1654" s="388">
        <v>36</v>
      </c>
      <c r="U1654" s="398" t="s">
        <v>164</v>
      </c>
      <c r="V1654" s="449"/>
      <c r="X1654" s="386">
        <v>702.86</v>
      </c>
      <c r="Y1654" s="396"/>
      <c r="AJ1654" s="416">
        <v>702.86</v>
      </c>
    </row>
    <row r="1655" spans="1:77" s="394" customFormat="1" ht="12" customHeight="1">
      <c r="A1655" s="394" t="s">
        <v>3893</v>
      </c>
      <c r="B1655" s="379" t="s">
        <v>291</v>
      </c>
      <c r="C1655" s="392"/>
      <c r="D1655" s="392"/>
      <c r="E1655" s="393" t="s">
        <v>1341</v>
      </c>
      <c r="F1655" s="379" t="s">
        <v>963</v>
      </c>
      <c r="G1655" s="400">
        <v>4131</v>
      </c>
      <c r="H1655" s="379" t="s">
        <v>137</v>
      </c>
      <c r="I1655" s="394" t="s">
        <v>156</v>
      </c>
      <c r="J1655" s="385">
        <v>23122.94</v>
      </c>
      <c r="K1655" s="379"/>
      <c r="L1655" s="385">
        <v>30.88</v>
      </c>
      <c r="M1655" s="385">
        <v>30.88</v>
      </c>
      <c r="N1655" s="407"/>
      <c r="O1655" s="387">
        <v>0.2</v>
      </c>
      <c r="P1655" s="397">
        <v>0.1</v>
      </c>
      <c r="Q1655" s="386">
        <v>2638.39</v>
      </c>
      <c r="R1655" s="379" t="s">
        <v>229</v>
      </c>
      <c r="S1655" s="388" t="s">
        <v>228</v>
      </c>
      <c r="T1655" s="388">
        <v>36</v>
      </c>
      <c r="U1655" s="398" t="s">
        <v>164</v>
      </c>
      <c r="V1655" s="449"/>
      <c r="X1655" s="386">
        <v>2638.39</v>
      </c>
      <c r="Y1655" s="396"/>
      <c r="AJ1655" s="416">
        <v>2638.39</v>
      </c>
    </row>
    <row r="1656" spans="1:77" s="394" customFormat="1" ht="12" customHeight="1">
      <c r="A1656" s="394" t="s">
        <v>3893</v>
      </c>
      <c r="B1656" s="379" t="s">
        <v>291</v>
      </c>
      <c r="C1656" s="392"/>
      <c r="D1656" s="392"/>
      <c r="E1656" s="393" t="s">
        <v>1341</v>
      </c>
      <c r="F1656" s="379" t="s">
        <v>963</v>
      </c>
      <c r="G1656" s="400">
        <v>4131</v>
      </c>
      <c r="H1656" s="379" t="s">
        <v>183</v>
      </c>
      <c r="I1656" s="394" t="s">
        <v>156</v>
      </c>
      <c r="J1656" s="385">
        <v>33768</v>
      </c>
      <c r="K1656" s="379"/>
      <c r="L1656" s="385">
        <v>37.520000000000003</v>
      </c>
      <c r="M1656" s="385">
        <v>37.520000000000003</v>
      </c>
      <c r="N1656" s="407"/>
      <c r="O1656" s="387">
        <v>0.2</v>
      </c>
      <c r="P1656" s="397">
        <v>0.1</v>
      </c>
      <c r="Q1656" s="386">
        <v>2026.08</v>
      </c>
      <c r="R1656" s="379" t="s">
        <v>229</v>
      </c>
      <c r="S1656" s="388" t="s">
        <v>228</v>
      </c>
      <c r="T1656" s="388">
        <v>36</v>
      </c>
      <c r="U1656" s="398" t="s">
        <v>164</v>
      </c>
      <c r="V1656" s="449"/>
      <c r="X1656" s="386">
        <v>2026.08</v>
      </c>
      <c r="Y1656" s="396"/>
      <c r="AJ1656" s="416">
        <v>2026.08</v>
      </c>
    </row>
    <row r="1657" spans="1:77" s="394" customFormat="1" ht="12" customHeight="1">
      <c r="A1657" s="394" t="s">
        <v>3893</v>
      </c>
      <c r="B1657" s="379" t="s">
        <v>291</v>
      </c>
      <c r="C1657" s="392"/>
      <c r="D1657" s="392"/>
      <c r="E1657" s="393" t="s">
        <v>1341</v>
      </c>
      <c r="F1657" s="379" t="s">
        <v>963</v>
      </c>
      <c r="G1657" s="400">
        <v>4131</v>
      </c>
      <c r="H1657" s="379" t="s">
        <v>310</v>
      </c>
      <c r="I1657" s="394" t="s">
        <v>156</v>
      </c>
      <c r="J1657" s="385">
        <v>13212.4</v>
      </c>
      <c r="K1657" s="379"/>
      <c r="L1657" s="385">
        <v>29</v>
      </c>
      <c r="M1657" s="385">
        <v>29</v>
      </c>
      <c r="N1657" s="407"/>
      <c r="O1657" s="387">
        <v>0.2</v>
      </c>
      <c r="P1657" s="397">
        <v>0.1</v>
      </c>
      <c r="Q1657" s="386">
        <v>3421.42</v>
      </c>
      <c r="R1657" s="379" t="s">
        <v>229</v>
      </c>
      <c r="S1657" s="388" t="s">
        <v>228</v>
      </c>
      <c r="T1657" s="388">
        <v>36</v>
      </c>
      <c r="U1657" s="398" t="s">
        <v>164</v>
      </c>
      <c r="V1657" s="449"/>
      <c r="X1657" s="386">
        <v>3421.42</v>
      </c>
      <c r="Y1657" s="396"/>
      <c r="AJ1657" s="416">
        <v>3421.42</v>
      </c>
    </row>
    <row r="1658" spans="1:77" s="303" customFormat="1" ht="12" customHeight="1">
      <c r="B1658" s="291" t="s">
        <v>291</v>
      </c>
      <c r="C1658" s="301">
        <v>44701</v>
      </c>
      <c r="D1658" s="301">
        <v>44704</v>
      </c>
      <c r="E1658" s="302" t="s">
        <v>1342</v>
      </c>
      <c r="F1658" s="291" t="s">
        <v>1343</v>
      </c>
      <c r="G1658" s="304">
        <v>4336</v>
      </c>
      <c r="H1658" s="303" t="s">
        <v>27</v>
      </c>
      <c r="I1658" s="303" t="s">
        <v>33</v>
      </c>
      <c r="J1658" s="305">
        <v>15137.61</v>
      </c>
      <c r="L1658" s="305">
        <v>12.3</v>
      </c>
      <c r="M1658" s="305">
        <v>12.3</v>
      </c>
      <c r="N1658" s="306"/>
      <c r="O1658" s="298">
        <v>0.25</v>
      </c>
      <c r="P1658" s="307"/>
      <c r="Q1658" s="306">
        <v>0</v>
      </c>
      <c r="R1658" s="291" t="s">
        <v>35</v>
      </c>
      <c r="S1658" s="299" t="s">
        <v>41</v>
      </c>
      <c r="T1658" s="299">
        <v>16</v>
      </c>
      <c r="U1658" s="309" t="s">
        <v>164</v>
      </c>
      <c r="V1658" s="447"/>
      <c r="W1658" s="303" t="s">
        <v>3902</v>
      </c>
      <c r="X1658" s="306">
        <v>0</v>
      </c>
      <c r="Y1658" s="306"/>
      <c r="AH1658" s="303">
        <f>X1658</f>
        <v>0</v>
      </c>
      <c r="AI1658" s="311"/>
      <c r="AJ1658" s="468"/>
    </row>
    <row r="1659" spans="1:77" s="303" customFormat="1" ht="12" customHeight="1">
      <c r="B1659" s="291" t="s">
        <v>291</v>
      </c>
      <c r="C1659" s="301"/>
      <c r="D1659" s="301"/>
      <c r="E1659" s="302" t="s">
        <v>1342</v>
      </c>
      <c r="F1659" s="291" t="s">
        <v>1343</v>
      </c>
      <c r="G1659" s="304">
        <v>4336</v>
      </c>
      <c r="H1659" s="303" t="s">
        <v>99</v>
      </c>
      <c r="I1659" s="303" t="s">
        <v>33</v>
      </c>
      <c r="J1659" s="305">
        <v>28620.15</v>
      </c>
      <c r="L1659" s="305">
        <v>34.04</v>
      </c>
      <c r="M1659" s="305">
        <v>34.04</v>
      </c>
      <c r="N1659" s="306"/>
      <c r="O1659" s="298">
        <v>0.25</v>
      </c>
      <c r="P1659" s="307"/>
      <c r="Q1659" s="306">
        <v>0</v>
      </c>
      <c r="R1659" s="291" t="s">
        <v>35</v>
      </c>
      <c r="S1659" s="299" t="s">
        <v>41</v>
      </c>
      <c r="T1659" s="299">
        <v>16</v>
      </c>
      <c r="U1659" s="309" t="s">
        <v>164</v>
      </c>
      <c r="V1659" s="447"/>
      <c r="W1659" s="303" t="s">
        <v>3902</v>
      </c>
      <c r="X1659" s="306">
        <v>0</v>
      </c>
      <c r="Y1659" s="306"/>
      <c r="AH1659" s="303">
        <f>X1659</f>
        <v>0</v>
      </c>
      <c r="AI1659" s="311"/>
      <c r="AJ1659" s="468"/>
    </row>
    <row r="1660" spans="1:77" s="303" customFormat="1" ht="12" customHeight="1">
      <c r="B1660" s="291" t="s">
        <v>291</v>
      </c>
      <c r="C1660" s="301"/>
      <c r="D1660" s="301"/>
      <c r="E1660" s="302" t="s">
        <v>1342</v>
      </c>
      <c r="F1660" s="291" t="s">
        <v>1343</v>
      </c>
      <c r="G1660" s="304">
        <v>4336</v>
      </c>
      <c r="H1660" s="303" t="s">
        <v>183</v>
      </c>
      <c r="I1660" s="303" t="s">
        <v>33</v>
      </c>
      <c r="J1660" s="305">
        <v>11816.09</v>
      </c>
      <c r="L1660" s="305">
        <v>13.25</v>
      </c>
      <c r="M1660" s="305">
        <v>13.25</v>
      </c>
      <c r="N1660" s="306"/>
      <c r="O1660" s="298">
        <v>0.25</v>
      </c>
      <c r="P1660" s="307"/>
      <c r="Q1660" s="306">
        <v>0</v>
      </c>
      <c r="R1660" s="291" t="s">
        <v>35</v>
      </c>
      <c r="S1660" s="299" t="s">
        <v>41</v>
      </c>
      <c r="T1660" s="299">
        <v>16</v>
      </c>
      <c r="U1660" s="309" t="s">
        <v>164</v>
      </c>
      <c r="V1660" s="447"/>
      <c r="X1660" s="306">
        <v>0</v>
      </c>
      <c r="Y1660" s="306"/>
      <c r="AH1660" s="303">
        <f>X1660</f>
        <v>0</v>
      </c>
      <c r="AI1660" s="311"/>
      <c r="AJ1660" s="468"/>
    </row>
    <row r="1661" spans="1:77" s="341" customFormat="1" ht="12" customHeight="1">
      <c r="B1661" s="337" t="s">
        <v>291</v>
      </c>
      <c r="C1661" s="339"/>
      <c r="D1661" s="339"/>
      <c r="E1661" s="340" t="s">
        <v>1342</v>
      </c>
      <c r="F1661" s="337" t="s">
        <v>1343</v>
      </c>
      <c r="G1661" s="342">
        <v>4336</v>
      </c>
      <c r="H1661" s="341" t="s">
        <v>295</v>
      </c>
      <c r="I1661" s="341" t="s">
        <v>33</v>
      </c>
      <c r="J1661" s="343">
        <v>9638.73</v>
      </c>
      <c r="L1661" s="343">
        <v>13.17</v>
      </c>
      <c r="M1661" s="343">
        <v>13.17</v>
      </c>
      <c r="N1661" s="344"/>
      <c r="O1661" s="355">
        <v>0.25</v>
      </c>
      <c r="P1661" s="345"/>
      <c r="Q1661" s="344">
        <v>0</v>
      </c>
      <c r="R1661" s="337" t="s">
        <v>35</v>
      </c>
      <c r="S1661" s="356" t="s">
        <v>41</v>
      </c>
      <c r="T1661" s="356">
        <v>16</v>
      </c>
      <c r="U1661" s="347" t="s">
        <v>164</v>
      </c>
      <c r="V1661" s="451"/>
      <c r="X1661" s="344">
        <v>0</v>
      </c>
      <c r="Y1661" s="344"/>
      <c r="AI1661" s="341">
        <v>0</v>
      </c>
      <c r="AJ1661" s="358"/>
      <c r="AK1661" s="369"/>
    </row>
    <row r="1662" spans="1:77" s="341" customFormat="1" ht="12" customHeight="1">
      <c r="B1662" s="337" t="s">
        <v>291</v>
      </c>
      <c r="C1662" s="339">
        <v>44701</v>
      </c>
      <c r="D1662" s="339">
        <v>44704</v>
      </c>
      <c r="E1662" s="340" t="s">
        <v>1344</v>
      </c>
      <c r="F1662" s="337" t="s">
        <v>1345</v>
      </c>
      <c r="G1662" s="342">
        <v>4245</v>
      </c>
      <c r="H1662" s="341" t="s">
        <v>99</v>
      </c>
      <c r="I1662" s="341" t="s">
        <v>888</v>
      </c>
      <c r="J1662" s="343">
        <v>28875.439999999999</v>
      </c>
      <c r="L1662" s="343">
        <v>29.83</v>
      </c>
      <c r="M1662" s="343">
        <v>29.83</v>
      </c>
      <c r="N1662" s="344">
        <v>2021.28</v>
      </c>
      <c r="O1662" s="355">
        <v>0.15</v>
      </c>
      <c r="P1662" s="345"/>
      <c r="Q1662" s="344">
        <v>0</v>
      </c>
      <c r="R1662" s="337" t="s">
        <v>281</v>
      </c>
      <c r="S1662" s="356" t="s">
        <v>882</v>
      </c>
      <c r="T1662" s="356">
        <v>89</v>
      </c>
      <c r="U1662" s="347" t="s">
        <v>164</v>
      </c>
      <c r="V1662" s="451"/>
      <c r="X1662" s="344">
        <v>0</v>
      </c>
      <c r="Y1662" s="344"/>
      <c r="AI1662" s="341">
        <f t="shared" ref="AI1662:AI1667" si="27">X1662</f>
        <v>0</v>
      </c>
      <c r="AJ1662" s="358"/>
      <c r="AK1662" s="369"/>
      <c r="AL1662" s="337"/>
      <c r="AM1662" s="337"/>
      <c r="AN1662" s="337"/>
      <c r="AO1662" s="337"/>
      <c r="AP1662" s="337"/>
      <c r="AQ1662" s="337"/>
      <c r="AR1662" s="337"/>
      <c r="AS1662" s="337"/>
      <c r="AT1662" s="337"/>
      <c r="AU1662" s="337"/>
      <c r="AV1662" s="337"/>
      <c r="AW1662" s="337"/>
      <c r="AX1662" s="337"/>
      <c r="AY1662" s="337"/>
      <c r="AZ1662" s="337"/>
      <c r="BA1662" s="337"/>
      <c r="BB1662" s="337"/>
      <c r="BC1662" s="337"/>
      <c r="BD1662" s="337"/>
      <c r="BE1662" s="337"/>
      <c r="BF1662" s="337"/>
      <c r="BG1662" s="337"/>
      <c r="BH1662" s="337"/>
      <c r="BI1662" s="337"/>
      <c r="BJ1662" s="337"/>
      <c r="BK1662" s="337"/>
      <c r="BL1662" s="337"/>
      <c r="BM1662" s="337"/>
      <c r="BN1662" s="337"/>
      <c r="BO1662" s="337"/>
      <c r="BP1662" s="337"/>
      <c r="BQ1662" s="337"/>
      <c r="BR1662" s="337"/>
      <c r="BS1662" s="337"/>
      <c r="BT1662" s="337"/>
      <c r="BU1662" s="337"/>
      <c r="BV1662" s="337"/>
      <c r="BW1662" s="337"/>
      <c r="BX1662" s="337"/>
      <c r="BY1662" s="337"/>
    </row>
    <row r="1663" spans="1:77" s="341" customFormat="1" ht="12" customHeight="1">
      <c r="B1663" s="337" t="s">
        <v>291</v>
      </c>
      <c r="C1663" s="339"/>
      <c r="D1663" s="339"/>
      <c r="E1663" s="340" t="s">
        <v>1344</v>
      </c>
      <c r="F1663" s="337" t="s">
        <v>1345</v>
      </c>
      <c r="G1663" s="342">
        <v>4245</v>
      </c>
      <c r="H1663" s="341" t="s">
        <v>137</v>
      </c>
      <c r="I1663" s="341" t="s">
        <v>888</v>
      </c>
      <c r="J1663" s="343">
        <v>32984</v>
      </c>
      <c r="L1663" s="343">
        <v>41.23</v>
      </c>
      <c r="M1663" s="343">
        <v>41.23</v>
      </c>
      <c r="N1663" s="344">
        <v>8246</v>
      </c>
      <c r="O1663" s="355">
        <v>0.15</v>
      </c>
      <c r="P1663" s="345"/>
      <c r="Q1663" s="344">
        <v>0</v>
      </c>
      <c r="R1663" s="337" t="s">
        <v>281</v>
      </c>
      <c r="S1663" s="356" t="s">
        <v>882</v>
      </c>
      <c r="T1663" s="356">
        <v>89</v>
      </c>
      <c r="U1663" s="347" t="s">
        <v>164</v>
      </c>
      <c r="V1663" s="451"/>
      <c r="X1663" s="344">
        <v>0</v>
      </c>
      <c r="Y1663" s="344"/>
      <c r="AI1663" s="341">
        <f t="shared" si="27"/>
        <v>0</v>
      </c>
      <c r="AJ1663" s="358"/>
      <c r="AK1663" s="369"/>
      <c r="AL1663" s="337"/>
      <c r="AM1663" s="337"/>
      <c r="AN1663" s="337"/>
      <c r="AO1663" s="337"/>
      <c r="AP1663" s="337"/>
      <c r="AQ1663" s="337"/>
      <c r="AR1663" s="337"/>
      <c r="AS1663" s="337"/>
      <c r="AT1663" s="337"/>
      <c r="AU1663" s="337"/>
      <c r="AV1663" s="337"/>
      <c r="AW1663" s="337"/>
      <c r="AX1663" s="337"/>
      <c r="AY1663" s="337"/>
      <c r="AZ1663" s="337"/>
      <c r="BA1663" s="337"/>
      <c r="BB1663" s="337"/>
      <c r="BC1663" s="337"/>
      <c r="BD1663" s="337"/>
      <c r="BE1663" s="337"/>
      <c r="BF1663" s="337"/>
      <c r="BG1663" s="337"/>
      <c r="BH1663" s="337"/>
      <c r="BI1663" s="337"/>
      <c r="BJ1663" s="337"/>
      <c r="BK1663" s="337"/>
      <c r="BL1663" s="337"/>
      <c r="BM1663" s="337"/>
      <c r="BN1663" s="337"/>
      <c r="BO1663" s="337"/>
      <c r="BP1663" s="337"/>
      <c r="BQ1663" s="337"/>
      <c r="BR1663" s="337"/>
      <c r="BS1663" s="337"/>
      <c r="BT1663" s="337"/>
      <c r="BU1663" s="337"/>
      <c r="BV1663" s="337"/>
      <c r="BW1663" s="337"/>
      <c r="BX1663" s="337"/>
      <c r="BY1663" s="337"/>
    </row>
    <row r="1664" spans="1:77" s="341" customFormat="1" ht="12" customHeight="1">
      <c r="B1664" s="337" t="s">
        <v>291</v>
      </c>
      <c r="C1664" s="339"/>
      <c r="D1664" s="339"/>
      <c r="E1664" s="340" t="s">
        <v>1344</v>
      </c>
      <c r="F1664" s="337" t="s">
        <v>1345</v>
      </c>
      <c r="G1664" s="342">
        <v>4245</v>
      </c>
      <c r="H1664" s="341" t="s">
        <v>310</v>
      </c>
      <c r="I1664" s="341" t="s">
        <v>888</v>
      </c>
      <c r="J1664" s="343">
        <v>31412.48</v>
      </c>
      <c r="L1664" s="343">
        <v>62.08</v>
      </c>
      <c r="M1664" s="343">
        <v>62.07</v>
      </c>
      <c r="N1664" s="344">
        <v>16648.61</v>
      </c>
      <c r="O1664" s="355">
        <v>0.15</v>
      </c>
      <c r="P1664" s="345"/>
      <c r="Q1664" s="344">
        <v>7294.4</v>
      </c>
      <c r="R1664" s="337" t="s">
        <v>281</v>
      </c>
      <c r="S1664" s="356" t="s">
        <v>882</v>
      </c>
      <c r="T1664" s="356">
        <v>89</v>
      </c>
      <c r="U1664" s="347" t="s">
        <v>164</v>
      </c>
      <c r="V1664" s="451"/>
      <c r="X1664" s="344">
        <v>7294.4</v>
      </c>
      <c r="Y1664" s="344"/>
      <c r="AI1664" s="341">
        <f t="shared" si="27"/>
        <v>7294.4</v>
      </c>
      <c r="AJ1664" s="358"/>
      <c r="AK1664" s="369"/>
      <c r="AL1664" s="337"/>
      <c r="AM1664" s="337"/>
      <c r="AN1664" s="337"/>
      <c r="AO1664" s="337"/>
      <c r="AP1664" s="337"/>
      <c r="AQ1664" s="337"/>
      <c r="AR1664" s="337"/>
      <c r="AS1664" s="337"/>
      <c r="AT1664" s="337"/>
      <c r="AU1664" s="337"/>
      <c r="AV1664" s="337"/>
      <c r="AW1664" s="337"/>
      <c r="AX1664" s="337"/>
      <c r="AY1664" s="337"/>
      <c r="AZ1664" s="337"/>
      <c r="BA1664" s="337"/>
      <c r="BB1664" s="337"/>
      <c r="BC1664" s="337"/>
      <c r="BD1664" s="337"/>
      <c r="BE1664" s="337"/>
      <c r="BF1664" s="337"/>
      <c r="BG1664" s="337"/>
      <c r="BH1664" s="337"/>
      <c r="BI1664" s="337"/>
      <c r="BJ1664" s="337"/>
      <c r="BK1664" s="337"/>
      <c r="BL1664" s="337"/>
      <c r="BM1664" s="337"/>
      <c r="BN1664" s="337"/>
      <c r="BO1664" s="337"/>
      <c r="BP1664" s="337"/>
      <c r="BQ1664" s="337"/>
      <c r="BR1664" s="337"/>
      <c r="BS1664" s="337"/>
      <c r="BT1664" s="337"/>
      <c r="BU1664" s="337"/>
      <c r="BV1664" s="337"/>
      <c r="BW1664" s="337"/>
      <c r="BX1664" s="337"/>
      <c r="BY1664" s="337"/>
    </row>
    <row r="1665" spans="2:77" s="341" customFormat="1" ht="12" customHeight="1">
      <c r="B1665" s="337" t="s">
        <v>291</v>
      </c>
      <c r="C1665" s="339">
        <v>44704</v>
      </c>
      <c r="D1665" s="339">
        <v>44704</v>
      </c>
      <c r="E1665" s="340" t="s">
        <v>1346</v>
      </c>
      <c r="F1665" s="337" t="s">
        <v>1347</v>
      </c>
      <c r="G1665" s="342">
        <v>4230</v>
      </c>
      <c r="H1665" s="341" t="s">
        <v>99</v>
      </c>
      <c r="I1665" s="341" t="s">
        <v>888</v>
      </c>
      <c r="J1665" s="343">
        <v>74282.179999999993</v>
      </c>
      <c r="L1665" s="343">
        <v>70.209999999999994</v>
      </c>
      <c r="M1665" s="343">
        <v>70.209999999999994</v>
      </c>
      <c r="N1665" s="344">
        <v>17827.72</v>
      </c>
      <c r="O1665" s="355">
        <v>0.15</v>
      </c>
      <c r="P1665" s="345"/>
      <c r="Q1665" s="344">
        <v>1916.73</v>
      </c>
      <c r="R1665" s="337" t="s">
        <v>281</v>
      </c>
      <c r="S1665" s="356" t="s">
        <v>882</v>
      </c>
      <c r="T1665" s="356">
        <v>89</v>
      </c>
      <c r="U1665" s="347" t="s">
        <v>164</v>
      </c>
      <c r="V1665" s="451"/>
      <c r="X1665" s="344">
        <v>1916.73</v>
      </c>
      <c r="Y1665" s="344"/>
      <c r="AI1665" s="341">
        <f t="shared" si="27"/>
        <v>1916.73</v>
      </c>
      <c r="AJ1665" s="358"/>
      <c r="AK1665" s="369"/>
      <c r="AL1665" s="337"/>
      <c r="AM1665" s="337"/>
      <c r="AN1665" s="337"/>
      <c r="AO1665" s="337"/>
      <c r="AP1665" s="337"/>
      <c r="AQ1665" s="337"/>
      <c r="AR1665" s="337"/>
      <c r="AS1665" s="337"/>
      <c r="AT1665" s="337"/>
      <c r="AU1665" s="337"/>
      <c r="AV1665" s="337"/>
      <c r="AW1665" s="337"/>
      <c r="AX1665" s="337"/>
      <c r="AY1665" s="337"/>
      <c r="AZ1665" s="337"/>
      <c r="BA1665" s="337"/>
      <c r="BB1665" s="337"/>
      <c r="BC1665" s="337"/>
      <c r="BD1665" s="337"/>
      <c r="BE1665" s="337"/>
      <c r="BF1665" s="337"/>
      <c r="BG1665" s="337"/>
      <c r="BH1665" s="337"/>
      <c r="BI1665" s="337"/>
      <c r="BJ1665" s="337"/>
      <c r="BK1665" s="337"/>
      <c r="BL1665" s="337"/>
      <c r="BM1665" s="337"/>
      <c r="BN1665" s="337"/>
      <c r="BO1665" s="337"/>
      <c r="BP1665" s="337"/>
      <c r="BQ1665" s="337"/>
      <c r="BR1665" s="337"/>
      <c r="BS1665" s="337"/>
      <c r="BT1665" s="337"/>
      <c r="BU1665" s="337"/>
      <c r="BV1665" s="337"/>
      <c r="BW1665" s="337"/>
      <c r="BX1665" s="337"/>
      <c r="BY1665" s="337"/>
    </row>
    <row r="1666" spans="2:77" s="341" customFormat="1" ht="12" customHeight="1">
      <c r="B1666" s="337" t="s">
        <v>291</v>
      </c>
      <c r="C1666" s="339"/>
      <c r="D1666" s="339"/>
      <c r="E1666" s="340" t="s">
        <v>1346</v>
      </c>
      <c r="F1666" s="337" t="s">
        <v>1347</v>
      </c>
      <c r="G1666" s="342">
        <v>4230</v>
      </c>
      <c r="H1666" s="341" t="s">
        <v>137</v>
      </c>
      <c r="I1666" s="341" t="s">
        <v>888</v>
      </c>
      <c r="J1666" s="343">
        <v>37559.160000000003</v>
      </c>
      <c r="L1666" s="343">
        <v>44.82</v>
      </c>
      <c r="M1666" s="343">
        <v>44.82</v>
      </c>
      <c r="N1666" s="344">
        <v>10516.56</v>
      </c>
      <c r="O1666" s="355">
        <v>0.15</v>
      </c>
      <c r="P1666" s="345"/>
      <c r="Q1666" s="344">
        <v>1985.53</v>
      </c>
      <c r="R1666" s="337" t="s">
        <v>281</v>
      </c>
      <c r="S1666" s="356" t="s">
        <v>882</v>
      </c>
      <c r="T1666" s="356">
        <v>89</v>
      </c>
      <c r="U1666" s="347" t="s">
        <v>164</v>
      </c>
      <c r="V1666" s="451"/>
      <c r="X1666" s="344">
        <v>1985.53</v>
      </c>
      <c r="Y1666" s="344"/>
      <c r="AI1666" s="341">
        <f t="shared" si="27"/>
        <v>1985.53</v>
      </c>
      <c r="AJ1666" s="358"/>
      <c r="AK1666" s="369"/>
      <c r="AL1666" s="337"/>
      <c r="AM1666" s="337"/>
      <c r="AN1666" s="337"/>
      <c r="AO1666" s="337"/>
      <c r="AP1666" s="337"/>
      <c r="AQ1666" s="337"/>
      <c r="AR1666" s="337"/>
      <c r="AS1666" s="337"/>
      <c r="AT1666" s="337"/>
      <c r="AU1666" s="337"/>
      <c r="AV1666" s="337"/>
      <c r="AW1666" s="337"/>
      <c r="AX1666" s="337"/>
      <c r="AY1666" s="337"/>
      <c r="AZ1666" s="337"/>
      <c r="BA1666" s="337"/>
      <c r="BB1666" s="337"/>
      <c r="BC1666" s="337"/>
      <c r="BD1666" s="337"/>
      <c r="BE1666" s="337"/>
      <c r="BF1666" s="337"/>
      <c r="BG1666" s="337"/>
      <c r="BH1666" s="337"/>
      <c r="BI1666" s="337"/>
      <c r="BJ1666" s="337"/>
      <c r="BK1666" s="337"/>
      <c r="BL1666" s="337"/>
      <c r="BM1666" s="337"/>
      <c r="BN1666" s="337"/>
      <c r="BO1666" s="337"/>
      <c r="BP1666" s="337"/>
      <c r="BQ1666" s="337"/>
      <c r="BR1666" s="337"/>
      <c r="BS1666" s="337"/>
      <c r="BT1666" s="337"/>
      <c r="BU1666" s="337"/>
      <c r="BV1666" s="337"/>
      <c r="BW1666" s="337"/>
      <c r="BX1666" s="337"/>
      <c r="BY1666" s="337"/>
    </row>
    <row r="1667" spans="2:77" s="341" customFormat="1" ht="12" customHeight="1">
      <c r="B1667" s="337" t="s">
        <v>291</v>
      </c>
      <c r="C1667" s="339"/>
      <c r="D1667" s="339"/>
      <c r="E1667" s="340" t="s">
        <v>1346</v>
      </c>
      <c r="F1667" s="337" t="s">
        <v>1347</v>
      </c>
      <c r="G1667" s="342">
        <v>4230</v>
      </c>
      <c r="H1667" s="341" t="s">
        <v>765</v>
      </c>
      <c r="I1667" s="341" t="s">
        <v>888</v>
      </c>
      <c r="J1667" s="343">
        <v>74117.84</v>
      </c>
      <c r="L1667" s="343">
        <v>9.73</v>
      </c>
      <c r="M1667" s="343">
        <v>9.73</v>
      </c>
      <c r="N1667" s="344">
        <v>30388.31</v>
      </c>
      <c r="O1667" s="355">
        <v>0.15</v>
      </c>
      <c r="P1667" s="345"/>
      <c r="Q1667" s="344">
        <v>12732.12</v>
      </c>
      <c r="R1667" s="337" t="s">
        <v>281</v>
      </c>
      <c r="S1667" s="356" t="s">
        <v>882</v>
      </c>
      <c r="T1667" s="356">
        <v>89</v>
      </c>
      <c r="U1667" s="347" t="s">
        <v>164</v>
      </c>
      <c r="V1667" s="451"/>
      <c r="X1667" s="344">
        <v>12732.12</v>
      </c>
      <c r="Y1667" s="344"/>
      <c r="AI1667" s="341">
        <f t="shared" si="27"/>
        <v>12732.12</v>
      </c>
      <c r="AJ1667" s="358"/>
      <c r="AK1667" s="369"/>
      <c r="AL1667" s="337"/>
      <c r="AM1667" s="337"/>
      <c r="AN1667" s="337"/>
      <c r="AO1667" s="337"/>
      <c r="AP1667" s="337"/>
      <c r="AQ1667" s="337"/>
      <c r="AR1667" s="337"/>
      <c r="AS1667" s="337"/>
      <c r="AT1667" s="337"/>
      <c r="AU1667" s="337"/>
      <c r="AV1667" s="337"/>
      <c r="AW1667" s="337"/>
      <c r="AX1667" s="337"/>
      <c r="AY1667" s="337"/>
      <c r="AZ1667" s="337"/>
      <c r="BA1667" s="337"/>
      <c r="BB1667" s="337"/>
      <c r="BC1667" s="337"/>
      <c r="BD1667" s="337"/>
      <c r="BE1667" s="337"/>
      <c r="BF1667" s="337"/>
      <c r="BG1667" s="337"/>
      <c r="BH1667" s="337"/>
      <c r="BI1667" s="337"/>
      <c r="BJ1667" s="337"/>
      <c r="BK1667" s="337"/>
      <c r="BL1667" s="337"/>
      <c r="BM1667" s="337"/>
      <c r="BN1667" s="337"/>
      <c r="BO1667" s="337"/>
      <c r="BP1667" s="337"/>
      <c r="BQ1667" s="337"/>
      <c r="BR1667" s="337"/>
      <c r="BS1667" s="337"/>
      <c r="BT1667" s="337"/>
      <c r="BU1667" s="337"/>
      <c r="BV1667" s="337"/>
      <c r="BW1667" s="337"/>
      <c r="BX1667" s="337"/>
      <c r="BY1667" s="337"/>
    </row>
    <row r="1668" spans="2:77" s="303" customFormat="1" ht="12" customHeight="1">
      <c r="B1668" s="310" t="s">
        <v>291</v>
      </c>
      <c r="C1668" s="301">
        <v>44703</v>
      </c>
      <c r="D1668" s="301">
        <v>44704</v>
      </c>
      <c r="E1668" s="302" t="s">
        <v>1348</v>
      </c>
      <c r="F1668" s="291" t="s">
        <v>399</v>
      </c>
      <c r="G1668" s="294" t="s">
        <v>400</v>
      </c>
      <c r="H1668" s="291" t="s">
        <v>496</v>
      </c>
      <c r="I1668" s="303" t="s">
        <v>1296</v>
      </c>
      <c r="J1668" s="305">
        <v>76540.800000000003</v>
      </c>
      <c r="L1668" s="305">
        <v>42.88</v>
      </c>
      <c r="M1668" s="305">
        <v>42.88</v>
      </c>
      <c r="N1668" s="306"/>
      <c r="O1668" s="298">
        <v>0.2</v>
      </c>
      <c r="P1668" s="307"/>
      <c r="Q1668" s="306">
        <v>0</v>
      </c>
      <c r="R1668" s="291" t="s">
        <v>128</v>
      </c>
      <c r="S1668" s="299" t="s">
        <v>41</v>
      </c>
      <c r="T1668" s="299">
        <v>86</v>
      </c>
      <c r="U1668" s="300" t="s">
        <v>164</v>
      </c>
      <c r="V1668" s="447"/>
      <c r="X1668" s="297">
        <v>0</v>
      </c>
      <c r="Y1668" s="306"/>
      <c r="AH1668" s="291">
        <f>X1668</f>
        <v>0</v>
      </c>
      <c r="AI1668" s="311"/>
      <c r="AJ1668" s="468"/>
    </row>
    <row r="1669" spans="2:77" s="303" customFormat="1" ht="12" customHeight="1">
      <c r="B1669" s="310" t="s">
        <v>291</v>
      </c>
      <c r="C1669" s="301"/>
      <c r="D1669" s="301"/>
      <c r="E1669" s="302" t="s">
        <v>1348</v>
      </c>
      <c r="F1669" s="291" t="s">
        <v>399</v>
      </c>
      <c r="G1669" s="294" t="s">
        <v>400</v>
      </c>
      <c r="H1669" s="291" t="s">
        <v>183</v>
      </c>
      <c r="I1669" s="303" t="s">
        <v>1296</v>
      </c>
      <c r="J1669" s="305">
        <v>27433.14</v>
      </c>
      <c r="L1669" s="305">
        <v>21.07</v>
      </c>
      <c r="M1669" s="305">
        <v>21.07</v>
      </c>
      <c r="N1669" s="306"/>
      <c r="O1669" s="298">
        <v>0.2</v>
      </c>
      <c r="P1669" s="307"/>
      <c r="Q1669" s="306">
        <v>500</v>
      </c>
      <c r="R1669" s="291" t="s">
        <v>128</v>
      </c>
      <c r="S1669" s="299" t="s">
        <v>41</v>
      </c>
      <c r="T1669" s="299">
        <v>86</v>
      </c>
      <c r="U1669" s="300" t="s">
        <v>164</v>
      </c>
      <c r="V1669" s="447">
        <v>500</v>
      </c>
      <c r="X1669" s="297">
        <v>500</v>
      </c>
      <c r="Y1669" s="306"/>
      <c r="AH1669" s="291">
        <f>X1669</f>
        <v>500</v>
      </c>
      <c r="AI1669" s="311"/>
      <c r="AJ1669" s="468"/>
    </row>
    <row r="1670" spans="2:77" s="303" customFormat="1" ht="12" customHeight="1">
      <c r="B1670" s="310" t="s">
        <v>291</v>
      </c>
      <c r="C1670" s="301"/>
      <c r="D1670" s="301"/>
      <c r="E1670" s="302" t="s">
        <v>1348</v>
      </c>
      <c r="F1670" s="291" t="s">
        <v>399</v>
      </c>
      <c r="G1670" s="294" t="s">
        <v>400</v>
      </c>
      <c r="H1670" s="291" t="s">
        <v>99</v>
      </c>
      <c r="I1670" s="303" t="s">
        <v>1296</v>
      </c>
      <c r="J1670" s="305">
        <v>66761.36</v>
      </c>
      <c r="L1670" s="305">
        <v>41.51</v>
      </c>
      <c r="M1670" s="305">
        <v>41.51</v>
      </c>
      <c r="N1670" s="306"/>
      <c r="O1670" s="298">
        <v>0.2</v>
      </c>
      <c r="P1670" s="307"/>
      <c r="Q1670" s="306">
        <v>0</v>
      </c>
      <c r="R1670" s="291" t="s">
        <v>128</v>
      </c>
      <c r="S1670" s="299" t="s">
        <v>41</v>
      </c>
      <c r="T1670" s="299">
        <v>86</v>
      </c>
      <c r="U1670" s="300" t="s">
        <v>164</v>
      </c>
      <c r="V1670" s="447"/>
      <c r="X1670" s="297">
        <v>0</v>
      </c>
      <c r="Y1670" s="306"/>
      <c r="AH1670" s="291">
        <f>X1670</f>
        <v>0</v>
      </c>
      <c r="AI1670" s="311"/>
      <c r="AJ1670" s="468"/>
    </row>
    <row r="1671" spans="2:77" s="394" customFormat="1" ht="12" customHeight="1">
      <c r="B1671" s="380" t="s">
        <v>291</v>
      </c>
      <c r="C1671" s="392">
        <v>44677</v>
      </c>
      <c r="D1671" s="392">
        <v>44705</v>
      </c>
      <c r="E1671" s="393" t="s">
        <v>1350</v>
      </c>
      <c r="F1671" s="379" t="s">
        <v>76</v>
      </c>
      <c r="G1671" s="400">
        <v>3590</v>
      </c>
      <c r="H1671" s="394" t="s">
        <v>137</v>
      </c>
      <c r="I1671" s="394" t="s">
        <v>1351</v>
      </c>
      <c r="J1671" s="395">
        <v>16364.7</v>
      </c>
      <c r="L1671" s="395">
        <v>14.5</v>
      </c>
      <c r="M1671" s="395">
        <v>14.5</v>
      </c>
      <c r="N1671" s="396"/>
      <c r="O1671" s="387">
        <v>0.2</v>
      </c>
      <c r="P1671" s="397">
        <v>0.1</v>
      </c>
      <c r="Q1671" s="396">
        <v>0</v>
      </c>
      <c r="R1671" s="379" t="s">
        <v>42</v>
      </c>
      <c r="S1671" s="388" t="s">
        <v>41</v>
      </c>
      <c r="T1671" s="388">
        <v>16</v>
      </c>
      <c r="U1671" s="398" t="s">
        <v>164</v>
      </c>
      <c r="V1671" s="449"/>
      <c r="X1671" s="396">
        <v>0</v>
      </c>
      <c r="Y1671" s="396"/>
      <c r="AJ1671" s="390">
        <v>0</v>
      </c>
    </row>
    <row r="1672" spans="2:77" s="394" customFormat="1" ht="12" customHeight="1">
      <c r="B1672" s="380" t="s">
        <v>291</v>
      </c>
      <c r="C1672" s="392"/>
      <c r="D1672" s="392"/>
      <c r="E1672" s="393" t="s">
        <v>1350</v>
      </c>
      <c r="F1672" s="379" t="s">
        <v>76</v>
      </c>
      <c r="G1672" s="400">
        <v>3590</v>
      </c>
      <c r="H1672" s="394" t="s">
        <v>99</v>
      </c>
      <c r="I1672" s="394" t="s">
        <v>1351</v>
      </c>
      <c r="J1672" s="395">
        <v>27404</v>
      </c>
      <c r="L1672" s="395">
        <v>26</v>
      </c>
      <c r="M1672" s="395">
        <v>21.9</v>
      </c>
      <c r="N1672" s="396"/>
      <c r="O1672" s="387">
        <v>0.2</v>
      </c>
      <c r="P1672" s="397">
        <v>0.1</v>
      </c>
      <c r="Q1672" s="396">
        <v>0</v>
      </c>
      <c r="R1672" s="379" t="s">
        <v>42</v>
      </c>
      <c r="S1672" s="388" t="s">
        <v>41</v>
      </c>
      <c r="T1672" s="388">
        <v>16</v>
      </c>
      <c r="U1672" s="398" t="s">
        <v>164</v>
      </c>
      <c r="V1672" s="449"/>
      <c r="X1672" s="396">
        <v>0</v>
      </c>
      <c r="Y1672" s="396"/>
      <c r="AJ1672" s="390">
        <v>0</v>
      </c>
    </row>
    <row r="1673" spans="2:77" s="394" customFormat="1" ht="12" customHeight="1">
      <c r="B1673" s="380" t="s">
        <v>291</v>
      </c>
      <c r="C1673" s="392"/>
      <c r="D1673" s="392"/>
      <c r="E1673" s="393" t="s">
        <v>1350</v>
      </c>
      <c r="F1673" s="379" t="s">
        <v>76</v>
      </c>
      <c r="G1673" s="400">
        <v>3590</v>
      </c>
      <c r="H1673" s="394" t="s">
        <v>27</v>
      </c>
      <c r="I1673" s="394" t="s">
        <v>1351</v>
      </c>
      <c r="J1673" s="395">
        <v>22232</v>
      </c>
      <c r="L1673" s="395">
        <v>16</v>
      </c>
      <c r="M1673" s="395">
        <v>16</v>
      </c>
      <c r="N1673" s="396"/>
      <c r="O1673" s="387">
        <v>0.2</v>
      </c>
      <c r="P1673" s="397">
        <v>0.1</v>
      </c>
      <c r="Q1673" s="396">
        <v>0</v>
      </c>
      <c r="R1673" s="379" t="s">
        <v>42</v>
      </c>
      <c r="S1673" s="388" t="s">
        <v>41</v>
      </c>
      <c r="T1673" s="388">
        <v>16</v>
      </c>
      <c r="U1673" s="398" t="s">
        <v>164</v>
      </c>
      <c r="V1673" s="449"/>
      <c r="X1673" s="396">
        <v>0</v>
      </c>
      <c r="Y1673" s="396"/>
      <c r="AJ1673" s="390">
        <v>0</v>
      </c>
    </row>
    <row r="1674" spans="2:77" s="164" customFormat="1" ht="12" customHeight="1">
      <c r="B1674" s="154" t="s">
        <v>291</v>
      </c>
      <c r="C1674" s="166">
        <v>44701</v>
      </c>
      <c r="D1674" s="166">
        <v>44704</v>
      </c>
      <c r="E1674" s="167" t="s">
        <v>1352</v>
      </c>
      <c r="F1674" s="153" t="s">
        <v>1353</v>
      </c>
      <c r="G1674" s="168">
        <v>3753</v>
      </c>
      <c r="H1674" s="164" t="s">
        <v>99</v>
      </c>
      <c r="I1674" s="164" t="s">
        <v>156</v>
      </c>
      <c r="J1674" s="169">
        <v>83665</v>
      </c>
      <c r="L1674" s="169">
        <v>57.7</v>
      </c>
      <c r="M1674" s="169">
        <v>27.04</v>
      </c>
      <c r="N1674" s="170"/>
      <c r="O1674" s="160">
        <v>0.3</v>
      </c>
      <c r="P1674" s="171">
        <v>0.1</v>
      </c>
      <c r="Q1674" s="170">
        <v>0</v>
      </c>
      <c r="R1674" s="153" t="s">
        <v>54</v>
      </c>
      <c r="S1674" s="161" t="s">
        <v>51</v>
      </c>
      <c r="T1674" s="161">
        <v>55</v>
      </c>
      <c r="U1674" s="173" t="s">
        <v>164</v>
      </c>
      <c r="V1674" s="452"/>
      <c r="X1674" s="170">
        <v>0</v>
      </c>
      <c r="Y1674" s="170"/>
      <c r="AD1674" s="177">
        <f>X1674</f>
        <v>0</v>
      </c>
      <c r="AJ1674" s="644"/>
    </row>
    <row r="1675" spans="2:77" s="184" customFormat="1" ht="12" customHeight="1">
      <c r="B1675" s="178" t="s">
        <v>291</v>
      </c>
      <c r="C1675" s="192"/>
      <c r="D1675" s="192"/>
      <c r="E1675" s="193" t="s">
        <v>1352</v>
      </c>
      <c r="F1675" s="181" t="s">
        <v>1353</v>
      </c>
      <c r="G1675" s="194">
        <v>3753</v>
      </c>
      <c r="H1675" s="184" t="s">
        <v>137</v>
      </c>
      <c r="I1675" s="184" t="s">
        <v>156</v>
      </c>
      <c r="J1675" s="195">
        <v>21167.26</v>
      </c>
      <c r="L1675" s="195">
        <v>16.28</v>
      </c>
      <c r="M1675" s="195">
        <v>16.28</v>
      </c>
      <c r="N1675" s="196">
        <v>1270</v>
      </c>
      <c r="O1675" s="186">
        <v>0.3</v>
      </c>
      <c r="P1675" s="197">
        <v>0.1</v>
      </c>
      <c r="Q1675" s="196">
        <v>0</v>
      </c>
      <c r="R1675" s="181" t="s">
        <v>54</v>
      </c>
      <c r="S1675" s="187" t="s">
        <v>51</v>
      </c>
      <c r="T1675" s="187">
        <v>55</v>
      </c>
      <c r="U1675" s="198" t="s">
        <v>164</v>
      </c>
      <c r="V1675" s="450"/>
      <c r="X1675" s="196">
        <v>0</v>
      </c>
      <c r="Y1675" s="196"/>
      <c r="AE1675" s="235">
        <f>X1675</f>
        <v>0</v>
      </c>
      <c r="AJ1675" s="189"/>
    </row>
    <row r="1676" spans="2:77" s="164" customFormat="1" ht="12" customHeight="1">
      <c r="B1676" s="154" t="s">
        <v>291</v>
      </c>
      <c r="C1676" s="166"/>
      <c r="D1676" s="166"/>
      <c r="E1676" s="167" t="s">
        <v>1352</v>
      </c>
      <c r="F1676" s="153" t="s">
        <v>1353</v>
      </c>
      <c r="G1676" s="168">
        <v>3753</v>
      </c>
      <c r="H1676" s="164" t="s">
        <v>27</v>
      </c>
      <c r="I1676" s="164" t="s">
        <v>156</v>
      </c>
      <c r="J1676" s="169">
        <v>46432.1</v>
      </c>
      <c r="L1676" s="169">
        <v>32.47</v>
      </c>
      <c r="M1676" s="169">
        <v>32.47</v>
      </c>
      <c r="N1676" s="170"/>
      <c r="O1676" s="160">
        <v>0.3</v>
      </c>
      <c r="P1676" s="171">
        <v>0.1</v>
      </c>
      <c r="Q1676" s="170">
        <v>0</v>
      </c>
      <c r="R1676" s="153" t="s">
        <v>54</v>
      </c>
      <c r="S1676" s="161" t="s">
        <v>51</v>
      </c>
      <c r="T1676" s="161">
        <v>55</v>
      </c>
      <c r="U1676" s="173" t="s">
        <v>164</v>
      </c>
      <c r="V1676" s="452"/>
      <c r="X1676" s="170">
        <v>0</v>
      </c>
      <c r="Y1676" s="170"/>
      <c r="AD1676" s="177">
        <f>X1676</f>
        <v>0</v>
      </c>
      <c r="AJ1676" s="644"/>
    </row>
    <row r="1677" spans="2:77" s="394" customFormat="1" ht="12" customHeight="1">
      <c r="B1677" s="380" t="s">
        <v>291</v>
      </c>
      <c r="C1677" s="392">
        <v>44703</v>
      </c>
      <c r="D1677" s="392">
        <v>44704</v>
      </c>
      <c r="E1677" s="393" t="s">
        <v>1354</v>
      </c>
      <c r="F1677" s="379" t="s">
        <v>431</v>
      </c>
      <c r="G1677" s="400">
        <v>4114</v>
      </c>
      <c r="H1677" s="394" t="s">
        <v>1355</v>
      </c>
      <c r="I1677" s="394" t="s">
        <v>1356</v>
      </c>
      <c r="J1677" s="395">
        <v>7574.58</v>
      </c>
      <c r="L1677" s="395">
        <v>7.02</v>
      </c>
      <c r="M1677" s="395">
        <v>7.02</v>
      </c>
      <c r="N1677" s="396"/>
      <c r="O1677" s="387">
        <v>0.15</v>
      </c>
      <c r="P1677" s="397">
        <v>0.1</v>
      </c>
      <c r="Q1677" s="396">
        <v>5353.71</v>
      </c>
      <c r="R1677" s="379" t="s">
        <v>35</v>
      </c>
      <c r="S1677" s="388" t="s">
        <v>41</v>
      </c>
      <c r="T1677" s="388">
        <v>79</v>
      </c>
      <c r="U1677" s="398" t="s">
        <v>164</v>
      </c>
      <c r="V1677" s="449"/>
      <c r="X1677" s="396">
        <v>5353.71</v>
      </c>
      <c r="Y1677" s="396"/>
      <c r="AJ1677" s="395">
        <v>5353.71</v>
      </c>
    </row>
    <row r="1678" spans="2:77" s="341" customFormat="1" ht="12" customHeight="1">
      <c r="B1678" s="338" t="s">
        <v>291</v>
      </c>
      <c r="C1678" s="339">
        <v>44704</v>
      </c>
      <c r="D1678" s="339">
        <v>44704</v>
      </c>
      <c r="E1678" s="340" t="s">
        <v>1357</v>
      </c>
      <c r="F1678" s="337" t="s">
        <v>91</v>
      </c>
      <c r="G1678" s="351" t="s">
        <v>92</v>
      </c>
      <c r="H1678" s="341" t="s">
        <v>310</v>
      </c>
      <c r="I1678" s="341" t="s">
        <v>961</v>
      </c>
      <c r="J1678" s="343">
        <v>4983.83</v>
      </c>
      <c r="L1678" s="343">
        <v>5.62</v>
      </c>
      <c r="M1678" s="343">
        <v>5.62</v>
      </c>
      <c r="N1678" s="344">
        <f>J1678*0.4</f>
        <v>1993.5320000000002</v>
      </c>
      <c r="O1678" s="355">
        <v>0.25</v>
      </c>
      <c r="P1678" s="345"/>
      <c r="Q1678" s="344">
        <v>41.4</v>
      </c>
      <c r="R1678" s="337" t="s">
        <v>35</v>
      </c>
      <c r="S1678" s="356" t="s">
        <v>41</v>
      </c>
      <c r="T1678" s="356">
        <v>16</v>
      </c>
      <c r="U1678" s="347" t="s">
        <v>164</v>
      </c>
      <c r="V1678" s="451"/>
      <c r="X1678" s="344">
        <v>41.4</v>
      </c>
      <c r="Y1678" s="344"/>
      <c r="AI1678" s="341">
        <v>41.4</v>
      </c>
      <c r="AJ1678" s="358"/>
      <c r="AK1678" s="369"/>
      <c r="AL1678" s="337"/>
      <c r="AM1678" s="337"/>
      <c r="AN1678" s="337"/>
      <c r="AO1678" s="337"/>
      <c r="AP1678" s="337"/>
      <c r="AQ1678" s="337"/>
      <c r="AR1678" s="337"/>
      <c r="AS1678" s="337"/>
      <c r="AT1678" s="337"/>
      <c r="AU1678" s="337"/>
      <c r="AV1678" s="337"/>
      <c r="AW1678" s="337"/>
      <c r="AX1678" s="337"/>
      <c r="AY1678" s="337"/>
      <c r="AZ1678" s="337"/>
      <c r="BA1678" s="337"/>
      <c r="BB1678" s="337"/>
      <c r="BC1678" s="337"/>
      <c r="BD1678" s="337"/>
      <c r="BE1678" s="337"/>
      <c r="BF1678" s="337"/>
      <c r="BG1678" s="337"/>
      <c r="BH1678" s="337"/>
      <c r="BI1678" s="337"/>
      <c r="BJ1678" s="337"/>
      <c r="BK1678" s="337"/>
      <c r="BL1678" s="337"/>
      <c r="BM1678" s="337"/>
      <c r="BN1678" s="337"/>
      <c r="BO1678" s="337"/>
      <c r="BP1678" s="337"/>
      <c r="BQ1678" s="337"/>
      <c r="BR1678" s="337"/>
      <c r="BS1678" s="337"/>
      <c r="BT1678" s="337"/>
      <c r="BU1678" s="337"/>
      <c r="BV1678" s="337"/>
      <c r="BW1678" s="337"/>
      <c r="BX1678" s="337"/>
      <c r="BY1678" s="337"/>
    </row>
    <row r="1679" spans="2:77" s="341" customFormat="1" ht="12" customHeight="1">
      <c r="B1679" s="338" t="s">
        <v>291</v>
      </c>
      <c r="C1679" s="339"/>
      <c r="D1679" s="339"/>
      <c r="E1679" s="340" t="s">
        <v>1357</v>
      </c>
      <c r="F1679" s="337" t="s">
        <v>91</v>
      </c>
      <c r="G1679" s="351" t="s">
        <v>92</v>
      </c>
      <c r="H1679" s="341" t="s">
        <v>99</v>
      </c>
      <c r="I1679" s="341" t="s">
        <v>961</v>
      </c>
      <c r="J1679" s="343">
        <v>26507.200000000001</v>
      </c>
      <c r="L1679" s="343">
        <v>21.92</v>
      </c>
      <c r="M1679" s="343">
        <v>21.92</v>
      </c>
      <c r="N1679" s="344"/>
      <c r="O1679" s="355">
        <v>0.25</v>
      </c>
      <c r="P1679" s="345"/>
      <c r="Q1679" s="344">
        <v>1101.6199999999999</v>
      </c>
      <c r="R1679" s="337" t="s">
        <v>35</v>
      </c>
      <c r="S1679" s="356" t="s">
        <v>41</v>
      </c>
      <c r="T1679" s="356">
        <v>16</v>
      </c>
      <c r="U1679" s="347" t="s">
        <v>164</v>
      </c>
      <c r="V1679" s="451"/>
      <c r="X1679" s="344">
        <v>1101.6199999999999</v>
      </c>
      <c r="Y1679" s="344"/>
      <c r="AI1679" s="344">
        <v>1101.6199999999999</v>
      </c>
      <c r="AJ1679" s="358"/>
      <c r="AK1679" s="369"/>
      <c r="AL1679" s="337"/>
      <c r="AM1679" s="337"/>
      <c r="AN1679" s="337"/>
      <c r="AO1679" s="337"/>
      <c r="AP1679" s="337"/>
      <c r="AQ1679" s="337"/>
      <c r="AR1679" s="337"/>
      <c r="AS1679" s="337"/>
      <c r="AT1679" s="337"/>
      <c r="AU1679" s="337"/>
      <c r="AV1679" s="337"/>
      <c r="AW1679" s="337"/>
      <c r="AX1679" s="337"/>
      <c r="AY1679" s="337"/>
      <c r="AZ1679" s="337"/>
      <c r="BA1679" s="337"/>
      <c r="BB1679" s="337"/>
      <c r="BC1679" s="337"/>
      <c r="BD1679" s="337"/>
      <c r="BE1679" s="337"/>
      <c r="BF1679" s="337"/>
      <c r="BG1679" s="337"/>
      <c r="BH1679" s="337"/>
      <c r="BI1679" s="337"/>
      <c r="BJ1679" s="337"/>
      <c r="BK1679" s="337"/>
      <c r="BL1679" s="337"/>
      <c r="BM1679" s="337"/>
      <c r="BN1679" s="337"/>
      <c r="BO1679" s="337"/>
      <c r="BP1679" s="337"/>
      <c r="BQ1679" s="337"/>
      <c r="BR1679" s="337"/>
      <c r="BS1679" s="337"/>
      <c r="BT1679" s="337"/>
      <c r="BU1679" s="337"/>
      <c r="BV1679" s="337"/>
      <c r="BW1679" s="337"/>
      <c r="BX1679" s="337"/>
      <c r="BY1679" s="337"/>
    </row>
    <row r="1680" spans="2:77" s="341" customFormat="1" ht="12" customHeight="1">
      <c r="B1680" s="338" t="s">
        <v>291</v>
      </c>
      <c r="C1680" s="339"/>
      <c r="D1680" s="339"/>
      <c r="E1680" s="340" t="s">
        <v>1357</v>
      </c>
      <c r="F1680" s="337" t="s">
        <v>91</v>
      </c>
      <c r="G1680" s="351" t="s">
        <v>92</v>
      </c>
      <c r="H1680" s="341" t="s">
        <v>27</v>
      </c>
      <c r="I1680" s="341" t="s">
        <v>961</v>
      </c>
      <c r="J1680" s="343">
        <v>13597.25</v>
      </c>
      <c r="L1680" s="343">
        <v>12.5</v>
      </c>
      <c r="M1680" s="343">
        <v>12.5</v>
      </c>
      <c r="N1680" s="344"/>
      <c r="O1680" s="355">
        <v>0.25</v>
      </c>
      <c r="P1680" s="345"/>
      <c r="Q1680" s="344">
        <v>4912.88</v>
      </c>
      <c r="R1680" s="337" t="s">
        <v>35</v>
      </c>
      <c r="S1680" s="356" t="s">
        <v>41</v>
      </c>
      <c r="T1680" s="356">
        <v>16</v>
      </c>
      <c r="U1680" s="347" t="s">
        <v>164</v>
      </c>
      <c r="V1680" s="451"/>
      <c r="X1680" s="344">
        <v>4912.88</v>
      </c>
      <c r="Y1680" s="344"/>
      <c r="AI1680" s="344">
        <v>4912.88</v>
      </c>
      <c r="AJ1680" s="358"/>
      <c r="AK1680" s="369"/>
      <c r="AL1680" s="337"/>
      <c r="AM1680" s="337"/>
      <c r="AN1680" s="337"/>
      <c r="AO1680" s="337"/>
      <c r="AP1680" s="337"/>
      <c r="AQ1680" s="337"/>
      <c r="AR1680" s="337"/>
      <c r="AS1680" s="337"/>
      <c r="AT1680" s="337"/>
      <c r="AU1680" s="337"/>
      <c r="AV1680" s="337"/>
      <c r="AW1680" s="337"/>
      <c r="AX1680" s="337"/>
      <c r="AY1680" s="337"/>
      <c r="AZ1680" s="337"/>
      <c r="BA1680" s="337"/>
      <c r="BB1680" s="337"/>
      <c r="BC1680" s="337"/>
      <c r="BD1680" s="337"/>
      <c r="BE1680" s="337"/>
      <c r="BF1680" s="337"/>
      <c r="BG1680" s="337"/>
      <c r="BH1680" s="337"/>
      <c r="BI1680" s="337"/>
      <c r="BJ1680" s="337"/>
      <c r="BK1680" s="337"/>
      <c r="BL1680" s="337"/>
      <c r="BM1680" s="337"/>
      <c r="BN1680" s="337"/>
      <c r="BO1680" s="337"/>
      <c r="BP1680" s="337"/>
      <c r="BQ1680" s="337"/>
      <c r="BR1680" s="337"/>
      <c r="BS1680" s="337"/>
      <c r="BT1680" s="337"/>
      <c r="BU1680" s="337"/>
      <c r="BV1680" s="337"/>
      <c r="BW1680" s="337"/>
      <c r="BX1680" s="337"/>
      <c r="BY1680" s="337"/>
    </row>
    <row r="1681" spans="2:41" s="303" customFormat="1" ht="12" customHeight="1">
      <c r="B1681" s="310" t="s">
        <v>291</v>
      </c>
      <c r="C1681" s="301"/>
      <c r="D1681" s="301"/>
      <c r="E1681" s="302" t="s">
        <v>1357</v>
      </c>
      <c r="F1681" s="291" t="s">
        <v>91</v>
      </c>
      <c r="G1681" s="294" t="s">
        <v>92</v>
      </c>
      <c r="H1681" s="303" t="s">
        <v>765</v>
      </c>
      <c r="I1681" s="303" t="s">
        <v>961</v>
      </c>
      <c r="J1681" s="305">
        <v>20254.04</v>
      </c>
      <c r="L1681" s="305">
        <v>14.5</v>
      </c>
      <c r="M1681" s="305">
        <v>14.5</v>
      </c>
      <c r="N1681" s="306"/>
      <c r="O1681" s="298">
        <v>0.25</v>
      </c>
      <c r="P1681" s="307"/>
      <c r="Q1681" s="306">
        <v>0</v>
      </c>
      <c r="R1681" s="291" t="s">
        <v>35</v>
      </c>
      <c r="S1681" s="299" t="s">
        <v>41</v>
      </c>
      <c r="T1681" s="299">
        <v>16</v>
      </c>
      <c r="U1681" s="309" t="s">
        <v>164</v>
      </c>
      <c r="V1681" s="447"/>
      <c r="X1681" s="306">
        <v>0</v>
      </c>
      <c r="Y1681" s="306"/>
      <c r="AH1681" s="303">
        <f>X1681</f>
        <v>0</v>
      </c>
      <c r="AI1681" s="311"/>
      <c r="AJ1681" s="468"/>
    </row>
    <row r="1682" spans="2:41" s="164" customFormat="1" ht="12" customHeight="1">
      <c r="B1682" s="154" t="s">
        <v>291</v>
      </c>
      <c r="C1682" s="166">
        <v>44701</v>
      </c>
      <c r="D1682" s="166">
        <v>44704</v>
      </c>
      <c r="E1682" s="167" t="s">
        <v>1358</v>
      </c>
      <c r="F1682" s="153" t="s">
        <v>1359</v>
      </c>
      <c r="G1682" s="168">
        <v>3672</v>
      </c>
      <c r="H1682" s="164" t="s">
        <v>898</v>
      </c>
      <c r="I1682" s="164" t="s">
        <v>156</v>
      </c>
      <c r="J1682" s="169">
        <v>148058.82</v>
      </c>
      <c r="L1682" s="169">
        <v>98.28</v>
      </c>
      <c r="M1682" s="169">
        <v>56.12</v>
      </c>
      <c r="N1682" s="170"/>
      <c r="O1682" s="160">
        <v>0.2</v>
      </c>
      <c r="P1682" s="171">
        <v>0.1</v>
      </c>
      <c r="Q1682" s="170">
        <v>0</v>
      </c>
      <c r="R1682" s="153" t="s">
        <v>54</v>
      </c>
      <c r="S1682" s="161" t="s">
        <v>51</v>
      </c>
      <c r="T1682" s="161">
        <v>55</v>
      </c>
      <c r="U1682" s="173" t="s">
        <v>164</v>
      </c>
      <c r="V1682" s="452"/>
      <c r="X1682" s="170">
        <v>0</v>
      </c>
      <c r="Y1682" s="170"/>
      <c r="AD1682" s="177">
        <f>X1682</f>
        <v>0</v>
      </c>
      <c r="AI1682" s="153"/>
      <c r="AJ1682" s="644"/>
    </row>
    <row r="1683" spans="2:41" s="164" customFormat="1" ht="12" customHeight="1">
      <c r="B1683" s="154" t="s">
        <v>291</v>
      </c>
      <c r="C1683" s="166"/>
      <c r="D1683" s="166"/>
      <c r="E1683" s="167" t="s">
        <v>1358</v>
      </c>
      <c r="F1683" s="153" t="s">
        <v>1359</v>
      </c>
      <c r="G1683" s="168">
        <v>3672</v>
      </c>
      <c r="H1683" s="164" t="s">
        <v>27</v>
      </c>
      <c r="I1683" s="164" t="s">
        <v>156</v>
      </c>
      <c r="J1683" s="169">
        <v>112014.46</v>
      </c>
      <c r="L1683" s="169">
        <v>82.11</v>
      </c>
      <c r="M1683" s="169">
        <v>29.1</v>
      </c>
      <c r="N1683" s="170"/>
      <c r="O1683" s="160">
        <v>0.2</v>
      </c>
      <c r="P1683" s="171">
        <v>0.1</v>
      </c>
      <c r="Q1683" s="170">
        <v>0</v>
      </c>
      <c r="R1683" s="153" t="s">
        <v>54</v>
      </c>
      <c r="S1683" s="161" t="s">
        <v>51</v>
      </c>
      <c r="T1683" s="161">
        <v>55</v>
      </c>
      <c r="U1683" s="173" t="s">
        <v>164</v>
      </c>
      <c r="V1683" s="452"/>
      <c r="X1683" s="170">
        <v>0</v>
      </c>
      <c r="Y1683" s="170"/>
      <c r="AD1683" s="177">
        <f>X1683</f>
        <v>0</v>
      </c>
      <c r="AI1683" s="153"/>
      <c r="AJ1683" s="644"/>
    </row>
    <row r="1684" spans="2:41" s="218" customFormat="1" ht="12" customHeight="1">
      <c r="B1684" s="206" t="s">
        <v>291</v>
      </c>
      <c r="C1684" s="225"/>
      <c r="D1684" s="225"/>
      <c r="E1684" s="226" t="s">
        <v>1358</v>
      </c>
      <c r="F1684" s="205" t="s">
        <v>1359</v>
      </c>
      <c r="G1684" s="220">
        <v>3672</v>
      </c>
      <c r="H1684" s="218" t="s">
        <v>137</v>
      </c>
      <c r="I1684" s="218" t="s">
        <v>1360</v>
      </c>
      <c r="J1684" s="222">
        <v>76328.02</v>
      </c>
      <c r="L1684" s="222">
        <v>60.96</v>
      </c>
      <c r="M1684" s="222">
        <v>60.96</v>
      </c>
      <c r="N1684" s="223">
        <v>45796</v>
      </c>
      <c r="O1684" s="212">
        <v>0.2</v>
      </c>
      <c r="P1684" s="224">
        <v>0.1</v>
      </c>
      <c r="Q1684" s="234">
        <v>0</v>
      </c>
      <c r="R1684" s="205" t="s">
        <v>54</v>
      </c>
      <c r="S1684" s="214" t="s">
        <v>51</v>
      </c>
      <c r="T1684" s="214">
        <v>55</v>
      </c>
      <c r="U1684" s="227" t="s">
        <v>164</v>
      </c>
      <c r="V1684" s="455"/>
      <c r="X1684" s="223">
        <v>0</v>
      </c>
      <c r="Y1684" s="223"/>
      <c r="AF1684" s="230">
        <f>X1684</f>
        <v>0</v>
      </c>
      <c r="AI1684" s="205"/>
      <c r="AJ1684" s="216"/>
    </row>
    <row r="1685" spans="2:41" s="218" customFormat="1" ht="12" customHeight="1">
      <c r="B1685" s="206" t="s">
        <v>291</v>
      </c>
      <c r="C1685" s="225"/>
      <c r="D1685" s="225"/>
      <c r="E1685" s="226" t="s">
        <v>1358</v>
      </c>
      <c r="F1685" s="205" t="s">
        <v>1359</v>
      </c>
      <c r="G1685" s="220">
        <v>3672</v>
      </c>
      <c r="H1685" s="218" t="s">
        <v>99</v>
      </c>
      <c r="I1685" s="218" t="s">
        <v>958</v>
      </c>
      <c r="J1685" s="222">
        <v>130416.07</v>
      </c>
      <c r="L1685" s="222">
        <v>92.77</v>
      </c>
      <c r="M1685" s="222">
        <v>92.77</v>
      </c>
      <c r="N1685" s="223">
        <v>45645</v>
      </c>
      <c r="O1685" s="212">
        <v>0.2</v>
      </c>
      <c r="P1685" s="224"/>
      <c r="Q1685" s="234">
        <v>0</v>
      </c>
      <c r="R1685" s="205" t="s">
        <v>54</v>
      </c>
      <c r="S1685" s="214" t="s">
        <v>51</v>
      </c>
      <c r="T1685" s="214">
        <v>55</v>
      </c>
      <c r="U1685" s="227" t="s">
        <v>164</v>
      </c>
      <c r="V1685" s="455"/>
      <c r="X1685" s="223">
        <v>0</v>
      </c>
      <c r="Y1685" s="223"/>
      <c r="AF1685" s="230">
        <f>X1685</f>
        <v>0</v>
      </c>
      <c r="AI1685" s="205"/>
      <c r="AJ1685" s="216"/>
    </row>
    <row r="1686" spans="2:41" s="341" customFormat="1" ht="12" customHeight="1">
      <c r="B1686" s="338" t="s">
        <v>291</v>
      </c>
      <c r="C1686" s="339">
        <v>44701</v>
      </c>
      <c r="D1686" s="339">
        <v>44704</v>
      </c>
      <c r="E1686" s="340" t="s">
        <v>1362</v>
      </c>
      <c r="F1686" s="337" t="s">
        <v>1361</v>
      </c>
      <c r="G1686" s="342">
        <v>3943</v>
      </c>
      <c r="H1686" s="341" t="s">
        <v>99</v>
      </c>
      <c r="I1686" s="341" t="s">
        <v>888</v>
      </c>
      <c r="J1686" s="343">
        <v>23501.56</v>
      </c>
      <c r="L1686" s="343">
        <v>26.43</v>
      </c>
      <c r="M1686" s="343">
        <v>26.43</v>
      </c>
      <c r="N1686" s="344"/>
      <c r="O1686" s="355">
        <v>0.25</v>
      </c>
      <c r="P1686" s="345"/>
      <c r="Q1686" s="344">
        <v>0</v>
      </c>
      <c r="R1686" s="337" t="s">
        <v>128</v>
      </c>
      <c r="S1686" s="356" t="s">
        <v>41</v>
      </c>
      <c r="T1686" s="356">
        <v>87</v>
      </c>
      <c r="U1686" s="347" t="s">
        <v>164</v>
      </c>
      <c r="V1686" s="451"/>
      <c r="X1686" s="344">
        <v>0</v>
      </c>
      <c r="Y1686" s="344"/>
      <c r="AI1686" s="341">
        <f>X1686</f>
        <v>0</v>
      </c>
      <c r="AJ1686" s="358"/>
      <c r="AK1686" s="369"/>
    </row>
    <row r="1687" spans="2:41" s="341" customFormat="1" ht="12" customHeight="1">
      <c r="B1687" s="338" t="s">
        <v>291</v>
      </c>
      <c r="C1687" s="339"/>
      <c r="D1687" s="339"/>
      <c r="E1687" s="340" t="s">
        <v>1362</v>
      </c>
      <c r="F1687" s="337" t="s">
        <v>1361</v>
      </c>
      <c r="G1687" s="342">
        <v>3943</v>
      </c>
      <c r="H1687" s="341" t="s">
        <v>183</v>
      </c>
      <c r="I1687" s="341" t="s">
        <v>888</v>
      </c>
      <c r="J1687" s="343">
        <v>12758.53</v>
      </c>
      <c r="L1687" s="343">
        <v>13.71</v>
      </c>
      <c r="M1687" s="343">
        <v>13.7</v>
      </c>
      <c r="N1687" s="344"/>
      <c r="O1687" s="355">
        <v>0.25</v>
      </c>
      <c r="P1687" s="345"/>
      <c r="Q1687" s="344">
        <v>0</v>
      </c>
      <c r="R1687" s="337" t="s">
        <v>128</v>
      </c>
      <c r="S1687" s="356" t="s">
        <v>41</v>
      </c>
      <c r="T1687" s="356">
        <v>87</v>
      </c>
      <c r="U1687" s="347" t="s">
        <v>164</v>
      </c>
      <c r="V1687" s="451"/>
      <c r="X1687" s="344">
        <v>0</v>
      </c>
      <c r="Y1687" s="344"/>
      <c r="AI1687" s="341">
        <f>X1687</f>
        <v>0</v>
      </c>
      <c r="AJ1687" s="358"/>
      <c r="AK1687" s="369"/>
    </row>
    <row r="1688" spans="2:41" s="341" customFormat="1" ht="12" customHeight="1">
      <c r="B1688" s="338" t="s">
        <v>291</v>
      </c>
      <c r="C1688" s="339"/>
      <c r="D1688" s="339"/>
      <c r="E1688" s="340" t="s">
        <v>1362</v>
      </c>
      <c r="F1688" s="337" t="s">
        <v>1361</v>
      </c>
      <c r="G1688" s="342">
        <v>3943</v>
      </c>
      <c r="H1688" s="341" t="s">
        <v>163</v>
      </c>
      <c r="I1688" s="341" t="s">
        <v>888</v>
      </c>
      <c r="J1688" s="343">
        <v>33888.089999999997</v>
      </c>
      <c r="L1688" s="343">
        <v>40.25</v>
      </c>
      <c r="M1688" s="343">
        <v>40.25</v>
      </c>
      <c r="N1688" s="344"/>
      <c r="O1688" s="355">
        <v>0.25</v>
      </c>
      <c r="P1688" s="345"/>
      <c r="Q1688" s="344">
        <v>0</v>
      </c>
      <c r="R1688" s="337" t="s">
        <v>128</v>
      </c>
      <c r="S1688" s="356" t="s">
        <v>41</v>
      </c>
      <c r="T1688" s="356">
        <v>87</v>
      </c>
      <c r="U1688" s="347" t="s">
        <v>164</v>
      </c>
      <c r="V1688" s="451"/>
      <c r="X1688" s="344">
        <v>0</v>
      </c>
      <c r="Y1688" s="344"/>
      <c r="AI1688" s="341">
        <f>X1688</f>
        <v>0</v>
      </c>
      <c r="AJ1688" s="358"/>
      <c r="AK1688" s="369"/>
    </row>
    <row r="1689" spans="2:41" s="472" customFormat="1" ht="12" customHeight="1">
      <c r="B1689" s="486" t="s">
        <v>291</v>
      </c>
      <c r="C1689" s="474">
        <v>44703</v>
      </c>
      <c r="D1689" s="474">
        <v>44705</v>
      </c>
      <c r="E1689" s="475" t="s">
        <v>1363</v>
      </c>
      <c r="F1689" s="473" t="s">
        <v>578</v>
      </c>
      <c r="G1689" s="489">
        <v>3566</v>
      </c>
      <c r="H1689" s="473" t="s">
        <v>99</v>
      </c>
      <c r="I1689" s="472" t="s">
        <v>33</v>
      </c>
      <c r="J1689" s="490">
        <v>51261.06</v>
      </c>
      <c r="K1689" s="473"/>
      <c r="L1689" s="490">
        <v>37.15</v>
      </c>
      <c r="M1689" s="490">
        <v>37.15</v>
      </c>
      <c r="N1689" s="478"/>
      <c r="O1689" s="493">
        <v>0.2</v>
      </c>
      <c r="P1689" s="493"/>
      <c r="Q1689" s="504">
        <v>0</v>
      </c>
      <c r="R1689" s="473" t="s">
        <v>42</v>
      </c>
      <c r="S1689" s="481" t="s">
        <v>41</v>
      </c>
      <c r="T1689" s="481">
        <v>16</v>
      </c>
      <c r="U1689" s="483" t="s">
        <v>164</v>
      </c>
      <c r="V1689" s="483"/>
      <c r="X1689" s="478">
        <v>0</v>
      </c>
      <c r="Y1689" s="478"/>
      <c r="AI1689" s="473"/>
      <c r="AJ1689" s="485"/>
      <c r="AK1689" s="472">
        <v>0</v>
      </c>
    </row>
    <row r="1690" spans="2:41" s="624" customFormat="1" ht="12" customHeight="1">
      <c r="B1690" s="619" t="s">
        <v>291</v>
      </c>
      <c r="C1690" s="683"/>
      <c r="D1690" s="683"/>
      <c r="E1690" s="684" t="s">
        <v>1363</v>
      </c>
      <c r="F1690" s="618" t="s">
        <v>578</v>
      </c>
      <c r="G1690" s="634">
        <v>3566</v>
      </c>
      <c r="H1690" s="618" t="s">
        <v>140</v>
      </c>
      <c r="I1690" s="624" t="s">
        <v>33</v>
      </c>
      <c r="J1690" s="635">
        <v>29249.18</v>
      </c>
      <c r="K1690" s="618"/>
      <c r="L1690" s="635">
        <v>16.41</v>
      </c>
      <c r="M1690" s="635">
        <v>16.41</v>
      </c>
      <c r="N1690" s="685">
        <f>7312.296</f>
        <v>7312.2960000000003</v>
      </c>
      <c r="O1690" s="628">
        <v>0.2</v>
      </c>
      <c r="P1690" s="628"/>
      <c r="Q1690" s="692">
        <v>2636.1</v>
      </c>
      <c r="R1690" s="618" t="s">
        <v>42</v>
      </c>
      <c r="S1690" s="629" t="s">
        <v>41</v>
      </c>
      <c r="T1690" s="629">
        <v>16</v>
      </c>
      <c r="U1690" s="688" t="s">
        <v>164</v>
      </c>
      <c r="V1690" s="688"/>
      <c r="X1690" s="692">
        <v>2636.1</v>
      </c>
      <c r="Y1690" s="685"/>
      <c r="AI1690" s="618"/>
      <c r="AJ1690" s="633"/>
      <c r="AO1690" s="692">
        <v>2636.1</v>
      </c>
    </row>
    <row r="1691" spans="2:41" s="624" customFormat="1" ht="12" customHeight="1">
      <c r="B1691" s="619" t="s">
        <v>291</v>
      </c>
      <c r="C1691" s="683"/>
      <c r="D1691" s="683"/>
      <c r="E1691" s="684" t="s">
        <v>1363</v>
      </c>
      <c r="F1691" s="618" t="s">
        <v>578</v>
      </c>
      <c r="G1691" s="634">
        <v>3566</v>
      </c>
      <c r="H1691" s="618" t="s">
        <v>137</v>
      </c>
      <c r="I1691" s="624" t="s">
        <v>33</v>
      </c>
      <c r="J1691" s="635">
        <v>14392.73</v>
      </c>
      <c r="K1691" s="618"/>
      <c r="L1691" s="635">
        <v>13.36</v>
      </c>
      <c r="M1691" s="635">
        <v>13.36</v>
      </c>
      <c r="N1691" s="685">
        <v>9355.2731999999996</v>
      </c>
      <c r="O1691" s="628">
        <v>0.2</v>
      </c>
      <c r="P1691" s="628"/>
      <c r="Q1691" s="692">
        <v>7145.86</v>
      </c>
      <c r="R1691" s="618" t="s">
        <v>42</v>
      </c>
      <c r="S1691" s="629" t="s">
        <v>41</v>
      </c>
      <c r="T1691" s="629">
        <v>16</v>
      </c>
      <c r="U1691" s="688" t="s">
        <v>164</v>
      </c>
      <c r="V1691" s="688"/>
      <c r="X1691" s="692">
        <v>7145.86</v>
      </c>
      <c r="Y1691" s="685"/>
      <c r="AI1691" s="618"/>
      <c r="AJ1691" s="633"/>
      <c r="AO1691" s="692">
        <v>7145.86</v>
      </c>
    </row>
    <row r="1692" spans="2:41" s="273" customFormat="1" ht="12" customHeight="1">
      <c r="B1692" s="258" t="s">
        <v>291</v>
      </c>
      <c r="C1692" s="271">
        <v>44703</v>
      </c>
      <c r="D1692" s="271">
        <v>44706</v>
      </c>
      <c r="E1692" s="272" t="s">
        <v>1364</v>
      </c>
      <c r="F1692" s="261" t="s">
        <v>1365</v>
      </c>
      <c r="G1692" s="262">
        <v>4625</v>
      </c>
      <c r="H1692" s="261" t="s">
        <v>99</v>
      </c>
      <c r="I1692" s="273" t="s">
        <v>33</v>
      </c>
      <c r="J1692" s="263">
        <v>41164.44</v>
      </c>
      <c r="K1692" s="261"/>
      <c r="L1692" s="263">
        <v>38.770000000000003</v>
      </c>
      <c r="M1692" s="263">
        <v>38.770000000000003</v>
      </c>
      <c r="N1692" s="275">
        <v>10641.01</v>
      </c>
      <c r="O1692" s="266">
        <v>0.15</v>
      </c>
      <c r="P1692" s="266"/>
      <c r="Q1692" s="290">
        <v>4993.58</v>
      </c>
      <c r="R1692" s="261" t="s">
        <v>142</v>
      </c>
      <c r="S1692" s="279" t="s">
        <v>41</v>
      </c>
      <c r="T1692" s="279">
        <v>16</v>
      </c>
      <c r="U1692" s="274" t="s">
        <v>164</v>
      </c>
      <c r="V1692" s="274"/>
      <c r="X1692" s="275">
        <v>4993.58</v>
      </c>
      <c r="Y1692" s="275"/>
      <c r="AG1692" s="273">
        <f>X1692</f>
        <v>4993.58</v>
      </c>
      <c r="AI1692" s="261"/>
      <c r="AJ1692" s="642"/>
    </row>
    <row r="1693" spans="2:41" s="273" customFormat="1" ht="12" customHeight="1">
      <c r="B1693" s="258" t="s">
        <v>291</v>
      </c>
      <c r="C1693" s="271"/>
      <c r="D1693" s="271"/>
      <c r="E1693" s="272" t="s">
        <v>1364</v>
      </c>
      <c r="F1693" s="261" t="s">
        <v>1365</v>
      </c>
      <c r="G1693" s="262">
        <v>4625</v>
      </c>
      <c r="H1693" s="261" t="s">
        <v>140</v>
      </c>
      <c r="I1693" s="273" t="s">
        <v>33</v>
      </c>
      <c r="J1693" s="263">
        <v>3958.26</v>
      </c>
      <c r="K1693" s="261"/>
      <c r="L1693" s="263">
        <v>2.82</v>
      </c>
      <c r="M1693" s="263">
        <v>2.82</v>
      </c>
      <c r="N1693" s="275">
        <v>167.83</v>
      </c>
      <c r="O1693" s="266">
        <v>0.15</v>
      </c>
      <c r="P1693" s="266"/>
      <c r="Q1693" s="290">
        <v>0</v>
      </c>
      <c r="R1693" s="261" t="s">
        <v>142</v>
      </c>
      <c r="S1693" s="279" t="s">
        <v>41</v>
      </c>
      <c r="T1693" s="279">
        <v>16</v>
      </c>
      <c r="U1693" s="274" t="s">
        <v>164</v>
      </c>
      <c r="V1693" s="274"/>
      <c r="X1693" s="275">
        <v>0</v>
      </c>
      <c r="Y1693" s="275"/>
      <c r="AG1693" s="273">
        <f>X1693</f>
        <v>0</v>
      </c>
      <c r="AI1693" s="261"/>
      <c r="AJ1693" s="642"/>
    </row>
    <row r="1694" spans="2:41" s="273" customFormat="1" ht="12" customHeight="1">
      <c r="B1694" s="258" t="s">
        <v>291</v>
      </c>
      <c r="C1694" s="271"/>
      <c r="D1694" s="271"/>
      <c r="E1694" s="272" t="s">
        <v>1364</v>
      </c>
      <c r="F1694" s="261" t="s">
        <v>1365</v>
      </c>
      <c r="G1694" s="262">
        <v>4625</v>
      </c>
      <c r="H1694" s="273" t="s">
        <v>183</v>
      </c>
      <c r="I1694" s="273" t="s">
        <v>33</v>
      </c>
      <c r="J1694" s="277">
        <v>16914.22</v>
      </c>
      <c r="L1694" s="277">
        <v>14.76</v>
      </c>
      <c r="M1694" s="277">
        <v>14.76</v>
      </c>
      <c r="N1694" s="275">
        <v>6639.86</v>
      </c>
      <c r="O1694" s="278">
        <v>0.15</v>
      </c>
      <c r="P1694" s="278"/>
      <c r="Q1694" s="290">
        <v>1353.51</v>
      </c>
      <c r="R1694" s="261" t="s">
        <v>142</v>
      </c>
      <c r="S1694" s="279" t="s">
        <v>41</v>
      </c>
      <c r="T1694" s="279">
        <v>16</v>
      </c>
      <c r="U1694" s="274" t="s">
        <v>164</v>
      </c>
      <c r="V1694" s="454"/>
      <c r="X1694" s="275">
        <v>1353.51</v>
      </c>
      <c r="Y1694" s="275"/>
      <c r="AG1694" s="273">
        <f>X1694</f>
        <v>1353.51</v>
      </c>
      <c r="AI1694" s="261"/>
      <c r="AJ1694" s="642"/>
    </row>
    <row r="1695" spans="2:41" s="273" customFormat="1" ht="12" customHeight="1">
      <c r="B1695" s="258" t="s">
        <v>291</v>
      </c>
      <c r="C1695" s="271"/>
      <c r="D1695" s="271"/>
      <c r="E1695" s="272" t="s">
        <v>1364</v>
      </c>
      <c r="F1695" s="261" t="s">
        <v>1365</v>
      </c>
      <c r="G1695" s="262">
        <v>4625</v>
      </c>
      <c r="H1695" s="273" t="s">
        <v>137</v>
      </c>
      <c r="I1695" s="273" t="s">
        <v>33</v>
      </c>
      <c r="J1695" s="277">
        <v>18510.36</v>
      </c>
      <c r="L1695" s="277">
        <v>22.74</v>
      </c>
      <c r="M1695" s="277">
        <v>22.74</v>
      </c>
      <c r="O1695" s="278">
        <v>0.15</v>
      </c>
      <c r="P1695" s="278"/>
      <c r="Q1695" s="290">
        <v>0</v>
      </c>
      <c r="R1695" s="261" t="s">
        <v>142</v>
      </c>
      <c r="S1695" s="279" t="s">
        <v>41</v>
      </c>
      <c r="T1695" s="279">
        <v>16</v>
      </c>
      <c r="U1695" s="274" t="s">
        <v>164</v>
      </c>
      <c r="V1695" s="454"/>
      <c r="W1695" s="273" t="s">
        <v>3816</v>
      </c>
      <c r="X1695" s="275">
        <v>0</v>
      </c>
      <c r="Y1695" s="275"/>
      <c r="AG1695" s="273">
        <f>X1695</f>
        <v>0</v>
      </c>
      <c r="AI1695" s="261"/>
      <c r="AJ1695" s="642"/>
    </row>
    <row r="1696" spans="2:41" s="218" customFormat="1" ht="12" customHeight="1">
      <c r="B1696" s="229" t="s">
        <v>291</v>
      </c>
      <c r="C1696" s="225">
        <v>44703</v>
      </c>
      <c r="D1696" s="225">
        <v>44704</v>
      </c>
      <c r="E1696" s="226" t="s">
        <v>1366</v>
      </c>
      <c r="F1696" s="218" t="s">
        <v>629</v>
      </c>
      <c r="G1696" s="220">
        <v>4362</v>
      </c>
      <c r="H1696" s="218" t="s">
        <v>99</v>
      </c>
      <c r="I1696" s="218" t="s">
        <v>156</v>
      </c>
      <c r="J1696" s="222">
        <v>25778.46</v>
      </c>
      <c r="L1696" s="222">
        <v>19.899999999999999</v>
      </c>
      <c r="M1696" s="222">
        <v>19.899999999999999</v>
      </c>
      <c r="N1696" s="223">
        <v>2163.5300000000002</v>
      </c>
      <c r="O1696" s="224">
        <v>0.3</v>
      </c>
      <c r="P1696" s="224">
        <v>0.1</v>
      </c>
      <c r="Q1696" s="223">
        <v>0</v>
      </c>
      <c r="R1696" s="218" t="s">
        <v>142</v>
      </c>
      <c r="S1696" s="221" t="s">
        <v>41</v>
      </c>
      <c r="T1696" s="221">
        <v>16</v>
      </c>
      <c r="U1696" s="227" t="s">
        <v>164</v>
      </c>
      <c r="V1696" s="455"/>
      <c r="X1696" s="223">
        <v>0</v>
      </c>
      <c r="Y1696" s="223"/>
      <c r="AF1696" s="230">
        <f>X1696</f>
        <v>0</v>
      </c>
      <c r="AI1696" s="205"/>
      <c r="AJ1696" s="216"/>
    </row>
    <row r="1697" spans="1:77" s="218" customFormat="1" ht="12" customHeight="1">
      <c r="B1697" s="229" t="s">
        <v>291</v>
      </c>
      <c r="C1697" s="225"/>
      <c r="D1697" s="225"/>
      <c r="E1697" s="226" t="s">
        <v>1366</v>
      </c>
      <c r="F1697" s="218" t="s">
        <v>629</v>
      </c>
      <c r="G1697" s="220">
        <v>4362</v>
      </c>
      <c r="H1697" s="218" t="s">
        <v>27</v>
      </c>
      <c r="I1697" s="218" t="s">
        <v>156</v>
      </c>
      <c r="J1697" s="222">
        <v>31932.16</v>
      </c>
      <c r="L1697" s="222">
        <v>20.2</v>
      </c>
      <c r="M1697" s="222">
        <v>20.2</v>
      </c>
      <c r="N1697" s="223">
        <v>4799.6099999999997</v>
      </c>
      <c r="O1697" s="224">
        <v>0.3</v>
      </c>
      <c r="P1697" s="224">
        <v>0.1</v>
      </c>
      <c r="Q1697" s="223">
        <v>1588.7</v>
      </c>
      <c r="R1697" s="218" t="s">
        <v>142</v>
      </c>
      <c r="S1697" s="221" t="s">
        <v>41</v>
      </c>
      <c r="T1697" s="221">
        <v>16</v>
      </c>
      <c r="U1697" s="227" t="s">
        <v>164</v>
      </c>
      <c r="V1697" s="455"/>
      <c r="X1697" s="223">
        <v>1588.7</v>
      </c>
      <c r="Y1697" s="223"/>
      <c r="AF1697" s="230">
        <f>X1697</f>
        <v>1588.7</v>
      </c>
      <c r="AI1697" s="205"/>
      <c r="AJ1697" s="216"/>
    </row>
    <row r="1698" spans="1:77" s="218" customFormat="1" ht="12" customHeight="1">
      <c r="B1698" s="229" t="s">
        <v>291</v>
      </c>
      <c r="C1698" s="225"/>
      <c r="D1698" s="225"/>
      <c r="E1698" s="226" t="s">
        <v>1366</v>
      </c>
      <c r="F1698" s="218" t="s">
        <v>629</v>
      </c>
      <c r="G1698" s="220">
        <v>4362</v>
      </c>
      <c r="H1698" s="218" t="s">
        <v>137</v>
      </c>
      <c r="I1698" s="218" t="s">
        <v>156</v>
      </c>
      <c r="J1698" s="222">
        <v>20365.830000000002</v>
      </c>
      <c r="L1698" s="222">
        <v>15.3</v>
      </c>
      <c r="M1698" s="222">
        <v>15.3</v>
      </c>
      <c r="N1698" s="223">
        <v>3264.5</v>
      </c>
      <c r="O1698" s="224">
        <v>0.3</v>
      </c>
      <c r="P1698" s="224">
        <v>0.1</v>
      </c>
      <c r="Q1698" s="223">
        <v>2149.62</v>
      </c>
      <c r="R1698" s="218" t="s">
        <v>142</v>
      </c>
      <c r="S1698" s="221" t="s">
        <v>41</v>
      </c>
      <c r="T1698" s="221">
        <v>16</v>
      </c>
      <c r="U1698" s="227" t="s">
        <v>164</v>
      </c>
      <c r="V1698" s="455"/>
      <c r="X1698" s="223">
        <v>2149.62</v>
      </c>
      <c r="Y1698" s="223"/>
      <c r="AF1698" s="230">
        <f>X1698</f>
        <v>2149.62</v>
      </c>
      <c r="AI1698" s="205"/>
      <c r="AJ1698" s="216"/>
    </row>
    <row r="1699" spans="1:77" s="117" customFormat="1" ht="12" customHeight="1">
      <c r="A1699" s="394"/>
      <c r="B1699" s="379" t="s">
        <v>291</v>
      </c>
      <c r="C1699" s="392">
        <v>44704</v>
      </c>
      <c r="D1699" s="392">
        <v>44705</v>
      </c>
      <c r="E1699" s="393" t="s">
        <v>1367</v>
      </c>
      <c r="F1699" s="379" t="s">
        <v>169</v>
      </c>
      <c r="G1699" s="383">
        <v>3627</v>
      </c>
      <c r="H1699" s="394" t="s">
        <v>99</v>
      </c>
      <c r="I1699" s="394" t="s">
        <v>156</v>
      </c>
      <c r="J1699" s="395">
        <v>39391.129999999997</v>
      </c>
      <c r="K1699" s="394"/>
      <c r="L1699" s="395">
        <v>61.79</v>
      </c>
      <c r="M1699" s="395">
        <v>45</v>
      </c>
      <c r="N1699" s="396"/>
      <c r="O1699" s="387">
        <v>0.15</v>
      </c>
      <c r="P1699" s="397">
        <v>0.1</v>
      </c>
      <c r="Q1699" s="396">
        <v>0</v>
      </c>
      <c r="R1699" s="379" t="s">
        <v>35</v>
      </c>
      <c r="S1699" s="388" t="s">
        <v>41</v>
      </c>
      <c r="T1699" s="388">
        <v>86</v>
      </c>
      <c r="U1699" s="398" t="s">
        <v>164</v>
      </c>
      <c r="V1699" s="449"/>
      <c r="W1699" s="394"/>
      <c r="X1699" s="396">
        <v>0</v>
      </c>
      <c r="Y1699" s="396"/>
      <c r="Z1699" s="394"/>
      <c r="AA1699" s="394"/>
      <c r="AB1699" s="394"/>
      <c r="AC1699" s="394"/>
      <c r="AD1699" s="394"/>
      <c r="AE1699" s="394"/>
      <c r="AF1699" s="394"/>
      <c r="AG1699" s="394"/>
      <c r="AH1699" s="394"/>
      <c r="AI1699" s="379"/>
      <c r="AJ1699" s="390">
        <v>0</v>
      </c>
      <c r="AK1699" s="394"/>
      <c r="AL1699" s="394"/>
      <c r="AM1699" s="394"/>
      <c r="AN1699" s="394"/>
      <c r="AO1699" s="394"/>
      <c r="AP1699" s="394"/>
      <c r="AQ1699" s="394"/>
      <c r="AR1699" s="394"/>
      <c r="AS1699" s="394"/>
      <c r="AT1699" s="394"/>
      <c r="AU1699" s="394"/>
      <c r="AV1699" s="394"/>
      <c r="AW1699" s="394"/>
      <c r="AX1699" s="394"/>
      <c r="AY1699" s="394"/>
      <c r="AZ1699" s="394"/>
      <c r="BA1699" s="394"/>
      <c r="BB1699" s="394"/>
      <c r="BC1699" s="394"/>
      <c r="BD1699" s="394"/>
      <c r="BE1699" s="394"/>
      <c r="BF1699" s="394"/>
      <c r="BG1699" s="394"/>
      <c r="BH1699" s="394"/>
      <c r="BI1699" s="394"/>
      <c r="BJ1699" s="394"/>
      <c r="BK1699" s="394"/>
      <c r="BL1699" s="394"/>
      <c r="BM1699" s="394"/>
      <c r="BN1699" s="394"/>
      <c r="BO1699" s="394"/>
      <c r="BP1699" s="394"/>
      <c r="BQ1699" s="394"/>
      <c r="BR1699" s="394"/>
      <c r="BS1699" s="394"/>
      <c r="BT1699" s="394"/>
      <c r="BU1699" s="394"/>
      <c r="BV1699" s="394"/>
      <c r="BW1699" s="394"/>
      <c r="BX1699" s="394"/>
      <c r="BY1699" s="394"/>
    </row>
    <row r="1700" spans="1:77" s="394" customFormat="1" ht="12" customHeight="1">
      <c r="B1700" s="379" t="s">
        <v>291</v>
      </c>
      <c r="C1700" s="392"/>
      <c r="D1700" s="392"/>
      <c r="E1700" s="393" t="s">
        <v>1367</v>
      </c>
      <c r="F1700" s="379" t="s">
        <v>169</v>
      </c>
      <c r="G1700" s="383">
        <v>3627</v>
      </c>
      <c r="H1700" s="394" t="s">
        <v>183</v>
      </c>
      <c r="I1700" s="394" t="s">
        <v>156</v>
      </c>
      <c r="J1700" s="395">
        <v>56324.27</v>
      </c>
      <c r="L1700" s="395">
        <v>67.73</v>
      </c>
      <c r="M1700" s="395">
        <v>67</v>
      </c>
      <c r="N1700" s="396"/>
      <c r="O1700" s="387">
        <v>0.15</v>
      </c>
      <c r="P1700" s="397">
        <v>0.1</v>
      </c>
      <c r="Q1700" s="396">
        <v>0</v>
      </c>
      <c r="R1700" s="379" t="s">
        <v>35</v>
      </c>
      <c r="S1700" s="388" t="s">
        <v>41</v>
      </c>
      <c r="T1700" s="388">
        <v>86</v>
      </c>
      <c r="U1700" s="398" t="s">
        <v>164</v>
      </c>
      <c r="V1700" s="449"/>
      <c r="X1700" s="396">
        <v>0</v>
      </c>
      <c r="Y1700" s="396"/>
      <c r="AI1700" s="379"/>
      <c r="AJ1700" s="390">
        <v>0</v>
      </c>
    </row>
    <row r="1701" spans="1:77" s="394" customFormat="1" ht="12" customHeight="1">
      <c r="B1701" s="380" t="s">
        <v>291</v>
      </c>
      <c r="C1701" s="392">
        <v>44702</v>
      </c>
      <c r="D1701" s="392">
        <v>44705</v>
      </c>
      <c r="E1701" s="393" t="s">
        <v>1368</v>
      </c>
      <c r="F1701" s="379" t="s">
        <v>728</v>
      </c>
      <c r="G1701" s="400">
        <v>4461</v>
      </c>
      <c r="H1701" s="394" t="s">
        <v>140</v>
      </c>
      <c r="I1701" s="394" t="s">
        <v>1195</v>
      </c>
      <c r="J1701" s="395">
        <v>18520</v>
      </c>
      <c r="L1701" s="395">
        <v>10</v>
      </c>
      <c r="M1701" s="395">
        <v>10</v>
      </c>
      <c r="N1701" s="396"/>
      <c r="O1701" s="387">
        <v>0.25</v>
      </c>
      <c r="P1701" s="397"/>
      <c r="Q1701" s="396">
        <v>118.3</v>
      </c>
      <c r="R1701" s="379" t="s">
        <v>257</v>
      </c>
      <c r="S1701" s="388" t="s">
        <v>74</v>
      </c>
      <c r="T1701" s="388">
        <v>32</v>
      </c>
      <c r="U1701" s="398" t="s">
        <v>164</v>
      </c>
      <c r="V1701" s="449"/>
      <c r="X1701" s="396">
        <v>118.3</v>
      </c>
      <c r="Y1701" s="396"/>
      <c r="AI1701" s="379"/>
      <c r="AJ1701" s="390">
        <v>118.3</v>
      </c>
    </row>
    <row r="1702" spans="1:77" s="394" customFormat="1" ht="12" customHeight="1">
      <c r="B1702" s="380" t="s">
        <v>291</v>
      </c>
      <c r="C1702" s="392"/>
      <c r="D1702" s="392"/>
      <c r="E1702" s="393" t="s">
        <v>1368</v>
      </c>
      <c r="F1702" s="379" t="s">
        <v>728</v>
      </c>
      <c r="G1702" s="400">
        <v>4461</v>
      </c>
      <c r="H1702" s="394" t="s">
        <v>99</v>
      </c>
      <c r="I1702" s="394" t="s">
        <v>1195</v>
      </c>
      <c r="J1702" s="395">
        <v>81796</v>
      </c>
      <c r="L1702" s="395">
        <v>55</v>
      </c>
      <c r="M1702" s="395">
        <v>55</v>
      </c>
      <c r="N1702" s="396"/>
      <c r="O1702" s="387">
        <v>0.25</v>
      </c>
      <c r="P1702" s="397"/>
      <c r="Q1702" s="396">
        <v>10904.1</v>
      </c>
      <c r="R1702" s="379" t="s">
        <v>257</v>
      </c>
      <c r="S1702" s="388" t="s">
        <v>74</v>
      </c>
      <c r="T1702" s="388">
        <v>32</v>
      </c>
      <c r="U1702" s="398" t="s">
        <v>164</v>
      </c>
      <c r="V1702" s="449"/>
      <c r="X1702" s="396">
        <v>10904.1</v>
      </c>
      <c r="Y1702" s="396"/>
      <c r="AI1702" s="379"/>
      <c r="AJ1702" s="390">
        <v>10904.1</v>
      </c>
    </row>
    <row r="1703" spans="1:77" s="394" customFormat="1" ht="12" customHeight="1">
      <c r="B1703" s="380" t="s">
        <v>291</v>
      </c>
      <c r="C1703" s="392"/>
      <c r="D1703" s="392"/>
      <c r="E1703" s="393" t="s">
        <v>1368</v>
      </c>
      <c r="F1703" s="379" t="s">
        <v>728</v>
      </c>
      <c r="G1703" s="400">
        <v>4461</v>
      </c>
      <c r="H1703" s="394" t="s">
        <v>729</v>
      </c>
      <c r="I1703" s="394" t="s">
        <v>1195</v>
      </c>
      <c r="J1703" s="395">
        <v>15984</v>
      </c>
      <c r="L1703" s="395">
        <v>4</v>
      </c>
      <c r="M1703" s="395">
        <v>4</v>
      </c>
      <c r="N1703" s="396"/>
      <c r="O1703" s="387">
        <v>0.25</v>
      </c>
      <c r="P1703" s="397"/>
      <c r="Q1703" s="396">
        <v>0</v>
      </c>
      <c r="R1703" s="379" t="s">
        <v>257</v>
      </c>
      <c r="S1703" s="388" t="s">
        <v>74</v>
      </c>
      <c r="T1703" s="388">
        <v>32</v>
      </c>
      <c r="U1703" s="398" t="s">
        <v>164</v>
      </c>
      <c r="V1703" s="449"/>
      <c r="X1703" s="396">
        <v>0</v>
      </c>
      <c r="Y1703" s="396"/>
      <c r="AI1703" s="379"/>
      <c r="AJ1703" s="390">
        <v>0</v>
      </c>
    </row>
    <row r="1704" spans="1:77" s="394" customFormat="1" ht="12" customHeight="1">
      <c r="B1704" s="380" t="s">
        <v>291</v>
      </c>
      <c r="C1704" s="392"/>
      <c r="D1704" s="392"/>
      <c r="E1704" s="393" t="s">
        <v>1368</v>
      </c>
      <c r="F1704" s="379" t="s">
        <v>728</v>
      </c>
      <c r="G1704" s="400">
        <v>4461</v>
      </c>
      <c r="H1704" s="394" t="s">
        <v>183</v>
      </c>
      <c r="I1704" s="394" t="s">
        <v>1195</v>
      </c>
      <c r="J1704" s="395">
        <v>25760</v>
      </c>
      <c r="L1704" s="395">
        <v>28</v>
      </c>
      <c r="M1704" s="395">
        <v>28</v>
      </c>
      <c r="N1704" s="396"/>
      <c r="O1704" s="387">
        <v>0.25</v>
      </c>
      <c r="P1704" s="397"/>
      <c r="Q1704" s="396">
        <v>0</v>
      </c>
      <c r="R1704" s="379" t="s">
        <v>257</v>
      </c>
      <c r="S1704" s="388" t="s">
        <v>74</v>
      </c>
      <c r="T1704" s="388">
        <v>32</v>
      </c>
      <c r="U1704" s="398" t="s">
        <v>164</v>
      </c>
      <c r="V1704" s="449"/>
      <c r="X1704" s="396">
        <v>0</v>
      </c>
      <c r="Y1704" s="396"/>
      <c r="AI1704" s="379"/>
      <c r="AJ1704" s="390">
        <v>0</v>
      </c>
    </row>
    <row r="1705" spans="1:77" s="394" customFormat="1" ht="12" customHeight="1">
      <c r="B1705" s="380" t="s">
        <v>291</v>
      </c>
      <c r="C1705" s="392"/>
      <c r="D1705" s="392"/>
      <c r="E1705" s="393" t="s">
        <v>1368</v>
      </c>
      <c r="F1705" s="379" t="s">
        <v>728</v>
      </c>
      <c r="G1705" s="400">
        <v>4461</v>
      </c>
      <c r="H1705" s="394" t="s">
        <v>765</v>
      </c>
      <c r="I1705" s="394" t="s">
        <v>1195</v>
      </c>
      <c r="J1705" s="395">
        <v>33900</v>
      </c>
      <c r="L1705" s="395">
        <v>30</v>
      </c>
      <c r="M1705" s="395">
        <v>30</v>
      </c>
      <c r="N1705" s="396"/>
      <c r="O1705" s="387">
        <v>0.25</v>
      </c>
      <c r="P1705" s="397"/>
      <c r="Q1705" s="396">
        <v>0</v>
      </c>
      <c r="R1705" s="379" t="s">
        <v>257</v>
      </c>
      <c r="S1705" s="388" t="s">
        <v>74</v>
      </c>
      <c r="T1705" s="388">
        <v>32</v>
      </c>
      <c r="U1705" s="398" t="s">
        <v>164</v>
      </c>
      <c r="V1705" s="449"/>
      <c r="X1705" s="396">
        <v>0</v>
      </c>
      <c r="Y1705" s="396"/>
      <c r="AI1705" s="379"/>
      <c r="AJ1705" s="390">
        <v>0</v>
      </c>
    </row>
    <row r="1706" spans="1:77" s="303" customFormat="1" ht="12" customHeight="1">
      <c r="B1706" s="291" t="s">
        <v>291</v>
      </c>
      <c r="C1706" s="301">
        <v>44703</v>
      </c>
      <c r="D1706" s="301">
        <v>44705</v>
      </c>
      <c r="E1706" s="302" t="s">
        <v>1369</v>
      </c>
      <c r="F1706" s="291" t="s">
        <v>429</v>
      </c>
      <c r="G1706" s="294">
        <v>4398</v>
      </c>
      <c r="H1706" s="291" t="s">
        <v>99</v>
      </c>
      <c r="I1706" s="303" t="s">
        <v>961</v>
      </c>
      <c r="J1706" s="305">
        <v>106247.9</v>
      </c>
      <c r="L1706" s="305">
        <v>66.900000000000006</v>
      </c>
      <c r="M1706" s="305">
        <v>66.900000000000006</v>
      </c>
      <c r="N1706" s="306"/>
      <c r="O1706" s="298">
        <v>0.2</v>
      </c>
      <c r="P1706" s="307"/>
      <c r="Q1706" s="306">
        <v>0</v>
      </c>
      <c r="R1706" s="291" t="s">
        <v>35</v>
      </c>
      <c r="S1706" s="299" t="s">
        <v>41</v>
      </c>
      <c r="T1706" s="299">
        <v>86</v>
      </c>
      <c r="U1706" s="309" t="s">
        <v>164</v>
      </c>
      <c r="V1706" s="447"/>
      <c r="W1706" s="303" t="s">
        <v>3897</v>
      </c>
      <c r="X1706" s="306">
        <v>0</v>
      </c>
      <c r="Y1706" s="306"/>
      <c r="AH1706" s="303">
        <f>X1706</f>
        <v>0</v>
      </c>
      <c r="AI1706" s="311"/>
      <c r="AJ1706" s="468"/>
    </row>
    <row r="1707" spans="1:77" s="303" customFormat="1" ht="12" customHeight="1">
      <c r="B1707" s="291" t="s">
        <v>291</v>
      </c>
      <c r="C1707" s="301"/>
      <c r="D1707" s="301"/>
      <c r="E1707" s="302" t="s">
        <v>1369</v>
      </c>
      <c r="F1707" s="291" t="s">
        <v>429</v>
      </c>
      <c r="G1707" s="294">
        <v>4398</v>
      </c>
      <c r="H1707" s="291" t="s">
        <v>183</v>
      </c>
      <c r="I1707" s="303" t="s">
        <v>961</v>
      </c>
      <c r="J1707" s="305">
        <v>59677.17</v>
      </c>
      <c r="L1707" s="305">
        <v>44.5</v>
      </c>
      <c r="M1707" s="305">
        <v>44.5</v>
      </c>
      <c r="N1707" s="306"/>
      <c r="O1707" s="298">
        <v>0.2</v>
      </c>
      <c r="P1707" s="307"/>
      <c r="Q1707" s="306">
        <v>0</v>
      </c>
      <c r="R1707" s="291" t="s">
        <v>35</v>
      </c>
      <c r="S1707" s="299" t="s">
        <v>41</v>
      </c>
      <c r="T1707" s="299">
        <v>86</v>
      </c>
      <c r="U1707" s="309" t="s">
        <v>164</v>
      </c>
      <c r="V1707" s="447"/>
      <c r="W1707" s="303" t="s">
        <v>3897</v>
      </c>
      <c r="X1707" s="306">
        <v>0</v>
      </c>
      <c r="Y1707" s="306"/>
      <c r="AH1707" s="303">
        <f>X1707</f>
        <v>0</v>
      </c>
      <c r="AI1707" s="311"/>
      <c r="AJ1707" s="468"/>
    </row>
    <row r="1708" spans="1:77" s="303" customFormat="1" ht="12" customHeight="1">
      <c r="B1708" s="291" t="s">
        <v>291</v>
      </c>
      <c r="C1708" s="301"/>
      <c r="D1708" s="301"/>
      <c r="E1708" s="302" t="s">
        <v>1369</v>
      </c>
      <c r="F1708" s="291" t="s">
        <v>429</v>
      </c>
      <c r="G1708" s="294">
        <v>4398</v>
      </c>
      <c r="H1708" s="291" t="s">
        <v>27</v>
      </c>
      <c r="I1708" s="303" t="s">
        <v>961</v>
      </c>
      <c r="J1708" s="305">
        <v>113737.55</v>
      </c>
      <c r="L1708" s="305">
        <v>56.23</v>
      </c>
      <c r="M1708" s="305">
        <v>56.23</v>
      </c>
      <c r="N1708" s="306"/>
      <c r="O1708" s="298">
        <v>0.2</v>
      </c>
      <c r="P1708" s="307"/>
      <c r="Q1708" s="306">
        <v>0</v>
      </c>
      <c r="R1708" s="291" t="s">
        <v>35</v>
      </c>
      <c r="S1708" s="299" t="s">
        <v>41</v>
      </c>
      <c r="T1708" s="299">
        <v>86</v>
      </c>
      <c r="U1708" s="309" t="s">
        <v>164</v>
      </c>
      <c r="V1708" s="447"/>
      <c r="W1708" s="303" t="s">
        <v>3897</v>
      </c>
      <c r="X1708" s="306">
        <v>0</v>
      </c>
      <c r="Y1708" s="306"/>
      <c r="AH1708" s="303">
        <f>X1708</f>
        <v>0</v>
      </c>
      <c r="AI1708" s="311"/>
      <c r="AJ1708" s="468"/>
    </row>
    <row r="1709" spans="1:77" s="660" customFormat="1" ht="12" customHeight="1">
      <c r="A1709" s="660" t="s">
        <v>3893</v>
      </c>
      <c r="B1709" s="647" t="s">
        <v>291</v>
      </c>
      <c r="C1709" s="665"/>
      <c r="D1709" s="665"/>
      <c r="E1709" s="666" t="s">
        <v>1370</v>
      </c>
      <c r="F1709" s="647" t="s">
        <v>1371</v>
      </c>
      <c r="G1709" s="650">
        <v>3770</v>
      </c>
      <c r="H1709" s="647" t="s">
        <v>1372</v>
      </c>
      <c r="I1709" s="660" t="s">
        <v>33</v>
      </c>
      <c r="J1709" s="668">
        <f>1.3*1200*24.65</f>
        <v>38454</v>
      </c>
      <c r="L1709" s="668">
        <v>24.65</v>
      </c>
      <c r="M1709" s="668">
        <v>24.65</v>
      </c>
      <c r="N1709" s="669"/>
      <c r="O1709" s="653">
        <v>0.3</v>
      </c>
      <c r="P1709" s="670"/>
      <c r="Q1709" s="669">
        <v>4082.04</v>
      </c>
      <c r="R1709" s="647" t="s">
        <v>35</v>
      </c>
      <c r="S1709" s="654" t="s">
        <v>34</v>
      </c>
      <c r="T1709" s="654">
        <v>17</v>
      </c>
      <c r="U1709" s="672" t="s">
        <v>164</v>
      </c>
      <c r="V1709" s="673"/>
      <c r="X1709" s="669">
        <v>4082.04</v>
      </c>
      <c r="Y1709" s="669"/>
      <c r="AI1709" s="660">
        <f>X1709</f>
        <v>4082.04</v>
      </c>
      <c r="AJ1709" s="657"/>
      <c r="AK1709" s="658"/>
      <c r="AL1709" s="647"/>
      <c r="AM1709" s="647"/>
      <c r="AN1709" s="647"/>
      <c r="AO1709" s="647"/>
      <c r="AP1709" s="647"/>
      <c r="AQ1709" s="647"/>
      <c r="AR1709" s="647"/>
      <c r="AS1709" s="647"/>
      <c r="AT1709" s="647"/>
      <c r="AU1709" s="647"/>
      <c r="AV1709" s="647"/>
      <c r="AW1709" s="647"/>
      <c r="AX1709" s="647"/>
      <c r="AY1709" s="647"/>
      <c r="AZ1709" s="647"/>
      <c r="BA1709" s="647"/>
      <c r="BB1709" s="647"/>
      <c r="BC1709" s="647"/>
      <c r="BD1709" s="647"/>
      <c r="BE1709" s="647"/>
      <c r="BF1709" s="647"/>
      <c r="BG1709" s="647"/>
      <c r="BH1709" s="647"/>
      <c r="BI1709" s="647"/>
      <c r="BJ1709" s="647"/>
      <c r="BK1709" s="647"/>
      <c r="BL1709" s="647"/>
      <c r="BM1709" s="647"/>
      <c r="BN1709" s="647"/>
      <c r="BO1709" s="647"/>
      <c r="BP1709" s="647"/>
      <c r="BQ1709" s="647"/>
      <c r="BR1709" s="647"/>
      <c r="BS1709" s="647"/>
      <c r="BT1709" s="647"/>
      <c r="BU1709" s="647"/>
      <c r="BV1709" s="647"/>
      <c r="BW1709" s="647"/>
      <c r="BX1709" s="647"/>
      <c r="BY1709" s="647"/>
    </row>
    <row r="1710" spans="1:77" s="303" customFormat="1" ht="12" customHeight="1">
      <c r="A1710" s="303" t="s">
        <v>3893</v>
      </c>
      <c r="B1710" s="291" t="s">
        <v>291</v>
      </c>
      <c r="C1710" s="301">
        <v>44705</v>
      </c>
      <c r="D1710" s="301">
        <v>44705</v>
      </c>
      <c r="E1710" s="302" t="s">
        <v>1370</v>
      </c>
      <c r="F1710" s="291" t="s">
        <v>1371</v>
      </c>
      <c r="G1710" s="294">
        <v>3770</v>
      </c>
      <c r="H1710" s="291" t="s">
        <v>27</v>
      </c>
      <c r="I1710" s="303" t="s">
        <v>33</v>
      </c>
      <c r="J1710" s="305">
        <v>35628.29</v>
      </c>
      <c r="L1710" s="305">
        <v>35.97</v>
      </c>
      <c r="M1710" s="305">
        <v>35.97</v>
      </c>
      <c r="N1710" s="306"/>
      <c r="O1710" s="298">
        <v>0.3</v>
      </c>
      <c r="P1710" s="307"/>
      <c r="Q1710" s="306">
        <v>0</v>
      </c>
      <c r="R1710" s="291" t="s">
        <v>35</v>
      </c>
      <c r="S1710" s="299" t="s">
        <v>34</v>
      </c>
      <c r="T1710" s="299">
        <v>17</v>
      </c>
      <c r="U1710" s="309" t="s">
        <v>164</v>
      </c>
      <c r="V1710" s="447"/>
      <c r="X1710" s="306">
        <v>0</v>
      </c>
      <c r="Y1710" s="306"/>
      <c r="AH1710" s="311">
        <f t="shared" ref="AH1710:AH1715" si="28">X1710</f>
        <v>0</v>
      </c>
      <c r="AI1710" s="311"/>
      <c r="AJ1710" s="468"/>
    </row>
    <row r="1711" spans="1:77" s="303" customFormat="1" ht="12" customHeight="1">
      <c r="A1711" s="303" t="s">
        <v>3893</v>
      </c>
      <c r="B1711" s="291" t="s">
        <v>291</v>
      </c>
      <c r="C1711" s="301"/>
      <c r="D1711" s="301"/>
      <c r="E1711" s="302" t="s">
        <v>1370</v>
      </c>
      <c r="F1711" s="291" t="s">
        <v>1371</v>
      </c>
      <c r="G1711" s="294">
        <v>3770</v>
      </c>
      <c r="H1711" s="291" t="s">
        <v>310</v>
      </c>
      <c r="I1711" s="303" t="s">
        <v>33</v>
      </c>
      <c r="J1711" s="305">
        <v>34950.160000000003</v>
      </c>
      <c r="L1711" s="305">
        <v>29.05</v>
      </c>
      <c r="M1711" s="305">
        <v>29.05</v>
      </c>
      <c r="N1711" s="306">
        <f>J1711*0.4</f>
        <v>13980.064000000002</v>
      </c>
      <c r="O1711" s="298">
        <v>0.3</v>
      </c>
      <c r="P1711" s="307"/>
      <c r="Q1711" s="306">
        <v>4444.6499999999996</v>
      </c>
      <c r="R1711" s="291" t="s">
        <v>35</v>
      </c>
      <c r="S1711" s="299" t="s">
        <v>34</v>
      </c>
      <c r="T1711" s="299">
        <v>17</v>
      </c>
      <c r="U1711" s="309" t="s">
        <v>164</v>
      </c>
      <c r="V1711" s="447"/>
      <c r="X1711" s="306">
        <f>Q1711</f>
        <v>4444.6499999999996</v>
      </c>
      <c r="Y1711" s="306"/>
      <c r="AH1711" s="303">
        <f t="shared" si="28"/>
        <v>4444.6499999999996</v>
      </c>
      <c r="AI1711" s="311"/>
      <c r="AJ1711" s="468"/>
    </row>
    <row r="1712" spans="1:77" s="303" customFormat="1" ht="12" customHeight="1">
      <c r="A1712" s="303" t="s">
        <v>3893</v>
      </c>
      <c r="B1712" s="291" t="s">
        <v>291</v>
      </c>
      <c r="C1712" s="301"/>
      <c r="D1712" s="301"/>
      <c r="E1712" s="302" t="s">
        <v>1370</v>
      </c>
      <c r="F1712" s="291" t="s">
        <v>1371</v>
      </c>
      <c r="G1712" s="294">
        <v>3770</v>
      </c>
      <c r="H1712" s="291" t="s">
        <v>140</v>
      </c>
      <c r="I1712" s="303" t="s">
        <v>33</v>
      </c>
      <c r="J1712" s="305">
        <v>62035.05</v>
      </c>
      <c r="L1712" s="305">
        <v>25.31</v>
      </c>
      <c r="M1712" s="305">
        <v>25.31</v>
      </c>
      <c r="N1712" s="306"/>
      <c r="O1712" s="298">
        <v>0.3</v>
      </c>
      <c r="P1712" s="307"/>
      <c r="Q1712" s="306">
        <v>6086.04</v>
      </c>
      <c r="R1712" s="291" t="s">
        <v>35</v>
      </c>
      <c r="S1712" s="299" t="s">
        <v>34</v>
      </c>
      <c r="T1712" s="299">
        <v>17</v>
      </c>
      <c r="U1712" s="309" t="s">
        <v>164</v>
      </c>
      <c r="V1712" s="447"/>
      <c r="X1712" s="306">
        <f>Q1712</f>
        <v>6086.04</v>
      </c>
      <c r="Y1712" s="306"/>
      <c r="AH1712" s="303">
        <f t="shared" si="28"/>
        <v>6086.04</v>
      </c>
      <c r="AI1712" s="311"/>
      <c r="AJ1712" s="468"/>
    </row>
    <row r="1713" spans="1:77" s="303" customFormat="1" ht="12" customHeight="1">
      <c r="A1713" s="303" t="s">
        <v>3893</v>
      </c>
      <c r="B1713" s="291" t="s">
        <v>291</v>
      </c>
      <c r="C1713" s="301"/>
      <c r="D1713" s="301"/>
      <c r="E1713" s="302" t="s">
        <v>1370</v>
      </c>
      <c r="F1713" s="291" t="s">
        <v>1371</v>
      </c>
      <c r="G1713" s="294">
        <v>3770</v>
      </c>
      <c r="H1713" s="291" t="s">
        <v>99</v>
      </c>
      <c r="I1713" s="303" t="s">
        <v>33</v>
      </c>
      <c r="J1713" s="305">
        <v>181334.31</v>
      </c>
      <c r="L1713" s="305">
        <v>112.9</v>
      </c>
      <c r="M1713" s="305">
        <v>112.9</v>
      </c>
      <c r="N1713" s="306"/>
      <c r="O1713" s="298">
        <v>0.3</v>
      </c>
      <c r="P1713" s="307"/>
      <c r="Q1713" s="306">
        <v>0</v>
      </c>
      <c r="R1713" s="291" t="s">
        <v>35</v>
      </c>
      <c r="S1713" s="299" t="s">
        <v>34</v>
      </c>
      <c r="T1713" s="299">
        <v>17</v>
      </c>
      <c r="U1713" s="309" t="s">
        <v>164</v>
      </c>
      <c r="V1713" s="447"/>
      <c r="X1713" s="306">
        <v>0</v>
      </c>
      <c r="Y1713" s="306"/>
      <c r="AH1713" s="311">
        <f t="shared" si="28"/>
        <v>0</v>
      </c>
      <c r="AI1713" s="311"/>
      <c r="AJ1713" s="468"/>
    </row>
    <row r="1714" spans="1:77" s="303" customFormat="1" ht="12" customHeight="1">
      <c r="A1714" s="303" t="s">
        <v>3893</v>
      </c>
      <c r="B1714" s="310" t="s">
        <v>291</v>
      </c>
      <c r="C1714" s="301">
        <v>44702</v>
      </c>
      <c r="D1714" s="301">
        <v>44705</v>
      </c>
      <c r="E1714" s="302" t="s">
        <v>1373</v>
      </c>
      <c r="F1714" s="291" t="s">
        <v>535</v>
      </c>
      <c r="G1714" s="294">
        <v>3624</v>
      </c>
      <c r="H1714" s="291" t="s">
        <v>99</v>
      </c>
      <c r="I1714" s="303" t="s">
        <v>958</v>
      </c>
      <c r="J1714" s="305">
        <v>16400.400000000001</v>
      </c>
      <c r="L1714" s="305">
        <v>12</v>
      </c>
      <c r="M1714" s="305">
        <v>12</v>
      </c>
      <c r="N1714" s="306"/>
      <c r="O1714" s="298">
        <v>0.2</v>
      </c>
      <c r="P1714" s="307"/>
      <c r="Q1714" s="306">
        <v>3111.51</v>
      </c>
      <c r="R1714" s="291" t="s">
        <v>35</v>
      </c>
      <c r="S1714" s="299" t="s">
        <v>41</v>
      </c>
      <c r="T1714" s="299">
        <v>17</v>
      </c>
      <c r="U1714" s="309" t="s">
        <v>164</v>
      </c>
      <c r="V1714" s="447"/>
      <c r="X1714" s="306">
        <v>3111.51</v>
      </c>
      <c r="Y1714" s="306"/>
      <c r="AH1714" s="305">
        <f t="shared" si="28"/>
        <v>3111.51</v>
      </c>
      <c r="AI1714" s="311"/>
      <c r="AJ1714" s="468"/>
    </row>
    <row r="1715" spans="1:77" s="303" customFormat="1" ht="12" customHeight="1">
      <c r="B1715" s="310" t="s">
        <v>291</v>
      </c>
      <c r="C1715" s="301"/>
      <c r="D1715" s="301"/>
      <c r="E1715" s="302" t="s">
        <v>1373</v>
      </c>
      <c r="F1715" s="291" t="s">
        <v>535</v>
      </c>
      <c r="G1715" s="294">
        <v>3624</v>
      </c>
      <c r="H1715" s="291" t="s">
        <v>316</v>
      </c>
      <c r="I1715" s="303" t="s">
        <v>958</v>
      </c>
      <c r="J1715" s="305">
        <v>3824.48</v>
      </c>
      <c r="L1715" s="305">
        <v>4.0999999999999996</v>
      </c>
      <c r="M1715" s="305">
        <v>4</v>
      </c>
      <c r="N1715" s="306"/>
      <c r="O1715" s="298">
        <v>0.2</v>
      </c>
      <c r="P1715" s="307"/>
      <c r="Q1715" s="306">
        <v>0</v>
      </c>
      <c r="R1715" s="291" t="s">
        <v>35</v>
      </c>
      <c r="S1715" s="299" t="s">
        <v>41</v>
      </c>
      <c r="T1715" s="299">
        <v>17</v>
      </c>
      <c r="U1715" s="309" t="s">
        <v>164</v>
      </c>
      <c r="V1715" s="447"/>
      <c r="X1715" s="306">
        <v>0</v>
      </c>
      <c r="Y1715" s="297"/>
      <c r="AH1715" s="308">
        <f t="shared" si="28"/>
        <v>0</v>
      </c>
      <c r="AI1715" s="311"/>
      <c r="AJ1715" s="468"/>
    </row>
    <row r="1716" spans="1:77" s="117" customFormat="1" ht="12" customHeight="1">
      <c r="A1716" s="394"/>
      <c r="B1716" s="380" t="s">
        <v>291</v>
      </c>
      <c r="C1716" s="392"/>
      <c r="D1716" s="392"/>
      <c r="E1716" s="393" t="s">
        <v>1374</v>
      </c>
      <c r="F1716" s="379" t="s">
        <v>1375</v>
      </c>
      <c r="G1716" s="383">
        <v>4631</v>
      </c>
      <c r="H1716" s="379" t="s">
        <v>1015</v>
      </c>
      <c r="I1716" s="394" t="s">
        <v>33</v>
      </c>
      <c r="J1716" s="395">
        <v>4929.6000000000004</v>
      </c>
      <c r="K1716" s="394"/>
      <c r="L1716" s="395">
        <v>4</v>
      </c>
      <c r="M1716" s="395">
        <v>4</v>
      </c>
      <c r="N1716" s="396"/>
      <c r="O1716" s="387">
        <v>0.25</v>
      </c>
      <c r="P1716" s="397"/>
      <c r="Q1716" s="396">
        <v>0</v>
      </c>
      <c r="R1716" s="379" t="s">
        <v>35</v>
      </c>
      <c r="S1716" s="388" t="s">
        <v>41</v>
      </c>
      <c r="T1716" s="388">
        <v>16</v>
      </c>
      <c r="U1716" s="398" t="s">
        <v>164</v>
      </c>
      <c r="V1716" s="449"/>
      <c r="W1716" s="394"/>
      <c r="X1716" s="396">
        <v>0</v>
      </c>
      <c r="Y1716" s="396"/>
      <c r="Z1716" s="394"/>
      <c r="AA1716" s="394"/>
      <c r="AB1716" s="394"/>
      <c r="AC1716" s="394"/>
      <c r="AD1716" s="394"/>
      <c r="AE1716" s="394"/>
      <c r="AF1716" s="394"/>
      <c r="AG1716" s="394"/>
      <c r="AH1716" s="394"/>
      <c r="AI1716" s="379"/>
      <c r="AJ1716" s="390">
        <v>0</v>
      </c>
      <c r="AK1716" s="394"/>
      <c r="AL1716" s="394"/>
      <c r="AM1716" s="394"/>
      <c r="AN1716" s="394"/>
      <c r="AO1716" s="394"/>
      <c r="AP1716" s="394"/>
      <c r="AQ1716" s="394"/>
      <c r="AR1716" s="394"/>
      <c r="AS1716" s="394"/>
      <c r="AT1716" s="394"/>
      <c r="AU1716" s="394"/>
      <c r="AV1716" s="394"/>
      <c r="AW1716" s="394"/>
      <c r="AX1716" s="394"/>
      <c r="AY1716" s="394"/>
      <c r="AZ1716" s="394"/>
      <c r="BA1716" s="394"/>
      <c r="BB1716" s="394"/>
      <c r="BC1716" s="394"/>
      <c r="BD1716" s="394"/>
      <c r="BE1716" s="394"/>
      <c r="BF1716" s="394"/>
      <c r="BG1716" s="394"/>
      <c r="BH1716" s="394"/>
      <c r="BI1716" s="394"/>
      <c r="BJ1716" s="394"/>
      <c r="BK1716" s="394"/>
      <c r="BL1716" s="394"/>
      <c r="BM1716" s="394"/>
      <c r="BN1716" s="394"/>
      <c r="BO1716" s="394"/>
      <c r="BP1716" s="394"/>
      <c r="BQ1716" s="394"/>
      <c r="BR1716" s="394"/>
      <c r="BS1716" s="394"/>
      <c r="BT1716" s="394"/>
      <c r="BU1716" s="394"/>
      <c r="BV1716" s="394"/>
      <c r="BW1716" s="394"/>
      <c r="BX1716" s="394"/>
      <c r="BY1716" s="394"/>
    </row>
    <row r="1717" spans="1:77" s="394" customFormat="1" ht="12" customHeight="1">
      <c r="B1717" s="380" t="s">
        <v>291</v>
      </c>
      <c r="C1717" s="392">
        <v>44700</v>
      </c>
      <c r="D1717" s="392">
        <v>44706</v>
      </c>
      <c r="E1717" s="393" t="s">
        <v>1374</v>
      </c>
      <c r="F1717" s="379" t="s">
        <v>1375</v>
      </c>
      <c r="G1717" s="383">
        <v>4631</v>
      </c>
      <c r="H1717" s="379" t="s">
        <v>1376</v>
      </c>
      <c r="I1717" s="394" t="s">
        <v>33</v>
      </c>
      <c r="J1717" s="395">
        <v>32611.41</v>
      </c>
      <c r="L1717" s="395">
        <v>21.19</v>
      </c>
      <c r="M1717" s="395">
        <v>21.19</v>
      </c>
      <c r="N1717" s="396"/>
      <c r="O1717" s="387">
        <v>0.25</v>
      </c>
      <c r="P1717" s="397"/>
      <c r="Q1717" s="396">
        <v>0</v>
      </c>
      <c r="R1717" s="379" t="s">
        <v>35</v>
      </c>
      <c r="S1717" s="388" t="s">
        <v>41</v>
      </c>
      <c r="T1717" s="388">
        <v>16</v>
      </c>
      <c r="U1717" s="398" t="s">
        <v>164</v>
      </c>
      <c r="V1717" s="449"/>
      <c r="X1717" s="396">
        <v>0</v>
      </c>
      <c r="Y1717" s="396"/>
      <c r="AI1717" s="379"/>
      <c r="AJ1717" s="390">
        <v>0</v>
      </c>
    </row>
    <row r="1718" spans="1:77" s="572" customFormat="1" ht="12" customHeight="1">
      <c r="B1718" s="705" t="s">
        <v>291</v>
      </c>
      <c r="C1718" s="708"/>
      <c r="D1718" s="708"/>
      <c r="E1718" s="709" t="s">
        <v>1374</v>
      </c>
      <c r="F1718" s="571" t="s">
        <v>1375</v>
      </c>
      <c r="G1718" s="706">
        <v>4631</v>
      </c>
      <c r="H1718" s="571" t="s">
        <v>528</v>
      </c>
      <c r="I1718" s="572" t="s">
        <v>33</v>
      </c>
      <c r="J1718" s="710">
        <v>14345.76</v>
      </c>
      <c r="L1718" s="710">
        <v>8.36</v>
      </c>
      <c r="M1718" s="710">
        <v>8.36</v>
      </c>
      <c r="N1718" s="711"/>
      <c r="O1718" s="700">
        <v>0.25</v>
      </c>
      <c r="P1718" s="712"/>
      <c r="Q1718" s="711">
        <v>1594.45</v>
      </c>
      <c r="R1718" s="571" t="s">
        <v>35</v>
      </c>
      <c r="S1718" s="701" t="s">
        <v>41</v>
      </c>
      <c r="T1718" s="701">
        <v>16</v>
      </c>
      <c r="U1718" s="713" t="s">
        <v>164</v>
      </c>
      <c r="V1718" s="714"/>
      <c r="X1718" s="711">
        <v>1594.45</v>
      </c>
      <c r="Y1718" s="711"/>
      <c r="AI1718" s="571"/>
      <c r="AJ1718" s="704"/>
      <c r="AP1718" s="711">
        <v>1594.45</v>
      </c>
    </row>
    <row r="1719" spans="1:77" s="394" customFormat="1" ht="12" customHeight="1">
      <c r="B1719" s="380" t="s">
        <v>291</v>
      </c>
      <c r="C1719" s="392"/>
      <c r="D1719" s="392"/>
      <c r="E1719" s="393" t="s">
        <v>1374</v>
      </c>
      <c r="F1719" s="379" t="s">
        <v>1375</v>
      </c>
      <c r="G1719" s="383">
        <v>4631</v>
      </c>
      <c r="H1719" s="379" t="s">
        <v>1052</v>
      </c>
      <c r="I1719" s="394" t="s">
        <v>33</v>
      </c>
      <c r="J1719" s="395">
        <v>1982.88</v>
      </c>
      <c r="L1719" s="395">
        <v>1.8</v>
      </c>
      <c r="M1719" s="395">
        <v>1.8</v>
      </c>
      <c r="N1719" s="396"/>
      <c r="O1719" s="387">
        <v>0.25</v>
      </c>
      <c r="P1719" s="397"/>
      <c r="Q1719" s="396">
        <v>0</v>
      </c>
      <c r="R1719" s="379" t="s">
        <v>35</v>
      </c>
      <c r="S1719" s="388" t="s">
        <v>41</v>
      </c>
      <c r="T1719" s="388">
        <v>16</v>
      </c>
      <c r="U1719" s="398" t="s">
        <v>164</v>
      </c>
      <c r="V1719" s="449"/>
      <c r="X1719" s="396">
        <v>0</v>
      </c>
      <c r="Y1719" s="396"/>
      <c r="AJ1719" s="390">
        <v>0</v>
      </c>
    </row>
    <row r="1720" spans="1:77" s="303" customFormat="1" ht="12" customHeight="1">
      <c r="B1720" s="310" t="s">
        <v>291</v>
      </c>
      <c r="C1720" s="301"/>
      <c r="D1720" s="301"/>
      <c r="E1720" s="302" t="s">
        <v>1374</v>
      </c>
      <c r="F1720" s="291" t="s">
        <v>1375</v>
      </c>
      <c r="G1720" s="294">
        <v>4631</v>
      </c>
      <c r="H1720" s="291" t="s">
        <v>1018</v>
      </c>
      <c r="I1720" s="303" t="s">
        <v>33</v>
      </c>
      <c r="J1720" s="305">
        <v>3098.25</v>
      </c>
      <c r="L1720" s="305">
        <v>2.25</v>
      </c>
      <c r="M1720" s="305">
        <v>2.25</v>
      </c>
      <c r="N1720" s="306"/>
      <c r="O1720" s="298">
        <v>0.25</v>
      </c>
      <c r="P1720" s="307"/>
      <c r="Q1720" s="306">
        <v>0</v>
      </c>
      <c r="R1720" s="291" t="s">
        <v>35</v>
      </c>
      <c r="S1720" s="299" t="s">
        <v>41</v>
      </c>
      <c r="T1720" s="299">
        <v>16</v>
      </c>
      <c r="U1720" s="309" t="s">
        <v>164</v>
      </c>
      <c r="V1720" s="447"/>
      <c r="X1720" s="306">
        <v>0</v>
      </c>
      <c r="Y1720" s="306"/>
      <c r="AH1720" s="311">
        <f>X1720</f>
        <v>0</v>
      </c>
      <c r="AI1720" s="311"/>
      <c r="AJ1720" s="468"/>
    </row>
    <row r="1721" spans="1:77" s="394" customFormat="1" ht="12" customHeight="1">
      <c r="B1721" s="380" t="s">
        <v>291</v>
      </c>
      <c r="C1721" s="392">
        <v>44703</v>
      </c>
      <c r="D1721" s="392">
        <v>44705</v>
      </c>
      <c r="E1721" s="393" t="s">
        <v>1377</v>
      </c>
      <c r="F1721" s="379" t="s">
        <v>639</v>
      </c>
      <c r="G1721" s="383" t="s">
        <v>640</v>
      </c>
      <c r="H1721" s="379" t="s">
        <v>183</v>
      </c>
      <c r="I1721" s="394" t="s">
        <v>156</v>
      </c>
      <c r="J1721" s="419">
        <v>14675.5</v>
      </c>
      <c r="L1721" s="419">
        <v>12.25</v>
      </c>
      <c r="M1721" s="419">
        <v>12.25</v>
      </c>
      <c r="N1721" s="396"/>
      <c r="O1721" s="387">
        <v>0.15</v>
      </c>
      <c r="P1721" s="397">
        <v>0.1</v>
      </c>
      <c r="Q1721" s="396">
        <v>214.38</v>
      </c>
      <c r="R1721" s="379" t="s">
        <v>35</v>
      </c>
      <c r="S1721" s="388" t="s">
        <v>41</v>
      </c>
      <c r="T1721" s="388">
        <v>79</v>
      </c>
      <c r="U1721" s="398" t="s">
        <v>164</v>
      </c>
      <c r="V1721" s="449"/>
      <c r="X1721" s="396">
        <v>214.38</v>
      </c>
      <c r="Y1721" s="396"/>
      <c r="AJ1721" s="390">
        <v>214.38</v>
      </c>
    </row>
    <row r="1722" spans="1:77" s="394" customFormat="1" ht="12" customHeight="1">
      <c r="B1722" s="380" t="s">
        <v>291</v>
      </c>
      <c r="C1722" s="392"/>
      <c r="D1722" s="392"/>
      <c r="E1722" s="393" t="s">
        <v>1377</v>
      </c>
      <c r="F1722" s="379" t="s">
        <v>639</v>
      </c>
      <c r="G1722" s="383" t="s">
        <v>640</v>
      </c>
      <c r="H1722" s="379" t="s">
        <v>27</v>
      </c>
      <c r="I1722" s="394" t="s">
        <v>156</v>
      </c>
      <c r="J1722" s="419">
        <v>7585.12</v>
      </c>
      <c r="L1722" s="419">
        <v>8.9700000000000006</v>
      </c>
      <c r="M1722" s="419">
        <v>8.9700000000000006</v>
      </c>
      <c r="N1722" s="396"/>
      <c r="O1722" s="387">
        <v>0.15</v>
      </c>
      <c r="P1722" s="397">
        <v>0.1</v>
      </c>
      <c r="Q1722" s="396">
        <v>0</v>
      </c>
      <c r="R1722" s="379" t="s">
        <v>35</v>
      </c>
      <c r="S1722" s="388" t="s">
        <v>41</v>
      </c>
      <c r="T1722" s="388">
        <v>79</v>
      </c>
      <c r="U1722" s="398" t="s">
        <v>164</v>
      </c>
      <c r="V1722" s="449"/>
      <c r="X1722" s="396">
        <v>0</v>
      </c>
      <c r="Y1722" s="396"/>
      <c r="AJ1722" s="390">
        <v>0</v>
      </c>
    </row>
    <row r="1723" spans="1:77" s="394" customFormat="1" ht="12" customHeight="1">
      <c r="B1723" s="380" t="s">
        <v>291</v>
      </c>
      <c r="C1723" s="392"/>
      <c r="D1723" s="392"/>
      <c r="E1723" s="393" t="s">
        <v>1377</v>
      </c>
      <c r="F1723" s="379" t="s">
        <v>639</v>
      </c>
      <c r="G1723" s="383" t="s">
        <v>640</v>
      </c>
      <c r="H1723" s="379" t="s">
        <v>310</v>
      </c>
      <c r="I1723" s="394" t="s">
        <v>156</v>
      </c>
      <c r="J1723" s="419">
        <v>8851.41</v>
      </c>
      <c r="L1723" s="419">
        <v>14.38</v>
      </c>
      <c r="M1723" s="419">
        <v>14.38</v>
      </c>
      <c r="N1723" s="396"/>
      <c r="O1723" s="387">
        <v>0.15</v>
      </c>
      <c r="P1723" s="397">
        <v>0.1</v>
      </c>
      <c r="Q1723" s="396">
        <v>2889.39</v>
      </c>
      <c r="R1723" s="379" t="s">
        <v>35</v>
      </c>
      <c r="S1723" s="388" t="s">
        <v>41</v>
      </c>
      <c r="T1723" s="388">
        <v>79</v>
      </c>
      <c r="U1723" s="398" t="s">
        <v>164</v>
      </c>
      <c r="V1723" s="449"/>
      <c r="X1723" s="396">
        <v>2889.39</v>
      </c>
      <c r="Y1723" s="396"/>
      <c r="AJ1723" s="390">
        <v>2889.39</v>
      </c>
    </row>
    <row r="1724" spans="1:77" s="394" customFormat="1" ht="12" customHeight="1">
      <c r="B1724" s="380" t="s">
        <v>291</v>
      </c>
      <c r="C1724" s="392"/>
      <c r="D1724" s="392"/>
      <c r="E1724" s="393" t="s">
        <v>1377</v>
      </c>
      <c r="F1724" s="379" t="s">
        <v>639</v>
      </c>
      <c r="G1724" s="383" t="s">
        <v>640</v>
      </c>
      <c r="H1724" s="394" t="s">
        <v>765</v>
      </c>
      <c r="I1724" s="394" t="s">
        <v>156</v>
      </c>
      <c r="J1724" s="419">
        <v>10672.98</v>
      </c>
      <c r="L1724" s="419">
        <v>10.14</v>
      </c>
      <c r="M1724" s="419">
        <v>10.14</v>
      </c>
      <c r="N1724" s="396"/>
      <c r="O1724" s="387">
        <v>0.15</v>
      </c>
      <c r="P1724" s="397">
        <v>0.1</v>
      </c>
      <c r="Q1724" s="396">
        <v>3990.55</v>
      </c>
      <c r="R1724" s="379" t="s">
        <v>35</v>
      </c>
      <c r="S1724" s="388" t="s">
        <v>41</v>
      </c>
      <c r="T1724" s="388">
        <v>79</v>
      </c>
      <c r="U1724" s="398" t="s">
        <v>164</v>
      </c>
      <c r="V1724" s="449"/>
      <c r="X1724" s="396">
        <v>3990.55</v>
      </c>
      <c r="Y1724" s="396"/>
      <c r="AJ1724" s="390">
        <v>3990.55</v>
      </c>
    </row>
    <row r="1725" spans="1:77" s="394" customFormat="1" ht="12" customHeight="1">
      <c r="B1725" s="380" t="s">
        <v>291</v>
      </c>
      <c r="C1725" s="392"/>
      <c r="D1725" s="392"/>
      <c r="E1725" s="393" t="s">
        <v>1377</v>
      </c>
      <c r="F1725" s="379" t="s">
        <v>639</v>
      </c>
      <c r="G1725" s="383" t="s">
        <v>640</v>
      </c>
      <c r="H1725" s="379" t="s">
        <v>162</v>
      </c>
      <c r="I1725" s="394" t="s">
        <v>156</v>
      </c>
      <c r="J1725" s="419">
        <v>4543.62</v>
      </c>
      <c r="L1725" s="419">
        <v>9.07</v>
      </c>
      <c r="M1725" s="419">
        <v>9.07</v>
      </c>
      <c r="N1725" s="396"/>
      <c r="O1725" s="387">
        <v>0.15</v>
      </c>
      <c r="P1725" s="397">
        <v>0.1</v>
      </c>
      <c r="Q1725" s="396">
        <v>1094.95</v>
      </c>
      <c r="R1725" s="379" t="s">
        <v>35</v>
      </c>
      <c r="S1725" s="388" t="s">
        <v>41</v>
      </c>
      <c r="T1725" s="388">
        <v>79</v>
      </c>
      <c r="U1725" s="398" t="s">
        <v>164</v>
      </c>
      <c r="V1725" s="449"/>
      <c r="X1725" s="396">
        <v>1094.95</v>
      </c>
      <c r="Y1725" s="396"/>
      <c r="AJ1725" s="390">
        <v>1094.95</v>
      </c>
    </row>
    <row r="1726" spans="1:77" s="303" customFormat="1" ht="12" customHeight="1">
      <c r="B1726" s="310" t="s">
        <v>291</v>
      </c>
      <c r="C1726" s="301">
        <v>44704</v>
      </c>
      <c r="D1726" s="301">
        <v>44705</v>
      </c>
      <c r="E1726" s="302" t="s">
        <v>1378</v>
      </c>
      <c r="F1726" s="291" t="s">
        <v>399</v>
      </c>
      <c r="G1726" s="294" t="s">
        <v>400</v>
      </c>
      <c r="H1726" s="303" t="s">
        <v>99</v>
      </c>
      <c r="I1726" s="303" t="s">
        <v>732</v>
      </c>
      <c r="J1726" s="305">
        <v>66761.36</v>
      </c>
      <c r="L1726" s="305">
        <v>41.51</v>
      </c>
      <c r="M1726" s="305">
        <v>20</v>
      </c>
      <c r="N1726" s="306"/>
      <c r="O1726" s="298">
        <v>0.2</v>
      </c>
      <c r="P1726" s="307"/>
      <c r="Q1726" s="306">
        <v>1000</v>
      </c>
      <c r="R1726" s="291" t="s">
        <v>128</v>
      </c>
      <c r="S1726" s="299" t="s">
        <v>41</v>
      </c>
      <c r="T1726" s="299">
        <v>86</v>
      </c>
      <c r="U1726" s="300" t="s">
        <v>164</v>
      </c>
      <c r="V1726" s="447">
        <v>1000</v>
      </c>
      <c r="X1726" s="297">
        <v>1000</v>
      </c>
      <c r="Y1726" s="306"/>
      <c r="AH1726" s="291">
        <f>X1726</f>
        <v>1000</v>
      </c>
      <c r="AI1726" s="311"/>
      <c r="AJ1726" s="468"/>
    </row>
    <row r="1727" spans="1:77" s="117" customFormat="1" ht="12" customHeight="1">
      <c r="A1727" s="394"/>
      <c r="B1727" s="379" t="s">
        <v>291</v>
      </c>
      <c r="C1727" s="392">
        <v>44702</v>
      </c>
      <c r="D1727" s="392">
        <v>44705</v>
      </c>
      <c r="E1727" s="393" t="s">
        <v>1379</v>
      </c>
      <c r="F1727" s="379" t="s">
        <v>117</v>
      </c>
      <c r="G1727" s="383">
        <v>3532</v>
      </c>
      <c r="H1727" s="379" t="s">
        <v>866</v>
      </c>
      <c r="I1727" s="394" t="s">
        <v>33</v>
      </c>
      <c r="J1727" s="395">
        <v>49856.23</v>
      </c>
      <c r="K1727" s="394"/>
      <c r="L1727" s="395">
        <v>73.73</v>
      </c>
      <c r="M1727" s="395">
        <v>9.52</v>
      </c>
      <c r="N1727" s="396"/>
      <c r="O1727" s="387">
        <v>0.15</v>
      </c>
      <c r="P1727" s="397"/>
      <c r="Q1727" s="396">
        <v>0</v>
      </c>
      <c r="R1727" s="379" t="s">
        <v>35</v>
      </c>
      <c r="S1727" s="388" t="s">
        <v>118</v>
      </c>
      <c r="T1727" s="388">
        <v>79</v>
      </c>
      <c r="U1727" s="398" t="s">
        <v>164</v>
      </c>
      <c r="V1727" s="449"/>
      <c r="W1727" s="394"/>
      <c r="X1727" s="396">
        <v>0</v>
      </c>
      <c r="Y1727" s="396"/>
      <c r="Z1727" s="394"/>
      <c r="AA1727" s="394"/>
      <c r="AB1727" s="394"/>
      <c r="AC1727" s="394"/>
      <c r="AD1727" s="394"/>
      <c r="AE1727" s="394"/>
      <c r="AF1727" s="394"/>
      <c r="AG1727" s="394"/>
      <c r="AH1727" s="394"/>
      <c r="AI1727" s="394"/>
      <c r="AJ1727" s="390">
        <v>0</v>
      </c>
      <c r="AK1727" s="394"/>
      <c r="AL1727" s="394"/>
      <c r="AM1727" s="394"/>
      <c r="AN1727" s="394"/>
      <c r="AO1727" s="394"/>
      <c r="AP1727" s="394"/>
      <c r="AQ1727" s="394"/>
      <c r="AR1727" s="394"/>
      <c r="AS1727" s="394"/>
      <c r="AT1727" s="394"/>
      <c r="AU1727" s="394"/>
      <c r="AV1727" s="394"/>
      <c r="AW1727" s="394"/>
      <c r="AX1727" s="394"/>
      <c r="AY1727" s="394"/>
      <c r="AZ1727" s="394"/>
      <c r="BA1727" s="394"/>
      <c r="BB1727" s="394"/>
      <c r="BC1727" s="394"/>
      <c r="BD1727" s="394"/>
      <c r="BE1727" s="394"/>
      <c r="BF1727" s="394"/>
      <c r="BG1727" s="394"/>
      <c r="BH1727" s="394"/>
      <c r="BI1727" s="394"/>
      <c r="BJ1727" s="394"/>
      <c r="BK1727" s="394"/>
      <c r="BL1727" s="394"/>
      <c r="BM1727" s="394"/>
      <c r="BN1727" s="394"/>
      <c r="BO1727" s="394"/>
      <c r="BP1727" s="394"/>
      <c r="BQ1727" s="394"/>
      <c r="BR1727" s="394"/>
      <c r="BS1727" s="394"/>
      <c r="BT1727" s="394"/>
      <c r="BU1727" s="394"/>
      <c r="BV1727" s="394"/>
      <c r="BW1727" s="394"/>
      <c r="BX1727" s="394"/>
      <c r="BY1727" s="394"/>
    </row>
    <row r="1728" spans="1:77" s="303" customFormat="1" ht="12" customHeight="1">
      <c r="A1728" s="394"/>
      <c r="B1728" s="379" t="s">
        <v>291</v>
      </c>
      <c r="C1728" s="392"/>
      <c r="D1728" s="392"/>
      <c r="E1728" s="393" t="s">
        <v>1379</v>
      </c>
      <c r="F1728" s="379" t="s">
        <v>117</v>
      </c>
      <c r="G1728" s="383">
        <v>3532</v>
      </c>
      <c r="H1728" s="379" t="s">
        <v>866</v>
      </c>
      <c r="I1728" s="394" t="s">
        <v>156</v>
      </c>
      <c r="J1728" s="395">
        <v>49856.23</v>
      </c>
      <c r="K1728" s="394"/>
      <c r="L1728" s="395">
        <v>73.73</v>
      </c>
      <c r="M1728" s="395">
        <v>20.21</v>
      </c>
      <c r="N1728" s="396"/>
      <c r="O1728" s="387">
        <v>0.15</v>
      </c>
      <c r="P1728" s="397">
        <v>0.1</v>
      </c>
      <c r="Q1728" s="396">
        <v>0</v>
      </c>
      <c r="R1728" s="379" t="s">
        <v>35</v>
      </c>
      <c r="S1728" s="388" t="s">
        <v>118</v>
      </c>
      <c r="T1728" s="388">
        <v>79</v>
      </c>
      <c r="U1728" s="398" t="s">
        <v>164</v>
      </c>
      <c r="V1728" s="449"/>
      <c r="W1728" s="394"/>
      <c r="X1728" s="396">
        <v>0</v>
      </c>
      <c r="Y1728" s="396"/>
      <c r="Z1728" s="394"/>
      <c r="AA1728" s="394"/>
      <c r="AB1728" s="394"/>
      <c r="AC1728" s="394"/>
      <c r="AD1728" s="394"/>
      <c r="AE1728" s="394"/>
      <c r="AF1728" s="394"/>
      <c r="AG1728" s="394"/>
      <c r="AH1728" s="394"/>
      <c r="AI1728" s="394"/>
      <c r="AJ1728" s="390">
        <v>0</v>
      </c>
      <c r="AK1728" s="394"/>
      <c r="AL1728" s="394"/>
      <c r="AM1728" s="394"/>
      <c r="AN1728" s="394"/>
      <c r="AO1728" s="394"/>
      <c r="AP1728" s="394"/>
      <c r="AQ1728" s="394"/>
      <c r="AR1728" s="394"/>
      <c r="AS1728" s="394"/>
      <c r="AT1728" s="394"/>
      <c r="AU1728" s="394"/>
      <c r="AV1728" s="394"/>
      <c r="AW1728" s="394"/>
      <c r="AX1728" s="394"/>
      <c r="AY1728" s="394"/>
      <c r="AZ1728" s="394"/>
      <c r="BA1728" s="394"/>
      <c r="BB1728" s="394"/>
      <c r="BC1728" s="394"/>
      <c r="BD1728" s="394"/>
      <c r="BE1728" s="394"/>
      <c r="BF1728" s="394"/>
      <c r="BG1728" s="394"/>
      <c r="BH1728" s="394"/>
      <c r="BI1728" s="394"/>
      <c r="BJ1728" s="394"/>
      <c r="BK1728" s="394"/>
      <c r="BL1728" s="394"/>
      <c r="BM1728" s="394"/>
      <c r="BN1728" s="394"/>
      <c r="BO1728" s="394"/>
      <c r="BP1728" s="394"/>
      <c r="BQ1728" s="394"/>
      <c r="BR1728" s="394"/>
      <c r="BS1728" s="394"/>
      <c r="BT1728" s="394"/>
      <c r="BU1728" s="394"/>
      <c r="BV1728" s="394"/>
      <c r="BW1728" s="394"/>
      <c r="BX1728" s="394"/>
      <c r="BY1728" s="394"/>
    </row>
    <row r="1729" spans="1:105" s="303" customFormat="1" ht="12" customHeight="1">
      <c r="A1729" s="394"/>
      <c r="B1729" s="379" t="s">
        <v>291</v>
      </c>
      <c r="C1729" s="392"/>
      <c r="D1729" s="392"/>
      <c r="E1729" s="393" t="s">
        <v>1379</v>
      </c>
      <c r="F1729" s="379" t="s">
        <v>117</v>
      </c>
      <c r="G1729" s="383">
        <v>3532</v>
      </c>
      <c r="H1729" s="394" t="s">
        <v>765</v>
      </c>
      <c r="I1729" s="394" t="s">
        <v>33</v>
      </c>
      <c r="J1729" s="395">
        <v>116474.09</v>
      </c>
      <c r="K1729" s="394"/>
      <c r="L1729" s="395">
        <v>134.72999999999999</v>
      </c>
      <c r="M1729" s="395">
        <v>13.01</v>
      </c>
      <c r="N1729" s="396"/>
      <c r="O1729" s="387">
        <v>0.15</v>
      </c>
      <c r="P1729" s="397"/>
      <c r="Q1729" s="396">
        <v>8228.6299999999992</v>
      </c>
      <c r="R1729" s="379" t="s">
        <v>35</v>
      </c>
      <c r="S1729" s="388" t="s">
        <v>118</v>
      </c>
      <c r="T1729" s="388">
        <v>79</v>
      </c>
      <c r="U1729" s="398" t="s">
        <v>164</v>
      </c>
      <c r="V1729" s="449"/>
      <c r="W1729" s="394"/>
      <c r="X1729" s="396">
        <v>8228.6299999999992</v>
      </c>
      <c r="Y1729" s="396"/>
      <c r="Z1729" s="394"/>
      <c r="AA1729" s="394"/>
      <c r="AB1729" s="394"/>
      <c r="AC1729" s="394"/>
      <c r="AD1729" s="394"/>
      <c r="AE1729" s="394"/>
      <c r="AF1729" s="394"/>
      <c r="AG1729" s="394"/>
      <c r="AH1729" s="394"/>
      <c r="AI1729" s="394"/>
      <c r="AJ1729" s="395">
        <v>8228.6299999999992</v>
      </c>
      <c r="AK1729" s="394"/>
      <c r="AL1729" s="394"/>
      <c r="AM1729" s="394"/>
      <c r="AN1729" s="394"/>
      <c r="AO1729" s="394"/>
      <c r="AP1729" s="394"/>
      <c r="AQ1729" s="394"/>
      <c r="AR1729" s="394"/>
      <c r="AS1729" s="394"/>
      <c r="AT1729" s="394"/>
      <c r="AU1729" s="394"/>
      <c r="AV1729" s="394"/>
      <c r="AW1729" s="394"/>
      <c r="AX1729" s="394"/>
      <c r="AY1729" s="394"/>
      <c r="AZ1729" s="394"/>
      <c r="BA1729" s="394"/>
      <c r="BB1729" s="394"/>
      <c r="BC1729" s="394"/>
      <c r="BD1729" s="394"/>
      <c r="BE1729" s="394"/>
      <c r="BF1729" s="394"/>
      <c r="BG1729" s="394"/>
      <c r="BH1729" s="394"/>
      <c r="BI1729" s="394"/>
      <c r="BJ1729" s="394"/>
      <c r="BK1729" s="394"/>
      <c r="BL1729" s="394"/>
      <c r="BM1729" s="394"/>
      <c r="BN1729" s="394"/>
      <c r="BO1729" s="394"/>
      <c r="BP1729" s="394"/>
      <c r="BQ1729" s="394"/>
      <c r="BR1729" s="394"/>
      <c r="BS1729" s="394"/>
      <c r="BT1729" s="394"/>
      <c r="BU1729" s="394"/>
      <c r="BV1729" s="394"/>
      <c r="BW1729" s="394"/>
      <c r="BX1729" s="394"/>
      <c r="BY1729" s="394"/>
    </row>
    <row r="1730" spans="1:105" s="303" customFormat="1" ht="12" customHeight="1">
      <c r="A1730" s="303" t="s">
        <v>3893</v>
      </c>
      <c r="B1730" s="291" t="s">
        <v>291</v>
      </c>
      <c r="C1730" s="301"/>
      <c r="D1730" s="301"/>
      <c r="E1730" s="302" t="s">
        <v>1379</v>
      </c>
      <c r="F1730" s="291" t="s">
        <v>117</v>
      </c>
      <c r="G1730" s="294">
        <v>3532</v>
      </c>
      <c r="H1730" s="291" t="s">
        <v>295</v>
      </c>
      <c r="I1730" s="303" t="s">
        <v>156</v>
      </c>
      <c r="J1730" s="305">
        <v>5031</v>
      </c>
      <c r="L1730" s="305">
        <v>7.74</v>
      </c>
      <c r="M1730" s="305">
        <v>7.74</v>
      </c>
      <c r="N1730" s="306"/>
      <c r="O1730" s="298">
        <v>0.15</v>
      </c>
      <c r="P1730" s="307">
        <v>0.1</v>
      </c>
      <c r="Q1730" s="306">
        <v>1589.8</v>
      </c>
      <c r="R1730" s="291" t="s">
        <v>35</v>
      </c>
      <c r="S1730" s="299" t="s">
        <v>118</v>
      </c>
      <c r="T1730" s="299">
        <v>79</v>
      </c>
      <c r="U1730" s="428" t="s">
        <v>164</v>
      </c>
      <c r="V1730" s="447"/>
      <c r="X1730" s="306">
        <v>1589.8</v>
      </c>
      <c r="Y1730" s="306"/>
      <c r="AH1730" s="303">
        <f>X1730</f>
        <v>1589.8</v>
      </c>
      <c r="AI1730" s="311"/>
      <c r="AJ1730" s="468"/>
    </row>
    <row r="1731" spans="1:105" s="303" customFormat="1" ht="12" customHeight="1">
      <c r="A1731" s="303" t="s">
        <v>3893</v>
      </c>
      <c r="B1731" s="291" t="s">
        <v>291</v>
      </c>
      <c r="C1731" s="301"/>
      <c r="D1731" s="301"/>
      <c r="E1731" s="302" t="s">
        <v>1379</v>
      </c>
      <c r="F1731" s="291" t="s">
        <v>117</v>
      </c>
      <c r="G1731" s="294">
        <v>3532</v>
      </c>
      <c r="H1731" s="291" t="s">
        <v>99</v>
      </c>
      <c r="I1731" s="303" t="s">
        <v>156</v>
      </c>
      <c r="J1731" s="305">
        <v>207483.6</v>
      </c>
      <c r="L1731" s="305">
        <v>201.05</v>
      </c>
      <c r="M1731" s="305">
        <v>149.22</v>
      </c>
      <c r="N1731" s="306"/>
      <c r="O1731" s="298">
        <v>0.15</v>
      </c>
      <c r="P1731" s="307">
        <v>0.1</v>
      </c>
      <c r="Q1731" s="306">
        <v>7177.49</v>
      </c>
      <c r="R1731" s="291" t="s">
        <v>35</v>
      </c>
      <c r="S1731" s="299" t="s">
        <v>118</v>
      </c>
      <c r="T1731" s="299">
        <v>79</v>
      </c>
      <c r="U1731" s="309" t="s">
        <v>164</v>
      </c>
      <c r="V1731" s="447"/>
      <c r="X1731" s="306">
        <v>7177.49</v>
      </c>
      <c r="Y1731" s="306"/>
      <c r="AH1731" s="306">
        <f>X1731</f>
        <v>7177.49</v>
      </c>
      <c r="AI1731" s="311"/>
      <c r="AJ1731" s="468"/>
    </row>
    <row r="1732" spans="1:105" s="303" customFormat="1" ht="12" customHeight="1">
      <c r="A1732" s="303" t="s">
        <v>3893</v>
      </c>
      <c r="B1732" s="291" t="s">
        <v>291</v>
      </c>
      <c r="C1732" s="301"/>
      <c r="D1732" s="301"/>
      <c r="E1732" s="302" t="s">
        <v>1379</v>
      </c>
      <c r="F1732" s="291" t="s">
        <v>117</v>
      </c>
      <c r="G1732" s="294">
        <v>3532</v>
      </c>
      <c r="H1732" s="291" t="s">
        <v>27</v>
      </c>
      <c r="I1732" s="303" t="s">
        <v>156</v>
      </c>
      <c r="J1732" s="305">
        <v>75130.83</v>
      </c>
      <c r="L1732" s="305">
        <v>62.95</v>
      </c>
      <c r="M1732" s="305">
        <v>62.95</v>
      </c>
      <c r="N1732" s="306"/>
      <c r="O1732" s="298">
        <v>0.15</v>
      </c>
      <c r="P1732" s="307">
        <v>0.1</v>
      </c>
      <c r="Q1732" s="306">
        <v>6233.85</v>
      </c>
      <c r="R1732" s="291" t="s">
        <v>35</v>
      </c>
      <c r="S1732" s="299" t="s">
        <v>118</v>
      </c>
      <c r="T1732" s="299">
        <v>79</v>
      </c>
      <c r="U1732" s="309" t="s">
        <v>164</v>
      </c>
      <c r="V1732" s="447">
        <v>626.59</v>
      </c>
      <c r="X1732" s="306">
        <v>6233.85</v>
      </c>
      <c r="Y1732" s="306"/>
      <c r="AH1732" s="306">
        <f>X1732</f>
        <v>6233.85</v>
      </c>
      <c r="AI1732" s="311"/>
      <c r="AJ1732" s="468"/>
    </row>
    <row r="1733" spans="1:105" s="303" customFormat="1" ht="12" customHeight="1">
      <c r="A1733" s="303" t="s">
        <v>3893</v>
      </c>
      <c r="B1733" s="291" t="s">
        <v>291</v>
      </c>
      <c r="C1733" s="301"/>
      <c r="D1733" s="301"/>
      <c r="E1733" s="302" t="s">
        <v>1379</v>
      </c>
      <c r="F1733" s="291" t="s">
        <v>117</v>
      </c>
      <c r="G1733" s="294">
        <v>3532</v>
      </c>
      <c r="H1733" s="291" t="s">
        <v>183</v>
      </c>
      <c r="I1733" s="303" t="s">
        <v>156</v>
      </c>
      <c r="J1733" s="305">
        <v>29206.45</v>
      </c>
      <c r="L1733" s="305">
        <v>32.75</v>
      </c>
      <c r="M1733" s="305">
        <v>14.54</v>
      </c>
      <c r="N1733" s="306"/>
      <c r="O1733" s="298">
        <v>0.15</v>
      </c>
      <c r="P1733" s="307">
        <v>0.1</v>
      </c>
      <c r="Q1733" s="306">
        <v>1396.13</v>
      </c>
      <c r="R1733" s="291" t="s">
        <v>35</v>
      </c>
      <c r="S1733" s="299" t="s">
        <v>118</v>
      </c>
      <c r="T1733" s="299">
        <v>79</v>
      </c>
      <c r="U1733" s="309" t="s">
        <v>164</v>
      </c>
      <c r="V1733" s="447"/>
      <c r="X1733" s="306">
        <v>1396.13</v>
      </c>
      <c r="Y1733" s="306"/>
      <c r="AH1733" s="306">
        <f>X1733</f>
        <v>1396.13</v>
      </c>
      <c r="AI1733" s="311"/>
      <c r="AJ1733" s="468"/>
    </row>
    <row r="1734" spans="1:105" s="660" customFormat="1" ht="12" customHeight="1">
      <c r="B1734" s="647" t="s">
        <v>291</v>
      </c>
      <c r="C1734" s="665">
        <v>44676</v>
      </c>
      <c r="D1734" s="665">
        <v>44706</v>
      </c>
      <c r="E1734" s="666" t="s">
        <v>1380</v>
      </c>
      <c r="F1734" s="647" t="s">
        <v>1381</v>
      </c>
      <c r="G1734" s="667">
        <v>4542</v>
      </c>
      <c r="H1734" s="660" t="s">
        <v>183</v>
      </c>
      <c r="I1734" s="660" t="s">
        <v>961</v>
      </c>
      <c r="J1734" s="668">
        <v>6957.82</v>
      </c>
      <c r="L1734" s="668">
        <v>7.48</v>
      </c>
      <c r="M1734" s="668">
        <v>7.48</v>
      </c>
      <c r="N1734" s="669"/>
      <c r="O1734" s="653">
        <v>0.2</v>
      </c>
      <c r="P1734" s="670"/>
      <c r="Q1734" s="669">
        <v>0</v>
      </c>
      <c r="R1734" s="647" t="s">
        <v>146</v>
      </c>
      <c r="S1734" s="654" t="s">
        <v>113</v>
      </c>
      <c r="T1734" s="654">
        <v>31</v>
      </c>
      <c r="U1734" s="672" t="s">
        <v>164</v>
      </c>
      <c r="V1734" s="673"/>
      <c r="X1734" s="669">
        <v>0</v>
      </c>
      <c r="Y1734" s="669"/>
      <c r="AI1734" s="660">
        <v>0</v>
      </c>
      <c r="AJ1734" s="657"/>
      <c r="AK1734" s="658"/>
    </row>
    <row r="1735" spans="1:105" s="660" customFormat="1" ht="12" customHeight="1">
      <c r="B1735" s="647" t="s">
        <v>291</v>
      </c>
      <c r="C1735" s="665"/>
      <c r="D1735" s="665"/>
      <c r="E1735" s="666" t="s">
        <v>1380</v>
      </c>
      <c r="F1735" s="647" t="s">
        <v>1381</v>
      </c>
      <c r="G1735" s="667">
        <v>4542</v>
      </c>
      <c r="H1735" s="660" t="s">
        <v>99</v>
      </c>
      <c r="I1735" s="660" t="s">
        <v>961</v>
      </c>
      <c r="J1735" s="668">
        <v>7585.89</v>
      </c>
      <c r="L1735" s="668">
        <v>7.87</v>
      </c>
      <c r="M1735" s="668">
        <v>7.87</v>
      </c>
      <c r="N1735" s="669"/>
      <c r="O1735" s="653">
        <v>0.2</v>
      </c>
      <c r="P1735" s="670"/>
      <c r="Q1735" s="669">
        <v>181.95</v>
      </c>
      <c r="R1735" s="647" t="s">
        <v>146</v>
      </c>
      <c r="S1735" s="654" t="s">
        <v>113</v>
      </c>
      <c r="T1735" s="654">
        <v>31</v>
      </c>
      <c r="U1735" s="672" t="s">
        <v>164</v>
      </c>
      <c r="V1735" s="673"/>
      <c r="X1735" s="669">
        <v>181.95</v>
      </c>
      <c r="Y1735" s="669"/>
      <c r="AI1735" s="669">
        <v>181.95</v>
      </c>
      <c r="AJ1735" s="657"/>
      <c r="AK1735" s="658"/>
    </row>
    <row r="1736" spans="1:105" s="117" customFormat="1" ht="12" customHeight="1">
      <c r="A1736" s="472"/>
      <c r="B1736" s="473" t="s">
        <v>291</v>
      </c>
      <c r="C1736" s="474"/>
      <c r="D1736" s="474"/>
      <c r="E1736" s="475" t="s">
        <v>1382</v>
      </c>
      <c r="F1736" s="473" t="s">
        <v>1383</v>
      </c>
      <c r="G1736" s="476" t="s">
        <v>1384</v>
      </c>
      <c r="H1736" s="472" t="s">
        <v>27</v>
      </c>
      <c r="I1736" s="472" t="s">
        <v>33</v>
      </c>
      <c r="J1736" s="477">
        <v>28523.25</v>
      </c>
      <c r="K1736" s="472"/>
      <c r="L1736" s="477">
        <v>19</v>
      </c>
      <c r="M1736" s="477">
        <v>18.11</v>
      </c>
      <c r="N1736" s="478">
        <v>0</v>
      </c>
      <c r="O1736" s="493">
        <v>0.25</v>
      </c>
      <c r="P1736" s="480"/>
      <c r="Q1736" s="478">
        <v>0</v>
      </c>
      <c r="R1736" s="473" t="s">
        <v>281</v>
      </c>
      <c r="S1736" s="481" t="s">
        <v>41</v>
      </c>
      <c r="T1736" s="481">
        <v>23</v>
      </c>
      <c r="U1736" s="483" t="s">
        <v>164</v>
      </c>
      <c r="V1736" s="484"/>
      <c r="W1736" s="472"/>
      <c r="X1736" s="478">
        <v>0</v>
      </c>
      <c r="Y1736" s="478"/>
      <c r="Z1736" s="472"/>
      <c r="AA1736" s="472"/>
      <c r="AB1736" s="472"/>
      <c r="AC1736" s="472"/>
      <c r="AD1736" s="472"/>
      <c r="AE1736" s="472"/>
      <c r="AF1736" s="472"/>
      <c r="AG1736" s="472"/>
      <c r="AH1736" s="472"/>
      <c r="AI1736" s="472"/>
      <c r="AJ1736" s="485"/>
      <c r="AK1736" s="472">
        <v>0</v>
      </c>
      <c r="AL1736" s="472"/>
      <c r="AM1736" s="472"/>
      <c r="AN1736" s="472"/>
      <c r="AO1736" s="472"/>
      <c r="AP1736" s="472"/>
      <c r="AQ1736" s="472"/>
      <c r="AR1736" s="472"/>
      <c r="AS1736" s="472"/>
      <c r="AT1736" s="472"/>
      <c r="AU1736" s="472"/>
      <c r="AV1736" s="472"/>
      <c r="AW1736" s="472"/>
      <c r="AX1736" s="472"/>
      <c r="AY1736" s="472"/>
      <c r="AZ1736" s="472"/>
      <c r="BA1736" s="472"/>
      <c r="BB1736" s="472"/>
      <c r="BC1736" s="472"/>
      <c r="BD1736" s="472"/>
      <c r="BE1736" s="472"/>
      <c r="BF1736" s="472"/>
      <c r="BG1736" s="472"/>
      <c r="BH1736" s="472"/>
      <c r="BI1736" s="472"/>
      <c r="BJ1736" s="472"/>
      <c r="BK1736" s="472"/>
      <c r="BL1736" s="472"/>
      <c r="BM1736" s="472"/>
      <c r="BN1736" s="472"/>
      <c r="BO1736" s="472"/>
      <c r="BP1736" s="472"/>
      <c r="BQ1736" s="472"/>
      <c r="BR1736" s="472"/>
      <c r="BS1736" s="472"/>
      <c r="BT1736" s="472"/>
      <c r="BU1736" s="472"/>
      <c r="BV1736" s="472"/>
      <c r="BW1736" s="472"/>
      <c r="BX1736" s="472"/>
      <c r="BY1736" s="472"/>
    </row>
    <row r="1737" spans="1:105" s="117" customFormat="1" ht="12" customHeight="1">
      <c r="A1737" s="472"/>
      <c r="B1737" s="473" t="s">
        <v>291</v>
      </c>
      <c r="C1737" s="474"/>
      <c r="D1737" s="474"/>
      <c r="E1737" s="475" t="s">
        <v>1382</v>
      </c>
      <c r="F1737" s="473" t="s">
        <v>1383</v>
      </c>
      <c r="G1737" s="476" t="s">
        <v>1384</v>
      </c>
      <c r="H1737" s="472" t="s">
        <v>137</v>
      </c>
      <c r="I1737" s="472" t="s">
        <v>33</v>
      </c>
      <c r="J1737" s="477">
        <v>15263.82</v>
      </c>
      <c r="K1737" s="472"/>
      <c r="L1737" s="477">
        <v>13.5</v>
      </c>
      <c r="M1737" s="477">
        <v>12.87</v>
      </c>
      <c r="N1737" s="478">
        <v>0</v>
      </c>
      <c r="O1737" s="493">
        <v>0.25</v>
      </c>
      <c r="P1737" s="480"/>
      <c r="Q1737" s="478">
        <v>0</v>
      </c>
      <c r="R1737" s="473" t="s">
        <v>281</v>
      </c>
      <c r="S1737" s="481" t="s">
        <v>41</v>
      </c>
      <c r="T1737" s="481">
        <v>23</v>
      </c>
      <c r="U1737" s="483" t="s">
        <v>164</v>
      </c>
      <c r="V1737" s="484"/>
      <c r="W1737" s="472"/>
      <c r="X1737" s="478">
        <v>0</v>
      </c>
      <c r="Y1737" s="478"/>
      <c r="Z1737" s="472"/>
      <c r="AA1737" s="472"/>
      <c r="AB1737" s="472"/>
      <c r="AC1737" s="472"/>
      <c r="AD1737" s="472"/>
      <c r="AE1737" s="472"/>
      <c r="AF1737" s="472"/>
      <c r="AG1737" s="472"/>
      <c r="AH1737" s="472"/>
      <c r="AI1737" s="472"/>
      <c r="AJ1737" s="485"/>
      <c r="AK1737" s="472">
        <v>0</v>
      </c>
      <c r="AL1737" s="472"/>
      <c r="AM1737" s="472"/>
      <c r="AN1737" s="472"/>
      <c r="AO1737" s="472"/>
      <c r="AP1737" s="472"/>
      <c r="AQ1737" s="472"/>
      <c r="AR1737" s="472"/>
      <c r="AS1737" s="472"/>
      <c r="AT1737" s="472"/>
      <c r="AU1737" s="472"/>
      <c r="AV1737" s="472"/>
      <c r="AW1737" s="472"/>
      <c r="AX1737" s="472"/>
      <c r="AY1737" s="472"/>
      <c r="AZ1737" s="472"/>
      <c r="BA1737" s="472"/>
      <c r="BB1737" s="472"/>
      <c r="BC1737" s="472"/>
      <c r="BD1737" s="472"/>
      <c r="BE1737" s="472"/>
      <c r="BF1737" s="472"/>
      <c r="BG1737" s="472"/>
      <c r="BH1737" s="472"/>
      <c r="BI1737" s="472"/>
      <c r="BJ1737" s="472"/>
      <c r="BK1737" s="472"/>
      <c r="BL1737" s="472"/>
      <c r="BM1737" s="472"/>
      <c r="BN1737" s="472"/>
      <c r="BO1737" s="472"/>
      <c r="BP1737" s="472"/>
      <c r="BQ1737" s="472"/>
      <c r="BR1737" s="472"/>
      <c r="BS1737" s="472"/>
      <c r="BT1737" s="472"/>
      <c r="BU1737" s="472"/>
      <c r="BV1737" s="472"/>
      <c r="BW1737" s="472"/>
      <c r="BX1737" s="472"/>
      <c r="BY1737" s="472"/>
    </row>
    <row r="1738" spans="1:105" s="472" customFormat="1" ht="12" customHeight="1">
      <c r="A1738" s="117"/>
      <c r="B1738" s="6" t="s">
        <v>291</v>
      </c>
      <c r="C1738" s="146">
        <v>44702</v>
      </c>
      <c r="D1738" s="146">
        <v>44706</v>
      </c>
      <c r="E1738" s="147" t="s">
        <v>1382</v>
      </c>
      <c r="F1738" s="6" t="s">
        <v>1383</v>
      </c>
      <c r="G1738" s="148" t="s">
        <v>1384</v>
      </c>
      <c r="H1738" s="117" t="s">
        <v>140</v>
      </c>
      <c r="I1738" s="117" t="s">
        <v>33</v>
      </c>
      <c r="J1738" s="149">
        <v>7498.53</v>
      </c>
      <c r="K1738" s="117"/>
      <c r="L1738" s="149">
        <v>5.5</v>
      </c>
      <c r="M1738" s="149">
        <v>5.07</v>
      </c>
      <c r="N1738" s="150">
        <v>2924.4267</v>
      </c>
      <c r="O1738" s="11">
        <v>0.25</v>
      </c>
      <c r="P1738" s="151"/>
      <c r="Q1738" s="200">
        <v>696.64</v>
      </c>
      <c r="R1738" s="6" t="s">
        <v>281</v>
      </c>
      <c r="S1738" s="3" t="s">
        <v>41</v>
      </c>
      <c r="T1738" s="3">
        <v>23</v>
      </c>
      <c r="U1738" s="56"/>
      <c r="V1738" s="448"/>
      <c r="W1738" s="117"/>
      <c r="X1738" s="150"/>
      <c r="Y1738" s="150"/>
      <c r="Z1738" s="117"/>
      <c r="AA1738" s="117"/>
      <c r="AB1738" s="117"/>
      <c r="AC1738" s="117"/>
      <c r="AD1738" s="117"/>
      <c r="AE1738" s="117"/>
      <c r="AF1738" s="117"/>
      <c r="AG1738" s="117"/>
      <c r="AH1738" s="117"/>
      <c r="AI1738" s="117"/>
      <c r="AJ1738" s="80"/>
      <c r="AK1738" s="117"/>
      <c r="AL1738" s="117"/>
      <c r="AM1738" s="117"/>
      <c r="AN1738" s="117"/>
      <c r="AO1738" s="117"/>
      <c r="AP1738" s="117"/>
      <c r="AQ1738" s="117"/>
      <c r="AR1738" s="117"/>
      <c r="AS1738" s="117"/>
      <c r="AT1738" s="117"/>
      <c r="AU1738" s="117"/>
      <c r="AV1738" s="117"/>
      <c r="AW1738" s="117"/>
      <c r="AX1738" s="117"/>
      <c r="AY1738" s="117"/>
      <c r="AZ1738" s="117"/>
      <c r="BA1738" s="117"/>
      <c r="BB1738" s="117"/>
      <c r="BC1738" s="117"/>
      <c r="BD1738" s="117"/>
      <c r="BE1738" s="117"/>
      <c r="BF1738" s="117"/>
      <c r="BG1738" s="117"/>
      <c r="BH1738" s="117"/>
      <c r="BI1738" s="117"/>
      <c r="BJ1738" s="117"/>
      <c r="BK1738" s="117"/>
      <c r="BL1738" s="117"/>
      <c r="BM1738" s="117"/>
      <c r="BN1738" s="117"/>
      <c r="BO1738" s="117"/>
      <c r="BP1738" s="117"/>
      <c r="BQ1738" s="117"/>
      <c r="BR1738" s="117"/>
      <c r="BS1738" s="117"/>
      <c r="BT1738" s="117"/>
      <c r="BU1738" s="117"/>
      <c r="BV1738" s="117"/>
      <c r="BW1738" s="117"/>
      <c r="BX1738" s="117"/>
      <c r="BY1738" s="117"/>
      <c r="BZ1738" s="117"/>
      <c r="CA1738" s="117"/>
      <c r="CB1738" s="117"/>
      <c r="CC1738" s="117"/>
      <c r="CD1738" s="117"/>
      <c r="CE1738" s="117"/>
      <c r="CF1738" s="117"/>
      <c r="CG1738" s="117"/>
      <c r="CH1738" s="117"/>
      <c r="CI1738" s="117"/>
      <c r="CJ1738" s="117"/>
      <c r="CK1738" s="117"/>
      <c r="CL1738" s="117"/>
      <c r="CM1738" s="117"/>
      <c r="CN1738" s="117"/>
      <c r="CO1738" s="117"/>
      <c r="CP1738" s="117"/>
      <c r="CQ1738" s="117"/>
      <c r="CR1738" s="117"/>
      <c r="CS1738" s="117"/>
      <c r="CT1738" s="117"/>
      <c r="CU1738" s="117"/>
      <c r="CV1738" s="117"/>
      <c r="CW1738" s="117"/>
      <c r="CX1738" s="117"/>
      <c r="CY1738" s="117"/>
      <c r="CZ1738" s="117"/>
      <c r="DA1738" s="117"/>
    </row>
    <row r="1739" spans="1:105" s="409" customFormat="1" ht="12" customHeight="1">
      <c r="A1739" s="117"/>
      <c r="B1739" s="6" t="s">
        <v>291</v>
      </c>
      <c r="C1739" s="146"/>
      <c r="D1739" s="146"/>
      <c r="E1739" s="147" t="s">
        <v>1382</v>
      </c>
      <c r="F1739" s="6" t="s">
        <v>1383</v>
      </c>
      <c r="G1739" s="148" t="s">
        <v>1384</v>
      </c>
      <c r="H1739" s="117" t="s">
        <v>99</v>
      </c>
      <c r="I1739" s="117" t="s">
        <v>33</v>
      </c>
      <c r="J1739" s="149">
        <v>9108</v>
      </c>
      <c r="K1739" s="117"/>
      <c r="L1739" s="149">
        <v>8</v>
      </c>
      <c r="M1739" s="149">
        <v>7.59</v>
      </c>
      <c r="N1739" s="150">
        <v>1548.36</v>
      </c>
      <c r="O1739" s="11">
        <v>0.25</v>
      </c>
      <c r="P1739" s="151"/>
      <c r="Q1739" s="200">
        <v>759</v>
      </c>
      <c r="R1739" s="6" t="s">
        <v>281</v>
      </c>
      <c r="S1739" s="3" t="s">
        <v>41</v>
      </c>
      <c r="T1739" s="3">
        <v>23</v>
      </c>
      <c r="U1739" s="56"/>
      <c r="V1739" s="448"/>
      <c r="W1739" s="117"/>
      <c r="X1739" s="150"/>
      <c r="Y1739" s="150"/>
      <c r="Z1739" s="117"/>
      <c r="AA1739" s="117"/>
      <c r="AB1739" s="117"/>
      <c r="AC1739" s="117"/>
      <c r="AD1739" s="117"/>
      <c r="AE1739" s="117"/>
      <c r="AF1739" s="117"/>
      <c r="AG1739" s="117"/>
      <c r="AH1739" s="117"/>
      <c r="AI1739" s="117"/>
      <c r="AJ1739" s="80"/>
      <c r="AK1739" s="117"/>
      <c r="AL1739" s="117"/>
      <c r="AM1739" s="117"/>
      <c r="AN1739" s="117"/>
      <c r="AO1739" s="117"/>
      <c r="AP1739" s="117"/>
      <c r="AQ1739" s="117"/>
      <c r="AR1739" s="117"/>
      <c r="AS1739" s="117"/>
      <c r="AT1739" s="117"/>
      <c r="AU1739" s="117"/>
      <c r="AV1739" s="117"/>
      <c r="AW1739" s="117"/>
      <c r="AX1739" s="117"/>
      <c r="AY1739" s="117"/>
      <c r="AZ1739" s="117"/>
      <c r="BA1739" s="117"/>
      <c r="BB1739" s="117"/>
      <c r="BC1739" s="117"/>
      <c r="BD1739" s="117"/>
      <c r="BE1739" s="117"/>
      <c r="BF1739" s="117"/>
      <c r="BG1739" s="117"/>
      <c r="BH1739" s="117"/>
      <c r="BI1739" s="117"/>
      <c r="BJ1739" s="117"/>
      <c r="BK1739" s="117"/>
      <c r="BL1739" s="117"/>
      <c r="BM1739" s="117"/>
      <c r="BN1739" s="117"/>
      <c r="BO1739" s="117"/>
      <c r="BP1739" s="117"/>
      <c r="BQ1739" s="117"/>
      <c r="BR1739" s="117"/>
      <c r="BS1739" s="117"/>
      <c r="BT1739" s="117"/>
      <c r="BU1739" s="117"/>
      <c r="BV1739" s="117"/>
      <c r="BW1739" s="117"/>
      <c r="BX1739" s="117"/>
      <c r="BY1739" s="117"/>
      <c r="BZ1739" s="117"/>
      <c r="CA1739" s="117"/>
      <c r="CB1739" s="117"/>
      <c r="CC1739" s="117"/>
      <c r="CD1739" s="117"/>
      <c r="CE1739" s="117"/>
      <c r="CF1739" s="117"/>
      <c r="CG1739" s="117"/>
      <c r="CH1739" s="117"/>
      <c r="CI1739" s="117"/>
      <c r="CJ1739" s="117"/>
      <c r="CK1739" s="117"/>
      <c r="CL1739" s="117"/>
      <c r="CM1739" s="117"/>
      <c r="CN1739" s="117"/>
      <c r="CO1739" s="117"/>
      <c r="CP1739" s="117"/>
      <c r="CQ1739" s="117"/>
      <c r="CR1739" s="117"/>
      <c r="CS1739" s="117"/>
      <c r="CT1739" s="117"/>
      <c r="CU1739" s="117"/>
      <c r="CV1739" s="117"/>
      <c r="CW1739" s="117"/>
      <c r="CX1739" s="117"/>
      <c r="CY1739" s="117"/>
      <c r="CZ1739" s="117"/>
      <c r="DA1739" s="117"/>
    </row>
    <row r="1740" spans="1:105" s="472" customFormat="1" ht="12" customHeight="1">
      <c r="A1740" s="409"/>
      <c r="B1740" s="6" t="s">
        <v>291</v>
      </c>
      <c r="C1740" s="146"/>
      <c r="D1740" s="146"/>
      <c r="E1740" s="147" t="s">
        <v>1382</v>
      </c>
      <c r="F1740" s="6" t="s">
        <v>1383</v>
      </c>
      <c r="G1740" s="148" t="s">
        <v>1384</v>
      </c>
      <c r="H1740" s="117" t="s">
        <v>898</v>
      </c>
      <c r="I1740" s="117" t="s">
        <v>33</v>
      </c>
      <c r="J1740" s="149">
        <v>13103.39</v>
      </c>
      <c r="K1740" s="117"/>
      <c r="L1740" s="149">
        <v>9</v>
      </c>
      <c r="M1740" s="149">
        <v>9.83</v>
      </c>
      <c r="N1740" s="150">
        <v>4193.0847999999996</v>
      </c>
      <c r="O1740" s="11">
        <v>0.25</v>
      </c>
      <c r="P1740" s="151"/>
      <c r="Q1740" s="200">
        <v>2997.15</v>
      </c>
      <c r="R1740" s="6" t="s">
        <v>281</v>
      </c>
      <c r="S1740" s="3" t="s">
        <v>41</v>
      </c>
      <c r="T1740" s="3">
        <v>23</v>
      </c>
      <c r="U1740" s="56"/>
      <c r="V1740" s="448"/>
      <c r="W1740" s="117"/>
      <c r="X1740" s="150"/>
      <c r="Y1740" s="150"/>
      <c r="Z1740" s="117"/>
      <c r="AA1740" s="117"/>
      <c r="AB1740" s="117"/>
      <c r="AC1740" s="117"/>
      <c r="AD1740" s="117"/>
      <c r="AE1740" s="117"/>
      <c r="AF1740" s="117"/>
      <c r="AG1740" s="117"/>
      <c r="AH1740" s="117"/>
      <c r="AI1740" s="117"/>
      <c r="AJ1740" s="80"/>
      <c r="AK1740" s="677"/>
      <c r="AL1740" s="117"/>
      <c r="AM1740" s="117"/>
      <c r="AN1740" s="117"/>
      <c r="AO1740" s="117"/>
      <c r="AP1740" s="117"/>
      <c r="AQ1740" s="117"/>
      <c r="AR1740" s="117"/>
      <c r="AS1740" s="117"/>
      <c r="AT1740" s="117"/>
      <c r="AU1740" s="117"/>
      <c r="AV1740" s="117"/>
      <c r="AW1740" s="117"/>
      <c r="AX1740" s="117"/>
      <c r="AY1740" s="117"/>
      <c r="AZ1740" s="117"/>
      <c r="BA1740" s="117"/>
      <c r="BB1740" s="117"/>
      <c r="BC1740" s="117"/>
      <c r="BD1740" s="117"/>
      <c r="BE1740" s="117"/>
      <c r="BF1740" s="117"/>
      <c r="BG1740" s="117"/>
      <c r="BH1740" s="117"/>
      <c r="BI1740" s="117"/>
      <c r="BJ1740" s="117"/>
      <c r="BK1740" s="117"/>
      <c r="BL1740" s="117"/>
      <c r="BM1740" s="117"/>
      <c r="BN1740" s="117"/>
      <c r="BO1740" s="117"/>
      <c r="BP1740" s="117"/>
      <c r="BQ1740" s="117"/>
      <c r="BR1740" s="117"/>
      <c r="BS1740" s="117"/>
      <c r="BT1740" s="117"/>
      <c r="BU1740" s="117"/>
      <c r="BV1740" s="117"/>
      <c r="BW1740" s="117"/>
      <c r="BX1740" s="117"/>
      <c r="BY1740" s="117"/>
      <c r="BZ1740" s="117"/>
      <c r="CA1740" s="117"/>
      <c r="CB1740" s="117"/>
      <c r="CC1740" s="117"/>
      <c r="CD1740" s="117"/>
      <c r="CE1740" s="117"/>
      <c r="CF1740" s="117"/>
      <c r="CG1740" s="117"/>
      <c r="CH1740" s="117"/>
      <c r="CI1740" s="117"/>
      <c r="CJ1740" s="117"/>
      <c r="CK1740" s="117"/>
      <c r="CL1740" s="117"/>
      <c r="CM1740" s="117"/>
      <c r="CN1740" s="117"/>
      <c r="CO1740" s="117"/>
      <c r="CP1740" s="117"/>
      <c r="CQ1740" s="117"/>
      <c r="CR1740" s="117"/>
      <c r="CS1740" s="117"/>
      <c r="CT1740" s="117"/>
      <c r="CU1740" s="117"/>
      <c r="CV1740" s="117"/>
      <c r="CW1740" s="117"/>
      <c r="CX1740" s="117"/>
      <c r="CY1740" s="117"/>
      <c r="CZ1740" s="117"/>
      <c r="DA1740" s="117"/>
    </row>
    <row r="1741" spans="1:105" s="660" customFormat="1" ht="12" customHeight="1">
      <c r="B1741" s="647" t="s">
        <v>291</v>
      </c>
      <c r="C1741" s="665"/>
      <c r="D1741" s="665"/>
      <c r="E1741" s="666" t="s">
        <v>1385</v>
      </c>
      <c r="F1741" s="647" t="s">
        <v>1386</v>
      </c>
      <c r="G1741" s="667">
        <v>3572</v>
      </c>
      <c r="H1741" s="660" t="s">
        <v>866</v>
      </c>
      <c r="I1741" s="660" t="s">
        <v>1351</v>
      </c>
      <c r="J1741" s="668">
        <v>16490.02</v>
      </c>
      <c r="L1741" s="668">
        <v>13.25</v>
      </c>
      <c r="M1741" s="668">
        <v>13.25</v>
      </c>
      <c r="N1741" s="669"/>
      <c r="O1741" s="653">
        <v>0.15</v>
      </c>
      <c r="P1741" s="670">
        <v>0.1</v>
      </c>
      <c r="Q1741" s="669">
        <v>6823.2</v>
      </c>
      <c r="R1741" s="647" t="s">
        <v>128</v>
      </c>
      <c r="S1741" s="654" t="s">
        <v>41</v>
      </c>
      <c r="T1741" s="654">
        <v>79</v>
      </c>
      <c r="U1741" s="672" t="s">
        <v>164</v>
      </c>
      <c r="V1741" s="673"/>
      <c r="X1741" s="669">
        <v>6823.2</v>
      </c>
      <c r="Y1741" s="669"/>
      <c r="AH1741" s="669"/>
      <c r="AI1741" s="669">
        <v>6823.2</v>
      </c>
      <c r="AJ1741" s="657"/>
      <c r="AK1741" s="658"/>
      <c r="AL1741" s="647"/>
      <c r="AM1741" s="647"/>
      <c r="AN1741" s="647"/>
      <c r="AO1741" s="647"/>
      <c r="AP1741" s="647"/>
      <c r="AQ1741" s="647"/>
      <c r="AR1741" s="647"/>
      <c r="AS1741" s="647"/>
      <c r="AT1741" s="647"/>
      <c r="AU1741" s="647"/>
      <c r="AV1741" s="647"/>
      <c r="AW1741" s="647"/>
      <c r="AX1741" s="647"/>
      <c r="AY1741" s="647"/>
      <c r="AZ1741" s="647"/>
      <c r="BA1741" s="647"/>
      <c r="BB1741" s="647"/>
      <c r="BC1741" s="647"/>
      <c r="BD1741" s="647"/>
      <c r="BE1741" s="647"/>
      <c r="BF1741" s="647"/>
      <c r="BG1741" s="647"/>
      <c r="BH1741" s="647"/>
      <c r="BI1741" s="647"/>
      <c r="BJ1741" s="647"/>
      <c r="BK1741" s="647"/>
      <c r="BL1741" s="647"/>
      <c r="BM1741" s="647"/>
      <c r="BN1741" s="647"/>
      <c r="BO1741" s="647"/>
      <c r="BP1741" s="647"/>
      <c r="BQ1741" s="647"/>
      <c r="BR1741" s="647"/>
      <c r="BS1741" s="647"/>
      <c r="BT1741" s="647"/>
      <c r="BU1741" s="647"/>
      <c r="BV1741" s="647"/>
      <c r="BW1741" s="647"/>
      <c r="BX1741" s="647"/>
      <c r="BY1741" s="647"/>
    </row>
    <row r="1742" spans="1:105" s="660" customFormat="1" ht="12" customHeight="1">
      <c r="B1742" s="647" t="s">
        <v>291</v>
      </c>
      <c r="C1742" s="665"/>
      <c r="D1742" s="665"/>
      <c r="E1742" s="666" t="s">
        <v>1385</v>
      </c>
      <c r="F1742" s="647" t="s">
        <v>1386</v>
      </c>
      <c r="G1742" s="667">
        <v>3572</v>
      </c>
      <c r="H1742" s="660" t="s">
        <v>765</v>
      </c>
      <c r="I1742" s="660" t="s">
        <v>1351</v>
      </c>
      <c r="J1742" s="668">
        <v>16490.02</v>
      </c>
      <c r="L1742" s="668">
        <v>18.57</v>
      </c>
      <c r="M1742" s="668">
        <v>18.559999999999999</v>
      </c>
      <c r="N1742" s="669"/>
      <c r="O1742" s="653">
        <v>0.15</v>
      </c>
      <c r="P1742" s="670">
        <v>0.1</v>
      </c>
      <c r="Q1742" s="669">
        <v>2229.0500000000002</v>
      </c>
      <c r="R1742" s="647" t="s">
        <v>128</v>
      </c>
      <c r="S1742" s="654" t="s">
        <v>41</v>
      </c>
      <c r="T1742" s="654">
        <v>79</v>
      </c>
      <c r="U1742" s="672" t="s">
        <v>164</v>
      </c>
      <c r="V1742" s="673"/>
      <c r="X1742" s="669">
        <v>2229.0500000000002</v>
      </c>
      <c r="Y1742" s="669"/>
      <c r="AH1742" s="669"/>
      <c r="AI1742" s="669">
        <v>2229.0500000000002</v>
      </c>
      <c r="AJ1742" s="657"/>
      <c r="AK1742" s="658"/>
      <c r="AL1742" s="647"/>
      <c r="AM1742" s="647"/>
      <c r="AN1742" s="647"/>
      <c r="AO1742" s="647"/>
      <c r="AP1742" s="647"/>
      <c r="AQ1742" s="647"/>
      <c r="AR1742" s="647"/>
      <c r="AS1742" s="647"/>
      <c r="AT1742" s="647"/>
      <c r="AU1742" s="647"/>
      <c r="AV1742" s="647"/>
      <c r="AW1742" s="647"/>
      <c r="AX1742" s="647"/>
      <c r="AY1742" s="647"/>
      <c r="AZ1742" s="647"/>
      <c r="BA1742" s="647"/>
      <c r="BB1742" s="647"/>
      <c r="BC1742" s="647"/>
      <c r="BD1742" s="647"/>
      <c r="BE1742" s="647"/>
      <c r="BF1742" s="647"/>
      <c r="BG1742" s="647"/>
      <c r="BH1742" s="647"/>
      <c r="BI1742" s="647"/>
      <c r="BJ1742" s="647"/>
      <c r="BK1742" s="647"/>
      <c r="BL1742" s="647"/>
      <c r="BM1742" s="647"/>
      <c r="BN1742" s="647"/>
      <c r="BO1742" s="647"/>
      <c r="BP1742" s="647"/>
      <c r="BQ1742" s="647"/>
      <c r="BR1742" s="647"/>
      <c r="BS1742" s="647"/>
      <c r="BT1742" s="647"/>
      <c r="BU1742" s="647"/>
      <c r="BV1742" s="647"/>
      <c r="BW1742" s="647"/>
      <c r="BX1742" s="647"/>
      <c r="BY1742" s="647"/>
    </row>
    <row r="1743" spans="1:105" s="303" customFormat="1" ht="12" customHeight="1">
      <c r="A1743" s="303" t="s">
        <v>3893</v>
      </c>
      <c r="B1743" s="291" t="s">
        <v>291</v>
      </c>
      <c r="C1743" s="301">
        <v>44703</v>
      </c>
      <c r="D1743" s="301">
        <v>44705</v>
      </c>
      <c r="E1743" s="302" t="s">
        <v>1385</v>
      </c>
      <c r="F1743" s="291" t="s">
        <v>1386</v>
      </c>
      <c r="G1743" s="304">
        <v>3572</v>
      </c>
      <c r="H1743" s="303" t="s">
        <v>99</v>
      </c>
      <c r="I1743" s="303" t="s">
        <v>1351</v>
      </c>
      <c r="J1743" s="305">
        <v>78301.58</v>
      </c>
      <c r="L1743" s="305">
        <v>59.79</v>
      </c>
      <c r="M1743" s="305">
        <v>59.79</v>
      </c>
      <c r="N1743" s="306"/>
      <c r="O1743" s="298">
        <v>0.15</v>
      </c>
      <c r="P1743" s="307">
        <v>0.1</v>
      </c>
      <c r="Q1743" s="306">
        <v>12334.49</v>
      </c>
      <c r="R1743" s="291" t="s">
        <v>128</v>
      </c>
      <c r="S1743" s="299" t="s">
        <v>41</v>
      </c>
      <c r="T1743" s="299">
        <v>79</v>
      </c>
      <c r="U1743" s="309" t="s">
        <v>164</v>
      </c>
      <c r="V1743" s="447"/>
      <c r="X1743" s="306">
        <v>12334.49</v>
      </c>
      <c r="Y1743" s="306"/>
      <c r="AH1743" s="303">
        <f>X1743</f>
        <v>12334.49</v>
      </c>
      <c r="AI1743" s="311"/>
      <c r="AJ1743" s="468"/>
    </row>
    <row r="1744" spans="1:105" s="303" customFormat="1" ht="12" customHeight="1">
      <c r="A1744" s="303" t="s">
        <v>3893</v>
      </c>
      <c r="B1744" s="291" t="s">
        <v>291</v>
      </c>
      <c r="C1744" s="301"/>
      <c r="D1744" s="301"/>
      <c r="E1744" s="302" t="s">
        <v>1385</v>
      </c>
      <c r="F1744" s="291" t="s">
        <v>1386</v>
      </c>
      <c r="G1744" s="304">
        <v>3572</v>
      </c>
      <c r="H1744" s="303" t="s">
        <v>27</v>
      </c>
      <c r="I1744" s="303" t="s">
        <v>1351</v>
      </c>
      <c r="J1744" s="305">
        <v>42983.35</v>
      </c>
      <c r="L1744" s="305">
        <v>27.62</v>
      </c>
      <c r="M1744" s="305">
        <v>27.62</v>
      </c>
      <c r="N1744" s="306"/>
      <c r="O1744" s="298">
        <v>0.15</v>
      </c>
      <c r="P1744" s="307">
        <v>0.1</v>
      </c>
      <c r="Q1744" s="306">
        <v>14444.06</v>
      </c>
      <c r="R1744" s="291" t="s">
        <v>128</v>
      </c>
      <c r="S1744" s="299" t="s">
        <v>41</v>
      </c>
      <c r="T1744" s="299">
        <v>79</v>
      </c>
      <c r="U1744" s="309" t="s">
        <v>164</v>
      </c>
      <c r="V1744" s="447"/>
      <c r="X1744" s="306">
        <v>14444.06</v>
      </c>
      <c r="Y1744" s="306"/>
      <c r="AH1744" s="303">
        <f>X1744</f>
        <v>14444.06</v>
      </c>
      <c r="AI1744" s="311"/>
      <c r="AJ1744" s="468"/>
    </row>
    <row r="1745" spans="1:77" s="303" customFormat="1" ht="12" customHeight="1">
      <c r="A1745" s="303" t="s">
        <v>3893</v>
      </c>
      <c r="B1745" s="291" t="s">
        <v>291</v>
      </c>
      <c r="C1745" s="301"/>
      <c r="D1745" s="301"/>
      <c r="E1745" s="302" t="s">
        <v>1385</v>
      </c>
      <c r="F1745" s="291" t="s">
        <v>1386</v>
      </c>
      <c r="G1745" s="304">
        <v>3572</v>
      </c>
      <c r="H1745" s="303" t="s">
        <v>183</v>
      </c>
      <c r="I1745" s="303" t="s">
        <v>1351</v>
      </c>
      <c r="J1745" s="305">
        <v>11274.3</v>
      </c>
      <c r="L1745" s="305">
        <v>10.26</v>
      </c>
      <c r="M1745" s="305">
        <v>10.26</v>
      </c>
      <c r="N1745" s="306"/>
      <c r="O1745" s="298">
        <v>0.15</v>
      </c>
      <c r="P1745" s="307">
        <v>0.1</v>
      </c>
      <c r="Q1745" s="306">
        <v>2333.6799999999998</v>
      </c>
      <c r="R1745" s="291" t="s">
        <v>128</v>
      </c>
      <c r="S1745" s="299" t="s">
        <v>41</v>
      </c>
      <c r="T1745" s="299">
        <v>79</v>
      </c>
      <c r="U1745" s="309" t="s">
        <v>164</v>
      </c>
      <c r="V1745" s="447"/>
      <c r="X1745" s="306">
        <v>2333.6799999999998</v>
      </c>
      <c r="Y1745" s="306"/>
      <c r="AH1745" s="303">
        <f>X1745</f>
        <v>2333.6799999999998</v>
      </c>
      <c r="AI1745" s="311"/>
      <c r="AJ1745" s="468"/>
    </row>
    <row r="1746" spans="1:77" s="250" customFormat="1" ht="12" customHeight="1">
      <c r="A1746" s="394"/>
      <c r="B1746" s="379" t="s">
        <v>291</v>
      </c>
      <c r="C1746" s="392"/>
      <c r="D1746" s="392"/>
      <c r="E1746" s="393" t="s">
        <v>1387</v>
      </c>
      <c r="F1746" s="379" t="s">
        <v>608</v>
      </c>
      <c r="G1746" s="400">
        <v>3573</v>
      </c>
      <c r="H1746" s="394" t="s">
        <v>310</v>
      </c>
      <c r="I1746" s="394" t="s">
        <v>33</v>
      </c>
      <c r="J1746" s="395">
        <v>4888.2299999999996</v>
      </c>
      <c r="K1746" s="394"/>
      <c r="L1746" s="395">
        <v>7.79</v>
      </c>
      <c r="M1746" s="395">
        <v>7.79</v>
      </c>
      <c r="N1746" s="396">
        <f>J1746*0.3</f>
        <v>1466.4689999999998</v>
      </c>
      <c r="O1746" s="387">
        <v>0.15</v>
      </c>
      <c r="P1746" s="397"/>
      <c r="Q1746" s="396">
        <v>330.1</v>
      </c>
      <c r="R1746" s="379" t="s">
        <v>42</v>
      </c>
      <c r="S1746" s="388" t="s">
        <v>41</v>
      </c>
      <c r="T1746" s="388">
        <v>16</v>
      </c>
      <c r="U1746" s="398" t="s">
        <v>164</v>
      </c>
      <c r="V1746" s="449"/>
      <c r="W1746" s="394"/>
      <c r="X1746" s="396">
        <v>330.1</v>
      </c>
      <c r="Y1746" s="396"/>
      <c r="Z1746" s="394"/>
      <c r="AA1746" s="394"/>
      <c r="AB1746" s="394"/>
      <c r="AC1746" s="394"/>
      <c r="AD1746" s="394"/>
      <c r="AE1746" s="394"/>
      <c r="AF1746" s="394"/>
      <c r="AG1746" s="394"/>
      <c r="AH1746" s="394"/>
      <c r="AI1746" s="394"/>
      <c r="AJ1746" s="390">
        <v>330.1</v>
      </c>
      <c r="AK1746" s="394"/>
      <c r="AL1746" s="394"/>
      <c r="AM1746" s="394"/>
      <c r="AN1746" s="394"/>
      <c r="AO1746" s="394"/>
      <c r="AP1746" s="394"/>
      <c r="AQ1746" s="394"/>
      <c r="AR1746" s="394"/>
      <c r="AS1746" s="394"/>
      <c r="AT1746" s="394"/>
      <c r="AU1746" s="394"/>
      <c r="AV1746" s="394"/>
      <c r="AW1746" s="394"/>
      <c r="AX1746" s="394"/>
      <c r="AY1746" s="394"/>
      <c r="AZ1746" s="394"/>
      <c r="BA1746" s="394"/>
      <c r="BB1746" s="394"/>
      <c r="BC1746" s="394"/>
      <c r="BD1746" s="394"/>
      <c r="BE1746" s="394"/>
      <c r="BF1746" s="394"/>
      <c r="BG1746" s="394"/>
      <c r="BH1746" s="394"/>
      <c r="BI1746" s="394"/>
      <c r="BJ1746" s="394"/>
      <c r="BK1746" s="394"/>
      <c r="BL1746" s="394"/>
      <c r="BM1746" s="394"/>
      <c r="BN1746" s="394"/>
      <c r="BO1746" s="394"/>
      <c r="BP1746" s="394"/>
      <c r="BQ1746" s="394"/>
      <c r="BR1746" s="394"/>
      <c r="BS1746" s="394"/>
      <c r="BT1746" s="394"/>
      <c r="BU1746" s="394"/>
      <c r="BV1746" s="394"/>
      <c r="BW1746" s="394"/>
      <c r="BX1746" s="394"/>
      <c r="BY1746" s="394"/>
    </row>
    <row r="1747" spans="1:77" s="303" customFormat="1" ht="12" customHeight="1">
      <c r="B1747" s="291" t="s">
        <v>291</v>
      </c>
      <c r="C1747" s="301"/>
      <c r="D1747" s="301"/>
      <c r="E1747" s="302" t="s">
        <v>1387</v>
      </c>
      <c r="F1747" s="291" t="s">
        <v>608</v>
      </c>
      <c r="G1747" s="304">
        <v>3573</v>
      </c>
      <c r="H1747" s="303" t="s">
        <v>137</v>
      </c>
      <c r="I1747" s="303" t="s">
        <v>33</v>
      </c>
      <c r="J1747" s="305">
        <v>25220.38</v>
      </c>
      <c r="L1747" s="305">
        <v>20.329999999999998</v>
      </c>
      <c r="M1747" s="305">
        <v>20.329999999999998</v>
      </c>
      <c r="N1747" s="306">
        <f>J1747*0.35</f>
        <v>8827.1329999999998</v>
      </c>
      <c r="O1747" s="298">
        <v>0.15</v>
      </c>
      <c r="P1747" s="307"/>
      <c r="Q1747" s="306">
        <v>16511.259999999998</v>
      </c>
      <c r="R1747" s="291" t="s">
        <v>42</v>
      </c>
      <c r="S1747" s="299" t="s">
        <v>41</v>
      </c>
      <c r="T1747" s="299">
        <v>16</v>
      </c>
      <c r="U1747" s="309" t="s">
        <v>164</v>
      </c>
      <c r="V1747" s="447"/>
      <c r="X1747" s="306">
        <v>16511.259999999998</v>
      </c>
      <c r="Y1747" s="297"/>
      <c r="AH1747" s="303">
        <f>X1747</f>
        <v>16511.259999999998</v>
      </c>
      <c r="AI1747" s="311"/>
      <c r="AJ1747" s="468"/>
    </row>
    <row r="1748" spans="1:77" s="303" customFormat="1" ht="12" customHeight="1">
      <c r="B1748" s="291" t="s">
        <v>291</v>
      </c>
      <c r="C1748" s="301"/>
      <c r="D1748" s="301"/>
      <c r="E1748" s="302" t="s">
        <v>1387</v>
      </c>
      <c r="F1748" s="291" t="s">
        <v>608</v>
      </c>
      <c r="G1748" s="304">
        <v>3573</v>
      </c>
      <c r="H1748" s="303" t="s">
        <v>140</v>
      </c>
      <c r="I1748" s="303" t="s">
        <v>33</v>
      </c>
      <c r="J1748" s="305">
        <v>8634.91</v>
      </c>
      <c r="L1748" s="305">
        <v>4.8099999999999996</v>
      </c>
      <c r="M1748" s="305">
        <v>4.8099999999999996</v>
      </c>
      <c r="N1748" s="306">
        <f>J1748*0.2</f>
        <v>1726.982</v>
      </c>
      <c r="O1748" s="298">
        <v>0.15</v>
      </c>
      <c r="P1748" s="307"/>
      <c r="Q1748" s="306">
        <v>1943.24</v>
      </c>
      <c r="R1748" s="291" t="s">
        <v>42</v>
      </c>
      <c r="S1748" s="299" t="s">
        <v>41</v>
      </c>
      <c r="T1748" s="299">
        <v>16</v>
      </c>
      <c r="U1748" s="309" t="s">
        <v>164</v>
      </c>
      <c r="V1748" s="447"/>
      <c r="X1748" s="306">
        <v>1943.24</v>
      </c>
      <c r="Y1748" s="297"/>
      <c r="AH1748" s="303">
        <f>X1748</f>
        <v>1943.24</v>
      </c>
      <c r="AI1748" s="311"/>
      <c r="AJ1748" s="468"/>
    </row>
    <row r="1749" spans="1:77" s="273" customFormat="1" ht="12" customHeight="1">
      <c r="B1749" s="261" t="s">
        <v>291</v>
      </c>
      <c r="C1749" s="271">
        <v>44703</v>
      </c>
      <c r="D1749" s="271">
        <v>44706</v>
      </c>
      <c r="E1749" s="272" t="s">
        <v>1387</v>
      </c>
      <c r="F1749" s="261" t="s">
        <v>608</v>
      </c>
      <c r="G1749" s="276">
        <v>3573</v>
      </c>
      <c r="H1749" s="273" t="s">
        <v>99</v>
      </c>
      <c r="I1749" s="273" t="s">
        <v>33</v>
      </c>
      <c r="J1749" s="277">
        <v>87995</v>
      </c>
      <c r="L1749" s="277">
        <v>80.010000000000005</v>
      </c>
      <c r="M1749" s="277">
        <v>80.010000000000005</v>
      </c>
      <c r="N1749" s="275">
        <f>J1749*0.3</f>
        <v>26398.5</v>
      </c>
      <c r="O1749" s="266">
        <v>0.15</v>
      </c>
      <c r="P1749" s="278"/>
      <c r="Q1749" s="275">
        <v>0</v>
      </c>
      <c r="R1749" s="261" t="s">
        <v>42</v>
      </c>
      <c r="S1749" s="267" t="s">
        <v>41</v>
      </c>
      <c r="T1749" s="267">
        <v>16</v>
      </c>
      <c r="U1749" s="274" t="s">
        <v>164</v>
      </c>
      <c r="V1749" s="454"/>
      <c r="X1749" s="275">
        <v>0</v>
      </c>
      <c r="Y1749" s="275"/>
      <c r="AG1749" s="273">
        <f>X1749</f>
        <v>0</v>
      </c>
      <c r="AJ1749" s="642"/>
    </row>
    <row r="1750" spans="1:77" s="273" customFormat="1" ht="12" customHeight="1">
      <c r="B1750" s="261" t="s">
        <v>291</v>
      </c>
      <c r="C1750" s="271"/>
      <c r="D1750" s="271"/>
      <c r="E1750" s="272" t="s">
        <v>1387</v>
      </c>
      <c r="F1750" s="261" t="s">
        <v>608</v>
      </c>
      <c r="G1750" s="276">
        <v>3573</v>
      </c>
      <c r="H1750" s="273" t="s">
        <v>27</v>
      </c>
      <c r="I1750" s="273" t="s">
        <v>33</v>
      </c>
      <c r="J1750" s="277">
        <v>28665.919999999998</v>
      </c>
      <c r="L1750" s="277">
        <v>30.89</v>
      </c>
      <c r="M1750" s="277">
        <v>30.89</v>
      </c>
      <c r="N1750" s="275">
        <f>J1750*0.3</f>
        <v>8599.7759999999998</v>
      </c>
      <c r="O1750" s="266">
        <v>0.15</v>
      </c>
      <c r="P1750" s="278"/>
      <c r="Q1750" s="275">
        <v>0</v>
      </c>
      <c r="R1750" s="261" t="s">
        <v>42</v>
      </c>
      <c r="S1750" s="267" t="s">
        <v>41</v>
      </c>
      <c r="T1750" s="267">
        <v>16</v>
      </c>
      <c r="U1750" s="274" t="s">
        <v>164</v>
      </c>
      <c r="V1750" s="454"/>
      <c r="X1750" s="275">
        <v>0</v>
      </c>
      <c r="Y1750" s="275"/>
      <c r="AG1750" s="273">
        <f>X1750</f>
        <v>0</v>
      </c>
      <c r="AJ1750" s="642"/>
    </row>
    <row r="1751" spans="1:77" s="273" customFormat="1" ht="12" customHeight="1">
      <c r="B1751" s="261" t="s">
        <v>291</v>
      </c>
      <c r="C1751" s="271"/>
      <c r="D1751" s="271"/>
      <c r="E1751" s="272" t="s">
        <v>1387</v>
      </c>
      <c r="F1751" s="261" t="s">
        <v>608</v>
      </c>
      <c r="G1751" s="276">
        <v>3573</v>
      </c>
      <c r="H1751" s="273" t="s">
        <v>183</v>
      </c>
      <c r="I1751" s="273" t="s">
        <v>33</v>
      </c>
      <c r="J1751" s="277">
        <v>35491.620000000003</v>
      </c>
      <c r="L1751" s="277">
        <v>36.29</v>
      </c>
      <c r="M1751" s="277">
        <v>36.29</v>
      </c>
      <c r="N1751" s="275">
        <f>J1751*0.18</f>
        <v>6388.4916000000003</v>
      </c>
      <c r="O1751" s="266">
        <v>0.15</v>
      </c>
      <c r="P1751" s="278"/>
      <c r="Q1751" s="275">
        <v>0</v>
      </c>
      <c r="R1751" s="261" t="s">
        <v>42</v>
      </c>
      <c r="S1751" s="267" t="s">
        <v>41</v>
      </c>
      <c r="T1751" s="267">
        <v>16</v>
      </c>
      <c r="U1751" s="274" t="s">
        <v>164</v>
      </c>
      <c r="V1751" s="454"/>
      <c r="X1751" s="275">
        <v>0</v>
      </c>
      <c r="Y1751" s="275"/>
      <c r="AG1751" s="273">
        <f>X1751</f>
        <v>0</v>
      </c>
      <c r="AJ1751" s="642"/>
    </row>
    <row r="1752" spans="1:77" s="523" customFormat="1" ht="12" customHeight="1">
      <c r="B1752" s="507" t="s">
        <v>291</v>
      </c>
      <c r="C1752" s="524">
        <v>44702</v>
      </c>
      <c r="D1752" s="524">
        <v>44706</v>
      </c>
      <c r="E1752" s="525" t="s">
        <v>1388</v>
      </c>
      <c r="F1752" s="507" t="s">
        <v>1389</v>
      </c>
      <c r="G1752" s="526">
        <v>3741</v>
      </c>
      <c r="H1752" s="523" t="s">
        <v>407</v>
      </c>
      <c r="I1752" s="523" t="s">
        <v>33</v>
      </c>
      <c r="J1752" s="527">
        <v>173160</v>
      </c>
      <c r="L1752" s="527">
        <v>58.5</v>
      </c>
      <c r="M1752" s="527">
        <v>58.5</v>
      </c>
      <c r="N1752" s="528">
        <v>63266.2</v>
      </c>
      <c r="O1752" s="515">
        <v>0.25</v>
      </c>
      <c r="P1752" s="530"/>
      <c r="Q1752" s="528">
        <v>0</v>
      </c>
      <c r="R1752" s="507" t="s">
        <v>46</v>
      </c>
      <c r="S1752" s="516" t="s">
        <v>65</v>
      </c>
      <c r="T1752" s="516">
        <v>76</v>
      </c>
      <c r="U1752" s="532" t="s">
        <v>164</v>
      </c>
      <c r="V1752" s="533"/>
      <c r="X1752" s="528">
        <v>0</v>
      </c>
      <c r="Y1752" s="528"/>
      <c r="AJ1752" s="522"/>
      <c r="AL1752" s="523">
        <v>0</v>
      </c>
    </row>
    <row r="1753" spans="1:77" s="218" customFormat="1" ht="12" customHeight="1">
      <c r="B1753" s="205" t="s">
        <v>290</v>
      </c>
      <c r="C1753" s="225">
        <v>44703</v>
      </c>
      <c r="D1753" s="225">
        <v>44706</v>
      </c>
      <c r="E1753" s="226" t="s">
        <v>1390</v>
      </c>
      <c r="F1753" s="205" t="s">
        <v>1391</v>
      </c>
      <c r="G1753" s="220" t="s">
        <v>1392</v>
      </c>
      <c r="H1753" s="218" t="s">
        <v>99</v>
      </c>
      <c r="I1753" s="218" t="s">
        <v>156</v>
      </c>
      <c r="J1753" s="222">
        <v>24572.06</v>
      </c>
      <c r="L1753" s="222">
        <v>16.71</v>
      </c>
      <c r="M1753" s="222">
        <v>16.71</v>
      </c>
      <c r="N1753" s="223"/>
      <c r="O1753" s="212">
        <v>0.3</v>
      </c>
      <c r="P1753" s="224">
        <v>0.1</v>
      </c>
      <c r="Q1753" s="223">
        <v>0</v>
      </c>
      <c r="R1753" s="205" t="s">
        <v>128</v>
      </c>
      <c r="S1753" s="214" t="s">
        <v>41</v>
      </c>
      <c r="T1753" s="214">
        <v>86</v>
      </c>
      <c r="U1753" s="227" t="s">
        <v>164</v>
      </c>
      <c r="V1753" s="455"/>
      <c r="X1753" s="223">
        <v>0</v>
      </c>
      <c r="Y1753" s="223"/>
      <c r="AF1753" s="230">
        <f>X1753</f>
        <v>0</v>
      </c>
      <c r="AJ1753" s="216"/>
    </row>
    <row r="1754" spans="1:77" s="218" customFormat="1" ht="12" customHeight="1">
      <c r="B1754" s="205" t="s">
        <v>290</v>
      </c>
      <c r="C1754" s="225"/>
      <c r="D1754" s="225"/>
      <c r="E1754" s="226" t="s">
        <v>1390</v>
      </c>
      <c r="F1754" s="205" t="s">
        <v>1391</v>
      </c>
      <c r="G1754" s="220" t="s">
        <v>1392</v>
      </c>
      <c r="H1754" s="218" t="s">
        <v>99</v>
      </c>
      <c r="I1754" s="218" t="s">
        <v>156</v>
      </c>
      <c r="J1754" s="222">
        <v>37365.410000000003</v>
      </c>
      <c r="L1754" s="222">
        <v>25.41</v>
      </c>
      <c r="M1754" s="222">
        <v>25.41</v>
      </c>
      <c r="N1754" s="223"/>
      <c r="O1754" s="212">
        <v>0.3</v>
      </c>
      <c r="P1754" s="224">
        <v>0.1</v>
      </c>
      <c r="Q1754" s="223">
        <v>0</v>
      </c>
      <c r="R1754" s="205" t="s">
        <v>128</v>
      </c>
      <c r="S1754" s="214" t="s">
        <v>41</v>
      </c>
      <c r="T1754" s="214">
        <v>79</v>
      </c>
      <c r="U1754" s="227" t="s">
        <v>164</v>
      </c>
      <c r="V1754" s="455"/>
      <c r="X1754" s="223">
        <v>0</v>
      </c>
      <c r="Y1754" s="223"/>
      <c r="AF1754" s="230">
        <f>X1754</f>
        <v>0</v>
      </c>
      <c r="AJ1754" s="216"/>
    </row>
    <row r="1755" spans="1:77" s="273" customFormat="1" ht="12" customHeight="1">
      <c r="B1755" s="261" t="s">
        <v>290</v>
      </c>
      <c r="C1755" s="271"/>
      <c r="D1755" s="271"/>
      <c r="E1755" s="272" t="s">
        <v>1390</v>
      </c>
      <c r="F1755" s="261" t="s">
        <v>1391</v>
      </c>
      <c r="G1755" s="276" t="s">
        <v>1392</v>
      </c>
      <c r="H1755" s="273" t="s">
        <v>27</v>
      </c>
      <c r="I1755" s="273" t="s">
        <v>156</v>
      </c>
      <c r="J1755" s="277">
        <v>16864.560000000001</v>
      </c>
      <c r="L1755" s="277">
        <v>10.62</v>
      </c>
      <c r="M1755" s="277">
        <v>10.62</v>
      </c>
      <c r="N1755" s="275"/>
      <c r="O1755" s="266">
        <v>0.3</v>
      </c>
      <c r="P1755" s="278">
        <v>0.1</v>
      </c>
      <c r="Q1755" s="275">
        <v>4574.55</v>
      </c>
      <c r="R1755" s="261" t="s">
        <v>128</v>
      </c>
      <c r="S1755" s="267" t="s">
        <v>41</v>
      </c>
      <c r="T1755" s="267">
        <v>86</v>
      </c>
      <c r="U1755" s="274" t="s">
        <v>164</v>
      </c>
      <c r="V1755" s="454"/>
      <c r="X1755" s="275">
        <v>4574.55</v>
      </c>
      <c r="Y1755" s="275"/>
      <c r="AG1755" s="273">
        <f>X1755</f>
        <v>4574.55</v>
      </c>
      <c r="AJ1755" s="642"/>
    </row>
    <row r="1756" spans="1:77" s="218" customFormat="1" ht="12" customHeight="1">
      <c r="B1756" s="205" t="s">
        <v>290</v>
      </c>
      <c r="C1756" s="225"/>
      <c r="D1756" s="225"/>
      <c r="E1756" s="226" t="s">
        <v>1390</v>
      </c>
      <c r="F1756" s="205" t="s">
        <v>1391</v>
      </c>
      <c r="G1756" s="220" t="s">
        <v>1392</v>
      </c>
      <c r="H1756" s="218" t="s">
        <v>27</v>
      </c>
      <c r="I1756" s="218" t="s">
        <v>156</v>
      </c>
      <c r="J1756" s="222">
        <v>16705.759999999998</v>
      </c>
      <c r="L1756" s="222">
        <v>10.52</v>
      </c>
      <c r="M1756" s="222">
        <v>10.52</v>
      </c>
      <c r="N1756" s="223"/>
      <c r="O1756" s="212">
        <v>0.3</v>
      </c>
      <c r="P1756" s="224">
        <v>0.1</v>
      </c>
      <c r="Q1756" s="223">
        <v>0</v>
      </c>
      <c r="R1756" s="205" t="s">
        <v>128</v>
      </c>
      <c r="S1756" s="214" t="s">
        <v>41</v>
      </c>
      <c r="T1756" s="214">
        <v>79</v>
      </c>
      <c r="U1756" s="227" t="s">
        <v>164</v>
      </c>
      <c r="V1756" s="455"/>
      <c r="X1756" s="223">
        <v>0</v>
      </c>
      <c r="Y1756" s="223"/>
      <c r="AF1756" s="230">
        <f>X1756</f>
        <v>0</v>
      </c>
      <c r="AJ1756" s="216"/>
    </row>
    <row r="1757" spans="1:77" s="218" customFormat="1" ht="12" customHeight="1">
      <c r="B1757" s="205" t="s">
        <v>290</v>
      </c>
      <c r="C1757" s="225"/>
      <c r="D1757" s="225"/>
      <c r="E1757" s="226" t="s">
        <v>1390</v>
      </c>
      <c r="F1757" s="205" t="s">
        <v>1391</v>
      </c>
      <c r="G1757" s="220" t="s">
        <v>1392</v>
      </c>
      <c r="H1757" s="218" t="s">
        <v>183</v>
      </c>
      <c r="I1757" s="218" t="s">
        <v>156</v>
      </c>
      <c r="J1757" s="222">
        <v>12344.64</v>
      </c>
      <c r="L1757" s="222">
        <v>9.24</v>
      </c>
      <c r="M1757" s="222">
        <v>9.24</v>
      </c>
      <c r="N1757" s="223"/>
      <c r="O1757" s="212">
        <v>0.3</v>
      </c>
      <c r="P1757" s="224">
        <v>0.1</v>
      </c>
      <c r="Q1757" s="223">
        <v>0</v>
      </c>
      <c r="R1757" s="205" t="s">
        <v>128</v>
      </c>
      <c r="S1757" s="214" t="s">
        <v>41</v>
      </c>
      <c r="T1757" s="214">
        <v>86</v>
      </c>
      <c r="U1757" s="227" t="s">
        <v>164</v>
      </c>
      <c r="V1757" s="455"/>
      <c r="X1757" s="223">
        <v>0</v>
      </c>
      <c r="Y1757" s="223"/>
      <c r="AF1757" s="230">
        <f>X1757</f>
        <v>0</v>
      </c>
      <c r="AJ1757" s="216"/>
    </row>
    <row r="1758" spans="1:77" s="218" customFormat="1" ht="12" customHeight="1">
      <c r="B1758" s="205" t="s">
        <v>290</v>
      </c>
      <c r="C1758" s="225"/>
      <c r="D1758" s="225"/>
      <c r="E1758" s="226" t="s">
        <v>1390</v>
      </c>
      <c r="F1758" s="205" t="s">
        <v>1391</v>
      </c>
      <c r="G1758" s="220" t="s">
        <v>1392</v>
      </c>
      <c r="H1758" s="218" t="s">
        <v>765</v>
      </c>
      <c r="I1758" s="218" t="s">
        <v>156</v>
      </c>
      <c r="J1758" s="222">
        <v>23992.75</v>
      </c>
      <c r="L1758" s="222">
        <v>14.87</v>
      </c>
      <c r="M1758" s="222">
        <v>14.87</v>
      </c>
      <c r="N1758" s="223"/>
      <c r="O1758" s="212">
        <v>0.3</v>
      </c>
      <c r="P1758" s="224">
        <v>0.1</v>
      </c>
      <c r="Q1758" s="223">
        <v>0</v>
      </c>
      <c r="R1758" s="205" t="s">
        <v>128</v>
      </c>
      <c r="S1758" s="214" t="s">
        <v>41</v>
      </c>
      <c r="T1758" s="214">
        <v>86</v>
      </c>
      <c r="U1758" s="227" t="s">
        <v>164</v>
      </c>
      <c r="V1758" s="455"/>
      <c r="X1758" s="223">
        <v>0</v>
      </c>
      <c r="Y1758" s="223"/>
      <c r="AF1758" s="230">
        <f>X1758</f>
        <v>0</v>
      </c>
      <c r="AJ1758" s="216"/>
    </row>
    <row r="1759" spans="1:77" s="303" customFormat="1" ht="12" customHeight="1">
      <c r="A1759" s="472"/>
      <c r="B1759" s="473" t="s">
        <v>291</v>
      </c>
      <c r="C1759" s="474"/>
      <c r="D1759" s="474"/>
      <c r="E1759" s="475" t="s">
        <v>1393</v>
      </c>
      <c r="F1759" s="473" t="s">
        <v>891</v>
      </c>
      <c r="G1759" s="489">
        <v>3615</v>
      </c>
      <c r="H1759" s="472" t="s">
        <v>183</v>
      </c>
      <c r="I1759" s="472" t="s">
        <v>888</v>
      </c>
      <c r="J1759" s="477">
        <v>15803.47</v>
      </c>
      <c r="K1759" s="472"/>
      <c r="L1759" s="477">
        <v>17.12</v>
      </c>
      <c r="M1759" s="477">
        <v>17.12</v>
      </c>
      <c r="N1759" s="478">
        <f>J1759*0.2</f>
        <v>3160.694</v>
      </c>
      <c r="O1759" s="493">
        <v>0.15</v>
      </c>
      <c r="P1759" s="480"/>
      <c r="Q1759" s="478">
        <v>0</v>
      </c>
      <c r="R1759" s="473" t="s">
        <v>77</v>
      </c>
      <c r="S1759" s="481" t="s">
        <v>41</v>
      </c>
      <c r="T1759" s="481">
        <v>16</v>
      </c>
      <c r="U1759" s="483" t="s">
        <v>164</v>
      </c>
      <c r="V1759" s="484"/>
      <c r="W1759" s="472"/>
      <c r="X1759" s="478">
        <v>0</v>
      </c>
      <c r="Y1759" s="478"/>
      <c r="Z1759" s="472"/>
      <c r="AA1759" s="472"/>
      <c r="AB1759" s="472"/>
      <c r="AC1759" s="472"/>
      <c r="AD1759" s="472"/>
      <c r="AE1759" s="472"/>
      <c r="AF1759" s="472"/>
      <c r="AG1759" s="472"/>
      <c r="AH1759" s="472"/>
      <c r="AI1759" s="472"/>
      <c r="AJ1759" s="485"/>
      <c r="AK1759" s="472">
        <v>0</v>
      </c>
      <c r="AL1759" s="472"/>
      <c r="AM1759" s="472"/>
      <c r="AN1759" s="472"/>
      <c r="AO1759" s="472"/>
      <c r="AP1759" s="472"/>
      <c r="AQ1759" s="472"/>
      <c r="AR1759" s="472"/>
      <c r="AS1759" s="472"/>
      <c r="AT1759" s="472"/>
      <c r="AU1759" s="472"/>
      <c r="AV1759" s="472"/>
      <c r="AW1759" s="472"/>
      <c r="AX1759" s="472"/>
      <c r="AY1759" s="472"/>
      <c r="AZ1759" s="472"/>
      <c r="BA1759" s="472"/>
      <c r="BB1759" s="472"/>
      <c r="BC1759" s="472"/>
      <c r="BD1759" s="472"/>
      <c r="BE1759" s="472"/>
      <c r="BF1759" s="472"/>
      <c r="BG1759" s="472"/>
      <c r="BH1759" s="472"/>
      <c r="BI1759" s="472"/>
      <c r="BJ1759" s="472"/>
      <c r="BK1759" s="472"/>
      <c r="BL1759" s="472"/>
      <c r="BM1759" s="472"/>
      <c r="BN1759" s="472"/>
      <c r="BO1759" s="472"/>
      <c r="BP1759" s="472"/>
      <c r="BQ1759" s="472"/>
      <c r="BR1759" s="472"/>
      <c r="BS1759" s="472"/>
      <c r="BT1759" s="472"/>
      <c r="BU1759" s="472"/>
      <c r="BV1759" s="472"/>
      <c r="BW1759" s="472"/>
      <c r="BX1759" s="472"/>
      <c r="BY1759" s="472"/>
    </row>
    <row r="1760" spans="1:77" s="303" customFormat="1" ht="12" customHeight="1">
      <c r="B1760" s="291" t="s">
        <v>291</v>
      </c>
      <c r="C1760" s="301">
        <v>44706</v>
      </c>
      <c r="D1760" s="301">
        <v>44706</v>
      </c>
      <c r="E1760" s="302" t="s">
        <v>1393</v>
      </c>
      <c r="F1760" s="291" t="s">
        <v>891</v>
      </c>
      <c r="G1760" s="294">
        <v>3615</v>
      </c>
      <c r="H1760" s="303" t="s">
        <v>99</v>
      </c>
      <c r="I1760" s="303" t="s">
        <v>888</v>
      </c>
      <c r="J1760" s="305">
        <v>37453.67</v>
      </c>
      <c r="L1760" s="305">
        <v>37.79</v>
      </c>
      <c r="M1760" s="305">
        <v>37.79</v>
      </c>
      <c r="N1760" s="306">
        <f>J1760*0.2</f>
        <v>7490.7340000000004</v>
      </c>
      <c r="O1760" s="298">
        <v>0.15</v>
      </c>
      <c r="P1760" s="307"/>
      <c r="Q1760" s="306">
        <v>0</v>
      </c>
      <c r="R1760" s="291" t="s">
        <v>77</v>
      </c>
      <c r="S1760" s="299" t="s">
        <v>41</v>
      </c>
      <c r="T1760" s="299">
        <v>16</v>
      </c>
      <c r="U1760" s="309" t="s">
        <v>164</v>
      </c>
      <c r="V1760" s="447"/>
      <c r="W1760" s="303" t="s">
        <v>3903</v>
      </c>
      <c r="X1760" s="306">
        <v>0</v>
      </c>
      <c r="Y1760" s="306"/>
      <c r="AH1760" s="303">
        <f>X1760</f>
        <v>0</v>
      </c>
      <c r="AI1760" s="311"/>
      <c r="AJ1760" s="468"/>
    </row>
    <row r="1761" spans="1:77" s="117" customFormat="1" ht="12" customHeight="1">
      <c r="A1761" s="394"/>
      <c r="B1761" s="379" t="s">
        <v>291</v>
      </c>
      <c r="C1761" s="392"/>
      <c r="D1761" s="392"/>
      <c r="E1761" s="393" t="s">
        <v>1394</v>
      </c>
      <c r="F1761" s="379" t="s">
        <v>1395</v>
      </c>
      <c r="G1761" s="400">
        <v>3737</v>
      </c>
      <c r="H1761" s="394" t="s">
        <v>183</v>
      </c>
      <c r="I1761" s="394" t="s">
        <v>961</v>
      </c>
      <c r="J1761" s="395">
        <v>11051.99</v>
      </c>
      <c r="K1761" s="394"/>
      <c r="L1761" s="395">
        <v>11.63</v>
      </c>
      <c r="M1761" s="395">
        <v>11.63</v>
      </c>
      <c r="N1761" s="396"/>
      <c r="O1761" s="387">
        <v>0.25</v>
      </c>
      <c r="P1761" s="397"/>
      <c r="Q1761" s="396">
        <v>0</v>
      </c>
      <c r="R1761" s="379" t="s">
        <v>35</v>
      </c>
      <c r="S1761" s="388" t="s">
        <v>41</v>
      </c>
      <c r="T1761" s="388">
        <v>16</v>
      </c>
      <c r="U1761" s="398" t="s">
        <v>164</v>
      </c>
      <c r="V1761" s="449"/>
      <c r="W1761" s="394"/>
      <c r="X1761" s="396">
        <v>0</v>
      </c>
      <c r="Y1761" s="396"/>
      <c r="Z1761" s="394"/>
      <c r="AA1761" s="394"/>
      <c r="AB1761" s="394"/>
      <c r="AC1761" s="394"/>
      <c r="AD1761" s="394"/>
      <c r="AE1761" s="394"/>
      <c r="AF1761" s="394"/>
      <c r="AG1761" s="394"/>
      <c r="AH1761" s="394"/>
      <c r="AI1761" s="394"/>
      <c r="AJ1761" s="390">
        <v>0</v>
      </c>
      <c r="AK1761" s="394"/>
      <c r="AL1761" s="394"/>
      <c r="AM1761" s="394"/>
      <c r="AN1761" s="394"/>
      <c r="AO1761" s="394"/>
      <c r="AP1761" s="394"/>
      <c r="AQ1761" s="394"/>
      <c r="AR1761" s="394"/>
      <c r="AS1761" s="394"/>
      <c r="AT1761" s="394"/>
      <c r="AU1761" s="394"/>
      <c r="AV1761" s="394"/>
      <c r="AW1761" s="394"/>
      <c r="AX1761" s="394"/>
      <c r="AY1761" s="394"/>
      <c r="AZ1761" s="394"/>
      <c r="BA1761" s="394"/>
      <c r="BB1761" s="394"/>
      <c r="BC1761" s="394"/>
      <c r="BD1761" s="394"/>
      <c r="BE1761" s="394"/>
      <c r="BF1761" s="394"/>
      <c r="BG1761" s="394"/>
      <c r="BH1761" s="394"/>
      <c r="BI1761" s="394"/>
      <c r="BJ1761" s="394"/>
      <c r="BK1761" s="394"/>
      <c r="BL1761" s="394"/>
      <c r="BM1761" s="394"/>
      <c r="BN1761" s="394"/>
      <c r="BO1761" s="394"/>
      <c r="BP1761" s="394"/>
      <c r="BQ1761" s="394"/>
      <c r="BR1761" s="394"/>
      <c r="BS1761" s="394"/>
      <c r="BT1761" s="394"/>
      <c r="BU1761" s="394"/>
      <c r="BV1761" s="394"/>
      <c r="BW1761" s="394"/>
      <c r="BX1761" s="394"/>
      <c r="BY1761" s="394"/>
    </row>
    <row r="1762" spans="1:77" s="394" customFormat="1" ht="12" customHeight="1">
      <c r="B1762" s="379" t="s">
        <v>291</v>
      </c>
      <c r="C1762" s="392"/>
      <c r="D1762" s="392"/>
      <c r="E1762" s="393" t="s">
        <v>1394</v>
      </c>
      <c r="F1762" s="379" t="s">
        <v>1395</v>
      </c>
      <c r="G1762" s="400">
        <v>3737</v>
      </c>
      <c r="H1762" s="394" t="s">
        <v>27</v>
      </c>
      <c r="I1762" s="394" t="s">
        <v>961</v>
      </c>
      <c r="J1762" s="395">
        <v>30420.400000000001</v>
      </c>
      <c r="L1762" s="395">
        <v>25.78</v>
      </c>
      <c r="M1762" s="395">
        <v>25.78</v>
      </c>
      <c r="N1762" s="396"/>
      <c r="O1762" s="387">
        <v>0.25</v>
      </c>
      <c r="P1762" s="397"/>
      <c r="Q1762" s="396">
        <v>0</v>
      </c>
      <c r="R1762" s="379" t="s">
        <v>35</v>
      </c>
      <c r="S1762" s="388" t="s">
        <v>41</v>
      </c>
      <c r="T1762" s="388">
        <v>16</v>
      </c>
      <c r="U1762" s="398" t="s">
        <v>164</v>
      </c>
      <c r="V1762" s="449"/>
      <c r="X1762" s="396">
        <v>0</v>
      </c>
      <c r="Y1762" s="396"/>
      <c r="AJ1762" s="390">
        <v>0</v>
      </c>
    </row>
    <row r="1763" spans="1:77" s="394" customFormat="1" ht="11" customHeight="1">
      <c r="B1763" s="379" t="s">
        <v>291</v>
      </c>
      <c r="C1763" s="392">
        <v>44706</v>
      </c>
      <c r="D1763" s="392">
        <v>44706</v>
      </c>
      <c r="E1763" s="393" t="s">
        <v>1394</v>
      </c>
      <c r="F1763" s="379" t="s">
        <v>1395</v>
      </c>
      <c r="G1763" s="400">
        <v>3737</v>
      </c>
      <c r="H1763" s="394" t="s">
        <v>99</v>
      </c>
      <c r="I1763" s="394" t="s">
        <v>961</v>
      </c>
      <c r="J1763" s="395">
        <v>52381.61</v>
      </c>
      <c r="L1763" s="395">
        <v>49.15</v>
      </c>
      <c r="M1763" s="395">
        <v>49.15</v>
      </c>
      <c r="N1763" s="396"/>
      <c r="O1763" s="387">
        <v>0.25</v>
      </c>
      <c r="P1763" s="397"/>
      <c r="Q1763" s="396">
        <v>0</v>
      </c>
      <c r="R1763" s="379" t="s">
        <v>35</v>
      </c>
      <c r="S1763" s="388" t="s">
        <v>41</v>
      </c>
      <c r="T1763" s="388">
        <v>16</v>
      </c>
      <c r="U1763" s="398" t="s">
        <v>164</v>
      </c>
      <c r="V1763" s="449"/>
      <c r="X1763" s="396">
        <v>0</v>
      </c>
      <c r="Y1763" s="396"/>
      <c r="AJ1763" s="390">
        <v>0</v>
      </c>
    </row>
    <row r="1764" spans="1:77" s="303" customFormat="1" ht="12" customHeight="1">
      <c r="A1764" s="303" t="s">
        <v>3893</v>
      </c>
      <c r="B1764" s="291" t="s">
        <v>291</v>
      </c>
      <c r="C1764" s="301">
        <v>44703</v>
      </c>
      <c r="D1764" s="301">
        <v>44706</v>
      </c>
      <c r="E1764" s="302" t="s">
        <v>1396</v>
      </c>
      <c r="F1764" s="291" t="s">
        <v>3772</v>
      </c>
      <c r="G1764" s="304" t="s">
        <v>523</v>
      </c>
      <c r="H1764" s="303" t="s">
        <v>140</v>
      </c>
      <c r="I1764" s="303" t="s">
        <v>33</v>
      </c>
      <c r="J1764" s="305">
        <v>7155</v>
      </c>
      <c r="L1764" s="305">
        <v>4.5</v>
      </c>
      <c r="M1764" s="305">
        <v>4.5</v>
      </c>
      <c r="N1764" s="306">
        <v>2146</v>
      </c>
      <c r="O1764" s="298">
        <v>0.25</v>
      </c>
      <c r="P1764" s="307"/>
      <c r="Q1764" s="306">
        <v>0</v>
      </c>
      <c r="R1764" s="291" t="s">
        <v>146</v>
      </c>
      <c r="S1764" s="299" t="s">
        <v>74</v>
      </c>
      <c r="T1764" s="299">
        <v>32</v>
      </c>
      <c r="U1764" s="309" t="s">
        <v>164</v>
      </c>
      <c r="V1764" s="447"/>
      <c r="X1764" s="306">
        <v>0</v>
      </c>
      <c r="Y1764" s="306"/>
      <c r="AH1764" s="303">
        <f>X1764</f>
        <v>0</v>
      </c>
      <c r="AI1764" s="311"/>
      <c r="AJ1764" s="468"/>
    </row>
    <row r="1765" spans="1:77" s="303" customFormat="1" ht="12" customHeight="1">
      <c r="A1765" s="303" t="s">
        <v>3893</v>
      </c>
      <c r="B1765" s="291" t="s">
        <v>291</v>
      </c>
      <c r="C1765" s="301"/>
      <c r="D1765" s="301"/>
      <c r="E1765" s="302" t="s">
        <v>1396</v>
      </c>
      <c r="F1765" s="291" t="s">
        <v>3772</v>
      </c>
      <c r="G1765" s="304" t="s">
        <v>523</v>
      </c>
      <c r="H1765" s="303" t="s">
        <v>99</v>
      </c>
      <c r="I1765" s="303" t="s">
        <v>33</v>
      </c>
      <c r="J1765" s="305">
        <v>15002</v>
      </c>
      <c r="L1765" s="305">
        <v>13</v>
      </c>
      <c r="M1765" s="305">
        <v>13</v>
      </c>
      <c r="N1765" s="306">
        <v>4500</v>
      </c>
      <c r="O1765" s="298">
        <v>0.25</v>
      </c>
      <c r="P1765" s="307"/>
      <c r="Q1765" s="306">
        <v>0</v>
      </c>
      <c r="R1765" s="291" t="s">
        <v>146</v>
      </c>
      <c r="S1765" s="299" t="s">
        <v>74</v>
      </c>
      <c r="T1765" s="299">
        <v>32</v>
      </c>
      <c r="U1765" s="309" t="s">
        <v>164</v>
      </c>
      <c r="V1765" s="447"/>
      <c r="X1765" s="306">
        <v>0</v>
      </c>
      <c r="Y1765" s="306"/>
      <c r="AH1765" s="303">
        <f>X1765</f>
        <v>0</v>
      </c>
      <c r="AI1765" s="311"/>
      <c r="AJ1765" s="468"/>
    </row>
    <row r="1766" spans="1:77" s="164" customFormat="1" ht="12" customHeight="1">
      <c r="B1766" s="153" t="s">
        <v>291</v>
      </c>
      <c r="C1766" s="166"/>
      <c r="D1766" s="166"/>
      <c r="E1766" s="167" t="s">
        <v>1396</v>
      </c>
      <c r="F1766" s="153" t="s">
        <v>3772</v>
      </c>
      <c r="G1766" s="168" t="s">
        <v>523</v>
      </c>
      <c r="H1766" s="164" t="s">
        <v>183</v>
      </c>
      <c r="I1766" s="164" t="s">
        <v>33</v>
      </c>
      <c r="J1766" s="169">
        <v>14587</v>
      </c>
      <c r="L1766" s="169">
        <v>14.5</v>
      </c>
      <c r="M1766" s="169">
        <v>14.5</v>
      </c>
      <c r="N1766" s="170"/>
      <c r="O1766" s="160">
        <v>0.25</v>
      </c>
      <c r="P1766" s="171"/>
      <c r="Q1766" s="170">
        <v>0</v>
      </c>
      <c r="R1766" s="153" t="s">
        <v>146</v>
      </c>
      <c r="S1766" s="161" t="s">
        <v>74</v>
      </c>
      <c r="T1766" s="161">
        <v>32</v>
      </c>
      <c r="U1766" s="173" t="s">
        <v>164</v>
      </c>
      <c r="V1766" s="452"/>
      <c r="X1766" s="170">
        <v>0</v>
      </c>
      <c r="Y1766" s="170"/>
      <c r="AD1766" s="177">
        <f>X1766</f>
        <v>0</v>
      </c>
      <c r="AJ1766" s="644"/>
    </row>
    <row r="1767" spans="1:77" s="164" customFormat="1" ht="12" customHeight="1">
      <c r="B1767" s="153" t="s">
        <v>291</v>
      </c>
      <c r="C1767" s="166"/>
      <c r="D1767" s="166"/>
      <c r="E1767" s="167" t="s">
        <v>1396</v>
      </c>
      <c r="F1767" s="153" t="s">
        <v>3772</v>
      </c>
      <c r="G1767" s="168" t="s">
        <v>523</v>
      </c>
      <c r="H1767" s="164" t="s">
        <v>765</v>
      </c>
      <c r="I1767" s="164" t="s">
        <v>33</v>
      </c>
      <c r="J1767" s="169">
        <v>11847.7</v>
      </c>
      <c r="L1767" s="169">
        <v>10</v>
      </c>
      <c r="M1767" s="169">
        <v>10</v>
      </c>
      <c r="N1767" s="170"/>
      <c r="O1767" s="160">
        <v>0.25</v>
      </c>
      <c r="P1767" s="171"/>
      <c r="Q1767" s="170">
        <v>0</v>
      </c>
      <c r="R1767" s="153" t="s">
        <v>146</v>
      </c>
      <c r="S1767" s="161" t="s">
        <v>74</v>
      </c>
      <c r="T1767" s="161">
        <v>32</v>
      </c>
      <c r="U1767" s="173" t="s">
        <v>164</v>
      </c>
      <c r="V1767" s="452"/>
      <c r="X1767" s="170">
        <v>0</v>
      </c>
      <c r="Y1767" s="170"/>
      <c r="AD1767" s="177">
        <f>X1767</f>
        <v>0</v>
      </c>
      <c r="AJ1767" s="644"/>
    </row>
    <row r="1768" spans="1:77" s="394" customFormat="1" ht="12" customHeight="1">
      <c r="B1768" s="379" t="s">
        <v>291</v>
      </c>
      <c r="C1768" s="392">
        <v>44701</v>
      </c>
      <c r="D1768" s="392">
        <v>44705</v>
      </c>
      <c r="E1768" s="393" t="s">
        <v>1397</v>
      </c>
      <c r="F1768" s="394" t="s">
        <v>1398</v>
      </c>
      <c r="G1768" s="400" t="s">
        <v>1399</v>
      </c>
      <c r="H1768" s="394" t="s">
        <v>765</v>
      </c>
      <c r="I1768" s="394" t="s">
        <v>33</v>
      </c>
      <c r="J1768" s="395">
        <v>150116.85</v>
      </c>
      <c r="L1768" s="395">
        <v>43.55</v>
      </c>
      <c r="M1768" s="395">
        <v>5</v>
      </c>
      <c r="N1768" s="396"/>
      <c r="O1768" s="397">
        <v>0.2</v>
      </c>
      <c r="P1768" s="397"/>
      <c r="Q1768" s="396">
        <v>0</v>
      </c>
      <c r="R1768" s="394" t="s">
        <v>229</v>
      </c>
      <c r="S1768" s="399" t="s">
        <v>397</v>
      </c>
      <c r="T1768" s="399">
        <v>37</v>
      </c>
      <c r="U1768" s="398" t="s">
        <v>164</v>
      </c>
      <c r="V1768" s="449"/>
      <c r="X1768" s="396">
        <v>0</v>
      </c>
      <c r="Y1768" s="396"/>
      <c r="AJ1768" s="390">
        <v>0</v>
      </c>
    </row>
    <row r="1769" spans="1:77" s="303" customFormat="1" ht="12" customHeight="1">
      <c r="A1769" s="303" t="s">
        <v>3893</v>
      </c>
      <c r="B1769" s="310" t="s">
        <v>291</v>
      </c>
      <c r="C1769" s="301">
        <v>44676</v>
      </c>
      <c r="D1769" s="301">
        <v>44676</v>
      </c>
      <c r="E1769" s="293" t="s">
        <v>1400</v>
      </c>
      <c r="F1769" s="291" t="s">
        <v>1046</v>
      </c>
      <c r="G1769" s="294" t="s">
        <v>1047</v>
      </c>
      <c r="H1769" s="291" t="s">
        <v>685</v>
      </c>
      <c r="I1769" s="303" t="s">
        <v>33</v>
      </c>
      <c r="J1769" s="305">
        <v>30667.45</v>
      </c>
      <c r="L1769" s="305">
        <v>20.350000000000001</v>
      </c>
      <c r="M1769" s="305">
        <v>20.350000000000001</v>
      </c>
      <c r="N1769" s="306">
        <v>10733</v>
      </c>
      <c r="O1769" s="307">
        <v>0.2</v>
      </c>
      <c r="P1769" s="307"/>
      <c r="Q1769" s="297">
        <v>5954.41</v>
      </c>
      <c r="R1769" s="291" t="s">
        <v>146</v>
      </c>
      <c r="S1769" s="299" t="s">
        <v>74</v>
      </c>
      <c r="T1769" s="299">
        <v>32</v>
      </c>
      <c r="U1769" s="300" t="s">
        <v>164</v>
      </c>
      <c r="V1769" s="447"/>
      <c r="X1769" s="306">
        <v>5954.41</v>
      </c>
      <c r="Y1769" s="306"/>
      <c r="AH1769" s="303">
        <f>X1769</f>
        <v>5954.41</v>
      </c>
      <c r="AI1769" s="311"/>
      <c r="AJ1769" s="468"/>
    </row>
    <row r="1770" spans="1:77" s="394" customFormat="1" ht="12" customHeight="1">
      <c r="B1770" s="380" t="s">
        <v>291</v>
      </c>
      <c r="C1770" s="392">
        <v>44701</v>
      </c>
      <c r="D1770" s="392">
        <v>44705</v>
      </c>
      <c r="E1770" s="393" t="s">
        <v>1401</v>
      </c>
      <c r="F1770" s="379" t="s">
        <v>569</v>
      </c>
      <c r="G1770" s="383">
        <v>3649</v>
      </c>
      <c r="H1770" s="379" t="s">
        <v>27</v>
      </c>
      <c r="I1770" s="394" t="s">
        <v>33</v>
      </c>
      <c r="J1770" s="395">
        <v>14162.9</v>
      </c>
      <c r="L1770" s="395">
        <v>9.69</v>
      </c>
      <c r="M1770" s="395">
        <v>9.69</v>
      </c>
      <c r="N1770" s="396"/>
      <c r="O1770" s="387">
        <v>0.15</v>
      </c>
      <c r="P1770" s="397"/>
      <c r="Q1770" s="396">
        <v>0</v>
      </c>
      <c r="R1770" s="379" t="s">
        <v>35</v>
      </c>
      <c r="S1770" s="388" t="s">
        <v>41</v>
      </c>
      <c r="T1770" s="388">
        <v>16</v>
      </c>
      <c r="U1770" s="398" t="s">
        <v>164</v>
      </c>
      <c r="V1770" s="449"/>
      <c r="X1770" s="396">
        <v>0</v>
      </c>
      <c r="Y1770" s="396"/>
      <c r="AJ1770" s="390">
        <v>0</v>
      </c>
    </row>
    <row r="1771" spans="1:77" s="117" customFormat="1" ht="12" customHeight="1">
      <c r="A1771" s="394"/>
      <c r="B1771" s="380" t="s">
        <v>291</v>
      </c>
      <c r="C1771" s="392"/>
      <c r="D1771" s="392"/>
      <c r="E1771" s="393" t="s">
        <v>1401</v>
      </c>
      <c r="F1771" s="379" t="s">
        <v>569</v>
      </c>
      <c r="G1771" s="383">
        <v>3649</v>
      </c>
      <c r="H1771" s="379" t="s">
        <v>99</v>
      </c>
      <c r="I1771" s="394" t="s">
        <v>33</v>
      </c>
      <c r="J1771" s="395">
        <v>29715.89</v>
      </c>
      <c r="K1771" s="394"/>
      <c r="L1771" s="395">
        <v>26.57</v>
      </c>
      <c r="M1771" s="395">
        <v>26.27</v>
      </c>
      <c r="N1771" s="396">
        <f>J1771*0.2</f>
        <v>5943.1779999999999</v>
      </c>
      <c r="O1771" s="387">
        <v>0.15</v>
      </c>
      <c r="P1771" s="397"/>
      <c r="Q1771" s="396">
        <v>0</v>
      </c>
      <c r="R1771" s="379" t="s">
        <v>35</v>
      </c>
      <c r="S1771" s="388" t="s">
        <v>41</v>
      </c>
      <c r="T1771" s="388">
        <v>16</v>
      </c>
      <c r="U1771" s="398" t="s">
        <v>164</v>
      </c>
      <c r="V1771" s="449"/>
      <c r="W1771" s="394"/>
      <c r="X1771" s="396">
        <v>0</v>
      </c>
      <c r="Y1771" s="396"/>
      <c r="Z1771" s="394"/>
      <c r="AA1771" s="394"/>
      <c r="AB1771" s="394"/>
      <c r="AC1771" s="394"/>
      <c r="AD1771" s="394"/>
      <c r="AE1771" s="394"/>
      <c r="AF1771" s="394"/>
      <c r="AG1771" s="394"/>
      <c r="AH1771" s="394"/>
      <c r="AI1771" s="394"/>
      <c r="AJ1771" s="390">
        <v>0</v>
      </c>
      <c r="AK1771" s="394"/>
      <c r="AL1771" s="394"/>
      <c r="AM1771" s="394"/>
      <c r="AN1771" s="394"/>
      <c r="AO1771" s="394"/>
      <c r="AP1771" s="394"/>
      <c r="AQ1771" s="394"/>
      <c r="AR1771" s="394"/>
      <c r="AS1771" s="394"/>
      <c r="AT1771" s="394"/>
      <c r="AU1771" s="394"/>
      <c r="AV1771" s="394"/>
      <c r="AW1771" s="394"/>
      <c r="AX1771" s="394"/>
      <c r="AY1771" s="394"/>
      <c r="AZ1771" s="394"/>
      <c r="BA1771" s="394"/>
      <c r="BB1771" s="394"/>
      <c r="BC1771" s="394"/>
      <c r="BD1771" s="394"/>
      <c r="BE1771" s="394"/>
      <c r="BF1771" s="394"/>
      <c r="BG1771" s="394"/>
      <c r="BH1771" s="394"/>
      <c r="BI1771" s="394"/>
      <c r="BJ1771" s="394"/>
      <c r="BK1771" s="394"/>
      <c r="BL1771" s="394"/>
      <c r="BM1771" s="394"/>
      <c r="BN1771" s="394"/>
      <c r="BO1771" s="394"/>
      <c r="BP1771" s="394"/>
      <c r="BQ1771" s="394"/>
      <c r="BR1771" s="394"/>
      <c r="BS1771" s="394"/>
      <c r="BT1771" s="394"/>
      <c r="BU1771" s="394"/>
      <c r="BV1771" s="394"/>
      <c r="BW1771" s="394"/>
      <c r="BX1771" s="394"/>
      <c r="BY1771" s="394"/>
    </row>
    <row r="1772" spans="1:77" s="394" customFormat="1" ht="12" customHeight="1">
      <c r="B1772" s="380" t="s">
        <v>291</v>
      </c>
      <c r="C1772" s="392"/>
      <c r="D1772" s="392"/>
      <c r="E1772" s="393" t="s">
        <v>1401</v>
      </c>
      <c r="F1772" s="379" t="s">
        <v>569</v>
      </c>
      <c r="G1772" s="383">
        <v>3649</v>
      </c>
      <c r="H1772" s="379" t="s">
        <v>183</v>
      </c>
      <c r="I1772" s="394" t="s">
        <v>33</v>
      </c>
      <c r="J1772" s="395">
        <v>4039.56</v>
      </c>
      <c r="L1772" s="395">
        <v>4.58</v>
      </c>
      <c r="M1772" s="395">
        <v>4.58</v>
      </c>
      <c r="N1772" s="396">
        <f>J1772*0.2</f>
        <v>807.91200000000003</v>
      </c>
      <c r="O1772" s="387">
        <v>0.15</v>
      </c>
      <c r="P1772" s="397"/>
      <c r="Q1772" s="396">
        <v>553.77</v>
      </c>
      <c r="R1772" s="379" t="s">
        <v>35</v>
      </c>
      <c r="S1772" s="388" t="s">
        <v>41</v>
      </c>
      <c r="T1772" s="388">
        <v>16</v>
      </c>
      <c r="U1772" s="398" t="s">
        <v>164</v>
      </c>
      <c r="V1772" s="449"/>
      <c r="X1772" s="396">
        <v>553.77</v>
      </c>
      <c r="Y1772" s="396"/>
      <c r="AJ1772" s="395">
        <v>553.77</v>
      </c>
    </row>
    <row r="1773" spans="1:77" s="184" customFormat="1" ht="12" customHeight="1">
      <c r="B1773" s="178" t="s">
        <v>291</v>
      </c>
      <c r="C1773" s="192">
        <v>44676</v>
      </c>
      <c r="D1773" s="192">
        <v>44706</v>
      </c>
      <c r="E1773" s="193" t="s">
        <v>1402</v>
      </c>
      <c r="F1773" s="184" t="s">
        <v>1403</v>
      </c>
      <c r="G1773" s="194">
        <v>4541</v>
      </c>
      <c r="H1773" s="184" t="s">
        <v>27</v>
      </c>
      <c r="I1773" s="184" t="s">
        <v>888</v>
      </c>
      <c r="J1773" s="195">
        <v>28071.87</v>
      </c>
      <c r="L1773" s="195">
        <v>23.57</v>
      </c>
      <c r="M1773" s="195">
        <v>23.57</v>
      </c>
      <c r="N1773" s="196"/>
      <c r="O1773" s="197">
        <v>0.2</v>
      </c>
      <c r="P1773" s="197"/>
      <c r="Q1773" s="196">
        <v>0</v>
      </c>
      <c r="R1773" s="184" t="s">
        <v>146</v>
      </c>
      <c r="S1773" s="199" t="s">
        <v>113</v>
      </c>
      <c r="T1773" s="199">
        <v>31</v>
      </c>
      <c r="U1773" s="198" t="s">
        <v>164</v>
      </c>
      <c r="V1773" s="450"/>
      <c r="X1773" s="196">
        <v>0</v>
      </c>
      <c r="Y1773" s="196"/>
      <c r="AE1773" s="235">
        <f>X1773</f>
        <v>0</v>
      </c>
      <c r="AJ1773" s="189"/>
    </row>
    <row r="1774" spans="1:77" s="341" customFormat="1" ht="12" customHeight="1">
      <c r="B1774" s="338" t="s">
        <v>291</v>
      </c>
      <c r="C1774" s="339"/>
      <c r="D1774" s="339"/>
      <c r="E1774" s="340" t="s">
        <v>1402</v>
      </c>
      <c r="F1774" s="341" t="s">
        <v>1403</v>
      </c>
      <c r="G1774" s="342">
        <v>4541</v>
      </c>
      <c r="H1774" s="341" t="s">
        <v>99</v>
      </c>
      <c r="I1774" s="341" t="s">
        <v>888</v>
      </c>
      <c r="J1774" s="343">
        <v>36847.25</v>
      </c>
      <c r="L1774" s="343">
        <v>31.55</v>
      </c>
      <c r="M1774" s="343">
        <v>31.55</v>
      </c>
      <c r="N1774" s="344"/>
      <c r="O1774" s="345">
        <v>0.2</v>
      </c>
      <c r="P1774" s="345"/>
      <c r="Q1774" s="344">
        <v>2767.57</v>
      </c>
      <c r="R1774" s="341" t="s">
        <v>146</v>
      </c>
      <c r="S1774" s="346" t="s">
        <v>113</v>
      </c>
      <c r="T1774" s="346">
        <v>31</v>
      </c>
      <c r="U1774" s="347" t="s">
        <v>164</v>
      </c>
      <c r="V1774" s="451"/>
      <c r="X1774" s="344">
        <v>2767.57</v>
      </c>
      <c r="Y1774" s="344"/>
      <c r="AI1774" s="344">
        <v>2767.57</v>
      </c>
      <c r="AJ1774" s="358"/>
      <c r="AK1774" s="369"/>
    </row>
    <row r="1775" spans="1:77" s="341" customFormat="1" ht="12" customHeight="1">
      <c r="B1775" s="338" t="s">
        <v>291</v>
      </c>
      <c r="C1775" s="339"/>
      <c r="D1775" s="339"/>
      <c r="E1775" s="340" t="s">
        <v>1402</v>
      </c>
      <c r="F1775" s="341" t="s">
        <v>1403</v>
      </c>
      <c r="G1775" s="342">
        <v>4541</v>
      </c>
      <c r="H1775" s="341" t="s">
        <v>183</v>
      </c>
      <c r="I1775" s="341" t="s">
        <v>888</v>
      </c>
      <c r="J1775" s="343">
        <v>20540.12</v>
      </c>
      <c r="L1775" s="343">
        <v>20.97</v>
      </c>
      <c r="M1775" s="343">
        <v>20.97</v>
      </c>
      <c r="N1775" s="344"/>
      <c r="O1775" s="345">
        <v>0.2</v>
      </c>
      <c r="P1775" s="345"/>
      <c r="Q1775" s="344">
        <v>0</v>
      </c>
      <c r="R1775" s="341" t="s">
        <v>146</v>
      </c>
      <c r="S1775" s="346" t="s">
        <v>113</v>
      </c>
      <c r="T1775" s="346">
        <v>31</v>
      </c>
      <c r="U1775" s="347" t="s">
        <v>164</v>
      </c>
      <c r="V1775" s="451"/>
      <c r="X1775" s="344">
        <v>0</v>
      </c>
      <c r="Y1775" s="344"/>
      <c r="AI1775" s="341">
        <v>0</v>
      </c>
      <c r="AJ1775" s="358"/>
      <c r="AK1775" s="369"/>
    </row>
    <row r="1776" spans="1:77" s="341" customFormat="1" ht="12" customHeight="1">
      <c r="B1776" s="338" t="s">
        <v>291</v>
      </c>
      <c r="C1776" s="339"/>
      <c r="D1776" s="339"/>
      <c r="E1776" s="340" t="s">
        <v>1402</v>
      </c>
      <c r="F1776" s="341" t="s">
        <v>1403</v>
      </c>
      <c r="G1776" s="342">
        <v>4541</v>
      </c>
      <c r="H1776" s="341" t="s">
        <v>163</v>
      </c>
      <c r="I1776" s="341" t="s">
        <v>888</v>
      </c>
      <c r="J1776" s="343">
        <v>8303.76</v>
      </c>
      <c r="L1776" s="343">
        <v>9.1199999999999992</v>
      </c>
      <c r="M1776" s="343">
        <v>9.1199999999999992</v>
      </c>
      <c r="N1776" s="344"/>
      <c r="O1776" s="345">
        <v>0.2</v>
      </c>
      <c r="P1776" s="345"/>
      <c r="Q1776" s="344">
        <v>2019.17</v>
      </c>
      <c r="R1776" s="341" t="s">
        <v>146</v>
      </c>
      <c r="S1776" s="346" t="s">
        <v>113</v>
      </c>
      <c r="T1776" s="346">
        <v>31</v>
      </c>
      <c r="U1776" s="347" t="s">
        <v>164</v>
      </c>
      <c r="V1776" s="451"/>
      <c r="X1776" s="344">
        <v>2019.17</v>
      </c>
      <c r="Y1776" s="344"/>
      <c r="AI1776" s="344">
        <v>2019.17</v>
      </c>
      <c r="AJ1776" s="358"/>
      <c r="AK1776" s="369"/>
    </row>
    <row r="1777" spans="2:37" s="341" customFormat="1" ht="12" customHeight="1">
      <c r="B1777" s="337" t="s">
        <v>291</v>
      </c>
      <c r="C1777" s="339"/>
      <c r="D1777" s="339"/>
      <c r="E1777" s="340" t="s">
        <v>1404</v>
      </c>
      <c r="F1777" s="341" t="s">
        <v>307</v>
      </c>
      <c r="G1777" s="342">
        <v>3715</v>
      </c>
      <c r="H1777" s="341" t="s">
        <v>765</v>
      </c>
      <c r="I1777" s="341" t="s">
        <v>33</v>
      </c>
      <c r="J1777" s="343">
        <v>8680.26</v>
      </c>
      <c r="L1777" s="343">
        <v>8.84</v>
      </c>
      <c r="M1777" s="343">
        <v>8.84</v>
      </c>
      <c r="N1777" s="344"/>
      <c r="O1777" s="345">
        <v>0.2</v>
      </c>
      <c r="P1777" s="345"/>
      <c r="Q1777" s="344">
        <v>0</v>
      </c>
      <c r="R1777" s="337" t="s">
        <v>128</v>
      </c>
      <c r="S1777" s="356" t="s">
        <v>41</v>
      </c>
      <c r="T1777" s="356">
        <v>79</v>
      </c>
      <c r="U1777" s="347" t="s">
        <v>164</v>
      </c>
      <c r="V1777" s="451"/>
      <c r="X1777" s="344">
        <v>0</v>
      </c>
      <c r="Y1777" s="344"/>
      <c r="AI1777" s="341">
        <v>0</v>
      </c>
      <c r="AJ1777" s="358"/>
      <c r="AK1777" s="369"/>
    </row>
    <row r="1778" spans="2:37" s="218" customFormat="1" ht="12" customHeight="1">
      <c r="B1778" s="205" t="s">
        <v>291</v>
      </c>
      <c r="C1778" s="225">
        <v>44702</v>
      </c>
      <c r="D1778" s="225">
        <v>44706</v>
      </c>
      <c r="E1778" s="226" t="s">
        <v>1404</v>
      </c>
      <c r="F1778" s="218" t="s">
        <v>307</v>
      </c>
      <c r="G1778" s="220">
        <v>3715</v>
      </c>
      <c r="H1778" s="218" t="s">
        <v>99</v>
      </c>
      <c r="I1778" s="218" t="s">
        <v>33</v>
      </c>
      <c r="J1778" s="222">
        <v>12137.85</v>
      </c>
      <c r="L1778" s="222">
        <v>12.85</v>
      </c>
      <c r="M1778" s="222">
        <v>12.85</v>
      </c>
      <c r="N1778" s="223"/>
      <c r="O1778" s="224">
        <v>0.2</v>
      </c>
      <c r="P1778" s="224"/>
      <c r="Q1778" s="223">
        <v>0</v>
      </c>
      <c r="R1778" s="205" t="s">
        <v>128</v>
      </c>
      <c r="S1778" s="214" t="s">
        <v>41</v>
      </c>
      <c r="T1778" s="214">
        <v>79</v>
      </c>
      <c r="U1778" s="227" t="s">
        <v>164</v>
      </c>
      <c r="V1778" s="455"/>
      <c r="X1778" s="223">
        <v>0</v>
      </c>
      <c r="Y1778" s="223"/>
      <c r="AF1778" s="230">
        <f>X1778</f>
        <v>0</v>
      </c>
      <c r="AJ1778" s="216"/>
    </row>
    <row r="1779" spans="2:37" s="218" customFormat="1" ht="12" customHeight="1">
      <c r="B1779" s="205" t="s">
        <v>291</v>
      </c>
      <c r="C1779" s="225"/>
      <c r="D1779" s="225"/>
      <c r="E1779" s="226" t="s">
        <v>1404</v>
      </c>
      <c r="F1779" s="218" t="s">
        <v>307</v>
      </c>
      <c r="G1779" s="220">
        <v>3715</v>
      </c>
      <c r="H1779" s="218" t="s">
        <v>27</v>
      </c>
      <c r="I1779" s="218" t="s">
        <v>33</v>
      </c>
      <c r="J1779" s="222">
        <v>10275</v>
      </c>
      <c r="L1779" s="222">
        <v>10.11</v>
      </c>
      <c r="M1779" s="222">
        <v>10.11</v>
      </c>
      <c r="N1779" s="223"/>
      <c r="O1779" s="224">
        <v>0.2</v>
      </c>
      <c r="P1779" s="224"/>
      <c r="Q1779" s="223">
        <v>0</v>
      </c>
      <c r="R1779" s="205" t="s">
        <v>128</v>
      </c>
      <c r="S1779" s="214" t="s">
        <v>41</v>
      </c>
      <c r="T1779" s="214">
        <v>79</v>
      </c>
      <c r="U1779" s="227" t="s">
        <v>164</v>
      </c>
      <c r="V1779" s="455"/>
      <c r="X1779" s="223">
        <v>0</v>
      </c>
      <c r="Y1779" s="223"/>
      <c r="AF1779" s="230">
        <f>X1779</f>
        <v>0</v>
      </c>
      <c r="AJ1779" s="216"/>
    </row>
    <row r="1780" spans="2:37" s="184" customFormat="1" ht="12" customHeight="1">
      <c r="B1780" s="181" t="s">
        <v>291</v>
      </c>
      <c r="C1780" s="192">
        <v>44706</v>
      </c>
      <c r="D1780" s="192">
        <v>44706</v>
      </c>
      <c r="E1780" s="193" t="s">
        <v>1405</v>
      </c>
      <c r="F1780" s="184" t="s">
        <v>1406</v>
      </c>
      <c r="G1780" s="194">
        <v>3824</v>
      </c>
      <c r="H1780" s="184" t="s">
        <v>99</v>
      </c>
      <c r="I1780" s="184" t="s">
        <v>156</v>
      </c>
      <c r="J1780" s="195">
        <v>22457.09</v>
      </c>
      <c r="L1780" s="195">
        <v>28.8</v>
      </c>
      <c r="M1780" s="195">
        <v>12.3</v>
      </c>
      <c r="N1780" s="196"/>
      <c r="O1780" s="197">
        <v>0.15</v>
      </c>
      <c r="P1780" s="197">
        <v>0.1</v>
      </c>
      <c r="Q1780" s="196">
        <v>0</v>
      </c>
      <c r="R1780" s="184" t="s">
        <v>1407</v>
      </c>
      <c r="S1780" s="199" t="s">
        <v>41</v>
      </c>
      <c r="T1780" s="199">
        <v>24</v>
      </c>
      <c r="U1780" s="198" t="s">
        <v>164</v>
      </c>
      <c r="V1780" s="450"/>
      <c r="X1780" s="196">
        <v>0</v>
      </c>
      <c r="Y1780" s="196"/>
      <c r="AE1780" s="235">
        <f>X1780</f>
        <v>0</v>
      </c>
      <c r="AJ1780" s="189"/>
    </row>
    <row r="1781" spans="2:37" s="184" customFormat="1" ht="12" customHeight="1">
      <c r="B1781" s="181" t="s">
        <v>291</v>
      </c>
      <c r="C1781" s="192"/>
      <c r="D1781" s="192"/>
      <c r="E1781" s="193" t="s">
        <v>1405</v>
      </c>
      <c r="F1781" s="184" t="s">
        <v>1406</v>
      </c>
      <c r="G1781" s="194">
        <v>3824</v>
      </c>
      <c r="H1781" s="184" t="s">
        <v>910</v>
      </c>
      <c r="I1781" s="184" t="s">
        <v>156</v>
      </c>
      <c r="J1781" s="195">
        <v>58696</v>
      </c>
      <c r="L1781" s="195">
        <v>44</v>
      </c>
      <c r="M1781" s="195">
        <v>20</v>
      </c>
      <c r="N1781" s="196"/>
      <c r="O1781" s="197">
        <v>0.15</v>
      </c>
      <c r="P1781" s="197">
        <v>0.1</v>
      </c>
      <c r="Q1781" s="196">
        <v>0</v>
      </c>
      <c r="R1781" s="184" t="s">
        <v>1407</v>
      </c>
      <c r="S1781" s="199" t="s">
        <v>41</v>
      </c>
      <c r="T1781" s="199">
        <v>24</v>
      </c>
      <c r="U1781" s="198" t="s">
        <v>164</v>
      </c>
      <c r="V1781" s="450"/>
      <c r="X1781" s="196">
        <v>0</v>
      </c>
      <c r="Y1781" s="196"/>
      <c r="AE1781" s="235">
        <f>X1781</f>
        <v>0</v>
      </c>
      <c r="AJ1781" s="189"/>
    </row>
    <row r="1782" spans="2:37" s="341" customFormat="1" ht="12" customHeight="1">
      <c r="B1782" s="338" t="s">
        <v>291</v>
      </c>
      <c r="C1782" s="339">
        <v>44706</v>
      </c>
      <c r="D1782" s="339">
        <v>44706</v>
      </c>
      <c r="E1782" s="340" t="s">
        <v>1408</v>
      </c>
      <c r="F1782" s="341" t="s">
        <v>737</v>
      </c>
      <c r="G1782" s="342">
        <v>3637</v>
      </c>
      <c r="H1782" s="341" t="s">
        <v>765</v>
      </c>
      <c r="I1782" s="341" t="s">
        <v>33</v>
      </c>
      <c r="J1782" s="343">
        <v>34904.400000000001</v>
      </c>
      <c r="L1782" s="343">
        <v>51.33</v>
      </c>
      <c r="M1782" s="343">
        <v>51.33</v>
      </c>
      <c r="N1782" s="344">
        <f>5217.3</f>
        <v>5217.3</v>
      </c>
      <c r="O1782" s="345">
        <v>0.2</v>
      </c>
      <c r="P1782" s="345"/>
      <c r="Q1782" s="348">
        <v>3100</v>
      </c>
      <c r="R1782" s="341" t="s">
        <v>42</v>
      </c>
      <c r="S1782" s="346" t="s">
        <v>41</v>
      </c>
      <c r="T1782" s="346">
        <v>79</v>
      </c>
      <c r="U1782" s="347" t="s">
        <v>164</v>
      </c>
      <c r="V1782" s="451">
        <v>3100</v>
      </c>
      <c r="X1782" s="348">
        <v>3100</v>
      </c>
      <c r="Y1782" s="344"/>
      <c r="AI1782" s="341">
        <v>3100</v>
      </c>
      <c r="AJ1782" s="358"/>
      <c r="AK1782" s="369"/>
    </row>
    <row r="1783" spans="2:37" s="273" customFormat="1" ht="12" customHeight="1">
      <c r="B1783" s="258" t="s">
        <v>291</v>
      </c>
      <c r="C1783" s="271">
        <v>44706</v>
      </c>
      <c r="D1783" s="271">
        <v>44706</v>
      </c>
      <c r="E1783" s="272" t="s">
        <v>1409</v>
      </c>
      <c r="F1783" s="273" t="s">
        <v>1085</v>
      </c>
      <c r="G1783" s="262" t="s">
        <v>1086</v>
      </c>
      <c r="H1783" s="273" t="s">
        <v>140</v>
      </c>
      <c r="I1783" s="273" t="s">
        <v>156</v>
      </c>
      <c r="J1783" s="277">
        <v>16807.189999999999</v>
      </c>
      <c r="L1783" s="277">
        <v>11.44</v>
      </c>
      <c r="M1783" s="277">
        <v>9</v>
      </c>
      <c r="N1783" s="275"/>
      <c r="O1783" s="278">
        <v>0.25</v>
      </c>
      <c r="P1783" s="278">
        <v>0.1</v>
      </c>
      <c r="Q1783" s="275">
        <v>0</v>
      </c>
      <c r="R1783" s="261" t="s">
        <v>128</v>
      </c>
      <c r="S1783" s="267" t="s">
        <v>34</v>
      </c>
      <c r="T1783" s="267">
        <v>79</v>
      </c>
      <c r="U1783" s="274" t="s">
        <v>164</v>
      </c>
      <c r="V1783" s="454"/>
      <c r="X1783" s="275">
        <v>0</v>
      </c>
      <c r="Y1783" s="275"/>
      <c r="AG1783" s="273">
        <f>X1783</f>
        <v>0</v>
      </c>
      <c r="AJ1783" s="642"/>
    </row>
    <row r="1784" spans="2:37" s="273" customFormat="1" ht="12" customHeight="1">
      <c r="B1784" s="258" t="s">
        <v>291</v>
      </c>
      <c r="C1784" s="271"/>
      <c r="D1784" s="271"/>
      <c r="E1784" s="272" t="s">
        <v>1409</v>
      </c>
      <c r="F1784" s="273" t="s">
        <v>1085</v>
      </c>
      <c r="G1784" s="262" t="s">
        <v>1086</v>
      </c>
      <c r="H1784" s="273" t="s">
        <v>99</v>
      </c>
      <c r="I1784" s="273" t="s">
        <v>156</v>
      </c>
      <c r="J1784" s="277">
        <v>44002.41</v>
      </c>
      <c r="L1784" s="277">
        <v>37.24</v>
      </c>
      <c r="M1784" s="277">
        <v>10</v>
      </c>
      <c r="N1784" s="275"/>
      <c r="O1784" s="278">
        <v>0.25</v>
      </c>
      <c r="P1784" s="278">
        <v>0.1</v>
      </c>
      <c r="Q1784" s="275">
        <v>0</v>
      </c>
      <c r="R1784" s="261" t="s">
        <v>128</v>
      </c>
      <c r="S1784" s="267" t="s">
        <v>34</v>
      </c>
      <c r="T1784" s="267">
        <v>79</v>
      </c>
      <c r="U1784" s="274" t="s">
        <v>164</v>
      </c>
      <c r="V1784" s="454"/>
      <c r="X1784" s="275">
        <v>0</v>
      </c>
      <c r="Y1784" s="275"/>
      <c r="AG1784" s="273">
        <f>X1784</f>
        <v>0</v>
      </c>
      <c r="AJ1784" s="642"/>
    </row>
    <row r="1785" spans="2:37" s="273" customFormat="1" ht="12" customHeight="1">
      <c r="B1785" s="258" t="s">
        <v>291</v>
      </c>
      <c r="C1785" s="271"/>
      <c r="D1785" s="271"/>
      <c r="E1785" s="272" t="s">
        <v>1409</v>
      </c>
      <c r="F1785" s="273" t="s">
        <v>1085</v>
      </c>
      <c r="G1785" s="262" t="s">
        <v>1086</v>
      </c>
      <c r="H1785" s="273" t="s">
        <v>27</v>
      </c>
      <c r="I1785" s="273" t="s">
        <v>156</v>
      </c>
      <c r="J1785" s="277">
        <v>32866.519999999997</v>
      </c>
      <c r="L1785" s="277">
        <v>25.24</v>
      </c>
      <c r="M1785" s="277">
        <v>17</v>
      </c>
      <c r="N1785" s="275"/>
      <c r="O1785" s="278">
        <v>0.25</v>
      </c>
      <c r="P1785" s="278">
        <v>0.1</v>
      </c>
      <c r="Q1785" s="275">
        <v>0</v>
      </c>
      <c r="R1785" s="261" t="s">
        <v>128</v>
      </c>
      <c r="S1785" s="267" t="s">
        <v>34</v>
      </c>
      <c r="T1785" s="267">
        <v>79</v>
      </c>
      <c r="U1785" s="274" t="s">
        <v>164</v>
      </c>
      <c r="V1785" s="454"/>
      <c r="X1785" s="275">
        <v>0</v>
      </c>
      <c r="Y1785" s="275"/>
      <c r="AG1785" s="273">
        <f>X1785</f>
        <v>0</v>
      </c>
      <c r="AJ1785" s="642"/>
    </row>
    <row r="1786" spans="2:37" s="273" customFormat="1" ht="12" customHeight="1">
      <c r="B1786" s="258" t="s">
        <v>291</v>
      </c>
      <c r="C1786" s="271"/>
      <c r="D1786" s="271"/>
      <c r="E1786" s="272" t="s">
        <v>1409</v>
      </c>
      <c r="F1786" s="273" t="s">
        <v>1085</v>
      </c>
      <c r="G1786" s="262" t="s">
        <v>1086</v>
      </c>
      <c r="H1786" s="273" t="s">
        <v>163</v>
      </c>
      <c r="I1786" s="273" t="s">
        <v>156</v>
      </c>
      <c r="J1786" s="277">
        <v>2895.58</v>
      </c>
      <c r="L1786" s="277">
        <v>4.12</v>
      </c>
      <c r="M1786" s="277">
        <v>4.0999999999999996</v>
      </c>
      <c r="N1786" s="275"/>
      <c r="O1786" s="278">
        <v>0.25</v>
      </c>
      <c r="P1786" s="278">
        <v>0.1</v>
      </c>
      <c r="Q1786" s="275">
        <v>0</v>
      </c>
      <c r="R1786" s="261" t="s">
        <v>128</v>
      </c>
      <c r="S1786" s="267" t="s">
        <v>34</v>
      </c>
      <c r="T1786" s="267">
        <v>79</v>
      </c>
      <c r="U1786" s="274" t="s">
        <v>164</v>
      </c>
      <c r="V1786" s="454"/>
      <c r="X1786" s="275">
        <v>0</v>
      </c>
      <c r="Y1786" s="275"/>
      <c r="AG1786" s="273">
        <f>X1786</f>
        <v>0</v>
      </c>
      <c r="AJ1786" s="642"/>
    </row>
    <row r="1787" spans="2:37" s="341" customFormat="1" ht="12" customHeight="1">
      <c r="B1787" s="338" t="s">
        <v>291</v>
      </c>
      <c r="C1787" s="339">
        <v>44703</v>
      </c>
      <c r="D1787" s="339">
        <v>44706</v>
      </c>
      <c r="E1787" s="340" t="s">
        <v>1410</v>
      </c>
      <c r="F1787" s="341" t="s">
        <v>1411</v>
      </c>
      <c r="G1787" s="342">
        <v>3765</v>
      </c>
      <c r="H1787" s="341" t="s">
        <v>310</v>
      </c>
      <c r="I1787" s="341" t="s">
        <v>111</v>
      </c>
      <c r="J1787" s="343">
        <v>17540.830000000002</v>
      </c>
      <c r="L1787" s="343">
        <v>23.81</v>
      </c>
      <c r="M1787" s="343">
        <v>23.81</v>
      </c>
      <c r="N1787" s="344"/>
      <c r="O1787" s="345">
        <v>0.2</v>
      </c>
      <c r="P1787" s="345"/>
      <c r="Q1787" s="344">
        <v>0</v>
      </c>
      <c r="R1787" s="341" t="s">
        <v>128</v>
      </c>
      <c r="S1787" s="346" t="s">
        <v>41</v>
      </c>
      <c r="T1787" s="346">
        <v>16</v>
      </c>
      <c r="U1787" s="347" t="s">
        <v>164</v>
      </c>
      <c r="V1787" s="451"/>
      <c r="X1787" s="344">
        <v>0</v>
      </c>
      <c r="Y1787" s="344"/>
      <c r="AI1787" s="341">
        <f>X1787</f>
        <v>0</v>
      </c>
      <c r="AJ1787" s="358"/>
      <c r="AK1787" s="369"/>
    </row>
    <row r="1788" spans="2:37" s="218" customFormat="1" ht="12" customHeight="1">
      <c r="B1788" s="206" t="s">
        <v>291</v>
      </c>
      <c r="C1788" s="225">
        <v>44705</v>
      </c>
      <c r="D1788" s="225">
        <v>44706</v>
      </c>
      <c r="E1788" s="226" t="s">
        <v>1412</v>
      </c>
      <c r="F1788" s="218" t="s">
        <v>1413</v>
      </c>
      <c r="G1788" s="220">
        <v>4419</v>
      </c>
      <c r="H1788" s="218" t="s">
        <v>183</v>
      </c>
      <c r="I1788" s="218" t="s">
        <v>156</v>
      </c>
      <c r="J1788" s="222">
        <v>5232</v>
      </c>
      <c r="L1788" s="222">
        <v>6</v>
      </c>
      <c r="M1788" s="222">
        <v>6</v>
      </c>
      <c r="N1788" s="223">
        <f>0.08*J1788</f>
        <v>418.56</v>
      </c>
      <c r="O1788" s="224">
        <v>0.25</v>
      </c>
      <c r="P1788" s="224">
        <v>0.1</v>
      </c>
      <c r="Q1788" s="223">
        <v>0</v>
      </c>
      <c r="R1788" s="218" t="s">
        <v>281</v>
      </c>
      <c r="S1788" s="221" t="s">
        <v>228</v>
      </c>
      <c r="T1788" s="221">
        <v>18</v>
      </c>
      <c r="U1788" s="227" t="s">
        <v>164</v>
      </c>
      <c r="V1788" s="455"/>
      <c r="X1788" s="223">
        <v>0</v>
      </c>
      <c r="Y1788" s="223"/>
      <c r="AF1788" s="230">
        <f>X1788</f>
        <v>0</v>
      </c>
      <c r="AJ1788" s="216"/>
    </row>
    <row r="1789" spans="2:37" s="303" customFormat="1" ht="12" customHeight="1">
      <c r="B1789" s="310" t="s">
        <v>291</v>
      </c>
      <c r="C1789" s="301">
        <v>44703</v>
      </c>
      <c r="D1789" s="301">
        <v>44706</v>
      </c>
      <c r="E1789" s="302" t="s">
        <v>1414</v>
      </c>
      <c r="F1789" s="303" t="s">
        <v>1415</v>
      </c>
      <c r="G1789" s="304">
        <v>4008</v>
      </c>
      <c r="H1789" s="303" t="s">
        <v>183</v>
      </c>
      <c r="I1789" s="303" t="s">
        <v>33</v>
      </c>
      <c r="J1789" s="305">
        <v>14234.99</v>
      </c>
      <c r="L1789" s="305">
        <v>15.29</v>
      </c>
      <c r="M1789" s="305">
        <v>15.29</v>
      </c>
      <c r="N1789" s="306">
        <v>3360.88</v>
      </c>
      <c r="O1789" s="307">
        <v>0.2</v>
      </c>
      <c r="P1789" s="307"/>
      <c r="Q1789" s="306">
        <v>514.20000000000005</v>
      </c>
      <c r="R1789" s="303" t="s">
        <v>142</v>
      </c>
      <c r="S1789" s="308" t="s">
        <v>41</v>
      </c>
      <c r="T1789" s="308">
        <v>24</v>
      </c>
      <c r="U1789" s="309" t="s">
        <v>164</v>
      </c>
      <c r="V1789" s="447"/>
      <c r="X1789" s="306">
        <v>514.20000000000005</v>
      </c>
      <c r="Y1789" s="297"/>
      <c r="AH1789" s="303">
        <f>X1789</f>
        <v>514.20000000000005</v>
      </c>
      <c r="AI1789" s="311"/>
      <c r="AJ1789" s="468"/>
    </row>
    <row r="1790" spans="2:37" s="303" customFormat="1" ht="12" customHeight="1">
      <c r="B1790" s="310" t="s">
        <v>291</v>
      </c>
      <c r="C1790" s="301"/>
      <c r="D1790" s="301"/>
      <c r="E1790" s="302" t="s">
        <v>1414</v>
      </c>
      <c r="F1790" s="303" t="s">
        <v>1415</v>
      </c>
      <c r="G1790" s="304">
        <v>4008</v>
      </c>
      <c r="H1790" s="303" t="s">
        <v>99</v>
      </c>
      <c r="I1790" s="303" t="s">
        <v>33</v>
      </c>
      <c r="J1790" s="305">
        <v>31968</v>
      </c>
      <c r="L1790" s="305">
        <v>33.299999999999997</v>
      </c>
      <c r="M1790" s="305">
        <v>33.299999999999997</v>
      </c>
      <c r="N1790" s="306">
        <v>4123.87</v>
      </c>
      <c r="O1790" s="307">
        <v>0.2</v>
      </c>
      <c r="P1790" s="307"/>
      <c r="Q1790" s="306">
        <v>0</v>
      </c>
      <c r="R1790" s="303" t="s">
        <v>142</v>
      </c>
      <c r="S1790" s="308" t="s">
        <v>41</v>
      </c>
      <c r="T1790" s="308">
        <v>24</v>
      </c>
      <c r="U1790" s="309" t="s">
        <v>164</v>
      </c>
      <c r="V1790" s="447"/>
      <c r="W1790" s="309"/>
      <c r="X1790" s="306">
        <v>0</v>
      </c>
      <c r="Y1790" s="297"/>
      <c r="AH1790" s="303">
        <f>X1790</f>
        <v>0</v>
      </c>
      <c r="AI1790" s="311"/>
      <c r="AJ1790" s="468"/>
    </row>
    <row r="1791" spans="2:37" s="273" customFormat="1" ht="12" customHeight="1">
      <c r="B1791" s="261" t="s">
        <v>291</v>
      </c>
      <c r="C1791" s="271">
        <v>44704</v>
      </c>
      <c r="D1791" s="271">
        <v>44706</v>
      </c>
      <c r="E1791" s="272" t="s">
        <v>1416</v>
      </c>
      <c r="F1791" s="273" t="s">
        <v>189</v>
      </c>
      <c r="G1791" s="276">
        <v>3814</v>
      </c>
      <c r="H1791" s="273" t="s">
        <v>183</v>
      </c>
      <c r="I1791" s="273" t="s">
        <v>156</v>
      </c>
      <c r="J1791" s="277">
        <v>13373.82</v>
      </c>
      <c r="L1791" s="277">
        <v>15.56</v>
      </c>
      <c r="M1791" s="277">
        <v>15.56</v>
      </c>
      <c r="N1791" s="275"/>
      <c r="O1791" s="278">
        <v>0.15</v>
      </c>
      <c r="P1791" s="278">
        <v>0.1</v>
      </c>
      <c r="Q1791" s="275">
        <v>2588.4</v>
      </c>
      <c r="R1791" s="273" t="s">
        <v>73</v>
      </c>
      <c r="S1791" s="279" t="s">
        <v>113</v>
      </c>
      <c r="T1791" s="279">
        <v>31</v>
      </c>
      <c r="U1791" s="274" t="s">
        <v>164</v>
      </c>
      <c r="V1791" s="454"/>
      <c r="X1791" s="275">
        <v>2588.4</v>
      </c>
      <c r="Y1791" s="275"/>
      <c r="AG1791" s="273">
        <f>X1791</f>
        <v>2588.4</v>
      </c>
      <c r="AJ1791" s="642"/>
    </row>
    <row r="1792" spans="2:37" s="273" customFormat="1" ht="12" customHeight="1">
      <c r="B1792" s="261" t="s">
        <v>291</v>
      </c>
      <c r="C1792" s="271">
        <v>44706</v>
      </c>
      <c r="D1792" s="271">
        <v>44706</v>
      </c>
      <c r="E1792" s="272" t="s">
        <v>1430</v>
      </c>
      <c r="F1792" s="273" t="s">
        <v>1429</v>
      </c>
      <c r="G1792" s="276" t="s">
        <v>1428</v>
      </c>
      <c r="H1792" s="273" t="s">
        <v>496</v>
      </c>
      <c r="I1792" s="273" t="s">
        <v>33</v>
      </c>
      <c r="J1792" s="277">
        <v>34100.239999999998</v>
      </c>
      <c r="L1792" s="277">
        <v>23.09</v>
      </c>
      <c r="M1792" s="277">
        <v>23.09</v>
      </c>
      <c r="N1792" s="275"/>
      <c r="O1792" s="278">
        <v>0.25</v>
      </c>
      <c r="P1792" s="278"/>
      <c r="Q1792" s="275">
        <v>0</v>
      </c>
      <c r="R1792" s="273" t="s">
        <v>128</v>
      </c>
      <c r="S1792" s="279" t="s">
        <v>118</v>
      </c>
      <c r="T1792" s="279">
        <v>79</v>
      </c>
      <c r="U1792" s="274" t="s">
        <v>164</v>
      </c>
      <c r="V1792" s="454"/>
      <c r="X1792" s="275">
        <v>0</v>
      </c>
      <c r="Y1792" s="275"/>
      <c r="AG1792" s="273">
        <f>X1792</f>
        <v>0</v>
      </c>
      <c r="AJ1792" s="642"/>
    </row>
    <row r="1793" spans="2:37" s="273" customFormat="1" ht="12" customHeight="1">
      <c r="B1793" s="261" t="s">
        <v>291</v>
      </c>
      <c r="C1793" s="271"/>
      <c r="D1793" s="271"/>
      <c r="E1793" s="272" t="s">
        <v>1430</v>
      </c>
      <c r="F1793" s="273" t="s">
        <v>1429</v>
      </c>
      <c r="G1793" s="276" t="s">
        <v>1428</v>
      </c>
      <c r="H1793" s="273" t="s">
        <v>99</v>
      </c>
      <c r="I1793" s="273" t="s">
        <v>33</v>
      </c>
      <c r="J1793" s="277">
        <v>50982.2</v>
      </c>
      <c r="L1793" s="277">
        <v>40.76</v>
      </c>
      <c r="M1793" s="277">
        <v>40.76</v>
      </c>
      <c r="N1793" s="275"/>
      <c r="O1793" s="278">
        <v>0.25</v>
      </c>
      <c r="P1793" s="278"/>
      <c r="Q1793" s="275">
        <v>0</v>
      </c>
      <c r="R1793" s="273" t="s">
        <v>128</v>
      </c>
      <c r="S1793" s="279" t="s">
        <v>118</v>
      </c>
      <c r="T1793" s="279">
        <v>79</v>
      </c>
      <c r="U1793" s="274" t="s">
        <v>164</v>
      </c>
      <c r="V1793" s="454"/>
      <c r="X1793" s="275">
        <v>0</v>
      </c>
      <c r="Y1793" s="275"/>
      <c r="AG1793" s="273">
        <f>X1793</f>
        <v>0</v>
      </c>
      <c r="AJ1793" s="642"/>
    </row>
    <row r="1794" spans="2:37" s="341" customFormat="1" ht="12" customHeight="1">
      <c r="B1794" s="338" t="s">
        <v>291</v>
      </c>
      <c r="C1794" s="339"/>
      <c r="D1794" s="339"/>
      <c r="E1794" s="340" t="s">
        <v>1427</v>
      </c>
      <c r="F1794" s="337" t="s">
        <v>818</v>
      </c>
      <c r="G1794" s="351">
        <v>4451</v>
      </c>
      <c r="H1794" s="341" t="s">
        <v>27</v>
      </c>
      <c r="I1794" s="341" t="s">
        <v>1426</v>
      </c>
      <c r="J1794" s="352">
        <v>28884</v>
      </c>
      <c r="L1794" s="352">
        <v>24.07</v>
      </c>
      <c r="M1794" s="352">
        <v>24.06</v>
      </c>
      <c r="N1794" s="344"/>
      <c r="O1794" s="345">
        <v>0.15</v>
      </c>
      <c r="P1794" s="345"/>
      <c r="Q1794" s="344">
        <v>0</v>
      </c>
      <c r="R1794" s="337" t="s">
        <v>73</v>
      </c>
      <c r="S1794" s="356" t="s">
        <v>74</v>
      </c>
      <c r="T1794" s="356">
        <v>31</v>
      </c>
      <c r="U1794" s="347" t="s">
        <v>164</v>
      </c>
      <c r="V1794" s="451"/>
      <c r="X1794" s="344">
        <v>0</v>
      </c>
      <c r="Y1794" s="344"/>
      <c r="AI1794" s="341">
        <v>0</v>
      </c>
      <c r="AJ1794" s="358"/>
      <c r="AK1794" s="369"/>
    </row>
    <row r="1795" spans="2:37" s="341" customFormat="1" ht="12" customHeight="1">
      <c r="B1795" s="338" t="s">
        <v>291</v>
      </c>
      <c r="C1795" s="339">
        <v>44702</v>
      </c>
      <c r="D1795" s="339">
        <v>44706</v>
      </c>
      <c r="E1795" s="340" t="s">
        <v>1427</v>
      </c>
      <c r="F1795" s="337" t="s">
        <v>818</v>
      </c>
      <c r="G1795" s="351">
        <v>4451</v>
      </c>
      <c r="H1795" s="341" t="s">
        <v>140</v>
      </c>
      <c r="I1795" s="341" t="s">
        <v>1426</v>
      </c>
      <c r="J1795" s="343">
        <v>27684</v>
      </c>
      <c r="L1795" s="343">
        <v>15.38</v>
      </c>
      <c r="M1795" s="343">
        <v>15.37</v>
      </c>
      <c r="N1795" s="344"/>
      <c r="O1795" s="345">
        <v>0.15</v>
      </c>
      <c r="P1795" s="345"/>
      <c r="Q1795" s="344">
        <v>1105</v>
      </c>
      <c r="R1795" s="337" t="s">
        <v>73</v>
      </c>
      <c r="S1795" s="356" t="s">
        <v>74</v>
      </c>
      <c r="T1795" s="356">
        <v>31</v>
      </c>
      <c r="U1795" s="347" t="s">
        <v>164</v>
      </c>
      <c r="V1795" s="451"/>
      <c r="X1795" s="344">
        <v>1105</v>
      </c>
      <c r="Y1795" s="344"/>
      <c r="AI1795" s="344">
        <v>1105</v>
      </c>
      <c r="AJ1795" s="358"/>
      <c r="AK1795" s="369"/>
    </row>
    <row r="1796" spans="2:37" s="341" customFormat="1" ht="12" customHeight="1">
      <c r="B1796" s="338" t="s">
        <v>291</v>
      </c>
      <c r="C1796" s="339"/>
      <c r="D1796" s="339"/>
      <c r="E1796" s="340" t="s">
        <v>1427</v>
      </c>
      <c r="F1796" s="337" t="s">
        <v>818</v>
      </c>
      <c r="G1796" s="351">
        <v>4451</v>
      </c>
      <c r="H1796" s="341" t="s">
        <v>99</v>
      </c>
      <c r="I1796" s="341" t="s">
        <v>1426</v>
      </c>
      <c r="J1796" s="352">
        <v>79872</v>
      </c>
      <c r="L1796" s="352">
        <v>66.56</v>
      </c>
      <c r="M1796" s="352">
        <v>66.55</v>
      </c>
      <c r="N1796" s="344"/>
      <c r="O1796" s="345">
        <v>0.15</v>
      </c>
      <c r="P1796" s="345"/>
      <c r="Q1796" s="344">
        <v>18632.2</v>
      </c>
      <c r="R1796" s="337" t="s">
        <v>73</v>
      </c>
      <c r="S1796" s="356" t="s">
        <v>74</v>
      </c>
      <c r="T1796" s="356">
        <v>31</v>
      </c>
      <c r="U1796" s="347" t="s">
        <v>164</v>
      </c>
      <c r="V1796" s="451"/>
      <c r="X1796" s="344">
        <v>18632.2</v>
      </c>
      <c r="Y1796" s="344"/>
      <c r="AI1796" s="344">
        <v>18632.2</v>
      </c>
      <c r="AJ1796" s="358"/>
      <c r="AK1796" s="369"/>
    </row>
    <row r="1797" spans="2:37" s="341" customFormat="1" ht="12" customHeight="1">
      <c r="B1797" s="338" t="s">
        <v>291</v>
      </c>
      <c r="C1797" s="339"/>
      <c r="D1797" s="339"/>
      <c r="E1797" s="340" t="s">
        <v>1427</v>
      </c>
      <c r="F1797" s="337" t="s">
        <v>818</v>
      </c>
      <c r="G1797" s="351">
        <v>4451</v>
      </c>
      <c r="H1797" s="341" t="s">
        <v>765</v>
      </c>
      <c r="I1797" s="341" t="s">
        <v>1426</v>
      </c>
      <c r="J1797" s="343">
        <v>21696</v>
      </c>
      <c r="L1797" s="343">
        <v>27.12</v>
      </c>
      <c r="M1797" s="343">
        <v>27.12</v>
      </c>
      <c r="N1797" s="344"/>
      <c r="O1797" s="345">
        <v>0.15</v>
      </c>
      <c r="P1797" s="345"/>
      <c r="Q1797" s="344">
        <v>6617.28</v>
      </c>
      <c r="R1797" s="337" t="s">
        <v>73</v>
      </c>
      <c r="S1797" s="356" t="s">
        <v>74</v>
      </c>
      <c r="T1797" s="356">
        <v>31</v>
      </c>
      <c r="U1797" s="347" t="s">
        <v>164</v>
      </c>
      <c r="V1797" s="451"/>
      <c r="X1797" s="344">
        <v>6617.28</v>
      </c>
      <c r="Y1797" s="344"/>
      <c r="AI1797" s="344">
        <v>6617.28</v>
      </c>
      <c r="AJ1797" s="358"/>
      <c r="AK1797" s="369"/>
    </row>
    <row r="1798" spans="2:37" s="341" customFormat="1" ht="12" customHeight="1">
      <c r="B1798" s="338" t="s">
        <v>291</v>
      </c>
      <c r="C1798" s="339">
        <v>44701</v>
      </c>
      <c r="D1798" s="339">
        <v>44706</v>
      </c>
      <c r="E1798" s="340" t="s">
        <v>1425</v>
      </c>
      <c r="F1798" s="341" t="s">
        <v>1424</v>
      </c>
      <c r="G1798" s="342">
        <v>4453</v>
      </c>
      <c r="H1798" s="341" t="s">
        <v>99</v>
      </c>
      <c r="I1798" s="341" t="s">
        <v>961</v>
      </c>
      <c r="J1798" s="343">
        <v>44524.35</v>
      </c>
      <c r="L1798" s="343">
        <v>50.31</v>
      </c>
      <c r="M1798" s="343">
        <v>51</v>
      </c>
      <c r="N1798" s="344"/>
      <c r="O1798" s="345">
        <v>0.15</v>
      </c>
      <c r="P1798" s="345"/>
      <c r="Q1798" s="344">
        <v>732.57</v>
      </c>
      <c r="R1798" s="341" t="s">
        <v>73</v>
      </c>
      <c r="S1798" s="346" t="s">
        <v>1423</v>
      </c>
      <c r="T1798" s="346">
        <v>31</v>
      </c>
      <c r="U1798" s="347" t="s">
        <v>164</v>
      </c>
      <c r="V1798" s="451"/>
      <c r="X1798" s="344">
        <v>732.57</v>
      </c>
      <c r="Y1798" s="344"/>
      <c r="AI1798" s="344">
        <v>732.57</v>
      </c>
      <c r="AJ1798" s="358"/>
      <c r="AK1798" s="369"/>
    </row>
    <row r="1799" spans="2:37" s="341" customFormat="1" ht="12" customHeight="1">
      <c r="B1799" s="338" t="s">
        <v>291</v>
      </c>
      <c r="C1799" s="339"/>
      <c r="D1799" s="339"/>
      <c r="E1799" s="340" t="s">
        <v>1425</v>
      </c>
      <c r="F1799" s="341" t="s">
        <v>1424</v>
      </c>
      <c r="G1799" s="342">
        <v>4453</v>
      </c>
      <c r="H1799" s="341" t="s">
        <v>765</v>
      </c>
      <c r="I1799" s="341" t="s">
        <v>961</v>
      </c>
      <c r="J1799" s="343">
        <v>30024</v>
      </c>
      <c r="L1799" s="343">
        <v>41.7</v>
      </c>
      <c r="M1799" s="343">
        <v>41</v>
      </c>
      <c r="N1799" s="344"/>
      <c r="O1799" s="345">
        <v>0.15</v>
      </c>
      <c r="P1799" s="345"/>
      <c r="Q1799" s="344">
        <v>8882.1</v>
      </c>
      <c r="R1799" s="341" t="s">
        <v>73</v>
      </c>
      <c r="S1799" s="346" t="s">
        <v>1423</v>
      </c>
      <c r="T1799" s="346">
        <v>31</v>
      </c>
      <c r="U1799" s="347" t="s">
        <v>164</v>
      </c>
      <c r="V1799" s="451"/>
      <c r="X1799" s="344">
        <v>8882.1</v>
      </c>
      <c r="Y1799" s="344"/>
      <c r="AI1799" s="344">
        <v>8882.1</v>
      </c>
      <c r="AJ1799" s="358"/>
      <c r="AK1799" s="369"/>
    </row>
    <row r="1800" spans="2:37" s="341" customFormat="1" ht="12" customHeight="1">
      <c r="B1800" s="338" t="s">
        <v>291</v>
      </c>
      <c r="C1800" s="339"/>
      <c r="D1800" s="339"/>
      <c r="E1800" s="340" t="s">
        <v>1425</v>
      </c>
      <c r="F1800" s="341" t="s">
        <v>1424</v>
      </c>
      <c r="G1800" s="342">
        <v>4453</v>
      </c>
      <c r="H1800" s="341" t="s">
        <v>866</v>
      </c>
      <c r="I1800" s="341" t="s">
        <v>961</v>
      </c>
      <c r="J1800" s="343">
        <v>0</v>
      </c>
      <c r="L1800" s="343">
        <v>0</v>
      </c>
      <c r="M1800" s="343">
        <v>14</v>
      </c>
      <c r="N1800" s="344"/>
      <c r="O1800" s="345">
        <v>0.15</v>
      </c>
      <c r="P1800" s="345"/>
      <c r="Q1800" s="344">
        <v>0</v>
      </c>
      <c r="R1800" s="341" t="s">
        <v>73</v>
      </c>
      <c r="S1800" s="346" t="s">
        <v>1423</v>
      </c>
      <c r="T1800" s="346">
        <v>31</v>
      </c>
      <c r="U1800" s="347" t="s">
        <v>164</v>
      </c>
      <c r="V1800" s="451"/>
      <c r="X1800" s="344">
        <v>0</v>
      </c>
      <c r="Y1800" s="344"/>
      <c r="AI1800" s="341">
        <v>0</v>
      </c>
      <c r="AJ1800" s="358"/>
      <c r="AK1800" s="369"/>
    </row>
    <row r="1801" spans="2:37" s="184" customFormat="1" ht="12" customHeight="1">
      <c r="B1801" s="178" t="s">
        <v>291</v>
      </c>
      <c r="C1801" s="192">
        <v>44706</v>
      </c>
      <c r="D1801" s="192">
        <v>44706</v>
      </c>
      <c r="E1801" s="193" t="s">
        <v>1422</v>
      </c>
      <c r="F1801" s="181" t="s">
        <v>846</v>
      </c>
      <c r="G1801" s="194" t="s">
        <v>847</v>
      </c>
      <c r="H1801" s="181" t="s">
        <v>99</v>
      </c>
      <c r="I1801" s="184" t="s">
        <v>33</v>
      </c>
      <c r="J1801" s="195">
        <v>21580.74</v>
      </c>
      <c r="L1801" s="195">
        <v>15.22</v>
      </c>
      <c r="M1801" s="195">
        <v>15.22</v>
      </c>
      <c r="N1801" s="196"/>
      <c r="O1801" s="197">
        <v>0.25</v>
      </c>
      <c r="P1801" s="197"/>
      <c r="Q1801" s="196">
        <v>0</v>
      </c>
      <c r="R1801" s="181" t="s">
        <v>146</v>
      </c>
      <c r="S1801" s="187" t="s">
        <v>74</v>
      </c>
      <c r="T1801" s="187">
        <v>31</v>
      </c>
      <c r="U1801" s="198" t="s">
        <v>164</v>
      </c>
      <c r="V1801" s="450"/>
      <c r="W1801" s="184" t="s">
        <v>3883</v>
      </c>
      <c r="X1801" s="196">
        <v>0</v>
      </c>
      <c r="Y1801" s="196"/>
      <c r="AE1801" s="235">
        <f>X1801</f>
        <v>0</v>
      </c>
      <c r="AJ1801" s="189"/>
    </row>
    <row r="1802" spans="2:37" s="184" customFormat="1" ht="12" customHeight="1">
      <c r="B1802" s="178" t="s">
        <v>291</v>
      </c>
      <c r="C1802" s="192"/>
      <c r="D1802" s="192"/>
      <c r="E1802" s="193" t="s">
        <v>1422</v>
      </c>
      <c r="F1802" s="181" t="s">
        <v>846</v>
      </c>
      <c r="G1802" s="194" t="s">
        <v>847</v>
      </c>
      <c r="H1802" s="181" t="s">
        <v>183</v>
      </c>
      <c r="I1802" s="184" t="s">
        <v>33</v>
      </c>
      <c r="J1802" s="195">
        <v>14539.77</v>
      </c>
      <c r="L1802" s="195">
        <v>14.13</v>
      </c>
      <c r="M1802" s="195">
        <v>14.13</v>
      </c>
      <c r="N1802" s="196"/>
      <c r="O1802" s="197">
        <v>0.25</v>
      </c>
      <c r="P1802" s="197"/>
      <c r="Q1802" s="196">
        <v>0</v>
      </c>
      <c r="R1802" s="181" t="s">
        <v>146</v>
      </c>
      <c r="S1802" s="187" t="s">
        <v>74</v>
      </c>
      <c r="T1802" s="187">
        <v>31</v>
      </c>
      <c r="U1802" s="198" t="s">
        <v>164</v>
      </c>
      <c r="V1802" s="450"/>
      <c r="W1802" s="184" t="s">
        <v>3883</v>
      </c>
      <c r="X1802" s="196">
        <v>0</v>
      </c>
      <c r="Y1802" s="196"/>
      <c r="AE1802" s="235">
        <f>X1802</f>
        <v>0</v>
      </c>
      <c r="AJ1802" s="189"/>
    </row>
    <row r="1803" spans="2:37" s="184" customFormat="1" ht="12" customHeight="1">
      <c r="B1803" s="178" t="s">
        <v>291</v>
      </c>
      <c r="C1803" s="192"/>
      <c r="D1803" s="192"/>
      <c r="E1803" s="193" t="s">
        <v>1422</v>
      </c>
      <c r="F1803" s="181" t="s">
        <v>846</v>
      </c>
      <c r="G1803" s="194" t="s">
        <v>847</v>
      </c>
      <c r="H1803" s="184" t="s">
        <v>765</v>
      </c>
      <c r="I1803" s="184" t="s">
        <v>33</v>
      </c>
      <c r="J1803" s="195">
        <v>20560.599999999999</v>
      </c>
      <c r="L1803" s="195">
        <v>20</v>
      </c>
      <c r="M1803" s="195">
        <v>20</v>
      </c>
      <c r="N1803" s="196"/>
      <c r="O1803" s="197">
        <v>0.25</v>
      </c>
      <c r="P1803" s="197"/>
      <c r="Q1803" s="196">
        <v>0</v>
      </c>
      <c r="R1803" s="181" t="s">
        <v>146</v>
      </c>
      <c r="S1803" s="187" t="s">
        <v>74</v>
      </c>
      <c r="T1803" s="187">
        <v>31</v>
      </c>
      <c r="U1803" s="198" t="s">
        <v>164</v>
      </c>
      <c r="V1803" s="450"/>
      <c r="W1803" s="184" t="s">
        <v>3883</v>
      </c>
      <c r="X1803" s="196">
        <v>0</v>
      </c>
      <c r="Y1803" s="196"/>
      <c r="AE1803" s="235">
        <f>X1803</f>
        <v>0</v>
      </c>
      <c r="AJ1803" s="189"/>
    </row>
    <row r="1804" spans="2:37" s="218" customFormat="1" ht="12" customHeight="1">
      <c r="B1804" s="206" t="s">
        <v>291</v>
      </c>
      <c r="C1804" s="225">
        <v>44706</v>
      </c>
      <c r="D1804" s="225">
        <v>44706</v>
      </c>
      <c r="E1804" s="226" t="s">
        <v>1421</v>
      </c>
      <c r="F1804" s="218" t="s">
        <v>1420</v>
      </c>
      <c r="G1804" s="220" t="s">
        <v>1419</v>
      </c>
      <c r="H1804" s="218" t="s">
        <v>866</v>
      </c>
      <c r="I1804" s="218" t="s">
        <v>958</v>
      </c>
      <c r="J1804" s="222">
        <v>12645.67</v>
      </c>
      <c r="L1804" s="222">
        <v>6.71</v>
      </c>
      <c r="M1804" s="222">
        <v>2.4500000000000002</v>
      </c>
      <c r="N1804" s="223"/>
      <c r="O1804" s="224">
        <v>0.2</v>
      </c>
      <c r="P1804" s="224"/>
      <c r="Q1804" s="223">
        <v>0</v>
      </c>
      <c r="R1804" s="205" t="s">
        <v>112</v>
      </c>
      <c r="S1804" s="214" t="s">
        <v>113</v>
      </c>
      <c r="T1804" s="214">
        <v>64</v>
      </c>
      <c r="U1804" s="227" t="s">
        <v>164</v>
      </c>
      <c r="V1804" s="455"/>
      <c r="W1804" s="218" t="s">
        <v>2977</v>
      </c>
      <c r="X1804" s="223">
        <v>0</v>
      </c>
      <c r="Y1804" s="223"/>
      <c r="AF1804" s="230">
        <f>X1804</f>
        <v>0</v>
      </c>
      <c r="AJ1804" s="216"/>
    </row>
    <row r="1805" spans="2:37" s="218" customFormat="1" ht="12" customHeight="1">
      <c r="B1805" s="206" t="s">
        <v>291</v>
      </c>
      <c r="C1805" s="225">
        <v>44706</v>
      </c>
      <c r="D1805" s="225">
        <v>44706</v>
      </c>
      <c r="E1805" s="226" t="s">
        <v>1418</v>
      </c>
      <c r="F1805" s="218" t="s">
        <v>1417</v>
      </c>
      <c r="G1805" s="220">
        <v>3658</v>
      </c>
      <c r="H1805" s="218" t="s">
        <v>27</v>
      </c>
      <c r="I1805" s="218" t="s">
        <v>156</v>
      </c>
      <c r="J1805" s="222">
        <v>12212.87</v>
      </c>
      <c r="L1805" s="222">
        <v>9.59</v>
      </c>
      <c r="M1805" s="222">
        <v>9.58</v>
      </c>
      <c r="N1805" s="223">
        <v>2636.5</v>
      </c>
      <c r="O1805" s="212">
        <v>0.2</v>
      </c>
      <c r="P1805" s="224">
        <v>0.1</v>
      </c>
      <c r="Q1805" s="223">
        <v>0</v>
      </c>
      <c r="R1805" s="205" t="s">
        <v>54</v>
      </c>
      <c r="S1805" s="214" t="s">
        <v>51</v>
      </c>
      <c r="T1805" s="214">
        <v>55</v>
      </c>
      <c r="U1805" s="227" t="s">
        <v>164</v>
      </c>
      <c r="V1805" s="455"/>
      <c r="X1805" s="223">
        <v>0</v>
      </c>
      <c r="Y1805" s="223"/>
      <c r="AF1805" s="230">
        <f>X1805</f>
        <v>0</v>
      </c>
      <c r="AJ1805" s="216"/>
    </row>
    <row r="1806" spans="2:37" s="184" customFormat="1" ht="12" customHeight="1">
      <c r="B1806" s="178" t="s">
        <v>291</v>
      </c>
      <c r="C1806" s="192"/>
      <c r="D1806" s="192"/>
      <c r="E1806" s="193" t="s">
        <v>1418</v>
      </c>
      <c r="F1806" s="184" t="s">
        <v>1417</v>
      </c>
      <c r="G1806" s="194">
        <v>3658</v>
      </c>
      <c r="H1806" s="184" t="s">
        <v>99</v>
      </c>
      <c r="I1806" s="184" t="s">
        <v>156</v>
      </c>
      <c r="J1806" s="195">
        <v>65208</v>
      </c>
      <c r="L1806" s="195">
        <v>49.4</v>
      </c>
      <c r="M1806" s="195">
        <v>18.04</v>
      </c>
      <c r="N1806" s="196"/>
      <c r="O1806" s="186">
        <v>0.2</v>
      </c>
      <c r="P1806" s="197">
        <v>0.1</v>
      </c>
      <c r="Q1806" s="196">
        <v>1681.02</v>
      </c>
      <c r="R1806" s="181" t="s">
        <v>54</v>
      </c>
      <c r="S1806" s="187" t="s">
        <v>51</v>
      </c>
      <c r="T1806" s="187">
        <v>55</v>
      </c>
      <c r="U1806" s="198" t="s">
        <v>164</v>
      </c>
      <c r="V1806" s="450"/>
      <c r="X1806" s="196">
        <v>1681.02</v>
      </c>
      <c r="Y1806" s="196"/>
      <c r="AE1806" s="235">
        <f>X1806</f>
        <v>1681.02</v>
      </c>
      <c r="AJ1806" s="189"/>
    </row>
    <row r="1807" spans="2:37" s="218" customFormat="1" ht="12" customHeight="1">
      <c r="B1807" s="206" t="s">
        <v>291</v>
      </c>
      <c r="C1807" s="225"/>
      <c r="D1807" s="225"/>
      <c r="E1807" s="226" t="s">
        <v>1418</v>
      </c>
      <c r="F1807" s="218" t="s">
        <v>1417</v>
      </c>
      <c r="G1807" s="220">
        <v>3658</v>
      </c>
      <c r="H1807" s="218" t="s">
        <v>137</v>
      </c>
      <c r="I1807" s="218" t="s">
        <v>156</v>
      </c>
      <c r="J1807" s="222">
        <v>25396.799999999999</v>
      </c>
      <c r="L1807" s="222">
        <v>28.86</v>
      </c>
      <c r="M1807" s="222">
        <v>28.85</v>
      </c>
      <c r="N1807" s="223">
        <f>5051.94</f>
        <v>5051.9399999999996</v>
      </c>
      <c r="O1807" s="212">
        <v>0.2</v>
      </c>
      <c r="P1807" s="224">
        <v>0.1</v>
      </c>
      <c r="Q1807" s="223">
        <v>0</v>
      </c>
      <c r="R1807" s="205" t="s">
        <v>54</v>
      </c>
      <c r="S1807" s="214" t="s">
        <v>51</v>
      </c>
      <c r="T1807" s="214">
        <v>55</v>
      </c>
      <c r="U1807" s="227" t="s">
        <v>164</v>
      </c>
      <c r="V1807" s="455"/>
      <c r="X1807" s="223">
        <v>0</v>
      </c>
      <c r="Y1807" s="223"/>
      <c r="AF1807" s="230">
        <f>X1807</f>
        <v>0</v>
      </c>
      <c r="AJ1807" s="216"/>
    </row>
    <row r="1808" spans="2:37" s="273" customFormat="1" ht="12" customHeight="1">
      <c r="B1808" s="258" t="s">
        <v>291</v>
      </c>
      <c r="C1808" s="271"/>
      <c r="D1808" s="271"/>
      <c r="E1808" s="272" t="s">
        <v>1418</v>
      </c>
      <c r="F1808" s="273" t="s">
        <v>1417</v>
      </c>
      <c r="G1808" s="276">
        <v>3658</v>
      </c>
      <c r="H1808" s="273" t="s">
        <v>183</v>
      </c>
      <c r="I1808" s="273" t="s">
        <v>156</v>
      </c>
      <c r="J1808" s="277">
        <v>47902.32</v>
      </c>
      <c r="L1808" s="277">
        <v>39.72</v>
      </c>
      <c r="M1808" s="277">
        <v>35.89</v>
      </c>
      <c r="N1808" s="275">
        <v>2501.64</v>
      </c>
      <c r="O1808" s="266">
        <v>0.2</v>
      </c>
      <c r="P1808" s="278">
        <v>0.1</v>
      </c>
      <c r="Q1808" s="275">
        <v>4005.93</v>
      </c>
      <c r="R1808" s="261" t="s">
        <v>54</v>
      </c>
      <c r="S1808" s="267" t="s">
        <v>51</v>
      </c>
      <c r="T1808" s="267">
        <v>55</v>
      </c>
      <c r="U1808" s="274" t="s">
        <v>164</v>
      </c>
      <c r="V1808" s="454"/>
      <c r="X1808" s="275">
        <v>4005.93</v>
      </c>
      <c r="Y1808" s="275"/>
      <c r="AG1808" s="273">
        <f>X1808</f>
        <v>4005.93</v>
      </c>
      <c r="AJ1808" s="642"/>
    </row>
    <row r="1809" spans="1:77" s="184" customFormat="1" ht="12" customHeight="1">
      <c r="B1809" s="178" t="s">
        <v>291</v>
      </c>
      <c r="C1809" s="192"/>
      <c r="D1809" s="192"/>
      <c r="E1809" s="193" t="s">
        <v>1418</v>
      </c>
      <c r="F1809" s="184" t="s">
        <v>1417</v>
      </c>
      <c r="G1809" s="194">
        <v>3658</v>
      </c>
      <c r="H1809" s="184" t="s">
        <v>163</v>
      </c>
      <c r="I1809" s="184" t="s">
        <v>156</v>
      </c>
      <c r="J1809" s="195">
        <v>3987.75</v>
      </c>
      <c r="L1809" s="195">
        <v>4.09</v>
      </c>
      <c r="M1809" s="195">
        <v>4.07</v>
      </c>
      <c r="N1809" s="196"/>
      <c r="O1809" s="186">
        <v>0.2</v>
      </c>
      <c r="P1809" s="197">
        <v>0.1</v>
      </c>
      <c r="Q1809" s="196">
        <v>0</v>
      </c>
      <c r="R1809" s="181" t="s">
        <v>54</v>
      </c>
      <c r="S1809" s="187" t="s">
        <v>51</v>
      </c>
      <c r="T1809" s="187">
        <v>55</v>
      </c>
      <c r="U1809" s="198" t="s">
        <v>164</v>
      </c>
      <c r="V1809" s="450"/>
      <c r="X1809" s="196">
        <v>0</v>
      </c>
      <c r="Y1809" s="196"/>
      <c r="AE1809" s="235">
        <f>X1809</f>
        <v>0</v>
      </c>
      <c r="AJ1809" s="189"/>
    </row>
    <row r="1810" spans="1:77" s="164" customFormat="1" ht="12" customHeight="1">
      <c r="B1810" s="154" t="s">
        <v>291</v>
      </c>
      <c r="C1810" s="166"/>
      <c r="D1810" s="166"/>
      <c r="E1810" s="167" t="s">
        <v>1418</v>
      </c>
      <c r="F1810" s="164" t="s">
        <v>1417</v>
      </c>
      <c r="G1810" s="168">
        <v>3658</v>
      </c>
      <c r="H1810" s="164" t="s">
        <v>765</v>
      </c>
      <c r="I1810" s="164" t="s">
        <v>156</v>
      </c>
      <c r="J1810" s="169">
        <v>23446.799999999999</v>
      </c>
      <c r="L1810" s="169">
        <v>20.04</v>
      </c>
      <c r="M1810" s="169">
        <v>19.510000000000002</v>
      </c>
      <c r="N1810" s="170"/>
      <c r="O1810" s="160">
        <v>0.2</v>
      </c>
      <c r="P1810" s="171">
        <v>0.1</v>
      </c>
      <c r="Q1810" s="170">
        <v>0</v>
      </c>
      <c r="R1810" s="153" t="s">
        <v>54</v>
      </c>
      <c r="S1810" s="161" t="s">
        <v>51</v>
      </c>
      <c r="T1810" s="161">
        <v>55</v>
      </c>
      <c r="U1810" s="173" t="s">
        <v>164</v>
      </c>
      <c r="V1810" s="452"/>
      <c r="X1810" s="170">
        <v>0</v>
      </c>
      <c r="Y1810" s="170"/>
      <c r="AD1810" s="177">
        <f>X1810</f>
        <v>0</v>
      </c>
      <c r="AJ1810" s="644"/>
    </row>
    <row r="1811" spans="1:77" s="341" customFormat="1" ht="12" customHeight="1">
      <c r="B1811" s="338" t="s">
        <v>291</v>
      </c>
      <c r="C1811" s="339">
        <v>44707</v>
      </c>
      <c r="D1811" s="339">
        <v>44707</v>
      </c>
      <c r="E1811" s="340" t="s">
        <v>1431</v>
      </c>
      <c r="F1811" s="341" t="s">
        <v>1432</v>
      </c>
      <c r="G1811" s="342">
        <v>4613</v>
      </c>
      <c r="H1811" s="341" t="s">
        <v>99</v>
      </c>
      <c r="I1811" s="341" t="s">
        <v>888</v>
      </c>
      <c r="J1811" s="343">
        <v>29351.52</v>
      </c>
      <c r="L1811" s="343">
        <v>26.16</v>
      </c>
      <c r="M1811" s="343">
        <v>26.16</v>
      </c>
      <c r="N1811" s="344"/>
      <c r="O1811" s="345">
        <v>0.25</v>
      </c>
      <c r="P1811" s="345"/>
      <c r="Q1811" s="344">
        <v>0</v>
      </c>
      <c r="R1811" s="341" t="s">
        <v>257</v>
      </c>
      <c r="S1811" s="346" t="s">
        <v>74</v>
      </c>
      <c r="T1811" s="346">
        <v>32</v>
      </c>
      <c r="U1811" s="347" t="s">
        <v>164</v>
      </c>
      <c r="V1811" s="451"/>
      <c r="X1811" s="344">
        <v>0</v>
      </c>
      <c r="Y1811" s="344"/>
      <c r="AI1811" s="341">
        <v>0</v>
      </c>
      <c r="AJ1811" s="358"/>
      <c r="AK1811" s="369"/>
    </row>
    <row r="1812" spans="1:77" s="341" customFormat="1" ht="12" customHeight="1">
      <c r="B1812" s="338" t="s">
        <v>291</v>
      </c>
      <c r="C1812" s="339">
        <v>44706</v>
      </c>
      <c r="D1812" s="339">
        <v>44707</v>
      </c>
      <c r="E1812" s="340" t="s">
        <v>1433</v>
      </c>
      <c r="F1812" s="341" t="s">
        <v>726</v>
      </c>
      <c r="G1812" s="342">
        <v>3647</v>
      </c>
      <c r="H1812" s="341" t="s">
        <v>27</v>
      </c>
      <c r="I1812" s="341" t="s">
        <v>33</v>
      </c>
      <c r="J1812" s="343">
        <v>23413.47</v>
      </c>
      <c r="L1812" s="343">
        <v>18.43</v>
      </c>
      <c r="M1812" s="343">
        <v>18.43</v>
      </c>
      <c r="N1812" s="344"/>
      <c r="O1812" s="345">
        <v>0.15</v>
      </c>
      <c r="P1812" s="345"/>
      <c r="Q1812" s="344">
        <v>0</v>
      </c>
      <c r="R1812" s="337" t="s">
        <v>77</v>
      </c>
      <c r="S1812" s="356" t="s">
        <v>41</v>
      </c>
      <c r="T1812" s="356">
        <v>16</v>
      </c>
      <c r="U1812" s="347" t="s">
        <v>164</v>
      </c>
      <c r="V1812" s="451"/>
      <c r="X1812" s="344">
        <v>0</v>
      </c>
      <c r="Y1812" s="344"/>
      <c r="AI1812" s="341">
        <f>X1812</f>
        <v>0</v>
      </c>
      <c r="AJ1812" s="358"/>
      <c r="AK1812" s="369"/>
    </row>
    <row r="1813" spans="1:77" s="341" customFormat="1" ht="12" customHeight="1">
      <c r="B1813" s="338" t="s">
        <v>291</v>
      </c>
      <c r="C1813" s="339"/>
      <c r="D1813" s="339"/>
      <c r="E1813" s="340" t="s">
        <v>1433</v>
      </c>
      <c r="F1813" s="341" t="s">
        <v>726</v>
      </c>
      <c r="G1813" s="342">
        <v>3647</v>
      </c>
      <c r="H1813" s="341" t="s">
        <v>99</v>
      </c>
      <c r="I1813" s="341" t="s">
        <v>33</v>
      </c>
      <c r="J1813" s="343">
        <v>51040.7</v>
      </c>
      <c r="L1813" s="343">
        <v>43.94</v>
      </c>
      <c r="M1813" s="343">
        <v>43.94</v>
      </c>
      <c r="N1813" s="344"/>
      <c r="O1813" s="345">
        <v>0.15</v>
      </c>
      <c r="P1813" s="345"/>
      <c r="Q1813" s="344">
        <v>0</v>
      </c>
      <c r="R1813" s="337" t="s">
        <v>77</v>
      </c>
      <c r="S1813" s="356" t="s">
        <v>41</v>
      </c>
      <c r="T1813" s="356">
        <v>16</v>
      </c>
      <c r="U1813" s="347" t="s">
        <v>164</v>
      </c>
      <c r="V1813" s="451"/>
      <c r="X1813" s="344">
        <v>0</v>
      </c>
      <c r="Y1813" s="344"/>
      <c r="AI1813" s="341">
        <v>0</v>
      </c>
      <c r="AJ1813" s="358"/>
      <c r="AK1813" s="369"/>
      <c r="AL1813" s="337"/>
      <c r="AM1813" s="337"/>
      <c r="AN1813" s="337"/>
      <c r="AO1813" s="337"/>
      <c r="AP1813" s="337"/>
      <c r="AQ1813" s="337"/>
      <c r="AR1813" s="337"/>
      <c r="AS1813" s="337"/>
      <c r="AT1813" s="337"/>
      <c r="AU1813" s="337"/>
      <c r="AV1813" s="337"/>
      <c r="AW1813" s="337"/>
      <c r="AX1813" s="337"/>
      <c r="AY1813" s="337"/>
      <c r="AZ1813" s="337"/>
      <c r="BA1813" s="337"/>
      <c r="BB1813" s="337"/>
      <c r="BC1813" s="337"/>
      <c r="BD1813" s="337"/>
      <c r="BE1813" s="337"/>
      <c r="BF1813" s="337"/>
      <c r="BG1813" s="337"/>
      <c r="BH1813" s="337"/>
      <c r="BI1813" s="337"/>
      <c r="BJ1813" s="337"/>
      <c r="BK1813" s="337"/>
      <c r="BL1813" s="337"/>
      <c r="BM1813" s="337"/>
      <c r="BN1813" s="337"/>
      <c r="BO1813" s="337"/>
      <c r="BP1813" s="337"/>
      <c r="BQ1813" s="337"/>
      <c r="BR1813" s="337"/>
      <c r="BS1813" s="337"/>
      <c r="BT1813" s="337"/>
      <c r="BU1813" s="337"/>
      <c r="BV1813" s="337"/>
      <c r="BW1813" s="337"/>
      <c r="BX1813" s="337"/>
      <c r="BY1813" s="337"/>
    </row>
    <row r="1814" spans="1:77" s="341" customFormat="1" ht="12" customHeight="1">
      <c r="B1814" s="338" t="s">
        <v>291</v>
      </c>
      <c r="C1814" s="339"/>
      <c r="D1814" s="339"/>
      <c r="E1814" s="340" t="s">
        <v>1433</v>
      </c>
      <c r="F1814" s="341" t="s">
        <v>726</v>
      </c>
      <c r="G1814" s="342">
        <v>3647</v>
      </c>
      <c r="H1814" s="341" t="s">
        <v>183</v>
      </c>
      <c r="I1814" s="341" t="s">
        <v>33</v>
      </c>
      <c r="J1814" s="343">
        <v>16530.63</v>
      </c>
      <c r="L1814" s="343">
        <v>18.579999999999998</v>
      </c>
      <c r="M1814" s="343">
        <v>18.579999999999998</v>
      </c>
      <c r="N1814" s="344"/>
      <c r="O1814" s="345">
        <v>0.15</v>
      </c>
      <c r="P1814" s="345"/>
      <c r="Q1814" s="344">
        <v>0</v>
      </c>
      <c r="R1814" s="337" t="s">
        <v>77</v>
      </c>
      <c r="S1814" s="356" t="s">
        <v>41</v>
      </c>
      <c r="T1814" s="356">
        <v>16</v>
      </c>
      <c r="U1814" s="347" t="s">
        <v>164</v>
      </c>
      <c r="V1814" s="451"/>
      <c r="X1814" s="344">
        <v>0</v>
      </c>
      <c r="Y1814" s="344"/>
      <c r="AI1814" s="341">
        <f>X1814</f>
        <v>0</v>
      </c>
      <c r="AJ1814" s="358"/>
      <c r="AK1814" s="369"/>
      <c r="AL1814" s="337"/>
      <c r="AM1814" s="337"/>
      <c r="AN1814" s="337"/>
      <c r="AO1814" s="337"/>
      <c r="AP1814" s="337"/>
      <c r="AQ1814" s="337"/>
      <c r="AR1814" s="337"/>
      <c r="AS1814" s="337"/>
      <c r="AT1814" s="337"/>
      <c r="AU1814" s="337"/>
      <c r="AV1814" s="337"/>
      <c r="AW1814" s="337"/>
      <c r="AX1814" s="337"/>
      <c r="AY1814" s="337"/>
      <c r="AZ1814" s="337"/>
      <c r="BA1814" s="337"/>
      <c r="BB1814" s="337"/>
      <c r="BC1814" s="337"/>
      <c r="BD1814" s="337"/>
      <c r="BE1814" s="337"/>
      <c r="BF1814" s="337"/>
      <c r="BG1814" s="337"/>
      <c r="BH1814" s="337"/>
      <c r="BI1814" s="337"/>
      <c r="BJ1814" s="337"/>
      <c r="BK1814" s="337"/>
      <c r="BL1814" s="337"/>
      <c r="BM1814" s="337"/>
      <c r="BN1814" s="337"/>
      <c r="BO1814" s="337"/>
      <c r="BP1814" s="337"/>
      <c r="BQ1814" s="337"/>
      <c r="BR1814" s="337"/>
      <c r="BS1814" s="337"/>
      <c r="BT1814" s="337"/>
      <c r="BU1814" s="337"/>
      <c r="BV1814" s="337"/>
      <c r="BW1814" s="337"/>
      <c r="BX1814" s="337"/>
      <c r="BY1814" s="337"/>
    </row>
    <row r="1815" spans="1:77" s="394" customFormat="1" ht="12" customHeight="1">
      <c r="B1815" s="380" t="s">
        <v>291</v>
      </c>
      <c r="C1815" s="392">
        <v>44704</v>
      </c>
      <c r="D1815" s="392">
        <v>44707</v>
      </c>
      <c r="E1815" s="393" t="s">
        <v>1434</v>
      </c>
      <c r="F1815" s="394" t="s">
        <v>1435</v>
      </c>
      <c r="G1815" s="400">
        <v>3685</v>
      </c>
      <c r="H1815" s="394" t="s">
        <v>99</v>
      </c>
      <c r="I1815" s="394" t="s">
        <v>888</v>
      </c>
      <c r="J1815" s="395">
        <v>79217.279999999999</v>
      </c>
      <c r="L1815" s="395">
        <v>57.6</v>
      </c>
      <c r="M1815" s="395">
        <v>57.6</v>
      </c>
      <c r="N1815" s="396"/>
      <c r="O1815" s="397">
        <v>0.15</v>
      </c>
      <c r="P1815" s="397"/>
      <c r="Q1815" s="396">
        <v>0</v>
      </c>
      <c r="R1815" s="394" t="s">
        <v>50</v>
      </c>
      <c r="S1815" s="399" t="s">
        <v>51</v>
      </c>
      <c r="T1815" s="399">
        <v>54</v>
      </c>
      <c r="U1815" s="398" t="s">
        <v>164</v>
      </c>
      <c r="V1815" s="449"/>
      <c r="X1815" s="396">
        <v>0</v>
      </c>
      <c r="Y1815" s="396"/>
      <c r="AJ1815" s="390">
        <v>0</v>
      </c>
    </row>
    <row r="1816" spans="1:77" s="394" customFormat="1" ht="12" customHeight="1">
      <c r="B1816" s="380" t="s">
        <v>291</v>
      </c>
      <c r="C1816" s="392"/>
      <c r="D1816" s="392"/>
      <c r="E1816" s="393" t="s">
        <v>1434</v>
      </c>
      <c r="F1816" s="394" t="s">
        <v>1435</v>
      </c>
      <c r="G1816" s="400">
        <v>3685</v>
      </c>
      <c r="H1816" s="394" t="s">
        <v>27</v>
      </c>
      <c r="I1816" s="394" t="s">
        <v>888</v>
      </c>
      <c r="J1816" s="395">
        <v>54974.6</v>
      </c>
      <c r="L1816" s="395">
        <v>42.55</v>
      </c>
      <c r="M1816" s="395">
        <v>42.55</v>
      </c>
      <c r="N1816" s="396"/>
      <c r="O1816" s="397">
        <v>0.15</v>
      </c>
      <c r="P1816" s="397"/>
      <c r="Q1816" s="396">
        <v>0</v>
      </c>
      <c r="R1816" s="394" t="s">
        <v>50</v>
      </c>
      <c r="S1816" s="399" t="s">
        <v>51</v>
      </c>
      <c r="T1816" s="399">
        <v>54</v>
      </c>
      <c r="U1816" s="398" t="s">
        <v>164</v>
      </c>
      <c r="V1816" s="449"/>
      <c r="X1816" s="396">
        <v>0</v>
      </c>
      <c r="Y1816" s="396"/>
      <c r="AJ1816" s="390">
        <v>0</v>
      </c>
    </row>
    <row r="1817" spans="1:77" s="394" customFormat="1" ht="12" customHeight="1">
      <c r="B1817" s="380" t="s">
        <v>291</v>
      </c>
      <c r="C1817" s="392"/>
      <c r="D1817" s="392"/>
      <c r="E1817" s="393" t="s">
        <v>1434</v>
      </c>
      <c r="F1817" s="394" t="s">
        <v>1435</v>
      </c>
      <c r="G1817" s="400">
        <v>3685</v>
      </c>
      <c r="H1817" s="394" t="s">
        <v>183</v>
      </c>
      <c r="I1817" s="394" t="s">
        <v>888</v>
      </c>
      <c r="J1817" s="395">
        <v>39989.46</v>
      </c>
      <c r="L1817" s="395">
        <v>30.51</v>
      </c>
      <c r="M1817" s="395">
        <v>25.18</v>
      </c>
      <c r="N1817" s="396"/>
      <c r="O1817" s="397">
        <v>0.15</v>
      </c>
      <c r="P1817" s="397"/>
      <c r="Q1817" s="396">
        <v>0</v>
      </c>
      <c r="R1817" s="394" t="s">
        <v>50</v>
      </c>
      <c r="S1817" s="399" t="s">
        <v>51</v>
      </c>
      <c r="T1817" s="399">
        <v>54</v>
      </c>
      <c r="U1817" s="398" t="s">
        <v>164</v>
      </c>
      <c r="V1817" s="449"/>
      <c r="X1817" s="396">
        <v>0</v>
      </c>
      <c r="Y1817" s="396"/>
      <c r="AJ1817" s="390">
        <v>0</v>
      </c>
      <c r="AK1817" s="379"/>
      <c r="AL1817" s="379"/>
      <c r="AM1817" s="379"/>
      <c r="AN1817" s="379"/>
      <c r="AO1817" s="379"/>
      <c r="AP1817" s="379"/>
      <c r="AQ1817" s="379"/>
      <c r="AR1817" s="379"/>
      <c r="AS1817" s="379"/>
      <c r="AT1817" s="379"/>
      <c r="AU1817" s="379"/>
      <c r="AV1817" s="379"/>
      <c r="AW1817" s="379"/>
      <c r="AX1817" s="379"/>
      <c r="AY1817" s="379"/>
      <c r="AZ1817" s="379"/>
      <c r="BA1817" s="379"/>
      <c r="BB1817" s="379"/>
      <c r="BC1817" s="379"/>
      <c r="BD1817" s="379"/>
      <c r="BE1817" s="379"/>
      <c r="BF1817" s="379"/>
      <c r="BG1817" s="379"/>
      <c r="BH1817" s="379"/>
      <c r="BI1817" s="379"/>
      <c r="BJ1817" s="379"/>
      <c r="BK1817" s="379"/>
      <c r="BL1817" s="379"/>
      <c r="BM1817" s="379"/>
      <c r="BN1817" s="379"/>
      <c r="BO1817" s="379"/>
      <c r="BP1817" s="379"/>
      <c r="BQ1817" s="379"/>
      <c r="BR1817" s="379"/>
      <c r="BS1817" s="379"/>
      <c r="BT1817" s="379"/>
      <c r="BU1817" s="379"/>
      <c r="BV1817" s="379"/>
      <c r="BW1817" s="379"/>
      <c r="BX1817" s="379"/>
      <c r="BY1817" s="379"/>
    </row>
    <row r="1818" spans="1:77" s="394" customFormat="1" ht="12" customHeight="1">
      <c r="B1818" s="380" t="s">
        <v>291</v>
      </c>
      <c r="C1818" s="392"/>
      <c r="D1818" s="392"/>
      <c r="E1818" s="393" t="s">
        <v>1434</v>
      </c>
      <c r="F1818" s="394" t="s">
        <v>1435</v>
      </c>
      <c r="G1818" s="400">
        <v>3685</v>
      </c>
      <c r="H1818" s="394" t="s">
        <v>137</v>
      </c>
      <c r="I1818" s="394" t="s">
        <v>888</v>
      </c>
      <c r="J1818" s="395">
        <v>18848</v>
      </c>
      <c r="L1818" s="395">
        <v>15.5</v>
      </c>
      <c r="M1818" s="395">
        <v>15.5</v>
      </c>
      <c r="N1818" s="396"/>
      <c r="O1818" s="397">
        <v>0.15</v>
      </c>
      <c r="P1818" s="397"/>
      <c r="Q1818" s="396">
        <v>0</v>
      </c>
      <c r="R1818" s="394" t="s">
        <v>50</v>
      </c>
      <c r="S1818" s="399" t="s">
        <v>51</v>
      </c>
      <c r="T1818" s="399">
        <v>54</v>
      </c>
      <c r="U1818" s="398" t="s">
        <v>164</v>
      </c>
      <c r="V1818" s="449"/>
      <c r="X1818" s="396">
        <v>0</v>
      </c>
      <c r="Y1818" s="396"/>
      <c r="AJ1818" s="390">
        <v>0</v>
      </c>
      <c r="AK1818" s="379"/>
      <c r="AL1818" s="379"/>
      <c r="AM1818" s="379"/>
      <c r="AN1818" s="379"/>
      <c r="AO1818" s="379"/>
      <c r="AP1818" s="379"/>
      <c r="AQ1818" s="379"/>
      <c r="AR1818" s="379"/>
      <c r="AS1818" s="379"/>
      <c r="AT1818" s="379"/>
      <c r="AU1818" s="379"/>
      <c r="AV1818" s="379"/>
      <c r="AW1818" s="379"/>
      <c r="AX1818" s="379"/>
      <c r="AY1818" s="379"/>
      <c r="AZ1818" s="379"/>
      <c r="BA1818" s="379"/>
      <c r="BB1818" s="379"/>
      <c r="BC1818" s="379"/>
      <c r="BD1818" s="379"/>
      <c r="BE1818" s="379"/>
      <c r="BF1818" s="379"/>
      <c r="BG1818" s="379"/>
      <c r="BH1818" s="379"/>
      <c r="BI1818" s="379"/>
      <c r="BJ1818" s="379"/>
      <c r="BK1818" s="379"/>
      <c r="BL1818" s="379"/>
      <c r="BM1818" s="379"/>
      <c r="BN1818" s="379"/>
      <c r="BO1818" s="379"/>
      <c r="BP1818" s="379"/>
      <c r="BQ1818" s="379"/>
      <c r="BR1818" s="379"/>
      <c r="BS1818" s="379"/>
      <c r="BT1818" s="379"/>
      <c r="BU1818" s="379"/>
      <c r="BV1818" s="379"/>
      <c r="BW1818" s="379"/>
      <c r="BX1818" s="379"/>
      <c r="BY1818" s="379"/>
    </row>
    <row r="1819" spans="1:77" s="394" customFormat="1" ht="12" customHeight="1">
      <c r="B1819" s="380" t="s">
        <v>291</v>
      </c>
      <c r="C1819" s="392"/>
      <c r="D1819" s="392"/>
      <c r="E1819" s="393" t="s">
        <v>1434</v>
      </c>
      <c r="F1819" s="394" t="s">
        <v>1435</v>
      </c>
      <c r="G1819" s="400">
        <v>3685</v>
      </c>
      <c r="H1819" s="394" t="s">
        <v>442</v>
      </c>
      <c r="I1819" s="394" t="s">
        <v>888</v>
      </c>
      <c r="J1819" s="395">
        <v>22610.34</v>
      </c>
      <c r="L1819" s="395">
        <v>20.45</v>
      </c>
      <c r="M1819" s="395">
        <v>20.45</v>
      </c>
      <c r="N1819" s="396"/>
      <c r="O1819" s="397">
        <v>0.15</v>
      </c>
      <c r="P1819" s="397"/>
      <c r="Q1819" s="396">
        <v>0</v>
      </c>
      <c r="R1819" s="394" t="s">
        <v>50</v>
      </c>
      <c r="S1819" s="399" t="s">
        <v>51</v>
      </c>
      <c r="T1819" s="399">
        <v>54</v>
      </c>
      <c r="U1819" s="398" t="s">
        <v>164</v>
      </c>
      <c r="V1819" s="449"/>
      <c r="X1819" s="396">
        <v>0</v>
      </c>
      <c r="Y1819" s="396"/>
      <c r="AJ1819" s="390">
        <v>0</v>
      </c>
      <c r="AK1819" s="379"/>
      <c r="AL1819" s="379"/>
      <c r="AM1819" s="379"/>
      <c r="AN1819" s="379"/>
      <c r="AO1819" s="379"/>
      <c r="AP1819" s="379"/>
      <c r="AQ1819" s="379"/>
      <c r="AR1819" s="379"/>
      <c r="AS1819" s="379"/>
      <c r="AT1819" s="379"/>
      <c r="AU1819" s="379"/>
      <c r="AV1819" s="379"/>
      <c r="AW1819" s="379"/>
      <c r="AX1819" s="379"/>
      <c r="AY1819" s="379"/>
      <c r="AZ1819" s="379"/>
      <c r="BA1819" s="379"/>
      <c r="BB1819" s="379"/>
      <c r="BC1819" s="379"/>
      <c r="BD1819" s="379"/>
      <c r="BE1819" s="379"/>
      <c r="BF1819" s="379"/>
      <c r="BG1819" s="379"/>
      <c r="BH1819" s="379"/>
      <c r="BI1819" s="379"/>
      <c r="BJ1819" s="379"/>
      <c r="BK1819" s="379"/>
      <c r="BL1819" s="379"/>
      <c r="BM1819" s="379"/>
      <c r="BN1819" s="379"/>
      <c r="BO1819" s="379"/>
      <c r="BP1819" s="379"/>
      <c r="BQ1819" s="379"/>
      <c r="BR1819" s="379"/>
      <c r="BS1819" s="379"/>
      <c r="BT1819" s="379"/>
      <c r="BU1819" s="379"/>
      <c r="BV1819" s="379"/>
      <c r="BW1819" s="379"/>
      <c r="BX1819" s="379"/>
      <c r="BY1819" s="379"/>
    </row>
    <row r="1820" spans="1:77" s="117" customFormat="1" ht="12" customHeight="1">
      <c r="A1820" s="394"/>
      <c r="B1820" s="380" t="s">
        <v>291</v>
      </c>
      <c r="C1820" s="392">
        <v>44700</v>
      </c>
      <c r="D1820" s="392">
        <v>44707</v>
      </c>
      <c r="E1820" s="393" t="s">
        <v>1436</v>
      </c>
      <c r="F1820" s="394" t="s">
        <v>1437</v>
      </c>
      <c r="G1820" s="400">
        <v>3523</v>
      </c>
      <c r="H1820" s="394" t="s">
        <v>407</v>
      </c>
      <c r="I1820" s="394" t="s">
        <v>888</v>
      </c>
      <c r="J1820" s="395">
        <v>40404</v>
      </c>
      <c r="K1820" s="394"/>
      <c r="L1820" s="395">
        <v>22.75</v>
      </c>
      <c r="M1820" s="395">
        <v>22.75</v>
      </c>
      <c r="N1820" s="396">
        <v>7268.7</v>
      </c>
      <c r="O1820" s="397">
        <v>0.3</v>
      </c>
      <c r="P1820" s="397"/>
      <c r="Q1820" s="396">
        <v>0</v>
      </c>
      <c r="R1820" s="394" t="s">
        <v>46</v>
      </c>
      <c r="S1820" s="399" t="s">
        <v>47</v>
      </c>
      <c r="T1820" s="399">
        <v>76</v>
      </c>
      <c r="U1820" s="398" t="s">
        <v>164</v>
      </c>
      <c r="V1820" s="449"/>
      <c r="W1820" s="394"/>
      <c r="X1820" s="396">
        <v>0</v>
      </c>
      <c r="Y1820" s="396"/>
      <c r="Z1820" s="394"/>
      <c r="AA1820" s="394"/>
      <c r="AB1820" s="394"/>
      <c r="AC1820" s="394"/>
      <c r="AD1820" s="394"/>
      <c r="AE1820" s="394"/>
      <c r="AF1820" s="394"/>
      <c r="AG1820" s="394"/>
      <c r="AH1820" s="394"/>
      <c r="AI1820" s="394"/>
      <c r="AJ1820" s="390">
        <v>0</v>
      </c>
      <c r="AK1820" s="379"/>
      <c r="AL1820" s="379"/>
      <c r="AM1820" s="379"/>
      <c r="AN1820" s="379"/>
      <c r="AO1820" s="379"/>
      <c r="AP1820" s="379"/>
      <c r="AQ1820" s="379"/>
      <c r="AR1820" s="379"/>
      <c r="AS1820" s="379"/>
      <c r="AT1820" s="379"/>
      <c r="AU1820" s="379"/>
      <c r="AV1820" s="379"/>
      <c r="AW1820" s="379"/>
      <c r="AX1820" s="379"/>
      <c r="AY1820" s="379"/>
      <c r="AZ1820" s="379"/>
      <c r="BA1820" s="379"/>
      <c r="BB1820" s="379"/>
      <c r="BC1820" s="379"/>
      <c r="BD1820" s="379"/>
      <c r="BE1820" s="379"/>
      <c r="BF1820" s="379"/>
      <c r="BG1820" s="379"/>
      <c r="BH1820" s="379"/>
      <c r="BI1820" s="379"/>
      <c r="BJ1820" s="379"/>
      <c r="BK1820" s="379"/>
      <c r="BL1820" s="379"/>
      <c r="BM1820" s="379"/>
      <c r="BN1820" s="379"/>
      <c r="BO1820" s="379"/>
      <c r="BP1820" s="379"/>
      <c r="BQ1820" s="379"/>
      <c r="BR1820" s="379"/>
      <c r="BS1820" s="379"/>
      <c r="BT1820" s="379"/>
      <c r="BU1820" s="379"/>
      <c r="BV1820" s="379"/>
      <c r="BW1820" s="379"/>
      <c r="BX1820" s="379"/>
      <c r="BY1820" s="379"/>
    </row>
    <row r="1821" spans="1:77" s="303" customFormat="1" ht="12" customHeight="1">
      <c r="B1821" s="310" t="s">
        <v>691</v>
      </c>
      <c r="C1821" s="301">
        <v>44703</v>
      </c>
      <c r="D1821" s="301">
        <v>44708</v>
      </c>
      <c r="E1821" s="302" t="s">
        <v>1438</v>
      </c>
      <c r="F1821" s="291" t="s">
        <v>693</v>
      </c>
      <c r="G1821" s="294" t="s">
        <v>694</v>
      </c>
      <c r="H1821" s="291" t="s">
        <v>99</v>
      </c>
      <c r="I1821" s="303" t="s">
        <v>156</v>
      </c>
      <c r="J1821" s="296">
        <v>91392</v>
      </c>
      <c r="K1821" s="291"/>
      <c r="L1821" s="296">
        <v>51</v>
      </c>
      <c r="M1821" s="296">
        <v>51</v>
      </c>
      <c r="N1821" s="306"/>
      <c r="O1821" s="298">
        <v>0.3</v>
      </c>
      <c r="P1821" s="298">
        <v>0.05</v>
      </c>
      <c r="Q1821" s="306">
        <v>0</v>
      </c>
      <c r="R1821" s="291" t="s">
        <v>35</v>
      </c>
      <c r="S1821" s="299" t="s">
        <v>118</v>
      </c>
      <c r="T1821" s="299">
        <v>79</v>
      </c>
      <c r="U1821" s="309" t="s">
        <v>164</v>
      </c>
      <c r="V1821" s="447"/>
      <c r="W1821" s="291" t="s">
        <v>3890</v>
      </c>
      <c r="X1821" s="297">
        <v>0</v>
      </c>
      <c r="Y1821" s="297"/>
      <c r="AH1821" s="303">
        <f>X1821</f>
        <v>0</v>
      </c>
      <c r="AI1821" s="311"/>
      <c r="AJ1821" s="468"/>
      <c r="AK1821" s="291"/>
      <c r="AL1821" s="291"/>
      <c r="AM1821" s="291"/>
      <c r="AN1821" s="291"/>
      <c r="AO1821" s="291"/>
      <c r="AP1821" s="291"/>
      <c r="AQ1821" s="291"/>
      <c r="AR1821" s="291"/>
      <c r="AS1821" s="291"/>
      <c r="AT1821" s="291"/>
      <c r="AU1821" s="291"/>
      <c r="AV1821" s="291"/>
      <c r="AW1821" s="291"/>
      <c r="AX1821" s="291"/>
      <c r="AY1821" s="291"/>
      <c r="AZ1821" s="291"/>
      <c r="BA1821" s="291"/>
      <c r="BB1821" s="291"/>
      <c r="BC1821" s="291"/>
      <c r="BD1821" s="291"/>
      <c r="BE1821" s="291"/>
      <c r="BF1821" s="291"/>
      <c r="BG1821" s="291"/>
      <c r="BH1821" s="291"/>
      <c r="BI1821" s="291"/>
      <c r="BJ1821" s="291"/>
      <c r="BK1821" s="291"/>
      <c r="BL1821" s="291"/>
      <c r="BM1821" s="291"/>
      <c r="BN1821" s="291"/>
      <c r="BO1821" s="291"/>
      <c r="BP1821" s="291"/>
      <c r="BQ1821" s="291"/>
      <c r="BR1821" s="291"/>
      <c r="BS1821" s="291"/>
      <c r="BT1821" s="291"/>
      <c r="BU1821" s="291"/>
      <c r="BV1821" s="291"/>
      <c r="BW1821" s="291"/>
      <c r="BX1821" s="291"/>
      <c r="BY1821" s="291"/>
    </row>
    <row r="1822" spans="1:77" s="303" customFormat="1" ht="12" customHeight="1">
      <c r="A1822" s="303" t="s">
        <v>3893</v>
      </c>
      <c r="B1822" s="310" t="s">
        <v>691</v>
      </c>
      <c r="C1822" s="301"/>
      <c r="D1822" s="301"/>
      <c r="E1822" s="302" t="s">
        <v>1438</v>
      </c>
      <c r="F1822" s="291" t="s">
        <v>693</v>
      </c>
      <c r="G1822" s="294" t="s">
        <v>694</v>
      </c>
      <c r="H1822" s="291" t="s">
        <v>27</v>
      </c>
      <c r="I1822" s="303" t="s">
        <v>156</v>
      </c>
      <c r="J1822" s="296">
        <v>42840</v>
      </c>
      <c r="K1822" s="291"/>
      <c r="L1822" s="296">
        <v>21</v>
      </c>
      <c r="M1822" s="296">
        <v>21</v>
      </c>
      <c r="N1822" s="306"/>
      <c r="O1822" s="298">
        <v>0.3</v>
      </c>
      <c r="P1822" s="298">
        <v>0.05</v>
      </c>
      <c r="Q1822" s="306">
        <v>16870.240000000002</v>
      </c>
      <c r="R1822" s="291" t="s">
        <v>35</v>
      </c>
      <c r="S1822" s="299" t="s">
        <v>118</v>
      </c>
      <c r="T1822" s="299">
        <v>79</v>
      </c>
      <c r="U1822" s="309" t="s">
        <v>164</v>
      </c>
      <c r="V1822" s="447"/>
      <c r="X1822" s="306">
        <v>16870.240000000002</v>
      </c>
      <c r="Y1822" s="306"/>
      <c r="AH1822" s="332">
        <f>X1822</f>
        <v>16870.240000000002</v>
      </c>
      <c r="AI1822" s="311"/>
      <c r="AJ1822" s="468"/>
      <c r="AK1822" s="291"/>
      <c r="AL1822" s="291"/>
      <c r="AM1822" s="291"/>
      <c r="AN1822" s="291"/>
      <c r="AO1822" s="291"/>
      <c r="AP1822" s="291"/>
      <c r="AQ1822" s="291"/>
      <c r="AR1822" s="291"/>
      <c r="AS1822" s="291"/>
      <c r="AT1822" s="291"/>
      <c r="AU1822" s="291"/>
      <c r="AV1822" s="291"/>
      <c r="AW1822" s="291"/>
      <c r="AX1822" s="291"/>
      <c r="AY1822" s="291"/>
      <c r="AZ1822" s="291"/>
      <c r="BA1822" s="291"/>
      <c r="BB1822" s="291"/>
      <c r="BC1822" s="291"/>
      <c r="BD1822" s="291"/>
      <c r="BE1822" s="291"/>
      <c r="BF1822" s="291"/>
      <c r="BG1822" s="291"/>
      <c r="BH1822" s="291"/>
      <c r="BI1822" s="291"/>
      <c r="BJ1822" s="291"/>
      <c r="BK1822" s="291"/>
      <c r="BL1822" s="291"/>
      <c r="BM1822" s="291"/>
      <c r="BN1822" s="291"/>
      <c r="BO1822" s="291"/>
      <c r="BP1822" s="291"/>
      <c r="BQ1822" s="291"/>
      <c r="BR1822" s="291"/>
      <c r="BS1822" s="291"/>
      <c r="BT1822" s="291"/>
      <c r="BU1822" s="291"/>
      <c r="BV1822" s="291"/>
      <c r="BW1822" s="291"/>
      <c r="BX1822" s="291"/>
      <c r="BY1822" s="291"/>
    </row>
    <row r="1823" spans="1:77" s="273" customFormat="1" ht="12" customHeight="1">
      <c r="B1823" s="258" t="s">
        <v>291</v>
      </c>
      <c r="C1823" s="271">
        <v>44708</v>
      </c>
      <c r="D1823" s="271">
        <v>44708</v>
      </c>
      <c r="E1823" s="272" t="s">
        <v>1439</v>
      </c>
      <c r="F1823" s="273" t="s">
        <v>525</v>
      </c>
      <c r="G1823" s="276">
        <v>3664</v>
      </c>
      <c r="H1823" s="273" t="s">
        <v>137</v>
      </c>
      <c r="I1823" s="273" t="s">
        <v>111</v>
      </c>
      <c r="J1823" s="277">
        <v>22815</v>
      </c>
      <c r="L1823" s="277">
        <v>25</v>
      </c>
      <c r="M1823" s="277">
        <v>25</v>
      </c>
      <c r="N1823" s="275">
        <v>10777.8</v>
      </c>
      <c r="O1823" s="266">
        <v>0.15</v>
      </c>
      <c r="P1823" s="278"/>
      <c r="Q1823" s="275">
        <v>295.49</v>
      </c>
      <c r="R1823" s="261" t="s">
        <v>54</v>
      </c>
      <c r="S1823" s="267" t="s">
        <v>51</v>
      </c>
      <c r="T1823" s="267">
        <v>55</v>
      </c>
      <c r="U1823" s="274" t="s">
        <v>164</v>
      </c>
      <c r="V1823" s="454"/>
      <c r="X1823" s="275">
        <v>295.49</v>
      </c>
      <c r="Y1823" s="275"/>
      <c r="AG1823" s="273">
        <f>X1823</f>
        <v>295.49</v>
      </c>
      <c r="AJ1823" s="642"/>
      <c r="AK1823" s="261"/>
      <c r="AL1823" s="261"/>
      <c r="AM1823" s="261"/>
      <c r="AN1823" s="261"/>
      <c r="AO1823" s="261"/>
      <c r="AP1823" s="261"/>
      <c r="AQ1823" s="261"/>
      <c r="AR1823" s="261"/>
      <c r="AS1823" s="261"/>
      <c r="AT1823" s="261"/>
      <c r="AU1823" s="261"/>
      <c r="AV1823" s="261"/>
      <c r="AW1823" s="261"/>
      <c r="AX1823" s="261"/>
      <c r="AY1823" s="261"/>
      <c r="AZ1823" s="261"/>
      <c r="BA1823" s="261"/>
      <c r="BB1823" s="261"/>
      <c r="BC1823" s="261"/>
      <c r="BD1823" s="261"/>
      <c r="BE1823" s="261"/>
      <c r="BF1823" s="261"/>
      <c r="BG1823" s="261"/>
      <c r="BH1823" s="261"/>
      <c r="BI1823" s="261"/>
      <c r="BJ1823" s="261"/>
      <c r="BK1823" s="261"/>
      <c r="BL1823" s="261"/>
      <c r="BM1823" s="261"/>
      <c r="BN1823" s="261"/>
      <c r="BO1823" s="261"/>
      <c r="BP1823" s="261"/>
      <c r="BQ1823" s="261"/>
      <c r="BR1823" s="261"/>
      <c r="BS1823" s="261"/>
      <c r="BT1823" s="261"/>
      <c r="BU1823" s="261"/>
      <c r="BV1823" s="261"/>
      <c r="BW1823" s="261"/>
      <c r="BX1823" s="261"/>
      <c r="BY1823" s="261"/>
    </row>
    <row r="1824" spans="1:77" s="218" customFormat="1" ht="12" customHeight="1">
      <c r="B1824" s="206" t="s">
        <v>291</v>
      </c>
      <c r="C1824" s="225"/>
      <c r="D1824" s="225"/>
      <c r="E1824" s="226" t="s">
        <v>1439</v>
      </c>
      <c r="F1824" s="218" t="s">
        <v>525</v>
      </c>
      <c r="G1824" s="220">
        <v>3664</v>
      </c>
      <c r="H1824" s="218" t="s">
        <v>183</v>
      </c>
      <c r="I1824" s="218" t="s">
        <v>111</v>
      </c>
      <c r="J1824" s="222">
        <v>17680</v>
      </c>
      <c r="L1824" s="222">
        <v>17</v>
      </c>
      <c r="M1824" s="222">
        <v>17</v>
      </c>
      <c r="N1824" s="223">
        <v>2146.13</v>
      </c>
      <c r="O1824" s="212">
        <v>0.15</v>
      </c>
      <c r="P1824" s="224"/>
      <c r="Q1824" s="223">
        <v>0</v>
      </c>
      <c r="R1824" s="205" t="s">
        <v>54</v>
      </c>
      <c r="S1824" s="214" t="s">
        <v>51</v>
      </c>
      <c r="T1824" s="214">
        <v>55</v>
      </c>
      <c r="U1824" s="227" t="s">
        <v>164</v>
      </c>
      <c r="V1824" s="455"/>
      <c r="X1824" s="223">
        <v>0</v>
      </c>
      <c r="Y1824" s="223"/>
      <c r="AF1824" s="230">
        <f>X1824</f>
        <v>0</v>
      </c>
      <c r="AJ1824" s="216"/>
      <c r="AK1824" s="205"/>
      <c r="AL1824" s="205"/>
      <c r="AM1824" s="205"/>
      <c r="AN1824" s="205"/>
      <c r="AO1824" s="205"/>
      <c r="AP1824" s="205"/>
      <c r="AQ1824" s="205"/>
      <c r="AR1824" s="205"/>
      <c r="AS1824" s="205"/>
      <c r="AT1824" s="205"/>
      <c r="AU1824" s="205"/>
      <c r="AV1824" s="205"/>
      <c r="AW1824" s="205"/>
      <c r="AX1824" s="205"/>
      <c r="AY1824" s="205"/>
      <c r="AZ1824" s="205"/>
      <c r="BA1824" s="205"/>
      <c r="BB1824" s="205"/>
      <c r="BC1824" s="205"/>
      <c r="BD1824" s="205"/>
      <c r="BE1824" s="205"/>
      <c r="BF1824" s="205"/>
      <c r="BG1824" s="205"/>
      <c r="BH1824" s="205"/>
      <c r="BI1824" s="205"/>
      <c r="BJ1824" s="205"/>
      <c r="BK1824" s="205"/>
      <c r="BL1824" s="205"/>
      <c r="BM1824" s="205"/>
      <c r="BN1824" s="205"/>
      <c r="BO1824" s="205"/>
      <c r="BP1824" s="205"/>
      <c r="BQ1824" s="205"/>
      <c r="BR1824" s="205"/>
      <c r="BS1824" s="205"/>
      <c r="BT1824" s="205"/>
      <c r="BU1824" s="205"/>
      <c r="BV1824" s="205"/>
      <c r="BW1824" s="205"/>
      <c r="BX1824" s="205"/>
      <c r="BY1824" s="205"/>
    </row>
    <row r="1825" spans="2:77" s="218" customFormat="1" ht="12" customHeight="1">
      <c r="B1825" s="206" t="s">
        <v>291</v>
      </c>
      <c r="C1825" s="225"/>
      <c r="D1825" s="225"/>
      <c r="E1825" s="226" t="s">
        <v>1439</v>
      </c>
      <c r="F1825" s="218" t="s">
        <v>525</v>
      </c>
      <c r="G1825" s="220">
        <v>3664</v>
      </c>
      <c r="H1825" s="218" t="s">
        <v>99</v>
      </c>
      <c r="I1825" s="218" t="s">
        <v>111</v>
      </c>
      <c r="J1825" s="222">
        <v>43401</v>
      </c>
      <c r="L1825" s="222">
        <v>37</v>
      </c>
      <c r="M1825" s="222">
        <v>37</v>
      </c>
      <c r="N1825" s="223">
        <v>11005.67</v>
      </c>
      <c r="O1825" s="212">
        <v>0.15</v>
      </c>
      <c r="P1825" s="224"/>
      <c r="Q1825" s="223">
        <v>0</v>
      </c>
      <c r="R1825" s="205" t="s">
        <v>54</v>
      </c>
      <c r="S1825" s="214" t="s">
        <v>51</v>
      </c>
      <c r="T1825" s="214">
        <v>55</v>
      </c>
      <c r="U1825" s="227" t="s">
        <v>164</v>
      </c>
      <c r="V1825" s="455"/>
      <c r="X1825" s="223">
        <v>0</v>
      </c>
      <c r="Y1825" s="223"/>
      <c r="AF1825" s="230">
        <f>X1825</f>
        <v>0</v>
      </c>
      <c r="AJ1825" s="216"/>
      <c r="AK1825" s="205"/>
      <c r="AL1825" s="205"/>
      <c r="AM1825" s="205"/>
      <c r="AN1825" s="205"/>
      <c r="AO1825" s="205"/>
      <c r="AP1825" s="205"/>
      <c r="AQ1825" s="205"/>
      <c r="AR1825" s="205"/>
      <c r="AS1825" s="205"/>
      <c r="AT1825" s="205"/>
      <c r="AU1825" s="205"/>
      <c r="AV1825" s="205"/>
      <c r="AW1825" s="205"/>
      <c r="AX1825" s="205"/>
      <c r="AY1825" s="205"/>
      <c r="AZ1825" s="205"/>
      <c r="BA1825" s="205"/>
      <c r="BB1825" s="205"/>
      <c r="BC1825" s="205"/>
      <c r="BD1825" s="205"/>
      <c r="BE1825" s="205"/>
      <c r="BF1825" s="205"/>
      <c r="BG1825" s="205"/>
      <c r="BH1825" s="205"/>
      <c r="BI1825" s="205"/>
      <c r="BJ1825" s="205"/>
      <c r="BK1825" s="205"/>
      <c r="BL1825" s="205"/>
      <c r="BM1825" s="205"/>
      <c r="BN1825" s="205"/>
      <c r="BO1825" s="205"/>
      <c r="BP1825" s="205"/>
      <c r="BQ1825" s="205"/>
      <c r="BR1825" s="205"/>
      <c r="BS1825" s="205"/>
      <c r="BT1825" s="205"/>
      <c r="BU1825" s="205"/>
      <c r="BV1825" s="205"/>
      <c r="BW1825" s="205"/>
      <c r="BX1825" s="205"/>
      <c r="BY1825" s="205"/>
    </row>
    <row r="1826" spans="2:77" s="523" customFormat="1" ht="12" customHeight="1">
      <c r="B1826" s="507" t="s">
        <v>291</v>
      </c>
      <c r="C1826" s="524">
        <v>44703</v>
      </c>
      <c r="D1826" s="524">
        <v>44708</v>
      </c>
      <c r="E1826" s="525" t="s">
        <v>1440</v>
      </c>
      <c r="F1826" s="523" t="s">
        <v>87</v>
      </c>
      <c r="G1826" s="526">
        <v>3666</v>
      </c>
      <c r="H1826" s="523" t="s">
        <v>137</v>
      </c>
      <c r="I1826" s="523" t="s">
        <v>958</v>
      </c>
      <c r="J1826" s="527">
        <v>31677.119999999999</v>
      </c>
      <c r="L1826" s="527">
        <v>25.88</v>
      </c>
      <c r="M1826" s="527">
        <v>25.87</v>
      </c>
      <c r="N1826" s="528">
        <v>10039.248</v>
      </c>
      <c r="O1826" s="530">
        <v>0.2</v>
      </c>
      <c r="P1826" s="530"/>
      <c r="Q1826" s="528">
        <v>0</v>
      </c>
      <c r="R1826" s="507" t="s">
        <v>50</v>
      </c>
      <c r="S1826" s="516" t="s">
        <v>51</v>
      </c>
      <c r="T1826" s="516">
        <v>55</v>
      </c>
      <c r="U1826" s="532" t="s">
        <v>164</v>
      </c>
      <c r="V1826" s="533"/>
      <c r="X1826" s="528">
        <v>0</v>
      </c>
      <c r="Y1826" s="528"/>
      <c r="AJ1826" s="522"/>
      <c r="AK1826" s="507"/>
      <c r="AL1826" s="507">
        <v>0</v>
      </c>
      <c r="AM1826" s="507"/>
      <c r="AN1826" s="507"/>
      <c r="AO1826" s="507"/>
      <c r="AP1826" s="507"/>
      <c r="AQ1826" s="507"/>
      <c r="AR1826" s="507"/>
      <c r="AS1826" s="507"/>
      <c r="AT1826" s="507"/>
      <c r="AU1826" s="507"/>
      <c r="AV1826" s="507"/>
      <c r="AW1826" s="507"/>
      <c r="AX1826" s="507"/>
      <c r="AY1826" s="507"/>
      <c r="AZ1826" s="507"/>
      <c r="BA1826" s="507"/>
      <c r="BB1826" s="507"/>
      <c r="BC1826" s="507"/>
      <c r="BD1826" s="507"/>
      <c r="BE1826" s="507"/>
      <c r="BF1826" s="507"/>
      <c r="BG1826" s="507"/>
      <c r="BH1826" s="507"/>
      <c r="BI1826" s="507"/>
      <c r="BJ1826" s="507"/>
      <c r="BK1826" s="507"/>
      <c r="BL1826" s="507"/>
      <c r="BM1826" s="507"/>
      <c r="BN1826" s="507"/>
      <c r="BO1826" s="507"/>
      <c r="BP1826" s="507"/>
      <c r="BQ1826" s="507"/>
      <c r="BR1826" s="507"/>
      <c r="BS1826" s="507"/>
      <c r="BT1826" s="507"/>
      <c r="BU1826" s="507"/>
      <c r="BV1826" s="507"/>
      <c r="BW1826" s="507"/>
      <c r="BX1826" s="507"/>
      <c r="BY1826" s="507"/>
    </row>
    <row r="1827" spans="2:77" s="472" customFormat="1" ht="12" customHeight="1">
      <c r="B1827" s="473" t="s">
        <v>291</v>
      </c>
      <c r="C1827" s="474">
        <v>44697</v>
      </c>
      <c r="D1827" s="474">
        <v>44708</v>
      </c>
      <c r="E1827" s="475" t="s">
        <v>1441</v>
      </c>
      <c r="F1827" s="472" t="s">
        <v>1442</v>
      </c>
      <c r="G1827" s="476" t="s">
        <v>1443</v>
      </c>
      <c r="H1827" s="472" t="s">
        <v>99</v>
      </c>
      <c r="I1827" s="472" t="s">
        <v>33</v>
      </c>
      <c r="J1827" s="477">
        <v>199169.81</v>
      </c>
      <c r="L1827" s="477">
        <v>158.31</v>
      </c>
      <c r="M1827" s="477">
        <v>158.31</v>
      </c>
      <c r="N1827" s="478">
        <f>889.23+890.13+2107.02+494.52+1369.17+903.81</f>
        <v>6653.8799999999992</v>
      </c>
      <c r="O1827" s="480">
        <v>0.25</v>
      </c>
      <c r="P1827" s="480"/>
      <c r="Q1827" s="478">
        <v>0</v>
      </c>
      <c r="R1827" s="472" t="s">
        <v>29</v>
      </c>
      <c r="S1827" s="482" t="s">
        <v>275</v>
      </c>
      <c r="T1827" s="482">
        <v>52</v>
      </c>
      <c r="U1827" s="483" t="s">
        <v>164</v>
      </c>
      <c r="V1827" s="484"/>
      <c r="X1827" s="478">
        <v>0</v>
      </c>
      <c r="Y1827" s="478"/>
      <c r="AJ1827" s="485"/>
      <c r="AK1827" s="473">
        <v>0</v>
      </c>
      <c r="AL1827" s="473"/>
      <c r="AM1827" s="473"/>
      <c r="AN1827" s="473"/>
      <c r="AO1827" s="473"/>
      <c r="AP1827" s="473"/>
      <c r="AQ1827" s="473"/>
      <c r="AR1827" s="473"/>
      <c r="AS1827" s="473"/>
      <c r="AT1827" s="473"/>
      <c r="AU1827" s="473"/>
      <c r="AV1827" s="473"/>
      <c r="AW1827" s="473"/>
      <c r="AX1827" s="473"/>
      <c r="AY1827" s="473"/>
      <c r="AZ1827" s="473"/>
      <c r="BA1827" s="473"/>
      <c r="BB1827" s="473"/>
      <c r="BC1827" s="473"/>
      <c r="BD1827" s="473"/>
      <c r="BE1827" s="473"/>
      <c r="BF1827" s="473"/>
      <c r="BG1827" s="473"/>
      <c r="BH1827" s="473"/>
      <c r="BI1827" s="473"/>
      <c r="BJ1827" s="473"/>
      <c r="BK1827" s="473"/>
      <c r="BL1827" s="473"/>
      <c r="BM1827" s="473"/>
      <c r="BN1827" s="473"/>
      <c r="BO1827" s="473"/>
      <c r="BP1827" s="473"/>
      <c r="BQ1827" s="473"/>
      <c r="BR1827" s="473"/>
      <c r="BS1827" s="473"/>
      <c r="BT1827" s="473"/>
      <c r="BU1827" s="473"/>
      <c r="BV1827" s="473"/>
      <c r="BW1827" s="473"/>
      <c r="BX1827" s="473"/>
      <c r="BY1827" s="473"/>
    </row>
    <row r="1828" spans="2:77" s="303" customFormat="1" ht="12" customHeight="1">
      <c r="B1828" s="291" t="s">
        <v>291</v>
      </c>
      <c r="C1828" s="301"/>
      <c r="D1828" s="301"/>
      <c r="E1828" s="302" t="s">
        <v>1441</v>
      </c>
      <c r="F1828" s="303" t="s">
        <v>1442</v>
      </c>
      <c r="G1828" s="304" t="s">
        <v>1443</v>
      </c>
      <c r="H1828" s="303" t="s">
        <v>137</v>
      </c>
      <c r="I1828" s="303" t="s">
        <v>33</v>
      </c>
      <c r="J1828" s="305">
        <v>121039.8</v>
      </c>
      <c r="L1828" s="305">
        <v>90.16</v>
      </c>
      <c r="M1828" s="305">
        <v>90.16</v>
      </c>
      <c r="N1828" s="306">
        <v>76267</v>
      </c>
      <c r="O1828" s="307">
        <v>0.25</v>
      </c>
      <c r="P1828" s="307"/>
      <c r="Q1828" s="306">
        <v>33979.050000000003</v>
      </c>
      <c r="R1828" s="303" t="s">
        <v>29</v>
      </c>
      <c r="S1828" s="308" t="s">
        <v>275</v>
      </c>
      <c r="T1828" s="308">
        <v>52</v>
      </c>
      <c r="U1828" s="309" t="s">
        <v>164</v>
      </c>
      <c r="V1828" s="447"/>
      <c r="X1828" s="306">
        <v>33979.050000000003</v>
      </c>
      <c r="Y1828" s="306"/>
      <c r="AH1828" s="332">
        <f>X1828</f>
        <v>33979.050000000003</v>
      </c>
      <c r="AI1828" s="311"/>
      <c r="AJ1828" s="468"/>
      <c r="AK1828" s="291"/>
      <c r="AL1828" s="291"/>
      <c r="AM1828" s="291"/>
      <c r="AN1828" s="291"/>
      <c r="AO1828" s="291"/>
      <c r="AP1828" s="291"/>
      <c r="AQ1828" s="291"/>
      <c r="AR1828" s="291"/>
      <c r="AS1828" s="291"/>
      <c r="AT1828" s="291"/>
      <c r="AU1828" s="291"/>
      <c r="AV1828" s="291"/>
      <c r="AW1828" s="291"/>
      <c r="AX1828" s="291"/>
      <c r="AY1828" s="291"/>
      <c r="AZ1828" s="291"/>
      <c r="BA1828" s="291"/>
      <c r="BB1828" s="291"/>
      <c r="BC1828" s="291"/>
      <c r="BD1828" s="291"/>
      <c r="BE1828" s="291"/>
      <c r="BF1828" s="291"/>
      <c r="BG1828" s="291"/>
      <c r="BH1828" s="291"/>
      <c r="BI1828" s="291"/>
      <c r="BJ1828" s="291"/>
      <c r="BK1828" s="291"/>
      <c r="BL1828" s="291"/>
      <c r="BM1828" s="291"/>
      <c r="BN1828" s="291"/>
      <c r="BO1828" s="291"/>
      <c r="BP1828" s="291"/>
      <c r="BQ1828" s="291"/>
      <c r="BR1828" s="291"/>
      <c r="BS1828" s="291"/>
      <c r="BT1828" s="291"/>
      <c r="BU1828" s="291"/>
      <c r="BV1828" s="291"/>
      <c r="BW1828" s="291"/>
      <c r="BX1828" s="291"/>
      <c r="BY1828" s="291"/>
    </row>
    <row r="1829" spans="2:77" s="394" customFormat="1" ht="12" customHeight="1">
      <c r="B1829" s="379" t="s">
        <v>291</v>
      </c>
      <c r="C1829" s="392"/>
      <c r="D1829" s="392"/>
      <c r="E1829" s="393" t="s">
        <v>1441</v>
      </c>
      <c r="F1829" s="394" t="s">
        <v>1442</v>
      </c>
      <c r="G1829" s="400" t="s">
        <v>1443</v>
      </c>
      <c r="H1829" s="394" t="s">
        <v>183</v>
      </c>
      <c r="I1829" s="394" t="s">
        <v>33</v>
      </c>
      <c r="J1829" s="395">
        <v>38737.839999999997</v>
      </c>
      <c r="L1829" s="395">
        <v>34.729999999999997</v>
      </c>
      <c r="M1829" s="395">
        <v>34.729999999999997</v>
      </c>
      <c r="N1829" s="396">
        <f>808.44+2335.65</f>
        <v>3144.09</v>
      </c>
      <c r="O1829" s="397">
        <v>0.25</v>
      </c>
      <c r="P1829" s="397"/>
      <c r="Q1829" s="396">
        <v>0</v>
      </c>
      <c r="R1829" s="394" t="s">
        <v>29</v>
      </c>
      <c r="S1829" s="399" t="s">
        <v>275</v>
      </c>
      <c r="T1829" s="399">
        <v>52</v>
      </c>
      <c r="U1829" s="398" t="s">
        <v>164</v>
      </c>
      <c r="V1829" s="449"/>
      <c r="X1829" s="396">
        <v>0</v>
      </c>
      <c r="Y1829" s="396"/>
      <c r="AJ1829" s="390">
        <v>0</v>
      </c>
      <c r="AK1829" s="379"/>
      <c r="AL1829" s="379"/>
      <c r="AM1829" s="379"/>
      <c r="AN1829" s="379"/>
      <c r="AO1829" s="379"/>
      <c r="AP1829" s="379"/>
      <c r="AQ1829" s="379"/>
      <c r="AR1829" s="379"/>
      <c r="AS1829" s="379"/>
      <c r="AT1829" s="379"/>
      <c r="AU1829" s="379"/>
      <c r="AV1829" s="379"/>
      <c r="AW1829" s="379"/>
      <c r="AX1829" s="379"/>
      <c r="AY1829" s="379"/>
      <c r="AZ1829" s="379"/>
      <c r="BA1829" s="379"/>
      <c r="BB1829" s="379"/>
      <c r="BC1829" s="379"/>
      <c r="BD1829" s="379"/>
      <c r="BE1829" s="379"/>
      <c r="BF1829" s="379"/>
      <c r="BG1829" s="379"/>
      <c r="BH1829" s="379"/>
      <c r="BI1829" s="379"/>
      <c r="BJ1829" s="379"/>
      <c r="BK1829" s="379"/>
      <c r="BL1829" s="379"/>
      <c r="BM1829" s="379"/>
      <c r="BN1829" s="379"/>
      <c r="BO1829" s="379"/>
      <c r="BP1829" s="379"/>
      <c r="BQ1829" s="379"/>
      <c r="BR1829" s="379"/>
      <c r="BS1829" s="379"/>
      <c r="BT1829" s="379"/>
      <c r="BU1829" s="379"/>
      <c r="BV1829" s="379"/>
      <c r="BW1829" s="379"/>
      <c r="BX1829" s="379"/>
      <c r="BY1829" s="379"/>
    </row>
    <row r="1830" spans="2:77" s="394" customFormat="1" ht="12" customHeight="1">
      <c r="B1830" s="379" t="s">
        <v>291</v>
      </c>
      <c r="C1830" s="392"/>
      <c r="D1830" s="392"/>
      <c r="E1830" s="393" t="s">
        <v>1441</v>
      </c>
      <c r="F1830" s="394" t="s">
        <v>1442</v>
      </c>
      <c r="G1830" s="400" t="s">
        <v>1443</v>
      </c>
      <c r="H1830" s="394" t="s">
        <v>866</v>
      </c>
      <c r="I1830" s="394" t="s">
        <v>33</v>
      </c>
      <c r="J1830" s="395">
        <v>39146.29</v>
      </c>
      <c r="L1830" s="395">
        <v>20.25</v>
      </c>
      <c r="M1830" s="395">
        <v>20.25</v>
      </c>
      <c r="N1830" s="396">
        <v>17662.8</v>
      </c>
      <c r="O1830" s="397">
        <v>0.25</v>
      </c>
      <c r="P1830" s="397"/>
      <c r="Q1830" s="396">
        <v>16449.330000000002</v>
      </c>
      <c r="R1830" s="394" t="s">
        <v>29</v>
      </c>
      <c r="S1830" s="399" t="s">
        <v>275</v>
      </c>
      <c r="T1830" s="399">
        <v>52</v>
      </c>
      <c r="U1830" s="398" t="s">
        <v>164</v>
      </c>
      <c r="V1830" s="449"/>
      <c r="X1830" s="396">
        <v>16449.330000000002</v>
      </c>
      <c r="Y1830" s="396"/>
      <c r="AJ1830" s="396">
        <v>16449.330000000002</v>
      </c>
      <c r="AK1830" s="379"/>
      <c r="AL1830" s="379"/>
      <c r="AM1830" s="379"/>
      <c r="AN1830" s="379"/>
      <c r="AO1830" s="379"/>
      <c r="AP1830" s="379"/>
      <c r="AQ1830" s="379"/>
      <c r="AR1830" s="379"/>
      <c r="AS1830" s="379"/>
      <c r="AT1830" s="379"/>
      <c r="AU1830" s="379"/>
      <c r="AV1830" s="379"/>
      <c r="AW1830" s="379"/>
      <c r="AX1830" s="379"/>
      <c r="AY1830" s="379"/>
      <c r="AZ1830" s="379"/>
      <c r="BA1830" s="379"/>
      <c r="BB1830" s="379"/>
      <c r="BC1830" s="379"/>
      <c r="BD1830" s="379"/>
      <c r="BE1830" s="379"/>
      <c r="BF1830" s="379"/>
      <c r="BG1830" s="379"/>
      <c r="BH1830" s="379"/>
      <c r="BI1830" s="379"/>
      <c r="BJ1830" s="379"/>
      <c r="BK1830" s="379"/>
      <c r="BL1830" s="379"/>
      <c r="BM1830" s="379"/>
      <c r="BN1830" s="379"/>
      <c r="BO1830" s="379"/>
      <c r="BP1830" s="379"/>
      <c r="BQ1830" s="379"/>
      <c r="BR1830" s="379"/>
      <c r="BS1830" s="379"/>
      <c r="BT1830" s="379"/>
      <c r="BU1830" s="379"/>
      <c r="BV1830" s="379"/>
      <c r="BW1830" s="379"/>
      <c r="BX1830" s="379"/>
      <c r="BY1830" s="379"/>
    </row>
    <row r="1831" spans="2:77" s="303" customFormat="1" ht="12" customHeight="1">
      <c r="B1831" s="291" t="s">
        <v>291</v>
      </c>
      <c r="C1831" s="301"/>
      <c r="D1831" s="301"/>
      <c r="E1831" s="302" t="s">
        <v>1441</v>
      </c>
      <c r="F1831" s="303" t="s">
        <v>1442</v>
      </c>
      <c r="G1831" s="304" t="s">
        <v>1443</v>
      </c>
      <c r="H1831" s="303" t="s">
        <v>765</v>
      </c>
      <c r="I1831" s="303" t="s">
        <v>33</v>
      </c>
      <c r="J1831" s="305">
        <v>83770.62</v>
      </c>
      <c r="L1831" s="305">
        <v>63.67</v>
      </c>
      <c r="M1831" s="305">
        <v>63.67</v>
      </c>
      <c r="N1831" s="306">
        <v>51163</v>
      </c>
      <c r="O1831" s="307">
        <v>0.25</v>
      </c>
      <c r="P1831" s="307"/>
      <c r="Q1831" s="306">
        <v>24652.55</v>
      </c>
      <c r="R1831" s="303" t="s">
        <v>29</v>
      </c>
      <c r="S1831" s="308" t="s">
        <v>275</v>
      </c>
      <c r="T1831" s="308">
        <v>52</v>
      </c>
      <c r="U1831" s="309" t="s">
        <v>164</v>
      </c>
      <c r="V1831" s="447"/>
      <c r="X1831" s="306">
        <f>Q1831</f>
        <v>24652.55</v>
      </c>
      <c r="Y1831" s="306"/>
      <c r="AH1831" s="332">
        <f>X1831</f>
        <v>24652.55</v>
      </c>
      <c r="AI1831" s="311"/>
      <c r="AJ1831" s="468"/>
      <c r="AK1831" s="291"/>
      <c r="AL1831" s="291"/>
      <c r="AM1831" s="291"/>
      <c r="AN1831" s="291"/>
      <c r="AO1831" s="291"/>
      <c r="AP1831" s="291"/>
      <c r="AQ1831" s="291"/>
      <c r="AR1831" s="291"/>
      <c r="AS1831" s="291"/>
      <c r="AT1831" s="291"/>
      <c r="AU1831" s="291"/>
      <c r="AV1831" s="291"/>
      <c r="AW1831" s="291"/>
      <c r="AX1831" s="291"/>
      <c r="AY1831" s="291"/>
      <c r="AZ1831" s="291"/>
      <c r="BA1831" s="291"/>
      <c r="BB1831" s="291"/>
      <c r="BC1831" s="291"/>
      <c r="BD1831" s="291"/>
      <c r="BE1831" s="291"/>
      <c r="BF1831" s="291"/>
      <c r="BG1831" s="291"/>
      <c r="BH1831" s="291"/>
      <c r="BI1831" s="291"/>
      <c r="BJ1831" s="291"/>
      <c r="BK1831" s="291"/>
      <c r="BL1831" s="291"/>
      <c r="BM1831" s="291"/>
      <c r="BN1831" s="291"/>
      <c r="BO1831" s="291"/>
      <c r="BP1831" s="291"/>
      <c r="BQ1831" s="291"/>
      <c r="BR1831" s="291"/>
      <c r="BS1831" s="291"/>
      <c r="BT1831" s="291"/>
      <c r="BU1831" s="291"/>
      <c r="BV1831" s="291"/>
      <c r="BW1831" s="291"/>
      <c r="BX1831" s="291"/>
      <c r="BY1831" s="291"/>
    </row>
    <row r="1832" spans="2:77" s="341" customFormat="1" ht="12" customHeight="1">
      <c r="B1832" s="338" t="s">
        <v>291</v>
      </c>
      <c r="C1832" s="339">
        <v>44708</v>
      </c>
      <c r="D1832" s="339">
        <v>44708</v>
      </c>
      <c r="E1832" s="340" t="s">
        <v>1444</v>
      </c>
      <c r="F1832" s="337" t="s">
        <v>567</v>
      </c>
      <c r="G1832" s="351">
        <v>4236</v>
      </c>
      <c r="H1832" s="341" t="s">
        <v>99</v>
      </c>
      <c r="I1832" s="341" t="s">
        <v>334</v>
      </c>
      <c r="J1832" s="343">
        <v>9716.82</v>
      </c>
      <c r="L1832" s="343">
        <v>10.46</v>
      </c>
      <c r="M1832" s="343">
        <v>10.46</v>
      </c>
      <c r="N1832" s="344"/>
      <c r="O1832" s="345">
        <v>0.15</v>
      </c>
      <c r="P1832" s="345"/>
      <c r="Q1832" s="344">
        <v>0</v>
      </c>
      <c r="R1832" s="337" t="s">
        <v>77</v>
      </c>
      <c r="S1832" s="356" t="s">
        <v>41</v>
      </c>
      <c r="T1832" s="356">
        <v>87</v>
      </c>
      <c r="U1832" s="347" t="s">
        <v>164</v>
      </c>
      <c r="V1832" s="451"/>
      <c r="X1832" s="344">
        <v>0</v>
      </c>
      <c r="Y1832" s="344"/>
      <c r="AI1832" s="341">
        <v>0</v>
      </c>
      <c r="AJ1832" s="358"/>
      <c r="AK1832" s="369"/>
      <c r="AL1832" s="337"/>
      <c r="AM1832" s="337"/>
      <c r="AN1832" s="337"/>
      <c r="AO1832" s="337"/>
      <c r="AP1832" s="337"/>
      <c r="AQ1832" s="337"/>
      <c r="AR1832" s="337"/>
      <c r="AS1832" s="337"/>
      <c r="AT1832" s="337"/>
      <c r="AU1832" s="337"/>
      <c r="AV1832" s="337"/>
      <c r="AW1832" s="337"/>
      <c r="AX1832" s="337"/>
      <c r="AY1832" s="337"/>
      <c r="AZ1832" s="337"/>
      <c r="BA1832" s="337"/>
      <c r="BB1832" s="337"/>
      <c r="BC1832" s="337"/>
      <c r="BD1832" s="337"/>
      <c r="BE1832" s="337"/>
      <c r="BF1832" s="337"/>
      <c r="BG1832" s="337"/>
      <c r="BH1832" s="337"/>
      <c r="BI1832" s="337"/>
      <c r="BJ1832" s="337"/>
      <c r="BK1832" s="337"/>
      <c r="BL1832" s="337"/>
      <c r="BM1832" s="337"/>
      <c r="BN1832" s="337"/>
      <c r="BO1832" s="337"/>
      <c r="BP1832" s="337"/>
      <c r="BQ1832" s="337"/>
      <c r="BR1832" s="337"/>
      <c r="BS1832" s="337"/>
      <c r="BT1832" s="337"/>
      <c r="BU1832" s="337"/>
      <c r="BV1832" s="337"/>
      <c r="BW1832" s="337"/>
      <c r="BX1832" s="337"/>
      <c r="BY1832" s="337"/>
    </row>
    <row r="1833" spans="2:77" s="341" customFormat="1" ht="12" customHeight="1">
      <c r="B1833" s="338" t="s">
        <v>291</v>
      </c>
      <c r="C1833" s="339"/>
      <c r="D1833" s="339"/>
      <c r="E1833" s="340" t="s">
        <v>1444</v>
      </c>
      <c r="F1833" s="337" t="s">
        <v>567</v>
      </c>
      <c r="G1833" s="351">
        <v>4236</v>
      </c>
      <c r="H1833" s="341" t="s">
        <v>163</v>
      </c>
      <c r="I1833" s="341" t="s">
        <v>334</v>
      </c>
      <c r="J1833" s="343">
        <v>21486.6</v>
      </c>
      <c r="L1833" s="343">
        <v>27.6</v>
      </c>
      <c r="M1833" s="343">
        <v>27.5</v>
      </c>
      <c r="N1833" s="344"/>
      <c r="O1833" s="345">
        <v>0.15</v>
      </c>
      <c r="P1833" s="345"/>
      <c r="Q1833" s="344">
        <v>0</v>
      </c>
      <c r="R1833" s="337" t="s">
        <v>77</v>
      </c>
      <c r="S1833" s="356" t="s">
        <v>41</v>
      </c>
      <c r="T1833" s="356">
        <v>87</v>
      </c>
      <c r="U1833" s="347" t="s">
        <v>164</v>
      </c>
      <c r="V1833" s="451"/>
      <c r="X1833" s="344">
        <v>0</v>
      </c>
      <c r="Y1833" s="344"/>
      <c r="AI1833" s="341">
        <v>0</v>
      </c>
      <c r="AJ1833" s="358"/>
      <c r="AK1833" s="369"/>
    </row>
    <row r="1834" spans="2:77" s="341" customFormat="1" ht="12" customHeight="1">
      <c r="B1834" s="338" t="s">
        <v>291</v>
      </c>
      <c r="C1834" s="339"/>
      <c r="D1834" s="339"/>
      <c r="E1834" s="340" t="s">
        <v>1444</v>
      </c>
      <c r="F1834" s="337" t="s">
        <v>567</v>
      </c>
      <c r="G1834" s="351">
        <v>4236</v>
      </c>
      <c r="H1834" s="341" t="s">
        <v>27</v>
      </c>
      <c r="I1834" s="341" t="s">
        <v>334</v>
      </c>
      <c r="J1834" s="343">
        <v>12973.88</v>
      </c>
      <c r="L1834" s="343">
        <v>11.93</v>
      </c>
      <c r="M1834" s="343">
        <v>11.93</v>
      </c>
      <c r="N1834" s="344"/>
      <c r="O1834" s="345">
        <v>0.15</v>
      </c>
      <c r="P1834" s="345"/>
      <c r="Q1834" s="344">
        <v>0</v>
      </c>
      <c r="R1834" s="337" t="s">
        <v>77</v>
      </c>
      <c r="S1834" s="356" t="s">
        <v>41</v>
      </c>
      <c r="T1834" s="356">
        <v>87</v>
      </c>
      <c r="U1834" s="347" t="s">
        <v>164</v>
      </c>
      <c r="V1834" s="451"/>
      <c r="X1834" s="344">
        <v>0</v>
      </c>
      <c r="Y1834" s="344"/>
      <c r="AI1834" s="341">
        <v>0</v>
      </c>
      <c r="AJ1834" s="358"/>
      <c r="AK1834" s="369"/>
    </row>
    <row r="1835" spans="2:77" s="341" customFormat="1" ht="12" customHeight="1">
      <c r="B1835" s="338" t="s">
        <v>291</v>
      </c>
      <c r="C1835" s="339"/>
      <c r="D1835" s="339"/>
      <c r="E1835" s="340" t="s">
        <v>1444</v>
      </c>
      <c r="F1835" s="337" t="s">
        <v>567</v>
      </c>
      <c r="G1835" s="351">
        <v>4236</v>
      </c>
      <c r="H1835" s="341" t="s">
        <v>295</v>
      </c>
      <c r="I1835" s="341" t="s">
        <v>334</v>
      </c>
      <c r="J1835" s="343">
        <v>12527.09</v>
      </c>
      <c r="L1835" s="343">
        <v>16.21</v>
      </c>
      <c r="M1835" s="343">
        <v>16.16</v>
      </c>
      <c r="N1835" s="344"/>
      <c r="O1835" s="345">
        <v>0.15</v>
      </c>
      <c r="P1835" s="345"/>
      <c r="Q1835" s="344">
        <v>0</v>
      </c>
      <c r="R1835" s="337" t="s">
        <v>77</v>
      </c>
      <c r="S1835" s="356" t="s">
        <v>41</v>
      </c>
      <c r="T1835" s="356">
        <v>87</v>
      </c>
      <c r="U1835" s="347" t="s">
        <v>164</v>
      </c>
      <c r="V1835" s="451"/>
      <c r="X1835" s="344">
        <v>0</v>
      </c>
      <c r="Y1835" s="344"/>
      <c r="AI1835" s="341">
        <v>0</v>
      </c>
      <c r="AJ1835" s="358"/>
      <c r="AK1835" s="369"/>
    </row>
    <row r="1836" spans="2:77" s="341" customFormat="1" ht="12" customHeight="1">
      <c r="B1836" s="338" t="s">
        <v>291</v>
      </c>
      <c r="C1836" s="339"/>
      <c r="D1836" s="339"/>
      <c r="E1836" s="340" t="s">
        <v>1444</v>
      </c>
      <c r="F1836" s="337" t="s">
        <v>567</v>
      </c>
      <c r="G1836" s="351">
        <v>4236</v>
      </c>
      <c r="H1836" s="341" t="s">
        <v>765</v>
      </c>
      <c r="I1836" s="341" t="s">
        <v>334</v>
      </c>
      <c r="J1836" s="343">
        <v>14244.9</v>
      </c>
      <c r="L1836" s="343">
        <v>15</v>
      </c>
      <c r="M1836" s="343">
        <v>18</v>
      </c>
      <c r="N1836" s="344"/>
      <c r="O1836" s="345">
        <v>0.15</v>
      </c>
      <c r="P1836" s="345"/>
      <c r="Q1836" s="344">
        <v>0</v>
      </c>
      <c r="R1836" s="337" t="s">
        <v>77</v>
      </c>
      <c r="S1836" s="356" t="s">
        <v>41</v>
      </c>
      <c r="T1836" s="356">
        <v>87</v>
      </c>
      <c r="U1836" s="347" t="s">
        <v>164</v>
      </c>
      <c r="V1836" s="451"/>
      <c r="X1836" s="344">
        <v>0</v>
      </c>
      <c r="Y1836" s="344"/>
      <c r="AI1836" s="341">
        <v>0</v>
      </c>
      <c r="AJ1836" s="358"/>
      <c r="AK1836" s="369"/>
    </row>
    <row r="1837" spans="2:77" s="218" customFormat="1" ht="12" customHeight="1">
      <c r="B1837" s="206" t="s">
        <v>291</v>
      </c>
      <c r="C1837" s="225">
        <v>44703</v>
      </c>
      <c r="D1837" s="225">
        <v>44708</v>
      </c>
      <c r="E1837" s="226" t="s">
        <v>1445</v>
      </c>
      <c r="F1837" s="205" t="s">
        <v>702</v>
      </c>
      <c r="G1837" s="209">
        <v>4317</v>
      </c>
      <c r="H1837" s="218" t="s">
        <v>310</v>
      </c>
      <c r="I1837" s="218" t="s">
        <v>961</v>
      </c>
      <c r="J1837" s="222">
        <v>11942.6</v>
      </c>
      <c r="L1837" s="222">
        <v>13.3</v>
      </c>
      <c r="M1837" s="222">
        <v>13.3</v>
      </c>
      <c r="N1837" s="223"/>
      <c r="O1837" s="224">
        <v>0.15</v>
      </c>
      <c r="P1837" s="224"/>
      <c r="Q1837" s="223">
        <v>4667.97</v>
      </c>
      <c r="R1837" s="205" t="s">
        <v>128</v>
      </c>
      <c r="S1837" s="214" t="s">
        <v>41</v>
      </c>
      <c r="T1837" s="214">
        <v>79</v>
      </c>
      <c r="U1837" s="227" t="s">
        <v>164</v>
      </c>
      <c r="V1837" s="455"/>
      <c r="X1837" s="223">
        <v>4667.97</v>
      </c>
      <c r="Y1837" s="223"/>
      <c r="AF1837" s="230">
        <f>X1837</f>
        <v>4667.97</v>
      </c>
      <c r="AJ1837" s="216"/>
      <c r="AK1837" s="205"/>
      <c r="AL1837" s="205"/>
      <c r="AM1837" s="205"/>
      <c r="AN1837" s="205"/>
      <c r="AO1837" s="205"/>
      <c r="AP1837" s="205"/>
      <c r="AQ1837" s="205"/>
      <c r="AR1837" s="205"/>
      <c r="AS1837" s="205"/>
      <c r="AT1837" s="205"/>
      <c r="AU1837" s="205"/>
      <c r="AV1837" s="205"/>
      <c r="AW1837" s="205"/>
      <c r="AX1837" s="205"/>
      <c r="AY1837" s="205"/>
      <c r="AZ1837" s="205"/>
      <c r="BA1837" s="205"/>
      <c r="BB1837" s="205"/>
      <c r="BC1837" s="205"/>
      <c r="BD1837" s="205"/>
      <c r="BE1837" s="205"/>
      <c r="BF1837" s="205"/>
      <c r="BG1837" s="205"/>
      <c r="BH1837" s="205"/>
      <c r="BI1837" s="205"/>
      <c r="BJ1837" s="205"/>
      <c r="BK1837" s="205"/>
      <c r="BL1837" s="205"/>
      <c r="BM1837" s="205"/>
      <c r="BN1837" s="205"/>
      <c r="BO1837" s="205"/>
      <c r="BP1837" s="205"/>
      <c r="BQ1837" s="205"/>
      <c r="BR1837" s="205"/>
      <c r="BS1837" s="205"/>
      <c r="BT1837" s="205"/>
      <c r="BU1837" s="205"/>
      <c r="BV1837" s="205"/>
      <c r="BW1837" s="205"/>
      <c r="BX1837" s="205"/>
      <c r="BY1837" s="205"/>
    </row>
    <row r="1838" spans="2:77" s="303" customFormat="1" ht="12" customHeight="1">
      <c r="B1838" s="291" t="s">
        <v>291</v>
      </c>
      <c r="C1838" s="301"/>
      <c r="D1838" s="301"/>
      <c r="E1838" s="302" t="s">
        <v>1446</v>
      </c>
      <c r="F1838" s="291" t="s">
        <v>476</v>
      </c>
      <c r="G1838" s="294">
        <v>4585</v>
      </c>
      <c r="H1838" s="303" t="s">
        <v>99</v>
      </c>
      <c r="I1838" s="303" t="s">
        <v>961</v>
      </c>
      <c r="J1838" s="305">
        <v>3482.75</v>
      </c>
      <c r="L1838" s="305">
        <v>3.38</v>
      </c>
      <c r="M1838" s="305">
        <v>3</v>
      </c>
      <c r="N1838" s="306">
        <v>696.55</v>
      </c>
      <c r="O1838" s="307">
        <v>0.25</v>
      </c>
      <c r="P1838" s="307"/>
      <c r="Q1838" s="306">
        <v>296.36</v>
      </c>
      <c r="R1838" s="291" t="s">
        <v>42</v>
      </c>
      <c r="S1838" s="299" t="s">
        <v>41</v>
      </c>
      <c r="T1838" s="299">
        <v>17</v>
      </c>
      <c r="U1838" s="309" t="s">
        <v>164</v>
      </c>
      <c r="V1838" s="447"/>
      <c r="X1838" s="306">
        <v>296.36</v>
      </c>
      <c r="Y1838" s="297"/>
      <c r="AH1838" s="303">
        <f>X1838</f>
        <v>296.36</v>
      </c>
      <c r="AI1838" s="311"/>
      <c r="AJ1838" s="468"/>
      <c r="AK1838" s="291"/>
      <c r="AL1838" s="291"/>
      <c r="AM1838" s="291"/>
      <c r="AN1838" s="291"/>
      <c r="AO1838" s="291"/>
      <c r="AP1838" s="291"/>
      <c r="AQ1838" s="291"/>
      <c r="AR1838" s="291"/>
      <c r="AS1838" s="291"/>
      <c r="AT1838" s="291"/>
      <c r="AU1838" s="291"/>
      <c r="AV1838" s="291"/>
      <c r="AW1838" s="291"/>
      <c r="AX1838" s="291"/>
      <c r="AY1838" s="291"/>
      <c r="AZ1838" s="291"/>
      <c r="BA1838" s="291"/>
      <c r="BB1838" s="291"/>
      <c r="BC1838" s="291"/>
      <c r="BD1838" s="291"/>
      <c r="BE1838" s="291"/>
      <c r="BF1838" s="291"/>
      <c r="BG1838" s="291"/>
      <c r="BH1838" s="291"/>
      <c r="BI1838" s="291"/>
      <c r="BJ1838" s="291"/>
      <c r="BK1838" s="291"/>
      <c r="BL1838" s="291"/>
      <c r="BM1838" s="291"/>
      <c r="BN1838" s="291"/>
      <c r="BO1838" s="291"/>
      <c r="BP1838" s="291"/>
      <c r="BQ1838" s="291"/>
      <c r="BR1838" s="291"/>
      <c r="BS1838" s="291"/>
      <c r="BT1838" s="291"/>
      <c r="BU1838" s="291"/>
      <c r="BV1838" s="291"/>
      <c r="BW1838" s="291"/>
      <c r="BX1838" s="291"/>
      <c r="BY1838" s="291"/>
    </row>
    <row r="1839" spans="2:77" s="218" customFormat="1" ht="12" customHeight="1">
      <c r="B1839" s="205" t="s">
        <v>291</v>
      </c>
      <c r="C1839" s="225">
        <v>44696</v>
      </c>
      <c r="D1839" s="225">
        <v>44710</v>
      </c>
      <c r="E1839" s="226" t="s">
        <v>1446</v>
      </c>
      <c r="F1839" s="205" t="s">
        <v>476</v>
      </c>
      <c r="G1839" s="209">
        <v>4585</v>
      </c>
      <c r="H1839" s="218" t="s">
        <v>27</v>
      </c>
      <c r="I1839" s="218" t="s">
        <v>961</v>
      </c>
      <c r="J1839" s="222">
        <v>15936</v>
      </c>
      <c r="L1839" s="222">
        <v>16.600000000000001</v>
      </c>
      <c r="M1839" s="222">
        <v>16</v>
      </c>
      <c r="N1839" s="223">
        <v>3179.52</v>
      </c>
      <c r="O1839" s="224">
        <v>0.25</v>
      </c>
      <c r="P1839" s="224"/>
      <c r="Q1839" s="223">
        <v>0</v>
      </c>
      <c r="R1839" s="205" t="s">
        <v>42</v>
      </c>
      <c r="S1839" s="214" t="s">
        <v>41</v>
      </c>
      <c r="T1839" s="214">
        <v>17</v>
      </c>
      <c r="U1839" s="215" t="s">
        <v>164</v>
      </c>
      <c r="V1839" s="455"/>
      <c r="X1839" s="223">
        <v>0</v>
      </c>
      <c r="Y1839" s="223"/>
      <c r="AF1839" s="230">
        <f>X1839</f>
        <v>0</v>
      </c>
      <c r="AJ1839" s="216"/>
      <c r="AK1839" s="205"/>
      <c r="AL1839" s="205"/>
      <c r="AM1839" s="205"/>
      <c r="AN1839" s="205"/>
      <c r="AO1839" s="205"/>
      <c r="AP1839" s="205"/>
      <c r="AQ1839" s="205"/>
      <c r="AR1839" s="205"/>
      <c r="AS1839" s="205"/>
      <c r="AT1839" s="205"/>
      <c r="AU1839" s="205"/>
      <c r="AV1839" s="205"/>
      <c r="AW1839" s="205"/>
      <c r="AX1839" s="205"/>
      <c r="AY1839" s="205"/>
      <c r="AZ1839" s="205"/>
      <c r="BA1839" s="205"/>
      <c r="BB1839" s="205"/>
      <c r="BC1839" s="205"/>
      <c r="BD1839" s="205"/>
      <c r="BE1839" s="205"/>
      <c r="BF1839" s="205"/>
      <c r="BG1839" s="205"/>
      <c r="BH1839" s="205"/>
      <c r="BI1839" s="205"/>
      <c r="BJ1839" s="205"/>
      <c r="BK1839" s="205"/>
      <c r="BL1839" s="205"/>
      <c r="BM1839" s="205"/>
      <c r="BN1839" s="205"/>
      <c r="BO1839" s="205"/>
      <c r="BP1839" s="205"/>
      <c r="BQ1839" s="205"/>
      <c r="BR1839" s="205"/>
      <c r="BS1839" s="205"/>
      <c r="BT1839" s="205"/>
      <c r="BU1839" s="205"/>
      <c r="BV1839" s="205"/>
      <c r="BW1839" s="205"/>
      <c r="BX1839" s="205"/>
      <c r="BY1839" s="205"/>
    </row>
    <row r="1840" spans="2:77" s="218" customFormat="1" ht="12" customHeight="1">
      <c r="B1840" s="205" t="s">
        <v>291</v>
      </c>
      <c r="C1840" s="225"/>
      <c r="D1840" s="225"/>
      <c r="E1840" s="226" t="s">
        <v>1446</v>
      </c>
      <c r="F1840" s="205" t="s">
        <v>476</v>
      </c>
      <c r="G1840" s="209">
        <v>4585</v>
      </c>
      <c r="H1840" s="218" t="s">
        <v>336</v>
      </c>
      <c r="I1840" s="218" t="s">
        <v>961</v>
      </c>
      <c r="J1840" s="222">
        <v>42217.18</v>
      </c>
      <c r="L1840" s="222">
        <v>31.33</v>
      </c>
      <c r="M1840" s="222">
        <v>31</v>
      </c>
      <c r="N1840" s="223">
        <v>9868.9500000000007</v>
      </c>
      <c r="O1840" s="224">
        <v>0.25</v>
      </c>
      <c r="P1840" s="224"/>
      <c r="Q1840" s="223">
        <v>0</v>
      </c>
      <c r="R1840" s="205" t="s">
        <v>42</v>
      </c>
      <c r="S1840" s="214" t="s">
        <v>41</v>
      </c>
      <c r="T1840" s="214">
        <v>17</v>
      </c>
      <c r="U1840" s="215" t="s">
        <v>164</v>
      </c>
      <c r="V1840" s="455"/>
      <c r="X1840" s="223">
        <v>0</v>
      </c>
      <c r="Y1840" s="223"/>
      <c r="AF1840" s="230">
        <f>X1840</f>
        <v>0</v>
      </c>
      <c r="AJ1840" s="216"/>
      <c r="AK1840" s="205"/>
      <c r="AL1840" s="205"/>
      <c r="AM1840" s="205"/>
      <c r="AN1840" s="205"/>
      <c r="AO1840" s="205"/>
      <c r="AP1840" s="205"/>
      <c r="AQ1840" s="205"/>
      <c r="AR1840" s="205"/>
      <c r="AS1840" s="205"/>
      <c r="AT1840" s="205"/>
      <c r="AU1840" s="205"/>
      <c r="AV1840" s="205"/>
      <c r="AW1840" s="205"/>
      <c r="AX1840" s="205"/>
      <c r="AY1840" s="205"/>
      <c r="AZ1840" s="205"/>
      <c r="BA1840" s="205"/>
      <c r="BB1840" s="205"/>
      <c r="BC1840" s="205"/>
      <c r="BD1840" s="205"/>
      <c r="BE1840" s="205"/>
      <c r="BF1840" s="205"/>
      <c r="BG1840" s="205"/>
      <c r="BH1840" s="205"/>
      <c r="BI1840" s="205"/>
      <c r="BJ1840" s="205"/>
      <c r="BK1840" s="205"/>
      <c r="BL1840" s="205"/>
      <c r="BM1840" s="205"/>
      <c r="BN1840" s="205"/>
      <c r="BO1840" s="205"/>
      <c r="BP1840" s="205"/>
      <c r="BQ1840" s="205"/>
      <c r="BR1840" s="205"/>
      <c r="BS1840" s="205"/>
      <c r="BT1840" s="205"/>
      <c r="BU1840" s="205"/>
      <c r="BV1840" s="205"/>
      <c r="BW1840" s="205"/>
      <c r="BX1840" s="205"/>
      <c r="BY1840" s="205"/>
    </row>
    <row r="1841" spans="1:77" s="394" customFormat="1" ht="12" customHeight="1">
      <c r="B1841" s="379" t="s">
        <v>291</v>
      </c>
      <c r="C1841" s="392"/>
      <c r="D1841" s="392"/>
      <c r="E1841" s="393" t="s">
        <v>1446</v>
      </c>
      <c r="F1841" s="379" t="s">
        <v>476</v>
      </c>
      <c r="G1841" s="383">
        <v>4585</v>
      </c>
      <c r="H1841" s="394" t="s">
        <v>137</v>
      </c>
      <c r="I1841" s="394" t="s">
        <v>961</v>
      </c>
      <c r="J1841" s="395">
        <v>10250.24</v>
      </c>
      <c r="L1841" s="395">
        <v>10.4</v>
      </c>
      <c r="M1841" s="395">
        <v>10</v>
      </c>
      <c r="N1841" s="396">
        <v>3075.07</v>
      </c>
      <c r="O1841" s="397">
        <v>0.25</v>
      </c>
      <c r="P1841" s="397"/>
      <c r="Q1841" s="396">
        <v>1031.68</v>
      </c>
      <c r="R1841" s="379" t="s">
        <v>42</v>
      </c>
      <c r="S1841" s="388" t="s">
        <v>41</v>
      </c>
      <c r="T1841" s="388">
        <v>17</v>
      </c>
      <c r="U1841" s="398" t="s">
        <v>164</v>
      </c>
      <c r="V1841" s="449"/>
      <c r="X1841" s="396">
        <v>1031.68</v>
      </c>
      <c r="Y1841" s="396"/>
      <c r="AJ1841" s="396">
        <v>1031.68</v>
      </c>
      <c r="AK1841" s="379"/>
      <c r="AL1841" s="379"/>
      <c r="AM1841" s="379"/>
      <c r="AN1841" s="379"/>
      <c r="AO1841" s="379"/>
      <c r="AP1841" s="379"/>
      <c r="AQ1841" s="379"/>
      <c r="AR1841" s="379"/>
      <c r="AS1841" s="379"/>
      <c r="AT1841" s="379"/>
      <c r="AU1841" s="379"/>
      <c r="AV1841" s="379"/>
      <c r="AW1841" s="379"/>
      <c r="AX1841" s="379"/>
      <c r="AY1841" s="379"/>
      <c r="AZ1841" s="379"/>
      <c r="BA1841" s="379"/>
      <c r="BB1841" s="379"/>
      <c r="BC1841" s="379"/>
      <c r="BD1841" s="379"/>
      <c r="BE1841" s="379"/>
      <c r="BF1841" s="379"/>
      <c r="BG1841" s="379"/>
      <c r="BH1841" s="379"/>
      <c r="BI1841" s="379"/>
      <c r="BJ1841" s="379"/>
      <c r="BK1841" s="379"/>
      <c r="BL1841" s="379"/>
      <c r="BM1841" s="379"/>
      <c r="BN1841" s="379"/>
      <c r="BO1841" s="379"/>
      <c r="BP1841" s="379"/>
      <c r="BQ1841" s="379"/>
      <c r="BR1841" s="379"/>
      <c r="BS1841" s="379"/>
      <c r="BT1841" s="379"/>
      <c r="BU1841" s="379"/>
      <c r="BV1841" s="379"/>
      <c r="BW1841" s="379"/>
      <c r="BX1841" s="379"/>
      <c r="BY1841" s="379"/>
    </row>
    <row r="1842" spans="1:77" s="394" customFormat="1" ht="12" customHeight="1">
      <c r="B1842" s="380" t="s">
        <v>291</v>
      </c>
      <c r="C1842" s="392">
        <v>44709</v>
      </c>
      <c r="D1842" s="392">
        <v>44709</v>
      </c>
      <c r="E1842" s="393" t="s">
        <v>1447</v>
      </c>
      <c r="F1842" s="379" t="s">
        <v>721</v>
      </c>
      <c r="G1842" s="383">
        <v>4447</v>
      </c>
      <c r="H1842" s="394" t="s">
        <v>99</v>
      </c>
      <c r="I1842" s="394" t="s">
        <v>888</v>
      </c>
      <c r="J1842" s="395">
        <v>14316.23</v>
      </c>
      <c r="L1842" s="395">
        <v>12.95</v>
      </c>
      <c r="M1842" s="395">
        <v>12.65</v>
      </c>
      <c r="N1842" s="396">
        <v>5593.83</v>
      </c>
      <c r="O1842" s="397">
        <v>0.2</v>
      </c>
      <c r="P1842" s="397"/>
      <c r="Q1842" s="396">
        <v>4149.18</v>
      </c>
      <c r="R1842" s="379" t="s">
        <v>42</v>
      </c>
      <c r="S1842" s="388" t="s">
        <v>41</v>
      </c>
      <c r="T1842" s="388">
        <v>79</v>
      </c>
      <c r="U1842" s="398" t="s">
        <v>164</v>
      </c>
      <c r="V1842" s="449"/>
      <c r="X1842" s="396">
        <v>4149.18</v>
      </c>
      <c r="Y1842" s="396"/>
      <c r="AJ1842" s="395">
        <v>4149.18</v>
      </c>
      <c r="AK1842" s="379"/>
      <c r="AL1842" s="379"/>
      <c r="AM1842" s="379"/>
      <c r="AN1842" s="379"/>
      <c r="AO1842" s="379"/>
      <c r="AP1842" s="379"/>
      <c r="AQ1842" s="379"/>
      <c r="AR1842" s="379"/>
      <c r="AS1842" s="379"/>
      <c r="AT1842" s="379"/>
      <c r="AU1842" s="379"/>
      <c r="AV1842" s="379"/>
      <c r="AW1842" s="379"/>
      <c r="AX1842" s="379"/>
      <c r="AY1842" s="379"/>
      <c r="AZ1842" s="379"/>
      <c r="BA1842" s="379"/>
      <c r="BB1842" s="379"/>
      <c r="BC1842" s="379"/>
      <c r="BD1842" s="379"/>
      <c r="BE1842" s="379"/>
      <c r="BF1842" s="379"/>
      <c r="BG1842" s="379"/>
      <c r="BH1842" s="379"/>
      <c r="BI1842" s="379"/>
      <c r="BJ1842" s="379"/>
      <c r="BK1842" s="379"/>
      <c r="BL1842" s="379"/>
      <c r="BM1842" s="379"/>
      <c r="BN1842" s="379"/>
      <c r="BO1842" s="379"/>
      <c r="BP1842" s="379"/>
      <c r="BQ1842" s="379"/>
      <c r="BR1842" s="379"/>
      <c r="BS1842" s="379"/>
      <c r="BT1842" s="379"/>
      <c r="BU1842" s="379"/>
      <c r="BV1842" s="379"/>
      <c r="BW1842" s="379"/>
      <c r="BX1842" s="379"/>
      <c r="BY1842" s="379"/>
    </row>
    <row r="1843" spans="1:77" s="394" customFormat="1" ht="12" customHeight="1">
      <c r="B1843" s="380" t="s">
        <v>291</v>
      </c>
      <c r="C1843" s="392"/>
      <c r="D1843" s="392"/>
      <c r="E1843" s="393" t="s">
        <v>1447</v>
      </c>
      <c r="F1843" s="379" t="s">
        <v>721</v>
      </c>
      <c r="G1843" s="383">
        <v>4447</v>
      </c>
      <c r="H1843" s="394" t="s">
        <v>336</v>
      </c>
      <c r="I1843" s="394" t="s">
        <v>888</v>
      </c>
      <c r="J1843" s="395">
        <v>25570.22</v>
      </c>
      <c r="L1843" s="395">
        <v>23.13</v>
      </c>
      <c r="M1843" s="395">
        <v>23.13</v>
      </c>
      <c r="N1843" s="396">
        <v>10228.085999999999</v>
      </c>
      <c r="O1843" s="397">
        <v>0.2</v>
      </c>
      <c r="P1843" s="397"/>
      <c r="Q1843" s="396">
        <v>2654.17</v>
      </c>
      <c r="R1843" s="379" t="s">
        <v>42</v>
      </c>
      <c r="S1843" s="388" t="s">
        <v>41</v>
      </c>
      <c r="T1843" s="388">
        <v>79</v>
      </c>
      <c r="U1843" s="398" t="s">
        <v>164</v>
      </c>
      <c r="V1843" s="449"/>
      <c r="X1843" s="396">
        <v>2654.17</v>
      </c>
      <c r="Y1843" s="396"/>
      <c r="AJ1843" s="395">
        <v>2654.17</v>
      </c>
      <c r="AK1843" s="379"/>
      <c r="AL1843" s="379"/>
      <c r="AM1843" s="379"/>
      <c r="AN1843" s="379"/>
      <c r="AO1843" s="379"/>
      <c r="AP1843" s="379"/>
      <c r="AQ1843" s="379"/>
      <c r="AR1843" s="379"/>
      <c r="AS1843" s="379"/>
      <c r="AT1843" s="379"/>
      <c r="AU1843" s="379"/>
      <c r="AV1843" s="379"/>
      <c r="AW1843" s="379"/>
      <c r="AX1843" s="379"/>
      <c r="AY1843" s="379"/>
      <c r="AZ1843" s="379"/>
      <c r="BA1843" s="379"/>
      <c r="BB1843" s="379"/>
      <c r="BC1843" s="379"/>
      <c r="BD1843" s="379"/>
      <c r="BE1843" s="379"/>
      <c r="BF1843" s="379"/>
      <c r="BG1843" s="379"/>
      <c r="BH1843" s="379"/>
      <c r="BI1843" s="379"/>
      <c r="BJ1843" s="379"/>
      <c r="BK1843" s="379"/>
      <c r="BL1843" s="379"/>
      <c r="BM1843" s="379"/>
      <c r="BN1843" s="379"/>
      <c r="BO1843" s="379"/>
      <c r="BP1843" s="379"/>
      <c r="BQ1843" s="379"/>
      <c r="BR1843" s="379"/>
      <c r="BS1843" s="379"/>
      <c r="BT1843" s="379"/>
      <c r="BU1843" s="379"/>
      <c r="BV1843" s="379"/>
      <c r="BW1843" s="379"/>
      <c r="BX1843" s="379"/>
      <c r="BY1843" s="379"/>
    </row>
    <row r="1844" spans="1:77" s="394" customFormat="1" ht="12" customHeight="1">
      <c r="B1844" s="380" t="s">
        <v>291</v>
      </c>
      <c r="C1844" s="392"/>
      <c r="D1844" s="392"/>
      <c r="E1844" s="393" t="s">
        <v>1447</v>
      </c>
      <c r="F1844" s="379" t="s">
        <v>721</v>
      </c>
      <c r="G1844" s="383">
        <v>4447</v>
      </c>
      <c r="H1844" s="394" t="s">
        <v>27</v>
      </c>
      <c r="I1844" s="394" t="s">
        <v>888</v>
      </c>
      <c r="J1844" s="395">
        <v>67091.199999999997</v>
      </c>
      <c r="L1844" s="395">
        <v>38.119999999999997</v>
      </c>
      <c r="M1844" s="395">
        <v>38.409999999999997</v>
      </c>
      <c r="N1844" s="396">
        <v>33545.599999999999</v>
      </c>
      <c r="O1844" s="397">
        <v>0.2</v>
      </c>
      <c r="P1844" s="397"/>
      <c r="Q1844" s="396">
        <v>14009.1</v>
      </c>
      <c r="R1844" s="379" t="s">
        <v>42</v>
      </c>
      <c r="S1844" s="388" t="s">
        <v>41</v>
      </c>
      <c r="T1844" s="388">
        <v>79</v>
      </c>
      <c r="U1844" s="398" t="s">
        <v>164</v>
      </c>
      <c r="V1844" s="449"/>
      <c r="X1844" s="396">
        <v>14009.1</v>
      </c>
      <c r="Y1844" s="396"/>
      <c r="AJ1844" s="395">
        <v>14009.1</v>
      </c>
    </row>
    <row r="1845" spans="1:77" s="394" customFormat="1" ht="12" customHeight="1">
      <c r="B1845" s="380" t="s">
        <v>291</v>
      </c>
      <c r="C1845" s="392"/>
      <c r="D1845" s="392"/>
      <c r="E1845" s="393" t="s">
        <v>1447</v>
      </c>
      <c r="F1845" s="379" t="s">
        <v>721</v>
      </c>
      <c r="G1845" s="383">
        <v>4447</v>
      </c>
      <c r="H1845" s="394" t="s">
        <v>493</v>
      </c>
      <c r="I1845" s="394" t="s">
        <v>888</v>
      </c>
      <c r="J1845" s="395">
        <v>14428.8</v>
      </c>
      <c r="L1845" s="395">
        <v>15.03</v>
      </c>
      <c r="M1845" s="395">
        <v>15.03</v>
      </c>
      <c r="N1845" s="396"/>
      <c r="O1845" s="397">
        <v>0.2</v>
      </c>
      <c r="P1845" s="397"/>
      <c r="Q1845" s="396">
        <v>0</v>
      </c>
      <c r="R1845" s="379" t="s">
        <v>42</v>
      </c>
      <c r="S1845" s="388" t="s">
        <v>41</v>
      </c>
      <c r="T1845" s="388">
        <v>79</v>
      </c>
      <c r="U1845" s="398" t="s">
        <v>164</v>
      </c>
      <c r="V1845" s="449"/>
      <c r="X1845" s="396">
        <v>0</v>
      </c>
      <c r="Y1845" s="396"/>
      <c r="AJ1845" s="390">
        <v>0</v>
      </c>
    </row>
    <row r="1846" spans="1:77" s="394" customFormat="1" ht="12" customHeight="1">
      <c r="B1846" s="380" t="s">
        <v>291</v>
      </c>
      <c r="C1846" s="392"/>
      <c r="D1846" s="392"/>
      <c r="E1846" s="393" t="s">
        <v>1447</v>
      </c>
      <c r="F1846" s="379" t="s">
        <v>721</v>
      </c>
      <c r="G1846" s="383">
        <v>4447</v>
      </c>
      <c r="H1846" s="394" t="s">
        <v>442</v>
      </c>
      <c r="I1846" s="394" t="s">
        <v>888</v>
      </c>
      <c r="J1846" s="395">
        <v>19380</v>
      </c>
      <c r="L1846" s="395">
        <v>16.149999999999999</v>
      </c>
      <c r="M1846" s="395">
        <v>16.149999999999999</v>
      </c>
      <c r="N1846" s="396">
        <v>6783</v>
      </c>
      <c r="O1846" s="397">
        <v>0.2</v>
      </c>
      <c r="P1846" s="397"/>
      <c r="Q1846" s="396">
        <v>395.68</v>
      </c>
      <c r="R1846" s="379" t="s">
        <v>42</v>
      </c>
      <c r="S1846" s="388" t="s">
        <v>41</v>
      </c>
      <c r="T1846" s="388">
        <v>79</v>
      </c>
      <c r="U1846" s="398" t="s">
        <v>164</v>
      </c>
      <c r="V1846" s="449"/>
      <c r="X1846" s="396">
        <v>395.68</v>
      </c>
      <c r="Y1846" s="396"/>
      <c r="AJ1846" s="395">
        <v>395.68</v>
      </c>
    </row>
    <row r="1847" spans="1:77" s="558" customFormat="1" ht="12" customHeight="1">
      <c r="B1847" s="546" t="s">
        <v>291</v>
      </c>
      <c r="C1847" s="560">
        <v>44701</v>
      </c>
      <c r="D1847" s="560">
        <v>44708</v>
      </c>
      <c r="E1847" s="561" t="s">
        <v>1448</v>
      </c>
      <c r="F1847" s="546" t="s">
        <v>1315</v>
      </c>
      <c r="G1847" s="549">
        <v>3704</v>
      </c>
      <c r="H1847" s="558" t="s">
        <v>183</v>
      </c>
      <c r="I1847" s="558" t="s">
        <v>156</v>
      </c>
      <c r="J1847" s="563">
        <v>31794</v>
      </c>
      <c r="L1847" s="563">
        <v>28</v>
      </c>
      <c r="M1847" s="563">
        <v>28</v>
      </c>
      <c r="N1847" s="564">
        <v>20828.47</v>
      </c>
      <c r="O1847" s="566">
        <v>0.25</v>
      </c>
      <c r="P1847" s="566">
        <v>0.1</v>
      </c>
      <c r="Q1847" s="564">
        <v>10134.6</v>
      </c>
      <c r="R1847" s="546" t="s">
        <v>54</v>
      </c>
      <c r="S1847" s="554" t="s">
        <v>51</v>
      </c>
      <c r="T1847" s="554">
        <v>55</v>
      </c>
      <c r="U1847" s="568" t="s">
        <v>164</v>
      </c>
      <c r="V1847" s="569"/>
      <c r="X1847" s="564">
        <v>10134.6</v>
      </c>
      <c r="Y1847" s="564"/>
      <c r="AJ1847" s="557"/>
      <c r="AM1847" s="564">
        <v>10134.6</v>
      </c>
    </row>
    <row r="1848" spans="1:77" s="117" customFormat="1" ht="12" customHeight="1">
      <c r="A1848" s="394"/>
      <c r="B1848" s="379" t="s">
        <v>291</v>
      </c>
      <c r="C1848" s="392">
        <v>44710</v>
      </c>
      <c r="D1848" s="392">
        <v>44710</v>
      </c>
      <c r="E1848" s="393" t="s">
        <v>1449</v>
      </c>
      <c r="F1848" s="379" t="s">
        <v>202</v>
      </c>
      <c r="G1848" s="383">
        <v>3992</v>
      </c>
      <c r="H1848" s="394" t="s">
        <v>814</v>
      </c>
      <c r="I1848" s="394" t="s">
        <v>888</v>
      </c>
      <c r="J1848" s="395">
        <v>18001.8</v>
      </c>
      <c r="K1848" s="394"/>
      <c r="L1848" s="395">
        <v>21.42</v>
      </c>
      <c r="M1848" s="395">
        <v>21.41</v>
      </c>
      <c r="N1848" s="396"/>
      <c r="O1848" s="397">
        <v>0.15</v>
      </c>
      <c r="P1848" s="397"/>
      <c r="Q1848" s="396">
        <v>0</v>
      </c>
      <c r="R1848" s="379" t="s">
        <v>146</v>
      </c>
      <c r="S1848" s="388" t="s">
        <v>74</v>
      </c>
      <c r="T1848" s="388">
        <v>31</v>
      </c>
      <c r="U1848" s="398" t="s">
        <v>164</v>
      </c>
      <c r="V1848" s="449"/>
      <c r="W1848" s="394"/>
      <c r="X1848" s="391">
        <v>0</v>
      </c>
      <c r="Y1848" s="396"/>
      <c r="Z1848" s="394"/>
      <c r="AA1848" s="394"/>
      <c r="AB1848" s="394"/>
      <c r="AC1848" s="394"/>
      <c r="AD1848" s="394"/>
      <c r="AE1848" s="394"/>
      <c r="AF1848" s="394"/>
      <c r="AG1848" s="394"/>
      <c r="AH1848" s="394"/>
      <c r="AI1848" s="394"/>
      <c r="AJ1848" s="390">
        <v>0</v>
      </c>
      <c r="AK1848" s="394"/>
      <c r="AL1848" s="394"/>
      <c r="AM1848" s="394"/>
      <c r="AN1848" s="394"/>
      <c r="AO1848" s="394"/>
      <c r="AP1848" s="394"/>
      <c r="AQ1848" s="394"/>
      <c r="AR1848" s="394"/>
      <c r="AS1848" s="394"/>
      <c r="AT1848" s="394"/>
      <c r="AU1848" s="394"/>
      <c r="AV1848" s="394"/>
      <c r="AW1848" s="394"/>
      <c r="AX1848" s="394"/>
      <c r="AY1848" s="394"/>
      <c r="AZ1848" s="394"/>
      <c r="BA1848" s="394"/>
      <c r="BB1848" s="394"/>
      <c r="BC1848" s="394"/>
      <c r="BD1848" s="394"/>
      <c r="BE1848" s="394"/>
      <c r="BF1848" s="394"/>
      <c r="BG1848" s="394"/>
      <c r="BH1848" s="394"/>
      <c r="BI1848" s="394"/>
      <c r="BJ1848" s="394"/>
      <c r="BK1848" s="394"/>
      <c r="BL1848" s="394"/>
      <c r="BM1848" s="394"/>
      <c r="BN1848" s="394"/>
      <c r="BO1848" s="394"/>
      <c r="BP1848" s="394"/>
      <c r="BQ1848" s="394"/>
      <c r="BR1848" s="394"/>
      <c r="BS1848" s="394"/>
      <c r="BT1848" s="394"/>
      <c r="BU1848" s="394"/>
      <c r="BV1848" s="394"/>
      <c r="BW1848" s="394"/>
      <c r="BX1848" s="394"/>
      <c r="BY1848" s="394"/>
    </row>
    <row r="1849" spans="1:77" s="117" customFormat="1" ht="12" customHeight="1">
      <c r="A1849" s="394"/>
      <c r="B1849" s="379" t="s">
        <v>291</v>
      </c>
      <c r="C1849" s="392"/>
      <c r="D1849" s="392"/>
      <c r="E1849" s="393" t="s">
        <v>1449</v>
      </c>
      <c r="F1849" s="379" t="s">
        <v>202</v>
      </c>
      <c r="G1849" s="383">
        <v>3992</v>
      </c>
      <c r="H1849" s="394" t="s">
        <v>765</v>
      </c>
      <c r="I1849" s="394" t="s">
        <v>888</v>
      </c>
      <c r="J1849" s="395">
        <v>28639.33</v>
      </c>
      <c r="K1849" s="394"/>
      <c r="L1849" s="395">
        <v>24.27</v>
      </c>
      <c r="M1849" s="395">
        <v>24.27</v>
      </c>
      <c r="N1849" s="396"/>
      <c r="O1849" s="397">
        <v>0.15</v>
      </c>
      <c r="P1849" s="397"/>
      <c r="Q1849" s="396">
        <v>0</v>
      </c>
      <c r="R1849" s="379" t="s">
        <v>146</v>
      </c>
      <c r="S1849" s="388" t="s">
        <v>74</v>
      </c>
      <c r="T1849" s="388">
        <v>31</v>
      </c>
      <c r="U1849" s="398" t="s">
        <v>164</v>
      </c>
      <c r="V1849" s="449"/>
      <c r="W1849" s="394"/>
      <c r="X1849" s="396">
        <v>0</v>
      </c>
      <c r="Y1849" s="396"/>
      <c r="Z1849" s="394"/>
      <c r="AA1849" s="394"/>
      <c r="AB1849" s="394"/>
      <c r="AC1849" s="394"/>
      <c r="AD1849" s="394"/>
      <c r="AE1849" s="394"/>
      <c r="AF1849" s="394"/>
      <c r="AG1849" s="394"/>
      <c r="AH1849" s="394"/>
      <c r="AI1849" s="394"/>
      <c r="AJ1849" s="390">
        <v>0</v>
      </c>
      <c r="AK1849" s="394"/>
      <c r="AL1849" s="394"/>
      <c r="AM1849" s="394"/>
      <c r="AN1849" s="394"/>
      <c r="AO1849" s="394"/>
      <c r="AP1849" s="394"/>
      <c r="AQ1849" s="394"/>
      <c r="AR1849" s="394"/>
      <c r="AS1849" s="394"/>
      <c r="AT1849" s="394"/>
      <c r="AU1849" s="394"/>
      <c r="AV1849" s="394"/>
      <c r="AW1849" s="394"/>
      <c r="AX1849" s="394"/>
      <c r="AY1849" s="394"/>
      <c r="AZ1849" s="394"/>
      <c r="BA1849" s="394"/>
      <c r="BB1849" s="394"/>
      <c r="BC1849" s="394"/>
      <c r="BD1849" s="394"/>
      <c r="BE1849" s="394"/>
      <c r="BF1849" s="394"/>
      <c r="BG1849" s="394"/>
      <c r="BH1849" s="394"/>
      <c r="BI1849" s="394"/>
      <c r="BJ1849" s="394"/>
      <c r="BK1849" s="394"/>
      <c r="BL1849" s="394"/>
      <c r="BM1849" s="394"/>
      <c r="BN1849" s="394"/>
      <c r="BO1849" s="394"/>
      <c r="BP1849" s="394"/>
      <c r="BQ1849" s="394"/>
      <c r="BR1849" s="394"/>
      <c r="BS1849" s="394"/>
      <c r="BT1849" s="394"/>
      <c r="BU1849" s="394"/>
      <c r="BV1849" s="394"/>
      <c r="BW1849" s="394"/>
      <c r="BX1849" s="394"/>
      <c r="BY1849" s="394"/>
    </row>
    <row r="1850" spans="1:77" s="341" customFormat="1" ht="12" customHeight="1">
      <c r="B1850" s="338" t="s">
        <v>291</v>
      </c>
      <c r="C1850" s="339">
        <v>44710</v>
      </c>
      <c r="D1850" s="339">
        <v>44710</v>
      </c>
      <c r="E1850" s="340" t="s">
        <v>1450</v>
      </c>
      <c r="F1850" s="337" t="s">
        <v>542</v>
      </c>
      <c r="G1850" s="351" t="s">
        <v>543</v>
      </c>
      <c r="H1850" s="337" t="s">
        <v>765</v>
      </c>
      <c r="I1850" s="341" t="s">
        <v>958</v>
      </c>
      <c r="J1850" s="352">
        <v>26862.42</v>
      </c>
      <c r="K1850" s="337"/>
      <c r="L1850" s="352">
        <v>26.13</v>
      </c>
      <c r="M1850" s="352">
        <v>26.13</v>
      </c>
      <c r="N1850" s="344">
        <v>5372.4847799999998</v>
      </c>
      <c r="O1850" s="345">
        <v>0.2</v>
      </c>
      <c r="P1850" s="345"/>
      <c r="Q1850" s="354">
        <v>3794.47</v>
      </c>
      <c r="R1850" s="337" t="s">
        <v>42</v>
      </c>
      <c r="S1850" s="356" t="s">
        <v>41</v>
      </c>
      <c r="T1850" s="356">
        <v>79</v>
      </c>
      <c r="U1850" s="347" t="s">
        <v>164</v>
      </c>
      <c r="V1850" s="451"/>
      <c r="X1850" s="354">
        <v>3794.47</v>
      </c>
      <c r="Y1850" s="344"/>
      <c r="AI1850" s="341">
        <f>X1850</f>
        <v>3794.47</v>
      </c>
      <c r="AJ1850" s="358"/>
      <c r="AK1850" s="369"/>
    </row>
    <row r="1851" spans="1:77" s="218" customFormat="1" ht="12" customHeight="1">
      <c r="B1851" s="229" t="s">
        <v>291</v>
      </c>
      <c r="C1851" s="225">
        <v>44707</v>
      </c>
      <c r="D1851" s="225">
        <v>44710</v>
      </c>
      <c r="E1851" s="226" t="s">
        <v>1451</v>
      </c>
      <c r="F1851" s="218" t="s">
        <v>2832</v>
      </c>
      <c r="G1851" s="220" t="s">
        <v>1452</v>
      </c>
      <c r="H1851" s="218" t="s">
        <v>865</v>
      </c>
      <c r="I1851" s="218" t="s">
        <v>111</v>
      </c>
      <c r="J1851" s="222">
        <v>48020</v>
      </c>
      <c r="L1851" s="222">
        <v>26</v>
      </c>
      <c r="M1851" s="222">
        <v>7</v>
      </c>
      <c r="N1851" s="223">
        <f>3430</f>
        <v>3430</v>
      </c>
      <c r="O1851" s="224">
        <v>0.15</v>
      </c>
      <c r="P1851" s="224"/>
      <c r="Q1851" s="223">
        <v>0</v>
      </c>
      <c r="R1851" s="218" t="s">
        <v>112</v>
      </c>
      <c r="S1851" s="221" t="s">
        <v>113</v>
      </c>
      <c r="T1851" s="221">
        <v>64</v>
      </c>
      <c r="U1851" s="227" t="s">
        <v>164</v>
      </c>
      <c r="V1851" s="455"/>
      <c r="W1851" s="218" t="s">
        <v>2926</v>
      </c>
      <c r="X1851" s="223">
        <v>0</v>
      </c>
      <c r="Y1851" s="223"/>
      <c r="AF1851" s="230">
        <f>X1851</f>
        <v>0</v>
      </c>
      <c r="AJ1851" s="216"/>
    </row>
    <row r="1852" spans="1:77" s="218" customFormat="1" ht="12" customHeight="1">
      <c r="B1852" s="229" t="s">
        <v>291</v>
      </c>
      <c r="C1852" s="225"/>
      <c r="D1852" s="225"/>
      <c r="E1852" s="226" t="s">
        <v>1451</v>
      </c>
      <c r="F1852" s="218" t="s">
        <v>2832</v>
      </c>
      <c r="G1852" s="220" t="s">
        <v>1452</v>
      </c>
      <c r="H1852" s="218" t="s">
        <v>814</v>
      </c>
      <c r="I1852" s="218" t="s">
        <v>111</v>
      </c>
      <c r="J1852" s="222">
        <v>20054.89</v>
      </c>
      <c r="L1852" s="222">
        <v>12</v>
      </c>
      <c r="M1852" s="222">
        <v>12</v>
      </c>
      <c r="N1852" s="223">
        <v>5013.72</v>
      </c>
      <c r="O1852" s="224">
        <v>0.15</v>
      </c>
      <c r="P1852" s="224"/>
      <c r="Q1852" s="223">
        <v>0</v>
      </c>
      <c r="R1852" s="218" t="s">
        <v>112</v>
      </c>
      <c r="S1852" s="221" t="s">
        <v>113</v>
      </c>
      <c r="T1852" s="221">
        <v>64</v>
      </c>
      <c r="U1852" s="227" t="s">
        <v>164</v>
      </c>
      <c r="V1852" s="455"/>
      <c r="W1852" s="218" t="s">
        <v>2926</v>
      </c>
      <c r="X1852" s="223">
        <v>0</v>
      </c>
      <c r="Y1852" s="223"/>
      <c r="AF1852" s="230">
        <f>X1852</f>
        <v>0</v>
      </c>
      <c r="AJ1852" s="216"/>
    </row>
    <row r="1853" spans="1:77" s="117" customFormat="1" ht="12" customHeight="1">
      <c r="B1853" s="39" t="s">
        <v>291</v>
      </c>
      <c r="C1853" s="146">
        <v>44711</v>
      </c>
      <c r="D1853" s="146">
        <v>44711</v>
      </c>
      <c r="E1853" s="147" t="s">
        <v>1453</v>
      </c>
      <c r="F1853" s="6" t="s">
        <v>328</v>
      </c>
      <c r="G1853" s="79">
        <v>4151</v>
      </c>
      <c r="H1853" s="117" t="s">
        <v>407</v>
      </c>
      <c r="I1853" s="117" t="s">
        <v>1454</v>
      </c>
      <c r="J1853" s="149">
        <v>37915.5</v>
      </c>
      <c r="L1853" s="149">
        <v>10.5</v>
      </c>
      <c r="M1853" s="149">
        <v>10.5</v>
      </c>
      <c r="N1853" s="150">
        <f>7128.11+5228.73</f>
        <v>12356.84</v>
      </c>
      <c r="O1853" s="151">
        <v>0.2</v>
      </c>
      <c r="P1853" s="151"/>
      <c r="Q1853" s="150">
        <f>N1853-J1853*O1853</f>
        <v>4773.74</v>
      </c>
      <c r="R1853" s="6" t="s">
        <v>46</v>
      </c>
      <c r="S1853" s="3" t="s">
        <v>47</v>
      </c>
      <c r="T1853" s="3">
        <v>76</v>
      </c>
      <c r="U1853" s="56"/>
      <c r="V1853" s="448"/>
      <c r="X1853" s="150"/>
      <c r="Y1853" s="150"/>
      <c r="AJ1853" s="80"/>
    </row>
    <row r="1854" spans="1:77" s="117" customFormat="1" ht="12" customHeight="1">
      <c r="B1854" s="6" t="s">
        <v>291</v>
      </c>
      <c r="C1854" s="146">
        <v>44711</v>
      </c>
      <c r="D1854" s="146">
        <v>44711</v>
      </c>
      <c r="E1854" s="147" t="s">
        <v>1455</v>
      </c>
      <c r="F1854" s="6" t="s">
        <v>326</v>
      </c>
      <c r="G1854" s="79">
        <v>4153</v>
      </c>
      <c r="H1854" s="117" t="s">
        <v>407</v>
      </c>
      <c r="I1854" s="117" t="s">
        <v>1456</v>
      </c>
      <c r="J1854" s="149">
        <v>56343.1</v>
      </c>
      <c r="L1854" s="149">
        <v>18.7</v>
      </c>
      <c r="M1854" s="149">
        <v>18.7</v>
      </c>
      <c r="N1854" s="150">
        <f>J1854*0.5</f>
        <v>28171.55</v>
      </c>
      <c r="O1854" s="151">
        <v>0.2</v>
      </c>
      <c r="P1854" s="151"/>
      <c r="Q1854" s="150">
        <f>N1854-J1854*O1854</f>
        <v>16902.93</v>
      </c>
      <c r="R1854" s="6" t="s">
        <v>46</v>
      </c>
      <c r="S1854" s="3" t="s">
        <v>47</v>
      </c>
      <c r="T1854" s="3">
        <v>76</v>
      </c>
      <c r="U1854" s="56"/>
      <c r="V1854" s="448"/>
      <c r="X1854" s="150"/>
      <c r="Y1854" s="150"/>
      <c r="AJ1854" s="80"/>
    </row>
    <row r="1855" spans="1:77" s="341" customFormat="1" ht="12" customHeight="1">
      <c r="B1855" s="337" t="s">
        <v>291</v>
      </c>
      <c r="C1855" s="339">
        <v>44711</v>
      </c>
      <c r="D1855" s="339">
        <v>44711</v>
      </c>
      <c r="E1855" s="340" t="s">
        <v>1457</v>
      </c>
      <c r="F1855" s="341" t="s">
        <v>1458</v>
      </c>
      <c r="G1855" s="342" t="s">
        <v>1459</v>
      </c>
      <c r="H1855" s="341" t="s">
        <v>140</v>
      </c>
      <c r="I1855" s="341" t="s">
        <v>888</v>
      </c>
      <c r="J1855" s="343">
        <v>15438.53</v>
      </c>
      <c r="L1855" s="343">
        <v>10.94</v>
      </c>
      <c r="M1855" s="343">
        <v>10.94</v>
      </c>
      <c r="N1855" s="344"/>
      <c r="O1855" s="345">
        <v>0.25</v>
      </c>
      <c r="P1855" s="345"/>
      <c r="Q1855" s="344">
        <v>1927.06</v>
      </c>
      <c r="R1855" s="341" t="s">
        <v>128</v>
      </c>
      <c r="S1855" s="346" t="s">
        <v>34</v>
      </c>
      <c r="T1855" s="346">
        <v>79</v>
      </c>
      <c r="U1855" s="347" t="s">
        <v>164</v>
      </c>
      <c r="V1855" s="451"/>
      <c r="X1855" s="344">
        <v>1927.06</v>
      </c>
      <c r="Y1855" s="344"/>
      <c r="AI1855" s="344">
        <v>1927.06</v>
      </c>
      <c r="AJ1855" s="358"/>
      <c r="AK1855" s="369"/>
    </row>
    <row r="1856" spans="1:77" s="341" customFormat="1" ht="12" customHeight="1">
      <c r="B1856" s="337" t="s">
        <v>291</v>
      </c>
      <c r="C1856" s="339"/>
      <c r="D1856" s="339"/>
      <c r="E1856" s="340" t="s">
        <v>1457</v>
      </c>
      <c r="F1856" s="341" t="s">
        <v>1458</v>
      </c>
      <c r="G1856" s="342" t="s">
        <v>1459</v>
      </c>
      <c r="H1856" s="341" t="s">
        <v>310</v>
      </c>
      <c r="I1856" s="341" t="s">
        <v>888</v>
      </c>
      <c r="J1856" s="343">
        <v>12883.91</v>
      </c>
      <c r="L1856" s="343">
        <v>11.5</v>
      </c>
      <c r="M1856" s="343">
        <v>11.5</v>
      </c>
      <c r="N1856" s="344"/>
      <c r="O1856" s="345">
        <v>0.25</v>
      </c>
      <c r="P1856" s="345"/>
      <c r="Q1856" s="344">
        <v>0</v>
      </c>
      <c r="R1856" s="341" t="s">
        <v>128</v>
      </c>
      <c r="S1856" s="346" t="s">
        <v>34</v>
      </c>
      <c r="T1856" s="346">
        <v>79</v>
      </c>
      <c r="U1856" s="347" t="s">
        <v>164</v>
      </c>
      <c r="V1856" s="451"/>
      <c r="X1856" s="344">
        <v>0</v>
      </c>
      <c r="Y1856" s="344"/>
      <c r="AI1856" s="341">
        <v>0</v>
      </c>
      <c r="AJ1856" s="358"/>
      <c r="AK1856" s="369"/>
    </row>
    <row r="1857" spans="1:77" s="341" customFormat="1" ht="12" customHeight="1">
      <c r="B1857" s="337" t="s">
        <v>291</v>
      </c>
      <c r="C1857" s="339">
        <v>44704</v>
      </c>
      <c r="D1857" s="339">
        <v>44711</v>
      </c>
      <c r="E1857" s="340" t="s">
        <v>1460</v>
      </c>
      <c r="F1857" s="341" t="s">
        <v>1461</v>
      </c>
      <c r="G1857" s="342">
        <v>4321</v>
      </c>
      <c r="H1857" s="341" t="s">
        <v>192</v>
      </c>
      <c r="I1857" s="341" t="s">
        <v>888</v>
      </c>
      <c r="J1857" s="343">
        <v>58248.45</v>
      </c>
      <c r="L1857" s="343">
        <v>33.19</v>
      </c>
      <c r="M1857" s="343">
        <v>33.19</v>
      </c>
      <c r="N1857" s="344"/>
      <c r="O1857" s="345">
        <v>0.2</v>
      </c>
      <c r="P1857" s="345"/>
      <c r="Q1857" s="344">
        <v>9608.51</v>
      </c>
      <c r="R1857" s="341" t="s">
        <v>128</v>
      </c>
      <c r="S1857" s="346" t="s">
        <v>34</v>
      </c>
      <c r="T1857" s="346">
        <v>79</v>
      </c>
      <c r="U1857" s="347" t="s">
        <v>164</v>
      </c>
      <c r="V1857" s="451"/>
      <c r="X1857" s="344">
        <v>9608.51</v>
      </c>
      <c r="Y1857" s="344"/>
      <c r="AI1857" s="341">
        <v>9608.51</v>
      </c>
      <c r="AJ1857" s="358"/>
      <c r="AK1857" s="369"/>
    </row>
    <row r="1858" spans="1:77" s="472" customFormat="1" ht="12" customHeight="1">
      <c r="B1858" s="473" t="s">
        <v>291</v>
      </c>
      <c r="C1858" s="474">
        <v>44704</v>
      </c>
      <c r="D1858" s="474">
        <v>44711</v>
      </c>
      <c r="E1858" s="475" t="s">
        <v>1462</v>
      </c>
      <c r="F1858" s="472" t="s">
        <v>1463</v>
      </c>
      <c r="G1858" s="476">
        <v>4318</v>
      </c>
      <c r="H1858" s="472" t="s">
        <v>192</v>
      </c>
      <c r="I1858" s="472" t="s">
        <v>888</v>
      </c>
      <c r="J1858" s="477">
        <v>126728.55</v>
      </c>
      <c r="L1858" s="477">
        <v>72.209999999999994</v>
      </c>
      <c r="M1858" s="477">
        <v>72.209999999999994</v>
      </c>
      <c r="N1858" s="478"/>
      <c r="O1858" s="480">
        <v>0.2</v>
      </c>
      <c r="P1858" s="480"/>
      <c r="Q1858" s="478">
        <v>4188.18</v>
      </c>
      <c r="R1858" s="472" t="s">
        <v>128</v>
      </c>
      <c r="S1858" s="482" t="s">
        <v>34</v>
      </c>
      <c r="T1858" s="482">
        <v>79</v>
      </c>
      <c r="U1858" s="483" t="s">
        <v>164</v>
      </c>
      <c r="V1858" s="484"/>
      <c r="X1858" s="478">
        <v>4188.18</v>
      </c>
      <c r="Y1858" s="478"/>
      <c r="AJ1858" s="485"/>
      <c r="AK1858" s="506">
        <v>4188.18</v>
      </c>
    </row>
    <row r="1859" spans="1:77" s="273" customFormat="1" ht="12" customHeight="1">
      <c r="B1859" s="261" t="s">
        <v>291</v>
      </c>
      <c r="C1859" s="271">
        <v>44706</v>
      </c>
      <c r="D1859" s="271">
        <v>44711</v>
      </c>
      <c r="E1859" s="272" t="s">
        <v>1464</v>
      </c>
      <c r="F1859" s="273" t="s">
        <v>1465</v>
      </c>
      <c r="G1859" s="276">
        <v>3599</v>
      </c>
      <c r="H1859" s="273" t="s">
        <v>99</v>
      </c>
      <c r="I1859" s="273" t="s">
        <v>33</v>
      </c>
      <c r="J1859" s="277">
        <v>78926.539999999994</v>
      </c>
      <c r="L1859" s="277">
        <v>56.36</v>
      </c>
      <c r="M1859" s="277">
        <v>56.36</v>
      </c>
      <c r="N1859" s="275"/>
      <c r="O1859" s="278">
        <v>0.25</v>
      </c>
      <c r="P1859" s="278"/>
      <c r="Q1859" s="275">
        <v>1957.95</v>
      </c>
      <c r="R1859" s="273" t="s">
        <v>128</v>
      </c>
      <c r="S1859" s="279" t="s">
        <v>41</v>
      </c>
      <c r="T1859" s="279">
        <v>79</v>
      </c>
      <c r="U1859" s="274" t="s">
        <v>164</v>
      </c>
      <c r="V1859" s="454"/>
      <c r="X1859" s="275">
        <v>1957.95</v>
      </c>
      <c r="Y1859" s="275"/>
      <c r="AG1859" s="273">
        <f t="shared" ref="AG1859:AG1867" si="29">X1859</f>
        <v>1957.95</v>
      </c>
      <c r="AJ1859" s="642"/>
    </row>
    <row r="1860" spans="1:77" s="273" customFormat="1" ht="12" customHeight="1">
      <c r="B1860" s="261" t="s">
        <v>291</v>
      </c>
      <c r="C1860" s="271"/>
      <c r="D1860" s="271"/>
      <c r="E1860" s="272" t="s">
        <v>1464</v>
      </c>
      <c r="F1860" s="273" t="s">
        <v>1465</v>
      </c>
      <c r="G1860" s="276">
        <v>3599</v>
      </c>
      <c r="H1860" s="273" t="s">
        <v>27</v>
      </c>
      <c r="I1860" s="273" t="s">
        <v>33</v>
      </c>
      <c r="J1860" s="277">
        <v>41854.32</v>
      </c>
      <c r="L1860" s="277">
        <v>21.53</v>
      </c>
      <c r="M1860" s="277">
        <v>21.53</v>
      </c>
      <c r="N1860" s="275"/>
      <c r="O1860" s="278">
        <v>0.25</v>
      </c>
      <c r="P1860" s="278"/>
      <c r="Q1860" s="275">
        <v>0</v>
      </c>
      <c r="R1860" s="273" t="s">
        <v>128</v>
      </c>
      <c r="S1860" s="279" t="s">
        <v>41</v>
      </c>
      <c r="T1860" s="279">
        <v>79</v>
      </c>
      <c r="U1860" s="274" t="s">
        <v>164</v>
      </c>
      <c r="V1860" s="454"/>
      <c r="X1860" s="275">
        <v>0</v>
      </c>
      <c r="Y1860" s="275"/>
      <c r="AG1860" s="273">
        <f t="shared" si="29"/>
        <v>0</v>
      </c>
      <c r="AJ1860" s="642"/>
    </row>
    <row r="1861" spans="1:77" s="273" customFormat="1" ht="12" customHeight="1">
      <c r="B1861" s="261" t="s">
        <v>291</v>
      </c>
      <c r="C1861" s="271">
        <v>44711</v>
      </c>
      <c r="D1861" s="271">
        <v>44711</v>
      </c>
      <c r="E1861" s="272" t="s">
        <v>1467</v>
      </c>
      <c r="F1861" s="261" t="s">
        <v>1468</v>
      </c>
      <c r="G1861" s="262">
        <v>3688</v>
      </c>
      <c r="H1861" s="273" t="s">
        <v>137</v>
      </c>
      <c r="I1861" s="273" t="s">
        <v>888</v>
      </c>
      <c r="J1861" s="277">
        <v>72876.2</v>
      </c>
      <c r="L1861" s="277">
        <v>65.849999999999994</v>
      </c>
      <c r="M1861" s="277">
        <v>65.849999999999994</v>
      </c>
      <c r="N1861" s="275">
        <v>33341.108220000002</v>
      </c>
      <c r="O1861" s="278">
        <v>0.3</v>
      </c>
      <c r="P1861" s="278"/>
      <c r="Q1861" s="275">
        <v>0</v>
      </c>
      <c r="R1861" s="261" t="s">
        <v>50</v>
      </c>
      <c r="S1861" s="267" t="s">
        <v>51</v>
      </c>
      <c r="T1861" s="267">
        <v>55</v>
      </c>
      <c r="U1861" s="274" t="s">
        <v>164</v>
      </c>
      <c r="V1861" s="454"/>
      <c r="X1861" s="275">
        <v>0</v>
      </c>
      <c r="Y1861" s="275"/>
      <c r="AG1861" s="273">
        <f t="shared" si="29"/>
        <v>0</v>
      </c>
      <c r="AJ1861" s="642"/>
    </row>
    <row r="1862" spans="1:77" s="273" customFormat="1" ht="12" customHeight="1">
      <c r="B1862" s="258" t="s">
        <v>291</v>
      </c>
      <c r="C1862" s="271">
        <v>44706</v>
      </c>
      <c r="D1862" s="271">
        <v>44711</v>
      </c>
      <c r="E1862" s="272" t="s">
        <v>1469</v>
      </c>
      <c r="F1862" s="261" t="s">
        <v>875</v>
      </c>
      <c r="G1862" s="262" t="s">
        <v>280</v>
      </c>
      <c r="H1862" s="273" t="s">
        <v>99</v>
      </c>
      <c r="I1862" s="273" t="s">
        <v>33</v>
      </c>
      <c r="J1862" s="277">
        <v>71604</v>
      </c>
      <c r="L1862" s="277">
        <v>54</v>
      </c>
      <c r="M1862" s="277">
        <v>54</v>
      </c>
      <c r="N1862" s="275">
        <v>0</v>
      </c>
      <c r="O1862" s="278">
        <v>0.25</v>
      </c>
      <c r="P1862" s="278"/>
      <c r="Q1862" s="275">
        <v>0</v>
      </c>
      <c r="R1862" s="261" t="s">
        <v>281</v>
      </c>
      <c r="S1862" s="267" t="s">
        <v>228</v>
      </c>
      <c r="T1862" s="267">
        <v>18</v>
      </c>
      <c r="U1862" s="274" t="s">
        <v>164</v>
      </c>
      <c r="V1862" s="454"/>
      <c r="X1862" s="275">
        <v>0</v>
      </c>
      <c r="Y1862" s="275"/>
      <c r="AG1862" s="273">
        <f t="shared" si="29"/>
        <v>0</v>
      </c>
      <c r="AJ1862" s="642"/>
      <c r="AK1862" s="261"/>
      <c r="AL1862" s="261"/>
      <c r="AM1862" s="261"/>
      <c r="AN1862" s="261"/>
      <c r="AO1862" s="261"/>
      <c r="AP1862" s="261"/>
      <c r="AQ1862" s="261"/>
      <c r="AR1862" s="261"/>
      <c r="AS1862" s="261"/>
      <c r="AT1862" s="261"/>
      <c r="AU1862" s="261"/>
      <c r="AV1862" s="261"/>
      <c r="AW1862" s="261"/>
      <c r="AX1862" s="261"/>
      <c r="AY1862" s="261"/>
      <c r="AZ1862" s="261"/>
      <c r="BA1862" s="261"/>
      <c r="BB1862" s="261"/>
      <c r="BC1862" s="261"/>
      <c r="BD1862" s="261"/>
      <c r="BE1862" s="261"/>
      <c r="BF1862" s="261"/>
      <c r="BG1862" s="261"/>
      <c r="BH1862" s="261"/>
      <c r="BI1862" s="261"/>
      <c r="BJ1862" s="261"/>
      <c r="BK1862" s="261"/>
      <c r="BL1862" s="261"/>
      <c r="BM1862" s="261"/>
      <c r="BN1862" s="261"/>
      <c r="BO1862" s="261"/>
      <c r="BP1862" s="261"/>
      <c r="BQ1862" s="261"/>
      <c r="BR1862" s="261"/>
      <c r="BS1862" s="261"/>
      <c r="BT1862" s="261"/>
      <c r="BU1862" s="261"/>
      <c r="BV1862" s="261"/>
      <c r="BW1862" s="261"/>
      <c r="BX1862" s="261"/>
      <c r="BY1862" s="261"/>
    </row>
    <row r="1863" spans="1:77" s="273" customFormat="1" ht="12" customHeight="1">
      <c r="B1863" s="258" t="s">
        <v>291</v>
      </c>
      <c r="C1863" s="271"/>
      <c r="D1863" s="271"/>
      <c r="E1863" s="272" t="s">
        <v>1469</v>
      </c>
      <c r="F1863" s="261" t="s">
        <v>875</v>
      </c>
      <c r="G1863" s="262" t="s">
        <v>280</v>
      </c>
      <c r="H1863" s="273" t="s">
        <v>183</v>
      </c>
      <c r="I1863" s="273" t="s">
        <v>33</v>
      </c>
      <c r="J1863" s="277">
        <v>30747.599999999999</v>
      </c>
      <c r="L1863" s="277">
        <v>26</v>
      </c>
      <c r="M1863" s="277">
        <v>26</v>
      </c>
      <c r="N1863" s="275">
        <v>0</v>
      </c>
      <c r="O1863" s="278">
        <v>0.25</v>
      </c>
      <c r="P1863" s="278"/>
      <c r="Q1863" s="275">
        <v>0</v>
      </c>
      <c r="R1863" s="261" t="s">
        <v>281</v>
      </c>
      <c r="S1863" s="267" t="s">
        <v>228</v>
      </c>
      <c r="T1863" s="267">
        <v>18</v>
      </c>
      <c r="U1863" s="274" t="s">
        <v>164</v>
      </c>
      <c r="V1863" s="454"/>
      <c r="X1863" s="275">
        <v>0</v>
      </c>
      <c r="Y1863" s="275"/>
      <c r="AG1863" s="273">
        <f t="shared" si="29"/>
        <v>0</v>
      </c>
      <c r="AJ1863" s="642"/>
    </row>
    <row r="1864" spans="1:77" s="273" customFormat="1" ht="12" customHeight="1">
      <c r="B1864" s="258" t="s">
        <v>291</v>
      </c>
      <c r="C1864" s="271"/>
      <c r="D1864" s="271"/>
      <c r="E1864" s="272" t="s">
        <v>1469</v>
      </c>
      <c r="F1864" s="261" t="s">
        <v>875</v>
      </c>
      <c r="G1864" s="262" t="s">
        <v>280</v>
      </c>
      <c r="H1864" s="273" t="s">
        <v>137</v>
      </c>
      <c r="I1864" s="273" t="s">
        <v>33</v>
      </c>
      <c r="J1864" s="277">
        <v>22542</v>
      </c>
      <c r="L1864" s="277">
        <v>17</v>
      </c>
      <c r="M1864" s="277">
        <v>17</v>
      </c>
      <c r="N1864" s="275">
        <v>0</v>
      </c>
      <c r="O1864" s="278">
        <v>0.25</v>
      </c>
      <c r="P1864" s="278"/>
      <c r="Q1864" s="275">
        <v>0</v>
      </c>
      <c r="R1864" s="261" t="s">
        <v>281</v>
      </c>
      <c r="S1864" s="267" t="s">
        <v>228</v>
      </c>
      <c r="T1864" s="267">
        <v>18</v>
      </c>
      <c r="U1864" s="274" t="s">
        <v>164</v>
      </c>
      <c r="V1864" s="454"/>
      <c r="X1864" s="275">
        <v>0</v>
      </c>
      <c r="Y1864" s="275"/>
      <c r="AG1864" s="273">
        <f t="shared" si="29"/>
        <v>0</v>
      </c>
      <c r="AJ1864" s="642"/>
    </row>
    <row r="1865" spans="1:77" s="273" customFormat="1" ht="12" customHeight="1">
      <c r="B1865" s="258" t="s">
        <v>291</v>
      </c>
      <c r="C1865" s="271"/>
      <c r="D1865" s="271"/>
      <c r="E1865" s="272" t="s">
        <v>1469</v>
      </c>
      <c r="F1865" s="261" t="s">
        <v>875</v>
      </c>
      <c r="G1865" s="262" t="s">
        <v>280</v>
      </c>
      <c r="H1865" s="273" t="s">
        <v>163</v>
      </c>
      <c r="I1865" s="273" t="s">
        <v>33</v>
      </c>
      <c r="J1865" s="277">
        <v>16855.5</v>
      </c>
      <c r="L1865" s="277">
        <v>15</v>
      </c>
      <c r="M1865" s="277">
        <v>15</v>
      </c>
      <c r="N1865" s="275">
        <v>0</v>
      </c>
      <c r="O1865" s="278">
        <v>0.25</v>
      </c>
      <c r="P1865" s="278"/>
      <c r="Q1865" s="275">
        <v>0</v>
      </c>
      <c r="R1865" s="261" t="s">
        <v>281</v>
      </c>
      <c r="S1865" s="267" t="s">
        <v>228</v>
      </c>
      <c r="T1865" s="267">
        <v>18</v>
      </c>
      <c r="U1865" s="274" t="s">
        <v>164</v>
      </c>
      <c r="V1865" s="454"/>
      <c r="X1865" s="275">
        <v>0</v>
      </c>
      <c r="Y1865" s="275"/>
      <c r="AG1865" s="273">
        <f t="shared" si="29"/>
        <v>0</v>
      </c>
      <c r="AJ1865" s="642"/>
    </row>
    <row r="1866" spans="1:77" s="273" customFormat="1" ht="12" customHeight="1">
      <c r="B1866" s="258" t="s">
        <v>291</v>
      </c>
      <c r="C1866" s="271"/>
      <c r="D1866" s="271"/>
      <c r="E1866" s="272" t="s">
        <v>1469</v>
      </c>
      <c r="F1866" s="261" t="s">
        <v>875</v>
      </c>
      <c r="G1866" s="262" t="s">
        <v>280</v>
      </c>
      <c r="H1866" s="273" t="s">
        <v>442</v>
      </c>
      <c r="I1866" s="273" t="s">
        <v>33</v>
      </c>
      <c r="J1866" s="277">
        <v>8370</v>
      </c>
      <c r="L1866" s="277">
        <v>12</v>
      </c>
      <c r="M1866" s="277">
        <v>12</v>
      </c>
      <c r="N1866" s="275">
        <v>0</v>
      </c>
      <c r="O1866" s="278">
        <v>0.25</v>
      </c>
      <c r="P1866" s="278"/>
      <c r="Q1866" s="275">
        <v>0</v>
      </c>
      <c r="R1866" s="261" t="s">
        <v>281</v>
      </c>
      <c r="S1866" s="267" t="s">
        <v>228</v>
      </c>
      <c r="T1866" s="267">
        <v>18</v>
      </c>
      <c r="U1866" s="274" t="s">
        <v>164</v>
      </c>
      <c r="V1866" s="454"/>
      <c r="X1866" s="275">
        <v>0</v>
      </c>
      <c r="Y1866" s="275"/>
      <c r="AG1866" s="273">
        <f t="shared" si="29"/>
        <v>0</v>
      </c>
      <c r="AJ1866" s="642"/>
    </row>
    <row r="1867" spans="1:77" s="273" customFormat="1" ht="12" customHeight="1">
      <c r="B1867" s="258" t="s">
        <v>291</v>
      </c>
      <c r="C1867" s="271"/>
      <c r="D1867" s="271"/>
      <c r="E1867" s="272" t="s">
        <v>1469</v>
      </c>
      <c r="F1867" s="261" t="s">
        <v>875</v>
      </c>
      <c r="G1867" s="262" t="s">
        <v>280</v>
      </c>
      <c r="H1867" s="273" t="s">
        <v>27</v>
      </c>
      <c r="I1867" s="273" t="s">
        <v>33</v>
      </c>
      <c r="J1867" s="277">
        <v>32906.5</v>
      </c>
      <c r="L1867" s="277">
        <v>19.3</v>
      </c>
      <c r="M1867" s="277">
        <v>19.3</v>
      </c>
      <c r="N1867" s="275">
        <v>0</v>
      </c>
      <c r="O1867" s="278">
        <v>0.25</v>
      </c>
      <c r="P1867" s="278"/>
      <c r="Q1867" s="275">
        <v>0</v>
      </c>
      <c r="R1867" s="261" t="s">
        <v>281</v>
      </c>
      <c r="S1867" s="267" t="s">
        <v>228</v>
      </c>
      <c r="T1867" s="267">
        <v>18</v>
      </c>
      <c r="U1867" s="274" t="s">
        <v>164</v>
      </c>
      <c r="V1867" s="454"/>
      <c r="X1867" s="275">
        <v>0</v>
      </c>
      <c r="Y1867" s="275"/>
      <c r="AG1867" s="273">
        <f t="shared" si="29"/>
        <v>0</v>
      </c>
      <c r="AJ1867" s="642"/>
    </row>
    <row r="1868" spans="1:77" s="394" customFormat="1" ht="12" customHeight="1">
      <c r="A1868" s="472"/>
      <c r="B1868" s="486" t="s">
        <v>291</v>
      </c>
      <c r="C1868" s="474"/>
      <c r="D1868" s="474"/>
      <c r="E1868" s="475" t="s">
        <v>1470</v>
      </c>
      <c r="F1868" s="473" t="s">
        <v>1471</v>
      </c>
      <c r="G1868" s="489" t="s">
        <v>1472</v>
      </c>
      <c r="H1868" s="472" t="s">
        <v>866</v>
      </c>
      <c r="I1868" s="472" t="s">
        <v>888</v>
      </c>
      <c r="J1868" s="477">
        <v>14879.28</v>
      </c>
      <c r="K1868" s="472"/>
      <c r="L1868" s="477">
        <v>9.8800000000000008</v>
      </c>
      <c r="M1868" s="477">
        <v>9.8800000000000008</v>
      </c>
      <c r="N1868" s="478"/>
      <c r="O1868" s="480">
        <v>0.25</v>
      </c>
      <c r="P1868" s="480"/>
      <c r="Q1868" s="478">
        <v>3611.14</v>
      </c>
      <c r="R1868" s="473" t="s">
        <v>285</v>
      </c>
      <c r="S1868" s="481" t="s">
        <v>275</v>
      </c>
      <c r="T1868" s="481">
        <v>21</v>
      </c>
      <c r="U1868" s="483" t="s">
        <v>164</v>
      </c>
      <c r="V1868" s="484"/>
      <c r="W1868" s="472"/>
      <c r="X1868" s="478">
        <v>3611.14</v>
      </c>
      <c r="Y1868" s="478"/>
      <c r="Z1868" s="472"/>
      <c r="AA1868" s="472"/>
      <c r="AB1868" s="472"/>
      <c r="AC1868" s="472"/>
      <c r="AD1868" s="472"/>
      <c r="AE1868" s="472"/>
      <c r="AF1868" s="472"/>
      <c r="AG1868" s="472"/>
      <c r="AH1868" s="472"/>
      <c r="AI1868" s="472"/>
      <c r="AJ1868" s="485"/>
      <c r="AK1868" s="506">
        <v>3611.14</v>
      </c>
      <c r="AL1868" s="472"/>
      <c r="AM1868" s="472"/>
      <c r="AN1868" s="472"/>
      <c r="AO1868" s="472"/>
      <c r="AP1868" s="472"/>
      <c r="AQ1868" s="472"/>
      <c r="AR1868" s="472"/>
      <c r="AS1868" s="472"/>
      <c r="AT1868" s="472"/>
      <c r="AU1868" s="472"/>
      <c r="AV1868" s="472"/>
      <c r="AW1868" s="472"/>
      <c r="AX1868" s="472"/>
      <c r="AY1868" s="472"/>
      <c r="AZ1868" s="472"/>
      <c r="BA1868" s="472"/>
      <c r="BB1868" s="472"/>
      <c r="BC1868" s="472"/>
      <c r="BD1868" s="472"/>
      <c r="BE1868" s="472"/>
      <c r="BF1868" s="472"/>
      <c r="BG1868" s="472"/>
      <c r="BH1868" s="472"/>
      <c r="BI1868" s="472"/>
      <c r="BJ1868" s="472"/>
      <c r="BK1868" s="472"/>
      <c r="BL1868" s="472"/>
      <c r="BM1868" s="472"/>
      <c r="BN1868" s="472"/>
      <c r="BO1868" s="472"/>
      <c r="BP1868" s="472"/>
      <c r="BQ1868" s="472"/>
      <c r="BR1868" s="472"/>
      <c r="BS1868" s="472"/>
      <c r="BT1868" s="472"/>
      <c r="BU1868" s="472"/>
      <c r="BV1868" s="472"/>
      <c r="BW1868" s="472"/>
      <c r="BX1868" s="472"/>
      <c r="BY1868" s="472"/>
    </row>
    <row r="1869" spans="1:77" s="117" customFormat="1" ht="12" customHeight="1">
      <c r="A1869" s="472"/>
      <c r="B1869" s="486" t="s">
        <v>291</v>
      </c>
      <c r="C1869" s="474"/>
      <c r="D1869" s="474"/>
      <c r="E1869" s="475" t="s">
        <v>1470</v>
      </c>
      <c r="F1869" s="473" t="s">
        <v>1471</v>
      </c>
      <c r="G1869" s="489" t="s">
        <v>1472</v>
      </c>
      <c r="H1869" s="472" t="s">
        <v>310</v>
      </c>
      <c r="I1869" s="472" t="s">
        <v>888</v>
      </c>
      <c r="J1869" s="477">
        <v>9087.6200000000008</v>
      </c>
      <c r="K1869" s="472"/>
      <c r="L1869" s="477">
        <v>13.14</v>
      </c>
      <c r="M1869" s="477">
        <v>13.14</v>
      </c>
      <c r="N1869" s="478"/>
      <c r="O1869" s="480">
        <v>0.25</v>
      </c>
      <c r="P1869" s="480"/>
      <c r="Q1869" s="478">
        <v>495.38</v>
      </c>
      <c r="R1869" s="473" t="s">
        <v>285</v>
      </c>
      <c r="S1869" s="481" t="s">
        <v>275</v>
      </c>
      <c r="T1869" s="481">
        <v>21</v>
      </c>
      <c r="U1869" s="483" t="s">
        <v>164</v>
      </c>
      <c r="V1869" s="484"/>
      <c r="W1869" s="472"/>
      <c r="X1869" s="478">
        <v>495.38</v>
      </c>
      <c r="Y1869" s="478"/>
      <c r="Z1869" s="472"/>
      <c r="AA1869" s="472"/>
      <c r="AB1869" s="472"/>
      <c r="AC1869" s="472"/>
      <c r="AD1869" s="472"/>
      <c r="AE1869" s="472"/>
      <c r="AF1869" s="472"/>
      <c r="AG1869" s="472"/>
      <c r="AH1869" s="472"/>
      <c r="AI1869" s="472"/>
      <c r="AJ1869" s="485"/>
      <c r="AK1869" s="506">
        <v>495.38</v>
      </c>
      <c r="AL1869" s="472"/>
      <c r="AM1869" s="472"/>
      <c r="AN1869" s="472"/>
      <c r="AO1869" s="472"/>
      <c r="AP1869" s="472"/>
      <c r="AQ1869" s="472"/>
      <c r="AR1869" s="472"/>
      <c r="AS1869" s="472"/>
      <c r="AT1869" s="472"/>
      <c r="AU1869" s="472"/>
      <c r="AV1869" s="472"/>
      <c r="AW1869" s="472"/>
      <c r="AX1869" s="472"/>
      <c r="AY1869" s="472"/>
      <c r="AZ1869" s="472"/>
      <c r="BA1869" s="472"/>
      <c r="BB1869" s="472"/>
      <c r="BC1869" s="472"/>
      <c r="BD1869" s="472"/>
      <c r="BE1869" s="472"/>
      <c r="BF1869" s="472"/>
      <c r="BG1869" s="472"/>
      <c r="BH1869" s="472"/>
      <c r="BI1869" s="472"/>
      <c r="BJ1869" s="472"/>
      <c r="BK1869" s="472"/>
      <c r="BL1869" s="472"/>
      <c r="BM1869" s="472"/>
      <c r="BN1869" s="472"/>
      <c r="BO1869" s="472"/>
      <c r="BP1869" s="472"/>
      <c r="BQ1869" s="472"/>
      <c r="BR1869" s="472"/>
      <c r="BS1869" s="472"/>
      <c r="BT1869" s="472"/>
      <c r="BU1869" s="472"/>
      <c r="BV1869" s="472"/>
      <c r="BW1869" s="472"/>
      <c r="BX1869" s="472"/>
      <c r="BY1869" s="472"/>
    </row>
    <row r="1870" spans="1:77" s="394" customFormat="1" ht="12" customHeight="1">
      <c r="B1870" s="380" t="s">
        <v>291</v>
      </c>
      <c r="C1870" s="392">
        <v>44711</v>
      </c>
      <c r="D1870" s="392">
        <v>44711</v>
      </c>
      <c r="E1870" s="393" t="s">
        <v>1470</v>
      </c>
      <c r="F1870" s="379" t="s">
        <v>1471</v>
      </c>
      <c r="G1870" s="383" t="s">
        <v>1472</v>
      </c>
      <c r="H1870" s="394" t="s">
        <v>99</v>
      </c>
      <c r="I1870" s="394" t="s">
        <v>888</v>
      </c>
      <c r="J1870" s="395">
        <v>84183.3</v>
      </c>
      <c r="L1870" s="395">
        <v>81</v>
      </c>
      <c r="M1870" s="395">
        <v>81</v>
      </c>
      <c r="N1870" s="396"/>
      <c r="O1870" s="397">
        <v>0.25</v>
      </c>
      <c r="P1870" s="397"/>
      <c r="Q1870" s="396">
        <v>0</v>
      </c>
      <c r="R1870" s="379" t="s">
        <v>285</v>
      </c>
      <c r="S1870" s="388" t="s">
        <v>275</v>
      </c>
      <c r="T1870" s="388">
        <v>21</v>
      </c>
      <c r="U1870" s="398" t="s">
        <v>164</v>
      </c>
      <c r="V1870" s="449"/>
      <c r="X1870" s="396">
        <v>0</v>
      </c>
      <c r="Y1870" s="396"/>
      <c r="AJ1870" s="390">
        <v>0</v>
      </c>
    </row>
    <row r="1871" spans="1:77" s="394" customFormat="1" ht="12" customHeight="1">
      <c r="B1871" s="380" t="s">
        <v>291</v>
      </c>
      <c r="C1871" s="392"/>
      <c r="D1871" s="392"/>
      <c r="E1871" s="393" t="s">
        <v>1470</v>
      </c>
      <c r="F1871" s="379" t="s">
        <v>1471</v>
      </c>
      <c r="G1871" s="383" t="s">
        <v>1472</v>
      </c>
      <c r="H1871" s="394" t="s">
        <v>137</v>
      </c>
      <c r="I1871" s="394" t="s">
        <v>888</v>
      </c>
      <c r="J1871" s="395">
        <v>6772.08</v>
      </c>
      <c r="L1871" s="395">
        <v>8.34</v>
      </c>
      <c r="M1871" s="395">
        <v>8.34</v>
      </c>
      <c r="N1871" s="396">
        <f>J1871-0.3</f>
        <v>6771.78</v>
      </c>
      <c r="O1871" s="397">
        <v>0.25</v>
      </c>
      <c r="P1871" s="397"/>
      <c r="Q1871" s="396">
        <v>0</v>
      </c>
      <c r="R1871" s="379" t="s">
        <v>285</v>
      </c>
      <c r="S1871" s="388" t="s">
        <v>275</v>
      </c>
      <c r="T1871" s="388">
        <v>21</v>
      </c>
      <c r="U1871" s="398" t="s">
        <v>164</v>
      </c>
      <c r="V1871" s="449"/>
      <c r="X1871" s="396">
        <v>0</v>
      </c>
      <c r="Y1871" s="396"/>
      <c r="AJ1871" s="390">
        <v>0</v>
      </c>
      <c r="AK1871" s="379"/>
      <c r="AL1871" s="379"/>
      <c r="AM1871" s="379"/>
      <c r="AN1871" s="379"/>
      <c r="AO1871" s="379"/>
      <c r="AP1871" s="379"/>
      <c r="AQ1871" s="379"/>
      <c r="AR1871" s="379"/>
      <c r="AS1871" s="379"/>
      <c r="AT1871" s="379"/>
      <c r="AU1871" s="379"/>
      <c r="AV1871" s="379"/>
      <c r="AW1871" s="379"/>
      <c r="AX1871" s="379"/>
      <c r="AY1871" s="379"/>
      <c r="AZ1871" s="379"/>
      <c r="BA1871" s="379"/>
      <c r="BB1871" s="379"/>
      <c r="BC1871" s="379"/>
      <c r="BD1871" s="379"/>
      <c r="BE1871" s="379"/>
      <c r="BF1871" s="379"/>
      <c r="BG1871" s="379"/>
      <c r="BH1871" s="379"/>
      <c r="BI1871" s="379"/>
      <c r="BJ1871" s="379"/>
      <c r="BK1871" s="379"/>
      <c r="BL1871" s="379"/>
      <c r="BM1871" s="379"/>
      <c r="BN1871" s="379"/>
      <c r="BO1871" s="379"/>
      <c r="BP1871" s="379"/>
      <c r="BQ1871" s="379"/>
      <c r="BR1871" s="379"/>
      <c r="BS1871" s="379"/>
      <c r="BT1871" s="379"/>
      <c r="BU1871" s="379"/>
      <c r="BV1871" s="379"/>
      <c r="BW1871" s="379"/>
      <c r="BX1871" s="379"/>
      <c r="BY1871" s="379"/>
    </row>
    <row r="1872" spans="1:77" s="472" customFormat="1" ht="12" customHeight="1">
      <c r="A1872" s="394"/>
      <c r="B1872" s="380" t="s">
        <v>291</v>
      </c>
      <c r="C1872" s="392"/>
      <c r="D1872" s="392"/>
      <c r="E1872" s="393" t="s">
        <v>1470</v>
      </c>
      <c r="F1872" s="379" t="s">
        <v>1471</v>
      </c>
      <c r="G1872" s="383" t="s">
        <v>1472</v>
      </c>
      <c r="H1872" s="394" t="s">
        <v>183</v>
      </c>
      <c r="I1872" s="394" t="s">
        <v>888</v>
      </c>
      <c r="J1872" s="395">
        <v>37860.35</v>
      </c>
      <c r="K1872" s="394"/>
      <c r="L1872" s="395">
        <v>36.229999999999997</v>
      </c>
      <c r="M1872" s="395">
        <v>36.229999999999997</v>
      </c>
      <c r="N1872" s="396"/>
      <c r="O1872" s="397">
        <v>0.25</v>
      </c>
      <c r="P1872" s="397"/>
      <c r="Q1872" s="396">
        <v>0</v>
      </c>
      <c r="R1872" s="379" t="s">
        <v>285</v>
      </c>
      <c r="S1872" s="388" t="s">
        <v>275</v>
      </c>
      <c r="T1872" s="388">
        <v>21</v>
      </c>
      <c r="U1872" s="398" t="s">
        <v>164</v>
      </c>
      <c r="V1872" s="449"/>
      <c r="W1872" s="394"/>
      <c r="X1872" s="396">
        <v>0</v>
      </c>
      <c r="Y1872" s="396"/>
      <c r="Z1872" s="394"/>
      <c r="AA1872" s="394"/>
      <c r="AB1872" s="394"/>
      <c r="AC1872" s="394"/>
      <c r="AD1872" s="394"/>
      <c r="AE1872" s="394"/>
      <c r="AF1872" s="394"/>
      <c r="AG1872" s="394"/>
      <c r="AH1872" s="394"/>
      <c r="AI1872" s="394"/>
      <c r="AJ1872" s="390">
        <v>0</v>
      </c>
      <c r="AK1872" s="379"/>
      <c r="AL1872" s="379"/>
      <c r="AM1872" s="379"/>
      <c r="AN1872" s="379"/>
      <c r="AO1872" s="379"/>
      <c r="AP1872" s="379"/>
      <c r="AQ1872" s="379"/>
      <c r="AR1872" s="379"/>
      <c r="AS1872" s="379"/>
      <c r="AT1872" s="379"/>
      <c r="AU1872" s="379"/>
      <c r="AV1872" s="379"/>
      <c r="AW1872" s="379"/>
      <c r="AX1872" s="379"/>
      <c r="AY1872" s="379"/>
      <c r="AZ1872" s="379"/>
      <c r="BA1872" s="379"/>
      <c r="BB1872" s="379"/>
      <c r="BC1872" s="379"/>
      <c r="BD1872" s="379"/>
      <c r="BE1872" s="379"/>
      <c r="BF1872" s="379"/>
      <c r="BG1872" s="379"/>
      <c r="BH1872" s="379"/>
      <c r="BI1872" s="379"/>
      <c r="BJ1872" s="379"/>
      <c r="BK1872" s="379"/>
      <c r="BL1872" s="379"/>
      <c r="BM1872" s="379"/>
      <c r="BN1872" s="379"/>
      <c r="BO1872" s="379"/>
      <c r="BP1872" s="379"/>
      <c r="BQ1872" s="379"/>
      <c r="BR1872" s="379"/>
      <c r="BS1872" s="379"/>
      <c r="BT1872" s="379"/>
      <c r="BU1872" s="379"/>
      <c r="BV1872" s="379"/>
      <c r="BW1872" s="379"/>
      <c r="BX1872" s="379"/>
      <c r="BY1872" s="379"/>
    </row>
    <row r="1873" spans="1:77" s="472" customFormat="1" ht="12" customHeight="1">
      <c r="A1873" s="394"/>
      <c r="B1873" s="380" t="s">
        <v>291</v>
      </c>
      <c r="C1873" s="392"/>
      <c r="D1873" s="392"/>
      <c r="E1873" s="393" t="s">
        <v>1470</v>
      </c>
      <c r="F1873" s="379" t="s">
        <v>1471</v>
      </c>
      <c r="G1873" s="383" t="s">
        <v>1472</v>
      </c>
      <c r="H1873" s="394" t="s">
        <v>765</v>
      </c>
      <c r="I1873" s="394" t="s">
        <v>888</v>
      </c>
      <c r="J1873" s="395">
        <v>29458.3</v>
      </c>
      <c r="K1873" s="394"/>
      <c r="L1873" s="395">
        <v>26.42</v>
      </c>
      <c r="M1873" s="395">
        <v>26.42</v>
      </c>
      <c r="N1873" s="396"/>
      <c r="O1873" s="397">
        <v>0.25</v>
      </c>
      <c r="P1873" s="397"/>
      <c r="Q1873" s="396">
        <v>0</v>
      </c>
      <c r="R1873" s="379" t="s">
        <v>285</v>
      </c>
      <c r="S1873" s="388" t="s">
        <v>275</v>
      </c>
      <c r="T1873" s="388">
        <v>21</v>
      </c>
      <c r="U1873" s="398" t="s">
        <v>164</v>
      </c>
      <c r="V1873" s="449"/>
      <c r="W1873" s="394"/>
      <c r="X1873" s="396">
        <v>0</v>
      </c>
      <c r="Y1873" s="396"/>
      <c r="Z1873" s="394"/>
      <c r="AA1873" s="394"/>
      <c r="AB1873" s="394"/>
      <c r="AC1873" s="394"/>
      <c r="AD1873" s="394"/>
      <c r="AE1873" s="394"/>
      <c r="AF1873" s="394"/>
      <c r="AG1873" s="394"/>
      <c r="AH1873" s="394"/>
      <c r="AI1873" s="394"/>
      <c r="AJ1873" s="390">
        <v>0</v>
      </c>
      <c r="AK1873" s="394"/>
      <c r="AL1873" s="394"/>
      <c r="AM1873" s="394"/>
      <c r="AN1873" s="394"/>
      <c r="AO1873" s="394"/>
      <c r="AP1873" s="394"/>
      <c r="AQ1873" s="394"/>
      <c r="AR1873" s="394"/>
      <c r="AS1873" s="394"/>
      <c r="AT1873" s="394"/>
      <c r="AU1873" s="394"/>
      <c r="AV1873" s="394"/>
      <c r="AW1873" s="394"/>
      <c r="AX1873" s="394"/>
      <c r="AY1873" s="394"/>
      <c r="AZ1873" s="394"/>
      <c r="BA1873" s="394"/>
      <c r="BB1873" s="394"/>
      <c r="BC1873" s="394"/>
      <c r="BD1873" s="394"/>
      <c r="BE1873" s="394"/>
      <c r="BF1873" s="394"/>
      <c r="BG1873" s="394"/>
      <c r="BH1873" s="394"/>
      <c r="BI1873" s="394"/>
      <c r="BJ1873" s="394"/>
      <c r="BK1873" s="394"/>
      <c r="BL1873" s="394"/>
      <c r="BM1873" s="394"/>
      <c r="BN1873" s="394"/>
      <c r="BO1873" s="394"/>
      <c r="BP1873" s="394"/>
      <c r="BQ1873" s="394"/>
      <c r="BR1873" s="394"/>
      <c r="BS1873" s="394"/>
      <c r="BT1873" s="394"/>
      <c r="BU1873" s="394"/>
      <c r="BV1873" s="394"/>
      <c r="BW1873" s="394"/>
      <c r="BX1873" s="394"/>
      <c r="BY1873" s="394"/>
    </row>
    <row r="1874" spans="1:77" s="341" customFormat="1" ht="12" customHeight="1">
      <c r="A1874" s="472"/>
      <c r="B1874" s="486" t="s">
        <v>291</v>
      </c>
      <c r="C1874" s="474"/>
      <c r="D1874" s="474"/>
      <c r="E1874" s="475" t="s">
        <v>1473</v>
      </c>
      <c r="F1874" s="472" t="s">
        <v>605</v>
      </c>
      <c r="G1874" s="476">
        <v>3584</v>
      </c>
      <c r="H1874" s="472" t="s">
        <v>866</v>
      </c>
      <c r="I1874" s="472" t="s">
        <v>33</v>
      </c>
      <c r="J1874" s="477">
        <v>11308.8</v>
      </c>
      <c r="K1874" s="472"/>
      <c r="L1874" s="477">
        <v>11.4</v>
      </c>
      <c r="M1874" s="477">
        <v>11.03</v>
      </c>
      <c r="N1874" s="478"/>
      <c r="O1874" s="493">
        <v>0.15</v>
      </c>
      <c r="P1874" s="480"/>
      <c r="Q1874" s="478">
        <v>0</v>
      </c>
      <c r="R1874" s="473" t="s">
        <v>77</v>
      </c>
      <c r="S1874" s="481" t="s">
        <v>41</v>
      </c>
      <c r="T1874" s="481">
        <v>16</v>
      </c>
      <c r="U1874" s="483" t="s">
        <v>164</v>
      </c>
      <c r="V1874" s="484"/>
      <c r="W1874" s="472"/>
      <c r="X1874" s="478">
        <v>0</v>
      </c>
      <c r="Y1874" s="478"/>
      <c r="Z1874" s="472"/>
      <c r="AA1874" s="472"/>
      <c r="AB1874" s="472"/>
      <c r="AC1874" s="472"/>
      <c r="AD1874" s="472"/>
      <c r="AE1874" s="472"/>
      <c r="AF1874" s="472"/>
      <c r="AG1874" s="472"/>
      <c r="AH1874" s="472"/>
      <c r="AI1874" s="472"/>
      <c r="AJ1874" s="485"/>
      <c r="AK1874" s="472">
        <v>0</v>
      </c>
      <c r="AL1874" s="472"/>
      <c r="AM1874" s="472"/>
      <c r="AN1874" s="472"/>
      <c r="AO1874" s="472"/>
      <c r="AP1874" s="472"/>
      <c r="AQ1874" s="472"/>
      <c r="AR1874" s="472"/>
      <c r="AS1874" s="472"/>
      <c r="AT1874" s="472"/>
      <c r="AU1874" s="472"/>
      <c r="AV1874" s="472"/>
      <c r="AW1874" s="472"/>
      <c r="AX1874" s="472"/>
      <c r="AY1874" s="472"/>
      <c r="AZ1874" s="472"/>
      <c r="BA1874" s="472"/>
      <c r="BB1874" s="472"/>
      <c r="BC1874" s="472"/>
      <c r="BD1874" s="472"/>
      <c r="BE1874" s="472"/>
      <c r="BF1874" s="472"/>
      <c r="BG1874" s="472"/>
      <c r="BH1874" s="472"/>
      <c r="BI1874" s="472"/>
      <c r="BJ1874" s="472"/>
      <c r="BK1874" s="472"/>
      <c r="BL1874" s="472"/>
      <c r="BM1874" s="472"/>
      <c r="BN1874" s="472"/>
      <c r="BO1874" s="472"/>
      <c r="BP1874" s="472"/>
      <c r="BQ1874" s="472"/>
      <c r="BR1874" s="472"/>
      <c r="BS1874" s="472"/>
      <c r="BT1874" s="472"/>
      <c r="BU1874" s="472"/>
      <c r="BV1874" s="472"/>
      <c r="BW1874" s="472"/>
      <c r="BX1874" s="472"/>
      <c r="BY1874" s="472"/>
    </row>
    <row r="1875" spans="1:77" s="341" customFormat="1" ht="12" customHeight="1">
      <c r="B1875" s="338" t="s">
        <v>291</v>
      </c>
      <c r="C1875" s="339">
        <v>44711</v>
      </c>
      <c r="D1875" s="339">
        <v>44711</v>
      </c>
      <c r="E1875" s="340" t="s">
        <v>1473</v>
      </c>
      <c r="F1875" s="341" t="s">
        <v>605</v>
      </c>
      <c r="G1875" s="342">
        <v>3584</v>
      </c>
      <c r="H1875" s="341" t="s">
        <v>295</v>
      </c>
      <c r="I1875" s="341" t="s">
        <v>33</v>
      </c>
      <c r="J1875" s="343">
        <v>13563</v>
      </c>
      <c r="L1875" s="343">
        <v>22</v>
      </c>
      <c r="M1875" s="343">
        <v>21.15</v>
      </c>
      <c r="N1875" s="344"/>
      <c r="O1875" s="355">
        <v>0.15</v>
      </c>
      <c r="P1875" s="345"/>
      <c r="Q1875" s="344">
        <v>3204.69</v>
      </c>
      <c r="R1875" s="337" t="s">
        <v>77</v>
      </c>
      <c r="S1875" s="356" t="s">
        <v>41</v>
      </c>
      <c r="T1875" s="356">
        <v>24</v>
      </c>
      <c r="U1875" s="347" t="s">
        <v>164</v>
      </c>
      <c r="V1875" s="451"/>
      <c r="X1875" s="344">
        <v>3204.69</v>
      </c>
      <c r="Y1875" s="344"/>
      <c r="AI1875" s="344">
        <v>3204.69</v>
      </c>
      <c r="AJ1875" s="358"/>
      <c r="AK1875" s="369"/>
    </row>
    <row r="1876" spans="1:77" s="341" customFormat="1" ht="12" customHeight="1">
      <c r="B1876" s="338" t="s">
        <v>291</v>
      </c>
      <c r="C1876" s="339"/>
      <c r="D1876" s="339"/>
      <c r="E1876" s="340" t="s">
        <v>1473</v>
      </c>
      <c r="F1876" s="341" t="s">
        <v>605</v>
      </c>
      <c r="G1876" s="342">
        <v>3584</v>
      </c>
      <c r="H1876" s="341" t="s">
        <v>912</v>
      </c>
      <c r="I1876" s="341" t="s">
        <v>33</v>
      </c>
      <c r="J1876" s="343">
        <v>39501</v>
      </c>
      <c r="L1876" s="343">
        <v>23.94</v>
      </c>
      <c r="M1876" s="343">
        <v>24.74</v>
      </c>
      <c r="N1876" s="344">
        <f>J1876*0.4</f>
        <v>15800.400000000001</v>
      </c>
      <c r="O1876" s="355">
        <v>0.15</v>
      </c>
      <c r="P1876" s="345"/>
      <c r="Q1876" s="344">
        <v>10422.959999999999</v>
      </c>
      <c r="R1876" s="337" t="s">
        <v>77</v>
      </c>
      <c r="S1876" s="356" t="s">
        <v>41</v>
      </c>
      <c r="T1876" s="356">
        <v>16</v>
      </c>
      <c r="U1876" s="347" t="s">
        <v>164</v>
      </c>
      <c r="V1876" s="451"/>
      <c r="X1876" s="344">
        <v>10422.959999999999</v>
      </c>
      <c r="Y1876" s="344"/>
      <c r="AI1876" s="344">
        <v>10422.959999999999</v>
      </c>
      <c r="AJ1876" s="358"/>
      <c r="AK1876" s="369"/>
    </row>
    <row r="1877" spans="1:77" s="303" customFormat="1" ht="12" customHeight="1">
      <c r="B1877" s="310" t="s">
        <v>291</v>
      </c>
      <c r="C1877" s="301"/>
      <c r="D1877" s="301"/>
      <c r="E1877" s="302" t="s">
        <v>1473</v>
      </c>
      <c r="F1877" s="303" t="s">
        <v>605</v>
      </c>
      <c r="G1877" s="304">
        <v>3584</v>
      </c>
      <c r="H1877" s="303" t="s">
        <v>99</v>
      </c>
      <c r="I1877" s="303" t="s">
        <v>33</v>
      </c>
      <c r="J1877" s="305">
        <v>20501.599999999999</v>
      </c>
      <c r="L1877" s="305">
        <v>24.5</v>
      </c>
      <c r="M1877" s="305">
        <v>23.28</v>
      </c>
      <c r="N1877" s="306">
        <f>J1877*0.2</f>
        <v>4100.32</v>
      </c>
      <c r="O1877" s="298">
        <v>0.15</v>
      </c>
      <c r="P1877" s="307"/>
      <c r="Q1877" s="306">
        <v>0</v>
      </c>
      <c r="R1877" s="291" t="s">
        <v>35</v>
      </c>
      <c r="S1877" s="299" t="s">
        <v>41</v>
      </c>
      <c r="T1877" s="299">
        <v>16</v>
      </c>
      <c r="U1877" s="309" t="s">
        <v>164</v>
      </c>
      <c r="V1877" s="447"/>
      <c r="X1877" s="306">
        <v>0</v>
      </c>
      <c r="Y1877" s="306"/>
      <c r="AH1877" s="303">
        <f>X1877</f>
        <v>0</v>
      </c>
      <c r="AI1877" s="311"/>
      <c r="AJ1877" s="468"/>
    </row>
    <row r="1878" spans="1:77" s="303" customFormat="1" ht="12" customHeight="1">
      <c r="B1878" s="310" t="s">
        <v>291</v>
      </c>
      <c r="C1878" s="301"/>
      <c r="D1878" s="301"/>
      <c r="E1878" s="302" t="s">
        <v>1473</v>
      </c>
      <c r="F1878" s="303" t="s">
        <v>605</v>
      </c>
      <c r="G1878" s="304">
        <v>3584</v>
      </c>
      <c r="H1878" s="303" t="s">
        <v>27</v>
      </c>
      <c r="I1878" s="303" t="s">
        <v>33</v>
      </c>
      <c r="J1878" s="305">
        <v>32841.120000000003</v>
      </c>
      <c r="L1878" s="305">
        <v>30.4</v>
      </c>
      <c r="M1878" s="305">
        <v>30.4</v>
      </c>
      <c r="N1878" s="306"/>
      <c r="O1878" s="298">
        <v>0.15</v>
      </c>
      <c r="P1878" s="307"/>
      <c r="Q1878" s="306">
        <v>0</v>
      </c>
      <c r="R1878" s="291" t="s">
        <v>35</v>
      </c>
      <c r="S1878" s="299" t="s">
        <v>41</v>
      </c>
      <c r="T1878" s="299">
        <v>16</v>
      </c>
      <c r="U1878" s="309" t="s">
        <v>164</v>
      </c>
      <c r="V1878" s="447"/>
      <c r="X1878" s="306">
        <v>0</v>
      </c>
      <c r="Y1878" s="306"/>
      <c r="AH1878" s="303">
        <f>X1878</f>
        <v>0</v>
      </c>
      <c r="AI1878" s="311"/>
      <c r="AJ1878" s="468"/>
    </row>
    <row r="1879" spans="1:77" s="341" customFormat="1" ht="12" customHeight="1">
      <c r="B1879" s="338" t="s">
        <v>291</v>
      </c>
      <c r="C1879" s="339"/>
      <c r="D1879" s="339"/>
      <c r="E1879" s="340" t="s">
        <v>1473</v>
      </c>
      <c r="F1879" s="341" t="s">
        <v>605</v>
      </c>
      <c r="G1879" s="342">
        <v>3584</v>
      </c>
      <c r="H1879" s="341" t="s">
        <v>163</v>
      </c>
      <c r="I1879" s="341" t="s">
        <v>33</v>
      </c>
      <c r="J1879" s="343">
        <v>5503.95</v>
      </c>
      <c r="L1879" s="343">
        <v>8.1</v>
      </c>
      <c r="M1879" s="343">
        <v>9.2200000000000006</v>
      </c>
      <c r="N1879" s="344"/>
      <c r="O1879" s="355">
        <v>0.15</v>
      </c>
      <c r="P1879" s="345"/>
      <c r="Q1879" s="344">
        <v>2457.84</v>
      </c>
      <c r="R1879" s="337" t="s">
        <v>77</v>
      </c>
      <c r="S1879" s="356" t="s">
        <v>41</v>
      </c>
      <c r="T1879" s="356">
        <v>16</v>
      </c>
      <c r="U1879" s="347" t="s">
        <v>164</v>
      </c>
      <c r="V1879" s="451"/>
      <c r="X1879" s="344">
        <v>2457.84</v>
      </c>
      <c r="Y1879" s="344"/>
      <c r="AI1879" s="344">
        <v>2457.84</v>
      </c>
      <c r="AJ1879" s="358"/>
      <c r="AK1879" s="369"/>
    </row>
    <row r="1880" spans="1:77" s="341" customFormat="1" ht="12" customHeight="1">
      <c r="B1880" s="338" t="s">
        <v>291</v>
      </c>
      <c r="C1880" s="339"/>
      <c r="D1880" s="339"/>
      <c r="E1880" s="340" t="s">
        <v>1473</v>
      </c>
      <c r="F1880" s="341" t="s">
        <v>605</v>
      </c>
      <c r="G1880" s="342">
        <v>3584</v>
      </c>
      <c r="H1880" s="341" t="s">
        <v>183</v>
      </c>
      <c r="I1880" s="341" t="s">
        <v>33</v>
      </c>
      <c r="J1880" s="343">
        <v>8749.44</v>
      </c>
      <c r="L1880" s="343">
        <v>12.4</v>
      </c>
      <c r="M1880" s="343">
        <v>12.4</v>
      </c>
      <c r="N1880" s="344">
        <f>J1880*0.2</f>
        <v>1749.8880000000001</v>
      </c>
      <c r="O1880" s="355">
        <v>0.15</v>
      </c>
      <c r="P1880" s="345"/>
      <c r="Q1880" s="344">
        <v>671.58</v>
      </c>
      <c r="R1880" s="337" t="s">
        <v>77</v>
      </c>
      <c r="S1880" s="356" t="s">
        <v>41</v>
      </c>
      <c r="T1880" s="356">
        <v>16</v>
      </c>
      <c r="U1880" s="347" t="s">
        <v>164</v>
      </c>
      <c r="V1880" s="451"/>
      <c r="X1880" s="344">
        <v>671.58</v>
      </c>
      <c r="Y1880" s="344"/>
      <c r="AI1880" s="344">
        <v>671.58</v>
      </c>
      <c r="AJ1880" s="358"/>
      <c r="AK1880" s="369"/>
    </row>
    <row r="1881" spans="1:77" s="394" customFormat="1" ht="12" customHeight="1">
      <c r="A1881" s="341"/>
      <c r="B1881" s="338" t="s">
        <v>291</v>
      </c>
      <c r="C1881" s="339"/>
      <c r="D1881" s="339"/>
      <c r="E1881" s="340" t="s">
        <v>1473</v>
      </c>
      <c r="F1881" s="341" t="s">
        <v>605</v>
      </c>
      <c r="G1881" s="342">
        <v>3584</v>
      </c>
      <c r="H1881" s="341" t="s">
        <v>140</v>
      </c>
      <c r="I1881" s="341" t="s">
        <v>33</v>
      </c>
      <c r="J1881" s="343">
        <v>19987.5</v>
      </c>
      <c r="K1881" s="341"/>
      <c r="L1881" s="343">
        <v>15</v>
      </c>
      <c r="M1881" s="343">
        <v>16.02</v>
      </c>
      <c r="N1881" s="344">
        <f>J1881*0.2</f>
        <v>3997.5</v>
      </c>
      <c r="O1881" s="355">
        <v>0.15</v>
      </c>
      <c r="P1881" s="345"/>
      <c r="Q1881" s="344">
        <v>2385.5</v>
      </c>
      <c r="R1881" s="337" t="s">
        <v>77</v>
      </c>
      <c r="S1881" s="356" t="s">
        <v>41</v>
      </c>
      <c r="T1881" s="356">
        <v>16</v>
      </c>
      <c r="U1881" s="347" t="s">
        <v>164</v>
      </c>
      <c r="V1881" s="451"/>
      <c r="W1881" s="341"/>
      <c r="X1881" s="344">
        <v>2385.5</v>
      </c>
      <c r="Y1881" s="344"/>
      <c r="Z1881" s="341"/>
      <c r="AA1881" s="341"/>
      <c r="AB1881" s="341"/>
      <c r="AC1881" s="341"/>
      <c r="AD1881" s="341"/>
      <c r="AE1881" s="341"/>
      <c r="AF1881" s="341"/>
      <c r="AG1881" s="341"/>
      <c r="AH1881" s="341"/>
      <c r="AI1881" s="344">
        <v>2385.5</v>
      </c>
      <c r="AJ1881" s="358"/>
      <c r="AK1881" s="658"/>
      <c r="AL1881" s="341"/>
      <c r="AM1881" s="341"/>
      <c r="AN1881" s="341"/>
      <c r="AO1881" s="341"/>
      <c r="AP1881" s="341"/>
      <c r="AQ1881" s="341"/>
      <c r="AR1881" s="341"/>
      <c r="AS1881" s="341"/>
      <c r="AT1881" s="341"/>
      <c r="AU1881" s="341"/>
      <c r="AV1881" s="341"/>
      <c r="AW1881" s="341"/>
      <c r="AX1881" s="341"/>
      <c r="AY1881" s="341"/>
      <c r="AZ1881" s="341"/>
      <c r="BA1881" s="341"/>
      <c r="BB1881" s="341"/>
      <c r="BC1881" s="341"/>
      <c r="BD1881" s="341"/>
      <c r="BE1881" s="341"/>
      <c r="BF1881" s="341"/>
      <c r="BG1881" s="341"/>
      <c r="BH1881" s="341"/>
      <c r="BI1881" s="341"/>
      <c r="BJ1881" s="341"/>
      <c r="BK1881" s="341"/>
      <c r="BL1881" s="341"/>
      <c r="BM1881" s="341"/>
      <c r="BN1881" s="341"/>
      <c r="BO1881" s="341"/>
      <c r="BP1881" s="341"/>
      <c r="BQ1881" s="341"/>
      <c r="BR1881" s="341"/>
      <c r="BS1881" s="341"/>
      <c r="BT1881" s="341"/>
      <c r="BU1881" s="341"/>
      <c r="BV1881" s="341"/>
      <c r="BW1881" s="341"/>
      <c r="BX1881" s="341"/>
      <c r="BY1881" s="341"/>
    </row>
    <row r="1882" spans="1:77" s="394" customFormat="1" ht="12" customHeight="1">
      <c r="B1882" s="406" t="s">
        <v>291</v>
      </c>
      <c r="C1882" s="392">
        <v>44711</v>
      </c>
      <c r="D1882" s="392">
        <v>44711</v>
      </c>
      <c r="E1882" s="393" t="s">
        <v>1474</v>
      </c>
      <c r="F1882" s="394" t="s">
        <v>1166</v>
      </c>
      <c r="G1882" s="400" t="s">
        <v>1167</v>
      </c>
      <c r="H1882" s="394" t="s">
        <v>814</v>
      </c>
      <c r="I1882" s="394" t="s">
        <v>732</v>
      </c>
      <c r="J1882" s="395">
        <v>13250.04</v>
      </c>
      <c r="L1882" s="395">
        <v>10.130000000000001</v>
      </c>
      <c r="M1882" s="395">
        <v>10.130000000000001</v>
      </c>
      <c r="N1882" s="396">
        <f>2464.27</f>
        <v>2464.27</v>
      </c>
      <c r="O1882" s="397">
        <v>0.25</v>
      </c>
      <c r="P1882" s="397"/>
      <c r="Q1882" s="396">
        <v>0</v>
      </c>
      <c r="R1882" s="394" t="s">
        <v>112</v>
      </c>
      <c r="S1882" s="399" t="s">
        <v>113</v>
      </c>
      <c r="T1882" s="399">
        <v>64</v>
      </c>
      <c r="U1882" s="398" t="s">
        <v>164</v>
      </c>
      <c r="V1882" s="449"/>
      <c r="X1882" s="396">
        <v>0</v>
      </c>
      <c r="Y1882" s="396"/>
      <c r="AJ1882" s="390">
        <v>0</v>
      </c>
    </row>
    <row r="1883" spans="1:77" s="572" customFormat="1" ht="12" customHeight="1">
      <c r="A1883" s="558"/>
      <c r="B1883" s="559" t="s">
        <v>291</v>
      </c>
      <c r="C1883" s="560">
        <v>44711</v>
      </c>
      <c r="D1883" s="560">
        <v>44711</v>
      </c>
      <c r="E1883" s="561" t="s">
        <v>1475</v>
      </c>
      <c r="F1883" s="558" t="s">
        <v>127</v>
      </c>
      <c r="G1883" s="562">
        <v>4197</v>
      </c>
      <c r="H1883" s="558" t="s">
        <v>910</v>
      </c>
      <c r="I1883" s="558" t="s">
        <v>33</v>
      </c>
      <c r="J1883" s="563">
        <v>182310.72</v>
      </c>
      <c r="K1883" s="558"/>
      <c r="L1883" s="563">
        <v>111.71</v>
      </c>
      <c r="M1883" s="563">
        <v>111.71</v>
      </c>
      <c r="N1883" s="564"/>
      <c r="O1883" s="566">
        <v>0.25</v>
      </c>
      <c r="P1883" s="566"/>
      <c r="Q1883" s="564">
        <v>26859.22</v>
      </c>
      <c r="R1883" s="546" t="s">
        <v>42</v>
      </c>
      <c r="S1883" s="554" t="s">
        <v>41</v>
      </c>
      <c r="T1883" s="554">
        <v>17</v>
      </c>
      <c r="U1883" s="568" t="s">
        <v>164</v>
      </c>
      <c r="V1883" s="569"/>
      <c r="W1883" s="558"/>
      <c r="X1883" s="564">
        <v>26859.22</v>
      </c>
      <c r="Y1883" s="564"/>
      <c r="Z1883" s="558"/>
      <c r="AA1883" s="558"/>
      <c r="AB1883" s="558"/>
      <c r="AC1883" s="558"/>
      <c r="AD1883" s="558"/>
      <c r="AE1883" s="558"/>
      <c r="AF1883" s="558"/>
      <c r="AG1883" s="558"/>
      <c r="AH1883" s="558"/>
      <c r="AI1883" s="558"/>
      <c r="AJ1883" s="557"/>
      <c r="AK1883" s="558"/>
      <c r="AL1883" s="558"/>
      <c r="AM1883" s="579">
        <v>26859.22</v>
      </c>
      <c r="AN1883" s="558"/>
      <c r="AO1883" s="558"/>
      <c r="AP1883" s="558"/>
      <c r="AQ1883" s="558"/>
      <c r="AR1883" s="558"/>
      <c r="AS1883" s="558"/>
      <c r="AT1883" s="558"/>
      <c r="AU1883" s="558"/>
      <c r="AV1883" s="558"/>
      <c r="AW1883" s="558"/>
      <c r="AX1883" s="558"/>
      <c r="AY1883" s="558"/>
      <c r="AZ1883" s="558"/>
      <c r="BA1883" s="558"/>
      <c r="BB1883" s="558"/>
      <c r="BC1883" s="558"/>
      <c r="BD1883" s="558"/>
      <c r="BE1883" s="558"/>
      <c r="BF1883" s="558"/>
      <c r="BG1883" s="558"/>
      <c r="BH1883" s="558"/>
      <c r="BI1883" s="558"/>
      <c r="BJ1883" s="558"/>
      <c r="BK1883" s="558"/>
      <c r="BL1883" s="558"/>
      <c r="BM1883" s="558"/>
      <c r="BN1883" s="558"/>
      <c r="BO1883" s="558"/>
      <c r="BP1883" s="558"/>
      <c r="BQ1883" s="558"/>
      <c r="BR1883" s="558"/>
      <c r="BS1883" s="558"/>
      <c r="BT1883" s="558"/>
      <c r="BU1883" s="558"/>
      <c r="BV1883" s="558"/>
      <c r="BW1883" s="558"/>
      <c r="BX1883" s="558"/>
      <c r="BY1883" s="558"/>
    </row>
    <row r="1884" spans="1:77" s="572" customFormat="1" ht="12" customHeight="1">
      <c r="A1884" s="558"/>
      <c r="B1884" s="559" t="s">
        <v>291</v>
      </c>
      <c r="C1884" s="560"/>
      <c r="D1884" s="560"/>
      <c r="E1884" s="561" t="s">
        <v>1475</v>
      </c>
      <c r="F1884" s="558" t="s">
        <v>127</v>
      </c>
      <c r="G1884" s="562">
        <v>4197</v>
      </c>
      <c r="H1884" s="558" t="s">
        <v>866</v>
      </c>
      <c r="I1884" s="558" t="s">
        <v>33</v>
      </c>
      <c r="J1884" s="563">
        <v>30849</v>
      </c>
      <c r="K1884" s="558"/>
      <c r="L1884" s="563">
        <v>29.38</v>
      </c>
      <c r="M1884" s="563">
        <v>29.38</v>
      </c>
      <c r="N1884" s="564"/>
      <c r="O1884" s="566">
        <v>0.25</v>
      </c>
      <c r="P1884" s="566"/>
      <c r="Q1884" s="564">
        <v>634.61</v>
      </c>
      <c r="R1884" s="546" t="s">
        <v>42</v>
      </c>
      <c r="S1884" s="554" t="s">
        <v>41</v>
      </c>
      <c r="T1884" s="554">
        <v>17</v>
      </c>
      <c r="U1884" s="568" t="s">
        <v>164</v>
      </c>
      <c r="V1884" s="569"/>
      <c r="W1884" s="558"/>
      <c r="X1884" s="564">
        <v>634.61</v>
      </c>
      <c r="Y1884" s="564"/>
      <c r="Z1884" s="558"/>
      <c r="AA1884" s="558"/>
      <c r="AB1884" s="558"/>
      <c r="AC1884" s="558"/>
      <c r="AD1884" s="558"/>
      <c r="AE1884" s="558"/>
      <c r="AF1884" s="558"/>
      <c r="AG1884" s="558"/>
      <c r="AH1884" s="558"/>
      <c r="AI1884" s="558"/>
      <c r="AJ1884" s="557"/>
      <c r="AK1884" s="558"/>
      <c r="AL1884" s="558"/>
      <c r="AM1884" s="558">
        <v>634.61</v>
      </c>
      <c r="AN1884" s="558"/>
      <c r="AO1884" s="558"/>
      <c r="AP1884" s="558"/>
      <c r="AQ1884" s="558"/>
      <c r="AR1884" s="558"/>
      <c r="AS1884" s="558"/>
      <c r="AT1884" s="558"/>
      <c r="AU1884" s="558"/>
      <c r="AV1884" s="558"/>
      <c r="AW1884" s="558"/>
      <c r="AX1884" s="558"/>
      <c r="AY1884" s="558"/>
      <c r="AZ1884" s="558"/>
      <c r="BA1884" s="558"/>
      <c r="BB1884" s="558"/>
      <c r="BC1884" s="558"/>
      <c r="BD1884" s="558"/>
      <c r="BE1884" s="558"/>
      <c r="BF1884" s="558"/>
      <c r="BG1884" s="558"/>
      <c r="BH1884" s="558"/>
      <c r="BI1884" s="558"/>
      <c r="BJ1884" s="558"/>
      <c r="BK1884" s="558"/>
      <c r="BL1884" s="558"/>
      <c r="BM1884" s="558"/>
      <c r="BN1884" s="558"/>
      <c r="BO1884" s="558"/>
      <c r="BP1884" s="558"/>
      <c r="BQ1884" s="558"/>
      <c r="BR1884" s="558"/>
      <c r="BS1884" s="558"/>
      <c r="BT1884" s="558"/>
      <c r="BU1884" s="558"/>
      <c r="BV1884" s="558"/>
      <c r="BW1884" s="558"/>
      <c r="BX1884" s="558"/>
      <c r="BY1884" s="558"/>
    </row>
    <row r="1885" spans="1:77" s="394" customFormat="1" ht="12" customHeight="1">
      <c r="B1885" s="380" t="s">
        <v>291</v>
      </c>
      <c r="C1885" s="392">
        <v>44683</v>
      </c>
      <c r="D1885" s="392">
        <v>44711</v>
      </c>
      <c r="E1885" s="393" t="s">
        <v>1476</v>
      </c>
      <c r="F1885" s="394" t="s">
        <v>1477</v>
      </c>
      <c r="G1885" s="400">
        <v>3735</v>
      </c>
      <c r="H1885" s="394" t="s">
        <v>99</v>
      </c>
      <c r="I1885" s="394" t="s">
        <v>33</v>
      </c>
      <c r="J1885" s="395">
        <v>68847.789999999994</v>
      </c>
      <c r="L1885" s="395">
        <v>66.94</v>
      </c>
      <c r="M1885" s="395">
        <v>66.94</v>
      </c>
      <c r="N1885" s="396"/>
      <c r="O1885" s="397">
        <v>0.15</v>
      </c>
      <c r="P1885" s="397"/>
      <c r="Q1885" s="396">
        <v>0</v>
      </c>
      <c r="R1885" s="394" t="s">
        <v>128</v>
      </c>
      <c r="S1885" s="399" t="s">
        <v>41</v>
      </c>
      <c r="T1885" s="399">
        <v>86</v>
      </c>
      <c r="U1885" s="398" t="s">
        <v>164</v>
      </c>
      <c r="V1885" s="449"/>
      <c r="X1885" s="396">
        <v>0</v>
      </c>
      <c r="Y1885" s="396"/>
      <c r="AJ1885" s="390">
        <v>0</v>
      </c>
    </row>
    <row r="1886" spans="1:77" s="394" customFormat="1" ht="12" customHeight="1">
      <c r="B1886" s="380" t="s">
        <v>291</v>
      </c>
      <c r="C1886" s="392"/>
      <c r="D1886" s="392"/>
      <c r="E1886" s="393" t="s">
        <v>1476</v>
      </c>
      <c r="F1886" s="394" t="s">
        <v>1477</v>
      </c>
      <c r="G1886" s="400">
        <v>3735</v>
      </c>
      <c r="H1886" s="394" t="s">
        <v>183</v>
      </c>
      <c r="I1886" s="394" t="s">
        <v>33</v>
      </c>
      <c r="J1886" s="395">
        <v>22988.39</v>
      </c>
      <c r="L1886" s="395">
        <v>21.85</v>
      </c>
      <c r="M1886" s="395">
        <v>21.85</v>
      </c>
      <c r="N1886" s="396"/>
      <c r="O1886" s="397">
        <v>0.15</v>
      </c>
      <c r="P1886" s="397"/>
      <c r="Q1886" s="396">
        <v>784.52</v>
      </c>
      <c r="R1886" s="394" t="s">
        <v>128</v>
      </c>
      <c r="S1886" s="399" t="s">
        <v>41</v>
      </c>
      <c r="T1886" s="399">
        <v>86</v>
      </c>
      <c r="U1886" s="398" t="s">
        <v>164</v>
      </c>
      <c r="V1886" s="449"/>
      <c r="X1886" s="396">
        <v>784.52</v>
      </c>
      <c r="Y1886" s="396"/>
      <c r="AJ1886" s="395">
        <v>784.52</v>
      </c>
    </row>
    <row r="1887" spans="1:77" s="394" customFormat="1" ht="12" customHeight="1">
      <c r="B1887" s="380" t="s">
        <v>291</v>
      </c>
      <c r="C1887" s="392"/>
      <c r="D1887" s="392"/>
      <c r="E1887" s="393" t="s">
        <v>1476</v>
      </c>
      <c r="F1887" s="394" t="s">
        <v>1477</v>
      </c>
      <c r="G1887" s="400">
        <v>3735</v>
      </c>
      <c r="H1887" s="394" t="s">
        <v>163</v>
      </c>
      <c r="I1887" s="394" t="s">
        <v>33</v>
      </c>
      <c r="J1887" s="395">
        <v>6149.16</v>
      </c>
      <c r="L1887" s="395">
        <v>7.2</v>
      </c>
      <c r="M1887" s="395">
        <v>7.2</v>
      </c>
      <c r="N1887" s="396"/>
      <c r="O1887" s="397">
        <v>0.15</v>
      </c>
      <c r="P1887" s="397"/>
      <c r="Q1887" s="396">
        <v>0</v>
      </c>
      <c r="R1887" s="394" t="s">
        <v>128</v>
      </c>
      <c r="S1887" s="399" t="s">
        <v>41</v>
      </c>
      <c r="T1887" s="399">
        <v>86</v>
      </c>
      <c r="U1887" s="398" t="s">
        <v>164</v>
      </c>
      <c r="V1887" s="449"/>
      <c r="X1887" s="396">
        <v>0</v>
      </c>
      <c r="Y1887" s="396"/>
      <c r="AJ1887" s="390">
        <v>0</v>
      </c>
    </row>
    <row r="1888" spans="1:77" s="394" customFormat="1" ht="12" customHeight="1">
      <c r="B1888" s="380" t="s">
        <v>291</v>
      </c>
      <c r="C1888" s="392"/>
      <c r="D1888" s="392"/>
      <c r="E1888" s="393" t="s">
        <v>1476</v>
      </c>
      <c r="F1888" s="394" t="s">
        <v>1477</v>
      </c>
      <c r="G1888" s="400">
        <v>3735</v>
      </c>
      <c r="H1888" s="394" t="s">
        <v>27</v>
      </c>
      <c r="I1888" s="394" t="s">
        <v>33</v>
      </c>
      <c r="J1888" s="395">
        <v>44535.93</v>
      </c>
      <c r="L1888" s="395">
        <v>40.93</v>
      </c>
      <c r="M1888" s="395">
        <v>40.93</v>
      </c>
      <c r="N1888" s="396"/>
      <c r="O1888" s="397">
        <v>0.15</v>
      </c>
      <c r="P1888" s="397"/>
      <c r="Q1888" s="396">
        <v>0</v>
      </c>
      <c r="R1888" s="394" t="s">
        <v>128</v>
      </c>
      <c r="S1888" s="399" t="s">
        <v>41</v>
      </c>
      <c r="T1888" s="399">
        <v>86</v>
      </c>
      <c r="U1888" s="398" t="s">
        <v>164</v>
      </c>
      <c r="V1888" s="449"/>
      <c r="X1888" s="396">
        <v>0</v>
      </c>
      <c r="Y1888" s="396"/>
      <c r="AJ1888" s="390">
        <v>0</v>
      </c>
    </row>
    <row r="1889" spans="1:77" s="394" customFormat="1" ht="12" customHeight="1">
      <c r="B1889" s="380" t="s">
        <v>291</v>
      </c>
      <c r="C1889" s="392"/>
      <c r="D1889" s="392"/>
      <c r="E1889" s="393" t="s">
        <v>1476</v>
      </c>
      <c r="F1889" s="394" t="s">
        <v>1477</v>
      </c>
      <c r="G1889" s="400">
        <v>3735</v>
      </c>
      <c r="H1889" s="394" t="s">
        <v>162</v>
      </c>
      <c r="I1889" s="394" t="s">
        <v>33</v>
      </c>
      <c r="J1889" s="395">
        <v>3984.73</v>
      </c>
      <c r="L1889" s="395">
        <v>7.41</v>
      </c>
      <c r="M1889" s="395">
        <v>7.41</v>
      </c>
      <c r="N1889" s="396"/>
      <c r="O1889" s="397">
        <v>0.15</v>
      </c>
      <c r="P1889" s="397"/>
      <c r="Q1889" s="396">
        <v>869.47</v>
      </c>
      <c r="R1889" s="394" t="s">
        <v>128</v>
      </c>
      <c r="S1889" s="399" t="s">
        <v>41</v>
      </c>
      <c r="T1889" s="399">
        <v>86</v>
      </c>
      <c r="U1889" s="398" t="s">
        <v>164</v>
      </c>
      <c r="V1889" s="449"/>
      <c r="X1889" s="396">
        <v>869.47</v>
      </c>
      <c r="Y1889" s="396"/>
      <c r="AJ1889" s="395">
        <v>869.47</v>
      </c>
    </row>
    <row r="1890" spans="1:77" s="394" customFormat="1" ht="12" customHeight="1">
      <c r="B1890" s="380" t="s">
        <v>291</v>
      </c>
      <c r="C1890" s="392"/>
      <c r="D1890" s="392"/>
      <c r="E1890" s="393" t="s">
        <v>1476</v>
      </c>
      <c r="F1890" s="394" t="s">
        <v>1477</v>
      </c>
      <c r="G1890" s="400">
        <v>3735</v>
      </c>
      <c r="H1890" s="394" t="s">
        <v>137</v>
      </c>
      <c r="I1890" s="394" t="s">
        <v>33</v>
      </c>
      <c r="J1890" s="395">
        <v>1746.45</v>
      </c>
      <c r="L1890" s="395">
        <v>1.45</v>
      </c>
      <c r="M1890" s="395">
        <v>1.45</v>
      </c>
      <c r="N1890" s="396"/>
      <c r="O1890" s="397">
        <v>0.15</v>
      </c>
      <c r="P1890" s="397"/>
      <c r="Q1890" s="396">
        <v>1062.45</v>
      </c>
      <c r="R1890" s="394" t="s">
        <v>128</v>
      </c>
      <c r="S1890" s="399" t="s">
        <v>41</v>
      </c>
      <c r="T1890" s="399">
        <v>86</v>
      </c>
      <c r="U1890" s="398" t="s">
        <v>164</v>
      </c>
      <c r="V1890" s="449"/>
      <c r="X1890" s="396">
        <v>1062.45</v>
      </c>
      <c r="Y1890" s="396"/>
      <c r="AJ1890" s="395">
        <v>1062.45</v>
      </c>
    </row>
    <row r="1891" spans="1:77" s="523" customFormat="1" ht="12" customHeight="1">
      <c r="B1891" s="508" t="s">
        <v>291</v>
      </c>
      <c r="C1891" s="524">
        <v>44711</v>
      </c>
      <c r="D1891" s="524">
        <v>44711</v>
      </c>
      <c r="E1891" s="525" t="s">
        <v>1479</v>
      </c>
      <c r="F1891" s="523" t="s">
        <v>1478</v>
      </c>
      <c r="G1891" s="526">
        <v>3656</v>
      </c>
      <c r="H1891" s="523" t="s">
        <v>137</v>
      </c>
      <c r="I1891" s="523" t="s">
        <v>33</v>
      </c>
      <c r="J1891" s="527">
        <v>176076</v>
      </c>
      <c r="L1891" s="527">
        <v>100.5</v>
      </c>
      <c r="M1891" s="527">
        <v>100.5</v>
      </c>
      <c r="N1891" s="528">
        <f>100988.78</f>
        <v>100988.78</v>
      </c>
      <c r="O1891" s="530">
        <v>0.2</v>
      </c>
      <c r="P1891" s="530"/>
      <c r="Q1891" s="528">
        <v>0</v>
      </c>
      <c r="R1891" s="523" t="s">
        <v>54</v>
      </c>
      <c r="S1891" s="531" t="s">
        <v>715</v>
      </c>
      <c r="T1891" s="531">
        <v>55</v>
      </c>
      <c r="U1891" s="532" t="s">
        <v>164</v>
      </c>
      <c r="V1891" s="533"/>
      <c r="X1891" s="528">
        <v>0</v>
      </c>
      <c r="Y1891" s="528"/>
      <c r="AJ1891" s="522"/>
      <c r="AL1891" s="523">
        <v>0</v>
      </c>
    </row>
    <row r="1892" spans="1:77" s="303" customFormat="1" ht="12" customHeight="1">
      <c r="B1892" s="310" t="s">
        <v>291</v>
      </c>
      <c r="C1892" s="301">
        <v>44711</v>
      </c>
      <c r="D1892" s="301">
        <v>44711</v>
      </c>
      <c r="E1892" s="302" t="s">
        <v>1480</v>
      </c>
      <c r="F1892" s="303" t="s">
        <v>489</v>
      </c>
      <c r="G1892" s="304">
        <v>3602</v>
      </c>
      <c r="H1892" s="303" t="s">
        <v>99</v>
      </c>
      <c r="I1892" s="303" t="s">
        <v>33</v>
      </c>
      <c r="J1892" s="305">
        <v>24582.959999999999</v>
      </c>
      <c r="L1892" s="305">
        <v>29.95</v>
      </c>
      <c r="M1892" s="305">
        <v>29.95</v>
      </c>
      <c r="N1892" s="306">
        <f>J1892*0.25</f>
        <v>6145.74</v>
      </c>
      <c r="O1892" s="307">
        <v>0.15</v>
      </c>
      <c r="P1892" s="307"/>
      <c r="Q1892" s="306">
        <v>0</v>
      </c>
      <c r="R1892" s="291" t="s">
        <v>35</v>
      </c>
      <c r="S1892" s="299" t="s">
        <v>41</v>
      </c>
      <c r="T1892" s="299">
        <v>16</v>
      </c>
      <c r="U1892" s="309" t="s">
        <v>164</v>
      </c>
      <c r="V1892" s="447"/>
      <c r="X1892" s="306">
        <v>0</v>
      </c>
      <c r="Y1892" s="297"/>
      <c r="AH1892" s="303">
        <f>X1892</f>
        <v>0</v>
      </c>
      <c r="AI1892" s="311"/>
      <c r="AJ1892" s="468"/>
    </row>
    <row r="1893" spans="1:77" s="303" customFormat="1" ht="12" customHeight="1">
      <c r="B1893" s="310" t="s">
        <v>291</v>
      </c>
      <c r="C1893" s="301"/>
      <c r="D1893" s="301"/>
      <c r="E1893" s="302" t="s">
        <v>1480</v>
      </c>
      <c r="F1893" s="303" t="s">
        <v>489</v>
      </c>
      <c r="G1893" s="304">
        <v>3602</v>
      </c>
      <c r="H1893" s="303" t="s">
        <v>27</v>
      </c>
      <c r="I1893" s="303" t="s">
        <v>33</v>
      </c>
      <c r="J1893" s="305">
        <v>17706.740000000002</v>
      </c>
      <c r="L1893" s="305">
        <v>17.38</v>
      </c>
      <c r="M1893" s="305">
        <v>17.38</v>
      </c>
      <c r="N1893" s="306"/>
      <c r="O1893" s="307">
        <v>0.15</v>
      </c>
      <c r="P1893" s="307"/>
      <c r="Q1893" s="306">
        <v>0</v>
      </c>
      <c r="R1893" s="291" t="s">
        <v>35</v>
      </c>
      <c r="S1893" s="299" t="s">
        <v>41</v>
      </c>
      <c r="T1893" s="299">
        <v>16</v>
      </c>
      <c r="U1893" s="309" t="s">
        <v>164</v>
      </c>
      <c r="V1893" s="447"/>
      <c r="X1893" s="306">
        <v>0</v>
      </c>
      <c r="Y1893" s="297"/>
      <c r="AH1893" s="303">
        <f>X1893</f>
        <v>0</v>
      </c>
      <c r="AI1893" s="311"/>
      <c r="AJ1893" s="468"/>
    </row>
    <row r="1894" spans="1:77" s="303" customFormat="1" ht="12" customHeight="1">
      <c r="B1894" s="310" t="s">
        <v>291</v>
      </c>
      <c r="C1894" s="301"/>
      <c r="D1894" s="301"/>
      <c r="E1894" s="302" t="s">
        <v>1480</v>
      </c>
      <c r="F1894" s="303" t="s">
        <v>489</v>
      </c>
      <c r="G1894" s="304">
        <v>3602</v>
      </c>
      <c r="H1894" s="303" t="s">
        <v>183</v>
      </c>
      <c r="I1894" s="303" t="s">
        <v>33</v>
      </c>
      <c r="J1894" s="305">
        <v>9456.35</v>
      </c>
      <c r="L1894" s="305">
        <v>11.61</v>
      </c>
      <c r="M1894" s="305">
        <v>11.61</v>
      </c>
      <c r="N1894" s="306">
        <f>J1894*0.25</f>
        <v>2364.0875000000001</v>
      </c>
      <c r="O1894" s="307">
        <v>0.15</v>
      </c>
      <c r="P1894" s="307"/>
      <c r="Q1894" s="306">
        <v>0</v>
      </c>
      <c r="R1894" s="291" t="s">
        <v>35</v>
      </c>
      <c r="S1894" s="299" t="s">
        <v>41</v>
      </c>
      <c r="T1894" s="299">
        <v>16</v>
      </c>
      <c r="U1894" s="309" t="s">
        <v>164</v>
      </c>
      <c r="V1894" s="447"/>
      <c r="X1894" s="306">
        <v>0</v>
      </c>
      <c r="Y1894" s="297"/>
      <c r="AH1894" s="303">
        <f>X1894</f>
        <v>0</v>
      </c>
      <c r="AI1894" s="311"/>
      <c r="AJ1894" s="468"/>
    </row>
    <row r="1895" spans="1:77" s="273" customFormat="1" ht="12" customHeight="1">
      <c r="B1895" s="261" t="s">
        <v>291</v>
      </c>
      <c r="C1895" s="271">
        <v>44711</v>
      </c>
      <c r="D1895" s="271">
        <v>44711</v>
      </c>
      <c r="E1895" s="272" t="s">
        <v>1481</v>
      </c>
      <c r="F1895" s="273" t="s">
        <v>376</v>
      </c>
      <c r="G1895" s="276">
        <v>3797</v>
      </c>
      <c r="H1895" s="273" t="s">
        <v>27</v>
      </c>
      <c r="I1895" s="273" t="s">
        <v>33</v>
      </c>
      <c r="J1895" s="277">
        <v>18631.96</v>
      </c>
      <c r="L1895" s="277">
        <v>14.53</v>
      </c>
      <c r="M1895" s="277">
        <v>14.95</v>
      </c>
      <c r="N1895" s="275"/>
      <c r="O1895" s="278">
        <v>0.15</v>
      </c>
      <c r="P1895" s="278"/>
      <c r="Q1895" s="275">
        <v>0</v>
      </c>
      <c r="R1895" s="261" t="s">
        <v>42</v>
      </c>
      <c r="S1895" s="267" t="s">
        <v>41</v>
      </c>
      <c r="T1895" s="267">
        <v>16</v>
      </c>
      <c r="U1895" s="274" t="s">
        <v>164</v>
      </c>
      <c r="V1895" s="454"/>
      <c r="X1895" s="275">
        <v>0</v>
      </c>
      <c r="Y1895" s="275"/>
      <c r="AG1895" s="273">
        <f>X1895</f>
        <v>0</v>
      </c>
      <c r="AJ1895" s="642"/>
    </row>
    <row r="1896" spans="1:77" s="273" customFormat="1" ht="12" customHeight="1">
      <c r="B1896" s="261" t="s">
        <v>291</v>
      </c>
      <c r="C1896" s="271"/>
      <c r="D1896" s="271"/>
      <c r="E1896" s="272" t="s">
        <v>1481</v>
      </c>
      <c r="F1896" s="273" t="s">
        <v>376</v>
      </c>
      <c r="G1896" s="276">
        <v>3797</v>
      </c>
      <c r="H1896" s="273" t="s">
        <v>138</v>
      </c>
      <c r="I1896" s="273" t="s">
        <v>33</v>
      </c>
      <c r="J1896" s="277">
        <v>7027.39</v>
      </c>
      <c r="L1896" s="277">
        <v>6.47</v>
      </c>
      <c r="M1896" s="277">
        <v>6.47</v>
      </c>
      <c r="N1896" s="275"/>
      <c r="O1896" s="278">
        <v>0.15</v>
      </c>
      <c r="P1896" s="278"/>
      <c r="Q1896" s="275">
        <v>1895.63</v>
      </c>
      <c r="R1896" s="261" t="s">
        <v>42</v>
      </c>
      <c r="S1896" s="267" t="s">
        <v>41</v>
      </c>
      <c r="T1896" s="267">
        <v>16</v>
      </c>
      <c r="U1896" s="274" t="s">
        <v>164</v>
      </c>
      <c r="V1896" s="454"/>
      <c r="X1896" s="275">
        <v>1895.63</v>
      </c>
      <c r="Y1896" s="275"/>
      <c r="AG1896" s="273">
        <f>X1896</f>
        <v>1895.63</v>
      </c>
      <c r="AJ1896" s="642"/>
    </row>
    <row r="1897" spans="1:77" s="273" customFormat="1" ht="12" customHeight="1">
      <c r="B1897" s="261" t="s">
        <v>291</v>
      </c>
      <c r="C1897" s="271"/>
      <c r="D1897" s="271"/>
      <c r="E1897" s="272" t="s">
        <v>1481</v>
      </c>
      <c r="F1897" s="273" t="s">
        <v>376</v>
      </c>
      <c r="G1897" s="276">
        <v>3797</v>
      </c>
      <c r="H1897" s="273" t="s">
        <v>99</v>
      </c>
      <c r="I1897" s="273" t="s">
        <v>33</v>
      </c>
      <c r="J1897" s="277">
        <v>15711.37</v>
      </c>
      <c r="L1897" s="277">
        <v>14.74</v>
      </c>
      <c r="M1897" s="277">
        <v>14.74</v>
      </c>
      <c r="N1897" s="275"/>
      <c r="O1897" s="278">
        <v>0.15</v>
      </c>
      <c r="P1897" s="278"/>
      <c r="Q1897" s="275">
        <v>0</v>
      </c>
      <c r="R1897" s="261" t="s">
        <v>42</v>
      </c>
      <c r="S1897" s="267" t="s">
        <v>41</v>
      </c>
      <c r="T1897" s="267">
        <v>16</v>
      </c>
      <c r="U1897" s="274" t="s">
        <v>164</v>
      </c>
      <c r="V1897" s="454"/>
      <c r="X1897" s="275">
        <v>0</v>
      </c>
      <c r="Y1897" s="275"/>
      <c r="AG1897" s="273">
        <f>X1897</f>
        <v>0</v>
      </c>
      <c r="AJ1897" s="642"/>
    </row>
    <row r="1898" spans="1:77" s="273" customFormat="1" ht="12" customHeight="1">
      <c r="B1898" s="261" t="s">
        <v>291</v>
      </c>
      <c r="C1898" s="271"/>
      <c r="D1898" s="271"/>
      <c r="E1898" s="272" t="s">
        <v>1481</v>
      </c>
      <c r="F1898" s="273" t="s">
        <v>376</v>
      </c>
      <c r="G1898" s="276">
        <v>3797</v>
      </c>
      <c r="H1898" s="273" t="s">
        <v>183</v>
      </c>
      <c r="I1898" s="273" t="s">
        <v>33</v>
      </c>
      <c r="J1898" s="277">
        <v>6693.12</v>
      </c>
      <c r="L1898" s="277">
        <v>8.4</v>
      </c>
      <c r="M1898" s="277">
        <v>8.4</v>
      </c>
      <c r="N1898" s="275"/>
      <c r="O1898" s="278">
        <v>0.15</v>
      </c>
      <c r="P1898" s="278"/>
      <c r="Q1898" s="275">
        <v>0</v>
      </c>
      <c r="R1898" s="261" t="s">
        <v>42</v>
      </c>
      <c r="S1898" s="267" t="s">
        <v>41</v>
      </c>
      <c r="T1898" s="267">
        <v>16</v>
      </c>
      <c r="U1898" s="274" t="s">
        <v>164</v>
      </c>
      <c r="V1898" s="454"/>
      <c r="X1898" s="275">
        <v>0</v>
      </c>
      <c r="Y1898" s="275"/>
      <c r="AG1898" s="273">
        <f>X1898</f>
        <v>0</v>
      </c>
      <c r="AJ1898" s="642"/>
    </row>
    <row r="1899" spans="1:77" s="250" customFormat="1" ht="12" customHeight="1">
      <c r="A1899" s="472"/>
      <c r="B1899" s="473" t="s">
        <v>291</v>
      </c>
      <c r="C1899" s="474"/>
      <c r="D1899" s="474"/>
      <c r="E1899" s="475" t="s">
        <v>1482</v>
      </c>
      <c r="F1899" s="472" t="s">
        <v>1483</v>
      </c>
      <c r="G1899" s="476">
        <v>4609</v>
      </c>
      <c r="H1899" s="472" t="s">
        <v>27</v>
      </c>
      <c r="I1899" s="472" t="s">
        <v>33</v>
      </c>
      <c r="J1899" s="477">
        <v>25835.040000000001</v>
      </c>
      <c r="K1899" s="472"/>
      <c r="L1899" s="477">
        <v>23.3</v>
      </c>
      <c r="M1899" s="477">
        <v>23.3</v>
      </c>
      <c r="N1899" s="478"/>
      <c r="O1899" s="480">
        <v>0.25</v>
      </c>
      <c r="P1899" s="480"/>
      <c r="Q1899" s="478">
        <v>1325.3</v>
      </c>
      <c r="R1899" s="472" t="s">
        <v>128</v>
      </c>
      <c r="S1899" s="482" t="s">
        <v>41</v>
      </c>
      <c r="T1899" s="482">
        <v>86</v>
      </c>
      <c r="U1899" s="483" t="s">
        <v>164</v>
      </c>
      <c r="V1899" s="484"/>
      <c r="W1899" s="472"/>
      <c r="X1899" s="478">
        <v>1325.3</v>
      </c>
      <c r="Y1899" s="478"/>
      <c r="Z1899" s="472"/>
      <c r="AA1899" s="472"/>
      <c r="AB1899" s="472"/>
      <c r="AC1899" s="472"/>
      <c r="AD1899" s="472"/>
      <c r="AE1899" s="472"/>
      <c r="AF1899" s="472"/>
      <c r="AG1899" s="472"/>
      <c r="AH1899" s="472"/>
      <c r="AI1899" s="472"/>
      <c r="AJ1899" s="485"/>
      <c r="AK1899" s="506">
        <v>1325.3</v>
      </c>
      <c r="AL1899" s="473"/>
      <c r="AM1899" s="473"/>
      <c r="AN1899" s="473"/>
      <c r="AO1899" s="473"/>
      <c r="AP1899" s="473"/>
      <c r="AQ1899" s="473"/>
      <c r="AR1899" s="473"/>
      <c r="AS1899" s="473"/>
      <c r="AT1899" s="473"/>
      <c r="AU1899" s="473"/>
      <c r="AV1899" s="473"/>
      <c r="AW1899" s="473"/>
      <c r="AX1899" s="473"/>
      <c r="AY1899" s="473"/>
      <c r="AZ1899" s="473"/>
      <c r="BA1899" s="473"/>
      <c r="BB1899" s="473"/>
      <c r="BC1899" s="473"/>
      <c r="BD1899" s="473"/>
      <c r="BE1899" s="473"/>
      <c r="BF1899" s="473"/>
      <c r="BG1899" s="473"/>
      <c r="BH1899" s="473"/>
      <c r="BI1899" s="473"/>
      <c r="BJ1899" s="473"/>
      <c r="BK1899" s="473"/>
      <c r="BL1899" s="473"/>
      <c r="BM1899" s="473"/>
      <c r="BN1899" s="473"/>
      <c r="BO1899" s="473"/>
      <c r="BP1899" s="473"/>
      <c r="BQ1899" s="473"/>
      <c r="BR1899" s="473"/>
      <c r="BS1899" s="473"/>
      <c r="BT1899" s="473"/>
      <c r="BU1899" s="473"/>
      <c r="BV1899" s="473"/>
      <c r="BW1899" s="473"/>
      <c r="BX1899" s="473"/>
      <c r="BY1899" s="473"/>
    </row>
    <row r="1900" spans="1:77" s="273" customFormat="1" ht="12" customHeight="1">
      <c r="B1900" s="261" t="s">
        <v>291</v>
      </c>
      <c r="C1900" s="271">
        <v>44711</v>
      </c>
      <c r="D1900" s="271">
        <v>44711</v>
      </c>
      <c r="E1900" s="272" t="s">
        <v>1482</v>
      </c>
      <c r="F1900" s="273" t="s">
        <v>1483</v>
      </c>
      <c r="G1900" s="276">
        <v>4609</v>
      </c>
      <c r="H1900" s="273" t="s">
        <v>99</v>
      </c>
      <c r="I1900" s="273" t="s">
        <v>33</v>
      </c>
      <c r="J1900" s="277">
        <v>69198.399999999994</v>
      </c>
      <c r="L1900" s="277">
        <v>61</v>
      </c>
      <c r="M1900" s="277">
        <v>61</v>
      </c>
      <c r="N1900" s="275"/>
      <c r="O1900" s="278">
        <v>0.25</v>
      </c>
      <c r="P1900" s="278"/>
      <c r="Q1900" s="275">
        <v>0</v>
      </c>
      <c r="R1900" s="273" t="s">
        <v>128</v>
      </c>
      <c r="S1900" s="279" t="s">
        <v>41</v>
      </c>
      <c r="T1900" s="279">
        <v>86</v>
      </c>
      <c r="U1900" s="274" t="s">
        <v>164</v>
      </c>
      <c r="V1900" s="454"/>
      <c r="X1900" s="275">
        <v>0</v>
      </c>
      <c r="Y1900" s="275"/>
      <c r="AG1900" s="273">
        <f t="shared" ref="AG1900:AG1906" si="30">X1900</f>
        <v>0</v>
      </c>
      <c r="AJ1900" s="642"/>
    </row>
    <row r="1901" spans="1:77" s="273" customFormat="1" ht="12" customHeight="1">
      <c r="B1901" s="270" t="s">
        <v>291</v>
      </c>
      <c r="C1901" s="271">
        <v>44703</v>
      </c>
      <c r="D1901" s="271">
        <v>44711</v>
      </c>
      <c r="E1901" s="272" t="s">
        <v>1484</v>
      </c>
      <c r="F1901" s="273" t="s">
        <v>1192</v>
      </c>
      <c r="G1901" s="276">
        <v>4274</v>
      </c>
      <c r="H1901" s="273" t="s">
        <v>99</v>
      </c>
      <c r="I1901" s="273" t="s">
        <v>156</v>
      </c>
      <c r="J1901" s="277">
        <v>49747.71</v>
      </c>
      <c r="L1901" s="277">
        <v>39.76</v>
      </c>
      <c r="M1901" s="277">
        <v>39.76</v>
      </c>
      <c r="N1901" s="275">
        <f>22883.94752</f>
        <v>22883.947520000002</v>
      </c>
      <c r="O1901" s="278">
        <v>0.15</v>
      </c>
      <c r="P1901" s="278">
        <v>0.1</v>
      </c>
      <c r="Q1901" s="275">
        <v>15721.9</v>
      </c>
      <c r="R1901" s="261" t="s">
        <v>281</v>
      </c>
      <c r="S1901" s="267" t="s">
        <v>228</v>
      </c>
      <c r="T1901" s="267">
        <v>36</v>
      </c>
      <c r="U1901" s="274" t="s">
        <v>164</v>
      </c>
      <c r="V1901" s="454"/>
      <c r="X1901" s="275">
        <v>15721.9</v>
      </c>
      <c r="Y1901" s="275"/>
      <c r="AG1901" s="273">
        <f t="shared" si="30"/>
        <v>15721.9</v>
      </c>
      <c r="AJ1901" s="642"/>
      <c r="AK1901" s="261"/>
      <c r="AL1901" s="261"/>
      <c r="AM1901" s="261"/>
      <c r="AN1901" s="261"/>
      <c r="AO1901" s="261"/>
      <c r="AP1901" s="261"/>
      <c r="AQ1901" s="261"/>
      <c r="AR1901" s="261"/>
      <c r="AS1901" s="261"/>
      <c r="AT1901" s="261"/>
      <c r="AU1901" s="261"/>
      <c r="AV1901" s="261"/>
      <c r="AW1901" s="261"/>
      <c r="AX1901" s="261"/>
      <c r="AY1901" s="261"/>
      <c r="AZ1901" s="261"/>
      <c r="BA1901" s="261"/>
      <c r="BB1901" s="261"/>
      <c r="BC1901" s="261"/>
      <c r="BD1901" s="261"/>
      <c r="BE1901" s="261"/>
      <c r="BF1901" s="261"/>
      <c r="BG1901" s="261"/>
      <c r="BH1901" s="261"/>
      <c r="BI1901" s="261"/>
      <c r="BJ1901" s="261"/>
      <c r="BK1901" s="261"/>
      <c r="BL1901" s="261"/>
      <c r="BM1901" s="261"/>
      <c r="BN1901" s="261"/>
      <c r="BO1901" s="261"/>
      <c r="BP1901" s="261"/>
      <c r="BQ1901" s="261"/>
      <c r="BR1901" s="261"/>
      <c r="BS1901" s="261"/>
      <c r="BT1901" s="261"/>
      <c r="BU1901" s="261"/>
      <c r="BV1901" s="261"/>
      <c r="BW1901" s="261"/>
      <c r="BX1901" s="261"/>
      <c r="BY1901" s="261"/>
    </row>
    <row r="1902" spans="1:77" s="273" customFormat="1" ht="12" customHeight="1">
      <c r="B1902" s="270" t="s">
        <v>291</v>
      </c>
      <c r="C1902" s="271"/>
      <c r="D1902" s="271"/>
      <c r="E1902" s="272" t="s">
        <v>1484</v>
      </c>
      <c r="F1902" s="273" t="s">
        <v>1192</v>
      </c>
      <c r="G1902" s="276">
        <v>4274</v>
      </c>
      <c r="H1902" s="273" t="s">
        <v>27</v>
      </c>
      <c r="I1902" s="273" t="s">
        <v>156</v>
      </c>
      <c r="J1902" s="277">
        <v>67501.149999999994</v>
      </c>
      <c r="L1902" s="277">
        <v>62.11</v>
      </c>
      <c r="M1902" s="277">
        <v>62.11</v>
      </c>
      <c r="N1902" s="275">
        <v>20250.344400000002</v>
      </c>
      <c r="O1902" s="278">
        <v>0.15</v>
      </c>
      <c r="P1902" s="278">
        <v>0.1</v>
      </c>
      <c r="Q1902" s="275">
        <v>13075.4</v>
      </c>
      <c r="R1902" s="261" t="s">
        <v>281</v>
      </c>
      <c r="S1902" s="267" t="s">
        <v>228</v>
      </c>
      <c r="T1902" s="267">
        <v>36</v>
      </c>
      <c r="U1902" s="274" t="s">
        <v>164</v>
      </c>
      <c r="V1902" s="454"/>
      <c r="X1902" s="275">
        <v>13075.4</v>
      </c>
      <c r="Y1902" s="275"/>
      <c r="AG1902" s="273">
        <f t="shared" si="30"/>
        <v>13075.4</v>
      </c>
      <c r="AJ1902" s="642"/>
      <c r="AK1902" s="261"/>
      <c r="AL1902" s="261"/>
      <c r="AM1902" s="261"/>
      <c r="AN1902" s="261"/>
      <c r="AO1902" s="261"/>
      <c r="AP1902" s="261"/>
      <c r="AQ1902" s="261"/>
      <c r="AR1902" s="261"/>
      <c r="AS1902" s="261"/>
      <c r="AT1902" s="261"/>
      <c r="AU1902" s="261"/>
      <c r="AV1902" s="261"/>
      <c r="AW1902" s="261"/>
      <c r="AX1902" s="261"/>
      <c r="AY1902" s="261"/>
      <c r="AZ1902" s="261"/>
      <c r="BA1902" s="261"/>
      <c r="BB1902" s="261"/>
      <c r="BC1902" s="261"/>
      <c r="BD1902" s="261"/>
      <c r="BE1902" s="261"/>
      <c r="BF1902" s="261"/>
      <c r="BG1902" s="261"/>
      <c r="BH1902" s="261"/>
      <c r="BI1902" s="261"/>
      <c r="BJ1902" s="261"/>
      <c r="BK1902" s="261"/>
      <c r="BL1902" s="261"/>
      <c r="BM1902" s="261"/>
      <c r="BN1902" s="261"/>
      <c r="BO1902" s="261"/>
      <c r="BP1902" s="261"/>
      <c r="BQ1902" s="261"/>
      <c r="BR1902" s="261"/>
      <c r="BS1902" s="261"/>
      <c r="BT1902" s="261"/>
      <c r="BU1902" s="261"/>
      <c r="BV1902" s="261"/>
      <c r="BW1902" s="261"/>
      <c r="BX1902" s="261"/>
      <c r="BY1902" s="261"/>
    </row>
    <row r="1903" spans="1:77" s="273" customFormat="1" ht="12" customHeight="1">
      <c r="B1903" s="270" t="s">
        <v>291</v>
      </c>
      <c r="C1903" s="271"/>
      <c r="D1903" s="271"/>
      <c r="E1903" s="272" t="s">
        <v>1484</v>
      </c>
      <c r="F1903" s="273" t="s">
        <v>1192</v>
      </c>
      <c r="G1903" s="276">
        <v>4274</v>
      </c>
      <c r="H1903" s="273" t="s">
        <v>183</v>
      </c>
      <c r="I1903" s="273" t="s">
        <v>156</v>
      </c>
      <c r="J1903" s="277">
        <v>26533.26</v>
      </c>
      <c r="L1903" s="277">
        <v>33.35</v>
      </c>
      <c r="M1903" s="277">
        <v>33.35</v>
      </c>
      <c r="N1903" s="275">
        <v>0</v>
      </c>
      <c r="O1903" s="278">
        <v>0.15</v>
      </c>
      <c r="P1903" s="278">
        <v>0.1</v>
      </c>
      <c r="Q1903" s="275">
        <v>0</v>
      </c>
      <c r="R1903" s="261" t="s">
        <v>281</v>
      </c>
      <c r="S1903" s="267" t="s">
        <v>228</v>
      </c>
      <c r="T1903" s="267">
        <v>36</v>
      </c>
      <c r="U1903" s="274" t="s">
        <v>164</v>
      </c>
      <c r="V1903" s="454"/>
      <c r="X1903" s="275">
        <v>0</v>
      </c>
      <c r="Y1903" s="275"/>
      <c r="AG1903" s="273">
        <f t="shared" si="30"/>
        <v>0</v>
      </c>
      <c r="AJ1903" s="642"/>
      <c r="AK1903" s="261"/>
      <c r="AL1903" s="261"/>
      <c r="AM1903" s="261"/>
      <c r="AN1903" s="261"/>
      <c r="AO1903" s="261"/>
      <c r="AP1903" s="261"/>
      <c r="AQ1903" s="261"/>
      <c r="AR1903" s="261"/>
      <c r="AS1903" s="261"/>
      <c r="AT1903" s="261"/>
      <c r="AU1903" s="261"/>
      <c r="AV1903" s="261"/>
      <c r="AW1903" s="261"/>
      <c r="AX1903" s="261"/>
      <c r="AY1903" s="261"/>
      <c r="AZ1903" s="261"/>
      <c r="BA1903" s="261"/>
      <c r="BB1903" s="261"/>
      <c r="BC1903" s="261"/>
      <c r="BD1903" s="261"/>
      <c r="BE1903" s="261"/>
      <c r="BF1903" s="261"/>
      <c r="BG1903" s="261"/>
      <c r="BH1903" s="261"/>
      <c r="BI1903" s="261"/>
      <c r="BJ1903" s="261"/>
      <c r="BK1903" s="261"/>
      <c r="BL1903" s="261"/>
      <c r="BM1903" s="261"/>
      <c r="BN1903" s="261"/>
      <c r="BO1903" s="261"/>
      <c r="BP1903" s="261"/>
      <c r="BQ1903" s="261"/>
      <c r="BR1903" s="261"/>
      <c r="BS1903" s="261"/>
      <c r="BT1903" s="261"/>
      <c r="BU1903" s="261"/>
      <c r="BV1903" s="261"/>
      <c r="BW1903" s="261"/>
      <c r="BX1903" s="261"/>
      <c r="BY1903" s="261"/>
    </row>
    <row r="1904" spans="1:77" s="273" customFormat="1" ht="12" customHeight="1">
      <c r="B1904" s="270" t="s">
        <v>291</v>
      </c>
      <c r="C1904" s="271">
        <v>44703</v>
      </c>
      <c r="D1904" s="271">
        <v>44711</v>
      </c>
      <c r="E1904" s="272" t="s">
        <v>1485</v>
      </c>
      <c r="F1904" s="273" t="s">
        <v>1190</v>
      </c>
      <c r="G1904" s="276">
        <v>4270</v>
      </c>
      <c r="H1904" s="261" t="s">
        <v>99</v>
      </c>
      <c r="I1904" s="273" t="s">
        <v>156</v>
      </c>
      <c r="J1904" s="263">
        <v>76966.39</v>
      </c>
      <c r="K1904" s="261"/>
      <c r="L1904" s="263">
        <v>59.24</v>
      </c>
      <c r="M1904" s="263">
        <v>59.24</v>
      </c>
      <c r="N1904" s="275">
        <v>0</v>
      </c>
      <c r="O1904" s="266">
        <v>0.15</v>
      </c>
      <c r="P1904" s="278">
        <v>0.1</v>
      </c>
      <c r="Q1904" s="275">
        <v>0</v>
      </c>
      <c r="R1904" s="261" t="s">
        <v>281</v>
      </c>
      <c r="S1904" s="267" t="s">
        <v>228</v>
      </c>
      <c r="T1904" s="267">
        <v>36</v>
      </c>
      <c r="U1904" s="274" t="s">
        <v>164</v>
      </c>
      <c r="V1904" s="454"/>
      <c r="X1904" s="275">
        <v>0</v>
      </c>
      <c r="Y1904" s="275"/>
      <c r="AG1904" s="273">
        <f t="shared" si="30"/>
        <v>0</v>
      </c>
      <c r="AJ1904" s="642"/>
      <c r="AK1904" s="261"/>
      <c r="AL1904" s="261"/>
      <c r="AM1904" s="261"/>
      <c r="AN1904" s="261"/>
      <c r="AO1904" s="261"/>
      <c r="AP1904" s="261"/>
      <c r="AQ1904" s="261"/>
      <c r="AR1904" s="261"/>
      <c r="AS1904" s="261"/>
      <c r="AT1904" s="261"/>
      <c r="AU1904" s="261"/>
      <c r="AV1904" s="261"/>
      <c r="AW1904" s="261"/>
      <c r="AX1904" s="261"/>
      <c r="AY1904" s="261"/>
      <c r="AZ1904" s="261"/>
      <c r="BA1904" s="261"/>
      <c r="BB1904" s="261"/>
      <c r="BC1904" s="261"/>
      <c r="BD1904" s="261"/>
      <c r="BE1904" s="261"/>
      <c r="BF1904" s="261"/>
      <c r="BG1904" s="261"/>
      <c r="BH1904" s="261"/>
      <c r="BI1904" s="261"/>
      <c r="BJ1904" s="261"/>
      <c r="BK1904" s="261"/>
      <c r="BL1904" s="261"/>
      <c r="BM1904" s="261"/>
      <c r="BN1904" s="261"/>
      <c r="BO1904" s="261"/>
      <c r="BP1904" s="261"/>
      <c r="BQ1904" s="261"/>
      <c r="BR1904" s="261"/>
      <c r="BS1904" s="261"/>
      <c r="BT1904" s="261"/>
      <c r="BU1904" s="261"/>
      <c r="BV1904" s="261"/>
      <c r="BW1904" s="261"/>
      <c r="BX1904" s="261"/>
      <c r="BY1904" s="261"/>
    </row>
    <row r="1905" spans="1:77" s="273" customFormat="1" ht="12" customHeight="1">
      <c r="B1905" s="270" t="s">
        <v>291</v>
      </c>
      <c r="C1905" s="271"/>
      <c r="D1905" s="271"/>
      <c r="E1905" s="272" t="s">
        <v>1485</v>
      </c>
      <c r="F1905" s="273" t="s">
        <v>1190</v>
      </c>
      <c r="G1905" s="276">
        <v>4270</v>
      </c>
      <c r="H1905" s="261" t="s">
        <v>27</v>
      </c>
      <c r="I1905" s="273" t="s">
        <v>156</v>
      </c>
      <c r="J1905" s="263">
        <v>40095.08</v>
      </c>
      <c r="K1905" s="261"/>
      <c r="L1905" s="263">
        <v>27.27</v>
      </c>
      <c r="M1905" s="263">
        <v>27.27</v>
      </c>
      <c r="N1905" s="275">
        <v>0</v>
      </c>
      <c r="O1905" s="266">
        <v>0.15</v>
      </c>
      <c r="P1905" s="278">
        <v>0.1</v>
      </c>
      <c r="Q1905" s="275">
        <v>0</v>
      </c>
      <c r="R1905" s="261" t="s">
        <v>281</v>
      </c>
      <c r="S1905" s="267" t="s">
        <v>228</v>
      </c>
      <c r="T1905" s="267">
        <v>36</v>
      </c>
      <c r="U1905" s="274" t="s">
        <v>164</v>
      </c>
      <c r="V1905" s="454"/>
      <c r="X1905" s="275">
        <v>0</v>
      </c>
      <c r="Y1905" s="275"/>
      <c r="AG1905" s="273">
        <f t="shared" si="30"/>
        <v>0</v>
      </c>
      <c r="AJ1905" s="642"/>
      <c r="AK1905" s="261"/>
      <c r="AL1905" s="261"/>
      <c r="AM1905" s="261"/>
      <c r="AN1905" s="261"/>
      <c r="AO1905" s="261"/>
      <c r="AP1905" s="261"/>
      <c r="AQ1905" s="261"/>
      <c r="AR1905" s="261"/>
      <c r="AS1905" s="261"/>
      <c r="AT1905" s="261"/>
      <c r="AU1905" s="261"/>
      <c r="AV1905" s="261"/>
      <c r="AW1905" s="261"/>
      <c r="AX1905" s="261"/>
      <c r="AY1905" s="261"/>
      <c r="AZ1905" s="261"/>
      <c r="BA1905" s="261"/>
      <c r="BB1905" s="261"/>
      <c r="BC1905" s="261"/>
      <c r="BD1905" s="261"/>
      <c r="BE1905" s="261"/>
      <c r="BF1905" s="261"/>
      <c r="BG1905" s="261"/>
      <c r="BH1905" s="261"/>
      <c r="BI1905" s="261"/>
      <c r="BJ1905" s="261"/>
      <c r="BK1905" s="261"/>
      <c r="BL1905" s="261"/>
      <c r="BM1905" s="261"/>
      <c r="BN1905" s="261"/>
      <c r="BO1905" s="261"/>
      <c r="BP1905" s="261"/>
      <c r="BQ1905" s="261"/>
      <c r="BR1905" s="261"/>
      <c r="BS1905" s="261"/>
      <c r="BT1905" s="261"/>
      <c r="BU1905" s="261"/>
      <c r="BV1905" s="261"/>
      <c r="BW1905" s="261"/>
      <c r="BX1905" s="261"/>
      <c r="BY1905" s="261"/>
    </row>
    <row r="1906" spans="1:77" s="273" customFormat="1" ht="12" customHeight="1">
      <c r="B1906" s="270" t="s">
        <v>291</v>
      </c>
      <c r="C1906" s="271"/>
      <c r="D1906" s="271"/>
      <c r="E1906" s="272" t="s">
        <v>1485</v>
      </c>
      <c r="F1906" s="273" t="s">
        <v>1190</v>
      </c>
      <c r="G1906" s="276">
        <v>4270</v>
      </c>
      <c r="H1906" s="261" t="s">
        <v>183</v>
      </c>
      <c r="I1906" s="273" t="s">
        <v>156</v>
      </c>
      <c r="J1906" s="263">
        <v>18512.259999999998</v>
      </c>
      <c r="K1906" s="261"/>
      <c r="L1906" s="263">
        <v>17.04</v>
      </c>
      <c r="M1906" s="263">
        <v>17.04</v>
      </c>
      <c r="N1906" s="275">
        <v>6294.1670400000003</v>
      </c>
      <c r="O1906" s="266">
        <v>0.15</v>
      </c>
      <c r="P1906" s="278">
        <v>0.1</v>
      </c>
      <c r="Q1906" s="275">
        <v>3575.67</v>
      </c>
      <c r="R1906" s="261" t="s">
        <v>281</v>
      </c>
      <c r="S1906" s="267" t="s">
        <v>228</v>
      </c>
      <c r="T1906" s="267">
        <v>36</v>
      </c>
      <c r="U1906" s="274" t="s">
        <v>164</v>
      </c>
      <c r="V1906" s="454"/>
      <c r="X1906" s="275">
        <v>3575.67</v>
      </c>
      <c r="Y1906" s="275"/>
      <c r="AG1906" s="273">
        <f t="shared" si="30"/>
        <v>3575.67</v>
      </c>
      <c r="AJ1906" s="642"/>
      <c r="AK1906" s="261"/>
      <c r="AL1906" s="261"/>
      <c r="AM1906" s="261"/>
      <c r="AN1906" s="261"/>
      <c r="AO1906" s="261"/>
      <c r="AP1906" s="261"/>
      <c r="AQ1906" s="261"/>
      <c r="AR1906" s="261"/>
      <c r="AS1906" s="261"/>
      <c r="AT1906" s="261"/>
      <c r="AU1906" s="261"/>
      <c r="AV1906" s="261"/>
      <c r="AW1906" s="261"/>
      <c r="AX1906" s="261"/>
      <c r="AY1906" s="261"/>
      <c r="AZ1906" s="261"/>
      <c r="BA1906" s="261"/>
      <c r="BB1906" s="261"/>
      <c r="BC1906" s="261"/>
      <c r="BD1906" s="261"/>
      <c r="BE1906" s="261"/>
      <c r="BF1906" s="261"/>
      <c r="BG1906" s="261"/>
      <c r="BH1906" s="261"/>
      <c r="BI1906" s="261"/>
      <c r="BJ1906" s="261"/>
      <c r="BK1906" s="261"/>
      <c r="BL1906" s="261"/>
      <c r="BM1906" s="261"/>
      <c r="BN1906" s="261"/>
      <c r="BO1906" s="261"/>
      <c r="BP1906" s="261"/>
      <c r="BQ1906" s="261"/>
      <c r="BR1906" s="261"/>
      <c r="BS1906" s="261"/>
      <c r="BT1906" s="261"/>
      <c r="BU1906" s="261"/>
      <c r="BV1906" s="261"/>
      <c r="BW1906" s="261"/>
      <c r="BX1906" s="261"/>
      <c r="BY1906" s="261"/>
    </row>
    <row r="1907" spans="1:77" s="218" customFormat="1" ht="12" customHeight="1">
      <c r="B1907" s="229" t="s">
        <v>291</v>
      </c>
      <c r="C1907" s="225">
        <v>44711</v>
      </c>
      <c r="D1907" s="225">
        <v>44711</v>
      </c>
      <c r="E1907" s="226" t="s">
        <v>1486</v>
      </c>
      <c r="F1907" s="218" t="s">
        <v>804</v>
      </c>
      <c r="G1907" s="220">
        <v>4389</v>
      </c>
      <c r="H1907" s="218" t="s">
        <v>99</v>
      </c>
      <c r="I1907" s="218" t="s">
        <v>1487</v>
      </c>
      <c r="J1907" s="210">
        <v>18512.259999999998</v>
      </c>
      <c r="L1907" s="210">
        <v>22.5</v>
      </c>
      <c r="M1907" s="210">
        <v>22.5</v>
      </c>
      <c r="N1907" s="223">
        <v>3666.71</v>
      </c>
      <c r="O1907" s="224">
        <v>0.2</v>
      </c>
      <c r="P1907" s="224"/>
      <c r="Q1907" s="223">
        <v>0</v>
      </c>
      <c r="R1907" s="218" t="s">
        <v>142</v>
      </c>
      <c r="S1907" s="221" t="s">
        <v>41</v>
      </c>
      <c r="T1907" s="221">
        <v>16</v>
      </c>
      <c r="U1907" s="227" t="s">
        <v>164</v>
      </c>
      <c r="V1907" s="455"/>
      <c r="X1907" s="223">
        <v>0</v>
      </c>
      <c r="Y1907" s="223"/>
      <c r="AF1907" s="230">
        <f>X1907</f>
        <v>0</v>
      </c>
      <c r="AJ1907" s="216"/>
      <c r="AK1907" s="205"/>
      <c r="AL1907" s="205"/>
      <c r="AM1907" s="205"/>
      <c r="AN1907" s="205"/>
      <c r="AO1907" s="205"/>
      <c r="AP1907" s="205"/>
      <c r="AQ1907" s="205"/>
      <c r="AR1907" s="205"/>
      <c r="AS1907" s="205"/>
      <c r="AT1907" s="205"/>
      <c r="AU1907" s="205"/>
      <c r="AV1907" s="205"/>
      <c r="AW1907" s="205"/>
      <c r="AX1907" s="205"/>
      <c r="AY1907" s="205"/>
      <c r="AZ1907" s="205"/>
      <c r="BA1907" s="205"/>
      <c r="BB1907" s="205"/>
      <c r="BC1907" s="205"/>
      <c r="BD1907" s="205"/>
      <c r="BE1907" s="205"/>
      <c r="BF1907" s="205"/>
      <c r="BG1907" s="205"/>
      <c r="BH1907" s="205"/>
      <c r="BI1907" s="205"/>
      <c r="BJ1907" s="205"/>
      <c r="BK1907" s="205"/>
      <c r="BL1907" s="205"/>
      <c r="BM1907" s="205"/>
      <c r="BN1907" s="205"/>
      <c r="BO1907" s="205"/>
      <c r="BP1907" s="205"/>
      <c r="BQ1907" s="205"/>
      <c r="BR1907" s="205"/>
      <c r="BS1907" s="205"/>
      <c r="BT1907" s="205"/>
      <c r="BU1907" s="205"/>
      <c r="BV1907" s="205"/>
      <c r="BW1907" s="205"/>
      <c r="BX1907" s="205"/>
      <c r="BY1907" s="205"/>
    </row>
    <row r="1908" spans="1:77" s="341" customFormat="1" ht="12" customHeight="1">
      <c r="A1908" s="394"/>
      <c r="B1908" s="380" t="s">
        <v>291</v>
      </c>
      <c r="C1908" s="392"/>
      <c r="D1908" s="392"/>
      <c r="E1908" s="393" t="s">
        <v>1488</v>
      </c>
      <c r="F1908" s="394" t="s">
        <v>539</v>
      </c>
      <c r="G1908" s="383">
        <v>3591</v>
      </c>
      <c r="H1908" s="394" t="s">
        <v>140</v>
      </c>
      <c r="I1908" s="394" t="s">
        <v>33</v>
      </c>
      <c r="J1908" s="395">
        <v>7076.47</v>
      </c>
      <c r="K1908" s="394"/>
      <c r="L1908" s="395">
        <v>4.8099999999999996</v>
      </c>
      <c r="M1908" s="395">
        <v>4.8099999999999996</v>
      </c>
      <c r="N1908" s="396"/>
      <c r="O1908" s="397">
        <v>0.15</v>
      </c>
      <c r="P1908" s="397"/>
      <c r="Q1908" s="396">
        <v>451.95</v>
      </c>
      <c r="R1908" s="379" t="s">
        <v>77</v>
      </c>
      <c r="S1908" s="388" t="s">
        <v>41</v>
      </c>
      <c r="T1908" s="388">
        <v>16</v>
      </c>
      <c r="U1908" s="398" t="s">
        <v>164</v>
      </c>
      <c r="V1908" s="449"/>
      <c r="W1908" s="394"/>
      <c r="X1908" s="396">
        <v>451.95</v>
      </c>
      <c r="Y1908" s="396"/>
      <c r="Z1908" s="394"/>
      <c r="AA1908" s="394"/>
      <c r="AB1908" s="394"/>
      <c r="AC1908" s="394"/>
      <c r="AD1908" s="394"/>
      <c r="AE1908" s="394"/>
      <c r="AF1908" s="394"/>
      <c r="AG1908" s="394"/>
      <c r="AH1908" s="394"/>
      <c r="AI1908" s="394"/>
      <c r="AJ1908" s="395">
        <v>451.95</v>
      </c>
      <c r="AK1908" s="379"/>
      <c r="AL1908" s="379"/>
      <c r="AM1908" s="379"/>
      <c r="AN1908" s="379"/>
      <c r="AO1908" s="379"/>
      <c r="AP1908" s="379"/>
      <c r="AQ1908" s="379"/>
      <c r="AR1908" s="379"/>
      <c r="AS1908" s="379"/>
      <c r="AT1908" s="379"/>
      <c r="AU1908" s="379"/>
      <c r="AV1908" s="379"/>
      <c r="AW1908" s="379"/>
      <c r="AX1908" s="379"/>
      <c r="AY1908" s="379"/>
      <c r="AZ1908" s="379"/>
      <c r="BA1908" s="379"/>
      <c r="BB1908" s="379"/>
      <c r="BC1908" s="379"/>
      <c r="BD1908" s="379"/>
      <c r="BE1908" s="379"/>
      <c r="BF1908" s="379"/>
      <c r="BG1908" s="379"/>
      <c r="BH1908" s="379"/>
      <c r="BI1908" s="379"/>
      <c r="BJ1908" s="379"/>
      <c r="BK1908" s="379"/>
      <c r="BL1908" s="379"/>
      <c r="BM1908" s="379"/>
      <c r="BN1908" s="379"/>
      <c r="BO1908" s="379"/>
      <c r="BP1908" s="379"/>
      <c r="BQ1908" s="379"/>
      <c r="BR1908" s="379"/>
      <c r="BS1908" s="379"/>
      <c r="BT1908" s="379"/>
      <c r="BU1908" s="379"/>
      <c r="BV1908" s="379"/>
      <c r="BW1908" s="379"/>
      <c r="BX1908" s="379"/>
      <c r="BY1908" s="379"/>
    </row>
    <row r="1909" spans="1:77" s="394" customFormat="1" ht="12" customHeight="1">
      <c r="B1909" s="380" t="s">
        <v>291</v>
      </c>
      <c r="C1909" s="392"/>
      <c r="D1909" s="392"/>
      <c r="E1909" s="393" t="s">
        <v>1488</v>
      </c>
      <c r="F1909" s="394" t="s">
        <v>539</v>
      </c>
      <c r="G1909" s="383">
        <v>3591</v>
      </c>
      <c r="H1909" s="394" t="s">
        <v>183</v>
      </c>
      <c r="I1909" s="394" t="s">
        <v>33</v>
      </c>
      <c r="J1909" s="395">
        <v>31641.599999999999</v>
      </c>
      <c r="L1909" s="395">
        <v>32.96</v>
      </c>
      <c r="M1909" s="395">
        <v>32.96</v>
      </c>
      <c r="N1909" s="396"/>
      <c r="O1909" s="397">
        <v>0.15</v>
      </c>
      <c r="P1909" s="397"/>
      <c r="Q1909" s="396">
        <v>253.13</v>
      </c>
      <c r="R1909" s="379" t="s">
        <v>77</v>
      </c>
      <c r="S1909" s="388" t="s">
        <v>41</v>
      </c>
      <c r="T1909" s="388">
        <v>16</v>
      </c>
      <c r="U1909" s="398" t="s">
        <v>164</v>
      </c>
      <c r="V1909" s="449"/>
      <c r="X1909" s="396">
        <v>253.13</v>
      </c>
      <c r="Y1909" s="396"/>
      <c r="AJ1909" s="395">
        <v>253.13</v>
      </c>
      <c r="AK1909" s="379"/>
      <c r="AL1909" s="379"/>
      <c r="AM1909" s="379"/>
      <c r="AN1909" s="379"/>
      <c r="AO1909" s="379"/>
      <c r="AP1909" s="379"/>
      <c r="AQ1909" s="379"/>
      <c r="AR1909" s="379"/>
      <c r="AS1909" s="379"/>
      <c r="AT1909" s="379"/>
      <c r="AU1909" s="379"/>
      <c r="AV1909" s="379"/>
      <c r="AW1909" s="379"/>
      <c r="AX1909" s="379"/>
      <c r="AY1909" s="379"/>
      <c r="AZ1909" s="379"/>
      <c r="BA1909" s="379"/>
      <c r="BB1909" s="379"/>
      <c r="BC1909" s="379"/>
      <c r="BD1909" s="379"/>
      <c r="BE1909" s="379"/>
      <c r="BF1909" s="379"/>
      <c r="BG1909" s="379"/>
      <c r="BH1909" s="379"/>
      <c r="BI1909" s="379"/>
      <c r="BJ1909" s="379"/>
      <c r="BK1909" s="379"/>
      <c r="BL1909" s="379"/>
      <c r="BM1909" s="379"/>
      <c r="BN1909" s="379"/>
      <c r="BO1909" s="379"/>
      <c r="BP1909" s="379"/>
      <c r="BQ1909" s="379"/>
      <c r="BR1909" s="379"/>
      <c r="BS1909" s="379"/>
      <c r="BT1909" s="379"/>
      <c r="BU1909" s="379"/>
      <c r="BV1909" s="379"/>
      <c r="BW1909" s="379"/>
      <c r="BX1909" s="379"/>
      <c r="BY1909" s="379"/>
    </row>
    <row r="1910" spans="1:77" s="341" customFormat="1" ht="12" customHeight="1">
      <c r="B1910" s="338" t="s">
        <v>291</v>
      </c>
      <c r="C1910" s="339">
        <v>44711</v>
      </c>
      <c r="D1910" s="339">
        <v>44711</v>
      </c>
      <c r="E1910" s="340" t="s">
        <v>1488</v>
      </c>
      <c r="F1910" s="341" t="s">
        <v>539</v>
      </c>
      <c r="G1910" s="351">
        <v>3591</v>
      </c>
      <c r="H1910" s="341" t="s">
        <v>99</v>
      </c>
      <c r="I1910" s="341" t="s">
        <v>33</v>
      </c>
      <c r="J1910" s="343">
        <v>44448.61</v>
      </c>
      <c r="L1910" s="343">
        <v>38.520000000000003</v>
      </c>
      <c r="M1910" s="343">
        <v>38.520000000000003</v>
      </c>
      <c r="N1910" s="344"/>
      <c r="O1910" s="345">
        <v>0.15</v>
      </c>
      <c r="P1910" s="345"/>
      <c r="Q1910" s="344">
        <v>0</v>
      </c>
      <c r="R1910" s="337" t="s">
        <v>77</v>
      </c>
      <c r="S1910" s="356" t="s">
        <v>41</v>
      </c>
      <c r="T1910" s="356">
        <v>16</v>
      </c>
      <c r="U1910" s="347" t="s">
        <v>164</v>
      </c>
      <c r="V1910" s="451"/>
      <c r="X1910" s="344">
        <v>0</v>
      </c>
      <c r="Y1910" s="344"/>
      <c r="AI1910" s="341">
        <v>0</v>
      </c>
      <c r="AJ1910" s="358"/>
      <c r="AK1910" s="369"/>
      <c r="AL1910" s="337"/>
      <c r="AM1910" s="337"/>
      <c r="AN1910" s="337"/>
      <c r="AO1910" s="337"/>
      <c r="AP1910" s="337"/>
      <c r="AQ1910" s="337"/>
      <c r="AR1910" s="337"/>
      <c r="AS1910" s="337"/>
      <c r="AT1910" s="337"/>
      <c r="AU1910" s="337"/>
      <c r="AV1910" s="337"/>
      <c r="AW1910" s="337"/>
      <c r="AX1910" s="337"/>
      <c r="AY1910" s="337"/>
      <c r="AZ1910" s="337"/>
      <c r="BA1910" s="337"/>
      <c r="BB1910" s="337"/>
      <c r="BC1910" s="337"/>
      <c r="BD1910" s="337"/>
      <c r="BE1910" s="337"/>
      <c r="BF1910" s="337"/>
      <c r="BG1910" s="337"/>
      <c r="BH1910" s="337"/>
      <c r="BI1910" s="337"/>
      <c r="BJ1910" s="337"/>
      <c r="BK1910" s="337"/>
      <c r="BL1910" s="337"/>
      <c r="BM1910" s="337"/>
      <c r="BN1910" s="337"/>
      <c r="BO1910" s="337"/>
      <c r="BP1910" s="337"/>
      <c r="BQ1910" s="337"/>
      <c r="BR1910" s="337"/>
      <c r="BS1910" s="337"/>
      <c r="BT1910" s="337"/>
      <c r="BU1910" s="337"/>
      <c r="BV1910" s="337"/>
      <c r="BW1910" s="337"/>
      <c r="BX1910" s="337"/>
      <c r="BY1910" s="337"/>
    </row>
    <row r="1911" spans="1:77" s="303" customFormat="1" ht="12" customHeight="1">
      <c r="B1911" s="310" t="s">
        <v>291</v>
      </c>
      <c r="C1911" s="301">
        <v>44711</v>
      </c>
      <c r="D1911" s="301">
        <v>44711</v>
      </c>
      <c r="E1911" s="302" t="s">
        <v>1489</v>
      </c>
      <c r="F1911" s="291" t="s">
        <v>571</v>
      </c>
      <c r="G1911" s="294">
        <v>4199</v>
      </c>
      <c r="H1911" s="303" t="s">
        <v>183</v>
      </c>
      <c r="I1911" s="291" t="s">
        <v>33</v>
      </c>
      <c r="J1911" s="305">
        <v>18269.11</v>
      </c>
      <c r="L1911" s="305">
        <v>18.04</v>
      </c>
      <c r="M1911" s="305">
        <v>18.04</v>
      </c>
      <c r="N1911" s="306"/>
      <c r="O1911" s="307">
        <v>0.2</v>
      </c>
      <c r="P1911" s="307"/>
      <c r="Q1911" s="306">
        <v>0</v>
      </c>
      <c r="R1911" s="291" t="s">
        <v>42</v>
      </c>
      <c r="S1911" s="299" t="s">
        <v>41</v>
      </c>
      <c r="T1911" s="299">
        <v>16</v>
      </c>
      <c r="U1911" s="309" t="s">
        <v>164</v>
      </c>
      <c r="V1911" s="447"/>
      <c r="X1911" s="306">
        <v>0</v>
      </c>
      <c r="Y1911" s="306"/>
      <c r="AH1911" s="332">
        <f>X1911</f>
        <v>0</v>
      </c>
      <c r="AI1911" s="311"/>
      <c r="AJ1911" s="468"/>
      <c r="AK1911" s="291"/>
      <c r="AL1911" s="291"/>
      <c r="AM1911" s="291"/>
      <c r="AN1911" s="291"/>
      <c r="AO1911" s="291"/>
      <c r="AP1911" s="291"/>
      <c r="AQ1911" s="291"/>
      <c r="AR1911" s="291"/>
      <c r="AS1911" s="291"/>
      <c r="AT1911" s="291"/>
      <c r="AU1911" s="291"/>
      <c r="AV1911" s="291"/>
      <c r="AW1911" s="291"/>
      <c r="AX1911" s="291"/>
      <c r="AY1911" s="291"/>
      <c r="AZ1911" s="291"/>
      <c r="BA1911" s="291"/>
      <c r="BB1911" s="291"/>
      <c r="BC1911" s="291"/>
      <c r="BD1911" s="291"/>
      <c r="BE1911" s="291"/>
      <c r="BF1911" s="291"/>
      <c r="BG1911" s="291"/>
      <c r="BH1911" s="291"/>
      <c r="BI1911" s="291"/>
      <c r="BJ1911" s="291"/>
      <c r="BK1911" s="291"/>
      <c r="BL1911" s="291"/>
      <c r="BM1911" s="291"/>
      <c r="BN1911" s="291"/>
      <c r="BO1911" s="291"/>
      <c r="BP1911" s="291"/>
      <c r="BQ1911" s="291"/>
      <c r="BR1911" s="291"/>
      <c r="BS1911" s="291"/>
      <c r="BT1911" s="291"/>
      <c r="BU1911" s="291"/>
      <c r="BV1911" s="291"/>
      <c r="BW1911" s="291"/>
      <c r="BX1911" s="291"/>
      <c r="BY1911" s="291"/>
    </row>
    <row r="1912" spans="1:77" s="303" customFormat="1" ht="12" customHeight="1">
      <c r="B1912" s="310" t="s">
        <v>291</v>
      </c>
      <c r="C1912" s="301"/>
      <c r="D1912" s="301"/>
      <c r="E1912" s="302" t="s">
        <v>1489</v>
      </c>
      <c r="F1912" s="291" t="s">
        <v>571</v>
      </c>
      <c r="G1912" s="294">
        <v>4199</v>
      </c>
      <c r="H1912" s="303" t="s">
        <v>310</v>
      </c>
      <c r="I1912" s="291" t="s">
        <v>33</v>
      </c>
      <c r="J1912" s="305">
        <v>30488.87</v>
      </c>
      <c r="L1912" s="305">
        <v>34.380000000000003</v>
      </c>
      <c r="M1912" s="305">
        <v>34.380000000000003</v>
      </c>
      <c r="N1912" s="306">
        <f>J1912*0.3</f>
        <v>9146.6610000000001</v>
      </c>
      <c r="O1912" s="307">
        <v>0.2</v>
      </c>
      <c r="P1912" s="307"/>
      <c r="Q1912" s="306">
        <v>0</v>
      </c>
      <c r="R1912" s="291" t="s">
        <v>42</v>
      </c>
      <c r="S1912" s="299" t="s">
        <v>41</v>
      </c>
      <c r="T1912" s="299">
        <v>16</v>
      </c>
      <c r="U1912" s="309" t="s">
        <v>164</v>
      </c>
      <c r="V1912" s="447"/>
      <c r="X1912" s="306">
        <v>0</v>
      </c>
      <c r="Y1912" s="306"/>
      <c r="AH1912" s="332">
        <f>X1912</f>
        <v>0</v>
      </c>
      <c r="AI1912" s="311"/>
      <c r="AJ1912" s="468"/>
      <c r="AK1912" s="291"/>
      <c r="AL1912" s="291"/>
      <c r="AM1912" s="291"/>
      <c r="AN1912" s="291"/>
      <c r="AO1912" s="291"/>
      <c r="AP1912" s="291"/>
      <c r="AQ1912" s="291"/>
      <c r="AR1912" s="291"/>
      <c r="AS1912" s="291"/>
      <c r="AT1912" s="291"/>
      <c r="AU1912" s="291"/>
      <c r="AV1912" s="291"/>
      <c r="AW1912" s="291"/>
      <c r="AX1912" s="291"/>
      <c r="AY1912" s="291"/>
      <c r="AZ1912" s="291"/>
      <c r="BA1912" s="291"/>
      <c r="BB1912" s="291"/>
      <c r="BC1912" s="291"/>
      <c r="BD1912" s="291"/>
      <c r="BE1912" s="291"/>
      <c r="BF1912" s="291"/>
      <c r="BG1912" s="291"/>
      <c r="BH1912" s="291"/>
      <c r="BI1912" s="291"/>
      <c r="BJ1912" s="291"/>
      <c r="BK1912" s="291"/>
      <c r="BL1912" s="291"/>
      <c r="BM1912" s="291"/>
      <c r="BN1912" s="291"/>
      <c r="BO1912" s="291"/>
      <c r="BP1912" s="291"/>
      <c r="BQ1912" s="291"/>
      <c r="BR1912" s="291"/>
      <c r="BS1912" s="291"/>
      <c r="BT1912" s="291"/>
      <c r="BU1912" s="291"/>
      <c r="BV1912" s="291"/>
      <c r="BW1912" s="291"/>
      <c r="BX1912" s="291"/>
      <c r="BY1912" s="291"/>
    </row>
    <row r="1913" spans="1:77" s="303" customFormat="1" ht="12" customHeight="1">
      <c r="B1913" s="310" t="s">
        <v>291</v>
      </c>
      <c r="C1913" s="301"/>
      <c r="D1913" s="301"/>
      <c r="E1913" s="302" t="s">
        <v>1489</v>
      </c>
      <c r="F1913" s="291" t="s">
        <v>571</v>
      </c>
      <c r="G1913" s="294">
        <v>4199</v>
      </c>
      <c r="H1913" s="303" t="s">
        <v>99</v>
      </c>
      <c r="I1913" s="291" t="s">
        <v>33</v>
      </c>
      <c r="J1913" s="305">
        <v>105727.61</v>
      </c>
      <c r="L1913" s="305">
        <v>72.72</v>
      </c>
      <c r="M1913" s="305">
        <v>32.43</v>
      </c>
      <c r="N1913" s="306"/>
      <c r="O1913" s="307">
        <v>0.2</v>
      </c>
      <c r="P1913" s="307"/>
      <c r="Q1913" s="306">
        <v>0</v>
      </c>
      <c r="R1913" s="291" t="s">
        <v>42</v>
      </c>
      <c r="S1913" s="299" t="s">
        <v>41</v>
      </c>
      <c r="T1913" s="299">
        <v>16</v>
      </c>
      <c r="U1913" s="309" t="s">
        <v>164</v>
      </c>
      <c r="V1913" s="447"/>
      <c r="X1913" s="306">
        <v>0</v>
      </c>
      <c r="Y1913" s="306"/>
      <c r="AH1913" s="332">
        <f>X1913</f>
        <v>0</v>
      </c>
      <c r="AI1913" s="311"/>
      <c r="AJ1913" s="468"/>
      <c r="AK1913" s="291"/>
      <c r="AL1913" s="291"/>
      <c r="AM1913" s="291"/>
      <c r="AN1913" s="291"/>
      <c r="AO1913" s="291"/>
      <c r="AP1913" s="291"/>
      <c r="AQ1913" s="291"/>
      <c r="AR1913" s="291"/>
      <c r="AS1913" s="291"/>
      <c r="AT1913" s="291"/>
      <c r="AU1913" s="291"/>
      <c r="AV1913" s="291"/>
      <c r="AW1913" s="291"/>
      <c r="AX1913" s="291"/>
      <c r="AY1913" s="291"/>
      <c r="AZ1913" s="291"/>
      <c r="BA1913" s="291"/>
      <c r="BB1913" s="291"/>
      <c r="BC1913" s="291"/>
      <c r="BD1913" s="291"/>
      <c r="BE1913" s="291"/>
      <c r="BF1913" s="291"/>
      <c r="BG1913" s="291"/>
      <c r="BH1913" s="291"/>
      <c r="BI1913" s="291"/>
      <c r="BJ1913" s="291"/>
      <c r="BK1913" s="291"/>
      <c r="BL1913" s="291"/>
      <c r="BM1913" s="291"/>
      <c r="BN1913" s="291"/>
      <c r="BO1913" s="291"/>
      <c r="BP1913" s="291"/>
      <c r="BQ1913" s="291"/>
      <c r="BR1913" s="291"/>
      <c r="BS1913" s="291"/>
      <c r="BT1913" s="291"/>
      <c r="BU1913" s="291"/>
      <c r="BV1913" s="291"/>
      <c r="BW1913" s="291"/>
      <c r="BX1913" s="291"/>
      <c r="BY1913" s="291"/>
    </row>
    <row r="1914" spans="1:77" s="303" customFormat="1" ht="12" customHeight="1">
      <c r="B1914" s="310" t="s">
        <v>291</v>
      </c>
      <c r="C1914" s="301"/>
      <c r="D1914" s="301"/>
      <c r="E1914" s="302" t="s">
        <v>1489</v>
      </c>
      <c r="F1914" s="291" t="s">
        <v>571</v>
      </c>
      <c r="G1914" s="294">
        <v>4199</v>
      </c>
      <c r="H1914" s="303" t="s">
        <v>137</v>
      </c>
      <c r="I1914" s="291" t="s">
        <v>33</v>
      </c>
      <c r="J1914" s="305">
        <v>52473.01</v>
      </c>
      <c r="L1914" s="305">
        <v>45.03</v>
      </c>
      <c r="M1914" s="305">
        <v>45.03</v>
      </c>
      <c r="N1914" s="306">
        <f>J1914*0.5</f>
        <v>26236.505000000001</v>
      </c>
      <c r="O1914" s="307">
        <v>0.2</v>
      </c>
      <c r="P1914" s="307"/>
      <c r="Q1914" s="306">
        <v>4299.46</v>
      </c>
      <c r="R1914" s="291" t="s">
        <v>42</v>
      </c>
      <c r="S1914" s="299" t="s">
        <v>41</v>
      </c>
      <c r="T1914" s="299">
        <v>16</v>
      </c>
      <c r="U1914" s="309" t="s">
        <v>164</v>
      </c>
      <c r="V1914" s="447"/>
      <c r="X1914" s="306">
        <v>4299.46</v>
      </c>
      <c r="Y1914" s="306"/>
      <c r="AH1914" s="332">
        <f>X1914</f>
        <v>4299.46</v>
      </c>
      <c r="AI1914" s="311"/>
      <c r="AJ1914" s="468"/>
      <c r="AK1914" s="291"/>
      <c r="AL1914" s="291"/>
      <c r="AM1914" s="291"/>
      <c r="AN1914" s="291"/>
      <c r="AO1914" s="291"/>
      <c r="AP1914" s="291"/>
      <c r="AQ1914" s="291"/>
      <c r="AR1914" s="291"/>
      <c r="AS1914" s="291"/>
      <c r="AT1914" s="291"/>
      <c r="AU1914" s="291"/>
      <c r="AV1914" s="291"/>
      <c r="AW1914" s="291"/>
      <c r="AX1914" s="291"/>
      <c r="AY1914" s="291"/>
      <c r="AZ1914" s="291"/>
      <c r="BA1914" s="291"/>
      <c r="BB1914" s="291"/>
      <c r="BC1914" s="291"/>
      <c r="BD1914" s="291"/>
      <c r="BE1914" s="291"/>
      <c r="BF1914" s="291"/>
      <c r="BG1914" s="291"/>
      <c r="BH1914" s="291"/>
      <c r="BI1914" s="291"/>
      <c r="BJ1914" s="291"/>
      <c r="BK1914" s="291"/>
      <c r="BL1914" s="291"/>
      <c r="BM1914" s="291"/>
      <c r="BN1914" s="291"/>
      <c r="BO1914" s="291"/>
      <c r="BP1914" s="291"/>
      <c r="BQ1914" s="291"/>
      <c r="BR1914" s="291"/>
      <c r="BS1914" s="291"/>
      <c r="BT1914" s="291"/>
      <c r="BU1914" s="291"/>
      <c r="BV1914" s="291"/>
      <c r="BW1914" s="291"/>
      <c r="BX1914" s="291"/>
      <c r="BY1914" s="291"/>
    </row>
    <row r="1915" spans="1:77" s="379" customFormat="1" ht="11.25" customHeight="1">
      <c r="B1915" s="379" t="s">
        <v>291</v>
      </c>
      <c r="C1915" s="381">
        <v>44676</v>
      </c>
      <c r="D1915" s="381">
        <v>44712</v>
      </c>
      <c r="E1915" s="382" t="s">
        <v>1490</v>
      </c>
      <c r="F1915" s="379" t="s">
        <v>338</v>
      </c>
      <c r="G1915" s="383" t="s">
        <v>339</v>
      </c>
      <c r="H1915" s="379" t="s">
        <v>765</v>
      </c>
      <c r="I1915" s="379" t="s">
        <v>888</v>
      </c>
      <c r="J1915" s="385">
        <v>40377.51</v>
      </c>
      <c r="L1915" s="385">
        <v>27.74</v>
      </c>
      <c r="M1915" s="385">
        <v>27.74</v>
      </c>
      <c r="N1915" s="386"/>
      <c r="O1915" s="387">
        <v>0.15</v>
      </c>
      <c r="P1915" s="387"/>
      <c r="Q1915" s="386">
        <v>0</v>
      </c>
      <c r="R1915" s="379" t="s">
        <v>42</v>
      </c>
      <c r="S1915" s="388" t="s">
        <v>41</v>
      </c>
      <c r="T1915" s="388">
        <v>16</v>
      </c>
      <c r="U1915" s="389" t="s">
        <v>164</v>
      </c>
      <c r="V1915" s="433"/>
      <c r="X1915" s="386">
        <v>0</v>
      </c>
      <c r="Y1915" s="386"/>
      <c r="AI1915" s="394"/>
      <c r="AJ1915" s="390">
        <v>0</v>
      </c>
    </row>
    <row r="1916" spans="1:77" s="337" customFormat="1" ht="11.25" customHeight="1">
      <c r="B1916" s="337" t="s">
        <v>291</v>
      </c>
      <c r="C1916" s="349"/>
      <c r="D1916" s="349"/>
      <c r="E1916" s="350" t="s">
        <v>1490</v>
      </c>
      <c r="F1916" s="337" t="s">
        <v>338</v>
      </c>
      <c r="G1916" s="351" t="s">
        <v>339</v>
      </c>
      <c r="H1916" s="337" t="s">
        <v>99</v>
      </c>
      <c r="I1916" s="337" t="s">
        <v>888</v>
      </c>
      <c r="J1916" s="352">
        <v>168341.18</v>
      </c>
      <c r="L1916" s="352">
        <v>143.44</v>
      </c>
      <c r="M1916" s="352">
        <v>143.44</v>
      </c>
      <c r="N1916" s="354"/>
      <c r="O1916" s="355">
        <v>0.15</v>
      </c>
      <c r="P1916" s="355"/>
      <c r="Q1916" s="354">
        <v>28994.959999999999</v>
      </c>
      <c r="R1916" s="337" t="s">
        <v>42</v>
      </c>
      <c r="S1916" s="356" t="s">
        <v>41</v>
      </c>
      <c r="T1916" s="356">
        <v>16</v>
      </c>
      <c r="U1916" s="357" t="s">
        <v>164</v>
      </c>
      <c r="V1916" s="434"/>
      <c r="X1916" s="354">
        <v>28994.959999999999</v>
      </c>
      <c r="Y1916" s="354"/>
      <c r="AI1916" s="354">
        <v>28994.959999999999</v>
      </c>
      <c r="AJ1916" s="358"/>
      <c r="AK1916" s="369"/>
    </row>
    <row r="1917" spans="1:77" s="379" customFormat="1" ht="11.25" customHeight="1">
      <c r="B1917" s="379" t="s">
        <v>291</v>
      </c>
      <c r="C1917" s="381"/>
      <c r="D1917" s="381"/>
      <c r="E1917" s="382" t="s">
        <v>1490</v>
      </c>
      <c r="F1917" s="379" t="s">
        <v>338</v>
      </c>
      <c r="G1917" s="383" t="s">
        <v>339</v>
      </c>
      <c r="H1917" s="379" t="s">
        <v>27</v>
      </c>
      <c r="I1917" s="379" t="s">
        <v>888</v>
      </c>
      <c r="J1917" s="385">
        <v>92883.199999999997</v>
      </c>
      <c r="L1917" s="385">
        <v>70.58</v>
      </c>
      <c r="M1917" s="385">
        <v>70.58</v>
      </c>
      <c r="N1917" s="386"/>
      <c r="O1917" s="387">
        <v>0.15</v>
      </c>
      <c r="P1917" s="387"/>
      <c r="Q1917" s="386">
        <v>0</v>
      </c>
      <c r="R1917" s="379" t="s">
        <v>42</v>
      </c>
      <c r="S1917" s="388" t="s">
        <v>41</v>
      </c>
      <c r="T1917" s="388">
        <v>16</v>
      </c>
      <c r="U1917" s="389" t="s">
        <v>164</v>
      </c>
      <c r="V1917" s="433"/>
      <c r="X1917" s="386">
        <v>0</v>
      </c>
      <c r="Y1917" s="386"/>
      <c r="AI1917" s="394"/>
      <c r="AJ1917" s="390">
        <v>0</v>
      </c>
    </row>
    <row r="1918" spans="1:77" s="379" customFormat="1" ht="11.25" customHeight="1">
      <c r="B1918" s="379" t="s">
        <v>291</v>
      </c>
      <c r="C1918" s="381"/>
      <c r="D1918" s="381"/>
      <c r="E1918" s="382" t="s">
        <v>1490</v>
      </c>
      <c r="F1918" s="379" t="s">
        <v>338</v>
      </c>
      <c r="G1918" s="383" t="s">
        <v>339</v>
      </c>
      <c r="H1918" s="379" t="s">
        <v>910</v>
      </c>
      <c r="I1918" s="379" t="s">
        <v>888</v>
      </c>
      <c r="J1918" s="385">
        <v>61249.5</v>
      </c>
      <c r="L1918" s="385">
        <v>39</v>
      </c>
      <c r="M1918" s="385">
        <v>39</v>
      </c>
      <c r="N1918" s="386"/>
      <c r="O1918" s="387">
        <v>0.15</v>
      </c>
      <c r="P1918" s="387"/>
      <c r="Q1918" s="386">
        <v>0</v>
      </c>
      <c r="R1918" s="379" t="s">
        <v>42</v>
      </c>
      <c r="S1918" s="388" t="s">
        <v>41</v>
      </c>
      <c r="T1918" s="388">
        <v>16</v>
      </c>
      <c r="U1918" s="389" t="s">
        <v>164</v>
      </c>
      <c r="V1918" s="433"/>
      <c r="X1918" s="386">
        <v>0</v>
      </c>
      <c r="Y1918" s="386"/>
      <c r="AI1918" s="394"/>
      <c r="AJ1918" s="390">
        <v>0</v>
      </c>
    </row>
    <row r="1919" spans="1:77" s="6" customFormat="1" ht="11.25" customHeight="1">
      <c r="A1919" s="379"/>
      <c r="B1919" s="379" t="s">
        <v>291</v>
      </c>
      <c r="C1919" s="381"/>
      <c r="D1919" s="381"/>
      <c r="E1919" s="382" t="s">
        <v>1490</v>
      </c>
      <c r="F1919" s="379" t="s">
        <v>338</v>
      </c>
      <c r="G1919" s="383" t="s">
        <v>339</v>
      </c>
      <c r="H1919" s="379" t="s">
        <v>183</v>
      </c>
      <c r="I1919" s="379" t="s">
        <v>888</v>
      </c>
      <c r="J1919" s="385">
        <v>2826.72</v>
      </c>
      <c r="K1919" s="379"/>
      <c r="L1919" s="385">
        <v>4.16</v>
      </c>
      <c r="M1919" s="385">
        <v>4.16</v>
      </c>
      <c r="N1919" s="386"/>
      <c r="O1919" s="387">
        <v>0.15</v>
      </c>
      <c r="P1919" s="387"/>
      <c r="Q1919" s="386">
        <v>0</v>
      </c>
      <c r="R1919" s="379" t="s">
        <v>42</v>
      </c>
      <c r="S1919" s="388" t="s">
        <v>41</v>
      </c>
      <c r="T1919" s="388">
        <v>16</v>
      </c>
      <c r="U1919" s="389" t="s">
        <v>164</v>
      </c>
      <c r="V1919" s="433"/>
      <c r="W1919" s="379"/>
      <c r="X1919" s="386">
        <v>0</v>
      </c>
      <c r="Y1919" s="386"/>
      <c r="Z1919" s="379"/>
      <c r="AA1919" s="379"/>
      <c r="AB1919" s="379"/>
      <c r="AC1919" s="379"/>
      <c r="AD1919" s="379"/>
      <c r="AE1919" s="379"/>
      <c r="AF1919" s="379"/>
      <c r="AG1919" s="379"/>
      <c r="AH1919" s="379"/>
      <c r="AI1919" s="394"/>
      <c r="AJ1919" s="390">
        <v>0</v>
      </c>
      <c r="AK1919" s="379"/>
      <c r="AL1919" s="379"/>
      <c r="AM1919" s="379"/>
      <c r="AN1919" s="379"/>
      <c r="AO1919" s="379"/>
      <c r="AP1919" s="379"/>
      <c r="AQ1919" s="379"/>
      <c r="AR1919" s="379"/>
      <c r="AS1919" s="379"/>
      <c r="AT1919" s="379"/>
      <c r="AU1919" s="379"/>
      <c r="AV1919" s="379"/>
      <c r="AW1919" s="379"/>
      <c r="AX1919" s="379"/>
      <c r="AY1919" s="379"/>
      <c r="AZ1919" s="379"/>
      <c r="BA1919" s="379"/>
      <c r="BB1919" s="379"/>
      <c r="BC1919" s="379"/>
      <c r="BD1919" s="379"/>
      <c r="BE1919" s="379"/>
      <c r="BF1919" s="379"/>
      <c r="BG1919" s="379"/>
      <c r="BH1919" s="379"/>
      <c r="BI1919" s="379"/>
      <c r="BJ1919" s="379"/>
      <c r="BK1919" s="379"/>
      <c r="BL1919" s="379"/>
      <c r="BM1919" s="379"/>
      <c r="BN1919" s="379"/>
      <c r="BO1919" s="379"/>
      <c r="BP1919" s="379"/>
      <c r="BQ1919" s="379"/>
      <c r="BR1919" s="379"/>
      <c r="BS1919" s="379"/>
      <c r="BT1919" s="379"/>
      <c r="BU1919" s="379"/>
      <c r="BV1919" s="379"/>
      <c r="BW1919" s="379"/>
      <c r="BX1919" s="379"/>
      <c r="BY1919" s="379"/>
    </row>
    <row r="1920" spans="1:77" s="6" customFormat="1" ht="11.25" customHeight="1">
      <c r="A1920" s="379"/>
      <c r="B1920" s="379" t="s">
        <v>291</v>
      </c>
      <c r="C1920" s="381"/>
      <c r="D1920" s="381"/>
      <c r="E1920" s="382" t="s">
        <v>1490</v>
      </c>
      <c r="F1920" s="379" t="s">
        <v>338</v>
      </c>
      <c r="G1920" s="383" t="s">
        <v>339</v>
      </c>
      <c r="H1920" s="379" t="s">
        <v>140</v>
      </c>
      <c r="I1920" s="379" t="s">
        <v>888</v>
      </c>
      <c r="J1920" s="385">
        <v>31370.63</v>
      </c>
      <c r="K1920" s="379"/>
      <c r="L1920" s="385">
        <v>25.35</v>
      </c>
      <c r="M1920" s="385">
        <v>25.35</v>
      </c>
      <c r="N1920" s="386"/>
      <c r="O1920" s="387">
        <v>0.15</v>
      </c>
      <c r="P1920" s="387"/>
      <c r="Q1920" s="386">
        <v>0</v>
      </c>
      <c r="R1920" s="379" t="s">
        <v>42</v>
      </c>
      <c r="S1920" s="388" t="s">
        <v>41</v>
      </c>
      <c r="T1920" s="388">
        <v>16</v>
      </c>
      <c r="U1920" s="389" t="s">
        <v>164</v>
      </c>
      <c r="V1920" s="433"/>
      <c r="W1920" s="379"/>
      <c r="X1920" s="386">
        <v>0</v>
      </c>
      <c r="Y1920" s="386"/>
      <c r="Z1920" s="379"/>
      <c r="AA1920" s="379"/>
      <c r="AB1920" s="379"/>
      <c r="AC1920" s="379"/>
      <c r="AD1920" s="379"/>
      <c r="AE1920" s="379"/>
      <c r="AF1920" s="379"/>
      <c r="AG1920" s="379"/>
      <c r="AH1920" s="379"/>
      <c r="AI1920" s="394"/>
      <c r="AJ1920" s="390">
        <v>0</v>
      </c>
      <c r="AK1920" s="379"/>
      <c r="AL1920" s="379"/>
      <c r="AM1920" s="379"/>
      <c r="AN1920" s="379"/>
      <c r="AO1920" s="379"/>
      <c r="AP1920" s="379"/>
      <c r="AQ1920" s="379"/>
      <c r="AR1920" s="379"/>
      <c r="AS1920" s="379"/>
      <c r="AT1920" s="379"/>
      <c r="AU1920" s="379"/>
      <c r="AV1920" s="379"/>
      <c r="AW1920" s="379"/>
      <c r="AX1920" s="379"/>
      <c r="AY1920" s="379"/>
      <c r="AZ1920" s="379"/>
      <c r="BA1920" s="379"/>
      <c r="BB1920" s="379"/>
      <c r="BC1920" s="379"/>
      <c r="BD1920" s="379"/>
      <c r="BE1920" s="379"/>
      <c r="BF1920" s="379"/>
      <c r="BG1920" s="379"/>
      <c r="BH1920" s="379"/>
      <c r="BI1920" s="379"/>
      <c r="BJ1920" s="379"/>
      <c r="BK1920" s="379"/>
      <c r="BL1920" s="379"/>
      <c r="BM1920" s="379"/>
      <c r="BN1920" s="379"/>
      <c r="BO1920" s="379"/>
      <c r="BP1920" s="379"/>
      <c r="BQ1920" s="379"/>
      <c r="BR1920" s="379"/>
      <c r="BS1920" s="379"/>
      <c r="BT1920" s="379"/>
      <c r="BU1920" s="379"/>
      <c r="BV1920" s="379"/>
      <c r="BW1920" s="379"/>
      <c r="BX1920" s="379"/>
      <c r="BY1920" s="379"/>
    </row>
    <row r="1921" spans="1:77" s="379" customFormat="1" ht="11.25" customHeight="1">
      <c r="B1921" s="380" t="s">
        <v>291</v>
      </c>
      <c r="C1921" s="381"/>
      <c r="D1921" s="381"/>
      <c r="E1921" s="382" t="s">
        <v>1491</v>
      </c>
      <c r="F1921" s="379" t="s">
        <v>885</v>
      </c>
      <c r="G1921" s="383">
        <v>4063</v>
      </c>
      <c r="H1921" s="379" t="s">
        <v>685</v>
      </c>
      <c r="I1921" s="379" t="s">
        <v>111</v>
      </c>
      <c r="J1921" s="385">
        <v>30210</v>
      </c>
      <c r="L1921" s="385">
        <v>20.14</v>
      </c>
      <c r="M1921" s="385">
        <v>20.14</v>
      </c>
      <c r="N1921" s="407">
        <f>J1921*0.4</f>
        <v>12084</v>
      </c>
      <c r="O1921" s="387">
        <v>0.2</v>
      </c>
      <c r="P1921" s="387"/>
      <c r="Q1921" s="386">
        <v>0</v>
      </c>
      <c r="R1921" s="379" t="s">
        <v>35</v>
      </c>
      <c r="S1921" s="388" t="s">
        <v>41</v>
      </c>
      <c r="T1921" s="388">
        <v>16</v>
      </c>
      <c r="U1921" s="389" t="s">
        <v>164</v>
      </c>
      <c r="V1921" s="433"/>
      <c r="X1921" s="386">
        <v>0</v>
      </c>
      <c r="Y1921" s="386"/>
      <c r="AI1921" s="394"/>
      <c r="AJ1921" s="390">
        <v>0</v>
      </c>
    </row>
    <row r="1922" spans="1:77" s="6" customFormat="1" ht="11.25" customHeight="1">
      <c r="A1922" s="379" t="s">
        <v>3911</v>
      </c>
      <c r="B1922" s="380" t="s">
        <v>291</v>
      </c>
      <c r="C1922" s="381"/>
      <c r="D1922" s="381"/>
      <c r="E1922" s="382" t="s">
        <v>1491</v>
      </c>
      <c r="F1922" s="379" t="s">
        <v>885</v>
      </c>
      <c r="G1922" s="383">
        <v>4063</v>
      </c>
      <c r="H1922" s="379" t="s">
        <v>140</v>
      </c>
      <c r="I1922" s="379" t="s">
        <v>111</v>
      </c>
      <c r="J1922" s="385">
        <v>3248.6</v>
      </c>
      <c r="K1922" s="379"/>
      <c r="L1922" s="385">
        <v>2.96</v>
      </c>
      <c r="M1922" s="385">
        <v>2.96</v>
      </c>
      <c r="N1922" s="386"/>
      <c r="O1922" s="387">
        <v>0.2</v>
      </c>
      <c r="P1922" s="387"/>
      <c r="Q1922" s="386">
        <v>0</v>
      </c>
      <c r="R1922" s="379" t="s">
        <v>35</v>
      </c>
      <c r="S1922" s="388" t="s">
        <v>41</v>
      </c>
      <c r="T1922" s="388">
        <v>16</v>
      </c>
      <c r="U1922" s="389" t="s">
        <v>164</v>
      </c>
      <c r="V1922" s="433"/>
      <c r="W1922" s="379"/>
      <c r="X1922" s="386">
        <v>0</v>
      </c>
      <c r="Y1922" s="386"/>
      <c r="Z1922" s="379"/>
      <c r="AA1922" s="379"/>
      <c r="AB1922" s="379"/>
      <c r="AC1922" s="379"/>
      <c r="AD1922" s="379"/>
      <c r="AE1922" s="379"/>
      <c r="AF1922" s="379"/>
      <c r="AG1922" s="379"/>
      <c r="AH1922" s="379"/>
      <c r="AI1922" s="394"/>
      <c r="AJ1922" s="390">
        <v>0</v>
      </c>
      <c r="AK1922" s="379"/>
      <c r="AL1922" s="379"/>
      <c r="AM1922" s="379"/>
      <c r="AN1922" s="379"/>
      <c r="AO1922" s="379"/>
      <c r="AP1922" s="379"/>
      <c r="AQ1922" s="379"/>
      <c r="AR1922" s="379"/>
      <c r="AS1922" s="379"/>
      <c r="AT1922" s="379"/>
      <c r="AU1922" s="379"/>
      <c r="AV1922" s="379"/>
      <c r="AW1922" s="379"/>
      <c r="AX1922" s="379"/>
      <c r="AY1922" s="379"/>
      <c r="AZ1922" s="379"/>
      <c r="BA1922" s="379"/>
      <c r="BB1922" s="379"/>
      <c r="BC1922" s="379"/>
      <c r="BD1922" s="379"/>
      <c r="BE1922" s="379"/>
      <c r="BF1922" s="379"/>
      <c r="BG1922" s="379"/>
      <c r="BH1922" s="379"/>
      <c r="BI1922" s="379"/>
      <c r="BJ1922" s="379"/>
      <c r="BK1922" s="379"/>
      <c r="BL1922" s="379"/>
      <c r="BM1922" s="379"/>
      <c r="BN1922" s="379"/>
      <c r="BO1922" s="379"/>
      <c r="BP1922" s="379"/>
      <c r="BQ1922" s="379"/>
      <c r="BR1922" s="379"/>
      <c r="BS1922" s="379"/>
      <c r="BT1922" s="379"/>
      <c r="BU1922" s="379"/>
      <c r="BV1922" s="379"/>
      <c r="BW1922" s="379"/>
      <c r="BX1922" s="379"/>
      <c r="BY1922" s="379"/>
    </row>
    <row r="1923" spans="1:77" s="337" customFormat="1" ht="11.25" customHeight="1">
      <c r="A1923" s="379"/>
      <c r="B1923" s="380" t="s">
        <v>291</v>
      </c>
      <c r="C1923" s="381"/>
      <c r="D1923" s="381"/>
      <c r="E1923" s="382" t="s">
        <v>1491</v>
      </c>
      <c r="F1923" s="379" t="s">
        <v>885</v>
      </c>
      <c r="G1923" s="383">
        <v>4063</v>
      </c>
      <c r="H1923" s="379" t="s">
        <v>1141</v>
      </c>
      <c r="I1923" s="379" t="s">
        <v>111</v>
      </c>
      <c r="J1923" s="385">
        <v>5972.4</v>
      </c>
      <c r="K1923" s="379"/>
      <c r="L1923" s="385">
        <v>7.11</v>
      </c>
      <c r="M1923" s="385">
        <v>7.11</v>
      </c>
      <c r="N1923" s="386"/>
      <c r="O1923" s="387">
        <v>0.2</v>
      </c>
      <c r="P1923" s="387"/>
      <c r="Q1923" s="386">
        <v>3996</v>
      </c>
      <c r="R1923" s="379" t="s">
        <v>35</v>
      </c>
      <c r="S1923" s="388" t="s">
        <v>41</v>
      </c>
      <c r="T1923" s="388">
        <v>16</v>
      </c>
      <c r="U1923" s="389" t="s">
        <v>164</v>
      </c>
      <c r="V1923" s="433"/>
      <c r="W1923" s="379"/>
      <c r="X1923" s="386">
        <v>3996</v>
      </c>
      <c r="Y1923" s="386"/>
      <c r="Z1923" s="379"/>
      <c r="AA1923" s="379"/>
      <c r="AB1923" s="379"/>
      <c r="AC1923" s="379"/>
      <c r="AD1923" s="379"/>
      <c r="AE1923" s="379"/>
      <c r="AF1923" s="379"/>
      <c r="AG1923" s="379"/>
      <c r="AH1923" s="379"/>
      <c r="AI1923" s="394"/>
      <c r="AJ1923" s="416">
        <v>3996</v>
      </c>
      <c r="AK1923" s="379"/>
      <c r="AL1923" s="379"/>
      <c r="AM1923" s="379"/>
      <c r="AN1923" s="379"/>
      <c r="AO1923" s="379"/>
      <c r="AP1923" s="379"/>
      <c r="AQ1923" s="379"/>
      <c r="AR1923" s="379"/>
      <c r="AS1923" s="379"/>
      <c r="AT1923" s="379"/>
      <c r="AU1923" s="379"/>
      <c r="AV1923" s="379"/>
      <c r="AW1923" s="379"/>
      <c r="AX1923" s="379"/>
      <c r="AY1923" s="379"/>
      <c r="AZ1923" s="379"/>
      <c r="BA1923" s="379"/>
      <c r="BB1923" s="379"/>
      <c r="BC1923" s="379"/>
      <c r="BD1923" s="379"/>
      <c r="BE1923" s="379"/>
      <c r="BF1923" s="379"/>
      <c r="BG1923" s="379"/>
      <c r="BH1923" s="379"/>
      <c r="BI1923" s="379"/>
      <c r="BJ1923" s="379"/>
      <c r="BK1923" s="379"/>
      <c r="BL1923" s="379"/>
      <c r="BM1923" s="379"/>
      <c r="BN1923" s="379"/>
      <c r="BO1923" s="379"/>
      <c r="BP1923" s="379"/>
      <c r="BQ1923" s="379"/>
      <c r="BR1923" s="379"/>
      <c r="BS1923" s="379"/>
      <c r="BT1923" s="379"/>
      <c r="BU1923" s="379"/>
      <c r="BV1923" s="379"/>
      <c r="BW1923" s="379"/>
      <c r="BX1923" s="379"/>
      <c r="BY1923" s="379"/>
    </row>
    <row r="1924" spans="1:77" s="379" customFormat="1" ht="11.25" customHeight="1">
      <c r="B1924" s="380" t="s">
        <v>291</v>
      </c>
      <c r="C1924" s="381"/>
      <c r="D1924" s="381"/>
      <c r="E1924" s="382" t="s">
        <v>1491</v>
      </c>
      <c r="F1924" s="379" t="s">
        <v>885</v>
      </c>
      <c r="G1924" s="383">
        <v>4063</v>
      </c>
      <c r="H1924" s="379" t="s">
        <v>528</v>
      </c>
      <c r="I1924" s="379" t="s">
        <v>111</v>
      </c>
      <c r="J1924" s="385">
        <v>5436</v>
      </c>
      <c r="L1924" s="385">
        <v>6.04</v>
      </c>
      <c r="M1924" s="385">
        <v>6.04</v>
      </c>
      <c r="N1924" s="386"/>
      <c r="O1924" s="387">
        <v>0.2</v>
      </c>
      <c r="P1924" s="387"/>
      <c r="Q1924" s="386">
        <v>2772.36</v>
      </c>
      <c r="R1924" s="379" t="s">
        <v>35</v>
      </c>
      <c r="S1924" s="388" t="s">
        <v>41</v>
      </c>
      <c r="T1924" s="388">
        <v>16</v>
      </c>
      <c r="U1924" s="389" t="s">
        <v>164</v>
      </c>
      <c r="V1924" s="433"/>
      <c r="X1924" s="386">
        <v>2772.36</v>
      </c>
      <c r="Y1924" s="386"/>
      <c r="AI1924" s="394"/>
      <c r="AJ1924" s="416">
        <v>2772.36</v>
      </c>
    </row>
    <row r="1925" spans="1:77" s="379" customFormat="1" ht="11.25" customHeight="1">
      <c r="B1925" s="380" t="s">
        <v>291</v>
      </c>
      <c r="C1925" s="381"/>
      <c r="D1925" s="381"/>
      <c r="E1925" s="382" t="s">
        <v>1491</v>
      </c>
      <c r="F1925" s="379" t="s">
        <v>885</v>
      </c>
      <c r="G1925" s="383">
        <v>4063</v>
      </c>
      <c r="H1925" s="379" t="s">
        <v>1492</v>
      </c>
      <c r="I1925" s="379" t="s">
        <v>111</v>
      </c>
      <c r="J1925" s="385">
        <v>3564</v>
      </c>
      <c r="L1925" s="385">
        <v>1.98</v>
      </c>
      <c r="M1925" s="385">
        <v>1.98</v>
      </c>
      <c r="N1925" s="386"/>
      <c r="O1925" s="387">
        <v>0.2</v>
      </c>
      <c r="P1925" s="387"/>
      <c r="Q1925" s="386">
        <v>0</v>
      </c>
      <c r="R1925" s="379" t="s">
        <v>35</v>
      </c>
      <c r="S1925" s="388" t="s">
        <v>41</v>
      </c>
      <c r="T1925" s="388">
        <v>16</v>
      </c>
      <c r="U1925" s="389" t="s">
        <v>164</v>
      </c>
      <c r="V1925" s="433"/>
      <c r="X1925" s="386">
        <v>0</v>
      </c>
      <c r="Y1925" s="386"/>
      <c r="AI1925" s="394"/>
      <c r="AJ1925" s="390">
        <v>0</v>
      </c>
    </row>
    <row r="1926" spans="1:77" s="337" customFormat="1" ht="11.25" customHeight="1">
      <c r="B1926" s="338" t="s">
        <v>291</v>
      </c>
      <c r="C1926" s="349"/>
      <c r="D1926" s="349"/>
      <c r="E1926" s="350" t="s">
        <v>1491</v>
      </c>
      <c r="F1926" s="337" t="s">
        <v>885</v>
      </c>
      <c r="G1926" s="351">
        <v>4063</v>
      </c>
      <c r="H1926" s="337" t="s">
        <v>310</v>
      </c>
      <c r="I1926" s="337" t="s">
        <v>111</v>
      </c>
      <c r="J1926" s="352">
        <v>1595.88</v>
      </c>
      <c r="L1926" s="352">
        <v>2.34</v>
      </c>
      <c r="M1926" s="352">
        <v>2.34</v>
      </c>
      <c r="N1926" s="360">
        <f>J1926*0.4</f>
        <v>638.35200000000009</v>
      </c>
      <c r="O1926" s="355">
        <v>0.2</v>
      </c>
      <c r="P1926" s="355"/>
      <c r="Q1926" s="354">
        <v>469.87</v>
      </c>
      <c r="R1926" s="337" t="s">
        <v>35</v>
      </c>
      <c r="S1926" s="356" t="s">
        <v>41</v>
      </c>
      <c r="T1926" s="356">
        <v>16</v>
      </c>
      <c r="U1926" s="357" t="s">
        <v>164</v>
      </c>
      <c r="V1926" s="434"/>
      <c r="X1926" s="354">
        <v>469.87</v>
      </c>
      <c r="Y1926" s="354"/>
      <c r="AI1926" s="354">
        <v>469.87</v>
      </c>
      <c r="AJ1926" s="358"/>
      <c r="AK1926" s="369"/>
      <c r="AL1926" s="341"/>
      <c r="AM1926" s="341"/>
      <c r="AN1926" s="341"/>
      <c r="AO1926" s="341"/>
      <c r="AP1926" s="341"/>
      <c r="AQ1926" s="341"/>
      <c r="AR1926" s="341"/>
      <c r="AS1926" s="341"/>
      <c r="AT1926" s="341"/>
      <c r="AU1926" s="341"/>
      <c r="AV1926" s="341"/>
      <c r="AW1926" s="341"/>
      <c r="AX1926" s="341"/>
      <c r="AY1926" s="341"/>
      <c r="AZ1926" s="341"/>
      <c r="BA1926" s="341"/>
      <c r="BB1926" s="341"/>
      <c r="BC1926" s="341"/>
      <c r="BD1926" s="341"/>
      <c r="BE1926" s="341"/>
      <c r="BF1926" s="341"/>
      <c r="BG1926" s="341"/>
      <c r="BH1926" s="341"/>
      <c r="BI1926" s="341"/>
      <c r="BJ1926" s="341"/>
      <c r="BK1926" s="341"/>
      <c r="BL1926" s="341"/>
      <c r="BM1926" s="341"/>
      <c r="BN1926" s="341"/>
      <c r="BO1926" s="341"/>
      <c r="BP1926" s="341"/>
      <c r="BQ1926" s="341"/>
      <c r="BR1926" s="341"/>
      <c r="BS1926" s="341"/>
      <c r="BT1926" s="341"/>
      <c r="BU1926" s="341"/>
      <c r="BV1926" s="341"/>
      <c r="BW1926" s="341"/>
      <c r="BX1926" s="341"/>
      <c r="BY1926" s="341"/>
    </row>
    <row r="1927" spans="1:77" s="291" customFormat="1" ht="11.25" customHeight="1">
      <c r="B1927" s="310" t="s">
        <v>291</v>
      </c>
      <c r="C1927" s="292">
        <v>44711</v>
      </c>
      <c r="D1927" s="292">
        <v>44712</v>
      </c>
      <c r="E1927" s="293" t="s">
        <v>1491</v>
      </c>
      <c r="F1927" s="291" t="s">
        <v>885</v>
      </c>
      <c r="G1927" s="294">
        <v>4063</v>
      </c>
      <c r="H1927" s="291" t="s">
        <v>99</v>
      </c>
      <c r="I1927" s="291" t="s">
        <v>111</v>
      </c>
      <c r="J1927" s="296">
        <v>24585.93</v>
      </c>
      <c r="L1927" s="296">
        <v>20.69</v>
      </c>
      <c r="M1927" s="296">
        <v>20.69</v>
      </c>
      <c r="N1927" s="297"/>
      <c r="O1927" s="298">
        <v>0.2</v>
      </c>
      <c r="P1927" s="298"/>
      <c r="Q1927" s="297">
        <v>0</v>
      </c>
      <c r="R1927" s="291" t="s">
        <v>35</v>
      </c>
      <c r="S1927" s="299" t="s">
        <v>41</v>
      </c>
      <c r="T1927" s="299">
        <v>16</v>
      </c>
      <c r="U1927" s="300" t="s">
        <v>164</v>
      </c>
      <c r="V1927" s="333"/>
      <c r="X1927" s="297">
        <v>0</v>
      </c>
      <c r="Y1927" s="297"/>
      <c r="AH1927" s="291">
        <f>X1927</f>
        <v>0</v>
      </c>
      <c r="AI1927" s="311"/>
      <c r="AJ1927" s="468"/>
    </row>
    <row r="1928" spans="1:77" s="291" customFormat="1" ht="11.25" customHeight="1">
      <c r="B1928" s="310" t="s">
        <v>291</v>
      </c>
      <c r="C1928" s="292"/>
      <c r="D1928" s="292"/>
      <c r="E1928" s="293" t="s">
        <v>1491</v>
      </c>
      <c r="F1928" s="291" t="s">
        <v>885</v>
      </c>
      <c r="G1928" s="294">
        <v>4063</v>
      </c>
      <c r="H1928" s="291" t="s">
        <v>183</v>
      </c>
      <c r="I1928" s="291" t="s">
        <v>111</v>
      </c>
      <c r="J1928" s="296">
        <v>7970.4</v>
      </c>
      <c r="L1928" s="296">
        <v>8.64</v>
      </c>
      <c r="M1928" s="296">
        <v>8.64</v>
      </c>
      <c r="N1928" s="297"/>
      <c r="O1928" s="298">
        <v>0.2</v>
      </c>
      <c r="P1928" s="298"/>
      <c r="Q1928" s="297">
        <v>0</v>
      </c>
      <c r="R1928" s="291" t="s">
        <v>35</v>
      </c>
      <c r="S1928" s="299" t="s">
        <v>41</v>
      </c>
      <c r="T1928" s="299">
        <v>16</v>
      </c>
      <c r="U1928" s="300" t="s">
        <v>164</v>
      </c>
      <c r="V1928" s="333"/>
      <c r="X1928" s="297">
        <v>0</v>
      </c>
      <c r="Y1928" s="297"/>
      <c r="AH1928" s="291">
        <f>X1928</f>
        <v>0</v>
      </c>
      <c r="AI1928" s="311"/>
      <c r="AJ1928" s="468"/>
    </row>
    <row r="1929" spans="1:77" s="291" customFormat="1" ht="11.25" customHeight="1">
      <c r="B1929" s="310" t="s">
        <v>291</v>
      </c>
      <c r="C1929" s="292"/>
      <c r="D1929" s="292"/>
      <c r="E1929" s="293" t="s">
        <v>1491</v>
      </c>
      <c r="F1929" s="291" t="s">
        <v>885</v>
      </c>
      <c r="G1929" s="294">
        <v>4063</v>
      </c>
      <c r="H1929" s="291" t="s">
        <v>356</v>
      </c>
      <c r="I1929" s="291" t="s">
        <v>111</v>
      </c>
      <c r="J1929" s="296">
        <v>1963.5</v>
      </c>
      <c r="L1929" s="296">
        <v>4.62</v>
      </c>
      <c r="M1929" s="296">
        <v>4.62</v>
      </c>
      <c r="N1929" s="297"/>
      <c r="O1929" s="298">
        <v>0.2</v>
      </c>
      <c r="P1929" s="298"/>
      <c r="Q1929" s="297">
        <v>0</v>
      </c>
      <c r="R1929" s="291" t="s">
        <v>35</v>
      </c>
      <c r="S1929" s="299" t="s">
        <v>41</v>
      </c>
      <c r="T1929" s="299">
        <v>16</v>
      </c>
      <c r="U1929" s="300" t="s">
        <v>164</v>
      </c>
      <c r="V1929" s="333"/>
      <c r="X1929" s="297">
        <v>0</v>
      </c>
      <c r="Y1929" s="297"/>
      <c r="AH1929" s="291">
        <f>X1929</f>
        <v>0</v>
      </c>
      <c r="AI1929" s="311"/>
      <c r="AJ1929" s="468"/>
    </row>
    <row r="1930" spans="1:77" s="291" customFormat="1" ht="11.25" customHeight="1">
      <c r="B1930" s="310" t="s">
        <v>291</v>
      </c>
      <c r="C1930" s="292"/>
      <c r="D1930" s="292"/>
      <c r="E1930" s="293" t="s">
        <v>1491</v>
      </c>
      <c r="F1930" s="291" t="s">
        <v>885</v>
      </c>
      <c r="G1930" s="294">
        <v>4063</v>
      </c>
      <c r="H1930" s="291" t="s">
        <v>1015</v>
      </c>
      <c r="I1930" s="291" t="s">
        <v>111</v>
      </c>
      <c r="J1930" s="296">
        <v>9426.9</v>
      </c>
      <c r="L1930" s="296">
        <v>9.3800000000000008</v>
      </c>
      <c r="M1930" s="296">
        <v>9.3800000000000008</v>
      </c>
      <c r="N1930" s="297"/>
      <c r="O1930" s="298">
        <v>0.2</v>
      </c>
      <c r="P1930" s="298"/>
      <c r="Q1930" s="297">
        <v>0</v>
      </c>
      <c r="R1930" s="291" t="s">
        <v>35</v>
      </c>
      <c r="S1930" s="299" t="s">
        <v>41</v>
      </c>
      <c r="T1930" s="299">
        <v>16</v>
      </c>
      <c r="U1930" s="300" t="s">
        <v>164</v>
      </c>
      <c r="V1930" s="333"/>
      <c r="X1930" s="297">
        <v>0</v>
      </c>
      <c r="Y1930" s="297"/>
      <c r="AH1930" s="291">
        <f>X1930</f>
        <v>0</v>
      </c>
      <c r="AI1930" s="311"/>
      <c r="AJ1930" s="468"/>
    </row>
    <row r="1931" spans="1:77" s="291" customFormat="1" ht="11.25" customHeight="1">
      <c r="B1931" s="310" t="s">
        <v>291</v>
      </c>
      <c r="C1931" s="292"/>
      <c r="D1931" s="292"/>
      <c r="E1931" s="293" t="s">
        <v>1491</v>
      </c>
      <c r="F1931" s="291" t="s">
        <v>885</v>
      </c>
      <c r="G1931" s="294">
        <v>4063</v>
      </c>
      <c r="H1931" s="291" t="s">
        <v>1138</v>
      </c>
      <c r="I1931" s="291" t="s">
        <v>111</v>
      </c>
      <c r="J1931" s="296">
        <v>17358.75</v>
      </c>
      <c r="L1931" s="296">
        <v>15.43</v>
      </c>
      <c r="M1931" s="296">
        <v>15.43</v>
      </c>
      <c r="N1931" s="297"/>
      <c r="O1931" s="298">
        <v>0.2</v>
      </c>
      <c r="P1931" s="298"/>
      <c r="Q1931" s="297">
        <v>0</v>
      </c>
      <c r="R1931" s="291" t="s">
        <v>35</v>
      </c>
      <c r="S1931" s="299" t="s">
        <v>41</v>
      </c>
      <c r="T1931" s="299">
        <v>16</v>
      </c>
      <c r="U1931" s="300" t="s">
        <v>164</v>
      </c>
      <c r="V1931" s="333"/>
      <c r="X1931" s="297">
        <v>0</v>
      </c>
      <c r="Y1931" s="297"/>
      <c r="AH1931" s="291">
        <f>X1931</f>
        <v>0</v>
      </c>
      <c r="AI1931" s="311"/>
      <c r="AJ1931" s="468"/>
    </row>
    <row r="1932" spans="1:77" s="205" customFormat="1" ht="11.25" customHeight="1">
      <c r="B1932" s="206" t="s">
        <v>291</v>
      </c>
      <c r="C1932" s="207">
        <v>44711</v>
      </c>
      <c r="D1932" s="207">
        <v>44712</v>
      </c>
      <c r="E1932" s="208" t="s">
        <v>1493</v>
      </c>
      <c r="F1932" s="205" t="s">
        <v>507</v>
      </c>
      <c r="G1932" s="209">
        <v>3578</v>
      </c>
      <c r="H1932" s="205" t="s">
        <v>27</v>
      </c>
      <c r="I1932" s="205" t="s">
        <v>33</v>
      </c>
      <c r="J1932" s="210">
        <v>73746.720000000001</v>
      </c>
      <c r="L1932" s="210">
        <v>48</v>
      </c>
      <c r="M1932" s="210">
        <v>48</v>
      </c>
      <c r="N1932" s="213">
        <f>J1932*0.35</f>
        <v>25811.351999999999</v>
      </c>
      <c r="O1932" s="212">
        <v>0.15</v>
      </c>
      <c r="P1932" s="212"/>
      <c r="Q1932" s="213">
        <v>0</v>
      </c>
      <c r="R1932" s="205" t="s">
        <v>42</v>
      </c>
      <c r="S1932" s="214" t="s">
        <v>41</v>
      </c>
      <c r="T1932" s="214">
        <v>24</v>
      </c>
      <c r="U1932" s="215" t="s">
        <v>164</v>
      </c>
      <c r="V1932" s="438"/>
      <c r="W1932" s="205" t="s">
        <v>2860</v>
      </c>
      <c r="X1932" s="213">
        <v>0</v>
      </c>
      <c r="Y1932" s="213"/>
      <c r="AF1932" s="230">
        <f>X1932</f>
        <v>0</v>
      </c>
      <c r="AI1932" s="218"/>
      <c r="AJ1932" s="216"/>
    </row>
    <row r="1933" spans="1:77" s="261" customFormat="1" ht="11.25" customHeight="1">
      <c r="B1933" s="258" t="s">
        <v>291</v>
      </c>
      <c r="C1933" s="259"/>
      <c r="D1933" s="259"/>
      <c r="E1933" s="260" t="s">
        <v>1493</v>
      </c>
      <c r="F1933" s="261" t="s">
        <v>507</v>
      </c>
      <c r="G1933" s="262">
        <v>3578</v>
      </c>
      <c r="H1933" s="261" t="s">
        <v>138</v>
      </c>
      <c r="I1933" s="261" t="s">
        <v>33</v>
      </c>
      <c r="J1933" s="263">
        <v>13732.74</v>
      </c>
      <c r="L1933" s="263">
        <v>14</v>
      </c>
      <c r="M1933" s="263">
        <v>14</v>
      </c>
      <c r="N1933" s="265">
        <f>J1933*0.32</f>
        <v>4394.4768000000004</v>
      </c>
      <c r="O1933" s="266">
        <v>0.15</v>
      </c>
      <c r="P1933" s="266"/>
      <c r="Q1933" s="265">
        <v>3413.81</v>
      </c>
      <c r="R1933" s="261" t="s">
        <v>42</v>
      </c>
      <c r="S1933" s="267" t="s">
        <v>41</v>
      </c>
      <c r="T1933" s="267">
        <v>16</v>
      </c>
      <c r="U1933" s="268" t="s">
        <v>164</v>
      </c>
      <c r="V1933" s="427"/>
      <c r="X1933" s="265">
        <v>3413.81</v>
      </c>
      <c r="Y1933" s="265"/>
      <c r="AG1933" s="261">
        <f>X1933</f>
        <v>3413.81</v>
      </c>
      <c r="AI1933" s="273"/>
      <c r="AJ1933" s="642"/>
    </row>
    <row r="1934" spans="1:77" s="261" customFormat="1" ht="11.25" customHeight="1">
      <c r="B1934" s="258" t="s">
        <v>291</v>
      </c>
      <c r="C1934" s="259"/>
      <c r="D1934" s="259"/>
      <c r="E1934" s="260" t="s">
        <v>1493</v>
      </c>
      <c r="F1934" s="261" t="s">
        <v>507</v>
      </c>
      <c r="G1934" s="262">
        <v>3578</v>
      </c>
      <c r="H1934" s="261" t="s">
        <v>99</v>
      </c>
      <c r="I1934" s="261" t="s">
        <v>33</v>
      </c>
      <c r="J1934" s="263">
        <v>106007.55</v>
      </c>
      <c r="L1934" s="263">
        <v>102.88</v>
      </c>
      <c r="M1934" s="263">
        <v>102.88</v>
      </c>
      <c r="N1934" s="265">
        <f>J1934*0.2</f>
        <v>21201.510000000002</v>
      </c>
      <c r="O1934" s="266">
        <v>0.15</v>
      </c>
      <c r="P1934" s="266"/>
      <c r="Q1934" s="265">
        <v>0</v>
      </c>
      <c r="R1934" s="261" t="s">
        <v>42</v>
      </c>
      <c r="S1934" s="267" t="s">
        <v>41</v>
      </c>
      <c r="T1934" s="267">
        <v>24</v>
      </c>
      <c r="U1934" s="268" t="s">
        <v>164</v>
      </c>
      <c r="V1934" s="427"/>
      <c r="X1934" s="265">
        <v>0</v>
      </c>
      <c r="Y1934" s="265"/>
      <c r="AG1934" s="261">
        <f>X1934</f>
        <v>0</v>
      </c>
      <c r="AI1934" s="273"/>
      <c r="AJ1934" s="642"/>
    </row>
    <row r="1935" spans="1:77" s="261" customFormat="1" ht="11.25" customHeight="1">
      <c r="B1935" s="258" t="s">
        <v>291</v>
      </c>
      <c r="C1935" s="259"/>
      <c r="D1935" s="259"/>
      <c r="E1935" s="260" t="s">
        <v>1493</v>
      </c>
      <c r="F1935" s="261" t="s">
        <v>507</v>
      </c>
      <c r="G1935" s="262">
        <v>3578</v>
      </c>
      <c r="H1935" s="261" t="s">
        <v>27</v>
      </c>
      <c r="I1935" s="261" t="s">
        <v>33</v>
      </c>
      <c r="J1935" s="263">
        <v>10861.56</v>
      </c>
      <c r="L1935" s="263">
        <v>8.9</v>
      </c>
      <c r="M1935" s="263">
        <v>8.9</v>
      </c>
      <c r="N1935" s="265">
        <f>J1935*0.22</f>
        <v>2389.5432000000001</v>
      </c>
      <c r="O1935" s="266">
        <v>0.15</v>
      </c>
      <c r="P1935" s="266"/>
      <c r="Q1935" s="265">
        <v>0</v>
      </c>
      <c r="R1935" s="261" t="s">
        <v>42</v>
      </c>
      <c r="S1935" s="267" t="s">
        <v>41</v>
      </c>
      <c r="T1935" s="267">
        <v>16</v>
      </c>
      <c r="U1935" s="268" t="s">
        <v>164</v>
      </c>
      <c r="V1935" s="427"/>
      <c r="X1935" s="265">
        <v>0</v>
      </c>
      <c r="Y1935" s="265"/>
      <c r="AG1935" s="261">
        <f>X1935</f>
        <v>0</v>
      </c>
      <c r="AI1935" s="273"/>
      <c r="AJ1935" s="642"/>
    </row>
    <row r="1936" spans="1:77" s="261" customFormat="1" ht="11.25" customHeight="1">
      <c r="B1936" s="258" t="s">
        <v>291</v>
      </c>
      <c r="C1936" s="259"/>
      <c r="D1936" s="259"/>
      <c r="E1936" s="260" t="s">
        <v>1493</v>
      </c>
      <c r="F1936" s="261" t="s">
        <v>507</v>
      </c>
      <c r="G1936" s="262">
        <v>3578</v>
      </c>
      <c r="H1936" s="261" t="s">
        <v>183</v>
      </c>
      <c r="I1936" s="261" t="s">
        <v>33</v>
      </c>
      <c r="J1936" s="263">
        <v>54877.68</v>
      </c>
      <c r="L1936" s="263">
        <v>54.12</v>
      </c>
      <c r="M1936" s="263">
        <v>54.12</v>
      </c>
      <c r="N1936" s="265">
        <f>J1936*0.5</f>
        <v>27438.84</v>
      </c>
      <c r="O1936" s="266">
        <v>0.15</v>
      </c>
      <c r="P1936" s="266"/>
      <c r="Q1936" s="265">
        <v>0</v>
      </c>
      <c r="R1936" s="261" t="s">
        <v>42</v>
      </c>
      <c r="S1936" s="267" t="s">
        <v>41</v>
      </c>
      <c r="T1936" s="267">
        <v>24</v>
      </c>
      <c r="U1936" s="268" t="s">
        <v>164</v>
      </c>
      <c r="V1936" s="427"/>
      <c r="X1936" s="265">
        <v>0</v>
      </c>
      <c r="Y1936" s="265"/>
      <c r="AG1936" s="261">
        <f>X1936</f>
        <v>0</v>
      </c>
      <c r="AI1936" s="273"/>
      <c r="AJ1936" s="642"/>
    </row>
    <row r="1937" spans="1:77" s="394" customFormat="1" ht="12" customHeight="1">
      <c r="B1937" s="380" t="s">
        <v>291</v>
      </c>
      <c r="C1937" s="392">
        <v>44701</v>
      </c>
      <c r="D1937" s="392">
        <v>44712</v>
      </c>
      <c r="E1937" s="393" t="s">
        <v>1494</v>
      </c>
      <c r="F1937" s="394" t="s">
        <v>1495</v>
      </c>
      <c r="G1937" s="400">
        <v>4113</v>
      </c>
      <c r="H1937" s="394" t="s">
        <v>866</v>
      </c>
      <c r="I1937" s="394" t="s">
        <v>33</v>
      </c>
      <c r="J1937" s="395">
        <v>37469.949999999997</v>
      </c>
      <c r="L1937" s="395">
        <v>24.96</v>
      </c>
      <c r="M1937" s="395">
        <v>13.3</v>
      </c>
      <c r="N1937" s="396"/>
      <c r="O1937" s="397">
        <v>0.15</v>
      </c>
      <c r="P1937" s="397"/>
      <c r="Q1937" s="396">
        <v>675</v>
      </c>
      <c r="R1937" s="379" t="s">
        <v>105</v>
      </c>
      <c r="S1937" s="388" t="s">
        <v>30</v>
      </c>
      <c r="T1937" s="388">
        <v>39</v>
      </c>
      <c r="U1937" s="398" t="s">
        <v>164</v>
      </c>
      <c r="V1937" s="449">
        <v>675</v>
      </c>
      <c r="X1937" s="396">
        <v>675</v>
      </c>
      <c r="Y1937" s="396"/>
      <c r="AJ1937" s="390">
        <v>675</v>
      </c>
      <c r="AK1937" s="379"/>
      <c r="AL1937" s="379"/>
      <c r="AM1937" s="379"/>
      <c r="AN1937" s="379"/>
      <c r="AO1937" s="379"/>
      <c r="AP1937" s="379"/>
      <c r="AQ1937" s="379"/>
      <c r="AR1937" s="379"/>
      <c r="AS1937" s="379"/>
      <c r="AT1937" s="379"/>
      <c r="AU1937" s="379"/>
      <c r="AV1937" s="379"/>
      <c r="AW1937" s="379"/>
      <c r="AX1937" s="379"/>
      <c r="AY1937" s="379"/>
      <c r="AZ1937" s="379"/>
      <c r="BA1937" s="379"/>
      <c r="BB1937" s="379"/>
      <c r="BC1937" s="379"/>
      <c r="BD1937" s="379"/>
      <c r="BE1937" s="379"/>
      <c r="BF1937" s="379"/>
      <c r="BG1937" s="379"/>
      <c r="BH1937" s="379"/>
      <c r="BI1937" s="379"/>
      <c r="BJ1937" s="379"/>
      <c r="BK1937" s="379"/>
      <c r="BL1937" s="379"/>
      <c r="BM1937" s="379"/>
      <c r="BN1937" s="379"/>
      <c r="BO1937" s="379"/>
      <c r="BP1937" s="379"/>
      <c r="BQ1937" s="379"/>
      <c r="BR1937" s="379"/>
      <c r="BS1937" s="379"/>
      <c r="BT1937" s="379"/>
      <c r="BU1937" s="379"/>
      <c r="BV1937" s="379"/>
      <c r="BW1937" s="379"/>
      <c r="BX1937" s="379"/>
      <c r="BY1937" s="379"/>
    </row>
    <row r="1938" spans="1:77" s="472" customFormat="1" ht="12" customHeight="1">
      <c r="B1938" s="486" t="s">
        <v>291</v>
      </c>
      <c r="C1938" s="474">
        <v>44712</v>
      </c>
      <c r="D1938" s="474">
        <v>44712</v>
      </c>
      <c r="E1938" s="475" t="s">
        <v>1496</v>
      </c>
      <c r="F1938" s="472" t="s">
        <v>927</v>
      </c>
      <c r="G1938" s="476">
        <v>3625</v>
      </c>
      <c r="H1938" s="472" t="s">
        <v>99</v>
      </c>
      <c r="I1938" s="472" t="s">
        <v>33</v>
      </c>
      <c r="J1938" s="477">
        <v>72960</v>
      </c>
      <c r="L1938" s="477">
        <v>80</v>
      </c>
      <c r="M1938" s="477">
        <v>80</v>
      </c>
      <c r="N1938" s="492">
        <f>J1938*0.3</f>
        <v>21888</v>
      </c>
      <c r="O1938" s="480">
        <v>0.15</v>
      </c>
      <c r="P1938" s="480"/>
      <c r="Q1938" s="492">
        <v>0</v>
      </c>
      <c r="R1938" s="473" t="s">
        <v>35</v>
      </c>
      <c r="S1938" s="481" t="s">
        <v>41</v>
      </c>
      <c r="T1938" s="481">
        <v>16</v>
      </c>
      <c r="U1938" s="483" t="s">
        <v>164</v>
      </c>
      <c r="V1938" s="484"/>
      <c r="X1938" s="478">
        <v>0</v>
      </c>
      <c r="Y1938" s="478"/>
      <c r="AJ1938" s="485"/>
      <c r="AK1938" s="473">
        <v>0</v>
      </c>
      <c r="AL1938" s="473"/>
      <c r="AM1938" s="473"/>
      <c r="AN1938" s="473"/>
      <c r="AO1938" s="473"/>
      <c r="AP1938" s="473"/>
      <c r="AQ1938" s="473"/>
      <c r="AR1938" s="473"/>
      <c r="AS1938" s="473"/>
      <c r="AT1938" s="473"/>
      <c r="AU1938" s="473"/>
      <c r="AV1938" s="473"/>
      <c r="AW1938" s="473"/>
      <c r="AX1938" s="473"/>
      <c r="AY1938" s="473"/>
      <c r="AZ1938" s="473"/>
      <c r="BA1938" s="473"/>
      <c r="BB1938" s="473"/>
      <c r="BC1938" s="473"/>
      <c r="BD1938" s="473"/>
      <c r="BE1938" s="473"/>
      <c r="BF1938" s="473"/>
      <c r="BG1938" s="473"/>
      <c r="BH1938" s="473"/>
      <c r="BI1938" s="473"/>
      <c r="BJ1938" s="473"/>
      <c r="BK1938" s="473"/>
      <c r="BL1938" s="473"/>
      <c r="BM1938" s="473"/>
      <c r="BN1938" s="473"/>
      <c r="BO1938" s="473"/>
      <c r="BP1938" s="473"/>
      <c r="BQ1938" s="473"/>
      <c r="BR1938" s="473"/>
      <c r="BS1938" s="473"/>
      <c r="BT1938" s="473"/>
      <c r="BU1938" s="473"/>
      <c r="BV1938" s="473"/>
      <c r="BW1938" s="473"/>
      <c r="BX1938" s="473"/>
      <c r="BY1938" s="473"/>
    </row>
    <row r="1939" spans="1:77" s="117" customFormat="1" ht="12" customHeight="1">
      <c r="A1939" s="472"/>
      <c r="B1939" s="486" t="s">
        <v>291</v>
      </c>
      <c r="C1939" s="474"/>
      <c r="D1939" s="474"/>
      <c r="E1939" s="475" t="s">
        <v>1496</v>
      </c>
      <c r="F1939" s="472" t="s">
        <v>927</v>
      </c>
      <c r="G1939" s="476">
        <v>3625</v>
      </c>
      <c r="H1939" s="472" t="s">
        <v>27</v>
      </c>
      <c r="I1939" s="472" t="s">
        <v>33</v>
      </c>
      <c r="J1939" s="477">
        <v>47775</v>
      </c>
      <c r="K1939" s="472"/>
      <c r="L1939" s="477">
        <v>50</v>
      </c>
      <c r="M1939" s="477">
        <v>50</v>
      </c>
      <c r="N1939" s="478"/>
      <c r="O1939" s="480">
        <v>0.15</v>
      </c>
      <c r="P1939" s="480"/>
      <c r="Q1939" s="478">
        <v>0</v>
      </c>
      <c r="R1939" s="473" t="s">
        <v>35</v>
      </c>
      <c r="S1939" s="481" t="s">
        <v>41</v>
      </c>
      <c r="T1939" s="481">
        <v>16</v>
      </c>
      <c r="U1939" s="483" t="s">
        <v>164</v>
      </c>
      <c r="V1939" s="484"/>
      <c r="W1939" s="472"/>
      <c r="X1939" s="478">
        <v>0</v>
      </c>
      <c r="Y1939" s="478"/>
      <c r="Z1939" s="472"/>
      <c r="AA1939" s="472"/>
      <c r="AB1939" s="472"/>
      <c r="AC1939" s="472"/>
      <c r="AD1939" s="472"/>
      <c r="AE1939" s="472"/>
      <c r="AF1939" s="472"/>
      <c r="AG1939" s="472"/>
      <c r="AH1939" s="472"/>
      <c r="AI1939" s="472"/>
      <c r="AJ1939" s="485"/>
      <c r="AK1939" s="473">
        <v>0</v>
      </c>
      <c r="AL1939" s="473"/>
      <c r="AM1939" s="473"/>
      <c r="AN1939" s="473"/>
      <c r="AO1939" s="473"/>
      <c r="AP1939" s="473"/>
      <c r="AQ1939" s="473"/>
      <c r="AR1939" s="473"/>
      <c r="AS1939" s="473"/>
      <c r="AT1939" s="473"/>
      <c r="AU1939" s="473"/>
      <c r="AV1939" s="473"/>
      <c r="AW1939" s="473"/>
      <c r="AX1939" s="473"/>
      <c r="AY1939" s="473"/>
      <c r="AZ1939" s="473"/>
      <c r="BA1939" s="473"/>
      <c r="BB1939" s="473"/>
      <c r="BC1939" s="473"/>
      <c r="BD1939" s="473"/>
      <c r="BE1939" s="473"/>
      <c r="BF1939" s="473"/>
      <c r="BG1939" s="473"/>
      <c r="BH1939" s="473"/>
      <c r="BI1939" s="473"/>
      <c r="BJ1939" s="473"/>
      <c r="BK1939" s="473"/>
      <c r="BL1939" s="473"/>
      <c r="BM1939" s="473"/>
      <c r="BN1939" s="473"/>
      <c r="BO1939" s="473"/>
      <c r="BP1939" s="473"/>
      <c r="BQ1939" s="473"/>
      <c r="BR1939" s="473"/>
      <c r="BS1939" s="473"/>
      <c r="BT1939" s="473"/>
      <c r="BU1939" s="473"/>
      <c r="BV1939" s="473"/>
      <c r="BW1939" s="473"/>
      <c r="BX1939" s="473"/>
      <c r="BY1939" s="473"/>
    </row>
    <row r="1940" spans="1:77" s="523" customFormat="1" ht="12" customHeight="1">
      <c r="B1940" s="508" t="s">
        <v>291</v>
      </c>
      <c r="C1940" s="524"/>
      <c r="D1940" s="524"/>
      <c r="E1940" s="525" t="s">
        <v>1496</v>
      </c>
      <c r="F1940" s="523" t="s">
        <v>927</v>
      </c>
      <c r="G1940" s="526">
        <v>3625</v>
      </c>
      <c r="H1940" s="523" t="s">
        <v>183</v>
      </c>
      <c r="I1940" s="523" t="s">
        <v>33</v>
      </c>
      <c r="J1940" s="527">
        <v>35926.5</v>
      </c>
      <c r="L1940" s="527">
        <v>43</v>
      </c>
      <c r="M1940" s="527">
        <v>43</v>
      </c>
      <c r="N1940" s="514">
        <f>J1940*0.3</f>
        <v>10777.949999999999</v>
      </c>
      <c r="O1940" s="530">
        <v>0.15</v>
      </c>
      <c r="P1940" s="530"/>
      <c r="Q1940" s="514">
        <v>4262.13</v>
      </c>
      <c r="R1940" s="507" t="s">
        <v>35</v>
      </c>
      <c r="S1940" s="516" t="s">
        <v>41</v>
      </c>
      <c r="T1940" s="516">
        <v>16</v>
      </c>
      <c r="U1940" s="532" t="s">
        <v>164</v>
      </c>
      <c r="V1940" s="533"/>
      <c r="X1940" s="514">
        <v>4262.13</v>
      </c>
      <c r="Y1940" s="528"/>
      <c r="AJ1940" s="522"/>
      <c r="AK1940" s="507"/>
      <c r="AL1940" s="514">
        <v>4262.13</v>
      </c>
      <c r="AM1940" s="507"/>
      <c r="AN1940" s="507"/>
      <c r="AO1940" s="507"/>
      <c r="AP1940" s="507"/>
      <c r="AQ1940" s="507"/>
      <c r="AR1940" s="507"/>
      <c r="AS1940" s="507"/>
      <c r="AT1940" s="507"/>
      <c r="AU1940" s="507"/>
      <c r="AV1940" s="507"/>
      <c r="AW1940" s="507"/>
      <c r="AX1940" s="507"/>
      <c r="AY1940" s="507"/>
      <c r="AZ1940" s="507"/>
      <c r="BA1940" s="507"/>
      <c r="BB1940" s="507"/>
      <c r="BC1940" s="507"/>
      <c r="BD1940" s="507"/>
      <c r="BE1940" s="507"/>
      <c r="BF1940" s="507"/>
      <c r="BG1940" s="507"/>
      <c r="BH1940" s="507"/>
      <c r="BI1940" s="507"/>
      <c r="BJ1940" s="507"/>
      <c r="BK1940" s="507"/>
      <c r="BL1940" s="507"/>
      <c r="BM1940" s="507"/>
      <c r="BN1940" s="507"/>
      <c r="BO1940" s="507"/>
      <c r="BP1940" s="507"/>
      <c r="BQ1940" s="507"/>
      <c r="BR1940" s="507"/>
      <c r="BS1940" s="507"/>
      <c r="BT1940" s="507"/>
      <c r="BU1940" s="507"/>
      <c r="BV1940" s="507"/>
      <c r="BW1940" s="507"/>
      <c r="BX1940" s="507"/>
      <c r="BY1940" s="507"/>
    </row>
    <row r="1941" spans="1:77" s="117" customFormat="1" ht="12" customHeight="1">
      <c r="A1941" s="394"/>
      <c r="B1941" s="380" t="s">
        <v>291</v>
      </c>
      <c r="C1941" s="392"/>
      <c r="D1941" s="392"/>
      <c r="E1941" s="393" t="s">
        <v>1497</v>
      </c>
      <c r="F1941" s="394" t="s">
        <v>682</v>
      </c>
      <c r="G1941" s="400" t="s">
        <v>683</v>
      </c>
      <c r="H1941" s="394" t="s">
        <v>192</v>
      </c>
      <c r="I1941" s="394" t="s">
        <v>961</v>
      </c>
      <c r="J1941" s="395">
        <v>35486.21</v>
      </c>
      <c r="K1941" s="394"/>
      <c r="L1941" s="395">
        <v>24.48</v>
      </c>
      <c r="M1941" s="395">
        <v>24.48</v>
      </c>
      <c r="N1941" s="396"/>
      <c r="O1941" s="397">
        <v>0.25</v>
      </c>
      <c r="P1941" s="397"/>
      <c r="Q1941" s="396">
        <v>0</v>
      </c>
      <c r="R1941" s="379" t="s">
        <v>35</v>
      </c>
      <c r="S1941" s="388" t="s">
        <v>34</v>
      </c>
      <c r="T1941" s="388">
        <v>17</v>
      </c>
      <c r="U1941" s="398" t="s">
        <v>164</v>
      </c>
      <c r="V1941" s="449"/>
      <c r="W1941" s="394"/>
      <c r="X1941" s="396">
        <v>0</v>
      </c>
      <c r="Y1941" s="396"/>
      <c r="Z1941" s="394"/>
      <c r="AA1941" s="394"/>
      <c r="AB1941" s="394"/>
      <c r="AC1941" s="394"/>
      <c r="AD1941" s="394"/>
      <c r="AE1941" s="394"/>
      <c r="AF1941" s="394"/>
      <c r="AG1941" s="394"/>
      <c r="AH1941" s="394"/>
      <c r="AI1941" s="394"/>
      <c r="AJ1941" s="390">
        <v>0</v>
      </c>
      <c r="AK1941" s="379"/>
      <c r="AL1941" s="379"/>
      <c r="AM1941" s="379"/>
      <c r="AN1941" s="379"/>
      <c r="AO1941" s="379"/>
      <c r="AP1941" s="379"/>
      <c r="AQ1941" s="379"/>
      <c r="AR1941" s="379"/>
      <c r="AS1941" s="379"/>
      <c r="AT1941" s="379"/>
      <c r="AU1941" s="379"/>
      <c r="AV1941" s="379"/>
      <c r="AW1941" s="379"/>
      <c r="AX1941" s="379"/>
      <c r="AY1941" s="379"/>
      <c r="AZ1941" s="379"/>
      <c r="BA1941" s="379"/>
      <c r="BB1941" s="379"/>
      <c r="BC1941" s="379"/>
      <c r="BD1941" s="379"/>
      <c r="BE1941" s="379"/>
      <c r="BF1941" s="379"/>
      <c r="BG1941" s="379"/>
      <c r="BH1941" s="379"/>
      <c r="BI1941" s="379"/>
      <c r="BJ1941" s="379"/>
      <c r="BK1941" s="379"/>
      <c r="BL1941" s="379"/>
      <c r="BM1941" s="379"/>
      <c r="BN1941" s="379"/>
      <c r="BO1941" s="379"/>
      <c r="BP1941" s="379"/>
      <c r="BQ1941" s="379"/>
      <c r="BR1941" s="379"/>
      <c r="BS1941" s="379"/>
      <c r="BT1941" s="379"/>
      <c r="BU1941" s="379"/>
      <c r="BV1941" s="379"/>
      <c r="BW1941" s="379"/>
      <c r="BX1941" s="379"/>
      <c r="BY1941" s="379"/>
    </row>
    <row r="1942" spans="1:77" s="394" customFormat="1" ht="12" customHeight="1">
      <c r="B1942" s="380" t="s">
        <v>291</v>
      </c>
      <c r="C1942" s="392"/>
      <c r="D1942" s="392"/>
      <c r="E1942" s="393" t="s">
        <v>1497</v>
      </c>
      <c r="F1942" s="394" t="s">
        <v>682</v>
      </c>
      <c r="G1942" s="400" t="s">
        <v>683</v>
      </c>
      <c r="H1942" s="394" t="s">
        <v>444</v>
      </c>
      <c r="I1942" s="394" t="s">
        <v>961</v>
      </c>
      <c r="J1942" s="395">
        <v>17969.849999999999</v>
      </c>
      <c r="L1942" s="395">
        <v>13.77</v>
      </c>
      <c r="M1942" s="395">
        <v>13.77</v>
      </c>
      <c r="N1942" s="396">
        <f>J1942*0.4</f>
        <v>7187.94</v>
      </c>
      <c r="O1942" s="397">
        <v>0.25</v>
      </c>
      <c r="P1942" s="397"/>
      <c r="Q1942" s="396">
        <v>519.63</v>
      </c>
      <c r="R1942" s="379" t="s">
        <v>35</v>
      </c>
      <c r="S1942" s="388" t="s">
        <v>34</v>
      </c>
      <c r="T1942" s="388">
        <v>17</v>
      </c>
      <c r="U1942" s="398" t="s">
        <v>164</v>
      </c>
      <c r="V1942" s="449"/>
      <c r="X1942" s="396">
        <v>519.63</v>
      </c>
      <c r="Y1942" s="396"/>
      <c r="AJ1942" s="395">
        <v>519.63</v>
      </c>
      <c r="AK1942" s="379"/>
      <c r="AL1942" s="379"/>
      <c r="AM1942" s="379"/>
      <c r="AN1942" s="379"/>
      <c r="AO1942" s="379"/>
      <c r="AP1942" s="379"/>
      <c r="AQ1942" s="379"/>
      <c r="AR1942" s="379"/>
      <c r="AS1942" s="379"/>
      <c r="AT1942" s="379"/>
      <c r="AU1942" s="379"/>
      <c r="AV1942" s="379"/>
      <c r="AW1942" s="379"/>
      <c r="AX1942" s="379"/>
      <c r="AY1942" s="379"/>
      <c r="AZ1942" s="379"/>
      <c r="BA1942" s="379"/>
      <c r="BB1942" s="379"/>
      <c r="BC1942" s="379"/>
      <c r="BD1942" s="379"/>
      <c r="BE1942" s="379"/>
      <c r="BF1942" s="379"/>
      <c r="BG1942" s="379"/>
      <c r="BH1942" s="379"/>
      <c r="BI1942" s="379"/>
      <c r="BJ1942" s="379"/>
      <c r="BK1942" s="379"/>
      <c r="BL1942" s="379"/>
      <c r="BM1942" s="379"/>
      <c r="BN1942" s="379"/>
      <c r="BO1942" s="379"/>
      <c r="BP1942" s="379"/>
      <c r="BQ1942" s="379"/>
      <c r="BR1942" s="379"/>
      <c r="BS1942" s="379"/>
      <c r="BT1942" s="379"/>
      <c r="BU1942" s="379"/>
      <c r="BV1942" s="379"/>
      <c r="BW1942" s="379"/>
      <c r="BX1942" s="379"/>
      <c r="BY1942" s="379"/>
    </row>
    <row r="1943" spans="1:77" s="394" customFormat="1" ht="12" customHeight="1">
      <c r="B1943" s="380" t="s">
        <v>291</v>
      </c>
      <c r="C1943" s="392"/>
      <c r="D1943" s="392"/>
      <c r="E1943" s="393" t="s">
        <v>1497</v>
      </c>
      <c r="F1943" s="394" t="s">
        <v>682</v>
      </c>
      <c r="G1943" s="400" t="s">
        <v>683</v>
      </c>
      <c r="H1943" s="394" t="s">
        <v>684</v>
      </c>
      <c r="I1943" s="394" t="s">
        <v>961</v>
      </c>
      <c r="J1943" s="395">
        <v>31285.200000000001</v>
      </c>
      <c r="L1943" s="395">
        <v>17.98</v>
      </c>
      <c r="M1943" s="395">
        <v>17.98</v>
      </c>
      <c r="N1943" s="396"/>
      <c r="O1943" s="397">
        <v>0.25</v>
      </c>
      <c r="P1943" s="397"/>
      <c r="Q1943" s="396">
        <v>16416.150000000001</v>
      </c>
      <c r="R1943" s="379" t="s">
        <v>35</v>
      </c>
      <c r="S1943" s="388" t="s">
        <v>34</v>
      </c>
      <c r="T1943" s="388">
        <v>17</v>
      </c>
      <c r="U1943" s="398" t="s">
        <v>164</v>
      </c>
      <c r="V1943" s="449"/>
      <c r="X1943" s="396">
        <v>16416.150000000001</v>
      </c>
      <c r="Y1943" s="396"/>
      <c r="AJ1943" s="395">
        <v>16416.150000000001</v>
      </c>
      <c r="AK1943" s="379"/>
      <c r="AL1943" s="379"/>
      <c r="AM1943" s="379"/>
      <c r="AN1943" s="379"/>
      <c r="AO1943" s="379"/>
      <c r="AP1943" s="379"/>
      <c r="AQ1943" s="379"/>
      <c r="AR1943" s="379"/>
      <c r="AS1943" s="379"/>
      <c r="AT1943" s="379"/>
      <c r="AU1943" s="379"/>
      <c r="AV1943" s="379"/>
      <c r="AW1943" s="379"/>
      <c r="AX1943" s="379"/>
      <c r="AY1943" s="379"/>
      <c r="AZ1943" s="379"/>
      <c r="BA1943" s="379"/>
      <c r="BB1943" s="379"/>
      <c r="BC1943" s="379"/>
      <c r="BD1943" s="379"/>
      <c r="BE1943" s="379"/>
      <c r="BF1943" s="379"/>
      <c r="BG1943" s="379"/>
      <c r="BH1943" s="379"/>
      <c r="BI1943" s="379"/>
      <c r="BJ1943" s="379"/>
      <c r="BK1943" s="379"/>
      <c r="BL1943" s="379"/>
      <c r="BM1943" s="379"/>
      <c r="BN1943" s="379"/>
      <c r="BO1943" s="379"/>
      <c r="BP1943" s="379"/>
      <c r="BQ1943" s="379"/>
      <c r="BR1943" s="379"/>
      <c r="BS1943" s="379"/>
      <c r="BT1943" s="379"/>
      <c r="BU1943" s="379"/>
      <c r="BV1943" s="379"/>
      <c r="BW1943" s="379"/>
      <c r="BX1943" s="379"/>
      <c r="BY1943" s="379"/>
    </row>
    <row r="1944" spans="1:77" s="394" customFormat="1" ht="12" customHeight="1">
      <c r="B1944" s="380" t="s">
        <v>291</v>
      </c>
      <c r="C1944" s="392"/>
      <c r="D1944" s="392"/>
      <c r="E1944" s="393" t="s">
        <v>1497</v>
      </c>
      <c r="F1944" s="394" t="s">
        <v>682</v>
      </c>
      <c r="G1944" s="400" t="s">
        <v>683</v>
      </c>
      <c r="H1944" s="394" t="s">
        <v>685</v>
      </c>
      <c r="I1944" s="394" t="s">
        <v>961</v>
      </c>
      <c r="J1944" s="395">
        <v>28248.44</v>
      </c>
      <c r="L1944" s="395">
        <v>15.78</v>
      </c>
      <c r="M1944" s="395">
        <v>13.64</v>
      </c>
      <c r="N1944" s="396">
        <f>J1944*0.4</f>
        <v>11299.376</v>
      </c>
      <c r="O1944" s="397">
        <v>0.25</v>
      </c>
      <c r="P1944" s="397"/>
      <c r="Q1944" s="396">
        <v>9977.66</v>
      </c>
      <c r="R1944" s="379" t="s">
        <v>35</v>
      </c>
      <c r="S1944" s="388" t="s">
        <v>34</v>
      </c>
      <c r="T1944" s="388">
        <v>17</v>
      </c>
      <c r="U1944" s="398" t="s">
        <v>164</v>
      </c>
      <c r="V1944" s="449"/>
      <c r="X1944" s="396">
        <v>9977.66</v>
      </c>
      <c r="Y1944" s="396"/>
      <c r="AJ1944" s="395">
        <v>9977.66</v>
      </c>
      <c r="AK1944" s="379"/>
      <c r="AL1944" s="379"/>
      <c r="AM1944" s="379"/>
      <c r="AN1944" s="379"/>
      <c r="AO1944" s="379"/>
      <c r="AP1944" s="379"/>
      <c r="AQ1944" s="379"/>
      <c r="AR1944" s="379"/>
      <c r="AS1944" s="379"/>
      <c r="AT1944" s="379"/>
      <c r="AU1944" s="379"/>
      <c r="AV1944" s="379"/>
      <c r="AW1944" s="379"/>
      <c r="AX1944" s="379"/>
      <c r="AY1944" s="379"/>
      <c r="AZ1944" s="379"/>
      <c r="BA1944" s="379"/>
      <c r="BB1944" s="379"/>
      <c r="BC1944" s="379"/>
      <c r="BD1944" s="379"/>
      <c r="BE1944" s="379"/>
      <c r="BF1944" s="379"/>
      <c r="BG1944" s="379"/>
      <c r="BH1944" s="379"/>
      <c r="BI1944" s="379"/>
      <c r="BJ1944" s="379"/>
      <c r="BK1944" s="379"/>
      <c r="BL1944" s="379"/>
      <c r="BM1944" s="379"/>
      <c r="BN1944" s="379"/>
      <c r="BO1944" s="379"/>
      <c r="BP1944" s="379"/>
      <c r="BQ1944" s="379"/>
      <c r="BR1944" s="379"/>
      <c r="BS1944" s="379"/>
      <c r="BT1944" s="379"/>
      <c r="BU1944" s="379"/>
      <c r="BV1944" s="379"/>
      <c r="BW1944" s="379"/>
      <c r="BX1944" s="379"/>
      <c r="BY1944" s="379"/>
    </row>
    <row r="1945" spans="1:77" s="394" customFormat="1" ht="12" customHeight="1">
      <c r="B1945" s="380" t="s">
        <v>291</v>
      </c>
      <c r="C1945" s="392"/>
      <c r="D1945" s="392"/>
      <c r="E1945" s="393" t="s">
        <v>1497</v>
      </c>
      <c r="F1945" s="394" t="s">
        <v>682</v>
      </c>
      <c r="G1945" s="400" t="s">
        <v>683</v>
      </c>
      <c r="H1945" s="394" t="s">
        <v>1018</v>
      </c>
      <c r="I1945" s="394" t="s">
        <v>961</v>
      </c>
      <c r="J1945" s="395">
        <v>18747.3</v>
      </c>
      <c r="L1945" s="395">
        <v>15</v>
      </c>
      <c r="M1945" s="395">
        <v>17.48</v>
      </c>
      <c r="N1945" s="396"/>
      <c r="O1945" s="397">
        <v>0.25</v>
      </c>
      <c r="P1945" s="397"/>
      <c r="Q1945" s="396">
        <v>257.56</v>
      </c>
      <c r="R1945" s="379" t="s">
        <v>35</v>
      </c>
      <c r="S1945" s="388" t="s">
        <v>34</v>
      </c>
      <c r="T1945" s="388">
        <v>17</v>
      </c>
      <c r="U1945" s="398" t="s">
        <v>164</v>
      </c>
      <c r="V1945" s="449"/>
      <c r="X1945" s="396">
        <v>257.56</v>
      </c>
      <c r="Y1945" s="396"/>
      <c r="AJ1945" s="395">
        <v>257.56</v>
      </c>
      <c r="AK1945" s="379"/>
      <c r="AL1945" s="379"/>
      <c r="AM1945" s="379"/>
      <c r="AN1945" s="379"/>
      <c r="AO1945" s="379"/>
      <c r="AP1945" s="379"/>
      <c r="AQ1945" s="379"/>
      <c r="AR1945" s="379"/>
      <c r="AS1945" s="379"/>
      <c r="AT1945" s="379"/>
      <c r="AU1945" s="379"/>
      <c r="AV1945" s="379"/>
      <c r="AW1945" s="379"/>
      <c r="AX1945" s="379"/>
      <c r="AY1945" s="379"/>
      <c r="AZ1945" s="379"/>
      <c r="BA1945" s="379"/>
      <c r="BB1945" s="379"/>
      <c r="BC1945" s="379"/>
      <c r="BD1945" s="379"/>
      <c r="BE1945" s="379"/>
      <c r="BF1945" s="379"/>
      <c r="BG1945" s="379"/>
      <c r="BH1945" s="379"/>
      <c r="BI1945" s="379"/>
      <c r="BJ1945" s="379"/>
      <c r="BK1945" s="379"/>
      <c r="BL1945" s="379"/>
      <c r="BM1945" s="379"/>
      <c r="BN1945" s="379"/>
      <c r="BO1945" s="379"/>
      <c r="BP1945" s="379"/>
      <c r="BQ1945" s="379"/>
      <c r="BR1945" s="379"/>
      <c r="BS1945" s="379"/>
      <c r="BT1945" s="379"/>
      <c r="BU1945" s="379"/>
      <c r="BV1945" s="379"/>
      <c r="BW1945" s="379"/>
      <c r="BX1945" s="379"/>
      <c r="BY1945" s="379"/>
    </row>
    <row r="1946" spans="1:77" s="394" customFormat="1" ht="12" customHeight="1">
      <c r="B1946" s="380" t="s">
        <v>291</v>
      </c>
      <c r="C1946" s="392">
        <v>44706</v>
      </c>
      <c r="D1946" s="392">
        <v>44712</v>
      </c>
      <c r="E1946" s="393" t="s">
        <v>1497</v>
      </c>
      <c r="F1946" s="394" t="s">
        <v>682</v>
      </c>
      <c r="G1946" s="400" t="s">
        <v>683</v>
      </c>
      <c r="H1946" s="394" t="s">
        <v>1313</v>
      </c>
      <c r="I1946" s="394" t="s">
        <v>961</v>
      </c>
      <c r="J1946" s="395">
        <v>1247.9100000000001</v>
      </c>
      <c r="L1946" s="395">
        <v>2.96</v>
      </c>
      <c r="M1946" s="395">
        <v>2.96</v>
      </c>
      <c r="N1946" s="396"/>
      <c r="O1946" s="397">
        <v>0.25</v>
      </c>
      <c r="P1946" s="397"/>
      <c r="Q1946" s="396">
        <v>449.75</v>
      </c>
      <c r="R1946" s="379" t="s">
        <v>35</v>
      </c>
      <c r="S1946" s="388" t="s">
        <v>34</v>
      </c>
      <c r="T1946" s="388">
        <v>17</v>
      </c>
      <c r="U1946" s="398" t="s">
        <v>164</v>
      </c>
      <c r="V1946" s="449"/>
      <c r="X1946" s="396">
        <v>449.75</v>
      </c>
      <c r="Y1946" s="396"/>
      <c r="AJ1946" s="395">
        <v>449.75</v>
      </c>
      <c r="AK1946" s="379"/>
      <c r="AL1946" s="379"/>
      <c r="AM1946" s="379"/>
      <c r="AN1946" s="379"/>
      <c r="AO1946" s="379"/>
      <c r="AP1946" s="379"/>
      <c r="AQ1946" s="379"/>
      <c r="AR1946" s="379"/>
      <c r="AS1946" s="379"/>
      <c r="AT1946" s="379"/>
      <c r="AU1946" s="379"/>
      <c r="AV1946" s="379"/>
      <c r="AW1946" s="379"/>
      <c r="AX1946" s="379"/>
      <c r="AY1946" s="379"/>
      <c r="AZ1946" s="379"/>
      <c r="BA1946" s="379"/>
      <c r="BB1946" s="379"/>
      <c r="BC1946" s="379"/>
      <c r="BD1946" s="379"/>
      <c r="BE1946" s="379"/>
      <c r="BF1946" s="379"/>
      <c r="BG1946" s="379"/>
      <c r="BH1946" s="379"/>
      <c r="BI1946" s="379"/>
      <c r="BJ1946" s="379"/>
      <c r="BK1946" s="379"/>
      <c r="BL1946" s="379"/>
      <c r="BM1946" s="379"/>
      <c r="BN1946" s="379"/>
      <c r="BO1946" s="379"/>
      <c r="BP1946" s="379"/>
      <c r="BQ1946" s="379"/>
      <c r="BR1946" s="379"/>
      <c r="BS1946" s="379"/>
      <c r="BT1946" s="379"/>
      <c r="BU1946" s="379"/>
      <c r="BV1946" s="379"/>
      <c r="BW1946" s="379"/>
      <c r="BX1946" s="379"/>
      <c r="BY1946" s="379"/>
    </row>
    <row r="1947" spans="1:77" s="394" customFormat="1" ht="11.25" customHeight="1">
      <c r="B1947" s="380" t="s">
        <v>291</v>
      </c>
      <c r="C1947" s="392"/>
      <c r="D1947" s="392"/>
      <c r="E1947" s="393" t="s">
        <v>1497</v>
      </c>
      <c r="F1947" s="394" t="s">
        <v>682</v>
      </c>
      <c r="G1947" s="400" t="s">
        <v>683</v>
      </c>
      <c r="H1947" s="394" t="s">
        <v>386</v>
      </c>
      <c r="I1947" s="394" t="s">
        <v>961</v>
      </c>
      <c r="J1947" s="395">
        <v>35058.82</v>
      </c>
      <c r="L1947" s="395">
        <v>23.41</v>
      </c>
      <c r="M1947" s="395">
        <v>23.41</v>
      </c>
      <c r="N1947" s="396"/>
      <c r="O1947" s="397">
        <v>0.25</v>
      </c>
      <c r="P1947" s="397"/>
      <c r="Q1947" s="396">
        <v>5867.48</v>
      </c>
      <c r="R1947" s="379" t="s">
        <v>35</v>
      </c>
      <c r="S1947" s="388" t="s">
        <v>34</v>
      </c>
      <c r="T1947" s="388">
        <v>17</v>
      </c>
      <c r="U1947" s="398" t="s">
        <v>164</v>
      </c>
      <c r="V1947" s="449"/>
      <c r="X1947" s="396">
        <v>5867.48</v>
      </c>
      <c r="Y1947" s="396"/>
      <c r="AJ1947" s="395">
        <v>5867.48</v>
      </c>
      <c r="AK1947" s="379"/>
      <c r="AL1947" s="379"/>
      <c r="AM1947" s="379"/>
      <c r="AN1947" s="379"/>
      <c r="AO1947" s="379"/>
      <c r="AP1947" s="379"/>
      <c r="AQ1947" s="379"/>
      <c r="AR1947" s="379"/>
      <c r="AS1947" s="379"/>
      <c r="AT1947" s="379"/>
      <c r="AU1947" s="379"/>
      <c r="AV1947" s="379"/>
      <c r="AW1947" s="379"/>
      <c r="AX1947" s="379"/>
      <c r="AY1947" s="379"/>
      <c r="AZ1947" s="379"/>
      <c r="BA1947" s="379"/>
      <c r="BB1947" s="379"/>
      <c r="BC1947" s="379"/>
      <c r="BD1947" s="379"/>
      <c r="BE1947" s="379"/>
      <c r="BF1947" s="379"/>
      <c r="BG1947" s="379"/>
      <c r="BH1947" s="379"/>
      <c r="BI1947" s="379"/>
      <c r="BJ1947" s="379"/>
      <c r="BK1947" s="379"/>
      <c r="BL1947" s="379"/>
      <c r="BM1947" s="379"/>
      <c r="BN1947" s="379"/>
      <c r="BO1947" s="379"/>
      <c r="BP1947" s="379"/>
      <c r="BQ1947" s="379"/>
      <c r="BR1947" s="379"/>
      <c r="BS1947" s="379"/>
      <c r="BT1947" s="379"/>
      <c r="BU1947" s="379"/>
      <c r="BV1947" s="379"/>
      <c r="BW1947" s="379"/>
      <c r="BX1947" s="379"/>
      <c r="BY1947" s="379"/>
    </row>
    <row r="1948" spans="1:77" s="660" customFormat="1" ht="12" customHeight="1">
      <c r="B1948" s="647" t="s">
        <v>291</v>
      </c>
      <c r="C1948" s="665">
        <v>44712</v>
      </c>
      <c r="D1948" s="665">
        <v>44712</v>
      </c>
      <c r="E1948" s="666" t="s">
        <v>1498</v>
      </c>
      <c r="F1948" s="647" t="s">
        <v>1269</v>
      </c>
      <c r="G1948" s="667">
        <v>4112</v>
      </c>
      <c r="H1948" s="660" t="s">
        <v>564</v>
      </c>
      <c r="I1948" s="660" t="s">
        <v>33</v>
      </c>
      <c r="J1948" s="668">
        <v>8693.34</v>
      </c>
      <c r="L1948" s="668">
        <v>13.2</v>
      </c>
      <c r="M1948" s="668">
        <v>12.95</v>
      </c>
      <c r="N1948" s="669">
        <v>1951.65</v>
      </c>
      <c r="O1948" s="653">
        <v>0.15</v>
      </c>
      <c r="P1948" s="670"/>
      <c r="Q1948" s="669">
        <v>0</v>
      </c>
      <c r="R1948" s="647" t="s">
        <v>142</v>
      </c>
      <c r="S1948" s="654" t="s">
        <v>41</v>
      </c>
      <c r="T1948" s="654">
        <v>24</v>
      </c>
      <c r="U1948" s="672" t="s">
        <v>164</v>
      </c>
      <c r="V1948" s="673"/>
      <c r="X1948" s="669">
        <v>0</v>
      </c>
      <c r="Y1948" s="669"/>
      <c r="AI1948" s="660">
        <f>X1948</f>
        <v>0</v>
      </c>
      <c r="AJ1948" s="657"/>
      <c r="AK1948" s="658"/>
    </row>
    <row r="1949" spans="1:77" s="660" customFormat="1" ht="12" customHeight="1">
      <c r="B1949" s="647" t="s">
        <v>291</v>
      </c>
      <c r="C1949" s="665"/>
      <c r="D1949" s="665"/>
      <c r="E1949" s="666" t="s">
        <v>1498</v>
      </c>
      <c r="F1949" s="647" t="s">
        <v>1269</v>
      </c>
      <c r="G1949" s="667">
        <v>4112</v>
      </c>
      <c r="H1949" s="660" t="s">
        <v>183</v>
      </c>
      <c r="I1949" s="660" t="s">
        <v>33</v>
      </c>
      <c r="J1949" s="668">
        <v>4347.53</v>
      </c>
      <c r="L1949" s="668">
        <v>4.55</v>
      </c>
      <c r="M1949" s="668">
        <v>4.55</v>
      </c>
      <c r="N1949" s="669">
        <v>798.64</v>
      </c>
      <c r="O1949" s="653">
        <v>0.15</v>
      </c>
      <c r="P1949" s="670"/>
      <c r="Q1949" s="669">
        <v>0</v>
      </c>
      <c r="R1949" s="647" t="s">
        <v>142</v>
      </c>
      <c r="S1949" s="654" t="s">
        <v>41</v>
      </c>
      <c r="T1949" s="654">
        <v>24</v>
      </c>
      <c r="U1949" s="672" t="s">
        <v>164</v>
      </c>
      <c r="V1949" s="673"/>
      <c r="X1949" s="669">
        <v>0</v>
      </c>
      <c r="Y1949" s="669"/>
      <c r="AI1949" s="660">
        <f>X1949</f>
        <v>0</v>
      </c>
      <c r="AJ1949" s="657"/>
      <c r="AK1949" s="658"/>
    </row>
    <row r="1950" spans="1:77" s="218" customFormat="1" ht="12" customHeight="1">
      <c r="B1950" s="205" t="s">
        <v>291</v>
      </c>
      <c r="C1950" s="225"/>
      <c r="D1950" s="225"/>
      <c r="E1950" s="226" t="s">
        <v>1498</v>
      </c>
      <c r="F1950" s="205" t="s">
        <v>1269</v>
      </c>
      <c r="G1950" s="220">
        <v>4112</v>
      </c>
      <c r="H1950" s="218" t="s">
        <v>27</v>
      </c>
      <c r="I1950" s="218" t="s">
        <v>33</v>
      </c>
      <c r="J1950" s="222">
        <v>7258.95</v>
      </c>
      <c r="L1950" s="222">
        <v>6.75</v>
      </c>
      <c r="M1950" s="222">
        <v>6.75</v>
      </c>
      <c r="N1950" s="223"/>
      <c r="O1950" s="212">
        <v>0.15</v>
      </c>
      <c r="P1950" s="224"/>
      <c r="Q1950" s="223">
        <v>0</v>
      </c>
      <c r="R1950" s="205" t="s">
        <v>142</v>
      </c>
      <c r="S1950" s="214" t="s">
        <v>41</v>
      </c>
      <c r="T1950" s="214">
        <v>24</v>
      </c>
      <c r="U1950" s="227" t="s">
        <v>164</v>
      </c>
      <c r="V1950" s="455"/>
      <c r="X1950" s="223">
        <v>0</v>
      </c>
      <c r="Y1950" s="223"/>
      <c r="AF1950" s="230">
        <f>X1950</f>
        <v>0</v>
      </c>
      <c r="AJ1950" s="216"/>
      <c r="AK1950" s="205"/>
      <c r="AL1950" s="205"/>
      <c r="AM1950" s="205"/>
      <c r="AN1950" s="205"/>
      <c r="AO1950" s="205"/>
      <c r="AP1950" s="205"/>
      <c r="AQ1950" s="205"/>
      <c r="AR1950" s="205"/>
      <c r="AS1950" s="205"/>
      <c r="AT1950" s="205"/>
      <c r="AU1950" s="205"/>
      <c r="AV1950" s="205"/>
      <c r="AW1950" s="205"/>
      <c r="AX1950" s="205"/>
      <c r="AY1950" s="205"/>
      <c r="AZ1950" s="205"/>
      <c r="BA1950" s="205"/>
      <c r="BB1950" s="205"/>
      <c r="BC1950" s="205"/>
      <c r="BD1950" s="205"/>
      <c r="BE1950" s="205"/>
      <c r="BF1950" s="205"/>
      <c r="BG1950" s="205"/>
      <c r="BH1950" s="205"/>
      <c r="BI1950" s="205"/>
      <c r="BJ1950" s="205"/>
      <c r="BK1950" s="205"/>
      <c r="BL1950" s="205"/>
      <c r="BM1950" s="205"/>
      <c r="BN1950" s="205"/>
      <c r="BO1950" s="205"/>
      <c r="BP1950" s="205"/>
      <c r="BQ1950" s="205"/>
      <c r="BR1950" s="205"/>
      <c r="BS1950" s="205"/>
      <c r="BT1950" s="205"/>
      <c r="BU1950" s="205"/>
      <c r="BV1950" s="205"/>
      <c r="BW1950" s="205"/>
      <c r="BX1950" s="205"/>
      <c r="BY1950" s="205"/>
    </row>
    <row r="1951" spans="1:77" s="273" customFormat="1" ht="11.25" customHeight="1">
      <c r="B1951" s="270" t="s">
        <v>291</v>
      </c>
      <c r="C1951" s="271">
        <v>44706</v>
      </c>
      <c r="D1951" s="271">
        <v>44712</v>
      </c>
      <c r="E1951" s="272" t="s">
        <v>1499</v>
      </c>
      <c r="F1951" s="273" t="s">
        <v>1500</v>
      </c>
      <c r="G1951" s="276" t="s">
        <v>1501</v>
      </c>
      <c r="H1951" s="273" t="s">
        <v>898</v>
      </c>
      <c r="I1951" s="273" t="s">
        <v>1502</v>
      </c>
      <c r="J1951" s="277">
        <v>24516.34</v>
      </c>
      <c r="L1951" s="277">
        <v>20.8</v>
      </c>
      <c r="M1951" s="277">
        <v>17.8</v>
      </c>
      <c r="N1951" s="275">
        <v>6707.41</v>
      </c>
      <c r="O1951" s="278">
        <v>0.25</v>
      </c>
      <c r="P1951" s="278"/>
      <c r="Q1951" s="275">
        <v>813.5</v>
      </c>
      <c r="R1951" s="273" t="s">
        <v>142</v>
      </c>
      <c r="S1951" s="279" t="s">
        <v>41</v>
      </c>
      <c r="T1951" s="279">
        <v>24</v>
      </c>
      <c r="U1951" s="274" t="s">
        <v>164</v>
      </c>
      <c r="V1951" s="454"/>
      <c r="X1951" s="275">
        <v>813.5</v>
      </c>
      <c r="Y1951" s="275"/>
      <c r="AG1951" s="273">
        <f>X1951</f>
        <v>813.5</v>
      </c>
      <c r="AJ1951" s="642"/>
      <c r="AK1951" s="261"/>
      <c r="AL1951" s="261"/>
      <c r="AM1951" s="261"/>
      <c r="AN1951" s="261"/>
      <c r="AO1951" s="261"/>
      <c r="AP1951" s="261"/>
      <c r="AQ1951" s="261"/>
      <c r="AR1951" s="261"/>
      <c r="AS1951" s="261"/>
      <c r="AT1951" s="261"/>
      <c r="AU1951" s="261"/>
      <c r="AV1951" s="261"/>
      <c r="AW1951" s="261"/>
      <c r="AX1951" s="261"/>
      <c r="AY1951" s="261"/>
      <c r="AZ1951" s="261"/>
      <c r="BA1951" s="261"/>
      <c r="BB1951" s="261"/>
      <c r="BC1951" s="261"/>
      <c r="BD1951" s="261"/>
      <c r="BE1951" s="261"/>
      <c r="BF1951" s="261"/>
      <c r="BG1951" s="261"/>
      <c r="BH1951" s="261"/>
      <c r="BI1951" s="261"/>
      <c r="BJ1951" s="261"/>
      <c r="BK1951" s="261"/>
      <c r="BL1951" s="261"/>
      <c r="BM1951" s="261"/>
      <c r="BN1951" s="261"/>
      <c r="BO1951" s="261"/>
      <c r="BP1951" s="261"/>
      <c r="BQ1951" s="261"/>
      <c r="BR1951" s="261"/>
      <c r="BS1951" s="261"/>
      <c r="BT1951" s="261"/>
      <c r="BU1951" s="261"/>
      <c r="BV1951" s="261"/>
      <c r="BW1951" s="261"/>
      <c r="BX1951" s="261"/>
      <c r="BY1951" s="261"/>
    </row>
    <row r="1952" spans="1:77" s="205" customFormat="1" ht="11.25" customHeight="1">
      <c r="B1952" s="206" t="s">
        <v>291</v>
      </c>
      <c r="C1952" s="207">
        <v>44707</v>
      </c>
      <c r="D1952" s="225">
        <v>44712</v>
      </c>
      <c r="E1952" s="208" t="s">
        <v>1503</v>
      </c>
      <c r="F1952" s="205" t="s">
        <v>1504</v>
      </c>
      <c r="G1952" s="209" t="s">
        <v>1505</v>
      </c>
      <c r="H1952" s="205" t="s">
        <v>183</v>
      </c>
      <c r="I1952" s="205" t="s">
        <v>33</v>
      </c>
      <c r="J1952" s="210">
        <v>9537</v>
      </c>
      <c r="L1952" s="210">
        <v>9.35</v>
      </c>
      <c r="M1952" s="210">
        <v>9.35</v>
      </c>
      <c r="N1952" s="213"/>
      <c r="O1952" s="212">
        <v>0.3</v>
      </c>
      <c r="P1952" s="212"/>
      <c r="Q1952" s="213">
        <v>0</v>
      </c>
      <c r="R1952" s="205" t="s">
        <v>281</v>
      </c>
      <c r="S1952" s="214" t="s">
        <v>41</v>
      </c>
      <c r="T1952" s="214">
        <v>23</v>
      </c>
      <c r="U1952" s="215" t="s">
        <v>164</v>
      </c>
      <c r="V1952" s="438"/>
      <c r="X1952" s="213">
        <v>0</v>
      </c>
      <c r="Y1952" s="213"/>
      <c r="AF1952" s="230">
        <f>X1952</f>
        <v>0</v>
      </c>
      <c r="AI1952" s="218"/>
      <c r="AJ1952" s="216"/>
    </row>
    <row r="1953" spans="2:77" s="394" customFormat="1" ht="11.25" customHeight="1">
      <c r="B1953" s="380" t="s">
        <v>291</v>
      </c>
      <c r="C1953" s="392">
        <v>44712</v>
      </c>
      <c r="D1953" s="392">
        <v>44712</v>
      </c>
      <c r="E1953" s="393" t="s">
        <v>1506</v>
      </c>
      <c r="F1953" s="394" t="s">
        <v>718</v>
      </c>
      <c r="G1953" s="400">
        <v>4142</v>
      </c>
      <c r="H1953" s="394" t="s">
        <v>140</v>
      </c>
      <c r="I1953" s="394" t="s">
        <v>888</v>
      </c>
      <c r="J1953" s="395">
        <v>11537</v>
      </c>
      <c r="L1953" s="395">
        <v>291.2</v>
      </c>
      <c r="M1953" s="395">
        <v>293.77</v>
      </c>
      <c r="N1953" s="396"/>
      <c r="O1953" s="397">
        <v>0.3</v>
      </c>
      <c r="P1953" s="397"/>
      <c r="Q1953" s="396">
        <v>0</v>
      </c>
      <c r="R1953" s="394" t="s">
        <v>73</v>
      </c>
      <c r="S1953" s="399" t="s">
        <v>74</v>
      </c>
      <c r="T1953" s="399">
        <v>81</v>
      </c>
      <c r="U1953" s="398" t="s">
        <v>164</v>
      </c>
      <c r="V1953" s="449"/>
      <c r="X1953" s="396">
        <v>0</v>
      </c>
      <c r="Y1953" s="396"/>
      <c r="AJ1953" s="390">
        <v>0</v>
      </c>
      <c r="AK1953" s="379"/>
      <c r="AL1953" s="379"/>
      <c r="AM1953" s="379"/>
      <c r="AN1953" s="379"/>
      <c r="AO1953" s="379"/>
      <c r="AP1953" s="379"/>
      <c r="AQ1953" s="379"/>
      <c r="AR1953" s="379"/>
      <c r="AS1953" s="379"/>
      <c r="AT1953" s="379"/>
      <c r="AU1953" s="379"/>
      <c r="AV1953" s="379"/>
      <c r="AW1953" s="379"/>
      <c r="AX1953" s="379"/>
      <c r="AY1953" s="379"/>
      <c r="AZ1953" s="379"/>
      <c r="BA1953" s="379"/>
      <c r="BB1953" s="379"/>
      <c r="BC1953" s="379"/>
      <c r="BD1953" s="379"/>
      <c r="BE1953" s="379"/>
      <c r="BF1953" s="379"/>
      <c r="BG1953" s="379"/>
      <c r="BH1953" s="379"/>
      <c r="BI1953" s="379"/>
      <c r="BJ1953" s="379"/>
      <c r="BK1953" s="379"/>
      <c r="BL1953" s="379"/>
      <c r="BM1953" s="379"/>
      <c r="BN1953" s="379"/>
      <c r="BO1953" s="379"/>
      <c r="BP1953" s="379"/>
      <c r="BQ1953" s="379"/>
      <c r="BR1953" s="379"/>
      <c r="BS1953" s="379"/>
      <c r="BT1953" s="379"/>
      <c r="BU1953" s="379"/>
      <c r="BV1953" s="379"/>
      <c r="BW1953" s="379"/>
      <c r="BX1953" s="379"/>
      <c r="BY1953" s="379"/>
    </row>
    <row r="1954" spans="2:77" s="558" customFormat="1" ht="11.25" customHeight="1">
      <c r="B1954" s="575" t="s">
        <v>291</v>
      </c>
      <c r="C1954" s="560">
        <v>44711</v>
      </c>
      <c r="D1954" s="560">
        <v>44712</v>
      </c>
      <c r="E1954" s="561" t="s">
        <v>1507</v>
      </c>
      <c r="F1954" s="558" t="s">
        <v>1508</v>
      </c>
      <c r="G1954" s="562" t="s">
        <v>1509</v>
      </c>
      <c r="H1954" s="558" t="s">
        <v>99</v>
      </c>
      <c r="I1954" s="558" t="s">
        <v>888</v>
      </c>
      <c r="J1954" s="563">
        <v>52482.16</v>
      </c>
      <c r="L1954" s="563">
        <v>44.78</v>
      </c>
      <c r="M1954" s="563">
        <v>44.78</v>
      </c>
      <c r="N1954" s="564"/>
      <c r="O1954" s="566">
        <v>0.2</v>
      </c>
      <c r="P1954" s="566"/>
      <c r="Q1954" s="564">
        <v>0</v>
      </c>
      <c r="R1954" s="558" t="s">
        <v>285</v>
      </c>
      <c r="S1954" s="567" t="s">
        <v>275</v>
      </c>
      <c r="T1954" s="567">
        <v>21</v>
      </c>
      <c r="U1954" s="568" t="s">
        <v>164</v>
      </c>
      <c r="V1954" s="569"/>
      <c r="X1954" s="564">
        <v>0</v>
      </c>
      <c r="Y1954" s="564"/>
      <c r="AJ1954" s="557"/>
      <c r="AK1954" s="546"/>
      <c r="AL1954" s="546"/>
      <c r="AM1954" s="546">
        <v>0</v>
      </c>
      <c r="AN1954" s="546"/>
      <c r="AO1954" s="546"/>
      <c r="AP1954" s="546"/>
      <c r="AQ1954" s="546"/>
      <c r="AR1954" s="546"/>
      <c r="AS1954" s="546"/>
      <c r="AT1954" s="546"/>
      <c r="AU1954" s="546"/>
      <c r="AV1954" s="546"/>
      <c r="AW1954" s="546"/>
      <c r="AX1954" s="546"/>
      <c r="AY1954" s="546"/>
      <c r="AZ1954" s="546"/>
      <c r="BA1954" s="546"/>
      <c r="BB1954" s="546"/>
      <c r="BC1954" s="546"/>
      <c r="BD1954" s="546"/>
      <c r="BE1954" s="546"/>
      <c r="BF1954" s="546"/>
      <c r="BG1954" s="546"/>
      <c r="BH1954" s="546"/>
      <c r="BI1954" s="546"/>
      <c r="BJ1954" s="546"/>
      <c r="BK1954" s="546"/>
      <c r="BL1954" s="546"/>
      <c r="BM1954" s="546"/>
      <c r="BN1954" s="546"/>
      <c r="BO1954" s="546"/>
      <c r="BP1954" s="546"/>
      <c r="BQ1954" s="546"/>
      <c r="BR1954" s="546"/>
      <c r="BS1954" s="546"/>
      <c r="BT1954" s="546"/>
      <c r="BU1954" s="546"/>
      <c r="BV1954" s="546"/>
      <c r="BW1954" s="546"/>
      <c r="BX1954" s="546"/>
      <c r="BY1954" s="546"/>
    </row>
    <row r="1955" spans="2:77" s="558" customFormat="1" ht="11.25" customHeight="1">
      <c r="B1955" s="575" t="s">
        <v>291</v>
      </c>
      <c r="C1955" s="560"/>
      <c r="D1955" s="560"/>
      <c r="E1955" s="561" t="s">
        <v>1507</v>
      </c>
      <c r="F1955" s="558" t="s">
        <v>1508</v>
      </c>
      <c r="G1955" s="562" t="s">
        <v>1509</v>
      </c>
      <c r="H1955" s="558" t="s">
        <v>27</v>
      </c>
      <c r="I1955" s="558" t="s">
        <v>888</v>
      </c>
      <c r="J1955" s="563">
        <v>16927.439999999999</v>
      </c>
      <c r="L1955" s="563">
        <v>16.86</v>
      </c>
      <c r="M1955" s="563">
        <v>16.86</v>
      </c>
      <c r="N1955" s="564"/>
      <c r="O1955" s="566">
        <v>0.2</v>
      </c>
      <c r="P1955" s="566"/>
      <c r="Q1955" s="564">
        <v>1470.19</v>
      </c>
      <c r="R1955" s="558" t="s">
        <v>285</v>
      </c>
      <c r="S1955" s="567" t="s">
        <v>275</v>
      </c>
      <c r="T1955" s="567">
        <v>21</v>
      </c>
      <c r="U1955" s="568" t="s">
        <v>164</v>
      </c>
      <c r="V1955" s="569"/>
      <c r="X1955" s="564">
        <v>1470.19</v>
      </c>
      <c r="Y1955" s="564"/>
      <c r="AJ1955" s="557"/>
      <c r="AK1955" s="546"/>
      <c r="AL1955" s="546"/>
      <c r="AM1955" s="579">
        <v>1470.19</v>
      </c>
      <c r="AN1955" s="546"/>
      <c r="AO1955" s="546"/>
      <c r="AP1955" s="546"/>
      <c r="AQ1955" s="546"/>
      <c r="AR1955" s="546"/>
      <c r="AS1955" s="546"/>
      <c r="AT1955" s="546"/>
      <c r="AU1955" s="546"/>
      <c r="AV1955" s="546"/>
      <c r="AW1955" s="546"/>
      <c r="AX1955" s="546"/>
      <c r="AY1955" s="546"/>
      <c r="AZ1955" s="546"/>
      <c r="BA1955" s="546"/>
      <c r="BB1955" s="546"/>
      <c r="BC1955" s="546"/>
      <c r="BD1955" s="546"/>
      <c r="BE1955" s="546"/>
      <c r="BF1955" s="546"/>
      <c r="BG1955" s="546"/>
      <c r="BH1955" s="546"/>
      <c r="BI1955" s="546"/>
      <c r="BJ1955" s="546"/>
      <c r="BK1955" s="546"/>
      <c r="BL1955" s="546"/>
      <c r="BM1955" s="546"/>
      <c r="BN1955" s="546"/>
      <c r="BO1955" s="546"/>
      <c r="BP1955" s="546"/>
      <c r="BQ1955" s="546"/>
      <c r="BR1955" s="546"/>
      <c r="BS1955" s="546"/>
      <c r="BT1955" s="546"/>
      <c r="BU1955" s="546"/>
      <c r="BV1955" s="546"/>
      <c r="BW1955" s="546"/>
      <c r="BX1955" s="546"/>
      <c r="BY1955" s="546"/>
    </row>
    <row r="1956" spans="2:77" s="558" customFormat="1" ht="11.25" customHeight="1">
      <c r="B1956" s="575" t="s">
        <v>291</v>
      </c>
      <c r="C1956" s="560"/>
      <c r="D1956" s="560"/>
      <c r="E1956" s="561" t="s">
        <v>1507</v>
      </c>
      <c r="F1956" s="558" t="s">
        <v>1508</v>
      </c>
      <c r="G1956" s="562" t="s">
        <v>1509</v>
      </c>
      <c r="H1956" s="558" t="s">
        <v>442</v>
      </c>
      <c r="I1956" s="558" t="s">
        <v>888</v>
      </c>
      <c r="J1956" s="563">
        <v>8676.32</v>
      </c>
      <c r="L1956" s="563">
        <v>9.99</v>
      </c>
      <c r="M1956" s="563">
        <v>9.99</v>
      </c>
      <c r="N1956" s="564">
        <v>1906.09</v>
      </c>
      <c r="O1956" s="566">
        <v>0.2</v>
      </c>
      <c r="P1956" s="566"/>
      <c r="Q1956" s="564">
        <v>1906.09</v>
      </c>
      <c r="R1956" s="558" t="s">
        <v>285</v>
      </c>
      <c r="S1956" s="567" t="s">
        <v>275</v>
      </c>
      <c r="T1956" s="567">
        <v>21</v>
      </c>
      <c r="U1956" s="568" t="s">
        <v>164</v>
      </c>
      <c r="V1956" s="569"/>
      <c r="X1956" s="564">
        <v>1906.09</v>
      </c>
      <c r="Y1956" s="564"/>
      <c r="AJ1956" s="557"/>
      <c r="AK1956" s="546"/>
      <c r="AL1956" s="546"/>
      <c r="AM1956" s="579">
        <v>1906.09</v>
      </c>
      <c r="AN1956" s="546"/>
      <c r="AO1956" s="546"/>
      <c r="AP1956" s="546"/>
      <c r="AQ1956" s="546"/>
      <c r="AR1956" s="546"/>
      <c r="AS1956" s="546"/>
      <c r="AT1956" s="546"/>
      <c r="AU1956" s="546"/>
      <c r="AV1956" s="546"/>
      <c r="AW1956" s="546"/>
      <c r="AX1956" s="546"/>
      <c r="AY1956" s="546"/>
      <c r="AZ1956" s="546"/>
      <c r="BA1956" s="546"/>
      <c r="BB1956" s="546"/>
      <c r="BC1956" s="546"/>
      <c r="BD1956" s="546"/>
      <c r="BE1956" s="546"/>
      <c r="BF1956" s="546"/>
      <c r="BG1956" s="546"/>
      <c r="BH1956" s="546"/>
      <c r="BI1956" s="546"/>
      <c r="BJ1956" s="546"/>
      <c r="BK1956" s="546"/>
      <c r="BL1956" s="546"/>
      <c r="BM1956" s="546"/>
      <c r="BN1956" s="546"/>
      <c r="BO1956" s="546"/>
      <c r="BP1956" s="546"/>
      <c r="BQ1956" s="546"/>
      <c r="BR1956" s="546"/>
      <c r="BS1956" s="546"/>
      <c r="BT1956" s="546"/>
      <c r="BU1956" s="546"/>
      <c r="BV1956" s="546"/>
      <c r="BW1956" s="546"/>
      <c r="BX1956" s="546"/>
      <c r="BY1956" s="546"/>
    </row>
    <row r="1957" spans="2:77" s="558" customFormat="1" ht="11.25" customHeight="1">
      <c r="B1957" s="575" t="s">
        <v>291</v>
      </c>
      <c r="C1957" s="560"/>
      <c r="D1957" s="560"/>
      <c r="E1957" s="561" t="s">
        <v>1507</v>
      </c>
      <c r="F1957" s="558" t="s">
        <v>1508</v>
      </c>
      <c r="G1957" s="562" t="s">
        <v>1509</v>
      </c>
      <c r="H1957" s="558" t="s">
        <v>310</v>
      </c>
      <c r="I1957" s="558" t="s">
        <v>888</v>
      </c>
      <c r="J1957" s="563">
        <v>8068.68</v>
      </c>
      <c r="L1957" s="563">
        <v>11.16</v>
      </c>
      <c r="M1957" s="563">
        <v>11.16</v>
      </c>
      <c r="N1957" s="564"/>
      <c r="O1957" s="566">
        <v>0.2</v>
      </c>
      <c r="P1957" s="566"/>
      <c r="Q1957" s="564">
        <v>0</v>
      </c>
      <c r="R1957" s="558" t="s">
        <v>285</v>
      </c>
      <c r="S1957" s="567" t="s">
        <v>275</v>
      </c>
      <c r="T1957" s="567">
        <v>21</v>
      </c>
      <c r="U1957" s="568" t="s">
        <v>164</v>
      </c>
      <c r="V1957" s="569"/>
      <c r="X1957" s="564">
        <v>0</v>
      </c>
      <c r="Y1957" s="564"/>
      <c r="AJ1957" s="557"/>
      <c r="AK1957" s="546"/>
      <c r="AL1957" s="546"/>
      <c r="AM1957" s="579">
        <v>0</v>
      </c>
      <c r="AN1957" s="546"/>
      <c r="AO1957" s="546"/>
      <c r="AP1957" s="546"/>
      <c r="AQ1957" s="546"/>
      <c r="AR1957" s="546"/>
      <c r="AS1957" s="546"/>
      <c r="AT1957" s="546"/>
      <c r="AU1957" s="546"/>
      <c r="AV1957" s="546"/>
      <c r="AW1957" s="546"/>
      <c r="AX1957" s="546"/>
      <c r="AY1957" s="546"/>
      <c r="AZ1957" s="546"/>
      <c r="BA1957" s="546"/>
      <c r="BB1957" s="546"/>
      <c r="BC1957" s="546"/>
      <c r="BD1957" s="546"/>
      <c r="BE1957" s="546"/>
      <c r="BF1957" s="546"/>
      <c r="BG1957" s="546"/>
      <c r="BH1957" s="546"/>
      <c r="BI1957" s="546"/>
      <c r="BJ1957" s="546"/>
      <c r="BK1957" s="546"/>
      <c r="BL1957" s="546"/>
      <c r="BM1957" s="546"/>
      <c r="BN1957" s="546"/>
      <c r="BO1957" s="546"/>
      <c r="BP1957" s="546"/>
      <c r="BQ1957" s="546"/>
      <c r="BR1957" s="546"/>
      <c r="BS1957" s="546"/>
      <c r="BT1957" s="546"/>
      <c r="BU1957" s="546"/>
      <c r="BV1957" s="546"/>
      <c r="BW1957" s="546"/>
      <c r="BX1957" s="546"/>
      <c r="BY1957" s="546"/>
    </row>
    <row r="1958" spans="2:77" s="558" customFormat="1" ht="11.25" customHeight="1">
      <c r="B1958" s="575" t="s">
        <v>291</v>
      </c>
      <c r="C1958" s="560"/>
      <c r="D1958" s="560"/>
      <c r="E1958" s="561" t="s">
        <v>1507</v>
      </c>
      <c r="F1958" s="558" t="s">
        <v>1508</v>
      </c>
      <c r="G1958" s="562" t="s">
        <v>1509</v>
      </c>
      <c r="H1958" s="558" t="s">
        <v>163</v>
      </c>
      <c r="I1958" s="558" t="s">
        <v>888</v>
      </c>
      <c r="J1958" s="563">
        <v>987.56</v>
      </c>
      <c r="L1958" s="563">
        <v>1.41</v>
      </c>
      <c r="M1958" s="563">
        <v>1.41</v>
      </c>
      <c r="N1958" s="564">
        <f>J1958*0.3</f>
        <v>296.26799999999997</v>
      </c>
      <c r="O1958" s="566">
        <v>0.2</v>
      </c>
      <c r="P1958" s="566"/>
      <c r="Q1958" s="564">
        <v>497.62</v>
      </c>
      <c r="R1958" s="558" t="s">
        <v>285</v>
      </c>
      <c r="S1958" s="567" t="s">
        <v>275</v>
      </c>
      <c r="T1958" s="567">
        <v>21</v>
      </c>
      <c r="U1958" s="568" t="s">
        <v>164</v>
      </c>
      <c r="V1958" s="569"/>
      <c r="X1958" s="564">
        <v>497.62</v>
      </c>
      <c r="Y1958" s="564"/>
      <c r="AJ1958" s="557"/>
      <c r="AK1958" s="546"/>
      <c r="AL1958" s="546"/>
      <c r="AM1958" s="579">
        <v>497.62</v>
      </c>
      <c r="AN1958" s="546"/>
      <c r="AO1958" s="546"/>
      <c r="AP1958" s="546"/>
      <c r="AQ1958" s="546"/>
      <c r="AR1958" s="546"/>
      <c r="AS1958" s="546"/>
      <c r="AT1958" s="546"/>
      <c r="AU1958" s="546"/>
      <c r="AV1958" s="546"/>
      <c r="AW1958" s="546"/>
      <c r="AX1958" s="546"/>
      <c r="AY1958" s="546"/>
      <c r="AZ1958" s="546"/>
      <c r="BA1958" s="546"/>
      <c r="BB1958" s="546"/>
      <c r="BC1958" s="546"/>
      <c r="BD1958" s="546"/>
      <c r="BE1958" s="546"/>
      <c r="BF1958" s="546"/>
      <c r="BG1958" s="546"/>
      <c r="BH1958" s="546"/>
      <c r="BI1958" s="546"/>
      <c r="BJ1958" s="546"/>
      <c r="BK1958" s="546"/>
      <c r="BL1958" s="546"/>
      <c r="BM1958" s="546"/>
      <c r="BN1958" s="546"/>
      <c r="BO1958" s="546"/>
      <c r="BP1958" s="546"/>
      <c r="BQ1958" s="546"/>
      <c r="BR1958" s="546"/>
      <c r="BS1958" s="546"/>
      <c r="BT1958" s="546"/>
      <c r="BU1958" s="546"/>
      <c r="BV1958" s="546"/>
      <c r="BW1958" s="546"/>
      <c r="BX1958" s="546"/>
      <c r="BY1958" s="546"/>
    </row>
    <row r="1959" spans="2:77" s="558" customFormat="1" ht="11.25" customHeight="1">
      <c r="B1959" s="575" t="s">
        <v>291</v>
      </c>
      <c r="C1959" s="560"/>
      <c r="D1959" s="560"/>
      <c r="E1959" s="561" t="s">
        <v>1507</v>
      </c>
      <c r="F1959" s="558" t="s">
        <v>1508</v>
      </c>
      <c r="G1959" s="562" t="s">
        <v>1509</v>
      </c>
      <c r="H1959" s="558" t="s">
        <v>137</v>
      </c>
      <c r="I1959" s="558" t="s">
        <v>888</v>
      </c>
      <c r="J1959" s="563">
        <v>11537</v>
      </c>
      <c r="L1959" s="563">
        <v>13.9</v>
      </c>
      <c r="M1959" s="563">
        <v>13.9</v>
      </c>
      <c r="N1959" s="564">
        <f>J1959*0.25</f>
        <v>2884.25</v>
      </c>
      <c r="O1959" s="566">
        <v>0.2</v>
      </c>
      <c r="P1959" s="566"/>
      <c r="Q1959" s="564">
        <v>0</v>
      </c>
      <c r="R1959" s="558" t="s">
        <v>285</v>
      </c>
      <c r="S1959" s="567" t="s">
        <v>275</v>
      </c>
      <c r="T1959" s="567">
        <v>21</v>
      </c>
      <c r="U1959" s="568" t="s">
        <v>164</v>
      </c>
      <c r="V1959" s="569"/>
      <c r="X1959" s="564">
        <v>0</v>
      </c>
      <c r="Y1959" s="564"/>
      <c r="AJ1959" s="557"/>
      <c r="AM1959" s="579">
        <v>0</v>
      </c>
    </row>
    <row r="1960" spans="2:77" s="647" customFormat="1" ht="11.25" customHeight="1">
      <c r="B1960" s="661" t="s">
        <v>291</v>
      </c>
      <c r="C1960" s="648">
        <v>44709</v>
      </c>
      <c r="D1960" s="648">
        <v>44712</v>
      </c>
      <c r="E1960" s="649" t="s">
        <v>1510</v>
      </c>
      <c r="F1960" s="647" t="s">
        <v>502</v>
      </c>
      <c r="G1960" s="650">
        <v>4139</v>
      </c>
      <c r="H1960" s="647" t="s">
        <v>503</v>
      </c>
      <c r="I1960" s="647" t="s">
        <v>958</v>
      </c>
      <c r="J1960" s="651">
        <v>11610.18</v>
      </c>
      <c r="L1960" s="651">
        <v>8.91</v>
      </c>
      <c r="M1960" s="651">
        <v>8.9</v>
      </c>
      <c r="N1960" s="652"/>
      <c r="O1960" s="653">
        <v>0.3</v>
      </c>
      <c r="P1960" s="653"/>
      <c r="Q1960" s="652">
        <v>0</v>
      </c>
      <c r="R1960" s="647" t="s">
        <v>257</v>
      </c>
      <c r="S1960" s="654" t="s">
        <v>74</v>
      </c>
      <c r="T1960" s="654">
        <v>32</v>
      </c>
      <c r="U1960" s="655" t="s">
        <v>164</v>
      </c>
      <c r="V1960" s="656"/>
      <c r="X1960" s="652">
        <v>0</v>
      </c>
      <c r="Y1960" s="652"/>
      <c r="AI1960" s="660">
        <v>0</v>
      </c>
      <c r="AJ1960" s="657"/>
      <c r="AK1960" s="658"/>
      <c r="AL1960" s="660"/>
      <c r="AM1960" s="660"/>
      <c r="AN1960" s="660"/>
      <c r="AO1960" s="660"/>
      <c r="AP1960" s="660"/>
      <c r="AQ1960" s="660"/>
      <c r="AR1960" s="660"/>
      <c r="AS1960" s="660"/>
      <c r="AT1960" s="660"/>
      <c r="AU1960" s="660"/>
      <c r="AV1960" s="660"/>
      <c r="AW1960" s="660"/>
      <c r="AX1960" s="660"/>
      <c r="AY1960" s="660"/>
      <c r="AZ1960" s="660"/>
      <c r="BA1960" s="660"/>
      <c r="BB1960" s="660"/>
      <c r="BC1960" s="660"/>
      <c r="BD1960" s="660"/>
      <c r="BE1960" s="660"/>
      <c r="BF1960" s="660"/>
      <c r="BG1960" s="660"/>
      <c r="BH1960" s="660"/>
      <c r="BI1960" s="660"/>
      <c r="BJ1960" s="660"/>
      <c r="BK1960" s="660"/>
      <c r="BL1960" s="660"/>
      <c r="BM1960" s="660"/>
      <c r="BN1960" s="660"/>
      <c r="BO1960" s="660"/>
      <c r="BP1960" s="660"/>
      <c r="BQ1960" s="660"/>
      <c r="BR1960" s="660"/>
      <c r="BS1960" s="660"/>
      <c r="BT1960" s="660"/>
      <c r="BU1960" s="660"/>
      <c r="BV1960" s="660"/>
      <c r="BW1960" s="660"/>
      <c r="BX1960" s="660"/>
      <c r="BY1960" s="660"/>
    </row>
    <row r="1961" spans="2:77" s="647" customFormat="1" ht="11.25" customHeight="1">
      <c r="B1961" s="661" t="s">
        <v>291</v>
      </c>
      <c r="C1961" s="648"/>
      <c r="D1961" s="648"/>
      <c r="E1961" s="649" t="s">
        <v>1510</v>
      </c>
      <c r="F1961" s="647" t="s">
        <v>502</v>
      </c>
      <c r="G1961" s="650">
        <v>4139</v>
      </c>
      <c r="H1961" s="647" t="s">
        <v>99</v>
      </c>
      <c r="I1961" s="647" t="s">
        <v>958</v>
      </c>
      <c r="J1961" s="651">
        <v>32620.71</v>
      </c>
      <c r="L1961" s="651">
        <v>28.7</v>
      </c>
      <c r="M1961" s="651">
        <v>28.6</v>
      </c>
      <c r="N1961" s="652"/>
      <c r="O1961" s="653">
        <v>0.3</v>
      </c>
      <c r="P1961" s="653"/>
      <c r="Q1961" s="652">
        <v>0</v>
      </c>
      <c r="R1961" s="647" t="s">
        <v>257</v>
      </c>
      <c r="S1961" s="654" t="s">
        <v>74</v>
      </c>
      <c r="T1961" s="654">
        <v>32</v>
      </c>
      <c r="U1961" s="655" t="s">
        <v>164</v>
      </c>
      <c r="V1961" s="656"/>
      <c r="X1961" s="652">
        <v>0</v>
      </c>
      <c r="Y1961" s="652"/>
      <c r="AI1961" s="660">
        <v>0</v>
      </c>
      <c r="AJ1961" s="657"/>
      <c r="AK1961" s="658"/>
      <c r="AL1961" s="660"/>
      <c r="AM1961" s="660"/>
      <c r="AN1961" s="660"/>
      <c r="AO1961" s="660"/>
      <c r="AP1961" s="660"/>
      <c r="AQ1961" s="660"/>
      <c r="AR1961" s="660"/>
      <c r="AS1961" s="660"/>
      <c r="AT1961" s="660"/>
      <c r="AU1961" s="660"/>
      <c r="AV1961" s="660"/>
      <c r="AW1961" s="660"/>
      <c r="AX1961" s="660"/>
      <c r="AY1961" s="660"/>
      <c r="AZ1961" s="660"/>
      <c r="BA1961" s="660"/>
      <c r="BB1961" s="660"/>
      <c r="BC1961" s="660"/>
      <c r="BD1961" s="660"/>
      <c r="BE1961" s="660"/>
      <c r="BF1961" s="660"/>
      <c r="BG1961" s="660"/>
      <c r="BH1961" s="660"/>
      <c r="BI1961" s="660"/>
      <c r="BJ1961" s="660"/>
      <c r="BK1961" s="660"/>
      <c r="BL1961" s="660"/>
      <c r="BM1961" s="660"/>
      <c r="BN1961" s="660"/>
      <c r="BO1961" s="660"/>
      <c r="BP1961" s="660"/>
      <c r="BQ1961" s="660"/>
      <c r="BR1961" s="660"/>
      <c r="BS1961" s="660"/>
      <c r="BT1961" s="660"/>
      <c r="BU1961" s="660"/>
      <c r="BV1961" s="660"/>
      <c r="BW1961" s="660"/>
      <c r="BX1961" s="660"/>
      <c r="BY1961" s="660"/>
    </row>
    <row r="1962" spans="2:77" s="273" customFormat="1" ht="12" customHeight="1">
      <c r="B1962" s="258" t="s">
        <v>291</v>
      </c>
      <c r="C1962" s="271">
        <v>44712</v>
      </c>
      <c r="D1962" s="271">
        <v>44712</v>
      </c>
      <c r="E1962" s="272" t="s">
        <v>1512</v>
      </c>
      <c r="F1962" s="261" t="s">
        <v>1513</v>
      </c>
      <c r="G1962" s="276">
        <v>3563</v>
      </c>
      <c r="H1962" s="273" t="s">
        <v>99</v>
      </c>
      <c r="I1962" s="273" t="s">
        <v>33</v>
      </c>
      <c r="J1962" s="277">
        <v>123275.1</v>
      </c>
      <c r="L1962" s="277">
        <v>86.44</v>
      </c>
      <c r="M1962" s="277">
        <v>86.6</v>
      </c>
      <c r="N1962" s="275">
        <f>1368.27+2680.17+835.31+2849.28+3869.07+461.21+404.84+1655.25+1204.28+1528.84+389.47+796.88</f>
        <v>18042.870000000003</v>
      </c>
      <c r="O1962" s="266">
        <v>0.15</v>
      </c>
      <c r="P1962" s="278"/>
      <c r="Q1962" s="275">
        <v>0</v>
      </c>
      <c r="R1962" s="261" t="s">
        <v>29</v>
      </c>
      <c r="S1962" s="267" t="s">
        <v>30</v>
      </c>
      <c r="T1962" s="267">
        <v>25</v>
      </c>
      <c r="U1962" s="274" t="s">
        <v>164</v>
      </c>
      <c r="V1962" s="454"/>
      <c r="X1962" s="275">
        <v>0</v>
      </c>
      <c r="Y1962" s="275"/>
      <c r="AG1962" s="273">
        <f t="shared" ref="AG1962:AG1969" si="31">X1962</f>
        <v>0</v>
      </c>
      <c r="AJ1962" s="642"/>
    </row>
    <row r="1963" spans="2:77" s="273" customFormat="1" ht="12" customHeight="1">
      <c r="B1963" s="258" t="s">
        <v>291</v>
      </c>
      <c r="C1963" s="271"/>
      <c r="D1963" s="271"/>
      <c r="E1963" s="272" t="s">
        <v>1512</v>
      </c>
      <c r="F1963" s="261" t="s">
        <v>1513</v>
      </c>
      <c r="G1963" s="276">
        <v>3563</v>
      </c>
      <c r="H1963" s="273" t="s">
        <v>27</v>
      </c>
      <c r="I1963" s="273" t="s">
        <v>33</v>
      </c>
      <c r="J1963" s="277">
        <v>118234.05</v>
      </c>
      <c r="L1963" s="277">
        <v>61.1</v>
      </c>
      <c r="M1963" s="277">
        <v>60.17</v>
      </c>
      <c r="N1963" s="275"/>
      <c r="O1963" s="266">
        <v>0.15</v>
      </c>
      <c r="P1963" s="278"/>
      <c r="Q1963" s="275">
        <v>0</v>
      </c>
      <c r="R1963" s="261" t="s">
        <v>29</v>
      </c>
      <c r="S1963" s="267" t="s">
        <v>30</v>
      </c>
      <c r="T1963" s="267">
        <v>25</v>
      </c>
      <c r="U1963" s="274" t="s">
        <v>164</v>
      </c>
      <c r="V1963" s="454"/>
      <c r="X1963" s="275">
        <v>0</v>
      </c>
      <c r="Y1963" s="275"/>
      <c r="AG1963" s="273">
        <f t="shared" si="31"/>
        <v>0</v>
      </c>
      <c r="AJ1963" s="642"/>
    </row>
    <row r="1964" spans="2:77" s="273" customFormat="1" ht="12" customHeight="1">
      <c r="B1964" s="258" t="s">
        <v>291</v>
      </c>
      <c r="C1964" s="271"/>
      <c r="D1964" s="271"/>
      <c r="E1964" s="272" t="s">
        <v>1512</v>
      </c>
      <c r="F1964" s="261" t="s">
        <v>1513</v>
      </c>
      <c r="G1964" s="276">
        <v>3563</v>
      </c>
      <c r="H1964" s="273" t="s">
        <v>183</v>
      </c>
      <c r="I1964" s="273" t="s">
        <v>33</v>
      </c>
      <c r="J1964" s="277">
        <v>54849.19</v>
      </c>
      <c r="L1964" s="277">
        <v>47.91</v>
      </c>
      <c r="M1964" s="277">
        <v>47.39</v>
      </c>
      <c r="N1964" s="275">
        <f>431.71+104.17+518.52+453.7+202.08+285.41+643.05+380.55+966.43+136.57+167.82</f>
        <v>4290.01</v>
      </c>
      <c r="O1964" s="266">
        <v>0.15</v>
      </c>
      <c r="P1964" s="278"/>
      <c r="Q1964" s="275">
        <v>0</v>
      </c>
      <c r="R1964" s="261" t="s">
        <v>29</v>
      </c>
      <c r="S1964" s="267" t="s">
        <v>30</v>
      </c>
      <c r="T1964" s="267">
        <v>25</v>
      </c>
      <c r="U1964" s="274" t="s">
        <v>164</v>
      </c>
      <c r="V1964" s="454"/>
      <c r="X1964" s="275">
        <v>0</v>
      </c>
      <c r="Y1964" s="275"/>
      <c r="AG1964" s="273">
        <f t="shared" si="31"/>
        <v>0</v>
      </c>
      <c r="AJ1964" s="642"/>
    </row>
    <row r="1965" spans="2:77" s="273" customFormat="1" ht="12" customHeight="1">
      <c r="B1965" s="258" t="s">
        <v>291</v>
      </c>
      <c r="C1965" s="271"/>
      <c r="D1965" s="271"/>
      <c r="E1965" s="272" t="s">
        <v>1512</v>
      </c>
      <c r="F1965" s="261" t="s">
        <v>1513</v>
      </c>
      <c r="G1965" s="276">
        <v>3563</v>
      </c>
      <c r="H1965" s="273" t="s">
        <v>442</v>
      </c>
      <c r="I1965" s="273" t="s">
        <v>33</v>
      </c>
      <c r="J1965" s="277">
        <v>10255.209999999999</v>
      </c>
      <c r="L1965" s="277">
        <v>11</v>
      </c>
      <c r="M1965" s="277">
        <v>11.02</v>
      </c>
      <c r="N1965" s="275"/>
      <c r="O1965" s="266">
        <v>0.15</v>
      </c>
      <c r="P1965" s="278"/>
      <c r="Q1965" s="275">
        <v>0</v>
      </c>
      <c r="R1965" s="261" t="s">
        <v>29</v>
      </c>
      <c r="S1965" s="267" t="s">
        <v>30</v>
      </c>
      <c r="T1965" s="267">
        <v>25</v>
      </c>
      <c r="U1965" s="274" t="s">
        <v>164</v>
      </c>
      <c r="V1965" s="454"/>
      <c r="X1965" s="275">
        <v>0</v>
      </c>
      <c r="Y1965" s="275"/>
      <c r="AG1965" s="273">
        <f t="shared" si="31"/>
        <v>0</v>
      </c>
      <c r="AJ1965" s="642"/>
    </row>
    <row r="1966" spans="2:77" s="273" customFormat="1" ht="12" customHeight="1">
      <c r="B1966" s="258" t="s">
        <v>291</v>
      </c>
      <c r="C1966" s="271"/>
      <c r="D1966" s="271"/>
      <c r="E1966" s="272" t="s">
        <v>1512</v>
      </c>
      <c r="F1966" s="261" t="s">
        <v>1513</v>
      </c>
      <c r="G1966" s="276">
        <v>3563</v>
      </c>
      <c r="H1966" s="273" t="s">
        <v>137</v>
      </c>
      <c r="I1966" s="273" t="s">
        <v>33</v>
      </c>
      <c r="J1966" s="277">
        <v>22052.16</v>
      </c>
      <c r="L1966" s="277">
        <v>24.75</v>
      </c>
      <c r="M1966" s="277">
        <v>24.8</v>
      </c>
      <c r="N1966" s="275">
        <f>J1966*0.18</f>
        <v>3969.3887999999997</v>
      </c>
      <c r="O1966" s="266">
        <v>0.15</v>
      </c>
      <c r="P1966" s="278"/>
      <c r="Q1966" s="275">
        <v>0</v>
      </c>
      <c r="R1966" s="261" t="s">
        <v>29</v>
      </c>
      <c r="S1966" s="267" t="s">
        <v>30</v>
      </c>
      <c r="T1966" s="267">
        <v>25</v>
      </c>
      <c r="U1966" s="274" t="s">
        <v>164</v>
      </c>
      <c r="V1966" s="454"/>
      <c r="X1966" s="275">
        <v>0</v>
      </c>
      <c r="Y1966" s="275"/>
      <c r="AG1966" s="273">
        <f t="shared" si="31"/>
        <v>0</v>
      </c>
      <c r="AJ1966" s="642"/>
    </row>
    <row r="1967" spans="2:77" s="273" customFormat="1" ht="12" customHeight="1">
      <c r="B1967" s="258" t="s">
        <v>291</v>
      </c>
      <c r="C1967" s="271">
        <v>44709</v>
      </c>
      <c r="D1967" s="271">
        <v>44712</v>
      </c>
      <c r="E1967" s="272" t="s">
        <v>1514</v>
      </c>
      <c r="F1967" s="261" t="s">
        <v>1515</v>
      </c>
      <c r="G1967" s="276">
        <v>3603</v>
      </c>
      <c r="H1967" s="273" t="s">
        <v>27</v>
      </c>
      <c r="I1967" s="273" t="s">
        <v>961</v>
      </c>
      <c r="J1967" s="277">
        <v>7824.87</v>
      </c>
      <c r="L1967" s="277">
        <v>6.75</v>
      </c>
      <c r="M1967" s="277">
        <v>6.75</v>
      </c>
      <c r="N1967" s="275">
        <v>2347.46</v>
      </c>
      <c r="O1967" s="266">
        <v>0.15</v>
      </c>
      <c r="P1967" s="278"/>
      <c r="Q1967" s="275">
        <v>0</v>
      </c>
      <c r="R1967" s="261" t="s">
        <v>42</v>
      </c>
      <c r="S1967" s="267" t="s">
        <v>41</v>
      </c>
      <c r="T1967" s="267">
        <v>17</v>
      </c>
      <c r="U1967" s="274" t="s">
        <v>164</v>
      </c>
      <c r="V1967" s="454"/>
      <c r="X1967" s="275">
        <v>0</v>
      </c>
      <c r="Y1967" s="275"/>
      <c r="AG1967" s="273">
        <f t="shared" si="31"/>
        <v>0</v>
      </c>
      <c r="AJ1967" s="642"/>
    </row>
    <row r="1968" spans="2:77" s="273" customFormat="1" ht="11.25" customHeight="1">
      <c r="B1968" s="258" t="s">
        <v>291</v>
      </c>
      <c r="C1968" s="271"/>
      <c r="D1968" s="271"/>
      <c r="E1968" s="272" t="s">
        <v>1514</v>
      </c>
      <c r="F1968" s="261" t="s">
        <v>1515</v>
      </c>
      <c r="G1968" s="276">
        <v>3603</v>
      </c>
      <c r="H1968" s="273" t="s">
        <v>99</v>
      </c>
      <c r="I1968" s="273" t="s">
        <v>961</v>
      </c>
      <c r="J1968" s="277">
        <v>12941.25</v>
      </c>
      <c r="L1968" s="277">
        <v>11.9</v>
      </c>
      <c r="M1968" s="277">
        <v>11.9</v>
      </c>
      <c r="N1968" s="275">
        <v>3882.37</v>
      </c>
      <c r="O1968" s="278">
        <v>0.15</v>
      </c>
      <c r="P1968" s="278"/>
      <c r="Q1968" s="275">
        <v>1253.96</v>
      </c>
      <c r="R1968" s="261" t="s">
        <v>42</v>
      </c>
      <c r="S1968" s="267" t="s">
        <v>41</v>
      </c>
      <c r="T1968" s="267">
        <v>17</v>
      </c>
      <c r="U1968" s="274" t="s">
        <v>164</v>
      </c>
      <c r="V1968" s="454"/>
      <c r="X1968" s="275">
        <v>1253.96</v>
      </c>
      <c r="Y1968" s="275"/>
      <c r="AG1968" s="273">
        <f t="shared" si="31"/>
        <v>1253.96</v>
      </c>
      <c r="AJ1968" s="642"/>
    </row>
    <row r="1969" spans="1:77" s="273" customFormat="1" ht="11.25" customHeight="1">
      <c r="B1969" s="258" t="s">
        <v>291</v>
      </c>
      <c r="C1969" s="271"/>
      <c r="D1969" s="271"/>
      <c r="E1969" s="272" t="s">
        <v>1514</v>
      </c>
      <c r="F1969" s="261" t="s">
        <v>1515</v>
      </c>
      <c r="G1969" s="276">
        <v>3603</v>
      </c>
      <c r="H1969" s="273" t="s">
        <v>183</v>
      </c>
      <c r="I1969" s="273" t="s">
        <v>961</v>
      </c>
      <c r="J1969" s="277">
        <v>11855.77</v>
      </c>
      <c r="L1969" s="277">
        <v>13.83</v>
      </c>
      <c r="M1969" s="277">
        <v>13.83</v>
      </c>
      <c r="N1969" s="275">
        <v>1778.36</v>
      </c>
      <c r="O1969" s="278">
        <v>0.15</v>
      </c>
      <c r="P1969" s="278"/>
      <c r="Q1969" s="275">
        <v>0</v>
      </c>
      <c r="R1969" s="261" t="s">
        <v>42</v>
      </c>
      <c r="S1969" s="267" t="s">
        <v>41</v>
      </c>
      <c r="T1969" s="267">
        <v>17</v>
      </c>
      <c r="U1969" s="274" t="s">
        <v>164</v>
      </c>
      <c r="V1969" s="454"/>
      <c r="X1969" s="275">
        <v>0</v>
      </c>
      <c r="Y1969" s="275"/>
      <c r="AG1969" s="273">
        <f t="shared" si="31"/>
        <v>0</v>
      </c>
      <c r="AJ1969" s="642"/>
    </row>
    <row r="1970" spans="1:77" s="472" customFormat="1" ht="11.25" customHeight="1">
      <c r="B1970" s="486" t="s">
        <v>291</v>
      </c>
      <c r="C1970" s="474">
        <v>44712</v>
      </c>
      <c r="D1970" s="474">
        <v>44712</v>
      </c>
      <c r="E1970" s="475" t="s">
        <v>1516</v>
      </c>
      <c r="F1970" s="473" t="s">
        <v>1517</v>
      </c>
      <c r="G1970" s="476">
        <v>4303</v>
      </c>
      <c r="H1970" s="472" t="s">
        <v>310</v>
      </c>
      <c r="I1970" s="472" t="s">
        <v>33</v>
      </c>
      <c r="J1970" s="477">
        <v>9319.68</v>
      </c>
      <c r="L1970" s="477">
        <v>8.09</v>
      </c>
      <c r="M1970" s="477">
        <v>8.09</v>
      </c>
      <c r="N1970" s="478"/>
      <c r="O1970" s="480">
        <v>0.25</v>
      </c>
      <c r="P1970" s="480"/>
      <c r="Q1970" s="478">
        <v>1843.55</v>
      </c>
      <c r="R1970" s="473" t="s">
        <v>128</v>
      </c>
      <c r="S1970" s="481" t="s">
        <v>41</v>
      </c>
      <c r="T1970" s="481">
        <v>79</v>
      </c>
      <c r="U1970" s="483" t="s">
        <v>164</v>
      </c>
      <c r="V1970" s="484"/>
      <c r="X1970" s="478">
        <v>1843.55</v>
      </c>
      <c r="Y1970" s="478"/>
      <c r="AJ1970" s="485"/>
      <c r="AK1970" s="506">
        <v>1843.55</v>
      </c>
    </row>
    <row r="1971" spans="1:77" s="472" customFormat="1" ht="11.25" customHeight="1">
      <c r="B1971" s="486" t="s">
        <v>291</v>
      </c>
      <c r="C1971" s="474"/>
      <c r="D1971" s="474"/>
      <c r="E1971" s="475" t="s">
        <v>1516</v>
      </c>
      <c r="F1971" s="473" t="s">
        <v>1517</v>
      </c>
      <c r="G1971" s="476">
        <v>4303</v>
      </c>
      <c r="H1971" s="472" t="s">
        <v>99</v>
      </c>
      <c r="I1971" s="472" t="s">
        <v>33</v>
      </c>
      <c r="J1971" s="477">
        <v>33166.18</v>
      </c>
      <c r="L1971" s="477">
        <v>59.91</v>
      </c>
      <c r="M1971" s="477">
        <v>59.91</v>
      </c>
      <c r="N1971" s="478"/>
      <c r="O1971" s="480">
        <v>0.25</v>
      </c>
      <c r="P1971" s="480"/>
      <c r="Q1971" s="478">
        <v>0</v>
      </c>
      <c r="R1971" s="473" t="s">
        <v>128</v>
      </c>
      <c r="S1971" s="481" t="s">
        <v>41</v>
      </c>
      <c r="T1971" s="481">
        <v>79</v>
      </c>
      <c r="U1971" s="483" t="s">
        <v>164</v>
      </c>
      <c r="V1971" s="484"/>
      <c r="X1971" s="478">
        <v>0</v>
      </c>
      <c r="Y1971" s="478"/>
      <c r="AJ1971" s="485"/>
      <c r="AK1971" s="506">
        <v>0</v>
      </c>
    </row>
    <row r="1972" spans="1:77" s="472" customFormat="1" ht="11.25" customHeight="1">
      <c r="B1972" s="486" t="s">
        <v>291</v>
      </c>
      <c r="C1972" s="474"/>
      <c r="D1972" s="474"/>
      <c r="E1972" s="475" t="s">
        <v>1516</v>
      </c>
      <c r="F1972" s="473" t="s">
        <v>1517</v>
      </c>
      <c r="G1972" s="476">
        <v>4303</v>
      </c>
      <c r="H1972" s="472" t="s">
        <v>27</v>
      </c>
      <c r="I1972" s="472" t="s">
        <v>33</v>
      </c>
      <c r="J1972" s="477">
        <v>62566.6</v>
      </c>
      <c r="L1972" s="477">
        <v>40.76</v>
      </c>
      <c r="M1972" s="477">
        <v>40.76</v>
      </c>
      <c r="N1972" s="478"/>
      <c r="O1972" s="480">
        <v>0.25</v>
      </c>
      <c r="P1972" s="480"/>
      <c r="Q1972" s="478">
        <v>0</v>
      </c>
      <c r="R1972" s="473" t="s">
        <v>128</v>
      </c>
      <c r="S1972" s="481" t="s">
        <v>41</v>
      </c>
      <c r="T1972" s="481">
        <v>79</v>
      </c>
      <c r="U1972" s="483" t="s">
        <v>164</v>
      </c>
      <c r="V1972" s="484"/>
      <c r="X1972" s="478">
        <v>0</v>
      </c>
      <c r="Y1972" s="478"/>
      <c r="AJ1972" s="485"/>
      <c r="AK1972" s="506">
        <v>0</v>
      </c>
    </row>
    <row r="1973" spans="1:77" s="341" customFormat="1" ht="11.25" customHeight="1">
      <c r="A1973" s="558"/>
      <c r="B1973" s="546" t="s">
        <v>291</v>
      </c>
      <c r="C1973" s="560"/>
      <c r="D1973" s="560"/>
      <c r="E1973" s="561" t="s">
        <v>1518</v>
      </c>
      <c r="F1973" s="546" t="s">
        <v>106</v>
      </c>
      <c r="G1973" s="562">
        <v>3663</v>
      </c>
      <c r="H1973" s="558" t="s">
        <v>898</v>
      </c>
      <c r="I1973" s="558" t="s">
        <v>33</v>
      </c>
      <c r="J1973" s="563">
        <v>191416.13</v>
      </c>
      <c r="K1973" s="558"/>
      <c r="L1973" s="563">
        <v>102.57</v>
      </c>
      <c r="M1973" s="563">
        <v>102.57</v>
      </c>
      <c r="N1973" s="564">
        <v>143562.1</v>
      </c>
      <c r="O1973" s="566">
        <v>0.2</v>
      </c>
      <c r="P1973" s="566"/>
      <c r="Q1973" s="564">
        <v>68697.279999999999</v>
      </c>
      <c r="R1973" s="546" t="s">
        <v>54</v>
      </c>
      <c r="S1973" s="554" t="s">
        <v>51</v>
      </c>
      <c r="T1973" s="554">
        <v>55</v>
      </c>
      <c r="U1973" s="568" t="s">
        <v>164</v>
      </c>
      <c r="V1973" s="569"/>
      <c r="W1973" s="558"/>
      <c r="X1973" s="564">
        <v>68697.279999999999</v>
      </c>
      <c r="Y1973" s="564"/>
      <c r="Z1973" s="558"/>
      <c r="AA1973" s="558"/>
      <c r="AB1973" s="558"/>
      <c r="AC1973" s="558"/>
      <c r="AD1973" s="558"/>
      <c r="AE1973" s="558"/>
      <c r="AF1973" s="558"/>
      <c r="AG1973" s="558"/>
      <c r="AH1973" s="558"/>
      <c r="AI1973" s="558"/>
      <c r="AJ1973" s="557"/>
      <c r="AK1973" s="558"/>
      <c r="AL1973" s="558"/>
      <c r="AM1973" s="579">
        <v>68697.279999999999</v>
      </c>
      <c r="AN1973" s="558"/>
      <c r="AO1973" s="558"/>
      <c r="AP1973" s="558"/>
      <c r="AQ1973" s="558"/>
      <c r="AR1973" s="558"/>
      <c r="AS1973" s="558"/>
      <c r="AT1973" s="558"/>
      <c r="AU1973" s="558"/>
      <c r="AV1973" s="558"/>
      <c r="AW1973" s="558"/>
      <c r="AX1973" s="558"/>
      <c r="AY1973" s="558"/>
      <c r="AZ1973" s="558"/>
      <c r="BA1973" s="558"/>
      <c r="BB1973" s="558"/>
      <c r="BC1973" s="558"/>
      <c r="BD1973" s="558"/>
      <c r="BE1973" s="558"/>
      <c r="BF1973" s="558"/>
      <c r="BG1973" s="558"/>
      <c r="BH1973" s="558"/>
      <c r="BI1973" s="558"/>
      <c r="BJ1973" s="558"/>
      <c r="BK1973" s="558"/>
      <c r="BL1973" s="558"/>
      <c r="BM1973" s="558"/>
      <c r="BN1973" s="558"/>
      <c r="BO1973" s="558"/>
      <c r="BP1973" s="558"/>
      <c r="BQ1973" s="558"/>
      <c r="BR1973" s="558"/>
      <c r="BS1973" s="558"/>
      <c r="BT1973" s="558"/>
      <c r="BU1973" s="558"/>
      <c r="BV1973" s="558"/>
      <c r="BW1973" s="558"/>
      <c r="BX1973" s="558"/>
      <c r="BY1973" s="558"/>
    </row>
    <row r="1974" spans="1:77" s="660" customFormat="1" ht="11.25" customHeight="1">
      <c r="B1974" s="647" t="s">
        <v>291</v>
      </c>
      <c r="C1974" s="665">
        <v>44712</v>
      </c>
      <c r="D1974" s="665">
        <v>44713</v>
      </c>
      <c r="E1974" s="666" t="s">
        <v>1518</v>
      </c>
      <c r="F1974" s="647" t="s">
        <v>106</v>
      </c>
      <c r="G1974" s="667">
        <v>3663</v>
      </c>
      <c r="H1974" s="660" t="s">
        <v>765</v>
      </c>
      <c r="I1974" s="660" t="s">
        <v>33</v>
      </c>
      <c r="J1974" s="668">
        <v>37189.93</v>
      </c>
      <c r="L1974" s="668">
        <v>31.39</v>
      </c>
      <c r="M1974" s="668">
        <v>31.39</v>
      </c>
      <c r="N1974" s="669">
        <v>9297.48</v>
      </c>
      <c r="O1974" s="670">
        <v>0.2</v>
      </c>
      <c r="P1974" s="670"/>
      <c r="Q1974" s="669">
        <v>0</v>
      </c>
      <c r="R1974" s="647" t="s">
        <v>54</v>
      </c>
      <c r="S1974" s="654" t="s">
        <v>51</v>
      </c>
      <c r="T1974" s="654">
        <v>55</v>
      </c>
      <c r="U1974" s="672" t="s">
        <v>164</v>
      </c>
      <c r="V1974" s="673"/>
      <c r="X1974" s="669">
        <v>0</v>
      </c>
      <c r="Y1974" s="669"/>
      <c r="AI1974" s="660">
        <f>X1974</f>
        <v>0</v>
      </c>
      <c r="AJ1974" s="657"/>
      <c r="AK1974" s="658"/>
    </row>
    <row r="1975" spans="1:77" s="558" customFormat="1" ht="11.25" customHeight="1">
      <c r="A1975" s="394"/>
      <c r="B1975" s="379" t="s">
        <v>291</v>
      </c>
      <c r="C1975" s="392"/>
      <c r="D1975" s="392"/>
      <c r="E1975" s="393" t="s">
        <v>1518</v>
      </c>
      <c r="F1975" s="379" t="s">
        <v>106</v>
      </c>
      <c r="G1975" s="400">
        <v>3663</v>
      </c>
      <c r="H1975" s="394" t="s">
        <v>137</v>
      </c>
      <c r="I1975" s="394" t="s">
        <v>33</v>
      </c>
      <c r="J1975" s="395">
        <v>76398.509999999995</v>
      </c>
      <c r="K1975" s="394"/>
      <c r="L1975" s="395">
        <v>76.17</v>
      </c>
      <c r="M1975" s="395">
        <v>76.17</v>
      </c>
      <c r="N1975" s="396">
        <v>45839</v>
      </c>
      <c r="O1975" s="397">
        <v>0.2</v>
      </c>
      <c r="P1975" s="397"/>
      <c r="Q1975" s="396">
        <v>2719.27</v>
      </c>
      <c r="R1975" s="379" t="s">
        <v>54</v>
      </c>
      <c r="S1975" s="388" t="s">
        <v>51</v>
      </c>
      <c r="T1975" s="388">
        <v>55</v>
      </c>
      <c r="U1975" s="398" t="s">
        <v>164</v>
      </c>
      <c r="V1975" s="449"/>
      <c r="W1975" s="394"/>
      <c r="X1975" s="396">
        <v>2719.27</v>
      </c>
      <c r="Y1975" s="396"/>
      <c r="Z1975" s="394"/>
      <c r="AA1975" s="394"/>
      <c r="AB1975" s="394"/>
      <c r="AC1975" s="394"/>
      <c r="AD1975" s="394"/>
      <c r="AE1975" s="394"/>
      <c r="AF1975" s="394"/>
      <c r="AG1975" s="394"/>
      <c r="AH1975" s="394"/>
      <c r="AI1975" s="394"/>
      <c r="AJ1975" s="395">
        <v>2719.27</v>
      </c>
      <c r="AK1975" s="394"/>
      <c r="AL1975" s="394"/>
      <c r="AM1975" s="394"/>
      <c r="AN1975" s="394"/>
      <c r="AO1975" s="394"/>
      <c r="AP1975" s="394"/>
      <c r="AQ1975" s="394"/>
      <c r="AR1975" s="394"/>
      <c r="AS1975" s="394"/>
      <c r="AT1975" s="394"/>
      <c r="AU1975" s="394"/>
      <c r="AV1975" s="394"/>
      <c r="AW1975" s="394"/>
      <c r="AX1975" s="394"/>
      <c r="AY1975" s="394"/>
      <c r="AZ1975" s="394"/>
      <c r="BA1975" s="394"/>
      <c r="BB1975" s="394"/>
      <c r="BC1975" s="394"/>
      <c r="BD1975" s="394"/>
      <c r="BE1975" s="394"/>
      <c r="BF1975" s="394"/>
      <c r="BG1975" s="394"/>
      <c r="BH1975" s="394"/>
      <c r="BI1975" s="394"/>
      <c r="BJ1975" s="394"/>
      <c r="BK1975" s="394"/>
      <c r="BL1975" s="394"/>
      <c r="BM1975" s="394"/>
      <c r="BN1975" s="394"/>
      <c r="BO1975" s="394"/>
      <c r="BP1975" s="394"/>
      <c r="BQ1975" s="394"/>
      <c r="BR1975" s="394"/>
      <c r="BS1975" s="394"/>
      <c r="BT1975" s="394"/>
      <c r="BU1975" s="394"/>
      <c r="BV1975" s="394"/>
      <c r="BW1975" s="394"/>
      <c r="BX1975" s="394"/>
      <c r="BY1975" s="394"/>
    </row>
    <row r="1976" spans="1:77" s="273" customFormat="1" ht="11.25" customHeight="1">
      <c r="B1976" s="261" t="s">
        <v>291</v>
      </c>
      <c r="C1976" s="271">
        <v>44712</v>
      </c>
      <c r="D1976" s="271">
        <v>44712</v>
      </c>
      <c r="E1976" s="272" t="s">
        <v>1519</v>
      </c>
      <c r="F1976" s="261" t="s">
        <v>1520</v>
      </c>
      <c r="G1976" s="276" t="s">
        <v>1521</v>
      </c>
      <c r="H1976" s="273" t="s">
        <v>137</v>
      </c>
      <c r="I1976" s="273" t="s">
        <v>33</v>
      </c>
      <c r="J1976" s="277">
        <v>16940</v>
      </c>
      <c r="L1976" s="277">
        <v>15.4</v>
      </c>
      <c r="M1976" s="277">
        <v>15.4</v>
      </c>
      <c r="N1976" s="275">
        <v>3388</v>
      </c>
      <c r="O1976" s="278">
        <v>0.2</v>
      </c>
      <c r="P1976" s="278"/>
      <c r="Q1976" s="275">
        <v>0</v>
      </c>
      <c r="R1976" s="261" t="s">
        <v>54</v>
      </c>
      <c r="S1976" s="267" t="s">
        <v>65</v>
      </c>
      <c r="T1976" s="267">
        <v>51</v>
      </c>
      <c r="U1976" s="274" t="s">
        <v>164</v>
      </c>
      <c r="V1976" s="454"/>
      <c r="X1976" s="275">
        <v>0</v>
      </c>
      <c r="Y1976" s="275"/>
      <c r="AG1976" s="273">
        <f>X1976</f>
        <v>0</v>
      </c>
      <c r="AJ1976" s="642"/>
    </row>
    <row r="1977" spans="1:77" s="218" customFormat="1" ht="11.25" customHeight="1">
      <c r="B1977" s="205" t="s">
        <v>291</v>
      </c>
      <c r="C1977" s="225">
        <v>44713</v>
      </c>
      <c r="D1977" s="225">
        <v>44713</v>
      </c>
      <c r="E1977" s="226" t="s">
        <v>1522</v>
      </c>
      <c r="F1977" s="205" t="s">
        <v>1523</v>
      </c>
      <c r="G1977" s="220">
        <v>4494</v>
      </c>
      <c r="H1977" s="218" t="s">
        <v>99</v>
      </c>
      <c r="I1977" s="218" t="s">
        <v>958</v>
      </c>
      <c r="J1977" s="222">
        <v>94680.29</v>
      </c>
      <c r="L1977" s="222">
        <v>125.04</v>
      </c>
      <c r="M1977" s="222">
        <v>125.04</v>
      </c>
      <c r="N1977" s="223"/>
      <c r="O1977" s="224">
        <v>0.15</v>
      </c>
      <c r="P1977" s="224"/>
      <c r="Q1977" s="223">
        <v>0</v>
      </c>
      <c r="R1977" s="205" t="s">
        <v>251</v>
      </c>
      <c r="S1977" s="214" t="s">
        <v>150</v>
      </c>
      <c r="T1977" s="214">
        <v>32</v>
      </c>
      <c r="U1977" s="227" t="s">
        <v>164</v>
      </c>
      <c r="V1977" s="455"/>
      <c r="X1977" s="223">
        <v>0</v>
      </c>
      <c r="Y1977" s="223"/>
      <c r="AF1977" s="230">
        <f>X1977</f>
        <v>0</v>
      </c>
      <c r="AJ1977" s="216"/>
    </row>
    <row r="1978" spans="1:77" s="394" customFormat="1" ht="11.25" customHeight="1">
      <c r="A1978" s="472"/>
      <c r="B1978" s="473" t="s">
        <v>291</v>
      </c>
      <c r="C1978" s="474"/>
      <c r="D1978" s="474"/>
      <c r="E1978" s="475" t="s">
        <v>1524</v>
      </c>
      <c r="F1978" s="473" t="s">
        <v>467</v>
      </c>
      <c r="G1978" s="476">
        <v>4483</v>
      </c>
      <c r="H1978" s="472" t="s">
        <v>498</v>
      </c>
      <c r="I1978" s="472" t="s">
        <v>888</v>
      </c>
      <c r="J1978" s="477">
        <v>4048.8809999999999</v>
      </c>
      <c r="K1978" s="472"/>
      <c r="L1978" s="477">
        <v>5.45</v>
      </c>
      <c r="M1978" s="477">
        <v>5.45</v>
      </c>
      <c r="N1978" s="478">
        <f>J1978*0.4</f>
        <v>1619.5524</v>
      </c>
      <c r="O1978" s="493">
        <v>0.3</v>
      </c>
      <c r="P1978" s="480"/>
      <c r="Q1978" s="478">
        <v>0</v>
      </c>
      <c r="R1978" s="473" t="s">
        <v>35</v>
      </c>
      <c r="S1978" s="481" t="s">
        <v>34</v>
      </c>
      <c r="T1978" s="481">
        <v>79</v>
      </c>
      <c r="U1978" s="483" t="s">
        <v>164</v>
      </c>
      <c r="V1978" s="484"/>
      <c r="W1978" s="472"/>
      <c r="X1978" s="478">
        <v>0</v>
      </c>
      <c r="Y1978" s="478"/>
      <c r="Z1978" s="472"/>
      <c r="AA1978" s="472"/>
      <c r="AB1978" s="472"/>
      <c r="AC1978" s="472"/>
      <c r="AD1978" s="472"/>
      <c r="AE1978" s="472"/>
      <c r="AF1978" s="472"/>
      <c r="AG1978" s="472"/>
      <c r="AH1978" s="472"/>
      <c r="AI1978" s="472"/>
      <c r="AJ1978" s="485"/>
      <c r="AK1978" s="472">
        <v>0</v>
      </c>
      <c r="AL1978" s="472"/>
      <c r="AM1978" s="472"/>
      <c r="AN1978" s="472"/>
      <c r="AO1978" s="472"/>
      <c r="AP1978" s="472"/>
      <c r="AQ1978" s="472"/>
      <c r="AR1978" s="472"/>
      <c r="AS1978" s="472"/>
      <c r="AT1978" s="472"/>
      <c r="AU1978" s="472"/>
      <c r="AV1978" s="472"/>
      <c r="AW1978" s="472"/>
      <c r="AX1978" s="472"/>
      <c r="AY1978" s="472"/>
      <c r="AZ1978" s="472"/>
      <c r="BA1978" s="472"/>
      <c r="BB1978" s="472"/>
      <c r="BC1978" s="472"/>
      <c r="BD1978" s="472"/>
      <c r="BE1978" s="472"/>
      <c r="BF1978" s="472"/>
      <c r="BG1978" s="472"/>
      <c r="BH1978" s="472"/>
      <c r="BI1978" s="472"/>
      <c r="BJ1978" s="472"/>
      <c r="BK1978" s="472"/>
      <c r="BL1978" s="472"/>
      <c r="BM1978" s="472"/>
      <c r="BN1978" s="472"/>
      <c r="BO1978" s="472"/>
      <c r="BP1978" s="472"/>
      <c r="BQ1978" s="472"/>
      <c r="BR1978" s="472"/>
      <c r="BS1978" s="472"/>
      <c r="BT1978" s="472"/>
      <c r="BU1978" s="472"/>
      <c r="BV1978" s="472"/>
      <c r="BW1978" s="472"/>
      <c r="BX1978" s="472"/>
      <c r="BY1978" s="472"/>
    </row>
    <row r="1979" spans="1:77" s="394" customFormat="1" ht="11.25" customHeight="1">
      <c r="B1979" s="379" t="s">
        <v>291</v>
      </c>
      <c r="C1979" s="392">
        <v>44713</v>
      </c>
      <c r="D1979" s="392">
        <v>44713</v>
      </c>
      <c r="E1979" s="393" t="s">
        <v>1524</v>
      </c>
      <c r="F1979" s="379" t="s">
        <v>467</v>
      </c>
      <c r="G1979" s="400">
        <v>4483</v>
      </c>
      <c r="H1979" s="394" t="s">
        <v>550</v>
      </c>
      <c r="I1979" s="394" t="s">
        <v>888</v>
      </c>
      <c r="J1979" s="395">
        <v>4296.6000000000004</v>
      </c>
      <c r="L1979" s="395">
        <v>5.25</v>
      </c>
      <c r="M1979" s="395">
        <v>5.25</v>
      </c>
      <c r="N1979" s="396"/>
      <c r="O1979" s="387">
        <v>0.3</v>
      </c>
      <c r="P1979" s="397"/>
      <c r="Q1979" s="396">
        <v>909.22</v>
      </c>
      <c r="R1979" s="379" t="s">
        <v>35</v>
      </c>
      <c r="S1979" s="388" t="s">
        <v>34</v>
      </c>
      <c r="T1979" s="388">
        <v>79</v>
      </c>
      <c r="U1979" s="398" t="s">
        <v>164</v>
      </c>
      <c r="V1979" s="449"/>
      <c r="X1979" s="396">
        <v>909.22</v>
      </c>
      <c r="Y1979" s="396"/>
      <c r="AJ1979" s="395">
        <v>909.22</v>
      </c>
    </row>
    <row r="1980" spans="1:77" s="394" customFormat="1" ht="11.25" customHeight="1">
      <c r="B1980" s="379" t="s">
        <v>291</v>
      </c>
      <c r="C1980" s="392"/>
      <c r="D1980" s="392"/>
      <c r="E1980" s="393" t="s">
        <v>1524</v>
      </c>
      <c r="F1980" s="379" t="s">
        <v>467</v>
      </c>
      <c r="G1980" s="400">
        <v>4483</v>
      </c>
      <c r="H1980" s="394" t="s">
        <v>99</v>
      </c>
      <c r="I1980" s="394" t="s">
        <v>888</v>
      </c>
      <c r="J1980" s="395">
        <v>88278.31</v>
      </c>
      <c r="L1980" s="395">
        <v>70.75</v>
      </c>
      <c r="M1980" s="395">
        <v>50.53</v>
      </c>
      <c r="N1980" s="396"/>
      <c r="O1980" s="387">
        <v>0.3</v>
      </c>
      <c r="P1980" s="397"/>
      <c r="Q1980" s="396">
        <v>260.47000000000003</v>
      </c>
      <c r="R1980" s="379" t="s">
        <v>35</v>
      </c>
      <c r="S1980" s="388" t="s">
        <v>34</v>
      </c>
      <c r="T1980" s="388">
        <v>79</v>
      </c>
      <c r="U1980" s="398" t="s">
        <v>164</v>
      </c>
      <c r="V1980" s="449"/>
      <c r="X1980" s="396">
        <v>260.47000000000003</v>
      </c>
      <c r="Y1980" s="396"/>
      <c r="AJ1980" s="395">
        <v>260.47000000000003</v>
      </c>
    </row>
    <row r="1981" spans="1:77" s="472" customFormat="1" ht="11.25" customHeight="1">
      <c r="A1981" s="394"/>
      <c r="B1981" s="379" t="s">
        <v>291</v>
      </c>
      <c r="C1981" s="392"/>
      <c r="D1981" s="392"/>
      <c r="E1981" s="393" t="s">
        <v>1524</v>
      </c>
      <c r="F1981" s="379" t="s">
        <v>467</v>
      </c>
      <c r="G1981" s="400">
        <v>4483</v>
      </c>
      <c r="H1981" s="394" t="s">
        <v>27</v>
      </c>
      <c r="I1981" s="394" t="s">
        <v>888</v>
      </c>
      <c r="J1981" s="395">
        <v>62882.239999999998</v>
      </c>
      <c r="K1981" s="394"/>
      <c r="L1981" s="395">
        <v>53.11</v>
      </c>
      <c r="M1981" s="395">
        <v>53.11</v>
      </c>
      <c r="N1981" s="396"/>
      <c r="O1981" s="387">
        <v>0.3</v>
      </c>
      <c r="P1981" s="397"/>
      <c r="Q1981" s="396">
        <v>23325.38</v>
      </c>
      <c r="R1981" s="379" t="s">
        <v>35</v>
      </c>
      <c r="S1981" s="388" t="s">
        <v>34</v>
      </c>
      <c r="T1981" s="388">
        <v>79</v>
      </c>
      <c r="U1981" s="398" t="s">
        <v>164</v>
      </c>
      <c r="V1981" s="449"/>
      <c r="W1981" s="394"/>
      <c r="X1981" s="396">
        <v>23325.38</v>
      </c>
      <c r="Y1981" s="396"/>
      <c r="Z1981" s="394"/>
      <c r="AA1981" s="394"/>
      <c r="AB1981" s="394"/>
      <c r="AC1981" s="394"/>
      <c r="AD1981" s="394"/>
      <c r="AE1981" s="394"/>
      <c r="AF1981" s="394"/>
      <c r="AG1981" s="394"/>
      <c r="AH1981" s="394"/>
      <c r="AI1981" s="394"/>
      <c r="AJ1981" s="395">
        <v>23325.38</v>
      </c>
      <c r="AK1981" s="394"/>
      <c r="AL1981" s="394"/>
      <c r="AM1981" s="394"/>
      <c r="AN1981" s="394"/>
      <c r="AO1981" s="394"/>
      <c r="AP1981" s="394"/>
      <c r="AQ1981" s="394"/>
      <c r="AR1981" s="394"/>
      <c r="AS1981" s="394"/>
      <c r="AT1981" s="394"/>
      <c r="AU1981" s="394"/>
      <c r="AV1981" s="394"/>
      <c r="AW1981" s="394"/>
      <c r="AX1981" s="394"/>
      <c r="AY1981" s="394"/>
      <c r="AZ1981" s="394"/>
      <c r="BA1981" s="394"/>
      <c r="BB1981" s="394"/>
      <c r="BC1981" s="394"/>
      <c r="BD1981" s="394"/>
      <c r="BE1981" s="394"/>
      <c r="BF1981" s="394"/>
      <c r="BG1981" s="394"/>
      <c r="BH1981" s="394"/>
      <c r="BI1981" s="394"/>
      <c r="BJ1981" s="394"/>
      <c r="BK1981" s="394"/>
      <c r="BL1981" s="394"/>
      <c r="BM1981" s="394"/>
      <c r="BN1981" s="394"/>
      <c r="BO1981" s="394"/>
      <c r="BP1981" s="394"/>
      <c r="BQ1981" s="394"/>
      <c r="BR1981" s="394"/>
      <c r="BS1981" s="394"/>
      <c r="BT1981" s="394"/>
      <c r="BU1981" s="394"/>
      <c r="BV1981" s="394"/>
      <c r="BW1981" s="394"/>
      <c r="BX1981" s="394"/>
      <c r="BY1981" s="394"/>
    </row>
    <row r="1982" spans="1:77" s="117" customFormat="1" ht="11.25" customHeight="1">
      <c r="A1982" s="394"/>
      <c r="B1982" s="379" t="s">
        <v>291</v>
      </c>
      <c r="C1982" s="392">
        <v>44713</v>
      </c>
      <c r="D1982" s="392">
        <v>44713</v>
      </c>
      <c r="E1982" s="393" t="s">
        <v>1525</v>
      </c>
      <c r="F1982" s="379" t="s">
        <v>1526</v>
      </c>
      <c r="G1982" s="400">
        <v>3950</v>
      </c>
      <c r="H1982" s="394" t="s">
        <v>99</v>
      </c>
      <c r="I1982" s="394" t="s">
        <v>33</v>
      </c>
      <c r="J1982" s="395">
        <v>42764</v>
      </c>
      <c r="K1982" s="394"/>
      <c r="L1982" s="395">
        <v>32.86</v>
      </c>
      <c r="M1982" s="395">
        <v>32</v>
      </c>
      <c r="N1982" s="396">
        <f>822.48+638.99+1374.28+1197.29+166.58</f>
        <v>4199.62</v>
      </c>
      <c r="O1982" s="397">
        <v>0.25</v>
      </c>
      <c r="P1982" s="397"/>
      <c r="Q1982" s="396">
        <v>0</v>
      </c>
      <c r="R1982" s="379" t="s">
        <v>29</v>
      </c>
      <c r="S1982" s="388" t="s">
        <v>30</v>
      </c>
      <c r="T1982" s="388">
        <v>70</v>
      </c>
      <c r="U1982" s="398" t="s">
        <v>164</v>
      </c>
      <c r="V1982" s="449"/>
      <c r="W1982" s="394"/>
      <c r="X1982" s="396">
        <v>0</v>
      </c>
      <c r="Y1982" s="396"/>
      <c r="Z1982" s="394"/>
      <c r="AA1982" s="394"/>
      <c r="AB1982" s="394"/>
      <c r="AC1982" s="394"/>
      <c r="AD1982" s="394"/>
      <c r="AE1982" s="394"/>
      <c r="AF1982" s="394"/>
      <c r="AG1982" s="394"/>
      <c r="AH1982" s="394"/>
      <c r="AI1982" s="394"/>
      <c r="AJ1982" s="390">
        <v>0</v>
      </c>
      <c r="AK1982" s="394"/>
      <c r="AL1982" s="394"/>
      <c r="AM1982" s="394"/>
      <c r="AN1982" s="394"/>
      <c r="AO1982" s="394"/>
      <c r="AP1982" s="394"/>
      <c r="AQ1982" s="394"/>
      <c r="AR1982" s="394"/>
      <c r="AS1982" s="394"/>
      <c r="AT1982" s="394"/>
      <c r="AU1982" s="394"/>
      <c r="AV1982" s="394"/>
      <c r="AW1982" s="394"/>
      <c r="AX1982" s="394"/>
      <c r="AY1982" s="394"/>
      <c r="AZ1982" s="394"/>
      <c r="BA1982" s="394"/>
      <c r="BB1982" s="394"/>
      <c r="BC1982" s="394"/>
      <c r="BD1982" s="394"/>
      <c r="BE1982" s="394"/>
      <c r="BF1982" s="394"/>
      <c r="BG1982" s="394"/>
      <c r="BH1982" s="394"/>
      <c r="BI1982" s="394"/>
      <c r="BJ1982" s="394"/>
      <c r="BK1982" s="394"/>
      <c r="BL1982" s="394"/>
      <c r="BM1982" s="394"/>
      <c r="BN1982" s="394"/>
      <c r="BO1982" s="394"/>
      <c r="BP1982" s="394"/>
      <c r="BQ1982" s="394"/>
      <c r="BR1982" s="394"/>
      <c r="BS1982" s="394"/>
      <c r="BT1982" s="394"/>
      <c r="BU1982" s="394"/>
      <c r="BV1982" s="394"/>
      <c r="BW1982" s="394"/>
      <c r="BX1982" s="394"/>
      <c r="BY1982" s="394"/>
    </row>
    <row r="1983" spans="1:77" s="117" customFormat="1" ht="11.25" customHeight="1">
      <c r="A1983" s="394"/>
      <c r="B1983" s="379" t="s">
        <v>291</v>
      </c>
      <c r="C1983" s="392"/>
      <c r="D1983" s="392"/>
      <c r="E1983" s="393" t="s">
        <v>1525</v>
      </c>
      <c r="F1983" s="379" t="s">
        <v>1526</v>
      </c>
      <c r="G1983" s="400">
        <v>3950</v>
      </c>
      <c r="H1983" s="394" t="s">
        <v>27</v>
      </c>
      <c r="I1983" s="394" t="s">
        <v>33</v>
      </c>
      <c r="J1983" s="395">
        <v>14273.28</v>
      </c>
      <c r="K1983" s="394"/>
      <c r="L1983" s="395">
        <v>9.44</v>
      </c>
      <c r="M1983" s="395">
        <v>9.44</v>
      </c>
      <c r="N1983" s="396">
        <v>1141.8599999999999</v>
      </c>
      <c r="O1983" s="397">
        <v>0.25</v>
      </c>
      <c r="P1983" s="397"/>
      <c r="Q1983" s="396">
        <v>0</v>
      </c>
      <c r="R1983" s="379" t="s">
        <v>29</v>
      </c>
      <c r="S1983" s="388" t="s">
        <v>30</v>
      </c>
      <c r="T1983" s="388">
        <v>70</v>
      </c>
      <c r="U1983" s="398" t="s">
        <v>164</v>
      </c>
      <c r="V1983" s="449"/>
      <c r="W1983" s="394"/>
      <c r="X1983" s="396">
        <v>0</v>
      </c>
      <c r="Y1983" s="396"/>
      <c r="Z1983" s="394"/>
      <c r="AA1983" s="394"/>
      <c r="AB1983" s="394"/>
      <c r="AC1983" s="394"/>
      <c r="AD1983" s="394"/>
      <c r="AE1983" s="394"/>
      <c r="AF1983" s="394"/>
      <c r="AG1983" s="394"/>
      <c r="AH1983" s="394"/>
      <c r="AI1983" s="394"/>
      <c r="AJ1983" s="390">
        <v>0</v>
      </c>
      <c r="AK1983" s="394"/>
      <c r="AL1983" s="394"/>
      <c r="AM1983" s="394"/>
      <c r="AN1983" s="394"/>
      <c r="AO1983" s="394"/>
      <c r="AP1983" s="394"/>
      <c r="AQ1983" s="394"/>
      <c r="AR1983" s="394"/>
      <c r="AS1983" s="394"/>
      <c r="AT1983" s="394"/>
      <c r="AU1983" s="394"/>
      <c r="AV1983" s="394"/>
      <c r="AW1983" s="394"/>
      <c r="AX1983" s="394"/>
      <c r="AY1983" s="394"/>
      <c r="AZ1983" s="394"/>
      <c r="BA1983" s="394"/>
      <c r="BB1983" s="394"/>
      <c r="BC1983" s="394"/>
      <c r="BD1983" s="394"/>
      <c r="BE1983" s="394"/>
      <c r="BF1983" s="394"/>
      <c r="BG1983" s="394"/>
      <c r="BH1983" s="394"/>
      <c r="BI1983" s="394"/>
      <c r="BJ1983" s="394"/>
      <c r="BK1983" s="394"/>
      <c r="BL1983" s="394"/>
      <c r="BM1983" s="394"/>
      <c r="BN1983" s="394"/>
      <c r="BO1983" s="394"/>
      <c r="BP1983" s="394"/>
      <c r="BQ1983" s="394"/>
      <c r="BR1983" s="394"/>
      <c r="BS1983" s="394"/>
      <c r="BT1983" s="394"/>
      <c r="BU1983" s="394"/>
      <c r="BV1983" s="394"/>
      <c r="BW1983" s="394"/>
      <c r="BX1983" s="394"/>
      <c r="BY1983" s="394"/>
    </row>
    <row r="1984" spans="1:77" s="117" customFormat="1" ht="11.25" customHeight="1">
      <c r="A1984" s="394"/>
      <c r="B1984" s="379" t="s">
        <v>291</v>
      </c>
      <c r="C1984" s="392"/>
      <c r="D1984" s="392"/>
      <c r="E1984" s="393" t="s">
        <v>1525</v>
      </c>
      <c r="F1984" s="379" t="s">
        <v>1526</v>
      </c>
      <c r="G1984" s="400">
        <v>3950</v>
      </c>
      <c r="H1984" s="394" t="s">
        <v>183</v>
      </c>
      <c r="I1984" s="394" t="s">
        <v>33</v>
      </c>
      <c r="J1984" s="395">
        <v>17523.54</v>
      </c>
      <c r="K1984" s="394"/>
      <c r="L1984" s="395">
        <v>13.05</v>
      </c>
      <c r="M1984" s="395">
        <v>13</v>
      </c>
      <c r="N1984" s="396">
        <v>1401.88</v>
      </c>
      <c r="O1984" s="397">
        <v>0.25</v>
      </c>
      <c r="P1984" s="397"/>
      <c r="Q1984" s="396">
        <v>0</v>
      </c>
      <c r="R1984" s="379" t="s">
        <v>29</v>
      </c>
      <c r="S1984" s="388" t="s">
        <v>30</v>
      </c>
      <c r="T1984" s="388">
        <v>70</v>
      </c>
      <c r="U1984" s="398" t="s">
        <v>164</v>
      </c>
      <c r="V1984" s="449"/>
      <c r="W1984" s="394"/>
      <c r="X1984" s="396">
        <v>0</v>
      </c>
      <c r="Y1984" s="396"/>
      <c r="Z1984" s="394"/>
      <c r="AA1984" s="394"/>
      <c r="AB1984" s="394"/>
      <c r="AC1984" s="394"/>
      <c r="AD1984" s="394"/>
      <c r="AE1984" s="394"/>
      <c r="AF1984" s="394"/>
      <c r="AG1984" s="394"/>
      <c r="AH1984" s="394"/>
      <c r="AI1984" s="394"/>
      <c r="AJ1984" s="390">
        <v>0</v>
      </c>
      <c r="AK1984" s="394"/>
      <c r="AL1984" s="394"/>
      <c r="AM1984" s="394"/>
      <c r="AN1984" s="394"/>
      <c r="AO1984" s="394"/>
      <c r="AP1984" s="394"/>
      <c r="AQ1984" s="394"/>
      <c r="AR1984" s="394"/>
      <c r="AS1984" s="394"/>
      <c r="AT1984" s="394"/>
      <c r="AU1984" s="394"/>
      <c r="AV1984" s="394"/>
      <c r="AW1984" s="394"/>
      <c r="AX1984" s="394"/>
      <c r="AY1984" s="394"/>
      <c r="AZ1984" s="394"/>
      <c r="BA1984" s="394"/>
      <c r="BB1984" s="394"/>
      <c r="BC1984" s="394"/>
      <c r="BD1984" s="394"/>
      <c r="BE1984" s="394"/>
      <c r="BF1984" s="394"/>
      <c r="BG1984" s="394"/>
      <c r="BH1984" s="394"/>
      <c r="BI1984" s="394"/>
      <c r="BJ1984" s="394"/>
      <c r="BK1984" s="394"/>
      <c r="BL1984" s="394"/>
      <c r="BM1984" s="394"/>
      <c r="BN1984" s="394"/>
      <c r="BO1984" s="394"/>
      <c r="BP1984" s="394"/>
      <c r="BQ1984" s="394"/>
      <c r="BR1984" s="394"/>
      <c r="BS1984" s="394"/>
      <c r="BT1984" s="394"/>
      <c r="BU1984" s="394"/>
      <c r="BV1984" s="394"/>
      <c r="BW1984" s="394"/>
      <c r="BX1984" s="394"/>
      <c r="BY1984" s="394"/>
    </row>
    <row r="1985" spans="1:77" s="273" customFormat="1" ht="11.25" customHeight="1">
      <c r="B1985" s="261" t="s">
        <v>291</v>
      </c>
      <c r="C1985" s="271">
        <v>44713</v>
      </c>
      <c r="D1985" s="271">
        <v>44713</v>
      </c>
      <c r="E1985" s="272" t="s">
        <v>1527</v>
      </c>
      <c r="F1985" s="273" t="s">
        <v>1528</v>
      </c>
      <c r="G1985" s="276" t="s">
        <v>1529</v>
      </c>
      <c r="H1985" s="273" t="s">
        <v>163</v>
      </c>
      <c r="I1985" s="273" t="s">
        <v>888</v>
      </c>
      <c r="J1985" s="277">
        <v>90958.28</v>
      </c>
      <c r="L1985" s="277">
        <v>57.7</v>
      </c>
      <c r="M1985" s="277">
        <v>57</v>
      </c>
      <c r="N1985" s="275"/>
      <c r="O1985" s="278">
        <v>0.2</v>
      </c>
      <c r="P1985" s="278"/>
      <c r="Q1985" s="275">
        <v>6850.14</v>
      </c>
      <c r="R1985" s="273" t="s">
        <v>285</v>
      </c>
      <c r="S1985" s="279" t="s">
        <v>275</v>
      </c>
      <c r="T1985" s="279">
        <v>21</v>
      </c>
      <c r="U1985" s="274" t="s">
        <v>164</v>
      </c>
      <c r="V1985" s="454"/>
      <c r="X1985" s="275">
        <v>6850.14</v>
      </c>
      <c r="Y1985" s="275"/>
      <c r="AG1985" s="273">
        <f>X1985</f>
        <v>6850.14</v>
      </c>
      <c r="AJ1985" s="642"/>
    </row>
    <row r="1986" spans="1:77" s="273" customFormat="1" ht="11.25" customHeight="1">
      <c r="B1986" s="261" t="s">
        <v>291</v>
      </c>
      <c r="C1986" s="271"/>
      <c r="D1986" s="271"/>
      <c r="E1986" s="272" t="s">
        <v>1527</v>
      </c>
      <c r="F1986" s="273" t="s">
        <v>1528</v>
      </c>
      <c r="G1986" s="276" t="s">
        <v>1529</v>
      </c>
      <c r="H1986" s="273" t="s">
        <v>99</v>
      </c>
      <c r="I1986" s="273" t="s">
        <v>888</v>
      </c>
      <c r="J1986" s="277">
        <v>270510.59999999998</v>
      </c>
      <c r="L1986" s="277">
        <v>147.82</v>
      </c>
      <c r="M1986" s="277">
        <v>147</v>
      </c>
      <c r="N1986" s="275"/>
      <c r="O1986" s="278">
        <v>0.2</v>
      </c>
      <c r="P1986" s="278"/>
      <c r="Q1986" s="275">
        <v>31042.2</v>
      </c>
      <c r="R1986" s="273" t="s">
        <v>285</v>
      </c>
      <c r="S1986" s="279" t="s">
        <v>275</v>
      </c>
      <c r="T1986" s="279">
        <v>21</v>
      </c>
      <c r="U1986" s="274" t="s">
        <v>164</v>
      </c>
      <c r="V1986" s="454"/>
      <c r="X1986" s="275">
        <v>31042.2</v>
      </c>
      <c r="Y1986" s="275"/>
      <c r="AG1986" s="273">
        <f>X1986</f>
        <v>31042.2</v>
      </c>
      <c r="AJ1986" s="642"/>
    </row>
    <row r="1987" spans="1:77" s="472" customFormat="1" ht="11.25" customHeight="1">
      <c r="B1987" s="473" t="s">
        <v>291</v>
      </c>
      <c r="C1987" s="474">
        <v>44680</v>
      </c>
      <c r="D1987" s="474">
        <v>44713</v>
      </c>
      <c r="E1987" s="475" t="s">
        <v>1530</v>
      </c>
      <c r="F1987" s="472" t="s">
        <v>1531</v>
      </c>
      <c r="G1987" s="476">
        <v>3696</v>
      </c>
      <c r="H1987" s="472" t="s">
        <v>99</v>
      </c>
      <c r="I1987" s="472" t="s">
        <v>156</v>
      </c>
      <c r="J1987" s="477">
        <v>30076.799999999999</v>
      </c>
      <c r="L1987" s="477">
        <v>26</v>
      </c>
      <c r="M1987" s="477">
        <v>8.6</v>
      </c>
      <c r="N1987" s="478">
        <v>1362.87</v>
      </c>
      <c r="O1987" s="480">
        <v>0.2</v>
      </c>
      <c r="P1987" s="480">
        <v>0.1</v>
      </c>
      <c r="Q1987" s="478">
        <v>367.39</v>
      </c>
      <c r="R1987" s="472" t="s">
        <v>54</v>
      </c>
      <c r="S1987" s="482" t="s">
        <v>51</v>
      </c>
      <c r="T1987" s="482">
        <v>55</v>
      </c>
      <c r="U1987" s="483" t="s">
        <v>164</v>
      </c>
      <c r="V1987" s="484"/>
      <c r="X1987" s="478">
        <v>367.39</v>
      </c>
      <c r="Y1987" s="478"/>
      <c r="AJ1987" s="485"/>
      <c r="AK1987" s="506">
        <v>367.39</v>
      </c>
    </row>
    <row r="1988" spans="1:77" s="394" customFormat="1" ht="11.25" customHeight="1">
      <c r="B1988" s="379" t="s">
        <v>291</v>
      </c>
      <c r="C1988" s="392">
        <v>44713</v>
      </c>
      <c r="D1988" s="392">
        <v>44713</v>
      </c>
      <c r="E1988" s="393" t="s">
        <v>1532</v>
      </c>
      <c r="F1988" s="394" t="s">
        <v>322</v>
      </c>
      <c r="G1988" s="400">
        <v>3648</v>
      </c>
      <c r="H1988" s="394" t="s">
        <v>27</v>
      </c>
      <c r="I1988" s="394" t="s">
        <v>33</v>
      </c>
      <c r="J1988" s="395">
        <v>34665.300000000003</v>
      </c>
      <c r="L1988" s="395">
        <v>20</v>
      </c>
      <c r="M1988" s="395">
        <v>20.82</v>
      </c>
      <c r="N1988" s="396"/>
      <c r="O1988" s="397">
        <v>0.2</v>
      </c>
      <c r="P1988" s="397"/>
      <c r="Q1988" s="396">
        <v>0</v>
      </c>
      <c r="R1988" s="379" t="s">
        <v>35</v>
      </c>
      <c r="S1988" s="388" t="s">
        <v>41</v>
      </c>
      <c r="T1988" s="388">
        <v>86</v>
      </c>
      <c r="U1988" s="398" t="s">
        <v>164</v>
      </c>
      <c r="V1988" s="449"/>
      <c r="X1988" s="396">
        <v>0</v>
      </c>
      <c r="Y1988" s="396"/>
      <c r="AJ1988" s="390">
        <v>0</v>
      </c>
    </row>
    <row r="1989" spans="1:77" s="273" customFormat="1" ht="11.25" customHeight="1">
      <c r="B1989" s="261" t="s">
        <v>291</v>
      </c>
      <c r="C1989" s="271"/>
      <c r="D1989" s="271"/>
      <c r="E1989" s="272" t="s">
        <v>1532</v>
      </c>
      <c r="F1989" s="273" t="s">
        <v>322</v>
      </c>
      <c r="G1989" s="276">
        <v>3648</v>
      </c>
      <c r="H1989" s="273" t="s">
        <v>99</v>
      </c>
      <c r="I1989" s="273" t="s">
        <v>33</v>
      </c>
      <c r="J1989" s="277">
        <v>36048.78</v>
      </c>
      <c r="L1989" s="277">
        <v>38.08</v>
      </c>
      <c r="M1989" s="277">
        <v>27.7</v>
      </c>
      <c r="N1989" s="275"/>
      <c r="O1989" s="278">
        <v>0.2</v>
      </c>
      <c r="P1989" s="278"/>
      <c r="Q1989" s="275">
        <v>2173.9</v>
      </c>
      <c r="R1989" s="261" t="s">
        <v>35</v>
      </c>
      <c r="S1989" s="267" t="s">
        <v>41</v>
      </c>
      <c r="T1989" s="267">
        <v>86</v>
      </c>
      <c r="U1989" s="274" t="s">
        <v>164</v>
      </c>
      <c r="V1989" s="454"/>
      <c r="X1989" s="275">
        <v>2173.9</v>
      </c>
      <c r="Y1989" s="275"/>
      <c r="AG1989" s="273">
        <f>X1989</f>
        <v>2173.9</v>
      </c>
      <c r="AJ1989" s="642"/>
    </row>
    <row r="1990" spans="1:77" s="337" customFormat="1" ht="11.25" customHeight="1">
      <c r="A1990" s="473"/>
      <c r="B1990" s="486" t="s">
        <v>291</v>
      </c>
      <c r="C1990" s="487"/>
      <c r="D1990" s="487"/>
      <c r="E1990" s="488" t="s">
        <v>1533</v>
      </c>
      <c r="F1990" s="473" t="s">
        <v>580</v>
      </c>
      <c r="G1990" s="489">
        <v>4357</v>
      </c>
      <c r="H1990" s="473" t="s">
        <v>765</v>
      </c>
      <c r="I1990" s="473" t="s">
        <v>33</v>
      </c>
      <c r="J1990" s="490">
        <v>13887.86</v>
      </c>
      <c r="K1990" s="473"/>
      <c r="L1990" s="490">
        <v>13.3</v>
      </c>
      <c r="M1990" s="490">
        <v>13.3</v>
      </c>
      <c r="N1990" s="492">
        <f>J1990*0.2</f>
        <v>2777.5720000000001</v>
      </c>
      <c r="O1990" s="493">
        <v>0.2</v>
      </c>
      <c r="P1990" s="493"/>
      <c r="Q1990" s="492">
        <f>N1990-J1990*O1990+1330</f>
        <v>1330</v>
      </c>
      <c r="R1990" s="473" t="s">
        <v>42</v>
      </c>
      <c r="S1990" s="481" t="s">
        <v>41</v>
      </c>
      <c r="T1990" s="481">
        <v>16</v>
      </c>
      <c r="U1990" s="494" t="s">
        <v>164</v>
      </c>
      <c r="V1990" s="495">
        <v>1330</v>
      </c>
      <c r="W1990" s="473"/>
      <c r="X1990" s="495">
        <v>1330</v>
      </c>
      <c r="Y1990" s="492"/>
      <c r="Z1990" s="473"/>
      <c r="AA1990" s="473"/>
      <c r="AB1990" s="473"/>
      <c r="AC1990" s="473"/>
      <c r="AD1990" s="473"/>
      <c r="AE1990" s="473"/>
      <c r="AF1990" s="473"/>
      <c r="AG1990" s="473"/>
      <c r="AH1990" s="473"/>
      <c r="AI1990" s="492"/>
      <c r="AJ1990" s="485"/>
      <c r="AK1990" s="498">
        <v>1330</v>
      </c>
      <c r="AL1990" s="472"/>
      <c r="AM1990" s="472"/>
      <c r="AN1990" s="472"/>
      <c r="AO1990" s="472"/>
      <c r="AP1990" s="472"/>
      <c r="AQ1990" s="472"/>
      <c r="AR1990" s="472"/>
      <c r="AS1990" s="472"/>
      <c r="AT1990" s="472"/>
      <c r="AU1990" s="472"/>
      <c r="AV1990" s="472"/>
      <c r="AW1990" s="472"/>
      <c r="AX1990" s="472"/>
      <c r="AY1990" s="472"/>
      <c r="AZ1990" s="472"/>
      <c r="BA1990" s="472"/>
      <c r="BB1990" s="472"/>
      <c r="BC1990" s="472"/>
      <c r="BD1990" s="472"/>
      <c r="BE1990" s="472"/>
      <c r="BF1990" s="472"/>
      <c r="BG1990" s="472"/>
      <c r="BH1990" s="472"/>
      <c r="BI1990" s="472"/>
      <c r="BJ1990" s="472"/>
      <c r="BK1990" s="472"/>
      <c r="BL1990" s="472"/>
      <c r="BM1990" s="472"/>
      <c r="BN1990" s="472"/>
      <c r="BO1990" s="472"/>
      <c r="BP1990" s="472"/>
      <c r="BQ1990" s="472"/>
      <c r="BR1990" s="472"/>
      <c r="BS1990" s="472"/>
      <c r="BT1990" s="472"/>
      <c r="BU1990" s="472"/>
      <c r="BV1990" s="472"/>
      <c r="BW1990" s="472"/>
      <c r="BX1990" s="472"/>
      <c r="BY1990" s="472"/>
    </row>
    <row r="1991" spans="1:77" s="647" customFormat="1" ht="11.25" customHeight="1">
      <c r="B1991" s="661" t="s">
        <v>291</v>
      </c>
      <c r="C1991" s="648">
        <v>44713</v>
      </c>
      <c r="D1991" s="648">
        <v>44713</v>
      </c>
      <c r="E1991" s="649" t="s">
        <v>1533</v>
      </c>
      <c r="F1991" s="647" t="s">
        <v>580</v>
      </c>
      <c r="G1991" s="650">
        <v>4357</v>
      </c>
      <c r="H1991" s="647" t="s">
        <v>295</v>
      </c>
      <c r="I1991" s="647" t="s">
        <v>33</v>
      </c>
      <c r="J1991" s="651">
        <v>4732.8</v>
      </c>
      <c r="L1991" s="651">
        <v>8.6999999999999993</v>
      </c>
      <c r="M1991" s="651">
        <v>8.6999999999999993</v>
      </c>
      <c r="N1991" s="652">
        <v>995.28</v>
      </c>
      <c r="O1991" s="653">
        <v>0.2</v>
      </c>
      <c r="P1991" s="653"/>
      <c r="Q1991" s="652">
        <v>995.28</v>
      </c>
      <c r="R1991" s="647" t="s">
        <v>42</v>
      </c>
      <c r="S1991" s="654" t="s">
        <v>41</v>
      </c>
      <c r="T1991" s="654">
        <v>16</v>
      </c>
      <c r="U1991" s="655" t="s">
        <v>164</v>
      </c>
      <c r="V1991" s="656"/>
      <c r="X1991" s="652">
        <v>995.28</v>
      </c>
      <c r="Y1991" s="652"/>
      <c r="AI1991" s="652">
        <v>995.28</v>
      </c>
      <c r="AJ1991" s="657"/>
      <c r="AK1991" s="658"/>
      <c r="AL1991" s="660"/>
      <c r="AM1991" s="660"/>
      <c r="AN1991" s="660"/>
      <c r="AO1991" s="660"/>
      <c r="AP1991" s="660"/>
      <c r="AQ1991" s="660"/>
      <c r="AR1991" s="660"/>
      <c r="AS1991" s="660"/>
      <c r="AT1991" s="660"/>
      <c r="AU1991" s="660"/>
      <c r="AV1991" s="660"/>
      <c r="AW1991" s="660"/>
      <c r="AX1991" s="660"/>
      <c r="AY1991" s="660"/>
      <c r="AZ1991" s="660"/>
      <c r="BA1991" s="660"/>
      <c r="BB1991" s="660"/>
      <c r="BC1991" s="660"/>
      <c r="BD1991" s="660"/>
      <c r="BE1991" s="660"/>
      <c r="BF1991" s="660"/>
      <c r="BG1991" s="660"/>
      <c r="BH1991" s="660"/>
      <c r="BI1991" s="660"/>
      <c r="BJ1991" s="660"/>
      <c r="BK1991" s="660"/>
      <c r="BL1991" s="660"/>
      <c r="BM1991" s="660"/>
      <c r="BN1991" s="660"/>
      <c r="BO1991" s="660"/>
      <c r="BP1991" s="660"/>
      <c r="BQ1991" s="660"/>
      <c r="BR1991" s="660"/>
      <c r="BS1991" s="660"/>
      <c r="BT1991" s="660"/>
      <c r="BU1991" s="660"/>
      <c r="BV1991" s="660"/>
      <c r="BW1991" s="660"/>
      <c r="BX1991" s="660"/>
      <c r="BY1991" s="660"/>
    </row>
    <row r="1992" spans="1:77" s="647" customFormat="1" ht="11.25" customHeight="1">
      <c r="B1992" s="661" t="s">
        <v>291</v>
      </c>
      <c r="C1992" s="648"/>
      <c r="D1992" s="648"/>
      <c r="E1992" s="649" t="s">
        <v>1533</v>
      </c>
      <c r="F1992" s="647" t="s">
        <v>580</v>
      </c>
      <c r="G1992" s="650">
        <v>4357</v>
      </c>
      <c r="H1992" s="647" t="s">
        <v>99</v>
      </c>
      <c r="I1992" s="647" t="s">
        <v>33</v>
      </c>
      <c r="J1992" s="651">
        <v>11789.95</v>
      </c>
      <c r="L1992" s="651">
        <v>11.75</v>
      </c>
      <c r="M1992" s="651">
        <v>11.75</v>
      </c>
      <c r="N1992" s="652">
        <v>0</v>
      </c>
      <c r="O1992" s="653">
        <v>0.2</v>
      </c>
      <c r="P1992" s="653"/>
      <c r="Q1992" s="652">
        <v>1099.72</v>
      </c>
      <c r="R1992" s="647" t="s">
        <v>42</v>
      </c>
      <c r="S1992" s="654" t="s">
        <v>41</v>
      </c>
      <c r="T1992" s="654">
        <v>16</v>
      </c>
      <c r="U1992" s="655" t="s">
        <v>164</v>
      </c>
      <c r="V1992" s="656"/>
      <c r="X1992" s="652">
        <v>1099.72</v>
      </c>
      <c r="Y1992" s="652"/>
      <c r="AI1992" s="652">
        <v>1099.72</v>
      </c>
      <c r="AJ1992" s="657"/>
      <c r="AK1992" s="658"/>
      <c r="AL1992" s="660"/>
      <c r="AM1992" s="660"/>
      <c r="AN1992" s="660"/>
      <c r="AO1992" s="660"/>
      <c r="AP1992" s="660"/>
      <c r="AQ1992" s="660"/>
      <c r="AR1992" s="660"/>
      <c r="AS1992" s="660"/>
      <c r="AT1992" s="660"/>
      <c r="AU1992" s="660"/>
      <c r="AV1992" s="660"/>
      <c r="AW1992" s="660"/>
      <c r="AX1992" s="660"/>
      <c r="AY1992" s="660"/>
      <c r="AZ1992" s="660"/>
      <c r="BA1992" s="660"/>
      <c r="BB1992" s="660"/>
      <c r="BC1992" s="660"/>
      <c r="BD1992" s="660"/>
      <c r="BE1992" s="660"/>
      <c r="BF1992" s="660"/>
      <c r="BG1992" s="660"/>
      <c r="BH1992" s="660"/>
      <c r="BI1992" s="660"/>
      <c r="BJ1992" s="660"/>
      <c r="BK1992" s="660"/>
      <c r="BL1992" s="660"/>
      <c r="BM1992" s="660"/>
      <c r="BN1992" s="660"/>
      <c r="BO1992" s="660"/>
      <c r="BP1992" s="660"/>
      <c r="BQ1992" s="660"/>
      <c r="BR1992" s="660"/>
      <c r="BS1992" s="660"/>
      <c r="BT1992" s="660"/>
      <c r="BU1992" s="660"/>
      <c r="BV1992" s="660"/>
      <c r="BW1992" s="660"/>
      <c r="BX1992" s="660"/>
      <c r="BY1992" s="660"/>
    </row>
    <row r="1993" spans="1:77" s="647" customFormat="1" ht="11.25" customHeight="1">
      <c r="B1993" s="661" t="s">
        <v>291</v>
      </c>
      <c r="C1993" s="648"/>
      <c r="D1993" s="648"/>
      <c r="E1993" s="649" t="s">
        <v>1533</v>
      </c>
      <c r="F1993" s="647" t="s">
        <v>580</v>
      </c>
      <c r="G1993" s="650">
        <v>4357</v>
      </c>
      <c r="H1993" s="647" t="s">
        <v>183</v>
      </c>
      <c r="I1993" s="647" t="s">
        <v>33</v>
      </c>
      <c r="J1993" s="651">
        <v>8487.1200000000008</v>
      </c>
      <c r="L1993" s="651">
        <v>9.83</v>
      </c>
      <c r="M1993" s="651">
        <v>9.83</v>
      </c>
      <c r="N1993" s="652">
        <v>0</v>
      </c>
      <c r="O1993" s="653">
        <v>0.2</v>
      </c>
      <c r="P1993" s="653"/>
      <c r="Q1993" s="652">
        <v>1705.63</v>
      </c>
      <c r="R1993" s="647" t="s">
        <v>42</v>
      </c>
      <c r="S1993" s="654" t="s">
        <v>41</v>
      </c>
      <c r="T1993" s="654">
        <v>16</v>
      </c>
      <c r="U1993" s="655" t="s">
        <v>164</v>
      </c>
      <c r="V1993" s="656"/>
      <c r="X1993" s="652">
        <v>1705.63</v>
      </c>
      <c r="Y1993" s="652"/>
      <c r="AI1993" s="652">
        <v>1705.63</v>
      </c>
      <c r="AJ1993" s="657"/>
      <c r="AK1993" s="658"/>
      <c r="AL1993" s="660"/>
      <c r="AM1993" s="660"/>
      <c r="AN1993" s="660"/>
      <c r="AO1993" s="660"/>
      <c r="AP1993" s="660"/>
      <c r="AQ1993" s="660"/>
      <c r="AR1993" s="660"/>
      <c r="AS1993" s="660"/>
      <c r="AT1993" s="660"/>
      <c r="AU1993" s="660"/>
      <c r="AV1993" s="660"/>
      <c r="AW1993" s="660"/>
      <c r="AX1993" s="660"/>
      <c r="AY1993" s="660"/>
      <c r="AZ1993" s="660"/>
      <c r="BA1993" s="660"/>
      <c r="BB1993" s="660"/>
      <c r="BC1993" s="660"/>
      <c r="BD1993" s="660"/>
      <c r="BE1993" s="660"/>
      <c r="BF1993" s="660"/>
      <c r="BG1993" s="660"/>
      <c r="BH1993" s="660"/>
      <c r="BI1993" s="660"/>
      <c r="BJ1993" s="660"/>
      <c r="BK1993" s="660"/>
      <c r="BL1993" s="660"/>
      <c r="BM1993" s="660"/>
      <c r="BN1993" s="660"/>
      <c r="BO1993" s="660"/>
      <c r="BP1993" s="660"/>
      <c r="BQ1993" s="660"/>
      <c r="BR1993" s="660"/>
      <c r="BS1993" s="660"/>
      <c r="BT1993" s="660"/>
      <c r="BU1993" s="660"/>
      <c r="BV1993" s="660"/>
      <c r="BW1993" s="660"/>
      <c r="BX1993" s="660"/>
      <c r="BY1993" s="660"/>
    </row>
    <row r="1994" spans="1:77" s="205" customFormat="1" ht="11.25" customHeight="1">
      <c r="B1994" s="206" t="s">
        <v>291</v>
      </c>
      <c r="C1994" s="207"/>
      <c r="D1994" s="207"/>
      <c r="E1994" s="208" t="s">
        <v>1533</v>
      </c>
      <c r="F1994" s="205" t="s">
        <v>580</v>
      </c>
      <c r="G1994" s="209">
        <v>4357</v>
      </c>
      <c r="H1994" s="205" t="s">
        <v>27</v>
      </c>
      <c r="I1994" s="205" t="s">
        <v>33</v>
      </c>
      <c r="J1994" s="210">
        <v>11689.7</v>
      </c>
      <c r="L1994" s="210">
        <v>10.63</v>
      </c>
      <c r="M1994" s="210">
        <v>10.63</v>
      </c>
      <c r="N1994" s="213"/>
      <c r="O1994" s="212">
        <v>0.2</v>
      </c>
      <c r="P1994" s="212"/>
      <c r="Q1994" s="213">
        <v>0</v>
      </c>
      <c r="R1994" s="205" t="s">
        <v>42</v>
      </c>
      <c r="S1994" s="214" t="s">
        <v>41</v>
      </c>
      <c r="T1994" s="214">
        <v>16</v>
      </c>
      <c r="U1994" s="215" t="s">
        <v>164</v>
      </c>
      <c r="V1994" s="438"/>
      <c r="W1994" s="205" t="s">
        <v>2859</v>
      </c>
      <c r="X1994" s="213">
        <v>0</v>
      </c>
      <c r="Y1994" s="213"/>
      <c r="AF1994" s="230">
        <f>X1994</f>
        <v>0</v>
      </c>
      <c r="AI1994" s="213"/>
      <c r="AJ1994" s="216"/>
      <c r="AK1994" s="218"/>
      <c r="AL1994" s="218"/>
      <c r="AM1994" s="218"/>
      <c r="AN1994" s="218"/>
      <c r="AO1994" s="218"/>
      <c r="AP1994" s="218"/>
      <c r="AQ1994" s="218"/>
      <c r="AR1994" s="218"/>
      <c r="AS1994" s="218"/>
      <c r="AT1994" s="218"/>
      <c r="AU1994" s="218"/>
      <c r="AV1994" s="218"/>
      <c r="AW1994" s="218"/>
      <c r="AX1994" s="218"/>
      <c r="AY1994" s="218"/>
      <c r="AZ1994" s="218"/>
      <c r="BA1994" s="218"/>
      <c r="BB1994" s="218"/>
      <c r="BC1994" s="218"/>
      <c r="BD1994" s="218"/>
      <c r="BE1994" s="218"/>
      <c r="BF1994" s="218"/>
      <c r="BG1994" s="218"/>
      <c r="BH1994" s="218"/>
      <c r="BI1994" s="218"/>
      <c r="BJ1994" s="218"/>
      <c r="BK1994" s="218"/>
      <c r="BL1994" s="218"/>
      <c r="BM1994" s="218"/>
      <c r="BN1994" s="218"/>
      <c r="BO1994" s="218"/>
      <c r="BP1994" s="218"/>
      <c r="BQ1994" s="218"/>
      <c r="BR1994" s="218"/>
      <c r="BS1994" s="218"/>
      <c r="BT1994" s="218"/>
      <c r="BU1994" s="218"/>
      <c r="BV1994" s="218"/>
      <c r="BW1994" s="218"/>
      <c r="BX1994" s="218"/>
      <c r="BY1994" s="218"/>
    </row>
    <row r="1995" spans="1:77" s="647" customFormat="1" ht="11.25" customHeight="1">
      <c r="B1995" s="661" t="s">
        <v>291</v>
      </c>
      <c r="C1995" s="648">
        <v>44713</v>
      </c>
      <c r="D1995" s="648">
        <v>44713</v>
      </c>
      <c r="E1995" s="649" t="s">
        <v>1534</v>
      </c>
      <c r="F1995" s="647" t="s">
        <v>1535</v>
      </c>
      <c r="G1995" s="650">
        <v>4495</v>
      </c>
      <c r="H1995" s="647" t="s">
        <v>1536</v>
      </c>
      <c r="I1995" s="647" t="s">
        <v>33</v>
      </c>
      <c r="J1995" s="651">
        <v>15209.68</v>
      </c>
      <c r="L1995" s="651">
        <v>8.83</v>
      </c>
      <c r="M1995" s="651">
        <v>8.83</v>
      </c>
      <c r="N1995" s="652"/>
      <c r="O1995" s="653">
        <v>0.2</v>
      </c>
      <c r="P1995" s="653"/>
      <c r="Q1995" s="652">
        <v>5825.59</v>
      </c>
      <c r="R1995" s="647" t="s">
        <v>229</v>
      </c>
      <c r="S1995" s="654" t="s">
        <v>397</v>
      </c>
      <c r="T1995" s="654">
        <v>37</v>
      </c>
      <c r="U1995" s="655" t="s">
        <v>164</v>
      </c>
      <c r="V1995" s="656"/>
      <c r="X1995" s="652">
        <v>5825.59</v>
      </c>
      <c r="Y1995" s="652"/>
      <c r="AI1995" s="652">
        <v>5825.59</v>
      </c>
      <c r="AJ1995" s="657"/>
      <c r="AK1995" s="658"/>
      <c r="AL1995" s="660"/>
      <c r="AM1995" s="660"/>
      <c r="AN1995" s="660"/>
      <c r="AO1995" s="660"/>
      <c r="AP1995" s="660"/>
      <c r="AQ1995" s="660"/>
      <c r="AR1995" s="660"/>
      <c r="AS1995" s="660"/>
      <c r="AT1995" s="660"/>
      <c r="AU1995" s="660"/>
      <c r="AV1995" s="660"/>
      <c r="AW1995" s="660"/>
      <c r="AX1995" s="660"/>
      <c r="AY1995" s="660"/>
      <c r="AZ1995" s="660"/>
      <c r="BA1995" s="660"/>
      <c r="BB1995" s="660"/>
      <c r="BC1995" s="660"/>
      <c r="BD1995" s="660"/>
      <c r="BE1995" s="660"/>
      <c r="BF1995" s="660"/>
      <c r="BG1995" s="660"/>
      <c r="BH1995" s="660"/>
      <c r="BI1995" s="660"/>
      <c r="BJ1995" s="660"/>
      <c r="BK1995" s="660"/>
      <c r="BL1995" s="660"/>
      <c r="BM1995" s="660"/>
      <c r="BN1995" s="660"/>
      <c r="BO1995" s="660"/>
      <c r="BP1995" s="660"/>
      <c r="BQ1995" s="660"/>
      <c r="BR1995" s="660"/>
      <c r="BS1995" s="660"/>
      <c r="BT1995" s="660"/>
      <c r="BU1995" s="660"/>
      <c r="BV1995" s="660"/>
      <c r="BW1995" s="660"/>
      <c r="BX1995" s="660"/>
      <c r="BY1995" s="660"/>
    </row>
    <row r="1996" spans="1:77" s="647" customFormat="1" ht="11.25" customHeight="1">
      <c r="B1996" s="661" t="s">
        <v>291</v>
      </c>
      <c r="C1996" s="648"/>
      <c r="D1996" s="648"/>
      <c r="E1996" s="649" t="s">
        <v>1534</v>
      </c>
      <c r="F1996" s="647" t="s">
        <v>1535</v>
      </c>
      <c r="G1996" s="650">
        <v>4495</v>
      </c>
      <c r="H1996" s="647" t="s">
        <v>765</v>
      </c>
      <c r="I1996" s="647" t="s">
        <v>33</v>
      </c>
      <c r="J1996" s="651">
        <v>23744.1</v>
      </c>
      <c r="L1996" s="651">
        <v>16.309999999999999</v>
      </c>
      <c r="M1996" s="651">
        <v>16.309999999999999</v>
      </c>
      <c r="N1996" s="652"/>
      <c r="O1996" s="653">
        <v>0.2</v>
      </c>
      <c r="P1996" s="653"/>
      <c r="Q1996" s="652">
        <v>0</v>
      </c>
      <c r="R1996" s="647" t="s">
        <v>229</v>
      </c>
      <c r="S1996" s="654" t="s">
        <v>397</v>
      </c>
      <c r="T1996" s="654">
        <v>37</v>
      </c>
      <c r="U1996" s="655" t="s">
        <v>164</v>
      </c>
      <c r="V1996" s="656"/>
      <c r="X1996" s="652">
        <v>0</v>
      </c>
      <c r="Y1996" s="652"/>
      <c r="AI1996" s="660">
        <f>X1996</f>
        <v>0</v>
      </c>
      <c r="AJ1996" s="657"/>
      <c r="AK1996" s="658"/>
      <c r="AL1996" s="660"/>
      <c r="AM1996" s="660"/>
      <c r="AN1996" s="660"/>
      <c r="AO1996" s="660"/>
      <c r="AP1996" s="660"/>
      <c r="AQ1996" s="660"/>
      <c r="AR1996" s="660"/>
      <c r="AS1996" s="660"/>
      <c r="AT1996" s="660"/>
      <c r="AU1996" s="660"/>
      <c r="AV1996" s="660"/>
      <c r="AW1996" s="660"/>
      <c r="AX1996" s="660"/>
      <c r="AY1996" s="660"/>
      <c r="AZ1996" s="660"/>
      <c r="BA1996" s="660"/>
      <c r="BB1996" s="660"/>
      <c r="BC1996" s="660"/>
      <c r="BD1996" s="660"/>
      <c r="BE1996" s="660"/>
      <c r="BF1996" s="660"/>
      <c r="BG1996" s="660"/>
      <c r="BH1996" s="660"/>
      <c r="BI1996" s="660"/>
      <c r="BJ1996" s="660"/>
      <c r="BK1996" s="660"/>
      <c r="BL1996" s="660"/>
      <c r="BM1996" s="660"/>
      <c r="BN1996" s="660"/>
      <c r="BO1996" s="660"/>
      <c r="BP1996" s="660"/>
      <c r="BQ1996" s="660"/>
      <c r="BR1996" s="660"/>
      <c r="BS1996" s="660"/>
      <c r="BT1996" s="660"/>
      <c r="BU1996" s="660"/>
      <c r="BV1996" s="660"/>
      <c r="BW1996" s="660"/>
      <c r="BX1996" s="660"/>
      <c r="BY1996" s="660"/>
    </row>
    <row r="1997" spans="1:77" s="379" customFormat="1" ht="11.25" customHeight="1">
      <c r="B1997" s="380" t="s">
        <v>291</v>
      </c>
      <c r="C1997" s="381"/>
      <c r="D1997" s="381"/>
      <c r="E1997" s="382" t="s">
        <v>1534</v>
      </c>
      <c r="F1997" s="379" t="s">
        <v>1535</v>
      </c>
      <c r="G1997" s="383">
        <v>4495</v>
      </c>
      <c r="H1997" s="379" t="s">
        <v>27</v>
      </c>
      <c r="I1997" s="379" t="s">
        <v>33</v>
      </c>
      <c r="J1997" s="385">
        <v>8347.9599999999991</v>
      </c>
      <c r="L1997" s="385">
        <v>7.08</v>
      </c>
      <c r="M1997" s="385">
        <v>7.08</v>
      </c>
      <c r="N1997" s="386"/>
      <c r="O1997" s="387">
        <v>0.2</v>
      </c>
      <c r="P1997" s="387"/>
      <c r="Q1997" s="386">
        <v>0</v>
      </c>
      <c r="R1997" s="379" t="s">
        <v>229</v>
      </c>
      <c r="S1997" s="388" t="s">
        <v>397</v>
      </c>
      <c r="T1997" s="388">
        <v>41</v>
      </c>
      <c r="U1997" s="389" t="s">
        <v>164</v>
      </c>
      <c r="V1997" s="433"/>
      <c r="X1997" s="386">
        <v>0</v>
      </c>
      <c r="Y1997" s="386"/>
      <c r="AI1997" s="386"/>
      <c r="AJ1997" s="390">
        <v>0</v>
      </c>
      <c r="AK1997" s="394"/>
      <c r="AL1997" s="394"/>
      <c r="AM1997" s="394"/>
      <c r="AN1997" s="394"/>
      <c r="AO1997" s="394"/>
      <c r="AP1997" s="394"/>
      <c r="AQ1997" s="394"/>
      <c r="AR1997" s="394"/>
      <c r="AS1997" s="394"/>
      <c r="AT1997" s="394"/>
      <c r="AU1997" s="394"/>
      <c r="AV1997" s="394"/>
      <c r="AW1997" s="394"/>
      <c r="AX1997" s="394"/>
      <c r="AY1997" s="394"/>
      <c r="AZ1997" s="394"/>
      <c r="BA1997" s="394"/>
      <c r="BB1997" s="394"/>
      <c r="BC1997" s="394"/>
      <c r="BD1997" s="394"/>
      <c r="BE1997" s="394"/>
      <c r="BF1997" s="394"/>
      <c r="BG1997" s="394"/>
      <c r="BH1997" s="394"/>
      <c r="BI1997" s="394"/>
      <c r="BJ1997" s="394"/>
      <c r="BK1997" s="394"/>
      <c r="BL1997" s="394"/>
      <c r="BM1997" s="394"/>
      <c r="BN1997" s="394"/>
      <c r="BO1997" s="394"/>
      <c r="BP1997" s="394"/>
      <c r="BQ1997" s="394"/>
      <c r="BR1997" s="394"/>
      <c r="BS1997" s="394"/>
      <c r="BT1997" s="394"/>
      <c r="BU1997" s="394"/>
      <c r="BV1997" s="394"/>
      <c r="BW1997" s="394"/>
      <c r="BX1997" s="394"/>
      <c r="BY1997" s="394"/>
    </row>
    <row r="1998" spans="1:77" s="379" customFormat="1" ht="11.25" customHeight="1">
      <c r="B1998" s="380" t="s">
        <v>291</v>
      </c>
      <c r="C1998" s="381"/>
      <c r="D1998" s="381"/>
      <c r="E1998" s="382" t="s">
        <v>1534</v>
      </c>
      <c r="F1998" s="379" t="s">
        <v>1535</v>
      </c>
      <c r="G1998" s="383">
        <v>4495</v>
      </c>
      <c r="H1998" s="379" t="s">
        <v>27</v>
      </c>
      <c r="I1998" s="379" t="s">
        <v>33</v>
      </c>
      <c r="J1998" s="385">
        <v>12597.68</v>
      </c>
      <c r="L1998" s="385">
        <v>10.37</v>
      </c>
      <c r="M1998" s="385">
        <v>10.37</v>
      </c>
      <c r="N1998" s="386"/>
      <c r="O1998" s="387">
        <v>0.2</v>
      </c>
      <c r="P1998" s="387"/>
      <c r="Q1998" s="386">
        <v>0</v>
      </c>
      <c r="R1998" s="379" t="s">
        <v>229</v>
      </c>
      <c r="S1998" s="388" t="s">
        <v>397</v>
      </c>
      <c r="T1998" s="388">
        <v>37</v>
      </c>
      <c r="U1998" s="389" t="s">
        <v>164</v>
      </c>
      <c r="V1998" s="433"/>
      <c r="X1998" s="386">
        <v>0</v>
      </c>
      <c r="Y1998" s="386"/>
      <c r="AI1998" s="394"/>
      <c r="AJ1998" s="390">
        <v>0</v>
      </c>
      <c r="AK1998" s="394"/>
      <c r="AL1998" s="394"/>
      <c r="AM1998" s="394"/>
      <c r="AN1998" s="394"/>
      <c r="AO1998" s="394"/>
      <c r="AP1998" s="394"/>
      <c r="AQ1998" s="394"/>
      <c r="AR1998" s="394"/>
      <c r="AS1998" s="394"/>
      <c r="AT1998" s="394"/>
      <c r="AU1998" s="394"/>
      <c r="AV1998" s="394"/>
      <c r="AW1998" s="394"/>
      <c r="AX1998" s="394"/>
      <c r="AY1998" s="394"/>
      <c r="AZ1998" s="394"/>
      <c r="BA1998" s="394"/>
      <c r="BB1998" s="394"/>
      <c r="BC1998" s="394"/>
      <c r="BD1998" s="394"/>
      <c r="BE1998" s="394"/>
      <c r="BF1998" s="394"/>
      <c r="BG1998" s="394"/>
      <c r="BH1998" s="394"/>
      <c r="BI1998" s="394"/>
      <c r="BJ1998" s="394"/>
      <c r="BK1998" s="394"/>
      <c r="BL1998" s="394"/>
      <c r="BM1998" s="394"/>
      <c r="BN1998" s="394"/>
      <c r="BO1998" s="394"/>
      <c r="BP1998" s="394"/>
      <c r="BQ1998" s="394"/>
      <c r="BR1998" s="394"/>
      <c r="BS1998" s="394"/>
      <c r="BT1998" s="394"/>
      <c r="BU1998" s="394"/>
      <c r="BV1998" s="394"/>
      <c r="BW1998" s="394"/>
      <c r="BX1998" s="394"/>
      <c r="BY1998" s="394"/>
    </row>
    <row r="1999" spans="1:77" s="379" customFormat="1" ht="11.25" customHeight="1">
      <c r="B1999" s="380" t="s">
        <v>291</v>
      </c>
      <c r="C1999" s="381"/>
      <c r="D1999" s="381"/>
      <c r="E1999" s="382" t="s">
        <v>1534</v>
      </c>
      <c r="F1999" s="379" t="s">
        <v>1535</v>
      </c>
      <c r="G1999" s="383">
        <v>4495</v>
      </c>
      <c r="H1999" s="379" t="s">
        <v>140</v>
      </c>
      <c r="I1999" s="379" t="s">
        <v>33</v>
      </c>
      <c r="J1999" s="385">
        <v>9446.01</v>
      </c>
      <c r="L1999" s="385">
        <v>7.18</v>
      </c>
      <c r="M1999" s="385">
        <v>7.18</v>
      </c>
      <c r="N1999" s="386"/>
      <c r="O1999" s="387">
        <v>0.2</v>
      </c>
      <c r="P1999" s="387"/>
      <c r="Q1999" s="386">
        <v>0</v>
      </c>
      <c r="R1999" s="379" t="s">
        <v>229</v>
      </c>
      <c r="S1999" s="388" t="s">
        <v>397</v>
      </c>
      <c r="T1999" s="388">
        <v>37</v>
      </c>
      <c r="U1999" s="389" t="s">
        <v>164</v>
      </c>
      <c r="V1999" s="433"/>
      <c r="X1999" s="386">
        <v>0</v>
      </c>
      <c r="Y1999" s="386"/>
      <c r="AI1999" s="394"/>
      <c r="AJ1999" s="390">
        <v>0</v>
      </c>
      <c r="AK1999" s="394"/>
      <c r="AL1999" s="394"/>
      <c r="AM1999" s="394"/>
      <c r="AN1999" s="394"/>
      <c r="AO1999" s="394"/>
      <c r="AP1999" s="394"/>
      <c r="AQ1999" s="394"/>
      <c r="AR1999" s="394"/>
      <c r="AS1999" s="394"/>
      <c r="AT1999" s="394"/>
      <c r="AU1999" s="394"/>
      <c r="AV1999" s="394"/>
      <c r="AW1999" s="394"/>
      <c r="AX1999" s="394"/>
      <c r="AY1999" s="394"/>
      <c r="AZ1999" s="394"/>
      <c r="BA1999" s="394"/>
      <c r="BB1999" s="394"/>
      <c r="BC1999" s="394"/>
      <c r="BD1999" s="394"/>
      <c r="BE1999" s="394"/>
      <c r="BF1999" s="394"/>
      <c r="BG1999" s="394"/>
      <c r="BH1999" s="394"/>
      <c r="BI1999" s="394"/>
      <c r="BJ1999" s="394"/>
      <c r="BK1999" s="394"/>
      <c r="BL1999" s="394"/>
      <c r="BM1999" s="394"/>
      <c r="BN1999" s="394"/>
      <c r="BO1999" s="394"/>
      <c r="BP1999" s="394"/>
      <c r="BQ1999" s="394"/>
      <c r="BR1999" s="394"/>
      <c r="BS1999" s="394"/>
      <c r="BT1999" s="394"/>
      <c r="BU1999" s="394"/>
      <c r="BV1999" s="394"/>
      <c r="BW1999" s="394"/>
      <c r="BX1999" s="394"/>
      <c r="BY1999" s="394"/>
    </row>
    <row r="2000" spans="1:77" s="379" customFormat="1" ht="11.25" customHeight="1">
      <c r="B2000" s="380" t="s">
        <v>291</v>
      </c>
      <c r="C2000" s="381"/>
      <c r="D2000" s="381"/>
      <c r="E2000" s="382" t="s">
        <v>1534</v>
      </c>
      <c r="F2000" s="379" t="s">
        <v>1535</v>
      </c>
      <c r="G2000" s="383">
        <v>4495</v>
      </c>
      <c r="H2000" s="379" t="s">
        <v>99</v>
      </c>
      <c r="I2000" s="379" t="s">
        <v>33</v>
      </c>
      <c r="J2000" s="385">
        <v>28005.119999999999</v>
      </c>
      <c r="L2000" s="385">
        <v>24.31</v>
      </c>
      <c r="M2000" s="385">
        <v>24.31</v>
      </c>
      <c r="N2000" s="386"/>
      <c r="O2000" s="387">
        <v>0.2</v>
      </c>
      <c r="P2000" s="387"/>
      <c r="Q2000" s="386">
        <v>0</v>
      </c>
      <c r="R2000" s="379" t="s">
        <v>229</v>
      </c>
      <c r="S2000" s="388" t="s">
        <v>397</v>
      </c>
      <c r="T2000" s="388">
        <v>37</v>
      </c>
      <c r="U2000" s="389" t="s">
        <v>164</v>
      </c>
      <c r="V2000" s="433"/>
      <c r="X2000" s="386">
        <v>0</v>
      </c>
      <c r="Y2000" s="386"/>
      <c r="AI2000" s="394"/>
      <c r="AJ2000" s="390">
        <v>0</v>
      </c>
      <c r="AK2000" s="394"/>
      <c r="AL2000" s="394"/>
      <c r="AM2000" s="394"/>
      <c r="AN2000" s="394"/>
      <c r="AO2000" s="394"/>
      <c r="AP2000" s="394"/>
      <c r="AQ2000" s="394"/>
      <c r="AR2000" s="394"/>
      <c r="AS2000" s="394"/>
      <c r="AT2000" s="394"/>
      <c r="AU2000" s="394"/>
      <c r="AV2000" s="394"/>
      <c r="AW2000" s="394"/>
      <c r="AX2000" s="394"/>
      <c r="AY2000" s="394"/>
      <c r="AZ2000" s="394"/>
      <c r="BA2000" s="394"/>
      <c r="BB2000" s="394"/>
      <c r="BC2000" s="394"/>
      <c r="BD2000" s="394"/>
      <c r="BE2000" s="394"/>
      <c r="BF2000" s="394"/>
      <c r="BG2000" s="394"/>
      <c r="BH2000" s="394"/>
      <c r="BI2000" s="394"/>
      <c r="BJ2000" s="394"/>
      <c r="BK2000" s="394"/>
      <c r="BL2000" s="394"/>
      <c r="BM2000" s="394"/>
      <c r="BN2000" s="394"/>
      <c r="BO2000" s="394"/>
      <c r="BP2000" s="394"/>
      <c r="BQ2000" s="394"/>
      <c r="BR2000" s="394"/>
      <c r="BS2000" s="394"/>
      <c r="BT2000" s="394"/>
      <c r="BU2000" s="394"/>
      <c r="BV2000" s="394"/>
      <c r="BW2000" s="394"/>
      <c r="BX2000" s="394"/>
      <c r="BY2000" s="394"/>
    </row>
    <row r="2001" spans="1:77" s="261" customFormat="1" ht="11.25" customHeight="1">
      <c r="B2001" s="261" t="s">
        <v>291</v>
      </c>
      <c r="C2001" s="259">
        <v>44714</v>
      </c>
      <c r="D2001" s="259">
        <v>44714</v>
      </c>
      <c r="E2001" s="260" t="s">
        <v>1537</v>
      </c>
      <c r="F2001" s="261" t="s">
        <v>213</v>
      </c>
      <c r="G2001" s="262">
        <v>4130</v>
      </c>
      <c r="H2001" s="261" t="s">
        <v>138</v>
      </c>
      <c r="I2001" s="261" t="s">
        <v>888</v>
      </c>
      <c r="J2001" s="263">
        <v>35075.949999999997</v>
      </c>
      <c r="L2001" s="263">
        <v>33.799999999999997</v>
      </c>
      <c r="M2001" s="263">
        <v>33.799999999999997</v>
      </c>
      <c r="N2001" s="265"/>
      <c r="O2001" s="266">
        <v>0.2</v>
      </c>
      <c r="P2001" s="266"/>
      <c r="Q2001" s="265">
        <v>0</v>
      </c>
      <c r="R2001" s="261" t="s">
        <v>146</v>
      </c>
      <c r="S2001" s="267" t="s">
        <v>74</v>
      </c>
      <c r="T2001" s="267">
        <v>31</v>
      </c>
      <c r="U2001" s="268" t="s">
        <v>164</v>
      </c>
      <c r="V2001" s="427"/>
      <c r="X2001" s="265">
        <v>0</v>
      </c>
      <c r="Y2001" s="265"/>
      <c r="AG2001" s="261">
        <f>X2001</f>
        <v>0</v>
      </c>
      <c r="AI2001" s="273"/>
      <c r="AJ2001" s="642"/>
      <c r="AK2001" s="273"/>
      <c r="AL2001" s="273"/>
      <c r="AM2001" s="273"/>
      <c r="AN2001" s="273"/>
      <c r="AO2001" s="273"/>
      <c r="AP2001" s="273"/>
      <c r="AQ2001" s="273"/>
      <c r="AR2001" s="273"/>
      <c r="AS2001" s="273"/>
      <c r="AT2001" s="273"/>
      <c r="AU2001" s="273"/>
      <c r="AV2001" s="273"/>
      <c r="AW2001" s="273"/>
      <c r="AX2001" s="273"/>
      <c r="AY2001" s="273"/>
      <c r="AZ2001" s="273"/>
      <c r="BA2001" s="273"/>
      <c r="BB2001" s="273"/>
      <c r="BC2001" s="273"/>
      <c r="BD2001" s="273"/>
      <c r="BE2001" s="273"/>
      <c r="BF2001" s="273"/>
      <c r="BG2001" s="273"/>
      <c r="BH2001" s="273"/>
      <c r="BI2001" s="273"/>
      <c r="BJ2001" s="273"/>
      <c r="BK2001" s="273"/>
      <c r="BL2001" s="273"/>
      <c r="BM2001" s="273"/>
      <c r="BN2001" s="273"/>
      <c r="BO2001" s="273"/>
      <c r="BP2001" s="273"/>
      <c r="BQ2001" s="273"/>
      <c r="BR2001" s="273"/>
      <c r="BS2001" s="273"/>
      <c r="BT2001" s="273"/>
      <c r="BU2001" s="273"/>
      <c r="BV2001" s="273"/>
      <c r="BW2001" s="273"/>
      <c r="BX2001" s="273"/>
      <c r="BY2001" s="273"/>
    </row>
    <row r="2002" spans="1:77" s="647" customFormat="1" ht="11.25" customHeight="1">
      <c r="B2002" s="647" t="s">
        <v>291</v>
      </c>
      <c r="C2002" s="648">
        <v>44714</v>
      </c>
      <c r="D2002" s="648">
        <v>44714</v>
      </c>
      <c r="E2002" s="649" t="s">
        <v>1538</v>
      </c>
      <c r="F2002" s="647" t="s">
        <v>1539</v>
      </c>
      <c r="G2002" s="650" t="s">
        <v>1540</v>
      </c>
      <c r="H2002" s="647" t="s">
        <v>866</v>
      </c>
      <c r="I2002" s="647" t="s">
        <v>888</v>
      </c>
      <c r="J2002" s="651">
        <v>13838</v>
      </c>
      <c r="L2002" s="651">
        <v>11</v>
      </c>
      <c r="M2002" s="651">
        <v>11</v>
      </c>
      <c r="N2002" s="652">
        <f>J2002*0.25</f>
        <v>3459.5</v>
      </c>
      <c r="O2002" s="653">
        <v>0.2</v>
      </c>
      <c r="P2002" s="653"/>
      <c r="Q2002" s="652">
        <v>8650.4</v>
      </c>
      <c r="R2002" s="647" t="s">
        <v>146</v>
      </c>
      <c r="S2002" s="654" t="s">
        <v>74</v>
      </c>
      <c r="T2002" s="654">
        <v>32</v>
      </c>
      <c r="U2002" s="655" t="s">
        <v>164</v>
      </c>
      <c r="V2002" s="656"/>
      <c r="X2002" s="652">
        <v>8650.4</v>
      </c>
      <c r="Y2002" s="652"/>
      <c r="AI2002" s="652">
        <v>8650.4</v>
      </c>
      <c r="AJ2002" s="657"/>
      <c r="AK2002" s="658"/>
      <c r="AL2002" s="660"/>
      <c r="AM2002" s="660"/>
      <c r="AN2002" s="660"/>
      <c r="AO2002" s="660"/>
      <c r="AP2002" s="660"/>
      <c r="AQ2002" s="660"/>
      <c r="AR2002" s="660"/>
      <c r="AS2002" s="660"/>
      <c r="AT2002" s="660"/>
      <c r="AU2002" s="660"/>
      <c r="AV2002" s="660"/>
      <c r="AW2002" s="660"/>
      <c r="AX2002" s="660"/>
      <c r="AY2002" s="660"/>
      <c r="AZ2002" s="660"/>
      <c r="BA2002" s="660"/>
      <c r="BB2002" s="660"/>
      <c r="BC2002" s="660"/>
      <c r="BD2002" s="660"/>
      <c r="BE2002" s="660"/>
      <c r="BF2002" s="660"/>
      <c r="BG2002" s="660"/>
      <c r="BH2002" s="660"/>
      <c r="BI2002" s="660"/>
      <c r="BJ2002" s="660"/>
      <c r="BK2002" s="660"/>
      <c r="BL2002" s="660"/>
      <c r="BM2002" s="660"/>
      <c r="BN2002" s="660"/>
      <c r="BO2002" s="660"/>
      <c r="BP2002" s="660"/>
      <c r="BQ2002" s="660"/>
      <c r="BR2002" s="660"/>
      <c r="BS2002" s="660"/>
      <c r="BT2002" s="660"/>
      <c r="BU2002" s="660"/>
      <c r="BV2002" s="660"/>
      <c r="BW2002" s="660"/>
      <c r="BX2002" s="660"/>
      <c r="BY2002" s="660"/>
    </row>
    <row r="2003" spans="1:77" s="261" customFormat="1" ht="11.25" customHeight="1">
      <c r="B2003" s="261" t="s">
        <v>291</v>
      </c>
      <c r="C2003" s="259"/>
      <c r="D2003" s="259"/>
      <c r="E2003" s="260" t="s">
        <v>1538</v>
      </c>
      <c r="F2003" s="261" t="s">
        <v>1539</v>
      </c>
      <c r="G2003" s="262" t="s">
        <v>1540</v>
      </c>
      <c r="H2003" s="261" t="s">
        <v>137</v>
      </c>
      <c r="I2003" s="261" t="s">
        <v>888</v>
      </c>
      <c r="J2003" s="263">
        <v>21173.360000000001</v>
      </c>
      <c r="L2003" s="263">
        <v>23.86</v>
      </c>
      <c r="M2003" s="263">
        <v>23.86</v>
      </c>
      <c r="N2003" s="265">
        <f>J2003*0.5</f>
        <v>10586.68</v>
      </c>
      <c r="O2003" s="266">
        <v>0.2</v>
      </c>
      <c r="P2003" s="266"/>
      <c r="Q2003" s="265">
        <v>3925.45</v>
      </c>
      <c r="R2003" s="261" t="s">
        <v>146</v>
      </c>
      <c r="S2003" s="267" t="s">
        <v>74</v>
      </c>
      <c r="T2003" s="267">
        <v>32</v>
      </c>
      <c r="U2003" s="268" t="s">
        <v>164</v>
      </c>
      <c r="V2003" s="427"/>
      <c r="X2003" s="265">
        <v>3925.45</v>
      </c>
      <c r="Y2003" s="265"/>
      <c r="AG2003" s="261">
        <f>X2003</f>
        <v>3925.45</v>
      </c>
      <c r="AI2003" s="273"/>
      <c r="AJ2003" s="642"/>
      <c r="AK2003" s="273"/>
      <c r="AL2003" s="273"/>
      <c r="AM2003" s="273"/>
      <c r="AN2003" s="273"/>
      <c r="AO2003" s="273"/>
      <c r="AP2003" s="273"/>
      <c r="AQ2003" s="273"/>
      <c r="AR2003" s="273"/>
      <c r="AS2003" s="273"/>
      <c r="AT2003" s="273"/>
      <c r="AU2003" s="273"/>
      <c r="AV2003" s="273"/>
      <c r="AW2003" s="273"/>
      <c r="AX2003" s="273"/>
      <c r="AY2003" s="273"/>
      <c r="AZ2003" s="273"/>
      <c r="BA2003" s="273"/>
      <c r="BB2003" s="273"/>
      <c r="BC2003" s="273"/>
      <c r="BD2003" s="273"/>
      <c r="BE2003" s="273"/>
      <c r="BF2003" s="273"/>
      <c r="BG2003" s="273"/>
      <c r="BH2003" s="273"/>
      <c r="BI2003" s="273"/>
      <c r="BJ2003" s="273"/>
      <c r="BK2003" s="273"/>
      <c r="BL2003" s="273"/>
      <c r="BM2003" s="273"/>
      <c r="BN2003" s="273"/>
      <c r="BO2003" s="273"/>
      <c r="BP2003" s="273"/>
      <c r="BQ2003" s="273"/>
      <c r="BR2003" s="273"/>
      <c r="BS2003" s="273"/>
      <c r="BT2003" s="273"/>
      <c r="BU2003" s="273"/>
      <c r="BV2003" s="273"/>
      <c r="BW2003" s="273"/>
      <c r="BX2003" s="273"/>
      <c r="BY2003" s="273"/>
    </row>
    <row r="2004" spans="1:77" s="647" customFormat="1" ht="11.25" customHeight="1">
      <c r="B2004" s="647" t="s">
        <v>291</v>
      </c>
      <c r="C2004" s="648"/>
      <c r="D2004" s="648"/>
      <c r="E2004" s="649" t="s">
        <v>1538</v>
      </c>
      <c r="F2004" s="647" t="s">
        <v>1539</v>
      </c>
      <c r="G2004" s="650" t="s">
        <v>1540</v>
      </c>
      <c r="H2004" s="647" t="s">
        <v>765</v>
      </c>
      <c r="I2004" s="647" t="s">
        <v>888</v>
      </c>
      <c r="J2004" s="651">
        <v>32398.2</v>
      </c>
      <c r="L2004" s="651">
        <v>35.119999999999997</v>
      </c>
      <c r="M2004" s="651">
        <v>35.119999999999997</v>
      </c>
      <c r="N2004" s="652">
        <f>3055+5715</f>
        <v>8770</v>
      </c>
      <c r="O2004" s="653">
        <v>0.2</v>
      </c>
      <c r="P2004" s="653"/>
      <c r="Q2004" s="652">
        <v>10588.68</v>
      </c>
      <c r="R2004" s="647" t="s">
        <v>146</v>
      </c>
      <c r="S2004" s="654" t="s">
        <v>74</v>
      </c>
      <c r="T2004" s="654">
        <v>32</v>
      </c>
      <c r="U2004" s="655" t="s">
        <v>164</v>
      </c>
      <c r="V2004" s="656"/>
      <c r="X2004" s="652">
        <v>10588.68</v>
      </c>
      <c r="Y2004" s="652"/>
      <c r="AI2004" s="652">
        <v>10588.68</v>
      </c>
      <c r="AJ2004" s="657"/>
      <c r="AK2004" s="658"/>
      <c r="AL2004" s="660"/>
      <c r="AM2004" s="660"/>
      <c r="AN2004" s="660"/>
      <c r="AO2004" s="660"/>
      <c r="AP2004" s="660"/>
      <c r="AQ2004" s="660"/>
      <c r="AR2004" s="660"/>
      <c r="AS2004" s="660"/>
      <c r="AT2004" s="660"/>
      <c r="AU2004" s="660"/>
      <c r="AV2004" s="660"/>
      <c r="AW2004" s="660"/>
      <c r="AX2004" s="660"/>
      <c r="AY2004" s="660"/>
      <c r="AZ2004" s="660"/>
      <c r="BA2004" s="660"/>
      <c r="BB2004" s="660"/>
      <c r="BC2004" s="660"/>
      <c r="BD2004" s="660"/>
      <c r="BE2004" s="660"/>
      <c r="BF2004" s="660"/>
      <c r="BG2004" s="660"/>
      <c r="BH2004" s="660"/>
      <c r="BI2004" s="660"/>
      <c r="BJ2004" s="660"/>
      <c r="BK2004" s="660"/>
      <c r="BL2004" s="660"/>
      <c r="BM2004" s="660"/>
      <c r="BN2004" s="660"/>
      <c r="BO2004" s="660"/>
      <c r="BP2004" s="660"/>
      <c r="BQ2004" s="660"/>
      <c r="BR2004" s="660"/>
      <c r="BS2004" s="660"/>
      <c r="BT2004" s="660"/>
      <c r="BU2004" s="660"/>
      <c r="BV2004" s="660"/>
      <c r="BW2004" s="660"/>
      <c r="BX2004" s="660"/>
      <c r="BY2004" s="660"/>
    </row>
    <row r="2005" spans="1:77" s="153" customFormat="1" ht="11.25" customHeight="1">
      <c r="B2005" s="153" t="s">
        <v>291</v>
      </c>
      <c r="C2005" s="155">
        <v>44711</v>
      </c>
      <c r="D2005" s="155">
        <v>44714</v>
      </c>
      <c r="E2005" s="156" t="s">
        <v>1541</v>
      </c>
      <c r="F2005" s="153" t="s">
        <v>1542</v>
      </c>
      <c r="G2005" s="157" t="s">
        <v>1543</v>
      </c>
      <c r="H2005" s="153" t="s">
        <v>866</v>
      </c>
      <c r="I2005" s="153" t="s">
        <v>881</v>
      </c>
      <c r="J2005" s="158">
        <v>12949.74</v>
      </c>
      <c r="L2005" s="158">
        <v>7.35</v>
      </c>
      <c r="M2005" s="158">
        <v>7.35</v>
      </c>
      <c r="N2005" s="159"/>
      <c r="O2005" s="160">
        <v>0.15</v>
      </c>
      <c r="P2005" s="160"/>
      <c r="Q2005" s="159">
        <v>0</v>
      </c>
      <c r="R2005" s="153" t="s">
        <v>112</v>
      </c>
      <c r="S2005" s="161" t="s">
        <v>113</v>
      </c>
      <c r="T2005" s="161">
        <v>64</v>
      </c>
      <c r="U2005" s="162" t="s">
        <v>164</v>
      </c>
      <c r="V2005" s="435"/>
      <c r="X2005" s="159">
        <v>0</v>
      </c>
      <c r="Y2005" s="159"/>
      <c r="AD2005" s="176">
        <f>X2005</f>
        <v>0</v>
      </c>
      <c r="AI2005" s="164"/>
      <c r="AJ2005" s="644"/>
      <c r="AK2005" s="164"/>
      <c r="AL2005" s="164"/>
      <c r="AM2005" s="164"/>
      <c r="AN2005" s="164"/>
      <c r="AO2005" s="164"/>
      <c r="AP2005" s="164"/>
      <c r="AQ2005" s="164"/>
      <c r="AR2005" s="164"/>
      <c r="AS2005" s="164"/>
      <c r="AT2005" s="164"/>
      <c r="AU2005" s="164"/>
      <c r="AV2005" s="164"/>
      <c r="AW2005" s="164"/>
      <c r="AX2005" s="164"/>
      <c r="AY2005" s="164"/>
      <c r="AZ2005" s="164"/>
      <c r="BA2005" s="164"/>
      <c r="BB2005" s="164"/>
      <c r="BC2005" s="164"/>
      <c r="BD2005" s="164"/>
      <c r="BE2005" s="164"/>
      <c r="BF2005" s="164"/>
      <c r="BG2005" s="164"/>
      <c r="BH2005" s="164"/>
      <c r="BI2005" s="164"/>
      <c r="BJ2005" s="164"/>
      <c r="BK2005" s="164"/>
      <c r="BL2005" s="164"/>
      <c r="BM2005" s="164"/>
      <c r="BN2005" s="164"/>
      <c r="BO2005" s="164"/>
      <c r="BP2005" s="164"/>
      <c r="BQ2005" s="164"/>
      <c r="BR2005" s="164"/>
      <c r="BS2005" s="164"/>
      <c r="BT2005" s="164"/>
      <c r="BU2005" s="164"/>
      <c r="BV2005" s="164"/>
      <c r="BW2005" s="164"/>
      <c r="BX2005" s="164"/>
      <c r="BY2005" s="164"/>
    </row>
    <row r="2006" spans="1:77" s="6" customFormat="1" ht="11.25" customHeight="1">
      <c r="A2006" s="379"/>
      <c r="B2006" s="379" t="s">
        <v>291</v>
      </c>
      <c r="C2006" s="381"/>
      <c r="D2006" s="381"/>
      <c r="E2006" s="382" t="s">
        <v>1541</v>
      </c>
      <c r="F2006" s="379" t="s">
        <v>1542</v>
      </c>
      <c r="G2006" s="383" t="s">
        <v>1543</v>
      </c>
      <c r="H2006" s="379" t="s">
        <v>765</v>
      </c>
      <c r="I2006" s="379" t="s">
        <v>881</v>
      </c>
      <c r="J2006" s="385">
        <v>27676.14</v>
      </c>
      <c r="K2006" s="379"/>
      <c r="L2006" s="385">
        <v>19.829999999999998</v>
      </c>
      <c r="M2006" s="385">
        <v>19.829999999999998</v>
      </c>
      <c r="N2006" s="386">
        <f>2442.42+2162.59</f>
        <v>4605.01</v>
      </c>
      <c r="O2006" s="387">
        <v>0.15</v>
      </c>
      <c r="P2006" s="387"/>
      <c r="Q2006" s="386">
        <v>0</v>
      </c>
      <c r="R2006" s="379" t="s">
        <v>112</v>
      </c>
      <c r="S2006" s="388" t="s">
        <v>113</v>
      </c>
      <c r="T2006" s="388">
        <v>64</v>
      </c>
      <c r="U2006" s="389" t="s">
        <v>164</v>
      </c>
      <c r="V2006" s="433"/>
      <c r="W2006" s="379"/>
      <c r="X2006" s="433">
        <v>0</v>
      </c>
      <c r="Y2006" s="386"/>
      <c r="Z2006" s="379"/>
      <c r="AA2006" s="379"/>
      <c r="AB2006" s="379"/>
      <c r="AC2006" s="379"/>
      <c r="AD2006" s="379"/>
      <c r="AE2006" s="379"/>
      <c r="AF2006" s="379"/>
      <c r="AG2006" s="379"/>
      <c r="AH2006" s="379"/>
      <c r="AI2006" s="394"/>
      <c r="AJ2006" s="390">
        <v>0</v>
      </c>
      <c r="AK2006" s="394"/>
      <c r="AL2006" s="394"/>
      <c r="AM2006" s="394"/>
      <c r="AN2006" s="394"/>
      <c r="AO2006" s="394"/>
      <c r="AP2006" s="394"/>
      <c r="AQ2006" s="394"/>
      <c r="AR2006" s="394"/>
      <c r="AS2006" s="394"/>
      <c r="AT2006" s="394"/>
      <c r="AU2006" s="394"/>
      <c r="AV2006" s="394"/>
      <c r="AW2006" s="394"/>
      <c r="AX2006" s="394"/>
      <c r="AY2006" s="394"/>
      <c r="AZ2006" s="394"/>
      <c r="BA2006" s="394"/>
      <c r="BB2006" s="394"/>
      <c r="BC2006" s="394"/>
      <c r="BD2006" s="394"/>
      <c r="BE2006" s="394"/>
      <c r="BF2006" s="394"/>
      <c r="BG2006" s="394"/>
      <c r="BH2006" s="394"/>
      <c r="BI2006" s="394"/>
      <c r="BJ2006" s="394"/>
      <c r="BK2006" s="394"/>
      <c r="BL2006" s="394"/>
      <c r="BM2006" s="394"/>
      <c r="BN2006" s="394"/>
      <c r="BO2006" s="394"/>
      <c r="BP2006" s="394"/>
      <c r="BQ2006" s="394"/>
      <c r="BR2006" s="394"/>
      <c r="BS2006" s="394"/>
      <c r="BT2006" s="394"/>
      <c r="BU2006" s="394"/>
      <c r="BV2006" s="394"/>
      <c r="BW2006" s="394"/>
      <c r="BX2006" s="394"/>
      <c r="BY2006" s="394"/>
    </row>
    <row r="2007" spans="1:77" s="261" customFormat="1" ht="11.25" customHeight="1">
      <c r="B2007" s="261" t="s">
        <v>291</v>
      </c>
      <c r="C2007" s="259">
        <v>44714</v>
      </c>
      <c r="D2007" s="259">
        <v>44714</v>
      </c>
      <c r="E2007" s="260" t="s">
        <v>1544</v>
      </c>
      <c r="F2007" s="261" t="s">
        <v>413</v>
      </c>
      <c r="G2007" s="262">
        <v>3645</v>
      </c>
      <c r="H2007" s="261" t="s">
        <v>99</v>
      </c>
      <c r="I2007" s="261" t="s">
        <v>33</v>
      </c>
      <c r="J2007" s="263">
        <v>77355.649999999994</v>
      </c>
      <c r="L2007" s="263">
        <v>56.53</v>
      </c>
      <c r="M2007" s="263">
        <v>56.53</v>
      </c>
      <c r="N2007" s="265"/>
      <c r="O2007" s="266">
        <v>0.2</v>
      </c>
      <c r="P2007" s="266"/>
      <c r="Q2007" s="265">
        <v>0</v>
      </c>
      <c r="R2007" s="261" t="s">
        <v>42</v>
      </c>
      <c r="S2007" s="267" t="s">
        <v>41</v>
      </c>
      <c r="T2007" s="267">
        <v>16</v>
      </c>
      <c r="U2007" s="268" t="s">
        <v>164</v>
      </c>
      <c r="V2007" s="427"/>
      <c r="X2007" s="265">
        <v>0</v>
      </c>
      <c r="Y2007" s="265"/>
      <c r="AG2007" s="261">
        <f>X2007</f>
        <v>0</v>
      </c>
      <c r="AI2007" s="273"/>
      <c r="AJ2007" s="642"/>
      <c r="AK2007" s="273"/>
      <c r="AL2007" s="273"/>
      <c r="AM2007" s="273"/>
      <c r="AN2007" s="273"/>
      <c r="AO2007" s="273"/>
      <c r="AP2007" s="273"/>
      <c r="AQ2007" s="273"/>
      <c r="AR2007" s="273"/>
      <c r="AS2007" s="273"/>
      <c r="AT2007" s="273"/>
      <c r="AU2007" s="273"/>
      <c r="AV2007" s="273"/>
      <c r="AW2007" s="273"/>
      <c r="AX2007" s="273"/>
      <c r="AY2007" s="273"/>
      <c r="AZ2007" s="273"/>
      <c r="BA2007" s="273"/>
      <c r="BB2007" s="273"/>
      <c r="BC2007" s="273"/>
      <c r="BD2007" s="273"/>
      <c r="BE2007" s="273"/>
      <c r="BF2007" s="273"/>
      <c r="BG2007" s="273"/>
      <c r="BH2007" s="273"/>
      <c r="BI2007" s="273"/>
      <c r="BJ2007" s="273"/>
      <c r="BK2007" s="273"/>
      <c r="BL2007" s="273"/>
      <c r="BM2007" s="273"/>
      <c r="BN2007" s="273"/>
      <c r="BO2007" s="273"/>
      <c r="BP2007" s="273"/>
      <c r="BQ2007" s="273"/>
      <c r="BR2007" s="273"/>
      <c r="BS2007" s="273"/>
      <c r="BT2007" s="273"/>
      <c r="BU2007" s="273"/>
      <c r="BV2007" s="273"/>
      <c r="BW2007" s="273"/>
      <c r="BX2007" s="273"/>
      <c r="BY2007" s="273"/>
    </row>
    <row r="2008" spans="1:77" s="261" customFormat="1" ht="11.25" customHeight="1">
      <c r="B2008" s="261" t="s">
        <v>291</v>
      </c>
      <c r="C2008" s="259"/>
      <c r="D2008" s="259"/>
      <c r="E2008" s="260" t="s">
        <v>1544</v>
      </c>
      <c r="F2008" s="261" t="s">
        <v>413</v>
      </c>
      <c r="G2008" s="262">
        <v>3645</v>
      </c>
      <c r="H2008" s="261" t="s">
        <v>27</v>
      </c>
      <c r="I2008" s="261" t="s">
        <v>33</v>
      </c>
      <c r="J2008" s="263">
        <v>25531.11</v>
      </c>
      <c r="L2008" s="263">
        <v>20.350000000000001</v>
      </c>
      <c r="M2008" s="263">
        <v>20.350000000000001</v>
      </c>
      <c r="N2008" s="265">
        <f>7527.6</f>
        <v>7527.6</v>
      </c>
      <c r="O2008" s="266">
        <v>0.2</v>
      </c>
      <c r="P2008" s="266"/>
      <c r="Q2008" s="265">
        <v>0</v>
      </c>
      <c r="R2008" s="261" t="s">
        <v>42</v>
      </c>
      <c r="S2008" s="267" t="s">
        <v>41</v>
      </c>
      <c r="T2008" s="267">
        <v>16</v>
      </c>
      <c r="U2008" s="268" t="s">
        <v>164</v>
      </c>
      <c r="V2008" s="427"/>
      <c r="X2008" s="265">
        <v>0</v>
      </c>
      <c r="Y2008" s="265"/>
      <c r="AG2008" s="261">
        <f>X2008</f>
        <v>0</v>
      </c>
      <c r="AI2008" s="273"/>
      <c r="AJ2008" s="642"/>
      <c r="AK2008" s="273"/>
      <c r="AL2008" s="273"/>
      <c r="AM2008" s="273"/>
      <c r="AN2008" s="273"/>
      <c r="AO2008" s="273"/>
      <c r="AP2008" s="273"/>
      <c r="AQ2008" s="273"/>
      <c r="AR2008" s="273"/>
      <c r="AS2008" s="273"/>
      <c r="AT2008" s="273"/>
      <c r="AU2008" s="273"/>
      <c r="AV2008" s="273"/>
      <c r="AW2008" s="273"/>
      <c r="AX2008" s="273"/>
      <c r="AY2008" s="273"/>
      <c r="AZ2008" s="273"/>
      <c r="BA2008" s="273"/>
      <c r="BB2008" s="273"/>
      <c r="BC2008" s="273"/>
      <c r="BD2008" s="273"/>
      <c r="BE2008" s="273"/>
      <c r="BF2008" s="273"/>
      <c r="BG2008" s="273"/>
      <c r="BH2008" s="273"/>
      <c r="BI2008" s="273"/>
      <c r="BJ2008" s="273"/>
      <c r="BK2008" s="273"/>
      <c r="BL2008" s="273"/>
      <c r="BM2008" s="273"/>
      <c r="BN2008" s="273"/>
      <c r="BO2008" s="273"/>
      <c r="BP2008" s="273"/>
      <c r="BQ2008" s="273"/>
      <c r="BR2008" s="273"/>
      <c r="BS2008" s="273"/>
      <c r="BT2008" s="273"/>
      <c r="BU2008" s="273"/>
      <c r="BV2008" s="273"/>
      <c r="BW2008" s="273"/>
      <c r="BX2008" s="273"/>
      <c r="BY2008" s="273"/>
    </row>
    <row r="2009" spans="1:77" s="261" customFormat="1" ht="11.25" customHeight="1">
      <c r="B2009" s="261" t="s">
        <v>291</v>
      </c>
      <c r="C2009" s="259"/>
      <c r="D2009" s="259"/>
      <c r="E2009" s="260" t="s">
        <v>1544</v>
      </c>
      <c r="F2009" s="261" t="s">
        <v>413</v>
      </c>
      <c r="G2009" s="262">
        <v>3645</v>
      </c>
      <c r="H2009" s="261" t="s">
        <v>866</v>
      </c>
      <c r="I2009" s="261" t="s">
        <v>33</v>
      </c>
      <c r="J2009" s="263">
        <v>35992.44</v>
      </c>
      <c r="L2009" s="263">
        <v>26.82</v>
      </c>
      <c r="M2009" s="263">
        <v>26.82</v>
      </c>
      <c r="N2009" s="265"/>
      <c r="O2009" s="266">
        <v>0.2</v>
      </c>
      <c r="P2009" s="266"/>
      <c r="Q2009" s="265">
        <v>0</v>
      </c>
      <c r="R2009" s="261" t="s">
        <v>42</v>
      </c>
      <c r="S2009" s="267" t="s">
        <v>41</v>
      </c>
      <c r="T2009" s="267">
        <v>16</v>
      </c>
      <c r="U2009" s="268" t="s">
        <v>164</v>
      </c>
      <c r="V2009" s="427"/>
      <c r="W2009" s="261" t="s">
        <v>3522</v>
      </c>
      <c r="X2009" s="265">
        <v>0</v>
      </c>
      <c r="Y2009" s="265"/>
      <c r="AG2009" s="261">
        <f>X2009</f>
        <v>0</v>
      </c>
      <c r="AI2009" s="273"/>
      <c r="AJ2009" s="642"/>
      <c r="AK2009" s="273"/>
      <c r="AL2009" s="273"/>
      <c r="AM2009" s="273"/>
      <c r="AN2009" s="273"/>
      <c r="AO2009" s="273"/>
      <c r="AP2009" s="273"/>
      <c r="AQ2009" s="273"/>
      <c r="AR2009" s="273"/>
      <c r="AS2009" s="273"/>
      <c r="AT2009" s="273"/>
      <c r="AU2009" s="273"/>
      <c r="AV2009" s="273"/>
      <c r="AW2009" s="273"/>
      <c r="AX2009" s="273"/>
      <c r="AY2009" s="273"/>
      <c r="AZ2009" s="273"/>
      <c r="BA2009" s="273"/>
      <c r="BB2009" s="273"/>
      <c r="BC2009" s="273"/>
      <c r="BD2009" s="273"/>
      <c r="BE2009" s="273"/>
      <c r="BF2009" s="273"/>
      <c r="BG2009" s="273"/>
      <c r="BH2009" s="273"/>
      <c r="BI2009" s="273"/>
      <c r="BJ2009" s="273"/>
      <c r="BK2009" s="273"/>
      <c r="BL2009" s="273"/>
      <c r="BM2009" s="273"/>
      <c r="BN2009" s="273"/>
      <c r="BO2009" s="273"/>
      <c r="BP2009" s="273"/>
      <c r="BQ2009" s="273"/>
      <c r="BR2009" s="273"/>
      <c r="BS2009" s="273"/>
      <c r="BT2009" s="273"/>
      <c r="BU2009" s="273"/>
      <c r="BV2009" s="273"/>
      <c r="BW2009" s="273"/>
      <c r="BX2009" s="273"/>
      <c r="BY2009" s="273"/>
    </row>
    <row r="2010" spans="1:77" s="261" customFormat="1" ht="11.25" customHeight="1">
      <c r="B2010" s="261" t="s">
        <v>291</v>
      </c>
      <c r="C2010" s="259"/>
      <c r="D2010" s="259"/>
      <c r="E2010" s="260" t="s">
        <v>1544</v>
      </c>
      <c r="F2010" s="261" t="s">
        <v>413</v>
      </c>
      <c r="G2010" s="262">
        <v>3645</v>
      </c>
      <c r="H2010" s="261" t="s">
        <v>183</v>
      </c>
      <c r="I2010" s="261" t="s">
        <v>33</v>
      </c>
      <c r="J2010" s="263">
        <v>27384</v>
      </c>
      <c r="L2010" s="263">
        <v>26.08</v>
      </c>
      <c r="M2010" s="263">
        <v>26.08</v>
      </c>
      <c r="N2010" s="265"/>
      <c r="O2010" s="266">
        <v>0.2</v>
      </c>
      <c r="P2010" s="266"/>
      <c r="Q2010" s="265">
        <v>0</v>
      </c>
      <c r="R2010" s="261" t="s">
        <v>42</v>
      </c>
      <c r="S2010" s="267" t="s">
        <v>41</v>
      </c>
      <c r="T2010" s="267">
        <v>16</v>
      </c>
      <c r="U2010" s="268" t="s">
        <v>164</v>
      </c>
      <c r="V2010" s="427"/>
      <c r="X2010" s="265">
        <v>0</v>
      </c>
      <c r="Y2010" s="265"/>
      <c r="AG2010" s="261">
        <f>X2010</f>
        <v>0</v>
      </c>
      <c r="AI2010" s="273"/>
      <c r="AJ2010" s="642"/>
      <c r="AK2010" s="273"/>
      <c r="AL2010" s="273"/>
      <c r="AM2010" s="273"/>
      <c r="AN2010" s="273"/>
      <c r="AO2010" s="273"/>
      <c r="AP2010" s="273"/>
      <c r="AQ2010" s="273"/>
      <c r="AR2010" s="273"/>
      <c r="AS2010" s="273"/>
      <c r="AT2010" s="273"/>
      <c r="AU2010" s="273"/>
      <c r="AV2010" s="273"/>
      <c r="AW2010" s="273"/>
      <c r="AX2010" s="273"/>
      <c r="AY2010" s="273"/>
      <c r="AZ2010" s="273"/>
      <c r="BA2010" s="273"/>
      <c r="BB2010" s="273"/>
      <c r="BC2010" s="273"/>
      <c r="BD2010" s="273"/>
      <c r="BE2010" s="273"/>
      <c r="BF2010" s="273"/>
      <c r="BG2010" s="273"/>
      <c r="BH2010" s="273"/>
      <c r="BI2010" s="273"/>
      <c r="BJ2010" s="273"/>
      <c r="BK2010" s="273"/>
      <c r="BL2010" s="273"/>
      <c r="BM2010" s="273"/>
      <c r="BN2010" s="273"/>
      <c r="BO2010" s="273"/>
      <c r="BP2010" s="273"/>
      <c r="BQ2010" s="273"/>
      <c r="BR2010" s="273"/>
      <c r="BS2010" s="273"/>
      <c r="BT2010" s="273"/>
      <c r="BU2010" s="273"/>
      <c r="BV2010" s="273"/>
      <c r="BW2010" s="273"/>
      <c r="BX2010" s="273"/>
      <c r="BY2010" s="273"/>
    </row>
    <row r="2011" spans="1:77" s="181" customFormat="1" ht="11.25" customHeight="1">
      <c r="B2011" s="178" t="s">
        <v>291</v>
      </c>
      <c r="C2011" s="179">
        <v>44711</v>
      </c>
      <c r="D2011" s="179">
        <v>44714</v>
      </c>
      <c r="E2011" s="180" t="s">
        <v>1545</v>
      </c>
      <c r="F2011" s="181" t="s">
        <v>1083</v>
      </c>
      <c r="G2011" s="182" t="s">
        <v>1084</v>
      </c>
      <c r="H2011" s="181" t="s">
        <v>814</v>
      </c>
      <c r="I2011" s="181" t="s">
        <v>732</v>
      </c>
      <c r="J2011" s="183">
        <v>16083.9</v>
      </c>
      <c r="L2011" s="183">
        <v>12.5</v>
      </c>
      <c r="M2011" s="183">
        <v>11.1</v>
      </c>
      <c r="N2011" s="185">
        <f>2412.59</f>
        <v>2412.59</v>
      </c>
      <c r="O2011" s="186">
        <v>0.2</v>
      </c>
      <c r="P2011" s="186"/>
      <c r="Q2011" s="185">
        <v>2408.6999999999998</v>
      </c>
      <c r="R2011" s="181" t="s">
        <v>112</v>
      </c>
      <c r="S2011" s="187" t="s">
        <v>65</v>
      </c>
      <c r="T2011" s="187">
        <v>64</v>
      </c>
      <c r="U2011" s="188" t="s">
        <v>164</v>
      </c>
      <c r="V2011" s="456">
        <v>2408.6999999999998</v>
      </c>
      <c r="X2011" s="185">
        <v>2408.6999999999998</v>
      </c>
      <c r="Y2011" s="185"/>
      <c r="AE2011" s="204">
        <f>X2011</f>
        <v>2408.6999999999998</v>
      </c>
      <c r="AI2011" s="184"/>
      <c r="AJ2011" s="189"/>
      <c r="AK2011" s="184"/>
      <c r="AL2011" s="184"/>
      <c r="AM2011" s="184"/>
      <c r="AN2011" s="184"/>
      <c r="AO2011" s="184"/>
      <c r="AP2011" s="184"/>
      <c r="AQ2011" s="184"/>
      <c r="AR2011" s="184"/>
      <c r="AS2011" s="184"/>
      <c r="AT2011" s="184"/>
      <c r="AU2011" s="184"/>
      <c r="AV2011" s="184"/>
      <c r="AW2011" s="184"/>
      <c r="AX2011" s="184"/>
      <c r="AY2011" s="184"/>
      <c r="AZ2011" s="184"/>
      <c r="BA2011" s="184"/>
      <c r="BB2011" s="184"/>
      <c r="BC2011" s="184"/>
      <c r="BD2011" s="184"/>
      <c r="BE2011" s="184"/>
      <c r="BF2011" s="184"/>
      <c r="BG2011" s="184"/>
      <c r="BH2011" s="184"/>
      <c r="BI2011" s="184"/>
      <c r="BJ2011" s="184"/>
      <c r="BK2011" s="184"/>
      <c r="BL2011" s="184"/>
      <c r="BM2011" s="184"/>
      <c r="BN2011" s="184"/>
      <c r="BO2011" s="184"/>
      <c r="BP2011" s="184"/>
      <c r="BQ2011" s="184"/>
      <c r="BR2011" s="184"/>
      <c r="BS2011" s="184"/>
      <c r="BT2011" s="184"/>
      <c r="BU2011" s="184"/>
      <c r="BV2011" s="184"/>
      <c r="BW2011" s="184"/>
      <c r="BX2011" s="184"/>
      <c r="BY2011" s="184"/>
    </row>
    <row r="2012" spans="1:77" s="291" customFormat="1" ht="11.25" customHeight="1">
      <c r="B2012" s="310" t="s">
        <v>291</v>
      </c>
      <c r="C2012" s="292">
        <v>44712</v>
      </c>
      <c r="D2012" s="292">
        <v>44714</v>
      </c>
      <c r="E2012" s="293" t="s">
        <v>1546</v>
      </c>
      <c r="F2012" s="291" t="s">
        <v>755</v>
      </c>
      <c r="G2012" s="294" t="s">
        <v>756</v>
      </c>
      <c r="H2012" s="291" t="s">
        <v>140</v>
      </c>
      <c r="I2012" s="291" t="s">
        <v>1547</v>
      </c>
      <c r="J2012" s="296">
        <v>25792.5</v>
      </c>
      <c r="L2012" s="296">
        <v>19</v>
      </c>
      <c r="M2012" s="296">
        <v>19</v>
      </c>
      <c r="N2012" s="297"/>
      <c r="O2012" s="298">
        <v>0.25</v>
      </c>
      <c r="P2012" s="298"/>
      <c r="Q2012" s="297">
        <v>0</v>
      </c>
      <c r="R2012" s="291" t="s">
        <v>42</v>
      </c>
      <c r="S2012" s="299" t="s">
        <v>41</v>
      </c>
      <c r="T2012" s="299">
        <v>16</v>
      </c>
      <c r="U2012" s="300" t="s">
        <v>164</v>
      </c>
      <c r="V2012" s="333"/>
      <c r="X2012" s="297">
        <v>0</v>
      </c>
      <c r="Y2012" s="297"/>
      <c r="AH2012" s="291">
        <f>X2012</f>
        <v>0</v>
      </c>
      <c r="AI2012" s="311"/>
      <c r="AJ2012" s="468"/>
      <c r="AK2012" s="303"/>
      <c r="AL2012" s="303"/>
      <c r="AM2012" s="303"/>
      <c r="AN2012" s="303"/>
      <c r="AO2012" s="303"/>
      <c r="AP2012" s="303"/>
      <c r="AQ2012" s="303"/>
      <c r="AR2012" s="303"/>
      <c r="AS2012" s="303"/>
      <c r="AT2012" s="303"/>
      <c r="AU2012" s="303"/>
      <c r="AV2012" s="303"/>
      <c r="AW2012" s="303"/>
      <c r="AX2012" s="303"/>
      <c r="AY2012" s="303"/>
      <c r="AZ2012" s="303"/>
      <c r="BA2012" s="303"/>
      <c r="BB2012" s="303"/>
      <c r="BC2012" s="303"/>
      <c r="BD2012" s="303"/>
      <c r="BE2012" s="303"/>
      <c r="BF2012" s="303"/>
      <c r="BG2012" s="303"/>
      <c r="BH2012" s="303"/>
      <c r="BI2012" s="303"/>
      <c r="BJ2012" s="303"/>
      <c r="BK2012" s="303"/>
      <c r="BL2012" s="303"/>
      <c r="BM2012" s="303"/>
      <c r="BN2012" s="303"/>
      <c r="BO2012" s="303"/>
      <c r="BP2012" s="303"/>
      <c r="BQ2012" s="303"/>
      <c r="BR2012" s="303"/>
      <c r="BS2012" s="303"/>
      <c r="BT2012" s="303"/>
      <c r="BU2012" s="303"/>
      <c r="BV2012" s="303"/>
      <c r="BW2012" s="303"/>
      <c r="BX2012" s="303"/>
      <c r="BY2012" s="303"/>
    </row>
    <row r="2013" spans="1:77" s="291" customFormat="1" ht="11.25" customHeight="1">
      <c r="B2013" s="310" t="s">
        <v>291</v>
      </c>
      <c r="C2013" s="292"/>
      <c r="D2013" s="292"/>
      <c r="E2013" s="293" t="s">
        <v>1546</v>
      </c>
      <c r="F2013" s="291" t="s">
        <v>755</v>
      </c>
      <c r="G2013" s="294" t="s">
        <v>756</v>
      </c>
      <c r="H2013" s="291" t="s">
        <v>138</v>
      </c>
      <c r="I2013" s="291" t="s">
        <v>1547</v>
      </c>
      <c r="J2013" s="296">
        <v>9720</v>
      </c>
      <c r="L2013" s="296">
        <v>9</v>
      </c>
      <c r="M2013" s="296">
        <v>9</v>
      </c>
      <c r="N2013" s="297"/>
      <c r="O2013" s="298">
        <v>0.25</v>
      </c>
      <c r="P2013" s="298"/>
      <c r="Q2013" s="297">
        <v>0</v>
      </c>
      <c r="R2013" s="291" t="s">
        <v>42</v>
      </c>
      <c r="S2013" s="299" t="s">
        <v>41</v>
      </c>
      <c r="T2013" s="299">
        <v>16</v>
      </c>
      <c r="U2013" s="300" t="s">
        <v>164</v>
      </c>
      <c r="V2013" s="333"/>
      <c r="X2013" s="297">
        <v>0</v>
      </c>
      <c r="Y2013" s="297"/>
      <c r="AH2013" s="291">
        <f>X2013</f>
        <v>0</v>
      </c>
      <c r="AI2013" s="311"/>
      <c r="AJ2013" s="468"/>
      <c r="AK2013" s="303"/>
      <c r="AL2013" s="303"/>
      <c r="AM2013" s="303"/>
      <c r="AN2013" s="303"/>
      <c r="AO2013" s="303"/>
      <c r="AP2013" s="303"/>
      <c r="AQ2013" s="303"/>
      <c r="AR2013" s="303"/>
      <c r="AS2013" s="303"/>
      <c r="AT2013" s="303"/>
      <c r="AU2013" s="303"/>
      <c r="AV2013" s="303"/>
      <c r="AW2013" s="303"/>
      <c r="AX2013" s="303"/>
      <c r="AY2013" s="303"/>
      <c r="AZ2013" s="303"/>
      <c r="BA2013" s="303"/>
      <c r="BB2013" s="303"/>
      <c r="BC2013" s="303"/>
      <c r="BD2013" s="303"/>
      <c r="BE2013" s="303"/>
      <c r="BF2013" s="303"/>
      <c r="BG2013" s="303"/>
      <c r="BH2013" s="303"/>
      <c r="BI2013" s="303"/>
      <c r="BJ2013" s="303"/>
      <c r="BK2013" s="303"/>
      <c r="BL2013" s="303"/>
      <c r="BM2013" s="303"/>
      <c r="BN2013" s="303"/>
      <c r="BO2013" s="303"/>
      <c r="BP2013" s="303"/>
      <c r="BQ2013" s="303"/>
      <c r="BR2013" s="303"/>
      <c r="BS2013" s="303"/>
      <c r="BT2013" s="303"/>
      <c r="BU2013" s="303"/>
      <c r="BV2013" s="303"/>
      <c r="BW2013" s="303"/>
      <c r="BX2013" s="303"/>
      <c r="BY2013" s="303"/>
    </row>
    <row r="2014" spans="1:77" s="291" customFormat="1" ht="11.25" customHeight="1">
      <c r="B2014" s="310" t="s">
        <v>291</v>
      </c>
      <c r="C2014" s="292"/>
      <c r="D2014" s="292"/>
      <c r="E2014" s="293" t="s">
        <v>1546</v>
      </c>
      <c r="F2014" s="291" t="s">
        <v>755</v>
      </c>
      <c r="G2014" s="294" t="s">
        <v>756</v>
      </c>
      <c r="H2014" s="291" t="s">
        <v>99</v>
      </c>
      <c r="I2014" s="291" t="s">
        <v>1547</v>
      </c>
      <c r="J2014" s="296">
        <v>31333.5</v>
      </c>
      <c r="L2014" s="296">
        <v>30</v>
      </c>
      <c r="M2014" s="296">
        <v>30</v>
      </c>
      <c r="N2014" s="297"/>
      <c r="O2014" s="298">
        <v>0.25</v>
      </c>
      <c r="P2014" s="298"/>
      <c r="Q2014" s="297">
        <v>0</v>
      </c>
      <c r="R2014" s="291" t="s">
        <v>42</v>
      </c>
      <c r="S2014" s="299" t="s">
        <v>41</v>
      </c>
      <c r="T2014" s="299">
        <v>16</v>
      </c>
      <c r="U2014" s="300" t="s">
        <v>164</v>
      </c>
      <c r="V2014" s="333"/>
      <c r="X2014" s="297">
        <v>0</v>
      </c>
      <c r="Y2014" s="297"/>
      <c r="AH2014" s="291">
        <f>X2014</f>
        <v>0</v>
      </c>
      <c r="AI2014" s="311"/>
      <c r="AJ2014" s="468"/>
      <c r="AK2014" s="303"/>
      <c r="AL2014" s="303"/>
      <c r="AM2014" s="303"/>
      <c r="AN2014" s="303"/>
      <c r="AO2014" s="303"/>
      <c r="AP2014" s="303"/>
      <c r="AQ2014" s="303"/>
      <c r="AR2014" s="303"/>
      <c r="AS2014" s="303"/>
      <c r="AT2014" s="303"/>
      <c r="AU2014" s="303"/>
      <c r="AV2014" s="303"/>
      <c r="AW2014" s="303"/>
      <c r="AX2014" s="303"/>
      <c r="AY2014" s="303"/>
      <c r="AZ2014" s="303"/>
      <c r="BA2014" s="303"/>
      <c r="BB2014" s="303"/>
      <c r="BC2014" s="303"/>
      <c r="BD2014" s="303"/>
      <c r="BE2014" s="303"/>
      <c r="BF2014" s="303"/>
      <c r="BG2014" s="303"/>
      <c r="BH2014" s="303"/>
      <c r="BI2014" s="303"/>
      <c r="BJ2014" s="303"/>
      <c r="BK2014" s="303"/>
      <c r="BL2014" s="303"/>
      <c r="BM2014" s="303"/>
      <c r="BN2014" s="303"/>
      <c r="BO2014" s="303"/>
      <c r="BP2014" s="303"/>
      <c r="BQ2014" s="303"/>
      <c r="BR2014" s="303"/>
      <c r="BS2014" s="303"/>
      <c r="BT2014" s="303"/>
      <c r="BU2014" s="303"/>
      <c r="BV2014" s="303"/>
      <c r="BW2014" s="303"/>
      <c r="BX2014" s="303"/>
      <c r="BY2014" s="303"/>
    </row>
    <row r="2015" spans="1:77" s="291" customFormat="1" ht="11.25" customHeight="1">
      <c r="B2015" s="310" t="s">
        <v>291</v>
      </c>
      <c r="C2015" s="292"/>
      <c r="D2015" s="292"/>
      <c r="E2015" s="293" t="s">
        <v>1546</v>
      </c>
      <c r="F2015" s="291" t="s">
        <v>755</v>
      </c>
      <c r="G2015" s="294" t="s">
        <v>756</v>
      </c>
      <c r="H2015" s="291" t="s">
        <v>27</v>
      </c>
      <c r="I2015" s="291" t="s">
        <v>1547</v>
      </c>
      <c r="J2015" s="296">
        <v>11200</v>
      </c>
      <c r="L2015" s="296">
        <v>10</v>
      </c>
      <c r="M2015" s="296">
        <v>10</v>
      </c>
      <c r="N2015" s="297"/>
      <c r="O2015" s="298">
        <v>0.25</v>
      </c>
      <c r="P2015" s="298"/>
      <c r="Q2015" s="297">
        <v>0</v>
      </c>
      <c r="R2015" s="291" t="s">
        <v>42</v>
      </c>
      <c r="S2015" s="299" t="s">
        <v>41</v>
      </c>
      <c r="T2015" s="299">
        <v>16</v>
      </c>
      <c r="U2015" s="300" t="s">
        <v>164</v>
      </c>
      <c r="V2015" s="333"/>
      <c r="X2015" s="297">
        <v>0</v>
      </c>
      <c r="Y2015" s="297"/>
      <c r="AH2015" s="291">
        <f>X2015</f>
        <v>0</v>
      </c>
      <c r="AI2015" s="311"/>
      <c r="AJ2015" s="468"/>
      <c r="AK2015" s="303"/>
      <c r="AL2015" s="303"/>
      <c r="AM2015" s="303"/>
      <c r="AN2015" s="303"/>
      <c r="AO2015" s="303"/>
      <c r="AP2015" s="303"/>
      <c r="AQ2015" s="303"/>
      <c r="AR2015" s="303"/>
      <c r="AS2015" s="303"/>
      <c r="AT2015" s="303"/>
      <c r="AU2015" s="303"/>
      <c r="AV2015" s="303"/>
      <c r="AW2015" s="303"/>
      <c r="AX2015" s="303"/>
      <c r="AY2015" s="303"/>
      <c r="AZ2015" s="303"/>
      <c r="BA2015" s="303"/>
      <c r="BB2015" s="303"/>
      <c r="BC2015" s="303"/>
      <c r="BD2015" s="303"/>
      <c r="BE2015" s="303"/>
      <c r="BF2015" s="303"/>
      <c r="BG2015" s="303"/>
      <c r="BH2015" s="303"/>
      <c r="BI2015" s="303"/>
      <c r="BJ2015" s="303"/>
      <c r="BK2015" s="303"/>
      <c r="BL2015" s="303"/>
      <c r="BM2015" s="303"/>
      <c r="BN2015" s="303"/>
      <c r="BO2015" s="303"/>
      <c r="BP2015" s="303"/>
      <c r="BQ2015" s="303"/>
      <c r="BR2015" s="303"/>
      <c r="BS2015" s="303"/>
      <c r="BT2015" s="303"/>
      <c r="BU2015" s="303"/>
      <c r="BV2015" s="303"/>
      <c r="BW2015" s="303"/>
      <c r="BX2015" s="303"/>
      <c r="BY2015" s="303"/>
    </row>
    <row r="2016" spans="1:77" s="291" customFormat="1" ht="11.25" customHeight="1">
      <c r="A2016" s="291" t="s">
        <v>3893</v>
      </c>
      <c r="B2016" s="310" t="s">
        <v>291</v>
      </c>
      <c r="C2016" s="292"/>
      <c r="D2016" s="292"/>
      <c r="E2016" s="293" t="s">
        <v>1546</v>
      </c>
      <c r="F2016" s="291" t="s">
        <v>755</v>
      </c>
      <c r="G2016" s="294" t="s">
        <v>756</v>
      </c>
      <c r="H2016" s="291" t="s">
        <v>137</v>
      </c>
      <c r="I2016" s="291" t="s">
        <v>1547</v>
      </c>
      <c r="J2016" s="296">
        <v>9225.9</v>
      </c>
      <c r="L2016" s="296">
        <v>9</v>
      </c>
      <c r="M2016" s="296">
        <v>9</v>
      </c>
      <c r="N2016" s="297"/>
      <c r="O2016" s="298">
        <v>0.25</v>
      </c>
      <c r="P2016" s="298"/>
      <c r="Q2016" s="297">
        <v>822.22</v>
      </c>
      <c r="R2016" s="291" t="s">
        <v>42</v>
      </c>
      <c r="S2016" s="299" t="s">
        <v>41</v>
      </c>
      <c r="T2016" s="299">
        <v>16</v>
      </c>
      <c r="U2016" s="300" t="s">
        <v>164</v>
      </c>
      <c r="V2016" s="333"/>
      <c r="X2016" s="297">
        <v>822.22</v>
      </c>
      <c r="Y2016" s="297"/>
      <c r="AH2016" s="297">
        <f>X2016</f>
        <v>822.22</v>
      </c>
      <c r="AI2016" s="311"/>
      <c r="AJ2016" s="468"/>
      <c r="AK2016" s="303"/>
      <c r="AL2016" s="303"/>
      <c r="AM2016" s="303"/>
      <c r="AN2016" s="303"/>
      <c r="AO2016" s="303"/>
      <c r="AP2016" s="303"/>
      <c r="AQ2016" s="303"/>
      <c r="AR2016" s="303"/>
      <c r="AS2016" s="303"/>
      <c r="AT2016" s="303"/>
      <c r="AU2016" s="303"/>
      <c r="AV2016" s="303"/>
      <c r="AW2016" s="303"/>
      <c r="AX2016" s="303"/>
      <c r="AY2016" s="303"/>
      <c r="AZ2016" s="303"/>
      <c r="BA2016" s="303"/>
      <c r="BB2016" s="303"/>
      <c r="BC2016" s="303"/>
      <c r="BD2016" s="303"/>
      <c r="BE2016" s="303"/>
      <c r="BF2016" s="303"/>
      <c r="BG2016" s="303"/>
      <c r="BH2016" s="303"/>
      <c r="BI2016" s="303"/>
      <c r="BJ2016" s="303"/>
      <c r="BK2016" s="303"/>
      <c r="BL2016" s="303"/>
      <c r="BM2016" s="303"/>
      <c r="BN2016" s="303"/>
      <c r="BO2016" s="303"/>
      <c r="BP2016" s="303"/>
      <c r="BQ2016" s="303"/>
      <c r="BR2016" s="303"/>
      <c r="BS2016" s="303"/>
      <c r="BT2016" s="303"/>
      <c r="BU2016" s="303"/>
      <c r="BV2016" s="303"/>
      <c r="BW2016" s="303"/>
      <c r="BX2016" s="303"/>
      <c r="BY2016" s="303"/>
    </row>
    <row r="2017" spans="1:77" s="291" customFormat="1" ht="11.25" customHeight="1">
      <c r="A2017" s="379"/>
      <c r="B2017" s="380" t="s">
        <v>291</v>
      </c>
      <c r="C2017" s="381"/>
      <c r="D2017" s="381"/>
      <c r="E2017" s="382" t="s">
        <v>1546</v>
      </c>
      <c r="F2017" s="379" t="s">
        <v>755</v>
      </c>
      <c r="G2017" s="383" t="s">
        <v>756</v>
      </c>
      <c r="H2017" s="379" t="s">
        <v>866</v>
      </c>
      <c r="I2017" s="379" t="s">
        <v>1547</v>
      </c>
      <c r="J2017" s="385">
        <v>13576.25</v>
      </c>
      <c r="K2017" s="379"/>
      <c r="L2017" s="385">
        <v>12.5</v>
      </c>
      <c r="M2017" s="385">
        <v>12.5</v>
      </c>
      <c r="N2017" s="386"/>
      <c r="O2017" s="387">
        <v>0.25</v>
      </c>
      <c r="P2017" s="387"/>
      <c r="Q2017" s="386">
        <v>0</v>
      </c>
      <c r="R2017" s="379" t="s">
        <v>42</v>
      </c>
      <c r="S2017" s="388" t="s">
        <v>41</v>
      </c>
      <c r="T2017" s="388">
        <v>16</v>
      </c>
      <c r="U2017" s="389" t="s">
        <v>164</v>
      </c>
      <c r="V2017" s="433"/>
      <c r="W2017" s="379"/>
      <c r="X2017" s="386">
        <v>0</v>
      </c>
      <c r="Y2017" s="386"/>
      <c r="Z2017" s="379"/>
      <c r="AA2017" s="379"/>
      <c r="AB2017" s="379"/>
      <c r="AC2017" s="379"/>
      <c r="AD2017" s="379"/>
      <c r="AE2017" s="379"/>
      <c r="AF2017" s="379"/>
      <c r="AG2017" s="379"/>
      <c r="AH2017" s="379"/>
      <c r="AI2017" s="394"/>
      <c r="AJ2017" s="390">
        <v>0</v>
      </c>
      <c r="AK2017" s="394"/>
      <c r="AL2017" s="394"/>
      <c r="AM2017" s="394"/>
      <c r="AN2017" s="394"/>
      <c r="AO2017" s="394"/>
      <c r="AP2017" s="394"/>
      <c r="AQ2017" s="394"/>
      <c r="AR2017" s="394"/>
      <c r="AS2017" s="394"/>
      <c r="AT2017" s="394"/>
      <c r="AU2017" s="394"/>
      <c r="AV2017" s="394"/>
      <c r="AW2017" s="394"/>
      <c r="AX2017" s="394"/>
      <c r="AY2017" s="394"/>
      <c r="AZ2017" s="394"/>
      <c r="BA2017" s="394"/>
      <c r="BB2017" s="394"/>
      <c r="BC2017" s="394"/>
      <c r="BD2017" s="394"/>
      <c r="BE2017" s="394"/>
      <c r="BF2017" s="394"/>
      <c r="BG2017" s="394"/>
      <c r="BH2017" s="394"/>
      <c r="BI2017" s="394"/>
      <c r="BJ2017" s="394"/>
      <c r="BK2017" s="394"/>
      <c r="BL2017" s="394"/>
      <c r="BM2017" s="394"/>
      <c r="BN2017" s="394"/>
      <c r="BO2017" s="394"/>
      <c r="BP2017" s="394"/>
      <c r="BQ2017" s="394"/>
      <c r="BR2017" s="394"/>
      <c r="BS2017" s="394"/>
      <c r="BT2017" s="394"/>
      <c r="BU2017" s="394"/>
      <c r="BV2017" s="394"/>
      <c r="BW2017" s="394"/>
      <c r="BX2017" s="394"/>
      <c r="BY2017" s="394"/>
    </row>
    <row r="2018" spans="1:77" s="6" customFormat="1" ht="11.25" customHeight="1">
      <c r="A2018" s="379"/>
      <c r="B2018" s="380" t="s">
        <v>291</v>
      </c>
      <c r="C2018" s="381"/>
      <c r="D2018" s="381"/>
      <c r="E2018" s="382" t="s">
        <v>1546</v>
      </c>
      <c r="F2018" s="379" t="s">
        <v>755</v>
      </c>
      <c r="G2018" s="383" t="s">
        <v>756</v>
      </c>
      <c r="H2018" s="379" t="s">
        <v>765</v>
      </c>
      <c r="I2018" s="379" t="s">
        <v>1547</v>
      </c>
      <c r="J2018" s="385">
        <v>30972</v>
      </c>
      <c r="K2018" s="379"/>
      <c r="L2018" s="385">
        <v>29</v>
      </c>
      <c r="M2018" s="385">
        <v>29</v>
      </c>
      <c r="N2018" s="386"/>
      <c r="O2018" s="387">
        <v>0.25</v>
      </c>
      <c r="P2018" s="387"/>
      <c r="Q2018" s="386">
        <v>0</v>
      </c>
      <c r="R2018" s="379" t="s">
        <v>42</v>
      </c>
      <c r="S2018" s="388" t="s">
        <v>41</v>
      </c>
      <c r="T2018" s="388">
        <v>16</v>
      </c>
      <c r="U2018" s="389" t="s">
        <v>164</v>
      </c>
      <c r="V2018" s="433"/>
      <c r="W2018" s="379"/>
      <c r="X2018" s="386">
        <v>0</v>
      </c>
      <c r="Y2018" s="386"/>
      <c r="Z2018" s="379"/>
      <c r="AA2018" s="379"/>
      <c r="AB2018" s="379"/>
      <c r="AC2018" s="379"/>
      <c r="AD2018" s="379"/>
      <c r="AE2018" s="379"/>
      <c r="AF2018" s="379"/>
      <c r="AG2018" s="379"/>
      <c r="AH2018" s="379"/>
      <c r="AI2018" s="394"/>
      <c r="AJ2018" s="390">
        <v>0</v>
      </c>
      <c r="AK2018" s="394"/>
      <c r="AL2018" s="394"/>
      <c r="AM2018" s="394"/>
      <c r="AN2018" s="394"/>
      <c r="AO2018" s="394"/>
      <c r="AP2018" s="394"/>
      <c r="AQ2018" s="394"/>
      <c r="AR2018" s="394"/>
      <c r="AS2018" s="394"/>
      <c r="AT2018" s="394"/>
      <c r="AU2018" s="394"/>
      <c r="AV2018" s="394"/>
      <c r="AW2018" s="394"/>
      <c r="AX2018" s="394"/>
      <c r="AY2018" s="394"/>
      <c r="AZ2018" s="394"/>
      <c r="BA2018" s="394"/>
      <c r="BB2018" s="394"/>
      <c r="BC2018" s="394"/>
      <c r="BD2018" s="394"/>
      <c r="BE2018" s="394"/>
      <c r="BF2018" s="394"/>
      <c r="BG2018" s="394"/>
      <c r="BH2018" s="394"/>
      <c r="BI2018" s="394"/>
      <c r="BJ2018" s="394"/>
      <c r="BK2018" s="394"/>
      <c r="BL2018" s="394"/>
      <c r="BM2018" s="394"/>
      <c r="BN2018" s="394"/>
      <c r="BO2018" s="394"/>
      <c r="BP2018" s="394"/>
      <c r="BQ2018" s="394"/>
      <c r="BR2018" s="394"/>
      <c r="BS2018" s="394"/>
      <c r="BT2018" s="394"/>
      <c r="BU2018" s="394"/>
      <c r="BV2018" s="394"/>
      <c r="BW2018" s="394"/>
      <c r="BX2018" s="394"/>
      <c r="BY2018" s="394"/>
    </row>
    <row r="2019" spans="1:77" s="291" customFormat="1" ht="11.25" customHeight="1">
      <c r="B2019" s="291" t="s">
        <v>291</v>
      </c>
      <c r="C2019" s="292">
        <v>44713</v>
      </c>
      <c r="D2019" s="292">
        <v>44714</v>
      </c>
      <c r="E2019" s="293" t="s">
        <v>1548</v>
      </c>
      <c r="F2019" s="291" t="s">
        <v>305</v>
      </c>
      <c r="G2019" s="294">
        <v>3516</v>
      </c>
      <c r="H2019" s="291" t="s">
        <v>138</v>
      </c>
      <c r="I2019" s="291" t="s">
        <v>1549</v>
      </c>
      <c r="J2019" s="296">
        <v>6708.8</v>
      </c>
      <c r="L2019" s="296">
        <v>5</v>
      </c>
      <c r="M2019" s="296">
        <v>5</v>
      </c>
      <c r="N2019" s="297"/>
      <c r="O2019" s="298">
        <v>0.3</v>
      </c>
      <c r="P2019" s="298"/>
      <c r="Q2019" s="297">
        <v>0</v>
      </c>
      <c r="R2019" s="291" t="s">
        <v>35</v>
      </c>
      <c r="S2019" s="299" t="s">
        <v>34</v>
      </c>
      <c r="T2019" s="299">
        <v>79</v>
      </c>
      <c r="U2019" s="300" t="s">
        <v>164</v>
      </c>
      <c r="V2019" s="333"/>
      <c r="X2019" s="297">
        <v>0</v>
      </c>
      <c r="Y2019" s="297"/>
      <c r="AH2019" s="291">
        <f>X2019</f>
        <v>0</v>
      </c>
      <c r="AI2019" s="311"/>
      <c r="AJ2019" s="468"/>
      <c r="AK2019" s="303"/>
      <c r="AL2019" s="303"/>
      <c r="AM2019" s="303"/>
      <c r="AN2019" s="303"/>
      <c r="AO2019" s="303"/>
      <c r="AP2019" s="303"/>
      <c r="AQ2019" s="303"/>
      <c r="AR2019" s="303"/>
      <c r="AS2019" s="303"/>
      <c r="AT2019" s="303"/>
      <c r="AU2019" s="303"/>
      <c r="AV2019" s="303"/>
      <c r="AW2019" s="303"/>
      <c r="AX2019" s="303"/>
      <c r="AY2019" s="303"/>
      <c r="AZ2019" s="303"/>
      <c r="BA2019" s="303"/>
      <c r="BB2019" s="303"/>
      <c r="BC2019" s="303"/>
      <c r="BD2019" s="303"/>
      <c r="BE2019" s="303"/>
      <c r="BF2019" s="303"/>
      <c r="BG2019" s="303"/>
      <c r="BH2019" s="303"/>
      <c r="BI2019" s="303"/>
      <c r="BJ2019" s="303"/>
      <c r="BK2019" s="303"/>
      <c r="BL2019" s="303"/>
      <c r="BM2019" s="303"/>
      <c r="BN2019" s="303"/>
      <c r="BO2019" s="303"/>
      <c r="BP2019" s="303"/>
      <c r="BQ2019" s="303"/>
      <c r="BR2019" s="303"/>
      <c r="BS2019" s="303"/>
      <c r="BT2019" s="303"/>
      <c r="BU2019" s="303"/>
      <c r="BV2019" s="303"/>
      <c r="BW2019" s="303"/>
      <c r="BX2019" s="303"/>
      <c r="BY2019" s="303"/>
    </row>
    <row r="2020" spans="1:77" s="291" customFormat="1" ht="11.25" customHeight="1">
      <c r="B2020" s="291" t="s">
        <v>291</v>
      </c>
      <c r="C2020" s="292"/>
      <c r="D2020" s="292"/>
      <c r="E2020" s="293" t="s">
        <v>1548</v>
      </c>
      <c r="F2020" s="291" t="s">
        <v>305</v>
      </c>
      <c r="G2020" s="294">
        <v>3516</v>
      </c>
      <c r="H2020" s="291" t="s">
        <v>99</v>
      </c>
      <c r="I2020" s="291" t="s">
        <v>1549</v>
      </c>
      <c r="J2020" s="296">
        <v>64510.777999999998</v>
      </c>
      <c r="L2020" s="296">
        <v>42.87</v>
      </c>
      <c r="M2020" s="296">
        <v>42.85</v>
      </c>
      <c r="N2020" s="297"/>
      <c r="O2020" s="298">
        <v>0.3</v>
      </c>
      <c r="P2020" s="298"/>
      <c r="Q2020" s="297">
        <v>0</v>
      </c>
      <c r="R2020" s="291" t="s">
        <v>35</v>
      </c>
      <c r="S2020" s="299" t="s">
        <v>34</v>
      </c>
      <c r="T2020" s="299">
        <v>79</v>
      </c>
      <c r="U2020" s="300" t="s">
        <v>164</v>
      </c>
      <c r="V2020" s="333"/>
      <c r="X2020" s="297">
        <v>0</v>
      </c>
      <c r="Y2020" s="297"/>
      <c r="AH2020" s="291">
        <f>X2020</f>
        <v>0</v>
      </c>
      <c r="AI2020" s="311"/>
      <c r="AJ2020" s="468"/>
      <c r="AK2020" s="303"/>
      <c r="AL2020" s="303"/>
      <c r="AM2020" s="303"/>
      <c r="AN2020" s="303"/>
      <c r="AO2020" s="303"/>
      <c r="AP2020" s="303"/>
      <c r="AQ2020" s="303"/>
      <c r="AR2020" s="303"/>
      <c r="AS2020" s="303"/>
      <c r="AT2020" s="303"/>
      <c r="AU2020" s="303"/>
      <c r="AV2020" s="303"/>
      <c r="AW2020" s="303"/>
      <c r="AX2020" s="303"/>
      <c r="AY2020" s="303"/>
      <c r="AZ2020" s="303"/>
      <c r="BA2020" s="303"/>
      <c r="BB2020" s="303"/>
      <c r="BC2020" s="303"/>
      <c r="BD2020" s="303"/>
      <c r="BE2020" s="303"/>
      <c r="BF2020" s="303"/>
      <c r="BG2020" s="303"/>
      <c r="BH2020" s="303"/>
      <c r="BI2020" s="303"/>
      <c r="BJ2020" s="303"/>
      <c r="BK2020" s="303"/>
      <c r="BL2020" s="303"/>
      <c r="BM2020" s="303"/>
      <c r="BN2020" s="303"/>
      <c r="BO2020" s="303"/>
      <c r="BP2020" s="303"/>
      <c r="BQ2020" s="303"/>
      <c r="BR2020" s="303"/>
      <c r="BS2020" s="303"/>
      <c r="BT2020" s="303"/>
      <c r="BU2020" s="303"/>
      <c r="BV2020" s="303"/>
      <c r="BW2020" s="303"/>
      <c r="BX2020" s="303"/>
      <c r="BY2020" s="303"/>
    </row>
    <row r="2021" spans="1:77" s="291" customFormat="1" ht="11.25" customHeight="1">
      <c r="B2021" s="291" t="s">
        <v>291</v>
      </c>
      <c r="C2021" s="292"/>
      <c r="D2021" s="292"/>
      <c r="E2021" s="293" t="s">
        <v>1548</v>
      </c>
      <c r="F2021" s="291" t="s">
        <v>305</v>
      </c>
      <c r="G2021" s="294">
        <v>3516</v>
      </c>
      <c r="H2021" s="291" t="s">
        <v>898</v>
      </c>
      <c r="I2021" s="291" t="s">
        <v>1549</v>
      </c>
      <c r="J2021" s="296">
        <v>28587.19</v>
      </c>
      <c r="L2021" s="296">
        <v>24.85</v>
      </c>
      <c r="M2021" s="296">
        <v>24.85</v>
      </c>
      <c r="N2021" s="297"/>
      <c r="O2021" s="298">
        <v>0.3</v>
      </c>
      <c r="P2021" s="298"/>
      <c r="Q2021" s="297">
        <v>688</v>
      </c>
      <c r="R2021" s="291" t="s">
        <v>35</v>
      </c>
      <c r="S2021" s="299" t="s">
        <v>34</v>
      </c>
      <c r="T2021" s="299">
        <v>79</v>
      </c>
      <c r="U2021" s="300" t="s">
        <v>164</v>
      </c>
      <c r="V2021" s="333">
        <v>688</v>
      </c>
      <c r="X2021" s="297">
        <v>688</v>
      </c>
      <c r="Y2021" s="297"/>
      <c r="AH2021" s="291">
        <f>X2021</f>
        <v>688</v>
      </c>
      <c r="AI2021" s="311"/>
      <c r="AJ2021" s="468"/>
      <c r="AK2021" s="303"/>
      <c r="AL2021" s="303"/>
      <c r="AM2021" s="303"/>
      <c r="AN2021" s="303"/>
      <c r="AO2021" s="303"/>
      <c r="AP2021" s="303"/>
      <c r="AQ2021" s="303"/>
      <c r="AR2021" s="303"/>
      <c r="AS2021" s="303"/>
      <c r="AT2021" s="303"/>
      <c r="AU2021" s="303"/>
      <c r="AV2021" s="303"/>
      <c r="AW2021" s="303"/>
      <c r="AX2021" s="303"/>
      <c r="AY2021" s="303"/>
      <c r="AZ2021" s="303"/>
      <c r="BA2021" s="303"/>
      <c r="BB2021" s="303"/>
      <c r="BC2021" s="303"/>
      <c r="BD2021" s="303"/>
      <c r="BE2021" s="303"/>
      <c r="BF2021" s="303"/>
      <c r="BG2021" s="303"/>
      <c r="BH2021" s="303"/>
      <c r="BI2021" s="303"/>
      <c r="BJ2021" s="303"/>
      <c r="BK2021" s="303"/>
      <c r="BL2021" s="303"/>
      <c r="BM2021" s="303"/>
      <c r="BN2021" s="303"/>
      <c r="BO2021" s="303"/>
      <c r="BP2021" s="303"/>
      <c r="BQ2021" s="303"/>
      <c r="BR2021" s="303"/>
      <c r="BS2021" s="303"/>
      <c r="BT2021" s="303"/>
      <c r="BU2021" s="303"/>
      <c r="BV2021" s="303"/>
      <c r="BW2021" s="303"/>
      <c r="BX2021" s="303"/>
      <c r="BY2021" s="303"/>
    </row>
    <row r="2022" spans="1:77" s="379" customFormat="1" ht="11.25" customHeight="1">
      <c r="B2022" s="380" t="s">
        <v>291</v>
      </c>
      <c r="C2022" s="381">
        <v>44714</v>
      </c>
      <c r="D2022" s="381">
        <v>44714</v>
      </c>
      <c r="E2022" s="382" t="s">
        <v>1550</v>
      </c>
      <c r="F2022" s="379" t="s">
        <v>711</v>
      </c>
      <c r="G2022" s="383" t="s">
        <v>712</v>
      </c>
      <c r="H2022" s="379" t="s">
        <v>192</v>
      </c>
      <c r="I2022" s="379" t="s">
        <v>888</v>
      </c>
      <c r="J2022" s="385">
        <v>29436</v>
      </c>
      <c r="L2022" s="385">
        <v>33</v>
      </c>
      <c r="M2022" s="385">
        <v>33</v>
      </c>
      <c r="N2022" s="386"/>
      <c r="O2022" s="387">
        <v>0.25</v>
      </c>
      <c r="P2022" s="387"/>
      <c r="Q2022" s="386">
        <v>0</v>
      </c>
      <c r="R2022" s="379" t="s">
        <v>257</v>
      </c>
      <c r="S2022" s="388" t="s">
        <v>74</v>
      </c>
      <c r="T2022" s="388">
        <v>32</v>
      </c>
      <c r="U2022" s="389" t="s">
        <v>164</v>
      </c>
      <c r="V2022" s="433"/>
      <c r="X2022" s="386">
        <v>0</v>
      </c>
      <c r="Y2022" s="386"/>
      <c r="AI2022" s="394"/>
      <c r="AJ2022" s="390">
        <v>0</v>
      </c>
      <c r="AK2022" s="394"/>
      <c r="AL2022" s="394"/>
      <c r="AM2022" s="394"/>
      <c r="AN2022" s="394"/>
      <c r="AO2022" s="394"/>
      <c r="AP2022" s="394"/>
      <c r="AQ2022" s="394"/>
      <c r="AR2022" s="394"/>
      <c r="AS2022" s="394"/>
      <c r="AT2022" s="394"/>
      <c r="AU2022" s="394"/>
      <c r="AV2022" s="394"/>
      <c r="AW2022" s="394"/>
      <c r="AX2022" s="394"/>
      <c r="AY2022" s="394"/>
      <c r="AZ2022" s="394"/>
      <c r="BA2022" s="394"/>
      <c r="BB2022" s="394"/>
      <c r="BC2022" s="394"/>
      <c r="BD2022" s="394"/>
      <c r="BE2022" s="394"/>
      <c r="BF2022" s="394"/>
      <c r="BG2022" s="394"/>
      <c r="BH2022" s="394"/>
      <c r="BI2022" s="394"/>
      <c r="BJ2022" s="394"/>
      <c r="BK2022" s="394"/>
      <c r="BL2022" s="394"/>
      <c r="BM2022" s="394"/>
      <c r="BN2022" s="394"/>
      <c r="BO2022" s="394"/>
      <c r="BP2022" s="394"/>
      <c r="BQ2022" s="394"/>
      <c r="BR2022" s="394"/>
      <c r="BS2022" s="394"/>
      <c r="BT2022" s="394"/>
      <c r="BU2022" s="394"/>
      <c r="BV2022" s="394"/>
      <c r="BW2022" s="394"/>
      <c r="BX2022" s="394"/>
      <c r="BY2022" s="394"/>
    </row>
    <row r="2023" spans="1:77" s="379" customFormat="1" ht="11.25" customHeight="1">
      <c r="B2023" s="380" t="s">
        <v>291</v>
      </c>
      <c r="C2023" s="381"/>
      <c r="D2023" s="381"/>
      <c r="E2023" s="382" t="s">
        <v>1550</v>
      </c>
      <c r="F2023" s="379" t="s">
        <v>711</v>
      </c>
      <c r="G2023" s="383" t="s">
        <v>712</v>
      </c>
      <c r="H2023" s="379" t="s">
        <v>1138</v>
      </c>
      <c r="I2023" s="379" t="s">
        <v>888</v>
      </c>
      <c r="J2023" s="385">
        <v>23046</v>
      </c>
      <c r="L2023" s="385">
        <v>23</v>
      </c>
      <c r="M2023" s="385">
        <v>23</v>
      </c>
      <c r="N2023" s="386"/>
      <c r="O2023" s="387">
        <v>0.25</v>
      </c>
      <c r="P2023" s="387"/>
      <c r="Q2023" s="386">
        <v>11580</v>
      </c>
      <c r="R2023" s="379" t="s">
        <v>257</v>
      </c>
      <c r="S2023" s="388" t="s">
        <v>74</v>
      </c>
      <c r="T2023" s="388">
        <v>32</v>
      </c>
      <c r="U2023" s="389" t="s">
        <v>164</v>
      </c>
      <c r="V2023" s="433">
        <v>1150</v>
      </c>
      <c r="X2023" s="386">
        <v>11580</v>
      </c>
      <c r="Y2023" s="386"/>
      <c r="AI2023" s="394"/>
      <c r="AJ2023" s="416">
        <v>11580</v>
      </c>
      <c r="AK2023" s="394"/>
      <c r="AL2023" s="394"/>
      <c r="AM2023" s="394"/>
      <c r="AN2023" s="394"/>
      <c r="AO2023" s="394"/>
      <c r="AP2023" s="394"/>
      <c r="AQ2023" s="394"/>
      <c r="AR2023" s="394"/>
      <c r="AS2023" s="394"/>
      <c r="AT2023" s="394"/>
      <c r="AU2023" s="394"/>
      <c r="AV2023" s="394"/>
      <c r="AW2023" s="394"/>
      <c r="AX2023" s="394"/>
      <c r="AY2023" s="394"/>
      <c r="AZ2023" s="394"/>
      <c r="BA2023" s="394"/>
      <c r="BB2023" s="394"/>
      <c r="BC2023" s="394"/>
      <c r="BD2023" s="394"/>
      <c r="BE2023" s="394"/>
      <c r="BF2023" s="394"/>
      <c r="BG2023" s="394"/>
      <c r="BH2023" s="394"/>
      <c r="BI2023" s="394"/>
      <c r="BJ2023" s="394"/>
      <c r="BK2023" s="394"/>
      <c r="BL2023" s="394"/>
      <c r="BM2023" s="394"/>
      <c r="BN2023" s="394"/>
      <c r="BO2023" s="394"/>
      <c r="BP2023" s="394"/>
      <c r="BQ2023" s="394"/>
      <c r="BR2023" s="394"/>
      <c r="BS2023" s="394"/>
      <c r="BT2023" s="394"/>
      <c r="BU2023" s="394"/>
      <c r="BV2023" s="394"/>
      <c r="BW2023" s="394"/>
      <c r="BX2023" s="394"/>
      <c r="BY2023" s="394"/>
    </row>
    <row r="2024" spans="1:77" s="379" customFormat="1" ht="11.25" customHeight="1">
      <c r="B2024" s="380" t="s">
        <v>291</v>
      </c>
      <c r="C2024" s="381"/>
      <c r="D2024" s="381"/>
      <c r="E2024" s="382" t="s">
        <v>1550</v>
      </c>
      <c r="F2024" s="379" t="s">
        <v>711</v>
      </c>
      <c r="G2024" s="383" t="s">
        <v>712</v>
      </c>
      <c r="H2024" s="379" t="s">
        <v>1018</v>
      </c>
      <c r="I2024" s="379" t="s">
        <v>888</v>
      </c>
      <c r="J2024" s="385">
        <v>29340</v>
      </c>
      <c r="L2024" s="385">
        <v>30</v>
      </c>
      <c r="M2024" s="385">
        <v>30</v>
      </c>
      <c r="N2024" s="386"/>
      <c r="O2024" s="387">
        <v>0.25</v>
      </c>
      <c r="P2024" s="387"/>
      <c r="Q2024" s="386">
        <v>8505</v>
      </c>
      <c r="R2024" s="379" t="s">
        <v>257</v>
      </c>
      <c r="S2024" s="388" t="s">
        <v>74</v>
      </c>
      <c r="T2024" s="388">
        <v>32</v>
      </c>
      <c r="U2024" s="389" t="s">
        <v>164</v>
      </c>
      <c r="V2024" s="433"/>
      <c r="X2024" s="386">
        <v>8505</v>
      </c>
      <c r="Y2024" s="386"/>
      <c r="AI2024" s="394"/>
      <c r="AJ2024" s="416">
        <v>8505</v>
      </c>
      <c r="AK2024" s="394"/>
      <c r="AL2024" s="394"/>
      <c r="AM2024" s="394"/>
      <c r="AN2024" s="394"/>
      <c r="AO2024" s="394"/>
      <c r="AP2024" s="394"/>
      <c r="AQ2024" s="394"/>
      <c r="AR2024" s="394"/>
      <c r="AS2024" s="394"/>
      <c r="AT2024" s="394"/>
      <c r="AU2024" s="394"/>
      <c r="AV2024" s="394"/>
      <c r="AW2024" s="394"/>
      <c r="AX2024" s="394"/>
      <c r="AY2024" s="394"/>
      <c r="AZ2024" s="394"/>
      <c r="BA2024" s="394"/>
      <c r="BB2024" s="394"/>
      <c r="BC2024" s="394"/>
      <c r="BD2024" s="394"/>
      <c r="BE2024" s="394"/>
      <c r="BF2024" s="394"/>
      <c r="BG2024" s="394"/>
      <c r="BH2024" s="394"/>
      <c r="BI2024" s="394"/>
      <c r="BJ2024" s="394"/>
      <c r="BK2024" s="394"/>
      <c r="BL2024" s="394"/>
      <c r="BM2024" s="394"/>
      <c r="BN2024" s="394"/>
      <c r="BO2024" s="394"/>
      <c r="BP2024" s="394"/>
      <c r="BQ2024" s="394"/>
      <c r="BR2024" s="394"/>
      <c r="BS2024" s="394"/>
      <c r="BT2024" s="394"/>
      <c r="BU2024" s="394"/>
      <c r="BV2024" s="394"/>
      <c r="BW2024" s="394"/>
      <c r="BX2024" s="394"/>
      <c r="BY2024" s="394"/>
    </row>
    <row r="2025" spans="1:77" s="261" customFormat="1" ht="11.25" customHeight="1">
      <c r="B2025" s="258" t="s">
        <v>291</v>
      </c>
      <c r="C2025" s="259">
        <v>44704</v>
      </c>
      <c r="D2025" s="259">
        <v>44714</v>
      </c>
      <c r="E2025" s="260" t="s">
        <v>1551</v>
      </c>
      <c r="F2025" s="261" t="s">
        <v>593</v>
      </c>
      <c r="G2025" s="262">
        <v>3917</v>
      </c>
      <c r="H2025" s="261" t="s">
        <v>138</v>
      </c>
      <c r="I2025" s="261" t="s">
        <v>33</v>
      </c>
      <c r="J2025" s="263">
        <v>14065.26</v>
      </c>
      <c r="L2025" s="263">
        <v>10.1</v>
      </c>
      <c r="M2025" s="263">
        <v>10.1</v>
      </c>
      <c r="N2025" s="265">
        <v>2813</v>
      </c>
      <c r="O2025" s="266">
        <v>0.15</v>
      </c>
      <c r="P2025" s="266"/>
      <c r="Q2025" s="265">
        <v>3511.87</v>
      </c>
      <c r="R2025" s="261" t="s">
        <v>146</v>
      </c>
      <c r="S2025" s="267" t="s">
        <v>74</v>
      </c>
      <c r="T2025" s="267">
        <v>31</v>
      </c>
      <c r="U2025" s="268" t="s">
        <v>164</v>
      </c>
      <c r="V2025" s="427"/>
      <c r="X2025" s="265">
        <v>3511.87</v>
      </c>
      <c r="Y2025" s="265"/>
      <c r="AG2025" s="261">
        <f>X2025</f>
        <v>3511.87</v>
      </c>
      <c r="AI2025" s="273"/>
      <c r="AJ2025" s="642"/>
      <c r="AK2025" s="273"/>
      <c r="AL2025" s="273"/>
      <c r="AM2025" s="273"/>
      <c r="AN2025" s="273"/>
      <c r="AO2025" s="273"/>
      <c r="AP2025" s="273"/>
      <c r="AQ2025" s="273"/>
      <c r="AR2025" s="273"/>
      <c r="AS2025" s="273"/>
      <c r="AT2025" s="273"/>
      <c r="AU2025" s="273"/>
      <c r="AV2025" s="273"/>
      <c r="AW2025" s="273"/>
      <c r="AX2025" s="273"/>
      <c r="AY2025" s="273"/>
      <c r="AZ2025" s="273"/>
      <c r="BA2025" s="273"/>
      <c r="BB2025" s="273"/>
      <c r="BC2025" s="273"/>
      <c r="BD2025" s="273"/>
      <c r="BE2025" s="273"/>
      <c r="BF2025" s="273"/>
      <c r="BG2025" s="273"/>
      <c r="BH2025" s="273"/>
      <c r="BI2025" s="273"/>
      <c r="BJ2025" s="273"/>
      <c r="BK2025" s="273"/>
      <c r="BL2025" s="273"/>
      <c r="BM2025" s="273"/>
      <c r="BN2025" s="273"/>
      <c r="BO2025" s="273"/>
      <c r="BP2025" s="273"/>
      <c r="BQ2025" s="273"/>
      <c r="BR2025" s="273"/>
      <c r="BS2025" s="273"/>
      <c r="BT2025" s="273"/>
      <c r="BU2025" s="273"/>
      <c r="BV2025" s="273"/>
      <c r="BW2025" s="273"/>
      <c r="BX2025" s="273"/>
      <c r="BY2025" s="273"/>
    </row>
    <row r="2026" spans="1:77" s="261" customFormat="1" ht="11.25" customHeight="1">
      <c r="B2026" s="258" t="s">
        <v>291</v>
      </c>
      <c r="C2026" s="259"/>
      <c r="D2026" s="259"/>
      <c r="E2026" s="260" t="s">
        <v>1551</v>
      </c>
      <c r="F2026" s="261" t="s">
        <v>593</v>
      </c>
      <c r="G2026" s="262">
        <v>3917</v>
      </c>
      <c r="H2026" s="261" t="s">
        <v>140</v>
      </c>
      <c r="I2026" s="261" t="s">
        <v>33</v>
      </c>
      <c r="J2026" s="263">
        <v>13292.1</v>
      </c>
      <c r="L2026" s="263">
        <v>9</v>
      </c>
      <c r="M2026" s="263">
        <v>9</v>
      </c>
      <c r="N2026" s="265">
        <v>1993</v>
      </c>
      <c r="O2026" s="266">
        <v>0.15</v>
      </c>
      <c r="P2026" s="266"/>
      <c r="Q2026" s="265">
        <v>2258.69</v>
      </c>
      <c r="R2026" s="261" t="s">
        <v>146</v>
      </c>
      <c r="S2026" s="267" t="s">
        <v>74</v>
      </c>
      <c r="T2026" s="267">
        <v>31</v>
      </c>
      <c r="U2026" s="268" t="s">
        <v>164</v>
      </c>
      <c r="V2026" s="427"/>
      <c r="X2026" s="265">
        <v>2258.69</v>
      </c>
      <c r="Y2026" s="265"/>
      <c r="AG2026" s="261">
        <f>X2026</f>
        <v>2258.69</v>
      </c>
      <c r="AI2026" s="273"/>
      <c r="AJ2026" s="642"/>
      <c r="AK2026" s="273"/>
      <c r="AL2026" s="273"/>
      <c r="AM2026" s="273"/>
      <c r="AN2026" s="273"/>
      <c r="AO2026" s="273"/>
      <c r="AP2026" s="273"/>
      <c r="AQ2026" s="273"/>
      <c r="AR2026" s="273"/>
      <c r="AS2026" s="273"/>
      <c r="AT2026" s="273"/>
      <c r="AU2026" s="273"/>
      <c r="AV2026" s="273"/>
      <c r="AW2026" s="273"/>
      <c r="AX2026" s="273"/>
      <c r="AY2026" s="273"/>
      <c r="AZ2026" s="273"/>
      <c r="BA2026" s="273"/>
      <c r="BB2026" s="273"/>
      <c r="BC2026" s="273"/>
      <c r="BD2026" s="273"/>
      <c r="BE2026" s="273"/>
      <c r="BF2026" s="273"/>
      <c r="BG2026" s="273"/>
      <c r="BH2026" s="273"/>
      <c r="BI2026" s="273"/>
      <c r="BJ2026" s="273"/>
      <c r="BK2026" s="273"/>
      <c r="BL2026" s="273"/>
      <c r="BM2026" s="273"/>
      <c r="BN2026" s="273"/>
      <c r="BO2026" s="273"/>
      <c r="BP2026" s="273"/>
      <c r="BQ2026" s="273"/>
      <c r="BR2026" s="273"/>
      <c r="BS2026" s="273"/>
      <c r="BT2026" s="273"/>
      <c r="BU2026" s="273"/>
      <c r="BV2026" s="273"/>
      <c r="BW2026" s="273"/>
      <c r="BX2026" s="273"/>
      <c r="BY2026" s="273"/>
    </row>
    <row r="2027" spans="1:77" s="261" customFormat="1" ht="11.25" customHeight="1">
      <c r="B2027" s="258" t="s">
        <v>291</v>
      </c>
      <c r="C2027" s="259"/>
      <c r="D2027" s="259"/>
      <c r="E2027" s="260" t="s">
        <v>1551</v>
      </c>
      <c r="F2027" s="261" t="s">
        <v>593</v>
      </c>
      <c r="G2027" s="262">
        <v>3917</v>
      </c>
      <c r="H2027" s="261" t="s">
        <v>99</v>
      </c>
      <c r="I2027" s="261" t="s">
        <v>33</v>
      </c>
      <c r="J2027" s="263">
        <v>24372</v>
      </c>
      <c r="L2027" s="263">
        <v>18</v>
      </c>
      <c r="M2027" s="263">
        <v>18</v>
      </c>
      <c r="N2027" s="265">
        <v>4874</v>
      </c>
      <c r="O2027" s="266">
        <v>0.15</v>
      </c>
      <c r="P2027" s="266"/>
      <c r="Q2027" s="265">
        <v>8116.2</v>
      </c>
      <c r="R2027" s="261" t="s">
        <v>146</v>
      </c>
      <c r="S2027" s="267" t="s">
        <v>74</v>
      </c>
      <c r="T2027" s="267">
        <v>31</v>
      </c>
      <c r="U2027" s="268" t="s">
        <v>164</v>
      </c>
      <c r="V2027" s="427"/>
      <c r="X2027" s="265">
        <v>8116.2</v>
      </c>
      <c r="Y2027" s="265"/>
      <c r="AG2027" s="261">
        <f>X2027</f>
        <v>8116.2</v>
      </c>
      <c r="AI2027" s="273"/>
      <c r="AJ2027" s="642"/>
      <c r="AK2027" s="273"/>
      <c r="AL2027" s="273"/>
      <c r="AM2027" s="273"/>
      <c r="AN2027" s="273"/>
      <c r="AO2027" s="273"/>
      <c r="AP2027" s="273"/>
      <c r="AQ2027" s="273"/>
      <c r="AR2027" s="273"/>
      <c r="AS2027" s="273"/>
      <c r="AT2027" s="273"/>
      <c r="AU2027" s="273"/>
      <c r="AV2027" s="273"/>
      <c r="AW2027" s="273"/>
      <c r="AX2027" s="273"/>
      <c r="AY2027" s="273"/>
      <c r="AZ2027" s="273"/>
      <c r="BA2027" s="273"/>
      <c r="BB2027" s="273"/>
      <c r="BC2027" s="273"/>
      <c r="BD2027" s="273"/>
      <c r="BE2027" s="273"/>
      <c r="BF2027" s="273"/>
      <c r="BG2027" s="273"/>
      <c r="BH2027" s="273"/>
      <c r="BI2027" s="273"/>
      <c r="BJ2027" s="273"/>
      <c r="BK2027" s="273"/>
      <c r="BL2027" s="273"/>
      <c r="BM2027" s="273"/>
      <c r="BN2027" s="273"/>
      <c r="BO2027" s="273"/>
      <c r="BP2027" s="273"/>
      <c r="BQ2027" s="273"/>
      <c r="BR2027" s="273"/>
      <c r="BS2027" s="273"/>
      <c r="BT2027" s="273"/>
      <c r="BU2027" s="273"/>
      <c r="BV2027" s="273"/>
      <c r="BW2027" s="273"/>
      <c r="BX2027" s="273"/>
      <c r="BY2027" s="273"/>
    </row>
    <row r="2028" spans="1:77" s="261" customFormat="1" ht="11.25" customHeight="1">
      <c r="B2028" s="258" t="s">
        <v>291</v>
      </c>
      <c r="C2028" s="259"/>
      <c r="D2028" s="259"/>
      <c r="E2028" s="260" t="s">
        <v>1551</v>
      </c>
      <c r="F2028" s="261" t="s">
        <v>593</v>
      </c>
      <c r="G2028" s="262">
        <v>3917</v>
      </c>
      <c r="H2028" s="261" t="s">
        <v>183</v>
      </c>
      <c r="I2028" s="261" t="s">
        <v>33</v>
      </c>
      <c r="J2028" s="263">
        <v>11832</v>
      </c>
      <c r="L2028" s="263">
        <v>12</v>
      </c>
      <c r="M2028" s="263">
        <v>12</v>
      </c>
      <c r="N2028" s="265">
        <v>1711</v>
      </c>
      <c r="O2028" s="266">
        <v>0.15</v>
      </c>
      <c r="P2028" s="266"/>
      <c r="Q2028" s="265">
        <v>0</v>
      </c>
      <c r="R2028" s="261" t="s">
        <v>146</v>
      </c>
      <c r="S2028" s="267" t="s">
        <v>74</v>
      </c>
      <c r="T2028" s="267">
        <v>31</v>
      </c>
      <c r="U2028" s="268" t="s">
        <v>164</v>
      </c>
      <c r="V2028" s="427"/>
      <c r="X2028" s="265">
        <v>0</v>
      </c>
      <c r="Y2028" s="265"/>
      <c r="AG2028" s="261">
        <f>X2028</f>
        <v>0</v>
      </c>
      <c r="AI2028" s="273"/>
      <c r="AJ2028" s="642"/>
      <c r="AK2028" s="273"/>
      <c r="AL2028" s="273"/>
      <c r="AM2028" s="273"/>
      <c r="AN2028" s="273"/>
      <c r="AO2028" s="273"/>
      <c r="AP2028" s="273"/>
      <c r="AQ2028" s="273"/>
      <c r="AR2028" s="273"/>
      <c r="AS2028" s="273"/>
      <c r="AT2028" s="273"/>
      <c r="AU2028" s="273"/>
      <c r="AV2028" s="273"/>
      <c r="AW2028" s="273"/>
      <c r="AX2028" s="273"/>
      <c r="AY2028" s="273"/>
      <c r="AZ2028" s="273"/>
      <c r="BA2028" s="273"/>
      <c r="BB2028" s="273"/>
      <c r="BC2028" s="273"/>
      <c r="BD2028" s="273"/>
      <c r="BE2028" s="273"/>
      <c r="BF2028" s="273"/>
      <c r="BG2028" s="273"/>
      <c r="BH2028" s="273"/>
      <c r="BI2028" s="273"/>
      <c r="BJ2028" s="273"/>
      <c r="BK2028" s="273"/>
      <c r="BL2028" s="273"/>
      <c r="BM2028" s="273"/>
      <c r="BN2028" s="273"/>
      <c r="BO2028" s="273"/>
      <c r="BP2028" s="273"/>
      <c r="BQ2028" s="273"/>
      <c r="BR2028" s="273"/>
      <c r="BS2028" s="273"/>
      <c r="BT2028" s="273"/>
      <c r="BU2028" s="273"/>
      <c r="BV2028" s="273"/>
      <c r="BW2028" s="273"/>
      <c r="BX2028" s="273"/>
      <c r="BY2028" s="273"/>
    </row>
    <row r="2029" spans="1:77" s="473" customFormat="1" ht="11.25" customHeight="1">
      <c r="B2029" s="486" t="s">
        <v>291</v>
      </c>
      <c r="C2029" s="487">
        <v>44713</v>
      </c>
      <c r="D2029" s="487">
        <v>44714</v>
      </c>
      <c r="E2029" s="488" t="s">
        <v>1552</v>
      </c>
      <c r="F2029" s="473" t="s">
        <v>578</v>
      </c>
      <c r="G2029" s="489">
        <v>3566</v>
      </c>
      <c r="H2029" s="473" t="s">
        <v>183</v>
      </c>
      <c r="I2029" s="473" t="s">
        <v>33</v>
      </c>
      <c r="J2029" s="490">
        <v>61120.46</v>
      </c>
      <c r="L2029" s="490">
        <v>54.46</v>
      </c>
      <c r="M2029" s="490">
        <v>54.46</v>
      </c>
      <c r="N2029" s="492"/>
      <c r="O2029" s="493">
        <v>0.2</v>
      </c>
      <c r="P2029" s="493"/>
      <c r="Q2029" s="492">
        <v>0</v>
      </c>
      <c r="R2029" s="473" t="s">
        <v>42</v>
      </c>
      <c r="S2029" s="481" t="s">
        <v>41</v>
      </c>
      <c r="T2029" s="481">
        <v>16</v>
      </c>
      <c r="U2029" s="494" t="s">
        <v>164</v>
      </c>
      <c r="V2029" s="495"/>
      <c r="X2029" s="492">
        <v>0</v>
      </c>
      <c r="Y2029" s="492"/>
      <c r="AI2029" s="472"/>
      <c r="AJ2029" s="485"/>
      <c r="AK2029" s="472">
        <v>0</v>
      </c>
      <c r="AL2029" s="472"/>
      <c r="AM2029" s="472"/>
      <c r="AN2029" s="472"/>
      <c r="AO2029" s="472"/>
      <c r="AP2029" s="472"/>
      <c r="AQ2029" s="472"/>
      <c r="AR2029" s="472"/>
      <c r="AS2029" s="472"/>
      <c r="AT2029" s="472"/>
      <c r="AU2029" s="472"/>
      <c r="AV2029" s="472"/>
      <c r="AW2029" s="472"/>
      <c r="AX2029" s="472"/>
      <c r="AY2029" s="472"/>
      <c r="AZ2029" s="472"/>
      <c r="BA2029" s="472"/>
      <c r="BB2029" s="472"/>
      <c r="BC2029" s="472"/>
      <c r="BD2029" s="472"/>
      <c r="BE2029" s="472"/>
      <c r="BF2029" s="472"/>
      <c r="BG2029" s="472"/>
      <c r="BH2029" s="472"/>
      <c r="BI2029" s="472"/>
      <c r="BJ2029" s="472"/>
      <c r="BK2029" s="472"/>
      <c r="BL2029" s="472"/>
      <c r="BM2029" s="472"/>
      <c r="BN2029" s="472"/>
      <c r="BO2029" s="472"/>
      <c r="BP2029" s="472"/>
      <c r="BQ2029" s="472"/>
      <c r="BR2029" s="472"/>
      <c r="BS2029" s="472"/>
      <c r="BT2029" s="472"/>
      <c r="BU2029" s="472"/>
      <c r="BV2029" s="472"/>
      <c r="BW2029" s="472"/>
      <c r="BX2029" s="472"/>
      <c r="BY2029" s="472"/>
    </row>
    <row r="2030" spans="1:77" s="205" customFormat="1" ht="11.25" customHeight="1">
      <c r="B2030" s="206" t="s">
        <v>291</v>
      </c>
      <c r="C2030" s="207">
        <v>44714</v>
      </c>
      <c r="D2030" s="207">
        <v>44714</v>
      </c>
      <c r="E2030" s="208" t="s">
        <v>1553</v>
      </c>
      <c r="F2030" s="205" t="s">
        <v>1555</v>
      </c>
      <c r="G2030" s="209" t="s">
        <v>1554</v>
      </c>
      <c r="H2030" s="205" t="s">
        <v>99</v>
      </c>
      <c r="I2030" s="205" t="s">
        <v>888</v>
      </c>
      <c r="J2030" s="210">
        <v>13049.69</v>
      </c>
      <c r="L2030" s="210">
        <v>15.01</v>
      </c>
      <c r="M2030" s="210">
        <v>15.01</v>
      </c>
      <c r="N2030" s="213"/>
      <c r="O2030" s="212">
        <v>0.2</v>
      </c>
      <c r="P2030" s="212"/>
      <c r="Q2030" s="213">
        <v>1929.09</v>
      </c>
      <c r="R2030" s="205" t="s">
        <v>146</v>
      </c>
      <c r="S2030" s="214" t="s">
        <v>74</v>
      </c>
      <c r="T2030" s="214">
        <v>31</v>
      </c>
      <c r="U2030" s="215" t="s">
        <v>164</v>
      </c>
      <c r="V2030" s="438"/>
      <c r="X2030" s="213">
        <v>1929.09</v>
      </c>
      <c r="Y2030" s="213"/>
      <c r="AF2030" s="230">
        <f>X2030</f>
        <v>1929.09</v>
      </c>
      <c r="AI2030" s="218"/>
      <c r="AJ2030" s="216"/>
      <c r="AK2030" s="218"/>
      <c r="AL2030" s="218"/>
      <c r="AM2030" s="218"/>
      <c r="AN2030" s="218"/>
      <c r="AO2030" s="218"/>
      <c r="AP2030" s="218"/>
      <c r="AQ2030" s="218"/>
      <c r="AR2030" s="218"/>
      <c r="AS2030" s="218"/>
      <c r="AT2030" s="218"/>
      <c r="AU2030" s="218"/>
      <c r="AV2030" s="218"/>
      <c r="AW2030" s="218"/>
      <c r="AX2030" s="218"/>
      <c r="AY2030" s="218"/>
      <c r="AZ2030" s="218"/>
      <c r="BA2030" s="218"/>
      <c r="BB2030" s="218"/>
      <c r="BC2030" s="218"/>
      <c r="BD2030" s="218"/>
      <c r="BE2030" s="218"/>
      <c r="BF2030" s="218"/>
      <c r="BG2030" s="218"/>
      <c r="BH2030" s="218"/>
      <c r="BI2030" s="218"/>
      <c r="BJ2030" s="218"/>
      <c r="BK2030" s="218"/>
      <c r="BL2030" s="218"/>
      <c r="BM2030" s="218"/>
      <c r="BN2030" s="218"/>
      <c r="BO2030" s="218"/>
      <c r="BP2030" s="218"/>
      <c r="BQ2030" s="218"/>
      <c r="BR2030" s="218"/>
      <c r="BS2030" s="218"/>
      <c r="BT2030" s="218"/>
      <c r="BU2030" s="218"/>
      <c r="BV2030" s="218"/>
      <c r="BW2030" s="218"/>
      <c r="BX2030" s="218"/>
      <c r="BY2030" s="218"/>
    </row>
    <row r="2031" spans="1:77" s="205" customFormat="1" ht="11.25" customHeight="1">
      <c r="B2031" s="206" t="s">
        <v>291</v>
      </c>
      <c r="C2031" s="207"/>
      <c r="D2031" s="207"/>
      <c r="E2031" s="208" t="s">
        <v>1553</v>
      </c>
      <c r="F2031" s="205" t="s">
        <v>1555</v>
      </c>
      <c r="G2031" s="209" t="s">
        <v>1554</v>
      </c>
      <c r="H2031" s="205" t="s">
        <v>27</v>
      </c>
      <c r="I2031" s="205" t="s">
        <v>888</v>
      </c>
      <c r="J2031" s="210">
        <v>11502</v>
      </c>
      <c r="L2031" s="210">
        <v>10.65</v>
      </c>
      <c r="M2031" s="210">
        <v>10.65</v>
      </c>
      <c r="N2031" s="213"/>
      <c r="O2031" s="212">
        <v>0.2</v>
      </c>
      <c r="P2031" s="212"/>
      <c r="Q2031" s="213">
        <v>0</v>
      </c>
      <c r="R2031" s="205" t="s">
        <v>146</v>
      </c>
      <c r="S2031" s="214" t="s">
        <v>74</v>
      </c>
      <c r="T2031" s="214">
        <v>31</v>
      </c>
      <c r="U2031" s="215" t="s">
        <v>164</v>
      </c>
      <c r="V2031" s="438"/>
      <c r="X2031" s="213">
        <v>0</v>
      </c>
      <c r="Y2031" s="213"/>
      <c r="AF2031" s="230">
        <f>X2031</f>
        <v>0</v>
      </c>
      <c r="AI2031" s="218"/>
      <c r="AJ2031" s="216"/>
      <c r="AK2031" s="218"/>
      <c r="AL2031" s="218"/>
      <c r="AM2031" s="218"/>
      <c r="AN2031" s="218"/>
      <c r="AO2031" s="218"/>
      <c r="AP2031" s="218"/>
      <c r="AQ2031" s="218"/>
      <c r="AR2031" s="218"/>
      <c r="AS2031" s="218"/>
      <c r="AT2031" s="218"/>
      <c r="AU2031" s="218"/>
      <c r="AV2031" s="218"/>
      <c r="AW2031" s="218"/>
      <c r="AX2031" s="218"/>
      <c r="AY2031" s="218"/>
      <c r="AZ2031" s="218"/>
      <c r="BA2031" s="218"/>
      <c r="BB2031" s="218"/>
      <c r="BC2031" s="218"/>
      <c r="BD2031" s="218"/>
      <c r="BE2031" s="218"/>
      <c r="BF2031" s="218"/>
      <c r="BG2031" s="218"/>
      <c r="BH2031" s="218"/>
      <c r="BI2031" s="218"/>
      <c r="BJ2031" s="218"/>
      <c r="BK2031" s="218"/>
      <c r="BL2031" s="218"/>
      <c r="BM2031" s="218"/>
      <c r="BN2031" s="218"/>
      <c r="BO2031" s="218"/>
      <c r="BP2031" s="218"/>
      <c r="BQ2031" s="218"/>
      <c r="BR2031" s="218"/>
      <c r="BS2031" s="218"/>
      <c r="BT2031" s="218"/>
      <c r="BU2031" s="218"/>
      <c r="BV2031" s="218"/>
      <c r="BW2031" s="218"/>
      <c r="BX2031" s="218"/>
      <c r="BY2031" s="218"/>
    </row>
    <row r="2032" spans="1:77" s="205" customFormat="1" ht="11.25" customHeight="1">
      <c r="B2032" s="206" t="s">
        <v>291</v>
      </c>
      <c r="C2032" s="207"/>
      <c r="D2032" s="207"/>
      <c r="E2032" s="208" t="s">
        <v>1553</v>
      </c>
      <c r="F2032" s="205" t="s">
        <v>1555</v>
      </c>
      <c r="G2032" s="209" t="s">
        <v>1554</v>
      </c>
      <c r="H2032" s="205" t="s">
        <v>183</v>
      </c>
      <c r="I2032" s="205" t="s">
        <v>888</v>
      </c>
      <c r="J2032" s="210">
        <v>1999.2</v>
      </c>
      <c r="L2032" s="210">
        <v>2.5499999999999998</v>
      </c>
      <c r="M2032" s="210">
        <v>2.65</v>
      </c>
      <c r="N2032" s="213"/>
      <c r="O2032" s="212">
        <v>0.2</v>
      </c>
      <c r="P2032" s="212"/>
      <c r="Q2032" s="213">
        <v>0</v>
      </c>
      <c r="R2032" s="205" t="s">
        <v>146</v>
      </c>
      <c r="S2032" s="214" t="s">
        <v>74</v>
      </c>
      <c r="T2032" s="214">
        <v>31</v>
      </c>
      <c r="U2032" s="215" t="s">
        <v>164</v>
      </c>
      <c r="V2032" s="438"/>
      <c r="X2032" s="213">
        <v>0</v>
      </c>
      <c r="Y2032" s="213"/>
      <c r="AF2032" s="230">
        <f>X2032</f>
        <v>0</v>
      </c>
      <c r="AI2032" s="218"/>
      <c r="AJ2032" s="216"/>
      <c r="AK2032" s="218"/>
      <c r="AL2032" s="218"/>
      <c r="AM2032" s="218"/>
      <c r="AN2032" s="218"/>
      <c r="AO2032" s="218"/>
      <c r="AP2032" s="218"/>
      <c r="AQ2032" s="218"/>
      <c r="AR2032" s="218"/>
      <c r="AS2032" s="218"/>
      <c r="AT2032" s="218"/>
      <c r="AU2032" s="218"/>
      <c r="AV2032" s="218"/>
      <c r="AW2032" s="218"/>
      <c r="AX2032" s="218"/>
      <c r="AY2032" s="218"/>
      <c r="AZ2032" s="218"/>
      <c r="BA2032" s="218"/>
      <c r="BB2032" s="218"/>
      <c r="BC2032" s="218"/>
      <c r="BD2032" s="218"/>
      <c r="BE2032" s="218"/>
      <c r="BF2032" s="218"/>
      <c r="BG2032" s="218"/>
      <c r="BH2032" s="218"/>
      <c r="BI2032" s="218"/>
      <c r="BJ2032" s="218"/>
      <c r="BK2032" s="218"/>
      <c r="BL2032" s="218"/>
      <c r="BM2032" s="218"/>
      <c r="BN2032" s="218"/>
      <c r="BO2032" s="218"/>
      <c r="BP2032" s="218"/>
      <c r="BQ2032" s="218"/>
      <c r="BR2032" s="218"/>
      <c r="BS2032" s="218"/>
      <c r="BT2032" s="218"/>
      <c r="BU2032" s="218"/>
      <c r="BV2032" s="218"/>
      <c r="BW2032" s="218"/>
      <c r="BX2032" s="218"/>
      <c r="BY2032" s="218"/>
    </row>
    <row r="2033" spans="2:77" s="647" customFormat="1" ht="11.25" customHeight="1">
      <c r="B2033" s="661" t="s">
        <v>291</v>
      </c>
      <c r="C2033" s="648">
        <v>44704</v>
      </c>
      <c r="D2033" s="648">
        <v>44714</v>
      </c>
      <c r="E2033" s="649" t="s">
        <v>1556</v>
      </c>
      <c r="F2033" s="647" t="s">
        <v>1557</v>
      </c>
      <c r="G2033" s="650" t="s">
        <v>1558</v>
      </c>
      <c r="H2033" s="647" t="s">
        <v>140</v>
      </c>
      <c r="I2033" s="647" t="s">
        <v>33</v>
      </c>
      <c r="J2033" s="651">
        <v>8149.68</v>
      </c>
      <c r="L2033" s="651">
        <v>6</v>
      </c>
      <c r="M2033" s="651">
        <v>5.88</v>
      </c>
      <c r="N2033" s="652">
        <f>J2033*0.2</f>
        <v>1629.9360000000001</v>
      </c>
      <c r="O2033" s="653">
        <v>0.15</v>
      </c>
      <c r="P2033" s="653"/>
      <c r="Q2033" s="652">
        <v>303.76</v>
      </c>
      <c r="R2033" s="647" t="s">
        <v>112</v>
      </c>
      <c r="S2033" s="654" t="s">
        <v>113</v>
      </c>
      <c r="T2033" s="654">
        <v>64</v>
      </c>
      <c r="U2033" s="655" t="s">
        <v>164</v>
      </c>
      <c r="V2033" s="656"/>
      <c r="X2033" s="652">
        <v>303.76</v>
      </c>
      <c r="Y2033" s="652"/>
      <c r="AI2033" s="652">
        <v>303.76</v>
      </c>
      <c r="AJ2033" s="657"/>
      <c r="AK2033" s="658"/>
      <c r="AL2033" s="660"/>
      <c r="AM2033" s="660"/>
      <c r="AN2033" s="660"/>
      <c r="AO2033" s="660"/>
      <c r="AP2033" s="660"/>
      <c r="AQ2033" s="660"/>
      <c r="AR2033" s="660"/>
      <c r="AS2033" s="660"/>
      <c r="AT2033" s="660"/>
      <c r="AU2033" s="660"/>
      <c r="AV2033" s="660"/>
      <c r="AW2033" s="660"/>
      <c r="AX2033" s="660"/>
      <c r="AY2033" s="660"/>
      <c r="AZ2033" s="660"/>
      <c r="BA2033" s="660"/>
      <c r="BB2033" s="660"/>
      <c r="BC2033" s="660"/>
      <c r="BD2033" s="660"/>
      <c r="BE2033" s="660"/>
      <c r="BF2033" s="660"/>
      <c r="BG2033" s="660"/>
      <c r="BH2033" s="660"/>
      <c r="BI2033" s="660"/>
      <c r="BJ2033" s="660"/>
      <c r="BK2033" s="660"/>
      <c r="BL2033" s="660"/>
      <c r="BM2033" s="660"/>
      <c r="BN2033" s="660"/>
      <c r="BO2033" s="660"/>
      <c r="BP2033" s="660"/>
      <c r="BQ2033" s="660"/>
      <c r="BR2033" s="660"/>
      <c r="BS2033" s="660"/>
      <c r="BT2033" s="660"/>
      <c r="BU2033" s="660"/>
      <c r="BV2033" s="660"/>
      <c r="BW2033" s="660"/>
      <c r="BX2033" s="660"/>
      <c r="BY2033" s="660"/>
    </row>
    <row r="2034" spans="2:77" s="647" customFormat="1" ht="11.25" customHeight="1">
      <c r="B2034" s="661" t="s">
        <v>291</v>
      </c>
      <c r="C2034" s="648"/>
      <c r="D2034" s="648"/>
      <c r="E2034" s="649" t="s">
        <v>1556</v>
      </c>
      <c r="F2034" s="647" t="s">
        <v>1557</v>
      </c>
      <c r="G2034" s="650" t="s">
        <v>1558</v>
      </c>
      <c r="H2034" s="647" t="s">
        <v>163</v>
      </c>
      <c r="I2034" s="647" t="s">
        <v>33</v>
      </c>
      <c r="J2034" s="651">
        <v>5129.32</v>
      </c>
      <c r="L2034" s="651">
        <v>4.5999999999999996</v>
      </c>
      <c r="M2034" s="651">
        <v>4.9400000000000004</v>
      </c>
      <c r="N2034" s="652">
        <f>J2034*0.25</f>
        <v>1282.33</v>
      </c>
      <c r="O2034" s="653">
        <v>0.15</v>
      </c>
      <c r="P2034" s="653"/>
      <c r="Q2034" s="652">
        <v>516.84</v>
      </c>
      <c r="R2034" s="647" t="s">
        <v>112</v>
      </c>
      <c r="S2034" s="654" t="s">
        <v>113</v>
      </c>
      <c r="T2034" s="654">
        <v>64</v>
      </c>
      <c r="U2034" s="655" t="s">
        <v>164</v>
      </c>
      <c r="V2034" s="656"/>
      <c r="X2034" s="652">
        <v>516.84</v>
      </c>
      <c r="Y2034" s="652"/>
      <c r="AI2034" s="652">
        <v>516.84</v>
      </c>
      <c r="AJ2034" s="657"/>
      <c r="AK2034" s="658"/>
      <c r="AL2034" s="660"/>
      <c r="AM2034" s="660"/>
      <c r="AN2034" s="660"/>
      <c r="AO2034" s="660"/>
      <c r="AP2034" s="660"/>
      <c r="AQ2034" s="660"/>
      <c r="AR2034" s="660"/>
      <c r="AS2034" s="660"/>
      <c r="AT2034" s="660"/>
      <c r="AU2034" s="660"/>
      <c r="AV2034" s="660"/>
      <c r="AW2034" s="660"/>
      <c r="AX2034" s="660"/>
      <c r="AY2034" s="660"/>
      <c r="AZ2034" s="660"/>
      <c r="BA2034" s="660"/>
      <c r="BB2034" s="660"/>
      <c r="BC2034" s="660"/>
      <c r="BD2034" s="660"/>
      <c r="BE2034" s="660"/>
      <c r="BF2034" s="660"/>
      <c r="BG2034" s="660"/>
      <c r="BH2034" s="660"/>
      <c r="BI2034" s="660"/>
      <c r="BJ2034" s="660"/>
      <c r="BK2034" s="660"/>
      <c r="BL2034" s="660"/>
      <c r="BM2034" s="660"/>
      <c r="BN2034" s="660"/>
      <c r="BO2034" s="660"/>
      <c r="BP2034" s="660"/>
      <c r="BQ2034" s="660"/>
      <c r="BR2034" s="660"/>
      <c r="BS2034" s="660"/>
      <c r="BT2034" s="660"/>
      <c r="BU2034" s="660"/>
      <c r="BV2034" s="660"/>
      <c r="BW2034" s="660"/>
      <c r="BX2034" s="660"/>
      <c r="BY2034" s="660"/>
    </row>
    <row r="2035" spans="2:77" s="261" customFormat="1" ht="11.25" customHeight="1">
      <c r="B2035" s="261" t="s">
        <v>291</v>
      </c>
      <c r="C2035" s="259">
        <v>44714</v>
      </c>
      <c r="D2035" s="259">
        <v>44714</v>
      </c>
      <c r="E2035" s="260" t="s">
        <v>1559</v>
      </c>
      <c r="F2035" s="261" t="s">
        <v>37</v>
      </c>
      <c r="G2035" s="262">
        <v>3538</v>
      </c>
      <c r="H2035" s="261" t="s">
        <v>99</v>
      </c>
      <c r="I2035" s="261" t="s">
        <v>33</v>
      </c>
      <c r="J2035" s="263">
        <v>21518.37</v>
      </c>
      <c r="L2035" s="263">
        <v>19.23</v>
      </c>
      <c r="M2035" s="263">
        <v>19.23</v>
      </c>
      <c r="N2035" s="265">
        <f>653.5+906.84+161.14</f>
        <v>1721.48</v>
      </c>
      <c r="O2035" s="266">
        <v>0.15</v>
      </c>
      <c r="P2035" s="266"/>
      <c r="Q2035" s="257">
        <v>0</v>
      </c>
      <c r="R2035" s="261" t="s">
        <v>29</v>
      </c>
      <c r="S2035" s="267" t="s">
        <v>30</v>
      </c>
      <c r="T2035" s="267">
        <v>70</v>
      </c>
      <c r="U2035" s="268" t="s">
        <v>164</v>
      </c>
      <c r="V2035" s="427"/>
      <c r="X2035" s="265">
        <v>0</v>
      </c>
      <c r="Y2035" s="265"/>
      <c r="AG2035" s="261">
        <f>X2035</f>
        <v>0</v>
      </c>
      <c r="AI2035" s="273"/>
      <c r="AJ2035" s="642"/>
      <c r="AK2035" s="273"/>
      <c r="AL2035" s="273"/>
      <c r="AM2035" s="273"/>
      <c r="AN2035" s="273"/>
      <c r="AO2035" s="273"/>
      <c r="AP2035" s="273"/>
      <c r="AQ2035" s="273"/>
      <c r="AR2035" s="273"/>
      <c r="AS2035" s="273"/>
      <c r="AT2035" s="273"/>
      <c r="AU2035" s="273"/>
      <c r="AV2035" s="273"/>
      <c r="AW2035" s="273"/>
      <c r="AX2035" s="273"/>
      <c r="AY2035" s="273"/>
      <c r="AZ2035" s="273"/>
      <c r="BA2035" s="273"/>
      <c r="BB2035" s="273"/>
      <c r="BC2035" s="273"/>
      <c r="BD2035" s="273"/>
      <c r="BE2035" s="273"/>
      <c r="BF2035" s="273"/>
      <c r="BG2035" s="273"/>
      <c r="BH2035" s="273"/>
      <c r="BI2035" s="273"/>
      <c r="BJ2035" s="273"/>
      <c r="BK2035" s="273"/>
      <c r="BL2035" s="273"/>
      <c r="BM2035" s="273"/>
      <c r="BN2035" s="273"/>
      <c r="BO2035" s="273"/>
      <c r="BP2035" s="273"/>
      <c r="BQ2035" s="273"/>
      <c r="BR2035" s="273"/>
      <c r="BS2035" s="273"/>
      <c r="BT2035" s="273"/>
      <c r="BU2035" s="273"/>
      <c r="BV2035" s="273"/>
      <c r="BW2035" s="273"/>
      <c r="BX2035" s="273"/>
      <c r="BY2035" s="273"/>
    </row>
    <row r="2036" spans="2:77" s="261" customFormat="1" ht="11.25" customHeight="1">
      <c r="B2036" s="261" t="s">
        <v>291</v>
      </c>
      <c r="C2036" s="259"/>
      <c r="D2036" s="259"/>
      <c r="E2036" s="260" t="s">
        <v>1559</v>
      </c>
      <c r="F2036" s="261" t="s">
        <v>37</v>
      </c>
      <c r="G2036" s="262">
        <v>3538</v>
      </c>
      <c r="H2036" s="261" t="s">
        <v>27</v>
      </c>
      <c r="I2036" s="261" t="s">
        <v>33</v>
      </c>
      <c r="J2036" s="263">
        <v>14889.04</v>
      </c>
      <c r="L2036" s="263">
        <v>13.23</v>
      </c>
      <c r="M2036" s="263">
        <v>13.23</v>
      </c>
      <c r="N2036" s="265">
        <f>1069.13+419.77</f>
        <v>1488.9</v>
      </c>
      <c r="O2036" s="266">
        <v>0.15</v>
      </c>
      <c r="P2036" s="266"/>
      <c r="Q2036" s="257">
        <v>0</v>
      </c>
      <c r="R2036" s="261" t="s">
        <v>29</v>
      </c>
      <c r="S2036" s="267" t="s">
        <v>30</v>
      </c>
      <c r="T2036" s="267">
        <v>70</v>
      </c>
      <c r="U2036" s="268" t="s">
        <v>164</v>
      </c>
      <c r="V2036" s="427"/>
      <c r="X2036" s="265">
        <v>0</v>
      </c>
      <c r="Y2036" s="265"/>
      <c r="AG2036" s="261">
        <f>X2036</f>
        <v>0</v>
      </c>
      <c r="AI2036" s="273"/>
      <c r="AJ2036" s="642"/>
      <c r="AK2036" s="273"/>
      <c r="AL2036" s="273"/>
      <c r="AM2036" s="273"/>
      <c r="AN2036" s="273"/>
      <c r="AO2036" s="273"/>
      <c r="AP2036" s="273"/>
      <c r="AQ2036" s="273"/>
      <c r="AR2036" s="273"/>
      <c r="AS2036" s="273"/>
      <c r="AT2036" s="273"/>
      <c r="AU2036" s="273"/>
      <c r="AV2036" s="273"/>
      <c r="AW2036" s="273"/>
      <c r="AX2036" s="273"/>
      <c r="AY2036" s="273"/>
      <c r="AZ2036" s="273"/>
      <c r="BA2036" s="273"/>
      <c r="BB2036" s="273"/>
      <c r="BC2036" s="273"/>
      <c r="BD2036" s="273"/>
      <c r="BE2036" s="273"/>
      <c r="BF2036" s="273"/>
      <c r="BG2036" s="273"/>
      <c r="BH2036" s="273"/>
      <c r="BI2036" s="273"/>
      <c r="BJ2036" s="273"/>
      <c r="BK2036" s="273"/>
      <c r="BL2036" s="273"/>
      <c r="BM2036" s="273"/>
      <c r="BN2036" s="273"/>
      <c r="BO2036" s="273"/>
      <c r="BP2036" s="273"/>
      <c r="BQ2036" s="273"/>
      <c r="BR2036" s="273"/>
      <c r="BS2036" s="273"/>
      <c r="BT2036" s="273"/>
      <c r="BU2036" s="273"/>
      <c r="BV2036" s="273"/>
      <c r="BW2036" s="273"/>
      <c r="BX2036" s="273"/>
      <c r="BY2036" s="273"/>
    </row>
    <row r="2037" spans="2:77" s="261" customFormat="1" ht="11.25" customHeight="1">
      <c r="B2037" s="261" t="s">
        <v>291</v>
      </c>
      <c r="C2037" s="259"/>
      <c r="D2037" s="259"/>
      <c r="E2037" s="260" t="s">
        <v>1559</v>
      </c>
      <c r="F2037" s="261" t="s">
        <v>37</v>
      </c>
      <c r="G2037" s="262">
        <v>3538</v>
      </c>
      <c r="H2037" s="261" t="s">
        <v>183</v>
      </c>
      <c r="I2037" s="261" t="s">
        <v>33</v>
      </c>
      <c r="J2037" s="263">
        <v>13315.2</v>
      </c>
      <c r="L2037" s="263">
        <v>14.6</v>
      </c>
      <c r="M2037" s="263">
        <v>14.6</v>
      </c>
      <c r="N2037" s="265">
        <f>786.51+278.71</f>
        <v>1065.22</v>
      </c>
      <c r="O2037" s="266">
        <v>0.15</v>
      </c>
      <c r="P2037" s="266"/>
      <c r="Q2037" s="257">
        <v>0</v>
      </c>
      <c r="R2037" s="261" t="s">
        <v>29</v>
      </c>
      <c r="S2037" s="267" t="s">
        <v>30</v>
      </c>
      <c r="T2037" s="267">
        <v>70</v>
      </c>
      <c r="U2037" s="268" t="s">
        <v>164</v>
      </c>
      <c r="V2037" s="427"/>
      <c r="X2037" s="265">
        <v>0</v>
      </c>
      <c r="Y2037" s="265"/>
      <c r="AG2037" s="261">
        <f>X2037</f>
        <v>0</v>
      </c>
      <c r="AI2037" s="273"/>
      <c r="AJ2037" s="642"/>
      <c r="AK2037" s="273"/>
      <c r="AL2037" s="273"/>
      <c r="AM2037" s="273"/>
      <c r="AN2037" s="273"/>
      <c r="AO2037" s="273"/>
      <c r="AP2037" s="273"/>
      <c r="AQ2037" s="273"/>
      <c r="AR2037" s="273"/>
      <c r="AS2037" s="273"/>
      <c r="AT2037" s="273"/>
      <c r="AU2037" s="273"/>
      <c r="AV2037" s="273"/>
      <c r="AW2037" s="273"/>
      <c r="AX2037" s="273"/>
      <c r="AY2037" s="273"/>
      <c r="AZ2037" s="273"/>
      <c r="BA2037" s="273"/>
      <c r="BB2037" s="273"/>
      <c r="BC2037" s="273"/>
      <c r="BD2037" s="273"/>
      <c r="BE2037" s="273"/>
      <c r="BF2037" s="273"/>
      <c r="BG2037" s="273"/>
      <c r="BH2037" s="273"/>
      <c r="BI2037" s="273"/>
      <c r="BJ2037" s="273"/>
      <c r="BK2037" s="273"/>
      <c r="BL2037" s="273"/>
      <c r="BM2037" s="273"/>
      <c r="BN2037" s="273"/>
      <c r="BO2037" s="273"/>
      <c r="BP2037" s="273"/>
      <c r="BQ2037" s="273"/>
      <c r="BR2037" s="273"/>
      <c r="BS2037" s="273"/>
      <c r="BT2037" s="273"/>
      <c r="BU2037" s="273"/>
      <c r="BV2037" s="273"/>
      <c r="BW2037" s="273"/>
      <c r="BX2037" s="273"/>
      <c r="BY2037" s="273"/>
    </row>
    <row r="2038" spans="2:77" s="379" customFormat="1" ht="11.25" customHeight="1">
      <c r="B2038" s="379" t="s">
        <v>291</v>
      </c>
      <c r="C2038" s="381">
        <v>44714</v>
      </c>
      <c r="D2038" s="381">
        <v>44714</v>
      </c>
      <c r="E2038" s="382" t="s">
        <v>1560</v>
      </c>
      <c r="F2038" s="379" t="s">
        <v>1561</v>
      </c>
      <c r="G2038" s="383">
        <v>4571</v>
      </c>
      <c r="H2038" s="379" t="s">
        <v>99</v>
      </c>
      <c r="I2038" s="379" t="s">
        <v>888</v>
      </c>
      <c r="J2038" s="385">
        <v>27304.79</v>
      </c>
      <c r="L2038" s="385">
        <v>26.29</v>
      </c>
      <c r="M2038" s="385">
        <v>26.29</v>
      </c>
      <c r="N2038" s="386"/>
      <c r="O2038" s="387">
        <v>0.25</v>
      </c>
      <c r="P2038" s="387"/>
      <c r="Q2038" s="386">
        <v>5666.81</v>
      </c>
      <c r="R2038" s="379" t="s">
        <v>146</v>
      </c>
      <c r="S2038" s="388" t="s">
        <v>74</v>
      </c>
      <c r="T2038" s="388">
        <v>31</v>
      </c>
      <c r="U2038" s="389" t="s">
        <v>164</v>
      </c>
      <c r="V2038" s="433"/>
      <c r="X2038" s="386">
        <v>5666.81</v>
      </c>
      <c r="Y2038" s="386"/>
      <c r="AI2038" s="394"/>
      <c r="AJ2038" s="416">
        <v>5666.81</v>
      </c>
      <c r="AK2038" s="394"/>
      <c r="AL2038" s="394"/>
      <c r="AM2038" s="394"/>
      <c r="AN2038" s="394"/>
      <c r="AO2038" s="394"/>
      <c r="AP2038" s="394"/>
      <c r="AQ2038" s="394"/>
      <c r="AR2038" s="394"/>
      <c r="AS2038" s="394"/>
      <c r="AT2038" s="394"/>
      <c r="AU2038" s="394"/>
      <c r="AV2038" s="394"/>
      <c r="AW2038" s="394"/>
      <c r="AX2038" s="394"/>
      <c r="AY2038" s="394"/>
      <c r="AZ2038" s="394"/>
      <c r="BA2038" s="394"/>
      <c r="BB2038" s="394"/>
      <c r="BC2038" s="394"/>
      <c r="BD2038" s="394"/>
      <c r="BE2038" s="394"/>
      <c r="BF2038" s="394"/>
      <c r="BG2038" s="394"/>
      <c r="BH2038" s="394"/>
      <c r="BI2038" s="394"/>
      <c r="BJ2038" s="394"/>
      <c r="BK2038" s="394"/>
      <c r="BL2038" s="394"/>
      <c r="BM2038" s="394"/>
      <c r="BN2038" s="394"/>
      <c r="BO2038" s="394"/>
      <c r="BP2038" s="394"/>
      <c r="BQ2038" s="394"/>
      <c r="BR2038" s="394"/>
      <c r="BS2038" s="394"/>
      <c r="BT2038" s="394"/>
      <c r="BU2038" s="394"/>
      <c r="BV2038" s="394"/>
      <c r="BW2038" s="394"/>
      <c r="BX2038" s="394"/>
      <c r="BY2038" s="394"/>
    </row>
    <row r="2039" spans="2:77" s="379" customFormat="1" ht="11.25" customHeight="1">
      <c r="B2039" s="379" t="s">
        <v>291</v>
      </c>
      <c r="C2039" s="381"/>
      <c r="D2039" s="381"/>
      <c r="E2039" s="382" t="s">
        <v>1560</v>
      </c>
      <c r="F2039" s="379" t="s">
        <v>1561</v>
      </c>
      <c r="G2039" s="383">
        <v>4571</v>
      </c>
      <c r="H2039" s="379" t="s">
        <v>162</v>
      </c>
      <c r="I2039" s="379" t="s">
        <v>888</v>
      </c>
      <c r="J2039" s="385">
        <v>3129.12</v>
      </c>
      <c r="L2039" s="385">
        <v>10.6</v>
      </c>
      <c r="M2039" s="385">
        <v>10.6</v>
      </c>
      <c r="N2039" s="386"/>
      <c r="O2039" s="387">
        <v>0.25</v>
      </c>
      <c r="P2039" s="387"/>
      <c r="Q2039" s="386">
        <v>820.44</v>
      </c>
      <c r="R2039" s="379" t="s">
        <v>146</v>
      </c>
      <c r="S2039" s="388" t="s">
        <v>74</v>
      </c>
      <c r="T2039" s="388">
        <v>31</v>
      </c>
      <c r="U2039" s="389" t="s">
        <v>164</v>
      </c>
      <c r="V2039" s="433"/>
      <c r="X2039" s="386">
        <v>820.44</v>
      </c>
      <c r="Y2039" s="386"/>
      <c r="AI2039" s="394"/>
      <c r="AJ2039" s="416">
        <v>820.44</v>
      </c>
      <c r="AK2039" s="394"/>
      <c r="AL2039" s="394"/>
      <c r="AM2039" s="394"/>
      <c r="AN2039" s="394"/>
      <c r="AO2039" s="394"/>
      <c r="AP2039" s="394"/>
      <c r="AQ2039" s="394"/>
      <c r="AR2039" s="394"/>
      <c r="AS2039" s="394"/>
      <c r="AT2039" s="394"/>
      <c r="AU2039" s="394"/>
      <c r="AV2039" s="394"/>
      <c r="AW2039" s="394"/>
      <c r="AX2039" s="394"/>
      <c r="AY2039" s="394"/>
      <c r="AZ2039" s="394"/>
      <c r="BA2039" s="394"/>
      <c r="BB2039" s="394"/>
      <c r="BC2039" s="394"/>
      <c r="BD2039" s="394"/>
      <c r="BE2039" s="394"/>
      <c r="BF2039" s="394"/>
      <c r="BG2039" s="394"/>
      <c r="BH2039" s="394"/>
      <c r="BI2039" s="394"/>
      <c r="BJ2039" s="394"/>
      <c r="BK2039" s="394"/>
      <c r="BL2039" s="394"/>
      <c r="BM2039" s="394"/>
      <c r="BN2039" s="394"/>
      <c r="BO2039" s="394"/>
      <c r="BP2039" s="394"/>
      <c r="BQ2039" s="394"/>
      <c r="BR2039" s="394"/>
      <c r="BS2039" s="394"/>
      <c r="BT2039" s="394"/>
      <c r="BU2039" s="394"/>
      <c r="BV2039" s="394"/>
      <c r="BW2039" s="394"/>
      <c r="BX2039" s="394"/>
      <c r="BY2039" s="394"/>
    </row>
    <row r="2040" spans="2:77" s="379" customFormat="1" ht="11.25" customHeight="1">
      <c r="B2040" s="379" t="s">
        <v>291</v>
      </c>
      <c r="C2040" s="381"/>
      <c r="D2040" s="381"/>
      <c r="E2040" s="382" t="s">
        <v>1560</v>
      </c>
      <c r="F2040" s="379" t="s">
        <v>1561</v>
      </c>
      <c r="G2040" s="383">
        <v>4571</v>
      </c>
      <c r="H2040" s="379" t="s">
        <v>183</v>
      </c>
      <c r="I2040" s="379" t="s">
        <v>888</v>
      </c>
      <c r="J2040" s="385">
        <v>19275.04</v>
      </c>
      <c r="L2040" s="385">
        <v>22.73</v>
      </c>
      <c r="M2040" s="385">
        <v>22.73</v>
      </c>
      <c r="N2040" s="386"/>
      <c r="O2040" s="387">
        <v>0.25</v>
      </c>
      <c r="P2040" s="387"/>
      <c r="Q2040" s="386">
        <v>6091.64</v>
      </c>
      <c r="R2040" s="379" t="s">
        <v>146</v>
      </c>
      <c r="S2040" s="388" t="s">
        <v>74</v>
      </c>
      <c r="T2040" s="388">
        <v>31</v>
      </c>
      <c r="U2040" s="389" t="s">
        <v>164</v>
      </c>
      <c r="V2040" s="433"/>
      <c r="X2040" s="386">
        <v>6091.64</v>
      </c>
      <c r="Y2040" s="386"/>
      <c r="AI2040" s="394"/>
      <c r="AJ2040" s="416">
        <v>6091.64</v>
      </c>
      <c r="AK2040" s="394"/>
      <c r="AL2040" s="394"/>
      <c r="AM2040" s="394"/>
      <c r="AN2040" s="394"/>
      <c r="AO2040" s="394"/>
      <c r="AP2040" s="394"/>
      <c r="AQ2040" s="394"/>
      <c r="AR2040" s="394"/>
      <c r="AS2040" s="394"/>
      <c r="AT2040" s="394"/>
      <c r="AU2040" s="394"/>
      <c r="AV2040" s="394"/>
      <c r="AW2040" s="394"/>
      <c r="AX2040" s="394"/>
      <c r="AY2040" s="394"/>
      <c r="AZ2040" s="394"/>
      <c r="BA2040" s="394"/>
      <c r="BB2040" s="394"/>
      <c r="BC2040" s="394"/>
      <c r="BD2040" s="394"/>
      <c r="BE2040" s="394"/>
      <c r="BF2040" s="394"/>
      <c r="BG2040" s="394"/>
      <c r="BH2040" s="394"/>
      <c r="BI2040" s="394"/>
      <c r="BJ2040" s="394"/>
      <c r="BK2040" s="394"/>
      <c r="BL2040" s="394"/>
      <c r="BM2040" s="394"/>
      <c r="BN2040" s="394"/>
      <c r="BO2040" s="394"/>
      <c r="BP2040" s="394"/>
      <c r="BQ2040" s="394"/>
      <c r="BR2040" s="394"/>
      <c r="BS2040" s="394"/>
      <c r="BT2040" s="394"/>
      <c r="BU2040" s="394"/>
      <c r="BV2040" s="394"/>
      <c r="BW2040" s="394"/>
      <c r="BX2040" s="394"/>
      <c r="BY2040" s="394"/>
    </row>
    <row r="2041" spans="2:77" s="379" customFormat="1" ht="11.25" customHeight="1">
      <c r="B2041" s="379" t="s">
        <v>291</v>
      </c>
      <c r="C2041" s="381"/>
      <c r="D2041" s="381"/>
      <c r="E2041" s="382" t="s">
        <v>1560</v>
      </c>
      <c r="F2041" s="379" t="s">
        <v>1561</v>
      </c>
      <c r="G2041" s="383">
        <v>4571</v>
      </c>
      <c r="H2041" s="379" t="s">
        <v>765</v>
      </c>
      <c r="I2041" s="379" t="s">
        <v>888</v>
      </c>
      <c r="J2041" s="385">
        <v>9650</v>
      </c>
      <c r="L2041" s="385">
        <v>12.5</v>
      </c>
      <c r="M2041" s="385">
        <v>12.5</v>
      </c>
      <c r="N2041" s="386"/>
      <c r="O2041" s="387">
        <v>0.25</v>
      </c>
      <c r="P2041" s="387"/>
      <c r="Q2041" s="386">
        <v>5737.5</v>
      </c>
      <c r="R2041" s="379" t="s">
        <v>146</v>
      </c>
      <c r="S2041" s="388" t="s">
        <v>74</v>
      </c>
      <c r="T2041" s="388">
        <v>31</v>
      </c>
      <c r="U2041" s="389" t="s">
        <v>164</v>
      </c>
      <c r="V2041" s="433"/>
      <c r="X2041" s="386">
        <v>5737.5</v>
      </c>
      <c r="Y2041" s="386"/>
      <c r="AI2041" s="394"/>
      <c r="AJ2041" s="416">
        <v>5737.5</v>
      </c>
      <c r="AK2041" s="394"/>
      <c r="AL2041" s="394"/>
      <c r="AM2041" s="394"/>
      <c r="AN2041" s="394"/>
      <c r="AO2041" s="394"/>
      <c r="AP2041" s="394"/>
      <c r="AQ2041" s="394"/>
      <c r="AR2041" s="394"/>
      <c r="AS2041" s="394"/>
      <c r="AT2041" s="394"/>
      <c r="AU2041" s="394"/>
      <c r="AV2041" s="394"/>
      <c r="AW2041" s="394"/>
      <c r="AX2041" s="394"/>
      <c r="AY2041" s="394"/>
      <c r="AZ2041" s="394"/>
      <c r="BA2041" s="394"/>
      <c r="BB2041" s="394"/>
      <c r="BC2041" s="394"/>
      <c r="BD2041" s="394"/>
      <c r="BE2041" s="394"/>
      <c r="BF2041" s="394"/>
      <c r="BG2041" s="394"/>
      <c r="BH2041" s="394"/>
      <c r="BI2041" s="394"/>
      <c r="BJ2041" s="394"/>
      <c r="BK2041" s="394"/>
      <c r="BL2041" s="394"/>
      <c r="BM2041" s="394"/>
      <c r="BN2041" s="394"/>
      <c r="BO2041" s="394"/>
      <c r="BP2041" s="394"/>
      <c r="BQ2041" s="394"/>
      <c r="BR2041" s="394"/>
      <c r="BS2041" s="394"/>
      <c r="BT2041" s="394"/>
      <c r="BU2041" s="394"/>
      <c r="BV2041" s="394"/>
      <c r="BW2041" s="394"/>
      <c r="BX2041" s="394"/>
      <c r="BY2041" s="394"/>
    </row>
    <row r="2042" spans="2:77" s="647" customFormat="1" ht="11.25" customHeight="1">
      <c r="B2042" s="647" t="s">
        <v>291</v>
      </c>
      <c r="C2042" s="648"/>
      <c r="D2042" s="648"/>
      <c r="E2042" s="649" t="s">
        <v>1562</v>
      </c>
      <c r="F2042" s="647" t="s">
        <v>1563</v>
      </c>
      <c r="G2042" s="650" t="s">
        <v>1564</v>
      </c>
      <c r="H2042" s="647" t="s">
        <v>1565</v>
      </c>
      <c r="I2042" s="647" t="s">
        <v>888</v>
      </c>
      <c r="J2042" s="651">
        <v>3257.45</v>
      </c>
      <c r="L2042" s="651">
        <v>4.0999999999999996</v>
      </c>
      <c r="M2042" s="651">
        <v>41.1</v>
      </c>
      <c r="N2042" s="652"/>
      <c r="O2042" s="653">
        <v>0.2</v>
      </c>
      <c r="P2042" s="653"/>
      <c r="Q2042" s="652">
        <v>608.51</v>
      </c>
      <c r="R2042" s="647" t="s">
        <v>146</v>
      </c>
      <c r="S2042" s="654" t="s">
        <v>74</v>
      </c>
      <c r="T2042" s="654">
        <v>31</v>
      </c>
      <c r="U2042" s="655" t="s">
        <v>164</v>
      </c>
      <c r="V2042" s="656"/>
      <c r="X2042" s="652">
        <v>608.51</v>
      </c>
      <c r="Y2042" s="652"/>
      <c r="AI2042" s="652">
        <v>608.51</v>
      </c>
      <c r="AJ2042" s="657"/>
      <c r="AK2042" s="658"/>
      <c r="AL2042" s="660"/>
      <c r="AM2042" s="660"/>
      <c r="AN2042" s="660"/>
      <c r="AO2042" s="660"/>
      <c r="AP2042" s="660"/>
      <c r="AQ2042" s="660"/>
      <c r="AR2042" s="660"/>
      <c r="AS2042" s="660"/>
      <c r="AT2042" s="660"/>
      <c r="AU2042" s="660"/>
      <c r="AV2042" s="660"/>
      <c r="AW2042" s="660"/>
      <c r="AX2042" s="660"/>
      <c r="AY2042" s="660"/>
      <c r="AZ2042" s="660"/>
      <c r="BA2042" s="660"/>
      <c r="BB2042" s="660"/>
      <c r="BC2042" s="660"/>
      <c r="BD2042" s="660"/>
      <c r="BE2042" s="660"/>
      <c r="BF2042" s="660"/>
      <c r="BG2042" s="660"/>
      <c r="BH2042" s="660"/>
      <c r="BI2042" s="660"/>
      <c r="BJ2042" s="660"/>
      <c r="BK2042" s="660"/>
      <c r="BL2042" s="660"/>
      <c r="BM2042" s="660"/>
      <c r="BN2042" s="660"/>
      <c r="BO2042" s="660"/>
      <c r="BP2042" s="660"/>
      <c r="BQ2042" s="660"/>
      <c r="BR2042" s="660"/>
      <c r="BS2042" s="660"/>
      <c r="BT2042" s="660"/>
      <c r="BU2042" s="660"/>
      <c r="BV2042" s="660"/>
      <c r="BW2042" s="660"/>
      <c r="BX2042" s="660"/>
      <c r="BY2042" s="660"/>
    </row>
    <row r="2043" spans="2:77" s="647" customFormat="1" ht="11.25" customHeight="1">
      <c r="B2043" s="647" t="s">
        <v>291</v>
      </c>
      <c r="C2043" s="648"/>
      <c r="D2043" s="648"/>
      <c r="E2043" s="649" t="s">
        <v>1562</v>
      </c>
      <c r="F2043" s="647" t="s">
        <v>1563</v>
      </c>
      <c r="G2043" s="650" t="s">
        <v>1564</v>
      </c>
      <c r="H2043" s="647" t="s">
        <v>765</v>
      </c>
      <c r="I2043" s="647" t="s">
        <v>888</v>
      </c>
      <c r="J2043" s="651">
        <v>5930.4</v>
      </c>
      <c r="L2043" s="651">
        <v>7.06</v>
      </c>
      <c r="M2043" s="651">
        <v>7.06</v>
      </c>
      <c r="N2043" s="652"/>
      <c r="O2043" s="653">
        <v>0.2</v>
      </c>
      <c r="P2043" s="653"/>
      <c r="Q2043" s="652">
        <v>1044.8800000000001</v>
      </c>
      <c r="R2043" s="647" t="s">
        <v>146</v>
      </c>
      <c r="S2043" s="654" t="s">
        <v>74</v>
      </c>
      <c r="T2043" s="654">
        <v>31</v>
      </c>
      <c r="U2043" s="655" t="s">
        <v>164</v>
      </c>
      <c r="V2043" s="656"/>
      <c r="X2043" s="652">
        <v>1044.8800000000001</v>
      </c>
      <c r="Y2043" s="652"/>
      <c r="AI2043" s="652">
        <v>1044.8800000000001</v>
      </c>
      <c r="AJ2043" s="657"/>
      <c r="AK2043" s="658"/>
      <c r="AL2043" s="660"/>
      <c r="AM2043" s="660"/>
      <c r="AN2043" s="660"/>
      <c r="AO2043" s="660"/>
      <c r="AP2043" s="660"/>
      <c r="AQ2043" s="660"/>
      <c r="AR2043" s="660"/>
      <c r="AS2043" s="660"/>
      <c r="AT2043" s="660"/>
      <c r="AU2043" s="660"/>
      <c r="AV2043" s="660"/>
      <c r="AW2043" s="660"/>
      <c r="AX2043" s="660"/>
      <c r="AY2043" s="660"/>
      <c r="AZ2043" s="660"/>
      <c r="BA2043" s="660"/>
      <c r="BB2043" s="660"/>
      <c r="BC2043" s="660"/>
      <c r="BD2043" s="660"/>
      <c r="BE2043" s="660"/>
      <c r="BF2043" s="660"/>
      <c r="BG2043" s="660"/>
      <c r="BH2043" s="660"/>
      <c r="BI2043" s="660"/>
      <c r="BJ2043" s="660"/>
      <c r="BK2043" s="660"/>
      <c r="BL2043" s="660"/>
      <c r="BM2043" s="660"/>
      <c r="BN2043" s="660"/>
      <c r="BO2043" s="660"/>
      <c r="BP2043" s="660"/>
      <c r="BQ2043" s="660"/>
      <c r="BR2043" s="660"/>
      <c r="BS2043" s="660"/>
      <c r="BT2043" s="660"/>
      <c r="BU2043" s="660"/>
      <c r="BV2043" s="660"/>
      <c r="BW2043" s="660"/>
      <c r="BX2043" s="660"/>
      <c r="BY2043" s="660"/>
    </row>
    <row r="2044" spans="2:77" s="261" customFormat="1" ht="11.25" customHeight="1">
      <c r="B2044" s="261" t="s">
        <v>291</v>
      </c>
      <c r="C2044" s="259">
        <v>44714</v>
      </c>
      <c r="D2044" s="259">
        <v>44714</v>
      </c>
      <c r="E2044" s="260" t="s">
        <v>1562</v>
      </c>
      <c r="F2044" s="261" t="s">
        <v>1563</v>
      </c>
      <c r="G2044" s="262" t="s">
        <v>1564</v>
      </c>
      <c r="H2044" s="261" t="s">
        <v>138</v>
      </c>
      <c r="I2044" s="261" t="s">
        <v>888</v>
      </c>
      <c r="J2044" s="263">
        <v>10688.38</v>
      </c>
      <c r="L2044" s="263">
        <v>9.77</v>
      </c>
      <c r="M2044" s="263">
        <v>9.77</v>
      </c>
      <c r="N2044" s="265"/>
      <c r="O2044" s="266">
        <v>0.2</v>
      </c>
      <c r="P2044" s="266"/>
      <c r="Q2044" s="265">
        <v>0</v>
      </c>
      <c r="R2044" s="261" t="s">
        <v>146</v>
      </c>
      <c r="S2044" s="267" t="s">
        <v>74</v>
      </c>
      <c r="T2044" s="267">
        <v>31</v>
      </c>
      <c r="U2044" s="268" t="s">
        <v>164</v>
      </c>
      <c r="V2044" s="427"/>
      <c r="X2044" s="265">
        <v>0</v>
      </c>
      <c r="Y2044" s="265"/>
      <c r="AG2044" s="261">
        <f>X2044</f>
        <v>0</v>
      </c>
      <c r="AI2044" s="273"/>
      <c r="AJ2044" s="642"/>
      <c r="AK2044" s="273"/>
      <c r="AL2044" s="273"/>
      <c r="AM2044" s="273"/>
      <c r="AN2044" s="273"/>
      <c r="AO2044" s="273"/>
      <c r="AP2044" s="273"/>
      <c r="AQ2044" s="273"/>
      <c r="AR2044" s="273"/>
      <c r="AS2044" s="273"/>
      <c r="AT2044" s="273"/>
      <c r="AU2044" s="273"/>
      <c r="AV2044" s="273"/>
      <c r="AW2044" s="273"/>
      <c r="AX2044" s="273"/>
      <c r="AY2044" s="273"/>
      <c r="AZ2044" s="273"/>
      <c r="BA2044" s="273"/>
      <c r="BB2044" s="273"/>
      <c r="BC2044" s="273"/>
      <c r="BD2044" s="273"/>
      <c r="BE2044" s="273"/>
      <c r="BF2044" s="273"/>
      <c r="BG2044" s="273"/>
      <c r="BH2044" s="273"/>
      <c r="BI2044" s="273"/>
      <c r="BJ2044" s="273"/>
      <c r="BK2044" s="273"/>
      <c r="BL2044" s="273"/>
      <c r="BM2044" s="273"/>
      <c r="BN2044" s="273"/>
      <c r="BO2044" s="273"/>
      <c r="BP2044" s="273"/>
      <c r="BQ2044" s="273"/>
      <c r="BR2044" s="273"/>
      <c r="BS2044" s="273"/>
      <c r="BT2044" s="273"/>
      <c r="BU2044" s="273"/>
      <c r="BV2044" s="273"/>
      <c r="BW2044" s="273"/>
      <c r="BX2044" s="273"/>
      <c r="BY2044" s="273"/>
    </row>
    <row r="2045" spans="2:77" s="261" customFormat="1" ht="11.25" customHeight="1">
      <c r="B2045" s="261" t="s">
        <v>291</v>
      </c>
      <c r="C2045" s="259"/>
      <c r="D2045" s="259"/>
      <c r="E2045" s="260" t="s">
        <v>1562</v>
      </c>
      <c r="F2045" s="261" t="s">
        <v>1563</v>
      </c>
      <c r="G2045" s="262" t="s">
        <v>1564</v>
      </c>
      <c r="H2045" s="261" t="s">
        <v>183</v>
      </c>
      <c r="I2045" s="261" t="s">
        <v>888</v>
      </c>
      <c r="J2045" s="263">
        <v>2170.9</v>
      </c>
      <c r="L2045" s="263">
        <v>2.73</v>
      </c>
      <c r="M2045" s="263">
        <v>2.73</v>
      </c>
      <c r="N2045" s="265"/>
      <c r="O2045" s="266">
        <v>0.2</v>
      </c>
      <c r="P2045" s="266"/>
      <c r="Q2045" s="265">
        <v>0</v>
      </c>
      <c r="R2045" s="261" t="s">
        <v>146</v>
      </c>
      <c r="S2045" s="267" t="s">
        <v>74</v>
      </c>
      <c r="T2045" s="267">
        <v>31</v>
      </c>
      <c r="U2045" s="268" t="s">
        <v>164</v>
      </c>
      <c r="V2045" s="427"/>
      <c r="X2045" s="265">
        <v>0</v>
      </c>
      <c r="Y2045" s="265"/>
      <c r="AG2045" s="261">
        <f>X2045</f>
        <v>0</v>
      </c>
      <c r="AI2045" s="273"/>
      <c r="AJ2045" s="642"/>
      <c r="AK2045" s="273"/>
      <c r="AL2045" s="273"/>
      <c r="AM2045" s="273"/>
      <c r="AN2045" s="273"/>
      <c r="AO2045" s="273"/>
      <c r="AP2045" s="273"/>
      <c r="AQ2045" s="273"/>
      <c r="AR2045" s="273"/>
      <c r="AS2045" s="273"/>
      <c r="AT2045" s="273"/>
      <c r="AU2045" s="273"/>
      <c r="AV2045" s="273"/>
      <c r="AW2045" s="273"/>
      <c r="AX2045" s="273"/>
      <c r="AY2045" s="273"/>
      <c r="AZ2045" s="273"/>
      <c r="BA2045" s="273"/>
      <c r="BB2045" s="273"/>
      <c r="BC2045" s="273"/>
      <c r="BD2045" s="273"/>
      <c r="BE2045" s="273"/>
      <c r="BF2045" s="273"/>
      <c r="BG2045" s="273"/>
      <c r="BH2045" s="273"/>
      <c r="BI2045" s="273"/>
      <c r="BJ2045" s="273"/>
      <c r="BK2045" s="273"/>
      <c r="BL2045" s="273"/>
      <c r="BM2045" s="273"/>
      <c r="BN2045" s="273"/>
      <c r="BO2045" s="273"/>
      <c r="BP2045" s="273"/>
      <c r="BQ2045" s="273"/>
      <c r="BR2045" s="273"/>
      <c r="BS2045" s="273"/>
      <c r="BT2045" s="273"/>
      <c r="BU2045" s="273"/>
      <c r="BV2045" s="273"/>
      <c r="BW2045" s="273"/>
      <c r="BX2045" s="273"/>
      <c r="BY2045" s="273"/>
    </row>
    <row r="2046" spans="2:77" s="379" customFormat="1" ht="11.25" customHeight="1">
      <c r="B2046" s="379" t="s">
        <v>291</v>
      </c>
      <c r="C2046" s="381">
        <v>44714</v>
      </c>
      <c r="D2046" s="381">
        <v>44714</v>
      </c>
      <c r="E2046" s="382" t="s">
        <v>1566</v>
      </c>
      <c r="F2046" s="379" t="s">
        <v>1567</v>
      </c>
      <c r="G2046" s="383">
        <v>4090</v>
      </c>
      <c r="H2046" s="379" t="s">
        <v>140</v>
      </c>
      <c r="I2046" s="379" t="s">
        <v>33</v>
      </c>
      <c r="J2046" s="385">
        <v>17358.740000000002</v>
      </c>
      <c r="L2046" s="385">
        <v>14.16</v>
      </c>
      <c r="M2046" s="385">
        <v>14.16</v>
      </c>
      <c r="N2046" s="386"/>
      <c r="O2046" s="387">
        <v>0.15</v>
      </c>
      <c r="P2046" s="387"/>
      <c r="Q2046" s="386">
        <v>0</v>
      </c>
      <c r="R2046" s="379" t="s">
        <v>146</v>
      </c>
      <c r="S2046" s="388" t="s">
        <v>74</v>
      </c>
      <c r="T2046" s="388">
        <v>31</v>
      </c>
      <c r="U2046" s="389" t="s">
        <v>164</v>
      </c>
      <c r="V2046" s="433"/>
      <c r="X2046" s="386">
        <v>0</v>
      </c>
      <c r="Y2046" s="386"/>
      <c r="AI2046" s="394"/>
      <c r="AJ2046" s="416">
        <v>0</v>
      </c>
    </row>
    <row r="2047" spans="2:77" s="379" customFormat="1" ht="11.25" customHeight="1">
      <c r="B2047" s="379" t="s">
        <v>291</v>
      </c>
      <c r="C2047" s="381"/>
      <c r="D2047" s="381"/>
      <c r="E2047" s="382" t="s">
        <v>1566</v>
      </c>
      <c r="F2047" s="379" t="s">
        <v>1567</v>
      </c>
      <c r="G2047" s="383">
        <v>4090</v>
      </c>
      <c r="H2047" s="379" t="s">
        <v>99</v>
      </c>
      <c r="I2047" s="379" t="s">
        <v>33</v>
      </c>
      <c r="J2047" s="385">
        <v>32237.57</v>
      </c>
      <c r="L2047" s="385">
        <v>30.72</v>
      </c>
      <c r="M2047" s="385">
        <v>30.72</v>
      </c>
      <c r="N2047" s="386"/>
      <c r="O2047" s="387">
        <v>0.15</v>
      </c>
      <c r="P2047" s="387"/>
      <c r="Q2047" s="386">
        <v>0</v>
      </c>
      <c r="R2047" s="379" t="s">
        <v>146</v>
      </c>
      <c r="S2047" s="388" t="s">
        <v>74</v>
      </c>
      <c r="T2047" s="388">
        <v>31</v>
      </c>
      <c r="U2047" s="389" t="s">
        <v>164</v>
      </c>
      <c r="V2047" s="433"/>
      <c r="X2047" s="386">
        <v>0</v>
      </c>
      <c r="Y2047" s="386"/>
      <c r="AI2047" s="394"/>
      <c r="AJ2047" s="416">
        <v>0</v>
      </c>
    </row>
    <row r="2048" spans="2:77" s="379" customFormat="1" ht="11.25" customHeight="1">
      <c r="B2048" s="379" t="s">
        <v>291</v>
      </c>
      <c r="C2048" s="381"/>
      <c r="D2048" s="381"/>
      <c r="E2048" s="382" t="s">
        <v>1566</v>
      </c>
      <c r="F2048" s="379" t="s">
        <v>1567</v>
      </c>
      <c r="G2048" s="383">
        <v>4090</v>
      </c>
      <c r="H2048" s="379" t="s">
        <v>27</v>
      </c>
      <c r="I2048" s="379" t="s">
        <v>33</v>
      </c>
      <c r="J2048" s="385">
        <v>22821.84</v>
      </c>
      <c r="L2048" s="385">
        <v>19.93</v>
      </c>
      <c r="M2048" s="385">
        <v>19.93</v>
      </c>
      <c r="N2048" s="386"/>
      <c r="O2048" s="387">
        <v>0.15</v>
      </c>
      <c r="P2048" s="387"/>
      <c r="Q2048" s="386">
        <v>0</v>
      </c>
      <c r="R2048" s="379" t="s">
        <v>146</v>
      </c>
      <c r="S2048" s="388" t="s">
        <v>74</v>
      </c>
      <c r="T2048" s="388">
        <v>31</v>
      </c>
      <c r="U2048" s="389" t="s">
        <v>164</v>
      </c>
      <c r="V2048" s="433"/>
      <c r="X2048" s="386">
        <v>0</v>
      </c>
      <c r="Y2048" s="386"/>
      <c r="AI2048" s="394"/>
      <c r="AJ2048" s="416">
        <v>0</v>
      </c>
    </row>
    <row r="2049" spans="1:77" s="379" customFormat="1" ht="11.25" customHeight="1">
      <c r="B2049" s="379" t="s">
        <v>291</v>
      </c>
      <c r="C2049" s="381"/>
      <c r="D2049" s="381"/>
      <c r="E2049" s="382" t="s">
        <v>1566</v>
      </c>
      <c r="F2049" s="379" t="s">
        <v>1567</v>
      </c>
      <c r="G2049" s="383">
        <v>4090</v>
      </c>
      <c r="H2049" s="379" t="s">
        <v>765</v>
      </c>
      <c r="I2049" s="379" t="s">
        <v>33</v>
      </c>
      <c r="J2049" s="385">
        <v>13939.73</v>
      </c>
      <c r="L2049" s="385">
        <v>17.86</v>
      </c>
      <c r="M2049" s="385">
        <v>17.86</v>
      </c>
      <c r="N2049" s="386"/>
      <c r="O2049" s="387">
        <v>0.15</v>
      </c>
      <c r="P2049" s="387"/>
      <c r="Q2049" s="386">
        <v>1034.54</v>
      </c>
      <c r="R2049" s="379" t="s">
        <v>146</v>
      </c>
      <c r="S2049" s="388" t="s">
        <v>74</v>
      </c>
      <c r="T2049" s="388">
        <v>31</v>
      </c>
      <c r="U2049" s="389" t="s">
        <v>164</v>
      </c>
      <c r="V2049" s="433"/>
      <c r="X2049" s="386">
        <v>1034.54</v>
      </c>
      <c r="Y2049" s="386"/>
      <c r="AI2049" s="394"/>
      <c r="AJ2049" s="416">
        <v>1034.54</v>
      </c>
    </row>
    <row r="2050" spans="1:77" s="205" customFormat="1" ht="11.25" customHeight="1">
      <c r="A2050" s="379"/>
      <c r="B2050" s="380" t="s">
        <v>291</v>
      </c>
      <c r="C2050" s="381"/>
      <c r="D2050" s="381"/>
      <c r="E2050" s="382" t="s">
        <v>1568</v>
      </c>
      <c r="F2050" s="379" t="s">
        <v>211</v>
      </c>
      <c r="G2050" s="383">
        <v>4254</v>
      </c>
      <c r="H2050" s="379" t="s">
        <v>910</v>
      </c>
      <c r="I2050" s="379" t="s">
        <v>33</v>
      </c>
      <c r="J2050" s="385">
        <v>127465.60000000001</v>
      </c>
      <c r="K2050" s="379"/>
      <c r="L2050" s="385">
        <v>61</v>
      </c>
      <c r="M2050" s="385">
        <v>61</v>
      </c>
      <c r="N2050" s="386"/>
      <c r="O2050" s="387">
        <v>0.25</v>
      </c>
      <c r="P2050" s="387"/>
      <c r="Q2050" s="386">
        <v>0</v>
      </c>
      <c r="R2050" s="379" t="s">
        <v>73</v>
      </c>
      <c r="S2050" s="388" t="s">
        <v>74</v>
      </c>
      <c r="T2050" s="388">
        <v>31</v>
      </c>
      <c r="U2050" s="389" t="s">
        <v>164</v>
      </c>
      <c r="V2050" s="433"/>
      <c r="W2050" s="379"/>
      <c r="X2050" s="386">
        <v>0</v>
      </c>
      <c r="Y2050" s="386"/>
      <c r="Z2050" s="379"/>
      <c r="AA2050" s="379"/>
      <c r="AB2050" s="379"/>
      <c r="AC2050" s="379"/>
      <c r="AD2050" s="379"/>
      <c r="AE2050" s="379"/>
      <c r="AF2050" s="379"/>
      <c r="AG2050" s="379"/>
      <c r="AH2050" s="379"/>
      <c r="AI2050" s="394"/>
      <c r="AJ2050" s="390">
        <v>0</v>
      </c>
      <c r="AK2050" s="379"/>
      <c r="AL2050" s="379"/>
      <c r="AM2050" s="379"/>
      <c r="AN2050" s="379"/>
      <c r="AO2050" s="379"/>
      <c r="AP2050" s="379"/>
      <c r="AQ2050" s="379"/>
      <c r="AR2050" s="379"/>
      <c r="AS2050" s="379"/>
      <c r="AT2050" s="379"/>
      <c r="AU2050" s="379"/>
      <c r="AV2050" s="379"/>
      <c r="AW2050" s="379"/>
      <c r="AX2050" s="379"/>
      <c r="AY2050" s="379"/>
      <c r="AZ2050" s="379"/>
      <c r="BA2050" s="379"/>
      <c r="BB2050" s="379"/>
      <c r="BC2050" s="379"/>
      <c r="BD2050" s="379"/>
      <c r="BE2050" s="379"/>
      <c r="BF2050" s="379"/>
      <c r="BG2050" s="379"/>
      <c r="BH2050" s="379"/>
      <c r="BI2050" s="379"/>
      <c r="BJ2050" s="379"/>
      <c r="BK2050" s="379"/>
      <c r="BL2050" s="379"/>
      <c r="BM2050" s="379"/>
      <c r="BN2050" s="379"/>
      <c r="BO2050" s="379"/>
      <c r="BP2050" s="379"/>
      <c r="BQ2050" s="379"/>
      <c r="BR2050" s="379"/>
      <c r="BS2050" s="379"/>
      <c r="BT2050" s="379"/>
      <c r="BU2050" s="379"/>
      <c r="BV2050" s="379"/>
      <c r="BW2050" s="379"/>
      <c r="BX2050" s="379"/>
      <c r="BY2050" s="379"/>
    </row>
    <row r="2051" spans="1:77" s="205" customFormat="1" ht="11.25" customHeight="1">
      <c r="A2051" s="394"/>
      <c r="B2051" s="380" t="s">
        <v>291</v>
      </c>
      <c r="C2051" s="392"/>
      <c r="D2051" s="392"/>
      <c r="E2051" s="382" t="s">
        <v>1568</v>
      </c>
      <c r="F2051" s="379" t="s">
        <v>211</v>
      </c>
      <c r="G2051" s="383">
        <v>4254</v>
      </c>
      <c r="H2051" s="394" t="s">
        <v>814</v>
      </c>
      <c r="I2051" s="379" t="s">
        <v>33</v>
      </c>
      <c r="J2051" s="395">
        <v>9916.48</v>
      </c>
      <c r="K2051" s="394"/>
      <c r="L2051" s="395">
        <v>9.32</v>
      </c>
      <c r="M2051" s="395">
        <v>9.32</v>
      </c>
      <c r="N2051" s="396"/>
      <c r="O2051" s="387">
        <v>0.25</v>
      </c>
      <c r="P2051" s="397"/>
      <c r="Q2051" s="396">
        <v>0</v>
      </c>
      <c r="R2051" s="379" t="s">
        <v>73</v>
      </c>
      <c r="S2051" s="388" t="s">
        <v>74</v>
      </c>
      <c r="T2051" s="388">
        <v>31</v>
      </c>
      <c r="U2051" s="398" t="s">
        <v>164</v>
      </c>
      <c r="V2051" s="449"/>
      <c r="W2051" s="394"/>
      <c r="X2051" s="396">
        <v>0</v>
      </c>
      <c r="Y2051" s="396"/>
      <c r="Z2051" s="394"/>
      <c r="AA2051" s="394"/>
      <c r="AB2051" s="394"/>
      <c r="AC2051" s="394"/>
      <c r="AD2051" s="394"/>
      <c r="AE2051" s="394"/>
      <c r="AF2051" s="394"/>
      <c r="AG2051" s="394"/>
      <c r="AH2051" s="394"/>
      <c r="AI2051" s="394"/>
      <c r="AJ2051" s="390">
        <v>0</v>
      </c>
      <c r="AK2051" s="379"/>
      <c r="AL2051" s="379"/>
      <c r="AM2051" s="379"/>
      <c r="AN2051" s="379"/>
      <c r="AO2051" s="379"/>
      <c r="AP2051" s="379"/>
      <c r="AQ2051" s="379"/>
      <c r="AR2051" s="379"/>
      <c r="AS2051" s="379"/>
      <c r="AT2051" s="379"/>
      <c r="AU2051" s="379"/>
      <c r="AV2051" s="379"/>
      <c r="AW2051" s="379"/>
      <c r="AX2051" s="379"/>
      <c r="AY2051" s="379"/>
      <c r="AZ2051" s="379"/>
      <c r="BA2051" s="379"/>
      <c r="BB2051" s="379"/>
      <c r="BC2051" s="379"/>
      <c r="BD2051" s="379"/>
      <c r="BE2051" s="379"/>
      <c r="BF2051" s="379"/>
      <c r="BG2051" s="379"/>
      <c r="BH2051" s="379"/>
      <c r="BI2051" s="379"/>
      <c r="BJ2051" s="379"/>
      <c r="BK2051" s="379"/>
      <c r="BL2051" s="379"/>
      <c r="BM2051" s="379"/>
      <c r="BN2051" s="379"/>
      <c r="BO2051" s="379"/>
      <c r="BP2051" s="379"/>
      <c r="BQ2051" s="379"/>
      <c r="BR2051" s="379"/>
      <c r="BS2051" s="379"/>
      <c r="BT2051" s="379"/>
      <c r="BU2051" s="379"/>
      <c r="BV2051" s="379"/>
      <c r="BW2051" s="379"/>
      <c r="BX2051" s="379"/>
      <c r="BY2051" s="379"/>
    </row>
    <row r="2052" spans="1:77" s="205" customFormat="1" ht="11.25" customHeight="1">
      <c r="B2052" s="206" t="s">
        <v>291</v>
      </c>
      <c r="C2052" s="207">
        <v>44714</v>
      </c>
      <c r="D2052" s="207">
        <v>44714</v>
      </c>
      <c r="E2052" s="208" t="s">
        <v>1568</v>
      </c>
      <c r="F2052" s="205" t="s">
        <v>211</v>
      </c>
      <c r="G2052" s="209">
        <v>4254</v>
      </c>
      <c r="H2052" s="205" t="s">
        <v>138</v>
      </c>
      <c r="I2052" s="205" t="s">
        <v>33</v>
      </c>
      <c r="J2052" s="210">
        <v>11825.48</v>
      </c>
      <c r="L2052" s="210">
        <v>8.8699999999999992</v>
      </c>
      <c r="M2052" s="210">
        <v>8.8699999999999992</v>
      </c>
      <c r="N2052" s="213"/>
      <c r="O2052" s="212">
        <v>0.25</v>
      </c>
      <c r="P2052" s="212"/>
      <c r="Q2052" s="213">
        <v>0</v>
      </c>
      <c r="R2052" s="205" t="s">
        <v>73</v>
      </c>
      <c r="S2052" s="214" t="s">
        <v>74</v>
      </c>
      <c r="T2052" s="214">
        <v>31</v>
      </c>
      <c r="U2052" s="215" t="s">
        <v>164</v>
      </c>
      <c r="V2052" s="438"/>
      <c r="X2052" s="213">
        <v>0</v>
      </c>
      <c r="Y2052" s="213"/>
      <c r="AF2052" s="230">
        <f>X2052</f>
        <v>0</v>
      </c>
      <c r="AI2052" s="218"/>
      <c r="AJ2052" s="216"/>
    </row>
    <row r="2053" spans="1:77" s="205" customFormat="1" ht="11.25" customHeight="1">
      <c r="B2053" s="206" t="s">
        <v>291</v>
      </c>
      <c r="C2053" s="207"/>
      <c r="D2053" s="207"/>
      <c r="E2053" s="208" t="s">
        <v>1568</v>
      </c>
      <c r="F2053" s="205" t="s">
        <v>211</v>
      </c>
      <c r="G2053" s="209">
        <v>4254</v>
      </c>
      <c r="H2053" s="205" t="s">
        <v>99</v>
      </c>
      <c r="I2053" s="205" t="s">
        <v>33</v>
      </c>
      <c r="J2053" s="210">
        <v>34104</v>
      </c>
      <c r="L2053" s="210">
        <v>28.42</v>
      </c>
      <c r="M2053" s="210">
        <v>28.42</v>
      </c>
      <c r="N2053" s="213"/>
      <c r="O2053" s="212">
        <v>0.25</v>
      </c>
      <c r="P2053" s="212"/>
      <c r="Q2053" s="213">
        <v>0</v>
      </c>
      <c r="R2053" s="205" t="s">
        <v>73</v>
      </c>
      <c r="S2053" s="214" t="s">
        <v>74</v>
      </c>
      <c r="T2053" s="214">
        <v>31</v>
      </c>
      <c r="U2053" s="215" t="s">
        <v>164</v>
      </c>
      <c r="V2053" s="438"/>
      <c r="X2053" s="213">
        <v>0</v>
      </c>
      <c r="Y2053" s="213"/>
      <c r="AF2053" s="230">
        <f>X2053</f>
        <v>0</v>
      </c>
      <c r="AI2053" s="218"/>
      <c r="AJ2053" s="216"/>
    </row>
    <row r="2054" spans="1:77" s="218" customFormat="1" ht="12" customHeight="1">
      <c r="A2054" s="205"/>
      <c r="B2054" s="206" t="s">
        <v>291</v>
      </c>
      <c r="C2054" s="207"/>
      <c r="D2054" s="207"/>
      <c r="E2054" s="208" t="s">
        <v>1568</v>
      </c>
      <c r="F2054" s="205" t="s">
        <v>211</v>
      </c>
      <c r="G2054" s="209">
        <v>4254</v>
      </c>
      <c r="H2054" s="205" t="s">
        <v>27</v>
      </c>
      <c r="I2054" s="205" t="s">
        <v>33</v>
      </c>
      <c r="J2054" s="210">
        <v>59850</v>
      </c>
      <c r="K2054" s="205"/>
      <c r="L2054" s="210">
        <v>35</v>
      </c>
      <c r="M2054" s="210">
        <v>35</v>
      </c>
      <c r="N2054" s="213"/>
      <c r="O2054" s="212">
        <v>0.25</v>
      </c>
      <c r="P2054" s="212"/>
      <c r="Q2054" s="213">
        <v>2541.96</v>
      </c>
      <c r="R2054" s="205" t="s">
        <v>73</v>
      </c>
      <c r="S2054" s="214" t="s">
        <v>74</v>
      </c>
      <c r="T2054" s="214">
        <v>31</v>
      </c>
      <c r="U2054" s="215" t="s">
        <v>164</v>
      </c>
      <c r="V2054" s="438"/>
      <c r="W2054" s="205"/>
      <c r="X2054" s="213">
        <v>2541.96</v>
      </c>
      <c r="Y2054" s="213"/>
      <c r="Z2054" s="205"/>
      <c r="AA2054" s="205"/>
      <c r="AB2054" s="205"/>
      <c r="AC2054" s="205"/>
      <c r="AD2054" s="205"/>
      <c r="AE2054" s="205"/>
      <c r="AF2054" s="230">
        <f>X2054</f>
        <v>2541.96</v>
      </c>
      <c r="AG2054" s="205"/>
      <c r="AH2054" s="205"/>
      <c r="AJ2054" s="216"/>
      <c r="AK2054" s="205"/>
      <c r="AL2054" s="205"/>
      <c r="AM2054" s="205"/>
      <c r="AN2054" s="205"/>
      <c r="AO2054" s="205"/>
      <c r="AP2054" s="205"/>
      <c r="AQ2054" s="205"/>
      <c r="AR2054" s="205"/>
      <c r="AS2054" s="205"/>
      <c r="AT2054" s="205"/>
      <c r="AU2054" s="205"/>
      <c r="AV2054" s="205"/>
      <c r="AW2054" s="205"/>
      <c r="AX2054" s="205"/>
      <c r="AY2054" s="205"/>
      <c r="AZ2054" s="205"/>
      <c r="BA2054" s="205"/>
      <c r="BB2054" s="205"/>
      <c r="BC2054" s="205"/>
      <c r="BD2054" s="205"/>
      <c r="BE2054" s="205"/>
      <c r="BF2054" s="205"/>
      <c r="BG2054" s="205"/>
      <c r="BH2054" s="205"/>
      <c r="BI2054" s="205"/>
      <c r="BJ2054" s="205"/>
      <c r="BK2054" s="205"/>
      <c r="BL2054" s="205"/>
      <c r="BM2054" s="205"/>
      <c r="BN2054" s="205"/>
      <c r="BO2054" s="205"/>
      <c r="BP2054" s="205"/>
      <c r="BQ2054" s="205"/>
      <c r="BR2054" s="205"/>
      <c r="BS2054" s="205"/>
      <c r="BT2054" s="205"/>
      <c r="BU2054" s="205"/>
      <c r="BV2054" s="205"/>
      <c r="BW2054" s="205"/>
      <c r="BX2054" s="205"/>
      <c r="BY2054" s="205"/>
    </row>
    <row r="2055" spans="1:77" s="273" customFormat="1" ht="11.25" customHeight="1">
      <c r="B2055" s="270" t="s">
        <v>291</v>
      </c>
      <c r="C2055" s="271">
        <v>44711</v>
      </c>
      <c r="D2055" s="271">
        <v>44712</v>
      </c>
      <c r="E2055" s="272" t="s">
        <v>1569</v>
      </c>
      <c r="F2055" s="273" t="s">
        <v>1570</v>
      </c>
      <c r="G2055" s="276">
        <v>3650</v>
      </c>
      <c r="H2055" s="273" t="s">
        <v>99</v>
      </c>
      <c r="I2055" s="273" t="s">
        <v>33</v>
      </c>
      <c r="J2055" s="277">
        <v>45244.66</v>
      </c>
      <c r="L2055" s="277">
        <v>34.479999999999997</v>
      </c>
      <c r="M2055" s="277">
        <v>34.479999999999997</v>
      </c>
      <c r="N2055" s="275"/>
      <c r="O2055" s="278">
        <v>0.3</v>
      </c>
      <c r="P2055" s="278"/>
      <c r="Q2055" s="275">
        <v>0</v>
      </c>
      <c r="R2055" s="261" t="s">
        <v>35</v>
      </c>
      <c r="S2055" s="267" t="s">
        <v>41</v>
      </c>
      <c r="T2055" s="267">
        <v>86</v>
      </c>
      <c r="U2055" s="274" t="s">
        <v>164</v>
      </c>
      <c r="V2055" s="454"/>
      <c r="X2055" s="275">
        <v>0</v>
      </c>
      <c r="Y2055" s="275"/>
      <c r="AG2055" s="273">
        <f>X2055</f>
        <v>0</v>
      </c>
      <c r="AJ2055" s="642"/>
      <c r="AK2055" s="261"/>
      <c r="AL2055" s="261"/>
      <c r="AM2055" s="261"/>
      <c r="AN2055" s="261"/>
      <c r="AO2055" s="261"/>
      <c r="AP2055" s="261"/>
      <c r="AQ2055" s="261"/>
      <c r="AR2055" s="261"/>
      <c r="AS2055" s="261"/>
      <c r="AT2055" s="261"/>
      <c r="AU2055" s="261"/>
      <c r="AV2055" s="261"/>
      <c r="AW2055" s="261"/>
      <c r="AX2055" s="261"/>
      <c r="AY2055" s="261"/>
      <c r="AZ2055" s="261"/>
      <c r="BA2055" s="261"/>
      <c r="BB2055" s="261"/>
      <c r="BC2055" s="261"/>
      <c r="BD2055" s="261"/>
      <c r="BE2055" s="261"/>
      <c r="BF2055" s="261"/>
      <c r="BG2055" s="261"/>
      <c r="BH2055" s="261"/>
      <c r="BI2055" s="261"/>
      <c r="BJ2055" s="261"/>
      <c r="BK2055" s="261"/>
      <c r="BL2055" s="261"/>
      <c r="BM2055" s="261"/>
      <c r="BN2055" s="261"/>
      <c r="BO2055" s="261"/>
      <c r="BP2055" s="261"/>
      <c r="BQ2055" s="261"/>
      <c r="BR2055" s="261"/>
      <c r="BS2055" s="261"/>
      <c r="BT2055" s="261"/>
      <c r="BU2055" s="261"/>
      <c r="BV2055" s="261"/>
      <c r="BW2055" s="261"/>
      <c r="BX2055" s="261"/>
      <c r="BY2055" s="261"/>
    </row>
    <row r="2056" spans="1:77" s="273" customFormat="1" ht="11.25" customHeight="1">
      <c r="B2056" s="270" t="s">
        <v>291</v>
      </c>
      <c r="C2056" s="271"/>
      <c r="D2056" s="271"/>
      <c r="E2056" s="272" t="s">
        <v>1569</v>
      </c>
      <c r="F2056" s="273" t="s">
        <v>1570</v>
      </c>
      <c r="G2056" s="276">
        <v>3650</v>
      </c>
      <c r="H2056" s="273" t="s">
        <v>99</v>
      </c>
      <c r="I2056" s="273" t="s">
        <v>33</v>
      </c>
      <c r="J2056" s="277">
        <v>18672.61</v>
      </c>
      <c r="L2056" s="277">
        <v>14.23</v>
      </c>
      <c r="M2056" s="277">
        <v>14.23</v>
      </c>
      <c r="N2056" s="275"/>
      <c r="O2056" s="278">
        <v>0.3</v>
      </c>
      <c r="P2056" s="278"/>
      <c r="Q2056" s="275">
        <v>0</v>
      </c>
      <c r="R2056" s="261" t="s">
        <v>35</v>
      </c>
      <c r="S2056" s="267" t="s">
        <v>41</v>
      </c>
      <c r="T2056" s="267">
        <v>16</v>
      </c>
      <c r="U2056" s="274" t="s">
        <v>164</v>
      </c>
      <c r="V2056" s="454"/>
      <c r="W2056" s="273" t="s">
        <v>3727</v>
      </c>
      <c r="X2056" s="275">
        <v>0</v>
      </c>
      <c r="Y2056" s="275"/>
      <c r="AG2056" s="273">
        <f>X2056</f>
        <v>0</v>
      </c>
      <c r="AJ2056" s="642"/>
      <c r="AK2056" s="261"/>
      <c r="AL2056" s="261"/>
      <c r="AM2056" s="261"/>
      <c r="AN2056" s="261"/>
      <c r="AO2056" s="261"/>
      <c r="AP2056" s="261"/>
      <c r="AQ2056" s="261"/>
      <c r="AR2056" s="261"/>
      <c r="AS2056" s="261"/>
      <c r="AT2056" s="261"/>
      <c r="AU2056" s="261"/>
      <c r="AV2056" s="261"/>
      <c r="AW2056" s="261"/>
      <c r="AX2056" s="261"/>
      <c r="AY2056" s="261"/>
      <c r="AZ2056" s="261"/>
      <c r="BA2056" s="261"/>
      <c r="BB2056" s="261"/>
      <c r="BC2056" s="261"/>
      <c r="BD2056" s="261"/>
      <c r="BE2056" s="261"/>
      <c r="BF2056" s="261"/>
      <c r="BG2056" s="261"/>
      <c r="BH2056" s="261"/>
      <c r="BI2056" s="261"/>
      <c r="BJ2056" s="261"/>
      <c r="BK2056" s="261"/>
      <c r="BL2056" s="261"/>
      <c r="BM2056" s="261"/>
      <c r="BN2056" s="261"/>
      <c r="BO2056" s="261"/>
      <c r="BP2056" s="261"/>
      <c r="BQ2056" s="261"/>
      <c r="BR2056" s="261"/>
      <c r="BS2056" s="261"/>
      <c r="BT2056" s="261"/>
      <c r="BU2056" s="261"/>
      <c r="BV2056" s="261"/>
      <c r="BW2056" s="261"/>
      <c r="BX2056" s="261"/>
      <c r="BY2056" s="261"/>
    </row>
    <row r="2057" spans="1:77" s="273" customFormat="1" ht="11.25" customHeight="1">
      <c r="B2057" s="270" t="s">
        <v>291</v>
      </c>
      <c r="C2057" s="271"/>
      <c r="D2057" s="271"/>
      <c r="E2057" s="272" t="s">
        <v>1569</v>
      </c>
      <c r="F2057" s="273" t="s">
        <v>1570</v>
      </c>
      <c r="G2057" s="276">
        <v>3650</v>
      </c>
      <c r="H2057" s="273" t="s">
        <v>310</v>
      </c>
      <c r="I2057" s="273" t="s">
        <v>33</v>
      </c>
      <c r="J2057" s="277">
        <v>6092.56</v>
      </c>
      <c r="L2057" s="277">
        <v>7.42</v>
      </c>
      <c r="M2057" s="277">
        <v>7.42</v>
      </c>
      <c r="N2057" s="275">
        <f>0.4*J2057</f>
        <v>2437.0240000000003</v>
      </c>
      <c r="O2057" s="278">
        <v>0.3</v>
      </c>
      <c r="P2057" s="278"/>
      <c r="Q2057" s="275">
        <v>0</v>
      </c>
      <c r="R2057" s="261" t="s">
        <v>35</v>
      </c>
      <c r="S2057" s="267" t="s">
        <v>41</v>
      </c>
      <c r="T2057" s="267">
        <v>16</v>
      </c>
      <c r="U2057" s="274" t="s">
        <v>164</v>
      </c>
      <c r="V2057" s="454"/>
      <c r="W2057" s="273" t="s">
        <v>3727</v>
      </c>
      <c r="X2057" s="275">
        <v>0</v>
      </c>
      <c r="Y2057" s="275"/>
      <c r="AG2057" s="273">
        <f>X2057</f>
        <v>0</v>
      </c>
      <c r="AJ2057" s="642"/>
      <c r="AK2057" s="261"/>
      <c r="AL2057" s="261"/>
      <c r="AM2057" s="261"/>
      <c r="AN2057" s="261"/>
      <c r="AO2057" s="261"/>
      <c r="AP2057" s="261"/>
      <c r="AQ2057" s="261"/>
      <c r="AR2057" s="261"/>
      <c r="AS2057" s="261"/>
      <c r="AT2057" s="261"/>
      <c r="AU2057" s="261"/>
      <c r="AV2057" s="261"/>
      <c r="AW2057" s="261"/>
      <c r="AX2057" s="261"/>
      <c r="AY2057" s="261"/>
      <c r="AZ2057" s="261"/>
      <c r="BA2057" s="261"/>
      <c r="BB2057" s="261"/>
      <c r="BC2057" s="261"/>
      <c r="BD2057" s="261"/>
      <c r="BE2057" s="261"/>
      <c r="BF2057" s="261"/>
      <c r="BG2057" s="261"/>
      <c r="BH2057" s="261"/>
      <c r="BI2057" s="261"/>
      <c r="BJ2057" s="261"/>
      <c r="BK2057" s="261"/>
      <c r="BL2057" s="261"/>
      <c r="BM2057" s="261"/>
      <c r="BN2057" s="261"/>
      <c r="BO2057" s="261"/>
      <c r="BP2057" s="261"/>
      <c r="BQ2057" s="261"/>
      <c r="BR2057" s="261"/>
      <c r="BS2057" s="261"/>
      <c r="BT2057" s="261"/>
      <c r="BU2057" s="261"/>
      <c r="BV2057" s="261"/>
      <c r="BW2057" s="261"/>
      <c r="BX2057" s="261"/>
      <c r="BY2057" s="261"/>
    </row>
    <row r="2058" spans="1:77" s="273" customFormat="1" ht="11.25" customHeight="1">
      <c r="B2058" s="270" t="s">
        <v>291</v>
      </c>
      <c r="C2058" s="271"/>
      <c r="D2058" s="271"/>
      <c r="E2058" s="272" t="s">
        <v>1569</v>
      </c>
      <c r="F2058" s="273" t="s">
        <v>1570</v>
      </c>
      <c r="G2058" s="276">
        <v>3650</v>
      </c>
      <c r="H2058" s="273" t="s">
        <v>27</v>
      </c>
      <c r="I2058" s="273" t="s">
        <v>33</v>
      </c>
      <c r="J2058" s="277">
        <v>3641.4</v>
      </c>
      <c r="L2058" s="277">
        <v>3</v>
      </c>
      <c r="M2058" s="277">
        <v>3</v>
      </c>
      <c r="N2058" s="275"/>
      <c r="O2058" s="278">
        <v>0.3</v>
      </c>
      <c r="P2058" s="278"/>
      <c r="Q2058" s="275">
        <v>0</v>
      </c>
      <c r="R2058" s="261" t="s">
        <v>35</v>
      </c>
      <c r="S2058" s="267" t="s">
        <v>41</v>
      </c>
      <c r="T2058" s="267">
        <v>86</v>
      </c>
      <c r="U2058" s="274" t="s">
        <v>164</v>
      </c>
      <c r="V2058" s="454"/>
      <c r="X2058" s="275">
        <v>0</v>
      </c>
      <c r="Y2058" s="275"/>
      <c r="AG2058" s="273">
        <f>X2058</f>
        <v>0</v>
      </c>
      <c r="AJ2058" s="642"/>
      <c r="AK2058" s="261"/>
      <c r="AL2058" s="261"/>
      <c r="AM2058" s="261"/>
      <c r="AN2058" s="261"/>
      <c r="AO2058" s="261"/>
      <c r="AP2058" s="261"/>
      <c r="AQ2058" s="261"/>
      <c r="AR2058" s="261"/>
      <c r="AS2058" s="261"/>
      <c r="AT2058" s="261"/>
      <c r="AU2058" s="261"/>
      <c r="AV2058" s="261"/>
      <c r="AW2058" s="261"/>
      <c r="AX2058" s="261"/>
      <c r="AY2058" s="261"/>
      <c r="AZ2058" s="261"/>
      <c r="BA2058" s="261"/>
      <c r="BB2058" s="261"/>
      <c r="BC2058" s="261"/>
      <c r="BD2058" s="261"/>
      <c r="BE2058" s="261"/>
      <c r="BF2058" s="261"/>
      <c r="BG2058" s="261"/>
      <c r="BH2058" s="261"/>
      <c r="BI2058" s="261"/>
      <c r="BJ2058" s="261"/>
      <c r="BK2058" s="261"/>
      <c r="BL2058" s="261"/>
      <c r="BM2058" s="261"/>
      <c r="BN2058" s="261"/>
      <c r="BO2058" s="261"/>
      <c r="BP2058" s="261"/>
      <c r="BQ2058" s="261"/>
      <c r="BR2058" s="261"/>
      <c r="BS2058" s="261"/>
      <c r="BT2058" s="261"/>
      <c r="BU2058" s="261"/>
      <c r="BV2058" s="261"/>
      <c r="BW2058" s="261"/>
      <c r="BX2058" s="261"/>
      <c r="BY2058" s="261"/>
    </row>
    <row r="2059" spans="1:77" s="250" customFormat="1" ht="11.25" customHeight="1">
      <c r="A2059" s="394"/>
      <c r="B2059" s="406" t="s">
        <v>291</v>
      </c>
      <c r="C2059" s="392"/>
      <c r="D2059" s="392"/>
      <c r="E2059" s="393" t="s">
        <v>1571</v>
      </c>
      <c r="F2059" s="394" t="s">
        <v>1572</v>
      </c>
      <c r="G2059" s="400">
        <v>4012</v>
      </c>
      <c r="H2059" s="394" t="s">
        <v>910</v>
      </c>
      <c r="I2059" s="394" t="s">
        <v>33</v>
      </c>
      <c r="J2059" s="395">
        <v>60328.800000000003</v>
      </c>
      <c r="K2059" s="394"/>
      <c r="L2059" s="395">
        <v>28</v>
      </c>
      <c r="M2059" s="395">
        <v>28</v>
      </c>
      <c r="N2059" s="396"/>
      <c r="O2059" s="397">
        <v>0.2</v>
      </c>
      <c r="P2059" s="397"/>
      <c r="Q2059" s="396">
        <v>0</v>
      </c>
      <c r="R2059" s="379" t="s">
        <v>146</v>
      </c>
      <c r="S2059" s="388" t="s">
        <v>74</v>
      </c>
      <c r="T2059" s="388">
        <v>31</v>
      </c>
      <c r="U2059" s="398" t="s">
        <v>164</v>
      </c>
      <c r="V2059" s="449"/>
      <c r="W2059" s="394"/>
      <c r="X2059" s="396">
        <v>0</v>
      </c>
      <c r="Y2059" s="396"/>
      <c r="Z2059" s="394"/>
      <c r="AA2059" s="394"/>
      <c r="AB2059" s="394"/>
      <c r="AC2059" s="394"/>
      <c r="AD2059" s="394"/>
      <c r="AE2059" s="394"/>
      <c r="AF2059" s="394"/>
      <c r="AG2059" s="394"/>
      <c r="AH2059" s="394"/>
      <c r="AI2059" s="394"/>
      <c r="AJ2059" s="390">
        <v>0</v>
      </c>
      <c r="AK2059" s="379"/>
      <c r="AL2059" s="379"/>
      <c r="AM2059" s="379"/>
      <c r="AN2059" s="379"/>
      <c r="AO2059" s="379"/>
      <c r="AP2059" s="379"/>
      <c r="AQ2059" s="379"/>
      <c r="AR2059" s="379"/>
      <c r="AS2059" s="379"/>
      <c r="AT2059" s="379"/>
      <c r="AU2059" s="379"/>
      <c r="AV2059" s="379"/>
      <c r="AW2059" s="379"/>
      <c r="AX2059" s="379"/>
      <c r="AY2059" s="379"/>
      <c r="AZ2059" s="379"/>
      <c r="BA2059" s="379"/>
      <c r="BB2059" s="379"/>
      <c r="BC2059" s="379"/>
      <c r="BD2059" s="379"/>
      <c r="BE2059" s="379"/>
      <c r="BF2059" s="379"/>
      <c r="BG2059" s="379"/>
      <c r="BH2059" s="379"/>
      <c r="BI2059" s="379"/>
      <c r="BJ2059" s="379"/>
      <c r="BK2059" s="379"/>
      <c r="BL2059" s="379"/>
      <c r="BM2059" s="379"/>
      <c r="BN2059" s="379"/>
      <c r="BO2059" s="379"/>
      <c r="BP2059" s="379"/>
      <c r="BQ2059" s="379"/>
      <c r="BR2059" s="379"/>
      <c r="BS2059" s="379"/>
      <c r="BT2059" s="379"/>
      <c r="BU2059" s="379"/>
      <c r="BV2059" s="379"/>
      <c r="BW2059" s="379"/>
      <c r="BX2059" s="379"/>
      <c r="BY2059" s="379"/>
    </row>
    <row r="2060" spans="1:77" s="218" customFormat="1" ht="11.25" customHeight="1">
      <c r="A2060" s="394"/>
      <c r="B2060" s="406" t="s">
        <v>291</v>
      </c>
      <c r="C2060" s="392"/>
      <c r="D2060" s="392"/>
      <c r="E2060" s="393" t="s">
        <v>1571</v>
      </c>
      <c r="F2060" s="394" t="s">
        <v>1572</v>
      </c>
      <c r="G2060" s="400">
        <v>4012</v>
      </c>
      <c r="H2060" s="394" t="s">
        <v>814</v>
      </c>
      <c r="I2060" s="394" t="s">
        <v>33</v>
      </c>
      <c r="J2060" s="395">
        <v>17192</v>
      </c>
      <c r="K2060" s="394"/>
      <c r="L2060" s="395">
        <v>14</v>
      </c>
      <c r="M2060" s="395">
        <v>14</v>
      </c>
      <c r="N2060" s="396"/>
      <c r="O2060" s="397">
        <v>0.2</v>
      </c>
      <c r="P2060" s="397"/>
      <c r="Q2060" s="396">
        <v>0</v>
      </c>
      <c r="R2060" s="379" t="s">
        <v>146</v>
      </c>
      <c r="S2060" s="388" t="s">
        <v>74</v>
      </c>
      <c r="T2060" s="388">
        <v>31</v>
      </c>
      <c r="U2060" s="398" t="s">
        <v>164</v>
      </c>
      <c r="V2060" s="449"/>
      <c r="W2060" s="394"/>
      <c r="X2060" s="396">
        <v>0</v>
      </c>
      <c r="Y2060" s="396"/>
      <c r="Z2060" s="394"/>
      <c r="AA2060" s="394"/>
      <c r="AB2060" s="394"/>
      <c r="AC2060" s="394"/>
      <c r="AD2060" s="394"/>
      <c r="AE2060" s="394"/>
      <c r="AF2060" s="394"/>
      <c r="AG2060" s="394"/>
      <c r="AH2060" s="394"/>
      <c r="AI2060" s="394"/>
      <c r="AJ2060" s="390">
        <v>0</v>
      </c>
      <c r="AK2060" s="379"/>
      <c r="AL2060" s="379"/>
      <c r="AM2060" s="379"/>
      <c r="AN2060" s="379"/>
      <c r="AO2060" s="379"/>
      <c r="AP2060" s="379"/>
      <c r="AQ2060" s="379"/>
      <c r="AR2060" s="379"/>
      <c r="AS2060" s="379"/>
      <c r="AT2060" s="379"/>
      <c r="AU2060" s="379"/>
      <c r="AV2060" s="379"/>
      <c r="AW2060" s="379"/>
      <c r="AX2060" s="379"/>
      <c r="AY2060" s="379"/>
      <c r="AZ2060" s="379"/>
      <c r="BA2060" s="379"/>
      <c r="BB2060" s="379"/>
      <c r="BC2060" s="379"/>
      <c r="BD2060" s="379"/>
      <c r="BE2060" s="379"/>
      <c r="BF2060" s="379"/>
      <c r="BG2060" s="379"/>
      <c r="BH2060" s="379"/>
      <c r="BI2060" s="379"/>
      <c r="BJ2060" s="379"/>
      <c r="BK2060" s="379"/>
      <c r="BL2060" s="379"/>
      <c r="BM2060" s="379"/>
      <c r="BN2060" s="379"/>
      <c r="BO2060" s="379"/>
      <c r="BP2060" s="379"/>
      <c r="BQ2060" s="379"/>
      <c r="BR2060" s="379"/>
      <c r="BS2060" s="379"/>
      <c r="BT2060" s="379"/>
      <c r="BU2060" s="379"/>
      <c r="BV2060" s="379"/>
      <c r="BW2060" s="379"/>
      <c r="BX2060" s="379"/>
      <c r="BY2060" s="379"/>
    </row>
    <row r="2061" spans="1:77" s="394" customFormat="1" ht="11.25" customHeight="1">
      <c r="B2061" s="406" t="s">
        <v>291</v>
      </c>
      <c r="C2061" s="392"/>
      <c r="D2061" s="392"/>
      <c r="E2061" s="393" t="s">
        <v>1571</v>
      </c>
      <c r="F2061" s="394" t="s">
        <v>1572</v>
      </c>
      <c r="G2061" s="400">
        <v>4012</v>
      </c>
      <c r="H2061" s="394" t="s">
        <v>765</v>
      </c>
      <c r="I2061" s="394" t="s">
        <v>33</v>
      </c>
      <c r="J2061" s="395">
        <v>13380</v>
      </c>
      <c r="L2061" s="395">
        <v>15</v>
      </c>
      <c r="M2061" s="395">
        <v>15</v>
      </c>
      <c r="N2061" s="396"/>
      <c r="O2061" s="397">
        <v>0.2</v>
      </c>
      <c r="P2061" s="397"/>
      <c r="Q2061" s="396">
        <v>0</v>
      </c>
      <c r="R2061" s="379" t="s">
        <v>146</v>
      </c>
      <c r="S2061" s="388" t="s">
        <v>74</v>
      </c>
      <c r="T2061" s="388">
        <v>31</v>
      </c>
      <c r="U2061" s="398" t="s">
        <v>164</v>
      </c>
      <c r="V2061" s="449"/>
      <c r="X2061" s="396">
        <v>0</v>
      </c>
      <c r="Y2061" s="396"/>
      <c r="AJ2061" s="390">
        <v>0</v>
      </c>
      <c r="AK2061" s="379"/>
      <c r="AL2061" s="379"/>
      <c r="AM2061" s="379"/>
      <c r="AN2061" s="379"/>
      <c r="AO2061" s="379"/>
      <c r="AP2061" s="379"/>
      <c r="AQ2061" s="379"/>
      <c r="AR2061" s="379"/>
      <c r="AS2061" s="379"/>
      <c r="AT2061" s="379"/>
      <c r="AU2061" s="379"/>
      <c r="AV2061" s="379"/>
      <c r="AW2061" s="379"/>
      <c r="AX2061" s="379"/>
      <c r="AY2061" s="379"/>
      <c r="AZ2061" s="379"/>
      <c r="BA2061" s="379"/>
      <c r="BB2061" s="379"/>
      <c r="BC2061" s="379"/>
      <c r="BD2061" s="379"/>
      <c r="BE2061" s="379"/>
      <c r="BF2061" s="379"/>
      <c r="BG2061" s="379"/>
      <c r="BH2061" s="379"/>
      <c r="BI2061" s="379"/>
      <c r="BJ2061" s="379"/>
      <c r="BK2061" s="379"/>
      <c r="BL2061" s="379"/>
      <c r="BM2061" s="379"/>
      <c r="BN2061" s="379"/>
      <c r="BO2061" s="379"/>
      <c r="BP2061" s="379"/>
      <c r="BQ2061" s="379"/>
      <c r="BR2061" s="379"/>
      <c r="BS2061" s="379"/>
      <c r="BT2061" s="379"/>
      <c r="BU2061" s="379"/>
      <c r="BV2061" s="379"/>
      <c r="BW2061" s="379"/>
      <c r="BX2061" s="379"/>
      <c r="BY2061" s="379"/>
    </row>
    <row r="2062" spans="1:77" s="273" customFormat="1" ht="11.25" customHeight="1">
      <c r="B2062" s="270" t="s">
        <v>291</v>
      </c>
      <c r="C2062" s="271">
        <v>44714</v>
      </c>
      <c r="D2062" s="271">
        <v>44714</v>
      </c>
      <c r="E2062" s="272" t="s">
        <v>1571</v>
      </c>
      <c r="F2062" s="273" t="s">
        <v>1572</v>
      </c>
      <c r="G2062" s="276">
        <v>4012</v>
      </c>
      <c r="H2062" s="273" t="s">
        <v>138</v>
      </c>
      <c r="I2062" s="273" t="s">
        <v>33</v>
      </c>
      <c r="J2062" s="277">
        <v>29640</v>
      </c>
      <c r="L2062" s="277">
        <v>26</v>
      </c>
      <c r="M2062" s="277">
        <v>26</v>
      </c>
      <c r="N2062" s="275"/>
      <c r="O2062" s="278">
        <v>0.2</v>
      </c>
      <c r="P2062" s="278"/>
      <c r="Q2062" s="275">
        <v>0</v>
      </c>
      <c r="R2062" s="261" t="s">
        <v>146</v>
      </c>
      <c r="S2062" s="267" t="s">
        <v>74</v>
      </c>
      <c r="T2062" s="267">
        <v>31</v>
      </c>
      <c r="U2062" s="274" t="s">
        <v>164</v>
      </c>
      <c r="V2062" s="454"/>
      <c r="X2062" s="275">
        <v>0</v>
      </c>
      <c r="Y2062" s="275"/>
      <c r="AG2062" s="273">
        <f>X2062</f>
        <v>0</v>
      </c>
      <c r="AJ2062" s="642"/>
      <c r="AK2062" s="261"/>
      <c r="AL2062" s="261"/>
      <c r="AM2062" s="261"/>
      <c r="AN2062" s="261"/>
      <c r="AO2062" s="261"/>
      <c r="AP2062" s="261"/>
      <c r="AQ2062" s="261"/>
      <c r="AR2062" s="261"/>
      <c r="AS2062" s="261"/>
      <c r="AT2062" s="261"/>
      <c r="AU2062" s="261"/>
      <c r="AV2062" s="261"/>
      <c r="AW2062" s="261"/>
      <c r="AX2062" s="261"/>
      <c r="AY2062" s="261"/>
      <c r="AZ2062" s="261"/>
      <c r="BA2062" s="261"/>
      <c r="BB2062" s="261"/>
      <c r="BC2062" s="261"/>
      <c r="BD2062" s="261"/>
      <c r="BE2062" s="261"/>
      <c r="BF2062" s="261"/>
      <c r="BG2062" s="261"/>
      <c r="BH2062" s="261"/>
      <c r="BI2062" s="261"/>
      <c r="BJ2062" s="261"/>
      <c r="BK2062" s="261"/>
      <c r="BL2062" s="261"/>
      <c r="BM2062" s="261"/>
      <c r="BN2062" s="261"/>
      <c r="BO2062" s="261"/>
      <c r="BP2062" s="261"/>
      <c r="BQ2062" s="261"/>
      <c r="BR2062" s="261"/>
      <c r="BS2062" s="261"/>
      <c r="BT2062" s="261"/>
      <c r="BU2062" s="261"/>
      <c r="BV2062" s="261"/>
      <c r="BW2062" s="261"/>
      <c r="BX2062" s="261"/>
      <c r="BY2062" s="261"/>
    </row>
    <row r="2063" spans="1:77" s="218" customFormat="1" ht="11.25" customHeight="1">
      <c r="B2063" s="229" t="s">
        <v>291</v>
      </c>
      <c r="C2063" s="225"/>
      <c r="D2063" s="225"/>
      <c r="E2063" s="226" t="s">
        <v>1571</v>
      </c>
      <c r="F2063" s="218" t="s">
        <v>1572</v>
      </c>
      <c r="G2063" s="220">
        <v>4012</v>
      </c>
      <c r="H2063" s="218" t="s">
        <v>99</v>
      </c>
      <c r="I2063" s="218" t="s">
        <v>33</v>
      </c>
      <c r="J2063" s="222">
        <v>25920</v>
      </c>
      <c r="L2063" s="222">
        <v>24</v>
      </c>
      <c r="M2063" s="222">
        <v>24</v>
      </c>
      <c r="N2063" s="223"/>
      <c r="O2063" s="224">
        <v>0.2</v>
      </c>
      <c r="P2063" s="224"/>
      <c r="Q2063" s="223">
        <v>0</v>
      </c>
      <c r="R2063" s="205" t="s">
        <v>146</v>
      </c>
      <c r="S2063" s="214" t="s">
        <v>74</v>
      </c>
      <c r="T2063" s="214">
        <v>31</v>
      </c>
      <c r="U2063" s="227" t="s">
        <v>164</v>
      </c>
      <c r="V2063" s="455"/>
      <c r="X2063" s="223">
        <v>0</v>
      </c>
      <c r="Y2063" s="223"/>
      <c r="AF2063" s="230">
        <f>X2063</f>
        <v>0</v>
      </c>
      <c r="AJ2063" s="216"/>
      <c r="AK2063" s="205"/>
      <c r="AL2063" s="205"/>
      <c r="AM2063" s="205"/>
      <c r="AN2063" s="205"/>
      <c r="AO2063" s="205"/>
      <c r="AP2063" s="205"/>
      <c r="AQ2063" s="205"/>
      <c r="AR2063" s="205"/>
      <c r="AS2063" s="205"/>
      <c r="AT2063" s="205"/>
      <c r="AU2063" s="205"/>
      <c r="AV2063" s="205"/>
      <c r="AW2063" s="205"/>
      <c r="AX2063" s="205"/>
      <c r="AY2063" s="205"/>
      <c r="AZ2063" s="205"/>
      <c r="BA2063" s="205"/>
      <c r="BB2063" s="205"/>
      <c r="BC2063" s="205"/>
      <c r="BD2063" s="205"/>
      <c r="BE2063" s="205"/>
      <c r="BF2063" s="205"/>
      <c r="BG2063" s="205"/>
      <c r="BH2063" s="205"/>
      <c r="BI2063" s="205"/>
      <c r="BJ2063" s="205"/>
      <c r="BK2063" s="205"/>
      <c r="BL2063" s="205"/>
      <c r="BM2063" s="205"/>
      <c r="BN2063" s="205"/>
      <c r="BO2063" s="205"/>
      <c r="BP2063" s="205"/>
      <c r="BQ2063" s="205"/>
      <c r="BR2063" s="205"/>
      <c r="BS2063" s="205"/>
      <c r="BT2063" s="205"/>
      <c r="BU2063" s="205"/>
      <c r="BV2063" s="205"/>
      <c r="BW2063" s="205"/>
      <c r="BX2063" s="205"/>
      <c r="BY2063" s="205"/>
    </row>
    <row r="2064" spans="1:77" s="218" customFormat="1" ht="11.25" customHeight="1">
      <c r="B2064" s="229" t="s">
        <v>291</v>
      </c>
      <c r="C2064" s="225"/>
      <c r="D2064" s="225"/>
      <c r="E2064" s="226" t="s">
        <v>1571</v>
      </c>
      <c r="F2064" s="218" t="s">
        <v>1572</v>
      </c>
      <c r="G2064" s="220">
        <v>4012</v>
      </c>
      <c r="H2064" s="218" t="s">
        <v>183</v>
      </c>
      <c r="I2064" s="218" t="s">
        <v>33</v>
      </c>
      <c r="J2064" s="222">
        <v>9318.5499999999993</v>
      </c>
      <c r="L2064" s="222">
        <v>9.5</v>
      </c>
      <c r="M2064" s="222">
        <v>9.5</v>
      </c>
      <c r="N2064" s="223"/>
      <c r="O2064" s="224">
        <v>0.2</v>
      </c>
      <c r="P2064" s="224"/>
      <c r="Q2064" s="223">
        <v>0</v>
      </c>
      <c r="R2064" s="205" t="s">
        <v>146</v>
      </c>
      <c r="S2064" s="214" t="s">
        <v>74</v>
      </c>
      <c r="T2064" s="214">
        <v>31</v>
      </c>
      <c r="U2064" s="227" t="s">
        <v>164</v>
      </c>
      <c r="V2064" s="455"/>
      <c r="X2064" s="223">
        <v>0</v>
      </c>
      <c r="Y2064" s="223"/>
      <c r="AF2064" s="230">
        <f>X2064</f>
        <v>0</v>
      </c>
      <c r="AJ2064" s="216"/>
      <c r="AK2064" s="205"/>
      <c r="AL2064" s="205"/>
      <c r="AM2064" s="205"/>
      <c r="AN2064" s="205"/>
      <c r="AO2064" s="205"/>
      <c r="AP2064" s="205"/>
      <c r="AQ2064" s="205"/>
      <c r="AR2064" s="205"/>
      <c r="AS2064" s="205"/>
      <c r="AT2064" s="205"/>
      <c r="AU2064" s="205"/>
      <c r="AV2064" s="205"/>
      <c r="AW2064" s="205"/>
      <c r="AX2064" s="205"/>
      <c r="AY2064" s="205"/>
      <c r="AZ2064" s="205"/>
      <c r="BA2064" s="205"/>
      <c r="BB2064" s="205"/>
      <c r="BC2064" s="205"/>
      <c r="BD2064" s="205"/>
      <c r="BE2064" s="205"/>
      <c r="BF2064" s="205"/>
      <c r="BG2064" s="205"/>
      <c r="BH2064" s="205"/>
      <c r="BI2064" s="205"/>
      <c r="BJ2064" s="205"/>
      <c r="BK2064" s="205"/>
      <c r="BL2064" s="205"/>
      <c r="BM2064" s="205"/>
      <c r="BN2064" s="205"/>
      <c r="BO2064" s="205"/>
      <c r="BP2064" s="205"/>
      <c r="BQ2064" s="205"/>
      <c r="BR2064" s="205"/>
      <c r="BS2064" s="205"/>
      <c r="BT2064" s="205"/>
      <c r="BU2064" s="205"/>
      <c r="BV2064" s="205"/>
      <c r="BW2064" s="205"/>
      <c r="BX2064" s="205"/>
      <c r="BY2064" s="205"/>
    </row>
    <row r="2065" spans="1:77" s="117" customFormat="1" ht="11.25" customHeight="1">
      <c r="A2065" s="472"/>
      <c r="B2065" s="501" t="s">
        <v>291</v>
      </c>
      <c r="C2065" s="474">
        <v>44714</v>
      </c>
      <c r="D2065" s="474">
        <v>44714</v>
      </c>
      <c r="E2065" s="475" t="s">
        <v>1573</v>
      </c>
      <c r="F2065" s="472" t="s">
        <v>1574</v>
      </c>
      <c r="G2065" s="476" t="s">
        <v>1575</v>
      </c>
      <c r="H2065" s="472" t="s">
        <v>138</v>
      </c>
      <c r="I2065" s="472" t="s">
        <v>33</v>
      </c>
      <c r="J2065" s="477">
        <v>24717.040000000001</v>
      </c>
      <c r="K2065" s="472"/>
      <c r="L2065" s="477">
        <v>20.36</v>
      </c>
      <c r="M2065" s="477">
        <v>20.36</v>
      </c>
      <c r="N2065" s="478"/>
      <c r="O2065" s="480">
        <v>0.15</v>
      </c>
      <c r="P2065" s="480"/>
      <c r="Q2065" s="478">
        <v>1504.6</v>
      </c>
      <c r="R2065" s="473" t="s">
        <v>73</v>
      </c>
      <c r="S2065" s="481" t="s">
        <v>74</v>
      </c>
      <c r="T2065" s="481">
        <v>31</v>
      </c>
      <c r="U2065" s="483" t="s">
        <v>164</v>
      </c>
      <c r="V2065" s="484"/>
      <c r="W2065" s="472"/>
      <c r="X2065" s="478">
        <v>1504.6</v>
      </c>
      <c r="Y2065" s="478"/>
      <c r="Z2065" s="472"/>
      <c r="AA2065" s="472"/>
      <c r="AB2065" s="472"/>
      <c r="AC2065" s="472"/>
      <c r="AD2065" s="472"/>
      <c r="AE2065" s="472"/>
      <c r="AF2065" s="472"/>
      <c r="AG2065" s="472"/>
      <c r="AH2065" s="472"/>
      <c r="AI2065" s="472"/>
      <c r="AJ2065" s="485"/>
      <c r="AK2065" s="506">
        <v>1504.6</v>
      </c>
      <c r="AL2065" s="473"/>
      <c r="AM2065" s="473"/>
      <c r="AN2065" s="473"/>
      <c r="AO2065" s="473"/>
      <c r="AP2065" s="473"/>
      <c r="AQ2065" s="473"/>
      <c r="AR2065" s="473"/>
      <c r="AS2065" s="473"/>
      <c r="AT2065" s="473"/>
      <c r="AU2065" s="473"/>
      <c r="AV2065" s="473"/>
      <c r="AW2065" s="473"/>
      <c r="AX2065" s="473"/>
      <c r="AY2065" s="473"/>
      <c r="AZ2065" s="473"/>
      <c r="BA2065" s="473"/>
      <c r="BB2065" s="473"/>
      <c r="BC2065" s="473"/>
      <c r="BD2065" s="473"/>
      <c r="BE2065" s="473"/>
      <c r="BF2065" s="473"/>
      <c r="BG2065" s="473"/>
      <c r="BH2065" s="473"/>
      <c r="BI2065" s="473"/>
      <c r="BJ2065" s="473"/>
      <c r="BK2065" s="473"/>
      <c r="BL2065" s="473"/>
      <c r="BM2065" s="473"/>
      <c r="BN2065" s="473"/>
      <c r="BO2065" s="473"/>
      <c r="BP2065" s="473"/>
      <c r="BQ2065" s="473"/>
      <c r="BR2065" s="473"/>
      <c r="BS2065" s="473"/>
      <c r="BT2065" s="473"/>
      <c r="BU2065" s="473"/>
      <c r="BV2065" s="473"/>
      <c r="BW2065" s="473"/>
      <c r="BX2065" s="473"/>
      <c r="BY2065" s="473"/>
    </row>
    <row r="2066" spans="1:77" s="472" customFormat="1" ht="11.25" customHeight="1">
      <c r="B2066" s="501" t="s">
        <v>291</v>
      </c>
      <c r="C2066" s="474"/>
      <c r="D2066" s="474"/>
      <c r="E2066" s="475" t="s">
        <v>1573</v>
      </c>
      <c r="F2066" s="472" t="s">
        <v>1574</v>
      </c>
      <c r="G2066" s="476" t="s">
        <v>1575</v>
      </c>
      <c r="H2066" s="472" t="s">
        <v>99</v>
      </c>
      <c r="I2066" s="472" t="s">
        <v>33</v>
      </c>
      <c r="J2066" s="477">
        <v>16651.8</v>
      </c>
      <c r="L2066" s="477">
        <v>16.82</v>
      </c>
      <c r="M2066" s="477">
        <v>16.82</v>
      </c>
      <c r="N2066" s="478"/>
      <c r="O2066" s="480">
        <v>0.15</v>
      </c>
      <c r="P2066" s="480"/>
      <c r="Q2066" s="478">
        <v>681.21</v>
      </c>
      <c r="R2066" s="473" t="s">
        <v>73</v>
      </c>
      <c r="S2066" s="481" t="s">
        <v>74</v>
      </c>
      <c r="T2066" s="481">
        <v>31</v>
      </c>
      <c r="U2066" s="483" t="s">
        <v>164</v>
      </c>
      <c r="V2066" s="484"/>
      <c r="X2066" s="478">
        <v>681.21</v>
      </c>
      <c r="Y2066" s="478"/>
      <c r="AJ2066" s="485"/>
      <c r="AK2066" s="506">
        <v>681.21</v>
      </c>
      <c r="AL2066" s="473"/>
      <c r="AM2066" s="473"/>
      <c r="AN2066" s="473"/>
      <c r="AO2066" s="473"/>
      <c r="AP2066" s="473"/>
      <c r="AQ2066" s="473"/>
      <c r="AR2066" s="473"/>
      <c r="AS2066" s="473"/>
      <c r="AT2066" s="473"/>
      <c r="AU2066" s="473"/>
      <c r="AV2066" s="473"/>
      <c r="AW2066" s="473"/>
      <c r="AX2066" s="473"/>
      <c r="AY2066" s="473"/>
      <c r="AZ2066" s="473"/>
      <c r="BA2066" s="473"/>
      <c r="BB2066" s="473"/>
      <c r="BC2066" s="473"/>
      <c r="BD2066" s="473"/>
      <c r="BE2066" s="473"/>
      <c r="BF2066" s="473"/>
      <c r="BG2066" s="473"/>
      <c r="BH2066" s="473"/>
      <c r="BI2066" s="473"/>
      <c r="BJ2066" s="473"/>
      <c r="BK2066" s="473"/>
      <c r="BL2066" s="473"/>
      <c r="BM2066" s="473"/>
      <c r="BN2066" s="473"/>
      <c r="BO2066" s="473"/>
      <c r="BP2066" s="473"/>
      <c r="BQ2066" s="473"/>
      <c r="BR2066" s="473"/>
      <c r="BS2066" s="473"/>
      <c r="BT2066" s="473"/>
      <c r="BU2066" s="473"/>
      <c r="BV2066" s="473"/>
      <c r="BW2066" s="473"/>
      <c r="BX2066" s="473"/>
      <c r="BY2066" s="473"/>
    </row>
    <row r="2067" spans="1:77" s="472" customFormat="1" ht="11.25" customHeight="1">
      <c r="B2067" s="501" t="s">
        <v>291</v>
      </c>
      <c r="C2067" s="474"/>
      <c r="D2067" s="474"/>
      <c r="E2067" s="475" t="s">
        <v>1573</v>
      </c>
      <c r="F2067" s="472" t="s">
        <v>1574</v>
      </c>
      <c r="G2067" s="476" t="s">
        <v>1575</v>
      </c>
      <c r="H2067" s="472" t="s">
        <v>183</v>
      </c>
      <c r="I2067" s="472" t="s">
        <v>33</v>
      </c>
      <c r="J2067" s="477">
        <v>3526.22</v>
      </c>
      <c r="L2067" s="477">
        <v>4.7300000000000004</v>
      </c>
      <c r="M2067" s="477">
        <v>4.7300000000000004</v>
      </c>
      <c r="N2067" s="478"/>
      <c r="O2067" s="480">
        <v>0.15</v>
      </c>
      <c r="P2067" s="480"/>
      <c r="Q2067" s="478">
        <v>159.28</v>
      </c>
      <c r="R2067" s="473" t="s">
        <v>73</v>
      </c>
      <c r="S2067" s="481" t="s">
        <v>74</v>
      </c>
      <c r="T2067" s="481">
        <v>31</v>
      </c>
      <c r="U2067" s="483" t="s">
        <v>164</v>
      </c>
      <c r="V2067" s="484"/>
      <c r="X2067" s="478">
        <v>159.28</v>
      </c>
      <c r="Y2067" s="478"/>
      <c r="AJ2067" s="485"/>
      <c r="AK2067" s="506">
        <v>159.28</v>
      </c>
      <c r="AL2067" s="473"/>
      <c r="AM2067" s="473"/>
      <c r="AN2067" s="473"/>
      <c r="AO2067" s="473"/>
      <c r="AP2067" s="473"/>
      <c r="AQ2067" s="473"/>
      <c r="AR2067" s="473"/>
      <c r="AS2067" s="473"/>
      <c r="AT2067" s="473"/>
      <c r="AU2067" s="473"/>
      <c r="AV2067" s="473"/>
      <c r="AW2067" s="473"/>
      <c r="AX2067" s="473"/>
      <c r="AY2067" s="473"/>
      <c r="AZ2067" s="473"/>
      <c r="BA2067" s="473"/>
      <c r="BB2067" s="473"/>
      <c r="BC2067" s="473"/>
      <c r="BD2067" s="473"/>
      <c r="BE2067" s="473"/>
      <c r="BF2067" s="473"/>
      <c r="BG2067" s="473"/>
      <c r="BH2067" s="473"/>
      <c r="BI2067" s="473"/>
      <c r="BJ2067" s="473"/>
      <c r="BK2067" s="473"/>
      <c r="BL2067" s="473"/>
      <c r="BM2067" s="473"/>
      <c r="BN2067" s="473"/>
      <c r="BO2067" s="473"/>
      <c r="BP2067" s="473"/>
      <c r="BQ2067" s="473"/>
      <c r="BR2067" s="473"/>
      <c r="BS2067" s="473"/>
      <c r="BT2067" s="473"/>
      <c r="BU2067" s="473"/>
      <c r="BV2067" s="473"/>
      <c r="BW2067" s="473"/>
      <c r="BX2067" s="473"/>
      <c r="BY2067" s="473"/>
    </row>
    <row r="2068" spans="1:77" s="472" customFormat="1" ht="11.25" customHeight="1">
      <c r="A2068" s="394"/>
      <c r="B2068" s="406" t="s">
        <v>291</v>
      </c>
      <c r="C2068" s="392"/>
      <c r="D2068" s="392"/>
      <c r="E2068" s="393" t="s">
        <v>1573</v>
      </c>
      <c r="F2068" s="394" t="s">
        <v>1574</v>
      </c>
      <c r="G2068" s="400" t="s">
        <v>1575</v>
      </c>
      <c r="H2068" s="394" t="s">
        <v>765</v>
      </c>
      <c r="I2068" s="394" t="s">
        <v>33</v>
      </c>
      <c r="J2068" s="395">
        <v>22567.55</v>
      </c>
      <c r="K2068" s="394"/>
      <c r="L2068" s="395">
        <v>28.69</v>
      </c>
      <c r="M2068" s="395">
        <v>28.69</v>
      </c>
      <c r="N2068" s="396"/>
      <c r="O2068" s="397">
        <v>0.15</v>
      </c>
      <c r="P2068" s="397"/>
      <c r="Q2068" s="396">
        <v>1502.86</v>
      </c>
      <c r="R2068" s="379" t="s">
        <v>73</v>
      </c>
      <c r="S2068" s="388" t="s">
        <v>74</v>
      </c>
      <c r="T2068" s="388">
        <v>31</v>
      </c>
      <c r="U2068" s="398" t="s">
        <v>164</v>
      </c>
      <c r="V2068" s="449"/>
      <c r="W2068" s="394"/>
      <c r="X2068" s="396">
        <v>1502.86</v>
      </c>
      <c r="Y2068" s="396"/>
      <c r="Z2068" s="394"/>
      <c r="AA2068" s="394"/>
      <c r="AB2068" s="394"/>
      <c r="AC2068" s="394"/>
      <c r="AD2068" s="394"/>
      <c r="AE2068" s="394"/>
      <c r="AF2068" s="394"/>
      <c r="AG2068" s="394"/>
      <c r="AH2068" s="394"/>
      <c r="AI2068" s="394"/>
      <c r="AJ2068" s="395">
        <v>1502.86</v>
      </c>
      <c r="AK2068" s="379"/>
      <c r="AL2068" s="379"/>
      <c r="AM2068" s="379"/>
      <c r="AN2068" s="379"/>
      <c r="AO2068" s="379"/>
      <c r="AP2068" s="379"/>
      <c r="AQ2068" s="379"/>
      <c r="AR2068" s="379"/>
      <c r="AS2068" s="379"/>
      <c r="AT2068" s="379"/>
      <c r="AU2068" s="379"/>
      <c r="AV2068" s="379"/>
      <c r="AW2068" s="379"/>
      <c r="AX2068" s="379"/>
      <c r="AY2068" s="379"/>
      <c r="AZ2068" s="379"/>
      <c r="BA2068" s="379"/>
      <c r="BB2068" s="379"/>
      <c r="BC2068" s="379"/>
      <c r="BD2068" s="379"/>
      <c r="BE2068" s="379"/>
      <c r="BF2068" s="379"/>
      <c r="BG2068" s="379"/>
      <c r="BH2068" s="379"/>
      <c r="BI2068" s="379"/>
      <c r="BJ2068" s="379"/>
      <c r="BK2068" s="379"/>
      <c r="BL2068" s="379"/>
      <c r="BM2068" s="379"/>
      <c r="BN2068" s="379"/>
      <c r="BO2068" s="379"/>
      <c r="BP2068" s="379"/>
      <c r="BQ2068" s="379"/>
      <c r="BR2068" s="379"/>
      <c r="BS2068" s="379"/>
      <c r="BT2068" s="379"/>
      <c r="BU2068" s="379"/>
      <c r="BV2068" s="379"/>
      <c r="BW2068" s="379"/>
      <c r="BX2068" s="379"/>
      <c r="BY2068" s="379"/>
    </row>
    <row r="2069" spans="1:77" s="394" customFormat="1" ht="11.25" customHeight="1">
      <c r="B2069" s="406" t="s">
        <v>291</v>
      </c>
      <c r="C2069" s="392">
        <v>44714</v>
      </c>
      <c r="D2069" s="392">
        <v>44714</v>
      </c>
      <c r="E2069" s="393" t="s">
        <v>1576</v>
      </c>
      <c r="F2069" s="394" t="s">
        <v>1577</v>
      </c>
      <c r="G2069" s="400">
        <v>4055</v>
      </c>
      <c r="H2069" s="394" t="s">
        <v>140</v>
      </c>
      <c r="I2069" s="394" t="s">
        <v>33</v>
      </c>
      <c r="J2069" s="395">
        <v>26688.75</v>
      </c>
      <c r="L2069" s="395">
        <v>19.41</v>
      </c>
      <c r="M2069" s="395">
        <v>19.600000000000001</v>
      </c>
      <c r="N2069" s="396"/>
      <c r="O2069" s="397">
        <v>0.2</v>
      </c>
      <c r="P2069" s="397"/>
      <c r="Q2069" s="396">
        <v>2038.05</v>
      </c>
      <c r="R2069" s="379" t="s">
        <v>146</v>
      </c>
      <c r="S2069" s="388" t="s">
        <v>74</v>
      </c>
      <c r="T2069" s="388">
        <v>31</v>
      </c>
      <c r="U2069" s="398" t="s">
        <v>164</v>
      </c>
      <c r="V2069" s="449"/>
      <c r="X2069" s="396">
        <v>2038.05</v>
      </c>
      <c r="Y2069" s="396"/>
      <c r="AJ2069" s="395">
        <v>2038.05</v>
      </c>
      <c r="AK2069" s="379"/>
      <c r="AL2069" s="379"/>
      <c r="AM2069" s="379"/>
      <c r="AN2069" s="379"/>
      <c r="AO2069" s="379"/>
      <c r="AP2069" s="379"/>
      <c r="AQ2069" s="379"/>
      <c r="AR2069" s="379"/>
      <c r="AS2069" s="379"/>
      <c r="AT2069" s="379"/>
      <c r="AU2069" s="379"/>
      <c r="AV2069" s="379"/>
      <c r="AW2069" s="379"/>
      <c r="AX2069" s="379"/>
      <c r="AY2069" s="379"/>
      <c r="AZ2069" s="379"/>
      <c r="BA2069" s="379"/>
      <c r="BB2069" s="379"/>
      <c r="BC2069" s="379"/>
      <c r="BD2069" s="379"/>
      <c r="BE2069" s="379"/>
      <c r="BF2069" s="379"/>
      <c r="BG2069" s="379"/>
      <c r="BH2069" s="379"/>
      <c r="BI2069" s="379"/>
      <c r="BJ2069" s="379"/>
      <c r="BK2069" s="379"/>
      <c r="BL2069" s="379"/>
      <c r="BM2069" s="379"/>
      <c r="BN2069" s="379"/>
      <c r="BO2069" s="379"/>
      <c r="BP2069" s="379"/>
      <c r="BQ2069" s="379"/>
      <c r="BR2069" s="379"/>
      <c r="BS2069" s="379"/>
      <c r="BT2069" s="379"/>
      <c r="BU2069" s="379"/>
      <c r="BV2069" s="379"/>
      <c r="BW2069" s="379"/>
      <c r="BX2069" s="379"/>
      <c r="BY2069" s="379"/>
    </row>
    <row r="2070" spans="1:77" s="184" customFormat="1" ht="11.25" customHeight="1">
      <c r="B2070" s="202" t="s">
        <v>291</v>
      </c>
      <c r="C2070" s="192">
        <v>44714</v>
      </c>
      <c r="D2070" s="192">
        <v>44715</v>
      </c>
      <c r="E2070" s="193" t="s">
        <v>1578</v>
      </c>
      <c r="F2070" s="184" t="s">
        <v>1579</v>
      </c>
      <c r="G2070" s="194">
        <v>4001</v>
      </c>
      <c r="H2070" s="184" t="s">
        <v>99</v>
      </c>
      <c r="I2070" s="184" t="s">
        <v>888</v>
      </c>
      <c r="J2070" s="195">
        <v>12293</v>
      </c>
      <c r="L2070" s="195">
        <v>10</v>
      </c>
      <c r="M2070" s="195">
        <v>10</v>
      </c>
      <c r="N2070" s="196"/>
      <c r="O2070" s="197">
        <v>0.2</v>
      </c>
      <c r="P2070" s="197"/>
      <c r="Q2070" s="196">
        <v>0</v>
      </c>
      <c r="R2070" s="181" t="s">
        <v>142</v>
      </c>
      <c r="S2070" s="187" t="s">
        <v>41</v>
      </c>
      <c r="T2070" s="187">
        <v>24</v>
      </c>
      <c r="U2070" s="198" t="s">
        <v>164</v>
      </c>
      <c r="V2070" s="450"/>
      <c r="W2070" s="184" t="s">
        <v>2702</v>
      </c>
      <c r="X2070" s="196">
        <v>0</v>
      </c>
      <c r="Y2070" s="196"/>
      <c r="AE2070" s="235">
        <f>X2070</f>
        <v>0</v>
      </c>
      <c r="AJ2070" s="189"/>
      <c r="AK2070" s="181"/>
      <c r="AL2070" s="181"/>
      <c r="AM2070" s="181"/>
      <c r="AN2070" s="181"/>
      <c r="AO2070" s="181"/>
      <c r="AP2070" s="181"/>
      <c r="AQ2070" s="181"/>
      <c r="AR2070" s="181"/>
      <c r="AS2070" s="181"/>
      <c r="AT2070" s="181"/>
      <c r="AU2070" s="181"/>
      <c r="AV2070" s="181"/>
      <c r="AW2070" s="181"/>
      <c r="AX2070" s="181"/>
      <c r="AY2070" s="181"/>
      <c r="AZ2070" s="181"/>
      <c r="BA2070" s="181"/>
      <c r="BB2070" s="181"/>
      <c r="BC2070" s="181"/>
      <c r="BD2070" s="181"/>
      <c r="BE2070" s="181"/>
      <c r="BF2070" s="181"/>
      <c r="BG2070" s="181"/>
      <c r="BH2070" s="181"/>
      <c r="BI2070" s="181"/>
      <c r="BJ2070" s="181"/>
      <c r="BK2070" s="181"/>
      <c r="BL2070" s="181"/>
      <c r="BM2070" s="181"/>
      <c r="BN2070" s="181"/>
      <c r="BO2070" s="181"/>
      <c r="BP2070" s="181"/>
      <c r="BQ2070" s="181"/>
      <c r="BR2070" s="181"/>
      <c r="BS2070" s="181"/>
      <c r="BT2070" s="181"/>
      <c r="BU2070" s="181"/>
      <c r="BV2070" s="181"/>
      <c r="BW2070" s="181"/>
      <c r="BX2070" s="181"/>
      <c r="BY2070" s="181"/>
    </row>
    <row r="2071" spans="1:77" s="184" customFormat="1" ht="11.25" customHeight="1">
      <c r="B2071" s="202" t="s">
        <v>291</v>
      </c>
      <c r="C2071" s="192"/>
      <c r="D2071" s="192"/>
      <c r="E2071" s="193" t="s">
        <v>1578</v>
      </c>
      <c r="F2071" s="184" t="s">
        <v>1579</v>
      </c>
      <c r="G2071" s="194">
        <v>4001</v>
      </c>
      <c r="H2071" s="184" t="s">
        <v>137</v>
      </c>
      <c r="I2071" s="184" t="s">
        <v>888</v>
      </c>
      <c r="J2071" s="195">
        <v>13240.8</v>
      </c>
      <c r="L2071" s="195">
        <v>12</v>
      </c>
      <c r="M2071" s="195">
        <v>12</v>
      </c>
      <c r="N2071" s="196"/>
      <c r="O2071" s="197">
        <v>0.2</v>
      </c>
      <c r="P2071" s="197"/>
      <c r="Q2071" s="196">
        <v>0</v>
      </c>
      <c r="R2071" s="181" t="s">
        <v>142</v>
      </c>
      <c r="S2071" s="187" t="s">
        <v>41</v>
      </c>
      <c r="T2071" s="187">
        <v>24</v>
      </c>
      <c r="U2071" s="198" t="s">
        <v>164</v>
      </c>
      <c r="V2071" s="450"/>
      <c r="W2071" s="184" t="s">
        <v>2702</v>
      </c>
      <c r="X2071" s="196">
        <v>0</v>
      </c>
      <c r="Y2071" s="196"/>
      <c r="AE2071" s="235">
        <f>X2071</f>
        <v>0</v>
      </c>
      <c r="AJ2071" s="189"/>
      <c r="AK2071" s="181"/>
      <c r="AL2071" s="181"/>
      <c r="AM2071" s="181"/>
      <c r="AN2071" s="181"/>
      <c r="AO2071" s="181"/>
      <c r="AP2071" s="181"/>
      <c r="AQ2071" s="181"/>
      <c r="AR2071" s="181"/>
      <c r="AS2071" s="181"/>
      <c r="AT2071" s="181"/>
      <c r="AU2071" s="181"/>
      <c r="AV2071" s="181"/>
      <c r="AW2071" s="181"/>
      <c r="AX2071" s="181"/>
      <c r="AY2071" s="181"/>
      <c r="AZ2071" s="181"/>
      <c r="BA2071" s="181"/>
      <c r="BB2071" s="181"/>
      <c r="BC2071" s="181"/>
      <c r="BD2071" s="181"/>
      <c r="BE2071" s="181"/>
      <c r="BF2071" s="181"/>
      <c r="BG2071" s="181"/>
      <c r="BH2071" s="181"/>
      <c r="BI2071" s="181"/>
      <c r="BJ2071" s="181"/>
      <c r="BK2071" s="181"/>
      <c r="BL2071" s="181"/>
      <c r="BM2071" s="181"/>
      <c r="BN2071" s="181"/>
      <c r="BO2071" s="181"/>
      <c r="BP2071" s="181"/>
      <c r="BQ2071" s="181"/>
      <c r="BR2071" s="181"/>
      <c r="BS2071" s="181"/>
      <c r="BT2071" s="181"/>
      <c r="BU2071" s="181"/>
      <c r="BV2071" s="181"/>
      <c r="BW2071" s="181"/>
      <c r="BX2071" s="181"/>
      <c r="BY2071" s="181"/>
    </row>
    <row r="2072" spans="1:77" s="218" customFormat="1" ht="11.25" customHeight="1">
      <c r="B2072" s="229" t="s">
        <v>291</v>
      </c>
      <c r="C2072" s="225">
        <v>44714</v>
      </c>
      <c r="D2072" s="225">
        <v>44714</v>
      </c>
      <c r="E2072" s="226" t="s">
        <v>1593</v>
      </c>
      <c r="F2072" s="218" t="s">
        <v>1592</v>
      </c>
      <c r="G2072" s="220">
        <v>4088</v>
      </c>
      <c r="H2072" s="218" t="s">
        <v>99</v>
      </c>
      <c r="I2072" s="218" t="s">
        <v>33</v>
      </c>
      <c r="J2072" s="222">
        <v>124221.52</v>
      </c>
      <c r="L2072" s="222">
        <v>111.7</v>
      </c>
      <c r="M2072" s="222">
        <v>111.7</v>
      </c>
      <c r="N2072" s="223"/>
      <c r="O2072" s="224">
        <v>0.2</v>
      </c>
      <c r="P2072" s="224"/>
      <c r="Q2072" s="223">
        <v>0</v>
      </c>
      <c r="R2072" s="205" t="s">
        <v>146</v>
      </c>
      <c r="S2072" s="214" t="s">
        <v>74</v>
      </c>
      <c r="T2072" s="214">
        <v>31</v>
      </c>
      <c r="U2072" s="227" t="s">
        <v>164</v>
      </c>
      <c r="V2072" s="455"/>
      <c r="W2072" s="218" t="s">
        <v>3252</v>
      </c>
      <c r="X2072" s="223">
        <v>0</v>
      </c>
      <c r="Y2072" s="223"/>
      <c r="AF2072" s="230">
        <f>X2072</f>
        <v>0</v>
      </c>
      <c r="AJ2072" s="216"/>
      <c r="AK2072" s="205"/>
      <c r="AL2072" s="205"/>
      <c r="AM2072" s="205"/>
      <c r="AN2072" s="205"/>
      <c r="AO2072" s="205"/>
      <c r="AP2072" s="205"/>
      <c r="AQ2072" s="205"/>
      <c r="AR2072" s="205"/>
      <c r="AS2072" s="205"/>
      <c r="AT2072" s="205"/>
      <c r="AU2072" s="205"/>
      <c r="AV2072" s="205"/>
      <c r="AW2072" s="205"/>
      <c r="AX2072" s="205"/>
      <c r="AY2072" s="205"/>
      <c r="AZ2072" s="205"/>
      <c r="BA2072" s="205"/>
      <c r="BB2072" s="205"/>
      <c r="BC2072" s="205"/>
      <c r="BD2072" s="205"/>
      <c r="BE2072" s="205"/>
      <c r="BF2072" s="205"/>
      <c r="BG2072" s="205"/>
      <c r="BH2072" s="205"/>
      <c r="BI2072" s="205"/>
      <c r="BJ2072" s="205"/>
      <c r="BK2072" s="205"/>
      <c r="BL2072" s="205"/>
      <c r="BM2072" s="205"/>
      <c r="BN2072" s="205"/>
      <c r="BO2072" s="205"/>
      <c r="BP2072" s="205"/>
      <c r="BQ2072" s="205"/>
      <c r="BR2072" s="205"/>
      <c r="BS2072" s="205"/>
      <c r="BT2072" s="205"/>
      <c r="BU2072" s="205"/>
      <c r="BV2072" s="205"/>
      <c r="BW2072" s="205"/>
      <c r="BX2072" s="205"/>
      <c r="BY2072" s="205"/>
    </row>
    <row r="2073" spans="1:77" s="218" customFormat="1" ht="11.25" customHeight="1">
      <c r="B2073" s="229" t="s">
        <v>291</v>
      </c>
      <c r="C2073" s="225"/>
      <c r="D2073" s="225"/>
      <c r="E2073" s="226" t="s">
        <v>1593</v>
      </c>
      <c r="F2073" s="218" t="s">
        <v>1592</v>
      </c>
      <c r="G2073" s="220">
        <v>4088</v>
      </c>
      <c r="H2073" s="218" t="s">
        <v>27</v>
      </c>
      <c r="I2073" s="218" t="s">
        <v>33</v>
      </c>
      <c r="J2073" s="222">
        <v>54472.56</v>
      </c>
      <c r="L2073" s="222">
        <v>51.78</v>
      </c>
      <c r="M2073" s="222">
        <v>51.78</v>
      </c>
      <c r="N2073" s="223"/>
      <c r="O2073" s="224">
        <v>0.2</v>
      </c>
      <c r="P2073" s="224"/>
      <c r="Q2073" s="223">
        <v>0</v>
      </c>
      <c r="R2073" s="205" t="s">
        <v>146</v>
      </c>
      <c r="S2073" s="214" t="s">
        <v>74</v>
      </c>
      <c r="T2073" s="214">
        <v>31</v>
      </c>
      <c r="U2073" s="227" t="s">
        <v>164</v>
      </c>
      <c r="V2073" s="455"/>
      <c r="X2073" s="223">
        <v>0</v>
      </c>
      <c r="Y2073" s="223"/>
      <c r="AF2073" s="230">
        <f>X2073</f>
        <v>0</v>
      </c>
      <c r="AJ2073" s="216"/>
      <c r="AK2073" s="205"/>
      <c r="AL2073" s="205"/>
      <c r="AM2073" s="205"/>
      <c r="AN2073" s="205"/>
      <c r="AO2073" s="205"/>
      <c r="AP2073" s="205"/>
      <c r="AQ2073" s="205"/>
      <c r="AR2073" s="205"/>
      <c r="AS2073" s="205"/>
      <c r="AT2073" s="205"/>
      <c r="AU2073" s="205"/>
      <c r="AV2073" s="205"/>
      <c r="AW2073" s="205"/>
      <c r="AX2073" s="205"/>
      <c r="AY2073" s="205"/>
      <c r="AZ2073" s="205"/>
      <c r="BA2073" s="205"/>
      <c r="BB2073" s="205"/>
      <c r="BC2073" s="205"/>
      <c r="BD2073" s="205"/>
      <c r="BE2073" s="205"/>
      <c r="BF2073" s="205"/>
      <c r="BG2073" s="205"/>
      <c r="BH2073" s="205"/>
      <c r="BI2073" s="205"/>
      <c r="BJ2073" s="205"/>
      <c r="BK2073" s="205"/>
      <c r="BL2073" s="205"/>
      <c r="BM2073" s="205"/>
      <c r="BN2073" s="205"/>
      <c r="BO2073" s="205"/>
      <c r="BP2073" s="205"/>
      <c r="BQ2073" s="205"/>
      <c r="BR2073" s="205"/>
      <c r="BS2073" s="205"/>
      <c r="BT2073" s="205"/>
      <c r="BU2073" s="205"/>
      <c r="BV2073" s="205"/>
      <c r="BW2073" s="205"/>
      <c r="BX2073" s="205"/>
      <c r="BY2073" s="205"/>
    </row>
    <row r="2074" spans="1:77" s="394" customFormat="1" ht="11.25" customHeight="1">
      <c r="B2074" s="406" t="s">
        <v>291</v>
      </c>
      <c r="C2074" s="392"/>
      <c r="D2074" s="392"/>
      <c r="E2074" s="393" t="s">
        <v>1593</v>
      </c>
      <c r="F2074" s="394" t="s">
        <v>1592</v>
      </c>
      <c r="G2074" s="400">
        <v>4088</v>
      </c>
      <c r="H2074" s="394" t="s">
        <v>765</v>
      </c>
      <c r="I2074" s="394" t="s">
        <v>33</v>
      </c>
      <c r="J2074" s="395">
        <v>19440</v>
      </c>
      <c r="L2074" s="395">
        <v>15</v>
      </c>
      <c r="M2074" s="395">
        <v>15</v>
      </c>
      <c r="N2074" s="396"/>
      <c r="O2074" s="397">
        <v>0.2</v>
      </c>
      <c r="P2074" s="397"/>
      <c r="Q2074" s="396">
        <v>0</v>
      </c>
      <c r="R2074" s="379" t="s">
        <v>146</v>
      </c>
      <c r="S2074" s="388" t="s">
        <v>74</v>
      </c>
      <c r="T2074" s="388">
        <v>31</v>
      </c>
      <c r="U2074" s="398" t="s">
        <v>164</v>
      </c>
      <c r="V2074" s="449"/>
      <c r="X2074" s="396">
        <v>0</v>
      </c>
      <c r="Y2074" s="396"/>
      <c r="AJ2074" s="390">
        <v>0</v>
      </c>
      <c r="AK2074" s="379"/>
      <c r="AL2074" s="379"/>
      <c r="AM2074" s="379"/>
      <c r="AN2074" s="379"/>
      <c r="AO2074" s="379"/>
      <c r="AP2074" s="379"/>
      <c r="AQ2074" s="379"/>
      <c r="AR2074" s="379"/>
      <c r="AS2074" s="379"/>
      <c r="AT2074" s="379"/>
      <c r="AU2074" s="379"/>
      <c r="AV2074" s="379"/>
      <c r="AW2074" s="379"/>
      <c r="AX2074" s="379"/>
      <c r="AY2074" s="379"/>
      <c r="AZ2074" s="379"/>
      <c r="BA2074" s="379"/>
      <c r="BB2074" s="379"/>
      <c r="BC2074" s="379"/>
      <c r="BD2074" s="379"/>
      <c r="BE2074" s="379"/>
      <c r="BF2074" s="379"/>
      <c r="BG2074" s="379"/>
      <c r="BH2074" s="379"/>
      <c r="BI2074" s="379"/>
      <c r="BJ2074" s="379"/>
      <c r="BK2074" s="379"/>
      <c r="BL2074" s="379"/>
      <c r="BM2074" s="379"/>
      <c r="BN2074" s="379"/>
      <c r="BO2074" s="379"/>
      <c r="BP2074" s="379"/>
      <c r="BQ2074" s="379"/>
      <c r="BR2074" s="379"/>
      <c r="BS2074" s="379"/>
      <c r="BT2074" s="379"/>
      <c r="BU2074" s="379"/>
      <c r="BV2074" s="379"/>
      <c r="BW2074" s="379"/>
      <c r="BX2074" s="379"/>
      <c r="BY2074" s="379"/>
    </row>
    <row r="2075" spans="1:77" s="218" customFormat="1" ht="11.25" customHeight="1">
      <c r="B2075" s="229" t="s">
        <v>291</v>
      </c>
      <c r="C2075" s="225">
        <v>44714</v>
      </c>
      <c r="D2075" s="225">
        <v>44714</v>
      </c>
      <c r="E2075" s="226" t="s">
        <v>1591</v>
      </c>
      <c r="F2075" s="218" t="s">
        <v>1590</v>
      </c>
      <c r="G2075" s="220" t="s">
        <v>1589</v>
      </c>
      <c r="H2075" s="218" t="s">
        <v>99</v>
      </c>
      <c r="I2075" s="218" t="s">
        <v>33</v>
      </c>
      <c r="J2075" s="222">
        <v>22812.3</v>
      </c>
      <c r="L2075" s="222">
        <v>22.95</v>
      </c>
      <c r="M2075" s="222">
        <v>22.95</v>
      </c>
      <c r="N2075" s="223"/>
      <c r="O2075" s="224">
        <v>0.2</v>
      </c>
      <c r="P2075" s="224"/>
      <c r="Q2075" s="223">
        <v>0</v>
      </c>
      <c r="R2075" s="205" t="s">
        <v>146</v>
      </c>
      <c r="S2075" s="214" t="s">
        <v>74</v>
      </c>
      <c r="T2075" s="214">
        <v>31</v>
      </c>
      <c r="U2075" s="227" t="s">
        <v>164</v>
      </c>
      <c r="V2075" s="455"/>
      <c r="X2075" s="223">
        <v>0</v>
      </c>
      <c r="Y2075" s="223"/>
      <c r="AF2075" s="230">
        <f>X2075</f>
        <v>0</v>
      </c>
      <c r="AJ2075" s="216"/>
      <c r="AK2075" s="205"/>
      <c r="AL2075" s="205"/>
      <c r="AM2075" s="205"/>
      <c r="AN2075" s="205"/>
      <c r="AO2075" s="205"/>
      <c r="AP2075" s="205"/>
      <c r="AQ2075" s="205"/>
      <c r="AR2075" s="205"/>
      <c r="AS2075" s="205"/>
      <c r="AT2075" s="205"/>
      <c r="AU2075" s="205"/>
      <c r="AV2075" s="205"/>
      <c r="AW2075" s="205"/>
      <c r="AX2075" s="205"/>
      <c r="AY2075" s="205"/>
      <c r="AZ2075" s="205"/>
      <c r="BA2075" s="205"/>
      <c r="BB2075" s="205"/>
      <c r="BC2075" s="205"/>
      <c r="BD2075" s="205"/>
      <c r="BE2075" s="205"/>
      <c r="BF2075" s="205"/>
      <c r="BG2075" s="205"/>
      <c r="BH2075" s="205"/>
      <c r="BI2075" s="205"/>
      <c r="BJ2075" s="205"/>
      <c r="BK2075" s="205"/>
      <c r="BL2075" s="205"/>
      <c r="BM2075" s="205"/>
      <c r="BN2075" s="205"/>
      <c r="BO2075" s="205"/>
      <c r="BP2075" s="205"/>
      <c r="BQ2075" s="205"/>
      <c r="BR2075" s="205"/>
      <c r="BS2075" s="205"/>
      <c r="BT2075" s="205"/>
      <c r="BU2075" s="205"/>
      <c r="BV2075" s="205"/>
      <c r="BW2075" s="205"/>
      <c r="BX2075" s="205"/>
      <c r="BY2075" s="205"/>
    </row>
    <row r="2076" spans="1:77" s="394" customFormat="1" ht="11.25" customHeight="1">
      <c r="B2076" s="406" t="s">
        <v>291</v>
      </c>
      <c r="C2076" s="392"/>
      <c r="D2076" s="392"/>
      <c r="E2076" s="393" t="s">
        <v>1591</v>
      </c>
      <c r="F2076" s="394" t="s">
        <v>1590</v>
      </c>
      <c r="G2076" s="400" t="s">
        <v>1589</v>
      </c>
      <c r="H2076" s="394" t="s">
        <v>866</v>
      </c>
      <c r="I2076" s="394" t="s">
        <v>33</v>
      </c>
      <c r="J2076" s="395">
        <v>5834.4</v>
      </c>
      <c r="L2076" s="395">
        <v>5.2</v>
      </c>
      <c r="M2076" s="395">
        <v>5.2</v>
      </c>
      <c r="N2076" s="396"/>
      <c r="O2076" s="397">
        <v>0.2</v>
      </c>
      <c r="P2076" s="397"/>
      <c r="Q2076" s="396">
        <v>3101.71</v>
      </c>
      <c r="R2076" s="379" t="s">
        <v>146</v>
      </c>
      <c r="S2076" s="388" t="s">
        <v>74</v>
      </c>
      <c r="T2076" s="388">
        <v>31</v>
      </c>
      <c r="U2076" s="398" t="s">
        <v>164</v>
      </c>
      <c r="V2076" s="449"/>
      <c r="X2076" s="396">
        <v>0</v>
      </c>
      <c r="Y2076" s="396"/>
      <c r="AJ2076" s="390">
        <v>0</v>
      </c>
      <c r="AK2076" s="379"/>
      <c r="AL2076" s="379"/>
      <c r="AM2076" s="379"/>
      <c r="AN2076" s="379"/>
      <c r="AO2076" s="379"/>
      <c r="AP2076" s="379"/>
      <c r="AQ2076" s="379"/>
      <c r="AR2076" s="379"/>
      <c r="AS2076" s="379"/>
      <c r="AT2076" s="379"/>
      <c r="AU2076" s="379"/>
      <c r="AV2076" s="379"/>
      <c r="AW2076" s="379"/>
      <c r="AX2076" s="379"/>
      <c r="AY2076" s="379"/>
      <c r="AZ2076" s="379"/>
      <c r="BA2076" s="379"/>
      <c r="BB2076" s="379"/>
      <c r="BC2076" s="379"/>
      <c r="BD2076" s="379"/>
      <c r="BE2076" s="379"/>
      <c r="BF2076" s="379"/>
      <c r="BG2076" s="379"/>
      <c r="BH2076" s="379"/>
      <c r="BI2076" s="379"/>
      <c r="BJ2076" s="379"/>
      <c r="BK2076" s="379"/>
      <c r="BL2076" s="379"/>
      <c r="BM2076" s="379"/>
      <c r="BN2076" s="379"/>
      <c r="BO2076" s="379"/>
      <c r="BP2076" s="379"/>
      <c r="BQ2076" s="379"/>
      <c r="BR2076" s="379"/>
      <c r="BS2076" s="379"/>
      <c r="BT2076" s="379"/>
      <c r="BU2076" s="379"/>
      <c r="BV2076" s="379"/>
      <c r="BW2076" s="379"/>
      <c r="BX2076" s="379"/>
      <c r="BY2076" s="379"/>
    </row>
    <row r="2077" spans="1:77" s="394" customFormat="1" ht="11.25" customHeight="1">
      <c r="B2077" s="406" t="s">
        <v>291</v>
      </c>
      <c r="C2077" s="392"/>
      <c r="D2077" s="392"/>
      <c r="E2077" s="393" t="s">
        <v>1591</v>
      </c>
      <c r="F2077" s="394" t="s">
        <v>1590</v>
      </c>
      <c r="G2077" s="400" t="s">
        <v>1589</v>
      </c>
      <c r="H2077" s="394" t="s">
        <v>1141</v>
      </c>
      <c r="I2077" s="394" t="s">
        <v>33</v>
      </c>
      <c r="J2077" s="395">
        <v>4641</v>
      </c>
      <c r="L2077" s="395">
        <v>5.2</v>
      </c>
      <c r="M2077" s="395">
        <v>5.2</v>
      </c>
      <c r="N2077" s="396"/>
      <c r="O2077" s="397">
        <v>0.2</v>
      </c>
      <c r="P2077" s="397"/>
      <c r="Q2077" s="396">
        <v>0</v>
      </c>
      <c r="R2077" s="379" t="s">
        <v>146</v>
      </c>
      <c r="S2077" s="388" t="s">
        <v>74</v>
      </c>
      <c r="T2077" s="388">
        <v>31</v>
      </c>
      <c r="U2077" s="398" t="s">
        <v>164</v>
      </c>
      <c r="V2077" s="449"/>
      <c r="X2077" s="396">
        <v>0</v>
      </c>
      <c r="Y2077" s="396"/>
      <c r="AJ2077" s="390">
        <v>0</v>
      </c>
      <c r="AK2077" s="379"/>
      <c r="AL2077" s="379"/>
      <c r="AM2077" s="379"/>
      <c r="AN2077" s="379"/>
      <c r="AO2077" s="379"/>
      <c r="AP2077" s="379"/>
      <c r="AQ2077" s="379"/>
      <c r="AR2077" s="379"/>
      <c r="AS2077" s="379"/>
      <c r="AT2077" s="379"/>
      <c r="AU2077" s="379"/>
      <c r="AV2077" s="379"/>
      <c r="AW2077" s="379"/>
      <c r="AX2077" s="379"/>
      <c r="AY2077" s="379"/>
      <c r="AZ2077" s="379"/>
      <c r="BA2077" s="379"/>
      <c r="BB2077" s="379"/>
      <c r="BC2077" s="379"/>
      <c r="BD2077" s="379"/>
      <c r="BE2077" s="379"/>
      <c r="BF2077" s="379"/>
      <c r="BG2077" s="379"/>
      <c r="BH2077" s="379"/>
      <c r="BI2077" s="379"/>
      <c r="BJ2077" s="379"/>
      <c r="BK2077" s="379"/>
      <c r="BL2077" s="379"/>
      <c r="BM2077" s="379"/>
      <c r="BN2077" s="379"/>
      <c r="BO2077" s="379"/>
      <c r="BP2077" s="379"/>
      <c r="BQ2077" s="379"/>
      <c r="BR2077" s="379"/>
      <c r="BS2077" s="379"/>
      <c r="BT2077" s="379"/>
      <c r="BU2077" s="379"/>
      <c r="BV2077" s="379"/>
      <c r="BW2077" s="379"/>
      <c r="BX2077" s="379"/>
      <c r="BY2077" s="379"/>
    </row>
    <row r="2078" spans="1:77" s="394" customFormat="1" ht="11.25" customHeight="1">
      <c r="B2078" s="406" t="s">
        <v>291</v>
      </c>
      <c r="C2078" s="392"/>
      <c r="D2078" s="392"/>
      <c r="E2078" s="393" t="s">
        <v>1591</v>
      </c>
      <c r="F2078" s="394" t="s">
        <v>1590</v>
      </c>
      <c r="G2078" s="400" t="s">
        <v>1589</v>
      </c>
      <c r="H2078" s="394" t="s">
        <v>765</v>
      </c>
      <c r="I2078" s="394" t="s">
        <v>33</v>
      </c>
      <c r="J2078" s="395">
        <v>5382</v>
      </c>
      <c r="L2078" s="395">
        <v>5.2</v>
      </c>
      <c r="M2078" s="395">
        <v>5.2</v>
      </c>
      <c r="N2078" s="396"/>
      <c r="O2078" s="397">
        <v>0.2</v>
      </c>
      <c r="P2078" s="397"/>
      <c r="Q2078" s="396">
        <v>0</v>
      </c>
      <c r="R2078" s="379" t="s">
        <v>146</v>
      </c>
      <c r="S2078" s="388" t="s">
        <v>74</v>
      </c>
      <c r="T2078" s="388">
        <v>31</v>
      </c>
      <c r="U2078" s="398" t="s">
        <v>164</v>
      </c>
      <c r="V2078" s="449"/>
      <c r="X2078" s="396">
        <v>0</v>
      </c>
      <c r="Y2078" s="396"/>
      <c r="AJ2078" s="390">
        <v>0</v>
      </c>
      <c r="AK2078" s="379"/>
      <c r="AL2078" s="379"/>
      <c r="AM2078" s="379"/>
      <c r="AN2078" s="379"/>
      <c r="AO2078" s="379"/>
      <c r="AP2078" s="379"/>
      <c r="AQ2078" s="379"/>
      <c r="AR2078" s="379"/>
      <c r="AS2078" s="379"/>
      <c r="AT2078" s="379"/>
      <c r="AU2078" s="379"/>
      <c r="AV2078" s="379"/>
      <c r="AW2078" s="379"/>
      <c r="AX2078" s="379"/>
      <c r="AY2078" s="379"/>
      <c r="AZ2078" s="379"/>
      <c r="BA2078" s="379"/>
      <c r="BB2078" s="379"/>
      <c r="BC2078" s="379"/>
      <c r="BD2078" s="379"/>
      <c r="BE2078" s="379"/>
      <c r="BF2078" s="379"/>
      <c r="BG2078" s="379"/>
      <c r="BH2078" s="379"/>
      <c r="BI2078" s="379"/>
      <c r="BJ2078" s="379"/>
      <c r="BK2078" s="379"/>
      <c r="BL2078" s="379"/>
      <c r="BM2078" s="379"/>
      <c r="BN2078" s="379"/>
      <c r="BO2078" s="379"/>
      <c r="BP2078" s="379"/>
      <c r="BQ2078" s="379"/>
      <c r="BR2078" s="379"/>
      <c r="BS2078" s="379"/>
      <c r="BT2078" s="379"/>
      <c r="BU2078" s="379"/>
      <c r="BV2078" s="379"/>
      <c r="BW2078" s="379"/>
      <c r="BX2078" s="379"/>
      <c r="BY2078" s="379"/>
    </row>
    <row r="2079" spans="1:77" s="273" customFormat="1" ht="11.25" customHeight="1">
      <c r="B2079" s="270" t="s">
        <v>291</v>
      </c>
      <c r="C2079" s="271">
        <v>44712</v>
      </c>
      <c r="D2079" s="271">
        <v>44713</v>
      </c>
      <c r="E2079" s="272" t="s">
        <v>1588</v>
      </c>
      <c r="F2079" s="273" t="s">
        <v>1587</v>
      </c>
      <c r="G2079" s="276">
        <v>3595</v>
      </c>
      <c r="H2079" s="273" t="s">
        <v>99</v>
      </c>
      <c r="I2079" s="273" t="s">
        <v>958</v>
      </c>
      <c r="J2079" s="277">
        <v>51757.74</v>
      </c>
      <c r="L2079" s="277">
        <v>42.1</v>
      </c>
      <c r="M2079" s="277">
        <v>42.1</v>
      </c>
      <c r="N2079" s="275"/>
      <c r="O2079" s="278">
        <v>0.25</v>
      </c>
      <c r="P2079" s="278"/>
      <c r="Q2079" s="275">
        <v>0</v>
      </c>
      <c r="R2079" s="261" t="s">
        <v>69</v>
      </c>
      <c r="S2079" s="267" t="s">
        <v>41</v>
      </c>
      <c r="T2079" s="267">
        <v>79</v>
      </c>
      <c r="U2079" s="274" t="s">
        <v>164</v>
      </c>
      <c r="V2079" s="454"/>
      <c r="X2079" s="275">
        <v>0</v>
      </c>
      <c r="Y2079" s="275"/>
      <c r="AG2079" s="273">
        <f>X2079</f>
        <v>0</v>
      </c>
      <c r="AJ2079" s="642"/>
      <c r="AK2079" s="261"/>
      <c r="AL2079" s="261"/>
      <c r="AM2079" s="261"/>
      <c r="AN2079" s="261"/>
      <c r="AO2079" s="261"/>
      <c r="AP2079" s="261"/>
      <c r="AQ2079" s="261"/>
      <c r="AR2079" s="261"/>
      <c r="AS2079" s="261"/>
      <c r="AT2079" s="261"/>
      <c r="AU2079" s="261"/>
      <c r="AV2079" s="261"/>
      <c r="AW2079" s="261"/>
      <c r="AX2079" s="261"/>
      <c r="AY2079" s="261"/>
      <c r="AZ2079" s="261"/>
      <c r="BA2079" s="261"/>
      <c r="BB2079" s="261"/>
      <c r="BC2079" s="261"/>
      <c r="BD2079" s="261"/>
      <c r="BE2079" s="261"/>
      <c r="BF2079" s="261"/>
      <c r="BG2079" s="261"/>
      <c r="BH2079" s="261"/>
      <c r="BI2079" s="261"/>
      <c r="BJ2079" s="261"/>
      <c r="BK2079" s="261"/>
      <c r="BL2079" s="261"/>
      <c r="BM2079" s="261"/>
      <c r="BN2079" s="261"/>
      <c r="BO2079" s="261"/>
      <c r="BP2079" s="261"/>
      <c r="BQ2079" s="261"/>
      <c r="BR2079" s="261"/>
      <c r="BS2079" s="261"/>
      <c r="BT2079" s="261"/>
      <c r="BU2079" s="261"/>
      <c r="BV2079" s="261"/>
      <c r="BW2079" s="261"/>
      <c r="BX2079" s="261"/>
      <c r="BY2079" s="261"/>
    </row>
    <row r="2080" spans="1:77" s="273" customFormat="1" ht="11.25" customHeight="1">
      <c r="B2080" s="270" t="s">
        <v>291</v>
      </c>
      <c r="C2080" s="271"/>
      <c r="D2080" s="271"/>
      <c r="E2080" s="272" t="s">
        <v>1588</v>
      </c>
      <c r="F2080" s="273" t="s">
        <v>1587</v>
      </c>
      <c r="G2080" s="276">
        <v>3595</v>
      </c>
      <c r="H2080" s="273" t="s">
        <v>27</v>
      </c>
      <c r="I2080" s="273" t="s">
        <v>958</v>
      </c>
      <c r="J2080" s="277">
        <v>16759.009999999998</v>
      </c>
      <c r="L2080" s="277">
        <v>13.04</v>
      </c>
      <c r="M2080" s="277">
        <v>13.04</v>
      </c>
      <c r="N2080" s="275"/>
      <c r="O2080" s="278">
        <v>0.25</v>
      </c>
      <c r="P2080" s="278"/>
      <c r="Q2080" s="275">
        <v>0</v>
      </c>
      <c r="R2080" s="261" t="s">
        <v>69</v>
      </c>
      <c r="S2080" s="267" t="s">
        <v>41</v>
      </c>
      <c r="T2080" s="267">
        <v>79</v>
      </c>
      <c r="U2080" s="274" t="s">
        <v>164</v>
      </c>
      <c r="V2080" s="454"/>
      <c r="X2080" s="275">
        <v>0</v>
      </c>
      <c r="Y2080" s="275"/>
      <c r="AG2080" s="273">
        <f>X2080</f>
        <v>0</v>
      </c>
      <c r="AJ2080" s="642"/>
      <c r="AK2080" s="261"/>
      <c r="AL2080" s="261"/>
      <c r="AM2080" s="261"/>
      <c r="AN2080" s="261"/>
      <c r="AO2080" s="261"/>
      <c r="AP2080" s="261"/>
      <c r="AQ2080" s="261"/>
      <c r="AR2080" s="261"/>
      <c r="AS2080" s="261"/>
      <c r="AT2080" s="261"/>
      <c r="AU2080" s="261"/>
      <c r="AV2080" s="261"/>
      <c r="AW2080" s="261"/>
      <c r="AX2080" s="261"/>
      <c r="AY2080" s="261"/>
      <c r="AZ2080" s="261"/>
      <c r="BA2080" s="261"/>
      <c r="BB2080" s="261"/>
      <c r="BC2080" s="261"/>
      <c r="BD2080" s="261"/>
      <c r="BE2080" s="261"/>
      <c r="BF2080" s="261"/>
      <c r="BG2080" s="261"/>
      <c r="BH2080" s="261"/>
      <c r="BI2080" s="261"/>
      <c r="BJ2080" s="261"/>
      <c r="BK2080" s="261"/>
      <c r="BL2080" s="261"/>
      <c r="BM2080" s="261"/>
      <c r="BN2080" s="261"/>
      <c r="BO2080" s="261"/>
      <c r="BP2080" s="261"/>
      <c r="BQ2080" s="261"/>
      <c r="BR2080" s="261"/>
      <c r="BS2080" s="261"/>
      <c r="BT2080" s="261"/>
      <c r="BU2080" s="261"/>
      <c r="BV2080" s="261"/>
      <c r="BW2080" s="261"/>
      <c r="BX2080" s="261"/>
      <c r="BY2080" s="261"/>
    </row>
    <row r="2081" spans="1:77" s="660" customFormat="1" ht="11.25" customHeight="1">
      <c r="B2081" s="664" t="s">
        <v>291</v>
      </c>
      <c r="C2081" s="665">
        <v>44714</v>
      </c>
      <c r="D2081" s="665">
        <v>44714</v>
      </c>
      <c r="E2081" s="666" t="s">
        <v>1586</v>
      </c>
      <c r="F2081" s="660" t="s">
        <v>1585</v>
      </c>
      <c r="G2081" s="667">
        <v>3512</v>
      </c>
      <c r="H2081" s="660" t="s">
        <v>99</v>
      </c>
      <c r="I2081" s="660" t="s">
        <v>888</v>
      </c>
      <c r="J2081" s="668">
        <v>22570.9</v>
      </c>
      <c r="L2081" s="668">
        <v>14.45</v>
      </c>
      <c r="M2081" s="668">
        <v>14.45</v>
      </c>
      <c r="N2081" s="669"/>
      <c r="O2081" s="670">
        <v>0.2</v>
      </c>
      <c r="P2081" s="670"/>
      <c r="Q2081" s="669">
        <v>0</v>
      </c>
      <c r="R2081" s="647" t="s">
        <v>69</v>
      </c>
      <c r="S2081" s="654" t="s">
        <v>34</v>
      </c>
      <c r="T2081" s="654">
        <v>79</v>
      </c>
      <c r="U2081" s="672" t="s">
        <v>164</v>
      </c>
      <c r="V2081" s="673"/>
      <c r="X2081" s="669">
        <v>0</v>
      </c>
      <c r="Y2081" s="669"/>
      <c r="AI2081" s="660">
        <v>0</v>
      </c>
      <c r="AJ2081" s="657"/>
      <c r="AK2081" s="658"/>
      <c r="AL2081" s="647"/>
      <c r="AM2081" s="647"/>
      <c r="AN2081" s="647"/>
      <c r="AO2081" s="647"/>
      <c r="AP2081" s="647"/>
      <c r="AQ2081" s="647"/>
      <c r="AR2081" s="647"/>
      <c r="AS2081" s="647"/>
      <c r="AT2081" s="647"/>
      <c r="AU2081" s="647"/>
      <c r="AV2081" s="647"/>
      <c r="AW2081" s="647"/>
      <c r="AX2081" s="647"/>
      <c r="AY2081" s="647"/>
      <c r="AZ2081" s="647"/>
      <c r="BA2081" s="647"/>
      <c r="BB2081" s="647"/>
      <c r="BC2081" s="647"/>
      <c r="BD2081" s="647"/>
      <c r="BE2081" s="647"/>
      <c r="BF2081" s="647"/>
      <c r="BG2081" s="647"/>
      <c r="BH2081" s="647"/>
      <c r="BI2081" s="647"/>
      <c r="BJ2081" s="647"/>
      <c r="BK2081" s="647"/>
      <c r="BL2081" s="647"/>
      <c r="BM2081" s="647"/>
      <c r="BN2081" s="647"/>
      <c r="BO2081" s="647"/>
      <c r="BP2081" s="647"/>
      <c r="BQ2081" s="647"/>
      <c r="BR2081" s="647"/>
      <c r="BS2081" s="647"/>
      <c r="BT2081" s="647"/>
      <c r="BU2081" s="647"/>
      <c r="BV2081" s="647"/>
      <c r="BW2081" s="647"/>
      <c r="BX2081" s="647"/>
      <c r="BY2081" s="647"/>
    </row>
    <row r="2082" spans="1:77" s="660" customFormat="1" ht="11.25" customHeight="1">
      <c r="B2082" s="664" t="s">
        <v>291</v>
      </c>
      <c r="C2082" s="665"/>
      <c r="D2082" s="665"/>
      <c r="E2082" s="666" t="s">
        <v>1586</v>
      </c>
      <c r="F2082" s="660" t="s">
        <v>1585</v>
      </c>
      <c r="G2082" s="667">
        <v>3512</v>
      </c>
      <c r="H2082" s="660" t="s">
        <v>138</v>
      </c>
      <c r="I2082" s="660" t="s">
        <v>888</v>
      </c>
      <c r="J2082" s="668">
        <v>10944.57</v>
      </c>
      <c r="L2082" s="668">
        <v>7.01</v>
      </c>
      <c r="M2082" s="668">
        <v>7.01</v>
      </c>
      <c r="N2082" s="669"/>
      <c r="O2082" s="670">
        <v>0.2</v>
      </c>
      <c r="P2082" s="670"/>
      <c r="Q2082" s="669">
        <v>2176.35</v>
      </c>
      <c r="R2082" s="647" t="s">
        <v>69</v>
      </c>
      <c r="S2082" s="654" t="s">
        <v>34</v>
      </c>
      <c r="T2082" s="654">
        <v>79</v>
      </c>
      <c r="U2082" s="672" t="s">
        <v>164</v>
      </c>
      <c r="V2082" s="673"/>
      <c r="X2082" s="669">
        <v>2176.35</v>
      </c>
      <c r="Y2082" s="669"/>
      <c r="AI2082" s="669">
        <v>2176.35</v>
      </c>
      <c r="AJ2082" s="657"/>
      <c r="AK2082" s="658"/>
      <c r="AL2082" s="647"/>
      <c r="AM2082" s="647"/>
      <c r="AN2082" s="647"/>
      <c r="AO2082" s="647"/>
      <c r="AP2082" s="647"/>
      <c r="AQ2082" s="647"/>
      <c r="AR2082" s="647"/>
      <c r="AS2082" s="647"/>
      <c r="AT2082" s="647"/>
      <c r="AU2082" s="647"/>
      <c r="AV2082" s="647"/>
      <c r="AW2082" s="647"/>
      <c r="AX2082" s="647"/>
      <c r="AY2082" s="647"/>
      <c r="AZ2082" s="647"/>
      <c r="BA2082" s="647"/>
      <c r="BB2082" s="647"/>
      <c r="BC2082" s="647"/>
      <c r="BD2082" s="647"/>
      <c r="BE2082" s="647"/>
      <c r="BF2082" s="647"/>
      <c r="BG2082" s="647"/>
      <c r="BH2082" s="647"/>
      <c r="BI2082" s="647"/>
      <c r="BJ2082" s="647"/>
      <c r="BK2082" s="647"/>
      <c r="BL2082" s="647"/>
      <c r="BM2082" s="647"/>
      <c r="BN2082" s="647"/>
      <c r="BO2082" s="647"/>
      <c r="BP2082" s="647"/>
      <c r="BQ2082" s="647"/>
      <c r="BR2082" s="647"/>
      <c r="BS2082" s="647"/>
      <c r="BT2082" s="647"/>
      <c r="BU2082" s="647"/>
      <c r="BV2082" s="647"/>
      <c r="BW2082" s="647"/>
      <c r="BX2082" s="647"/>
      <c r="BY2082" s="647"/>
    </row>
    <row r="2083" spans="1:77" s="660" customFormat="1" ht="11.25" customHeight="1">
      <c r="B2083" s="664" t="s">
        <v>291</v>
      </c>
      <c r="C2083" s="665"/>
      <c r="D2083" s="665"/>
      <c r="E2083" s="666" t="s">
        <v>1586</v>
      </c>
      <c r="F2083" s="660" t="s">
        <v>1585</v>
      </c>
      <c r="G2083" s="667">
        <v>3512</v>
      </c>
      <c r="H2083" s="660" t="s">
        <v>866</v>
      </c>
      <c r="I2083" s="660" t="s">
        <v>888</v>
      </c>
      <c r="J2083" s="668">
        <v>23231.93</v>
      </c>
      <c r="L2083" s="668">
        <v>15.05</v>
      </c>
      <c r="M2083" s="668">
        <v>15.05</v>
      </c>
      <c r="N2083" s="669"/>
      <c r="O2083" s="670">
        <v>0.2</v>
      </c>
      <c r="P2083" s="670"/>
      <c r="Q2083" s="669">
        <v>43.19</v>
      </c>
      <c r="R2083" s="647" t="s">
        <v>69</v>
      </c>
      <c r="S2083" s="654" t="s">
        <v>34</v>
      </c>
      <c r="T2083" s="654">
        <v>79</v>
      </c>
      <c r="U2083" s="672" t="s">
        <v>164</v>
      </c>
      <c r="V2083" s="673"/>
      <c r="X2083" s="669">
        <v>43.19</v>
      </c>
      <c r="Y2083" s="669"/>
      <c r="AI2083" s="669">
        <v>43.19</v>
      </c>
      <c r="AJ2083" s="657"/>
      <c r="AK2083" s="658"/>
      <c r="AL2083" s="647"/>
      <c r="AM2083" s="647"/>
      <c r="AN2083" s="647"/>
      <c r="AO2083" s="647"/>
      <c r="AP2083" s="647"/>
      <c r="AQ2083" s="647"/>
      <c r="AR2083" s="647"/>
      <c r="AS2083" s="647"/>
      <c r="AT2083" s="647"/>
      <c r="AU2083" s="647"/>
      <c r="AV2083" s="647"/>
      <c r="AW2083" s="647"/>
      <c r="AX2083" s="647"/>
      <c r="AY2083" s="647"/>
      <c r="AZ2083" s="647"/>
      <c r="BA2083" s="647"/>
      <c r="BB2083" s="647"/>
      <c r="BC2083" s="647"/>
      <c r="BD2083" s="647"/>
      <c r="BE2083" s="647"/>
      <c r="BF2083" s="647"/>
      <c r="BG2083" s="647"/>
      <c r="BH2083" s="647"/>
      <c r="BI2083" s="647"/>
      <c r="BJ2083" s="647"/>
      <c r="BK2083" s="647"/>
      <c r="BL2083" s="647"/>
      <c r="BM2083" s="647"/>
      <c r="BN2083" s="647"/>
      <c r="BO2083" s="647"/>
      <c r="BP2083" s="647"/>
      <c r="BQ2083" s="647"/>
      <c r="BR2083" s="647"/>
      <c r="BS2083" s="647"/>
      <c r="BT2083" s="647"/>
      <c r="BU2083" s="647"/>
      <c r="BV2083" s="647"/>
      <c r="BW2083" s="647"/>
      <c r="BX2083" s="647"/>
      <c r="BY2083" s="647"/>
    </row>
    <row r="2084" spans="1:77" s="660" customFormat="1" ht="11.25" customHeight="1">
      <c r="B2084" s="664" t="s">
        <v>291</v>
      </c>
      <c r="C2084" s="665"/>
      <c r="D2084" s="665"/>
      <c r="E2084" s="666" t="s">
        <v>1586</v>
      </c>
      <c r="F2084" s="660" t="s">
        <v>1585</v>
      </c>
      <c r="G2084" s="667">
        <v>3512</v>
      </c>
      <c r="H2084" s="660" t="s">
        <v>765</v>
      </c>
      <c r="I2084" s="660" t="s">
        <v>888</v>
      </c>
      <c r="J2084" s="668">
        <v>9816.6200000000008</v>
      </c>
      <c r="L2084" s="668">
        <v>9.61</v>
      </c>
      <c r="M2084" s="668">
        <v>9.61</v>
      </c>
      <c r="N2084" s="669"/>
      <c r="O2084" s="670">
        <v>0.2</v>
      </c>
      <c r="P2084" s="670"/>
      <c r="Q2084" s="669">
        <v>0</v>
      </c>
      <c r="R2084" s="647" t="s">
        <v>69</v>
      </c>
      <c r="S2084" s="654" t="s">
        <v>34</v>
      </c>
      <c r="T2084" s="654">
        <v>79</v>
      </c>
      <c r="U2084" s="672" t="s">
        <v>164</v>
      </c>
      <c r="V2084" s="673"/>
      <c r="X2084" s="669">
        <v>0</v>
      </c>
      <c r="Y2084" s="669"/>
      <c r="AI2084" s="660">
        <v>0</v>
      </c>
      <c r="AJ2084" s="657"/>
      <c r="AK2084" s="658"/>
      <c r="AL2084" s="647"/>
      <c r="AM2084" s="647"/>
      <c r="AN2084" s="647"/>
      <c r="AO2084" s="647"/>
      <c r="AP2084" s="647"/>
      <c r="AQ2084" s="647"/>
      <c r="AR2084" s="647"/>
      <c r="AS2084" s="647"/>
      <c r="AT2084" s="647"/>
      <c r="AU2084" s="647"/>
      <c r="AV2084" s="647"/>
      <c r="AW2084" s="647"/>
      <c r="AX2084" s="647"/>
      <c r="AY2084" s="647"/>
      <c r="AZ2084" s="647"/>
      <c r="BA2084" s="647"/>
      <c r="BB2084" s="647"/>
      <c r="BC2084" s="647"/>
      <c r="BD2084" s="647"/>
      <c r="BE2084" s="647"/>
      <c r="BF2084" s="647"/>
      <c r="BG2084" s="647"/>
      <c r="BH2084" s="647"/>
      <c r="BI2084" s="647"/>
      <c r="BJ2084" s="647"/>
      <c r="BK2084" s="647"/>
      <c r="BL2084" s="647"/>
      <c r="BM2084" s="647"/>
      <c r="BN2084" s="647"/>
      <c r="BO2084" s="647"/>
      <c r="BP2084" s="647"/>
      <c r="BQ2084" s="647"/>
      <c r="BR2084" s="647"/>
      <c r="BS2084" s="647"/>
      <c r="BT2084" s="647"/>
      <c r="BU2084" s="647"/>
      <c r="BV2084" s="647"/>
      <c r="BW2084" s="647"/>
      <c r="BX2084" s="647"/>
      <c r="BY2084" s="647"/>
    </row>
    <row r="2085" spans="1:77" s="660" customFormat="1" ht="11.25" customHeight="1">
      <c r="B2085" s="664" t="s">
        <v>291</v>
      </c>
      <c r="C2085" s="665"/>
      <c r="D2085" s="665"/>
      <c r="E2085" s="666" t="s">
        <v>1586</v>
      </c>
      <c r="F2085" s="660" t="s">
        <v>1585</v>
      </c>
      <c r="G2085" s="667">
        <v>3512</v>
      </c>
      <c r="H2085" s="660" t="s">
        <v>183</v>
      </c>
      <c r="I2085" s="660" t="s">
        <v>888</v>
      </c>
      <c r="J2085" s="668">
        <v>15769.86</v>
      </c>
      <c r="L2085" s="668">
        <v>12.99</v>
      </c>
      <c r="M2085" s="668">
        <v>12.99</v>
      </c>
      <c r="N2085" s="669"/>
      <c r="O2085" s="670">
        <v>0.2</v>
      </c>
      <c r="P2085" s="670"/>
      <c r="Q2085" s="669">
        <v>0</v>
      </c>
      <c r="R2085" s="647" t="s">
        <v>69</v>
      </c>
      <c r="S2085" s="654" t="s">
        <v>34</v>
      </c>
      <c r="T2085" s="654">
        <v>79</v>
      </c>
      <c r="U2085" s="672" t="s">
        <v>164</v>
      </c>
      <c r="V2085" s="673"/>
      <c r="X2085" s="669">
        <v>0</v>
      </c>
      <c r="Y2085" s="669"/>
      <c r="AI2085" s="660">
        <v>0</v>
      </c>
      <c r="AJ2085" s="657"/>
      <c r="AK2085" s="658"/>
      <c r="AL2085" s="647"/>
      <c r="AM2085" s="647"/>
      <c r="AN2085" s="647"/>
      <c r="AO2085" s="647"/>
      <c r="AP2085" s="647"/>
      <c r="AQ2085" s="647"/>
      <c r="AR2085" s="647"/>
      <c r="AS2085" s="647"/>
      <c r="AT2085" s="647"/>
      <c r="AU2085" s="647"/>
      <c r="AV2085" s="647"/>
      <c r="AW2085" s="647"/>
      <c r="AX2085" s="647"/>
      <c r="AY2085" s="647"/>
      <c r="AZ2085" s="647"/>
      <c r="BA2085" s="647"/>
      <c r="BB2085" s="647"/>
      <c r="BC2085" s="647"/>
      <c r="BD2085" s="647"/>
      <c r="BE2085" s="647"/>
      <c r="BF2085" s="647"/>
      <c r="BG2085" s="647"/>
      <c r="BH2085" s="647"/>
      <c r="BI2085" s="647"/>
      <c r="BJ2085" s="647"/>
      <c r="BK2085" s="647"/>
      <c r="BL2085" s="647"/>
      <c r="BM2085" s="647"/>
      <c r="BN2085" s="647"/>
      <c r="BO2085" s="647"/>
      <c r="BP2085" s="647"/>
      <c r="BQ2085" s="647"/>
      <c r="BR2085" s="647"/>
      <c r="BS2085" s="647"/>
      <c r="BT2085" s="647"/>
      <c r="BU2085" s="647"/>
      <c r="BV2085" s="647"/>
      <c r="BW2085" s="647"/>
      <c r="BX2085" s="647"/>
      <c r="BY2085" s="647"/>
    </row>
    <row r="2086" spans="1:77" s="660" customFormat="1" ht="11.25" customHeight="1">
      <c r="B2086" s="664" t="s">
        <v>291</v>
      </c>
      <c r="C2086" s="665"/>
      <c r="D2086" s="665"/>
      <c r="E2086" s="666" t="s">
        <v>1586</v>
      </c>
      <c r="F2086" s="660" t="s">
        <v>1585</v>
      </c>
      <c r="G2086" s="667">
        <v>3512</v>
      </c>
      <c r="H2086" s="660" t="s">
        <v>310</v>
      </c>
      <c r="I2086" s="660" t="s">
        <v>888</v>
      </c>
      <c r="J2086" s="668">
        <v>6902.88</v>
      </c>
      <c r="L2086" s="668">
        <v>8.0500000000000007</v>
      </c>
      <c r="M2086" s="668">
        <v>8.0500000000000007</v>
      </c>
      <c r="N2086" s="669"/>
      <c r="O2086" s="670">
        <v>0.2</v>
      </c>
      <c r="P2086" s="670"/>
      <c r="Q2086" s="669">
        <v>0</v>
      </c>
      <c r="R2086" s="647" t="s">
        <v>69</v>
      </c>
      <c r="S2086" s="654" t="s">
        <v>41</v>
      </c>
      <c r="T2086" s="654">
        <v>79</v>
      </c>
      <c r="U2086" s="672" t="s">
        <v>164</v>
      </c>
      <c r="V2086" s="673"/>
      <c r="X2086" s="669">
        <v>0</v>
      </c>
      <c r="Y2086" s="669"/>
      <c r="AI2086" s="660">
        <v>0</v>
      </c>
      <c r="AJ2086" s="657"/>
      <c r="AK2086" s="658"/>
      <c r="AL2086" s="647"/>
      <c r="AM2086" s="647"/>
      <c r="AN2086" s="647"/>
      <c r="AO2086" s="647"/>
      <c r="AP2086" s="647"/>
      <c r="AQ2086" s="647"/>
      <c r="AR2086" s="647"/>
      <c r="AS2086" s="647"/>
      <c r="AT2086" s="647"/>
      <c r="AU2086" s="647"/>
      <c r="AV2086" s="647"/>
      <c r="AW2086" s="647"/>
      <c r="AX2086" s="647"/>
      <c r="AY2086" s="647"/>
      <c r="AZ2086" s="647"/>
      <c r="BA2086" s="647"/>
      <c r="BB2086" s="647"/>
      <c r="BC2086" s="647"/>
      <c r="BD2086" s="647"/>
      <c r="BE2086" s="647"/>
      <c r="BF2086" s="647"/>
      <c r="BG2086" s="647"/>
      <c r="BH2086" s="647"/>
      <c r="BI2086" s="647"/>
      <c r="BJ2086" s="647"/>
      <c r="BK2086" s="647"/>
      <c r="BL2086" s="647"/>
      <c r="BM2086" s="647"/>
      <c r="BN2086" s="647"/>
      <c r="BO2086" s="647"/>
      <c r="BP2086" s="647"/>
      <c r="BQ2086" s="647"/>
      <c r="BR2086" s="647"/>
      <c r="BS2086" s="647"/>
      <c r="BT2086" s="647"/>
      <c r="BU2086" s="647"/>
      <c r="BV2086" s="647"/>
      <c r="BW2086" s="647"/>
      <c r="BX2086" s="647"/>
      <c r="BY2086" s="647"/>
    </row>
    <row r="2087" spans="1:77" s="273" customFormat="1" ht="11.25" customHeight="1">
      <c r="B2087" s="270" t="s">
        <v>291</v>
      </c>
      <c r="C2087" s="271">
        <v>44714</v>
      </c>
      <c r="D2087" s="271">
        <v>44715</v>
      </c>
      <c r="E2087" s="272" t="s">
        <v>1584</v>
      </c>
      <c r="F2087" s="273" t="s">
        <v>1583</v>
      </c>
      <c r="G2087" s="276">
        <v>3594</v>
      </c>
      <c r="H2087" s="273" t="s">
        <v>99</v>
      </c>
      <c r="I2087" s="273" t="s">
        <v>1549</v>
      </c>
      <c r="J2087" s="277">
        <v>59739.24</v>
      </c>
      <c r="L2087" s="277">
        <v>51.51</v>
      </c>
      <c r="M2087" s="277">
        <v>51.51</v>
      </c>
      <c r="N2087" s="275"/>
      <c r="O2087" s="278">
        <v>0.2</v>
      </c>
      <c r="P2087" s="278"/>
      <c r="Q2087" s="275">
        <v>0</v>
      </c>
      <c r="R2087" s="261" t="s">
        <v>69</v>
      </c>
      <c r="S2087" s="267" t="s">
        <v>41</v>
      </c>
      <c r="T2087" s="267">
        <v>79</v>
      </c>
      <c r="U2087" s="274" t="s">
        <v>164</v>
      </c>
      <c r="V2087" s="454"/>
      <c r="X2087" s="275">
        <v>0</v>
      </c>
      <c r="Y2087" s="275"/>
      <c r="AG2087" s="273">
        <f>X2087</f>
        <v>0</v>
      </c>
      <c r="AJ2087" s="642"/>
      <c r="AK2087" s="261"/>
      <c r="AL2087" s="261"/>
      <c r="AM2087" s="261"/>
      <c r="AN2087" s="261"/>
      <c r="AO2087" s="261"/>
      <c r="AP2087" s="261"/>
      <c r="AQ2087" s="261"/>
      <c r="AR2087" s="261"/>
      <c r="AS2087" s="261"/>
      <c r="AT2087" s="261"/>
      <c r="AU2087" s="261"/>
      <c r="AV2087" s="261"/>
      <c r="AW2087" s="261"/>
      <c r="AX2087" s="261"/>
      <c r="AY2087" s="261"/>
      <c r="AZ2087" s="261"/>
      <c r="BA2087" s="261"/>
      <c r="BB2087" s="261"/>
      <c r="BC2087" s="261"/>
      <c r="BD2087" s="261"/>
      <c r="BE2087" s="261"/>
      <c r="BF2087" s="261"/>
      <c r="BG2087" s="261"/>
      <c r="BH2087" s="261"/>
      <c r="BI2087" s="261"/>
      <c r="BJ2087" s="261"/>
      <c r="BK2087" s="261"/>
      <c r="BL2087" s="261"/>
      <c r="BM2087" s="261"/>
      <c r="BN2087" s="261"/>
      <c r="BO2087" s="261"/>
      <c r="BP2087" s="261"/>
      <c r="BQ2087" s="261"/>
      <c r="BR2087" s="261"/>
      <c r="BS2087" s="261"/>
      <c r="BT2087" s="261"/>
      <c r="BU2087" s="261"/>
      <c r="BV2087" s="261"/>
      <c r="BW2087" s="261"/>
      <c r="BX2087" s="261"/>
      <c r="BY2087" s="261"/>
    </row>
    <row r="2088" spans="1:77" s="273" customFormat="1" ht="11.25" customHeight="1">
      <c r="B2088" s="270" t="s">
        <v>291</v>
      </c>
      <c r="C2088" s="271"/>
      <c r="D2088" s="271"/>
      <c r="E2088" s="272" t="s">
        <v>1584</v>
      </c>
      <c r="F2088" s="273" t="s">
        <v>1583</v>
      </c>
      <c r="G2088" s="276">
        <v>3594</v>
      </c>
      <c r="H2088" s="273" t="s">
        <v>310</v>
      </c>
      <c r="I2088" s="273" t="s">
        <v>1549</v>
      </c>
      <c r="J2088" s="277">
        <v>12887.22</v>
      </c>
      <c r="L2088" s="277">
        <v>18.21</v>
      </c>
      <c r="M2088" s="277">
        <v>18.21</v>
      </c>
      <c r="N2088" s="275"/>
      <c r="O2088" s="278">
        <v>0.2</v>
      </c>
      <c r="P2088" s="278"/>
      <c r="Q2088" s="275">
        <v>0</v>
      </c>
      <c r="R2088" s="261" t="s">
        <v>69</v>
      </c>
      <c r="S2088" s="267" t="s">
        <v>41</v>
      </c>
      <c r="T2088" s="267">
        <v>79</v>
      </c>
      <c r="U2088" s="274" t="s">
        <v>164</v>
      </c>
      <c r="V2088" s="454"/>
      <c r="X2088" s="275">
        <v>0</v>
      </c>
      <c r="Y2088" s="275"/>
      <c r="AG2088" s="273">
        <f>X2088</f>
        <v>0</v>
      </c>
      <c r="AJ2088" s="642"/>
      <c r="AK2088" s="261"/>
      <c r="AL2088" s="261"/>
      <c r="AM2088" s="261"/>
      <c r="AN2088" s="261"/>
      <c r="AO2088" s="261"/>
      <c r="AP2088" s="261"/>
      <c r="AQ2088" s="261"/>
      <c r="AR2088" s="261"/>
      <c r="AS2088" s="261"/>
      <c r="AT2088" s="261"/>
      <c r="AU2088" s="261"/>
      <c r="AV2088" s="261"/>
      <c r="AW2088" s="261"/>
      <c r="AX2088" s="261"/>
      <c r="AY2088" s="261"/>
      <c r="AZ2088" s="261"/>
      <c r="BA2088" s="261"/>
      <c r="BB2088" s="261"/>
      <c r="BC2088" s="261"/>
      <c r="BD2088" s="261"/>
      <c r="BE2088" s="261"/>
      <c r="BF2088" s="261"/>
      <c r="BG2088" s="261"/>
      <c r="BH2088" s="261"/>
      <c r="BI2088" s="261"/>
      <c r="BJ2088" s="261"/>
      <c r="BK2088" s="261"/>
      <c r="BL2088" s="261"/>
      <c r="BM2088" s="261"/>
      <c r="BN2088" s="261"/>
      <c r="BO2088" s="261"/>
      <c r="BP2088" s="261"/>
      <c r="BQ2088" s="261"/>
      <c r="BR2088" s="261"/>
      <c r="BS2088" s="261"/>
      <c r="BT2088" s="261"/>
      <c r="BU2088" s="261"/>
      <c r="BV2088" s="261"/>
      <c r="BW2088" s="261"/>
      <c r="BX2088" s="261"/>
      <c r="BY2088" s="261"/>
    </row>
    <row r="2089" spans="1:77" s="218" customFormat="1" ht="11.25" customHeight="1">
      <c r="B2089" s="229" t="s">
        <v>291</v>
      </c>
      <c r="C2089" s="225">
        <v>44715</v>
      </c>
      <c r="D2089" s="225">
        <v>44715</v>
      </c>
      <c r="E2089" s="226" t="s">
        <v>1582</v>
      </c>
      <c r="F2089" s="218" t="s">
        <v>1581</v>
      </c>
      <c r="G2089" s="220">
        <v>3529</v>
      </c>
      <c r="H2089" s="218" t="s">
        <v>99</v>
      </c>
      <c r="I2089" s="218" t="s">
        <v>33</v>
      </c>
      <c r="J2089" s="222">
        <v>87925.13</v>
      </c>
      <c r="L2089" s="222">
        <v>53.79</v>
      </c>
      <c r="M2089" s="222">
        <v>50</v>
      </c>
      <c r="N2089" s="223"/>
      <c r="O2089" s="224">
        <v>0.15</v>
      </c>
      <c r="P2089" s="224"/>
      <c r="Q2089" s="223">
        <v>0</v>
      </c>
      <c r="R2089" s="205" t="s">
        <v>69</v>
      </c>
      <c r="S2089" s="214" t="s">
        <v>118</v>
      </c>
      <c r="T2089" s="214">
        <v>79</v>
      </c>
      <c r="U2089" s="227" t="s">
        <v>164</v>
      </c>
      <c r="V2089" s="455"/>
      <c r="X2089" s="223">
        <v>0</v>
      </c>
      <c r="Y2089" s="223"/>
      <c r="AF2089" s="230">
        <f>X2089</f>
        <v>0</v>
      </c>
      <c r="AJ2089" s="216"/>
      <c r="AK2089" s="205"/>
      <c r="AL2089" s="205"/>
      <c r="AM2089" s="205"/>
      <c r="AN2089" s="205"/>
      <c r="AO2089" s="205"/>
      <c r="AP2089" s="205"/>
      <c r="AQ2089" s="205"/>
      <c r="AR2089" s="205"/>
      <c r="AS2089" s="205"/>
      <c r="AT2089" s="205"/>
      <c r="AU2089" s="205"/>
      <c r="AV2089" s="205"/>
      <c r="AW2089" s="205"/>
      <c r="AX2089" s="205"/>
      <c r="AY2089" s="205"/>
      <c r="AZ2089" s="205"/>
      <c r="BA2089" s="205"/>
      <c r="BB2089" s="205"/>
      <c r="BC2089" s="205"/>
      <c r="BD2089" s="205"/>
      <c r="BE2089" s="205"/>
      <c r="BF2089" s="205"/>
      <c r="BG2089" s="205"/>
      <c r="BH2089" s="205"/>
      <c r="BI2089" s="205"/>
      <c r="BJ2089" s="205"/>
      <c r="BK2089" s="205"/>
      <c r="BL2089" s="205"/>
      <c r="BM2089" s="205"/>
      <c r="BN2089" s="205"/>
      <c r="BO2089" s="205"/>
      <c r="BP2089" s="205"/>
      <c r="BQ2089" s="205"/>
      <c r="BR2089" s="205"/>
      <c r="BS2089" s="205"/>
      <c r="BT2089" s="205"/>
      <c r="BU2089" s="205"/>
      <c r="BV2089" s="205"/>
      <c r="BW2089" s="205"/>
      <c r="BX2089" s="205"/>
      <c r="BY2089" s="205"/>
    </row>
    <row r="2090" spans="1:77" s="218" customFormat="1" ht="11.25" customHeight="1">
      <c r="B2090" s="229" t="s">
        <v>291</v>
      </c>
      <c r="C2090" s="225"/>
      <c r="D2090" s="225"/>
      <c r="E2090" s="226" t="s">
        <v>1582</v>
      </c>
      <c r="F2090" s="218" t="s">
        <v>1581</v>
      </c>
      <c r="G2090" s="220">
        <v>3529</v>
      </c>
      <c r="H2090" s="218" t="s">
        <v>183</v>
      </c>
      <c r="I2090" s="218" t="s">
        <v>33</v>
      </c>
      <c r="J2090" s="222">
        <v>18387.46</v>
      </c>
      <c r="L2090" s="222">
        <v>14.73</v>
      </c>
      <c r="M2090" s="222">
        <v>16</v>
      </c>
      <c r="N2090" s="223"/>
      <c r="O2090" s="224">
        <v>0.15</v>
      </c>
      <c r="P2090" s="224"/>
      <c r="Q2090" s="223">
        <v>0</v>
      </c>
      <c r="R2090" s="205" t="s">
        <v>69</v>
      </c>
      <c r="S2090" s="214" t="s">
        <v>118</v>
      </c>
      <c r="T2090" s="214">
        <v>79</v>
      </c>
      <c r="U2090" s="227" t="s">
        <v>164</v>
      </c>
      <c r="V2090" s="455"/>
      <c r="X2090" s="223">
        <v>0</v>
      </c>
      <c r="Y2090" s="223"/>
      <c r="AF2090" s="230">
        <f>X2090</f>
        <v>0</v>
      </c>
      <c r="AJ2090" s="216"/>
      <c r="AK2090" s="205"/>
      <c r="AL2090" s="205"/>
      <c r="AM2090" s="205"/>
      <c r="AN2090" s="205"/>
      <c r="AO2090" s="205"/>
      <c r="AP2090" s="205"/>
      <c r="AQ2090" s="205"/>
      <c r="AR2090" s="205"/>
      <c r="AS2090" s="205"/>
      <c r="AT2090" s="205"/>
      <c r="AU2090" s="205"/>
      <c r="AV2090" s="205"/>
      <c r="AW2090" s="205"/>
      <c r="AX2090" s="205"/>
      <c r="AY2090" s="205"/>
      <c r="AZ2090" s="205"/>
      <c r="BA2090" s="205"/>
      <c r="BB2090" s="205"/>
      <c r="BC2090" s="205"/>
      <c r="BD2090" s="205"/>
      <c r="BE2090" s="205"/>
      <c r="BF2090" s="205"/>
      <c r="BG2090" s="205"/>
      <c r="BH2090" s="205"/>
      <c r="BI2090" s="205"/>
      <c r="BJ2090" s="205"/>
      <c r="BK2090" s="205"/>
      <c r="BL2090" s="205"/>
      <c r="BM2090" s="205"/>
      <c r="BN2090" s="205"/>
      <c r="BO2090" s="205"/>
      <c r="BP2090" s="205"/>
      <c r="BQ2090" s="205"/>
      <c r="BR2090" s="205"/>
      <c r="BS2090" s="205"/>
      <c r="BT2090" s="205"/>
      <c r="BU2090" s="205"/>
      <c r="BV2090" s="205"/>
      <c r="BW2090" s="205"/>
      <c r="BX2090" s="205"/>
      <c r="BY2090" s="205"/>
    </row>
    <row r="2091" spans="1:77" s="218" customFormat="1" ht="11.25" customHeight="1">
      <c r="B2091" s="229" t="s">
        <v>291</v>
      </c>
      <c r="C2091" s="225"/>
      <c r="D2091" s="225"/>
      <c r="E2091" s="226" t="s">
        <v>1582</v>
      </c>
      <c r="F2091" s="218" t="s">
        <v>1581</v>
      </c>
      <c r="G2091" s="220">
        <v>3529</v>
      </c>
      <c r="H2091" s="218" t="s">
        <v>27</v>
      </c>
      <c r="I2091" s="218" t="s">
        <v>33</v>
      </c>
      <c r="J2091" s="222">
        <v>29403</v>
      </c>
      <c r="L2091" s="222">
        <v>16.2</v>
      </c>
      <c r="M2091" s="222">
        <v>16</v>
      </c>
      <c r="N2091" s="223"/>
      <c r="O2091" s="224">
        <v>0.15</v>
      </c>
      <c r="P2091" s="224"/>
      <c r="Q2091" s="223">
        <v>0</v>
      </c>
      <c r="R2091" s="205" t="s">
        <v>69</v>
      </c>
      <c r="S2091" s="214" t="s">
        <v>118</v>
      </c>
      <c r="T2091" s="214">
        <v>79</v>
      </c>
      <c r="U2091" s="227" t="s">
        <v>164</v>
      </c>
      <c r="V2091" s="455"/>
      <c r="X2091" s="223">
        <v>0</v>
      </c>
      <c r="Y2091" s="223"/>
      <c r="AF2091" s="230">
        <f>X2091</f>
        <v>0</v>
      </c>
      <c r="AJ2091" s="216"/>
      <c r="AK2091" s="205"/>
      <c r="AL2091" s="205"/>
      <c r="AM2091" s="205"/>
      <c r="AN2091" s="205"/>
      <c r="AO2091" s="205"/>
      <c r="AP2091" s="205"/>
      <c r="AQ2091" s="205"/>
      <c r="AR2091" s="205"/>
      <c r="AS2091" s="205"/>
      <c r="AT2091" s="205"/>
      <c r="AU2091" s="205"/>
      <c r="AV2091" s="205"/>
      <c r="AW2091" s="205"/>
      <c r="AX2091" s="205"/>
      <c r="AY2091" s="205"/>
      <c r="AZ2091" s="205"/>
      <c r="BA2091" s="205"/>
      <c r="BB2091" s="205"/>
      <c r="BC2091" s="205"/>
      <c r="BD2091" s="205"/>
      <c r="BE2091" s="205"/>
      <c r="BF2091" s="205"/>
      <c r="BG2091" s="205"/>
      <c r="BH2091" s="205"/>
      <c r="BI2091" s="205"/>
      <c r="BJ2091" s="205"/>
      <c r="BK2091" s="205"/>
      <c r="BL2091" s="205"/>
      <c r="BM2091" s="205"/>
      <c r="BN2091" s="205"/>
      <c r="BO2091" s="205"/>
      <c r="BP2091" s="205"/>
      <c r="BQ2091" s="205"/>
      <c r="BR2091" s="205"/>
      <c r="BS2091" s="205"/>
      <c r="BT2091" s="205"/>
      <c r="BU2091" s="205"/>
      <c r="BV2091" s="205"/>
      <c r="BW2091" s="205"/>
      <c r="BX2091" s="205"/>
      <c r="BY2091" s="205"/>
    </row>
    <row r="2092" spans="1:77" s="303" customFormat="1" ht="11.25" customHeight="1">
      <c r="A2092" s="303" t="s">
        <v>3893</v>
      </c>
      <c r="B2092" s="313" t="s">
        <v>291</v>
      </c>
      <c r="C2092" s="301">
        <v>44715</v>
      </c>
      <c r="D2092" s="301">
        <v>44715</v>
      </c>
      <c r="E2092" s="302" t="s">
        <v>1580</v>
      </c>
      <c r="F2092" s="291" t="s">
        <v>491</v>
      </c>
      <c r="G2092" s="294">
        <v>3653</v>
      </c>
      <c r="H2092" s="291" t="s">
        <v>27</v>
      </c>
      <c r="I2092" s="303" t="s">
        <v>33</v>
      </c>
      <c r="J2092" s="296">
        <v>16823.669999999998</v>
      </c>
      <c r="K2092" s="291"/>
      <c r="L2092" s="296">
        <v>13.67</v>
      </c>
      <c r="M2092" s="296">
        <v>13.67</v>
      </c>
      <c r="N2092" s="297"/>
      <c r="O2092" s="298">
        <v>0.25</v>
      </c>
      <c r="P2092" s="298"/>
      <c r="Q2092" s="297">
        <v>0</v>
      </c>
      <c r="R2092" s="291" t="s">
        <v>42</v>
      </c>
      <c r="S2092" s="299" t="s">
        <v>41</v>
      </c>
      <c r="T2092" s="299">
        <v>17</v>
      </c>
      <c r="U2092" s="309" t="s">
        <v>164</v>
      </c>
      <c r="V2092" s="447"/>
      <c r="X2092" s="306">
        <v>0</v>
      </c>
      <c r="Y2092" s="306"/>
      <c r="AH2092" s="303">
        <f>X2092</f>
        <v>0</v>
      </c>
      <c r="AI2092" s="311"/>
      <c r="AJ2092" s="468"/>
      <c r="AK2092" s="291"/>
      <c r="AL2092" s="291"/>
      <c r="AM2092" s="291"/>
      <c r="AN2092" s="291"/>
      <c r="AO2092" s="291"/>
      <c r="AP2092" s="291"/>
      <c r="AQ2092" s="291"/>
      <c r="AR2092" s="291"/>
      <c r="AS2092" s="291"/>
      <c r="AT2092" s="291"/>
      <c r="AU2092" s="291"/>
      <c r="AV2092" s="291"/>
      <c r="AW2092" s="291"/>
      <c r="AX2092" s="291"/>
      <c r="AY2092" s="291"/>
      <c r="AZ2092" s="291"/>
      <c r="BA2092" s="291"/>
      <c r="BB2092" s="291"/>
      <c r="BC2092" s="291"/>
      <c r="BD2092" s="291"/>
      <c r="BE2092" s="291"/>
      <c r="BF2092" s="291"/>
      <c r="BG2092" s="291"/>
      <c r="BH2092" s="291"/>
      <c r="BI2092" s="291"/>
      <c r="BJ2092" s="291"/>
      <c r="BK2092" s="291"/>
      <c r="BL2092" s="291"/>
      <c r="BM2092" s="291"/>
      <c r="BN2092" s="291"/>
      <c r="BO2092" s="291"/>
      <c r="BP2092" s="291"/>
      <c r="BQ2092" s="291"/>
      <c r="BR2092" s="291"/>
      <c r="BS2092" s="291"/>
      <c r="BT2092" s="291"/>
      <c r="BU2092" s="291"/>
      <c r="BV2092" s="291"/>
      <c r="BW2092" s="291"/>
      <c r="BX2092" s="291"/>
      <c r="BY2092" s="291"/>
    </row>
    <row r="2093" spans="1:77" s="303" customFormat="1" ht="11.25" customHeight="1">
      <c r="A2093" s="303" t="s">
        <v>3893</v>
      </c>
      <c r="B2093" s="313" t="s">
        <v>291</v>
      </c>
      <c r="C2093" s="301"/>
      <c r="D2093" s="301"/>
      <c r="E2093" s="302" t="s">
        <v>1580</v>
      </c>
      <c r="F2093" s="291" t="s">
        <v>491</v>
      </c>
      <c r="G2093" s="294">
        <v>3653</v>
      </c>
      <c r="H2093" s="291" t="s">
        <v>492</v>
      </c>
      <c r="I2093" s="303" t="s">
        <v>33</v>
      </c>
      <c r="J2093" s="296">
        <v>6586.65</v>
      </c>
      <c r="K2093" s="291"/>
      <c r="L2093" s="296">
        <v>10.25</v>
      </c>
      <c r="M2093" s="296">
        <v>10.25</v>
      </c>
      <c r="N2093" s="297"/>
      <c r="O2093" s="298">
        <v>0.25</v>
      </c>
      <c r="P2093" s="298"/>
      <c r="Q2093" s="297">
        <v>210.95</v>
      </c>
      <c r="R2093" s="291" t="s">
        <v>42</v>
      </c>
      <c r="S2093" s="299" t="s">
        <v>41</v>
      </c>
      <c r="T2093" s="299">
        <v>17</v>
      </c>
      <c r="U2093" s="309" t="s">
        <v>164</v>
      </c>
      <c r="V2093" s="447"/>
      <c r="X2093" s="297">
        <v>210.95</v>
      </c>
      <c r="Y2093" s="306"/>
      <c r="AH2093" s="297">
        <f>X2093</f>
        <v>210.95</v>
      </c>
      <c r="AI2093" s="311"/>
      <c r="AJ2093" s="468"/>
      <c r="AK2093" s="291"/>
      <c r="AL2093" s="291"/>
      <c r="AM2093" s="291"/>
      <c r="AN2093" s="291"/>
      <c r="AO2093" s="291"/>
      <c r="AP2093" s="291"/>
      <c r="AQ2093" s="291"/>
      <c r="AR2093" s="291"/>
      <c r="AS2093" s="291"/>
      <c r="AT2093" s="291"/>
      <c r="AU2093" s="291"/>
      <c r="AV2093" s="291"/>
      <c r="AW2093" s="291"/>
      <c r="AX2093" s="291"/>
      <c r="AY2093" s="291"/>
      <c r="AZ2093" s="291"/>
      <c r="BA2093" s="291"/>
      <c r="BB2093" s="291"/>
      <c r="BC2093" s="291"/>
      <c r="BD2093" s="291"/>
      <c r="BE2093" s="291"/>
      <c r="BF2093" s="291"/>
      <c r="BG2093" s="291"/>
      <c r="BH2093" s="291"/>
      <c r="BI2093" s="291"/>
      <c r="BJ2093" s="291"/>
      <c r="BK2093" s="291"/>
      <c r="BL2093" s="291"/>
      <c r="BM2093" s="291"/>
      <c r="BN2093" s="291"/>
      <c r="BO2093" s="291"/>
      <c r="BP2093" s="291"/>
      <c r="BQ2093" s="291"/>
      <c r="BR2093" s="291"/>
      <c r="BS2093" s="291"/>
      <c r="BT2093" s="291"/>
      <c r="BU2093" s="291"/>
      <c r="BV2093" s="291"/>
      <c r="BW2093" s="291"/>
      <c r="BX2093" s="291"/>
      <c r="BY2093" s="291"/>
    </row>
    <row r="2094" spans="1:77" s="303" customFormat="1" ht="11.25" customHeight="1">
      <c r="A2094" s="303" t="s">
        <v>3893</v>
      </c>
      <c r="B2094" s="313" t="s">
        <v>291</v>
      </c>
      <c r="C2094" s="301"/>
      <c r="D2094" s="301"/>
      <c r="E2094" s="302" t="s">
        <v>1580</v>
      </c>
      <c r="F2094" s="291" t="s">
        <v>491</v>
      </c>
      <c r="G2094" s="294">
        <v>3653</v>
      </c>
      <c r="H2094" s="291" t="s">
        <v>493</v>
      </c>
      <c r="I2094" s="303" t="s">
        <v>33</v>
      </c>
      <c r="J2094" s="296">
        <v>8597.66</v>
      </c>
      <c r="K2094" s="291"/>
      <c r="L2094" s="296">
        <v>9.6300000000000008</v>
      </c>
      <c r="M2094" s="296">
        <v>9.6300000000000008</v>
      </c>
      <c r="N2094" s="297"/>
      <c r="O2094" s="298">
        <v>0.25</v>
      </c>
      <c r="P2094" s="298"/>
      <c r="Q2094" s="297">
        <v>0</v>
      </c>
      <c r="R2094" s="291" t="s">
        <v>42</v>
      </c>
      <c r="S2094" s="299" t="s">
        <v>41</v>
      </c>
      <c r="T2094" s="299">
        <v>17</v>
      </c>
      <c r="U2094" s="309" t="s">
        <v>164</v>
      </c>
      <c r="V2094" s="447"/>
      <c r="X2094" s="306">
        <v>0</v>
      </c>
      <c r="Y2094" s="306"/>
      <c r="AH2094" s="303">
        <f>X2094</f>
        <v>0</v>
      </c>
      <c r="AI2094" s="311"/>
      <c r="AJ2094" s="468"/>
      <c r="AK2094" s="291"/>
      <c r="AL2094" s="291"/>
      <c r="AM2094" s="291"/>
      <c r="AN2094" s="291"/>
      <c r="AO2094" s="291"/>
      <c r="AP2094" s="291"/>
      <c r="AQ2094" s="291"/>
      <c r="AR2094" s="291"/>
      <c r="AS2094" s="291"/>
      <c r="AT2094" s="291"/>
      <c r="AU2094" s="291"/>
      <c r="AV2094" s="291"/>
      <c r="AW2094" s="291"/>
      <c r="AX2094" s="291"/>
      <c r="AY2094" s="291"/>
      <c r="AZ2094" s="291"/>
      <c r="BA2094" s="291"/>
      <c r="BB2094" s="291"/>
      <c r="BC2094" s="291"/>
      <c r="BD2094" s="291"/>
      <c r="BE2094" s="291"/>
      <c r="BF2094" s="291"/>
      <c r="BG2094" s="291"/>
      <c r="BH2094" s="291"/>
      <c r="BI2094" s="291"/>
      <c r="BJ2094" s="291"/>
      <c r="BK2094" s="291"/>
      <c r="BL2094" s="291"/>
      <c r="BM2094" s="291"/>
      <c r="BN2094" s="291"/>
      <c r="BO2094" s="291"/>
      <c r="BP2094" s="291"/>
      <c r="BQ2094" s="291"/>
      <c r="BR2094" s="291"/>
      <c r="BS2094" s="291"/>
      <c r="BT2094" s="291"/>
      <c r="BU2094" s="291"/>
      <c r="BV2094" s="291"/>
      <c r="BW2094" s="291"/>
      <c r="BX2094" s="291"/>
      <c r="BY2094" s="291"/>
    </row>
    <row r="2095" spans="1:77" s="303" customFormat="1" ht="11.25" customHeight="1">
      <c r="A2095" s="303" t="s">
        <v>3893</v>
      </c>
      <c r="B2095" s="313" t="s">
        <v>291</v>
      </c>
      <c r="C2095" s="301"/>
      <c r="D2095" s="301"/>
      <c r="E2095" s="302" t="s">
        <v>1580</v>
      </c>
      <c r="F2095" s="291" t="s">
        <v>491</v>
      </c>
      <c r="G2095" s="294">
        <v>3653</v>
      </c>
      <c r="H2095" s="291" t="s">
        <v>336</v>
      </c>
      <c r="I2095" s="303" t="s">
        <v>33</v>
      </c>
      <c r="J2095" s="296">
        <v>11036.4</v>
      </c>
      <c r="K2095" s="291"/>
      <c r="L2095" s="296">
        <v>12</v>
      </c>
      <c r="M2095" s="296">
        <v>12</v>
      </c>
      <c r="N2095" s="297"/>
      <c r="O2095" s="298">
        <v>0.25</v>
      </c>
      <c r="P2095" s="298"/>
      <c r="Q2095" s="297">
        <v>1282.1400000000001</v>
      </c>
      <c r="R2095" s="291" t="s">
        <v>42</v>
      </c>
      <c r="S2095" s="299" t="s">
        <v>41</v>
      </c>
      <c r="T2095" s="299">
        <v>17</v>
      </c>
      <c r="U2095" s="309" t="s">
        <v>164</v>
      </c>
      <c r="V2095" s="447"/>
      <c r="X2095" s="297">
        <v>1282.1400000000001</v>
      </c>
      <c r="Y2095" s="306"/>
      <c r="AH2095" s="297">
        <f>X2095</f>
        <v>1282.1400000000001</v>
      </c>
      <c r="AI2095" s="311"/>
      <c r="AJ2095" s="468"/>
      <c r="AK2095" s="291"/>
      <c r="AL2095" s="291"/>
      <c r="AM2095" s="291"/>
      <c r="AN2095" s="291"/>
      <c r="AO2095" s="291"/>
      <c r="AP2095" s="291"/>
      <c r="AQ2095" s="291"/>
      <c r="AR2095" s="291"/>
      <c r="AS2095" s="291"/>
      <c r="AT2095" s="291"/>
      <c r="AU2095" s="291"/>
      <c r="AV2095" s="291"/>
      <c r="AW2095" s="291"/>
      <c r="AX2095" s="291"/>
      <c r="AY2095" s="291"/>
      <c r="AZ2095" s="291"/>
      <c r="BA2095" s="291"/>
      <c r="BB2095" s="291"/>
      <c r="BC2095" s="291"/>
      <c r="BD2095" s="291"/>
      <c r="BE2095" s="291"/>
      <c r="BF2095" s="291"/>
      <c r="BG2095" s="291"/>
      <c r="BH2095" s="291"/>
      <c r="BI2095" s="291"/>
      <c r="BJ2095" s="291"/>
      <c r="BK2095" s="291"/>
      <c r="BL2095" s="291"/>
      <c r="BM2095" s="291"/>
      <c r="BN2095" s="291"/>
      <c r="BO2095" s="291"/>
      <c r="BP2095" s="291"/>
      <c r="BQ2095" s="291"/>
      <c r="BR2095" s="291"/>
      <c r="BS2095" s="291"/>
      <c r="BT2095" s="291"/>
      <c r="BU2095" s="291"/>
      <c r="BV2095" s="291"/>
      <c r="BW2095" s="291"/>
      <c r="BX2095" s="291"/>
      <c r="BY2095" s="291"/>
    </row>
    <row r="2096" spans="1:77" s="303" customFormat="1" ht="11.25" customHeight="1">
      <c r="A2096" s="303" t="s">
        <v>3893</v>
      </c>
      <c r="B2096" s="313" t="s">
        <v>291</v>
      </c>
      <c r="C2096" s="301"/>
      <c r="D2096" s="301"/>
      <c r="E2096" s="302" t="s">
        <v>1580</v>
      </c>
      <c r="F2096" s="291" t="s">
        <v>491</v>
      </c>
      <c r="G2096" s="294">
        <v>3653</v>
      </c>
      <c r="H2096" s="291" t="s">
        <v>99</v>
      </c>
      <c r="I2096" s="303" t="s">
        <v>33</v>
      </c>
      <c r="J2096" s="296">
        <v>15126.36</v>
      </c>
      <c r="K2096" s="291"/>
      <c r="L2096" s="296">
        <v>18.64</v>
      </c>
      <c r="M2096" s="296">
        <v>18.64</v>
      </c>
      <c r="N2096" s="297"/>
      <c r="O2096" s="298">
        <v>0.25</v>
      </c>
      <c r="P2096" s="298"/>
      <c r="Q2096" s="297">
        <v>0</v>
      </c>
      <c r="R2096" s="291" t="s">
        <v>42</v>
      </c>
      <c r="S2096" s="299" t="s">
        <v>41</v>
      </c>
      <c r="T2096" s="299">
        <v>17</v>
      </c>
      <c r="U2096" s="309" t="s">
        <v>164</v>
      </c>
      <c r="V2096" s="447"/>
      <c r="X2096" s="306">
        <v>0</v>
      </c>
      <c r="Y2096" s="306"/>
      <c r="AH2096" s="303">
        <f>X2096</f>
        <v>0</v>
      </c>
      <c r="AI2096" s="311"/>
      <c r="AJ2096" s="468"/>
      <c r="AK2096" s="291"/>
      <c r="AL2096" s="291"/>
      <c r="AM2096" s="291"/>
      <c r="AN2096" s="291"/>
      <c r="AO2096" s="291"/>
      <c r="AP2096" s="291"/>
      <c r="AQ2096" s="291"/>
      <c r="AR2096" s="291"/>
      <c r="AS2096" s="291"/>
      <c r="AT2096" s="291"/>
      <c r="AU2096" s="291"/>
      <c r="AV2096" s="291"/>
      <c r="AW2096" s="291"/>
      <c r="AX2096" s="291"/>
      <c r="AY2096" s="291"/>
      <c r="AZ2096" s="291"/>
      <c r="BA2096" s="291"/>
      <c r="BB2096" s="291"/>
      <c r="BC2096" s="291"/>
      <c r="BD2096" s="291"/>
      <c r="BE2096" s="291"/>
      <c r="BF2096" s="291"/>
      <c r="BG2096" s="291"/>
      <c r="BH2096" s="291"/>
      <c r="BI2096" s="291"/>
      <c r="BJ2096" s="291"/>
      <c r="BK2096" s="291"/>
      <c r="BL2096" s="291"/>
      <c r="BM2096" s="291"/>
      <c r="BN2096" s="291"/>
      <c r="BO2096" s="291"/>
      <c r="BP2096" s="291"/>
      <c r="BQ2096" s="291"/>
      <c r="BR2096" s="291"/>
      <c r="BS2096" s="291"/>
      <c r="BT2096" s="291"/>
      <c r="BU2096" s="291"/>
      <c r="BV2096" s="291"/>
      <c r="BW2096" s="291"/>
      <c r="BX2096" s="291"/>
      <c r="BY2096" s="291"/>
    </row>
    <row r="2097" spans="1:77" s="184" customFormat="1" ht="11.25" customHeight="1">
      <c r="B2097" s="202" t="s">
        <v>291</v>
      </c>
      <c r="C2097" s="192">
        <v>44715</v>
      </c>
      <c r="D2097" s="192">
        <v>44715</v>
      </c>
      <c r="E2097" s="193" t="s">
        <v>1594</v>
      </c>
      <c r="F2097" s="181" t="s">
        <v>1595</v>
      </c>
      <c r="G2097" s="182" t="s">
        <v>1596</v>
      </c>
      <c r="H2097" s="181" t="s">
        <v>192</v>
      </c>
      <c r="I2097" s="184" t="s">
        <v>888</v>
      </c>
      <c r="J2097" s="183">
        <v>19936.34</v>
      </c>
      <c r="K2097" s="181"/>
      <c r="L2097" s="183">
        <v>23.27</v>
      </c>
      <c r="M2097" s="183">
        <v>23.27</v>
      </c>
      <c r="N2097" s="185"/>
      <c r="O2097" s="186">
        <v>0.2</v>
      </c>
      <c r="P2097" s="186"/>
      <c r="Q2097" s="185">
        <v>0</v>
      </c>
      <c r="R2097" s="181" t="s">
        <v>146</v>
      </c>
      <c r="S2097" s="187" t="s">
        <v>74</v>
      </c>
      <c r="T2097" s="187">
        <v>31</v>
      </c>
      <c r="U2097" s="198" t="s">
        <v>164</v>
      </c>
      <c r="V2097" s="450"/>
      <c r="X2097" s="196">
        <v>0</v>
      </c>
      <c r="Y2097" s="196"/>
      <c r="AE2097" s="235">
        <f>X2097</f>
        <v>0</v>
      </c>
      <c r="AJ2097" s="189"/>
      <c r="AK2097" s="181"/>
      <c r="AL2097" s="181"/>
      <c r="AM2097" s="181"/>
      <c r="AN2097" s="181"/>
      <c r="AO2097" s="181"/>
      <c r="AP2097" s="181"/>
      <c r="AQ2097" s="181"/>
      <c r="AR2097" s="181"/>
      <c r="AS2097" s="181"/>
      <c r="AT2097" s="181"/>
      <c r="AU2097" s="181"/>
      <c r="AV2097" s="181"/>
      <c r="AW2097" s="181"/>
      <c r="AX2097" s="181"/>
      <c r="AY2097" s="181"/>
      <c r="AZ2097" s="181"/>
      <c r="BA2097" s="181"/>
      <c r="BB2097" s="181"/>
      <c r="BC2097" s="181"/>
      <c r="BD2097" s="181"/>
      <c r="BE2097" s="181"/>
      <c r="BF2097" s="181"/>
      <c r="BG2097" s="181"/>
      <c r="BH2097" s="181"/>
      <c r="BI2097" s="181"/>
      <c r="BJ2097" s="181"/>
      <c r="BK2097" s="181"/>
      <c r="BL2097" s="181"/>
      <c r="BM2097" s="181"/>
      <c r="BN2097" s="181"/>
      <c r="BO2097" s="181"/>
      <c r="BP2097" s="181"/>
      <c r="BQ2097" s="181"/>
      <c r="BR2097" s="181"/>
      <c r="BS2097" s="181"/>
      <c r="BT2097" s="181"/>
      <c r="BU2097" s="181"/>
      <c r="BV2097" s="181"/>
      <c r="BW2097" s="181"/>
      <c r="BX2097" s="181"/>
      <c r="BY2097" s="181"/>
    </row>
    <row r="2098" spans="1:77" s="394" customFormat="1" ht="11.25" customHeight="1">
      <c r="B2098" s="406" t="s">
        <v>291</v>
      </c>
      <c r="C2098" s="392"/>
      <c r="D2098" s="392"/>
      <c r="E2098" s="393" t="s">
        <v>1594</v>
      </c>
      <c r="F2098" s="379" t="s">
        <v>1595</v>
      </c>
      <c r="G2098" s="383" t="s">
        <v>1596</v>
      </c>
      <c r="H2098" s="379" t="s">
        <v>386</v>
      </c>
      <c r="I2098" s="394" t="s">
        <v>888</v>
      </c>
      <c r="J2098" s="385">
        <v>18876</v>
      </c>
      <c r="K2098" s="379"/>
      <c r="L2098" s="385">
        <v>15.73</v>
      </c>
      <c r="M2098" s="385">
        <v>15.73</v>
      </c>
      <c r="N2098" s="386">
        <v>5662</v>
      </c>
      <c r="O2098" s="387">
        <v>0.2</v>
      </c>
      <c r="P2098" s="387"/>
      <c r="Q2098" s="386">
        <v>5788.64</v>
      </c>
      <c r="R2098" s="379" t="s">
        <v>146</v>
      </c>
      <c r="S2098" s="388" t="s">
        <v>74</v>
      </c>
      <c r="T2098" s="388">
        <v>31</v>
      </c>
      <c r="U2098" s="398" t="s">
        <v>164</v>
      </c>
      <c r="V2098" s="449"/>
      <c r="X2098" s="386">
        <v>5788.64</v>
      </c>
      <c r="Y2098" s="396"/>
      <c r="AJ2098" s="416">
        <v>5788.64</v>
      </c>
      <c r="AK2098" s="379"/>
      <c r="AL2098" s="379"/>
      <c r="AM2098" s="379"/>
      <c r="AN2098" s="379"/>
      <c r="AO2098" s="379"/>
      <c r="AP2098" s="379"/>
      <c r="AQ2098" s="379"/>
      <c r="AR2098" s="379"/>
      <c r="AS2098" s="379"/>
      <c r="AT2098" s="379"/>
      <c r="AU2098" s="379"/>
      <c r="AV2098" s="379"/>
      <c r="AW2098" s="379"/>
      <c r="AX2098" s="379"/>
      <c r="AY2098" s="379"/>
      <c r="AZ2098" s="379"/>
      <c r="BA2098" s="379"/>
      <c r="BB2098" s="379"/>
      <c r="BC2098" s="379"/>
      <c r="BD2098" s="379"/>
      <c r="BE2098" s="379"/>
      <c r="BF2098" s="379"/>
      <c r="BG2098" s="379"/>
      <c r="BH2098" s="379"/>
      <c r="BI2098" s="379"/>
      <c r="BJ2098" s="379"/>
      <c r="BK2098" s="379"/>
      <c r="BL2098" s="379"/>
      <c r="BM2098" s="379"/>
      <c r="BN2098" s="379"/>
      <c r="BO2098" s="379"/>
      <c r="BP2098" s="379"/>
      <c r="BQ2098" s="379"/>
      <c r="BR2098" s="379"/>
      <c r="BS2098" s="379"/>
      <c r="BT2098" s="379"/>
      <c r="BU2098" s="379"/>
      <c r="BV2098" s="379"/>
      <c r="BW2098" s="379"/>
      <c r="BX2098" s="379"/>
      <c r="BY2098" s="379"/>
    </row>
    <row r="2099" spans="1:77" s="218" customFormat="1" ht="11.25" customHeight="1">
      <c r="A2099" s="394"/>
      <c r="B2099" s="379" t="s">
        <v>691</v>
      </c>
      <c r="C2099" s="392"/>
      <c r="D2099" s="392"/>
      <c r="E2099" s="393" t="s">
        <v>1597</v>
      </c>
      <c r="F2099" s="379" t="s">
        <v>858</v>
      </c>
      <c r="G2099" s="383" t="s">
        <v>859</v>
      </c>
      <c r="H2099" s="379" t="s">
        <v>910</v>
      </c>
      <c r="I2099" s="379" t="s">
        <v>156</v>
      </c>
      <c r="J2099" s="385">
        <v>115115</v>
      </c>
      <c r="K2099" s="379"/>
      <c r="L2099" s="385">
        <v>55</v>
      </c>
      <c r="M2099" s="385">
        <v>55</v>
      </c>
      <c r="N2099" s="386"/>
      <c r="O2099" s="387">
        <v>0.3</v>
      </c>
      <c r="P2099" s="387">
        <v>0.1</v>
      </c>
      <c r="Q2099" s="386">
        <v>7446.25</v>
      </c>
      <c r="R2099" s="379" t="s">
        <v>73</v>
      </c>
      <c r="S2099" s="388" t="s">
        <v>113</v>
      </c>
      <c r="T2099" s="388">
        <v>31</v>
      </c>
      <c r="U2099" s="398" t="s">
        <v>164</v>
      </c>
      <c r="V2099" s="449"/>
      <c r="W2099" s="394"/>
      <c r="X2099" s="386">
        <v>7446.25</v>
      </c>
      <c r="Y2099" s="396"/>
      <c r="Z2099" s="394"/>
      <c r="AA2099" s="394"/>
      <c r="AB2099" s="394"/>
      <c r="AC2099" s="394"/>
      <c r="AD2099" s="394"/>
      <c r="AE2099" s="394"/>
      <c r="AF2099" s="394"/>
      <c r="AG2099" s="394"/>
      <c r="AH2099" s="394"/>
      <c r="AI2099" s="394"/>
      <c r="AJ2099" s="416">
        <v>7446.25</v>
      </c>
      <c r="AK2099" s="379"/>
      <c r="AL2099" s="379"/>
      <c r="AM2099" s="379"/>
      <c r="AN2099" s="379"/>
      <c r="AO2099" s="379"/>
      <c r="AP2099" s="379"/>
      <c r="AQ2099" s="379"/>
      <c r="AR2099" s="379"/>
      <c r="AS2099" s="379"/>
      <c r="AT2099" s="379"/>
      <c r="AU2099" s="379"/>
      <c r="AV2099" s="379"/>
      <c r="AW2099" s="379"/>
      <c r="AX2099" s="379"/>
      <c r="AY2099" s="379"/>
      <c r="AZ2099" s="379"/>
      <c r="BA2099" s="379"/>
      <c r="BB2099" s="379"/>
      <c r="BC2099" s="379"/>
      <c r="BD2099" s="379"/>
      <c r="BE2099" s="379"/>
      <c r="BF2099" s="379"/>
      <c r="BG2099" s="379"/>
      <c r="BH2099" s="379"/>
      <c r="BI2099" s="379"/>
      <c r="BJ2099" s="379"/>
      <c r="BK2099" s="379"/>
      <c r="BL2099" s="379"/>
      <c r="BM2099" s="379"/>
      <c r="BN2099" s="379"/>
      <c r="BO2099" s="379"/>
      <c r="BP2099" s="379"/>
      <c r="BQ2099" s="379"/>
      <c r="BR2099" s="379"/>
      <c r="BS2099" s="379"/>
      <c r="BT2099" s="379"/>
      <c r="BU2099" s="379"/>
      <c r="BV2099" s="379"/>
      <c r="BW2099" s="379"/>
      <c r="BX2099" s="379"/>
      <c r="BY2099" s="379"/>
    </row>
    <row r="2100" spans="1:77" s="218" customFormat="1" ht="11.25" customHeight="1">
      <c r="A2100" s="394"/>
      <c r="B2100" s="379" t="s">
        <v>691</v>
      </c>
      <c r="C2100" s="392"/>
      <c r="D2100" s="392"/>
      <c r="E2100" s="393" t="s">
        <v>1597</v>
      </c>
      <c r="F2100" s="379" t="s">
        <v>858</v>
      </c>
      <c r="G2100" s="383" t="s">
        <v>859</v>
      </c>
      <c r="H2100" s="379" t="s">
        <v>866</v>
      </c>
      <c r="I2100" s="379" t="s">
        <v>156</v>
      </c>
      <c r="J2100" s="385">
        <v>16905</v>
      </c>
      <c r="K2100" s="379"/>
      <c r="L2100" s="385">
        <v>15</v>
      </c>
      <c r="M2100" s="385">
        <v>15</v>
      </c>
      <c r="N2100" s="386"/>
      <c r="O2100" s="387">
        <v>0.3</v>
      </c>
      <c r="P2100" s="387">
        <v>0.1</v>
      </c>
      <c r="Q2100" s="386">
        <v>2898</v>
      </c>
      <c r="R2100" s="379" t="s">
        <v>73</v>
      </c>
      <c r="S2100" s="388" t="s">
        <v>113</v>
      </c>
      <c r="T2100" s="388">
        <v>31</v>
      </c>
      <c r="U2100" s="398" t="s">
        <v>164</v>
      </c>
      <c r="V2100" s="449"/>
      <c r="W2100" s="394"/>
      <c r="X2100" s="386">
        <v>2898</v>
      </c>
      <c r="Y2100" s="396"/>
      <c r="Z2100" s="394"/>
      <c r="AA2100" s="394"/>
      <c r="AB2100" s="394"/>
      <c r="AC2100" s="394"/>
      <c r="AD2100" s="394"/>
      <c r="AE2100" s="394"/>
      <c r="AF2100" s="394"/>
      <c r="AG2100" s="394"/>
      <c r="AH2100" s="394"/>
      <c r="AI2100" s="394"/>
      <c r="AJ2100" s="416">
        <v>2898</v>
      </c>
      <c r="AK2100" s="379"/>
      <c r="AL2100" s="379"/>
      <c r="AM2100" s="379"/>
      <c r="AN2100" s="379"/>
      <c r="AO2100" s="379"/>
      <c r="AP2100" s="379"/>
      <c r="AQ2100" s="379"/>
      <c r="AR2100" s="379"/>
      <c r="AS2100" s="379"/>
      <c r="AT2100" s="379"/>
      <c r="AU2100" s="379"/>
      <c r="AV2100" s="379"/>
      <c r="AW2100" s="379"/>
      <c r="AX2100" s="379"/>
      <c r="AY2100" s="379"/>
      <c r="AZ2100" s="379"/>
      <c r="BA2100" s="379"/>
      <c r="BB2100" s="379"/>
      <c r="BC2100" s="379"/>
      <c r="BD2100" s="379"/>
      <c r="BE2100" s="379"/>
      <c r="BF2100" s="379"/>
      <c r="BG2100" s="379"/>
      <c r="BH2100" s="379"/>
      <c r="BI2100" s="379"/>
      <c r="BJ2100" s="379"/>
      <c r="BK2100" s="379"/>
      <c r="BL2100" s="379"/>
      <c r="BM2100" s="379"/>
      <c r="BN2100" s="379"/>
      <c r="BO2100" s="379"/>
      <c r="BP2100" s="379"/>
      <c r="BQ2100" s="379"/>
      <c r="BR2100" s="379"/>
      <c r="BS2100" s="379"/>
      <c r="BT2100" s="379"/>
      <c r="BU2100" s="379"/>
      <c r="BV2100" s="379"/>
      <c r="BW2100" s="379"/>
      <c r="BX2100" s="379"/>
      <c r="BY2100" s="379"/>
    </row>
    <row r="2101" spans="1:77" s="218" customFormat="1" ht="11.25" customHeight="1">
      <c r="B2101" s="205" t="s">
        <v>691</v>
      </c>
      <c r="C2101" s="225">
        <v>44715</v>
      </c>
      <c r="D2101" s="225">
        <v>44716</v>
      </c>
      <c r="E2101" s="226" t="s">
        <v>1597</v>
      </c>
      <c r="F2101" s="205" t="s">
        <v>858</v>
      </c>
      <c r="G2101" s="209" t="s">
        <v>859</v>
      </c>
      <c r="H2101" s="205" t="s">
        <v>99</v>
      </c>
      <c r="I2101" s="205" t="s">
        <v>156</v>
      </c>
      <c r="J2101" s="210">
        <v>60550</v>
      </c>
      <c r="K2101" s="205"/>
      <c r="L2101" s="210">
        <v>50</v>
      </c>
      <c r="M2101" s="210">
        <v>50</v>
      </c>
      <c r="N2101" s="213"/>
      <c r="O2101" s="212">
        <v>0.3</v>
      </c>
      <c r="P2101" s="212">
        <v>0.1</v>
      </c>
      <c r="Q2101" s="213">
        <v>29444.6</v>
      </c>
      <c r="R2101" s="205" t="s">
        <v>73</v>
      </c>
      <c r="S2101" s="214" t="s">
        <v>113</v>
      </c>
      <c r="T2101" s="214">
        <v>31</v>
      </c>
      <c r="U2101" s="227" t="s">
        <v>164</v>
      </c>
      <c r="V2101" s="455"/>
      <c r="X2101" s="223">
        <v>29444.6</v>
      </c>
      <c r="Y2101" s="223"/>
      <c r="AF2101" s="230">
        <f>X2101</f>
        <v>29444.6</v>
      </c>
      <c r="AJ2101" s="216"/>
      <c r="AK2101" s="205"/>
      <c r="AL2101" s="205"/>
      <c r="AM2101" s="205"/>
      <c r="AN2101" s="205"/>
      <c r="AO2101" s="205"/>
      <c r="AP2101" s="205"/>
      <c r="AQ2101" s="205"/>
      <c r="AR2101" s="205"/>
      <c r="AS2101" s="205"/>
      <c r="AT2101" s="205"/>
      <c r="AU2101" s="205"/>
      <c r="AV2101" s="205"/>
      <c r="AW2101" s="205"/>
      <c r="AX2101" s="205"/>
      <c r="AY2101" s="205"/>
      <c r="AZ2101" s="205"/>
      <c r="BA2101" s="205"/>
      <c r="BB2101" s="205"/>
      <c r="BC2101" s="205"/>
      <c r="BD2101" s="205"/>
      <c r="BE2101" s="205"/>
      <c r="BF2101" s="205"/>
      <c r="BG2101" s="205"/>
      <c r="BH2101" s="205"/>
      <c r="BI2101" s="205"/>
      <c r="BJ2101" s="205"/>
      <c r="BK2101" s="205"/>
      <c r="BL2101" s="205"/>
      <c r="BM2101" s="205"/>
      <c r="BN2101" s="205"/>
      <c r="BO2101" s="205"/>
      <c r="BP2101" s="205"/>
      <c r="BQ2101" s="205"/>
      <c r="BR2101" s="205"/>
      <c r="BS2101" s="205"/>
      <c r="BT2101" s="205"/>
      <c r="BU2101" s="205"/>
      <c r="BV2101" s="205"/>
      <c r="BW2101" s="205"/>
      <c r="BX2101" s="205"/>
      <c r="BY2101" s="205"/>
    </row>
    <row r="2102" spans="1:77" s="218" customFormat="1" ht="11.25" customHeight="1">
      <c r="B2102" s="205" t="s">
        <v>691</v>
      </c>
      <c r="C2102" s="225"/>
      <c r="D2102" s="225"/>
      <c r="E2102" s="226" t="s">
        <v>1597</v>
      </c>
      <c r="F2102" s="205" t="s">
        <v>858</v>
      </c>
      <c r="G2102" s="209" t="s">
        <v>859</v>
      </c>
      <c r="H2102" s="205" t="s">
        <v>183</v>
      </c>
      <c r="I2102" s="205" t="s">
        <v>156</v>
      </c>
      <c r="J2102" s="210">
        <v>17535</v>
      </c>
      <c r="K2102" s="205"/>
      <c r="L2102" s="210">
        <v>15</v>
      </c>
      <c r="M2102" s="210">
        <v>15</v>
      </c>
      <c r="N2102" s="213"/>
      <c r="O2102" s="212">
        <v>0.3</v>
      </c>
      <c r="P2102" s="212">
        <v>0.1</v>
      </c>
      <c r="Q2102" s="213">
        <v>0</v>
      </c>
      <c r="R2102" s="205" t="s">
        <v>73</v>
      </c>
      <c r="S2102" s="214" t="s">
        <v>113</v>
      </c>
      <c r="T2102" s="214">
        <v>31</v>
      </c>
      <c r="U2102" s="227" t="s">
        <v>164</v>
      </c>
      <c r="V2102" s="455"/>
      <c r="X2102" s="223">
        <v>0</v>
      </c>
      <c r="Y2102" s="223"/>
      <c r="AF2102" s="230">
        <f>X2102</f>
        <v>0</v>
      </c>
      <c r="AJ2102" s="216"/>
      <c r="AK2102" s="205"/>
      <c r="AL2102" s="205"/>
      <c r="AM2102" s="205"/>
      <c r="AN2102" s="205"/>
      <c r="AO2102" s="205"/>
      <c r="AP2102" s="205"/>
      <c r="AQ2102" s="205"/>
      <c r="AR2102" s="205"/>
      <c r="AS2102" s="205"/>
      <c r="AT2102" s="205"/>
      <c r="AU2102" s="205"/>
      <c r="AV2102" s="205"/>
      <c r="AW2102" s="205"/>
      <c r="AX2102" s="205"/>
      <c r="AY2102" s="205"/>
      <c r="AZ2102" s="205"/>
      <c r="BA2102" s="205"/>
      <c r="BB2102" s="205"/>
      <c r="BC2102" s="205"/>
      <c r="BD2102" s="205"/>
      <c r="BE2102" s="205"/>
      <c r="BF2102" s="205"/>
      <c r="BG2102" s="205"/>
      <c r="BH2102" s="205"/>
      <c r="BI2102" s="205"/>
      <c r="BJ2102" s="205"/>
      <c r="BK2102" s="205"/>
      <c r="BL2102" s="205"/>
      <c r="BM2102" s="205"/>
      <c r="BN2102" s="205"/>
      <c r="BO2102" s="205"/>
      <c r="BP2102" s="205"/>
      <c r="BQ2102" s="205"/>
      <c r="BR2102" s="205"/>
      <c r="BS2102" s="205"/>
      <c r="BT2102" s="205"/>
      <c r="BU2102" s="205"/>
      <c r="BV2102" s="205"/>
      <c r="BW2102" s="205"/>
      <c r="BX2102" s="205"/>
      <c r="BY2102" s="205"/>
    </row>
    <row r="2103" spans="1:77" s="218" customFormat="1" ht="11.25" customHeight="1">
      <c r="B2103" s="205" t="s">
        <v>691</v>
      </c>
      <c r="C2103" s="225"/>
      <c r="D2103" s="225"/>
      <c r="E2103" s="226" t="s">
        <v>1597</v>
      </c>
      <c r="F2103" s="205" t="s">
        <v>858</v>
      </c>
      <c r="G2103" s="209" t="s">
        <v>859</v>
      </c>
      <c r="H2103" s="205" t="s">
        <v>27</v>
      </c>
      <c r="I2103" s="205" t="s">
        <v>156</v>
      </c>
      <c r="J2103" s="210">
        <v>16674</v>
      </c>
      <c r="K2103" s="205"/>
      <c r="L2103" s="210">
        <v>14</v>
      </c>
      <c r="M2103" s="210">
        <v>14</v>
      </c>
      <c r="N2103" s="213"/>
      <c r="O2103" s="212">
        <v>0.3</v>
      </c>
      <c r="P2103" s="212">
        <v>0.1</v>
      </c>
      <c r="Q2103" s="213">
        <v>0</v>
      </c>
      <c r="R2103" s="205" t="s">
        <v>73</v>
      </c>
      <c r="S2103" s="214" t="s">
        <v>113</v>
      </c>
      <c r="T2103" s="214">
        <v>31</v>
      </c>
      <c r="U2103" s="227" t="s">
        <v>164</v>
      </c>
      <c r="V2103" s="455"/>
      <c r="X2103" s="223">
        <v>0</v>
      </c>
      <c r="Y2103" s="223"/>
      <c r="AF2103" s="230">
        <f>X2103</f>
        <v>0</v>
      </c>
      <c r="AJ2103" s="216"/>
      <c r="AK2103" s="205"/>
      <c r="AL2103" s="205"/>
      <c r="AM2103" s="205"/>
      <c r="AN2103" s="205"/>
      <c r="AO2103" s="205"/>
      <c r="AP2103" s="205"/>
      <c r="AQ2103" s="205"/>
      <c r="AR2103" s="205"/>
      <c r="AS2103" s="205"/>
      <c r="AT2103" s="205"/>
      <c r="AU2103" s="205"/>
      <c r="AV2103" s="205"/>
      <c r="AW2103" s="205"/>
      <c r="AX2103" s="205"/>
      <c r="AY2103" s="205"/>
      <c r="AZ2103" s="205"/>
      <c r="BA2103" s="205"/>
      <c r="BB2103" s="205"/>
      <c r="BC2103" s="205"/>
      <c r="BD2103" s="205"/>
      <c r="BE2103" s="205"/>
      <c r="BF2103" s="205"/>
      <c r="BG2103" s="205"/>
      <c r="BH2103" s="205"/>
      <c r="BI2103" s="205"/>
      <c r="BJ2103" s="205"/>
      <c r="BK2103" s="205"/>
      <c r="BL2103" s="205"/>
      <c r="BM2103" s="205"/>
      <c r="BN2103" s="205"/>
      <c r="BO2103" s="205"/>
      <c r="BP2103" s="205"/>
      <c r="BQ2103" s="205"/>
      <c r="BR2103" s="205"/>
      <c r="BS2103" s="205"/>
      <c r="BT2103" s="205"/>
      <c r="BU2103" s="205"/>
      <c r="BV2103" s="205"/>
      <c r="BW2103" s="205"/>
      <c r="BX2103" s="205"/>
      <c r="BY2103" s="205"/>
    </row>
    <row r="2104" spans="1:77" s="303" customFormat="1" ht="11.25" customHeight="1">
      <c r="B2104" s="313" t="s">
        <v>291</v>
      </c>
      <c r="C2104" s="301">
        <v>44714</v>
      </c>
      <c r="D2104" s="301">
        <v>44714</v>
      </c>
      <c r="E2104" s="302" t="s">
        <v>1598</v>
      </c>
      <c r="F2104" s="291" t="s">
        <v>1599</v>
      </c>
      <c r="G2104" s="294">
        <v>4283</v>
      </c>
      <c r="H2104" s="291" t="s">
        <v>192</v>
      </c>
      <c r="I2104" s="303" t="s">
        <v>33</v>
      </c>
      <c r="J2104" s="296">
        <v>29000.16</v>
      </c>
      <c r="K2104" s="291"/>
      <c r="L2104" s="296">
        <v>28</v>
      </c>
      <c r="M2104" s="296">
        <v>28</v>
      </c>
      <c r="N2104" s="297"/>
      <c r="O2104" s="298">
        <v>0.25</v>
      </c>
      <c r="P2104" s="298"/>
      <c r="Q2104" s="297">
        <v>0</v>
      </c>
      <c r="R2104" s="291" t="s">
        <v>146</v>
      </c>
      <c r="S2104" s="299" t="s">
        <v>74</v>
      </c>
      <c r="T2104" s="299">
        <v>31</v>
      </c>
      <c r="U2104" s="309" t="s">
        <v>164</v>
      </c>
      <c r="V2104" s="447"/>
      <c r="X2104" s="306">
        <v>0</v>
      </c>
      <c r="Y2104" s="306"/>
      <c r="AH2104" s="332">
        <f>X2104</f>
        <v>0</v>
      </c>
      <c r="AI2104" s="311"/>
      <c r="AJ2104" s="468"/>
      <c r="AK2104" s="291"/>
      <c r="AL2104" s="291"/>
      <c r="AM2104" s="291"/>
      <c r="AN2104" s="291"/>
      <c r="AO2104" s="291"/>
      <c r="AP2104" s="291"/>
      <c r="AQ2104" s="291"/>
      <c r="AR2104" s="291"/>
      <c r="AS2104" s="291"/>
      <c r="AT2104" s="291"/>
      <c r="AU2104" s="291"/>
      <c r="AV2104" s="291"/>
      <c r="AW2104" s="291"/>
      <c r="AX2104" s="291"/>
      <c r="AY2104" s="291"/>
      <c r="AZ2104" s="291"/>
      <c r="BA2104" s="291"/>
      <c r="BB2104" s="291"/>
      <c r="BC2104" s="291"/>
      <c r="BD2104" s="291"/>
      <c r="BE2104" s="291"/>
      <c r="BF2104" s="291"/>
      <c r="BG2104" s="291"/>
      <c r="BH2104" s="291"/>
      <c r="BI2104" s="291"/>
      <c r="BJ2104" s="291"/>
      <c r="BK2104" s="291"/>
      <c r="BL2104" s="291"/>
      <c r="BM2104" s="291"/>
      <c r="BN2104" s="291"/>
      <c r="BO2104" s="291"/>
      <c r="BP2104" s="291"/>
      <c r="BQ2104" s="291"/>
      <c r="BR2104" s="291"/>
      <c r="BS2104" s="291"/>
      <c r="BT2104" s="291"/>
      <c r="BU2104" s="291"/>
      <c r="BV2104" s="291"/>
      <c r="BW2104" s="291"/>
      <c r="BX2104" s="291"/>
      <c r="BY2104" s="291"/>
    </row>
    <row r="2105" spans="1:77" s="303" customFormat="1" ht="11.25" customHeight="1">
      <c r="B2105" s="313" t="s">
        <v>291</v>
      </c>
      <c r="C2105" s="301"/>
      <c r="D2105" s="301"/>
      <c r="E2105" s="302" t="s">
        <v>1598</v>
      </c>
      <c r="F2105" s="291" t="s">
        <v>1599</v>
      </c>
      <c r="G2105" s="294">
        <v>4283</v>
      </c>
      <c r="H2105" s="291" t="s">
        <v>250</v>
      </c>
      <c r="I2105" s="303" t="s">
        <v>33</v>
      </c>
      <c r="J2105" s="296">
        <v>68724</v>
      </c>
      <c r="K2105" s="291"/>
      <c r="L2105" s="296">
        <v>83</v>
      </c>
      <c r="M2105" s="296">
        <v>83</v>
      </c>
      <c r="N2105" s="297"/>
      <c r="O2105" s="298">
        <v>0.25</v>
      </c>
      <c r="P2105" s="298"/>
      <c r="Q2105" s="297">
        <v>0</v>
      </c>
      <c r="R2105" s="291" t="s">
        <v>146</v>
      </c>
      <c r="S2105" s="299" t="s">
        <v>74</v>
      </c>
      <c r="T2105" s="299">
        <v>31</v>
      </c>
      <c r="U2105" s="309" t="s">
        <v>164</v>
      </c>
      <c r="V2105" s="447"/>
      <c r="X2105" s="306">
        <v>0</v>
      </c>
      <c r="Y2105" s="306"/>
      <c r="AH2105" s="332">
        <f>X2105</f>
        <v>0</v>
      </c>
      <c r="AI2105" s="311"/>
      <c r="AJ2105" s="468"/>
      <c r="AK2105" s="291"/>
      <c r="AL2105" s="291"/>
      <c r="AM2105" s="291"/>
      <c r="AN2105" s="291"/>
      <c r="AO2105" s="291"/>
      <c r="AP2105" s="291"/>
      <c r="AQ2105" s="291"/>
      <c r="AR2105" s="291"/>
      <c r="AS2105" s="291"/>
      <c r="AT2105" s="291"/>
      <c r="AU2105" s="291"/>
      <c r="AV2105" s="291"/>
      <c r="AW2105" s="291"/>
      <c r="AX2105" s="291"/>
      <c r="AY2105" s="291"/>
      <c r="AZ2105" s="291"/>
      <c r="BA2105" s="291"/>
      <c r="BB2105" s="291"/>
      <c r="BC2105" s="291"/>
      <c r="BD2105" s="291"/>
      <c r="BE2105" s="291"/>
      <c r="BF2105" s="291"/>
      <c r="BG2105" s="291"/>
      <c r="BH2105" s="291"/>
      <c r="BI2105" s="291"/>
      <c r="BJ2105" s="291"/>
      <c r="BK2105" s="291"/>
      <c r="BL2105" s="291"/>
      <c r="BM2105" s="291"/>
      <c r="BN2105" s="291"/>
      <c r="BO2105" s="291"/>
      <c r="BP2105" s="291"/>
      <c r="BQ2105" s="291"/>
      <c r="BR2105" s="291"/>
      <c r="BS2105" s="291"/>
      <c r="BT2105" s="291"/>
      <c r="BU2105" s="291"/>
      <c r="BV2105" s="291"/>
      <c r="BW2105" s="291"/>
      <c r="BX2105" s="291"/>
      <c r="BY2105" s="291"/>
    </row>
    <row r="2106" spans="1:77" s="303" customFormat="1" ht="11.25" customHeight="1">
      <c r="B2106" s="313" t="s">
        <v>291</v>
      </c>
      <c r="C2106" s="301"/>
      <c r="D2106" s="301"/>
      <c r="E2106" s="302" t="s">
        <v>1598</v>
      </c>
      <c r="F2106" s="291" t="s">
        <v>1599</v>
      </c>
      <c r="G2106" s="294">
        <v>4283</v>
      </c>
      <c r="H2106" s="291" t="s">
        <v>386</v>
      </c>
      <c r="I2106" s="303" t="s">
        <v>33</v>
      </c>
      <c r="J2106" s="296">
        <v>6613.75</v>
      </c>
      <c r="K2106" s="291"/>
      <c r="L2106" s="296">
        <v>6.5</v>
      </c>
      <c r="M2106" s="296">
        <v>6.5</v>
      </c>
      <c r="N2106" s="297"/>
      <c r="O2106" s="298">
        <v>0.25</v>
      </c>
      <c r="P2106" s="298"/>
      <c r="Q2106" s="297">
        <v>0</v>
      </c>
      <c r="R2106" s="291" t="s">
        <v>146</v>
      </c>
      <c r="S2106" s="299" t="s">
        <v>74</v>
      </c>
      <c r="T2106" s="299">
        <v>31</v>
      </c>
      <c r="U2106" s="309" t="s">
        <v>164</v>
      </c>
      <c r="V2106" s="447"/>
      <c r="X2106" s="306">
        <v>0</v>
      </c>
      <c r="Y2106" s="306"/>
      <c r="AH2106" s="332">
        <f>X2106</f>
        <v>0</v>
      </c>
      <c r="AI2106" s="311"/>
      <c r="AJ2106" s="468"/>
      <c r="AK2106" s="291"/>
      <c r="AL2106" s="291"/>
      <c r="AM2106" s="291"/>
      <c r="AN2106" s="291"/>
      <c r="AO2106" s="291"/>
      <c r="AP2106" s="291"/>
      <c r="AQ2106" s="291"/>
      <c r="AR2106" s="291"/>
      <c r="AS2106" s="291"/>
      <c r="AT2106" s="291"/>
      <c r="AU2106" s="291"/>
      <c r="AV2106" s="291"/>
      <c r="AW2106" s="291"/>
      <c r="AX2106" s="291"/>
      <c r="AY2106" s="291"/>
      <c r="AZ2106" s="291"/>
      <c r="BA2106" s="291"/>
      <c r="BB2106" s="291"/>
      <c r="BC2106" s="291"/>
      <c r="BD2106" s="291"/>
      <c r="BE2106" s="291"/>
      <c r="BF2106" s="291"/>
      <c r="BG2106" s="291"/>
      <c r="BH2106" s="291"/>
      <c r="BI2106" s="291"/>
      <c r="BJ2106" s="291"/>
      <c r="BK2106" s="291"/>
      <c r="BL2106" s="291"/>
      <c r="BM2106" s="291"/>
      <c r="BN2106" s="291"/>
      <c r="BO2106" s="291"/>
      <c r="BP2106" s="291"/>
      <c r="BQ2106" s="291"/>
      <c r="BR2106" s="291"/>
      <c r="BS2106" s="291"/>
      <c r="BT2106" s="291"/>
      <c r="BU2106" s="291"/>
      <c r="BV2106" s="291"/>
      <c r="BW2106" s="291"/>
      <c r="BX2106" s="291"/>
      <c r="BY2106" s="291"/>
    </row>
    <row r="2107" spans="1:77" s="303" customFormat="1" ht="11.25" customHeight="1">
      <c r="B2107" s="313" t="s">
        <v>291</v>
      </c>
      <c r="C2107" s="301"/>
      <c r="D2107" s="301"/>
      <c r="E2107" s="302" t="s">
        <v>1598</v>
      </c>
      <c r="F2107" s="291" t="s">
        <v>1599</v>
      </c>
      <c r="G2107" s="294">
        <v>4283</v>
      </c>
      <c r="H2107" s="291" t="s">
        <v>356</v>
      </c>
      <c r="I2107" s="303" t="s">
        <v>33</v>
      </c>
      <c r="J2107" s="296">
        <v>5500</v>
      </c>
      <c r="K2107" s="291"/>
      <c r="L2107" s="296">
        <v>5.5</v>
      </c>
      <c r="M2107" s="296">
        <v>5.5</v>
      </c>
      <c r="N2107" s="297"/>
      <c r="O2107" s="298">
        <v>0.25</v>
      </c>
      <c r="P2107" s="298"/>
      <c r="Q2107" s="297">
        <v>0</v>
      </c>
      <c r="R2107" s="291" t="s">
        <v>146</v>
      </c>
      <c r="S2107" s="299" t="s">
        <v>74</v>
      </c>
      <c r="T2107" s="299">
        <v>31</v>
      </c>
      <c r="U2107" s="309" t="s">
        <v>164</v>
      </c>
      <c r="V2107" s="447"/>
      <c r="X2107" s="306">
        <v>0</v>
      </c>
      <c r="Y2107" s="306"/>
      <c r="AH2107" s="332">
        <f>X2107</f>
        <v>0</v>
      </c>
      <c r="AI2107" s="311"/>
      <c r="AJ2107" s="468"/>
      <c r="AK2107" s="291"/>
      <c r="AL2107" s="291"/>
      <c r="AM2107" s="291"/>
      <c r="AN2107" s="291"/>
      <c r="AO2107" s="291"/>
      <c r="AP2107" s="291"/>
      <c r="AQ2107" s="291"/>
      <c r="AR2107" s="291"/>
      <c r="AS2107" s="291"/>
      <c r="AT2107" s="291"/>
      <c r="AU2107" s="291"/>
      <c r="AV2107" s="291"/>
      <c r="AW2107" s="291"/>
      <c r="AX2107" s="291"/>
      <c r="AY2107" s="291"/>
      <c r="AZ2107" s="291"/>
      <c r="BA2107" s="291"/>
      <c r="BB2107" s="291"/>
      <c r="BC2107" s="291"/>
      <c r="BD2107" s="291"/>
      <c r="BE2107" s="291"/>
      <c r="BF2107" s="291"/>
      <c r="BG2107" s="291"/>
      <c r="BH2107" s="291"/>
      <c r="BI2107" s="291"/>
      <c r="BJ2107" s="291"/>
      <c r="BK2107" s="291"/>
      <c r="BL2107" s="291"/>
      <c r="BM2107" s="291"/>
      <c r="BN2107" s="291"/>
      <c r="BO2107" s="291"/>
      <c r="BP2107" s="291"/>
      <c r="BQ2107" s="291"/>
      <c r="BR2107" s="291"/>
      <c r="BS2107" s="291"/>
      <c r="BT2107" s="291"/>
      <c r="BU2107" s="291"/>
      <c r="BV2107" s="291"/>
      <c r="BW2107" s="291"/>
      <c r="BX2107" s="291"/>
      <c r="BY2107" s="291"/>
    </row>
    <row r="2108" spans="1:77" s="273" customFormat="1" ht="11.25" customHeight="1">
      <c r="B2108" s="270" t="s">
        <v>291</v>
      </c>
      <c r="C2108" s="271">
        <v>44714</v>
      </c>
      <c r="D2108" s="271">
        <v>44714</v>
      </c>
      <c r="E2108" s="272" t="s">
        <v>1600</v>
      </c>
      <c r="F2108" s="261" t="s">
        <v>1601</v>
      </c>
      <c r="G2108" s="262">
        <v>3922</v>
      </c>
      <c r="H2108" s="261" t="s">
        <v>138</v>
      </c>
      <c r="I2108" s="273" t="s">
        <v>33</v>
      </c>
      <c r="J2108" s="263">
        <v>29607.9</v>
      </c>
      <c r="K2108" s="261"/>
      <c r="L2108" s="263">
        <v>23</v>
      </c>
      <c r="M2108" s="263">
        <v>23</v>
      </c>
      <c r="N2108" s="265"/>
      <c r="O2108" s="266">
        <v>0.25</v>
      </c>
      <c r="P2108" s="266"/>
      <c r="Q2108" s="265">
        <v>0</v>
      </c>
      <c r="R2108" s="261" t="s">
        <v>146</v>
      </c>
      <c r="S2108" s="267" t="s">
        <v>74</v>
      </c>
      <c r="T2108" s="267">
        <v>32</v>
      </c>
      <c r="U2108" s="274" t="s">
        <v>164</v>
      </c>
      <c r="V2108" s="454"/>
      <c r="X2108" s="265">
        <v>0</v>
      </c>
      <c r="Y2108" s="275"/>
      <c r="AG2108" s="273">
        <f>X2108</f>
        <v>0</v>
      </c>
      <c r="AJ2108" s="642"/>
      <c r="AK2108" s="261"/>
      <c r="AL2108" s="261"/>
      <c r="AM2108" s="261"/>
      <c r="AN2108" s="261"/>
      <c r="AO2108" s="261"/>
      <c r="AP2108" s="261"/>
      <c r="AQ2108" s="261"/>
      <c r="AR2108" s="261"/>
      <c r="AS2108" s="261"/>
      <c r="AT2108" s="261"/>
      <c r="AU2108" s="261"/>
      <c r="AV2108" s="261"/>
      <c r="AW2108" s="261"/>
      <c r="AX2108" s="261"/>
      <c r="AY2108" s="261"/>
      <c r="AZ2108" s="261"/>
      <c r="BA2108" s="261"/>
      <c r="BB2108" s="261"/>
      <c r="BC2108" s="261"/>
      <c r="BD2108" s="261"/>
      <c r="BE2108" s="261"/>
      <c r="BF2108" s="261"/>
      <c r="BG2108" s="261"/>
      <c r="BH2108" s="261"/>
      <c r="BI2108" s="261"/>
      <c r="BJ2108" s="261"/>
      <c r="BK2108" s="261"/>
      <c r="BL2108" s="261"/>
      <c r="BM2108" s="261"/>
      <c r="BN2108" s="261"/>
      <c r="BO2108" s="261"/>
      <c r="BP2108" s="261"/>
      <c r="BQ2108" s="261"/>
      <c r="BR2108" s="261"/>
      <c r="BS2108" s="261"/>
      <c r="BT2108" s="261"/>
      <c r="BU2108" s="261"/>
      <c r="BV2108" s="261"/>
      <c r="BW2108" s="261"/>
      <c r="BX2108" s="261"/>
      <c r="BY2108" s="261"/>
    </row>
    <row r="2109" spans="1:77" s="273" customFormat="1" ht="11.25" customHeight="1">
      <c r="B2109" s="270" t="s">
        <v>291</v>
      </c>
      <c r="C2109" s="271"/>
      <c r="D2109" s="271"/>
      <c r="E2109" s="272" t="s">
        <v>1600</v>
      </c>
      <c r="F2109" s="261" t="s">
        <v>1601</v>
      </c>
      <c r="G2109" s="262">
        <v>3922</v>
      </c>
      <c r="H2109" s="261" t="s">
        <v>99</v>
      </c>
      <c r="I2109" s="273" t="s">
        <v>33</v>
      </c>
      <c r="J2109" s="263">
        <v>41125.56</v>
      </c>
      <c r="K2109" s="261"/>
      <c r="L2109" s="263">
        <v>35.31</v>
      </c>
      <c r="M2109" s="263">
        <v>35.31</v>
      </c>
      <c r="N2109" s="265"/>
      <c r="O2109" s="266">
        <v>0.25</v>
      </c>
      <c r="P2109" s="266"/>
      <c r="Q2109" s="265">
        <v>3478.41</v>
      </c>
      <c r="R2109" s="261" t="s">
        <v>146</v>
      </c>
      <c r="S2109" s="267" t="s">
        <v>74</v>
      </c>
      <c r="T2109" s="267">
        <v>32</v>
      </c>
      <c r="U2109" s="274" t="s">
        <v>164</v>
      </c>
      <c r="V2109" s="454"/>
      <c r="X2109" s="265">
        <v>3478.41</v>
      </c>
      <c r="Y2109" s="275"/>
      <c r="AG2109" s="273">
        <f>X2109</f>
        <v>3478.41</v>
      </c>
      <c r="AJ2109" s="642"/>
      <c r="AK2109" s="261"/>
      <c r="AL2109" s="261"/>
      <c r="AM2109" s="261"/>
      <c r="AN2109" s="261"/>
      <c r="AO2109" s="261"/>
      <c r="AP2109" s="261"/>
      <c r="AQ2109" s="261"/>
      <c r="AR2109" s="261"/>
      <c r="AS2109" s="261"/>
      <c r="AT2109" s="261"/>
      <c r="AU2109" s="261"/>
      <c r="AV2109" s="261"/>
      <c r="AW2109" s="261"/>
      <c r="AX2109" s="261"/>
      <c r="AY2109" s="261"/>
      <c r="AZ2109" s="261"/>
      <c r="BA2109" s="261"/>
      <c r="BB2109" s="261"/>
      <c r="BC2109" s="261"/>
      <c r="BD2109" s="261"/>
      <c r="BE2109" s="261"/>
      <c r="BF2109" s="261"/>
      <c r="BG2109" s="261"/>
      <c r="BH2109" s="261"/>
      <c r="BI2109" s="261"/>
      <c r="BJ2109" s="261"/>
      <c r="BK2109" s="261"/>
      <c r="BL2109" s="261"/>
      <c r="BM2109" s="261"/>
      <c r="BN2109" s="261"/>
      <c r="BO2109" s="261"/>
      <c r="BP2109" s="261"/>
      <c r="BQ2109" s="261"/>
      <c r="BR2109" s="261"/>
      <c r="BS2109" s="261"/>
      <c r="BT2109" s="261"/>
      <c r="BU2109" s="261"/>
      <c r="BV2109" s="261"/>
      <c r="BW2109" s="261"/>
      <c r="BX2109" s="261"/>
      <c r="BY2109" s="261"/>
    </row>
    <row r="2110" spans="1:77" s="394" customFormat="1" ht="11.25" customHeight="1">
      <c r="B2110" s="406" t="s">
        <v>291</v>
      </c>
      <c r="C2110" s="392"/>
      <c r="D2110" s="392"/>
      <c r="E2110" s="393" t="s">
        <v>1600</v>
      </c>
      <c r="F2110" s="379" t="s">
        <v>1601</v>
      </c>
      <c r="G2110" s="383">
        <v>3922</v>
      </c>
      <c r="H2110" s="379" t="s">
        <v>765</v>
      </c>
      <c r="I2110" s="394" t="s">
        <v>33</v>
      </c>
      <c r="J2110" s="385">
        <v>37113.599999999999</v>
      </c>
      <c r="K2110" s="379"/>
      <c r="L2110" s="385">
        <v>38.659999999999997</v>
      </c>
      <c r="M2110" s="385">
        <v>38.659999999999997</v>
      </c>
      <c r="N2110" s="386"/>
      <c r="O2110" s="387">
        <v>0.25</v>
      </c>
      <c r="P2110" s="387"/>
      <c r="Q2110" s="386">
        <v>0</v>
      </c>
      <c r="R2110" s="379" t="s">
        <v>146</v>
      </c>
      <c r="S2110" s="388" t="s">
        <v>74</v>
      </c>
      <c r="T2110" s="388">
        <v>32</v>
      </c>
      <c r="U2110" s="398" t="s">
        <v>164</v>
      </c>
      <c r="V2110" s="449"/>
      <c r="X2110" s="396">
        <v>0</v>
      </c>
      <c r="Y2110" s="396"/>
      <c r="AJ2110" s="390">
        <v>0</v>
      </c>
      <c r="AK2110" s="379"/>
      <c r="AL2110" s="379"/>
      <c r="AM2110" s="379"/>
      <c r="AN2110" s="379"/>
      <c r="AO2110" s="379"/>
      <c r="AP2110" s="379"/>
      <c r="AQ2110" s="379"/>
      <c r="AR2110" s="379"/>
      <c r="AS2110" s="379"/>
      <c r="AT2110" s="379"/>
      <c r="AU2110" s="379"/>
      <c r="AV2110" s="379"/>
      <c r="AW2110" s="379"/>
      <c r="AX2110" s="379"/>
      <c r="AY2110" s="379"/>
      <c r="AZ2110" s="379"/>
      <c r="BA2110" s="379"/>
      <c r="BB2110" s="379"/>
      <c r="BC2110" s="379"/>
      <c r="BD2110" s="379"/>
      <c r="BE2110" s="379"/>
      <c r="BF2110" s="379"/>
      <c r="BG2110" s="379"/>
      <c r="BH2110" s="379"/>
      <c r="BI2110" s="379"/>
      <c r="BJ2110" s="379"/>
      <c r="BK2110" s="379"/>
      <c r="BL2110" s="379"/>
      <c r="BM2110" s="379"/>
      <c r="BN2110" s="379"/>
      <c r="BO2110" s="379"/>
      <c r="BP2110" s="379"/>
      <c r="BQ2110" s="379"/>
      <c r="BR2110" s="379"/>
      <c r="BS2110" s="379"/>
      <c r="BT2110" s="379"/>
      <c r="BU2110" s="379"/>
      <c r="BV2110" s="379"/>
      <c r="BW2110" s="379"/>
      <c r="BX2110" s="379"/>
      <c r="BY2110" s="379"/>
    </row>
    <row r="2111" spans="1:77" s="303" customFormat="1" ht="11.25" customHeight="1">
      <c r="B2111" s="310" t="s">
        <v>291</v>
      </c>
      <c r="C2111" s="301">
        <v>44714</v>
      </c>
      <c r="D2111" s="301">
        <v>44715</v>
      </c>
      <c r="E2111" s="302" t="s">
        <v>1602</v>
      </c>
      <c r="F2111" s="291" t="s">
        <v>527</v>
      </c>
      <c r="G2111" s="294" t="s">
        <v>249</v>
      </c>
      <c r="H2111" s="291" t="s">
        <v>528</v>
      </c>
      <c r="I2111" s="303" t="s">
        <v>33</v>
      </c>
      <c r="J2111" s="296">
        <v>25808.76</v>
      </c>
      <c r="K2111" s="291"/>
      <c r="L2111" s="296">
        <v>20.78</v>
      </c>
      <c r="M2111" s="296">
        <v>15</v>
      </c>
      <c r="N2111" s="297">
        <v>7226.4528</v>
      </c>
      <c r="O2111" s="298">
        <v>0.15</v>
      </c>
      <c r="P2111" s="298"/>
      <c r="Q2111" s="297">
        <v>4746.6499999999996</v>
      </c>
      <c r="R2111" s="291" t="s">
        <v>251</v>
      </c>
      <c r="S2111" s="299" t="s">
        <v>74</v>
      </c>
      <c r="T2111" s="299">
        <v>32</v>
      </c>
      <c r="U2111" s="309" t="s">
        <v>164</v>
      </c>
      <c r="V2111" s="447">
        <v>1255.6600000000001</v>
      </c>
      <c r="X2111" s="306">
        <v>4746.6499999999996</v>
      </c>
      <c r="Y2111" s="306"/>
      <c r="AH2111" s="306">
        <f>X2111</f>
        <v>4746.6499999999996</v>
      </c>
      <c r="AI2111" s="311"/>
      <c r="AJ2111" s="468"/>
      <c r="AK2111" s="291"/>
      <c r="AL2111" s="291"/>
      <c r="AM2111" s="291"/>
      <c r="AN2111" s="291"/>
      <c r="AO2111" s="291"/>
      <c r="AP2111" s="291"/>
      <c r="AQ2111" s="291"/>
      <c r="AR2111" s="291"/>
      <c r="AS2111" s="291"/>
      <c r="AT2111" s="291"/>
      <c r="AU2111" s="291"/>
      <c r="AV2111" s="291"/>
      <c r="AW2111" s="291"/>
      <c r="AX2111" s="291"/>
      <c r="AY2111" s="291"/>
      <c r="AZ2111" s="291"/>
      <c r="BA2111" s="291"/>
      <c r="BB2111" s="291"/>
      <c r="BC2111" s="291"/>
      <c r="BD2111" s="291"/>
      <c r="BE2111" s="291"/>
      <c r="BF2111" s="291"/>
      <c r="BG2111" s="291"/>
      <c r="BH2111" s="291"/>
      <c r="BI2111" s="291"/>
      <c r="BJ2111" s="291"/>
      <c r="BK2111" s="291"/>
      <c r="BL2111" s="291"/>
      <c r="BM2111" s="291"/>
      <c r="BN2111" s="291"/>
      <c r="BO2111" s="291"/>
      <c r="BP2111" s="291"/>
      <c r="BQ2111" s="291"/>
      <c r="BR2111" s="291"/>
      <c r="BS2111" s="291"/>
      <c r="BT2111" s="291"/>
      <c r="BU2111" s="291"/>
      <c r="BV2111" s="291"/>
      <c r="BW2111" s="291"/>
      <c r="BX2111" s="291"/>
      <c r="BY2111" s="291"/>
    </row>
    <row r="2112" spans="1:77" s="612" customFormat="1" ht="11.25" customHeight="1">
      <c r="B2112" s="611" t="s">
        <v>291</v>
      </c>
      <c r="C2112" s="614">
        <v>44697</v>
      </c>
      <c r="D2112" s="614">
        <v>44715</v>
      </c>
      <c r="E2112" s="615" t="s">
        <v>1603</v>
      </c>
      <c r="F2112" s="582" t="s">
        <v>1604</v>
      </c>
      <c r="G2112" s="610" t="s">
        <v>1605</v>
      </c>
      <c r="H2112" s="582" t="s">
        <v>99</v>
      </c>
      <c r="I2112" s="612" t="s">
        <v>33</v>
      </c>
      <c r="J2112" s="587">
        <v>49823.97</v>
      </c>
      <c r="K2112" s="582"/>
      <c r="L2112" s="587">
        <v>42</v>
      </c>
      <c r="M2112" s="587">
        <v>41.89</v>
      </c>
      <c r="N2112" s="588">
        <v>0</v>
      </c>
      <c r="O2112" s="589">
        <v>0.25</v>
      </c>
      <c r="P2112" s="589"/>
      <c r="Q2112" s="588">
        <v>0</v>
      </c>
      <c r="R2112" s="582" t="s">
        <v>29</v>
      </c>
      <c r="S2112" s="590" t="s">
        <v>275</v>
      </c>
      <c r="T2112" s="590">
        <v>21</v>
      </c>
      <c r="U2112" s="616" t="s">
        <v>164</v>
      </c>
      <c r="V2112" s="617"/>
      <c r="X2112" s="613">
        <v>0</v>
      </c>
      <c r="Y2112" s="613"/>
      <c r="AJ2112" s="594"/>
      <c r="AK2112" s="582"/>
      <c r="AL2112" s="582"/>
      <c r="AM2112" s="582"/>
      <c r="AN2112" s="582">
        <v>0</v>
      </c>
      <c r="AO2112" s="582"/>
      <c r="AP2112" s="582"/>
      <c r="AQ2112" s="582"/>
      <c r="AR2112" s="582"/>
      <c r="AS2112" s="582"/>
      <c r="AT2112" s="582"/>
      <c r="AU2112" s="582"/>
      <c r="AV2112" s="582"/>
      <c r="AW2112" s="582"/>
      <c r="AX2112" s="582"/>
      <c r="AY2112" s="582"/>
      <c r="AZ2112" s="582"/>
      <c r="BA2112" s="582"/>
      <c r="BB2112" s="582"/>
      <c r="BC2112" s="582"/>
      <c r="BD2112" s="582"/>
      <c r="BE2112" s="582"/>
      <c r="BF2112" s="582"/>
      <c r="BG2112" s="582"/>
      <c r="BH2112" s="582"/>
      <c r="BI2112" s="582"/>
      <c r="BJ2112" s="582"/>
      <c r="BK2112" s="582"/>
      <c r="BL2112" s="582"/>
      <c r="BM2112" s="582"/>
      <c r="BN2112" s="582"/>
      <c r="BO2112" s="582"/>
      <c r="BP2112" s="582"/>
      <c r="BQ2112" s="582"/>
      <c r="BR2112" s="582"/>
      <c r="BS2112" s="582"/>
      <c r="BT2112" s="582"/>
      <c r="BU2112" s="582"/>
      <c r="BV2112" s="582"/>
      <c r="BW2112" s="582"/>
      <c r="BX2112" s="582"/>
      <c r="BY2112" s="582"/>
    </row>
    <row r="2113" spans="1:77" s="612" customFormat="1" ht="11.25" customHeight="1">
      <c r="B2113" s="611" t="s">
        <v>291</v>
      </c>
      <c r="C2113" s="614"/>
      <c r="D2113" s="614"/>
      <c r="E2113" s="615" t="s">
        <v>1603</v>
      </c>
      <c r="F2113" s="582" t="s">
        <v>1604</v>
      </c>
      <c r="G2113" s="610" t="s">
        <v>1605</v>
      </c>
      <c r="H2113" s="582" t="s">
        <v>27</v>
      </c>
      <c r="I2113" s="612" t="s">
        <v>33</v>
      </c>
      <c r="J2113" s="587">
        <v>24667.4</v>
      </c>
      <c r="K2113" s="582"/>
      <c r="L2113" s="587">
        <v>21.72</v>
      </c>
      <c r="M2113" s="587">
        <v>21.72</v>
      </c>
      <c r="N2113" s="588">
        <v>0</v>
      </c>
      <c r="O2113" s="589">
        <v>0.25</v>
      </c>
      <c r="P2113" s="589"/>
      <c r="Q2113" s="588">
        <v>0</v>
      </c>
      <c r="R2113" s="582" t="s">
        <v>29</v>
      </c>
      <c r="S2113" s="590" t="s">
        <v>275</v>
      </c>
      <c r="T2113" s="590">
        <v>21</v>
      </c>
      <c r="U2113" s="616" t="s">
        <v>164</v>
      </c>
      <c r="V2113" s="617"/>
      <c r="X2113" s="613">
        <v>0</v>
      </c>
      <c r="Y2113" s="613"/>
      <c r="AJ2113" s="594"/>
      <c r="AK2113" s="582"/>
      <c r="AL2113" s="582"/>
      <c r="AM2113" s="582"/>
      <c r="AN2113" s="582">
        <v>0</v>
      </c>
      <c r="AO2113" s="582"/>
      <c r="AP2113" s="582"/>
      <c r="AQ2113" s="582"/>
      <c r="AR2113" s="582"/>
      <c r="AS2113" s="582"/>
      <c r="AT2113" s="582"/>
      <c r="AU2113" s="582"/>
      <c r="AV2113" s="582"/>
      <c r="AW2113" s="582"/>
      <c r="AX2113" s="582"/>
      <c r="AY2113" s="582"/>
      <c r="AZ2113" s="582"/>
      <c r="BA2113" s="582"/>
      <c r="BB2113" s="582"/>
      <c r="BC2113" s="582"/>
      <c r="BD2113" s="582"/>
      <c r="BE2113" s="582"/>
      <c r="BF2113" s="582"/>
      <c r="BG2113" s="582"/>
      <c r="BH2113" s="582"/>
      <c r="BI2113" s="582"/>
      <c r="BJ2113" s="582"/>
      <c r="BK2113" s="582"/>
      <c r="BL2113" s="582"/>
      <c r="BM2113" s="582"/>
      <c r="BN2113" s="582"/>
      <c r="BO2113" s="582"/>
      <c r="BP2113" s="582"/>
      <c r="BQ2113" s="582"/>
      <c r="BR2113" s="582"/>
      <c r="BS2113" s="582"/>
      <c r="BT2113" s="582"/>
      <c r="BU2113" s="582"/>
      <c r="BV2113" s="582"/>
      <c r="BW2113" s="582"/>
      <c r="BX2113" s="582"/>
      <c r="BY2113" s="582"/>
    </row>
    <row r="2114" spans="1:77" s="612" customFormat="1" ht="11.25" customHeight="1">
      <c r="B2114" s="611" t="s">
        <v>291</v>
      </c>
      <c r="C2114" s="614"/>
      <c r="D2114" s="614"/>
      <c r="E2114" s="615" t="s">
        <v>1603</v>
      </c>
      <c r="F2114" s="582" t="s">
        <v>1604</v>
      </c>
      <c r="G2114" s="610" t="s">
        <v>1605</v>
      </c>
      <c r="H2114" s="582" t="s">
        <v>442</v>
      </c>
      <c r="I2114" s="612" t="s">
        <v>33</v>
      </c>
      <c r="J2114" s="587">
        <v>13952.41</v>
      </c>
      <c r="K2114" s="582"/>
      <c r="L2114" s="587">
        <v>15.62</v>
      </c>
      <c r="M2114" s="587">
        <v>15.62</v>
      </c>
      <c r="N2114" s="588">
        <v>1395.24</v>
      </c>
      <c r="O2114" s="589">
        <v>0.25</v>
      </c>
      <c r="P2114" s="589"/>
      <c r="Q2114" s="588">
        <v>0</v>
      </c>
      <c r="R2114" s="582" t="s">
        <v>29</v>
      </c>
      <c r="S2114" s="590" t="s">
        <v>275</v>
      </c>
      <c r="T2114" s="590">
        <v>21</v>
      </c>
      <c r="U2114" s="616" t="s">
        <v>164</v>
      </c>
      <c r="V2114" s="617"/>
      <c r="X2114" s="613">
        <v>0</v>
      </c>
      <c r="Y2114" s="613"/>
      <c r="AJ2114" s="594"/>
      <c r="AK2114" s="582"/>
      <c r="AL2114" s="582"/>
      <c r="AM2114" s="582"/>
      <c r="AN2114" s="582">
        <v>0</v>
      </c>
      <c r="AO2114" s="582"/>
      <c r="AP2114" s="582"/>
      <c r="AQ2114" s="582"/>
      <c r="AR2114" s="582"/>
      <c r="AS2114" s="582"/>
      <c r="AT2114" s="582"/>
      <c r="AU2114" s="582"/>
      <c r="AV2114" s="582"/>
      <c r="AW2114" s="582"/>
      <c r="AX2114" s="582"/>
      <c r="AY2114" s="582"/>
      <c r="AZ2114" s="582"/>
      <c r="BA2114" s="582"/>
      <c r="BB2114" s="582"/>
      <c r="BC2114" s="582"/>
      <c r="BD2114" s="582"/>
      <c r="BE2114" s="582"/>
      <c r="BF2114" s="582"/>
      <c r="BG2114" s="582"/>
      <c r="BH2114" s="582"/>
      <c r="BI2114" s="582"/>
      <c r="BJ2114" s="582"/>
      <c r="BK2114" s="582"/>
      <c r="BL2114" s="582"/>
      <c r="BM2114" s="582"/>
      <c r="BN2114" s="582"/>
      <c r="BO2114" s="582"/>
      <c r="BP2114" s="582"/>
      <c r="BQ2114" s="582"/>
      <c r="BR2114" s="582"/>
      <c r="BS2114" s="582"/>
      <c r="BT2114" s="582"/>
      <c r="BU2114" s="582"/>
      <c r="BV2114" s="582"/>
      <c r="BW2114" s="582"/>
      <c r="BX2114" s="582"/>
      <c r="BY2114" s="582"/>
    </row>
    <row r="2115" spans="1:77" s="612" customFormat="1" ht="11.25" customHeight="1">
      <c r="B2115" s="611" t="s">
        <v>291</v>
      </c>
      <c r="C2115" s="614"/>
      <c r="D2115" s="614"/>
      <c r="E2115" s="615" t="s">
        <v>1603</v>
      </c>
      <c r="F2115" s="582" t="s">
        <v>1604</v>
      </c>
      <c r="G2115" s="610" t="s">
        <v>1605</v>
      </c>
      <c r="H2115" s="582" t="s">
        <v>137</v>
      </c>
      <c r="I2115" s="612" t="s">
        <v>33</v>
      </c>
      <c r="J2115" s="587">
        <v>44349.98</v>
      </c>
      <c r="K2115" s="582"/>
      <c r="L2115" s="587">
        <v>41.12</v>
      </c>
      <c r="M2115" s="587">
        <v>41.12</v>
      </c>
      <c r="N2115" s="588">
        <v>4749.07</v>
      </c>
      <c r="O2115" s="589">
        <v>0.25</v>
      </c>
      <c r="P2115" s="589"/>
      <c r="Q2115" s="588">
        <v>0</v>
      </c>
      <c r="R2115" s="582" t="s">
        <v>29</v>
      </c>
      <c r="S2115" s="590" t="s">
        <v>275</v>
      </c>
      <c r="T2115" s="590">
        <v>21</v>
      </c>
      <c r="U2115" s="616" t="s">
        <v>164</v>
      </c>
      <c r="V2115" s="617"/>
      <c r="X2115" s="613">
        <v>0</v>
      </c>
      <c r="Y2115" s="613"/>
      <c r="AJ2115" s="594"/>
      <c r="AK2115" s="582"/>
      <c r="AL2115" s="582"/>
      <c r="AM2115" s="582"/>
      <c r="AN2115" s="582">
        <v>0</v>
      </c>
      <c r="AO2115" s="582"/>
      <c r="AP2115" s="582"/>
      <c r="AQ2115" s="582"/>
      <c r="AR2115" s="582"/>
      <c r="AS2115" s="582"/>
      <c r="AT2115" s="582"/>
      <c r="AU2115" s="582"/>
      <c r="AV2115" s="582"/>
      <c r="AW2115" s="582"/>
      <c r="AX2115" s="582"/>
      <c r="AY2115" s="582"/>
      <c r="AZ2115" s="582"/>
      <c r="BA2115" s="582"/>
      <c r="BB2115" s="582"/>
      <c r="BC2115" s="582"/>
      <c r="BD2115" s="582"/>
      <c r="BE2115" s="582"/>
      <c r="BF2115" s="582"/>
      <c r="BG2115" s="582"/>
      <c r="BH2115" s="582"/>
      <c r="BI2115" s="582"/>
      <c r="BJ2115" s="582"/>
      <c r="BK2115" s="582"/>
      <c r="BL2115" s="582"/>
      <c r="BM2115" s="582"/>
      <c r="BN2115" s="582"/>
      <c r="BO2115" s="582"/>
      <c r="BP2115" s="582"/>
      <c r="BQ2115" s="582"/>
      <c r="BR2115" s="582"/>
      <c r="BS2115" s="582"/>
      <c r="BT2115" s="582"/>
      <c r="BU2115" s="582"/>
      <c r="BV2115" s="582"/>
      <c r="BW2115" s="582"/>
      <c r="BX2115" s="582"/>
      <c r="BY2115" s="582"/>
    </row>
    <row r="2116" spans="1:77" s="394" customFormat="1" ht="11.25" customHeight="1">
      <c r="A2116" s="472"/>
      <c r="B2116" s="486" t="s">
        <v>291</v>
      </c>
      <c r="C2116" s="474"/>
      <c r="D2116" s="474"/>
      <c r="E2116" s="475" t="s">
        <v>1606</v>
      </c>
      <c r="F2116" s="473" t="s">
        <v>191</v>
      </c>
      <c r="G2116" s="489">
        <v>4079</v>
      </c>
      <c r="H2116" s="473" t="s">
        <v>192</v>
      </c>
      <c r="I2116" s="472" t="s">
        <v>1607</v>
      </c>
      <c r="J2116" s="490">
        <v>43464.6</v>
      </c>
      <c r="K2116" s="473"/>
      <c r="L2116" s="490">
        <v>26.83</v>
      </c>
      <c r="M2116" s="490">
        <v>26.83</v>
      </c>
      <c r="N2116" s="492"/>
      <c r="O2116" s="493">
        <v>0.2</v>
      </c>
      <c r="P2116" s="493">
        <v>0.1</v>
      </c>
      <c r="Q2116" s="492">
        <v>7007.36</v>
      </c>
      <c r="R2116" s="473" t="s">
        <v>73</v>
      </c>
      <c r="S2116" s="481" t="s">
        <v>74</v>
      </c>
      <c r="T2116" s="481">
        <v>31</v>
      </c>
      <c r="U2116" s="483" t="s">
        <v>164</v>
      </c>
      <c r="V2116" s="484"/>
      <c r="W2116" s="472"/>
      <c r="X2116" s="492">
        <v>7007.36</v>
      </c>
      <c r="Y2116" s="478"/>
      <c r="Z2116" s="472"/>
      <c r="AA2116" s="472"/>
      <c r="AB2116" s="472"/>
      <c r="AC2116" s="472"/>
      <c r="AD2116" s="472"/>
      <c r="AE2116" s="472"/>
      <c r="AF2116" s="472"/>
      <c r="AG2116" s="472"/>
      <c r="AH2116" s="472"/>
      <c r="AI2116" s="472"/>
      <c r="AJ2116" s="485"/>
      <c r="AK2116" s="505">
        <v>7007.36</v>
      </c>
      <c r="AL2116" s="473"/>
      <c r="AM2116" s="473"/>
      <c r="AN2116" s="473"/>
      <c r="AO2116" s="473"/>
      <c r="AP2116" s="473"/>
      <c r="AQ2116" s="473"/>
      <c r="AR2116" s="473"/>
      <c r="AS2116" s="473"/>
      <c r="AT2116" s="473"/>
      <c r="AU2116" s="473"/>
      <c r="AV2116" s="473"/>
      <c r="AW2116" s="473"/>
      <c r="AX2116" s="473"/>
      <c r="AY2116" s="473"/>
      <c r="AZ2116" s="473"/>
      <c r="BA2116" s="473"/>
      <c r="BB2116" s="473"/>
      <c r="BC2116" s="473"/>
      <c r="BD2116" s="473"/>
      <c r="BE2116" s="473"/>
      <c r="BF2116" s="473"/>
      <c r="BG2116" s="473"/>
      <c r="BH2116" s="473"/>
      <c r="BI2116" s="473"/>
      <c r="BJ2116" s="473"/>
      <c r="BK2116" s="473"/>
      <c r="BL2116" s="473"/>
      <c r="BM2116" s="473"/>
      <c r="BN2116" s="473"/>
      <c r="BO2116" s="473"/>
      <c r="BP2116" s="473"/>
      <c r="BQ2116" s="473"/>
      <c r="BR2116" s="473"/>
      <c r="BS2116" s="473"/>
      <c r="BT2116" s="473"/>
      <c r="BU2116" s="473"/>
      <c r="BV2116" s="473"/>
      <c r="BW2116" s="473"/>
      <c r="BX2116" s="473"/>
      <c r="BY2116" s="473"/>
    </row>
    <row r="2117" spans="1:77" s="117" customFormat="1" ht="11.25" customHeight="1">
      <c r="A2117" s="394"/>
      <c r="B2117" s="380" t="s">
        <v>291</v>
      </c>
      <c r="C2117" s="392">
        <v>44716</v>
      </c>
      <c r="D2117" s="392">
        <v>44716</v>
      </c>
      <c r="E2117" s="393" t="s">
        <v>1606</v>
      </c>
      <c r="F2117" s="379" t="s">
        <v>191</v>
      </c>
      <c r="G2117" s="383">
        <v>4079</v>
      </c>
      <c r="H2117" s="379" t="s">
        <v>1138</v>
      </c>
      <c r="I2117" s="394" t="s">
        <v>888</v>
      </c>
      <c r="J2117" s="385">
        <v>16289.91</v>
      </c>
      <c r="K2117" s="379"/>
      <c r="L2117" s="385">
        <v>8.4499999999999993</v>
      </c>
      <c r="M2117" s="385">
        <v>8.4499999999999993</v>
      </c>
      <c r="N2117" s="386"/>
      <c r="O2117" s="387">
        <v>0.2</v>
      </c>
      <c r="P2117" s="387"/>
      <c r="Q2117" s="386">
        <v>0</v>
      </c>
      <c r="R2117" s="379" t="s">
        <v>73</v>
      </c>
      <c r="S2117" s="388" t="s">
        <v>74</v>
      </c>
      <c r="T2117" s="388">
        <v>31</v>
      </c>
      <c r="U2117" s="398" t="s">
        <v>164</v>
      </c>
      <c r="V2117" s="449"/>
      <c r="W2117" s="394"/>
      <c r="X2117" s="396">
        <v>0</v>
      </c>
      <c r="Y2117" s="396"/>
      <c r="Z2117" s="394"/>
      <c r="AA2117" s="394"/>
      <c r="AB2117" s="394"/>
      <c r="AC2117" s="394"/>
      <c r="AD2117" s="394"/>
      <c r="AE2117" s="394"/>
      <c r="AF2117" s="394"/>
      <c r="AG2117" s="394"/>
      <c r="AH2117" s="394"/>
      <c r="AI2117" s="394"/>
      <c r="AJ2117" s="390">
        <v>0</v>
      </c>
      <c r="AK2117" s="379"/>
      <c r="AL2117" s="379"/>
      <c r="AM2117" s="379"/>
      <c r="AN2117" s="379"/>
      <c r="AO2117" s="379"/>
      <c r="AP2117" s="379"/>
      <c r="AQ2117" s="379"/>
      <c r="AR2117" s="379"/>
      <c r="AS2117" s="379"/>
      <c r="AT2117" s="379"/>
      <c r="AU2117" s="379"/>
      <c r="AV2117" s="379"/>
      <c r="AW2117" s="379"/>
      <c r="AX2117" s="379"/>
      <c r="AY2117" s="379"/>
      <c r="AZ2117" s="379"/>
      <c r="BA2117" s="379"/>
      <c r="BB2117" s="379"/>
      <c r="BC2117" s="379"/>
      <c r="BD2117" s="379"/>
      <c r="BE2117" s="379"/>
      <c r="BF2117" s="379"/>
      <c r="BG2117" s="379"/>
      <c r="BH2117" s="379"/>
      <c r="BI2117" s="379"/>
      <c r="BJ2117" s="379"/>
      <c r="BK2117" s="379"/>
      <c r="BL2117" s="379"/>
      <c r="BM2117" s="379"/>
      <c r="BN2117" s="379"/>
      <c r="BO2117" s="379"/>
      <c r="BP2117" s="379"/>
      <c r="BQ2117" s="379"/>
      <c r="BR2117" s="379"/>
      <c r="BS2117" s="379"/>
      <c r="BT2117" s="379"/>
      <c r="BU2117" s="379"/>
      <c r="BV2117" s="379"/>
      <c r="BW2117" s="379"/>
      <c r="BX2117" s="379"/>
      <c r="BY2117" s="379"/>
    </row>
    <row r="2118" spans="1:77" s="472" customFormat="1" ht="11.25" customHeight="1">
      <c r="A2118" s="394"/>
      <c r="B2118" s="380" t="s">
        <v>291</v>
      </c>
      <c r="C2118" s="392"/>
      <c r="D2118" s="392"/>
      <c r="E2118" s="393" t="s">
        <v>1606</v>
      </c>
      <c r="F2118" s="379" t="s">
        <v>191</v>
      </c>
      <c r="G2118" s="383">
        <v>4079</v>
      </c>
      <c r="H2118" s="379" t="s">
        <v>1018</v>
      </c>
      <c r="I2118" s="394" t="s">
        <v>1607</v>
      </c>
      <c r="J2118" s="385">
        <v>33907.5</v>
      </c>
      <c r="K2118" s="379"/>
      <c r="L2118" s="385">
        <v>34.25</v>
      </c>
      <c r="M2118" s="385">
        <v>34.25</v>
      </c>
      <c r="N2118" s="386"/>
      <c r="O2118" s="387">
        <v>0.2</v>
      </c>
      <c r="P2118" s="387">
        <v>0.1</v>
      </c>
      <c r="Q2118" s="386">
        <v>0</v>
      </c>
      <c r="R2118" s="379" t="s">
        <v>73</v>
      </c>
      <c r="S2118" s="388" t="s">
        <v>74</v>
      </c>
      <c r="T2118" s="388">
        <v>31</v>
      </c>
      <c r="U2118" s="398" t="s">
        <v>164</v>
      </c>
      <c r="V2118" s="449"/>
      <c r="W2118" s="394"/>
      <c r="X2118" s="396">
        <v>0</v>
      </c>
      <c r="Y2118" s="396"/>
      <c r="Z2118" s="394"/>
      <c r="AA2118" s="394"/>
      <c r="AB2118" s="394"/>
      <c r="AC2118" s="394"/>
      <c r="AD2118" s="394"/>
      <c r="AE2118" s="394"/>
      <c r="AF2118" s="394"/>
      <c r="AG2118" s="394"/>
      <c r="AH2118" s="394"/>
      <c r="AI2118" s="379"/>
      <c r="AJ2118" s="390">
        <v>0</v>
      </c>
      <c r="AK2118" s="379"/>
      <c r="AL2118" s="379"/>
      <c r="AM2118" s="379"/>
      <c r="AN2118" s="379"/>
      <c r="AO2118" s="379"/>
      <c r="AP2118" s="379"/>
      <c r="AQ2118" s="379"/>
      <c r="AR2118" s="379"/>
      <c r="AS2118" s="379"/>
      <c r="AT2118" s="379"/>
      <c r="AU2118" s="379"/>
      <c r="AV2118" s="379"/>
      <c r="AW2118" s="379"/>
      <c r="AX2118" s="379"/>
      <c r="AY2118" s="379"/>
      <c r="AZ2118" s="379"/>
      <c r="BA2118" s="379"/>
      <c r="BB2118" s="379"/>
      <c r="BC2118" s="379"/>
      <c r="BD2118" s="379"/>
      <c r="BE2118" s="379"/>
      <c r="BF2118" s="379"/>
      <c r="BG2118" s="379"/>
      <c r="BH2118" s="379"/>
      <c r="BI2118" s="379"/>
      <c r="BJ2118" s="379"/>
      <c r="BK2118" s="379"/>
      <c r="BL2118" s="379"/>
      <c r="BM2118" s="379"/>
      <c r="BN2118" s="379"/>
      <c r="BO2118" s="379"/>
      <c r="BP2118" s="379"/>
      <c r="BQ2118" s="379"/>
      <c r="BR2118" s="379"/>
      <c r="BS2118" s="379"/>
      <c r="BT2118" s="379"/>
      <c r="BU2118" s="379"/>
      <c r="BV2118" s="379"/>
      <c r="BW2118" s="379"/>
      <c r="BX2118" s="379"/>
      <c r="BY2118" s="379"/>
    </row>
    <row r="2119" spans="1:77" s="394" customFormat="1" ht="11.25" customHeight="1">
      <c r="B2119" s="380" t="s">
        <v>291</v>
      </c>
      <c r="C2119" s="392"/>
      <c r="D2119" s="392"/>
      <c r="E2119" s="393" t="s">
        <v>1606</v>
      </c>
      <c r="F2119" s="379" t="s">
        <v>191</v>
      </c>
      <c r="G2119" s="383">
        <v>4079</v>
      </c>
      <c r="H2119" s="379" t="s">
        <v>1141</v>
      </c>
      <c r="I2119" s="394" t="s">
        <v>888</v>
      </c>
      <c r="J2119" s="385">
        <v>1405.9</v>
      </c>
      <c r="K2119" s="379"/>
      <c r="L2119" s="385">
        <v>2.23</v>
      </c>
      <c r="M2119" s="385">
        <v>2.23</v>
      </c>
      <c r="N2119" s="386"/>
      <c r="O2119" s="387">
        <v>0.2</v>
      </c>
      <c r="P2119" s="387"/>
      <c r="Q2119" s="386">
        <v>0</v>
      </c>
      <c r="R2119" s="379" t="s">
        <v>73</v>
      </c>
      <c r="S2119" s="388" t="s">
        <v>74</v>
      </c>
      <c r="T2119" s="388">
        <v>31</v>
      </c>
      <c r="U2119" s="398" t="s">
        <v>164</v>
      </c>
      <c r="V2119" s="449"/>
      <c r="X2119" s="396">
        <v>0</v>
      </c>
      <c r="Y2119" s="396"/>
      <c r="AI2119" s="379"/>
      <c r="AJ2119" s="390">
        <v>0</v>
      </c>
      <c r="AK2119" s="379"/>
      <c r="AL2119" s="379"/>
      <c r="AM2119" s="379"/>
      <c r="AN2119" s="379"/>
      <c r="AO2119" s="379"/>
      <c r="AP2119" s="379"/>
      <c r="AQ2119" s="379"/>
      <c r="AR2119" s="379"/>
      <c r="AS2119" s="379"/>
      <c r="AT2119" s="379"/>
      <c r="AU2119" s="379"/>
      <c r="AV2119" s="379"/>
      <c r="AW2119" s="379"/>
      <c r="AX2119" s="379"/>
      <c r="AY2119" s="379"/>
      <c r="AZ2119" s="379"/>
      <c r="BA2119" s="379"/>
      <c r="BB2119" s="379"/>
      <c r="BC2119" s="379"/>
      <c r="BD2119" s="379"/>
      <c r="BE2119" s="379"/>
      <c r="BF2119" s="379"/>
      <c r="BG2119" s="379"/>
      <c r="BH2119" s="379"/>
      <c r="BI2119" s="379"/>
      <c r="BJ2119" s="379"/>
      <c r="BK2119" s="379"/>
      <c r="BL2119" s="379"/>
      <c r="BM2119" s="379"/>
      <c r="BN2119" s="379"/>
      <c r="BO2119" s="379"/>
      <c r="BP2119" s="379"/>
      <c r="BQ2119" s="379"/>
      <c r="BR2119" s="379"/>
      <c r="BS2119" s="379"/>
      <c r="BT2119" s="379"/>
      <c r="BU2119" s="379"/>
      <c r="BV2119" s="379"/>
      <c r="BW2119" s="379"/>
      <c r="BX2119" s="379"/>
      <c r="BY2119" s="379"/>
    </row>
    <row r="2120" spans="1:77" s="273" customFormat="1" ht="11.25" customHeight="1">
      <c r="A2120" s="558"/>
      <c r="B2120" s="559" t="s">
        <v>291</v>
      </c>
      <c r="C2120" s="560"/>
      <c r="D2120" s="560"/>
      <c r="E2120" s="561" t="s">
        <v>1608</v>
      </c>
      <c r="F2120" s="546" t="s">
        <v>1609</v>
      </c>
      <c r="G2120" s="549" t="s">
        <v>1610</v>
      </c>
      <c r="H2120" s="546" t="s">
        <v>163</v>
      </c>
      <c r="I2120" s="558" t="s">
        <v>33</v>
      </c>
      <c r="J2120" s="550">
        <v>19290.25</v>
      </c>
      <c r="K2120" s="546"/>
      <c r="L2120" s="550">
        <v>23.22</v>
      </c>
      <c r="M2120" s="550">
        <v>23.22</v>
      </c>
      <c r="N2120" s="552"/>
      <c r="O2120" s="553">
        <v>0.2</v>
      </c>
      <c r="P2120" s="553"/>
      <c r="Q2120" s="552">
        <v>894.62</v>
      </c>
      <c r="R2120" s="546" t="s">
        <v>29</v>
      </c>
      <c r="S2120" s="554" t="s">
        <v>275</v>
      </c>
      <c r="T2120" s="554">
        <v>21</v>
      </c>
      <c r="U2120" s="568" t="s">
        <v>164</v>
      </c>
      <c r="V2120" s="569"/>
      <c r="W2120" s="558"/>
      <c r="X2120" s="552">
        <v>894.62</v>
      </c>
      <c r="Y2120" s="564"/>
      <c r="Z2120" s="558"/>
      <c r="AA2120" s="558"/>
      <c r="AB2120" s="558"/>
      <c r="AC2120" s="558"/>
      <c r="AD2120" s="558"/>
      <c r="AE2120" s="558"/>
      <c r="AF2120" s="558"/>
      <c r="AG2120" s="558"/>
      <c r="AH2120" s="558"/>
      <c r="AI2120" s="546"/>
      <c r="AJ2120" s="557"/>
      <c r="AK2120" s="546"/>
      <c r="AL2120" s="546"/>
      <c r="AM2120" s="577">
        <v>894.62</v>
      </c>
      <c r="AN2120" s="546"/>
      <c r="AO2120" s="546"/>
      <c r="AP2120" s="546"/>
      <c r="AQ2120" s="546"/>
      <c r="AR2120" s="546"/>
      <c r="AS2120" s="546"/>
      <c r="AT2120" s="546"/>
      <c r="AU2120" s="546"/>
      <c r="AV2120" s="546"/>
      <c r="AW2120" s="546"/>
      <c r="AX2120" s="546"/>
      <c r="AY2120" s="546"/>
      <c r="AZ2120" s="546"/>
      <c r="BA2120" s="546"/>
      <c r="BB2120" s="546"/>
      <c r="BC2120" s="546"/>
      <c r="BD2120" s="546"/>
      <c r="BE2120" s="546"/>
      <c r="BF2120" s="546"/>
      <c r="BG2120" s="546"/>
      <c r="BH2120" s="546"/>
      <c r="BI2120" s="546"/>
      <c r="BJ2120" s="546"/>
      <c r="BK2120" s="546"/>
      <c r="BL2120" s="546"/>
      <c r="BM2120" s="546"/>
      <c r="BN2120" s="546"/>
      <c r="BO2120" s="546"/>
      <c r="BP2120" s="546"/>
      <c r="BQ2120" s="546"/>
      <c r="BR2120" s="546"/>
      <c r="BS2120" s="546"/>
      <c r="BT2120" s="546"/>
      <c r="BU2120" s="546"/>
      <c r="BV2120" s="546"/>
      <c r="BW2120" s="546"/>
      <c r="BX2120" s="546"/>
      <c r="BY2120" s="546"/>
    </row>
    <row r="2121" spans="1:77" s="117" customFormat="1" ht="11.25" customHeight="1">
      <c r="A2121" s="523"/>
      <c r="B2121" s="508" t="s">
        <v>291</v>
      </c>
      <c r="C2121" s="524"/>
      <c r="D2121" s="524"/>
      <c r="E2121" s="525" t="s">
        <v>1608</v>
      </c>
      <c r="F2121" s="507" t="s">
        <v>1609</v>
      </c>
      <c r="G2121" s="521" t="s">
        <v>1610</v>
      </c>
      <c r="H2121" s="507" t="s">
        <v>137</v>
      </c>
      <c r="I2121" s="523" t="s">
        <v>33</v>
      </c>
      <c r="J2121" s="513">
        <v>144054.71</v>
      </c>
      <c r="K2121" s="507"/>
      <c r="L2121" s="513">
        <v>85.89</v>
      </c>
      <c r="M2121" s="513">
        <v>85.89</v>
      </c>
      <c r="N2121" s="514">
        <f>J2121*0.33</f>
        <v>47538.054299999996</v>
      </c>
      <c r="O2121" s="515">
        <v>0.2</v>
      </c>
      <c r="P2121" s="515"/>
      <c r="Q2121" s="514">
        <v>49108.47</v>
      </c>
      <c r="R2121" s="507" t="s">
        <v>29</v>
      </c>
      <c r="S2121" s="516" t="s">
        <v>275</v>
      </c>
      <c r="T2121" s="516">
        <v>21</v>
      </c>
      <c r="U2121" s="532" t="s">
        <v>164</v>
      </c>
      <c r="V2121" s="533"/>
      <c r="W2121" s="523"/>
      <c r="X2121" s="514">
        <v>49108.47</v>
      </c>
      <c r="Y2121" s="528"/>
      <c r="Z2121" s="523"/>
      <c r="AA2121" s="523"/>
      <c r="AB2121" s="523"/>
      <c r="AC2121" s="523"/>
      <c r="AD2121" s="523"/>
      <c r="AE2121" s="523"/>
      <c r="AF2121" s="523"/>
      <c r="AG2121" s="523"/>
      <c r="AH2121" s="523"/>
      <c r="AI2121" s="507"/>
      <c r="AJ2121" s="522"/>
      <c r="AK2121" s="507"/>
      <c r="AL2121" s="514">
        <v>49108.47</v>
      </c>
      <c r="AM2121" s="507"/>
      <c r="AN2121" s="507"/>
      <c r="AO2121" s="507"/>
      <c r="AP2121" s="507"/>
      <c r="AQ2121" s="507"/>
      <c r="AR2121" s="507"/>
      <c r="AS2121" s="507"/>
      <c r="AT2121" s="507"/>
      <c r="AU2121" s="507"/>
      <c r="AV2121" s="507"/>
      <c r="AW2121" s="507"/>
      <c r="AX2121" s="507"/>
      <c r="AY2121" s="507"/>
      <c r="AZ2121" s="507"/>
      <c r="BA2121" s="507"/>
      <c r="BB2121" s="507"/>
      <c r="BC2121" s="507"/>
      <c r="BD2121" s="507"/>
      <c r="BE2121" s="507"/>
      <c r="BF2121" s="507"/>
      <c r="BG2121" s="507"/>
      <c r="BH2121" s="507"/>
      <c r="BI2121" s="507"/>
      <c r="BJ2121" s="507"/>
      <c r="BK2121" s="507"/>
      <c r="BL2121" s="507"/>
      <c r="BM2121" s="507"/>
      <c r="BN2121" s="507"/>
      <c r="BO2121" s="507"/>
      <c r="BP2121" s="507"/>
      <c r="BQ2121" s="507"/>
      <c r="BR2121" s="507"/>
      <c r="BS2121" s="507"/>
      <c r="BT2121" s="507"/>
      <c r="BU2121" s="507"/>
      <c r="BV2121" s="507"/>
      <c r="BW2121" s="507"/>
      <c r="BX2121" s="507"/>
      <c r="BY2121" s="507"/>
    </row>
    <row r="2122" spans="1:77" s="273" customFormat="1" ht="11.25" customHeight="1">
      <c r="B2122" s="258" t="s">
        <v>291</v>
      </c>
      <c r="C2122" s="271">
        <v>44715</v>
      </c>
      <c r="D2122" s="271">
        <v>44715</v>
      </c>
      <c r="E2122" s="272" t="s">
        <v>1608</v>
      </c>
      <c r="F2122" s="261" t="s">
        <v>1609</v>
      </c>
      <c r="G2122" s="262" t="s">
        <v>1610</v>
      </c>
      <c r="H2122" s="261" t="s">
        <v>99</v>
      </c>
      <c r="I2122" s="273" t="s">
        <v>33</v>
      </c>
      <c r="J2122" s="263">
        <v>145406.76999999999</v>
      </c>
      <c r="K2122" s="261"/>
      <c r="L2122" s="263">
        <v>102.6</v>
      </c>
      <c r="M2122" s="263">
        <v>102.6</v>
      </c>
      <c r="N2122" s="265">
        <f>6677.94+6591.77+3632.48+2475.6+1459.45+810.51+716.26+2022.23+3691.57</f>
        <v>28077.809999999994</v>
      </c>
      <c r="O2122" s="266">
        <v>0.2</v>
      </c>
      <c r="P2122" s="266"/>
      <c r="Q2122" s="265">
        <v>0</v>
      </c>
      <c r="R2122" s="261" t="s">
        <v>29</v>
      </c>
      <c r="S2122" s="267" t="s">
        <v>275</v>
      </c>
      <c r="T2122" s="267">
        <v>21</v>
      </c>
      <c r="U2122" s="274" t="s">
        <v>164</v>
      </c>
      <c r="V2122" s="454"/>
      <c r="X2122" s="275">
        <v>0</v>
      </c>
      <c r="Y2122" s="275"/>
      <c r="AG2122" s="273">
        <f>X2122</f>
        <v>0</v>
      </c>
      <c r="AI2122" s="261"/>
      <c r="AJ2122" s="642"/>
      <c r="AK2122" s="261"/>
      <c r="AL2122" s="261"/>
      <c r="AM2122" s="261"/>
      <c r="AN2122" s="261"/>
      <c r="AO2122" s="261"/>
      <c r="AP2122" s="261"/>
      <c r="AQ2122" s="261"/>
      <c r="AR2122" s="261"/>
      <c r="AS2122" s="261"/>
      <c r="AT2122" s="261"/>
      <c r="AU2122" s="261"/>
      <c r="AV2122" s="261"/>
      <c r="AW2122" s="261"/>
      <c r="AX2122" s="261"/>
      <c r="AY2122" s="261"/>
      <c r="AZ2122" s="261"/>
      <c r="BA2122" s="261"/>
      <c r="BB2122" s="261"/>
      <c r="BC2122" s="261"/>
      <c r="BD2122" s="261"/>
      <c r="BE2122" s="261"/>
      <c r="BF2122" s="261"/>
      <c r="BG2122" s="261"/>
      <c r="BH2122" s="261"/>
      <c r="BI2122" s="261"/>
      <c r="BJ2122" s="261"/>
      <c r="BK2122" s="261"/>
      <c r="BL2122" s="261"/>
      <c r="BM2122" s="261"/>
      <c r="BN2122" s="261"/>
      <c r="BO2122" s="261"/>
      <c r="BP2122" s="261"/>
      <c r="BQ2122" s="261"/>
      <c r="BR2122" s="261"/>
      <c r="BS2122" s="261"/>
      <c r="BT2122" s="261"/>
      <c r="BU2122" s="261"/>
      <c r="BV2122" s="261"/>
      <c r="BW2122" s="261"/>
      <c r="BX2122" s="261"/>
      <c r="BY2122" s="261"/>
    </row>
    <row r="2123" spans="1:77" s="164" customFormat="1" ht="11.25" customHeight="1">
      <c r="B2123" s="154" t="s">
        <v>291</v>
      </c>
      <c r="C2123" s="166">
        <v>44715</v>
      </c>
      <c r="D2123" s="166">
        <v>44715</v>
      </c>
      <c r="E2123" s="167" t="s">
        <v>1611</v>
      </c>
      <c r="F2123" s="153" t="s">
        <v>623</v>
      </c>
      <c r="G2123" s="157">
        <v>4290</v>
      </c>
      <c r="H2123" s="153" t="s">
        <v>138</v>
      </c>
      <c r="I2123" s="164" t="s">
        <v>888</v>
      </c>
      <c r="J2123" s="158">
        <v>14363</v>
      </c>
      <c r="K2123" s="153"/>
      <c r="L2123" s="158">
        <v>13.55</v>
      </c>
      <c r="M2123" s="158">
        <v>13.55</v>
      </c>
      <c r="N2123" s="159">
        <v>0</v>
      </c>
      <c r="O2123" s="160">
        <v>0.15</v>
      </c>
      <c r="P2123" s="160"/>
      <c r="Q2123" s="159">
        <v>0</v>
      </c>
      <c r="R2123" s="153" t="s">
        <v>257</v>
      </c>
      <c r="S2123" s="161" t="s">
        <v>624</v>
      </c>
      <c r="T2123" s="161">
        <v>32</v>
      </c>
      <c r="U2123" s="173" t="s">
        <v>164</v>
      </c>
      <c r="V2123" s="452"/>
      <c r="W2123" s="164" t="s">
        <v>1739</v>
      </c>
      <c r="X2123" s="170">
        <v>0</v>
      </c>
      <c r="Y2123" s="170"/>
      <c r="AD2123" s="177">
        <f>X2123</f>
        <v>0</v>
      </c>
      <c r="AI2123" s="153"/>
      <c r="AJ2123" s="644"/>
      <c r="AK2123" s="153"/>
      <c r="AL2123" s="153"/>
      <c r="AM2123" s="153"/>
      <c r="AN2123" s="153"/>
      <c r="AO2123" s="153"/>
      <c r="AP2123" s="153"/>
      <c r="AQ2123" s="153"/>
      <c r="AR2123" s="153"/>
      <c r="AS2123" s="153"/>
      <c r="AT2123" s="153"/>
      <c r="AU2123" s="153"/>
      <c r="AV2123" s="153"/>
      <c r="AW2123" s="153"/>
      <c r="AX2123" s="153"/>
      <c r="AY2123" s="153"/>
      <c r="AZ2123" s="153"/>
      <c r="BA2123" s="153"/>
      <c r="BB2123" s="153"/>
      <c r="BC2123" s="153"/>
      <c r="BD2123" s="153"/>
      <c r="BE2123" s="153"/>
      <c r="BF2123" s="153"/>
      <c r="BG2123" s="153"/>
      <c r="BH2123" s="153"/>
      <c r="BI2123" s="153"/>
      <c r="BJ2123" s="153"/>
      <c r="BK2123" s="153"/>
      <c r="BL2123" s="153"/>
      <c r="BM2123" s="153"/>
      <c r="BN2123" s="153"/>
      <c r="BO2123" s="153"/>
      <c r="BP2123" s="153"/>
      <c r="BQ2123" s="153"/>
      <c r="BR2123" s="153"/>
      <c r="BS2123" s="153"/>
      <c r="BT2123" s="153"/>
      <c r="BU2123" s="153"/>
      <c r="BV2123" s="153"/>
      <c r="BW2123" s="153"/>
      <c r="BX2123" s="153"/>
      <c r="BY2123" s="153"/>
    </row>
    <row r="2124" spans="1:77" s="218" customFormat="1" ht="11.25" customHeight="1">
      <c r="B2124" s="206" t="s">
        <v>291</v>
      </c>
      <c r="C2124" s="225">
        <v>44715</v>
      </c>
      <c r="D2124" s="225">
        <v>44715</v>
      </c>
      <c r="E2124" s="226" t="s">
        <v>1613</v>
      </c>
      <c r="F2124" s="205" t="s">
        <v>72</v>
      </c>
      <c r="G2124" s="209">
        <v>4179</v>
      </c>
      <c r="H2124" s="205" t="s">
        <v>138</v>
      </c>
      <c r="I2124" s="218" t="s">
        <v>33</v>
      </c>
      <c r="J2124" s="210">
        <v>58437.66</v>
      </c>
      <c r="K2124" s="205"/>
      <c r="L2124" s="210">
        <v>53.81</v>
      </c>
      <c r="M2124" s="210">
        <v>53.81</v>
      </c>
      <c r="N2124" s="213"/>
      <c r="O2124" s="212">
        <v>0.15</v>
      </c>
      <c r="P2124" s="212"/>
      <c r="Q2124" s="213">
        <v>0</v>
      </c>
      <c r="R2124" s="205" t="s">
        <v>73</v>
      </c>
      <c r="S2124" s="214" t="s">
        <v>74</v>
      </c>
      <c r="T2124" s="214">
        <v>31</v>
      </c>
      <c r="U2124" s="227" t="s">
        <v>164</v>
      </c>
      <c r="V2124" s="455"/>
      <c r="X2124" s="223">
        <v>0</v>
      </c>
      <c r="Y2124" s="223"/>
      <c r="AF2124" s="230">
        <f>X2124</f>
        <v>0</v>
      </c>
      <c r="AI2124" s="205"/>
      <c r="AJ2124" s="216"/>
      <c r="AK2124" s="205"/>
      <c r="AL2124" s="205"/>
      <c r="AM2124" s="205"/>
      <c r="AN2124" s="205"/>
      <c r="AO2124" s="205"/>
      <c r="AP2124" s="205"/>
      <c r="AQ2124" s="205"/>
      <c r="AR2124" s="205"/>
      <c r="AS2124" s="205"/>
      <c r="AT2124" s="205"/>
      <c r="AU2124" s="205"/>
      <c r="AV2124" s="205"/>
      <c r="AW2124" s="205"/>
      <c r="AX2124" s="205"/>
      <c r="AY2124" s="205"/>
      <c r="AZ2124" s="205"/>
      <c r="BA2124" s="205"/>
      <c r="BB2124" s="205"/>
      <c r="BC2124" s="205"/>
      <c r="BD2124" s="205"/>
      <c r="BE2124" s="205"/>
      <c r="BF2124" s="205"/>
      <c r="BG2124" s="205"/>
      <c r="BH2124" s="205"/>
      <c r="BI2124" s="205"/>
      <c r="BJ2124" s="205"/>
      <c r="BK2124" s="205"/>
      <c r="BL2124" s="205"/>
      <c r="BM2124" s="205"/>
      <c r="BN2124" s="205"/>
      <c r="BO2124" s="205"/>
      <c r="BP2124" s="205"/>
      <c r="BQ2124" s="205"/>
      <c r="BR2124" s="205"/>
      <c r="BS2124" s="205"/>
      <c r="BT2124" s="205"/>
      <c r="BU2124" s="205"/>
      <c r="BV2124" s="205"/>
      <c r="BW2124" s="205"/>
      <c r="BX2124" s="205"/>
      <c r="BY2124" s="205"/>
    </row>
    <row r="2125" spans="1:77" s="218" customFormat="1" ht="11.25" customHeight="1">
      <c r="B2125" s="206" t="s">
        <v>291</v>
      </c>
      <c r="C2125" s="225"/>
      <c r="D2125" s="225"/>
      <c r="E2125" s="226" t="s">
        <v>1613</v>
      </c>
      <c r="F2125" s="205" t="s">
        <v>72</v>
      </c>
      <c r="G2125" s="209">
        <v>4179</v>
      </c>
      <c r="H2125" s="205" t="s">
        <v>27</v>
      </c>
      <c r="I2125" s="218" t="s">
        <v>33</v>
      </c>
      <c r="J2125" s="210">
        <v>29324.5</v>
      </c>
      <c r="K2125" s="205"/>
      <c r="L2125" s="210">
        <v>22.3</v>
      </c>
      <c r="M2125" s="210">
        <v>22.2</v>
      </c>
      <c r="N2125" s="213"/>
      <c r="O2125" s="212">
        <v>0.15</v>
      </c>
      <c r="P2125" s="212"/>
      <c r="Q2125" s="213">
        <v>1380.75</v>
      </c>
      <c r="R2125" s="205" t="s">
        <v>73</v>
      </c>
      <c r="S2125" s="214" t="s">
        <v>74</v>
      </c>
      <c r="T2125" s="214">
        <v>31</v>
      </c>
      <c r="U2125" s="227" t="s">
        <v>164</v>
      </c>
      <c r="V2125" s="455">
        <v>1380.75</v>
      </c>
      <c r="X2125" s="223">
        <v>1380.75</v>
      </c>
      <c r="Y2125" s="223"/>
      <c r="AF2125" s="230">
        <f>X2125</f>
        <v>1380.75</v>
      </c>
      <c r="AI2125" s="205"/>
      <c r="AJ2125" s="216"/>
      <c r="AK2125" s="205"/>
      <c r="AL2125" s="205"/>
      <c r="AM2125" s="205"/>
      <c r="AN2125" s="205"/>
      <c r="AO2125" s="205"/>
      <c r="AP2125" s="205"/>
      <c r="AQ2125" s="205"/>
      <c r="AR2125" s="205"/>
      <c r="AS2125" s="205"/>
      <c r="AT2125" s="205"/>
      <c r="AU2125" s="205"/>
      <c r="AV2125" s="205"/>
      <c r="AW2125" s="205"/>
      <c r="AX2125" s="205"/>
      <c r="AY2125" s="205"/>
      <c r="AZ2125" s="205"/>
      <c r="BA2125" s="205"/>
      <c r="BB2125" s="205"/>
      <c r="BC2125" s="205"/>
      <c r="BD2125" s="205"/>
      <c r="BE2125" s="205"/>
      <c r="BF2125" s="205"/>
      <c r="BG2125" s="205"/>
      <c r="BH2125" s="205"/>
      <c r="BI2125" s="205"/>
      <c r="BJ2125" s="205"/>
      <c r="BK2125" s="205"/>
      <c r="BL2125" s="205"/>
      <c r="BM2125" s="205"/>
      <c r="BN2125" s="205"/>
      <c r="BO2125" s="205"/>
      <c r="BP2125" s="205"/>
      <c r="BQ2125" s="205"/>
      <c r="BR2125" s="205"/>
      <c r="BS2125" s="205"/>
      <c r="BT2125" s="205"/>
      <c r="BU2125" s="205"/>
      <c r="BV2125" s="205"/>
      <c r="BW2125" s="205"/>
      <c r="BX2125" s="205"/>
      <c r="BY2125" s="205"/>
    </row>
    <row r="2126" spans="1:77" s="303" customFormat="1" ht="11.25" customHeight="1">
      <c r="B2126" s="310" t="s">
        <v>291</v>
      </c>
      <c r="C2126" s="301">
        <v>44697</v>
      </c>
      <c r="D2126" s="301">
        <v>44715</v>
      </c>
      <c r="E2126" s="302" t="s">
        <v>1612</v>
      </c>
      <c r="F2126" s="291" t="s">
        <v>381</v>
      </c>
      <c r="G2126" s="294" t="s">
        <v>382</v>
      </c>
      <c r="H2126" s="291" t="s">
        <v>99</v>
      </c>
      <c r="I2126" s="303" t="s">
        <v>33</v>
      </c>
      <c r="J2126" s="296">
        <v>48909.96</v>
      </c>
      <c r="K2126" s="291"/>
      <c r="L2126" s="296">
        <v>37.950000000000003</v>
      </c>
      <c r="M2126" s="296">
        <v>37.950000000000003</v>
      </c>
      <c r="N2126" s="297"/>
      <c r="O2126" s="298">
        <v>0.3</v>
      </c>
      <c r="P2126" s="298"/>
      <c r="Q2126" s="297">
        <v>0</v>
      </c>
      <c r="R2126" s="291" t="s">
        <v>128</v>
      </c>
      <c r="S2126" s="299" t="s">
        <v>34</v>
      </c>
      <c r="T2126" s="299">
        <v>17</v>
      </c>
      <c r="U2126" s="300" t="s">
        <v>164</v>
      </c>
      <c r="V2126" s="447"/>
      <c r="X2126" s="306">
        <v>0</v>
      </c>
      <c r="Y2126" s="306"/>
      <c r="AH2126" s="303">
        <f>X2126</f>
        <v>0</v>
      </c>
      <c r="AI2126" s="311"/>
      <c r="AJ2126" s="468"/>
      <c r="AK2126" s="291"/>
      <c r="AL2126" s="291"/>
      <c r="AM2126" s="291"/>
      <c r="AN2126" s="291"/>
      <c r="AO2126" s="291"/>
      <c r="AP2126" s="291"/>
      <c r="AQ2126" s="291"/>
      <c r="AR2126" s="291"/>
      <c r="AS2126" s="291"/>
      <c r="AT2126" s="291"/>
      <c r="AU2126" s="291"/>
      <c r="AV2126" s="291"/>
      <c r="AW2126" s="291"/>
      <c r="AX2126" s="291"/>
      <c r="AY2126" s="291"/>
      <c r="AZ2126" s="291"/>
      <c r="BA2126" s="291"/>
      <c r="BB2126" s="291"/>
      <c r="BC2126" s="291"/>
      <c r="BD2126" s="291"/>
      <c r="BE2126" s="291"/>
      <c r="BF2126" s="291"/>
      <c r="BG2126" s="291"/>
      <c r="BH2126" s="291"/>
      <c r="BI2126" s="291"/>
      <c r="BJ2126" s="291"/>
      <c r="BK2126" s="291"/>
      <c r="BL2126" s="291"/>
      <c r="BM2126" s="291"/>
      <c r="BN2126" s="291"/>
      <c r="BO2126" s="291"/>
      <c r="BP2126" s="291"/>
      <c r="BQ2126" s="291"/>
      <c r="BR2126" s="291"/>
      <c r="BS2126" s="291"/>
      <c r="BT2126" s="291"/>
      <c r="BU2126" s="291"/>
      <c r="BV2126" s="291"/>
      <c r="BW2126" s="291"/>
      <c r="BX2126" s="291"/>
      <c r="BY2126" s="291"/>
    </row>
    <row r="2127" spans="1:77" s="303" customFormat="1" ht="11.25" customHeight="1">
      <c r="B2127" s="310" t="s">
        <v>291</v>
      </c>
      <c r="C2127" s="301"/>
      <c r="D2127" s="301"/>
      <c r="E2127" s="302" t="s">
        <v>1612</v>
      </c>
      <c r="F2127" s="303" t="s">
        <v>381</v>
      </c>
      <c r="G2127" s="294" t="s">
        <v>382</v>
      </c>
      <c r="H2127" s="303" t="s">
        <v>27</v>
      </c>
      <c r="I2127" s="303" t="s">
        <v>33</v>
      </c>
      <c r="J2127" s="305">
        <v>32897.68</v>
      </c>
      <c r="L2127" s="305">
        <v>23.77</v>
      </c>
      <c r="M2127" s="305">
        <v>23.77</v>
      </c>
      <c r="N2127" s="306"/>
      <c r="O2127" s="307">
        <v>0.3</v>
      </c>
      <c r="P2127" s="307"/>
      <c r="Q2127" s="306">
        <v>0</v>
      </c>
      <c r="R2127" s="303" t="s">
        <v>128</v>
      </c>
      <c r="S2127" s="308" t="s">
        <v>34</v>
      </c>
      <c r="T2127" s="308">
        <v>17</v>
      </c>
      <c r="U2127" s="300" t="s">
        <v>164</v>
      </c>
      <c r="V2127" s="447"/>
      <c r="X2127" s="306">
        <v>0</v>
      </c>
      <c r="Y2127" s="306"/>
      <c r="AH2127" s="303">
        <f>X2127</f>
        <v>0</v>
      </c>
      <c r="AI2127" s="311"/>
      <c r="AJ2127" s="468"/>
      <c r="AK2127" s="291"/>
      <c r="AL2127" s="291"/>
      <c r="AM2127" s="291"/>
      <c r="AN2127" s="291"/>
      <c r="AO2127" s="291"/>
      <c r="AP2127" s="291"/>
      <c r="AQ2127" s="291"/>
      <c r="AR2127" s="291"/>
      <c r="AS2127" s="291"/>
      <c r="AT2127" s="291"/>
      <c r="AU2127" s="291"/>
      <c r="AV2127" s="291"/>
      <c r="AW2127" s="291"/>
      <c r="AX2127" s="291"/>
      <c r="AY2127" s="291"/>
      <c r="AZ2127" s="291"/>
      <c r="BA2127" s="291"/>
      <c r="BB2127" s="291"/>
      <c r="BC2127" s="291"/>
      <c r="BD2127" s="291"/>
      <c r="BE2127" s="291"/>
      <c r="BF2127" s="291"/>
      <c r="BG2127" s="291"/>
      <c r="BH2127" s="291"/>
      <c r="BI2127" s="291"/>
      <c r="BJ2127" s="291"/>
      <c r="BK2127" s="291"/>
      <c r="BL2127" s="291"/>
      <c r="BM2127" s="291"/>
      <c r="BN2127" s="291"/>
      <c r="BO2127" s="291"/>
      <c r="BP2127" s="291"/>
      <c r="BQ2127" s="291"/>
      <c r="BR2127" s="291"/>
      <c r="BS2127" s="291"/>
      <c r="BT2127" s="291"/>
      <c r="BU2127" s="291"/>
      <c r="BV2127" s="291"/>
      <c r="BW2127" s="291"/>
      <c r="BX2127" s="291"/>
      <c r="BY2127" s="291"/>
    </row>
    <row r="2128" spans="1:77" s="303" customFormat="1" ht="11.25" customHeight="1">
      <c r="B2128" s="310" t="s">
        <v>291</v>
      </c>
      <c r="C2128" s="301"/>
      <c r="D2128" s="301"/>
      <c r="E2128" s="302" t="s">
        <v>1612</v>
      </c>
      <c r="F2128" s="303" t="s">
        <v>381</v>
      </c>
      <c r="G2128" s="294" t="s">
        <v>382</v>
      </c>
      <c r="H2128" s="303" t="s">
        <v>137</v>
      </c>
      <c r="I2128" s="303" t="s">
        <v>33</v>
      </c>
      <c r="J2128" s="305">
        <v>23022.34</v>
      </c>
      <c r="L2128" s="305">
        <v>20.53</v>
      </c>
      <c r="M2128" s="305">
        <v>20.53</v>
      </c>
      <c r="N2128" s="306"/>
      <c r="O2128" s="307">
        <v>0.3</v>
      </c>
      <c r="P2128" s="307"/>
      <c r="Q2128" s="306">
        <v>0</v>
      </c>
      <c r="R2128" s="303" t="s">
        <v>128</v>
      </c>
      <c r="S2128" s="308" t="s">
        <v>34</v>
      </c>
      <c r="T2128" s="308">
        <v>17</v>
      </c>
      <c r="U2128" s="300" t="s">
        <v>164</v>
      </c>
      <c r="V2128" s="447"/>
      <c r="X2128" s="306">
        <v>0</v>
      </c>
      <c r="Y2128" s="306"/>
      <c r="AH2128" s="303">
        <f>X2128</f>
        <v>0</v>
      </c>
      <c r="AI2128" s="311"/>
      <c r="AJ2128" s="468"/>
      <c r="AK2128" s="291"/>
      <c r="AL2128" s="291"/>
      <c r="AM2128" s="291"/>
      <c r="AN2128" s="291"/>
      <c r="AO2128" s="291"/>
      <c r="AP2128" s="291"/>
      <c r="AQ2128" s="291"/>
      <c r="AR2128" s="291"/>
      <c r="AS2128" s="291"/>
      <c r="AT2128" s="291"/>
      <c r="AU2128" s="291"/>
      <c r="AV2128" s="291"/>
      <c r="AW2128" s="291"/>
      <c r="AX2128" s="291"/>
      <c r="AY2128" s="291"/>
      <c r="AZ2128" s="291"/>
      <c r="BA2128" s="291"/>
      <c r="BB2128" s="291"/>
      <c r="BC2128" s="291"/>
      <c r="BD2128" s="291"/>
      <c r="BE2128" s="291"/>
      <c r="BF2128" s="291"/>
      <c r="BG2128" s="291"/>
      <c r="BH2128" s="291"/>
      <c r="BI2128" s="291"/>
      <c r="BJ2128" s="291"/>
      <c r="BK2128" s="291"/>
      <c r="BL2128" s="291"/>
      <c r="BM2128" s="291"/>
      <c r="BN2128" s="291"/>
      <c r="BO2128" s="291"/>
      <c r="BP2128" s="291"/>
      <c r="BQ2128" s="291"/>
      <c r="BR2128" s="291"/>
      <c r="BS2128" s="291"/>
      <c r="BT2128" s="291"/>
      <c r="BU2128" s="291"/>
      <c r="BV2128" s="291"/>
      <c r="BW2128" s="291"/>
      <c r="BX2128" s="291"/>
      <c r="BY2128" s="291"/>
    </row>
    <row r="2129" spans="1:77" s="303" customFormat="1" ht="11.25" customHeight="1">
      <c r="B2129" s="310" t="s">
        <v>291</v>
      </c>
      <c r="C2129" s="301"/>
      <c r="D2129" s="301"/>
      <c r="E2129" s="302" t="s">
        <v>1612</v>
      </c>
      <c r="F2129" s="303" t="s">
        <v>381</v>
      </c>
      <c r="G2129" s="294" t="s">
        <v>382</v>
      </c>
      <c r="H2129" s="303" t="s">
        <v>765</v>
      </c>
      <c r="I2129" s="303" t="s">
        <v>33</v>
      </c>
      <c r="J2129" s="305">
        <v>28854</v>
      </c>
      <c r="L2129" s="305">
        <v>32.06</v>
      </c>
      <c r="M2129" s="305">
        <v>32.06</v>
      </c>
      <c r="N2129" s="306"/>
      <c r="O2129" s="307">
        <v>0.3</v>
      </c>
      <c r="P2129" s="307"/>
      <c r="Q2129" s="306">
        <v>0</v>
      </c>
      <c r="R2129" s="303" t="s">
        <v>128</v>
      </c>
      <c r="S2129" s="308" t="s">
        <v>34</v>
      </c>
      <c r="T2129" s="308">
        <v>17</v>
      </c>
      <c r="U2129" s="300" t="s">
        <v>164</v>
      </c>
      <c r="V2129" s="447"/>
      <c r="X2129" s="306">
        <v>0</v>
      </c>
      <c r="Y2129" s="306"/>
      <c r="AH2129" s="303">
        <f>X2129</f>
        <v>0</v>
      </c>
      <c r="AI2129" s="311"/>
      <c r="AJ2129" s="468"/>
      <c r="AK2129" s="291"/>
      <c r="AL2129" s="291"/>
      <c r="AM2129" s="291"/>
      <c r="AN2129" s="291"/>
      <c r="AO2129" s="291"/>
      <c r="AP2129" s="291"/>
      <c r="AQ2129" s="291"/>
      <c r="AR2129" s="291"/>
      <c r="AS2129" s="291"/>
      <c r="AT2129" s="291"/>
      <c r="AU2129" s="291"/>
      <c r="AV2129" s="291"/>
      <c r="AW2129" s="291"/>
      <c r="AX2129" s="291"/>
      <c r="AY2129" s="291"/>
      <c r="AZ2129" s="291"/>
      <c r="BA2129" s="291"/>
      <c r="BB2129" s="291"/>
      <c r="BC2129" s="291"/>
      <c r="BD2129" s="291"/>
      <c r="BE2129" s="291"/>
      <c r="BF2129" s="291"/>
      <c r="BG2129" s="291"/>
      <c r="BH2129" s="291"/>
      <c r="BI2129" s="291"/>
      <c r="BJ2129" s="291"/>
      <c r="BK2129" s="291"/>
      <c r="BL2129" s="291"/>
      <c r="BM2129" s="291"/>
      <c r="BN2129" s="291"/>
      <c r="BO2129" s="291"/>
      <c r="BP2129" s="291"/>
      <c r="BQ2129" s="291"/>
      <c r="BR2129" s="291"/>
      <c r="BS2129" s="291"/>
      <c r="BT2129" s="291"/>
      <c r="BU2129" s="291"/>
      <c r="BV2129" s="291"/>
      <c r="BW2129" s="291"/>
      <c r="BX2129" s="291"/>
      <c r="BY2129" s="291"/>
    </row>
    <row r="2130" spans="1:77" s="184" customFormat="1" ht="11.25" customHeight="1">
      <c r="B2130" s="178" t="s">
        <v>291</v>
      </c>
      <c r="C2130" s="192">
        <v>44715</v>
      </c>
      <c r="D2130" s="192">
        <v>44715</v>
      </c>
      <c r="E2130" s="193" t="s">
        <v>1614</v>
      </c>
      <c r="F2130" s="184" t="s">
        <v>1615</v>
      </c>
      <c r="G2130" s="194" t="s">
        <v>1616</v>
      </c>
      <c r="H2130" s="184" t="s">
        <v>765</v>
      </c>
      <c r="I2130" s="184" t="s">
        <v>33</v>
      </c>
      <c r="J2130" s="195">
        <v>43275.73</v>
      </c>
      <c r="L2130" s="195">
        <v>38.159999999999997</v>
      </c>
      <c r="M2130" s="195">
        <v>13</v>
      </c>
      <c r="N2130" s="196"/>
      <c r="O2130" s="197">
        <v>0.25</v>
      </c>
      <c r="P2130" s="197"/>
      <c r="Q2130" s="196">
        <v>0</v>
      </c>
      <c r="R2130" s="184" t="s">
        <v>285</v>
      </c>
      <c r="S2130" s="199" t="s">
        <v>275</v>
      </c>
      <c r="T2130" s="199">
        <v>21</v>
      </c>
      <c r="U2130" s="198" t="s">
        <v>164</v>
      </c>
      <c r="V2130" s="450"/>
      <c r="W2130" s="184" t="s">
        <v>2278</v>
      </c>
      <c r="X2130" s="196">
        <v>0</v>
      </c>
      <c r="Y2130" s="196"/>
      <c r="AE2130" s="235">
        <f>X2130</f>
        <v>0</v>
      </c>
      <c r="AI2130" s="181"/>
      <c r="AJ2130" s="189"/>
      <c r="AK2130" s="181"/>
      <c r="AL2130" s="181"/>
      <c r="AM2130" s="181"/>
      <c r="AN2130" s="181"/>
      <c r="AO2130" s="181"/>
      <c r="AP2130" s="181"/>
      <c r="AQ2130" s="181"/>
      <c r="AR2130" s="181"/>
      <c r="AS2130" s="181"/>
      <c r="AT2130" s="181"/>
      <c r="AU2130" s="181"/>
      <c r="AV2130" s="181"/>
      <c r="AW2130" s="181"/>
      <c r="AX2130" s="181"/>
      <c r="AY2130" s="181"/>
      <c r="AZ2130" s="181"/>
      <c r="BA2130" s="181"/>
      <c r="BB2130" s="181"/>
      <c r="BC2130" s="181"/>
      <c r="BD2130" s="181"/>
      <c r="BE2130" s="181"/>
      <c r="BF2130" s="181"/>
      <c r="BG2130" s="181"/>
      <c r="BH2130" s="181"/>
      <c r="BI2130" s="181"/>
      <c r="BJ2130" s="181"/>
      <c r="BK2130" s="181"/>
      <c r="BL2130" s="181"/>
      <c r="BM2130" s="181"/>
      <c r="BN2130" s="181"/>
      <c r="BO2130" s="181"/>
      <c r="BP2130" s="181"/>
      <c r="BQ2130" s="181"/>
      <c r="BR2130" s="181"/>
      <c r="BS2130" s="181"/>
      <c r="BT2130" s="181"/>
      <c r="BU2130" s="181"/>
      <c r="BV2130" s="181"/>
      <c r="BW2130" s="181"/>
      <c r="BX2130" s="181"/>
      <c r="BY2130" s="181"/>
    </row>
    <row r="2131" spans="1:77" s="394" customFormat="1" ht="11.25" customHeight="1">
      <c r="B2131" s="380" t="s">
        <v>291</v>
      </c>
      <c r="C2131" s="392">
        <v>44715</v>
      </c>
      <c r="D2131" s="392">
        <v>44715</v>
      </c>
      <c r="E2131" s="393" t="s">
        <v>1617</v>
      </c>
      <c r="F2131" s="379" t="s">
        <v>76</v>
      </c>
      <c r="G2131" s="400">
        <v>3590</v>
      </c>
      <c r="H2131" s="394" t="s">
        <v>140</v>
      </c>
      <c r="I2131" s="394" t="s">
        <v>888</v>
      </c>
      <c r="J2131" s="395">
        <v>11638.68</v>
      </c>
      <c r="L2131" s="395">
        <v>6.39</v>
      </c>
      <c r="M2131" s="395">
        <v>6.39</v>
      </c>
      <c r="N2131" s="396"/>
      <c r="O2131" s="397">
        <v>0.2</v>
      </c>
      <c r="P2131" s="397"/>
      <c r="Q2131" s="396">
        <v>0</v>
      </c>
      <c r="R2131" s="394" t="s">
        <v>42</v>
      </c>
      <c r="S2131" s="399" t="s">
        <v>41</v>
      </c>
      <c r="T2131" s="399">
        <v>16</v>
      </c>
      <c r="U2131" s="398" t="s">
        <v>164</v>
      </c>
      <c r="V2131" s="449"/>
      <c r="X2131" s="396">
        <v>0</v>
      </c>
      <c r="Y2131" s="396"/>
      <c r="AI2131" s="379"/>
      <c r="AJ2131" s="390">
        <v>0</v>
      </c>
      <c r="AK2131" s="379"/>
      <c r="AL2131" s="379"/>
      <c r="AM2131" s="379"/>
      <c r="AN2131" s="379"/>
      <c r="AO2131" s="379"/>
      <c r="AP2131" s="379"/>
      <c r="AQ2131" s="379"/>
      <c r="AR2131" s="379"/>
      <c r="AS2131" s="379"/>
      <c r="AT2131" s="379"/>
      <c r="AU2131" s="379"/>
      <c r="AV2131" s="379"/>
      <c r="AW2131" s="379"/>
      <c r="AX2131" s="379"/>
      <c r="AY2131" s="379"/>
      <c r="AZ2131" s="379"/>
      <c r="BA2131" s="379"/>
      <c r="BB2131" s="379"/>
      <c r="BC2131" s="379"/>
      <c r="BD2131" s="379"/>
      <c r="BE2131" s="379"/>
      <c r="BF2131" s="379"/>
      <c r="BG2131" s="379"/>
      <c r="BH2131" s="379"/>
      <c r="BI2131" s="379"/>
      <c r="BJ2131" s="379"/>
      <c r="BK2131" s="379"/>
      <c r="BL2131" s="379"/>
      <c r="BM2131" s="379"/>
      <c r="BN2131" s="379"/>
      <c r="BO2131" s="379"/>
      <c r="BP2131" s="379"/>
      <c r="BQ2131" s="379"/>
      <c r="BR2131" s="379"/>
      <c r="BS2131" s="379"/>
      <c r="BT2131" s="379"/>
      <c r="BU2131" s="379"/>
      <c r="BV2131" s="379"/>
      <c r="BW2131" s="379"/>
      <c r="BX2131" s="379"/>
      <c r="BY2131" s="379"/>
    </row>
    <row r="2132" spans="1:77" s="273" customFormat="1" ht="11.25" customHeight="1">
      <c r="B2132" s="258" t="s">
        <v>291</v>
      </c>
      <c r="C2132" s="271">
        <v>44715</v>
      </c>
      <c r="D2132" s="271">
        <v>44715</v>
      </c>
      <c r="E2132" s="272" t="s">
        <v>1618</v>
      </c>
      <c r="F2132" s="273" t="s">
        <v>1619</v>
      </c>
      <c r="G2132" s="276">
        <v>4042</v>
      </c>
      <c r="H2132" s="273" t="s">
        <v>138</v>
      </c>
      <c r="I2132" s="273" t="s">
        <v>1195</v>
      </c>
      <c r="J2132" s="277">
        <v>8008</v>
      </c>
      <c r="L2132" s="277">
        <v>7</v>
      </c>
      <c r="M2132" s="277">
        <v>7</v>
      </c>
      <c r="N2132" s="275">
        <v>5148</v>
      </c>
      <c r="O2132" s="278">
        <v>0.15</v>
      </c>
      <c r="P2132" s="278"/>
      <c r="Q2132" s="275">
        <v>338.8</v>
      </c>
      <c r="R2132" s="273" t="s">
        <v>146</v>
      </c>
      <c r="S2132" s="279" t="s">
        <v>74</v>
      </c>
      <c r="T2132" s="279">
        <v>31</v>
      </c>
      <c r="U2132" s="274" t="s">
        <v>164</v>
      </c>
      <c r="V2132" s="454"/>
      <c r="X2132" s="275">
        <v>338.8</v>
      </c>
      <c r="Y2132" s="275"/>
      <c r="AG2132" s="273">
        <f>X2132</f>
        <v>338.8</v>
      </c>
      <c r="AI2132" s="261"/>
      <c r="AJ2132" s="642"/>
      <c r="AK2132" s="261"/>
      <c r="AL2132" s="261"/>
      <c r="AM2132" s="261"/>
      <c r="AN2132" s="261"/>
      <c r="AO2132" s="261"/>
      <c r="AP2132" s="261"/>
      <c r="AQ2132" s="261"/>
      <c r="AR2132" s="261"/>
      <c r="AS2132" s="261"/>
      <c r="AT2132" s="261"/>
      <c r="AU2132" s="261"/>
      <c r="AV2132" s="261"/>
      <c r="AW2132" s="261"/>
      <c r="AX2132" s="261"/>
      <c r="AY2132" s="261"/>
      <c r="AZ2132" s="261"/>
      <c r="BA2132" s="261"/>
      <c r="BB2132" s="261"/>
      <c r="BC2132" s="261"/>
      <c r="BD2132" s="261"/>
      <c r="BE2132" s="261"/>
      <c r="BF2132" s="261"/>
      <c r="BG2132" s="261"/>
      <c r="BH2132" s="261"/>
      <c r="BI2132" s="261"/>
      <c r="BJ2132" s="261"/>
      <c r="BK2132" s="261"/>
      <c r="BL2132" s="261"/>
      <c r="BM2132" s="261"/>
      <c r="BN2132" s="261"/>
      <c r="BO2132" s="261"/>
      <c r="BP2132" s="261"/>
      <c r="BQ2132" s="261"/>
      <c r="BR2132" s="261"/>
      <c r="BS2132" s="261"/>
      <c r="BT2132" s="261"/>
      <c r="BU2132" s="261"/>
      <c r="BV2132" s="261"/>
      <c r="BW2132" s="261"/>
      <c r="BX2132" s="261"/>
      <c r="BY2132" s="261"/>
    </row>
    <row r="2133" spans="1:77" s="273" customFormat="1" ht="11.25" customHeight="1">
      <c r="B2133" s="258" t="s">
        <v>291</v>
      </c>
      <c r="C2133" s="271"/>
      <c r="D2133" s="271"/>
      <c r="E2133" s="272" t="s">
        <v>1618</v>
      </c>
      <c r="F2133" s="273" t="s">
        <v>1619</v>
      </c>
      <c r="G2133" s="276">
        <v>4042</v>
      </c>
      <c r="H2133" s="273" t="s">
        <v>99</v>
      </c>
      <c r="I2133" s="273" t="s">
        <v>1195</v>
      </c>
      <c r="J2133" s="277">
        <v>49534.06</v>
      </c>
      <c r="L2133" s="277">
        <v>48.11</v>
      </c>
      <c r="M2133" s="277">
        <v>48.11</v>
      </c>
      <c r="N2133" s="275">
        <v>7641</v>
      </c>
      <c r="O2133" s="278">
        <v>0.15</v>
      </c>
      <c r="P2133" s="278"/>
      <c r="Q2133" s="275">
        <v>2589.59</v>
      </c>
      <c r="R2133" s="273" t="s">
        <v>146</v>
      </c>
      <c r="S2133" s="279" t="s">
        <v>74</v>
      </c>
      <c r="T2133" s="279">
        <v>31</v>
      </c>
      <c r="U2133" s="274" t="s">
        <v>164</v>
      </c>
      <c r="V2133" s="454"/>
      <c r="X2133" s="275">
        <v>2589.59</v>
      </c>
      <c r="Y2133" s="275"/>
      <c r="AG2133" s="273">
        <f>X2133</f>
        <v>2589.59</v>
      </c>
      <c r="AI2133" s="261"/>
      <c r="AJ2133" s="642"/>
      <c r="AK2133" s="261"/>
      <c r="AL2133" s="261"/>
      <c r="AM2133" s="261"/>
      <c r="AN2133" s="261"/>
      <c r="AO2133" s="261"/>
      <c r="AP2133" s="261"/>
      <c r="AQ2133" s="261"/>
      <c r="AR2133" s="261"/>
      <c r="AS2133" s="261"/>
      <c r="AT2133" s="261"/>
      <c r="AU2133" s="261"/>
      <c r="AV2133" s="261"/>
      <c r="AW2133" s="261"/>
      <c r="AX2133" s="261"/>
      <c r="AY2133" s="261"/>
      <c r="AZ2133" s="261"/>
      <c r="BA2133" s="261"/>
      <c r="BB2133" s="261"/>
      <c r="BC2133" s="261"/>
      <c r="BD2133" s="261"/>
      <c r="BE2133" s="261"/>
      <c r="BF2133" s="261"/>
      <c r="BG2133" s="261"/>
      <c r="BH2133" s="261"/>
      <c r="BI2133" s="261"/>
      <c r="BJ2133" s="261"/>
      <c r="BK2133" s="261"/>
      <c r="BL2133" s="261"/>
      <c r="BM2133" s="261"/>
      <c r="BN2133" s="261"/>
      <c r="BO2133" s="261"/>
      <c r="BP2133" s="261"/>
      <c r="BQ2133" s="261"/>
      <c r="BR2133" s="261"/>
      <c r="BS2133" s="261"/>
      <c r="BT2133" s="261"/>
      <c r="BU2133" s="261"/>
      <c r="BV2133" s="261"/>
      <c r="BW2133" s="261"/>
      <c r="BX2133" s="261"/>
      <c r="BY2133" s="261"/>
    </row>
    <row r="2134" spans="1:77" s="273" customFormat="1" ht="11.25" customHeight="1">
      <c r="B2134" s="258" t="s">
        <v>291</v>
      </c>
      <c r="C2134" s="271"/>
      <c r="D2134" s="271"/>
      <c r="E2134" s="272" t="s">
        <v>1618</v>
      </c>
      <c r="F2134" s="273" t="s">
        <v>1619</v>
      </c>
      <c r="G2134" s="276">
        <v>4042</v>
      </c>
      <c r="H2134" s="273" t="s">
        <v>27</v>
      </c>
      <c r="I2134" s="273" t="s">
        <v>1195</v>
      </c>
      <c r="J2134" s="277">
        <v>8937.6</v>
      </c>
      <c r="L2134" s="277">
        <v>7.98</v>
      </c>
      <c r="M2134" s="277">
        <v>7.98</v>
      </c>
      <c r="N2134" s="275">
        <v>2234</v>
      </c>
      <c r="O2134" s="278">
        <v>0.15</v>
      </c>
      <c r="P2134" s="278"/>
      <c r="Q2134" s="275">
        <v>0</v>
      </c>
      <c r="R2134" s="273" t="s">
        <v>146</v>
      </c>
      <c r="S2134" s="279" t="s">
        <v>74</v>
      </c>
      <c r="T2134" s="279">
        <v>31</v>
      </c>
      <c r="U2134" s="274" t="s">
        <v>164</v>
      </c>
      <c r="V2134" s="454"/>
      <c r="X2134" s="275">
        <v>0</v>
      </c>
      <c r="Y2134" s="275"/>
      <c r="AG2134" s="273">
        <f>X2134</f>
        <v>0</v>
      </c>
      <c r="AI2134" s="261"/>
      <c r="AJ2134" s="642"/>
      <c r="AK2134" s="261"/>
      <c r="AL2134" s="261"/>
      <c r="AM2134" s="261"/>
      <c r="AN2134" s="261"/>
      <c r="AO2134" s="261"/>
      <c r="AP2134" s="261"/>
      <c r="AQ2134" s="261"/>
      <c r="AR2134" s="261"/>
      <c r="AS2134" s="261"/>
      <c r="AT2134" s="261"/>
      <c r="AU2134" s="261"/>
      <c r="AV2134" s="261"/>
      <c r="AW2134" s="261"/>
      <c r="AX2134" s="261"/>
      <c r="AY2134" s="261"/>
      <c r="AZ2134" s="261"/>
      <c r="BA2134" s="261"/>
      <c r="BB2134" s="261"/>
      <c r="BC2134" s="261"/>
      <c r="BD2134" s="261"/>
      <c r="BE2134" s="261"/>
      <c r="BF2134" s="261"/>
      <c r="BG2134" s="261"/>
      <c r="BH2134" s="261"/>
      <c r="BI2134" s="261"/>
      <c r="BJ2134" s="261"/>
      <c r="BK2134" s="261"/>
      <c r="BL2134" s="261"/>
      <c r="BM2134" s="261"/>
      <c r="BN2134" s="261"/>
      <c r="BO2134" s="261"/>
      <c r="BP2134" s="261"/>
      <c r="BQ2134" s="261"/>
      <c r="BR2134" s="261"/>
      <c r="BS2134" s="261"/>
      <c r="BT2134" s="261"/>
      <c r="BU2134" s="261"/>
      <c r="BV2134" s="261"/>
      <c r="BW2134" s="261"/>
      <c r="BX2134" s="261"/>
      <c r="BY2134" s="261"/>
    </row>
    <row r="2135" spans="1:77" s="250" customFormat="1" ht="11.25" customHeight="1">
      <c r="A2135" s="394"/>
      <c r="B2135" s="380" t="s">
        <v>291</v>
      </c>
      <c r="C2135" s="392"/>
      <c r="D2135" s="392"/>
      <c r="E2135" s="393" t="s">
        <v>1620</v>
      </c>
      <c r="F2135" s="394" t="s">
        <v>1621</v>
      </c>
      <c r="G2135" s="400">
        <v>4127</v>
      </c>
      <c r="H2135" s="394" t="s">
        <v>866</v>
      </c>
      <c r="I2135" s="394" t="s">
        <v>33</v>
      </c>
      <c r="J2135" s="395">
        <v>10794.82</v>
      </c>
      <c r="K2135" s="394"/>
      <c r="L2135" s="395">
        <v>7.57</v>
      </c>
      <c r="M2135" s="395">
        <v>7.5</v>
      </c>
      <c r="N2135" s="396"/>
      <c r="O2135" s="397">
        <v>0.25</v>
      </c>
      <c r="P2135" s="397"/>
      <c r="Q2135" s="396">
        <v>0</v>
      </c>
      <c r="R2135" s="394" t="s">
        <v>73</v>
      </c>
      <c r="S2135" s="399" t="s">
        <v>74</v>
      </c>
      <c r="T2135" s="399">
        <v>31</v>
      </c>
      <c r="U2135" s="398" t="s">
        <v>164</v>
      </c>
      <c r="V2135" s="449"/>
      <c r="W2135" s="394"/>
      <c r="X2135" s="396">
        <v>0</v>
      </c>
      <c r="Y2135" s="396"/>
      <c r="Z2135" s="394"/>
      <c r="AA2135" s="394"/>
      <c r="AB2135" s="394"/>
      <c r="AC2135" s="394"/>
      <c r="AD2135" s="394"/>
      <c r="AE2135" s="394"/>
      <c r="AF2135" s="394"/>
      <c r="AG2135" s="394"/>
      <c r="AH2135" s="394"/>
      <c r="AI2135" s="379"/>
      <c r="AJ2135" s="390">
        <v>0</v>
      </c>
      <c r="AK2135" s="379"/>
      <c r="AL2135" s="379"/>
      <c r="AM2135" s="379"/>
      <c r="AN2135" s="379"/>
      <c r="AO2135" s="379"/>
      <c r="AP2135" s="379"/>
      <c r="AQ2135" s="379"/>
      <c r="AR2135" s="379"/>
      <c r="AS2135" s="379"/>
      <c r="AT2135" s="379"/>
      <c r="AU2135" s="379"/>
      <c r="AV2135" s="379"/>
      <c r="AW2135" s="379"/>
      <c r="AX2135" s="379"/>
      <c r="AY2135" s="379"/>
      <c r="AZ2135" s="379"/>
      <c r="BA2135" s="379"/>
      <c r="BB2135" s="379"/>
      <c r="BC2135" s="379"/>
      <c r="BD2135" s="379"/>
      <c r="BE2135" s="379"/>
      <c r="BF2135" s="379"/>
      <c r="BG2135" s="379"/>
      <c r="BH2135" s="379"/>
      <c r="BI2135" s="379"/>
      <c r="BJ2135" s="379"/>
      <c r="BK2135" s="379"/>
      <c r="BL2135" s="379"/>
      <c r="BM2135" s="379"/>
      <c r="BN2135" s="379"/>
      <c r="BO2135" s="379"/>
      <c r="BP2135" s="379"/>
      <c r="BQ2135" s="379"/>
      <c r="BR2135" s="379"/>
      <c r="BS2135" s="379"/>
      <c r="BT2135" s="379"/>
      <c r="BU2135" s="379"/>
      <c r="BV2135" s="379"/>
      <c r="BW2135" s="379"/>
      <c r="BX2135" s="379"/>
      <c r="BY2135" s="379"/>
    </row>
    <row r="2136" spans="1:77" s="273" customFormat="1" ht="11.25" customHeight="1">
      <c r="B2136" s="258" t="s">
        <v>291</v>
      </c>
      <c r="C2136" s="271">
        <v>44714</v>
      </c>
      <c r="D2136" s="271">
        <v>44714</v>
      </c>
      <c r="E2136" s="272" t="s">
        <v>1620</v>
      </c>
      <c r="F2136" s="273" t="s">
        <v>1621</v>
      </c>
      <c r="G2136" s="276">
        <v>4127</v>
      </c>
      <c r="H2136" s="273" t="s">
        <v>138</v>
      </c>
      <c r="I2136" s="273" t="s">
        <v>33</v>
      </c>
      <c r="J2136" s="277">
        <v>25920.09</v>
      </c>
      <c r="L2136" s="277">
        <v>19.22</v>
      </c>
      <c r="M2136" s="277">
        <v>19.22</v>
      </c>
      <c r="N2136" s="275"/>
      <c r="O2136" s="278">
        <v>0.25</v>
      </c>
      <c r="P2136" s="278"/>
      <c r="Q2136" s="275">
        <v>0</v>
      </c>
      <c r="R2136" s="273" t="s">
        <v>73</v>
      </c>
      <c r="S2136" s="279" t="s">
        <v>74</v>
      </c>
      <c r="T2136" s="279">
        <v>31</v>
      </c>
      <c r="U2136" s="274" t="s">
        <v>164</v>
      </c>
      <c r="V2136" s="454"/>
      <c r="X2136" s="275">
        <v>0</v>
      </c>
      <c r="Y2136" s="275"/>
      <c r="AG2136" s="273">
        <f>X2136</f>
        <v>0</v>
      </c>
      <c r="AI2136" s="261"/>
      <c r="AJ2136" s="642"/>
      <c r="AK2136" s="261"/>
      <c r="AL2136" s="261"/>
      <c r="AM2136" s="261"/>
      <c r="AN2136" s="261"/>
      <c r="AO2136" s="261"/>
      <c r="AP2136" s="261"/>
      <c r="AQ2136" s="261"/>
      <c r="AR2136" s="261"/>
      <c r="AS2136" s="261"/>
      <c r="AT2136" s="261"/>
      <c r="AU2136" s="261"/>
      <c r="AV2136" s="261"/>
      <c r="AW2136" s="261"/>
      <c r="AX2136" s="261"/>
      <c r="AY2136" s="261"/>
      <c r="AZ2136" s="261"/>
      <c r="BA2136" s="261"/>
      <c r="BB2136" s="261"/>
      <c r="BC2136" s="261"/>
      <c r="BD2136" s="261"/>
      <c r="BE2136" s="261"/>
      <c r="BF2136" s="261"/>
      <c r="BG2136" s="261"/>
      <c r="BH2136" s="261"/>
      <c r="BI2136" s="261"/>
      <c r="BJ2136" s="261"/>
      <c r="BK2136" s="261"/>
      <c r="BL2136" s="261"/>
      <c r="BM2136" s="261"/>
      <c r="BN2136" s="261"/>
      <c r="BO2136" s="261"/>
      <c r="BP2136" s="261"/>
      <c r="BQ2136" s="261"/>
      <c r="BR2136" s="261"/>
      <c r="BS2136" s="261"/>
      <c r="BT2136" s="261"/>
      <c r="BU2136" s="261"/>
      <c r="BV2136" s="261"/>
      <c r="BW2136" s="261"/>
      <c r="BX2136" s="261"/>
      <c r="BY2136" s="261"/>
    </row>
    <row r="2137" spans="1:77" s="273" customFormat="1" ht="11.25" customHeight="1">
      <c r="B2137" s="258" t="s">
        <v>291</v>
      </c>
      <c r="C2137" s="271"/>
      <c r="D2137" s="271"/>
      <c r="E2137" s="272" t="s">
        <v>1620</v>
      </c>
      <c r="F2137" s="273" t="s">
        <v>1621</v>
      </c>
      <c r="G2137" s="276">
        <v>4127</v>
      </c>
      <c r="H2137" s="273" t="s">
        <v>140</v>
      </c>
      <c r="I2137" s="273" t="s">
        <v>33</v>
      </c>
      <c r="J2137" s="277">
        <v>12544</v>
      </c>
      <c r="L2137" s="277">
        <v>8</v>
      </c>
      <c r="M2137" s="277">
        <v>8</v>
      </c>
      <c r="N2137" s="275"/>
      <c r="O2137" s="278">
        <v>0.25</v>
      </c>
      <c r="P2137" s="278"/>
      <c r="Q2137" s="275">
        <v>0</v>
      </c>
      <c r="R2137" s="273" t="s">
        <v>73</v>
      </c>
      <c r="S2137" s="279" t="s">
        <v>74</v>
      </c>
      <c r="T2137" s="279">
        <v>31</v>
      </c>
      <c r="U2137" s="274" t="s">
        <v>164</v>
      </c>
      <c r="V2137" s="454"/>
      <c r="X2137" s="275">
        <v>0</v>
      </c>
      <c r="Y2137" s="275"/>
      <c r="AG2137" s="273">
        <f>X2137</f>
        <v>0</v>
      </c>
      <c r="AI2137" s="261"/>
      <c r="AJ2137" s="642"/>
      <c r="AK2137" s="261"/>
      <c r="AL2137" s="261"/>
      <c r="AM2137" s="261"/>
      <c r="AN2137" s="261"/>
      <c r="AO2137" s="261"/>
      <c r="AP2137" s="261"/>
      <c r="AQ2137" s="261"/>
      <c r="AR2137" s="261"/>
      <c r="AS2137" s="261"/>
      <c r="AT2137" s="261"/>
      <c r="AU2137" s="261"/>
      <c r="AV2137" s="261"/>
      <c r="AW2137" s="261"/>
      <c r="AX2137" s="261"/>
      <c r="AY2137" s="261"/>
      <c r="AZ2137" s="261"/>
      <c r="BA2137" s="261"/>
      <c r="BB2137" s="261"/>
      <c r="BC2137" s="261"/>
      <c r="BD2137" s="261"/>
      <c r="BE2137" s="261"/>
      <c r="BF2137" s="261"/>
      <c r="BG2137" s="261"/>
      <c r="BH2137" s="261"/>
      <c r="BI2137" s="261"/>
      <c r="BJ2137" s="261"/>
      <c r="BK2137" s="261"/>
      <c r="BL2137" s="261"/>
      <c r="BM2137" s="261"/>
      <c r="BN2137" s="261"/>
      <c r="BO2137" s="261"/>
      <c r="BP2137" s="261"/>
      <c r="BQ2137" s="261"/>
      <c r="BR2137" s="261"/>
      <c r="BS2137" s="261"/>
      <c r="BT2137" s="261"/>
      <c r="BU2137" s="261"/>
      <c r="BV2137" s="261"/>
      <c r="BW2137" s="261"/>
      <c r="BX2137" s="261"/>
      <c r="BY2137" s="261"/>
    </row>
    <row r="2138" spans="1:77" s="273" customFormat="1" ht="11.25" customHeight="1">
      <c r="B2138" s="258" t="s">
        <v>291</v>
      </c>
      <c r="C2138" s="271"/>
      <c r="D2138" s="271"/>
      <c r="E2138" s="272" t="s">
        <v>1620</v>
      </c>
      <c r="F2138" s="273" t="s">
        <v>1621</v>
      </c>
      <c r="G2138" s="276">
        <v>4127</v>
      </c>
      <c r="H2138" s="273" t="s">
        <v>99</v>
      </c>
      <c r="I2138" s="273" t="s">
        <v>33</v>
      </c>
      <c r="J2138" s="277">
        <v>48298.2</v>
      </c>
      <c r="L2138" s="277">
        <v>39.85</v>
      </c>
      <c r="M2138" s="277">
        <v>39.85</v>
      </c>
      <c r="N2138" s="275"/>
      <c r="O2138" s="278">
        <v>0.25</v>
      </c>
      <c r="P2138" s="278"/>
      <c r="Q2138" s="275">
        <v>0</v>
      </c>
      <c r="R2138" s="273" t="s">
        <v>73</v>
      </c>
      <c r="S2138" s="279" t="s">
        <v>74</v>
      </c>
      <c r="T2138" s="279">
        <v>31</v>
      </c>
      <c r="U2138" s="274" t="s">
        <v>164</v>
      </c>
      <c r="V2138" s="454"/>
      <c r="X2138" s="275">
        <v>0</v>
      </c>
      <c r="Y2138" s="275"/>
      <c r="AG2138" s="273">
        <f>X2138</f>
        <v>0</v>
      </c>
      <c r="AI2138" s="261"/>
      <c r="AJ2138" s="642"/>
      <c r="AK2138" s="261"/>
      <c r="AL2138" s="261"/>
      <c r="AM2138" s="261"/>
      <c r="AN2138" s="261"/>
      <c r="AO2138" s="261"/>
      <c r="AP2138" s="261"/>
      <c r="AQ2138" s="261"/>
      <c r="AR2138" s="261"/>
      <c r="AS2138" s="261"/>
      <c r="AT2138" s="261"/>
      <c r="AU2138" s="261"/>
      <c r="AV2138" s="261"/>
      <c r="AW2138" s="261"/>
      <c r="AX2138" s="261"/>
      <c r="AY2138" s="261"/>
      <c r="AZ2138" s="261"/>
      <c r="BA2138" s="261"/>
      <c r="BB2138" s="261"/>
      <c r="BC2138" s="261"/>
      <c r="BD2138" s="261"/>
      <c r="BE2138" s="261"/>
      <c r="BF2138" s="261"/>
      <c r="BG2138" s="261"/>
      <c r="BH2138" s="261"/>
      <c r="BI2138" s="261"/>
      <c r="BJ2138" s="261"/>
      <c r="BK2138" s="261"/>
      <c r="BL2138" s="261"/>
      <c r="BM2138" s="261"/>
      <c r="BN2138" s="261"/>
      <c r="BO2138" s="261"/>
      <c r="BP2138" s="261"/>
      <c r="BQ2138" s="261"/>
      <c r="BR2138" s="261"/>
      <c r="BS2138" s="261"/>
      <c r="BT2138" s="261"/>
      <c r="BU2138" s="261"/>
      <c r="BV2138" s="261"/>
      <c r="BW2138" s="261"/>
      <c r="BX2138" s="261"/>
      <c r="BY2138" s="261"/>
    </row>
    <row r="2139" spans="1:77" s="205" customFormat="1" ht="12" customHeight="1">
      <c r="A2139" s="379"/>
      <c r="B2139" s="380" t="s">
        <v>291</v>
      </c>
      <c r="C2139" s="381"/>
      <c r="D2139" s="381"/>
      <c r="E2139" s="382" t="s">
        <v>1622</v>
      </c>
      <c r="F2139" s="379" t="s">
        <v>209</v>
      </c>
      <c r="G2139" s="388">
        <v>4621</v>
      </c>
      <c r="H2139" s="379" t="s">
        <v>1009</v>
      </c>
      <c r="I2139" s="379" t="s">
        <v>33</v>
      </c>
      <c r="J2139" s="416">
        <v>11232</v>
      </c>
      <c r="K2139" s="379"/>
      <c r="L2139" s="416">
        <v>5.4</v>
      </c>
      <c r="M2139" s="416">
        <v>5.4</v>
      </c>
      <c r="N2139" s="386"/>
      <c r="O2139" s="387">
        <v>0.25</v>
      </c>
      <c r="P2139" s="387"/>
      <c r="Q2139" s="386">
        <v>0</v>
      </c>
      <c r="R2139" s="379" t="s">
        <v>73</v>
      </c>
      <c r="S2139" s="388" t="s">
        <v>74</v>
      </c>
      <c r="T2139" s="388">
        <v>31</v>
      </c>
      <c r="U2139" s="389" t="s">
        <v>164</v>
      </c>
      <c r="V2139" s="433"/>
      <c r="W2139" s="379"/>
      <c r="X2139" s="386">
        <v>0</v>
      </c>
      <c r="Y2139" s="386"/>
      <c r="Z2139" s="379"/>
      <c r="AA2139" s="379"/>
      <c r="AB2139" s="379"/>
      <c r="AC2139" s="379"/>
      <c r="AD2139" s="379"/>
      <c r="AE2139" s="379"/>
      <c r="AF2139" s="379"/>
      <c r="AG2139" s="379"/>
      <c r="AH2139" s="379"/>
      <c r="AI2139" s="394"/>
      <c r="AJ2139" s="390">
        <v>0</v>
      </c>
      <c r="AK2139" s="379"/>
      <c r="AL2139" s="379"/>
      <c r="AM2139" s="379"/>
      <c r="AN2139" s="379"/>
      <c r="AO2139" s="379"/>
      <c r="AP2139" s="379"/>
      <c r="AQ2139" s="379"/>
      <c r="AR2139" s="379"/>
      <c r="AS2139" s="379"/>
      <c r="AT2139" s="379"/>
      <c r="AU2139" s="379"/>
      <c r="AV2139" s="379"/>
      <c r="AW2139" s="379"/>
      <c r="AX2139" s="379"/>
      <c r="AY2139" s="379"/>
      <c r="AZ2139" s="379"/>
      <c r="BA2139" s="379"/>
      <c r="BB2139" s="379"/>
      <c r="BC2139" s="379"/>
      <c r="BD2139" s="379"/>
      <c r="BE2139" s="379"/>
      <c r="BF2139" s="379"/>
      <c r="BG2139" s="379"/>
      <c r="BH2139" s="379"/>
      <c r="BI2139" s="379"/>
      <c r="BJ2139" s="379"/>
      <c r="BK2139" s="379"/>
      <c r="BL2139" s="379"/>
      <c r="BM2139" s="379"/>
      <c r="BN2139" s="379"/>
      <c r="BO2139" s="379"/>
      <c r="BP2139" s="379"/>
      <c r="BQ2139" s="379"/>
      <c r="BR2139" s="379"/>
      <c r="BS2139" s="379"/>
      <c r="BT2139" s="379"/>
      <c r="BU2139" s="379"/>
      <c r="BV2139" s="379"/>
      <c r="BW2139" s="379"/>
      <c r="BX2139" s="379"/>
      <c r="BY2139" s="379"/>
    </row>
    <row r="2140" spans="1:77" s="205" customFormat="1" ht="12" customHeight="1">
      <c r="A2140" s="379"/>
      <c r="B2140" s="380" t="s">
        <v>291</v>
      </c>
      <c r="C2140" s="381"/>
      <c r="D2140" s="381"/>
      <c r="E2140" s="382" t="s">
        <v>1622</v>
      </c>
      <c r="F2140" s="379" t="s">
        <v>209</v>
      </c>
      <c r="G2140" s="388">
        <v>4621</v>
      </c>
      <c r="H2140" s="379" t="s">
        <v>910</v>
      </c>
      <c r="I2140" s="379" t="s">
        <v>33</v>
      </c>
      <c r="J2140" s="416">
        <v>183207.52</v>
      </c>
      <c r="K2140" s="379"/>
      <c r="L2140" s="416">
        <v>85.9</v>
      </c>
      <c r="M2140" s="416">
        <v>85.9</v>
      </c>
      <c r="N2140" s="386"/>
      <c r="O2140" s="387">
        <v>0.25</v>
      </c>
      <c r="P2140" s="387"/>
      <c r="Q2140" s="386">
        <v>0</v>
      </c>
      <c r="R2140" s="379" t="s">
        <v>73</v>
      </c>
      <c r="S2140" s="388" t="s">
        <v>74</v>
      </c>
      <c r="T2140" s="388">
        <v>31</v>
      </c>
      <c r="U2140" s="389" t="s">
        <v>164</v>
      </c>
      <c r="V2140" s="433"/>
      <c r="W2140" s="379"/>
      <c r="X2140" s="386">
        <v>0</v>
      </c>
      <c r="Y2140" s="386"/>
      <c r="Z2140" s="379"/>
      <c r="AA2140" s="379"/>
      <c r="AB2140" s="379"/>
      <c r="AC2140" s="379"/>
      <c r="AD2140" s="379"/>
      <c r="AE2140" s="379"/>
      <c r="AF2140" s="379"/>
      <c r="AG2140" s="379"/>
      <c r="AH2140" s="379"/>
      <c r="AI2140" s="394"/>
      <c r="AJ2140" s="390">
        <v>0</v>
      </c>
      <c r="AK2140" s="379"/>
      <c r="AL2140" s="379"/>
      <c r="AM2140" s="379"/>
      <c r="AN2140" s="379"/>
      <c r="AO2140" s="379"/>
      <c r="AP2140" s="379"/>
      <c r="AQ2140" s="379"/>
      <c r="AR2140" s="379"/>
      <c r="AS2140" s="379"/>
      <c r="AT2140" s="379"/>
      <c r="AU2140" s="379"/>
      <c r="AV2140" s="379"/>
      <c r="AW2140" s="379"/>
      <c r="AX2140" s="379"/>
      <c r="AY2140" s="379"/>
      <c r="AZ2140" s="379"/>
      <c r="BA2140" s="379"/>
      <c r="BB2140" s="379"/>
      <c r="BC2140" s="379"/>
      <c r="BD2140" s="379"/>
      <c r="BE2140" s="379"/>
      <c r="BF2140" s="379"/>
      <c r="BG2140" s="379"/>
      <c r="BH2140" s="379"/>
      <c r="BI2140" s="379"/>
      <c r="BJ2140" s="379"/>
      <c r="BK2140" s="379"/>
      <c r="BL2140" s="379"/>
      <c r="BM2140" s="379"/>
      <c r="BN2140" s="379"/>
      <c r="BO2140" s="379"/>
      <c r="BP2140" s="379"/>
      <c r="BQ2140" s="379"/>
      <c r="BR2140" s="379"/>
      <c r="BS2140" s="379"/>
      <c r="BT2140" s="379"/>
      <c r="BU2140" s="379"/>
      <c r="BV2140" s="379"/>
      <c r="BW2140" s="379"/>
      <c r="BX2140" s="379"/>
      <c r="BY2140" s="379"/>
    </row>
    <row r="2141" spans="1:77" s="6" customFormat="1" ht="12" customHeight="1">
      <c r="A2141" s="379"/>
      <c r="B2141" s="380" t="s">
        <v>291</v>
      </c>
      <c r="C2141" s="381"/>
      <c r="D2141" s="381"/>
      <c r="E2141" s="382" t="s">
        <v>1622</v>
      </c>
      <c r="F2141" s="379" t="s">
        <v>209</v>
      </c>
      <c r="G2141" s="388">
        <v>4621</v>
      </c>
      <c r="H2141" s="379" t="s">
        <v>765</v>
      </c>
      <c r="I2141" s="379" t="s">
        <v>33</v>
      </c>
      <c r="J2141" s="416">
        <v>13435.7</v>
      </c>
      <c r="K2141" s="379"/>
      <c r="L2141" s="416">
        <v>11.89</v>
      </c>
      <c r="M2141" s="416">
        <v>11.89</v>
      </c>
      <c r="N2141" s="386"/>
      <c r="O2141" s="387">
        <v>0.25</v>
      </c>
      <c r="P2141" s="387"/>
      <c r="Q2141" s="386">
        <v>0</v>
      </c>
      <c r="R2141" s="379" t="s">
        <v>73</v>
      </c>
      <c r="S2141" s="388" t="s">
        <v>74</v>
      </c>
      <c r="T2141" s="388">
        <v>31</v>
      </c>
      <c r="U2141" s="389" t="s">
        <v>164</v>
      </c>
      <c r="V2141" s="433"/>
      <c r="W2141" s="379"/>
      <c r="X2141" s="386">
        <v>0</v>
      </c>
      <c r="Y2141" s="386"/>
      <c r="Z2141" s="379"/>
      <c r="AA2141" s="379"/>
      <c r="AB2141" s="379"/>
      <c r="AC2141" s="379"/>
      <c r="AD2141" s="379"/>
      <c r="AE2141" s="379"/>
      <c r="AF2141" s="379"/>
      <c r="AG2141" s="379"/>
      <c r="AH2141" s="379"/>
      <c r="AI2141" s="394"/>
      <c r="AJ2141" s="390">
        <v>0</v>
      </c>
      <c r="AK2141" s="379"/>
      <c r="AL2141" s="379"/>
      <c r="AM2141" s="379"/>
      <c r="AN2141" s="379"/>
      <c r="AO2141" s="379"/>
      <c r="AP2141" s="379"/>
      <c r="AQ2141" s="379"/>
      <c r="AR2141" s="379"/>
      <c r="AS2141" s="379"/>
      <c r="AT2141" s="379"/>
      <c r="AU2141" s="379"/>
      <c r="AV2141" s="379"/>
      <c r="AW2141" s="379"/>
      <c r="AX2141" s="379"/>
      <c r="AY2141" s="379"/>
      <c r="AZ2141" s="379"/>
      <c r="BA2141" s="379"/>
      <c r="BB2141" s="379"/>
      <c r="BC2141" s="379"/>
      <c r="BD2141" s="379"/>
      <c r="BE2141" s="379"/>
      <c r="BF2141" s="379"/>
      <c r="BG2141" s="379"/>
      <c r="BH2141" s="379"/>
      <c r="BI2141" s="379"/>
      <c r="BJ2141" s="379"/>
      <c r="BK2141" s="379"/>
      <c r="BL2141" s="379"/>
      <c r="BM2141" s="379"/>
      <c r="BN2141" s="379"/>
      <c r="BO2141" s="379"/>
      <c r="BP2141" s="379"/>
      <c r="BQ2141" s="379"/>
      <c r="BR2141" s="379"/>
      <c r="BS2141" s="379"/>
      <c r="BT2141" s="379"/>
      <c r="BU2141" s="379"/>
      <c r="BV2141" s="379"/>
      <c r="BW2141" s="379"/>
      <c r="BX2141" s="379"/>
      <c r="BY2141" s="379"/>
    </row>
    <row r="2142" spans="1:77" s="205" customFormat="1" ht="12" customHeight="1">
      <c r="B2142" s="206" t="s">
        <v>291</v>
      </c>
      <c r="C2142" s="207">
        <v>44714</v>
      </c>
      <c r="D2142" s="207">
        <v>44714</v>
      </c>
      <c r="E2142" s="208" t="s">
        <v>1622</v>
      </c>
      <c r="F2142" s="205" t="s">
        <v>209</v>
      </c>
      <c r="G2142" s="214">
        <v>4621</v>
      </c>
      <c r="H2142" s="205" t="s">
        <v>138</v>
      </c>
      <c r="I2142" s="205" t="s">
        <v>33</v>
      </c>
      <c r="J2142" s="232">
        <v>27573.48</v>
      </c>
      <c r="L2142" s="232">
        <v>19.8</v>
      </c>
      <c r="M2142" s="232">
        <v>19.8</v>
      </c>
      <c r="N2142" s="213"/>
      <c r="O2142" s="212">
        <v>0.25</v>
      </c>
      <c r="P2142" s="212"/>
      <c r="Q2142" s="213">
        <v>0</v>
      </c>
      <c r="R2142" s="205" t="s">
        <v>73</v>
      </c>
      <c r="S2142" s="214" t="s">
        <v>74</v>
      </c>
      <c r="T2142" s="214">
        <v>31</v>
      </c>
      <c r="U2142" s="215" t="s">
        <v>164</v>
      </c>
      <c r="V2142" s="438"/>
      <c r="X2142" s="213">
        <v>0</v>
      </c>
      <c r="Y2142" s="213"/>
      <c r="AF2142" s="230">
        <f>X2142</f>
        <v>0</v>
      </c>
      <c r="AJ2142" s="216"/>
    </row>
    <row r="2143" spans="1:77" s="205" customFormat="1" ht="12" customHeight="1">
      <c r="B2143" s="206" t="s">
        <v>291</v>
      </c>
      <c r="C2143" s="207"/>
      <c r="D2143" s="207"/>
      <c r="E2143" s="208" t="s">
        <v>1622</v>
      </c>
      <c r="F2143" s="205" t="s">
        <v>209</v>
      </c>
      <c r="G2143" s="214">
        <v>4621</v>
      </c>
      <c r="H2143" s="205" t="s">
        <v>99</v>
      </c>
      <c r="I2143" s="205" t="s">
        <v>33</v>
      </c>
      <c r="J2143" s="232">
        <v>27852</v>
      </c>
      <c r="L2143" s="232">
        <v>22</v>
      </c>
      <c r="M2143" s="232">
        <v>22</v>
      </c>
      <c r="N2143" s="213"/>
      <c r="O2143" s="212">
        <v>0.25</v>
      </c>
      <c r="P2143" s="212"/>
      <c r="Q2143" s="213">
        <v>4653</v>
      </c>
      <c r="R2143" s="205" t="s">
        <v>73</v>
      </c>
      <c r="S2143" s="214" t="s">
        <v>74</v>
      </c>
      <c r="T2143" s="214">
        <v>31</v>
      </c>
      <c r="U2143" s="215" t="s">
        <v>164</v>
      </c>
      <c r="V2143" s="438"/>
      <c r="X2143" s="213">
        <v>4653</v>
      </c>
      <c r="Y2143" s="213"/>
      <c r="AF2143" s="230">
        <f>X2143</f>
        <v>4653</v>
      </c>
      <c r="AI2143" s="218"/>
      <c r="AJ2143" s="216"/>
    </row>
    <row r="2144" spans="1:77" s="379" customFormat="1" ht="12" customHeight="1">
      <c r="B2144" s="380" t="s">
        <v>291</v>
      </c>
      <c r="C2144" s="381">
        <v>44715</v>
      </c>
      <c r="D2144" s="381">
        <v>44715</v>
      </c>
      <c r="E2144" s="382" t="s">
        <v>1623</v>
      </c>
      <c r="F2144" s="379" t="s">
        <v>232</v>
      </c>
      <c r="G2144" s="388">
        <v>4225</v>
      </c>
      <c r="H2144" s="379" t="s">
        <v>207</v>
      </c>
      <c r="I2144" s="379" t="s">
        <v>1296</v>
      </c>
      <c r="J2144" s="416">
        <v>6408</v>
      </c>
      <c r="L2144" s="416">
        <v>13.35</v>
      </c>
      <c r="M2144" s="416">
        <v>13.35</v>
      </c>
      <c r="N2144" s="386"/>
      <c r="O2144" s="387">
        <v>0.15</v>
      </c>
      <c r="P2144" s="387"/>
      <c r="Q2144" s="386">
        <v>2109.0300000000002</v>
      </c>
      <c r="R2144" s="379" t="s">
        <v>73</v>
      </c>
      <c r="S2144" s="388" t="s">
        <v>74</v>
      </c>
      <c r="T2144" s="388">
        <v>31</v>
      </c>
      <c r="U2144" s="389" t="s">
        <v>164</v>
      </c>
      <c r="V2144" s="433"/>
      <c r="X2144" s="386">
        <v>2109.3000000000002</v>
      </c>
      <c r="Y2144" s="386"/>
      <c r="AI2144" s="394"/>
      <c r="AJ2144" s="416">
        <v>2109.3000000000002</v>
      </c>
    </row>
    <row r="2145" spans="1:77" s="379" customFormat="1" ht="12" customHeight="1">
      <c r="B2145" s="380" t="s">
        <v>291</v>
      </c>
      <c r="C2145" s="381"/>
      <c r="D2145" s="381"/>
      <c r="E2145" s="382" t="s">
        <v>1623</v>
      </c>
      <c r="F2145" s="379" t="s">
        <v>232</v>
      </c>
      <c r="G2145" s="388">
        <v>4225</v>
      </c>
      <c r="H2145" s="379" t="s">
        <v>99</v>
      </c>
      <c r="I2145" s="379" t="s">
        <v>1296</v>
      </c>
      <c r="J2145" s="416">
        <v>30046.63</v>
      </c>
      <c r="L2145" s="416">
        <v>27.48</v>
      </c>
      <c r="M2145" s="416">
        <v>27.48</v>
      </c>
      <c r="N2145" s="386"/>
      <c r="O2145" s="387">
        <v>0.15</v>
      </c>
      <c r="P2145" s="387"/>
      <c r="Q2145" s="386">
        <v>0</v>
      </c>
      <c r="R2145" s="379" t="s">
        <v>73</v>
      </c>
      <c r="S2145" s="388" t="s">
        <v>74</v>
      </c>
      <c r="T2145" s="388">
        <v>31</v>
      </c>
      <c r="U2145" s="389" t="s">
        <v>164</v>
      </c>
      <c r="V2145" s="433"/>
      <c r="X2145" s="386">
        <v>0</v>
      </c>
      <c r="Y2145" s="386"/>
      <c r="AI2145" s="394"/>
      <c r="AJ2145" s="390">
        <v>0</v>
      </c>
    </row>
    <row r="2146" spans="1:77" s="379" customFormat="1" ht="12" customHeight="1">
      <c r="B2146" s="380" t="s">
        <v>291</v>
      </c>
      <c r="C2146" s="381"/>
      <c r="D2146" s="381"/>
      <c r="E2146" s="382" t="s">
        <v>1623</v>
      </c>
      <c r="F2146" s="379" t="s">
        <v>232</v>
      </c>
      <c r="G2146" s="388">
        <v>4225</v>
      </c>
      <c r="H2146" s="379" t="s">
        <v>27</v>
      </c>
      <c r="I2146" s="379" t="s">
        <v>1296</v>
      </c>
      <c r="J2146" s="416">
        <v>15243.5</v>
      </c>
      <c r="L2146" s="416">
        <v>13.99</v>
      </c>
      <c r="M2146" s="416">
        <v>13.99</v>
      </c>
      <c r="N2146" s="386"/>
      <c r="O2146" s="387">
        <v>0.15</v>
      </c>
      <c r="P2146" s="387"/>
      <c r="Q2146" s="386">
        <v>0</v>
      </c>
      <c r="R2146" s="379" t="s">
        <v>73</v>
      </c>
      <c r="S2146" s="388" t="s">
        <v>74</v>
      </c>
      <c r="T2146" s="388">
        <v>31</v>
      </c>
      <c r="U2146" s="389" t="s">
        <v>164</v>
      </c>
      <c r="V2146" s="433"/>
      <c r="X2146" s="386">
        <v>0</v>
      </c>
      <c r="Y2146" s="386"/>
      <c r="AI2146" s="394"/>
      <c r="AJ2146" s="390">
        <v>0</v>
      </c>
    </row>
    <row r="2147" spans="1:77" s="379" customFormat="1" ht="12" customHeight="1">
      <c r="B2147" s="380" t="s">
        <v>291</v>
      </c>
      <c r="C2147" s="381"/>
      <c r="D2147" s="381"/>
      <c r="E2147" s="382" t="s">
        <v>1623</v>
      </c>
      <c r="F2147" s="379" t="s">
        <v>232</v>
      </c>
      <c r="G2147" s="388">
        <v>4225</v>
      </c>
      <c r="H2147" s="379" t="s">
        <v>1141</v>
      </c>
      <c r="I2147" s="379" t="s">
        <v>1296</v>
      </c>
      <c r="J2147" s="416">
        <v>25784.86</v>
      </c>
      <c r="L2147" s="416">
        <v>22.67</v>
      </c>
      <c r="M2147" s="416">
        <v>12</v>
      </c>
      <c r="N2147" s="386"/>
      <c r="O2147" s="387">
        <v>0.15</v>
      </c>
      <c r="P2147" s="387"/>
      <c r="Q2147" s="386">
        <v>0</v>
      </c>
      <c r="R2147" s="379" t="s">
        <v>73</v>
      </c>
      <c r="S2147" s="388" t="s">
        <v>74</v>
      </c>
      <c r="T2147" s="388">
        <v>31</v>
      </c>
      <c r="U2147" s="389" t="s">
        <v>164</v>
      </c>
      <c r="V2147" s="433"/>
      <c r="X2147" s="386">
        <v>0</v>
      </c>
      <c r="Y2147" s="386"/>
      <c r="AI2147" s="394"/>
      <c r="AJ2147" s="390">
        <v>0</v>
      </c>
    </row>
    <row r="2148" spans="1:77" s="205" customFormat="1" ht="12" customHeight="1">
      <c r="B2148" s="206" t="s">
        <v>291</v>
      </c>
      <c r="C2148" s="207">
        <v>44715</v>
      </c>
      <c r="D2148" s="207">
        <v>44715</v>
      </c>
      <c r="E2148" s="208" t="s">
        <v>1624</v>
      </c>
      <c r="F2148" s="205" t="s">
        <v>1625</v>
      </c>
      <c r="G2148" s="214">
        <v>4122</v>
      </c>
      <c r="H2148" s="205" t="s">
        <v>138</v>
      </c>
      <c r="I2148" s="205" t="s">
        <v>888</v>
      </c>
      <c r="J2148" s="232">
        <v>31059.34</v>
      </c>
      <c r="L2148" s="232">
        <v>20.58</v>
      </c>
      <c r="M2148" s="232">
        <v>20.57</v>
      </c>
      <c r="N2148" s="213"/>
      <c r="O2148" s="212">
        <v>0.15</v>
      </c>
      <c r="P2148" s="212"/>
      <c r="Q2148" s="213">
        <v>0</v>
      </c>
      <c r="R2148" s="205" t="s">
        <v>73</v>
      </c>
      <c r="S2148" s="214" t="s">
        <v>74</v>
      </c>
      <c r="T2148" s="214">
        <v>31</v>
      </c>
      <c r="U2148" s="215" t="s">
        <v>164</v>
      </c>
      <c r="V2148" s="438"/>
      <c r="X2148" s="213">
        <v>0</v>
      </c>
      <c r="Y2148" s="213"/>
      <c r="AF2148" s="230">
        <f>X2148</f>
        <v>0</v>
      </c>
      <c r="AI2148" s="218"/>
      <c r="AJ2148" s="216"/>
    </row>
    <row r="2149" spans="1:77" s="205" customFormat="1" ht="12" customHeight="1">
      <c r="B2149" s="206" t="s">
        <v>291</v>
      </c>
      <c r="C2149" s="207"/>
      <c r="D2149" s="207"/>
      <c r="E2149" s="208" t="s">
        <v>1624</v>
      </c>
      <c r="F2149" s="205" t="s">
        <v>1625</v>
      </c>
      <c r="G2149" s="214">
        <v>4122</v>
      </c>
      <c r="H2149" s="205" t="s">
        <v>99</v>
      </c>
      <c r="I2149" s="205" t="s">
        <v>888</v>
      </c>
      <c r="J2149" s="232">
        <v>60153.599999999999</v>
      </c>
      <c r="L2149" s="232">
        <v>41.6</v>
      </c>
      <c r="M2149" s="232">
        <v>41.59</v>
      </c>
      <c r="N2149" s="213"/>
      <c r="O2149" s="212">
        <v>0.15</v>
      </c>
      <c r="P2149" s="212"/>
      <c r="Q2149" s="213">
        <v>0</v>
      </c>
      <c r="R2149" s="205" t="s">
        <v>73</v>
      </c>
      <c r="S2149" s="214" t="s">
        <v>74</v>
      </c>
      <c r="T2149" s="214">
        <v>31</v>
      </c>
      <c r="U2149" s="215" t="s">
        <v>164</v>
      </c>
      <c r="V2149" s="438"/>
      <c r="W2149" s="205" t="s">
        <v>3253</v>
      </c>
      <c r="X2149" s="213">
        <v>0</v>
      </c>
      <c r="Y2149" s="213"/>
      <c r="AF2149" s="230">
        <f>X2149</f>
        <v>0</v>
      </c>
      <c r="AI2149" s="218"/>
      <c r="AJ2149" s="216"/>
    </row>
    <row r="2150" spans="1:77" s="205" customFormat="1" ht="12" customHeight="1">
      <c r="B2150" s="206" t="s">
        <v>291</v>
      </c>
      <c r="C2150" s="207"/>
      <c r="D2150" s="207"/>
      <c r="E2150" s="208" t="s">
        <v>1624</v>
      </c>
      <c r="F2150" s="205" t="s">
        <v>1625</v>
      </c>
      <c r="G2150" s="214">
        <v>4122</v>
      </c>
      <c r="H2150" s="205" t="s">
        <v>140</v>
      </c>
      <c r="I2150" s="205" t="s">
        <v>888</v>
      </c>
      <c r="J2150" s="232">
        <v>9058.23</v>
      </c>
      <c r="L2150" s="232">
        <v>5.3</v>
      </c>
      <c r="M2150" s="232">
        <v>5.29</v>
      </c>
      <c r="N2150" s="213"/>
      <c r="O2150" s="212">
        <v>0.15</v>
      </c>
      <c r="P2150" s="212"/>
      <c r="Q2150" s="213">
        <v>0</v>
      </c>
      <c r="R2150" s="205" t="s">
        <v>73</v>
      </c>
      <c r="S2150" s="214" t="s">
        <v>74</v>
      </c>
      <c r="T2150" s="214">
        <v>31</v>
      </c>
      <c r="U2150" s="215" t="s">
        <v>164</v>
      </c>
      <c r="V2150" s="438"/>
      <c r="X2150" s="213">
        <v>0</v>
      </c>
      <c r="Y2150" s="213"/>
      <c r="AF2150" s="230">
        <f>X2150</f>
        <v>0</v>
      </c>
      <c r="AI2150" s="218"/>
      <c r="AJ2150" s="216"/>
    </row>
    <row r="2151" spans="1:77" s="261" customFormat="1" ht="12" customHeight="1">
      <c r="B2151" s="258" t="s">
        <v>291</v>
      </c>
      <c r="C2151" s="259"/>
      <c r="D2151" s="259"/>
      <c r="E2151" s="260" t="s">
        <v>1624</v>
      </c>
      <c r="F2151" s="261" t="s">
        <v>1625</v>
      </c>
      <c r="G2151" s="267">
        <v>4122</v>
      </c>
      <c r="H2151" s="261" t="s">
        <v>162</v>
      </c>
      <c r="I2151" s="261" t="s">
        <v>888</v>
      </c>
      <c r="J2151" s="269">
        <v>1221.44</v>
      </c>
      <c r="L2151" s="269">
        <v>3.47</v>
      </c>
      <c r="M2151" s="269">
        <v>3.46</v>
      </c>
      <c r="N2151" s="265"/>
      <c r="O2151" s="266">
        <v>0.15</v>
      </c>
      <c r="P2151" s="266"/>
      <c r="Q2151" s="265">
        <v>0</v>
      </c>
      <c r="R2151" s="261" t="s">
        <v>73</v>
      </c>
      <c r="S2151" s="267" t="s">
        <v>74</v>
      </c>
      <c r="T2151" s="267">
        <v>31</v>
      </c>
      <c r="U2151" s="268" t="s">
        <v>164</v>
      </c>
      <c r="V2151" s="427"/>
      <c r="W2151" s="261" t="s">
        <v>3253</v>
      </c>
      <c r="X2151" s="265">
        <v>0</v>
      </c>
      <c r="Y2151" s="265"/>
      <c r="AG2151" s="261">
        <f>X2151</f>
        <v>0</v>
      </c>
      <c r="AI2151" s="273"/>
      <c r="AJ2151" s="642"/>
    </row>
    <row r="2152" spans="1:77" s="205" customFormat="1" ht="12" customHeight="1">
      <c r="B2152" s="206" t="s">
        <v>291</v>
      </c>
      <c r="C2152" s="207"/>
      <c r="D2152" s="207"/>
      <c r="E2152" s="208" t="s">
        <v>1624</v>
      </c>
      <c r="F2152" s="205" t="s">
        <v>1625</v>
      </c>
      <c r="G2152" s="214">
        <v>4122</v>
      </c>
      <c r="H2152" s="205" t="s">
        <v>99</v>
      </c>
      <c r="I2152" s="205" t="s">
        <v>888</v>
      </c>
      <c r="J2152" s="232">
        <v>6073.2</v>
      </c>
      <c r="L2152" s="232">
        <v>4.2</v>
      </c>
      <c r="M2152" s="232">
        <v>4</v>
      </c>
      <c r="N2152" s="213"/>
      <c r="O2152" s="212">
        <v>0.15</v>
      </c>
      <c r="P2152" s="212"/>
      <c r="Q2152" s="213">
        <v>0</v>
      </c>
      <c r="R2152" s="205" t="s">
        <v>73</v>
      </c>
      <c r="S2152" s="214" t="s">
        <v>74</v>
      </c>
      <c r="T2152" s="214">
        <v>32</v>
      </c>
      <c r="U2152" s="215" t="s">
        <v>164</v>
      </c>
      <c r="V2152" s="438"/>
      <c r="X2152" s="213">
        <v>0</v>
      </c>
      <c r="Y2152" s="213"/>
      <c r="AF2152" s="230">
        <f>X2152</f>
        <v>0</v>
      </c>
      <c r="AI2152" s="218"/>
      <c r="AJ2152" s="216"/>
    </row>
    <row r="2153" spans="1:77" s="205" customFormat="1" ht="12" customHeight="1">
      <c r="B2153" s="206" t="s">
        <v>291</v>
      </c>
      <c r="C2153" s="207"/>
      <c r="D2153" s="207"/>
      <c r="E2153" s="208" t="s">
        <v>1624</v>
      </c>
      <c r="F2153" s="205" t="s">
        <v>1625</v>
      </c>
      <c r="G2153" s="214">
        <v>4122</v>
      </c>
      <c r="H2153" s="205" t="s">
        <v>140</v>
      </c>
      <c r="I2153" s="205" t="s">
        <v>888</v>
      </c>
      <c r="J2153" s="232">
        <v>14202.62</v>
      </c>
      <c r="L2153" s="232">
        <v>8.31</v>
      </c>
      <c r="M2153" s="232">
        <v>8.2899999999999991</v>
      </c>
      <c r="N2153" s="213"/>
      <c r="O2153" s="212">
        <v>0.15</v>
      </c>
      <c r="P2153" s="212"/>
      <c r="Q2153" s="213">
        <v>0</v>
      </c>
      <c r="R2153" s="205" t="s">
        <v>73</v>
      </c>
      <c r="S2153" s="214" t="s">
        <v>74</v>
      </c>
      <c r="T2153" s="214">
        <v>32</v>
      </c>
      <c r="U2153" s="215" t="s">
        <v>164</v>
      </c>
      <c r="V2153" s="438"/>
      <c r="X2153" s="213">
        <v>0</v>
      </c>
      <c r="Y2153" s="213"/>
      <c r="AF2153" s="230">
        <f>X2153</f>
        <v>0</v>
      </c>
      <c r="AI2153" s="218"/>
      <c r="AJ2153" s="216"/>
    </row>
    <row r="2154" spans="1:77" s="261" customFormat="1" ht="12" customHeight="1">
      <c r="B2154" s="258" t="s">
        <v>291</v>
      </c>
      <c r="C2154" s="259"/>
      <c r="D2154" s="259"/>
      <c r="E2154" s="260" t="s">
        <v>1624</v>
      </c>
      <c r="F2154" s="261" t="s">
        <v>1625</v>
      </c>
      <c r="G2154" s="267">
        <v>4122</v>
      </c>
      <c r="H2154" s="261" t="s">
        <v>183</v>
      </c>
      <c r="I2154" s="261" t="s">
        <v>888</v>
      </c>
      <c r="J2154" s="269">
        <v>9066.82</v>
      </c>
      <c r="L2154" s="269">
        <v>8.91</v>
      </c>
      <c r="M2154" s="269">
        <v>8.8800000000000008</v>
      </c>
      <c r="N2154" s="265"/>
      <c r="O2154" s="266">
        <v>0.15</v>
      </c>
      <c r="P2154" s="266"/>
      <c r="Q2154" s="265">
        <v>0</v>
      </c>
      <c r="R2154" s="261" t="s">
        <v>73</v>
      </c>
      <c r="S2154" s="267" t="s">
        <v>74</v>
      </c>
      <c r="T2154" s="267">
        <v>32</v>
      </c>
      <c r="U2154" s="268" t="s">
        <v>164</v>
      </c>
      <c r="V2154" s="427"/>
      <c r="X2154" s="265">
        <v>0</v>
      </c>
      <c r="Y2154" s="265"/>
      <c r="AF2154" s="261">
        <f>X2154</f>
        <v>0</v>
      </c>
      <c r="AG2154" s="261">
        <f>X2154</f>
        <v>0</v>
      </c>
      <c r="AI2154" s="273"/>
      <c r="AJ2154" s="642"/>
    </row>
    <row r="2155" spans="1:77" s="205" customFormat="1" ht="12" customHeight="1">
      <c r="B2155" s="206" t="s">
        <v>291</v>
      </c>
      <c r="C2155" s="207">
        <v>44714</v>
      </c>
      <c r="D2155" s="207">
        <v>44715</v>
      </c>
      <c r="E2155" s="208" t="s">
        <v>1626</v>
      </c>
      <c r="F2155" s="205" t="s">
        <v>659</v>
      </c>
      <c r="G2155" s="231" t="s">
        <v>660</v>
      </c>
      <c r="H2155" s="205" t="s">
        <v>27</v>
      </c>
      <c r="I2155" s="205" t="s">
        <v>33</v>
      </c>
      <c r="J2155" s="232">
        <v>9232.6299999999992</v>
      </c>
      <c r="L2155" s="232">
        <v>6.84</v>
      </c>
      <c r="M2155" s="232">
        <v>6.84</v>
      </c>
      <c r="N2155" s="213"/>
      <c r="O2155" s="212">
        <v>0.2</v>
      </c>
      <c r="P2155" s="212"/>
      <c r="Q2155" s="213">
        <v>0</v>
      </c>
      <c r="R2155" s="205" t="s">
        <v>112</v>
      </c>
      <c r="S2155" s="214" t="s">
        <v>113</v>
      </c>
      <c r="T2155" s="214">
        <v>64</v>
      </c>
      <c r="U2155" s="215" t="s">
        <v>164</v>
      </c>
      <c r="V2155" s="438"/>
      <c r="X2155" s="213">
        <v>0</v>
      </c>
      <c r="Y2155" s="213"/>
      <c r="AF2155" s="230">
        <f>X2155</f>
        <v>0</v>
      </c>
      <c r="AJ2155" s="216"/>
    </row>
    <row r="2156" spans="1:77" s="6" customFormat="1" ht="12" customHeight="1">
      <c r="A2156" s="379"/>
      <c r="B2156" s="380" t="s">
        <v>291</v>
      </c>
      <c r="C2156" s="381"/>
      <c r="D2156" s="381"/>
      <c r="E2156" s="382" t="s">
        <v>1626</v>
      </c>
      <c r="F2156" s="379" t="s">
        <v>659</v>
      </c>
      <c r="G2156" s="408" t="s">
        <v>660</v>
      </c>
      <c r="H2156" s="379" t="s">
        <v>814</v>
      </c>
      <c r="I2156" s="379" t="s">
        <v>33</v>
      </c>
      <c r="J2156" s="416">
        <v>8723.44</v>
      </c>
      <c r="K2156" s="379"/>
      <c r="L2156" s="416">
        <v>7.66</v>
      </c>
      <c r="M2156" s="416">
        <v>7.66</v>
      </c>
      <c r="N2156" s="386">
        <f>J2156*0.25</f>
        <v>2180.86</v>
      </c>
      <c r="O2156" s="387">
        <v>0.2</v>
      </c>
      <c r="P2156" s="387"/>
      <c r="Q2156" s="386">
        <v>0</v>
      </c>
      <c r="R2156" s="379" t="s">
        <v>112</v>
      </c>
      <c r="S2156" s="388" t="s">
        <v>113</v>
      </c>
      <c r="T2156" s="388">
        <v>64</v>
      </c>
      <c r="U2156" s="389" t="s">
        <v>164</v>
      </c>
      <c r="V2156" s="433"/>
      <c r="W2156" s="379"/>
      <c r="X2156" s="386">
        <v>0</v>
      </c>
      <c r="Y2156" s="386"/>
      <c r="Z2156" s="379"/>
      <c r="AA2156" s="379"/>
      <c r="AB2156" s="379"/>
      <c r="AC2156" s="379"/>
      <c r="AD2156" s="379"/>
      <c r="AE2156" s="379"/>
      <c r="AF2156" s="379"/>
      <c r="AG2156" s="379"/>
      <c r="AH2156" s="379"/>
      <c r="AI2156" s="394"/>
      <c r="AJ2156" s="390">
        <v>0</v>
      </c>
      <c r="AK2156" s="379"/>
      <c r="AL2156" s="379"/>
      <c r="AM2156" s="379"/>
      <c r="AN2156" s="379"/>
      <c r="AO2156" s="379"/>
      <c r="AP2156" s="379"/>
      <c r="AQ2156" s="379"/>
      <c r="AR2156" s="379"/>
      <c r="AS2156" s="379"/>
      <c r="AT2156" s="379"/>
      <c r="AU2156" s="379"/>
      <c r="AV2156" s="379"/>
      <c r="AW2156" s="379"/>
      <c r="AX2156" s="379"/>
      <c r="AY2156" s="379"/>
      <c r="AZ2156" s="379"/>
      <c r="BA2156" s="379"/>
      <c r="BB2156" s="379"/>
      <c r="BC2156" s="379"/>
      <c r="BD2156" s="379"/>
      <c r="BE2156" s="379"/>
      <c r="BF2156" s="379"/>
      <c r="BG2156" s="379"/>
      <c r="BH2156" s="379"/>
      <c r="BI2156" s="379"/>
      <c r="BJ2156" s="379"/>
      <c r="BK2156" s="379"/>
      <c r="BL2156" s="379"/>
      <c r="BM2156" s="379"/>
      <c r="BN2156" s="379"/>
      <c r="BO2156" s="379"/>
      <c r="BP2156" s="379"/>
      <c r="BQ2156" s="379"/>
      <c r="BR2156" s="379"/>
      <c r="BS2156" s="379"/>
      <c r="BT2156" s="379"/>
      <c r="BU2156" s="379"/>
      <c r="BV2156" s="379"/>
      <c r="BW2156" s="379"/>
      <c r="BX2156" s="379"/>
      <c r="BY2156" s="379"/>
    </row>
    <row r="2157" spans="1:77" s="647" customFormat="1" ht="12" customHeight="1">
      <c r="B2157" s="661" t="s">
        <v>291</v>
      </c>
      <c r="C2157" s="648">
        <v>44715</v>
      </c>
      <c r="D2157" s="648">
        <v>44719</v>
      </c>
      <c r="E2157" s="649" t="s">
        <v>1627</v>
      </c>
      <c r="F2157" s="647" t="s">
        <v>1628</v>
      </c>
      <c r="G2157" s="678" t="s">
        <v>1629</v>
      </c>
      <c r="H2157" s="647" t="s">
        <v>140</v>
      </c>
      <c r="I2157" s="647" t="s">
        <v>156</v>
      </c>
      <c r="J2157" s="679">
        <v>13431.6</v>
      </c>
      <c r="L2157" s="679">
        <v>10</v>
      </c>
      <c r="M2157" s="679">
        <v>10</v>
      </c>
      <c r="N2157" s="652"/>
      <c r="O2157" s="653">
        <v>0.25</v>
      </c>
      <c r="P2157" s="653">
        <v>0.1</v>
      </c>
      <c r="Q2157" s="652">
        <v>1173.31</v>
      </c>
      <c r="R2157" s="647" t="s">
        <v>149</v>
      </c>
      <c r="S2157" s="654" t="s">
        <v>113</v>
      </c>
      <c r="T2157" s="654">
        <v>40</v>
      </c>
      <c r="U2157" s="655" t="s">
        <v>164</v>
      </c>
      <c r="V2157" s="656"/>
      <c r="X2157" s="652">
        <v>1173.31</v>
      </c>
      <c r="Y2157" s="652"/>
      <c r="AI2157" s="652">
        <v>1173.31</v>
      </c>
      <c r="AJ2157" s="657"/>
      <c r="AK2157" s="658"/>
      <c r="AL2157" s="660"/>
      <c r="AM2157" s="660"/>
      <c r="AN2157" s="660"/>
      <c r="AO2157" s="660"/>
      <c r="AP2157" s="660"/>
      <c r="AQ2157" s="660"/>
      <c r="AR2157" s="660"/>
      <c r="AS2157" s="660"/>
      <c r="AT2157" s="660"/>
      <c r="AU2157" s="660"/>
      <c r="AV2157" s="660"/>
      <c r="AW2157" s="660"/>
      <c r="AX2157" s="660"/>
      <c r="AY2157" s="660"/>
      <c r="AZ2157" s="660"/>
      <c r="BA2157" s="660"/>
      <c r="BB2157" s="660"/>
      <c r="BC2157" s="660"/>
      <c r="BD2157" s="660"/>
      <c r="BE2157" s="660"/>
      <c r="BF2157" s="660"/>
      <c r="BG2157" s="660"/>
      <c r="BH2157" s="660"/>
      <c r="BI2157" s="660"/>
      <c r="BJ2157" s="660"/>
      <c r="BK2157" s="660"/>
      <c r="BL2157" s="660"/>
      <c r="BM2157" s="660"/>
      <c r="BN2157" s="660"/>
      <c r="BO2157" s="660"/>
      <c r="BP2157" s="660"/>
      <c r="BQ2157" s="660"/>
      <c r="BR2157" s="660"/>
      <c r="BS2157" s="660"/>
      <c r="BT2157" s="660"/>
      <c r="BU2157" s="660"/>
      <c r="BV2157" s="660"/>
      <c r="BW2157" s="660"/>
      <c r="BX2157" s="660"/>
      <c r="BY2157" s="660"/>
    </row>
    <row r="2158" spans="1:77" s="379" customFormat="1" ht="12" customHeight="1">
      <c r="B2158" s="380" t="s">
        <v>291</v>
      </c>
      <c r="C2158" s="381">
        <v>44715</v>
      </c>
      <c r="D2158" s="381">
        <v>44716</v>
      </c>
      <c r="E2158" s="382" t="s">
        <v>1630</v>
      </c>
      <c r="F2158" s="379" t="s">
        <v>136</v>
      </c>
      <c r="G2158" s="408">
        <v>4150</v>
      </c>
      <c r="H2158" s="379" t="s">
        <v>765</v>
      </c>
      <c r="I2158" s="379" t="s">
        <v>156</v>
      </c>
      <c r="J2158" s="416">
        <v>11100</v>
      </c>
      <c r="L2158" s="416">
        <v>11.1</v>
      </c>
      <c r="M2158" s="416">
        <v>11.1</v>
      </c>
      <c r="N2158" s="386"/>
      <c r="O2158" s="387">
        <v>0.2</v>
      </c>
      <c r="P2158" s="387">
        <v>0.1</v>
      </c>
      <c r="Q2158" s="386">
        <v>1145.0999999999999</v>
      </c>
      <c r="R2158" s="379" t="s">
        <v>73</v>
      </c>
      <c r="S2158" s="388" t="s">
        <v>74</v>
      </c>
      <c r="T2158" s="388">
        <v>31</v>
      </c>
      <c r="U2158" s="389" t="s">
        <v>164</v>
      </c>
      <c r="V2158" s="433"/>
      <c r="X2158" s="386">
        <v>1145.0999999999999</v>
      </c>
      <c r="Y2158" s="386"/>
      <c r="AI2158" s="394"/>
      <c r="AJ2158" s="390">
        <v>1145.0999999999999</v>
      </c>
    </row>
    <row r="2159" spans="1:77" s="205" customFormat="1" ht="11.25" customHeight="1">
      <c r="A2159" s="379"/>
      <c r="B2159" s="380" t="s">
        <v>291</v>
      </c>
      <c r="C2159" s="381"/>
      <c r="D2159" s="381"/>
      <c r="E2159" s="382" t="s">
        <v>1631</v>
      </c>
      <c r="F2159" s="379" t="s">
        <v>136</v>
      </c>
      <c r="G2159" s="383">
        <v>4150</v>
      </c>
      <c r="H2159" s="379" t="s">
        <v>910</v>
      </c>
      <c r="I2159" s="379" t="s">
        <v>156</v>
      </c>
      <c r="J2159" s="385">
        <v>38900.879999999997</v>
      </c>
      <c r="K2159" s="384"/>
      <c r="L2159" s="385">
        <v>22.28</v>
      </c>
      <c r="M2159" s="385">
        <v>22.28</v>
      </c>
      <c r="N2159" s="386"/>
      <c r="O2159" s="387">
        <v>0.2</v>
      </c>
      <c r="P2159" s="387">
        <v>0.1</v>
      </c>
      <c r="Q2159" s="386">
        <v>1724.47</v>
      </c>
      <c r="R2159" s="379" t="s">
        <v>73</v>
      </c>
      <c r="S2159" s="388" t="s">
        <v>74</v>
      </c>
      <c r="T2159" s="388">
        <v>31</v>
      </c>
      <c r="U2159" s="389" t="s">
        <v>164</v>
      </c>
      <c r="V2159" s="433"/>
      <c r="W2159" s="379"/>
      <c r="X2159" s="386">
        <v>1724.47</v>
      </c>
      <c r="Y2159" s="386"/>
      <c r="Z2159" s="379"/>
      <c r="AA2159" s="379"/>
      <c r="AB2159" s="379"/>
      <c r="AC2159" s="379"/>
      <c r="AD2159" s="379"/>
      <c r="AE2159" s="379"/>
      <c r="AF2159" s="379"/>
      <c r="AG2159" s="379"/>
      <c r="AH2159" s="379"/>
      <c r="AI2159" s="394"/>
      <c r="AJ2159" s="416">
        <v>1724.47</v>
      </c>
      <c r="AK2159" s="379"/>
      <c r="AL2159" s="379"/>
      <c r="AM2159" s="379"/>
      <c r="AN2159" s="379"/>
      <c r="AO2159" s="379"/>
      <c r="AP2159" s="379"/>
      <c r="AQ2159" s="379"/>
      <c r="AR2159" s="379"/>
      <c r="AS2159" s="379"/>
      <c r="AT2159" s="379"/>
      <c r="AU2159" s="379"/>
      <c r="AV2159" s="379"/>
      <c r="AW2159" s="379"/>
      <c r="AX2159" s="379"/>
      <c r="AY2159" s="379"/>
      <c r="AZ2159" s="379"/>
      <c r="BA2159" s="379"/>
      <c r="BB2159" s="379"/>
      <c r="BC2159" s="379"/>
      <c r="BD2159" s="379"/>
      <c r="BE2159" s="379"/>
      <c r="BF2159" s="379"/>
      <c r="BG2159" s="379"/>
      <c r="BH2159" s="379"/>
      <c r="BI2159" s="379"/>
      <c r="BJ2159" s="379"/>
      <c r="BK2159" s="379"/>
      <c r="BL2159" s="379"/>
      <c r="BM2159" s="379"/>
      <c r="BN2159" s="379"/>
      <c r="BO2159" s="379"/>
      <c r="BP2159" s="379"/>
      <c r="BQ2159" s="379"/>
      <c r="BR2159" s="379"/>
      <c r="BS2159" s="379"/>
      <c r="BT2159" s="379"/>
      <c r="BU2159" s="379"/>
      <c r="BV2159" s="379"/>
      <c r="BW2159" s="379"/>
      <c r="BX2159" s="379"/>
      <c r="BY2159" s="379"/>
    </row>
    <row r="2160" spans="1:77" s="379" customFormat="1" ht="11.25" customHeight="1">
      <c r="B2160" s="380" t="s">
        <v>291</v>
      </c>
      <c r="C2160" s="381"/>
      <c r="D2160" s="381"/>
      <c r="E2160" s="382" t="s">
        <v>1631</v>
      </c>
      <c r="F2160" s="379" t="s">
        <v>136</v>
      </c>
      <c r="G2160" s="383">
        <v>4150</v>
      </c>
      <c r="H2160" s="379" t="s">
        <v>814</v>
      </c>
      <c r="I2160" s="379" t="s">
        <v>156</v>
      </c>
      <c r="J2160" s="385">
        <v>28010.560000000001</v>
      </c>
      <c r="K2160" s="384"/>
      <c r="L2160" s="385">
        <v>21.68</v>
      </c>
      <c r="M2160" s="385">
        <v>21.68</v>
      </c>
      <c r="N2160" s="386"/>
      <c r="O2160" s="387">
        <v>0.2</v>
      </c>
      <c r="P2160" s="387">
        <v>0.1</v>
      </c>
      <c r="Q2160" s="386">
        <v>7823.2</v>
      </c>
      <c r="R2160" s="379" t="s">
        <v>73</v>
      </c>
      <c r="S2160" s="388" t="s">
        <v>74</v>
      </c>
      <c r="T2160" s="388">
        <v>31</v>
      </c>
      <c r="U2160" s="389" t="s">
        <v>164</v>
      </c>
      <c r="V2160" s="433"/>
      <c r="X2160" s="386">
        <v>7823.2</v>
      </c>
      <c r="Y2160" s="386"/>
      <c r="AI2160" s="394"/>
      <c r="AJ2160" s="416">
        <v>7823.2</v>
      </c>
    </row>
    <row r="2161" spans="1:77" s="205" customFormat="1" ht="11.25" customHeight="1">
      <c r="B2161" s="206" t="s">
        <v>291</v>
      </c>
      <c r="C2161" s="207"/>
      <c r="D2161" s="207"/>
      <c r="E2161" s="208" t="s">
        <v>1631</v>
      </c>
      <c r="F2161" s="205" t="s">
        <v>136</v>
      </c>
      <c r="G2161" s="231">
        <v>4150</v>
      </c>
      <c r="H2161" s="205" t="s">
        <v>137</v>
      </c>
      <c r="I2161" s="205" t="s">
        <v>156</v>
      </c>
      <c r="J2161" s="210">
        <v>10621.26</v>
      </c>
      <c r="K2161" s="219"/>
      <c r="L2161" s="210">
        <v>11.57</v>
      </c>
      <c r="M2161" s="210">
        <v>11.57</v>
      </c>
      <c r="N2161" s="213"/>
      <c r="O2161" s="212">
        <v>0.2</v>
      </c>
      <c r="P2161" s="212">
        <v>0.1</v>
      </c>
      <c r="Q2161" s="213">
        <v>720.8</v>
      </c>
      <c r="R2161" s="205" t="s">
        <v>73</v>
      </c>
      <c r="S2161" s="214" t="s">
        <v>74</v>
      </c>
      <c r="T2161" s="214">
        <v>31</v>
      </c>
      <c r="U2161" s="215" t="s">
        <v>164</v>
      </c>
      <c r="V2161" s="438"/>
      <c r="X2161" s="213">
        <v>720.8</v>
      </c>
      <c r="Y2161" s="213"/>
      <c r="AF2161" s="230">
        <f>X2161</f>
        <v>720.8</v>
      </c>
      <c r="AI2161" s="218"/>
      <c r="AJ2161" s="216"/>
    </row>
    <row r="2162" spans="1:77" s="205" customFormat="1" ht="11.25" customHeight="1">
      <c r="B2162" s="206" t="s">
        <v>291</v>
      </c>
      <c r="C2162" s="207"/>
      <c r="D2162" s="207"/>
      <c r="E2162" s="208" t="s">
        <v>1631</v>
      </c>
      <c r="F2162" s="205" t="s">
        <v>136</v>
      </c>
      <c r="G2162" s="209">
        <v>4150</v>
      </c>
      <c r="H2162" s="205" t="s">
        <v>138</v>
      </c>
      <c r="I2162" s="205" t="s">
        <v>156</v>
      </c>
      <c r="J2162" s="210">
        <v>51888.5</v>
      </c>
      <c r="K2162" s="219"/>
      <c r="L2162" s="210">
        <v>39.25</v>
      </c>
      <c r="M2162" s="210">
        <v>39.25</v>
      </c>
      <c r="N2162" s="213"/>
      <c r="O2162" s="212">
        <v>0.2</v>
      </c>
      <c r="P2162" s="212">
        <v>0.1</v>
      </c>
      <c r="Q2162" s="213">
        <v>6875.8</v>
      </c>
      <c r="R2162" s="205" t="s">
        <v>73</v>
      </c>
      <c r="S2162" s="214" t="s">
        <v>74</v>
      </c>
      <c r="T2162" s="214">
        <v>31</v>
      </c>
      <c r="U2162" s="215" t="s">
        <v>164</v>
      </c>
      <c r="V2162" s="438"/>
      <c r="X2162" s="213">
        <v>6875.8</v>
      </c>
      <c r="Y2162" s="213"/>
      <c r="AF2162" s="230">
        <f>X2162</f>
        <v>6875.8</v>
      </c>
      <c r="AI2162" s="218"/>
      <c r="AJ2162" s="216"/>
    </row>
    <row r="2163" spans="1:77" s="261" customFormat="1" ht="11.25" customHeight="1">
      <c r="B2163" s="258" t="s">
        <v>291</v>
      </c>
      <c r="C2163" s="259">
        <v>44714</v>
      </c>
      <c r="D2163" s="259">
        <v>44716</v>
      </c>
      <c r="E2163" s="260" t="s">
        <v>1632</v>
      </c>
      <c r="F2163" s="261" t="s">
        <v>3826</v>
      </c>
      <c r="G2163" s="262">
        <v>3630</v>
      </c>
      <c r="H2163" s="261" t="s">
        <v>27</v>
      </c>
      <c r="I2163" s="261" t="s">
        <v>33</v>
      </c>
      <c r="J2163" s="263">
        <v>13991.25</v>
      </c>
      <c r="K2163" s="264"/>
      <c r="L2163" s="263">
        <v>12.3</v>
      </c>
      <c r="M2163" s="263">
        <v>12.3</v>
      </c>
      <c r="N2163" s="265"/>
      <c r="O2163" s="266">
        <v>0.15</v>
      </c>
      <c r="P2163" s="266"/>
      <c r="Q2163" s="265">
        <v>2550.71</v>
      </c>
      <c r="R2163" s="261" t="s">
        <v>35</v>
      </c>
      <c r="S2163" s="267" t="s">
        <v>41</v>
      </c>
      <c r="T2163" s="267">
        <v>16</v>
      </c>
      <c r="U2163" s="268" t="s">
        <v>164</v>
      </c>
      <c r="V2163" s="427"/>
      <c r="X2163" s="265">
        <v>2550.71</v>
      </c>
      <c r="Y2163" s="265"/>
      <c r="AG2163" s="261">
        <f>X2163</f>
        <v>2550.71</v>
      </c>
      <c r="AJ2163" s="642"/>
    </row>
    <row r="2164" spans="1:77" s="205" customFormat="1" ht="11.25" customHeight="1">
      <c r="A2164" s="379"/>
      <c r="B2164" s="380" t="s">
        <v>290</v>
      </c>
      <c r="C2164" s="381"/>
      <c r="D2164" s="381"/>
      <c r="E2164" s="382" t="s">
        <v>1634</v>
      </c>
      <c r="F2164" s="379" t="s">
        <v>1635</v>
      </c>
      <c r="G2164" s="383" t="s">
        <v>1636</v>
      </c>
      <c r="H2164" s="379" t="s">
        <v>910</v>
      </c>
      <c r="I2164" s="379" t="s">
        <v>156</v>
      </c>
      <c r="J2164" s="385">
        <v>232344</v>
      </c>
      <c r="K2164" s="384"/>
      <c r="L2164" s="385">
        <v>82.98</v>
      </c>
      <c r="M2164" s="385">
        <v>82.98</v>
      </c>
      <c r="N2164" s="386"/>
      <c r="O2164" s="387">
        <v>0.3</v>
      </c>
      <c r="P2164" s="387">
        <v>0.05</v>
      </c>
      <c r="Q2164" s="386">
        <v>24962.6</v>
      </c>
      <c r="R2164" s="379" t="s">
        <v>73</v>
      </c>
      <c r="S2164" s="388" t="s">
        <v>74</v>
      </c>
      <c r="T2164" s="388">
        <v>31</v>
      </c>
      <c r="U2164" s="389" t="s">
        <v>164</v>
      </c>
      <c r="V2164" s="433"/>
      <c r="W2164" s="379"/>
      <c r="X2164" s="386">
        <v>24962.6</v>
      </c>
      <c r="Y2164" s="386"/>
      <c r="Z2164" s="379"/>
      <c r="AA2164" s="379"/>
      <c r="AB2164" s="379"/>
      <c r="AC2164" s="379"/>
      <c r="AD2164" s="379"/>
      <c r="AE2164" s="379"/>
      <c r="AF2164" s="379"/>
      <c r="AG2164" s="379"/>
      <c r="AH2164" s="379"/>
      <c r="AI2164" s="394"/>
      <c r="AJ2164" s="416">
        <v>24962.6</v>
      </c>
      <c r="AK2164" s="379"/>
      <c r="AL2164" s="379"/>
      <c r="AM2164" s="379"/>
      <c r="AN2164" s="379"/>
      <c r="AO2164" s="379"/>
      <c r="AP2164" s="379"/>
      <c r="AQ2164" s="379"/>
      <c r="AR2164" s="379"/>
      <c r="AS2164" s="379"/>
      <c r="AT2164" s="379"/>
      <c r="AU2164" s="379"/>
      <c r="AV2164" s="379"/>
      <c r="AW2164" s="379"/>
      <c r="AX2164" s="379"/>
      <c r="AY2164" s="379"/>
      <c r="AZ2164" s="379"/>
      <c r="BA2164" s="379"/>
      <c r="BB2164" s="379"/>
      <c r="BC2164" s="379"/>
      <c r="BD2164" s="379"/>
      <c r="BE2164" s="379"/>
      <c r="BF2164" s="379"/>
      <c r="BG2164" s="379"/>
      <c r="BH2164" s="379"/>
      <c r="BI2164" s="379"/>
      <c r="BJ2164" s="379"/>
      <c r="BK2164" s="379"/>
      <c r="BL2164" s="379"/>
      <c r="BM2164" s="379"/>
      <c r="BN2164" s="379"/>
      <c r="BO2164" s="379"/>
      <c r="BP2164" s="379"/>
      <c r="BQ2164" s="379"/>
      <c r="BR2164" s="379"/>
      <c r="BS2164" s="379"/>
      <c r="BT2164" s="379"/>
      <c r="BU2164" s="379"/>
      <c r="BV2164" s="379"/>
      <c r="BW2164" s="379"/>
      <c r="BX2164" s="379"/>
      <c r="BY2164" s="379"/>
    </row>
    <row r="2165" spans="1:77" s="205" customFormat="1" ht="11.25" customHeight="1">
      <c r="B2165" s="206" t="s">
        <v>290</v>
      </c>
      <c r="C2165" s="207" t="s">
        <v>1633</v>
      </c>
      <c r="D2165" s="207">
        <v>44716</v>
      </c>
      <c r="E2165" s="208" t="s">
        <v>1634</v>
      </c>
      <c r="F2165" s="205" t="s">
        <v>1635</v>
      </c>
      <c r="G2165" s="209" t="s">
        <v>1636</v>
      </c>
      <c r="H2165" s="205" t="s">
        <v>99</v>
      </c>
      <c r="I2165" s="205" t="s">
        <v>156</v>
      </c>
      <c r="J2165" s="210">
        <v>15820</v>
      </c>
      <c r="K2165" s="219"/>
      <c r="L2165" s="210">
        <v>11.3</v>
      </c>
      <c r="M2165" s="210">
        <v>11.3</v>
      </c>
      <c r="N2165" s="213"/>
      <c r="O2165" s="212">
        <v>0.3</v>
      </c>
      <c r="P2165" s="212">
        <v>0.05</v>
      </c>
      <c r="Q2165" s="213">
        <v>1921</v>
      </c>
      <c r="R2165" s="205" t="s">
        <v>73</v>
      </c>
      <c r="S2165" s="214" t="s">
        <v>74</v>
      </c>
      <c r="T2165" s="214">
        <v>31</v>
      </c>
      <c r="U2165" s="215" t="s">
        <v>164</v>
      </c>
      <c r="V2165" s="438"/>
      <c r="X2165" s="213">
        <v>1921</v>
      </c>
      <c r="Y2165" s="213"/>
      <c r="AF2165" s="230">
        <f>X2165</f>
        <v>1921</v>
      </c>
      <c r="AJ2165" s="216"/>
    </row>
    <row r="2166" spans="1:77" s="205" customFormat="1" ht="11.25" customHeight="1">
      <c r="B2166" s="206" t="s">
        <v>290</v>
      </c>
      <c r="C2166" s="207"/>
      <c r="D2166" s="207"/>
      <c r="E2166" s="208" t="s">
        <v>1634</v>
      </c>
      <c r="F2166" s="205" t="s">
        <v>1635</v>
      </c>
      <c r="G2166" s="209" t="s">
        <v>1636</v>
      </c>
      <c r="H2166" s="205" t="s">
        <v>140</v>
      </c>
      <c r="I2166" s="205" t="s">
        <v>156</v>
      </c>
      <c r="J2166" s="210">
        <v>9055.2000000000007</v>
      </c>
      <c r="K2166" s="219"/>
      <c r="L2166" s="210">
        <v>5.39</v>
      </c>
      <c r="M2166" s="210">
        <v>5.39</v>
      </c>
      <c r="N2166" s="213"/>
      <c r="O2166" s="212">
        <v>0.3</v>
      </c>
      <c r="P2166" s="212">
        <v>0.05</v>
      </c>
      <c r="Q2166" s="213">
        <v>1433.74</v>
      </c>
      <c r="R2166" s="205" t="s">
        <v>73</v>
      </c>
      <c r="S2166" s="214" t="s">
        <v>74</v>
      </c>
      <c r="T2166" s="214">
        <v>32</v>
      </c>
      <c r="U2166" s="215" t="s">
        <v>164</v>
      </c>
      <c r="V2166" s="438"/>
      <c r="X2166" s="213">
        <v>1433.74</v>
      </c>
      <c r="Y2166" s="213"/>
      <c r="AF2166" s="230">
        <f>X2166</f>
        <v>1433.74</v>
      </c>
      <c r="AI2166" s="218"/>
      <c r="AJ2166" s="216"/>
    </row>
    <row r="2167" spans="1:77" s="205" customFormat="1" ht="11.25" customHeight="1">
      <c r="B2167" s="206" t="s">
        <v>290</v>
      </c>
      <c r="C2167" s="207"/>
      <c r="D2167" s="207"/>
      <c r="E2167" s="208" t="s">
        <v>1634</v>
      </c>
      <c r="F2167" s="205" t="s">
        <v>1635</v>
      </c>
      <c r="G2167" s="209" t="s">
        <v>1636</v>
      </c>
      <c r="H2167" s="205" t="s">
        <v>27</v>
      </c>
      <c r="I2167" s="205" t="s">
        <v>156</v>
      </c>
      <c r="J2167" s="210">
        <v>29152</v>
      </c>
      <c r="K2167" s="219"/>
      <c r="L2167" s="210">
        <v>18.22</v>
      </c>
      <c r="M2167" s="210">
        <v>18.22</v>
      </c>
      <c r="N2167" s="213"/>
      <c r="O2167" s="212">
        <v>0.3</v>
      </c>
      <c r="P2167" s="212">
        <v>0.05</v>
      </c>
      <c r="Q2167" s="213">
        <v>8162.56</v>
      </c>
      <c r="R2167" s="205" t="s">
        <v>73</v>
      </c>
      <c r="S2167" s="214" t="s">
        <v>74</v>
      </c>
      <c r="T2167" s="214">
        <v>31</v>
      </c>
      <c r="U2167" s="215" t="s">
        <v>164</v>
      </c>
      <c r="V2167" s="438"/>
      <c r="X2167" s="213">
        <v>8162.56</v>
      </c>
      <c r="Y2167" s="213"/>
      <c r="AF2167" s="230">
        <f>X2167</f>
        <v>8162.56</v>
      </c>
      <c r="AI2167" s="218"/>
      <c r="AJ2167" s="216"/>
    </row>
    <row r="2168" spans="1:77" s="379" customFormat="1" ht="11.25" customHeight="1">
      <c r="B2168" s="380" t="s">
        <v>291</v>
      </c>
      <c r="C2168" s="381">
        <v>44716</v>
      </c>
      <c r="D2168" s="381">
        <v>44716</v>
      </c>
      <c r="E2168" s="382" t="s">
        <v>1637</v>
      </c>
      <c r="F2168" s="379" t="s">
        <v>439</v>
      </c>
      <c r="G2168" s="383">
        <v>3851</v>
      </c>
      <c r="H2168" s="379" t="s">
        <v>99</v>
      </c>
      <c r="I2168" s="379" t="s">
        <v>156</v>
      </c>
      <c r="J2168" s="385">
        <v>45025.2</v>
      </c>
      <c r="K2168" s="384"/>
      <c r="L2168" s="385">
        <v>45.48</v>
      </c>
      <c r="M2168" s="385">
        <v>7.31</v>
      </c>
      <c r="N2168" s="386"/>
      <c r="O2168" s="387">
        <v>0.15</v>
      </c>
      <c r="P2168" s="387">
        <v>0.1</v>
      </c>
      <c r="Q2168" s="386">
        <v>0</v>
      </c>
      <c r="R2168" s="379" t="s">
        <v>35</v>
      </c>
      <c r="S2168" s="388" t="s">
        <v>41</v>
      </c>
      <c r="T2168" s="388">
        <v>16</v>
      </c>
      <c r="U2168" s="389" t="s">
        <v>164</v>
      </c>
      <c r="V2168" s="433"/>
      <c r="X2168" s="386">
        <v>0</v>
      </c>
      <c r="Y2168" s="386"/>
      <c r="AI2168" s="394"/>
      <c r="AJ2168" s="390">
        <v>0</v>
      </c>
    </row>
    <row r="2169" spans="1:77" s="261" customFormat="1" ht="11.25" customHeight="1">
      <c r="B2169" s="258" t="s">
        <v>291</v>
      </c>
      <c r="C2169" s="259">
        <v>44715</v>
      </c>
      <c r="D2169" s="259">
        <v>44716</v>
      </c>
      <c r="E2169" s="260" t="s">
        <v>1638</v>
      </c>
      <c r="F2169" s="261" t="s">
        <v>507</v>
      </c>
      <c r="G2169" s="262">
        <v>3578</v>
      </c>
      <c r="H2169" s="261" t="s">
        <v>310</v>
      </c>
      <c r="I2169" s="261" t="s">
        <v>33</v>
      </c>
      <c r="J2169" s="263">
        <v>14710.29</v>
      </c>
      <c r="K2169" s="264"/>
      <c r="L2169" s="263">
        <v>14.99</v>
      </c>
      <c r="M2169" s="263">
        <v>14.99</v>
      </c>
      <c r="N2169" s="265">
        <f>J2169*0.4</f>
        <v>5884.1160000000009</v>
      </c>
      <c r="O2169" s="266">
        <v>0.15</v>
      </c>
      <c r="P2169" s="266"/>
      <c r="Q2169" s="265">
        <v>3640.07</v>
      </c>
      <c r="R2169" s="261" t="s">
        <v>42</v>
      </c>
      <c r="S2169" s="267" t="s">
        <v>41</v>
      </c>
      <c r="T2169" s="267">
        <v>16</v>
      </c>
      <c r="U2169" s="268" t="s">
        <v>164</v>
      </c>
      <c r="V2169" s="427"/>
      <c r="X2169" s="265">
        <v>3640.07</v>
      </c>
      <c r="Y2169" s="265"/>
      <c r="AG2169" s="261">
        <f>X2169</f>
        <v>3640.07</v>
      </c>
      <c r="AI2169" s="273"/>
      <c r="AJ2169" s="642"/>
    </row>
    <row r="2170" spans="1:77" s="618" customFormat="1" ht="11.25" customHeight="1">
      <c r="B2170" s="619" t="s">
        <v>291</v>
      </c>
      <c r="C2170" s="620">
        <v>44716</v>
      </c>
      <c r="D2170" s="620">
        <v>44716</v>
      </c>
      <c r="E2170" s="621" t="s">
        <v>1639</v>
      </c>
      <c r="F2170" s="618" t="s">
        <v>1640</v>
      </c>
      <c r="G2170" s="634">
        <v>4379</v>
      </c>
      <c r="H2170" s="618" t="s">
        <v>140</v>
      </c>
      <c r="I2170" s="618" t="s">
        <v>33</v>
      </c>
      <c r="J2170" s="635">
        <v>23786.18</v>
      </c>
      <c r="K2170" s="626"/>
      <c r="L2170" s="635">
        <v>16.079999999999998</v>
      </c>
      <c r="M2170" s="635">
        <v>16.079999999999998</v>
      </c>
      <c r="N2170" s="627">
        <v>2378.6170000000002</v>
      </c>
      <c r="O2170" s="628">
        <v>0.15</v>
      </c>
      <c r="P2170" s="628"/>
      <c r="Q2170" s="627">
        <v>0</v>
      </c>
      <c r="R2170" s="618" t="s">
        <v>69</v>
      </c>
      <c r="S2170" s="629" t="s">
        <v>41</v>
      </c>
      <c r="T2170" s="629">
        <v>79</v>
      </c>
      <c r="U2170" s="631" t="s">
        <v>164</v>
      </c>
      <c r="V2170" s="632"/>
      <c r="X2170" s="627">
        <v>0</v>
      </c>
      <c r="Y2170" s="627"/>
      <c r="AI2170" s="624"/>
      <c r="AJ2170" s="633"/>
      <c r="AO2170" s="618">
        <v>0</v>
      </c>
    </row>
    <row r="2171" spans="1:77" s="205" customFormat="1" ht="11.25" customHeight="1">
      <c r="B2171" s="206" t="s">
        <v>291</v>
      </c>
      <c r="C2171" s="207"/>
      <c r="D2171" s="207"/>
      <c r="E2171" s="208" t="s">
        <v>1639</v>
      </c>
      <c r="F2171" s="205" t="s">
        <v>1640</v>
      </c>
      <c r="G2171" s="209">
        <v>4379</v>
      </c>
      <c r="H2171" s="205" t="s">
        <v>183</v>
      </c>
      <c r="I2171" s="205" t="s">
        <v>33</v>
      </c>
      <c r="J2171" s="210">
        <v>19926.439999999999</v>
      </c>
      <c r="K2171" s="219"/>
      <c r="L2171" s="210">
        <v>19</v>
      </c>
      <c r="M2171" s="210">
        <v>19</v>
      </c>
      <c r="N2171" s="213">
        <v>2988.9659999999999</v>
      </c>
      <c r="O2171" s="212">
        <v>0.15</v>
      </c>
      <c r="P2171" s="212"/>
      <c r="Q2171" s="213">
        <v>0</v>
      </c>
      <c r="R2171" s="205" t="s">
        <v>69</v>
      </c>
      <c r="S2171" s="214" t="s">
        <v>41</v>
      </c>
      <c r="T2171" s="214">
        <v>79</v>
      </c>
      <c r="U2171" s="215" t="s">
        <v>164</v>
      </c>
      <c r="V2171" s="438"/>
      <c r="X2171" s="213">
        <v>0</v>
      </c>
      <c r="Y2171" s="213"/>
      <c r="AF2171" s="230">
        <f>X2171</f>
        <v>0</v>
      </c>
      <c r="AI2171" s="218"/>
      <c r="AJ2171" s="216"/>
    </row>
    <row r="2172" spans="1:77" s="205" customFormat="1" ht="11.25" customHeight="1">
      <c r="B2172" s="206" t="s">
        <v>291</v>
      </c>
      <c r="C2172" s="207"/>
      <c r="D2172" s="207"/>
      <c r="E2172" s="208" t="s">
        <v>1639</v>
      </c>
      <c r="F2172" s="205" t="s">
        <v>1640</v>
      </c>
      <c r="G2172" s="209">
        <v>4379</v>
      </c>
      <c r="H2172" s="205" t="s">
        <v>27</v>
      </c>
      <c r="I2172" s="205" t="s">
        <v>33</v>
      </c>
      <c r="J2172" s="210">
        <v>30333.8</v>
      </c>
      <c r="K2172" s="219"/>
      <c r="L2172" s="210">
        <v>22.85</v>
      </c>
      <c r="M2172" s="210">
        <v>22.85</v>
      </c>
      <c r="N2172" s="213">
        <v>0</v>
      </c>
      <c r="O2172" s="212">
        <v>0.15</v>
      </c>
      <c r="P2172" s="212"/>
      <c r="Q2172" s="213">
        <v>0</v>
      </c>
      <c r="R2172" s="205" t="s">
        <v>69</v>
      </c>
      <c r="S2172" s="214" t="s">
        <v>41</v>
      </c>
      <c r="T2172" s="214">
        <v>79</v>
      </c>
      <c r="U2172" s="215" t="s">
        <v>164</v>
      </c>
      <c r="V2172" s="438"/>
      <c r="X2172" s="213">
        <v>0</v>
      </c>
      <c r="Y2172" s="213"/>
      <c r="AF2172" s="230">
        <f>X2172</f>
        <v>0</v>
      </c>
      <c r="AI2172" s="218"/>
      <c r="AJ2172" s="216"/>
    </row>
    <row r="2173" spans="1:77" s="473" customFormat="1" ht="11.25" customHeight="1">
      <c r="B2173" s="486" t="s">
        <v>291</v>
      </c>
      <c r="C2173" s="487">
        <v>44708</v>
      </c>
      <c r="D2173" s="487">
        <v>44715</v>
      </c>
      <c r="E2173" s="488" t="s">
        <v>1641</v>
      </c>
      <c r="F2173" s="473" t="s">
        <v>753</v>
      </c>
      <c r="G2173" s="489">
        <v>4361</v>
      </c>
      <c r="H2173" s="473" t="s">
        <v>140</v>
      </c>
      <c r="I2173" s="473" t="s">
        <v>33</v>
      </c>
      <c r="J2173" s="490">
        <v>14772.12</v>
      </c>
      <c r="K2173" s="491"/>
      <c r="L2173" s="490">
        <v>12.4</v>
      </c>
      <c r="M2173" s="490">
        <v>12.4</v>
      </c>
      <c r="N2173" s="492">
        <v>4392.3230999999996</v>
      </c>
      <c r="O2173" s="493">
        <v>0.25</v>
      </c>
      <c r="P2173" s="493"/>
      <c r="Q2173" s="492">
        <v>1554.07</v>
      </c>
      <c r="R2173" s="473" t="s">
        <v>42</v>
      </c>
      <c r="S2173" s="481" t="s">
        <v>41</v>
      </c>
      <c r="T2173" s="481">
        <v>16</v>
      </c>
      <c r="U2173" s="494" t="s">
        <v>164</v>
      </c>
      <c r="V2173" s="495"/>
      <c r="W2173" s="473" t="s">
        <v>3938</v>
      </c>
      <c r="X2173" s="492">
        <v>1554.07</v>
      </c>
      <c r="Y2173" s="492"/>
      <c r="AI2173" s="472"/>
      <c r="AJ2173" s="485"/>
      <c r="AK2173" s="505">
        <v>1554.07</v>
      </c>
    </row>
    <row r="2174" spans="1:77" s="473" customFormat="1" ht="11.25" customHeight="1">
      <c r="B2174" s="486" t="s">
        <v>291</v>
      </c>
      <c r="C2174" s="487"/>
      <c r="D2174" s="487"/>
      <c r="E2174" s="488" t="s">
        <v>1641</v>
      </c>
      <c r="F2174" s="473" t="s">
        <v>753</v>
      </c>
      <c r="G2174" s="489">
        <v>4361</v>
      </c>
      <c r="H2174" s="473" t="s">
        <v>140</v>
      </c>
      <c r="I2174" s="473" t="s">
        <v>33</v>
      </c>
      <c r="J2174" s="490">
        <v>5956.5</v>
      </c>
      <c r="K2174" s="491"/>
      <c r="L2174" s="490">
        <v>5</v>
      </c>
      <c r="M2174" s="490">
        <v>5</v>
      </c>
      <c r="N2174" s="492">
        <v>1786.95</v>
      </c>
      <c r="O2174" s="493">
        <v>0.25</v>
      </c>
      <c r="P2174" s="493"/>
      <c r="Q2174" s="492">
        <v>0</v>
      </c>
      <c r="R2174" s="473" t="s">
        <v>42</v>
      </c>
      <c r="S2174" s="481" t="s">
        <v>41</v>
      </c>
      <c r="T2174" s="481">
        <v>17</v>
      </c>
      <c r="U2174" s="494" t="s">
        <v>164</v>
      </c>
      <c r="V2174" s="495"/>
      <c r="X2174" s="492">
        <v>0</v>
      </c>
      <c r="Y2174" s="492"/>
      <c r="AI2174" s="472"/>
      <c r="AJ2174" s="485"/>
      <c r="AK2174" s="473">
        <v>0</v>
      </c>
    </row>
    <row r="2175" spans="1:77" s="473" customFormat="1" ht="11.25" customHeight="1">
      <c r="B2175" s="486" t="s">
        <v>291</v>
      </c>
      <c r="C2175" s="487"/>
      <c r="D2175" s="487"/>
      <c r="E2175" s="488" t="s">
        <v>1641</v>
      </c>
      <c r="F2175" s="473" t="s">
        <v>753</v>
      </c>
      <c r="G2175" s="489">
        <v>4361</v>
      </c>
      <c r="H2175" s="473" t="s">
        <v>99</v>
      </c>
      <c r="I2175" s="473" t="s">
        <v>33</v>
      </c>
      <c r="J2175" s="490">
        <v>18328.05</v>
      </c>
      <c r="K2175" s="491"/>
      <c r="L2175" s="490">
        <v>16.899999999999999</v>
      </c>
      <c r="M2175" s="490">
        <v>16.899999999999999</v>
      </c>
      <c r="N2175" s="492">
        <v>6361.6769999999997</v>
      </c>
      <c r="O2175" s="493">
        <v>0.25</v>
      </c>
      <c r="P2175" s="493"/>
      <c r="Q2175" s="492">
        <v>881.16</v>
      </c>
      <c r="R2175" s="473" t="s">
        <v>42</v>
      </c>
      <c r="S2175" s="481" t="s">
        <v>41</v>
      </c>
      <c r="T2175" s="481">
        <v>16</v>
      </c>
      <c r="U2175" s="494" t="s">
        <v>164</v>
      </c>
      <c r="V2175" s="495"/>
      <c r="X2175" s="492">
        <v>881.16</v>
      </c>
      <c r="Y2175" s="492"/>
      <c r="AI2175" s="472"/>
      <c r="AJ2175" s="485"/>
      <c r="AK2175" s="505">
        <v>881.16</v>
      </c>
    </row>
    <row r="2176" spans="1:77" s="473" customFormat="1" ht="11.25" customHeight="1">
      <c r="B2176" s="486" t="s">
        <v>291</v>
      </c>
      <c r="C2176" s="487"/>
      <c r="D2176" s="487"/>
      <c r="E2176" s="488" t="s">
        <v>1641</v>
      </c>
      <c r="F2176" s="473" t="s">
        <v>753</v>
      </c>
      <c r="G2176" s="489">
        <v>4361</v>
      </c>
      <c r="H2176" s="473" t="s">
        <v>137</v>
      </c>
      <c r="I2176" s="473" t="s">
        <v>33</v>
      </c>
      <c r="J2176" s="490">
        <v>11278.5</v>
      </c>
      <c r="K2176" s="491"/>
      <c r="L2176" s="490">
        <v>10.3</v>
      </c>
      <c r="M2176" s="490">
        <v>10.3</v>
      </c>
      <c r="N2176" s="492">
        <v>5001.4125000000004</v>
      </c>
      <c r="O2176" s="493">
        <v>0.25</v>
      </c>
      <c r="P2176" s="493"/>
      <c r="Q2176" s="492">
        <v>2172.61</v>
      </c>
      <c r="R2176" s="473" t="s">
        <v>42</v>
      </c>
      <c r="S2176" s="481" t="s">
        <v>41</v>
      </c>
      <c r="T2176" s="481">
        <v>16</v>
      </c>
      <c r="U2176" s="494" t="s">
        <v>164</v>
      </c>
      <c r="V2176" s="495"/>
      <c r="X2176" s="492">
        <v>2172.61</v>
      </c>
      <c r="Y2176" s="492"/>
      <c r="AI2176" s="472"/>
      <c r="AJ2176" s="485"/>
      <c r="AK2176" s="505">
        <v>2172.61</v>
      </c>
    </row>
    <row r="2177" spans="1:77" s="205" customFormat="1" ht="11.25" customHeight="1">
      <c r="A2177" s="473"/>
      <c r="B2177" s="486" t="s">
        <v>291</v>
      </c>
      <c r="C2177" s="487"/>
      <c r="D2177" s="487"/>
      <c r="E2177" s="488" t="s">
        <v>1642</v>
      </c>
      <c r="F2177" s="473" t="s">
        <v>1708</v>
      </c>
      <c r="G2177" s="489" t="s">
        <v>1643</v>
      </c>
      <c r="H2177" s="473" t="s">
        <v>27</v>
      </c>
      <c r="I2177" s="473" t="s">
        <v>3143</v>
      </c>
      <c r="J2177" s="490">
        <v>15669.86</v>
      </c>
      <c r="K2177" s="491"/>
      <c r="L2177" s="490">
        <v>14.33</v>
      </c>
      <c r="M2177" s="490">
        <v>14.33</v>
      </c>
      <c r="N2177" s="492"/>
      <c r="O2177" s="493">
        <v>0.2</v>
      </c>
      <c r="P2177" s="493">
        <v>0.1</v>
      </c>
      <c r="Q2177" s="492">
        <v>0</v>
      </c>
      <c r="R2177" s="473" t="s">
        <v>251</v>
      </c>
      <c r="S2177" s="481" t="s">
        <v>74</v>
      </c>
      <c r="T2177" s="481">
        <v>47</v>
      </c>
      <c r="U2177" s="494" t="s">
        <v>164</v>
      </c>
      <c r="V2177" s="495"/>
      <c r="W2177" s="473"/>
      <c r="X2177" s="492">
        <v>0</v>
      </c>
      <c r="Y2177" s="492"/>
      <c r="Z2177" s="473"/>
      <c r="AA2177" s="473"/>
      <c r="AB2177" s="473"/>
      <c r="AC2177" s="473"/>
      <c r="AD2177" s="473"/>
      <c r="AE2177" s="473"/>
      <c r="AF2177" s="473"/>
      <c r="AG2177" s="473"/>
      <c r="AH2177" s="473"/>
      <c r="AI2177" s="472"/>
      <c r="AJ2177" s="485">
        <v>0</v>
      </c>
      <c r="AK2177" s="473"/>
      <c r="AL2177" s="473"/>
      <c r="AM2177" s="473"/>
      <c r="AN2177" s="473"/>
      <c r="AO2177" s="473"/>
      <c r="AP2177" s="473"/>
      <c r="AQ2177" s="473"/>
      <c r="AR2177" s="473"/>
      <c r="AS2177" s="473"/>
      <c r="AT2177" s="473"/>
      <c r="AU2177" s="473"/>
      <c r="AV2177" s="473"/>
      <c r="AW2177" s="473"/>
      <c r="AX2177" s="473"/>
      <c r="AY2177" s="473"/>
      <c r="AZ2177" s="473"/>
      <c r="BA2177" s="473"/>
      <c r="BB2177" s="473"/>
      <c r="BC2177" s="473"/>
      <c r="BD2177" s="473"/>
      <c r="BE2177" s="473"/>
      <c r="BF2177" s="473"/>
      <c r="BG2177" s="473"/>
      <c r="BH2177" s="473"/>
      <c r="BI2177" s="473"/>
      <c r="BJ2177" s="473"/>
      <c r="BK2177" s="473"/>
      <c r="BL2177" s="473"/>
      <c r="BM2177" s="473"/>
      <c r="BN2177" s="473"/>
      <c r="BO2177" s="473"/>
      <c r="BP2177" s="473"/>
      <c r="BQ2177" s="473"/>
      <c r="BR2177" s="473"/>
      <c r="BS2177" s="473"/>
      <c r="BT2177" s="473"/>
      <c r="BU2177" s="473"/>
      <c r="BV2177" s="473"/>
      <c r="BW2177" s="473"/>
      <c r="BX2177" s="473"/>
      <c r="BY2177" s="473"/>
    </row>
    <row r="2178" spans="1:77" s="647" customFormat="1" ht="11.25" customHeight="1">
      <c r="B2178" s="661" t="s">
        <v>291</v>
      </c>
      <c r="C2178" s="648"/>
      <c r="D2178" s="648"/>
      <c r="E2178" s="649" t="s">
        <v>1642</v>
      </c>
      <c r="F2178" s="647" t="s">
        <v>1708</v>
      </c>
      <c r="G2178" s="650" t="s">
        <v>1643</v>
      </c>
      <c r="H2178" s="647" t="s">
        <v>138</v>
      </c>
      <c r="I2178" s="647" t="s">
        <v>3143</v>
      </c>
      <c r="J2178" s="651">
        <v>14471.6</v>
      </c>
      <c r="K2178" s="676"/>
      <c r="L2178" s="651">
        <v>11.96</v>
      </c>
      <c r="M2178" s="651">
        <v>11.96</v>
      </c>
      <c r="N2178" s="652">
        <v>4196.7640000000001</v>
      </c>
      <c r="O2178" s="653">
        <v>0.2</v>
      </c>
      <c r="P2178" s="653">
        <v>0.1</v>
      </c>
      <c r="Q2178" s="652">
        <v>2183.9</v>
      </c>
      <c r="R2178" s="647" t="s">
        <v>251</v>
      </c>
      <c r="S2178" s="654" t="s">
        <v>74</v>
      </c>
      <c r="T2178" s="654">
        <v>47</v>
      </c>
      <c r="U2178" s="655" t="s">
        <v>164</v>
      </c>
      <c r="V2178" s="656"/>
      <c r="X2178" s="652">
        <v>2183.9</v>
      </c>
      <c r="Y2178" s="652"/>
      <c r="AI2178" s="660">
        <f>X2178</f>
        <v>2183.9</v>
      </c>
      <c r="AJ2178" s="657"/>
      <c r="AK2178" s="658"/>
      <c r="AL2178" s="660"/>
      <c r="AM2178" s="660"/>
      <c r="AN2178" s="660"/>
      <c r="AO2178" s="660"/>
      <c r="AP2178" s="660"/>
      <c r="AQ2178" s="660"/>
      <c r="AR2178" s="660"/>
      <c r="AS2178" s="660"/>
      <c r="AT2178" s="660"/>
      <c r="AU2178" s="660"/>
      <c r="AV2178" s="660"/>
      <c r="AW2178" s="660"/>
      <c r="AX2178" s="660"/>
      <c r="AY2178" s="660"/>
      <c r="AZ2178" s="660"/>
      <c r="BA2178" s="660"/>
      <c r="BB2178" s="660"/>
      <c r="BC2178" s="660"/>
      <c r="BD2178" s="660"/>
      <c r="BE2178" s="660"/>
      <c r="BF2178" s="660"/>
      <c r="BG2178" s="660"/>
      <c r="BH2178" s="660"/>
      <c r="BI2178" s="660"/>
      <c r="BJ2178" s="660"/>
      <c r="BK2178" s="660"/>
      <c r="BL2178" s="660"/>
      <c r="BM2178" s="660"/>
      <c r="BN2178" s="660"/>
      <c r="BO2178" s="660"/>
      <c r="BP2178" s="660"/>
      <c r="BQ2178" s="660"/>
      <c r="BR2178" s="660"/>
      <c r="BS2178" s="660"/>
      <c r="BT2178" s="660"/>
      <c r="BU2178" s="660"/>
      <c r="BV2178" s="660"/>
      <c r="BW2178" s="660"/>
      <c r="BX2178" s="660"/>
      <c r="BY2178" s="660"/>
    </row>
    <row r="2179" spans="1:77" s="647" customFormat="1" ht="11.25" customHeight="1">
      <c r="B2179" s="661" t="s">
        <v>291</v>
      </c>
      <c r="C2179" s="648"/>
      <c r="D2179" s="648"/>
      <c r="E2179" s="649" t="s">
        <v>1642</v>
      </c>
      <c r="F2179" s="647" t="s">
        <v>1708</v>
      </c>
      <c r="G2179" s="650" t="s">
        <v>1643</v>
      </c>
      <c r="H2179" s="647" t="s">
        <v>183</v>
      </c>
      <c r="I2179" s="647" t="s">
        <v>3143</v>
      </c>
      <c r="J2179" s="651">
        <v>11252.8</v>
      </c>
      <c r="K2179" s="676"/>
      <c r="L2179" s="651">
        <v>10.82</v>
      </c>
      <c r="M2179" s="651">
        <v>10.82</v>
      </c>
      <c r="N2179" s="652">
        <v>3150.7840000000001</v>
      </c>
      <c r="O2179" s="653">
        <v>0.2</v>
      </c>
      <c r="P2179" s="653">
        <v>0.1</v>
      </c>
      <c r="Q2179" s="652">
        <v>1428.24</v>
      </c>
      <c r="R2179" s="647" t="s">
        <v>251</v>
      </c>
      <c r="S2179" s="654" t="s">
        <v>74</v>
      </c>
      <c r="T2179" s="654">
        <v>47</v>
      </c>
      <c r="U2179" s="655" t="s">
        <v>164</v>
      </c>
      <c r="V2179" s="656"/>
      <c r="X2179" s="652">
        <v>1428.24</v>
      </c>
      <c r="Y2179" s="652"/>
      <c r="AI2179" s="660">
        <f>X2179</f>
        <v>1428.24</v>
      </c>
      <c r="AJ2179" s="657"/>
      <c r="AK2179" s="658"/>
      <c r="AL2179" s="660"/>
      <c r="AM2179" s="660"/>
      <c r="AN2179" s="660"/>
      <c r="AO2179" s="660"/>
      <c r="AP2179" s="660"/>
      <c r="AQ2179" s="660"/>
      <c r="AR2179" s="660"/>
      <c r="AS2179" s="660"/>
      <c r="AT2179" s="660"/>
      <c r="AU2179" s="660"/>
      <c r="AV2179" s="660"/>
      <c r="AW2179" s="660"/>
      <c r="AX2179" s="660"/>
      <c r="AY2179" s="660"/>
      <c r="AZ2179" s="660"/>
      <c r="BA2179" s="660"/>
      <c r="BB2179" s="660"/>
      <c r="BC2179" s="660"/>
      <c r="BD2179" s="660"/>
      <c r="BE2179" s="660"/>
      <c r="BF2179" s="660"/>
      <c r="BG2179" s="660"/>
      <c r="BH2179" s="660"/>
      <c r="BI2179" s="660"/>
      <c r="BJ2179" s="660"/>
      <c r="BK2179" s="660"/>
      <c r="BL2179" s="660"/>
      <c r="BM2179" s="660"/>
      <c r="BN2179" s="660"/>
      <c r="BO2179" s="660"/>
      <c r="BP2179" s="660"/>
      <c r="BQ2179" s="660"/>
      <c r="BR2179" s="660"/>
      <c r="BS2179" s="660"/>
      <c r="BT2179" s="660"/>
      <c r="BU2179" s="660"/>
      <c r="BV2179" s="660"/>
      <c r="BW2179" s="660"/>
      <c r="BX2179" s="660"/>
      <c r="BY2179" s="660"/>
    </row>
    <row r="2180" spans="1:77" s="205" customFormat="1" ht="11.25" customHeight="1">
      <c r="B2180" s="206" t="s">
        <v>291</v>
      </c>
      <c r="C2180" s="207">
        <v>44715</v>
      </c>
      <c r="D2180" s="207">
        <v>44718</v>
      </c>
      <c r="E2180" s="208" t="s">
        <v>1642</v>
      </c>
      <c r="F2180" s="205" t="s">
        <v>1708</v>
      </c>
      <c r="G2180" s="209" t="s">
        <v>1643</v>
      </c>
      <c r="H2180" s="205" t="s">
        <v>99</v>
      </c>
      <c r="I2180" s="205" t="s">
        <v>3143</v>
      </c>
      <c r="J2180" s="210">
        <v>20239.8</v>
      </c>
      <c r="K2180" s="219"/>
      <c r="L2180" s="210">
        <v>18.3</v>
      </c>
      <c r="M2180" s="210">
        <v>18.3</v>
      </c>
      <c r="N2180" s="213">
        <f>5667.144</f>
        <v>5667.1440000000002</v>
      </c>
      <c r="O2180" s="212">
        <v>0.2</v>
      </c>
      <c r="P2180" s="212">
        <v>0.1</v>
      </c>
      <c r="Q2180" s="213">
        <v>0</v>
      </c>
      <c r="R2180" s="205" t="s">
        <v>251</v>
      </c>
      <c r="S2180" s="214" t="s">
        <v>74</v>
      </c>
      <c r="T2180" s="214">
        <v>47</v>
      </c>
      <c r="U2180" s="215" t="s">
        <v>164</v>
      </c>
      <c r="V2180" s="438"/>
      <c r="X2180" s="213">
        <v>0</v>
      </c>
      <c r="Y2180" s="213"/>
      <c r="AF2180" s="230">
        <f>X2180</f>
        <v>0</v>
      </c>
      <c r="AI2180" s="218"/>
      <c r="AJ2180" s="216"/>
    </row>
    <row r="2181" spans="1:77" s="205" customFormat="1" ht="11.25" customHeight="1">
      <c r="B2181" s="206" t="s">
        <v>291</v>
      </c>
      <c r="C2181" s="207">
        <v>44715</v>
      </c>
      <c r="D2181" s="207">
        <v>44715</v>
      </c>
      <c r="E2181" s="208" t="s">
        <v>1644</v>
      </c>
      <c r="F2181" s="205" t="s">
        <v>1645</v>
      </c>
      <c r="G2181" s="209" t="s">
        <v>1646</v>
      </c>
      <c r="H2181" s="205" t="s">
        <v>866</v>
      </c>
      <c r="I2181" s="205" t="s">
        <v>33</v>
      </c>
      <c r="J2181" s="210">
        <v>168590.4</v>
      </c>
      <c r="K2181" s="219"/>
      <c r="L2181" s="210">
        <v>80</v>
      </c>
      <c r="M2181" s="210">
        <v>2</v>
      </c>
      <c r="N2181" s="213">
        <v>26233.72</v>
      </c>
      <c r="O2181" s="212">
        <v>0.2</v>
      </c>
      <c r="P2181" s="212"/>
      <c r="Q2181" s="213">
        <v>0</v>
      </c>
      <c r="R2181" s="205" t="s">
        <v>112</v>
      </c>
      <c r="S2181" s="214" t="s">
        <v>113</v>
      </c>
      <c r="T2181" s="214">
        <v>64</v>
      </c>
      <c r="U2181" s="215" t="s">
        <v>164</v>
      </c>
      <c r="V2181" s="438"/>
      <c r="W2181" s="205" t="s">
        <v>3079</v>
      </c>
      <c r="X2181" s="213">
        <v>0</v>
      </c>
      <c r="Y2181" s="213"/>
      <c r="AF2181" s="230">
        <f>X2181</f>
        <v>0</v>
      </c>
      <c r="AI2181" s="218"/>
      <c r="AJ2181" s="216"/>
    </row>
    <row r="2182" spans="1:77" s="6" customFormat="1" ht="11.25" customHeight="1">
      <c r="A2182" s="379"/>
      <c r="B2182" s="380" t="s">
        <v>291</v>
      </c>
      <c r="C2182" s="381"/>
      <c r="D2182" s="381"/>
      <c r="E2182" s="382" t="s">
        <v>1647</v>
      </c>
      <c r="F2182" s="379" t="s">
        <v>1411</v>
      </c>
      <c r="G2182" s="383">
        <v>3765</v>
      </c>
      <c r="H2182" s="379" t="s">
        <v>866</v>
      </c>
      <c r="I2182" s="379" t="s">
        <v>1648</v>
      </c>
      <c r="J2182" s="385">
        <v>11708.64</v>
      </c>
      <c r="K2182" s="384"/>
      <c r="L2182" s="385">
        <v>7.54</v>
      </c>
      <c r="M2182" s="385">
        <v>0.85</v>
      </c>
      <c r="N2182" s="386"/>
      <c r="O2182" s="387">
        <v>0.2</v>
      </c>
      <c r="P2182" s="387">
        <v>0.1</v>
      </c>
      <c r="Q2182" s="386">
        <v>0</v>
      </c>
      <c r="R2182" s="379" t="s">
        <v>128</v>
      </c>
      <c r="S2182" s="388" t="s">
        <v>41</v>
      </c>
      <c r="T2182" s="388">
        <v>16</v>
      </c>
      <c r="U2182" s="389" t="s">
        <v>164</v>
      </c>
      <c r="V2182" s="433"/>
      <c r="W2182" s="379"/>
      <c r="X2182" s="386">
        <v>0</v>
      </c>
      <c r="Y2182" s="386"/>
      <c r="Z2182" s="379"/>
      <c r="AA2182" s="379"/>
      <c r="AB2182" s="379"/>
      <c r="AC2182" s="379"/>
      <c r="AD2182" s="379"/>
      <c r="AE2182" s="379"/>
      <c r="AF2182" s="379"/>
      <c r="AG2182" s="379"/>
      <c r="AH2182" s="379"/>
      <c r="AI2182" s="394"/>
      <c r="AJ2182" s="390">
        <v>0</v>
      </c>
      <c r="AK2182" s="379"/>
      <c r="AL2182" s="379"/>
      <c r="AM2182" s="379"/>
      <c r="AN2182" s="379"/>
      <c r="AO2182" s="379"/>
      <c r="AP2182" s="379"/>
      <c r="AQ2182" s="379"/>
      <c r="AR2182" s="379"/>
      <c r="AS2182" s="379"/>
      <c r="AT2182" s="379"/>
      <c r="AU2182" s="379"/>
      <c r="AV2182" s="379"/>
      <c r="AW2182" s="379"/>
      <c r="AX2182" s="379"/>
      <c r="AY2182" s="379"/>
      <c r="AZ2182" s="379"/>
      <c r="BA2182" s="379"/>
      <c r="BB2182" s="379"/>
      <c r="BC2182" s="379"/>
      <c r="BD2182" s="379"/>
      <c r="BE2182" s="379"/>
      <c r="BF2182" s="379"/>
      <c r="BG2182" s="379"/>
      <c r="BH2182" s="379"/>
      <c r="BI2182" s="379"/>
      <c r="BJ2182" s="379"/>
      <c r="BK2182" s="379"/>
      <c r="BL2182" s="379"/>
      <c r="BM2182" s="379"/>
      <c r="BN2182" s="379"/>
      <c r="BO2182" s="379"/>
      <c r="BP2182" s="379"/>
      <c r="BQ2182" s="379"/>
      <c r="BR2182" s="379"/>
      <c r="BS2182" s="379"/>
      <c r="BT2182" s="379"/>
      <c r="BU2182" s="379"/>
      <c r="BV2182" s="379"/>
      <c r="BW2182" s="379"/>
      <c r="BX2182" s="379"/>
      <c r="BY2182" s="379"/>
    </row>
    <row r="2183" spans="1:77" s="379" customFormat="1" ht="11.25" customHeight="1">
      <c r="B2183" s="380" t="s">
        <v>291</v>
      </c>
      <c r="C2183" s="381"/>
      <c r="D2183" s="381"/>
      <c r="E2183" s="382" t="s">
        <v>1647</v>
      </c>
      <c r="F2183" s="379" t="s">
        <v>1411</v>
      </c>
      <c r="G2183" s="383">
        <v>3765</v>
      </c>
      <c r="H2183" s="379" t="s">
        <v>765</v>
      </c>
      <c r="I2183" s="379" t="s">
        <v>1648</v>
      </c>
      <c r="J2183" s="385">
        <v>13175.35</v>
      </c>
      <c r="K2183" s="384"/>
      <c r="L2183" s="385">
        <v>11.11</v>
      </c>
      <c r="M2183" s="385">
        <v>7.78</v>
      </c>
      <c r="N2183" s="386"/>
      <c r="O2183" s="387">
        <v>0.2</v>
      </c>
      <c r="P2183" s="387">
        <v>0.1</v>
      </c>
      <c r="Q2183" s="386">
        <v>0</v>
      </c>
      <c r="R2183" s="379" t="s">
        <v>128</v>
      </c>
      <c r="S2183" s="388" t="s">
        <v>41</v>
      </c>
      <c r="T2183" s="388">
        <v>16</v>
      </c>
      <c r="U2183" s="389" t="s">
        <v>164</v>
      </c>
      <c r="V2183" s="433"/>
      <c r="X2183" s="386">
        <v>0</v>
      </c>
      <c r="Y2183" s="386"/>
      <c r="AI2183" s="394"/>
      <c r="AJ2183" s="390">
        <v>0</v>
      </c>
    </row>
    <row r="2184" spans="1:77" s="379" customFormat="1" ht="11.25" customHeight="1">
      <c r="B2184" s="380" t="s">
        <v>291</v>
      </c>
      <c r="C2184" s="381">
        <v>44716</v>
      </c>
      <c r="D2184" s="381">
        <v>44716</v>
      </c>
      <c r="E2184" s="382" t="s">
        <v>1647</v>
      </c>
      <c r="F2184" s="379" t="s">
        <v>1411</v>
      </c>
      <c r="G2184" s="383">
        <v>3765</v>
      </c>
      <c r="H2184" s="379" t="s">
        <v>99</v>
      </c>
      <c r="I2184" s="379" t="s">
        <v>1648</v>
      </c>
      <c r="J2184" s="385">
        <v>85823.73</v>
      </c>
      <c r="K2184" s="384"/>
      <c r="L2184" s="385">
        <v>78.55</v>
      </c>
      <c r="M2184" s="385">
        <v>8.7899999999999991</v>
      </c>
      <c r="N2184" s="386"/>
      <c r="O2184" s="387">
        <v>0.2</v>
      </c>
      <c r="P2184" s="387">
        <v>0.1</v>
      </c>
      <c r="Q2184" s="386">
        <v>0</v>
      </c>
      <c r="R2184" s="379" t="s">
        <v>128</v>
      </c>
      <c r="S2184" s="388" t="s">
        <v>41</v>
      </c>
      <c r="T2184" s="388">
        <v>16</v>
      </c>
      <c r="U2184" s="389" t="s">
        <v>164</v>
      </c>
      <c r="V2184" s="433"/>
      <c r="X2184" s="386">
        <v>0</v>
      </c>
      <c r="Y2184" s="386"/>
      <c r="AI2184" s="394"/>
      <c r="AJ2184" s="390">
        <v>0</v>
      </c>
    </row>
    <row r="2185" spans="1:77" s="647" customFormat="1" ht="11.25" customHeight="1">
      <c r="B2185" s="661" t="s">
        <v>291</v>
      </c>
      <c r="C2185" s="648">
        <v>44713</v>
      </c>
      <c r="D2185" s="648">
        <v>44716</v>
      </c>
      <c r="E2185" s="649" t="s">
        <v>1649</v>
      </c>
      <c r="F2185" s="647" t="s">
        <v>601</v>
      </c>
      <c r="G2185" s="650">
        <v>3623</v>
      </c>
      <c r="H2185" s="647" t="s">
        <v>99</v>
      </c>
      <c r="I2185" s="647" t="s">
        <v>961</v>
      </c>
      <c r="J2185" s="651">
        <v>59398.52</v>
      </c>
      <c r="K2185" s="676"/>
      <c r="L2185" s="651">
        <v>59.7</v>
      </c>
      <c r="M2185" s="651">
        <v>59.7</v>
      </c>
      <c r="N2185" s="652">
        <f>0.15*J2185</f>
        <v>8909.7779999999984</v>
      </c>
      <c r="O2185" s="653">
        <v>0.2</v>
      </c>
      <c r="P2185" s="653"/>
      <c r="Q2185" s="652">
        <v>0</v>
      </c>
      <c r="R2185" s="647" t="s">
        <v>77</v>
      </c>
      <c r="S2185" s="654" t="s">
        <v>41</v>
      </c>
      <c r="T2185" s="654">
        <v>16</v>
      </c>
      <c r="U2185" s="655" t="s">
        <v>164</v>
      </c>
      <c r="V2185" s="656"/>
      <c r="X2185" s="652">
        <v>0</v>
      </c>
      <c r="Y2185" s="652"/>
      <c r="AI2185" s="660">
        <f>X2185</f>
        <v>0</v>
      </c>
      <c r="AJ2185" s="657"/>
      <c r="AK2185" s="658"/>
      <c r="AL2185" s="660"/>
      <c r="AM2185" s="660"/>
      <c r="AN2185" s="660"/>
      <c r="AO2185" s="660"/>
      <c r="AP2185" s="660"/>
      <c r="AQ2185" s="660"/>
      <c r="AR2185" s="660"/>
      <c r="AS2185" s="660"/>
      <c r="AT2185" s="660"/>
      <c r="AU2185" s="660"/>
      <c r="AV2185" s="660"/>
      <c r="AW2185" s="660"/>
      <c r="AX2185" s="660"/>
      <c r="AY2185" s="660"/>
      <c r="AZ2185" s="660"/>
      <c r="BA2185" s="660"/>
      <c r="BB2185" s="660"/>
      <c r="BC2185" s="660"/>
      <c r="BD2185" s="660"/>
      <c r="BE2185" s="660"/>
      <c r="BF2185" s="660"/>
      <c r="BG2185" s="660"/>
      <c r="BH2185" s="660"/>
      <c r="BI2185" s="660"/>
      <c r="BJ2185" s="660"/>
      <c r="BK2185" s="660"/>
      <c r="BL2185" s="660"/>
      <c r="BM2185" s="660"/>
      <c r="BN2185" s="660"/>
      <c r="BO2185" s="660"/>
      <c r="BP2185" s="660"/>
      <c r="BQ2185" s="660"/>
      <c r="BR2185" s="660"/>
      <c r="BS2185" s="660"/>
      <c r="BT2185" s="660"/>
      <c r="BU2185" s="660"/>
      <c r="BV2185" s="660"/>
      <c r="BW2185" s="660"/>
      <c r="BX2185" s="660"/>
      <c r="BY2185" s="660"/>
    </row>
    <row r="2186" spans="1:77" s="647" customFormat="1" ht="11.25" customHeight="1">
      <c r="B2186" s="661" t="s">
        <v>291</v>
      </c>
      <c r="C2186" s="648"/>
      <c r="D2186" s="648"/>
      <c r="E2186" s="649" t="s">
        <v>1649</v>
      </c>
      <c r="F2186" s="647" t="s">
        <v>601</v>
      </c>
      <c r="G2186" s="650">
        <v>3623</v>
      </c>
      <c r="H2186" s="647" t="s">
        <v>27</v>
      </c>
      <c r="I2186" s="647" t="s">
        <v>961</v>
      </c>
      <c r="J2186" s="651">
        <v>27573.29</v>
      </c>
      <c r="K2186" s="676"/>
      <c r="L2186" s="651">
        <v>22.89</v>
      </c>
      <c r="M2186" s="651">
        <v>22.89</v>
      </c>
      <c r="N2186" s="652"/>
      <c r="O2186" s="653">
        <v>0.2</v>
      </c>
      <c r="P2186" s="653"/>
      <c r="Q2186" s="652">
        <v>0</v>
      </c>
      <c r="R2186" s="647" t="s">
        <v>77</v>
      </c>
      <c r="S2186" s="654" t="s">
        <v>41</v>
      </c>
      <c r="T2186" s="654">
        <v>16</v>
      </c>
      <c r="U2186" s="655" t="s">
        <v>164</v>
      </c>
      <c r="V2186" s="656"/>
      <c r="X2186" s="652">
        <v>0</v>
      </c>
      <c r="Y2186" s="652"/>
      <c r="AI2186" s="660">
        <f>X2186</f>
        <v>0</v>
      </c>
      <c r="AJ2186" s="657"/>
      <c r="AK2186" s="658"/>
      <c r="AL2186" s="660"/>
      <c r="AM2186" s="660"/>
      <c r="AN2186" s="660"/>
      <c r="AO2186" s="660"/>
      <c r="AP2186" s="660"/>
      <c r="AQ2186" s="660"/>
      <c r="AR2186" s="660"/>
      <c r="AS2186" s="660"/>
      <c r="AT2186" s="660"/>
      <c r="AU2186" s="660"/>
      <c r="AV2186" s="660"/>
      <c r="AW2186" s="660"/>
      <c r="AX2186" s="660"/>
      <c r="AY2186" s="660"/>
      <c r="AZ2186" s="660"/>
      <c r="BA2186" s="660"/>
      <c r="BB2186" s="660"/>
      <c r="BC2186" s="660"/>
      <c r="BD2186" s="660"/>
      <c r="BE2186" s="660"/>
      <c r="BF2186" s="660"/>
      <c r="BG2186" s="660"/>
      <c r="BH2186" s="660"/>
      <c r="BI2186" s="660"/>
      <c r="BJ2186" s="660"/>
      <c r="BK2186" s="660"/>
      <c r="BL2186" s="660"/>
      <c r="BM2186" s="660"/>
      <c r="BN2186" s="660"/>
      <c r="BO2186" s="660"/>
      <c r="BP2186" s="660"/>
      <c r="BQ2186" s="660"/>
      <c r="BR2186" s="660"/>
      <c r="BS2186" s="660"/>
      <c r="BT2186" s="660"/>
      <c r="BU2186" s="660"/>
      <c r="BV2186" s="660"/>
      <c r="BW2186" s="660"/>
      <c r="BX2186" s="660"/>
      <c r="BY2186" s="660"/>
    </row>
    <row r="2187" spans="1:77" s="647" customFormat="1" ht="11.25" customHeight="1">
      <c r="B2187" s="661" t="s">
        <v>291</v>
      </c>
      <c r="C2187" s="648"/>
      <c r="D2187" s="648"/>
      <c r="E2187" s="649" t="s">
        <v>1649</v>
      </c>
      <c r="F2187" s="647" t="s">
        <v>601</v>
      </c>
      <c r="G2187" s="650">
        <v>3623</v>
      </c>
      <c r="H2187" s="647" t="s">
        <v>183</v>
      </c>
      <c r="I2187" s="647" t="s">
        <v>961</v>
      </c>
      <c r="J2187" s="651">
        <v>32930.339999999997</v>
      </c>
      <c r="K2187" s="676"/>
      <c r="L2187" s="651">
        <v>39.86</v>
      </c>
      <c r="M2187" s="651">
        <v>39.86</v>
      </c>
      <c r="N2187" s="652">
        <f>0.15*J2187</f>
        <v>4939.5509999999995</v>
      </c>
      <c r="O2187" s="653">
        <v>0.2</v>
      </c>
      <c r="P2187" s="653"/>
      <c r="Q2187" s="652">
        <v>0</v>
      </c>
      <c r="R2187" s="647" t="s">
        <v>77</v>
      </c>
      <c r="S2187" s="654" t="s">
        <v>41</v>
      </c>
      <c r="T2187" s="654">
        <v>16</v>
      </c>
      <c r="U2187" s="655" t="s">
        <v>164</v>
      </c>
      <c r="V2187" s="656"/>
      <c r="X2187" s="652">
        <v>0</v>
      </c>
      <c r="Y2187" s="652"/>
      <c r="AI2187" s="660">
        <f>X2187</f>
        <v>0</v>
      </c>
      <c r="AJ2187" s="657"/>
      <c r="AK2187" s="658"/>
      <c r="AL2187" s="660"/>
      <c r="AM2187" s="660"/>
      <c r="AN2187" s="660"/>
      <c r="AO2187" s="660"/>
      <c r="AP2187" s="660"/>
      <c r="AQ2187" s="660"/>
      <c r="AR2187" s="660"/>
      <c r="AS2187" s="660"/>
      <c r="AT2187" s="660"/>
      <c r="AU2187" s="660"/>
      <c r="AV2187" s="660"/>
      <c r="AW2187" s="660"/>
      <c r="AX2187" s="660"/>
      <c r="AY2187" s="660"/>
      <c r="AZ2187" s="660"/>
      <c r="BA2187" s="660"/>
      <c r="BB2187" s="660"/>
      <c r="BC2187" s="660"/>
      <c r="BD2187" s="660"/>
      <c r="BE2187" s="660"/>
      <c r="BF2187" s="660"/>
      <c r="BG2187" s="660"/>
      <c r="BH2187" s="660"/>
      <c r="BI2187" s="660"/>
      <c r="BJ2187" s="660"/>
      <c r="BK2187" s="660"/>
      <c r="BL2187" s="660"/>
      <c r="BM2187" s="660"/>
      <c r="BN2187" s="660"/>
      <c r="BO2187" s="660"/>
      <c r="BP2187" s="660"/>
      <c r="BQ2187" s="660"/>
      <c r="BR2187" s="660"/>
      <c r="BS2187" s="660"/>
      <c r="BT2187" s="660"/>
      <c r="BU2187" s="660"/>
      <c r="BV2187" s="660"/>
      <c r="BW2187" s="660"/>
      <c r="BX2187" s="660"/>
      <c r="BY2187" s="660"/>
    </row>
    <row r="2188" spans="1:77" s="647" customFormat="1" ht="11.25" customHeight="1">
      <c r="B2188" s="661" t="s">
        <v>291</v>
      </c>
      <c r="C2188" s="648">
        <v>44715</v>
      </c>
      <c r="D2188" s="648">
        <v>44717</v>
      </c>
      <c r="E2188" s="649" t="s">
        <v>1650</v>
      </c>
      <c r="F2188" s="647" t="s">
        <v>502</v>
      </c>
      <c r="G2188" s="650">
        <v>4139</v>
      </c>
      <c r="H2188" s="647" t="s">
        <v>183</v>
      </c>
      <c r="I2188" s="647" t="s">
        <v>156</v>
      </c>
      <c r="J2188" s="651">
        <v>8062.59</v>
      </c>
      <c r="K2188" s="676"/>
      <c r="L2188" s="651">
        <v>7.7</v>
      </c>
      <c r="M2188" s="651">
        <v>7.6</v>
      </c>
      <c r="N2188" s="652"/>
      <c r="O2188" s="653">
        <v>0.3</v>
      </c>
      <c r="P2188" s="653">
        <v>0.1</v>
      </c>
      <c r="Q2188" s="652">
        <v>862.58</v>
      </c>
      <c r="R2188" s="647" t="s">
        <v>257</v>
      </c>
      <c r="S2188" s="654" t="s">
        <v>74</v>
      </c>
      <c r="T2188" s="654">
        <v>32</v>
      </c>
      <c r="U2188" s="655" t="s">
        <v>164</v>
      </c>
      <c r="V2188" s="656"/>
      <c r="X2188" s="652">
        <v>862.58</v>
      </c>
      <c r="Y2188" s="652"/>
      <c r="AI2188" s="652">
        <v>862.58</v>
      </c>
      <c r="AJ2188" s="657"/>
      <c r="AK2188" s="658"/>
      <c r="AL2188" s="660"/>
      <c r="AM2188" s="660"/>
      <c r="AN2188" s="660"/>
      <c r="AO2188" s="660"/>
      <c r="AP2188" s="660"/>
      <c r="AQ2188" s="660"/>
      <c r="AR2188" s="660"/>
      <c r="AS2188" s="660"/>
      <c r="AT2188" s="660"/>
      <c r="AU2188" s="660"/>
      <c r="AV2188" s="660"/>
      <c r="AW2188" s="660"/>
      <c r="AX2188" s="660"/>
      <c r="AY2188" s="660"/>
      <c r="AZ2188" s="660"/>
      <c r="BA2188" s="660"/>
      <c r="BB2188" s="660"/>
      <c r="BC2188" s="660"/>
      <c r="BD2188" s="660"/>
      <c r="BE2188" s="660"/>
      <c r="BF2188" s="660"/>
      <c r="BG2188" s="660"/>
      <c r="BH2188" s="660"/>
      <c r="BI2188" s="660"/>
      <c r="BJ2188" s="660"/>
      <c r="BK2188" s="660"/>
      <c r="BL2188" s="660"/>
      <c r="BM2188" s="660"/>
      <c r="BN2188" s="660"/>
      <c r="BO2188" s="660"/>
      <c r="BP2188" s="660"/>
      <c r="BQ2188" s="660"/>
      <c r="BR2188" s="660"/>
      <c r="BS2188" s="660"/>
      <c r="BT2188" s="660"/>
      <c r="BU2188" s="660"/>
      <c r="BV2188" s="660"/>
      <c r="BW2188" s="660"/>
      <c r="BX2188" s="660"/>
      <c r="BY2188" s="660"/>
    </row>
    <row r="2189" spans="1:77" s="337" customFormat="1" ht="11.25" customHeight="1">
      <c r="A2189" s="473"/>
      <c r="B2189" s="486" t="s">
        <v>291</v>
      </c>
      <c r="C2189" s="487"/>
      <c r="D2189" s="487"/>
      <c r="E2189" s="488" t="s">
        <v>1651</v>
      </c>
      <c r="F2189" s="473" t="s">
        <v>1709</v>
      </c>
      <c r="G2189" s="489">
        <v>1002</v>
      </c>
      <c r="H2189" s="473" t="s">
        <v>814</v>
      </c>
      <c r="I2189" s="473" t="s">
        <v>156</v>
      </c>
      <c r="J2189" s="490">
        <v>7380</v>
      </c>
      <c r="K2189" s="491"/>
      <c r="L2189" s="490">
        <v>6</v>
      </c>
      <c r="M2189" s="490">
        <v>6</v>
      </c>
      <c r="N2189" s="492">
        <f>1256.8+1085.95+787.82</f>
        <v>3130.57</v>
      </c>
      <c r="O2189" s="493">
        <v>0.2</v>
      </c>
      <c r="P2189" s="493">
        <v>0.1</v>
      </c>
      <c r="Q2189" s="492">
        <v>1402.32</v>
      </c>
      <c r="R2189" s="473" t="s">
        <v>112</v>
      </c>
      <c r="S2189" s="481" t="s">
        <v>113</v>
      </c>
      <c r="T2189" s="481">
        <v>64</v>
      </c>
      <c r="U2189" s="494" t="s">
        <v>164</v>
      </c>
      <c r="V2189" s="495"/>
      <c r="W2189" s="473"/>
      <c r="X2189" s="492">
        <v>1402.32</v>
      </c>
      <c r="Y2189" s="492"/>
      <c r="Z2189" s="473"/>
      <c r="AA2189" s="473"/>
      <c r="AB2189" s="473"/>
      <c r="AC2189" s="473"/>
      <c r="AD2189" s="473"/>
      <c r="AE2189" s="473"/>
      <c r="AF2189" s="473"/>
      <c r="AG2189" s="473"/>
      <c r="AH2189" s="473"/>
      <c r="AI2189" s="472"/>
      <c r="AJ2189" s="485"/>
      <c r="AK2189" s="505">
        <v>1402.32</v>
      </c>
      <c r="AL2189" s="473"/>
      <c r="AM2189" s="473"/>
      <c r="AN2189" s="473"/>
      <c r="AO2189" s="473"/>
      <c r="AP2189" s="473"/>
      <c r="AQ2189" s="473"/>
      <c r="AR2189" s="473"/>
      <c r="AS2189" s="473"/>
      <c r="AT2189" s="473"/>
      <c r="AU2189" s="473"/>
      <c r="AV2189" s="473"/>
      <c r="AW2189" s="473"/>
      <c r="AX2189" s="473"/>
      <c r="AY2189" s="473"/>
      <c r="AZ2189" s="473"/>
      <c r="BA2189" s="473"/>
      <c r="BB2189" s="473"/>
      <c r="BC2189" s="473"/>
      <c r="BD2189" s="473"/>
      <c r="BE2189" s="473"/>
      <c r="BF2189" s="473"/>
      <c r="BG2189" s="473"/>
      <c r="BH2189" s="473"/>
      <c r="BI2189" s="473"/>
      <c r="BJ2189" s="473"/>
      <c r="BK2189" s="473"/>
      <c r="BL2189" s="473"/>
      <c r="BM2189" s="473"/>
      <c r="BN2189" s="473"/>
      <c r="BO2189" s="473"/>
      <c r="BP2189" s="473"/>
      <c r="BQ2189" s="473"/>
      <c r="BR2189" s="473"/>
      <c r="BS2189" s="473"/>
      <c r="BT2189" s="473"/>
      <c r="BU2189" s="473"/>
      <c r="BV2189" s="473"/>
      <c r="BW2189" s="473"/>
      <c r="BX2189" s="473"/>
      <c r="BY2189" s="473"/>
    </row>
    <row r="2190" spans="1:77" s="647" customFormat="1" ht="11.25" customHeight="1">
      <c r="B2190" s="661" t="s">
        <v>291</v>
      </c>
      <c r="C2190" s="648">
        <v>44716</v>
      </c>
      <c r="D2190" s="648">
        <v>44717</v>
      </c>
      <c r="E2190" s="649" t="s">
        <v>1651</v>
      </c>
      <c r="F2190" s="647" t="s">
        <v>1709</v>
      </c>
      <c r="G2190" s="650">
        <v>1002</v>
      </c>
      <c r="H2190" s="647" t="s">
        <v>866</v>
      </c>
      <c r="I2190" s="647" t="s">
        <v>156</v>
      </c>
      <c r="J2190" s="651">
        <v>97442.38</v>
      </c>
      <c r="K2190" s="676"/>
      <c r="L2190" s="651">
        <v>43.05</v>
      </c>
      <c r="M2190" s="651">
        <v>35</v>
      </c>
      <c r="N2190" s="652">
        <f>11560.67+2004.07</f>
        <v>13564.74</v>
      </c>
      <c r="O2190" s="653">
        <v>0.2</v>
      </c>
      <c r="P2190" s="653">
        <v>0.1</v>
      </c>
      <c r="Q2190" s="652">
        <v>0</v>
      </c>
      <c r="R2190" s="647" t="s">
        <v>112</v>
      </c>
      <c r="S2190" s="654" t="s">
        <v>113</v>
      </c>
      <c r="T2190" s="654">
        <v>64</v>
      </c>
      <c r="U2190" s="655" t="s">
        <v>164</v>
      </c>
      <c r="V2190" s="656"/>
      <c r="X2190" s="652">
        <v>0</v>
      </c>
      <c r="Y2190" s="652"/>
      <c r="AI2190" s="660">
        <v>0</v>
      </c>
      <c r="AJ2190" s="657"/>
      <c r="AK2190" s="658"/>
    </row>
    <row r="2191" spans="1:77" s="6" customFormat="1" ht="11.25" customHeight="1">
      <c r="A2191" s="379"/>
      <c r="B2191" s="380" t="s">
        <v>291</v>
      </c>
      <c r="C2191" s="381">
        <v>44716</v>
      </c>
      <c r="D2191" s="381">
        <v>44717</v>
      </c>
      <c r="E2191" s="382" t="s">
        <v>1652</v>
      </c>
      <c r="F2191" s="379" t="s">
        <v>245</v>
      </c>
      <c r="G2191" s="383">
        <v>4294</v>
      </c>
      <c r="H2191" s="379" t="s">
        <v>911</v>
      </c>
      <c r="I2191" s="379" t="s">
        <v>1487</v>
      </c>
      <c r="J2191" s="385">
        <v>12750.1</v>
      </c>
      <c r="K2191" s="384"/>
      <c r="L2191" s="385">
        <v>6.7</v>
      </c>
      <c r="M2191" s="385">
        <v>6.7</v>
      </c>
      <c r="N2191" s="386"/>
      <c r="O2191" s="387">
        <v>0.2</v>
      </c>
      <c r="P2191" s="387"/>
      <c r="Q2191" s="386">
        <v>0</v>
      </c>
      <c r="R2191" s="379" t="s">
        <v>35</v>
      </c>
      <c r="S2191" s="388" t="s">
        <v>41</v>
      </c>
      <c r="T2191" s="388">
        <v>17</v>
      </c>
      <c r="U2191" s="389" t="s">
        <v>164</v>
      </c>
      <c r="V2191" s="433"/>
      <c r="W2191" s="379"/>
      <c r="X2191" s="386">
        <v>0</v>
      </c>
      <c r="Y2191" s="386"/>
      <c r="Z2191" s="379"/>
      <c r="AA2191" s="379"/>
      <c r="AB2191" s="379"/>
      <c r="AC2191" s="379"/>
      <c r="AD2191" s="379"/>
      <c r="AE2191" s="379"/>
      <c r="AF2191" s="379"/>
      <c r="AG2191" s="379"/>
      <c r="AH2191" s="379"/>
      <c r="AI2191" s="394"/>
      <c r="AJ2191" s="390">
        <v>0</v>
      </c>
      <c r="AK2191" s="379"/>
      <c r="AL2191" s="379"/>
      <c r="AM2191" s="379"/>
      <c r="AN2191" s="379"/>
      <c r="AO2191" s="379"/>
      <c r="AP2191" s="379"/>
      <c r="AQ2191" s="379"/>
      <c r="AR2191" s="379"/>
      <c r="AS2191" s="379"/>
      <c r="AT2191" s="379"/>
      <c r="AU2191" s="379"/>
      <c r="AV2191" s="379"/>
      <c r="AW2191" s="379"/>
      <c r="AX2191" s="379"/>
      <c r="AY2191" s="379"/>
      <c r="AZ2191" s="379"/>
      <c r="BA2191" s="379"/>
      <c r="BB2191" s="379"/>
      <c r="BC2191" s="379"/>
      <c r="BD2191" s="379"/>
      <c r="BE2191" s="379"/>
      <c r="BF2191" s="379"/>
      <c r="BG2191" s="379"/>
      <c r="BH2191" s="379"/>
      <c r="BI2191" s="379"/>
      <c r="BJ2191" s="379"/>
      <c r="BK2191" s="379"/>
      <c r="BL2191" s="379"/>
      <c r="BM2191" s="379"/>
      <c r="BN2191" s="379"/>
      <c r="BO2191" s="379"/>
      <c r="BP2191" s="379"/>
      <c r="BQ2191" s="379"/>
      <c r="BR2191" s="379"/>
      <c r="BS2191" s="379"/>
      <c r="BT2191" s="379"/>
      <c r="BU2191" s="379"/>
      <c r="BV2191" s="379"/>
      <c r="BW2191" s="379"/>
      <c r="BX2191" s="379"/>
      <c r="BY2191" s="379"/>
    </row>
    <row r="2192" spans="1:77" s="379" customFormat="1" ht="11.25" customHeight="1">
      <c r="B2192" s="380" t="s">
        <v>291</v>
      </c>
      <c r="C2192" s="381"/>
      <c r="D2192" s="381"/>
      <c r="E2192" s="382" t="s">
        <v>1652</v>
      </c>
      <c r="F2192" s="379" t="s">
        <v>245</v>
      </c>
      <c r="G2192" s="383">
        <v>4294</v>
      </c>
      <c r="H2192" s="379" t="s">
        <v>910</v>
      </c>
      <c r="I2192" s="379" t="s">
        <v>1487</v>
      </c>
      <c r="J2192" s="385">
        <v>33516</v>
      </c>
      <c r="K2192" s="384"/>
      <c r="L2192" s="385">
        <v>14.7</v>
      </c>
      <c r="M2192" s="385">
        <v>14.7</v>
      </c>
      <c r="N2192" s="386"/>
      <c r="O2192" s="387">
        <v>0.2</v>
      </c>
      <c r="P2192" s="387"/>
      <c r="Q2192" s="386">
        <v>0</v>
      </c>
      <c r="R2192" s="379" t="s">
        <v>35</v>
      </c>
      <c r="S2192" s="388" t="s">
        <v>41</v>
      </c>
      <c r="T2192" s="388">
        <v>17</v>
      </c>
      <c r="U2192" s="389" t="s">
        <v>164</v>
      </c>
      <c r="V2192" s="433"/>
      <c r="X2192" s="386">
        <v>0</v>
      </c>
      <c r="Y2192" s="386"/>
      <c r="AI2192" s="394"/>
      <c r="AJ2192" s="390">
        <v>0</v>
      </c>
    </row>
    <row r="2193" spans="1:77" s="6" customFormat="1" ht="11.25" customHeight="1">
      <c r="A2193" s="379"/>
      <c r="B2193" s="380" t="s">
        <v>291</v>
      </c>
      <c r="C2193" s="381"/>
      <c r="D2193" s="381"/>
      <c r="E2193" s="382" t="s">
        <v>1653</v>
      </c>
      <c r="F2193" s="379" t="s">
        <v>1654</v>
      </c>
      <c r="G2193" s="383">
        <v>4263</v>
      </c>
      <c r="H2193" s="379" t="s">
        <v>765</v>
      </c>
      <c r="I2193" s="379" t="s">
        <v>156</v>
      </c>
      <c r="J2193" s="385">
        <v>14292.6</v>
      </c>
      <c r="K2193" s="384"/>
      <c r="L2193" s="385">
        <v>11.48</v>
      </c>
      <c r="M2193" s="385">
        <v>11</v>
      </c>
      <c r="N2193" s="386">
        <f>0</f>
        <v>0</v>
      </c>
      <c r="O2193" s="387">
        <v>0.2</v>
      </c>
      <c r="P2193" s="387">
        <v>0.1</v>
      </c>
      <c r="Q2193" s="386">
        <v>0</v>
      </c>
      <c r="R2193" s="379" t="s">
        <v>281</v>
      </c>
      <c r="S2193" s="388" t="s">
        <v>397</v>
      </c>
      <c r="T2193" s="388" t="s">
        <v>923</v>
      </c>
      <c r="U2193" s="389" t="s">
        <v>164</v>
      </c>
      <c r="V2193" s="433"/>
      <c r="W2193" s="379"/>
      <c r="X2193" s="386">
        <v>0</v>
      </c>
      <c r="Y2193" s="386"/>
      <c r="Z2193" s="379"/>
      <c r="AA2193" s="379"/>
      <c r="AB2193" s="379"/>
      <c r="AC2193" s="379"/>
      <c r="AD2193" s="379"/>
      <c r="AE2193" s="379"/>
      <c r="AF2193" s="379"/>
      <c r="AG2193" s="379"/>
      <c r="AH2193" s="379"/>
      <c r="AI2193" s="379"/>
      <c r="AJ2193" s="390">
        <v>0</v>
      </c>
      <c r="AK2193" s="379"/>
      <c r="AL2193" s="379"/>
      <c r="AM2193" s="379"/>
      <c r="AN2193" s="379"/>
      <c r="AO2193" s="379"/>
      <c r="AP2193" s="379"/>
      <c r="AQ2193" s="379"/>
      <c r="AR2193" s="379"/>
      <c r="AS2193" s="379"/>
      <c r="AT2193" s="379"/>
      <c r="AU2193" s="379"/>
      <c r="AV2193" s="379"/>
      <c r="AW2193" s="379"/>
      <c r="AX2193" s="379"/>
      <c r="AY2193" s="379"/>
      <c r="AZ2193" s="379"/>
      <c r="BA2193" s="379"/>
      <c r="BB2193" s="379"/>
      <c r="BC2193" s="379"/>
      <c r="BD2193" s="379"/>
      <c r="BE2193" s="379"/>
      <c r="BF2193" s="379"/>
      <c r="BG2193" s="379"/>
      <c r="BH2193" s="379"/>
      <c r="BI2193" s="379"/>
      <c r="BJ2193" s="379"/>
      <c r="BK2193" s="379"/>
      <c r="BL2193" s="379"/>
      <c r="BM2193" s="379"/>
      <c r="BN2193" s="379"/>
      <c r="BO2193" s="379"/>
      <c r="BP2193" s="379"/>
      <c r="BQ2193" s="379"/>
      <c r="BR2193" s="379"/>
      <c r="BS2193" s="379"/>
      <c r="BT2193" s="379"/>
      <c r="BU2193" s="379"/>
      <c r="BV2193" s="379"/>
      <c r="BW2193" s="379"/>
      <c r="BX2193" s="379"/>
      <c r="BY2193" s="379"/>
    </row>
    <row r="2194" spans="1:77" s="379" customFormat="1" ht="11.25" customHeight="1">
      <c r="B2194" s="380" t="s">
        <v>291</v>
      </c>
      <c r="C2194" s="381">
        <v>44716</v>
      </c>
      <c r="D2194" s="381">
        <v>44717</v>
      </c>
      <c r="E2194" s="382" t="s">
        <v>1653</v>
      </c>
      <c r="F2194" s="379" t="s">
        <v>1654</v>
      </c>
      <c r="G2194" s="383">
        <v>4263</v>
      </c>
      <c r="H2194" s="379" t="s">
        <v>99</v>
      </c>
      <c r="I2194" s="379" t="s">
        <v>156</v>
      </c>
      <c r="J2194" s="385">
        <v>56740.46</v>
      </c>
      <c r="K2194" s="384"/>
      <c r="L2194" s="385">
        <v>51.4</v>
      </c>
      <c r="M2194" s="385">
        <v>12</v>
      </c>
      <c r="N2194" s="386">
        <v>1989.2277999999997</v>
      </c>
      <c r="O2194" s="387">
        <v>0.2</v>
      </c>
      <c r="P2194" s="387">
        <v>0.1</v>
      </c>
      <c r="Q2194" s="386">
        <v>190.78</v>
      </c>
      <c r="R2194" s="379" t="s">
        <v>281</v>
      </c>
      <c r="S2194" s="388" t="s">
        <v>397</v>
      </c>
      <c r="T2194" s="388" t="s">
        <v>923</v>
      </c>
      <c r="U2194" s="389" t="s">
        <v>164</v>
      </c>
      <c r="V2194" s="433"/>
      <c r="X2194" s="386">
        <v>190.78</v>
      </c>
      <c r="Y2194" s="386"/>
      <c r="AJ2194" s="390">
        <v>190.78</v>
      </c>
    </row>
    <row r="2195" spans="1:77" s="379" customFormat="1" ht="11.25" customHeight="1">
      <c r="B2195" s="380" t="s">
        <v>291</v>
      </c>
      <c r="C2195" s="381">
        <v>44715</v>
      </c>
      <c r="D2195" s="381">
        <v>44717</v>
      </c>
      <c r="E2195" s="382" t="s">
        <v>1655</v>
      </c>
      <c r="F2195" s="379" t="s">
        <v>1264</v>
      </c>
      <c r="G2195" s="383" t="s">
        <v>1265</v>
      </c>
      <c r="H2195" s="379" t="s">
        <v>814</v>
      </c>
      <c r="I2195" s="379" t="s">
        <v>156</v>
      </c>
      <c r="J2195" s="385">
        <v>2950.81</v>
      </c>
      <c r="K2195" s="384"/>
      <c r="L2195" s="385">
        <v>6.32</v>
      </c>
      <c r="M2195" s="385">
        <v>6</v>
      </c>
      <c r="N2195" s="386"/>
      <c r="O2195" s="387">
        <v>0.15</v>
      </c>
      <c r="P2195" s="387">
        <v>0.1</v>
      </c>
      <c r="Q2195" s="386">
        <v>0</v>
      </c>
      <c r="R2195" s="379" t="s">
        <v>149</v>
      </c>
      <c r="S2195" s="388" t="s">
        <v>113</v>
      </c>
      <c r="T2195" s="388">
        <v>40</v>
      </c>
      <c r="U2195" s="389" t="s">
        <v>164</v>
      </c>
      <c r="V2195" s="433"/>
      <c r="X2195" s="386">
        <v>0</v>
      </c>
      <c r="Y2195" s="386"/>
      <c r="AJ2195" s="390">
        <v>0</v>
      </c>
    </row>
    <row r="2196" spans="1:77" s="379" customFormat="1" ht="11.25" customHeight="1">
      <c r="B2196" s="380" t="s">
        <v>291</v>
      </c>
      <c r="C2196" s="381"/>
      <c r="D2196" s="381"/>
      <c r="E2196" s="382" t="s">
        <v>1655</v>
      </c>
      <c r="F2196" s="379" t="s">
        <v>1264</v>
      </c>
      <c r="G2196" s="383" t="s">
        <v>1265</v>
      </c>
      <c r="H2196" s="379" t="s">
        <v>917</v>
      </c>
      <c r="I2196" s="379" t="s">
        <v>156</v>
      </c>
      <c r="J2196" s="385">
        <v>12928.3</v>
      </c>
      <c r="K2196" s="384"/>
      <c r="L2196" s="385">
        <v>7.3</v>
      </c>
      <c r="M2196" s="385">
        <v>7</v>
      </c>
      <c r="N2196" s="386"/>
      <c r="O2196" s="387">
        <v>0.15</v>
      </c>
      <c r="P2196" s="387">
        <v>0.1</v>
      </c>
      <c r="Q2196" s="386">
        <v>0</v>
      </c>
      <c r="R2196" s="379" t="s">
        <v>149</v>
      </c>
      <c r="S2196" s="388" t="s">
        <v>113</v>
      </c>
      <c r="T2196" s="388">
        <v>40</v>
      </c>
      <c r="U2196" s="389" t="s">
        <v>164</v>
      </c>
      <c r="V2196" s="433"/>
      <c r="X2196" s="386">
        <v>0</v>
      </c>
      <c r="Y2196" s="386"/>
      <c r="AJ2196" s="390">
        <v>0</v>
      </c>
    </row>
    <row r="2197" spans="1:77" s="379" customFormat="1" ht="11.25" customHeight="1">
      <c r="B2197" s="380" t="s">
        <v>291</v>
      </c>
      <c r="C2197" s="381"/>
      <c r="D2197" s="381"/>
      <c r="E2197" s="382" t="s">
        <v>1655</v>
      </c>
      <c r="F2197" s="379" t="s">
        <v>1264</v>
      </c>
      <c r="G2197" s="383" t="s">
        <v>1265</v>
      </c>
      <c r="H2197" s="379" t="s">
        <v>865</v>
      </c>
      <c r="I2197" s="379" t="s">
        <v>156</v>
      </c>
      <c r="J2197" s="385">
        <v>12768.91</v>
      </c>
      <c r="K2197" s="384"/>
      <c r="L2197" s="385">
        <v>11.33</v>
      </c>
      <c r="M2197" s="385">
        <v>11</v>
      </c>
      <c r="N2197" s="386"/>
      <c r="O2197" s="387">
        <v>0.15</v>
      </c>
      <c r="P2197" s="387">
        <v>0.1</v>
      </c>
      <c r="Q2197" s="386">
        <v>0</v>
      </c>
      <c r="R2197" s="379" t="s">
        <v>149</v>
      </c>
      <c r="S2197" s="388" t="s">
        <v>113</v>
      </c>
      <c r="T2197" s="388">
        <v>40</v>
      </c>
      <c r="U2197" s="389" t="s">
        <v>164</v>
      </c>
      <c r="V2197" s="433"/>
      <c r="X2197" s="386">
        <v>0</v>
      </c>
      <c r="Y2197" s="386"/>
      <c r="AJ2197" s="390">
        <v>0</v>
      </c>
    </row>
    <row r="2198" spans="1:77" s="261" customFormat="1" ht="11.25" customHeight="1">
      <c r="B2198" s="258" t="s">
        <v>291</v>
      </c>
      <c r="C2198" s="259">
        <v>44713</v>
      </c>
      <c r="D2198" s="259">
        <v>44717</v>
      </c>
      <c r="E2198" s="260" t="s">
        <v>1656</v>
      </c>
      <c r="F2198" s="261" t="s">
        <v>1710</v>
      </c>
      <c r="G2198" s="262" t="s">
        <v>1657</v>
      </c>
      <c r="H2198" s="261" t="s">
        <v>192</v>
      </c>
      <c r="I2198" s="261" t="s">
        <v>958</v>
      </c>
      <c r="J2198" s="263">
        <v>53083.16</v>
      </c>
      <c r="K2198" s="264"/>
      <c r="L2198" s="263">
        <v>40.299999999999997</v>
      </c>
      <c r="M2198" s="263">
        <v>40.340000000000003</v>
      </c>
      <c r="N2198" s="265"/>
      <c r="O2198" s="266">
        <v>0.25</v>
      </c>
      <c r="P2198" s="266"/>
      <c r="Q2198" s="265">
        <v>0</v>
      </c>
      <c r="R2198" s="261" t="s">
        <v>146</v>
      </c>
      <c r="S2198" s="267" t="s">
        <v>74</v>
      </c>
      <c r="T2198" s="267">
        <v>31</v>
      </c>
      <c r="U2198" s="268" t="s">
        <v>164</v>
      </c>
      <c r="V2198" s="427"/>
      <c r="X2198" s="265">
        <v>0</v>
      </c>
      <c r="Y2198" s="265"/>
      <c r="AG2198" s="261">
        <f>X2198</f>
        <v>0</v>
      </c>
      <c r="AJ2198" s="642"/>
    </row>
    <row r="2199" spans="1:77" s="181" customFormat="1" ht="11.25" customHeight="1">
      <c r="B2199" s="178" t="s">
        <v>291</v>
      </c>
      <c r="C2199" s="179"/>
      <c r="D2199" s="179"/>
      <c r="E2199" s="180" t="s">
        <v>1656</v>
      </c>
      <c r="F2199" s="181" t="s">
        <v>1710</v>
      </c>
      <c r="G2199" s="182" t="s">
        <v>1657</v>
      </c>
      <c r="H2199" s="181" t="s">
        <v>386</v>
      </c>
      <c r="I2199" s="181" t="s">
        <v>958</v>
      </c>
      <c r="J2199" s="183">
        <v>10679.76</v>
      </c>
      <c r="K2199" s="190"/>
      <c r="L2199" s="183">
        <v>11.7</v>
      </c>
      <c r="M2199" s="183">
        <v>11.68</v>
      </c>
      <c r="N2199" s="185"/>
      <c r="O2199" s="186">
        <v>0.25</v>
      </c>
      <c r="P2199" s="186"/>
      <c r="Q2199" s="185">
        <v>0</v>
      </c>
      <c r="R2199" s="181" t="s">
        <v>146</v>
      </c>
      <c r="S2199" s="187" t="s">
        <v>74</v>
      </c>
      <c r="T2199" s="187">
        <v>31</v>
      </c>
      <c r="U2199" s="188" t="s">
        <v>164</v>
      </c>
      <c r="V2199" s="441"/>
      <c r="X2199" s="185">
        <v>0</v>
      </c>
      <c r="Y2199" s="185"/>
      <c r="AE2199" s="204">
        <f>X2199</f>
        <v>0</v>
      </c>
      <c r="AJ2199" s="189"/>
    </row>
    <row r="2200" spans="1:77" s="379" customFormat="1" ht="11.25" customHeight="1">
      <c r="B2200" s="380" t="s">
        <v>290</v>
      </c>
      <c r="C2200" s="381">
        <v>44715</v>
      </c>
      <c r="D2200" s="381">
        <v>44718</v>
      </c>
      <c r="E2200" s="382" t="s">
        <v>1658</v>
      </c>
      <c r="F2200" s="379" t="s">
        <v>1659</v>
      </c>
      <c r="G2200" s="383" t="s">
        <v>1660</v>
      </c>
      <c r="H2200" s="379" t="s">
        <v>765</v>
      </c>
      <c r="I2200" s="379" t="s">
        <v>156</v>
      </c>
      <c r="J2200" s="385">
        <v>13400</v>
      </c>
      <c r="K2200" s="384"/>
      <c r="L2200" s="385">
        <v>13.4</v>
      </c>
      <c r="M2200" s="385">
        <v>13.4</v>
      </c>
      <c r="N2200" s="386"/>
      <c r="O2200" s="387">
        <v>0.3</v>
      </c>
      <c r="P2200" s="387">
        <v>0.1</v>
      </c>
      <c r="Q2200" s="386">
        <v>1089.4000000000001</v>
      </c>
      <c r="R2200" s="379" t="s">
        <v>73</v>
      </c>
      <c r="S2200" s="388" t="s">
        <v>74</v>
      </c>
      <c r="T2200" s="388">
        <v>31</v>
      </c>
      <c r="U2200" s="389" t="s">
        <v>164</v>
      </c>
      <c r="V2200" s="433"/>
      <c r="X2200" s="386">
        <v>1089.4000000000001</v>
      </c>
      <c r="Y2200" s="386"/>
      <c r="AJ2200" s="416">
        <v>1089.4000000000001</v>
      </c>
    </row>
    <row r="2201" spans="1:77" s="337" customFormat="1" ht="11.25" customHeight="1">
      <c r="B2201" s="338" t="s">
        <v>291</v>
      </c>
      <c r="C2201" s="349"/>
      <c r="D2201" s="349"/>
      <c r="E2201" s="350" t="s">
        <v>1661</v>
      </c>
      <c r="F2201" s="337" t="s">
        <v>612</v>
      </c>
      <c r="G2201" s="351">
        <v>4556</v>
      </c>
      <c r="H2201" s="337" t="s">
        <v>866</v>
      </c>
      <c r="I2201" s="337" t="s">
        <v>1648</v>
      </c>
      <c r="J2201" s="352">
        <v>114420.18</v>
      </c>
      <c r="K2201" s="353"/>
      <c r="L2201" s="352">
        <v>61.22</v>
      </c>
      <c r="M2201" s="352">
        <v>61.22</v>
      </c>
      <c r="N2201" s="354">
        <v>15636.988499999999</v>
      </c>
      <c r="O2201" s="355">
        <v>0.3</v>
      </c>
      <c r="P2201" s="355">
        <v>0.1</v>
      </c>
      <c r="Q2201" s="354">
        <v>0</v>
      </c>
      <c r="R2201" s="337" t="s">
        <v>149</v>
      </c>
      <c r="S2201" s="356" t="s">
        <v>150</v>
      </c>
      <c r="T2201" s="356">
        <v>40</v>
      </c>
      <c r="U2201" s="357" t="s">
        <v>164</v>
      </c>
      <c r="V2201" s="434"/>
      <c r="X2201" s="354">
        <v>0</v>
      </c>
      <c r="Y2201" s="354"/>
      <c r="AI2201" s="337">
        <v>0</v>
      </c>
      <c r="AJ2201" s="358"/>
      <c r="AK2201" s="369"/>
      <c r="AL2201" s="341"/>
      <c r="AM2201" s="341"/>
      <c r="AN2201" s="341"/>
      <c r="AO2201" s="341"/>
      <c r="AP2201" s="341"/>
      <c r="AQ2201" s="341"/>
      <c r="AR2201" s="341"/>
      <c r="AS2201" s="341"/>
      <c r="AT2201" s="341"/>
      <c r="AU2201" s="341"/>
      <c r="AV2201" s="341"/>
      <c r="AW2201" s="341"/>
      <c r="AX2201" s="341"/>
      <c r="AY2201" s="341"/>
      <c r="AZ2201" s="341"/>
      <c r="BA2201" s="341"/>
      <c r="BB2201" s="341"/>
      <c r="BC2201" s="341"/>
      <c r="BD2201" s="341"/>
      <c r="BE2201" s="341"/>
      <c r="BF2201" s="341"/>
      <c r="BG2201" s="341"/>
      <c r="BH2201" s="341"/>
      <c r="BI2201" s="341"/>
      <c r="BJ2201" s="341"/>
      <c r="BK2201" s="341"/>
      <c r="BL2201" s="341"/>
      <c r="BM2201" s="341"/>
      <c r="BN2201" s="341"/>
      <c r="BO2201" s="341"/>
      <c r="BP2201" s="341"/>
      <c r="BQ2201" s="341"/>
      <c r="BR2201" s="341"/>
      <c r="BS2201" s="341"/>
      <c r="BT2201" s="341"/>
      <c r="BU2201" s="341"/>
      <c r="BV2201" s="341"/>
      <c r="BW2201" s="341"/>
      <c r="BX2201" s="341"/>
      <c r="BY2201" s="341"/>
    </row>
    <row r="2202" spans="1:77" s="261" customFormat="1" ht="11.25" customHeight="1">
      <c r="B2202" s="258" t="s">
        <v>291</v>
      </c>
      <c r="C2202" s="259">
        <v>44715</v>
      </c>
      <c r="D2202" s="259">
        <v>44718</v>
      </c>
      <c r="E2202" s="260" t="s">
        <v>1661</v>
      </c>
      <c r="F2202" s="261" t="s">
        <v>612</v>
      </c>
      <c r="G2202" s="262">
        <v>4556</v>
      </c>
      <c r="H2202" s="261" t="s">
        <v>99</v>
      </c>
      <c r="I2202" s="261" t="s">
        <v>1648</v>
      </c>
      <c r="J2202" s="263">
        <v>33878.11</v>
      </c>
      <c r="K2202" s="264"/>
      <c r="L2202" s="263">
        <v>29.49</v>
      </c>
      <c r="M2202" s="263">
        <v>29.49</v>
      </c>
      <c r="N2202" s="265"/>
      <c r="O2202" s="266">
        <v>0.3</v>
      </c>
      <c r="P2202" s="266">
        <v>0.1</v>
      </c>
      <c r="Q2202" s="265">
        <v>1545.99</v>
      </c>
      <c r="R2202" s="261" t="s">
        <v>149</v>
      </c>
      <c r="S2202" s="267" t="s">
        <v>150</v>
      </c>
      <c r="T2202" s="267">
        <v>40</v>
      </c>
      <c r="U2202" s="268" t="s">
        <v>164</v>
      </c>
      <c r="V2202" s="427"/>
      <c r="X2202" s="265">
        <v>1545.99</v>
      </c>
      <c r="Y2202" s="265"/>
      <c r="AG2202" s="261">
        <f>X2202</f>
        <v>1545.99</v>
      </c>
      <c r="AJ2202" s="642"/>
    </row>
    <row r="2203" spans="1:77" s="291" customFormat="1" ht="11.25" customHeight="1">
      <c r="B2203" s="310" t="s">
        <v>291</v>
      </c>
      <c r="C2203" s="292">
        <v>44716</v>
      </c>
      <c r="D2203" s="292">
        <v>44718</v>
      </c>
      <c r="E2203" s="293" t="s">
        <v>1662</v>
      </c>
      <c r="F2203" s="291" t="s">
        <v>558</v>
      </c>
      <c r="G2203" s="294">
        <v>4478</v>
      </c>
      <c r="H2203" s="291" t="s">
        <v>310</v>
      </c>
      <c r="I2203" s="291" t="s">
        <v>156</v>
      </c>
      <c r="J2203" s="296">
        <v>7835.76</v>
      </c>
      <c r="K2203" s="295"/>
      <c r="L2203" s="296">
        <v>12.14</v>
      </c>
      <c r="M2203" s="296">
        <v>12.14</v>
      </c>
      <c r="N2203" s="297"/>
      <c r="O2203" s="298">
        <v>0.3</v>
      </c>
      <c r="P2203" s="298">
        <v>0.1</v>
      </c>
      <c r="Q2203" s="297">
        <v>1569.47</v>
      </c>
      <c r="R2203" s="291" t="s">
        <v>69</v>
      </c>
      <c r="S2203" s="299" t="s">
        <v>41</v>
      </c>
      <c r="T2203" s="299">
        <v>16</v>
      </c>
      <c r="U2203" s="300" t="s">
        <v>164</v>
      </c>
      <c r="V2203" s="333"/>
      <c r="X2203" s="297">
        <v>1569.47</v>
      </c>
      <c r="Y2203" s="297"/>
      <c r="AH2203" s="291">
        <f>X2203</f>
        <v>1569.47</v>
      </c>
      <c r="AI2203" s="311"/>
      <c r="AJ2203" s="468"/>
    </row>
    <row r="2204" spans="1:77" s="337" customFormat="1" ht="11.25" customHeight="1">
      <c r="B2204" s="338" t="s">
        <v>291</v>
      </c>
      <c r="C2204" s="349">
        <v>44714</v>
      </c>
      <c r="D2204" s="349">
        <v>44718</v>
      </c>
      <c r="E2204" s="350" t="s">
        <v>1663</v>
      </c>
      <c r="F2204" s="337" t="s">
        <v>935</v>
      </c>
      <c r="G2204" s="351">
        <v>3946</v>
      </c>
      <c r="H2204" s="337" t="s">
        <v>99</v>
      </c>
      <c r="I2204" s="337" t="s">
        <v>156</v>
      </c>
      <c r="J2204" s="352">
        <v>52780.15</v>
      </c>
      <c r="K2204" s="353"/>
      <c r="L2204" s="352">
        <v>42.61</v>
      </c>
      <c r="M2204" s="352">
        <v>13.76</v>
      </c>
      <c r="N2204" s="354">
        <v>6817.6947200000004</v>
      </c>
      <c r="O2204" s="355">
        <v>0.25</v>
      </c>
      <c r="P2204" s="355">
        <v>0.1</v>
      </c>
      <c r="Q2204" s="354">
        <v>3449.88</v>
      </c>
      <c r="R2204" s="337" t="s">
        <v>42</v>
      </c>
      <c r="S2204" s="356" t="s">
        <v>41</v>
      </c>
      <c r="T2204" s="356">
        <v>16</v>
      </c>
      <c r="U2204" s="357" t="s">
        <v>164</v>
      </c>
      <c r="V2204" s="434"/>
      <c r="X2204" s="354">
        <v>3449.88</v>
      </c>
      <c r="Y2204" s="354"/>
      <c r="AI2204" s="354">
        <v>3449.88</v>
      </c>
      <c r="AJ2204" s="358"/>
      <c r="AK2204" s="369"/>
    </row>
    <row r="2205" spans="1:77" s="337" customFormat="1" ht="11.25" customHeight="1">
      <c r="B2205" s="338" t="s">
        <v>291</v>
      </c>
      <c r="C2205" s="349">
        <v>44716</v>
      </c>
      <c r="D2205" s="349">
        <v>44719</v>
      </c>
      <c r="E2205" s="350" t="s">
        <v>1664</v>
      </c>
      <c r="F2205" s="337" t="s">
        <v>1665</v>
      </c>
      <c r="G2205" s="351" t="s">
        <v>1666</v>
      </c>
      <c r="H2205" s="337" t="s">
        <v>138</v>
      </c>
      <c r="I2205" s="337" t="s">
        <v>156</v>
      </c>
      <c r="J2205" s="352">
        <v>8890.2000000000007</v>
      </c>
      <c r="K2205" s="353"/>
      <c r="L2205" s="352">
        <v>8.98</v>
      </c>
      <c r="M2205" s="352">
        <v>8.98</v>
      </c>
      <c r="N2205" s="354"/>
      <c r="O2205" s="355">
        <v>0.3</v>
      </c>
      <c r="P2205" s="355">
        <v>0.1</v>
      </c>
      <c r="Q2205" s="354">
        <v>2972.38</v>
      </c>
      <c r="R2205" s="337" t="s">
        <v>251</v>
      </c>
      <c r="S2205" s="356" t="s">
        <v>74</v>
      </c>
      <c r="T2205" s="356">
        <v>32</v>
      </c>
      <c r="U2205" s="357" t="s">
        <v>164</v>
      </c>
      <c r="V2205" s="434"/>
      <c r="X2205" s="354">
        <v>2972.38</v>
      </c>
      <c r="Y2205" s="354"/>
      <c r="AI2205" s="354">
        <v>2972.38</v>
      </c>
      <c r="AJ2205" s="358"/>
      <c r="AK2205" s="369"/>
    </row>
    <row r="2206" spans="1:77" s="337" customFormat="1" ht="11.25" customHeight="1">
      <c r="B2206" s="338" t="s">
        <v>291</v>
      </c>
      <c r="C2206" s="349"/>
      <c r="D2206" s="349"/>
      <c r="E2206" s="350" t="s">
        <v>1664</v>
      </c>
      <c r="F2206" s="337" t="s">
        <v>1665</v>
      </c>
      <c r="G2206" s="351" t="s">
        <v>1666</v>
      </c>
      <c r="H2206" s="337" t="s">
        <v>99</v>
      </c>
      <c r="I2206" s="337" t="s">
        <v>156</v>
      </c>
      <c r="J2206" s="352">
        <v>71201.88</v>
      </c>
      <c r="K2206" s="353"/>
      <c r="L2206" s="352">
        <v>61.17</v>
      </c>
      <c r="M2206" s="352">
        <v>61.17</v>
      </c>
      <c r="N2206" s="354">
        <v>27056.714400000001</v>
      </c>
      <c r="O2206" s="355">
        <v>0.3</v>
      </c>
      <c r="P2206" s="355">
        <v>0.1</v>
      </c>
      <c r="Q2206" s="354">
        <v>16124.41</v>
      </c>
      <c r="R2206" s="337" t="s">
        <v>251</v>
      </c>
      <c r="S2206" s="356" t="s">
        <v>74</v>
      </c>
      <c r="T2206" s="356">
        <v>32</v>
      </c>
      <c r="U2206" s="357" t="s">
        <v>164</v>
      </c>
      <c r="V2206" s="434"/>
      <c r="X2206" s="354">
        <v>16124.41</v>
      </c>
      <c r="Y2206" s="354"/>
      <c r="AI2206" s="354">
        <v>16124.41</v>
      </c>
      <c r="AJ2206" s="358"/>
      <c r="AK2206" s="369"/>
    </row>
    <row r="2207" spans="1:77" s="337" customFormat="1" ht="11.25" customHeight="1">
      <c r="B2207" s="338" t="s">
        <v>291</v>
      </c>
      <c r="C2207" s="349"/>
      <c r="D2207" s="349"/>
      <c r="E2207" s="350" t="s">
        <v>1664</v>
      </c>
      <c r="F2207" s="337" t="s">
        <v>1665</v>
      </c>
      <c r="G2207" s="351" t="s">
        <v>1666</v>
      </c>
      <c r="H2207" s="337" t="s">
        <v>1667</v>
      </c>
      <c r="I2207" s="337" t="s">
        <v>156</v>
      </c>
      <c r="J2207" s="352">
        <v>17248</v>
      </c>
      <c r="K2207" s="353"/>
      <c r="L2207" s="352">
        <v>15.4</v>
      </c>
      <c r="M2207" s="352">
        <v>15.4</v>
      </c>
      <c r="N2207" s="354">
        <v>12936</v>
      </c>
      <c r="O2207" s="355">
        <v>0.3</v>
      </c>
      <c r="P2207" s="355">
        <v>0.1</v>
      </c>
      <c r="Q2207" s="354">
        <v>10348.799999999999</v>
      </c>
      <c r="R2207" s="337" t="s">
        <v>251</v>
      </c>
      <c r="S2207" s="356" t="s">
        <v>74</v>
      </c>
      <c r="T2207" s="356">
        <v>32</v>
      </c>
      <c r="U2207" s="357" t="s">
        <v>164</v>
      </c>
      <c r="V2207" s="434"/>
      <c r="X2207" s="354">
        <v>10348.799999999999</v>
      </c>
      <c r="Y2207" s="354"/>
      <c r="AI2207" s="354">
        <v>10348.799999999999</v>
      </c>
      <c r="AJ2207" s="358"/>
      <c r="AK2207" s="369"/>
    </row>
    <row r="2208" spans="1:77" s="337" customFormat="1" ht="11.25" customHeight="1">
      <c r="B2208" s="338" t="s">
        <v>291</v>
      </c>
      <c r="C2208" s="349"/>
      <c r="D2208" s="349"/>
      <c r="E2208" s="350" t="s">
        <v>1664</v>
      </c>
      <c r="F2208" s="337" t="s">
        <v>1665</v>
      </c>
      <c r="G2208" s="351" t="s">
        <v>1666</v>
      </c>
      <c r="H2208" s="337" t="s">
        <v>910</v>
      </c>
      <c r="I2208" s="337" t="s">
        <v>156</v>
      </c>
      <c r="J2208" s="352">
        <v>50088.22</v>
      </c>
      <c r="K2208" s="353"/>
      <c r="L2208" s="352">
        <v>26.39</v>
      </c>
      <c r="M2208" s="352">
        <v>26.39</v>
      </c>
      <c r="N2208" s="354"/>
      <c r="O2208" s="355">
        <v>0.3</v>
      </c>
      <c r="P2208" s="355">
        <v>0.1</v>
      </c>
      <c r="Q2208" s="354">
        <v>0</v>
      </c>
      <c r="R2208" s="337" t="s">
        <v>251</v>
      </c>
      <c r="S2208" s="356" t="s">
        <v>74</v>
      </c>
      <c r="T2208" s="356">
        <v>32</v>
      </c>
      <c r="U2208" s="357" t="s">
        <v>164</v>
      </c>
      <c r="V2208" s="434"/>
      <c r="X2208" s="354">
        <v>0</v>
      </c>
      <c r="Y2208" s="354"/>
      <c r="AI2208" s="337">
        <v>0</v>
      </c>
      <c r="AJ2208" s="358"/>
      <c r="AK2208" s="369"/>
    </row>
    <row r="2209" spans="1:77" s="337" customFormat="1" ht="11.25" customHeight="1">
      <c r="B2209" s="338" t="s">
        <v>291</v>
      </c>
      <c r="C2209" s="349"/>
      <c r="D2209" s="349"/>
      <c r="E2209" s="350" t="s">
        <v>1664</v>
      </c>
      <c r="F2209" s="337" t="s">
        <v>1665</v>
      </c>
      <c r="G2209" s="351" t="s">
        <v>1666</v>
      </c>
      <c r="H2209" s="337" t="s">
        <v>866</v>
      </c>
      <c r="I2209" s="337" t="s">
        <v>156</v>
      </c>
      <c r="J2209" s="352">
        <v>19223.400000000001</v>
      </c>
      <c r="K2209" s="353"/>
      <c r="L2209" s="352">
        <v>13.93</v>
      </c>
      <c r="M2209" s="352">
        <v>13.93</v>
      </c>
      <c r="N2209" s="354">
        <v>6609.7849999999999</v>
      </c>
      <c r="O2209" s="355">
        <v>0.3</v>
      </c>
      <c r="P2209" s="355">
        <v>0.1</v>
      </c>
      <c r="Q2209" s="354">
        <v>0</v>
      </c>
      <c r="R2209" s="337" t="s">
        <v>251</v>
      </c>
      <c r="S2209" s="356" t="s">
        <v>74</v>
      </c>
      <c r="T2209" s="356">
        <v>32</v>
      </c>
      <c r="U2209" s="357" t="s">
        <v>164</v>
      </c>
      <c r="V2209" s="434"/>
      <c r="X2209" s="354">
        <v>0</v>
      </c>
      <c r="Y2209" s="354"/>
      <c r="AI2209" s="337">
        <v>0</v>
      </c>
      <c r="AJ2209" s="358"/>
      <c r="AK2209" s="369"/>
    </row>
    <row r="2210" spans="1:77" s="337" customFormat="1" ht="11.25" customHeight="1">
      <c r="B2210" s="338" t="s">
        <v>291</v>
      </c>
      <c r="C2210" s="349"/>
      <c r="D2210" s="349"/>
      <c r="E2210" s="350" t="s">
        <v>1664</v>
      </c>
      <c r="F2210" s="337" t="s">
        <v>1665</v>
      </c>
      <c r="G2210" s="351" t="s">
        <v>1666</v>
      </c>
      <c r="H2210" s="337" t="s">
        <v>765</v>
      </c>
      <c r="I2210" s="337" t="s">
        <v>156</v>
      </c>
      <c r="J2210" s="352">
        <v>70994.28</v>
      </c>
      <c r="K2210" s="353"/>
      <c r="L2210" s="352">
        <v>56.85</v>
      </c>
      <c r="M2210" s="352">
        <v>56.85</v>
      </c>
      <c r="N2210" s="354">
        <v>0</v>
      </c>
      <c r="O2210" s="355">
        <v>0.3</v>
      </c>
      <c r="P2210" s="355">
        <v>0.1</v>
      </c>
      <c r="Q2210" s="354">
        <v>0</v>
      </c>
      <c r="R2210" s="337" t="s">
        <v>251</v>
      </c>
      <c r="S2210" s="356" t="s">
        <v>74</v>
      </c>
      <c r="T2210" s="356">
        <v>32</v>
      </c>
      <c r="U2210" s="357" t="s">
        <v>164</v>
      </c>
      <c r="V2210" s="434"/>
      <c r="X2210" s="354">
        <v>0</v>
      </c>
      <c r="Y2210" s="354"/>
      <c r="AI2210" s="337">
        <v>0</v>
      </c>
      <c r="AJ2210" s="358"/>
      <c r="AK2210" s="369"/>
    </row>
    <row r="2211" spans="1:77" s="379" customFormat="1" ht="11.25" customHeight="1">
      <c r="B2211" s="380" t="s">
        <v>291</v>
      </c>
      <c r="C2211" s="381">
        <v>44718</v>
      </c>
      <c r="D2211" s="381">
        <v>44718</v>
      </c>
      <c r="E2211" s="382" t="s">
        <v>1668</v>
      </c>
      <c r="F2211" s="379" t="s">
        <v>1669</v>
      </c>
      <c r="G2211" s="383">
        <v>3954</v>
      </c>
      <c r="H2211" s="379" t="s">
        <v>765</v>
      </c>
      <c r="I2211" s="379" t="s">
        <v>33</v>
      </c>
      <c r="J2211" s="385">
        <v>8168.92</v>
      </c>
      <c r="K2211" s="384"/>
      <c r="L2211" s="385">
        <v>8.86</v>
      </c>
      <c r="M2211" s="385">
        <v>8.86</v>
      </c>
      <c r="N2211" s="386"/>
      <c r="O2211" s="387">
        <v>0.25</v>
      </c>
      <c r="P2211" s="387"/>
      <c r="Q2211" s="386">
        <v>0</v>
      </c>
      <c r="R2211" s="379" t="s">
        <v>35</v>
      </c>
      <c r="S2211" s="388" t="s">
        <v>34</v>
      </c>
      <c r="T2211" s="388">
        <v>17</v>
      </c>
      <c r="U2211" s="389" t="s">
        <v>164</v>
      </c>
      <c r="V2211" s="433"/>
      <c r="X2211" s="386">
        <v>0</v>
      </c>
      <c r="Y2211" s="386"/>
      <c r="AJ2211" s="390">
        <v>0</v>
      </c>
    </row>
    <row r="2212" spans="1:77" s="291" customFormat="1" ht="11.25" customHeight="1">
      <c r="B2212" s="310" t="s">
        <v>291</v>
      </c>
      <c r="C2212" s="292">
        <v>44712</v>
      </c>
      <c r="D2212" s="292">
        <v>44719</v>
      </c>
      <c r="E2212" s="293" t="s">
        <v>1670</v>
      </c>
      <c r="F2212" s="291" t="s">
        <v>332</v>
      </c>
      <c r="G2212" s="294" t="s">
        <v>333</v>
      </c>
      <c r="H2212" s="291" t="s">
        <v>138</v>
      </c>
      <c r="I2212" s="291" t="s">
        <v>33</v>
      </c>
      <c r="J2212" s="296">
        <v>3930.92</v>
      </c>
      <c r="K2212" s="295"/>
      <c r="L2212" s="296">
        <v>4.04</v>
      </c>
      <c r="M2212" s="296">
        <v>4.04</v>
      </c>
      <c r="N2212" s="297">
        <f>J2212*24.46%</f>
        <v>961.50303200000008</v>
      </c>
      <c r="O2212" s="298">
        <v>0.25</v>
      </c>
      <c r="P2212" s="298"/>
      <c r="Q2212" s="297">
        <v>0</v>
      </c>
      <c r="R2212" s="291" t="s">
        <v>142</v>
      </c>
      <c r="S2212" s="299" t="s">
        <v>41</v>
      </c>
      <c r="T2212" s="299">
        <v>16</v>
      </c>
      <c r="U2212" s="300" t="s">
        <v>164</v>
      </c>
      <c r="V2212" s="333"/>
      <c r="X2212" s="297">
        <v>0</v>
      </c>
      <c r="Y2212" s="297"/>
      <c r="AH2212" s="291">
        <f>X2212</f>
        <v>0</v>
      </c>
      <c r="AI2212" s="311"/>
      <c r="AJ2212" s="468"/>
    </row>
    <row r="2213" spans="1:77" s="291" customFormat="1" ht="11.25" customHeight="1">
      <c r="B2213" s="310" t="s">
        <v>291</v>
      </c>
      <c r="C2213" s="292"/>
      <c r="D2213" s="292"/>
      <c r="E2213" s="293" t="s">
        <v>1670</v>
      </c>
      <c r="F2213" s="291" t="s">
        <v>332</v>
      </c>
      <c r="G2213" s="294" t="s">
        <v>333</v>
      </c>
      <c r="H2213" s="291" t="s">
        <v>99</v>
      </c>
      <c r="I2213" s="291" t="s">
        <v>33</v>
      </c>
      <c r="J2213" s="296">
        <v>25470.720000000001</v>
      </c>
      <c r="K2213" s="295"/>
      <c r="L2213" s="296">
        <v>26.4</v>
      </c>
      <c r="M2213" s="296">
        <v>26.4</v>
      </c>
      <c r="N2213" s="297">
        <f>J2213*29.16%</f>
        <v>7427.2619520000007</v>
      </c>
      <c r="O2213" s="298">
        <v>0.25</v>
      </c>
      <c r="P2213" s="298"/>
      <c r="Q2213" s="297">
        <v>0</v>
      </c>
      <c r="R2213" s="291" t="s">
        <v>142</v>
      </c>
      <c r="S2213" s="299" t="s">
        <v>41</v>
      </c>
      <c r="T2213" s="299">
        <v>16</v>
      </c>
      <c r="U2213" s="300" t="s">
        <v>164</v>
      </c>
      <c r="V2213" s="333"/>
      <c r="X2213" s="297">
        <v>0</v>
      </c>
      <c r="Y2213" s="297"/>
      <c r="AH2213" s="291">
        <f>X2213</f>
        <v>0</v>
      </c>
      <c r="AI2213" s="311"/>
      <c r="AJ2213" s="468"/>
    </row>
    <row r="2214" spans="1:77" s="291" customFormat="1" ht="11.25" customHeight="1">
      <c r="B2214" s="310" t="s">
        <v>291</v>
      </c>
      <c r="C2214" s="292"/>
      <c r="D2214" s="292"/>
      <c r="E2214" s="293" t="s">
        <v>1670</v>
      </c>
      <c r="F2214" s="291" t="s">
        <v>332</v>
      </c>
      <c r="G2214" s="294" t="s">
        <v>333</v>
      </c>
      <c r="H2214" s="291" t="s">
        <v>183</v>
      </c>
      <c r="I2214" s="291" t="s">
        <v>33</v>
      </c>
      <c r="J2214" s="296">
        <v>6659.84</v>
      </c>
      <c r="K2214" s="295"/>
      <c r="L2214" s="296">
        <v>8.33</v>
      </c>
      <c r="M2214" s="296">
        <v>8.33</v>
      </c>
      <c r="N2214" s="297">
        <f>J2214*21.2%</f>
        <v>1411.88608</v>
      </c>
      <c r="O2214" s="298">
        <v>0.25</v>
      </c>
      <c r="P2214" s="298"/>
      <c r="Q2214" s="297">
        <v>0</v>
      </c>
      <c r="R2214" s="291" t="s">
        <v>142</v>
      </c>
      <c r="S2214" s="299" t="s">
        <v>41</v>
      </c>
      <c r="T2214" s="299">
        <v>16</v>
      </c>
      <c r="U2214" s="300" t="s">
        <v>164</v>
      </c>
      <c r="V2214" s="333"/>
      <c r="X2214" s="297">
        <v>0</v>
      </c>
      <c r="Y2214" s="297"/>
      <c r="AH2214" s="291">
        <f>X2214</f>
        <v>0</v>
      </c>
      <c r="AI2214" s="311"/>
      <c r="AJ2214" s="468"/>
    </row>
    <row r="2215" spans="1:77" s="291" customFormat="1" ht="11.25" customHeight="1">
      <c r="B2215" s="310" t="s">
        <v>291</v>
      </c>
      <c r="C2215" s="292"/>
      <c r="D2215" s="292"/>
      <c r="E2215" s="293" t="s">
        <v>1670</v>
      </c>
      <c r="F2215" s="291" t="s">
        <v>332</v>
      </c>
      <c r="G2215" s="294" t="s">
        <v>333</v>
      </c>
      <c r="H2215" s="291" t="s">
        <v>137</v>
      </c>
      <c r="I2215" s="291" t="s">
        <v>33</v>
      </c>
      <c r="J2215" s="296">
        <v>5778.43</v>
      </c>
      <c r="K2215" s="295"/>
      <c r="L2215" s="296">
        <v>7.04</v>
      </c>
      <c r="M2215" s="296">
        <v>7.04</v>
      </c>
      <c r="N2215" s="297">
        <v>2648.26</v>
      </c>
      <c r="O2215" s="298">
        <v>0.25</v>
      </c>
      <c r="P2215" s="298"/>
      <c r="Q2215" s="297">
        <v>1169.77</v>
      </c>
      <c r="R2215" s="291" t="s">
        <v>142</v>
      </c>
      <c r="S2215" s="299" t="s">
        <v>41</v>
      </c>
      <c r="T2215" s="299">
        <v>16</v>
      </c>
      <c r="U2215" s="300" t="s">
        <v>164</v>
      </c>
      <c r="V2215" s="333"/>
      <c r="X2215" s="297">
        <v>1169.77</v>
      </c>
      <c r="Y2215" s="297"/>
      <c r="AH2215" s="297">
        <f>X2215</f>
        <v>1169.77</v>
      </c>
      <c r="AI2215" s="311"/>
      <c r="AJ2215" s="468"/>
    </row>
    <row r="2216" spans="1:77" s="337" customFormat="1" ht="11.25" customHeight="1">
      <c r="B2216" s="338" t="s">
        <v>291</v>
      </c>
      <c r="C2216" s="349">
        <v>44716</v>
      </c>
      <c r="D2216" s="349">
        <v>44719</v>
      </c>
      <c r="E2216" s="350" t="s">
        <v>1671</v>
      </c>
      <c r="F2216" s="337" t="s">
        <v>353</v>
      </c>
      <c r="G2216" s="351">
        <v>3587</v>
      </c>
      <c r="H2216" s="337" t="s">
        <v>765</v>
      </c>
      <c r="I2216" s="337" t="s">
        <v>156</v>
      </c>
      <c r="J2216" s="352">
        <v>19121.13</v>
      </c>
      <c r="K2216" s="353"/>
      <c r="L2216" s="352">
        <v>17.649999999999999</v>
      </c>
      <c r="M2216" s="352">
        <v>17.649999999999999</v>
      </c>
      <c r="N2216" s="354"/>
      <c r="O2216" s="355">
        <v>0.15</v>
      </c>
      <c r="P2216" s="355">
        <v>0.1</v>
      </c>
      <c r="Q2216" s="354">
        <v>0</v>
      </c>
      <c r="R2216" s="337" t="s">
        <v>35</v>
      </c>
      <c r="S2216" s="356" t="s">
        <v>41</v>
      </c>
      <c r="T2216" s="356">
        <v>86</v>
      </c>
      <c r="U2216" s="357" t="s">
        <v>164</v>
      </c>
      <c r="V2216" s="434"/>
      <c r="X2216" s="354">
        <v>0</v>
      </c>
      <c r="Y2216" s="354"/>
      <c r="AI2216" s="337">
        <v>0</v>
      </c>
      <c r="AJ2216" s="358"/>
      <c r="AK2216" s="369"/>
    </row>
    <row r="2217" spans="1:77" s="337" customFormat="1" ht="11.25" customHeight="1">
      <c r="B2217" s="338" t="s">
        <v>291</v>
      </c>
      <c r="C2217" s="349">
        <v>44716</v>
      </c>
      <c r="D2217" s="349">
        <v>44719</v>
      </c>
      <c r="E2217" s="350" t="s">
        <v>1672</v>
      </c>
      <c r="F2217" s="337" t="s">
        <v>366</v>
      </c>
      <c r="G2217" s="351">
        <v>3564</v>
      </c>
      <c r="H2217" s="337" t="s">
        <v>1141</v>
      </c>
      <c r="I2217" s="337" t="s">
        <v>156</v>
      </c>
      <c r="J2217" s="352">
        <v>10692</v>
      </c>
      <c r="K2217" s="353"/>
      <c r="L2217" s="352">
        <v>16.5</v>
      </c>
      <c r="M2217" s="352">
        <v>16.5</v>
      </c>
      <c r="N2217" s="354"/>
      <c r="O2217" s="355">
        <v>0.15</v>
      </c>
      <c r="P2217" s="355">
        <v>0.1</v>
      </c>
      <c r="Q2217" s="354">
        <v>0</v>
      </c>
      <c r="R2217" s="337" t="s">
        <v>35</v>
      </c>
      <c r="S2217" s="356" t="s">
        <v>41</v>
      </c>
      <c r="T2217" s="356">
        <v>86</v>
      </c>
      <c r="U2217" s="357" t="s">
        <v>164</v>
      </c>
      <c r="V2217" s="434"/>
      <c r="X2217" s="354">
        <v>0</v>
      </c>
      <c r="Y2217" s="354"/>
      <c r="AI2217" s="337">
        <v>0</v>
      </c>
      <c r="AJ2217" s="358"/>
      <c r="AK2217" s="369"/>
    </row>
    <row r="2218" spans="1:77" s="337" customFormat="1" ht="11.25" customHeight="1">
      <c r="B2218" s="338" t="s">
        <v>291</v>
      </c>
      <c r="C2218" s="349"/>
      <c r="D2218" s="349"/>
      <c r="E2218" s="350" t="s">
        <v>1672</v>
      </c>
      <c r="F2218" s="337" t="s">
        <v>366</v>
      </c>
      <c r="G2218" s="351">
        <v>3564</v>
      </c>
      <c r="H2218" s="337" t="s">
        <v>99</v>
      </c>
      <c r="I2218" s="337" t="s">
        <v>156</v>
      </c>
      <c r="J2218" s="352">
        <v>103578.75</v>
      </c>
      <c r="K2218" s="353"/>
      <c r="L2218" s="352">
        <v>83.7</v>
      </c>
      <c r="M2218" s="352">
        <v>83.7</v>
      </c>
      <c r="N2218" s="354"/>
      <c r="O2218" s="355">
        <v>0.15</v>
      </c>
      <c r="P2218" s="355">
        <v>0.1</v>
      </c>
      <c r="Q2218" s="354">
        <v>0</v>
      </c>
      <c r="R2218" s="337" t="s">
        <v>35</v>
      </c>
      <c r="S2218" s="356" t="s">
        <v>41</v>
      </c>
      <c r="T2218" s="356">
        <v>86</v>
      </c>
      <c r="U2218" s="357" t="s">
        <v>164</v>
      </c>
      <c r="V2218" s="434"/>
      <c r="X2218" s="354">
        <v>0</v>
      </c>
      <c r="Y2218" s="354"/>
      <c r="AI2218" s="337">
        <v>0</v>
      </c>
      <c r="AJ2218" s="358"/>
      <c r="AK2218" s="369"/>
    </row>
    <row r="2219" spans="1:77" s="337" customFormat="1" ht="11.25" customHeight="1">
      <c r="B2219" s="338" t="s">
        <v>291</v>
      </c>
      <c r="C2219" s="349"/>
      <c r="D2219" s="349"/>
      <c r="E2219" s="350" t="s">
        <v>1672</v>
      </c>
      <c r="F2219" s="337" t="s">
        <v>366</v>
      </c>
      <c r="G2219" s="351">
        <v>3564</v>
      </c>
      <c r="H2219" s="337" t="s">
        <v>27</v>
      </c>
      <c r="I2219" s="337" t="s">
        <v>156</v>
      </c>
      <c r="J2219" s="352">
        <v>17696.39</v>
      </c>
      <c r="K2219" s="353"/>
      <c r="L2219" s="352">
        <v>13.38</v>
      </c>
      <c r="M2219" s="352">
        <v>13.38</v>
      </c>
      <c r="N2219" s="354"/>
      <c r="O2219" s="355">
        <v>0.15</v>
      </c>
      <c r="P2219" s="355">
        <v>0.1</v>
      </c>
      <c r="Q2219" s="354">
        <v>0</v>
      </c>
      <c r="R2219" s="337" t="s">
        <v>35</v>
      </c>
      <c r="S2219" s="356" t="s">
        <v>41</v>
      </c>
      <c r="T2219" s="356">
        <v>86</v>
      </c>
      <c r="U2219" s="357" t="s">
        <v>164</v>
      </c>
      <c r="V2219" s="434"/>
      <c r="X2219" s="354">
        <v>0</v>
      </c>
      <c r="Y2219" s="354"/>
      <c r="AI2219" s="337">
        <v>0</v>
      </c>
      <c r="AJ2219" s="358"/>
      <c r="AK2219" s="369"/>
    </row>
    <row r="2220" spans="1:77" s="337" customFormat="1" ht="11.25" customHeight="1">
      <c r="B2220" s="338" t="s">
        <v>291</v>
      </c>
      <c r="C2220" s="349"/>
      <c r="D2220" s="349"/>
      <c r="E2220" s="350" t="s">
        <v>1672</v>
      </c>
      <c r="F2220" s="337" t="s">
        <v>366</v>
      </c>
      <c r="G2220" s="351">
        <v>3564</v>
      </c>
      <c r="H2220" s="337" t="s">
        <v>814</v>
      </c>
      <c r="I2220" s="337" t="s">
        <v>156</v>
      </c>
      <c r="J2220" s="352">
        <v>18482.099999999999</v>
      </c>
      <c r="K2220" s="353"/>
      <c r="L2220" s="352">
        <v>13.54</v>
      </c>
      <c r="M2220" s="352">
        <v>13.54</v>
      </c>
      <c r="N2220" s="354"/>
      <c r="O2220" s="355">
        <v>0.15</v>
      </c>
      <c r="P2220" s="355">
        <v>0.1</v>
      </c>
      <c r="Q2220" s="354">
        <v>0</v>
      </c>
      <c r="R2220" s="337" t="s">
        <v>35</v>
      </c>
      <c r="S2220" s="356" t="s">
        <v>41</v>
      </c>
      <c r="T2220" s="356">
        <v>86</v>
      </c>
      <c r="U2220" s="357" t="s">
        <v>164</v>
      </c>
      <c r="V2220" s="434"/>
      <c r="X2220" s="354">
        <v>0</v>
      </c>
      <c r="Y2220" s="354"/>
      <c r="AI2220" s="337">
        <v>0</v>
      </c>
      <c r="AJ2220" s="358"/>
      <c r="AK2220" s="369"/>
    </row>
    <row r="2221" spans="1:77" s="6" customFormat="1" ht="11.25" customHeight="1">
      <c r="A2221" s="379"/>
      <c r="B2221" s="380" t="s">
        <v>291</v>
      </c>
      <c r="C2221" s="381">
        <v>44719</v>
      </c>
      <c r="D2221" s="381">
        <v>44719</v>
      </c>
      <c r="E2221" s="382" t="s">
        <v>1673</v>
      </c>
      <c r="F2221" s="379" t="s">
        <v>221</v>
      </c>
      <c r="G2221" s="383">
        <v>4540</v>
      </c>
      <c r="H2221" s="379" t="s">
        <v>99</v>
      </c>
      <c r="I2221" s="379" t="s">
        <v>961</v>
      </c>
      <c r="J2221" s="385">
        <v>35934.699999999997</v>
      </c>
      <c r="K2221" s="384"/>
      <c r="L2221" s="385">
        <v>34.78</v>
      </c>
      <c r="M2221" s="385">
        <v>34.78</v>
      </c>
      <c r="N2221" s="386"/>
      <c r="O2221" s="387">
        <v>0.2</v>
      </c>
      <c r="P2221" s="387"/>
      <c r="Q2221" s="386">
        <v>0</v>
      </c>
      <c r="R2221" s="379" t="s">
        <v>146</v>
      </c>
      <c r="S2221" s="388" t="s">
        <v>113</v>
      </c>
      <c r="T2221" s="388">
        <v>31</v>
      </c>
      <c r="U2221" s="389" t="s">
        <v>164</v>
      </c>
      <c r="V2221" s="433"/>
      <c r="W2221" s="379"/>
      <c r="X2221" s="386">
        <v>0</v>
      </c>
      <c r="Y2221" s="386"/>
      <c r="Z2221" s="379"/>
      <c r="AA2221" s="379"/>
      <c r="AB2221" s="379"/>
      <c r="AC2221" s="379"/>
      <c r="AD2221" s="379"/>
      <c r="AE2221" s="379"/>
      <c r="AF2221" s="379"/>
      <c r="AG2221" s="379"/>
      <c r="AH2221" s="379"/>
      <c r="AI2221" s="379"/>
      <c r="AJ2221" s="390">
        <v>0</v>
      </c>
      <c r="AK2221" s="379"/>
      <c r="AL2221" s="379"/>
      <c r="AM2221" s="379"/>
      <c r="AN2221" s="379"/>
      <c r="AO2221" s="379"/>
      <c r="AP2221" s="379"/>
      <c r="AQ2221" s="379"/>
      <c r="AR2221" s="379"/>
      <c r="AS2221" s="379"/>
      <c r="AT2221" s="379"/>
      <c r="AU2221" s="379"/>
      <c r="AV2221" s="379"/>
      <c r="AW2221" s="379"/>
      <c r="AX2221" s="379"/>
      <c r="AY2221" s="379"/>
      <c r="AZ2221" s="379"/>
      <c r="BA2221" s="379"/>
      <c r="BB2221" s="379"/>
      <c r="BC2221" s="379"/>
      <c r="BD2221" s="379"/>
      <c r="BE2221" s="379"/>
      <c r="BF2221" s="379"/>
      <c r="BG2221" s="379"/>
      <c r="BH2221" s="379"/>
      <c r="BI2221" s="379"/>
      <c r="BJ2221" s="379"/>
      <c r="BK2221" s="379"/>
      <c r="BL2221" s="379"/>
      <c r="BM2221" s="379"/>
      <c r="BN2221" s="379"/>
      <c r="BO2221" s="379"/>
      <c r="BP2221" s="379"/>
      <c r="BQ2221" s="379"/>
      <c r="BR2221" s="379"/>
      <c r="BS2221" s="379"/>
      <c r="BT2221" s="379"/>
      <c r="BU2221" s="379"/>
      <c r="BV2221" s="379"/>
      <c r="BW2221" s="379"/>
      <c r="BX2221" s="379"/>
      <c r="BY2221" s="379"/>
    </row>
    <row r="2222" spans="1:77" s="6" customFormat="1" ht="11.25" customHeight="1">
      <c r="A2222" s="379"/>
      <c r="B2222" s="380" t="s">
        <v>291</v>
      </c>
      <c r="C2222" s="381"/>
      <c r="D2222" s="381"/>
      <c r="E2222" s="382" t="s">
        <v>1673</v>
      </c>
      <c r="F2222" s="379" t="s">
        <v>221</v>
      </c>
      <c r="G2222" s="383">
        <v>4540</v>
      </c>
      <c r="H2222" s="379" t="s">
        <v>27</v>
      </c>
      <c r="I2222" s="379" t="s">
        <v>961</v>
      </c>
      <c r="J2222" s="385">
        <v>21601.58</v>
      </c>
      <c r="K2222" s="384"/>
      <c r="L2222" s="385">
        <v>18.260000000000002</v>
      </c>
      <c r="M2222" s="385">
        <v>18.260000000000002</v>
      </c>
      <c r="N2222" s="386"/>
      <c r="O2222" s="387">
        <v>0.2</v>
      </c>
      <c r="P2222" s="387"/>
      <c r="Q2222" s="386">
        <v>0</v>
      </c>
      <c r="R2222" s="379" t="s">
        <v>146</v>
      </c>
      <c r="S2222" s="388" t="s">
        <v>113</v>
      </c>
      <c r="T2222" s="388">
        <v>31</v>
      </c>
      <c r="U2222" s="389" t="s">
        <v>164</v>
      </c>
      <c r="V2222" s="433"/>
      <c r="W2222" s="379"/>
      <c r="X2222" s="386">
        <v>0</v>
      </c>
      <c r="Y2222" s="386"/>
      <c r="Z2222" s="379"/>
      <c r="AA2222" s="379"/>
      <c r="AB2222" s="379"/>
      <c r="AC2222" s="379"/>
      <c r="AD2222" s="379"/>
      <c r="AE2222" s="379"/>
      <c r="AF2222" s="379"/>
      <c r="AG2222" s="379"/>
      <c r="AH2222" s="379"/>
      <c r="AI2222" s="379"/>
      <c r="AJ2222" s="390">
        <v>0</v>
      </c>
      <c r="AK2222" s="379"/>
      <c r="AL2222" s="379"/>
      <c r="AM2222" s="379"/>
      <c r="AN2222" s="379"/>
      <c r="AO2222" s="379"/>
      <c r="AP2222" s="379"/>
      <c r="AQ2222" s="379"/>
      <c r="AR2222" s="379"/>
      <c r="AS2222" s="379"/>
      <c r="AT2222" s="379"/>
      <c r="AU2222" s="379"/>
      <c r="AV2222" s="379"/>
      <c r="AW2222" s="379"/>
      <c r="AX2222" s="379"/>
      <c r="AY2222" s="379"/>
      <c r="AZ2222" s="379"/>
      <c r="BA2222" s="379"/>
      <c r="BB2222" s="379"/>
      <c r="BC2222" s="379"/>
      <c r="BD2222" s="379"/>
      <c r="BE2222" s="379"/>
      <c r="BF2222" s="379"/>
      <c r="BG2222" s="379"/>
      <c r="BH2222" s="379"/>
      <c r="BI2222" s="379"/>
      <c r="BJ2222" s="379"/>
      <c r="BK2222" s="379"/>
      <c r="BL2222" s="379"/>
      <c r="BM2222" s="379"/>
      <c r="BN2222" s="379"/>
      <c r="BO2222" s="379"/>
      <c r="BP2222" s="379"/>
      <c r="BQ2222" s="379"/>
      <c r="BR2222" s="379"/>
      <c r="BS2222" s="379"/>
      <c r="BT2222" s="379"/>
      <c r="BU2222" s="379"/>
      <c r="BV2222" s="379"/>
      <c r="BW2222" s="379"/>
      <c r="BX2222" s="379"/>
      <c r="BY2222" s="379"/>
    </row>
    <row r="2223" spans="1:77" s="379" customFormat="1" ht="11.25" customHeight="1">
      <c r="B2223" s="380" t="s">
        <v>291</v>
      </c>
      <c r="C2223" s="381">
        <v>44716</v>
      </c>
      <c r="D2223" s="381">
        <v>44719</v>
      </c>
      <c r="E2223" s="382" t="s">
        <v>1674</v>
      </c>
      <c r="F2223" s="379" t="s">
        <v>1675</v>
      </c>
      <c r="G2223" s="383" t="s">
        <v>1676</v>
      </c>
      <c r="H2223" s="379" t="s">
        <v>27</v>
      </c>
      <c r="I2223" s="379" t="s">
        <v>156</v>
      </c>
      <c r="J2223" s="385">
        <v>54212.09</v>
      </c>
      <c r="K2223" s="384"/>
      <c r="L2223" s="385">
        <v>37.53</v>
      </c>
      <c r="M2223" s="385">
        <v>37.53</v>
      </c>
      <c r="N2223" s="386">
        <f>J2223*0.22</f>
        <v>11926.659799999999</v>
      </c>
      <c r="O2223" s="387">
        <v>0.25</v>
      </c>
      <c r="P2223" s="387">
        <v>0.1</v>
      </c>
      <c r="Q2223" s="386">
        <v>0</v>
      </c>
      <c r="R2223" s="379" t="s">
        <v>29</v>
      </c>
      <c r="S2223" s="388" t="s">
        <v>51</v>
      </c>
      <c r="T2223" s="388">
        <v>52</v>
      </c>
      <c r="U2223" s="389" t="s">
        <v>164</v>
      </c>
      <c r="V2223" s="433"/>
      <c r="X2223" s="386">
        <v>0</v>
      </c>
      <c r="Y2223" s="386"/>
      <c r="AJ2223" s="390">
        <v>0</v>
      </c>
    </row>
    <row r="2224" spans="1:77" s="379" customFormat="1" ht="11.25" customHeight="1">
      <c r="B2224" s="380" t="s">
        <v>291</v>
      </c>
      <c r="C2224" s="381"/>
      <c r="D2224" s="381"/>
      <c r="E2224" s="382" t="s">
        <v>1674</v>
      </c>
      <c r="F2224" s="379" t="s">
        <v>1675</v>
      </c>
      <c r="G2224" s="383" t="s">
        <v>1676</v>
      </c>
      <c r="H2224" s="379" t="s">
        <v>183</v>
      </c>
      <c r="I2224" s="379" t="s">
        <v>156</v>
      </c>
      <c r="J2224" s="385">
        <v>15605.46</v>
      </c>
      <c r="K2224" s="384"/>
      <c r="L2224" s="385">
        <v>14.82</v>
      </c>
      <c r="M2224" s="385">
        <v>14.82</v>
      </c>
      <c r="N2224" s="386">
        <f>1684+179.01+1428.5+146.79</f>
        <v>3438.3</v>
      </c>
      <c r="O2224" s="387">
        <v>0.25</v>
      </c>
      <c r="P2224" s="387">
        <v>0.1</v>
      </c>
      <c r="Q2224" s="386">
        <v>0</v>
      </c>
      <c r="R2224" s="379" t="s">
        <v>29</v>
      </c>
      <c r="S2224" s="388" t="s">
        <v>51</v>
      </c>
      <c r="T2224" s="388">
        <v>52</v>
      </c>
      <c r="U2224" s="389" t="s">
        <v>164</v>
      </c>
      <c r="V2224" s="433"/>
      <c r="X2224" s="386">
        <v>0</v>
      </c>
      <c r="Y2224" s="386"/>
      <c r="AJ2224" s="390">
        <v>0</v>
      </c>
    </row>
    <row r="2225" spans="1:77" s="379" customFormat="1" ht="11.25" customHeight="1">
      <c r="B2225" s="380" t="s">
        <v>291</v>
      </c>
      <c r="C2225" s="381"/>
      <c r="D2225" s="381"/>
      <c r="E2225" s="382" t="s">
        <v>1674</v>
      </c>
      <c r="F2225" s="379" t="s">
        <v>1675</v>
      </c>
      <c r="G2225" s="383" t="s">
        <v>1676</v>
      </c>
      <c r="H2225" s="379" t="s">
        <v>99</v>
      </c>
      <c r="I2225" s="379" t="s">
        <v>156</v>
      </c>
      <c r="J2225" s="385">
        <v>47279.44</v>
      </c>
      <c r="K2225" s="384"/>
      <c r="L2225" s="385">
        <v>34.97</v>
      </c>
      <c r="M2225" s="385">
        <v>34.97</v>
      </c>
      <c r="N2225" s="386">
        <f>1433.8+3907.28+5519.54</f>
        <v>10860.619999999999</v>
      </c>
      <c r="O2225" s="387">
        <v>0.25</v>
      </c>
      <c r="P2225" s="387">
        <v>0.1</v>
      </c>
      <c r="Q2225" s="386">
        <v>0</v>
      </c>
      <c r="R2225" s="379" t="s">
        <v>29</v>
      </c>
      <c r="S2225" s="388" t="s">
        <v>51</v>
      </c>
      <c r="T2225" s="388">
        <v>52</v>
      </c>
      <c r="U2225" s="389" t="s">
        <v>164</v>
      </c>
      <c r="V2225" s="433"/>
      <c r="X2225" s="386">
        <v>0</v>
      </c>
      <c r="Y2225" s="386"/>
      <c r="AJ2225" s="390">
        <v>0</v>
      </c>
    </row>
    <row r="2226" spans="1:77" s="379" customFormat="1" ht="11.25" customHeight="1">
      <c r="B2226" s="380" t="s">
        <v>291</v>
      </c>
      <c r="C2226" s="381"/>
      <c r="D2226" s="381"/>
      <c r="E2226" s="382" t="s">
        <v>1674</v>
      </c>
      <c r="F2226" s="379" t="s">
        <v>1675</v>
      </c>
      <c r="G2226" s="383" t="s">
        <v>1676</v>
      </c>
      <c r="H2226" s="379" t="s">
        <v>137</v>
      </c>
      <c r="I2226" s="379" t="s">
        <v>156</v>
      </c>
      <c r="J2226" s="385">
        <v>25462.5</v>
      </c>
      <c r="K2226" s="384"/>
      <c r="L2226" s="385">
        <v>26.25</v>
      </c>
      <c r="M2226" s="385">
        <v>26.25</v>
      </c>
      <c r="N2226" s="386">
        <v>5601.75</v>
      </c>
      <c r="O2226" s="387">
        <v>0.25</v>
      </c>
      <c r="P2226" s="387">
        <v>0.1</v>
      </c>
      <c r="Q2226" s="386">
        <v>0</v>
      </c>
      <c r="R2226" s="379" t="s">
        <v>29</v>
      </c>
      <c r="S2226" s="388" t="s">
        <v>51</v>
      </c>
      <c r="T2226" s="388">
        <v>52</v>
      </c>
      <c r="U2226" s="389" t="s">
        <v>164</v>
      </c>
      <c r="V2226" s="433"/>
      <c r="X2226" s="386">
        <v>0</v>
      </c>
      <c r="Y2226" s="386"/>
      <c r="AJ2226" s="390">
        <v>0</v>
      </c>
    </row>
    <row r="2227" spans="1:77" s="379" customFormat="1" ht="11.25" customHeight="1">
      <c r="B2227" s="380" t="s">
        <v>291</v>
      </c>
      <c r="C2227" s="381"/>
      <c r="D2227" s="381"/>
      <c r="E2227" s="382" t="s">
        <v>1674</v>
      </c>
      <c r="F2227" s="379" t="s">
        <v>1675</v>
      </c>
      <c r="G2227" s="383" t="s">
        <v>1676</v>
      </c>
      <c r="H2227" s="379" t="s">
        <v>310</v>
      </c>
      <c r="I2227" s="379" t="s">
        <v>156</v>
      </c>
      <c r="J2227" s="385">
        <v>5107.1499999999996</v>
      </c>
      <c r="K2227" s="384"/>
      <c r="L2227" s="385">
        <v>6.69</v>
      </c>
      <c r="M2227" s="385">
        <v>6.69</v>
      </c>
      <c r="N2227" s="386">
        <f>J2227*0.19</f>
        <v>970.35849999999994</v>
      </c>
      <c r="O2227" s="387">
        <v>0.25</v>
      </c>
      <c r="P2227" s="387">
        <v>0.1</v>
      </c>
      <c r="Q2227" s="386">
        <v>386.35</v>
      </c>
      <c r="R2227" s="379" t="s">
        <v>29</v>
      </c>
      <c r="S2227" s="388" t="s">
        <v>51</v>
      </c>
      <c r="T2227" s="388">
        <v>52</v>
      </c>
      <c r="U2227" s="389" t="s">
        <v>164</v>
      </c>
      <c r="V2227" s="433"/>
      <c r="X2227" s="386">
        <v>386.35</v>
      </c>
      <c r="Y2227" s="386"/>
      <c r="AJ2227" s="416">
        <v>386.35</v>
      </c>
    </row>
    <row r="2228" spans="1:77" s="379" customFormat="1" ht="11.25" customHeight="1">
      <c r="B2228" s="380" t="s">
        <v>291</v>
      </c>
      <c r="C2228" s="381"/>
      <c r="D2228" s="381"/>
      <c r="E2228" s="382" t="s">
        <v>1674</v>
      </c>
      <c r="F2228" s="379" t="s">
        <v>1675</v>
      </c>
      <c r="G2228" s="383" t="s">
        <v>1676</v>
      </c>
      <c r="H2228" s="379" t="s">
        <v>941</v>
      </c>
      <c r="I2228" s="379" t="s">
        <v>156</v>
      </c>
      <c r="J2228" s="385">
        <v>4126.82</v>
      </c>
      <c r="K2228" s="384"/>
      <c r="L2228" s="385">
        <v>6.3</v>
      </c>
      <c r="M2228" s="385">
        <v>6.3</v>
      </c>
      <c r="N2228" s="386">
        <v>1526.92</v>
      </c>
      <c r="O2228" s="387">
        <v>0.25</v>
      </c>
      <c r="P2228" s="387">
        <v>0.1</v>
      </c>
      <c r="Q2228" s="386">
        <v>0</v>
      </c>
      <c r="R2228" s="379" t="s">
        <v>29</v>
      </c>
      <c r="S2228" s="388" t="s">
        <v>51</v>
      </c>
      <c r="T2228" s="388">
        <v>52</v>
      </c>
      <c r="U2228" s="389" t="s">
        <v>164</v>
      </c>
      <c r="V2228" s="433"/>
      <c r="X2228" s="386">
        <v>0</v>
      </c>
      <c r="Y2228" s="386"/>
      <c r="AJ2228" s="390">
        <v>0</v>
      </c>
    </row>
    <row r="2229" spans="1:77" s="181" customFormat="1" ht="11.25" customHeight="1">
      <c r="B2229" s="178" t="s">
        <v>291</v>
      </c>
      <c r="C2229" s="179">
        <v>44716</v>
      </c>
      <c r="D2229" s="179">
        <v>44719</v>
      </c>
      <c r="E2229" s="180" t="s">
        <v>1677</v>
      </c>
      <c r="F2229" s="181" t="s">
        <v>1678</v>
      </c>
      <c r="G2229" s="182" t="s">
        <v>1679</v>
      </c>
      <c r="H2229" s="181" t="s">
        <v>814</v>
      </c>
      <c r="I2229" s="181" t="s">
        <v>156</v>
      </c>
      <c r="J2229" s="183">
        <v>35123.199999999997</v>
      </c>
      <c r="K2229" s="190"/>
      <c r="L2229" s="183">
        <v>35.840000000000003</v>
      </c>
      <c r="M2229" s="183">
        <v>11.5</v>
      </c>
      <c r="N2229" s="185"/>
      <c r="O2229" s="186">
        <v>0.2</v>
      </c>
      <c r="P2229" s="186">
        <v>0.1</v>
      </c>
      <c r="Q2229" s="185">
        <v>0</v>
      </c>
      <c r="R2229" s="181" t="s">
        <v>285</v>
      </c>
      <c r="S2229" s="187" t="s">
        <v>275</v>
      </c>
      <c r="T2229" s="187">
        <v>21</v>
      </c>
      <c r="U2229" s="188" t="s">
        <v>164</v>
      </c>
      <c r="V2229" s="441"/>
      <c r="X2229" s="185">
        <v>0</v>
      </c>
      <c r="Y2229" s="185"/>
      <c r="AE2229" s="204">
        <f>X2229</f>
        <v>0</v>
      </c>
      <c r="AJ2229" s="189"/>
    </row>
    <row r="2230" spans="1:77" s="205" customFormat="1" ht="11.25" customHeight="1">
      <c r="B2230" s="206" t="s">
        <v>291</v>
      </c>
      <c r="C2230" s="207"/>
      <c r="D2230" s="207"/>
      <c r="E2230" s="208" t="s">
        <v>1683</v>
      </c>
      <c r="F2230" s="205" t="s">
        <v>1681</v>
      </c>
      <c r="G2230" s="209" t="s">
        <v>1682</v>
      </c>
      <c r="H2230" s="205" t="s">
        <v>99</v>
      </c>
      <c r="I2230" s="205" t="s">
        <v>156</v>
      </c>
      <c r="J2230" s="210">
        <v>83952.26</v>
      </c>
      <c r="K2230" s="219"/>
      <c r="L2230" s="210">
        <v>53.2</v>
      </c>
      <c r="M2230" s="210">
        <v>12.26</v>
      </c>
      <c r="N2230" s="213"/>
      <c r="O2230" s="212">
        <v>0.25</v>
      </c>
      <c r="P2230" s="212">
        <v>0.1</v>
      </c>
      <c r="Q2230" s="213">
        <v>1380.93</v>
      </c>
      <c r="R2230" s="205" t="s">
        <v>285</v>
      </c>
      <c r="S2230" s="214" t="s">
        <v>275</v>
      </c>
      <c r="T2230" s="214">
        <v>21</v>
      </c>
      <c r="U2230" s="215" t="s">
        <v>164</v>
      </c>
      <c r="V2230" s="438"/>
      <c r="X2230" s="213">
        <v>1380.93</v>
      </c>
      <c r="Y2230" s="213"/>
      <c r="AF2230" s="230">
        <f>X2230</f>
        <v>1380.93</v>
      </c>
      <c r="AJ2230" s="216"/>
    </row>
    <row r="2231" spans="1:77" s="205" customFormat="1" ht="11.25" customHeight="1">
      <c r="A2231" s="379"/>
      <c r="B2231" s="380" t="s">
        <v>291</v>
      </c>
      <c r="C2231" s="381"/>
      <c r="D2231" s="381"/>
      <c r="E2231" s="382" t="s">
        <v>1683</v>
      </c>
      <c r="F2231" s="379" t="s">
        <v>1681</v>
      </c>
      <c r="G2231" s="383" t="s">
        <v>1682</v>
      </c>
      <c r="H2231" s="379" t="s">
        <v>814</v>
      </c>
      <c r="I2231" s="379" t="s">
        <v>156</v>
      </c>
      <c r="J2231" s="385">
        <v>35796.199999999997</v>
      </c>
      <c r="K2231" s="384"/>
      <c r="L2231" s="385">
        <v>23.32</v>
      </c>
      <c r="M2231" s="385">
        <v>13.98</v>
      </c>
      <c r="N2231" s="386">
        <v>4935.6390000000001</v>
      </c>
      <c r="O2231" s="387">
        <v>0.25</v>
      </c>
      <c r="P2231" s="387">
        <v>0.1</v>
      </c>
      <c r="Q2231" s="386">
        <v>0</v>
      </c>
      <c r="R2231" s="379" t="s">
        <v>285</v>
      </c>
      <c r="S2231" s="388" t="s">
        <v>275</v>
      </c>
      <c r="T2231" s="388">
        <v>21</v>
      </c>
      <c r="U2231" s="389" t="s">
        <v>164</v>
      </c>
      <c r="V2231" s="433"/>
      <c r="W2231" s="379"/>
      <c r="X2231" s="386">
        <v>0</v>
      </c>
      <c r="Y2231" s="386"/>
      <c r="Z2231" s="379"/>
      <c r="AA2231" s="379"/>
      <c r="AB2231" s="379"/>
      <c r="AC2231" s="379"/>
      <c r="AD2231" s="379"/>
      <c r="AE2231" s="379"/>
      <c r="AF2231" s="379"/>
      <c r="AG2231" s="379"/>
      <c r="AH2231" s="379"/>
      <c r="AI2231" s="379"/>
      <c r="AJ2231" s="390">
        <v>0</v>
      </c>
      <c r="AK2231" s="379"/>
      <c r="AL2231" s="379"/>
      <c r="AM2231" s="379"/>
      <c r="AN2231" s="379"/>
      <c r="AO2231" s="379"/>
      <c r="AP2231" s="379"/>
      <c r="AQ2231" s="379"/>
      <c r="AR2231" s="379"/>
      <c r="AS2231" s="379"/>
      <c r="AT2231" s="379"/>
      <c r="AU2231" s="379"/>
      <c r="AV2231" s="379"/>
      <c r="AW2231" s="379"/>
      <c r="AX2231" s="379"/>
      <c r="AY2231" s="379"/>
      <c r="AZ2231" s="379"/>
      <c r="BA2231" s="379"/>
      <c r="BB2231" s="379"/>
      <c r="BC2231" s="379"/>
      <c r="BD2231" s="379"/>
      <c r="BE2231" s="379"/>
      <c r="BF2231" s="379"/>
      <c r="BG2231" s="379"/>
      <c r="BH2231" s="379"/>
      <c r="BI2231" s="379"/>
      <c r="BJ2231" s="379"/>
      <c r="BK2231" s="379"/>
      <c r="BL2231" s="379"/>
      <c r="BM2231" s="379"/>
      <c r="BN2231" s="379"/>
      <c r="BO2231" s="379"/>
      <c r="BP2231" s="379"/>
      <c r="BQ2231" s="379"/>
      <c r="BR2231" s="379"/>
      <c r="BS2231" s="379"/>
      <c r="BT2231" s="379"/>
      <c r="BU2231" s="379"/>
      <c r="BV2231" s="379"/>
      <c r="BW2231" s="379"/>
      <c r="BX2231" s="379"/>
      <c r="BY2231" s="379"/>
    </row>
    <row r="2232" spans="1:77" s="205" customFormat="1" ht="11.25" customHeight="1">
      <c r="B2232" s="206" t="s">
        <v>291</v>
      </c>
      <c r="C2232" s="207"/>
      <c r="D2232" s="207"/>
      <c r="E2232" s="208" t="s">
        <v>1683</v>
      </c>
      <c r="F2232" s="205" t="s">
        <v>1681</v>
      </c>
      <c r="G2232" s="209" t="s">
        <v>1682</v>
      </c>
      <c r="H2232" s="205" t="s">
        <v>27</v>
      </c>
      <c r="I2232" s="205" t="s">
        <v>156</v>
      </c>
      <c r="J2232" s="210">
        <v>59867.14</v>
      </c>
      <c r="K2232" s="219"/>
      <c r="L2232" s="210">
        <v>40.96</v>
      </c>
      <c r="M2232" s="210">
        <v>7.02</v>
      </c>
      <c r="N2232" s="213">
        <v>0</v>
      </c>
      <c r="O2232" s="212">
        <v>0.25</v>
      </c>
      <c r="P2232" s="212">
        <v>0.1</v>
      </c>
      <c r="Q2232" s="213">
        <v>0</v>
      </c>
      <c r="R2232" s="205" t="s">
        <v>285</v>
      </c>
      <c r="S2232" s="214" t="s">
        <v>275</v>
      </c>
      <c r="T2232" s="214">
        <v>21</v>
      </c>
      <c r="U2232" s="215" t="s">
        <v>164</v>
      </c>
      <c r="V2232" s="438"/>
      <c r="W2232" s="205" t="s">
        <v>3124</v>
      </c>
      <c r="X2232" s="213">
        <v>0</v>
      </c>
      <c r="Y2232" s="213"/>
      <c r="AF2232" s="230">
        <f>X2232</f>
        <v>0</v>
      </c>
      <c r="AJ2232" s="216"/>
    </row>
    <row r="2233" spans="1:77" s="205" customFormat="1" ht="11.25" customHeight="1">
      <c r="B2233" s="206" t="s">
        <v>291</v>
      </c>
      <c r="C2233" s="207">
        <v>44715</v>
      </c>
      <c r="D2233" s="207">
        <v>44719</v>
      </c>
      <c r="E2233" s="208" t="s">
        <v>1680</v>
      </c>
      <c r="F2233" s="205" t="s">
        <v>1681</v>
      </c>
      <c r="G2233" s="209" t="s">
        <v>1682</v>
      </c>
      <c r="H2233" s="205" t="s">
        <v>183</v>
      </c>
      <c r="I2233" s="205" t="s">
        <v>156</v>
      </c>
      <c r="J2233" s="210">
        <v>51224.4</v>
      </c>
      <c r="K2233" s="219"/>
      <c r="L2233" s="210">
        <v>33.479999999999997</v>
      </c>
      <c r="M2233" s="210">
        <v>21.62</v>
      </c>
      <c r="N2233" s="213"/>
      <c r="O2233" s="212">
        <v>0.25</v>
      </c>
      <c r="P2233" s="212">
        <v>0.1</v>
      </c>
      <c r="Q2233" s="213">
        <v>0</v>
      </c>
      <c r="R2233" s="205" t="s">
        <v>285</v>
      </c>
      <c r="S2233" s="214" t="s">
        <v>275</v>
      </c>
      <c r="T2233" s="214">
        <v>21</v>
      </c>
      <c r="U2233" s="215" t="s">
        <v>164</v>
      </c>
      <c r="V2233" s="438"/>
      <c r="X2233" s="213">
        <v>0</v>
      </c>
      <c r="Y2233" s="213"/>
      <c r="AF2233" s="230">
        <f>X2233</f>
        <v>0</v>
      </c>
      <c r="AJ2233" s="216"/>
    </row>
    <row r="2234" spans="1:77" s="337" customFormat="1" ht="11.25" customHeight="1">
      <c r="B2234" s="338" t="s">
        <v>291</v>
      </c>
      <c r="C2234" s="349"/>
      <c r="D2234" s="349"/>
      <c r="E2234" s="350" t="s">
        <v>1684</v>
      </c>
      <c r="F2234" s="337" t="s">
        <v>1711</v>
      </c>
      <c r="G2234" s="351">
        <v>4618</v>
      </c>
      <c r="H2234" s="337" t="s">
        <v>99</v>
      </c>
      <c r="I2234" s="337" t="s">
        <v>888</v>
      </c>
      <c r="J2234" s="352">
        <v>151897.20000000001</v>
      </c>
      <c r="K2234" s="353"/>
      <c r="L2234" s="352">
        <v>97.37</v>
      </c>
      <c r="M2234" s="352">
        <v>95</v>
      </c>
      <c r="N2234" s="354"/>
      <c r="O2234" s="355">
        <v>0.25</v>
      </c>
      <c r="P2234" s="355"/>
      <c r="Q2234" s="354">
        <v>13242.32</v>
      </c>
      <c r="R2234" s="337" t="s">
        <v>69</v>
      </c>
      <c r="S2234" s="356" t="s">
        <v>228</v>
      </c>
      <c r="T2234" s="356">
        <v>37</v>
      </c>
      <c r="U2234" s="357" t="s">
        <v>164</v>
      </c>
      <c r="V2234" s="434"/>
      <c r="X2234" s="354">
        <v>13242.32</v>
      </c>
      <c r="Y2234" s="354"/>
      <c r="AI2234" s="354">
        <v>13242.32</v>
      </c>
      <c r="AJ2234" s="358"/>
      <c r="AK2234" s="369"/>
    </row>
    <row r="2235" spans="1:77" s="291" customFormat="1" ht="11.25" customHeight="1">
      <c r="B2235" s="310" t="s">
        <v>291</v>
      </c>
      <c r="C2235" s="292">
        <v>44719</v>
      </c>
      <c r="D2235" s="292">
        <v>44719</v>
      </c>
      <c r="E2235" s="293" t="s">
        <v>1684</v>
      </c>
      <c r="F2235" s="291" t="s">
        <v>1711</v>
      </c>
      <c r="G2235" s="294">
        <v>4618</v>
      </c>
      <c r="H2235" s="291" t="s">
        <v>27</v>
      </c>
      <c r="I2235" s="291" t="s">
        <v>888</v>
      </c>
      <c r="J2235" s="296">
        <v>132046.35</v>
      </c>
      <c r="K2235" s="295"/>
      <c r="L2235" s="296">
        <v>83.31</v>
      </c>
      <c r="M2235" s="296">
        <v>86</v>
      </c>
      <c r="N2235" s="297"/>
      <c r="O2235" s="298">
        <v>0.25</v>
      </c>
      <c r="P2235" s="298"/>
      <c r="Q2235" s="297">
        <v>0</v>
      </c>
      <c r="R2235" s="291" t="s">
        <v>69</v>
      </c>
      <c r="S2235" s="299" t="s">
        <v>228</v>
      </c>
      <c r="T2235" s="299">
        <v>37</v>
      </c>
      <c r="U2235" s="300" t="s">
        <v>164</v>
      </c>
      <c r="V2235" s="333"/>
      <c r="X2235" s="297">
        <v>0</v>
      </c>
      <c r="Y2235" s="297"/>
      <c r="AH2235" s="291">
        <f>X2235</f>
        <v>0</v>
      </c>
      <c r="AI2235" s="311"/>
      <c r="AJ2235" s="468"/>
    </row>
    <row r="2236" spans="1:77" s="261" customFormat="1" ht="11.25" customHeight="1">
      <c r="B2236" s="258" t="s">
        <v>291</v>
      </c>
      <c r="C2236" s="259"/>
      <c r="D2236" s="259"/>
      <c r="E2236" s="260" t="s">
        <v>1684</v>
      </c>
      <c r="F2236" s="261" t="s">
        <v>1711</v>
      </c>
      <c r="G2236" s="262">
        <v>4618</v>
      </c>
      <c r="H2236" s="261" t="s">
        <v>183</v>
      </c>
      <c r="I2236" s="261" t="s">
        <v>888</v>
      </c>
      <c r="J2236" s="263">
        <v>35299.5</v>
      </c>
      <c r="K2236" s="264"/>
      <c r="L2236" s="263">
        <v>25.25</v>
      </c>
      <c r="M2236" s="263">
        <v>25</v>
      </c>
      <c r="N2236" s="265"/>
      <c r="O2236" s="266">
        <v>0.25</v>
      </c>
      <c r="P2236" s="266"/>
      <c r="Q2236" s="265">
        <v>0</v>
      </c>
      <c r="R2236" s="261" t="s">
        <v>69</v>
      </c>
      <c r="S2236" s="267" t="s">
        <v>228</v>
      </c>
      <c r="T2236" s="267">
        <v>37</v>
      </c>
      <c r="U2236" s="268" t="s">
        <v>164</v>
      </c>
      <c r="V2236" s="427"/>
      <c r="X2236" s="265">
        <v>0</v>
      </c>
      <c r="Y2236" s="265"/>
      <c r="AG2236" s="261">
        <f>X2236</f>
        <v>0</v>
      </c>
      <c r="AJ2236" s="642"/>
    </row>
    <row r="2237" spans="1:77" s="181" customFormat="1" ht="11.25" customHeight="1">
      <c r="B2237" s="178" t="s">
        <v>291</v>
      </c>
      <c r="C2237" s="179">
        <v>44716</v>
      </c>
      <c r="D2237" s="179">
        <v>44719</v>
      </c>
      <c r="E2237" s="180" t="s">
        <v>1685</v>
      </c>
      <c r="F2237" s="181" t="s">
        <v>1686</v>
      </c>
      <c r="G2237" s="182" t="s">
        <v>1687</v>
      </c>
      <c r="H2237" s="181" t="s">
        <v>765</v>
      </c>
      <c r="I2237" s="181" t="s">
        <v>156</v>
      </c>
      <c r="J2237" s="183">
        <v>24920.06</v>
      </c>
      <c r="K2237" s="190"/>
      <c r="L2237" s="183">
        <v>19.96</v>
      </c>
      <c r="M2237" s="183">
        <v>19.96</v>
      </c>
      <c r="N2237" s="185">
        <v>0</v>
      </c>
      <c r="O2237" s="186">
        <v>0.3</v>
      </c>
      <c r="P2237" s="186">
        <v>0.1</v>
      </c>
      <c r="Q2237" s="185">
        <v>0</v>
      </c>
      <c r="R2237" s="181" t="s">
        <v>251</v>
      </c>
      <c r="S2237" s="187" t="s">
        <v>74</v>
      </c>
      <c r="T2237" s="187">
        <v>32</v>
      </c>
      <c r="U2237" s="188" t="s">
        <v>164</v>
      </c>
      <c r="V2237" s="441"/>
      <c r="X2237" s="185">
        <v>0</v>
      </c>
      <c r="Y2237" s="185"/>
      <c r="AE2237" s="204">
        <f>X2237</f>
        <v>0</v>
      </c>
      <c r="AJ2237" s="189"/>
    </row>
    <row r="2238" spans="1:77" s="379" customFormat="1" ht="11.25" customHeight="1">
      <c r="B2238" s="380" t="s">
        <v>291</v>
      </c>
      <c r="C2238" s="381"/>
      <c r="D2238" s="381"/>
      <c r="E2238" s="382" t="s">
        <v>1688</v>
      </c>
      <c r="F2238" s="379" t="s">
        <v>1689</v>
      </c>
      <c r="G2238" s="383" t="s">
        <v>1690</v>
      </c>
      <c r="H2238" s="379" t="s">
        <v>866</v>
      </c>
      <c r="I2238" s="379" t="s">
        <v>156</v>
      </c>
      <c r="J2238" s="385">
        <v>49623.519999999997</v>
      </c>
      <c r="K2238" s="384"/>
      <c r="L2238" s="385">
        <v>37.479999999999997</v>
      </c>
      <c r="M2238" s="385">
        <v>37.479999999999997</v>
      </c>
      <c r="N2238" s="386">
        <v>12405.88</v>
      </c>
      <c r="O2238" s="387">
        <v>0.3</v>
      </c>
      <c r="P2238" s="387">
        <v>0.1</v>
      </c>
      <c r="Q2238" s="386">
        <v>0</v>
      </c>
      <c r="R2238" s="379" t="s">
        <v>251</v>
      </c>
      <c r="S2238" s="388" t="s">
        <v>74</v>
      </c>
      <c r="T2238" s="388">
        <v>32</v>
      </c>
      <c r="U2238" s="389" t="s">
        <v>164</v>
      </c>
      <c r="V2238" s="433"/>
      <c r="X2238" s="386">
        <v>0</v>
      </c>
      <c r="Y2238" s="386"/>
      <c r="AJ2238" s="390">
        <v>0</v>
      </c>
    </row>
    <row r="2239" spans="1:77" s="291" customFormat="1" ht="11.25" customHeight="1">
      <c r="B2239" s="310" t="s">
        <v>291</v>
      </c>
      <c r="C2239" s="292">
        <v>44716</v>
      </c>
      <c r="D2239" s="292">
        <v>44719</v>
      </c>
      <c r="E2239" s="293" t="s">
        <v>1688</v>
      </c>
      <c r="F2239" s="291" t="s">
        <v>1689</v>
      </c>
      <c r="G2239" s="294" t="s">
        <v>1690</v>
      </c>
      <c r="H2239" s="291" t="s">
        <v>99</v>
      </c>
      <c r="I2239" s="291" t="s">
        <v>156</v>
      </c>
      <c r="J2239" s="296">
        <v>39223.08</v>
      </c>
      <c r="K2239" s="295"/>
      <c r="L2239" s="296">
        <v>39.78</v>
      </c>
      <c r="M2239" s="296">
        <v>39.78</v>
      </c>
      <c r="N2239" s="297">
        <v>33339.618000000002</v>
      </c>
      <c r="O2239" s="298">
        <v>0.3</v>
      </c>
      <c r="P2239" s="298">
        <v>0.1</v>
      </c>
      <c r="Q2239" s="297">
        <v>20979.97</v>
      </c>
      <c r="R2239" s="291" t="s">
        <v>251</v>
      </c>
      <c r="S2239" s="299" t="s">
        <v>74</v>
      </c>
      <c r="T2239" s="299">
        <v>32</v>
      </c>
      <c r="U2239" s="300" t="s">
        <v>164</v>
      </c>
      <c r="V2239" s="333"/>
      <c r="X2239" s="297">
        <v>20979.97</v>
      </c>
      <c r="Y2239" s="297"/>
      <c r="AH2239" s="291">
        <f>X2239</f>
        <v>20979.97</v>
      </c>
      <c r="AI2239" s="311"/>
      <c r="AJ2239" s="468"/>
    </row>
    <row r="2240" spans="1:77" s="337" customFormat="1" ht="11.25" customHeight="1">
      <c r="B2240" s="338" t="s">
        <v>291</v>
      </c>
      <c r="C2240" s="349">
        <v>44716</v>
      </c>
      <c r="D2240" s="349">
        <v>44719</v>
      </c>
      <c r="E2240" s="350" t="s">
        <v>1691</v>
      </c>
      <c r="F2240" s="337" t="s">
        <v>1712</v>
      </c>
      <c r="G2240" s="351" t="s">
        <v>1692</v>
      </c>
      <c r="H2240" s="337" t="s">
        <v>138</v>
      </c>
      <c r="I2240" s="337" t="s">
        <v>156</v>
      </c>
      <c r="J2240" s="352">
        <v>16850.740000000002</v>
      </c>
      <c r="K2240" s="353"/>
      <c r="L2240" s="352">
        <v>17.09</v>
      </c>
      <c r="M2240" s="352">
        <v>17.09</v>
      </c>
      <c r="N2240" s="354">
        <v>13480.592000000001</v>
      </c>
      <c r="O2240" s="355">
        <v>0.3</v>
      </c>
      <c r="P2240" s="355">
        <v>0.1</v>
      </c>
      <c r="Q2240" s="354">
        <v>7304.27</v>
      </c>
      <c r="R2240" s="337" t="s">
        <v>251</v>
      </c>
      <c r="S2240" s="356" t="s">
        <v>74</v>
      </c>
      <c r="T2240" s="356">
        <v>32</v>
      </c>
      <c r="U2240" s="357" t="s">
        <v>164</v>
      </c>
      <c r="V2240" s="434"/>
      <c r="X2240" s="354">
        <v>7304.27</v>
      </c>
      <c r="Y2240" s="354"/>
      <c r="AI2240" s="354">
        <v>7304.27</v>
      </c>
      <c r="AJ2240" s="358"/>
      <c r="AK2240" s="369"/>
    </row>
    <row r="2241" spans="1:77" s="337" customFormat="1" ht="11.25" customHeight="1">
      <c r="B2241" s="338" t="s">
        <v>291</v>
      </c>
      <c r="C2241" s="349"/>
      <c r="D2241" s="349"/>
      <c r="E2241" s="350" t="s">
        <v>1691</v>
      </c>
      <c r="F2241" s="337" t="s">
        <v>1712</v>
      </c>
      <c r="G2241" s="351" t="s">
        <v>1692</v>
      </c>
      <c r="H2241" s="337" t="s">
        <v>99</v>
      </c>
      <c r="I2241" s="337" t="s">
        <v>156</v>
      </c>
      <c r="J2241" s="352">
        <v>27706.6</v>
      </c>
      <c r="K2241" s="353"/>
      <c r="L2241" s="352">
        <v>28.1</v>
      </c>
      <c r="M2241" s="352">
        <v>28.1</v>
      </c>
      <c r="N2241" s="354">
        <v>22719.412</v>
      </c>
      <c r="O2241" s="355">
        <v>0.3</v>
      </c>
      <c r="P2241" s="355">
        <v>0.1</v>
      </c>
      <c r="Q2241" s="354">
        <v>12571.94</v>
      </c>
      <c r="R2241" s="337" t="s">
        <v>251</v>
      </c>
      <c r="S2241" s="356" t="s">
        <v>74</v>
      </c>
      <c r="T2241" s="356">
        <v>32</v>
      </c>
      <c r="U2241" s="357" t="s">
        <v>164</v>
      </c>
      <c r="V2241" s="434"/>
      <c r="X2241" s="354">
        <v>12571.94</v>
      </c>
      <c r="Y2241" s="354"/>
      <c r="AI2241" s="354">
        <v>12571.94</v>
      </c>
      <c r="AJ2241" s="358"/>
      <c r="AK2241" s="369"/>
      <c r="AL2241" s="341"/>
      <c r="AM2241" s="341"/>
      <c r="AN2241" s="341"/>
      <c r="AO2241" s="341"/>
      <c r="AP2241" s="341"/>
      <c r="AQ2241" s="341"/>
      <c r="AR2241" s="341"/>
      <c r="AS2241" s="341"/>
      <c r="AT2241" s="341"/>
      <c r="AU2241" s="341"/>
      <c r="AV2241" s="341"/>
      <c r="AW2241" s="341"/>
      <c r="AX2241" s="341"/>
      <c r="AY2241" s="341"/>
      <c r="AZ2241" s="341"/>
      <c r="BA2241" s="341"/>
      <c r="BB2241" s="341"/>
      <c r="BC2241" s="341"/>
      <c r="BD2241" s="341"/>
      <c r="BE2241" s="341"/>
      <c r="BF2241" s="341"/>
      <c r="BG2241" s="341"/>
      <c r="BH2241" s="341"/>
      <c r="BI2241" s="341"/>
      <c r="BJ2241" s="341"/>
      <c r="BK2241" s="341"/>
      <c r="BL2241" s="341"/>
      <c r="BM2241" s="341"/>
      <c r="BN2241" s="341"/>
      <c r="BO2241" s="341"/>
      <c r="BP2241" s="341"/>
      <c r="BQ2241" s="341"/>
      <c r="BR2241" s="341"/>
      <c r="BS2241" s="341"/>
      <c r="BT2241" s="341"/>
      <c r="BU2241" s="341"/>
      <c r="BV2241" s="341"/>
      <c r="BW2241" s="341"/>
      <c r="BX2241" s="341"/>
      <c r="BY2241" s="341"/>
    </row>
    <row r="2242" spans="1:77" s="337" customFormat="1" ht="11.25" customHeight="1">
      <c r="B2242" s="338" t="s">
        <v>291</v>
      </c>
      <c r="C2242" s="349"/>
      <c r="D2242" s="349"/>
      <c r="E2242" s="350" t="s">
        <v>1691</v>
      </c>
      <c r="F2242" s="337" t="s">
        <v>1712</v>
      </c>
      <c r="G2242" s="351" t="s">
        <v>1692</v>
      </c>
      <c r="H2242" s="337" t="s">
        <v>910</v>
      </c>
      <c r="I2242" s="337" t="s">
        <v>156</v>
      </c>
      <c r="J2242" s="352">
        <v>96496.92</v>
      </c>
      <c r="K2242" s="353"/>
      <c r="L2242" s="352">
        <v>45.82</v>
      </c>
      <c r="M2242" s="352">
        <v>45.82</v>
      </c>
      <c r="N2242" s="354">
        <v>24124.23</v>
      </c>
      <c r="O2242" s="355">
        <v>0.3</v>
      </c>
      <c r="P2242" s="355">
        <v>0.1</v>
      </c>
      <c r="Q2242" s="354">
        <v>23369.15</v>
      </c>
      <c r="R2242" s="337" t="s">
        <v>251</v>
      </c>
      <c r="S2242" s="356" t="s">
        <v>74</v>
      </c>
      <c r="T2242" s="356">
        <v>32</v>
      </c>
      <c r="U2242" s="357" t="s">
        <v>164</v>
      </c>
      <c r="V2242" s="434"/>
      <c r="X2242" s="354">
        <v>23369.15</v>
      </c>
      <c r="Y2242" s="354"/>
      <c r="AI2242" s="354">
        <v>23369.15</v>
      </c>
      <c r="AJ2242" s="358"/>
      <c r="AK2242" s="369"/>
    </row>
    <row r="2243" spans="1:77" s="507" customFormat="1" ht="11.25" customHeight="1">
      <c r="B2243" s="508" t="s">
        <v>291</v>
      </c>
      <c r="C2243" s="509">
        <v>44719</v>
      </c>
      <c r="D2243" s="509">
        <v>44719</v>
      </c>
      <c r="E2243" s="510" t="s">
        <v>1693</v>
      </c>
      <c r="F2243" s="507" t="s">
        <v>1694</v>
      </c>
      <c r="G2243" s="521">
        <v>3677</v>
      </c>
      <c r="H2243" s="507" t="s">
        <v>99</v>
      </c>
      <c r="I2243" s="507" t="s">
        <v>33</v>
      </c>
      <c r="J2243" s="513">
        <v>117403.72</v>
      </c>
      <c r="K2243" s="512"/>
      <c r="L2243" s="513">
        <v>84.53</v>
      </c>
      <c r="M2243" s="513">
        <v>84.53</v>
      </c>
      <c r="N2243" s="514">
        <f>J2243*0.15</f>
        <v>17610.558000000001</v>
      </c>
      <c r="O2243" s="515">
        <v>0.25</v>
      </c>
      <c r="P2243" s="515"/>
      <c r="Q2243" s="514">
        <v>0</v>
      </c>
      <c r="R2243" s="507" t="s">
        <v>50</v>
      </c>
      <c r="S2243" s="516" t="s">
        <v>51</v>
      </c>
      <c r="T2243" s="516">
        <v>55</v>
      </c>
      <c r="U2243" s="517" t="s">
        <v>164</v>
      </c>
      <c r="V2243" s="518"/>
      <c r="X2243" s="514">
        <v>0</v>
      </c>
      <c r="Y2243" s="514"/>
      <c r="AJ2243" s="522"/>
      <c r="AL2243" s="507">
        <v>0</v>
      </c>
    </row>
    <row r="2244" spans="1:77" s="507" customFormat="1" ht="11.25" customHeight="1">
      <c r="B2244" s="508" t="s">
        <v>291</v>
      </c>
      <c r="C2244" s="509"/>
      <c r="D2244" s="509"/>
      <c r="E2244" s="510" t="s">
        <v>1693</v>
      </c>
      <c r="F2244" s="507" t="s">
        <v>1694</v>
      </c>
      <c r="G2244" s="521">
        <v>3677</v>
      </c>
      <c r="H2244" s="507" t="s">
        <v>137</v>
      </c>
      <c r="I2244" s="507" t="s">
        <v>33</v>
      </c>
      <c r="J2244" s="513">
        <v>60414.84</v>
      </c>
      <c r="K2244" s="512"/>
      <c r="L2244" s="513">
        <v>53.37</v>
      </c>
      <c r="M2244" s="513">
        <v>53.37</v>
      </c>
      <c r="N2244" s="514">
        <f>44394.24355-N2243</f>
        <v>26783.685549999998</v>
      </c>
      <c r="O2244" s="515">
        <v>0.25</v>
      </c>
      <c r="P2244" s="515"/>
      <c r="Q2244" s="514">
        <v>0</v>
      </c>
      <c r="R2244" s="507" t="s">
        <v>50</v>
      </c>
      <c r="S2244" s="516" t="s">
        <v>51</v>
      </c>
      <c r="T2244" s="516">
        <v>55</v>
      </c>
      <c r="U2244" s="517" t="s">
        <v>164</v>
      </c>
      <c r="V2244" s="518"/>
      <c r="X2244" s="514">
        <v>0</v>
      </c>
      <c r="Y2244" s="514"/>
      <c r="AJ2244" s="522"/>
      <c r="AL2244" s="507">
        <v>0</v>
      </c>
    </row>
    <row r="2245" spans="1:77" s="291" customFormat="1" ht="11.25" customHeight="1">
      <c r="B2245" s="310" t="s">
        <v>291</v>
      </c>
      <c r="C2245" s="292">
        <v>44697</v>
      </c>
      <c r="D2245" s="292">
        <v>44719</v>
      </c>
      <c r="E2245" s="293" t="s">
        <v>1695</v>
      </c>
      <c r="F2245" s="291" t="s">
        <v>1713</v>
      </c>
      <c r="G2245" s="294">
        <v>4503</v>
      </c>
      <c r="H2245" s="291" t="s">
        <v>99</v>
      </c>
      <c r="I2245" s="291" t="s">
        <v>33</v>
      </c>
      <c r="J2245" s="296">
        <v>30451.74</v>
      </c>
      <c r="K2245" s="295"/>
      <c r="L2245" s="296">
        <v>24.94</v>
      </c>
      <c r="M2245" s="296">
        <v>24.94</v>
      </c>
      <c r="N2245" s="297">
        <f>1522.587</f>
        <v>1522.587</v>
      </c>
      <c r="O2245" s="298">
        <v>0.25</v>
      </c>
      <c r="P2245" s="298"/>
      <c r="Q2245" s="297">
        <v>0</v>
      </c>
      <c r="R2245" s="291" t="s">
        <v>46</v>
      </c>
      <c r="S2245" s="299" t="s">
        <v>65</v>
      </c>
      <c r="T2245" s="299">
        <v>28</v>
      </c>
      <c r="U2245" s="300" t="s">
        <v>164</v>
      </c>
      <c r="V2245" s="333"/>
      <c r="X2245" s="297">
        <v>0</v>
      </c>
      <c r="Y2245" s="297"/>
      <c r="AH2245" s="291">
        <f>X2245</f>
        <v>0</v>
      </c>
      <c r="AI2245" s="311"/>
      <c r="AJ2245" s="468"/>
    </row>
    <row r="2246" spans="1:77" s="291" customFormat="1" ht="11.25" customHeight="1">
      <c r="B2246" s="310" t="s">
        <v>291</v>
      </c>
      <c r="C2246" s="292"/>
      <c r="D2246" s="292"/>
      <c r="E2246" s="293" t="s">
        <v>1695</v>
      </c>
      <c r="F2246" s="291" t="s">
        <v>1713</v>
      </c>
      <c r="G2246" s="294">
        <v>4503</v>
      </c>
      <c r="H2246" s="291" t="s">
        <v>99</v>
      </c>
      <c r="I2246" s="291" t="s">
        <v>33</v>
      </c>
      <c r="J2246" s="296">
        <v>51526.2</v>
      </c>
      <c r="K2246" s="295"/>
      <c r="L2246" s="296">
        <v>42.2</v>
      </c>
      <c r="M2246" s="296">
        <v>42.2</v>
      </c>
      <c r="N2246" s="297">
        <v>5152.62</v>
      </c>
      <c r="O2246" s="298">
        <v>0.25</v>
      </c>
      <c r="P2246" s="298"/>
      <c r="Q2246" s="297">
        <v>0</v>
      </c>
      <c r="R2246" s="291" t="s">
        <v>46</v>
      </c>
      <c r="S2246" s="299" t="s">
        <v>65</v>
      </c>
      <c r="T2246" s="299">
        <v>61</v>
      </c>
      <c r="U2246" s="300" t="s">
        <v>164</v>
      </c>
      <c r="V2246" s="333"/>
      <c r="X2246" s="297">
        <v>0</v>
      </c>
      <c r="Y2246" s="297"/>
      <c r="AH2246" s="291">
        <f>X2246</f>
        <v>0</v>
      </c>
      <c r="AI2246" s="311"/>
      <c r="AJ2246" s="468"/>
    </row>
    <row r="2247" spans="1:77" s="291" customFormat="1" ht="11.25" customHeight="1">
      <c r="B2247" s="310" t="s">
        <v>291</v>
      </c>
      <c r="C2247" s="292"/>
      <c r="D2247" s="292"/>
      <c r="E2247" s="293" t="s">
        <v>1695</v>
      </c>
      <c r="F2247" s="291" t="s">
        <v>1713</v>
      </c>
      <c r="G2247" s="294">
        <v>4503</v>
      </c>
      <c r="H2247" s="291" t="s">
        <v>27</v>
      </c>
      <c r="I2247" s="291" t="s">
        <v>33</v>
      </c>
      <c r="J2247" s="296">
        <v>73357.19</v>
      </c>
      <c r="K2247" s="295"/>
      <c r="L2247" s="296">
        <v>53.52</v>
      </c>
      <c r="M2247" s="296">
        <v>53.52</v>
      </c>
      <c r="N2247" s="297">
        <v>3667.8593999999998</v>
      </c>
      <c r="O2247" s="298">
        <v>0.25</v>
      </c>
      <c r="P2247" s="298"/>
      <c r="Q2247" s="297">
        <v>0</v>
      </c>
      <c r="R2247" s="291" t="s">
        <v>46</v>
      </c>
      <c r="S2247" s="299" t="s">
        <v>65</v>
      </c>
      <c r="T2247" s="299">
        <v>28</v>
      </c>
      <c r="U2247" s="300" t="s">
        <v>164</v>
      </c>
      <c r="V2247" s="333"/>
      <c r="X2247" s="297">
        <v>0</v>
      </c>
      <c r="Y2247" s="297"/>
      <c r="AH2247" s="291">
        <f>X2247</f>
        <v>0</v>
      </c>
      <c r="AI2247" s="311"/>
      <c r="AJ2247" s="468"/>
    </row>
    <row r="2248" spans="1:77" s="291" customFormat="1" ht="11.25" customHeight="1">
      <c r="B2248" s="310" t="s">
        <v>291</v>
      </c>
      <c r="C2248" s="292"/>
      <c r="D2248" s="292"/>
      <c r="E2248" s="293" t="s">
        <v>1695</v>
      </c>
      <c r="F2248" s="291" t="s">
        <v>1713</v>
      </c>
      <c r="G2248" s="294">
        <v>4503</v>
      </c>
      <c r="H2248" s="291" t="s">
        <v>27</v>
      </c>
      <c r="I2248" s="291" t="s">
        <v>33</v>
      </c>
      <c r="J2248" s="296">
        <v>5756.73</v>
      </c>
      <c r="K2248" s="295"/>
      <c r="L2248" s="296">
        <v>4.2</v>
      </c>
      <c r="M2248" s="296">
        <v>4.2</v>
      </c>
      <c r="N2248" s="297">
        <v>575.673</v>
      </c>
      <c r="O2248" s="298">
        <v>0.25</v>
      </c>
      <c r="P2248" s="298"/>
      <c r="Q2248" s="297">
        <v>0</v>
      </c>
      <c r="R2248" s="291" t="s">
        <v>46</v>
      </c>
      <c r="S2248" s="299" t="s">
        <v>65</v>
      </c>
      <c r="T2248" s="299">
        <v>61</v>
      </c>
      <c r="U2248" s="300" t="s">
        <v>164</v>
      </c>
      <c r="V2248" s="333"/>
      <c r="X2248" s="297">
        <v>0</v>
      </c>
      <c r="Y2248" s="297"/>
      <c r="AH2248" s="291">
        <f>X2248</f>
        <v>0</v>
      </c>
      <c r="AI2248" s="311"/>
      <c r="AJ2248" s="468"/>
    </row>
    <row r="2249" spans="1:77" s="291" customFormat="1" ht="11.25" customHeight="1">
      <c r="B2249" s="310" t="s">
        <v>291</v>
      </c>
      <c r="C2249" s="292"/>
      <c r="D2249" s="292"/>
      <c r="E2249" s="293" t="s">
        <v>1695</v>
      </c>
      <c r="F2249" s="291" t="s">
        <v>1713</v>
      </c>
      <c r="G2249" s="294">
        <v>4503</v>
      </c>
      <c r="H2249" s="291" t="s">
        <v>1372</v>
      </c>
      <c r="I2249" s="291" t="s">
        <v>33</v>
      </c>
      <c r="J2249" s="296">
        <v>957.6</v>
      </c>
      <c r="K2249" s="295"/>
      <c r="L2249" s="296">
        <v>2.2799999999999998</v>
      </c>
      <c r="M2249" s="296">
        <v>2.2799999999999998</v>
      </c>
      <c r="N2249" s="297">
        <v>574.55999999999995</v>
      </c>
      <c r="O2249" s="298">
        <v>0.25</v>
      </c>
      <c r="P2249" s="298"/>
      <c r="Q2249" s="297">
        <v>0</v>
      </c>
      <c r="R2249" s="291" t="s">
        <v>46</v>
      </c>
      <c r="S2249" s="299" t="s">
        <v>65</v>
      </c>
      <c r="T2249" s="299">
        <v>28</v>
      </c>
      <c r="U2249" s="300" t="s">
        <v>164</v>
      </c>
      <c r="V2249" s="333"/>
      <c r="X2249" s="297">
        <v>0</v>
      </c>
      <c r="Y2249" s="297"/>
      <c r="AH2249" s="291">
        <f>X2249</f>
        <v>0</v>
      </c>
      <c r="AI2249" s="311"/>
      <c r="AJ2249" s="468"/>
    </row>
    <row r="2250" spans="1:77" s="337" customFormat="1" ht="11.25" customHeight="1">
      <c r="B2250" s="338" t="s">
        <v>291</v>
      </c>
      <c r="C2250" s="349">
        <v>44719</v>
      </c>
      <c r="D2250" s="349">
        <v>44719</v>
      </c>
      <c r="E2250" s="350" t="s">
        <v>1696</v>
      </c>
      <c r="F2250" s="337" t="s">
        <v>1698</v>
      </c>
      <c r="G2250" s="351" t="s">
        <v>1697</v>
      </c>
      <c r="H2250" s="337" t="s">
        <v>99</v>
      </c>
      <c r="I2250" s="337" t="s">
        <v>156</v>
      </c>
      <c r="J2250" s="352">
        <v>141488.99</v>
      </c>
      <c r="K2250" s="353"/>
      <c r="L2250" s="352">
        <v>114.39</v>
      </c>
      <c r="M2250" s="352">
        <v>114.37</v>
      </c>
      <c r="N2250" s="354"/>
      <c r="O2250" s="355">
        <v>0.25</v>
      </c>
      <c r="P2250" s="355">
        <v>0.1</v>
      </c>
      <c r="Q2250" s="354">
        <v>52937.29</v>
      </c>
      <c r="R2250" s="337" t="s">
        <v>285</v>
      </c>
      <c r="S2250" s="356" t="s">
        <v>275</v>
      </c>
      <c r="T2250" s="356">
        <v>89</v>
      </c>
      <c r="U2250" s="357" t="s">
        <v>164</v>
      </c>
      <c r="V2250" s="434"/>
      <c r="X2250" s="354">
        <v>52937.29</v>
      </c>
      <c r="Y2250" s="354"/>
      <c r="AI2250" s="354">
        <v>52937.29</v>
      </c>
      <c r="AJ2250" s="358"/>
      <c r="AK2250" s="369"/>
      <c r="AL2250" s="341"/>
      <c r="AM2250" s="341"/>
      <c r="AN2250" s="341"/>
      <c r="AO2250" s="341"/>
      <c r="AP2250" s="341"/>
      <c r="AQ2250" s="341"/>
      <c r="AR2250" s="341"/>
      <c r="AS2250" s="341"/>
      <c r="AT2250" s="341"/>
      <c r="AU2250" s="341"/>
      <c r="AV2250" s="341"/>
      <c r="AW2250" s="341"/>
      <c r="AX2250" s="341"/>
      <c r="AY2250" s="341"/>
      <c r="AZ2250" s="341"/>
      <c r="BA2250" s="341"/>
      <c r="BB2250" s="341"/>
      <c r="BC2250" s="341"/>
      <c r="BD2250" s="341"/>
      <c r="BE2250" s="341"/>
      <c r="BF2250" s="341"/>
      <c r="BG2250" s="341"/>
      <c r="BH2250" s="341"/>
      <c r="BI2250" s="341"/>
      <c r="BJ2250" s="341"/>
      <c r="BK2250" s="341"/>
      <c r="BL2250" s="341"/>
      <c r="BM2250" s="341"/>
      <c r="BN2250" s="341"/>
      <c r="BO2250" s="341"/>
      <c r="BP2250" s="341"/>
      <c r="BQ2250" s="341"/>
      <c r="BR2250" s="341"/>
      <c r="BS2250" s="341"/>
      <c r="BT2250" s="341"/>
      <c r="BU2250" s="341"/>
      <c r="BV2250" s="341"/>
      <c r="BW2250" s="341"/>
      <c r="BX2250" s="341"/>
      <c r="BY2250" s="341"/>
    </row>
    <row r="2251" spans="1:77" s="337" customFormat="1" ht="11.25" customHeight="1">
      <c r="B2251" s="338" t="s">
        <v>291</v>
      </c>
      <c r="C2251" s="349"/>
      <c r="D2251" s="349"/>
      <c r="E2251" s="350" t="s">
        <v>1696</v>
      </c>
      <c r="F2251" s="337" t="s">
        <v>1698</v>
      </c>
      <c r="G2251" s="351" t="s">
        <v>1697</v>
      </c>
      <c r="H2251" s="337" t="s">
        <v>27</v>
      </c>
      <c r="I2251" s="337" t="s">
        <v>156</v>
      </c>
      <c r="J2251" s="352">
        <v>46344.959999999999</v>
      </c>
      <c r="K2251" s="353"/>
      <c r="L2251" s="352">
        <v>34.56</v>
      </c>
      <c r="M2251" s="352">
        <v>34.56</v>
      </c>
      <c r="N2251" s="354"/>
      <c r="O2251" s="355">
        <v>0.25</v>
      </c>
      <c r="P2251" s="355">
        <v>0.1</v>
      </c>
      <c r="Q2251" s="354">
        <v>20616.080000000002</v>
      </c>
      <c r="R2251" s="337" t="s">
        <v>285</v>
      </c>
      <c r="S2251" s="356" t="s">
        <v>275</v>
      </c>
      <c r="T2251" s="356">
        <v>89</v>
      </c>
      <c r="U2251" s="357" t="s">
        <v>164</v>
      </c>
      <c r="V2251" s="434"/>
      <c r="X2251" s="354">
        <v>20616.080000000002</v>
      </c>
      <c r="Y2251" s="354"/>
      <c r="AI2251" s="354">
        <v>20616.080000000002</v>
      </c>
      <c r="AJ2251" s="358"/>
      <c r="AK2251" s="369"/>
      <c r="AL2251" s="341"/>
      <c r="AM2251" s="341"/>
      <c r="AN2251" s="341"/>
      <c r="AO2251" s="341"/>
      <c r="AP2251" s="341"/>
      <c r="AQ2251" s="341"/>
      <c r="AR2251" s="341"/>
      <c r="AS2251" s="341"/>
      <c r="AT2251" s="341"/>
      <c r="AU2251" s="341"/>
      <c r="AV2251" s="341"/>
      <c r="AW2251" s="341"/>
      <c r="AX2251" s="341"/>
      <c r="AY2251" s="341"/>
      <c r="AZ2251" s="341"/>
      <c r="BA2251" s="341"/>
      <c r="BB2251" s="341"/>
      <c r="BC2251" s="341"/>
      <c r="BD2251" s="341"/>
      <c r="BE2251" s="341"/>
      <c r="BF2251" s="341"/>
      <c r="BG2251" s="341"/>
      <c r="BH2251" s="341"/>
      <c r="BI2251" s="341"/>
      <c r="BJ2251" s="341"/>
      <c r="BK2251" s="341"/>
      <c r="BL2251" s="341"/>
      <c r="BM2251" s="341"/>
      <c r="BN2251" s="341"/>
      <c r="BO2251" s="341"/>
      <c r="BP2251" s="341"/>
      <c r="BQ2251" s="341"/>
      <c r="BR2251" s="341"/>
      <c r="BS2251" s="341"/>
      <c r="BT2251" s="341"/>
      <c r="BU2251" s="341"/>
      <c r="BV2251" s="341"/>
      <c r="BW2251" s="341"/>
      <c r="BX2251" s="341"/>
      <c r="BY2251" s="341"/>
    </row>
    <row r="2252" spans="1:77" s="337" customFormat="1" ht="11.25" customHeight="1">
      <c r="B2252" s="338" t="s">
        <v>291</v>
      </c>
      <c r="C2252" s="349"/>
      <c r="D2252" s="349"/>
      <c r="E2252" s="350" t="s">
        <v>1696</v>
      </c>
      <c r="F2252" s="337" t="s">
        <v>1698</v>
      </c>
      <c r="G2252" s="351" t="s">
        <v>1697</v>
      </c>
      <c r="H2252" s="337" t="s">
        <v>183</v>
      </c>
      <c r="I2252" s="337" t="s">
        <v>156</v>
      </c>
      <c r="J2252" s="352">
        <v>35285.22</v>
      </c>
      <c r="K2252" s="353"/>
      <c r="L2252" s="352">
        <v>28.41</v>
      </c>
      <c r="M2252" s="352">
        <v>28.4</v>
      </c>
      <c r="N2252" s="354"/>
      <c r="O2252" s="355">
        <v>0.25</v>
      </c>
      <c r="P2252" s="355">
        <v>0.1</v>
      </c>
      <c r="Q2252" s="354">
        <v>19070.46</v>
      </c>
      <c r="R2252" s="337" t="s">
        <v>285</v>
      </c>
      <c r="S2252" s="356" t="s">
        <v>275</v>
      </c>
      <c r="T2252" s="356">
        <v>89</v>
      </c>
      <c r="U2252" s="357" t="s">
        <v>164</v>
      </c>
      <c r="V2252" s="434"/>
      <c r="X2252" s="354">
        <v>19070.46</v>
      </c>
      <c r="Y2252" s="354"/>
      <c r="AI2252" s="354">
        <v>19070.46</v>
      </c>
      <c r="AJ2252" s="358"/>
      <c r="AK2252" s="369"/>
      <c r="AL2252" s="341"/>
      <c r="AM2252" s="341"/>
      <c r="AN2252" s="341"/>
      <c r="AO2252" s="341"/>
      <c r="AP2252" s="341"/>
      <c r="AQ2252" s="341"/>
      <c r="AR2252" s="341"/>
      <c r="AS2252" s="341"/>
      <c r="AT2252" s="341"/>
      <c r="AU2252" s="341"/>
      <c r="AV2252" s="341"/>
      <c r="AW2252" s="341"/>
      <c r="AX2252" s="341"/>
      <c r="AY2252" s="341"/>
      <c r="AZ2252" s="341"/>
      <c r="BA2252" s="341"/>
      <c r="BB2252" s="341"/>
      <c r="BC2252" s="341"/>
      <c r="BD2252" s="341"/>
      <c r="BE2252" s="341"/>
      <c r="BF2252" s="341"/>
      <c r="BG2252" s="341"/>
      <c r="BH2252" s="341"/>
      <c r="BI2252" s="341"/>
      <c r="BJ2252" s="341"/>
      <c r="BK2252" s="341"/>
      <c r="BL2252" s="341"/>
      <c r="BM2252" s="341"/>
      <c r="BN2252" s="341"/>
      <c r="BO2252" s="341"/>
      <c r="BP2252" s="341"/>
      <c r="BQ2252" s="341"/>
      <c r="BR2252" s="341"/>
      <c r="BS2252" s="341"/>
      <c r="BT2252" s="341"/>
      <c r="BU2252" s="341"/>
      <c r="BV2252" s="341"/>
      <c r="BW2252" s="341"/>
      <c r="BX2252" s="341"/>
      <c r="BY2252" s="341"/>
    </row>
    <row r="2253" spans="1:77" s="379" customFormat="1" ht="11.25" customHeight="1">
      <c r="B2253" s="380" t="s">
        <v>291</v>
      </c>
      <c r="C2253" s="381"/>
      <c r="D2253" s="381"/>
      <c r="E2253" s="382" t="s">
        <v>1696</v>
      </c>
      <c r="F2253" s="379" t="s">
        <v>1698</v>
      </c>
      <c r="G2253" s="383" t="s">
        <v>1697</v>
      </c>
      <c r="H2253" s="379" t="s">
        <v>765</v>
      </c>
      <c r="I2253" s="379" t="s">
        <v>156</v>
      </c>
      <c r="J2253" s="385">
        <v>16815.62</v>
      </c>
      <c r="K2253" s="384"/>
      <c r="L2253" s="385">
        <v>14.48</v>
      </c>
      <c r="M2253" s="385">
        <v>14.48</v>
      </c>
      <c r="N2253" s="386"/>
      <c r="O2253" s="387">
        <v>0.25</v>
      </c>
      <c r="P2253" s="387">
        <v>0.1</v>
      </c>
      <c r="Q2253" s="386">
        <v>4123.62</v>
      </c>
      <c r="R2253" s="379" t="s">
        <v>285</v>
      </c>
      <c r="S2253" s="388" t="s">
        <v>275</v>
      </c>
      <c r="T2253" s="388">
        <v>89</v>
      </c>
      <c r="U2253" s="389" t="s">
        <v>164</v>
      </c>
      <c r="V2253" s="433"/>
      <c r="W2253" s="379" t="s">
        <v>3952</v>
      </c>
      <c r="X2253" s="386">
        <v>4123.62</v>
      </c>
      <c r="Y2253" s="386"/>
      <c r="AE2253" s="391"/>
      <c r="AI2253" s="394"/>
      <c r="AJ2253" s="416">
        <v>4123.62</v>
      </c>
    </row>
    <row r="2254" spans="1:77" s="379" customFormat="1" ht="11.25" customHeight="1">
      <c r="A2254" s="473"/>
      <c r="B2254" s="486" t="s">
        <v>291</v>
      </c>
      <c r="C2254" s="487"/>
      <c r="D2254" s="487"/>
      <c r="E2254" s="488" t="s">
        <v>1699</v>
      </c>
      <c r="F2254" s="473" t="s">
        <v>1714</v>
      </c>
      <c r="G2254" s="489">
        <v>4520</v>
      </c>
      <c r="H2254" s="473" t="s">
        <v>765</v>
      </c>
      <c r="I2254" s="473" t="s">
        <v>1168</v>
      </c>
      <c r="J2254" s="490">
        <v>11250.9</v>
      </c>
      <c r="K2254" s="491"/>
      <c r="L2254" s="490">
        <v>9.26</v>
      </c>
      <c r="M2254" s="490">
        <v>9.26</v>
      </c>
      <c r="N2254" s="492"/>
      <c r="O2254" s="493">
        <v>0.3</v>
      </c>
      <c r="P2254" s="493">
        <v>0.1</v>
      </c>
      <c r="Q2254" s="492">
        <v>0</v>
      </c>
      <c r="R2254" s="473" t="s">
        <v>35</v>
      </c>
      <c r="S2254" s="481" t="s">
        <v>41</v>
      </c>
      <c r="T2254" s="481">
        <v>16</v>
      </c>
      <c r="U2254" s="494" t="s">
        <v>164</v>
      </c>
      <c r="V2254" s="495"/>
      <c r="W2254" s="473"/>
      <c r="X2254" s="492">
        <v>0</v>
      </c>
      <c r="Y2254" s="492"/>
      <c r="Z2254" s="473"/>
      <c r="AA2254" s="473"/>
      <c r="AB2254" s="473"/>
      <c r="AC2254" s="473"/>
      <c r="AD2254" s="473"/>
      <c r="AE2254" s="473"/>
      <c r="AF2254" s="473"/>
      <c r="AG2254" s="473"/>
      <c r="AH2254" s="473"/>
      <c r="AI2254" s="472"/>
      <c r="AJ2254" s="485"/>
      <c r="AK2254" s="473">
        <v>0</v>
      </c>
      <c r="AL2254" s="473"/>
      <c r="AM2254" s="473"/>
      <c r="AN2254" s="473"/>
      <c r="AO2254" s="473"/>
      <c r="AP2254" s="473"/>
      <c r="AQ2254" s="473"/>
      <c r="AR2254" s="473"/>
      <c r="AS2254" s="473"/>
      <c r="AT2254" s="473"/>
      <c r="AU2254" s="473"/>
      <c r="AV2254" s="473"/>
      <c r="AW2254" s="473"/>
      <c r="AX2254" s="473"/>
      <c r="AY2254" s="473"/>
      <c r="AZ2254" s="473"/>
      <c r="BA2254" s="473"/>
      <c r="BB2254" s="473"/>
      <c r="BC2254" s="473"/>
      <c r="BD2254" s="473"/>
      <c r="BE2254" s="473"/>
      <c r="BF2254" s="473"/>
      <c r="BG2254" s="473"/>
      <c r="BH2254" s="473"/>
      <c r="BI2254" s="473"/>
      <c r="BJ2254" s="473"/>
      <c r="BK2254" s="473"/>
      <c r="BL2254" s="473"/>
      <c r="BM2254" s="473"/>
      <c r="BN2254" s="473"/>
      <c r="BO2254" s="473"/>
      <c r="BP2254" s="473"/>
      <c r="BQ2254" s="473"/>
      <c r="BR2254" s="473"/>
      <c r="BS2254" s="473"/>
      <c r="BT2254" s="473"/>
      <c r="BU2254" s="473"/>
      <c r="BV2254" s="473"/>
      <c r="BW2254" s="473"/>
      <c r="BX2254" s="473"/>
      <c r="BY2254" s="473"/>
    </row>
    <row r="2255" spans="1:77" s="6" customFormat="1" ht="11.25" customHeight="1">
      <c r="A2255" s="473"/>
      <c r="B2255" s="486" t="s">
        <v>291</v>
      </c>
      <c r="C2255" s="487"/>
      <c r="D2255" s="487"/>
      <c r="E2255" s="488" t="s">
        <v>1699</v>
      </c>
      <c r="F2255" s="473" t="s">
        <v>1714</v>
      </c>
      <c r="G2255" s="489">
        <v>4520</v>
      </c>
      <c r="H2255" s="473" t="s">
        <v>866</v>
      </c>
      <c r="I2255" s="473" t="s">
        <v>1168</v>
      </c>
      <c r="J2255" s="490">
        <v>1328</v>
      </c>
      <c r="K2255" s="491"/>
      <c r="L2255" s="490">
        <v>1</v>
      </c>
      <c r="M2255" s="490">
        <v>1</v>
      </c>
      <c r="N2255" s="492"/>
      <c r="O2255" s="493">
        <v>0.3</v>
      </c>
      <c r="P2255" s="493">
        <v>0.1</v>
      </c>
      <c r="Q2255" s="492">
        <v>0</v>
      </c>
      <c r="R2255" s="473" t="s">
        <v>35</v>
      </c>
      <c r="S2255" s="481" t="s">
        <v>41</v>
      </c>
      <c r="T2255" s="481">
        <v>16</v>
      </c>
      <c r="U2255" s="494" t="s">
        <v>164</v>
      </c>
      <c r="V2255" s="495"/>
      <c r="W2255" s="473"/>
      <c r="X2255" s="492">
        <v>0</v>
      </c>
      <c r="Y2255" s="492"/>
      <c r="Z2255" s="473"/>
      <c r="AA2255" s="473"/>
      <c r="AB2255" s="473"/>
      <c r="AC2255" s="473"/>
      <c r="AD2255" s="473"/>
      <c r="AE2255" s="473"/>
      <c r="AF2255" s="473"/>
      <c r="AG2255" s="473"/>
      <c r="AH2255" s="473"/>
      <c r="AI2255" s="472"/>
      <c r="AJ2255" s="485"/>
      <c r="AK2255" s="473">
        <v>0</v>
      </c>
      <c r="AL2255" s="473"/>
      <c r="AM2255" s="473"/>
      <c r="AN2255" s="473"/>
      <c r="AO2255" s="473"/>
      <c r="AP2255" s="473"/>
      <c r="AQ2255" s="473"/>
      <c r="AR2255" s="473"/>
      <c r="AS2255" s="473"/>
      <c r="AT2255" s="473"/>
      <c r="AU2255" s="473"/>
      <c r="AV2255" s="473"/>
      <c r="AW2255" s="473"/>
      <c r="AX2255" s="473"/>
      <c r="AY2255" s="473"/>
      <c r="AZ2255" s="473"/>
      <c r="BA2255" s="473"/>
      <c r="BB2255" s="473"/>
      <c r="BC2255" s="473"/>
      <c r="BD2255" s="473"/>
      <c r="BE2255" s="473"/>
      <c r="BF2255" s="473"/>
      <c r="BG2255" s="473"/>
      <c r="BH2255" s="473"/>
      <c r="BI2255" s="473"/>
      <c r="BJ2255" s="473"/>
      <c r="BK2255" s="473"/>
      <c r="BL2255" s="473"/>
      <c r="BM2255" s="473"/>
      <c r="BN2255" s="473"/>
      <c r="BO2255" s="473"/>
      <c r="BP2255" s="473"/>
      <c r="BQ2255" s="473"/>
      <c r="BR2255" s="473"/>
      <c r="BS2255" s="473"/>
      <c r="BT2255" s="473"/>
      <c r="BU2255" s="473"/>
      <c r="BV2255" s="473"/>
      <c r="BW2255" s="473"/>
      <c r="BX2255" s="473"/>
      <c r="BY2255" s="473"/>
    </row>
    <row r="2256" spans="1:77" s="6" customFormat="1" ht="11.25" customHeight="1">
      <c r="A2256" s="379"/>
      <c r="B2256" s="380" t="s">
        <v>291</v>
      </c>
      <c r="C2256" s="381">
        <v>44714</v>
      </c>
      <c r="D2256" s="381">
        <v>44715</v>
      </c>
      <c r="E2256" s="382" t="s">
        <v>1699</v>
      </c>
      <c r="F2256" s="379" t="s">
        <v>1714</v>
      </c>
      <c r="G2256" s="383">
        <v>4520</v>
      </c>
      <c r="H2256" s="379" t="s">
        <v>137</v>
      </c>
      <c r="I2256" s="379" t="s">
        <v>1168</v>
      </c>
      <c r="J2256" s="385">
        <v>33148.5</v>
      </c>
      <c r="K2256" s="384"/>
      <c r="L2256" s="385">
        <v>30.75</v>
      </c>
      <c r="M2256" s="385">
        <v>30.75</v>
      </c>
      <c r="N2256" s="386">
        <v>8476.7800000000007</v>
      </c>
      <c r="O2256" s="387">
        <v>0.3</v>
      </c>
      <c r="P2256" s="387">
        <v>0.1</v>
      </c>
      <c r="Q2256" s="386">
        <v>8476.7800000000007</v>
      </c>
      <c r="R2256" s="379" t="s">
        <v>35</v>
      </c>
      <c r="S2256" s="388" t="s">
        <v>41</v>
      </c>
      <c r="T2256" s="388">
        <v>16</v>
      </c>
      <c r="U2256" s="389" t="s">
        <v>164</v>
      </c>
      <c r="V2256" s="433"/>
      <c r="W2256" s="379"/>
      <c r="X2256" s="386">
        <v>8476.7800000000007</v>
      </c>
      <c r="Y2256" s="386"/>
      <c r="Z2256" s="379"/>
      <c r="AA2256" s="379"/>
      <c r="AB2256" s="379"/>
      <c r="AC2256" s="379"/>
      <c r="AD2256" s="379"/>
      <c r="AE2256" s="379"/>
      <c r="AF2256" s="379"/>
      <c r="AG2256" s="379"/>
      <c r="AH2256" s="379"/>
      <c r="AI2256" s="391"/>
      <c r="AJ2256" s="416">
        <v>8476.7800000000007</v>
      </c>
      <c r="AK2256" s="379"/>
      <c r="AL2256" s="379"/>
      <c r="AM2256" s="379"/>
      <c r="AN2256" s="379"/>
      <c r="AO2256" s="379"/>
      <c r="AP2256" s="379"/>
      <c r="AQ2256" s="379"/>
      <c r="AR2256" s="379"/>
      <c r="AS2256" s="379"/>
      <c r="AT2256" s="379"/>
      <c r="AU2256" s="379"/>
      <c r="AV2256" s="379"/>
      <c r="AW2256" s="379"/>
      <c r="AX2256" s="379"/>
      <c r="AY2256" s="379"/>
      <c r="AZ2256" s="379"/>
      <c r="BA2256" s="379"/>
      <c r="BB2256" s="379"/>
      <c r="BC2256" s="379"/>
      <c r="BD2256" s="379"/>
      <c r="BE2256" s="379"/>
      <c r="BF2256" s="379"/>
      <c r="BG2256" s="379"/>
      <c r="BH2256" s="379"/>
      <c r="BI2256" s="379"/>
      <c r="BJ2256" s="379"/>
      <c r="BK2256" s="379"/>
      <c r="BL2256" s="379"/>
      <c r="BM2256" s="379"/>
      <c r="BN2256" s="379"/>
      <c r="BO2256" s="379"/>
      <c r="BP2256" s="379"/>
      <c r="BQ2256" s="379"/>
      <c r="BR2256" s="379"/>
      <c r="BS2256" s="379"/>
      <c r="BT2256" s="379"/>
      <c r="BU2256" s="379"/>
      <c r="BV2256" s="379"/>
      <c r="BW2256" s="379"/>
      <c r="BX2256" s="379"/>
      <c r="BY2256" s="379"/>
    </row>
    <row r="2257" spans="1:77" s="2" customFormat="1" ht="11.25" customHeight="1">
      <c r="A2257" s="379"/>
      <c r="B2257" s="380" t="s">
        <v>291</v>
      </c>
      <c r="C2257" s="381"/>
      <c r="D2257" s="381"/>
      <c r="E2257" s="382" t="s">
        <v>1699</v>
      </c>
      <c r="F2257" s="379" t="s">
        <v>1714</v>
      </c>
      <c r="G2257" s="383">
        <v>4520</v>
      </c>
      <c r="H2257" s="379" t="s">
        <v>99</v>
      </c>
      <c r="I2257" s="379" t="s">
        <v>1168</v>
      </c>
      <c r="J2257" s="385">
        <v>36020.959999999999</v>
      </c>
      <c r="K2257" s="384"/>
      <c r="L2257" s="385">
        <v>25.84</v>
      </c>
      <c r="M2257" s="385">
        <v>25.84</v>
      </c>
      <c r="N2257" s="386">
        <v>1988.52</v>
      </c>
      <c r="O2257" s="387">
        <v>0.3</v>
      </c>
      <c r="P2257" s="387">
        <v>0.1</v>
      </c>
      <c r="Q2257" s="386">
        <v>1988.52</v>
      </c>
      <c r="R2257" s="379" t="s">
        <v>35</v>
      </c>
      <c r="S2257" s="388" t="s">
        <v>41</v>
      </c>
      <c r="T2257" s="388">
        <v>16</v>
      </c>
      <c r="U2257" s="389" t="s">
        <v>164</v>
      </c>
      <c r="V2257" s="433"/>
      <c r="W2257" s="379"/>
      <c r="X2257" s="386">
        <v>1988.52</v>
      </c>
      <c r="Y2257" s="386"/>
      <c r="Z2257" s="379"/>
      <c r="AA2257" s="379"/>
      <c r="AB2257" s="379"/>
      <c r="AC2257" s="379"/>
      <c r="AD2257" s="379"/>
      <c r="AE2257" s="379"/>
      <c r="AF2257" s="379"/>
      <c r="AG2257" s="379"/>
      <c r="AH2257" s="379"/>
      <c r="AI2257" s="394"/>
      <c r="AJ2257" s="416">
        <v>1988.52</v>
      </c>
      <c r="AK2257" s="379"/>
      <c r="AL2257" s="379"/>
      <c r="AM2257" s="379"/>
      <c r="AN2257" s="379"/>
      <c r="AO2257" s="379"/>
      <c r="AP2257" s="379"/>
      <c r="AQ2257" s="379"/>
      <c r="AR2257" s="379"/>
      <c r="AS2257" s="379"/>
      <c r="AT2257" s="379"/>
      <c r="AU2257" s="379"/>
      <c r="AV2257" s="379"/>
      <c r="AW2257" s="379"/>
      <c r="AX2257" s="379"/>
      <c r="AY2257" s="379"/>
      <c r="AZ2257" s="379"/>
      <c r="BA2257" s="379"/>
      <c r="BB2257" s="379"/>
      <c r="BC2257" s="379"/>
      <c r="BD2257" s="379"/>
      <c r="BE2257" s="379"/>
      <c r="BF2257" s="379"/>
      <c r="BG2257" s="379"/>
      <c r="BH2257" s="379"/>
      <c r="BI2257" s="379"/>
      <c r="BJ2257" s="379"/>
      <c r="BK2257" s="379"/>
      <c r="BL2257" s="379"/>
      <c r="BM2257" s="379"/>
      <c r="BN2257" s="379"/>
      <c r="BO2257" s="379"/>
      <c r="BP2257" s="379"/>
      <c r="BQ2257" s="379"/>
      <c r="BR2257" s="379"/>
      <c r="BS2257" s="379"/>
      <c r="BT2257" s="379"/>
      <c r="BU2257" s="379"/>
      <c r="BV2257" s="379"/>
      <c r="BW2257" s="379"/>
      <c r="BX2257" s="379"/>
      <c r="BY2257" s="379"/>
    </row>
    <row r="2258" spans="1:77" s="379" customFormat="1" ht="11.25" customHeight="1">
      <c r="B2258" s="380" t="s">
        <v>291</v>
      </c>
      <c r="C2258" s="381"/>
      <c r="D2258" s="381"/>
      <c r="E2258" s="382" t="s">
        <v>1699</v>
      </c>
      <c r="F2258" s="379" t="s">
        <v>1714</v>
      </c>
      <c r="G2258" s="404">
        <v>4520</v>
      </c>
      <c r="H2258" s="379" t="s">
        <v>162</v>
      </c>
      <c r="I2258" s="379" t="s">
        <v>1168</v>
      </c>
      <c r="J2258" s="385">
        <v>13885.44</v>
      </c>
      <c r="K2258" s="384"/>
      <c r="L2258" s="385">
        <v>16.8</v>
      </c>
      <c r="M2258" s="385">
        <v>16.8</v>
      </c>
      <c r="N2258" s="386">
        <v>3319.09</v>
      </c>
      <c r="O2258" s="387">
        <v>0.3</v>
      </c>
      <c r="P2258" s="387">
        <v>0.1</v>
      </c>
      <c r="Q2258" s="386">
        <v>3319.09</v>
      </c>
      <c r="R2258" s="379" t="s">
        <v>35</v>
      </c>
      <c r="S2258" s="388" t="s">
        <v>41</v>
      </c>
      <c r="T2258" s="388">
        <v>16</v>
      </c>
      <c r="U2258" s="389" t="s">
        <v>164</v>
      </c>
      <c r="V2258" s="433"/>
      <c r="X2258" s="386">
        <v>3319.09</v>
      </c>
      <c r="Y2258" s="386"/>
      <c r="AI2258" s="394"/>
      <c r="AJ2258" s="416">
        <v>3319.09</v>
      </c>
    </row>
    <row r="2259" spans="1:77" s="291" customFormat="1" ht="11.25" customHeight="1">
      <c r="B2259" s="310" t="s">
        <v>291</v>
      </c>
      <c r="C2259" s="292"/>
      <c r="D2259" s="292"/>
      <c r="E2259" s="293" t="s">
        <v>1699</v>
      </c>
      <c r="F2259" s="291" t="s">
        <v>1714</v>
      </c>
      <c r="G2259" s="314">
        <v>4520</v>
      </c>
      <c r="H2259" s="291" t="s">
        <v>814</v>
      </c>
      <c r="I2259" s="291" t="s">
        <v>1168</v>
      </c>
      <c r="J2259" s="296">
        <v>9270.24</v>
      </c>
      <c r="K2259" s="295"/>
      <c r="L2259" s="296">
        <v>8.68</v>
      </c>
      <c r="M2259" s="296">
        <v>8.68</v>
      </c>
      <c r="N2259" s="297"/>
      <c r="O2259" s="298">
        <v>0.3</v>
      </c>
      <c r="P2259" s="298">
        <v>0.1</v>
      </c>
      <c r="Q2259" s="297">
        <v>0</v>
      </c>
      <c r="R2259" s="291" t="s">
        <v>35</v>
      </c>
      <c r="S2259" s="299" t="s">
        <v>41</v>
      </c>
      <c r="T2259" s="299">
        <v>16</v>
      </c>
      <c r="U2259" s="300" t="s">
        <v>164</v>
      </c>
      <c r="V2259" s="333"/>
      <c r="X2259" s="297">
        <v>0</v>
      </c>
      <c r="Y2259" s="297"/>
      <c r="AH2259" s="291">
        <f>X2259</f>
        <v>0</v>
      </c>
      <c r="AI2259" s="311"/>
      <c r="AJ2259" s="468"/>
    </row>
    <row r="2260" spans="1:77" s="379" customFormat="1" ht="11.25" customHeight="1">
      <c r="B2260" s="380" t="s">
        <v>291</v>
      </c>
      <c r="C2260" s="381"/>
      <c r="D2260" s="381"/>
      <c r="E2260" s="382" t="s">
        <v>1699</v>
      </c>
      <c r="F2260" s="379" t="s">
        <v>1714</v>
      </c>
      <c r="G2260" s="383">
        <v>4520</v>
      </c>
      <c r="H2260" s="379" t="s">
        <v>310</v>
      </c>
      <c r="I2260" s="379" t="s">
        <v>1168</v>
      </c>
      <c r="J2260" s="385">
        <v>3799.29</v>
      </c>
      <c r="K2260" s="384"/>
      <c r="L2260" s="385">
        <v>3.97</v>
      </c>
      <c r="M2260" s="385">
        <v>3.97</v>
      </c>
      <c r="N2260" s="386"/>
      <c r="O2260" s="387">
        <v>0.3</v>
      </c>
      <c r="P2260" s="387">
        <v>0.1</v>
      </c>
      <c r="Q2260" s="386">
        <v>680.06</v>
      </c>
      <c r="R2260" s="379" t="s">
        <v>35</v>
      </c>
      <c r="S2260" s="388" t="s">
        <v>41</v>
      </c>
      <c r="T2260" s="388">
        <v>16</v>
      </c>
      <c r="U2260" s="389" t="s">
        <v>164</v>
      </c>
      <c r="V2260" s="433"/>
      <c r="X2260" s="386">
        <v>680.06</v>
      </c>
      <c r="Y2260" s="386"/>
      <c r="AI2260" s="394"/>
      <c r="AJ2260" s="416">
        <v>680.06</v>
      </c>
    </row>
    <row r="2261" spans="1:77" s="473" customFormat="1" ht="11.25" customHeight="1">
      <c r="A2261" s="379"/>
      <c r="B2261" s="380" t="s">
        <v>291</v>
      </c>
      <c r="C2261" s="381"/>
      <c r="D2261" s="381"/>
      <c r="E2261" s="382" t="s">
        <v>1699</v>
      </c>
      <c r="F2261" s="379" t="s">
        <v>1714</v>
      </c>
      <c r="G2261" s="383">
        <v>4520</v>
      </c>
      <c r="H2261" s="379" t="s">
        <v>163</v>
      </c>
      <c r="I2261" s="379" t="s">
        <v>1168</v>
      </c>
      <c r="J2261" s="385">
        <v>1940.91</v>
      </c>
      <c r="K2261" s="384"/>
      <c r="L2261" s="385">
        <v>2.3199999999999998</v>
      </c>
      <c r="M2261" s="385">
        <v>2.3199999999999998</v>
      </c>
      <c r="N2261" s="386"/>
      <c r="O2261" s="387">
        <v>0.3</v>
      </c>
      <c r="P2261" s="387">
        <v>0.1</v>
      </c>
      <c r="Q2261" s="386">
        <v>301.45999999999998</v>
      </c>
      <c r="R2261" s="379" t="s">
        <v>35</v>
      </c>
      <c r="S2261" s="388" t="s">
        <v>41</v>
      </c>
      <c r="T2261" s="388">
        <v>16</v>
      </c>
      <c r="U2261" s="389" t="s">
        <v>164</v>
      </c>
      <c r="V2261" s="433"/>
      <c r="W2261" s="379"/>
      <c r="X2261" s="386">
        <v>301.45999999999998</v>
      </c>
      <c r="Y2261" s="386"/>
      <c r="Z2261" s="379"/>
      <c r="AA2261" s="379"/>
      <c r="AB2261" s="379"/>
      <c r="AC2261" s="379"/>
      <c r="AD2261" s="379"/>
      <c r="AE2261" s="379"/>
      <c r="AF2261" s="379"/>
      <c r="AG2261" s="379"/>
      <c r="AH2261" s="379"/>
      <c r="AI2261" s="394"/>
      <c r="AJ2261" s="416">
        <v>301.45999999999998</v>
      </c>
      <c r="AK2261" s="379"/>
      <c r="AL2261" s="379"/>
      <c r="AM2261" s="379"/>
      <c r="AN2261" s="379"/>
      <c r="AO2261" s="379"/>
      <c r="AP2261" s="379"/>
      <c r="AQ2261" s="379"/>
      <c r="AR2261" s="379"/>
      <c r="AS2261" s="379"/>
      <c r="AT2261" s="379"/>
      <c r="AU2261" s="379"/>
      <c r="AV2261" s="379"/>
      <c r="AW2261" s="379"/>
      <c r="AX2261" s="379"/>
      <c r="AY2261" s="379"/>
      <c r="AZ2261" s="379"/>
      <c r="BA2261" s="379"/>
      <c r="BB2261" s="379"/>
      <c r="BC2261" s="379"/>
      <c r="BD2261" s="379"/>
      <c r="BE2261" s="379"/>
      <c r="BF2261" s="379"/>
      <c r="BG2261" s="379"/>
      <c r="BH2261" s="379"/>
      <c r="BI2261" s="379"/>
      <c r="BJ2261" s="379"/>
      <c r="BK2261" s="379"/>
      <c r="BL2261" s="379"/>
      <c r="BM2261" s="379"/>
      <c r="BN2261" s="379"/>
      <c r="BO2261" s="379"/>
      <c r="BP2261" s="379"/>
      <c r="BQ2261" s="379"/>
      <c r="BR2261" s="379"/>
      <c r="BS2261" s="379"/>
      <c r="BT2261" s="379"/>
      <c r="BU2261" s="379"/>
      <c r="BV2261" s="379"/>
      <c r="BW2261" s="379"/>
      <c r="BX2261" s="379"/>
      <c r="BY2261" s="379"/>
    </row>
    <row r="2262" spans="1:77" s="337" customFormat="1" ht="11.25" customHeight="1">
      <c r="B2262" s="338" t="s">
        <v>291</v>
      </c>
      <c r="C2262" s="349">
        <v>44719</v>
      </c>
      <c r="D2262" s="349">
        <v>44719</v>
      </c>
      <c r="E2262" s="350" t="s">
        <v>1700</v>
      </c>
      <c r="F2262" s="337" t="s">
        <v>1701</v>
      </c>
      <c r="G2262" s="351" t="s">
        <v>1702</v>
      </c>
      <c r="H2262" s="337" t="s">
        <v>99</v>
      </c>
      <c r="I2262" s="353" t="s">
        <v>156</v>
      </c>
      <c r="J2262" s="352">
        <v>40363.07</v>
      </c>
      <c r="K2262" s="353"/>
      <c r="L2262" s="352">
        <v>39.56</v>
      </c>
      <c r="M2262" s="352">
        <v>39.56</v>
      </c>
      <c r="N2262" s="354"/>
      <c r="O2262" s="355">
        <v>0.25</v>
      </c>
      <c r="P2262" s="355">
        <v>0.1</v>
      </c>
      <c r="Q2262" s="354">
        <v>10632.11</v>
      </c>
      <c r="R2262" s="337" t="s">
        <v>285</v>
      </c>
      <c r="S2262" s="356" t="s">
        <v>275</v>
      </c>
      <c r="T2262" s="356">
        <v>89</v>
      </c>
      <c r="U2262" s="357" t="s">
        <v>164</v>
      </c>
      <c r="V2262" s="434"/>
      <c r="W2262" s="337" t="s">
        <v>3928</v>
      </c>
      <c r="X2262" s="354">
        <v>10632.11</v>
      </c>
      <c r="Y2262" s="354"/>
      <c r="AI2262" s="341">
        <f>X2262</f>
        <v>10632.11</v>
      </c>
      <c r="AJ2262" s="358"/>
      <c r="AK2262" s="369"/>
      <c r="AL2262" s="341"/>
      <c r="AM2262" s="341"/>
      <c r="AN2262" s="341"/>
      <c r="AO2262" s="341"/>
      <c r="AP2262" s="341"/>
      <c r="AQ2262" s="341"/>
      <c r="AR2262" s="341"/>
      <c r="AS2262" s="341"/>
      <c r="AT2262" s="341"/>
      <c r="AU2262" s="341"/>
      <c r="AV2262" s="341"/>
      <c r="AW2262" s="341"/>
      <c r="AX2262" s="341"/>
      <c r="AY2262" s="341"/>
      <c r="AZ2262" s="341"/>
      <c r="BA2262" s="341"/>
      <c r="BB2262" s="341"/>
      <c r="BC2262" s="341"/>
      <c r="BD2262" s="341"/>
      <c r="BE2262" s="341"/>
      <c r="BF2262" s="341"/>
      <c r="BG2262" s="341"/>
      <c r="BH2262" s="341"/>
      <c r="BI2262" s="341"/>
      <c r="BJ2262" s="341"/>
      <c r="BK2262" s="341"/>
      <c r="BL2262" s="341"/>
      <c r="BM2262" s="341"/>
      <c r="BN2262" s="341"/>
      <c r="BO2262" s="341"/>
      <c r="BP2262" s="341"/>
      <c r="BQ2262" s="341"/>
      <c r="BR2262" s="341"/>
      <c r="BS2262" s="341"/>
      <c r="BT2262" s="341"/>
      <c r="BU2262" s="341"/>
      <c r="BV2262" s="341"/>
      <c r="BW2262" s="341"/>
      <c r="BX2262" s="341"/>
      <c r="BY2262" s="341"/>
    </row>
    <row r="2263" spans="1:77" s="181" customFormat="1" ht="11.25" customHeight="1">
      <c r="B2263" s="178" t="s">
        <v>291</v>
      </c>
      <c r="C2263" s="179"/>
      <c r="D2263" s="179"/>
      <c r="E2263" s="180" t="s">
        <v>1700</v>
      </c>
      <c r="F2263" s="181" t="s">
        <v>1701</v>
      </c>
      <c r="G2263" s="182" t="s">
        <v>1702</v>
      </c>
      <c r="H2263" s="181" t="s">
        <v>27</v>
      </c>
      <c r="I2263" s="190" t="s">
        <v>156</v>
      </c>
      <c r="J2263" s="183">
        <v>13010.18</v>
      </c>
      <c r="K2263" s="190"/>
      <c r="L2263" s="183">
        <v>10.91</v>
      </c>
      <c r="M2263" s="183">
        <v>10.91</v>
      </c>
      <c r="N2263" s="185"/>
      <c r="O2263" s="186">
        <v>0.25</v>
      </c>
      <c r="P2263" s="186">
        <v>0.1</v>
      </c>
      <c r="Q2263" s="185">
        <v>2614.5500000000002</v>
      </c>
      <c r="R2263" s="181" t="s">
        <v>285</v>
      </c>
      <c r="S2263" s="187" t="s">
        <v>275</v>
      </c>
      <c r="T2263" s="187">
        <v>89</v>
      </c>
      <c r="U2263" s="188" t="s">
        <v>164</v>
      </c>
      <c r="V2263" s="441"/>
      <c r="W2263" s="181" t="s">
        <v>3927</v>
      </c>
      <c r="X2263" s="185">
        <v>2614.5500000000002</v>
      </c>
      <c r="Y2263" s="185"/>
      <c r="AE2263" s="204">
        <f>X2263</f>
        <v>2614.5500000000002</v>
      </c>
      <c r="AI2263" s="184"/>
      <c r="AJ2263" s="189"/>
    </row>
    <row r="2264" spans="1:77" s="181" customFormat="1" ht="11.25" customHeight="1">
      <c r="B2264" s="178" t="s">
        <v>291</v>
      </c>
      <c r="C2264" s="179"/>
      <c r="D2264" s="179"/>
      <c r="E2264" s="180" t="s">
        <v>1700</v>
      </c>
      <c r="F2264" s="181" t="s">
        <v>1701</v>
      </c>
      <c r="G2264" s="182" t="s">
        <v>1702</v>
      </c>
      <c r="H2264" s="181" t="s">
        <v>183</v>
      </c>
      <c r="I2264" s="190" t="s">
        <v>156</v>
      </c>
      <c r="J2264" s="183">
        <v>11066.33</v>
      </c>
      <c r="K2264" s="190"/>
      <c r="L2264" s="183">
        <v>10.92</v>
      </c>
      <c r="M2264" s="183">
        <v>10.92</v>
      </c>
      <c r="N2264" s="185"/>
      <c r="O2264" s="186">
        <v>0.25</v>
      </c>
      <c r="P2264" s="186">
        <v>0.1</v>
      </c>
      <c r="Q2264" s="185">
        <v>4689.95</v>
      </c>
      <c r="R2264" s="181" t="s">
        <v>285</v>
      </c>
      <c r="S2264" s="187" t="s">
        <v>275</v>
      </c>
      <c r="T2264" s="187">
        <v>89</v>
      </c>
      <c r="U2264" s="188" t="s">
        <v>164</v>
      </c>
      <c r="V2264" s="441"/>
      <c r="W2264" s="181" t="s">
        <v>3926</v>
      </c>
      <c r="X2264" s="185">
        <v>4689.95</v>
      </c>
      <c r="Y2264" s="185"/>
      <c r="AE2264" s="204">
        <f>X2264</f>
        <v>4689.95</v>
      </c>
      <c r="AI2264" s="184"/>
      <c r="AJ2264" s="189"/>
    </row>
    <row r="2265" spans="1:77" s="181" customFormat="1" ht="11.25" customHeight="1">
      <c r="B2265" s="178" t="s">
        <v>291</v>
      </c>
      <c r="C2265" s="179"/>
      <c r="D2265" s="179"/>
      <c r="E2265" s="180" t="s">
        <v>1700</v>
      </c>
      <c r="F2265" s="181" t="s">
        <v>1701</v>
      </c>
      <c r="G2265" s="182" t="s">
        <v>1702</v>
      </c>
      <c r="H2265" s="181" t="s">
        <v>163</v>
      </c>
      <c r="I2265" s="190" t="s">
        <v>156</v>
      </c>
      <c r="J2265" s="183">
        <v>8575.84</v>
      </c>
      <c r="K2265" s="190"/>
      <c r="L2265" s="183">
        <v>10.4</v>
      </c>
      <c r="M2265" s="183">
        <v>10.4</v>
      </c>
      <c r="N2265" s="185"/>
      <c r="O2265" s="186">
        <v>0.25</v>
      </c>
      <c r="P2265" s="186">
        <v>0.1</v>
      </c>
      <c r="Q2265" s="185">
        <v>0</v>
      </c>
      <c r="R2265" s="181" t="s">
        <v>285</v>
      </c>
      <c r="S2265" s="187" t="s">
        <v>275</v>
      </c>
      <c r="T2265" s="187">
        <v>89</v>
      </c>
      <c r="U2265" s="188" t="s">
        <v>164</v>
      </c>
      <c r="V2265" s="441"/>
      <c r="X2265" s="185">
        <v>0</v>
      </c>
      <c r="Y2265" s="185"/>
      <c r="AE2265" s="204">
        <f>X2265</f>
        <v>0</v>
      </c>
      <c r="AI2265" s="184"/>
      <c r="AJ2265" s="189"/>
    </row>
    <row r="2266" spans="1:77" s="291" customFormat="1" ht="11.25" customHeight="1">
      <c r="A2266" s="379"/>
      <c r="B2266" s="380" t="s">
        <v>291</v>
      </c>
      <c r="C2266" s="381"/>
      <c r="D2266" s="381"/>
      <c r="E2266" s="382" t="s">
        <v>1703</v>
      </c>
      <c r="F2266" s="379" t="s">
        <v>846</v>
      </c>
      <c r="G2266" s="383" t="s">
        <v>847</v>
      </c>
      <c r="H2266" s="379" t="s">
        <v>765</v>
      </c>
      <c r="I2266" s="384" t="s">
        <v>156</v>
      </c>
      <c r="J2266" s="385">
        <v>20560.599999999999</v>
      </c>
      <c r="K2266" s="384"/>
      <c r="L2266" s="385">
        <v>20</v>
      </c>
      <c r="M2266" s="385">
        <v>16.440000000000001</v>
      </c>
      <c r="N2266" s="386">
        <f>5070</f>
        <v>5070</v>
      </c>
      <c r="O2266" s="387">
        <v>0.25</v>
      </c>
      <c r="P2266" s="387">
        <v>0.1</v>
      </c>
      <c r="Q2266" s="386">
        <v>0</v>
      </c>
      <c r="R2266" s="379" t="s">
        <v>146</v>
      </c>
      <c r="S2266" s="388" t="s">
        <v>74</v>
      </c>
      <c r="T2266" s="388">
        <v>31</v>
      </c>
      <c r="U2266" s="389" t="s">
        <v>164</v>
      </c>
      <c r="V2266" s="433"/>
      <c r="W2266" s="379"/>
      <c r="X2266" s="386">
        <v>0</v>
      </c>
      <c r="Y2266" s="386"/>
      <c r="Z2266" s="379"/>
      <c r="AA2266" s="379"/>
      <c r="AB2266" s="379"/>
      <c r="AC2266" s="379"/>
      <c r="AD2266" s="379"/>
      <c r="AE2266" s="379"/>
      <c r="AF2266" s="379"/>
      <c r="AG2266" s="379"/>
      <c r="AH2266" s="379"/>
      <c r="AI2266" s="394"/>
      <c r="AJ2266" s="390">
        <v>0</v>
      </c>
      <c r="AK2266" s="379"/>
      <c r="AL2266" s="379"/>
      <c r="AM2266" s="379"/>
      <c r="AN2266" s="379"/>
      <c r="AO2266" s="379"/>
      <c r="AP2266" s="379"/>
      <c r="AQ2266" s="379"/>
      <c r="AR2266" s="379"/>
      <c r="AS2266" s="379"/>
      <c r="AT2266" s="379"/>
      <c r="AU2266" s="379"/>
      <c r="AV2266" s="379"/>
      <c r="AW2266" s="379"/>
      <c r="AX2266" s="379"/>
      <c r="AY2266" s="379"/>
      <c r="AZ2266" s="379"/>
      <c r="BA2266" s="379"/>
      <c r="BB2266" s="379"/>
      <c r="BC2266" s="379"/>
      <c r="BD2266" s="379"/>
      <c r="BE2266" s="379"/>
      <c r="BF2266" s="379"/>
      <c r="BG2266" s="379"/>
      <c r="BH2266" s="379"/>
      <c r="BI2266" s="379"/>
      <c r="BJ2266" s="379"/>
      <c r="BK2266" s="379"/>
      <c r="BL2266" s="379"/>
      <c r="BM2266" s="379"/>
      <c r="BN2266" s="379"/>
      <c r="BO2266" s="379"/>
      <c r="BP2266" s="379"/>
      <c r="BQ2266" s="379"/>
      <c r="BR2266" s="379"/>
      <c r="BS2266" s="379"/>
      <c r="BT2266" s="379"/>
      <c r="BU2266" s="379"/>
      <c r="BV2266" s="379"/>
      <c r="BW2266" s="379"/>
      <c r="BX2266" s="379"/>
      <c r="BY2266" s="379"/>
    </row>
    <row r="2267" spans="1:77" s="291" customFormat="1" ht="11.25" customHeight="1">
      <c r="B2267" s="310" t="s">
        <v>291</v>
      </c>
      <c r="C2267" s="292">
        <v>44715</v>
      </c>
      <c r="D2267" s="292">
        <v>44719</v>
      </c>
      <c r="E2267" s="293" t="s">
        <v>1703</v>
      </c>
      <c r="F2267" s="291" t="s">
        <v>846</v>
      </c>
      <c r="G2267" s="294" t="s">
        <v>847</v>
      </c>
      <c r="H2267" s="291" t="s">
        <v>99</v>
      </c>
      <c r="I2267" s="295" t="s">
        <v>156</v>
      </c>
      <c r="J2267" s="296">
        <v>21580.74</v>
      </c>
      <c r="K2267" s="295"/>
      <c r="L2267" s="296">
        <v>15.22</v>
      </c>
      <c r="M2267" s="296">
        <v>15.22</v>
      </c>
      <c r="N2267" s="297">
        <f>J2267*0.4</f>
        <v>8632.2960000000003</v>
      </c>
      <c r="O2267" s="298">
        <v>0.25</v>
      </c>
      <c r="P2267" s="298">
        <v>0.1</v>
      </c>
      <c r="Q2267" s="297">
        <v>0</v>
      </c>
      <c r="R2267" s="291" t="s">
        <v>146</v>
      </c>
      <c r="S2267" s="299" t="s">
        <v>74</v>
      </c>
      <c r="T2267" s="299">
        <v>31</v>
      </c>
      <c r="U2267" s="300" t="s">
        <v>164</v>
      </c>
      <c r="V2267" s="333"/>
      <c r="X2267" s="297">
        <v>0</v>
      </c>
      <c r="Y2267" s="297"/>
      <c r="AH2267" s="291">
        <f>X2267</f>
        <v>0</v>
      </c>
      <c r="AI2267" s="311"/>
      <c r="AJ2267" s="468"/>
    </row>
    <row r="2268" spans="1:77" s="291" customFormat="1" ht="11.25" customHeight="1">
      <c r="B2268" s="310" t="s">
        <v>291</v>
      </c>
      <c r="C2268" s="292"/>
      <c r="D2268" s="292"/>
      <c r="E2268" s="293" t="s">
        <v>1703</v>
      </c>
      <c r="F2268" s="291" t="s">
        <v>846</v>
      </c>
      <c r="G2268" s="294" t="s">
        <v>847</v>
      </c>
      <c r="H2268" s="291" t="s">
        <v>183</v>
      </c>
      <c r="I2268" s="295" t="s">
        <v>156</v>
      </c>
      <c r="J2268" s="296">
        <v>14539.77</v>
      </c>
      <c r="K2268" s="295"/>
      <c r="L2268" s="296">
        <v>14.13</v>
      </c>
      <c r="M2268" s="296">
        <v>14.13</v>
      </c>
      <c r="N2268" s="297">
        <f>2798</f>
        <v>2798</v>
      </c>
      <c r="O2268" s="298">
        <v>0.25</v>
      </c>
      <c r="P2268" s="298">
        <v>0.1</v>
      </c>
      <c r="Q2268" s="297">
        <v>3338.22</v>
      </c>
      <c r="R2268" s="291" t="s">
        <v>146</v>
      </c>
      <c r="S2268" s="299" t="s">
        <v>74</v>
      </c>
      <c r="T2268" s="299">
        <v>31</v>
      </c>
      <c r="U2268" s="300" t="s">
        <v>164</v>
      </c>
      <c r="V2268" s="333"/>
      <c r="X2268" s="297">
        <v>3338.22</v>
      </c>
      <c r="Y2268" s="297"/>
      <c r="AH2268" s="291">
        <f>X2268</f>
        <v>3338.22</v>
      </c>
      <c r="AI2268" s="311"/>
      <c r="AJ2268" s="468"/>
    </row>
    <row r="2269" spans="1:77" s="261" customFormat="1" ht="11.25" customHeight="1">
      <c r="B2269" s="258" t="s">
        <v>291</v>
      </c>
      <c r="C2269" s="259">
        <v>44715</v>
      </c>
      <c r="D2269" s="259">
        <v>44719</v>
      </c>
      <c r="E2269" s="260" t="s">
        <v>1704</v>
      </c>
      <c r="F2269" s="261" t="s">
        <v>1715</v>
      </c>
      <c r="G2269" s="262" t="s">
        <v>1705</v>
      </c>
      <c r="H2269" s="261" t="s">
        <v>192</v>
      </c>
      <c r="I2269" s="264" t="s">
        <v>1351</v>
      </c>
      <c r="J2269" s="263">
        <v>24500</v>
      </c>
      <c r="K2269" s="264"/>
      <c r="L2269" s="263">
        <v>20</v>
      </c>
      <c r="M2269" s="263">
        <v>20</v>
      </c>
      <c r="N2269" s="265">
        <f>5540</f>
        <v>5540</v>
      </c>
      <c r="O2269" s="266">
        <v>0.2</v>
      </c>
      <c r="P2269" s="266">
        <v>0.1</v>
      </c>
      <c r="Q2269" s="265">
        <v>10130.4</v>
      </c>
      <c r="R2269" s="261" t="s">
        <v>146</v>
      </c>
      <c r="S2269" s="267" t="s">
        <v>74</v>
      </c>
      <c r="T2269" s="267">
        <v>31</v>
      </c>
      <c r="U2269" s="268" t="s">
        <v>164</v>
      </c>
      <c r="V2269" s="427"/>
      <c r="X2269" s="265">
        <v>10130.4</v>
      </c>
      <c r="Y2269" s="265"/>
      <c r="AG2269" s="261">
        <f>X2269</f>
        <v>10130.4</v>
      </c>
      <c r="AI2269" s="273"/>
      <c r="AJ2269" s="642"/>
    </row>
    <row r="2270" spans="1:77" s="181" customFormat="1" ht="11.25" customHeight="1">
      <c r="B2270" s="178" t="s">
        <v>291</v>
      </c>
      <c r="C2270" s="179"/>
      <c r="D2270" s="179"/>
      <c r="E2270" s="180" t="s">
        <v>1704</v>
      </c>
      <c r="F2270" s="181" t="s">
        <v>1715</v>
      </c>
      <c r="G2270" s="182" t="s">
        <v>1705</v>
      </c>
      <c r="H2270" s="181" t="s">
        <v>134</v>
      </c>
      <c r="I2270" s="190" t="s">
        <v>1351</v>
      </c>
      <c r="J2270" s="183">
        <v>16716.7</v>
      </c>
      <c r="K2270" s="190"/>
      <c r="L2270" s="183">
        <v>22</v>
      </c>
      <c r="M2270" s="183">
        <v>22</v>
      </c>
      <c r="N2270" s="185"/>
      <c r="O2270" s="186">
        <v>0.2</v>
      </c>
      <c r="P2270" s="186">
        <v>0.1</v>
      </c>
      <c r="Q2270" s="185">
        <v>0</v>
      </c>
      <c r="R2270" s="181" t="s">
        <v>146</v>
      </c>
      <c r="S2270" s="187" t="s">
        <v>74</v>
      </c>
      <c r="T2270" s="187">
        <v>31</v>
      </c>
      <c r="U2270" s="188" t="s">
        <v>164</v>
      </c>
      <c r="V2270" s="441"/>
      <c r="X2270" s="185">
        <v>0</v>
      </c>
      <c r="Y2270" s="185"/>
      <c r="AE2270" s="204">
        <f>X2270</f>
        <v>0</v>
      </c>
      <c r="AI2270" s="184"/>
      <c r="AJ2270" s="189"/>
    </row>
    <row r="2271" spans="1:77" s="261" customFormat="1" ht="11.25" customHeight="1">
      <c r="B2271" s="258" t="s">
        <v>291</v>
      </c>
      <c r="C2271" s="259"/>
      <c r="D2271" s="259"/>
      <c r="E2271" s="260" t="s">
        <v>1704</v>
      </c>
      <c r="F2271" s="261" t="s">
        <v>1715</v>
      </c>
      <c r="G2271" s="262" t="s">
        <v>1705</v>
      </c>
      <c r="H2271" s="261" t="s">
        <v>1052</v>
      </c>
      <c r="I2271" s="264" t="s">
        <v>1351</v>
      </c>
      <c r="J2271" s="263">
        <v>6340</v>
      </c>
      <c r="K2271" s="264"/>
      <c r="L2271" s="263">
        <v>8</v>
      </c>
      <c r="M2271" s="263">
        <v>8</v>
      </c>
      <c r="N2271" s="265">
        <f>J2271*0.4</f>
        <v>2536</v>
      </c>
      <c r="O2271" s="266">
        <v>0.2</v>
      </c>
      <c r="P2271" s="266">
        <v>0.1</v>
      </c>
      <c r="Q2271" s="265">
        <v>2366</v>
      </c>
      <c r="R2271" s="261" t="s">
        <v>146</v>
      </c>
      <c r="S2271" s="267" t="s">
        <v>74</v>
      </c>
      <c r="T2271" s="267">
        <v>31</v>
      </c>
      <c r="U2271" s="268" t="s">
        <v>164</v>
      </c>
      <c r="V2271" s="427"/>
      <c r="X2271" s="265">
        <v>2366</v>
      </c>
      <c r="Y2271" s="265"/>
      <c r="AG2271" s="261">
        <f>X2271</f>
        <v>2366</v>
      </c>
      <c r="AI2271" s="273"/>
      <c r="AJ2271" s="642"/>
    </row>
    <row r="2272" spans="1:77" s="181" customFormat="1" ht="11.25" customHeight="1">
      <c r="B2272" s="178" t="s">
        <v>291</v>
      </c>
      <c r="C2272" s="179"/>
      <c r="D2272" s="179"/>
      <c r="E2272" s="180" t="s">
        <v>1704</v>
      </c>
      <c r="F2272" s="181" t="s">
        <v>1715</v>
      </c>
      <c r="G2272" s="182" t="s">
        <v>1705</v>
      </c>
      <c r="H2272" s="181" t="s">
        <v>444</v>
      </c>
      <c r="I2272" s="190" t="s">
        <v>1351</v>
      </c>
      <c r="J2272" s="183">
        <v>5207.2</v>
      </c>
      <c r="K2272" s="190"/>
      <c r="L2272" s="183">
        <v>8</v>
      </c>
      <c r="M2272" s="183">
        <v>8</v>
      </c>
      <c r="N2272" s="185"/>
      <c r="O2272" s="186">
        <v>0.2</v>
      </c>
      <c r="P2272" s="186">
        <v>0.1</v>
      </c>
      <c r="Q2272" s="185">
        <v>0</v>
      </c>
      <c r="R2272" s="181" t="s">
        <v>146</v>
      </c>
      <c r="S2272" s="187" t="s">
        <v>74</v>
      </c>
      <c r="T2272" s="187">
        <v>31</v>
      </c>
      <c r="U2272" s="188" t="s">
        <v>164</v>
      </c>
      <c r="V2272" s="441"/>
      <c r="X2272" s="185">
        <v>0</v>
      </c>
      <c r="Y2272" s="185"/>
      <c r="AE2272" s="204">
        <f>X2272</f>
        <v>0</v>
      </c>
      <c r="AI2272" s="184"/>
      <c r="AJ2272" s="189"/>
    </row>
    <row r="2273" spans="1:77" s="181" customFormat="1" ht="11.25" customHeight="1">
      <c r="B2273" s="178" t="s">
        <v>291</v>
      </c>
      <c r="C2273" s="179"/>
      <c r="D2273" s="179"/>
      <c r="E2273" s="180" t="s">
        <v>1704</v>
      </c>
      <c r="F2273" s="181" t="s">
        <v>1715</v>
      </c>
      <c r="G2273" s="182" t="s">
        <v>1705</v>
      </c>
      <c r="H2273" s="181" t="s">
        <v>356</v>
      </c>
      <c r="I2273" s="190" t="s">
        <v>1351</v>
      </c>
      <c r="J2273" s="183">
        <v>3471</v>
      </c>
      <c r="K2273" s="190"/>
      <c r="L2273" s="183">
        <v>6.5</v>
      </c>
      <c r="M2273" s="183">
        <v>6.5</v>
      </c>
      <c r="N2273" s="185"/>
      <c r="O2273" s="186">
        <v>0.2</v>
      </c>
      <c r="P2273" s="186">
        <v>0.1</v>
      </c>
      <c r="Q2273" s="185">
        <v>0</v>
      </c>
      <c r="R2273" s="181" t="s">
        <v>146</v>
      </c>
      <c r="S2273" s="187" t="s">
        <v>74</v>
      </c>
      <c r="T2273" s="187">
        <v>31</v>
      </c>
      <c r="U2273" s="188" t="s">
        <v>164</v>
      </c>
      <c r="V2273" s="441"/>
      <c r="X2273" s="185">
        <v>0</v>
      </c>
      <c r="Y2273" s="185"/>
      <c r="AE2273" s="204">
        <f>X2273</f>
        <v>0</v>
      </c>
      <c r="AI2273" s="184"/>
      <c r="AJ2273" s="189"/>
    </row>
    <row r="2274" spans="1:77" s="291" customFormat="1" ht="11.25" customHeight="1">
      <c r="A2274" s="291" t="s">
        <v>3893</v>
      </c>
      <c r="B2274" s="310" t="s">
        <v>291</v>
      </c>
      <c r="C2274" s="292">
        <v>44715</v>
      </c>
      <c r="D2274" s="292">
        <v>44719</v>
      </c>
      <c r="E2274" s="293" t="s">
        <v>1706</v>
      </c>
      <c r="F2274" s="291" t="s">
        <v>1716</v>
      </c>
      <c r="G2274" s="294" t="s">
        <v>1707</v>
      </c>
      <c r="H2274" s="291" t="s">
        <v>138</v>
      </c>
      <c r="I2274" s="295" t="s">
        <v>819</v>
      </c>
      <c r="J2274" s="296">
        <v>14895.1</v>
      </c>
      <c r="K2274" s="295"/>
      <c r="L2274" s="296">
        <v>12.31</v>
      </c>
      <c r="M2274" s="296">
        <v>12.31</v>
      </c>
      <c r="N2274" s="297">
        <v>2234</v>
      </c>
      <c r="O2274" s="298">
        <v>0.25</v>
      </c>
      <c r="P2274" s="298">
        <v>0.1</v>
      </c>
      <c r="Q2274" s="297">
        <v>0</v>
      </c>
      <c r="R2274" s="291" t="s">
        <v>146</v>
      </c>
      <c r="S2274" s="299" t="s">
        <v>74</v>
      </c>
      <c r="T2274" s="299">
        <v>31</v>
      </c>
      <c r="U2274" s="300" t="s">
        <v>164</v>
      </c>
      <c r="V2274" s="333"/>
      <c r="X2274" s="297">
        <v>0</v>
      </c>
      <c r="Y2274" s="297"/>
      <c r="AH2274" s="291">
        <f>X2274</f>
        <v>0</v>
      </c>
      <c r="AI2274" s="311"/>
      <c r="AJ2274" s="468"/>
    </row>
    <row r="2275" spans="1:77" s="181" customFormat="1" ht="11.25" customHeight="1">
      <c r="B2275" s="178" t="s">
        <v>291</v>
      </c>
      <c r="C2275" s="179"/>
      <c r="D2275" s="179"/>
      <c r="E2275" s="180" t="s">
        <v>1706</v>
      </c>
      <c r="F2275" s="181" t="s">
        <v>1716</v>
      </c>
      <c r="G2275" s="182" t="s">
        <v>1707</v>
      </c>
      <c r="H2275" s="181" t="s">
        <v>192</v>
      </c>
      <c r="I2275" s="190" t="s">
        <v>819</v>
      </c>
      <c r="J2275" s="183">
        <v>9998.91</v>
      </c>
      <c r="K2275" s="190"/>
      <c r="L2275" s="183">
        <v>12.77</v>
      </c>
      <c r="M2275" s="183">
        <v>12.77</v>
      </c>
      <c r="N2275" s="185"/>
      <c r="O2275" s="186">
        <v>0.25</v>
      </c>
      <c r="P2275" s="186">
        <v>0.1</v>
      </c>
      <c r="Q2275" s="185">
        <v>0</v>
      </c>
      <c r="R2275" s="181" t="s">
        <v>146</v>
      </c>
      <c r="S2275" s="187" t="s">
        <v>74</v>
      </c>
      <c r="T2275" s="187">
        <v>31</v>
      </c>
      <c r="U2275" s="188" t="s">
        <v>164</v>
      </c>
      <c r="V2275" s="441"/>
      <c r="X2275" s="185">
        <v>0</v>
      </c>
      <c r="Y2275" s="185"/>
      <c r="AE2275" s="204">
        <f>X2275</f>
        <v>0</v>
      </c>
      <c r="AI2275" s="184"/>
      <c r="AJ2275" s="189"/>
    </row>
    <row r="2276" spans="1:77" s="205" customFormat="1" ht="11.25" customHeight="1">
      <c r="A2276" s="379"/>
      <c r="B2276" s="380" t="s">
        <v>291</v>
      </c>
      <c r="C2276" s="381"/>
      <c r="D2276" s="381"/>
      <c r="E2276" s="382" t="s">
        <v>1718</v>
      </c>
      <c r="F2276" s="379" t="s">
        <v>1719</v>
      </c>
      <c r="G2276" s="404">
        <v>3707</v>
      </c>
      <c r="H2276" s="379" t="s">
        <v>814</v>
      </c>
      <c r="I2276" s="384" t="s">
        <v>1351</v>
      </c>
      <c r="J2276" s="385">
        <v>14653.99</v>
      </c>
      <c r="K2276" s="384"/>
      <c r="L2276" s="385">
        <v>13.34</v>
      </c>
      <c r="M2276" s="385">
        <v>13.34</v>
      </c>
      <c r="N2276" s="386">
        <f>J2276*0.12</f>
        <v>1758.4787999999999</v>
      </c>
      <c r="O2276" s="387">
        <v>0.2</v>
      </c>
      <c r="P2276" s="387">
        <v>0.1</v>
      </c>
      <c r="Q2276" s="386">
        <v>0</v>
      </c>
      <c r="R2276" s="379" t="s">
        <v>29</v>
      </c>
      <c r="S2276" s="388" t="s">
        <v>51</v>
      </c>
      <c r="T2276" s="388">
        <v>52</v>
      </c>
      <c r="U2276" s="389" t="s">
        <v>164</v>
      </c>
      <c r="V2276" s="433"/>
      <c r="W2276" s="379"/>
      <c r="X2276" s="386">
        <v>0</v>
      </c>
      <c r="Y2276" s="386"/>
      <c r="Z2276" s="379"/>
      <c r="AA2276" s="379"/>
      <c r="AB2276" s="379"/>
      <c r="AC2276" s="379"/>
      <c r="AD2276" s="379"/>
      <c r="AE2276" s="379"/>
      <c r="AF2276" s="379"/>
      <c r="AG2276" s="379"/>
      <c r="AH2276" s="379"/>
      <c r="AI2276" s="394"/>
      <c r="AJ2276" s="390">
        <v>0</v>
      </c>
      <c r="AK2276" s="379"/>
      <c r="AL2276" s="379"/>
      <c r="AM2276" s="379"/>
      <c r="AN2276" s="379"/>
      <c r="AO2276" s="379"/>
      <c r="AP2276" s="379"/>
      <c r="AQ2276" s="379"/>
      <c r="AR2276" s="379"/>
      <c r="AS2276" s="379"/>
      <c r="AT2276" s="379"/>
      <c r="AU2276" s="379"/>
      <c r="AV2276" s="379"/>
      <c r="AW2276" s="379"/>
      <c r="AX2276" s="379"/>
      <c r="AY2276" s="379"/>
      <c r="AZ2276" s="379"/>
      <c r="BA2276" s="379"/>
      <c r="BB2276" s="379"/>
      <c r="BC2276" s="379"/>
      <c r="BD2276" s="379"/>
      <c r="BE2276" s="379"/>
      <c r="BF2276" s="379"/>
      <c r="BG2276" s="379"/>
      <c r="BH2276" s="379"/>
      <c r="BI2276" s="379"/>
      <c r="BJ2276" s="379"/>
      <c r="BK2276" s="379"/>
      <c r="BL2276" s="379"/>
      <c r="BM2276" s="379"/>
      <c r="BN2276" s="379"/>
      <c r="BO2276" s="379"/>
      <c r="BP2276" s="379"/>
      <c r="BQ2276" s="379"/>
      <c r="BR2276" s="379"/>
      <c r="BS2276" s="379"/>
      <c r="BT2276" s="379"/>
      <c r="BU2276" s="379"/>
      <c r="BV2276" s="379"/>
      <c r="BW2276" s="379"/>
      <c r="BX2276" s="379"/>
      <c r="BY2276" s="379"/>
    </row>
    <row r="2277" spans="1:77" s="205" customFormat="1" ht="11.25" customHeight="1">
      <c r="A2277" s="379"/>
      <c r="B2277" s="380" t="s">
        <v>291</v>
      </c>
      <c r="C2277" s="381"/>
      <c r="D2277" s="381"/>
      <c r="E2277" s="382" t="s">
        <v>1718</v>
      </c>
      <c r="F2277" s="379" t="s">
        <v>1719</v>
      </c>
      <c r="G2277" s="404">
        <v>3707</v>
      </c>
      <c r="H2277" s="379" t="s">
        <v>183</v>
      </c>
      <c r="I2277" s="384" t="s">
        <v>33</v>
      </c>
      <c r="J2277" s="385">
        <v>29647.3</v>
      </c>
      <c r="K2277" s="384"/>
      <c r="L2277" s="385">
        <v>25.92</v>
      </c>
      <c r="M2277" s="385">
        <v>25.9</v>
      </c>
      <c r="N2277" s="386">
        <f>2953.63+981.84</f>
        <v>3935.4700000000003</v>
      </c>
      <c r="O2277" s="387">
        <v>0.2</v>
      </c>
      <c r="P2277" s="387"/>
      <c r="Q2277" s="386">
        <v>0</v>
      </c>
      <c r="R2277" s="379" t="s">
        <v>29</v>
      </c>
      <c r="S2277" s="388" t="s">
        <v>51</v>
      </c>
      <c r="T2277" s="388">
        <v>52</v>
      </c>
      <c r="U2277" s="389" t="s">
        <v>164</v>
      </c>
      <c r="V2277" s="433"/>
      <c r="W2277" s="379"/>
      <c r="X2277" s="386">
        <v>0</v>
      </c>
      <c r="Y2277" s="386"/>
      <c r="Z2277" s="379"/>
      <c r="AA2277" s="379"/>
      <c r="AB2277" s="379"/>
      <c r="AC2277" s="379"/>
      <c r="AD2277" s="379"/>
      <c r="AE2277" s="379"/>
      <c r="AF2277" s="379"/>
      <c r="AG2277" s="379"/>
      <c r="AH2277" s="379"/>
      <c r="AI2277" s="394"/>
      <c r="AJ2277" s="390">
        <v>0</v>
      </c>
      <c r="AK2277" s="379"/>
      <c r="AL2277" s="379"/>
      <c r="AM2277" s="379"/>
      <c r="AN2277" s="379"/>
      <c r="AO2277" s="379"/>
      <c r="AP2277" s="379"/>
      <c r="AQ2277" s="379"/>
      <c r="AR2277" s="379"/>
      <c r="AS2277" s="379"/>
      <c r="AT2277" s="379"/>
      <c r="AU2277" s="379"/>
      <c r="AV2277" s="379"/>
      <c r="AW2277" s="379"/>
      <c r="AX2277" s="379"/>
      <c r="AY2277" s="379"/>
      <c r="AZ2277" s="379"/>
      <c r="BA2277" s="379"/>
      <c r="BB2277" s="379"/>
      <c r="BC2277" s="379"/>
      <c r="BD2277" s="379"/>
      <c r="BE2277" s="379"/>
      <c r="BF2277" s="379"/>
      <c r="BG2277" s="379"/>
      <c r="BH2277" s="379"/>
      <c r="BI2277" s="379"/>
      <c r="BJ2277" s="379"/>
      <c r="BK2277" s="379"/>
      <c r="BL2277" s="379"/>
      <c r="BM2277" s="379"/>
      <c r="BN2277" s="379"/>
      <c r="BO2277" s="379"/>
      <c r="BP2277" s="379"/>
      <c r="BQ2277" s="379"/>
      <c r="BR2277" s="379"/>
      <c r="BS2277" s="379"/>
      <c r="BT2277" s="379"/>
      <c r="BU2277" s="379"/>
      <c r="BV2277" s="379"/>
      <c r="BW2277" s="379"/>
      <c r="BX2277" s="379"/>
      <c r="BY2277" s="379"/>
    </row>
    <row r="2278" spans="1:77" s="379" customFormat="1" ht="11.25" customHeight="1">
      <c r="B2278" s="380" t="s">
        <v>291</v>
      </c>
      <c r="C2278" s="381"/>
      <c r="D2278" s="381"/>
      <c r="E2278" s="382" t="s">
        <v>1718</v>
      </c>
      <c r="F2278" s="379" t="s">
        <v>1719</v>
      </c>
      <c r="G2278" s="404">
        <v>3707</v>
      </c>
      <c r="H2278" s="379" t="s">
        <v>137</v>
      </c>
      <c r="I2278" s="384" t="s">
        <v>33</v>
      </c>
      <c r="J2278" s="385">
        <v>21851.73</v>
      </c>
      <c r="K2278" s="384"/>
      <c r="L2278" s="385">
        <v>14.03</v>
      </c>
      <c r="M2278" s="385">
        <v>14</v>
      </c>
      <c r="N2278" s="386">
        <f>J2278*0.22</f>
        <v>4807.3805999999995</v>
      </c>
      <c r="O2278" s="387">
        <v>0.2</v>
      </c>
      <c r="P2278" s="387"/>
      <c r="Q2278" s="386">
        <v>0</v>
      </c>
      <c r="R2278" s="379" t="s">
        <v>29</v>
      </c>
      <c r="S2278" s="388" t="s">
        <v>51</v>
      </c>
      <c r="T2278" s="388">
        <v>52</v>
      </c>
      <c r="U2278" s="389" t="s">
        <v>164</v>
      </c>
      <c r="V2278" s="433"/>
      <c r="X2278" s="386">
        <v>0</v>
      </c>
      <c r="Y2278" s="386"/>
      <c r="AI2278" s="394"/>
      <c r="AJ2278" s="390">
        <v>0</v>
      </c>
    </row>
    <row r="2279" spans="1:77" s="379" customFormat="1" ht="11.25" customHeight="1">
      <c r="B2279" s="380" t="s">
        <v>291</v>
      </c>
      <c r="C2279" s="381"/>
      <c r="D2279" s="381"/>
      <c r="E2279" s="382" t="s">
        <v>1718</v>
      </c>
      <c r="F2279" s="379" t="s">
        <v>1719</v>
      </c>
      <c r="G2279" s="404">
        <v>3707</v>
      </c>
      <c r="H2279" s="379" t="s">
        <v>310</v>
      </c>
      <c r="I2279" s="384" t="s">
        <v>33</v>
      </c>
      <c r="J2279" s="385">
        <v>5600.84</v>
      </c>
      <c r="K2279" s="384"/>
      <c r="L2279" s="385">
        <v>4.82</v>
      </c>
      <c r="M2279" s="385">
        <v>4.8</v>
      </c>
      <c r="N2279" s="386">
        <f>J2279*0.1</f>
        <v>560.08400000000006</v>
      </c>
      <c r="O2279" s="387">
        <v>0.2</v>
      </c>
      <c r="P2279" s="387"/>
      <c r="Q2279" s="386">
        <v>1174.1500000000001</v>
      </c>
      <c r="R2279" s="379" t="s">
        <v>29</v>
      </c>
      <c r="S2279" s="388" t="s">
        <v>51</v>
      </c>
      <c r="T2279" s="388">
        <v>52</v>
      </c>
      <c r="U2279" s="389" t="s">
        <v>164</v>
      </c>
      <c r="V2279" s="433"/>
      <c r="X2279" s="386">
        <v>1174.1500000000001</v>
      </c>
      <c r="Y2279" s="386"/>
      <c r="AI2279" s="394"/>
      <c r="AJ2279" s="416">
        <v>1174.1500000000001</v>
      </c>
    </row>
    <row r="2280" spans="1:77" s="205" customFormat="1" ht="11.25" customHeight="1">
      <c r="B2280" s="206" t="s">
        <v>291</v>
      </c>
      <c r="C2280" s="207">
        <v>44716</v>
      </c>
      <c r="D2280" s="207">
        <v>44719</v>
      </c>
      <c r="E2280" s="208" t="s">
        <v>1718</v>
      </c>
      <c r="F2280" s="205" t="s">
        <v>1719</v>
      </c>
      <c r="G2280" s="217">
        <v>3707</v>
      </c>
      <c r="H2280" s="205" t="s">
        <v>99</v>
      </c>
      <c r="I2280" s="219" t="s">
        <v>1351</v>
      </c>
      <c r="J2280" s="210">
        <v>57621</v>
      </c>
      <c r="K2280" s="219"/>
      <c r="L2280" s="210">
        <v>50.21</v>
      </c>
      <c r="M2280" s="210">
        <v>50.2</v>
      </c>
      <c r="N2280" s="213">
        <v>0</v>
      </c>
      <c r="O2280" s="212">
        <v>0.2</v>
      </c>
      <c r="P2280" s="212">
        <v>0.1</v>
      </c>
      <c r="Q2280" s="213">
        <v>0</v>
      </c>
      <c r="R2280" s="205" t="s">
        <v>29</v>
      </c>
      <c r="S2280" s="214" t="s">
        <v>51</v>
      </c>
      <c r="T2280" s="214">
        <v>52</v>
      </c>
      <c r="U2280" s="215" t="s">
        <v>164</v>
      </c>
      <c r="V2280" s="438"/>
      <c r="W2280" s="205" t="s">
        <v>2740</v>
      </c>
      <c r="X2280" s="213">
        <v>0</v>
      </c>
      <c r="Y2280" s="213"/>
      <c r="AF2280" s="230">
        <f>X2280</f>
        <v>0</v>
      </c>
      <c r="AI2280" s="218"/>
      <c r="AJ2280" s="216"/>
    </row>
    <row r="2281" spans="1:77" s="205" customFormat="1" ht="11.25" customHeight="1">
      <c r="B2281" s="206" t="s">
        <v>291</v>
      </c>
      <c r="C2281" s="207"/>
      <c r="D2281" s="207"/>
      <c r="E2281" s="208" t="s">
        <v>1718</v>
      </c>
      <c r="F2281" s="205" t="s">
        <v>1719</v>
      </c>
      <c r="G2281" s="217">
        <v>3707</v>
      </c>
      <c r="H2281" s="205" t="s">
        <v>27</v>
      </c>
      <c r="I2281" s="219" t="s">
        <v>1351</v>
      </c>
      <c r="J2281" s="210">
        <v>30874.03</v>
      </c>
      <c r="K2281" s="219"/>
      <c r="L2281" s="210">
        <v>26.16</v>
      </c>
      <c r="M2281" s="210">
        <v>26</v>
      </c>
      <c r="N2281" s="213">
        <v>0</v>
      </c>
      <c r="O2281" s="212">
        <v>0.2</v>
      </c>
      <c r="P2281" s="212">
        <v>0.1</v>
      </c>
      <c r="Q2281" s="213">
        <v>0</v>
      </c>
      <c r="R2281" s="205" t="s">
        <v>29</v>
      </c>
      <c r="S2281" s="214" t="s">
        <v>51</v>
      </c>
      <c r="T2281" s="214">
        <v>52</v>
      </c>
      <c r="U2281" s="215" t="s">
        <v>164</v>
      </c>
      <c r="V2281" s="438"/>
      <c r="W2281" s="205" t="s">
        <v>2740</v>
      </c>
      <c r="X2281" s="213">
        <v>0</v>
      </c>
      <c r="Y2281" s="213"/>
      <c r="AF2281" s="230">
        <f>X2281</f>
        <v>0</v>
      </c>
      <c r="AI2281" s="218"/>
      <c r="AJ2281" s="216"/>
    </row>
    <row r="2282" spans="1:77" s="6" customFormat="1" ht="11.25" customHeight="1">
      <c r="B2282" s="39" t="s">
        <v>291</v>
      </c>
      <c r="C2282" s="4">
        <v>44716</v>
      </c>
      <c r="D2282" s="4">
        <v>44719</v>
      </c>
      <c r="E2282" s="5" t="s">
        <v>1720</v>
      </c>
      <c r="F2282" s="6" t="s">
        <v>1721</v>
      </c>
      <c r="G2282" s="31">
        <v>4380</v>
      </c>
      <c r="H2282" s="6" t="s">
        <v>183</v>
      </c>
      <c r="I2282" s="9" t="s">
        <v>156</v>
      </c>
      <c r="J2282" s="24">
        <v>24467.99</v>
      </c>
      <c r="K2282" s="9"/>
      <c r="L2282" s="24">
        <v>20.69</v>
      </c>
      <c r="M2282" s="24">
        <v>20.69</v>
      </c>
      <c r="N2282" s="8">
        <v>11499.957179999999</v>
      </c>
      <c r="O2282" s="11">
        <v>0.15</v>
      </c>
      <c r="P2282" s="11">
        <v>0.1</v>
      </c>
      <c r="Q2282" s="119">
        <v>9023.74</v>
      </c>
      <c r="R2282" s="6" t="s">
        <v>281</v>
      </c>
      <c r="S2282" s="3" t="s">
        <v>397</v>
      </c>
      <c r="T2282" s="3" t="s">
        <v>923</v>
      </c>
      <c r="U2282" s="7"/>
      <c r="V2282" s="436"/>
      <c r="X2282" s="8"/>
      <c r="Y2282" s="8"/>
      <c r="AI2282" s="117"/>
      <c r="AJ2282" s="80"/>
    </row>
    <row r="2283" spans="1:77" s="6" customFormat="1" ht="11.25" customHeight="1">
      <c r="B2283" s="39" t="s">
        <v>291</v>
      </c>
      <c r="C2283" s="4"/>
      <c r="D2283" s="4"/>
      <c r="E2283" s="5" t="s">
        <v>1720</v>
      </c>
      <c r="F2283" s="6" t="s">
        <v>1721</v>
      </c>
      <c r="G2283" s="31">
        <v>4380</v>
      </c>
      <c r="H2283" s="6" t="s">
        <v>765</v>
      </c>
      <c r="I2283" s="9" t="s">
        <v>156</v>
      </c>
      <c r="J2283" s="24">
        <v>16996.32</v>
      </c>
      <c r="K2283" s="9"/>
      <c r="L2283" s="24">
        <v>21.46</v>
      </c>
      <c r="M2283" s="24">
        <v>21.46</v>
      </c>
      <c r="N2283" s="8">
        <v>0</v>
      </c>
      <c r="O2283" s="11">
        <v>0.15</v>
      </c>
      <c r="P2283" s="11">
        <v>0.1</v>
      </c>
      <c r="Q2283" s="119">
        <v>532.21</v>
      </c>
      <c r="R2283" s="6" t="s">
        <v>281</v>
      </c>
      <c r="S2283" s="3" t="s">
        <v>397</v>
      </c>
      <c r="T2283" s="3" t="s">
        <v>923</v>
      </c>
      <c r="U2283" s="7"/>
      <c r="V2283" s="436"/>
      <c r="X2283" s="8"/>
      <c r="Y2283" s="8"/>
      <c r="AI2283" s="117"/>
      <c r="AJ2283" s="80"/>
    </row>
    <row r="2284" spans="1:77" s="6" customFormat="1" ht="11.25" customHeight="1">
      <c r="B2284" s="39" t="s">
        <v>291</v>
      </c>
      <c r="C2284" s="4"/>
      <c r="D2284" s="4"/>
      <c r="E2284" s="5" t="s">
        <v>1720</v>
      </c>
      <c r="F2284" s="6" t="s">
        <v>1721</v>
      </c>
      <c r="G2284" s="31">
        <v>4380</v>
      </c>
      <c r="H2284" s="6" t="s">
        <v>99</v>
      </c>
      <c r="I2284" s="9" t="s">
        <v>156</v>
      </c>
      <c r="J2284" s="24">
        <v>51558.1</v>
      </c>
      <c r="K2284" s="9"/>
      <c r="L2284" s="24">
        <v>42.61</v>
      </c>
      <c r="M2284" s="24">
        <v>42.61</v>
      </c>
      <c r="N2284" s="8">
        <v>30419.278999999999</v>
      </c>
      <c r="O2284" s="11">
        <v>0.15</v>
      </c>
      <c r="P2284" s="11">
        <v>0.1</v>
      </c>
      <c r="Q2284" s="119">
        <v>14444.79</v>
      </c>
      <c r="R2284" s="6" t="s">
        <v>281</v>
      </c>
      <c r="S2284" s="3" t="s">
        <v>397</v>
      </c>
      <c r="T2284" s="3" t="s">
        <v>923</v>
      </c>
      <c r="U2284" s="7"/>
      <c r="V2284" s="436"/>
      <c r="X2284" s="8"/>
      <c r="Y2284" s="8"/>
      <c r="AI2284" s="117"/>
      <c r="AJ2284" s="80"/>
    </row>
    <row r="2285" spans="1:77" s="6" customFormat="1" ht="11.25" customHeight="1">
      <c r="B2285" s="39" t="s">
        <v>291</v>
      </c>
      <c r="C2285" s="4"/>
      <c r="D2285" s="4"/>
      <c r="E2285" s="5" t="s">
        <v>1720</v>
      </c>
      <c r="F2285" s="6" t="s">
        <v>1721</v>
      </c>
      <c r="G2285" s="31">
        <v>4380</v>
      </c>
      <c r="H2285" s="6" t="s">
        <v>140</v>
      </c>
      <c r="I2285" s="9" t="s">
        <v>156</v>
      </c>
      <c r="J2285" s="24">
        <v>19613.099999999999</v>
      </c>
      <c r="K2285" s="9"/>
      <c r="L2285" s="24">
        <v>10.7</v>
      </c>
      <c r="M2285" s="24">
        <v>10.7</v>
      </c>
      <c r="N2285" s="8">
        <v>5099.4059999999999</v>
      </c>
      <c r="O2285" s="11">
        <v>0.15</v>
      </c>
      <c r="P2285" s="11">
        <v>0.1</v>
      </c>
      <c r="Q2285" s="119">
        <v>2115.39</v>
      </c>
      <c r="R2285" s="6" t="s">
        <v>281</v>
      </c>
      <c r="S2285" s="3" t="s">
        <v>397</v>
      </c>
      <c r="T2285" s="3" t="s">
        <v>923</v>
      </c>
      <c r="U2285" s="7"/>
      <c r="V2285" s="436"/>
      <c r="X2285" s="8"/>
      <c r="Y2285" s="8"/>
      <c r="AI2285" s="117"/>
      <c r="AJ2285" s="80"/>
    </row>
    <row r="2286" spans="1:77" s="205" customFormat="1" ht="11.25" customHeight="1">
      <c r="B2286" s="206" t="s">
        <v>291</v>
      </c>
      <c r="C2286" s="207">
        <v>44714</v>
      </c>
      <c r="D2286" s="207">
        <v>44719</v>
      </c>
      <c r="E2286" s="208" t="s">
        <v>1722</v>
      </c>
      <c r="F2286" s="205" t="s">
        <v>418</v>
      </c>
      <c r="G2286" s="217">
        <v>3983</v>
      </c>
      <c r="H2286" s="205" t="s">
        <v>138</v>
      </c>
      <c r="I2286" s="219" t="s">
        <v>33</v>
      </c>
      <c r="J2286" s="210">
        <v>12432.24</v>
      </c>
      <c r="K2286" s="219"/>
      <c r="L2286" s="210">
        <v>11.16</v>
      </c>
      <c r="M2286" s="210">
        <v>11.16</v>
      </c>
      <c r="N2286" s="213"/>
      <c r="O2286" s="212">
        <v>0.2</v>
      </c>
      <c r="P2286" s="212"/>
      <c r="Q2286" s="213">
        <v>0</v>
      </c>
      <c r="R2286" s="205" t="s">
        <v>73</v>
      </c>
      <c r="S2286" s="214" t="s">
        <v>74</v>
      </c>
      <c r="T2286" s="214">
        <v>31</v>
      </c>
      <c r="U2286" s="215" t="s">
        <v>164</v>
      </c>
      <c r="V2286" s="438"/>
      <c r="X2286" s="213">
        <v>0</v>
      </c>
      <c r="Y2286" s="213"/>
      <c r="AF2286" s="230">
        <f>X2286</f>
        <v>0</v>
      </c>
      <c r="AI2286" s="218"/>
      <c r="AJ2286" s="216"/>
    </row>
    <row r="2287" spans="1:77" s="205" customFormat="1" ht="11.25" customHeight="1">
      <c r="B2287" s="206" t="s">
        <v>291</v>
      </c>
      <c r="C2287" s="207"/>
      <c r="D2287" s="207"/>
      <c r="E2287" s="208" t="s">
        <v>1722</v>
      </c>
      <c r="F2287" s="205" t="s">
        <v>418</v>
      </c>
      <c r="G2287" s="217">
        <v>3983</v>
      </c>
      <c r="H2287" s="205" t="s">
        <v>99</v>
      </c>
      <c r="I2287" s="219" t="s">
        <v>33</v>
      </c>
      <c r="J2287" s="210">
        <v>26067.599999999999</v>
      </c>
      <c r="K2287" s="219"/>
      <c r="L2287" s="210">
        <v>26</v>
      </c>
      <c r="M2287" s="210">
        <v>26</v>
      </c>
      <c r="N2287" s="213"/>
      <c r="O2287" s="212">
        <v>0.2</v>
      </c>
      <c r="P2287" s="212"/>
      <c r="Q2287" s="213">
        <v>0</v>
      </c>
      <c r="R2287" s="205" t="s">
        <v>73</v>
      </c>
      <c r="S2287" s="214" t="s">
        <v>74</v>
      </c>
      <c r="T2287" s="214">
        <v>31</v>
      </c>
      <c r="U2287" s="215" t="s">
        <v>164</v>
      </c>
      <c r="V2287" s="438"/>
      <c r="X2287" s="213">
        <v>0</v>
      </c>
      <c r="Y2287" s="213"/>
      <c r="AF2287" s="230">
        <f>X2287</f>
        <v>0</v>
      </c>
      <c r="AI2287" s="218"/>
      <c r="AJ2287" s="216"/>
    </row>
    <row r="2288" spans="1:77" s="205" customFormat="1" ht="11.25" customHeight="1">
      <c r="B2288" s="206" t="s">
        <v>291</v>
      </c>
      <c r="C2288" s="207"/>
      <c r="D2288" s="207"/>
      <c r="E2288" s="208" t="s">
        <v>1722</v>
      </c>
      <c r="F2288" s="205" t="s">
        <v>418</v>
      </c>
      <c r="G2288" s="217">
        <v>3983</v>
      </c>
      <c r="H2288" s="205" t="s">
        <v>27</v>
      </c>
      <c r="I2288" s="219" t="s">
        <v>33</v>
      </c>
      <c r="J2288" s="210">
        <v>26318.04</v>
      </c>
      <c r="K2288" s="219"/>
      <c r="L2288" s="210">
        <v>18.43</v>
      </c>
      <c r="M2288" s="210">
        <v>18.43</v>
      </c>
      <c r="N2288" s="213"/>
      <c r="O2288" s="212">
        <v>0.2</v>
      </c>
      <c r="P2288" s="212"/>
      <c r="Q2288" s="213">
        <v>0</v>
      </c>
      <c r="R2288" s="205" t="s">
        <v>73</v>
      </c>
      <c r="S2288" s="214" t="s">
        <v>74</v>
      </c>
      <c r="T2288" s="214">
        <v>31</v>
      </c>
      <c r="U2288" s="215" t="s">
        <v>164</v>
      </c>
      <c r="V2288" s="438"/>
      <c r="X2288" s="213">
        <v>0</v>
      </c>
      <c r="Y2288" s="213"/>
      <c r="AF2288" s="230">
        <f>X2288</f>
        <v>0</v>
      </c>
      <c r="AI2288" s="218"/>
      <c r="AJ2288" s="216"/>
    </row>
    <row r="2289" spans="2:77" s="205" customFormat="1" ht="11.25" customHeight="1">
      <c r="B2289" s="206" t="s">
        <v>291</v>
      </c>
      <c r="C2289" s="207"/>
      <c r="D2289" s="207"/>
      <c r="E2289" s="208" t="s">
        <v>1722</v>
      </c>
      <c r="F2289" s="205" t="s">
        <v>418</v>
      </c>
      <c r="G2289" s="217">
        <v>3983</v>
      </c>
      <c r="H2289" s="205" t="s">
        <v>183</v>
      </c>
      <c r="I2289" s="219" t="s">
        <v>33</v>
      </c>
      <c r="J2289" s="210">
        <v>22839.19</v>
      </c>
      <c r="K2289" s="219"/>
      <c r="L2289" s="210">
        <v>24.59</v>
      </c>
      <c r="M2289" s="210">
        <v>24.59</v>
      </c>
      <c r="N2289" s="213"/>
      <c r="O2289" s="212">
        <v>0.2</v>
      </c>
      <c r="P2289" s="212"/>
      <c r="Q2289" s="213">
        <v>0</v>
      </c>
      <c r="R2289" s="205" t="s">
        <v>73</v>
      </c>
      <c r="S2289" s="214" t="s">
        <v>74</v>
      </c>
      <c r="T2289" s="214">
        <v>31</v>
      </c>
      <c r="U2289" s="215" t="s">
        <v>164</v>
      </c>
      <c r="V2289" s="438"/>
      <c r="X2289" s="213">
        <v>0</v>
      </c>
      <c r="Y2289" s="213"/>
      <c r="AF2289" s="230">
        <f>X2289</f>
        <v>0</v>
      </c>
      <c r="AI2289" s="218"/>
      <c r="AJ2289" s="216"/>
    </row>
    <row r="2290" spans="2:77" s="181" customFormat="1" ht="11.25" customHeight="1">
      <c r="B2290" s="178" t="s">
        <v>291</v>
      </c>
      <c r="C2290" s="179">
        <v>44716</v>
      </c>
      <c r="D2290" s="179">
        <v>44719</v>
      </c>
      <c r="E2290" s="180" t="s">
        <v>1723</v>
      </c>
      <c r="F2290" s="181" t="s">
        <v>1724</v>
      </c>
      <c r="G2290" s="182" t="s">
        <v>1725</v>
      </c>
      <c r="H2290" s="181" t="s">
        <v>99</v>
      </c>
      <c r="I2290" s="190" t="s">
        <v>156</v>
      </c>
      <c r="J2290" s="183">
        <v>75330.8</v>
      </c>
      <c r="K2290" s="190"/>
      <c r="L2290" s="183">
        <v>54.99</v>
      </c>
      <c r="M2290" s="183">
        <v>40</v>
      </c>
      <c r="N2290" s="185"/>
      <c r="O2290" s="186">
        <v>0.25</v>
      </c>
      <c r="P2290" s="186">
        <v>0.1</v>
      </c>
      <c r="Q2290" s="185">
        <v>9823.43</v>
      </c>
      <c r="R2290" s="181" t="s">
        <v>285</v>
      </c>
      <c r="S2290" s="187" t="s">
        <v>275</v>
      </c>
      <c r="T2290" s="187">
        <v>89</v>
      </c>
      <c r="U2290" s="188" t="s">
        <v>164</v>
      </c>
      <c r="V2290" s="441"/>
      <c r="X2290" s="185">
        <v>9823.43</v>
      </c>
      <c r="Y2290" s="185"/>
      <c r="AE2290" s="204">
        <f>X2290</f>
        <v>9823.43</v>
      </c>
      <c r="AI2290" s="184"/>
      <c r="AJ2290" s="189"/>
    </row>
    <row r="2291" spans="2:77" s="181" customFormat="1" ht="11.25" customHeight="1">
      <c r="B2291" s="178" t="s">
        <v>291</v>
      </c>
      <c r="C2291" s="179"/>
      <c r="D2291" s="179"/>
      <c r="E2291" s="180" t="s">
        <v>1723</v>
      </c>
      <c r="F2291" s="181" t="s">
        <v>1724</v>
      </c>
      <c r="G2291" s="182" t="s">
        <v>1725</v>
      </c>
      <c r="H2291" s="181" t="s">
        <v>27</v>
      </c>
      <c r="I2291" s="190" t="s">
        <v>156</v>
      </c>
      <c r="J2291" s="183">
        <v>21821.56</v>
      </c>
      <c r="K2291" s="190"/>
      <c r="L2291" s="183">
        <v>17.77</v>
      </c>
      <c r="M2291" s="183">
        <v>17.77</v>
      </c>
      <c r="N2291" s="185"/>
      <c r="O2291" s="186">
        <v>0.25</v>
      </c>
      <c r="P2291" s="186">
        <v>0.1</v>
      </c>
      <c r="Q2291" s="185">
        <v>397.31</v>
      </c>
      <c r="R2291" s="181" t="s">
        <v>285</v>
      </c>
      <c r="S2291" s="187" t="s">
        <v>275</v>
      </c>
      <c r="T2291" s="187">
        <v>89</v>
      </c>
      <c r="U2291" s="188" t="s">
        <v>164</v>
      </c>
      <c r="V2291" s="456"/>
      <c r="X2291" s="185">
        <v>397.31</v>
      </c>
      <c r="Y2291" s="185"/>
      <c r="AE2291" s="204">
        <f>X2291</f>
        <v>397.31</v>
      </c>
      <c r="AI2291" s="184"/>
      <c r="AJ2291" s="189"/>
    </row>
    <row r="2292" spans="2:77" s="379" customFormat="1" ht="11.25" customHeight="1">
      <c r="B2292" s="380" t="s">
        <v>291</v>
      </c>
      <c r="C2292" s="381">
        <v>44715</v>
      </c>
      <c r="D2292" s="381">
        <v>44719</v>
      </c>
      <c r="E2292" s="382" t="s">
        <v>1726</v>
      </c>
      <c r="F2292" s="379" t="s">
        <v>1727</v>
      </c>
      <c r="G2292" s="383" t="s">
        <v>1728</v>
      </c>
      <c r="H2292" s="379" t="s">
        <v>765</v>
      </c>
      <c r="I2292" s="384" t="s">
        <v>156</v>
      </c>
      <c r="J2292" s="385">
        <v>4222.37</v>
      </c>
      <c r="K2292" s="384"/>
      <c r="L2292" s="385">
        <v>3.62</v>
      </c>
      <c r="M2292" s="385">
        <v>3.62</v>
      </c>
      <c r="N2292" s="386">
        <f>9103.44-N2293</f>
        <v>5944.1376</v>
      </c>
      <c r="O2292" s="387">
        <v>0.15</v>
      </c>
      <c r="P2292" s="387">
        <v>0.1</v>
      </c>
      <c r="Q2292" s="386">
        <v>0</v>
      </c>
      <c r="R2292" s="379" t="s">
        <v>149</v>
      </c>
      <c r="S2292" s="388" t="s">
        <v>113</v>
      </c>
      <c r="T2292" s="388">
        <v>40</v>
      </c>
      <c r="U2292" s="389" t="s">
        <v>164</v>
      </c>
      <c r="V2292" s="433"/>
      <c r="X2292" s="386">
        <v>0</v>
      </c>
      <c r="Y2292" s="386"/>
      <c r="AI2292" s="394"/>
      <c r="AJ2292" s="390">
        <v>0</v>
      </c>
    </row>
    <row r="2293" spans="2:77" s="379" customFormat="1" ht="11.25" customHeight="1">
      <c r="B2293" s="380" t="s">
        <v>291</v>
      </c>
      <c r="C2293" s="381"/>
      <c r="D2293" s="381"/>
      <c r="E2293" s="382" t="s">
        <v>1726</v>
      </c>
      <c r="F2293" s="379" t="s">
        <v>1727</v>
      </c>
      <c r="G2293" s="383" t="s">
        <v>1728</v>
      </c>
      <c r="H2293" s="379" t="s">
        <v>866</v>
      </c>
      <c r="I2293" s="384" t="s">
        <v>156</v>
      </c>
      <c r="J2293" s="385">
        <v>49536.82</v>
      </c>
      <c r="K2293" s="384"/>
      <c r="L2293" s="385">
        <v>26.53</v>
      </c>
      <c r="M2293" s="385">
        <v>26.53</v>
      </c>
      <c r="N2293" s="386">
        <f>777.50208+502.46352+1879.3368</f>
        <v>3159.3024</v>
      </c>
      <c r="O2293" s="387">
        <v>0.15</v>
      </c>
      <c r="P2293" s="387">
        <v>0.1</v>
      </c>
      <c r="Q2293" s="386">
        <v>0</v>
      </c>
      <c r="R2293" s="379" t="s">
        <v>149</v>
      </c>
      <c r="S2293" s="388" t="s">
        <v>113</v>
      </c>
      <c r="T2293" s="388">
        <v>40</v>
      </c>
      <c r="U2293" s="389" t="s">
        <v>164</v>
      </c>
      <c r="V2293" s="433"/>
      <c r="X2293" s="386">
        <v>0</v>
      </c>
      <c r="Y2293" s="386"/>
      <c r="AI2293" s="394"/>
      <c r="AJ2293" s="390">
        <v>0</v>
      </c>
    </row>
    <row r="2294" spans="2:77" s="647" customFormat="1" ht="11.25" customHeight="1">
      <c r="B2294" s="661" t="s">
        <v>291</v>
      </c>
      <c r="C2294" s="648"/>
      <c r="D2294" s="648"/>
      <c r="E2294" s="649" t="s">
        <v>1729</v>
      </c>
      <c r="F2294" s="647" t="s">
        <v>1730</v>
      </c>
      <c r="G2294" s="650" t="s">
        <v>1731</v>
      </c>
      <c r="H2294" s="647" t="s">
        <v>765</v>
      </c>
      <c r="I2294" s="676" t="s">
        <v>819</v>
      </c>
      <c r="J2294" s="651">
        <v>4691.7</v>
      </c>
      <c r="K2294" s="676"/>
      <c r="L2294" s="651">
        <v>4.01</v>
      </c>
      <c r="M2294" s="651">
        <v>4</v>
      </c>
      <c r="N2294" s="652"/>
      <c r="O2294" s="653">
        <v>0.2</v>
      </c>
      <c r="P2294" s="653">
        <v>0.1</v>
      </c>
      <c r="Q2294" s="652">
        <v>0</v>
      </c>
      <c r="R2294" s="647" t="s">
        <v>146</v>
      </c>
      <c r="S2294" s="654" t="s">
        <v>74</v>
      </c>
      <c r="T2294" s="654">
        <v>31</v>
      </c>
      <c r="U2294" s="655" t="s">
        <v>164</v>
      </c>
      <c r="V2294" s="656"/>
      <c r="X2294" s="652">
        <v>0</v>
      </c>
      <c r="Y2294" s="652"/>
      <c r="AI2294" s="660">
        <v>0</v>
      </c>
      <c r="AJ2294" s="657"/>
      <c r="AK2294" s="658"/>
      <c r="AL2294" s="660"/>
      <c r="AM2294" s="660"/>
      <c r="AN2294" s="660"/>
      <c r="AO2294" s="660"/>
      <c r="AP2294" s="660"/>
      <c r="AQ2294" s="660"/>
      <c r="AR2294" s="660"/>
      <c r="AS2294" s="660"/>
      <c r="AT2294" s="660"/>
      <c r="AU2294" s="660"/>
      <c r="AV2294" s="660"/>
      <c r="AW2294" s="660"/>
      <c r="AX2294" s="660"/>
      <c r="AY2294" s="660"/>
      <c r="AZ2294" s="660"/>
      <c r="BA2294" s="660"/>
      <c r="BB2294" s="660"/>
      <c r="BC2294" s="660"/>
      <c r="BD2294" s="660"/>
      <c r="BE2294" s="660"/>
      <c r="BF2294" s="660"/>
      <c r="BG2294" s="660"/>
      <c r="BH2294" s="660"/>
      <c r="BI2294" s="660"/>
      <c r="BJ2294" s="660"/>
      <c r="BK2294" s="660"/>
      <c r="BL2294" s="660"/>
      <c r="BM2294" s="660"/>
      <c r="BN2294" s="660"/>
      <c r="BO2294" s="660"/>
      <c r="BP2294" s="660"/>
      <c r="BQ2294" s="660"/>
      <c r="BR2294" s="660"/>
      <c r="BS2294" s="660"/>
      <c r="BT2294" s="660"/>
      <c r="BU2294" s="660"/>
      <c r="BV2294" s="660"/>
      <c r="BW2294" s="660"/>
      <c r="BX2294" s="660"/>
      <c r="BY2294" s="660"/>
    </row>
    <row r="2295" spans="2:77" s="647" customFormat="1" ht="11.25" customHeight="1">
      <c r="B2295" s="661" t="s">
        <v>291</v>
      </c>
      <c r="C2295" s="648"/>
      <c r="D2295" s="648"/>
      <c r="E2295" s="649" t="s">
        <v>1729</v>
      </c>
      <c r="F2295" s="647" t="s">
        <v>1730</v>
      </c>
      <c r="G2295" s="650" t="s">
        <v>1731</v>
      </c>
      <c r="H2295" s="647" t="s">
        <v>814</v>
      </c>
      <c r="I2295" s="676" t="s">
        <v>819</v>
      </c>
      <c r="J2295" s="651">
        <v>8417.52</v>
      </c>
      <c r="K2295" s="676"/>
      <c r="L2295" s="651">
        <v>8.66</v>
      </c>
      <c r="M2295" s="651">
        <v>8</v>
      </c>
      <c r="N2295" s="652"/>
      <c r="O2295" s="653">
        <v>0.2</v>
      </c>
      <c r="P2295" s="653">
        <v>0.1</v>
      </c>
      <c r="Q2295" s="652">
        <v>0</v>
      </c>
      <c r="R2295" s="647" t="s">
        <v>146</v>
      </c>
      <c r="S2295" s="654" t="s">
        <v>74</v>
      </c>
      <c r="T2295" s="654">
        <v>31</v>
      </c>
      <c r="U2295" s="655" t="s">
        <v>164</v>
      </c>
      <c r="V2295" s="656"/>
      <c r="X2295" s="652">
        <v>0</v>
      </c>
      <c r="Y2295" s="652"/>
      <c r="AI2295" s="660">
        <v>0</v>
      </c>
      <c r="AJ2295" s="657"/>
      <c r="AK2295" s="658"/>
      <c r="AL2295" s="660"/>
      <c r="AM2295" s="660"/>
      <c r="AN2295" s="660"/>
      <c r="AO2295" s="660"/>
      <c r="AP2295" s="660"/>
      <c r="AQ2295" s="660"/>
      <c r="AR2295" s="660"/>
      <c r="AS2295" s="660"/>
      <c r="AT2295" s="660"/>
      <c r="AU2295" s="660"/>
      <c r="AV2295" s="660"/>
      <c r="AW2295" s="660"/>
      <c r="AX2295" s="660"/>
      <c r="AY2295" s="660"/>
      <c r="AZ2295" s="660"/>
      <c r="BA2295" s="660"/>
      <c r="BB2295" s="660"/>
      <c r="BC2295" s="660"/>
      <c r="BD2295" s="660"/>
      <c r="BE2295" s="660"/>
      <c r="BF2295" s="660"/>
      <c r="BG2295" s="660"/>
      <c r="BH2295" s="660"/>
      <c r="BI2295" s="660"/>
      <c r="BJ2295" s="660"/>
      <c r="BK2295" s="660"/>
      <c r="BL2295" s="660"/>
      <c r="BM2295" s="660"/>
      <c r="BN2295" s="660"/>
      <c r="BO2295" s="660"/>
      <c r="BP2295" s="660"/>
      <c r="BQ2295" s="660"/>
      <c r="BR2295" s="660"/>
      <c r="BS2295" s="660"/>
      <c r="BT2295" s="660"/>
      <c r="BU2295" s="660"/>
      <c r="BV2295" s="660"/>
      <c r="BW2295" s="660"/>
      <c r="BX2295" s="660"/>
      <c r="BY2295" s="660"/>
    </row>
    <row r="2296" spans="2:77" s="261" customFormat="1" ht="11.25" customHeight="1">
      <c r="B2296" s="258" t="s">
        <v>291</v>
      </c>
      <c r="C2296" s="259">
        <v>44719</v>
      </c>
      <c r="D2296" s="259">
        <v>44719</v>
      </c>
      <c r="E2296" s="260" t="s">
        <v>1729</v>
      </c>
      <c r="F2296" s="261" t="s">
        <v>1730</v>
      </c>
      <c r="G2296" s="262" t="s">
        <v>1731</v>
      </c>
      <c r="H2296" s="261" t="s">
        <v>138</v>
      </c>
      <c r="I2296" s="264" t="s">
        <v>819</v>
      </c>
      <c r="J2296" s="263">
        <v>19079.28</v>
      </c>
      <c r="K2296" s="264"/>
      <c r="L2296" s="263">
        <v>13.2</v>
      </c>
      <c r="M2296" s="263">
        <v>13.3</v>
      </c>
      <c r="N2296" s="265"/>
      <c r="O2296" s="266">
        <v>0.2</v>
      </c>
      <c r="P2296" s="266">
        <v>0.1</v>
      </c>
      <c r="Q2296" s="265">
        <v>1547.83</v>
      </c>
      <c r="R2296" s="261" t="s">
        <v>146</v>
      </c>
      <c r="S2296" s="267" t="s">
        <v>74</v>
      </c>
      <c r="T2296" s="267">
        <v>31</v>
      </c>
      <c r="U2296" s="268" t="s">
        <v>164</v>
      </c>
      <c r="V2296" s="427"/>
      <c r="X2296" s="265">
        <v>1547.83</v>
      </c>
      <c r="Y2296" s="265"/>
      <c r="AG2296" s="261">
        <f>X2296</f>
        <v>1547.83</v>
      </c>
      <c r="AI2296" s="273"/>
      <c r="AJ2296" s="642"/>
    </row>
    <row r="2297" spans="2:77" s="647" customFormat="1" ht="11.25" customHeight="1">
      <c r="B2297" s="661" t="s">
        <v>291</v>
      </c>
      <c r="C2297" s="648">
        <v>44719</v>
      </c>
      <c r="D2297" s="648">
        <v>44719</v>
      </c>
      <c r="E2297" s="649" t="s">
        <v>1732</v>
      </c>
      <c r="F2297" s="647" t="s">
        <v>1733</v>
      </c>
      <c r="G2297" s="675">
        <v>3960</v>
      </c>
      <c r="H2297" s="647" t="s">
        <v>99</v>
      </c>
      <c r="I2297" s="676" t="s">
        <v>33</v>
      </c>
      <c r="J2297" s="651">
        <v>35262.400000000001</v>
      </c>
      <c r="K2297" s="676"/>
      <c r="L2297" s="651">
        <v>29.59</v>
      </c>
      <c r="M2297" s="651">
        <v>29.59</v>
      </c>
      <c r="N2297" s="652"/>
      <c r="O2297" s="653">
        <v>0.3</v>
      </c>
      <c r="P2297" s="653"/>
      <c r="Q2297" s="652">
        <v>1690.18</v>
      </c>
      <c r="R2297" s="647" t="s">
        <v>128</v>
      </c>
      <c r="S2297" s="654" t="s">
        <v>34</v>
      </c>
      <c r="T2297" s="654">
        <v>17</v>
      </c>
      <c r="U2297" s="655" t="s">
        <v>164</v>
      </c>
      <c r="V2297" s="656"/>
      <c r="X2297" s="652">
        <v>1690.18</v>
      </c>
      <c r="Y2297" s="652"/>
      <c r="AI2297" s="674">
        <f>X2297</f>
        <v>1690.18</v>
      </c>
      <c r="AJ2297" s="657"/>
      <c r="AK2297" s="658"/>
      <c r="AL2297" s="660"/>
      <c r="AM2297" s="660"/>
      <c r="AN2297" s="660"/>
      <c r="AO2297" s="660"/>
      <c r="AP2297" s="660"/>
      <c r="AQ2297" s="660"/>
      <c r="AR2297" s="660"/>
      <c r="AS2297" s="660"/>
      <c r="AT2297" s="660"/>
      <c r="AU2297" s="660"/>
      <c r="AV2297" s="660"/>
      <c r="AW2297" s="660"/>
      <c r="AX2297" s="660"/>
      <c r="AY2297" s="660"/>
      <c r="AZ2297" s="660"/>
      <c r="BA2297" s="660"/>
      <c r="BB2297" s="660"/>
      <c r="BC2297" s="660"/>
      <c r="BD2297" s="660"/>
      <c r="BE2297" s="660"/>
      <c r="BF2297" s="660"/>
      <c r="BG2297" s="660"/>
      <c r="BH2297" s="660"/>
      <c r="BI2297" s="660"/>
      <c r="BJ2297" s="660"/>
      <c r="BK2297" s="660"/>
      <c r="BL2297" s="660"/>
      <c r="BM2297" s="660"/>
      <c r="BN2297" s="660"/>
      <c r="BO2297" s="660"/>
      <c r="BP2297" s="660"/>
      <c r="BQ2297" s="660"/>
      <c r="BR2297" s="660"/>
      <c r="BS2297" s="660"/>
      <c r="BT2297" s="660"/>
      <c r="BU2297" s="660"/>
      <c r="BV2297" s="660"/>
      <c r="BW2297" s="660"/>
      <c r="BX2297" s="660"/>
      <c r="BY2297" s="660"/>
    </row>
    <row r="2298" spans="2:77" s="647" customFormat="1" ht="11.25" customHeight="1">
      <c r="B2298" s="661" t="s">
        <v>291</v>
      </c>
      <c r="C2298" s="648"/>
      <c r="D2298" s="648"/>
      <c r="E2298" s="649" t="s">
        <v>1732</v>
      </c>
      <c r="F2298" s="647" t="s">
        <v>1733</v>
      </c>
      <c r="G2298" s="675">
        <v>3960</v>
      </c>
      <c r="H2298" s="647" t="s">
        <v>183</v>
      </c>
      <c r="I2298" s="676" t="s">
        <v>33</v>
      </c>
      <c r="J2298" s="651">
        <v>10128</v>
      </c>
      <c r="K2298" s="676"/>
      <c r="L2298" s="651">
        <v>10</v>
      </c>
      <c r="M2298" s="651">
        <v>10</v>
      </c>
      <c r="N2298" s="652"/>
      <c r="O2298" s="653">
        <v>0.3</v>
      </c>
      <c r="P2298" s="653"/>
      <c r="Q2298" s="652">
        <v>0</v>
      </c>
      <c r="R2298" s="647" t="s">
        <v>128</v>
      </c>
      <c r="S2298" s="654" t="s">
        <v>34</v>
      </c>
      <c r="T2298" s="654">
        <v>17</v>
      </c>
      <c r="U2298" s="655" t="s">
        <v>164</v>
      </c>
      <c r="V2298" s="656"/>
      <c r="X2298" s="652">
        <v>0</v>
      </c>
      <c r="Y2298" s="652"/>
      <c r="AI2298" s="660">
        <f>X2298</f>
        <v>0</v>
      </c>
      <c r="AJ2298" s="657"/>
      <c r="AK2298" s="658"/>
      <c r="AL2298" s="660"/>
      <c r="AM2298" s="660"/>
      <c r="AN2298" s="660"/>
      <c r="AO2298" s="660"/>
      <c r="AP2298" s="660"/>
      <c r="AQ2298" s="660"/>
      <c r="AR2298" s="660"/>
      <c r="AS2298" s="660"/>
      <c r="AT2298" s="660"/>
      <c r="AU2298" s="660"/>
      <c r="AV2298" s="660"/>
      <c r="AW2298" s="660"/>
      <c r="AX2298" s="660"/>
      <c r="AY2298" s="660"/>
      <c r="AZ2298" s="660"/>
      <c r="BA2298" s="660"/>
      <c r="BB2298" s="660"/>
      <c r="BC2298" s="660"/>
      <c r="BD2298" s="660"/>
      <c r="BE2298" s="660"/>
      <c r="BF2298" s="660"/>
      <c r="BG2298" s="660"/>
      <c r="BH2298" s="660"/>
      <c r="BI2298" s="660"/>
      <c r="BJ2298" s="660"/>
      <c r="BK2298" s="660"/>
      <c r="BL2298" s="660"/>
      <c r="BM2298" s="660"/>
      <c r="BN2298" s="660"/>
      <c r="BO2298" s="660"/>
      <c r="BP2298" s="660"/>
      <c r="BQ2298" s="660"/>
      <c r="BR2298" s="660"/>
      <c r="BS2298" s="660"/>
      <c r="BT2298" s="660"/>
      <c r="BU2298" s="660"/>
      <c r="BV2298" s="660"/>
      <c r="BW2298" s="660"/>
      <c r="BX2298" s="660"/>
      <c r="BY2298" s="660"/>
    </row>
    <row r="2299" spans="2:77" s="181" customFormat="1" ht="11.25" customHeight="1">
      <c r="B2299" s="178" t="s">
        <v>291</v>
      </c>
      <c r="C2299" s="179">
        <v>44719</v>
      </c>
      <c r="D2299" s="179">
        <v>44719</v>
      </c>
      <c r="E2299" s="180" t="s">
        <v>1734</v>
      </c>
      <c r="F2299" s="181" t="s">
        <v>1615</v>
      </c>
      <c r="G2299" s="194" t="s">
        <v>1616</v>
      </c>
      <c r="H2299" s="181" t="s">
        <v>99</v>
      </c>
      <c r="I2299" s="190" t="s">
        <v>156</v>
      </c>
      <c r="J2299" s="183">
        <v>21857.599999999999</v>
      </c>
      <c r="K2299" s="190"/>
      <c r="L2299" s="183">
        <v>14.38</v>
      </c>
      <c r="M2299" s="183">
        <v>12.43</v>
      </c>
      <c r="N2299" s="185"/>
      <c r="O2299" s="186">
        <v>0.25</v>
      </c>
      <c r="P2299" s="186">
        <v>0.1</v>
      </c>
      <c r="Q2299" s="185">
        <v>0</v>
      </c>
      <c r="R2299" s="184" t="s">
        <v>285</v>
      </c>
      <c r="S2299" s="199" t="s">
        <v>275</v>
      </c>
      <c r="T2299" s="199">
        <v>21</v>
      </c>
      <c r="U2299" s="188" t="s">
        <v>164</v>
      </c>
      <c r="V2299" s="441"/>
      <c r="X2299" s="185">
        <v>0</v>
      </c>
      <c r="Y2299" s="185"/>
      <c r="AE2299" s="204">
        <f>X2299</f>
        <v>0</v>
      </c>
      <c r="AI2299" s="184"/>
      <c r="AJ2299" s="189"/>
    </row>
    <row r="2300" spans="2:77" s="181" customFormat="1" ht="11.25" customHeight="1">
      <c r="B2300" s="178" t="s">
        <v>291</v>
      </c>
      <c r="C2300" s="179"/>
      <c r="D2300" s="179"/>
      <c r="E2300" s="180" t="s">
        <v>1734</v>
      </c>
      <c r="F2300" s="181" t="s">
        <v>1615</v>
      </c>
      <c r="G2300" s="194" t="s">
        <v>1616</v>
      </c>
      <c r="H2300" s="181" t="s">
        <v>866</v>
      </c>
      <c r="I2300" s="190" t="s">
        <v>156</v>
      </c>
      <c r="J2300" s="183">
        <v>25998.48</v>
      </c>
      <c r="K2300" s="190"/>
      <c r="L2300" s="183">
        <v>15.71</v>
      </c>
      <c r="M2300" s="183">
        <v>12.22</v>
      </c>
      <c r="N2300" s="185"/>
      <c r="O2300" s="186">
        <v>0.25</v>
      </c>
      <c r="P2300" s="186">
        <v>0.1</v>
      </c>
      <c r="Q2300" s="185">
        <v>0</v>
      </c>
      <c r="R2300" s="184" t="s">
        <v>285</v>
      </c>
      <c r="S2300" s="199" t="s">
        <v>275</v>
      </c>
      <c r="T2300" s="199">
        <v>21</v>
      </c>
      <c r="U2300" s="188" t="s">
        <v>164</v>
      </c>
      <c r="V2300" s="441"/>
      <c r="X2300" s="185">
        <v>0</v>
      </c>
      <c r="Y2300" s="185"/>
      <c r="AE2300" s="204">
        <f>X2300</f>
        <v>0</v>
      </c>
      <c r="AI2300" s="184"/>
      <c r="AJ2300" s="189"/>
    </row>
    <row r="2301" spans="2:77" s="720" customFormat="1" ht="11.25" customHeight="1">
      <c r="B2301" s="717" t="s">
        <v>291</v>
      </c>
      <c r="C2301" s="718"/>
      <c r="D2301" s="718"/>
      <c r="E2301" s="719" t="s">
        <v>1734</v>
      </c>
      <c r="F2301" s="720" t="s">
        <v>1615</v>
      </c>
      <c r="G2301" s="721" t="s">
        <v>1616</v>
      </c>
      <c r="H2301" s="720" t="s">
        <v>765</v>
      </c>
      <c r="I2301" s="722" t="s">
        <v>156</v>
      </c>
      <c r="J2301" s="723">
        <v>43275.73</v>
      </c>
      <c r="K2301" s="722"/>
      <c r="L2301" s="723">
        <v>38.159999999999997</v>
      </c>
      <c r="M2301" s="723">
        <v>15.17</v>
      </c>
      <c r="N2301" s="724"/>
      <c r="O2301" s="725">
        <v>0.25</v>
      </c>
      <c r="P2301" s="725">
        <v>0.1</v>
      </c>
      <c r="Q2301" s="724">
        <v>2475.65</v>
      </c>
      <c r="R2301" s="726" t="s">
        <v>285</v>
      </c>
      <c r="S2301" s="727" t="s">
        <v>275</v>
      </c>
      <c r="T2301" s="727">
        <v>21</v>
      </c>
      <c r="U2301" s="728" t="s">
        <v>164</v>
      </c>
      <c r="V2301" s="729"/>
      <c r="X2301" s="724">
        <v>2475.65</v>
      </c>
      <c r="Y2301" s="724"/>
      <c r="AI2301" s="726"/>
      <c r="AJ2301" s="730"/>
      <c r="AQ2301" s="736">
        <v>2475.65</v>
      </c>
    </row>
    <row r="2302" spans="2:77" s="181" customFormat="1" ht="11.25" customHeight="1">
      <c r="B2302" s="178" t="s">
        <v>291</v>
      </c>
      <c r="C2302" s="179">
        <v>44719</v>
      </c>
      <c r="D2302" s="179">
        <v>44719</v>
      </c>
      <c r="E2302" s="180" t="s">
        <v>1735</v>
      </c>
      <c r="F2302" s="181" t="s">
        <v>1736</v>
      </c>
      <c r="G2302" s="182" t="s">
        <v>1737</v>
      </c>
      <c r="H2302" s="181" t="s">
        <v>99</v>
      </c>
      <c r="I2302" s="190" t="s">
        <v>156</v>
      </c>
      <c r="J2302" s="183">
        <v>68614.320000000007</v>
      </c>
      <c r="K2302" s="190"/>
      <c r="L2302" s="183">
        <v>49.2</v>
      </c>
      <c r="M2302" s="183">
        <v>3.1</v>
      </c>
      <c r="N2302" s="185"/>
      <c r="O2302" s="186">
        <v>0.25</v>
      </c>
      <c r="P2302" s="186">
        <v>0.1</v>
      </c>
      <c r="Q2302" s="185">
        <v>156.66999999999999</v>
      </c>
      <c r="R2302" s="184" t="s">
        <v>285</v>
      </c>
      <c r="S2302" s="199" t="s">
        <v>275</v>
      </c>
      <c r="T2302" s="199">
        <v>21</v>
      </c>
      <c r="U2302" s="188" t="s">
        <v>164</v>
      </c>
      <c r="V2302" s="441"/>
      <c r="X2302" s="185">
        <v>156.66999999999999</v>
      </c>
      <c r="Y2302" s="185"/>
      <c r="AE2302" s="204">
        <f>X2302</f>
        <v>156.66999999999999</v>
      </c>
      <c r="AI2302" s="184"/>
      <c r="AJ2302" s="189"/>
    </row>
    <row r="2303" spans="2:77" s="647" customFormat="1" ht="11.25" customHeight="1">
      <c r="B2303" s="661" t="s">
        <v>291</v>
      </c>
      <c r="C2303" s="648">
        <v>44715</v>
      </c>
      <c r="D2303" s="648">
        <v>44719</v>
      </c>
      <c r="E2303" s="649" t="s">
        <v>1738</v>
      </c>
      <c r="F2303" s="647" t="s">
        <v>623</v>
      </c>
      <c r="G2303" s="675">
        <v>4290</v>
      </c>
      <c r="H2303" s="647" t="s">
        <v>138</v>
      </c>
      <c r="I2303" s="676" t="s">
        <v>888</v>
      </c>
      <c r="J2303" s="651">
        <v>14363</v>
      </c>
      <c r="K2303" s="676"/>
      <c r="L2303" s="651">
        <v>13.55</v>
      </c>
      <c r="M2303" s="651">
        <v>13.55</v>
      </c>
      <c r="N2303" s="652"/>
      <c r="O2303" s="653">
        <v>0.15</v>
      </c>
      <c r="P2303" s="653"/>
      <c r="Q2303" s="652">
        <v>1016.25</v>
      </c>
      <c r="R2303" s="647" t="s">
        <v>257</v>
      </c>
      <c r="S2303" s="654" t="s">
        <v>624</v>
      </c>
      <c r="T2303" s="654">
        <v>32</v>
      </c>
      <c r="U2303" s="655" t="s">
        <v>164</v>
      </c>
      <c r="V2303" s="656"/>
      <c r="X2303" s="652">
        <v>1016.25</v>
      </c>
      <c r="Y2303" s="652"/>
      <c r="AI2303" s="652">
        <v>1016.25</v>
      </c>
      <c r="AJ2303" s="657"/>
      <c r="AK2303" s="658"/>
    </row>
    <row r="2304" spans="2:77" s="647" customFormat="1" ht="11.25" customHeight="1">
      <c r="B2304" s="661" t="s">
        <v>291</v>
      </c>
      <c r="C2304" s="648"/>
      <c r="D2304" s="648"/>
      <c r="E2304" s="649" t="s">
        <v>1738</v>
      </c>
      <c r="F2304" s="647" t="s">
        <v>623</v>
      </c>
      <c r="G2304" s="675">
        <v>4290</v>
      </c>
      <c r="H2304" s="647" t="s">
        <v>1018</v>
      </c>
      <c r="I2304" s="676" t="s">
        <v>888</v>
      </c>
      <c r="J2304" s="651">
        <v>32470</v>
      </c>
      <c r="K2304" s="676"/>
      <c r="L2304" s="651">
        <v>19.100000000000001</v>
      </c>
      <c r="M2304" s="651">
        <v>19.100000000000001</v>
      </c>
      <c r="N2304" s="652"/>
      <c r="O2304" s="653">
        <v>0.15</v>
      </c>
      <c r="P2304" s="653"/>
      <c r="Q2304" s="652">
        <v>4297.5</v>
      </c>
      <c r="R2304" s="647" t="s">
        <v>257</v>
      </c>
      <c r="S2304" s="654" t="s">
        <v>624</v>
      </c>
      <c r="T2304" s="654">
        <v>32</v>
      </c>
      <c r="U2304" s="655" t="s">
        <v>164</v>
      </c>
      <c r="V2304" s="656"/>
      <c r="X2304" s="652">
        <v>4297.5</v>
      </c>
      <c r="Y2304" s="652"/>
      <c r="AI2304" s="652">
        <v>4297.5</v>
      </c>
      <c r="AJ2304" s="657"/>
      <c r="AK2304" s="658"/>
    </row>
    <row r="2305" spans="1:77" s="379" customFormat="1" ht="11.25" customHeight="1">
      <c r="B2305" s="380" t="s">
        <v>291</v>
      </c>
      <c r="C2305" s="381">
        <v>44719</v>
      </c>
      <c r="D2305" s="381">
        <v>44719</v>
      </c>
      <c r="E2305" s="382" t="s">
        <v>1740</v>
      </c>
      <c r="F2305" s="379" t="s">
        <v>829</v>
      </c>
      <c r="G2305" s="383" t="s">
        <v>830</v>
      </c>
      <c r="H2305" s="379" t="s">
        <v>140</v>
      </c>
      <c r="I2305" s="384" t="s">
        <v>33</v>
      </c>
      <c r="J2305" s="385">
        <v>23012</v>
      </c>
      <c r="K2305" s="384"/>
      <c r="L2305" s="385">
        <v>22</v>
      </c>
      <c r="M2305" s="385">
        <v>22</v>
      </c>
      <c r="N2305" s="386">
        <v>4763</v>
      </c>
      <c r="O2305" s="387">
        <v>0.25</v>
      </c>
      <c r="P2305" s="387"/>
      <c r="Q2305" s="386">
        <v>4763</v>
      </c>
      <c r="R2305" s="379" t="s">
        <v>77</v>
      </c>
      <c r="S2305" s="388" t="s">
        <v>41</v>
      </c>
      <c r="T2305" s="388">
        <v>17</v>
      </c>
      <c r="U2305" s="389" t="s">
        <v>164</v>
      </c>
      <c r="V2305" s="433"/>
      <c r="X2305" s="386">
        <v>4763</v>
      </c>
      <c r="Y2305" s="386"/>
      <c r="AI2305" s="394"/>
      <c r="AJ2305" s="416">
        <v>4763</v>
      </c>
    </row>
    <row r="2306" spans="1:77" s="379" customFormat="1" ht="11.25" customHeight="1">
      <c r="B2306" s="380" t="s">
        <v>291</v>
      </c>
      <c r="C2306" s="381"/>
      <c r="D2306" s="381"/>
      <c r="E2306" s="382" t="s">
        <v>1740</v>
      </c>
      <c r="F2306" s="379" t="s">
        <v>829</v>
      </c>
      <c r="G2306" s="383" t="s">
        <v>830</v>
      </c>
      <c r="H2306" s="379" t="s">
        <v>137</v>
      </c>
      <c r="I2306" s="384" t="s">
        <v>33</v>
      </c>
      <c r="J2306" s="385">
        <v>8246.7000000000007</v>
      </c>
      <c r="K2306" s="384"/>
      <c r="L2306" s="385">
        <v>7.7</v>
      </c>
      <c r="M2306" s="385">
        <v>7.7</v>
      </c>
      <c r="N2306" s="386">
        <v>2323.48</v>
      </c>
      <c r="O2306" s="387">
        <v>0.25</v>
      </c>
      <c r="P2306" s="387"/>
      <c r="Q2306" s="386">
        <v>2323.48</v>
      </c>
      <c r="R2306" s="379" t="s">
        <v>77</v>
      </c>
      <c r="S2306" s="388" t="s">
        <v>41</v>
      </c>
      <c r="T2306" s="388">
        <v>17</v>
      </c>
      <c r="U2306" s="389" t="s">
        <v>164</v>
      </c>
      <c r="V2306" s="433"/>
      <c r="X2306" s="386">
        <v>2323.48</v>
      </c>
      <c r="Y2306" s="386"/>
      <c r="AI2306" s="394"/>
      <c r="AJ2306" s="416">
        <v>2323.48</v>
      </c>
    </row>
    <row r="2307" spans="1:77" s="379" customFormat="1" ht="11.25" customHeight="1">
      <c r="B2307" s="380" t="s">
        <v>291</v>
      </c>
      <c r="C2307" s="381">
        <v>44715</v>
      </c>
      <c r="D2307" s="381">
        <v>44719</v>
      </c>
      <c r="E2307" s="382" t="s">
        <v>1741</v>
      </c>
      <c r="F2307" s="379" t="s">
        <v>1628</v>
      </c>
      <c r="G2307" s="383" t="s">
        <v>1629</v>
      </c>
      <c r="H2307" s="379" t="s">
        <v>1742</v>
      </c>
      <c r="I2307" s="384" t="s">
        <v>148</v>
      </c>
      <c r="J2307" s="385">
        <v>18143.28</v>
      </c>
      <c r="K2307" s="384"/>
      <c r="L2307" s="385">
        <v>12</v>
      </c>
      <c r="M2307" s="385">
        <v>12</v>
      </c>
      <c r="N2307" s="386"/>
      <c r="O2307" s="387">
        <v>0.25</v>
      </c>
      <c r="P2307" s="387">
        <v>0.1</v>
      </c>
      <c r="Q2307" s="386">
        <v>0</v>
      </c>
      <c r="R2307" s="379" t="s">
        <v>149</v>
      </c>
      <c r="S2307" s="388" t="s">
        <v>113</v>
      </c>
      <c r="T2307" s="388">
        <v>40</v>
      </c>
      <c r="U2307" s="389" t="s">
        <v>164</v>
      </c>
      <c r="V2307" s="433"/>
      <c r="X2307" s="386">
        <v>0</v>
      </c>
      <c r="Y2307" s="386"/>
      <c r="AI2307" s="394"/>
      <c r="AJ2307" s="390">
        <v>0</v>
      </c>
    </row>
    <row r="2308" spans="1:77" s="379" customFormat="1" ht="11.25" customHeight="1">
      <c r="B2308" s="380" t="s">
        <v>290</v>
      </c>
      <c r="C2308" s="381">
        <v>44716</v>
      </c>
      <c r="D2308" s="381">
        <v>44719</v>
      </c>
      <c r="E2308" s="382" t="s">
        <v>1743</v>
      </c>
      <c r="F2308" s="379" t="s">
        <v>1744</v>
      </c>
      <c r="G2308" s="383" t="s">
        <v>1745</v>
      </c>
      <c r="H2308" s="379" t="s">
        <v>140</v>
      </c>
      <c r="I2308" s="384" t="s">
        <v>156</v>
      </c>
      <c r="J2308" s="385">
        <v>52326</v>
      </c>
      <c r="K2308" s="384"/>
      <c r="L2308" s="385">
        <v>36.72</v>
      </c>
      <c r="M2308" s="385">
        <v>21.5</v>
      </c>
      <c r="N2308" s="386"/>
      <c r="O2308" s="387">
        <v>0.3</v>
      </c>
      <c r="P2308" s="387">
        <v>0.1</v>
      </c>
      <c r="Q2308" s="386">
        <v>855</v>
      </c>
      <c r="R2308" s="379" t="s">
        <v>73</v>
      </c>
      <c r="S2308" s="388" t="s">
        <v>113</v>
      </c>
      <c r="T2308" s="388">
        <v>31</v>
      </c>
      <c r="U2308" s="389" t="s">
        <v>164</v>
      </c>
      <c r="V2308" s="433"/>
      <c r="X2308" s="386">
        <v>855</v>
      </c>
      <c r="Y2308" s="386"/>
      <c r="AI2308" s="394"/>
      <c r="AJ2308" s="416">
        <v>855</v>
      </c>
    </row>
    <row r="2309" spans="1:77" s="379" customFormat="1" ht="11.25" customHeight="1">
      <c r="B2309" s="380" t="s">
        <v>290</v>
      </c>
      <c r="C2309" s="381"/>
      <c r="D2309" s="381"/>
      <c r="E2309" s="382" t="s">
        <v>1743</v>
      </c>
      <c r="F2309" s="379" t="s">
        <v>1744</v>
      </c>
      <c r="G2309" s="383" t="s">
        <v>1745</v>
      </c>
      <c r="H2309" s="379" t="s">
        <v>27</v>
      </c>
      <c r="I2309" s="384" t="s">
        <v>156</v>
      </c>
      <c r="J2309" s="385">
        <v>196118</v>
      </c>
      <c r="K2309" s="384"/>
      <c r="L2309" s="385">
        <v>130</v>
      </c>
      <c r="M2309" s="385">
        <v>130</v>
      </c>
      <c r="N2309" s="386"/>
      <c r="O2309" s="387">
        <v>0.3</v>
      </c>
      <c r="P2309" s="387">
        <v>0.1</v>
      </c>
      <c r="Q2309" s="386">
        <v>54785.21</v>
      </c>
      <c r="R2309" s="379" t="s">
        <v>73</v>
      </c>
      <c r="S2309" s="388" t="s">
        <v>113</v>
      </c>
      <c r="T2309" s="388">
        <v>31</v>
      </c>
      <c r="U2309" s="389" t="s">
        <v>164</v>
      </c>
      <c r="V2309" s="433"/>
      <c r="X2309" s="386">
        <v>54785.21</v>
      </c>
      <c r="Y2309" s="386"/>
      <c r="AI2309" s="394"/>
      <c r="AJ2309" s="416">
        <v>54785.21</v>
      </c>
    </row>
    <row r="2310" spans="1:77" s="379" customFormat="1" ht="11.25" customHeight="1">
      <c r="B2310" s="380" t="s">
        <v>290</v>
      </c>
      <c r="C2310" s="381"/>
      <c r="D2310" s="381"/>
      <c r="E2310" s="382" t="s">
        <v>1743</v>
      </c>
      <c r="F2310" s="379" t="s">
        <v>1744</v>
      </c>
      <c r="G2310" s="383" t="s">
        <v>1745</v>
      </c>
      <c r="H2310" s="379" t="s">
        <v>910</v>
      </c>
      <c r="I2310" s="384" t="s">
        <v>156</v>
      </c>
      <c r="J2310" s="385">
        <v>238680</v>
      </c>
      <c r="K2310" s="384"/>
      <c r="L2310" s="385">
        <v>120</v>
      </c>
      <c r="M2310" s="385">
        <v>105</v>
      </c>
      <c r="N2310" s="386"/>
      <c r="O2310" s="387">
        <v>0.3</v>
      </c>
      <c r="P2310" s="387">
        <v>0.1</v>
      </c>
      <c r="Q2310" s="386">
        <v>25069.360000000001</v>
      </c>
      <c r="R2310" s="379" t="s">
        <v>73</v>
      </c>
      <c r="S2310" s="388" t="s">
        <v>113</v>
      </c>
      <c r="T2310" s="388">
        <v>31</v>
      </c>
      <c r="U2310" s="389" t="s">
        <v>164</v>
      </c>
      <c r="V2310" s="433"/>
      <c r="X2310" s="386">
        <v>25069.360000000001</v>
      </c>
      <c r="Y2310" s="386"/>
      <c r="AI2310" s="394"/>
      <c r="AJ2310" s="416">
        <v>25069.360000000001</v>
      </c>
    </row>
    <row r="2311" spans="1:77" s="379" customFormat="1" ht="11.25" customHeight="1">
      <c r="B2311" s="380" t="s">
        <v>290</v>
      </c>
      <c r="C2311" s="381"/>
      <c r="D2311" s="381"/>
      <c r="E2311" s="382" t="s">
        <v>1743</v>
      </c>
      <c r="F2311" s="379" t="s">
        <v>1744</v>
      </c>
      <c r="G2311" s="383" t="s">
        <v>1745</v>
      </c>
      <c r="H2311" s="379" t="s">
        <v>993</v>
      </c>
      <c r="I2311" s="384" t="s">
        <v>156</v>
      </c>
      <c r="J2311" s="385">
        <v>80000</v>
      </c>
      <c r="K2311" s="384"/>
      <c r="L2311" s="385">
        <v>40</v>
      </c>
      <c r="M2311" s="385">
        <v>37</v>
      </c>
      <c r="N2311" s="386"/>
      <c r="O2311" s="387">
        <v>0.3</v>
      </c>
      <c r="P2311" s="387">
        <v>0.1</v>
      </c>
      <c r="Q2311" s="386">
        <v>4300</v>
      </c>
      <c r="R2311" s="379" t="s">
        <v>73</v>
      </c>
      <c r="S2311" s="388" t="s">
        <v>113</v>
      </c>
      <c r="T2311" s="388">
        <v>31</v>
      </c>
      <c r="U2311" s="389" t="s">
        <v>164</v>
      </c>
      <c r="V2311" s="433"/>
      <c r="X2311" s="386">
        <v>4300</v>
      </c>
      <c r="Y2311" s="386"/>
      <c r="AI2311" s="394"/>
      <c r="AJ2311" s="416">
        <v>4300</v>
      </c>
    </row>
    <row r="2312" spans="1:77" s="379" customFormat="1" ht="11.25" customHeight="1">
      <c r="B2312" s="380" t="s">
        <v>290</v>
      </c>
      <c r="C2312" s="381"/>
      <c r="D2312" s="381"/>
      <c r="E2312" s="382" t="s">
        <v>1743</v>
      </c>
      <c r="F2312" s="379" t="s">
        <v>1744</v>
      </c>
      <c r="G2312" s="383" t="s">
        <v>1745</v>
      </c>
      <c r="H2312" s="379" t="s">
        <v>1138</v>
      </c>
      <c r="I2312" s="384" t="s">
        <v>156</v>
      </c>
      <c r="J2312" s="385">
        <v>178500</v>
      </c>
      <c r="K2312" s="384"/>
      <c r="L2312" s="385">
        <v>85</v>
      </c>
      <c r="M2312" s="385">
        <v>45</v>
      </c>
      <c r="N2312" s="386"/>
      <c r="O2312" s="387">
        <v>0.3</v>
      </c>
      <c r="P2312" s="387">
        <v>0.1</v>
      </c>
      <c r="Q2312" s="386">
        <v>0</v>
      </c>
      <c r="R2312" s="379" t="s">
        <v>73</v>
      </c>
      <c r="S2312" s="388" t="s">
        <v>113</v>
      </c>
      <c r="T2312" s="388">
        <v>31</v>
      </c>
      <c r="U2312" s="389" t="s">
        <v>164</v>
      </c>
      <c r="V2312" s="433"/>
      <c r="X2312" s="386">
        <v>0</v>
      </c>
      <c r="Y2312" s="386"/>
      <c r="AI2312" s="394"/>
      <c r="AJ2312" s="390">
        <v>0</v>
      </c>
    </row>
    <row r="2313" spans="1:77" s="205" customFormat="1" ht="11.25" customHeight="1">
      <c r="B2313" s="206" t="s">
        <v>290</v>
      </c>
      <c r="C2313" s="207">
        <v>44719</v>
      </c>
      <c r="D2313" s="207">
        <v>44719</v>
      </c>
      <c r="E2313" s="208" t="s">
        <v>1746</v>
      </c>
      <c r="F2313" s="205" t="s">
        <v>1747</v>
      </c>
      <c r="G2313" s="209" t="s">
        <v>1748</v>
      </c>
      <c r="H2313" s="205" t="s">
        <v>27</v>
      </c>
      <c r="I2313" s="219" t="s">
        <v>156</v>
      </c>
      <c r="J2313" s="210">
        <v>19721.52</v>
      </c>
      <c r="K2313" s="219"/>
      <c r="L2313" s="210">
        <v>12.74</v>
      </c>
      <c r="M2313" s="210">
        <v>12.74</v>
      </c>
      <c r="N2313" s="213"/>
      <c r="O2313" s="212">
        <v>0.3</v>
      </c>
      <c r="P2313" s="212">
        <v>0.05</v>
      </c>
      <c r="Q2313" s="213">
        <v>2300.84</v>
      </c>
      <c r="R2313" s="205" t="s">
        <v>146</v>
      </c>
      <c r="S2313" s="214" t="s">
        <v>74</v>
      </c>
      <c r="T2313" s="214">
        <v>31</v>
      </c>
      <c r="U2313" s="215" t="s">
        <v>164</v>
      </c>
      <c r="V2313" s="438"/>
      <c r="X2313" s="213">
        <v>2300.84</v>
      </c>
      <c r="Y2313" s="213"/>
      <c r="AF2313" s="230">
        <f>X2313</f>
        <v>2300.84</v>
      </c>
      <c r="AI2313" s="218"/>
      <c r="AJ2313" s="216"/>
    </row>
    <row r="2314" spans="1:77" s="647" customFormat="1" ht="11.25" customHeight="1">
      <c r="B2314" s="661" t="s">
        <v>291</v>
      </c>
      <c r="C2314" s="648">
        <v>44719</v>
      </c>
      <c r="D2314" s="648">
        <v>44719</v>
      </c>
      <c r="E2314" s="649" t="s">
        <v>1749</v>
      </c>
      <c r="F2314" s="647" t="s">
        <v>1750</v>
      </c>
      <c r="G2314" s="650" t="s">
        <v>1751</v>
      </c>
      <c r="H2314" s="647" t="s">
        <v>99</v>
      </c>
      <c r="I2314" s="676" t="s">
        <v>33</v>
      </c>
      <c r="J2314" s="651">
        <v>33432.25</v>
      </c>
      <c r="K2314" s="676"/>
      <c r="L2314" s="651">
        <v>25</v>
      </c>
      <c r="M2314" s="651">
        <v>25</v>
      </c>
      <c r="N2314" s="652"/>
      <c r="O2314" s="653">
        <v>0.25</v>
      </c>
      <c r="P2314" s="653"/>
      <c r="Q2314" s="652">
        <v>0</v>
      </c>
      <c r="R2314" s="647" t="s">
        <v>69</v>
      </c>
      <c r="S2314" s="654" t="s">
        <v>41</v>
      </c>
      <c r="T2314" s="654">
        <v>86</v>
      </c>
      <c r="U2314" s="655" t="s">
        <v>164</v>
      </c>
      <c r="V2314" s="656"/>
      <c r="X2314" s="652">
        <v>0</v>
      </c>
      <c r="Y2314" s="652"/>
      <c r="AI2314" s="660">
        <f>X2314</f>
        <v>0</v>
      </c>
      <c r="AJ2314" s="657"/>
      <c r="AK2314" s="658"/>
      <c r="AL2314" s="660"/>
      <c r="AM2314" s="660"/>
      <c r="AN2314" s="660"/>
      <c r="AO2314" s="660"/>
      <c r="AP2314" s="660"/>
      <c r="AQ2314" s="660"/>
      <c r="AR2314" s="660"/>
      <c r="AS2314" s="660"/>
      <c r="AT2314" s="660"/>
      <c r="AU2314" s="660"/>
      <c r="AV2314" s="660"/>
      <c r="AW2314" s="660"/>
      <c r="AX2314" s="660"/>
      <c r="AY2314" s="660"/>
      <c r="AZ2314" s="660"/>
      <c r="BA2314" s="660"/>
      <c r="BB2314" s="660"/>
      <c r="BC2314" s="660"/>
      <c r="BD2314" s="660"/>
      <c r="BE2314" s="660"/>
      <c r="BF2314" s="660"/>
      <c r="BG2314" s="660"/>
      <c r="BH2314" s="660"/>
      <c r="BI2314" s="660"/>
      <c r="BJ2314" s="660"/>
      <c r="BK2314" s="660"/>
      <c r="BL2314" s="660"/>
      <c r="BM2314" s="660"/>
      <c r="BN2314" s="660"/>
      <c r="BO2314" s="660"/>
      <c r="BP2314" s="660"/>
      <c r="BQ2314" s="660"/>
      <c r="BR2314" s="660"/>
      <c r="BS2314" s="660"/>
      <c r="BT2314" s="660"/>
      <c r="BU2314" s="660"/>
      <c r="BV2314" s="660"/>
      <c r="BW2314" s="660"/>
      <c r="BX2314" s="660"/>
      <c r="BY2314" s="660"/>
    </row>
    <row r="2315" spans="1:77" s="647" customFormat="1" ht="11.25" customHeight="1">
      <c r="B2315" s="661" t="s">
        <v>291</v>
      </c>
      <c r="C2315" s="648"/>
      <c r="D2315" s="648"/>
      <c r="E2315" s="649" t="s">
        <v>1749</v>
      </c>
      <c r="F2315" s="647" t="s">
        <v>1750</v>
      </c>
      <c r="G2315" s="650" t="s">
        <v>1751</v>
      </c>
      <c r="H2315" s="647" t="s">
        <v>27</v>
      </c>
      <c r="I2315" s="676" t="s">
        <v>33</v>
      </c>
      <c r="J2315" s="651">
        <v>16605.91</v>
      </c>
      <c r="K2315" s="676"/>
      <c r="L2315" s="651">
        <v>12.95</v>
      </c>
      <c r="M2315" s="651">
        <v>12.95</v>
      </c>
      <c r="N2315" s="652"/>
      <c r="O2315" s="653">
        <v>0.25</v>
      </c>
      <c r="P2315" s="653"/>
      <c r="Q2315" s="652">
        <v>0</v>
      </c>
      <c r="R2315" s="647" t="s">
        <v>69</v>
      </c>
      <c r="S2315" s="654" t="s">
        <v>41</v>
      </c>
      <c r="T2315" s="654">
        <v>86</v>
      </c>
      <c r="U2315" s="655" t="s">
        <v>164</v>
      </c>
      <c r="V2315" s="656"/>
      <c r="X2315" s="652">
        <v>0</v>
      </c>
      <c r="Y2315" s="652"/>
      <c r="AI2315" s="660">
        <f>X2315</f>
        <v>0</v>
      </c>
      <c r="AJ2315" s="657"/>
      <c r="AK2315" s="658"/>
    </row>
    <row r="2316" spans="1:77" s="205" customFormat="1" ht="11.25" customHeight="1">
      <c r="B2316" s="205" t="s">
        <v>291</v>
      </c>
      <c r="C2316" s="207">
        <v>44675</v>
      </c>
      <c r="D2316" s="207">
        <v>44719</v>
      </c>
      <c r="E2316" s="208" t="s">
        <v>1752</v>
      </c>
      <c r="F2316" s="205" t="s">
        <v>253</v>
      </c>
      <c r="G2316" s="217">
        <v>3900</v>
      </c>
      <c r="H2316" s="205" t="s">
        <v>99</v>
      </c>
      <c r="I2316" s="219" t="s">
        <v>33</v>
      </c>
      <c r="J2316" s="210">
        <v>14098.74</v>
      </c>
      <c r="K2316" s="219"/>
      <c r="L2316" s="210">
        <v>14.24</v>
      </c>
      <c r="M2316" s="210">
        <v>14.23</v>
      </c>
      <c r="N2316" s="213">
        <f>J2316*0.2</f>
        <v>2819.748</v>
      </c>
      <c r="O2316" s="212">
        <v>0.15</v>
      </c>
      <c r="P2316" s="212"/>
      <c r="Q2316" s="213">
        <v>0</v>
      </c>
      <c r="R2316" s="205" t="s">
        <v>77</v>
      </c>
      <c r="S2316" s="214" t="s">
        <v>41</v>
      </c>
      <c r="T2316" s="214">
        <v>17</v>
      </c>
      <c r="U2316" s="215" t="s">
        <v>164</v>
      </c>
      <c r="V2316" s="438"/>
      <c r="W2316" s="205" t="s">
        <v>3125</v>
      </c>
      <c r="X2316" s="213">
        <v>0</v>
      </c>
      <c r="Y2316" s="213"/>
      <c r="AF2316" s="230">
        <f>X2316</f>
        <v>0</v>
      </c>
      <c r="AI2316" s="218"/>
      <c r="AJ2316" s="216"/>
    </row>
    <row r="2317" spans="1:77" s="6" customFormat="1" ht="11.25" customHeight="1">
      <c r="A2317" s="473"/>
      <c r="B2317" s="486" t="s">
        <v>291</v>
      </c>
      <c r="C2317" s="487"/>
      <c r="D2317" s="487"/>
      <c r="E2317" s="488" t="s">
        <v>1753</v>
      </c>
      <c r="F2317" s="473" t="s">
        <v>603</v>
      </c>
      <c r="G2317" s="496">
        <v>3866</v>
      </c>
      <c r="H2317" s="473" t="s">
        <v>910</v>
      </c>
      <c r="I2317" s="491" t="s">
        <v>1168</v>
      </c>
      <c r="J2317" s="490">
        <v>47760.92</v>
      </c>
      <c r="K2317" s="491"/>
      <c r="L2317" s="490">
        <v>25.29</v>
      </c>
      <c r="M2317" s="490">
        <v>25.15</v>
      </c>
      <c r="N2317" s="492"/>
      <c r="O2317" s="493">
        <v>0.2</v>
      </c>
      <c r="P2317" s="493">
        <v>0.1</v>
      </c>
      <c r="Q2317" s="492">
        <v>0</v>
      </c>
      <c r="R2317" s="473" t="s">
        <v>35</v>
      </c>
      <c r="S2317" s="481" t="s">
        <v>41</v>
      </c>
      <c r="T2317" s="481">
        <v>86</v>
      </c>
      <c r="U2317" s="494" t="s">
        <v>164</v>
      </c>
      <c r="V2317" s="495"/>
      <c r="W2317" s="473"/>
      <c r="X2317" s="492">
        <v>0</v>
      </c>
      <c r="Y2317" s="492"/>
      <c r="Z2317" s="473"/>
      <c r="AA2317" s="473"/>
      <c r="AB2317" s="473"/>
      <c r="AC2317" s="473"/>
      <c r="AD2317" s="473"/>
      <c r="AE2317" s="473"/>
      <c r="AF2317" s="473"/>
      <c r="AG2317" s="473"/>
      <c r="AH2317" s="473"/>
      <c r="AI2317" s="472"/>
      <c r="AJ2317" s="485"/>
      <c r="AK2317" s="473">
        <v>0</v>
      </c>
      <c r="AL2317" s="473"/>
      <c r="AM2317" s="473"/>
      <c r="AN2317" s="473"/>
      <c r="AO2317" s="473"/>
      <c r="AP2317" s="473"/>
      <c r="AQ2317" s="473"/>
      <c r="AR2317" s="473"/>
      <c r="AS2317" s="473"/>
      <c r="AT2317" s="473"/>
      <c r="AU2317" s="473"/>
      <c r="AV2317" s="473"/>
      <c r="AW2317" s="473"/>
      <c r="AX2317" s="473"/>
      <c r="AY2317" s="473"/>
      <c r="AZ2317" s="473"/>
      <c r="BA2317" s="473"/>
      <c r="BB2317" s="473"/>
      <c r="BC2317" s="473"/>
      <c r="BD2317" s="473"/>
      <c r="BE2317" s="473"/>
      <c r="BF2317" s="473"/>
      <c r="BG2317" s="473"/>
      <c r="BH2317" s="473"/>
      <c r="BI2317" s="473"/>
      <c r="BJ2317" s="473"/>
      <c r="BK2317" s="473"/>
      <c r="BL2317" s="473"/>
      <c r="BM2317" s="473"/>
      <c r="BN2317" s="473"/>
      <c r="BO2317" s="473"/>
      <c r="BP2317" s="473"/>
      <c r="BQ2317" s="473"/>
      <c r="BR2317" s="473"/>
      <c r="BS2317" s="473"/>
      <c r="BT2317" s="473"/>
      <c r="BU2317" s="473"/>
      <c r="BV2317" s="473"/>
      <c r="BW2317" s="473"/>
      <c r="BX2317" s="473"/>
      <c r="BY2317" s="473"/>
    </row>
    <row r="2318" spans="1:77" s="6" customFormat="1" ht="11">
      <c r="A2318" s="379"/>
      <c r="B2318" s="380" t="s">
        <v>291</v>
      </c>
      <c r="C2318" s="381">
        <v>44716</v>
      </c>
      <c r="D2318" s="381">
        <v>44719</v>
      </c>
      <c r="E2318" s="382" t="s">
        <v>1753</v>
      </c>
      <c r="F2318" s="379" t="s">
        <v>603</v>
      </c>
      <c r="G2318" s="404">
        <v>3866</v>
      </c>
      <c r="H2318" s="379" t="s">
        <v>99</v>
      </c>
      <c r="I2318" s="384" t="s">
        <v>1168</v>
      </c>
      <c r="J2318" s="385">
        <v>93607.1</v>
      </c>
      <c r="K2318" s="384"/>
      <c r="L2318" s="385">
        <v>53.72</v>
      </c>
      <c r="M2318" s="385">
        <v>53.69</v>
      </c>
      <c r="N2318" s="386"/>
      <c r="O2318" s="387">
        <v>0.2</v>
      </c>
      <c r="P2318" s="387">
        <v>0.1</v>
      </c>
      <c r="Q2318" s="386">
        <v>25799.3</v>
      </c>
      <c r="R2318" s="379" t="s">
        <v>35</v>
      </c>
      <c r="S2318" s="388" t="s">
        <v>41</v>
      </c>
      <c r="T2318" s="388">
        <v>86</v>
      </c>
      <c r="U2318" s="389" t="s">
        <v>164</v>
      </c>
      <c r="V2318" s="433">
        <v>8058</v>
      </c>
      <c r="W2318" s="379"/>
      <c r="X2318" s="386">
        <v>25799.3</v>
      </c>
      <c r="Y2318" s="386"/>
      <c r="Z2318" s="379"/>
      <c r="AA2318" s="379"/>
      <c r="AB2318" s="379"/>
      <c r="AC2318" s="379"/>
      <c r="AD2318" s="379"/>
      <c r="AE2318" s="379"/>
      <c r="AF2318" s="379"/>
      <c r="AG2318" s="379"/>
      <c r="AH2318" s="379"/>
      <c r="AI2318" s="394"/>
      <c r="AJ2318" s="416">
        <v>25799.3</v>
      </c>
      <c r="AK2318" s="379"/>
      <c r="AL2318" s="379"/>
      <c r="AM2318" s="379"/>
      <c r="AN2318" s="379"/>
      <c r="AO2318" s="379"/>
      <c r="AP2318" s="379"/>
      <c r="AQ2318" s="379"/>
      <c r="AR2318" s="379"/>
      <c r="AS2318" s="379"/>
      <c r="AT2318" s="379"/>
      <c r="AU2318" s="379"/>
      <c r="AV2318" s="379"/>
      <c r="AW2318" s="379"/>
      <c r="AX2318" s="379"/>
      <c r="AY2318" s="379"/>
      <c r="AZ2318" s="379"/>
      <c r="BA2318" s="379"/>
      <c r="BB2318" s="379"/>
      <c r="BC2318" s="379"/>
      <c r="BD2318" s="379"/>
      <c r="BE2318" s="379"/>
      <c r="BF2318" s="379"/>
      <c r="BG2318" s="379"/>
      <c r="BH2318" s="379"/>
      <c r="BI2318" s="379"/>
      <c r="BJ2318" s="379"/>
      <c r="BK2318" s="379"/>
      <c r="BL2318" s="379"/>
      <c r="BM2318" s="379"/>
      <c r="BN2318" s="379"/>
      <c r="BO2318" s="379"/>
      <c r="BP2318" s="379"/>
      <c r="BQ2318" s="379"/>
      <c r="BR2318" s="379"/>
      <c r="BS2318" s="379"/>
      <c r="BT2318" s="379"/>
      <c r="BU2318" s="379"/>
      <c r="BV2318" s="379"/>
      <c r="BW2318" s="379"/>
      <c r="BX2318" s="379"/>
      <c r="BY2318" s="379"/>
    </row>
    <row r="2319" spans="1:77" s="291" customFormat="1" ht="11">
      <c r="B2319" s="310" t="s">
        <v>291</v>
      </c>
      <c r="C2319" s="292"/>
      <c r="D2319" s="292"/>
      <c r="E2319" s="293" t="s">
        <v>1753</v>
      </c>
      <c r="F2319" s="291" t="s">
        <v>603</v>
      </c>
      <c r="G2319" s="314">
        <v>3866</v>
      </c>
      <c r="H2319" s="291" t="s">
        <v>27</v>
      </c>
      <c r="I2319" s="295" t="s">
        <v>1168</v>
      </c>
      <c r="J2319" s="296">
        <v>16631.71</v>
      </c>
      <c r="K2319" s="295"/>
      <c r="L2319" s="296">
        <v>10.199999999999999</v>
      </c>
      <c r="M2319" s="296">
        <v>10.050000000000001</v>
      </c>
      <c r="N2319" s="297"/>
      <c r="O2319" s="298">
        <v>0.2</v>
      </c>
      <c r="P2319" s="298">
        <v>0.1</v>
      </c>
      <c r="Q2319" s="297">
        <v>0</v>
      </c>
      <c r="R2319" s="291" t="s">
        <v>35</v>
      </c>
      <c r="S2319" s="299" t="s">
        <v>41</v>
      </c>
      <c r="T2319" s="299">
        <v>86</v>
      </c>
      <c r="U2319" s="300" t="s">
        <v>164</v>
      </c>
      <c r="V2319" s="333"/>
      <c r="X2319" s="297">
        <v>0</v>
      </c>
      <c r="Y2319" s="297"/>
      <c r="AH2319" s="291">
        <f>X2319</f>
        <v>0</v>
      </c>
      <c r="AI2319" s="311"/>
      <c r="AJ2319" s="468"/>
    </row>
    <row r="2320" spans="1:77" s="291" customFormat="1" ht="11">
      <c r="B2320" s="310" t="s">
        <v>291</v>
      </c>
      <c r="C2320" s="292"/>
      <c r="D2320" s="292"/>
      <c r="E2320" s="293" t="s">
        <v>1753</v>
      </c>
      <c r="F2320" s="291" t="s">
        <v>603</v>
      </c>
      <c r="G2320" s="314">
        <v>3866</v>
      </c>
      <c r="H2320" s="291" t="s">
        <v>765</v>
      </c>
      <c r="I2320" s="295" t="s">
        <v>1168</v>
      </c>
      <c r="J2320" s="296">
        <v>80517.45</v>
      </c>
      <c r="K2320" s="295"/>
      <c r="L2320" s="296">
        <v>39.25</v>
      </c>
      <c r="M2320" s="296">
        <v>26.1</v>
      </c>
      <c r="N2320" s="297"/>
      <c r="O2320" s="298">
        <v>0.2</v>
      </c>
      <c r="P2320" s="298">
        <v>0.1</v>
      </c>
      <c r="Q2320" s="297">
        <v>0</v>
      </c>
      <c r="R2320" s="291" t="s">
        <v>35</v>
      </c>
      <c r="S2320" s="299" t="s">
        <v>41</v>
      </c>
      <c r="T2320" s="299">
        <v>86</v>
      </c>
      <c r="U2320" s="300" t="s">
        <v>164</v>
      </c>
      <c r="V2320" s="333"/>
      <c r="X2320" s="297">
        <v>0</v>
      </c>
      <c r="Y2320" s="297"/>
      <c r="AH2320" s="291">
        <f>X2320</f>
        <v>0</v>
      </c>
      <c r="AI2320" s="311"/>
      <c r="AJ2320" s="468"/>
    </row>
    <row r="2321" spans="1:77" s="6" customFormat="1" ht="11">
      <c r="A2321" s="473"/>
      <c r="B2321" s="486" t="s">
        <v>291</v>
      </c>
      <c r="C2321" s="487">
        <v>44716</v>
      </c>
      <c r="D2321" s="487">
        <v>44719</v>
      </c>
      <c r="E2321" s="488" t="s">
        <v>1754</v>
      </c>
      <c r="F2321" s="473" t="s">
        <v>1755</v>
      </c>
      <c r="G2321" s="496">
        <v>1013</v>
      </c>
      <c r="H2321" s="473" t="s">
        <v>140</v>
      </c>
      <c r="I2321" s="491" t="s">
        <v>156</v>
      </c>
      <c r="J2321" s="490">
        <v>18071.349999999999</v>
      </c>
      <c r="K2321" s="491"/>
      <c r="L2321" s="490">
        <v>11.33</v>
      </c>
      <c r="M2321" s="490">
        <v>11.33</v>
      </c>
      <c r="N2321" s="492">
        <v>5602.1184999999996</v>
      </c>
      <c r="O2321" s="493">
        <v>0.25</v>
      </c>
      <c r="P2321" s="493">
        <v>0.1</v>
      </c>
      <c r="Q2321" s="492">
        <v>1084.28</v>
      </c>
      <c r="R2321" s="473" t="s">
        <v>281</v>
      </c>
      <c r="S2321" s="481" t="s">
        <v>397</v>
      </c>
      <c r="T2321" s="481" t="s">
        <v>923</v>
      </c>
      <c r="U2321" s="494" t="s">
        <v>164</v>
      </c>
      <c r="V2321" s="495"/>
      <c r="W2321" s="473"/>
      <c r="X2321" s="492">
        <v>1084.28</v>
      </c>
      <c r="Y2321" s="492"/>
      <c r="Z2321" s="473"/>
      <c r="AA2321" s="473"/>
      <c r="AB2321" s="473"/>
      <c r="AC2321" s="473"/>
      <c r="AD2321" s="473"/>
      <c r="AE2321" s="473"/>
      <c r="AF2321" s="473"/>
      <c r="AG2321" s="473"/>
      <c r="AH2321" s="473"/>
      <c r="AI2321" s="472"/>
      <c r="AJ2321" s="485"/>
      <c r="AK2321" s="505">
        <v>1084.28</v>
      </c>
      <c r="AL2321" s="473"/>
      <c r="AM2321" s="473"/>
      <c r="AN2321" s="473"/>
      <c r="AO2321" s="473"/>
      <c r="AP2321" s="473"/>
      <c r="AQ2321" s="473"/>
      <c r="AR2321" s="473"/>
      <c r="AS2321" s="473"/>
      <c r="AT2321" s="473"/>
      <c r="AU2321" s="473"/>
      <c r="AV2321" s="473"/>
      <c r="AW2321" s="473"/>
      <c r="AX2321" s="473"/>
      <c r="AY2321" s="473"/>
      <c r="AZ2321" s="473"/>
      <c r="BA2321" s="473"/>
      <c r="BB2321" s="473"/>
      <c r="BC2321" s="473"/>
      <c r="BD2321" s="473"/>
      <c r="BE2321" s="473"/>
      <c r="BF2321" s="473"/>
      <c r="BG2321" s="473"/>
      <c r="BH2321" s="473"/>
      <c r="BI2321" s="473"/>
      <c r="BJ2321" s="473"/>
      <c r="BK2321" s="473"/>
      <c r="BL2321" s="473"/>
      <c r="BM2321" s="473"/>
      <c r="BN2321" s="473"/>
      <c r="BO2321" s="473"/>
      <c r="BP2321" s="473"/>
      <c r="BQ2321" s="473"/>
      <c r="BR2321" s="473"/>
      <c r="BS2321" s="473"/>
      <c r="BT2321" s="473"/>
      <c r="BU2321" s="473"/>
      <c r="BV2321" s="473"/>
      <c r="BW2321" s="473"/>
      <c r="BX2321" s="473"/>
      <c r="BY2321" s="473"/>
    </row>
    <row r="2322" spans="1:77" s="379" customFormat="1" ht="11">
      <c r="B2322" s="380" t="s">
        <v>291</v>
      </c>
      <c r="C2322" s="381"/>
      <c r="D2322" s="381"/>
      <c r="E2322" s="382" t="s">
        <v>1754</v>
      </c>
      <c r="F2322" s="379" t="s">
        <v>1755</v>
      </c>
      <c r="G2322" s="404">
        <v>1013</v>
      </c>
      <c r="H2322" s="379" t="s">
        <v>99</v>
      </c>
      <c r="I2322" s="384" t="s">
        <v>156</v>
      </c>
      <c r="J2322" s="385">
        <v>26681.98</v>
      </c>
      <c r="K2322" s="384"/>
      <c r="L2322" s="385">
        <v>24.56</v>
      </c>
      <c r="M2322" s="385">
        <v>24.56</v>
      </c>
      <c r="N2322" s="386">
        <v>6937.3158400000002</v>
      </c>
      <c r="O2322" s="387">
        <v>0.25</v>
      </c>
      <c r="P2322" s="387">
        <v>0.1</v>
      </c>
      <c r="Q2322" s="386">
        <v>0</v>
      </c>
      <c r="R2322" s="379" t="s">
        <v>281</v>
      </c>
      <c r="S2322" s="388" t="s">
        <v>397</v>
      </c>
      <c r="T2322" s="388" t="s">
        <v>923</v>
      </c>
      <c r="U2322" s="389" t="s">
        <v>164</v>
      </c>
      <c r="V2322" s="433"/>
      <c r="X2322" s="386">
        <v>0</v>
      </c>
      <c r="Y2322" s="386"/>
      <c r="AI2322" s="394"/>
      <c r="AJ2322" s="390">
        <v>0</v>
      </c>
    </row>
    <row r="2323" spans="1:77" s="379" customFormat="1" ht="11">
      <c r="B2323" s="380" t="s">
        <v>291</v>
      </c>
      <c r="C2323" s="381"/>
      <c r="D2323" s="381"/>
      <c r="E2323" s="382" t="s">
        <v>1754</v>
      </c>
      <c r="F2323" s="379" t="s">
        <v>1755</v>
      </c>
      <c r="G2323" s="404">
        <v>1013</v>
      </c>
      <c r="H2323" s="379" t="s">
        <v>27</v>
      </c>
      <c r="I2323" s="384" t="s">
        <v>156</v>
      </c>
      <c r="J2323" s="385">
        <v>11510.4</v>
      </c>
      <c r="K2323" s="384"/>
      <c r="L2323" s="385">
        <v>8.7200000000000006</v>
      </c>
      <c r="M2323" s="385">
        <v>8.7200000000000006</v>
      </c>
      <c r="N2323" s="386">
        <v>1035.9359999999999</v>
      </c>
      <c r="O2323" s="387">
        <v>0.25</v>
      </c>
      <c r="P2323" s="387">
        <v>0.1</v>
      </c>
      <c r="Q2323" s="386">
        <v>0</v>
      </c>
      <c r="R2323" s="379" t="s">
        <v>281</v>
      </c>
      <c r="S2323" s="388" t="s">
        <v>397</v>
      </c>
      <c r="T2323" s="388" t="s">
        <v>923</v>
      </c>
      <c r="U2323" s="389" t="s">
        <v>164</v>
      </c>
      <c r="V2323" s="433"/>
      <c r="X2323" s="386">
        <v>0</v>
      </c>
      <c r="Y2323" s="386"/>
      <c r="AI2323" s="394"/>
      <c r="AJ2323" s="390">
        <v>0</v>
      </c>
    </row>
    <row r="2324" spans="1:77" s="379" customFormat="1" ht="11">
      <c r="B2324" s="380" t="s">
        <v>291</v>
      </c>
      <c r="C2324" s="381"/>
      <c r="D2324" s="381"/>
      <c r="E2324" s="382" t="s">
        <v>1754</v>
      </c>
      <c r="F2324" s="379" t="s">
        <v>1755</v>
      </c>
      <c r="G2324" s="404">
        <v>1013</v>
      </c>
      <c r="H2324" s="379" t="s">
        <v>866</v>
      </c>
      <c r="I2324" s="384" t="s">
        <v>156</v>
      </c>
      <c r="J2324" s="385">
        <v>16119.6</v>
      </c>
      <c r="K2324" s="384"/>
      <c r="L2324" s="385">
        <v>14.14</v>
      </c>
      <c r="M2324" s="385">
        <v>14.14</v>
      </c>
      <c r="N2324" s="386">
        <v>0</v>
      </c>
      <c r="O2324" s="387">
        <v>0.25</v>
      </c>
      <c r="P2324" s="387">
        <v>0.1</v>
      </c>
      <c r="Q2324" s="386">
        <v>0</v>
      </c>
      <c r="R2324" s="379" t="s">
        <v>281</v>
      </c>
      <c r="S2324" s="388" t="s">
        <v>397</v>
      </c>
      <c r="T2324" s="388" t="s">
        <v>923</v>
      </c>
      <c r="U2324" s="389" t="s">
        <v>164</v>
      </c>
      <c r="V2324" s="433"/>
      <c r="X2324" s="386">
        <v>0</v>
      </c>
      <c r="Y2324" s="386"/>
      <c r="AJ2324" s="390">
        <v>0</v>
      </c>
    </row>
    <row r="2325" spans="1:77" s="379" customFormat="1" ht="11">
      <c r="B2325" s="380" t="s">
        <v>291</v>
      </c>
      <c r="C2325" s="381"/>
      <c r="D2325" s="381"/>
      <c r="E2325" s="382" t="s">
        <v>1754</v>
      </c>
      <c r="F2325" s="379" t="s">
        <v>1755</v>
      </c>
      <c r="G2325" s="404">
        <v>1013</v>
      </c>
      <c r="H2325" s="379" t="s">
        <v>137</v>
      </c>
      <c r="I2325" s="384" t="s">
        <v>156</v>
      </c>
      <c r="J2325" s="385">
        <v>2920.68</v>
      </c>
      <c r="K2325" s="384"/>
      <c r="L2325" s="385">
        <v>3.99</v>
      </c>
      <c r="M2325" s="385">
        <v>3.99</v>
      </c>
      <c r="N2325" s="386">
        <v>116.82729999999999</v>
      </c>
      <c r="O2325" s="387">
        <v>0.25</v>
      </c>
      <c r="P2325" s="387">
        <v>0.1</v>
      </c>
      <c r="Q2325" s="386">
        <v>0</v>
      </c>
      <c r="R2325" s="379" t="s">
        <v>281</v>
      </c>
      <c r="S2325" s="388" t="s">
        <v>397</v>
      </c>
      <c r="T2325" s="388" t="s">
        <v>923</v>
      </c>
      <c r="U2325" s="389" t="s">
        <v>164</v>
      </c>
      <c r="V2325" s="433"/>
      <c r="X2325" s="386">
        <v>0</v>
      </c>
      <c r="Y2325" s="386"/>
      <c r="AJ2325" s="390">
        <v>0</v>
      </c>
    </row>
    <row r="2326" spans="1:77" s="473" customFormat="1" ht="11">
      <c r="A2326" s="379"/>
      <c r="B2326" s="380" t="s">
        <v>291</v>
      </c>
      <c r="C2326" s="381"/>
      <c r="D2326" s="381"/>
      <c r="E2326" s="382" t="s">
        <v>1754</v>
      </c>
      <c r="F2326" s="379" t="s">
        <v>1755</v>
      </c>
      <c r="G2326" s="404">
        <v>1013</v>
      </c>
      <c r="H2326" s="379" t="s">
        <v>765</v>
      </c>
      <c r="I2326" s="384" t="s">
        <v>156</v>
      </c>
      <c r="J2326" s="385">
        <v>17420.759999999998</v>
      </c>
      <c r="K2326" s="384"/>
      <c r="L2326" s="385">
        <v>13.02</v>
      </c>
      <c r="M2326" s="385">
        <v>13.02</v>
      </c>
      <c r="N2326" s="386">
        <v>0</v>
      </c>
      <c r="O2326" s="387">
        <v>0.25</v>
      </c>
      <c r="P2326" s="387">
        <v>0.1</v>
      </c>
      <c r="Q2326" s="386">
        <v>0</v>
      </c>
      <c r="R2326" s="379" t="s">
        <v>281</v>
      </c>
      <c r="S2326" s="388" t="s">
        <v>397</v>
      </c>
      <c r="T2326" s="388" t="s">
        <v>923</v>
      </c>
      <c r="U2326" s="389" t="s">
        <v>164</v>
      </c>
      <c r="V2326" s="433"/>
      <c r="W2326" s="379"/>
      <c r="X2326" s="386">
        <v>0</v>
      </c>
      <c r="Y2326" s="386"/>
      <c r="Z2326" s="379"/>
      <c r="AA2326" s="379"/>
      <c r="AB2326" s="379"/>
      <c r="AC2326" s="379"/>
      <c r="AD2326" s="379"/>
      <c r="AE2326" s="379"/>
      <c r="AF2326" s="379"/>
      <c r="AG2326" s="379"/>
      <c r="AH2326" s="379"/>
      <c r="AI2326" s="379"/>
      <c r="AJ2326" s="390">
        <v>0</v>
      </c>
      <c r="AK2326" s="379"/>
      <c r="AL2326" s="379"/>
      <c r="AM2326" s="379"/>
      <c r="AN2326" s="379"/>
      <c r="AO2326" s="379"/>
      <c r="AP2326" s="379"/>
      <c r="AQ2326" s="379"/>
      <c r="AR2326" s="379"/>
      <c r="AS2326" s="379"/>
      <c r="AT2326" s="379"/>
      <c r="AU2326" s="379"/>
      <c r="AV2326" s="379"/>
      <c r="AW2326" s="379"/>
      <c r="AX2326" s="379"/>
      <c r="AY2326" s="379"/>
      <c r="AZ2326" s="379"/>
      <c r="BA2326" s="379"/>
      <c r="BB2326" s="379"/>
      <c r="BC2326" s="379"/>
      <c r="BD2326" s="379"/>
      <c r="BE2326" s="379"/>
      <c r="BF2326" s="379"/>
      <c r="BG2326" s="379"/>
      <c r="BH2326" s="379"/>
      <c r="BI2326" s="379"/>
      <c r="BJ2326" s="379"/>
      <c r="BK2326" s="379"/>
      <c r="BL2326" s="379"/>
      <c r="BM2326" s="379"/>
      <c r="BN2326" s="379"/>
      <c r="BO2326" s="379"/>
      <c r="BP2326" s="379"/>
      <c r="BQ2326" s="379"/>
      <c r="BR2326" s="379"/>
      <c r="BS2326" s="379"/>
      <c r="BT2326" s="379"/>
      <c r="BU2326" s="379"/>
      <c r="BV2326" s="379"/>
      <c r="BW2326" s="379"/>
      <c r="BX2326" s="379"/>
      <c r="BY2326" s="379"/>
    </row>
    <row r="2327" spans="1:77" s="261" customFormat="1" ht="11.25" customHeight="1">
      <c r="B2327" s="258" t="s">
        <v>291</v>
      </c>
      <c r="C2327" s="259">
        <v>44719</v>
      </c>
      <c r="D2327" s="259">
        <v>44719</v>
      </c>
      <c r="E2327" s="260" t="s">
        <v>1756</v>
      </c>
      <c r="F2327" s="261" t="s">
        <v>1757</v>
      </c>
      <c r="G2327" s="262" t="s">
        <v>1758</v>
      </c>
      <c r="H2327" s="261" t="s">
        <v>99</v>
      </c>
      <c r="I2327" s="264" t="s">
        <v>961</v>
      </c>
      <c r="J2327" s="263">
        <v>8131.1</v>
      </c>
      <c r="K2327" s="264"/>
      <c r="L2327" s="263">
        <v>21.73</v>
      </c>
      <c r="M2327" s="263">
        <v>22</v>
      </c>
      <c r="N2327" s="265"/>
      <c r="O2327" s="266">
        <v>0.2</v>
      </c>
      <c r="P2327" s="266"/>
      <c r="Q2327" s="265">
        <v>0</v>
      </c>
      <c r="R2327" s="261" t="s">
        <v>105</v>
      </c>
      <c r="S2327" s="267" t="s">
        <v>30</v>
      </c>
      <c r="T2327" s="267">
        <v>39</v>
      </c>
      <c r="U2327" s="268" t="s">
        <v>164</v>
      </c>
      <c r="V2327" s="427"/>
      <c r="X2327" s="265">
        <v>0</v>
      </c>
      <c r="Y2327" s="265"/>
      <c r="AG2327" s="261">
        <f t="shared" ref="AG2327:AG2332" si="32">X2327</f>
        <v>0</v>
      </c>
      <c r="AJ2327" s="642"/>
    </row>
    <row r="2328" spans="1:77" s="261" customFormat="1" ht="11.25" customHeight="1">
      <c r="B2328" s="258" t="s">
        <v>291</v>
      </c>
      <c r="C2328" s="259"/>
      <c r="D2328" s="259"/>
      <c r="E2328" s="260" t="s">
        <v>1756</v>
      </c>
      <c r="F2328" s="261" t="s">
        <v>1757</v>
      </c>
      <c r="G2328" s="262" t="s">
        <v>1758</v>
      </c>
      <c r="H2328" s="261" t="s">
        <v>183</v>
      </c>
      <c r="I2328" s="264" t="s">
        <v>961</v>
      </c>
      <c r="J2328" s="263">
        <v>5406.49</v>
      </c>
      <c r="K2328" s="264"/>
      <c r="L2328" s="263">
        <v>4.74</v>
      </c>
      <c r="M2328" s="263">
        <v>4.8</v>
      </c>
      <c r="N2328" s="265"/>
      <c r="O2328" s="266">
        <v>0.2</v>
      </c>
      <c r="P2328" s="266"/>
      <c r="Q2328" s="265">
        <v>0</v>
      </c>
      <c r="R2328" s="261" t="s">
        <v>105</v>
      </c>
      <c r="S2328" s="267" t="s">
        <v>30</v>
      </c>
      <c r="T2328" s="267">
        <v>39</v>
      </c>
      <c r="U2328" s="268" t="s">
        <v>164</v>
      </c>
      <c r="V2328" s="427"/>
      <c r="X2328" s="265">
        <v>0</v>
      </c>
      <c r="Y2328" s="265"/>
      <c r="AG2328" s="261">
        <f t="shared" si="32"/>
        <v>0</v>
      </c>
      <c r="AJ2328" s="642"/>
    </row>
    <row r="2329" spans="1:77" s="261" customFormat="1" ht="11.25" customHeight="1">
      <c r="B2329" s="258" t="s">
        <v>291</v>
      </c>
      <c r="C2329" s="259">
        <v>44719</v>
      </c>
      <c r="D2329" s="259">
        <v>44719</v>
      </c>
      <c r="E2329" s="260" t="s">
        <v>1759</v>
      </c>
      <c r="F2329" s="261" t="s">
        <v>1760</v>
      </c>
      <c r="G2329" s="280">
        <v>4051</v>
      </c>
      <c r="H2329" s="261" t="s">
        <v>183</v>
      </c>
      <c r="I2329" s="264" t="s">
        <v>33</v>
      </c>
      <c r="J2329" s="263">
        <v>5935.38</v>
      </c>
      <c r="K2329" s="264"/>
      <c r="L2329" s="263">
        <v>6.6</v>
      </c>
      <c r="M2329" s="263">
        <v>7</v>
      </c>
      <c r="N2329" s="265"/>
      <c r="O2329" s="266">
        <v>0.15</v>
      </c>
      <c r="P2329" s="266"/>
      <c r="Q2329" s="265">
        <v>0</v>
      </c>
      <c r="R2329" s="261" t="s">
        <v>146</v>
      </c>
      <c r="S2329" s="267" t="s">
        <v>74</v>
      </c>
      <c r="T2329" s="267">
        <v>31</v>
      </c>
      <c r="U2329" s="268" t="s">
        <v>164</v>
      </c>
      <c r="V2329" s="427"/>
      <c r="X2329" s="265">
        <v>0</v>
      </c>
      <c r="Y2329" s="265"/>
      <c r="AG2329" s="261">
        <f t="shared" si="32"/>
        <v>0</v>
      </c>
      <c r="AJ2329" s="642"/>
    </row>
    <row r="2330" spans="1:77" s="261" customFormat="1" ht="11.25" customHeight="1">
      <c r="B2330" s="258" t="s">
        <v>291</v>
      </c>
      <c r="C2330" s="259"/>
      <c r="D2330" s="259"/>
      <c r="E2330" s="260" t="s">
        <v>1759</v>
      </c>
      <c r="F2330" s="261" t="s">
        <v>1760</v>
      </c>
      <c r="G2330" s="280">
        <v>4051</v>
      </c>
      <c r="H2330" s="261" t="s">
        <v>138</v>
      </c>
      <c r="I2330" s="264" t="s">
        <v>33</v>
      </c>
      <c r="J2330" s="263">
        <v>27025.8</v>
      </c>
      <c r="K2330" s="264"/>
      <c r="L2330" s="263">
        <v>21.43</v>
      </c>
      <c r="M2330" s="263">
        <v>12</v>
      </c>
      <c r="N2330" s="265"/>
      <c r="O2330" s="266">
        <v>0.15</v>
      </c>
      <c r="P2330" s="266"/>
      <c r="Q2330" s="265">
        <v>0</v>
      </c>
      <c r="R2330" s="261" t="s">
        <v>146</v>
      </c>
      <c r="S2330" s="267" t="s">
        <v>74</v>
      </c>
      <c r="T2330" s="267">
        <v>31</v>
      </c>
      <c r="U2330" s="268" t="s">
        <v>164</v>
      </c>
      <c r="V2330" s="427"/>
      <c r="W2330" s="261" t="s">
        <v>3756</v>
      </c>
      <c r="X2330" s="265">
        <v>0</v>
      </c>
      <c r="Y2330" s="265"/>
      <c r="AG2330" s="261">
        <f t="shared" si="32"/>
        <v>0</v>
      </c>
      <c r="AJ2330" s="642"/>
    </row>
    <row r="2331" spans="1:77" s="261" customFormat="1" ht="11.25" customHeight="1">
      <c r="B2331" s="258" t="s">
        <v>291</v>
      </c>
      <c r="C2331" s="259"/>
      <c r="D2331" s="259"/>
      <c r="E2331" s="260" t="s">
        <v>1759</v>
      </c>
      <c r="F2331" s="261" t="s">
        <v>1760</v>
      </c>
      <c r="G2331" s="280">
        <v>4051</v>
      </c>
      <c r="H2331" s="261" t="s">
        <v>140</v>
      </c>
      <c r="I2331" s="264" t="s">
        <v>33</v>
      </c>
      <c r="J2331" s="263">
        <v>6737.51</v>
      </c>
      <c r="K2331" s="264"/>
      <c r="L2331" s="263">
        <v>4.04</v>
      </c>
      <c r="M2331" s="263">
        <v>4</v>
      </c>
      <c r="N2331" s="265"/>
      <c r="O2331" s="266">
        <v>0.15</v>
      </c>
      <c r="P2331" s="266"/>
      <c r="Q2331" s="265">
        <v>706.78</v>
      </c>
      <c r="R2331" s="261" t="s">
        <v>146</v>
      </c>
      <c r="S2331" s="267" t="s">
        <v>74</v>
      </c>
      <c r="T2331" s="267">
        <v>31</v>
      </c>
      <c r="U2331" s="268" t="s">
        <v>164</v>
      </c>
      <c r="V2331" s="427"/>
      <c r="X2331" s="265">
        <v>706.78</v>
      </c>
      <c r="Y2331" s="265"/>
      <c r="AG2331" s="261">
        <f t="shared" si="32"/>
        <v>706.78</v>
      </c>
      <c r="AJ2331" s="642"/>
    </row>
    <row r="2332" spans="1:77" s="261" customFormat="1" ht="11.25" customHeight="1">
      <c r="B2332" s="258" t="s">
        <v>291</v>
      </c>
      <c r="C2332" s="259"/>
      <c r="D2332" s="259"/>
      <c r="E2332" s="260" t="s">
        <v>1759</v>
      </c>
      <c r="F2332" s="261" t="s">
        <v>1760</v>
      </c>
      <c r="G2332" s="280">
        <v>4051</v>
      </c>
      <c r="H2332" s="261" t="s">
        <v>99</v>
      </c>
      <c r="I2332" s="264" t="s">
        <v>33</v>
      </c>
      <c r="J2332" s="263">
        <v>7381.04</v>
      </c>
      <c r="K2332" s="264"/>
      <c r="L2332" s="263">
        <v>7.18</v>
      </c>
      <c r="M2332" s="263">
        <v>12</v>
      </c>
      <c r="N2332" s="265"/>
      <c r="O2332" s="266">
        <v>0.15</v>
      </c>
      <c r="P2332" s="266"/>
      <c r="Q2332" s="265">
        <v>0</v>
      </c>
      <c r="R2332" s="261" t="s">
        <v>146</v>
      </c>
      <c r="S2332" s="267" t="s">
        <v>74</v>
      </c>
      <c r="T2332" s="267">
        <v>31</v>
      </c>
      <c r="U2332" s="268" t="s">
        <v>164</v>
      </c>
      <c r="V2332" s="427"/>
      <c r="X2332" s="265">
        <v>0</v>
      </c>
      <c r="Y2332" s="265"/>
      <c r="AG2332" s="261">
        <f t="shared" si="32"/>
        <v>0</v>
      </c>
      <c r="AJ2332" s="642"/>
    </row>
    <row r="2333" spans="1:77" s="261" customFormat="1" ht="11.25" customHeight="1">
      <c r="A2333" s="473"/>
      <c r="B2333" s="486" t="s">
        <v>291</v>
      </c>
      <c r="C2333" s="487"/>
      <c r="D2333" s="487"/>
      <c r="E2333" s="488" t="s">
        <v>1761</v>
      </c>
      <c r="F2333" s="473" t="s">
        <v>1762</v>
      </c>
      <c r="G2333" s="496">
        <v>3540</v>
      </c>
      <c r="H2333" s="473" t="s">
        <v>183</v>
      </c>
      <c r="I2333" s="491" t="s">
        <v>33</v>
      </c>
      <c r="J2333" s="490">
        <v>22815.31</v>
      </c>
      <c r="K2333" s="491"/>
      <c r="L2333" s="490">
        <v>22.11</v>
      </c>
      <c r="M2333" s="490">
        <v>22.18</v>
      </c>
      <c r="N2333" s="492">
        <f>8610</f>
        <v>8610</v>
      </c>
      <c r="O2333" s="493">
        <v>0.15</v>
      </c>
      <c r="P2333" s="493"/>
      <c r="Q2333" s="492">
        <v>914.47</v>
      </c>
      <c r="R2333" s="473" t="s">
        <v>105</v>
      </c>
      <c r="S2333" s="481" t="s">
        <v>30</v>
      </c>
      <c r="T2333" s="481">
        <v>39</v>
      </c>
      <c r="U2333" s="494" t="s">
        <v>164</v>
      </c>
      <c r="V2333" s="495"/>
      <c r="W2333" s="473"/>
      <c r="X2333" s="492">
        <v>914.47</v>
      </c>
      <c r="Y2333" s="492"/>
      <c r="Z2333" s="473"/>
      <c r="AA2333" s="473"/>
      <c r="AB2333" s="473"/>
      <c r="AC2333" s="473"/>
      <c r="AD2333" s="473"/>
      <c r="AE2333" s="473"/>
      <c r="AF2333" s="473"/>
      <c r="AG2333" s="473"/>
      <c r="AH2333" s="473"/>
      <c r="AI2333" s="473"/>
      <c r="AJ2333" s="485"/>
      <c r="AK2333" s="505">
        <v>914.47</v>
      </c>
      <c r="AL2333" s="473"/>
      <c r="AM2333" s="473"/>
      <c r="AN2333" s="473"/>
      <c r="AO2333" s="473"/>
      <c r="AP2333" s="473"/>
      <c r="AQ2333" s="473"/>
      <c r="AR2333" s="473"/>
      <c r="AS2333" s="473"/>
      <c r="AT2333" s="473"/>
      <c r="AU2333" s="473"/>
      <c r="AV2333" s="473"/>
      <c r="AW2333" s="473"/>
      <c r="AX2333" s="473"/>
      <c r="AY2333" s="473"/>
      <c r="AZ2333" s="473"/>
      <c r="BA2333" s="473"/>
      <c r="BB2333" s="473"/>
      <c r="BC2333" s="473"/>
      <c r="BD2333" s="473"/>
      <c r="BE2333" s="473"/>
      <c r="BF2333" s="473"/>
      <c r="BG2333" s="473"/>
      <c r="BH2333" s="473"/>
      <c r="BI2333" s="473"/>
      <c r="BJ2333" s="473"/>
      <c r="BK2333" s="473"/>
      <c r="BL2333" s="473"/>
      <c r="BM2333" s="473"/>
      <c r="BN2333" s="473"/>
      <c r="BO2333" s="473"/>
      <c r="BP2333" s="473"/>
      <c r="BQ2333" s="473"/>
      <c r="BR2333" s="473"/>
      <c r="BS2333" s="473"/>
      <c r="BT2333" s="473"/>
      <c r="BU2333" s="473"/>
      <c r="BV2333" s="473"/>
      <c r="BW2333" s="473"/>
      <c r="BX2333" s="473"/>
      <c r="BY2333" s="473"/>
    </row>
    <row r="2334" spans="1:77" s="261" customFormat="1" ht="11.25" customHeight="1">
      <c r="B2334" s="258" t="s">
        <v>291</v>
      </c>
      <c r="C2334" s="259">
        <v>44719</v>
      </c>
      <c r="D2334" s="259">
        <v>44719</v>
      </c>
      <c r="E2334" s="260" t="s">
        <v>1761</v>
      </c>
      <c r="F2334" s="261" t="s">
        <v>1762</v>
      </c>
      <c r="G2334" s="280">
        <v>3540</v>
      </c>
      <c r="H2334" s="261" t="s">
        <v>99</v>
      </c>
      <c r="I2334" s="264" t="s">
        <v>33</v>
      </c>
      <c r="J2334" s="263">
        <v>35244.86</v>
      </c>
      <c r="K2334" s="264"/>
      <c r="L2334" s="263">
        <v>28.46</v>
      </c>
      <c r="M2334" s="263">
        <v>28.26</v>
      </c>
      <c r="N2334" s="265"/>
      <c r="O2334" s="266">
        <v>0.15</v>
      </c>
      <c r="P2334" s="266"/>
      <c r="Q2334" s="265">
        <v>0</v>
      </c>
      <c r="R2334" s="261" t="s">
        <v>105</v>
      </c>
      <c r="S2334" s="267" t="s">
        <v>30</v>
      </c>
      <c r="T2334" s="267">
        <v>39</v>
      </c>
      <c r="U2334" s="268" t="s">
        <v>164</v>
      </c>
      <c r="V2334" s="427"/>
      <c r="X2334" s="265">
        <v>0</v>
      </c>
      <c r="Y2334" s="265"/>
      <c r="AG2334" s="261">
        <f>X2334</f>
        <v>0</v>
      </c>
      <c r="AJ2334" s="642"/>
    </row>
    <row r="2335" spans="1:77" s="261" customFormat="1" ht="11.25" customHeight="1">
      <c r="B2335" s="258" t="s">
        <v>291</v>
      </c>
      <c r="C2335" s="259"/>
      <c r="D2335" s="259"/>
      <c r="E2335" s="260" t="s">
        <v>1761</v>
      </c>
      <c r="F2335" s="261" t="s">
        <v>1762</v>
      </c>
      <c r="G2335" s="280">
        <v>3540</v>
      </c>
      <c r="H2335" s="261" t="s">
        <v>27</v>
      </c>
      <c r="I2335" s="264" t="s">
        <v>33</v>
      </c>
      <c r="J2335" s="263">
        <v>23335</v>
      </c>
      <c r="K2335" s="264"/>
      <c r="L2335" s="263">
        <v>14.36</v>
      </c>
      <c r="M2335" s="263">
        <v>14.37</v>
      </c>
      <c r="N2335" s="265"/>
      <c r="O2335" s="266">
        <v>0.15</v>
      </c>
      <c r="P2335" s="266"/>
      <c r="Q2335" s="265">
        <v>0</v>
      </c>
      <c r="R2335" s="261" t="s">
        <v>105</v>
      </c>
      <c r="S2335" s="267" t="s">
        <v>30</v>
      </c>
      <c r="T2335" s="267">
        <v>39</v>
      </c>
      <c r="U2335" s="268" t="s">
        <v>164</v>
      </c>
      <c r="V2335" s="427"/>
      <c r="X2335" s="265">
        <v>0</v>
      </c>
      <c r="Y2335" s="265"/>
      <c r="AG2335" s="261">
        <f>X2335</f>
        <v>0</v>
      </c>
      <c r="AJ2335" s="642"/>
    </row>
    <row r="2336" spans="1:77" s="379" customFormat="1" ht="11.25" customHeight="1">
      <c r="B2336" s="380" t="s">
        <v>291</v>
      </c>
      <c r="C2336" s="381">
        <v>44716</v>
      </c>
      <c r="D2336" s="381">
        <v>44719</v>
      </c>
      <c r="E2336" s="382" t="s">
        <v>1763</v>
      </c>
      <c r="F2336" s="379" t="s">
        <v>60</v>
      </c>
      <c r="G2336" s="404">
        <v>3605</v>
      </c>
      <c r="H2336" s="379" t="s">
        <v>99</v>
      </c>
      <c r="I2336" s="384" t="s">
        <v>888</v>
      </c>
      <c r="J2336" s="385">
        <v>63602.57</v>
      </c>
      <c r="K2336" s="384"/>
      <c r="L2336" s="385">
        <v>53.47</v>
      </c>
      <c r="M2336" s="385">
        <v>53.47</v>
      </c>
      <c r="N2336" s="386"/>
      <c r="O2336" s="387">
        <v>0.15</v>
      </c>
      <c r="P2336" s="387"/>
      <c r="Q2336" s="386">
        <v>16285.63</v>
      </c>
      <c r="R2336" s="379" t="s">
        <v>69</v>
      </c>
      <c r="S2336" s="388" t="s">
        <v>41</v>
      </c>
      <c r="T2336" s="388">
        <v>79</v>
      </c>
      <c r="U2336" s="389" t="s">
        <v>164</v>
      </c>
      <c r="V2336" s="433"/>
      <c r="X2336" s="386">
        <v>16285.63</v>
      </c>
      <c r="Y2336" s="386"/>
      <c r="AJ2336" s="416">
        <v>16285.63</v>
      </c>
    </row>
    <row r="2337" spans="2:37" s="379" customFormat="1" ht="11.25" customHeight="1">
      <c r="B2337" s="380" t="s">
        <v>291</v>
      </c>
      <c r="C2337" s="381"/>
      <c r="D2337" s="381"/>
      <c r="E2337" s="382" t="s">
        <v>1763</v>
      </c>
      <c r="F2337" s="379" t="s">
        <v>60</v>
      </c>
      <c r="G2337" s="404">
        <v>3605</v>
      </c>
      <c r="H2337" s="379" t="s">
        <v>27</v>
      </c>
      <c r="I2337" s="384" t="s">
        <v>888</v>
      </c>
      <c r="J2337" s="385">
        <v>18836.3</v>
      </c>
      <c r="K2337" s="384"/>
      <c r="L2337" s="385">
        <v>15.16</v>
      </c>
      <c r="M2337" s="385">
        <v>15.16</v>
      </c>
      <c r="N2337" s="386"/>
      <c r="O2337" s="387">
        <v>0.15</v>
      </c>
      <c r="P2337" s="387"/>
      <c r="Q2337" s="386">
        <v>0</v>
      </c>
      <c r="R2337" s="379" t="s">
        <v>69</v>
      </c>
      <c r="S2337" s="388" t="s">
        <v>41</v>
      </c>
      <c r="T2337" s="388">
        <v>79</v>
      </c>
      <c r="U2337" s="389" t="s">
        <v>164</v>
      </c>
      <c r="V2337" s="433"/>
      <c r="X2337" s="386">
        <v>0</v>
      </c>
      <c r="Y2337" s="386"/>
      <c r="AH2337" s="386"/>
      <c r="AJ2337" s="390">
        <v>0</v>
      </c>
    </row>
    <row r="2338" spans="2:37" s="379" customFormat="1" ht="11.25" customHeight="1">
      <c r="B2338" s="380" t="s">
        <v>291</v>
      </c>
      <c r="C2338" s="381"/>
      <c r="D2338" s="381"/>
      <c r="E2338" s="382" t="s">
        <v>1763</v>
      </c>
      <c r="F2338" s="379" t="s">
        <v>60</v>
      </c>
      <c r="G2338" s="404">
        <v>3605</v>
      </c>
      <c r="H2338" s="379" t="s">
        <v>765</v>
      </c>
      <c r="I2338" s="384" t="s">
        <v>888</v>
      </c>
      <c r="J2338" s="385">
        <v>16818.75</v>
      </c>
      <c r="K2338" s="384"/>
      <c r="L2338" s="385">
        <v>14.95</v>
      </c>
      <c r="M2338" s="385">
        <v>14.95</v>
      </c>
      <c r="N2338" s="386"/>
      <c r="O2338" s="387">
        <v>0.15</v>
      </c>
      <c r="P2338" s="387"/>
      <c r="Q2338" s="386">
        <v>4271.96</v>
      </c>
      <c r="R2338" s="379" t="s">
        <v>69</v>
      </c>
      <c r="S2338" s="388" t="s">
        <v>41</v>
      </c>
      <c r="T2338" s="388">
        <v>79</v>
      </c>
      <c r="U2338" s="389" t="s">
        <v>164</v>
      </c>
      <c r="V2338" s="433"/>
      <c r="X2338" s="386">
        <v>4271.96</v>
      </c>
      <c r="Y2338" s="386"/>
      <c r="AJ2338" s="416">
        <v>4271.96</v>
      </c>
    </row>
    <row r="2339" spans="2:37" s="379" customFormat="1" ht="11.25" customHeight="1">
      <c r="B2339" s="380" t="s">
        <v>291</v>
      </c>
      <c r="C2339" s="381"/>
      <c r="D2339" s="381"/>
      <c r="E2339" s="382" t="s">
        <v>1763</v>
      </c>
      <c r="F2339" s="379" t="s">
        <v>60</v>
      </c>
      <c r="G2339" s="404">
        <v>3605</v>
      </c>
      <c r="H2339" s="379" t="s">
        <v>492</v>
      </c>
      <c r="I2339" s="384" t="s">
        <v>888</v>
      </c>
      <c r="J2339" s="385">
        <v>19296.45</v>
      </c>
      <c r="K2339" s="384"/>
      <c r="L2339" s="385">
        <v>12.33</v>
      </c>
      <c r="M2339" s="385">
        <v>12.33</v>
      </c>
      <c r="N2339" s="386"/>
      <c r="O2339" s="387">
        <v>0.15</v>
      </c>
      <c r="P2339" s="387"/>
      <c r="Q2339" s="386">
        <v>3085.58</v>
      </c>
      <c r="R2339" s="379" t="s">
        <v>69</v>
      </c>
      <c r="S2339" s="388" t="s">
        <v>41</v>
      </c>
      <c r="T2339" s="388">
        <v>79</v>
      </c>
      <c r="U2339" s="389" t="s">
        <v>164</v>
      </c>
      <c r="V2339" s="433"/>
      <c r="X2339" s="386">
        <v>3085.58</v>
      </c>
      <c r="Y2339" s="386"/>
      <c r="AJ2339" s="416">
        <v>3085.58</v>
      </c>
    </row>
    <row r="2340" spans="2:37" s="379" customFormat="1" ht="11.25" customHeight="1">
      <c r="B2340" s="380" t="s">
        <v>291</v>
      </c>
      <c r="C2340" s="381"/>
      <c r="D2340" s="381"/>
      <c r="E2340" s="382" t="s">
        <v>1763</v>
      </c>
      <c r="F2340" s="379" t="s">
        <v>60</v>
      </c>
      <c r="G2340" s="404">
        <v>3605</v>
      </c>
      <c r="H2340" s="379" t="s">
        <v>910</v>
      </c>
      <c r="I2340" s="384" t="s">
        <v>888</v>
      </c>
      <c r="J2340" s="385">
        <v>158590.88</v>
      </c>
      <c r="K2340" s="384"/>
      <c r="L2340" s="385">
        <v>63.64</v>
      </c>
      <c r="M2340" s="385">
        <v>63.64</v>
      </c>
      <c r="N2340" s="386"/>
      <c r="O2340" s="387">
        <v>0.15</v>
      </c>
      <c r="P2340" s="387"/>
      <c r="Q2340" s="386">
        <v>0</v>
      </c>
      <c r="R2340" s="379" t="s">
        <v>69</v>
      </c>
      <c r="S2340" s="388" t="s">
        <v>41</v>
      </c>
      <c r="T2340" s="388">
        <v>79</v>
      </c>
      <c r="U2340" s="389" t="s">
        <v>164</v>
      </c>
      <c r="V2340" s="433"/>
      <c r="X2340" s="386">
        <v>0</v>
      </c>
      <c r="Y2340" s="386"/>
      <c r="AJ2340" s="390">
        <v>0</v>
      </c>
    </row>
    <row r="2341" spans="2:37" s="379" customFormat="1" ht="11.25" customHeight="1">
      <c r="B2341" s="380" t="s">
        <v>291</v>
      </c>
      <c r="C2341" s="381"/>
      <c r="D2341" s="381"/>
      <c r="E2341" s="382" t="s">
        <v>1763</v>
      </c>
      <c r="F2341" s="379" t="s">
        <v>60</v>
      </c>
      <c r="G2341" s="404">
        <v>3605</v>
      </c>
      <c r="H2341" s="379" t="s">
        <v>866</v>
      </c>
      <c r="I2341" s="384" t="s">
        <v>888</v>
      </c>
      <c r="J2341" s="385">
        <v>40986</v>
      </c>
      <c r="K2341" s="384"/>
      <c r="L2341" s="385">
        <v>18.63</v>
      </c>
      <c r="M2341" s="385">
        <v>18.63</v>
      </c>
      <c r="N2341" s="386"/>
      <c r="O2341" s="387">
        <v>0.15</v>
      </c>
      <c r="P2341" s="387"/>
      <c r="Q2341" s="386">
        <v>7265.7</v>
      </c>
      <c r="R2341" s="379" t="s">
        <v>69</v>
      </c>
      <c r="S2341" s="388" t="s">
        <v>41</v>
      </c>
      <c r="T2341" s="388">
        <v>79</v>
      </c>
      <c r="U2341" s="389" t="s">
        <v>164</v>
      </c>
      <c r="V2341" s="433"/>
      <c r="X2341" s="386">
        <v>7265.7</v>
      </c>
      <c r="Y2341" s="386"/>
      <c r="AJ2341" s="416">
        <v>7265.7</v>
      </c>
    </row>
    <row r="2342" spans="2:37" s="379" customFormat="1" ht="11.25" customHeight="1">
      <c r="B2342" s="380" t="s">
        <v>291</v>
      </c>
      <c r="C2342" s="381"/>
      <c r="D2342" s="381"/>
      <c r="E2342" s="382" t="s">
        <v>1763</v>
      </c>
      <c r="F2342" s="379" t="s">
        <v>60</v>
      </c>
      <c r="G2342" s="404">
        <v>3605</v>
      </c>
      <c r="H2342" s="379" t="s">
        <v>898</v>
      </c>
      <c r="I2342" s="384" t="s">
        <v>888</v>
      </c>
      <c r="J2342" s="385">
        <v>26818</v>
      </c>
      <c r="K2342" s="384"/>
      <c r="L2342" s="385">
        <v>12.19</v>
      </c>
      <c r="M2342" s="385">
        <v>12.19</v>
      </c>
      <c r="N2342" s="386"/>
      <c r="O2342" s="387">
        <v>0.15</v>
      </c>
      <c r="P2342" s="387"/>
      <c r="Q2342" s="386">
        <v>10190.84</v>
      </c>
      <c r="R2342" s="379" t="s">
        <v>69</v>
      </c>
      <c r="S2342" s="388" t="s">
        <v>41</v>
      </c>
      <c r="T2342" s="388">
        <v>79</v>
      </c>
      <c r="U2342" s="389" t="s">
        <v>164</v>
      </c>
      <c r="V2342" s="433"/>
      <c r="X2342" s="386">
        <v>10190.84</v>
      </c>
      <c r="Y2342" s="386"/>
      <c r="AJ2342" s="416">
        <v>10190.84</v>
      </c>
    </row>
    <row r="2343" spans="2:37" s="379" customFormat="1" ht="11.25" customHeight="1">
      <c r="B2343" s="380" t="s">
        <v>291</v>
      </c>
      <c r="C2343" s="381">
        <v>44701</v>
      </c>
      <c r="D2343" s="381">
        <v>44719</v>
      </c>
      <c r="E2343" s="382" t="s">
        <v>1764</v>
      </c>
      <c r="F2343" s="379" t="s">
        <v>809</v>
      </c>
      <c r="G2343" s="404">
        <v>4029</v>
      </c>
      <c r="H2343" s="379" t="s">
        <v>99</v>
      </c>
      <c r="I2343" s="384" t="s">
        <v>33</v>
      </c>
      <c r="J2343" s="385">
        <v>10200.75</v>
      </c>
      <c r="K2343" s="384"/>
      <c r="L2343" s="385">
        <v>10.15</v>
      </c>
      <c r="M2343" s="385">
        <v>10.15</v>
      </c>
      <c r="N2343" s="386"/>
      <c r="O2343" s="387">
        <v>0.15</v>
      </c>
      <c r="P2343" s="387"/>
      <c r="Q2343" s="386">
        <v>0</v>
      </c>
      <c r="R2343" s="379" t="s">
        <v>77</v>
      </c>
      <c r="S2343" s="388" t="s">
        <v>41</v>
      </c>
      <c r="T2343" s="388">
        <v>17</v>
      </c>
      <c r="U2343" s="389" t="s">
        <v>164</v>
      </c>
      <c r="V2343" s="433"/>
      <c r="X2343" s="386">
        <v>0</v>
      </c>
      <c r="Y2343" s="386"/>
      <c r="AJ2343" s="390">
        <v>0</v>
      </c>
    </row>
    <row r="2344" spans="2:37" s="337" customFormat="1" ht="11.25" customHeight="1">
      <c r="B2344" s="338" t="s">
        <v>291</v>
      </c>
      <c r="C2344" s="349"/>
      <c r="D2344" s="349"/>
      <c r="E2344" s="350" t="s">
        <v>1764</v>
      </c>
      <c r="F2344" s="337" t="s">
        <v>809</v>
      </c>
      <c r="G2344" s="368">
        <v>4029</v>
      </c>
      <c r="H2344" s="337" t="s">
        <v>183</v>
      </c>
      <c r="I2344" s="353" t="s">
        <v>33</v>
      </c>
      <c r="J2344" s="352">
        <v>8390.5400000000009</v>
      </c>
      <c r="K2344" s="353"/>
      <c r="L2344" s="352">
        <v>10.28</v>
      </c>
      <c r="M2344" s="352">
        <v>10.28</v>
      </c>
      <c r="N2344" s="354"/>
      <c r="O2344" s="355">
        <v>0.15</v>
      </c>
      <c r="P2344" s="355"/>
      <c r="Q2344" s="354">
        <v>0</v>
      </c>
      <c r="R2344" s="337" t="s">
        <v>77</v>
      </c>
      <c r="S2344" s="356" t="s">
        <v>41</v>
      </c>
      <c r="T2344" s="356">
        <v>17</v>
      </c>
      <c r="U2344" s="357" t="s">
        <v>164</v>
      </c>
      <c r="V2344" s="434"/>
      <c r="X2344" s="354">
        <v>0</v>
      </c>
      <c r="Y2344" s="354"/>
      <c r="AI2344" s="337">
        <v>0</v>
      </c>
      <c r="AJ2344" s="358"/>
      <c r="AK2344" s="369"/>
    </row>
    <row r="2345" spans="2:37" s="337" customFormat="1" ht="11.25" customHeight="1">
      <c r="B2345" s="338" t="s">
        <v>291</v>
      </c>
      <c r="C2345" s="349">
        <v>44719</v>
      </c>
      <c r="D2345" s="349">
        <v>44719</v>
      </c>
      <c r="E2345" s="350" t="s">
        <v>1765</v>
      </c>
      <c r="F2345" s="337" t="s">
        <v>1766</v>
      </c>
      <c r="G2345" s="351" t="s">
        <v>1767</v>
      </c>
      <c r="H2345" s="337" t="s">
        <v>941</v>
      </c>
      <c r="I2345" s="353" t="s">
        <v>33</v>
      </c>
      <c r="J2345" s="352">
        <v>15920.18</v>
      </c>
      <c r="K2345" s="353"/>
      <c r="L2345" s="352">
        <v>17.57</v>
      </c>
      <c r="M2345" s="352">
        <v>17.57</v>
      </c>
      <c r="N2345" s="354"/>
      <c r="O2345" s="355">
        <v>0.25</v>
      </c>
      <c r="P2345" s="355"/>
      <c r="Q2345" s="354">
        <v>0</v>
      </c>
      <c r="R2345" s="337" t="s">
        <v>257</v>
      </c>
      <c r="S2345" s="356" t="s">
        <v>74</v>
      </c>
      <c r="T2345" s="356">
        <v>32</v>
      </c>
      <c r="U2345" s="357" t="s">
        <v>164</v>
      </c>
      <c r="V2345" s="434"/>
      <c r="X2345" s="354">
        <v>0</v>
      </c>
      <c r="Y2345" s="354"/>
      <c r="AI2345" s="337">
        <v>0</v>
      </c>
      <c r="AJ2345" s="358"/>
      <c r="AK2345" s="369"/>
    </row>
    <row r="2346" spans="2:37" s="337" customFormat="1" ht="11.25" customHeight="1">
      <c r="B2346" s="338" t="s">
        <v>291</v>
      </c>
      <c r="C2346" s="349"/>
      <c r="D2346" s="349"/>
      <c r="E2346" s="350" t="s">
        <v>1765</v>
      </c>
      <c r="F2346" s="337" t="s">
        <v>1766</v>
      </c>
      <c r="G2346" s="351" t="s">
        <v>1767</v>
      </c>
      <c r="H2346" s="337" t="s">
        <v>138</v>
      </c>
      <c r="I2346" s="353" t="s">
        <v>33</v>
      </c>
      <c r="J2346" s="352">
        <v>62586.99</v>
      </c>
      <c r="K2346" s="353"/>
      <c r="L2346" s="352">
        <v>44.14</v>
      </c>
      <c r="M2346" s="352">
        <v>44.14</v>
      </c>
      <c r="N2346" s="354"/>
      <c r="O2346" s="355">
        <v>0.25</v>
      </c>
      <c r="P2346" s="355"/>
      <c r="Q2346" s="354">
        <v>0</v>
      </c>
      <c r="R2346" s="337" t="s">
        <v>257</v>
      </c>
      <c r="S2346" s="356" t="s">
        <v>74</v>
      </c>
      <c r="T2346" s="356">
        <v>32</v>
      </c>
      <c r="U2346" s="357" t="s">
        <v>164</v>
      </c>
      <c r="V2346" s="434"/>
      <c r="X2346" s="354">
        <v>0</v>
      </c>
      <c r="Y2346" s="354"/>
      <c r="AI2346" s="337">
        <v>0</v>
      </c>
      <c r="AJ2346" s="358"/>
      <c r="AK2346" s="369"/>
    </row>
    <row r="2347" spans="2:37" s="337" customFormat="1" ht="11.25" customHeight="1">
      <c r="B2347" s="338" t="s">
        <v>291</v>
      </c>
      <c r="C2347" s="349"/>
      <c r="D2347" s="349"/>
      <c r="E2347" s="350" t="s">
        <v>1765</v>
      </c>
      <c r="F2347" s="337" t="s">
        <v>1766</v>
      </c>
      <c r="G2347" s="351" t="s">
        <v>1767</v>
      </c>
      <c r="H2347" s="337" t="s">
        <v>99</v>
      </c>
      <c r="I2347" s="353" t="s">
        <v>33</v>
      </c>
      <c r="J2347" s="352">
        <v>70395.179999999993</v>
      </c>
      <c r="K2347" s="353"/>
      <c r="L2347" s="352">
        <v>52.77</v>
      </c>
      <c r="M2347" s="352">
        <v>52.77</v>
      </c>
      <c r="N2347" s="354"/>
      <c r="O2347" s="355">
        <v>0.25</v>
      </c>
      <c r="P2347" s="355"/>
      <c r="Q2347" s="354">
        <v>0</v>
      </c>
      <c r="R2347" s="337" t="s">
        <v>257</v>
      </c>
      <c r="S2347" s="356" t="s">
        <v>74</v>
      </c>
      <c r="T2347" s="356">
        <v>32</v>
      </c>
      <c r="U2347" s="357" t="s">
        <v>164</v>
      </c>
      <c r="V2347" s="434"/>
      <c r="X2347" s="354">
        <v>0</v>
      </c>
      <c r="Y2347" s="354"/>
      <c r="AI2347" s="337">
        <v>0</v>
      </c>
      <c r="AJ2347" s="358"/>
      <c r="AK2347" s="369"/>
    </row>
    <row r="2348" spans="2:37" s="337" customFormat="1" ht="10.25" customHeight="1">
      <c r="B2348" s="338" t="s">
        <v>291</v>
      </c>
      <c r="C2348" s="349"/>
      <c r="D2348" s="349"/>
      <c r="E2348" s="350" t="s">
        <v>1765</v>
      </c>
      <c r="F2348" s="337" t="s">
        <v>1766</v>
      </c>
      <c r="G2348" s="351" t="s">
        <v>1767</v>
      </c>
      <c r="H2348" s="337" t="s">
        <v>27</v>
      </c>
      <c r="I2348" s="353" t="s">
        <v>33</v>
      </c>
      <c r="J2348" s="352">
        <v>55339.35</v>
      </c>
      <c r="K2348" s="353"/>
      <c r="L2348" s="352">
        <v>30.49</v>
      </c>
      <c r="M2348" s="352">
        <v>30.49</v>
      </c>
      <c r="N2348" s="354"/>
      <c r="O2348" s="355">
        <v>0.25</v>
      </c>
      <c r="P2348" s="355"/>
      <c r="Q2348" s="354">
        <v>0</v>
      </c>
      <c r="R2348" s="337" t="s">
        <v>257</v>
      </c>
      <c r="S2348" s="356" t="s">
        <v>74</v>
      </c>
      <c r="T2348" s="356">
        <v>32</v>
      </c>
      <c r="U2348" s="357" t="s">
        <v>164</v>
      </c>
      <c r="V2348" s="434"/>
      <c r="X2348" s="354">
        <v>0</v>
      </c>
      <c r="Y2348" s="354"/>
      <c r="AI2348" s="337">
        <v>0</v>
      </c>
      <c r="AJ2348" s="358"/>
      <c r="AK2348" s="369"/>
    </row>
    <row r="2349" spans="2:37" s="337" customFormat="1" ht="11.25" customHeight="1">
      <c r="B2349" s="338" t="s">
        <v>291</v>
      </c>
      <c r="C2349" s="349"/>
      <c r="D2349" s="349"/>
      <c r="E2349" s="350" t="s">
        <v>1765</v>
      </c>
      <c r="F2349" s="337" t="s">
        <v>1766</v>
      </c>
      <c r="G2349" s="351" t="s">
        <v>1767</v>
      </c>
      <c r="H2349" s="337" t="s">
        <v>765</v>
      </c>
      <c r="I2349" s="353" t="s">
        <v>33</v>
      </c>
      <c r="J2349" s="352">
        <v>102813.17</v>
      </c>
      <c r="K2349" s="353"/>
      <c r="L2349" s="352">
        <v>83.69</v>
      </c>
      <c r="M2349" s="352">
        <v>83.69</v>
      </c>
      <c r="N2349" s="354"/>
      <c r="O2349" s="355">
        <v>0.25</v>
      </c>
      <c r="P2349" s="355"/>
      <c r="Q2349" s="354">
        <v>0</v>
      </c>
      <c r="R2349" s="337" t="s">
        <v>257</v>
      </c>
      <c r="S2349" s="356" t="s">
        <v>74</v>
      </c>
      <c r="T2349" s="356">
        <v>32</v>
      </c>
      <c r="U2349" s="357" t="s">
        <v>164</v>
      </c>
      <c r="V2349" s="434"/>
      <c r="X2349" s="354">
        <v>0</v>
      </c>
      <c r="Y2349" s="354"/>
      <c r="AI2349" s="337">
        <v>0</v>
      </c>
      <c r="AJ2349" s="358"/>
      <c r="AK2349" s="369"/>
    </row>
    <row r="2350" spans="2:37" s="337" customFormat="1" ht="11.25" customHeight="1">
      <c r="B2350" s="338" t="s">
        <v>291</v>
      </c>
      <c r="C2350" s="349"/>
      <c r="D2350" s="349"/>
      <c r="E2350" s="350" t="s">
        <v>1765</v>
      </c>
      <c r="F2350" s="337" t="s">
        <v>1766</v>
      </c>
      <c r="G2350" s="351" t="s">
        <v>1767</v>
      </c>
      <c r="H2350" s="337" t="s">
        <v>356</v>
      </c>
      <c r="I2350" s="353" t="s">
        <v>33</v>
      </c>
      <c r="J2350" s="352">
        <v>14436</v>
      </c>
      <c r="K2350" s="353"/>
      <c r="L2350" s="352">
        <v>20.05</v>
      </c>
      <c r="M2350" s="352">
        <v>20.05</v>
      </c>
      <c r="N2350" s="354"/>
      <c r="O2350" s="355">
        <v>0.25</v>
      </c>
      <c r="P2350" s="355"/>
      <c r="Q2350" s="354">
        <v>0</v>
      </c>
      <c r="R2350" s="337" t="s">
        <v>257</v>
      </c>
      <c r="S2350" s="356" t="s">
        <v>74</v>
      </c>
      <c r="T2350" s="356">
        <v>32</v>
      </c>
      <c r="U2350" s="357" t="s">
        <v>164</v>
      </c>
      <c r="V2350" s="434"/>
      <c r="X2350" s="354">
        <v>0</v>
      </c>
      <c r="Y2350" s="354"/>
      <c r="AI2350" s="337">
        <v>0</v>
      </c>
      <c r="AJ2350" s="358"/>
      <c r="AK2350" s="369"/>
    </row>
    <row r="2351" spans="2:37" s="507" customFormat="1" ht="11.25" customHeight="1">
      <c r="B2351" s="508" t="s">
        <v>291</v>
      </c>
      <c r="C2351" s="509">
        <v>44712</v>
      </c>
      <c r="D2351" s="509">
        <v>44720</v>
      </c>
      <c r="E2351" s="510" t="s">
        <v>1768</v>
      </c>
      <c r="F2351" s="507" t="s">
        <v>1769</v>
      </c>
      <c r="G2351" s="511">
        <v>4463</v>
      </c>
      <c r="H2351" s="507" t="s">
        <v>407</v>
      </c>
      <c r="I2351" s="512" t="s">
        <v>958</v>
      </c>
      <c r="J2351" s="513">
        <v>100529.57</v>
      </c>
      <c r="K2351" s="512"/>
      <c r="L2351" s="513">
        <v>40.659999999999997</v>
      </c>
      <c r="M2351" s="513">
        <v>40.659999999999997</v>
      </c>
      <c r="N2351" s="514">
        <v>484.04</v>
      </c>
      <c r="O2351" s="515">
        <v>0.2</v>
      </c>
      <c r="P2351" s="515"/>
      <c r="Q2351" s="514">
        <v>0</v>
      </c>
      <c r="R2351" s="507" t="s">
        <v>46</v>
      </c>
      <c r="S2351" s="516" t="s">
        <v>65</v>
      </c>
      <c r="T2351" s="516">
        <v>14</v>
      </c>
      <c r="U2351" s="517" t="s">
        <v>164</v>
      </c>
      <c r="V2351" s="518">
        <v>0</v>
      </c>
      <c r="X2351" s="514">
        <v>0</v>
      </c>
      <c r="Y2351" s="514"/>
      <c r="AJ2351" s="522"/>
    </row>
    <row r="2352" spans="2:37" s="205" customFormat="1" ht="11.25" customHeight="1">
      <c r="B2352" s="206" t="s">
        <v>291</v>
      </c>
      <c r="C2352" s="207"/>
      <c r="D2352" s="207"/>
      <c r="E2352" s="208" t="s">
        <v>1768</v>
      </c>
      <c r="F2352" s="205" t="s">
        <v>1769</v>
      </c>
      <c r="G2352" s="217">
        <v>4463</v>
      </c>
      <c r="H2352" s="205" t="s">
        <v>137</v>
      </c>
      <c r="I2352" s="219" t="s">
        <v>958</v>
      </c>
      <c r="J2352" s="210">
        <v>15812.55</v>
      </c>
      <c r="K2352" s="219"/>
      <c r="L2352" s="210">
        <v>14.31</v>
      </c>
      <c r="M2352" s="210">
        <v>14.31</v>
      </c>
      <c r="N2352" s="213">
        <v>7906</v>
      </c>
      <c r="O2352" s="212">
        <v>0.2</v>
      </c>
      <c r="P2352" s="212"/>
      <c r="Q2352" s="213">
        <v>0</v>
      </c>
      <c r="R2352" s="205" t="s">
        <v>46</v>
      </c>
      <c r="S2352" s="214" t="s">
        <v>65</v>
      </c>
      <c r="T2352" s="214">
        <v>14</v>
      </c>
      <c r="U2352" s="215" t="s">
        <v>164</v>
      </c>
      <c r="V2352" s="438"/>
      <c r="W2352" s="205" t="s">
        <v>2921</v>
      </c>
      <c r="X2352" s="213">
        <v>0</v>
      </c>
      <c r="Y2352" s="213"/>
      <c r="AF2352" s="230">
        <f>X2352</f>
        <v>0</v>
      </c>
      <c r="AJ2352" s="216"/>
    </row>
    <row r="2353" spans="1:77" s="181" customFormat="1" ht="11.25" customHeight="1">
      <c r="A2353" s="379"/>
      <c r="B2353" s="380" t="s">
        <v>291</v>
      </c>
      <c r="C2353" s="381"/>
      <c r="D2353" s="381"/>
      <c r="E2353" s="382" t="s">
        <v>1770</v>
      </c>
      <c r="F2353" s="379" t="s">
        <v>841</v>
      </c>
      <c r="G2353" s="404">
        <v>3813</v>
      </c>
      <c r="H2353" s="379" t="s">
        <v>27</v>
      </c>
      <c r="I2353" s="384" t="s">
        <v>156</v>
      </c>
      <c r="J2353" s="385">
        <v>21777.56</v>
      </c>
      <c r="K2353" s="384"/>
      <c r="L2353" s="385">
        <v>21.68</v>
      </c>
      <c r="M2353" s="385">
        <v>21.66</v>
      </c>
      <c r="N2353" s="386">
        <f>3263</f>
        <v>3263</v>
      </c>
      <c r="O2353" s="387">
        <v>0.15</v>
      </c>
      <c r="P2353" s="387">
        <v>0.1</v>
      </c>
      <c r="Q2353" s="386">
        <v>0</v>
      </c>
      <c r="R2353" s="379" t="s">
        <v>146</v>
      </c>
      <c r="S2353" s="388" t="s">
        <v>113</v>
      </c>
      <c r="T2353" s="388">
        <v>31</v>
      </c>
      <c r="U2353" s="389" t="s">
        <v>164</v>
      </c>
      <c r="V2353" s="433"/>
      <c r="W2353" s="379"/>
      <c r="X2353" s="386">
        <v>0</v>
      </c>
      <c r="Y2353" s="386"/>
      <c r="Z2353" s="379"/>
      <c r="AA2353" s="379"/>
      <c r="AB2353" s="379"/>
      <c r="AC2353" s="379"/>
      <c r="AD2353" s="379"/>
      <c r="AE2353" s="379"/>
      <c r="AF2353" s="379"/>
      <c r="AG2353" s="379"/>
      <c r="AH2353" s="379"/>
      <c r="AI2353" s="379"/>
      <c r="AJ2353" s="390">
        <v>0</v>
      </c>
      <c r="AK2353" s="379"/>
      <c r="AL2353" s="379"/>
      <c r="AM2353" s="379"/>
      <c r="AN2353" s="379"/>
      <c r="AO2353" s="379"/>
      <c r="AP2353" s="379"/>
      <c r="AQ2353" s="379"/>
      <c r="AR2353" s="379"/>
      <c r="AS2353" s="379"/>
      <c r="AT2353" s="379"/>
      <c r="AU2353" s="379"/>
      <c r="AV2353" s="379"/>
      <c r="AW2353" s="379"/>
      <c r="AX2353" s="379"/>
      <c r="AY2353" s="379"/>
      <c r="AZ2353" s="379"/>
      <c r="BA2353" s="379"/>
      <c r="BB2353" s="379"/>
      <c r="BC2353" s="379"/>
      <c r="BD2353" s="379"/>
      <c r="BE2353" s="379"/>
      <c r="BF2353" s="379"/>
      <c r="BG2353" s="379"/>
      <c r="BH2353" s="379"/>
      <c r="BI2353" s="379"/>
      <c r="BJ2353" s="379"/>
      <c r="BK2353" s="379"/>
      <c r="BL2353" s="379"/>
      <c r="BM2353" s="379"/>
      <c r="BN2353" s="379"/>
      <c r="BO2353" s="379"/>
      <c r="BP2353" s="379"/>
      <c r="BQ2353" s="379"/>
      <c r="BR2353" s="379"/>
      <c r="BS2353" s="379"/>
      <c r="BT2353" s="379"/>
      <c r="BU2353" s="379"/>
      <c r="BV2353" s="379"/>
      <c r="BW2353" s="379"/>
      <c r="BX2353" s="379"/>
      <c r="BY2353" s="379"/>
    </row>
    <row r="2354" spans="1:77" s="181" customFormat="1" ht="11.25" customHeight="1">
      <c r="B2354" s="178" t="s">
        <v>291</v>
      </c>
      <c r="C2354" s="179">
        <v>44715</v>
      </c>
      <c r="D2354" s="179">
        <v>44720</v>
      </c>
      <c r="E2354" s="180" t="s">
        <v>1770</v>
      </c>
      <c r="F2354" s="181" t="s">
        <v>841</v>
      </c>
      <c r="G2354" s="201">
        <v>3813</v>
      </c>
      <c r="H2354" s="181" t="s">
        <v>99</v>
      </c>
      <c r="I2354" s="190" t="s">
        <v>156</v>
      </c>
      <c r="J2354" s="183">
        <v>28289.360000000001</v>
      </c>
      <c r="K2354" s="190"/>
      <c r="L2354" s="183">
        <v>33.549999999999997</v>
      </c>
      <c r="M2354" s="183">
        <v>33.54</v>
      </c>
      <c r="N2354" s="185"/>
      <c r="O2354" s="186">
        <v>0.15</v>
      </c>
      <c r="P2354" s="186">
        <v>0.1</v>
      </c>
      <c r="Q2354" s="185">
        <v>0</v>
      </c>
      <c r="R2354" s="181" t="s">
        <v>146</v>
      </c>
      <c r="S2354" s="187" t="s">
        <v>113</v>
      </c>
      <c r="T2354" s="187">
        <v>31</v>
      </c>
      <c r="U2354" s="188" t="s">
        <v>164</v>
      </c>
      <c r="V2354" s="441"/>
      <c r="X2354" s="185">
        <v>0</v>
      </c>
      <c r="Y2354" s="185"/>
      <c r="AE2354" s="204">
        <f>X2354</f>
        <v>0</v>
      </c>
      <c r="AJ2354" s="189"/>
    </row>
    <row r="2355" spans="1:77" s="181" customFormat="1" ht="11.25" customHeight="1">
      <c r="B2355" s="178" t="s">
        <v>291</v>
      </c>
      <c r="C2355" s="179"/>
      <c r="D2355" s="179"/>
      <c r="E2355" s="180" t="s">
        <v>1770</v>
      </c>
      <c r="F2355" s="181" t="s">
        <v>841</v>
      </c>
      <c r="G2355" s="201">
        <v>3813</v>
      </c>
      <c r="H2355" s="181" t="s">
        <v>910</v>
      </c>
      <c r="I2355" s="190" t="s">
        <v>156</v>
      </c>
      <c r="J2355" s="183">
        <v>126316.08</v>
      </c>
      <c r="K2355" s="190"/>
      <c r="L2355" s="183">
        <v>67.650000000000006</v>
      </c>
      <c r="M2355" s="183">
        <v>67.64</v>
      </c>
      <c r="N2355" s="185"/>
      <c r="O2355" s="186">
        <v>0.15</v>
      </c>
      <c r="P2355" s="186">
        <v>0.1</v>
      </c>
      <c r="Q2355" s="185">
        <v>0</v>
      </c>
      <c r="R2355" s="181" t="s">
        <v>146</v>
      </c>
      <c r="S2355" s="187" t="s">
        <v>113</v>
      </c>
      <c r="T2355" s="187">
        <v>31</v>
      </c>
      <c r="U2355" s="188" t="s">
        <v>164</v>
      </c>
      <c r="V2355" s="441"/>
      <c r="X2355" s="185">
        <v>0</v>
      </c>
      <c r="Y2355" s="185"/>
      <c r="AE2355" s="204">
        <f>X2355</f>
        <v>0</v>
      </c>
      <c r="AJ2355" s="189"/>
    </row>
    <row r="2356" spans="1:77" s="379" customFormat="1" ht="11.25" customHeight="1">
      <c r="B2356" s="380" t="s">
        <v>291</v>
      </c>
      <c r="C2356" s="381">
        <v>44717</v>
      </c>
      <c r="D2356" s="381">
        <v>44720</v>
      </c>
      <c r="E2356" s="382" t="s">
        <v>1771</v>
      </c>
      <c r="F2356" s="379" t="s">
        <v>1772</v>
      </c>
      <c r="G2356" s="404">
        <v>3598</v>
      </c>
      <c r="H2356" s="379" t="s">
        <v>99</v>
      </c>
      <c r="I2356" s="384" t="s">
        <v>33</v>
      </c>
      <c r="J2356" s="385">
        <v>32307.55</v>
      </c>
      <c r="K2356" s="384"/>
      <c r="L2356" s="385">
        <v>36.78</v>
      </c>
      <c r="M2356" s="385">
        <v>36.78</v>
      </c>
      <c r="N2356" s="386">
        <f>J2356*0.2</f>
        <v>6461.51</v>
      </c>
      <c r="O2356" s="387">
        <v>0.15</v>
      </c>
      <c r="P2356" s="387"/>
      <c r="Q2356" s="386">
        <v>0</v>
      </c>
      <c r="R2356" s="379" t="s">
        <v>77</v>
      </c>
      <c r="S2356" s="388" t="s">
        <v>41</v>
      </c>
      <c r="T2356" s="388">
        <v>16</v>
      </c>
      <c r="U2356" s="389" t="s">
        <v>164</v>
      </c>
      <c r="V2356" s="433"/>
      <c r="X2356" s="386">
        <v>0</v>
      </c>
      <c r="Y2356" s="386"/>
      <c r="AJ2356" s="390">
        <v>0</v>
      </c>
    </row>
    <row r="2357" spans="1:77" s="379" customFormat="1" ht="11.25" customHeight="1">
      <c r="B2357" s="380" t="s">
        <v>291</v>
      </c>
      <c r="C2357" s="381"/>
      <c r="D2357" s="381"/>
      <c r="E2357" s="382" t="s">
        <v>1771</v>
      </c>
      <c r="F2357" s="379" t="s">
        <v>1772</v>
      </c>
      <c r="G2357" s="404">
        <v>3598</v>
      </c>
      <c r="H2357" s="379" t="s">
        <v>27</v>
      </c>
      <c r="I2357" s="384" t="s">
        <v>33</v>
      </c>
      <c r="J2357" s="385">
        <v>14879.16</v>
      </c>
      <c r="K2357" s="384"/>
      <c r="L2357" s="385">
        <v>17.97</v>
      </c>
      <c r="M2357" s="385">
        <v>17.97</v>
      </c>
      <c r="N2357" s="386"/>
      <c r="O2357" s="387">
        <v>0.15</v>
      </c>
      <c r="P2357" s="387"/>
      <c r="Q2357" s="386">
        <v>0</v>
      </c>
      <c r="R2357" s="379" t="s">
        <v>77</v>
      </c>
      <c r="S2357" s="388" t="s">
        <v>41</v>
      </c>
      <c r="T2357" s="388">
        <v>16</v>
      </c>
      <c r="U2357" s="389" t="s">
        <v>164</v>
      </c>
      <c r="V2357" s="433"/>
      <c r="X2357" s="386">
        <v>0</v>
      </c>
      <c r="Y2357" s="386"/>
      <c r="AJ2357" s="390">
        <v>0</v>
      </c>
    </row>
    <row r="2358" spans="1:77" s="379" customFormat="1" ht="11.25" customHeight="1">
      <c r="B2358" s="380" t="s">
        <v>291</v>
      </c>
      <c r="C2358" s="381"/>
      <c r="D2358" s="381"/>
      <c r="E2358" s="382" t="s">
        <v>1771</v>
      </c>
      <c r="F2358" s="379" t="s">
        <v>1772</v>
      </c>
      <c r="G2358" s="404">
        <v>3598</v>
      </c>
      <c r="H2358" s="379" t="s">
        <v>183</v>
      </c>
      <c r="I2358" s="384" t="s">
        <v>33</v>
      </c>
      <c r="J2358" s="385">
        <v>9675.18</v>
      </c>
      <c r="K2358" s="384"/>
      <c r="L2358" s="385">
        <v>14.76</v>
      </c>
      <c r="M2358" s="385">
        <v>14.76</v>
      </c>
      <c r="N2358" s="386">
        <f>J2358*0.2</f>
        <v>1935.0360000000001</v>
      </c>
      <c r="O2358" s="387">
        <v>0.15</v>
      </c>
      <c r="P2358" s="387"/>
      <c r="Q2358" s="386">
        <v>0</v>
      </c>
      <c r="R2358" s="379" t="s">
        <v>77</v>
      </c>
      <c r="S2358" s="388" t="s">
        <v>41</v>
      </c>
      <c r="T2358" s="388">
        <v>16</v>
      </c>
      <c r="U2358" s="389" t="s">
        <v>164</v>
      </c>
      <c r="V2358" s="433"/>
      <c r="X2358" s="386">
        <v>0</v>
      </c>
      <c r="Y2358" s="386"/>
      <c r="AJ2358" s="390">
        <v>0</v>
      </c>
    </row>
    <row r="2359" spans="1:77" s="379" customFormat="1" ht="11.25" customHeight="1">
      <c r="B2359" s="380" t="s">
        <v>291</v>
      </c>
      <c r="C2359" s="381"/>
      <c r="D2359" s="381"/>
      <c r="E2359" s="382" t="s">
        <v>1771</v>
      </c>
      <c r="F2359" s="379" t="s">
        <v>1772</v>
      </c>
      <c r="G2359" s="404">
        <v>3598</v>
      </c>
      <c r="H2359" s="379" t="s">
        <v>336</v>
      </c>
      <c r="I2359" s="384" t="s">
        <v>33</v>
      </c>
      <c r="J2359" s="385">
        <v>14417.64</v>
      </c>
      <c r="K2359" s="384"/>
      <c r="L2359" s="385">
        <v>13.81</v>
      </c>
      <c r="M2359" s="385">
        <v>13.81</v>
      </c>
      <c r="N2359" s="386">
        <f>J2359*0.2</f>
        <v>2883.5280000000002</v>
      </c>
      <c r="O2359" s="387">
        <v>0.15</v>
      </c>
      <c r="P2359" s="387"/>
      <c r="Q2359" s="386">
        <v>0</v>
      </c>
      <c r="R2359" s="379" t="s">
        <v>77</v>
      </c>
      <c r="S2359" s="388" t="s">
        <v>41</v>
      </c>
      <c r="T2359" s="388">
        <v>16</v>
      </c>
      <c r="U2359" s="389" t="s">
        <v>164</v>
      </c>
      <c r="V2359" s="433"/>
      <c r="X2359" s="386">
        <v>0</v>
      </c>
      <c r="Y2359" s="386"/>
      <c r="AJ2359" s="390">
        <v>0</v>
      </c>
    </row>
    <row r="2360" spans="1:77" s="337" customFormat="1" ht="11.25" customHeight="1">
      <c r="B2360" s="337" t="s">
        <v>291</v>
      </c>
      <c r="C2360" s="349">
        <v>44696</v>
      </c>
      <c r="D2360" s="349">
        <v>44720</v>
      </c>
      <c r="E2360" s="350" t="s">
        <v>1773</v>
      </c>
      <c r="F2360" s="337" t="s">
        <v>486</v>
      </c>
      <c r="G2360" s="368">
        <v>3923</v>
      </c>
      <c r="H2360" s="337" t="s">
        <v>99</v>
      </c>
      <c r="I2360" s="353" t="s">
        <v>141</v>
      </c>
      <c r="J2360" s="352">
        <v>42712.35</v>
      </c>
      <c r="K2360" s="353"/>
      <c r="L2360" s="352">
        <v>41.26</v>
      </c>
      <c r="M2360" s="352">
        <v>41.26</v>
      </c>
      <c r="N2360" s="354"/>
      <c r="O2360" s="355">
        <v>0.2</v>
      </c>
      <c r="P2360" s="355"/>
      <c r="Q2360" s="354">
        <v>1623.99</v>
      </c>
      <c r="R2360" s="337" t="s">
        <v>77</v>
      </c>
      <c r="S2360" s="356" t="s">
        <v>41</v>
      </c>
      <c r="T2360" s="356">
        <v>17</v>
      </c>
      <c r="U2360" s="357" t="s">
        <v>164</v>
      </c>
      <c r="V2360" s="434"/>
      <c r="X2360" s="354">
        <v>1623.99</v>
      </c>
      <c r="Y2360" s="354"/>
      <c r="AI2360" s="337">
        <v>1623.99</v>
      </c>
      <c r="AJ2360" s="358"/>
      <c r="AK2360" s="369"/>
    </row>
    <row r="2361" spans="1:77" s="379" customFormat="1" ht="11.25" customHeight="1">
      <c r="B2361" s="379" t="s">
        <v>291</v>
      </c>
      <c r="C2361" s="381">
        <v>44720</v>
      </c>
      <c r="D2361" s="381">
        <v>44720</v>
      </c>
      <c r="E2361" s="382" t="s">
        <v>1774</v>
      </c>
      <c r="F2361" s="379" t="s">
        <v>856</v>
      </c>
      <c r="G2361" s="404">
        <v>4268</v>
      </c>
      <c r="H2361" s="379" t="s">
        <v>99</v>
      </c>
      <c r="I2361" s="384" t="s">
        <v>33</v>
      </c>
      <c r="J2361" s="385">
        <v>12067.27</v>
      </c>
      <c r="K2361" s="384"/>
      <c r="L2361" s="385">
        <v>10.41</v>
      </c>
      <c r="M2361" s="385">
        <v>10.41</v>
      </c>
      <c r="N2361" s="386">
        <f>J2361*0.2</f>
        <v>2413.4540000000002</v>
      </c>
      <c r="O2361" s="387">
        <v>0.15</v>
      </c>
      <c r="P2361" s="387"/>
      <c r="Q2361" s="386">
        <v>0</v>
      </c>
      <c r="R2361" s="379" t="s">
        <v>77</v>
      </c>
      <c r="S2361" s="388" t="s">
        <v>41</v>
      </c>
      <c r="T2361" s="388">
        <v>17</v>
      </c>
      <c r="U2361" s="389" t="s">
        <v>164</v>
      </c>
      <c r="V2361" s="433"/>
      <c r="X2361" s="386">
        <v>0</v>
      </c>
      <c r="Y2361" s="386"/>
      <c r="AJ2361" s="390">
        <v>0</v>
      </c>
    </row>
    <row r="2362" spans="1:77" s="337" customFormat="1" ht="11.25" customHeight="1">
      <c r="B2362" s="337" t="s">
        <v>291</v>
      </c>
      <c r="C2362" s="349"/>
      <c r="D2362" s="349"/>
      <c r="E2362" s="350" t="s">
        <v>1774</v>
      </c>
      <c r="F2362" s="337" t="s">
        <v>856</v>
      </c>
      <c r="G2362" s="368">
        <v>4268</v>
      </c>
      <c r="H2362" s="337" t="s">
        <v>183</v>
      </c>
      <c r="I2362" s="353" t="s">
        <v>33</v>
      </c>
      <c r="J2362" s="352">
        <v>13178.75</v>
      </c>
      <c r="K2362" s="353"/>
      <c r="L2362" s="352">
        <v>13.82</v>
      </c>
      <c r="M2362" s="352">
        <v>13.82</v>
      </c>
      <c r="N2362" s="354"/>
      <c r="O2362" s="355">
        <v>0.15</v>
      </c>
      <c r="P2362" s="355"/>
      <c r="Q2362" s="354">
        <v>0</v>
      </c>
      <c r="R2362" s="337" t="s">
        <v>77</v>
      </c>
      <c r="S2362" s="356" t="s">
        <v>41</v>
      </c>
      <c r="T2362" s="356">
        <v>17</v>
      </c>
      <c r="U2362" s="357" t="s">
        <v>164</v>
      </c>
      <c r="V2362" s="434"/>
      <c r="X2362" s="354">
        <v>0</v>
      </c>
      <c r="Y2362" s="354"/>
      <c r="AI2362" s="337">
        <v>0</v>
      </c>
      <c r="AJ2362" s="358"/>
      <c r="AK2362" s="369"/>
    </row>
    <row r="2363" spans="1:77" s="205" customFormat="1" ht="11.25" customHeight="1">
      <c r="B2363" s="205" t="s">
        <v>291</v>
      </c>
      <c r="C2363" s="207">
        <v>44719</v>
      </c>
      <c r="D2363" s="207">
        <v>44720</v>
      </c>
      <c r="E2363" s="208" t="s">
        <v>1775</v>
      </c>
      <c r="F2363" s="205" t="s">
        <v>1776</v>
      </c>
      <c r="G2363" s="217">
        <v>4364</v>
      </c>
      <c r="H2363" s="205" t="s">
        <v>192</v>
      </c>
      <c r="I2363" s="219" t="s">
        <v>33</v>
      </c>
      <c r="J2363" s="210">
        <v>32130</v>
      </c>
      <c r="K2363" s="219"/>
      <c r="L2363" s="210">
        <v>22.95</v>
      </c>
      <c r="M2363" s="210">
        <v>22.95</v>
      </c>
      <c r="N2363" s="213"/>
      <c r="O2363" s="212">
        <v>0.2</v>
      </c>
      <c r="P2363" s="212"/>
      <c r="Q2363" s="213">
        <v>0</v>
      </c>
      <c r="R2363" s="205" t="s">
        <v>142</v>
      </c>
      <c r="S2363" s="214" t="s">
        <v>41</v>
      </c>
      <c r="T2363" s="214">
        <v>16</v>
      </c>
      <c r="U2363" s="215" t="s">
        <v>164</v>
      </c>
      <c r="V2363" s="438"/>
      <c r="W2363" s="205" t="s">
        <v>2786</v>
      </c>
      <c r="X2363" s="213">
        <v>0</v>
      </c>
      <c r="Y2363" s="213"/>
      <c r="AF2363" s="230">
        <f>X2363</f>
        <v>0</v>
      </c>
      <c r="AJ2363" s="216"/>
    </row>
    <row r="2364" spans="1:77" s="291" customFormat="1" ht="11.25" customHeight="1">
      <c r="A2364" s="291" t="s">
        <v>3893</v>
      </c>
      <c r="B2364" s="310" t="s">
        <v>291</v>
      </c>
      <c r="C2364" s="292">
        <v>44696</v>
      </c>
      <c r="D2364" s="292">
        <v>44720</v>
      </c>
      <c r="E2364" s="293" t="s">
        <v>1777</v>
      </c>
      <c r="F2364" s="291" t="s">
        <v>597</v>
      </c>
      <c r="G2364" s="314">
        <v>3588</v>
      </c>
      <c r="H2364" s="291" t="s">
        <v>99</v>
      </c>
      <c r="I2364" s="295" t="s">
        <v>33</v>
      </c>
      <c r="J2364" s="296">
        <v>83972.35</v>
      </c>
      <c r="K2364" s="295"/>
      <c r="L2364" s="296">
        <v>82.52</v>
      </c>
      <c r="M2364" s="296">
        <v>82.52</v>
      </c>
      <c r="N2364" s="297">
        <f>0.2*J2364</f>
        <v>16794.47</v>
      </c>
      <c r="O2364" s="298">
        <v>0.15</v>
      </c>
      <c r="P2364" s="298"/>
      <c r="Q2364" s="297">
        <v>962.07</v>
      </c>
      <c r="R2364" s="291" t="s">
        <v>77</v>
      </c>
      <c r="S2364" s="299" t="s">
        <v>41</v>
      </c>
      <c r="T2364" s="299">
        <v>16</v>
      </c>
      <c r="U2364" s="300" t="s">
        <v>164</v>
      </c>
      <c r="V2364" s="333"/>
      <c r="X2364" s="297">
        <v>962.07</v>
      </c>
      <c r="Y2364" s="297"/>
      <c r="AH2364" s="297">
        <f>X2364</f>
        <v>962.07</v>
      </c>
      <c r="AI2364" s="311"/>
      <c r="AJ2364" s="468"/>
    </row>
    <row r="2365" spans="1:77" s="291" customFormat="1" ht="11.25" customHeight="1">
      <c r="B2365" s="310" t="s">
        <v>291</v>
      </c>
      <c r="C2365" s="292"/>
      <c r="D2365" s="292"/>
      <c r="E2365" s="293" t="s">
        <v>1777</v>
      </c>
      <c r="F2365" s="291" t="s">
        <v>597</v>
      </c>
      <c r="G2365" s="314">
        <v>3588</v>
      </c>
      <c r="H2365" s="291" t="s">
        <v>27</v>
      </c>
      <c r="I2365" s="295" t="s">
        <v>33</v>
      </c>
      <c r="J2365" s="296">
        <v>54378.239999999998</v>
      </c>
      <c r="K2365" s="295"/>
      <c r="L2365" s="296">
        <v>38.08</v>
      </c>
      <c r="M2365" s="296">
        <v>38.08</v>
      </c>
      <c r="N2365" s="297"/>
      <c r="O2365" s="298">
        <v>0.15</v>
      </c>
      <c r="P2365" s="298"/>
      <c r="Q2365" s="297">
        <v>0</v>
      </c>
      <c r="R2365" s="291" t="s">
        <v>77</v>
      </c>
      <c r="S2365" s="299" t="s">
        <v>41</v>
      </c>
      <c r="T2365" s="299">
        <v>16</v>
      </c>
      <c r="U2365" s="300" t="s">
        <v>164</v>
      </c>
      <c r="V2365" s="333"/>
      <c r="X2365" s="297">
        <v>0</v>
      </c>
      <c r="Y2365" s="297"/>
      <c r="AH2365" s="291">
        <f>X2365</f>
        <v>0</v>
      </c>
      <c r="AI2365" s="311"/>
      <c r="AJ2365" s="468"/>
    </row>
    <row r="2366" spans="1:77" s="291" customFormat="1" ht="11.25" customHeight="1">
      <c r="B2366" s="310" t="s">
        <v>291</v>
      </c>
      <c r="C2366" s="292"/>
      <c r="D2366" s="292"/>
      <c r="E2366" s="293" t="s">
        <v>1777</v>
      </c>
      <c r="F2366" s="291" t="s">
        <v>597</v>
      </c>
      <c r="G2366" s="314">
        <v>3588</v>
      </c>
      <c r="H2366" s="291" t="s">
        <v>183</v>
      </c>
      <c r="I2366" s="295" t="s">
        <v>33</v>
      </c>
      <c r="J2366" s="296">
        <v>27307.88</v>
      </c>
      <c r="K2366" s="295"/>
      <c r="L2366" s="296">
        <v>36.049999999999997</v>
      </c>
      <c r="M2366" s="296">
        <v>36.049999999999997</v>
      </c>
      <c r="N2366" s="297">
        <f>0.2*J2366</f>
        <v>5461.5760000000009</v>
      </c>
      <c r="O2366" s="298">
        <v>0.15</v>
      </c>
      <c r="P2366" s="298"/>
      <c r="Q2366" s="297">
        <v>0</v>
      </c>
      <c r="R2366" s="291" t="s">
        <v>77</v>
      </c>
      <c r="S2366" s="299" t="s">
        <v>41</v>
      </c>
      <c r="T2366" s="299">
        <v>16</v>
      </c>
      <c r="U2366" s="300" t="s">
        <v>164</v>
      </c>
      <c r="V2366" s="333"/>
      <c r="X2366" s="297">
        <v>0</v>
      </c>
      <c r="Y2366" s="297"/>
      <c r="AH2366" s="291">
        <f>X2366</f>
        <v>0</v>
      </c>
      <c r="AI2366" s="311"/>
      <c r="AJ2366" s="468"/>
    </row>
    <row r="2367" spans="1:77" s="379" customFormat="1" ht="11.25" customHeight="1">
      <c r="B2367" s="380" t="s">
        <v>291</v>
      </c>
      <c r="C2367" s="381">
        <v>44720</v>
      </c>
      <c r="D2367" s="381">
        <v>44720</v>
      </c>
      <c r="E2367" s="382" t="s">
        <v>1778</v>
      </c>
      <c r="F2367" s="379" t="s">
        <v>69</v>
      </c>
      <c r="G2367" s="383" t="s">
        <v>1779</v>
      </c>
      <c r="H2367" s="379" t="s">
        <v>765</v>
      </c>
      <c r="I2367" s="384" t="s">
        <v>888</v>
      </c>
      <c r="J2367" s="385">
        <v>22396.5</v>
      </c>
      <c r="K2367" s="384"/>
      <c r="L2367" s="385">
        <v>21</v>
      </c>
      <c r="M2367" s="385">
        <v>19.739999999999998</v>
      </c>
      <c r="N2367" s="386"/>
      <c r="O2367" s="387">
        <v>0.2</v>
      </c>
      <c r="P2367" s="387"/>
      <c r="Q2367" s="386">
        <v>5647.32</v>
      </c>
      <c r="R2367" s="379" t="s">
        <v>128</v>
      </c>
      <c r="S2367" s="388" t="s">
        <v>34</v>
      </c>
      <c r="T2367" s="388">
        <v>79</v>
      </c>
      <c r="U2367" s="389" t="s">
        <v>164</v>
      </c>
      <c r="V2367" s="433"/>
      <c r="X2367" s="386">
        <v>5647.32</v>
      </c>
      <c r="Y2367" s="386"/>
      <c r="AJ2367" s="416">
        <v>5647.32</v>
      </c>
    </row>
    <row r="2368" spans="1:77" s="379" customFormat="1" ht="11.25" customHeight="1">
      <c r="B2368" s="380" t="s">
        <v>291</v>
      </c>
      <c r="C2368" s="381"/>
      <c r="D2368" s="381"/>
      <c r="E2368" s="382" t="s">
        <v>1778</v>
      </c>
      <c r="F2368" s="379" t="s">
        <v>69</v>
      </c>
      <c r="G2368" s="383" t="s">
        <v>1779</v>
      </c>
      <c r="H2368" s="379" t="s">
        <v>866</v>
      </c>
      <c r="I2368" s="384" t="s">
        <v>888</v>
      </c>
      <c r="J2368" s="385">
        <v>16632</v>
      </c>
      <c r="K2368" s="384"/>
      <c r="L2368" s="385">
        <v>14</v>
      </c>
      <c r="M2368" s="385">
        <v>14.15</v>
      </c>
      <c r="N2368" s="386"/>
      <c r="O2368" s="387">
        <v>0.2</v>
      </c>
      <c r="P2368" s="387"/>
      <c r="Q2368" s="386">
        <v>3883.32</v>
      </c>
      <c r="R2368" s="379" t="s">
        <v>128</v>
      </c>
      <c r="S2368" s="388" t="s">
        <v>34</v>
      </c>
      <c r="T2368" s="388">
        <v>79</v>
      </c>
      <c r="U2368" s="389" t="s">
        <v>164</v>
      </c>
      <c r="V2368" s="433"/>
      <c r="X2368" s="386">
        <v>3883.32</v>
      </c>
      <c r="Y2368" s="386"/>
      <c r="AJ2368" s="416">
        <v>3883.32</v>
      </c>
    </row>
    <row r="2369" spans="1:77" s="261" customFormat="1" ht="11.25" customHeight="1">
      <c r="B2369" s="258" t="s">
        <v>291</v>
      </c>
      <c r="C2369" s="259"/>
      <c r="D2369" s="259"/>
      <c r="E2369" s="260" t="s">
        <v>1778</v>
      </c>
      <c r="F2369" s="261" t="s">
        <v>69</v>
      </c>
      <c r="G2369" s="262" t="s">
        <v>1779</v>
      </c>
      <c r="H2369" s="261" t="s">
        <v>183</v>
      </c>
      <c r="I2369" s="264" t="s">
        <v>888</v>
      </c>
      <c r="J2369" s="263">
        <v>16551</v>
      </c>
      <c r="K2369" s="264"/>
      <c r="L2369" s="263">
        <v>15</v>
      </c>
      <c r="M2369" s="263">
        <v>16.63</v>
      </c>
      <c r="N2369" s="265"/>
      <c r="O2369" s="266">
        <v>0.2</v>
      </c>
      <c r="P2369" s="266"/>
      <c r="Q2369" s="265">
        <v>0</v>
      </c>
      <c r="R2369" s="261" t="s">
        <v>128</v>
      </c>
      <c r="S2369" s="267" t="s">
        <v>34</v>
      </c>
      <c r="T2369" s="267">
        <v>79</v>
      </c>
      <c r="U2369" s="268" t="s">
        <v>164</v>
      </c>
      <c r="V2369" s="427"/>
      <c r="X2369" s="265">
        <v>0</v>
      </c>
      <c r="Y2369" s="265"/>
      <c r="AG2369" s="261">
        <f>X2369</f>
        <v>0</v>
      </c>
      <c r="AJ2369" s="642"/>
    </row>
    <row r="2370" spans="1:77" s="205" customFormat="1" ht="11.25" customHeight="1">
      <c r="A2370" s="379"/>
      <c r="B2370" s="380" t="s">
        <v>291</v>
      </c>
      <c r="C2370" s="381"/>
      <c r="D2370" s="381"/>
      <c r="E2370" s="382" t="s">
        <v>1780</v>
      </c>
      <c r="F2370" s="379" t="s">
        <v>1781</v>
      </c>
      <c r="G2370" s="404">
        <v>4161</v>
      </c>
      <c r="H2370" s="379" t="s">
        <v>1138</v>
      </c>
      <c r="I2370" s="384" t="s">
        <v>958</v>
      </c>
      <c r="J2370" s="385">
        <v>8121.6</v>
      </c>
      <c r="K2370" s="384"/>
      <c r="L2370" s="385">
        <v>12.69</v>
      </c>
      <c r="M2370" s="385">
        <v>12.68</v>
      </c>
      <c r="N2370" s="386"/>
      <c r="O2370" s="387">
        <v>0.3</v>
      </c>
      <c r="P2370" s="387"/>
      <c r="Q2370" s="386">
        <v>4452.4799999999996</v>
      </c>
      <c r="R2370" s="379" t="s">
        <v>251</v>
      </c>
      <c r="S2370" s="388" t="s">
        <v>624</v>
      </c>
      <c r="T2370" s="388">
        <v>32</v>
      </c>
      <c r="U2370" s="389" t="s">
        <v>164</v>
      </c>
      <c r="V2370" s="433"/>
      <c r="W2370" s="379"/>
      <c r="X2370" s="386">
        <v>4452.4799999999996</v>
      </c>
      <c r="Y2370" s="386"/>
      <c r="Z2370" s="379"/>
      <c r="AA2370" s="379"/>
      <c r="AB2370" s="379"/>
      <c r="AC2370" s="379"/>
      <c r="AD2370" s="379"/>
      <c r="AE2370" s="379"/>
      <c r="AF2370" s="379"/>
      <c r="AG2370" s="379"/>
      <c r="AH2370" s="379"/>
      <c r="AI2370" s="379"/>
      <c r="AJ2370" s="416">
        <v>4452.4799999999996</v>
      </c>
      <c r="AK2370" s="379"/>
      <c r="AL2370" s="379"/>
      <c r="AM2370" s="379"/>
      <c r="AN2370" s="379"/>
      <c r="AO2370" s="379"/>
      <c r="AP2370" s="379"/>
      <c r="AQ2370" s="379"/>
      <c r="AR2370" s="379"/>
      <c r="AS2370" s="379"/>
      <c r="AT2370" s="379"/>
      <c r="AU2370" s="379"/>
      <c r="AV2370" s="379"/>
      <c r="AW2370" s="379"/>
      <c r="AX2370" s="379"/>
      <c r="AY2370" s="379"/>
      <c r="AZ2370" s="379"/>
      <c r="BA2370" s="379"/>
      <c r="BB2370" s="379"/>
      <c r="BC2370" s="379"/>
      <c r="BD2370" s="379"/>
      <c r="BE2370" s="379"/>
      <c r="BF2370" s="379"/>
      <c r="BG2370" s="379"/>
      <c r="BH2370" s="379"/>
      <c r="BI2370" s="379"/>
      <c r="BJ2370" s="379"/>
      <c r="BK2370" s="379"/>
      <c r="BL2370" s="379"/>
      <c r="BM2370" s="379"/>
      <c r="BN2370" s="379"/>
      <c r="BO2370" s="379"/>
      <c r="BP2370" s="379"/>
      <c r="BQ2370" s="379"/>
      <c r="BR2370" s="379"/>
      <c r="BS2370" s="379"/>
      <c r="BT2370" s="379"/>
      <c r="BU2370" s="379"/>
      <c r="BV2370" s="379"/>
      <c r="BW2370" s="379"/>
      <c r="BX2370" s="379"/>
      <c r="BY2370" s="379"/>
    </row>
    <row r="2371" spans="1:77" s="291" customFormat="1" ht="11.25" customHeight="1">
      <c r="B2371" s="310" t="s">
        <v>291</v>
      </c>
      <c r="C2371" s="292"/>
      <c r="D2371" s="292"/>
      <c r="E2371" s="293" t="s">
        <v>1780</v>
      </c>
      <c r="F2371" s="291" t="s">
        <v>1781</v>
      </c>
      <c r="G2371" s="314">
        <v>4161</v>
      </c>
      <c r="H2371" s="291" t="s">
        <v>1018</v>
      </c>
      <c r="I2371" s="295" t="s">
        <v>958</v>
      </c>
      <c r="J2371" s="296">
        <v>8793.9599999999991</v>
      </c>
      <c r="K2371" s="295"/>
      <c r="L2371" s="296">
        <v>11.02</v>
      </c>
      <c r="M2371" s="296">
        <v>11</v>
      </c>
      <c r="N2371" s="297"/>
      <c r="O2371" s="298">
        <v>0.3</v>
      </c>
      <c r="P2371" s="298"/>
      <c r="Q2371" s="297">
        <v>0</v>
      </c>
      <c r="R2371" s="291" t="s">
        <v>251</v>
      </c>
      <c r="S2371" s="299" t="s">
        <v>624</v>
      </c>
      <c r="T2371" s="299">
        <v>32</v>
      </c>
      <c r="U2371" s="300" t="s">
        <v>164</v>
      </c>
      <c r="V2371" s="333"/>
      <c r="X2371" s="297">
        <v>0</v>
      </c>
      <c r="Y2371" s="297"/>
      <c r="AH2371" s="291">
        <f>X2371</f>
        <v>0</v>
      </c>
      <c r="AI2371" s="311"/>
      <c r="AJ2371" s="468"/>
    </row>
    <row r="2372" spans="1:77" s="205" customFormat="1" ht="11.25" customHeight="1">
      <c r="B2372" s="206" t="s">
        <v>291</v>
      </c>
      <c r="C2372" s="207">
        <v>44720</v>
      </c>
      <c r="D2372" s="207">
        <v>44720</v>
      </c>
      <c r="E2372" s="208" t="s">
        <v>1780</v>
      </c>
      <c r="F2372" s="205" t="s">
        <v>1781</v>
      </c>
      <c r="G2372" s="217">
        <v>4161</v>
      </c>
      <c r="H2372" s="205" t="s">
        <v>295</v>
      </c>
      <c r="I2372" s="219" t="s">
        <v>958</v>
      </c>
      <c r="J2372" s="210">
        <v>9724.67</v>
      </c>
      <c r="K2372" s="219"/>
      <c r="L2372" s="210">
        <v>21.51</v>
      </c>
      <c r="M2372" s="210">
        <v>21.5</v>
      </c>
      <c r="N2372" s="213"/>
      <c r="O2372" s="212">
        <v>0.3</v>
      </c>
      <c r="P2372" s="212"/>
      <c r="Q2372" s="213">
        <v>0</v>
      </c>
      <c r="R2372" s="205" t="s">
        <v>251</v>
      </c>
      <c r="S2372" s="214" t="s">
        <v>624</v>
      </c>
      <c r="T2372" s="214">
        <v>32</v>
      </c>
      <c r="U2372" s="215" t="s">
        <v>164</v>
      </c>
      <c r="V2372" s="438"/>
      <c r="X2372" s="213">
        <v>0</v>
      </c>
      <c r="Y2372" s="213"/>
      <c r="AF2372" s="230">
        <f>X2372</f>
        <v>0</v>
      </c>
      <c r="AJ2372" s="216"/>
    </row>
    <row r="2373" spans="1:77" s="205" customFormat="1" ht="11.25" customHeight="1">
      <c r="B2373" s="206" t="s">
        <v>291</v>
      </c>
      <c r="C2373" s="207"/>
      <c r="D2373" s="207"/>
      <c r="E2373" s="208" t="s">
        <v>1780</v>
      </c>
      <c r="F2373" s="205" t="s">
        <v>1781</v>
      </c>
      <c r="G2373" s="217">
        <v>4161</v>
      </c>
      <c r="H2373" s="205" t="s">
        <v>192</v>
      </c>
      <c r="I2373" s="219" t="s">
        <v>958</v>
      </c>
      <c r="J2373" s="210">
        <v>23292.720000000001</v>
      </c>
      <c r="K2373" s="219"/>
      <c r="L2373" s="210">
        <v>29.41</v>
      </c>
      <c r="M2373" s="210">
        <v>29.4</v>
      </c>
      <c r="N2373" s="213"/>
      <c r="O2373" s="212">
        <v>0.3</v>
      </c>
      <c r="P2373" s="212"/>
      <c r="Q2373" s="213">
        <v>0</v>
      </c>
      <c r="R2373" s="205" t="s">
        <v>251</v>
      </c>
      <c r="S2373" s="214" t="s">
        <v>624</v>
      </c>
      <c r="T2373" s="214">
        <v>32</v>
      </c>
      <c r="U2373" s="215" t="s">
        <v>164</v>
      </c>
      <c r="V2373" s="438"/>
      <c r="X2373" s="213">
        <v>0</v>
      </c>
      <c r="Y2373" s="213"/>
      <c r="AF2373" s="230">
        <f>X2373</f>
        <v>0</v>
      </c>
      <c r="AJ2373" s="216"/>
    </row>
    <row r="2374" spans="1:77" s="261" customFormat="1" ht="11.25" customHeight="1">
      <c r="B2374" s="258" t="s">
        <v>291</v>
      </c>
      <c r="C2374" s="259">
        <v>44716</v>
      </c>
      <c r="D2374" s="259">
        <v>44720</v>
      </c>
      <c r="E2374" s="260" t="s">
        <v>3662</v>
      </c>
      <c r="F2374" s="261" t="s">
        <v>1437</v>
      </c>
      <c r="G2374" s="280">
        <v>3523</v>
      </c>
      <c r="H2374" s="261" t="s">
        <v>183</v>
      </c>
      <c r="I2374" s="264" t="s">
        <v>156</v>
      </c>
      <c r="J2374" s="263">
        <v>16458.29</v>
      </c>
      <c r="K2374" s="264"/>
      <c r="L2374" s="263">
        <v>12.37</v>
      </c>
      <c r="M2374" s="263">
        <v>6.67</v>
      </c>
      <c r="N2374" s="265">
        <f>308+136</f>
        <v>444</v>
      </c>
      <c r="O2374" s="266">
        <v>0.3</v>
      </c>
      <c r="P2374" s="266">
        <v>0.1</v>
      </c>
      <c r="Q2374" s="265">
        <v>0</v>
      </c>
      <c r="R2374" s="273" t="s">
        <v>46</v>
      </c>
      <c r="S2374" s="279" t="s">
        <v>47</v>
      </c>
      <c r="T2374" s="279">
        <v>76</v>
      </c>
      <c r="U2374" s="268" t="s">
        <v>164</v>
      </c>
      <c r="V2374" s="427"/>
      <c r="X2374" s="265">
        <v>0</v>
      </c>
      <c r="Y2374" s="265"/>
      <c r="AG2374" s="261">
        <f>X2374</f>
        <v>0</v>
      </c>
      <c r="AJ2374" s="642"/>
    </row>
    <row r="2375" spans="1:77" s="6" customFormat="1" ht="11.25" customHeight="1">
      <c r="A2375" s="379"/>
      <c r="B2375" s="380" t="s">
        <v>291</v>
      </c>
      <c r="C2375" s="381"/>
      <c r="D2375" s="381"/>
      <c r="E2375" s="382" t="s">
        <v>3662</v>
      </c>
      <c r="F2375" s="379" t="s">
        <v>1437</v>
      </c>
      <c r="G2375" s="404">
        <v>3523</v>
      </c>
      <c r="H2375" s="379" t="s">
        <v>407</v>
      </c>
      <c r="I2375" s="384" t="s">
        <v>156</v>
      </c>
      <c r="J2375" s="385">
        <v>40404</v>
      </c>
      <c r="K2375" s="384"/>
      <c r="L2375" s="385">
        <v>22.75</v>
      </c>
      <c r="M2375" s="385">
        <v>7.01</v>
      </c>
      <c r="N2375" s="386">
        <f>1867+101+1146</f>
        <v>3114</v>
      </c>
      <c r="O2375" s="387">
        <v>0.3</v>
      </c>
      <c r="P2375" s="387">
        <v>0.1</v>
      </c>
      <c r="Q2375" s="386">
        <v>0</v>
      </c>
      <c r="R2375" s="394" t="s">
        <v>46</v>
      </c>
      <c r="S2375" s="399" t="s">
        <v>47</v>
      </c>
      <c r="T2375" s="399">
        <v>76</v>
      </c>
      <c r="U2375" s="389" t="s">
        <v>164</v>
      </c>
      <c r="V2375" s="433"/>
      <c r="W2375" s="379"/>
      <c r="X2375" s="386">
        <v>0</v>
      </c>
      <c r="Y2375" s="386"/>
      <c r="Z2375" s="379"/>
      <c r="AA2375" s="379"/>
      <c r="AB2375" s="379"/>
      <c r="AC2375" s="379"/>
      <c r="AD2375" s="379"/>
      <c r="AE2375" s="379"/>
      <c r="AF2375" s="379"/>
      <c r="AG2375" s="379"/>
      <c r="AH2375" s="379"/>
      <c r="AI2375" s="379"/>
      <c r="AJ2375" s="390">
        <v>0</v>
      </c>
      <c r="AK2375" s="379"/>
      <c r="AL2375" s="379"/>
      <c r="AM2375" s="379"/>
      <c r="AN2375" s="379"/>
      <c r="AO2375" s="379"/>
      <c r="AP2375" s="379"/>
      <c r="AQ2375" s="379"/>
      <c r="AR2375" s="379"/>
      <c r="AS2375" s="379"/>
      <c r="AT2375" s="379"/>
      <c r="AU2375" s="379"/>
      <c r="AV2375" s="379"/>
      <c r="AW2375" s="379"/>
      <c r="AX2375" s="379"/>
      <c r="AY2375" s="379"/>
      <c r="AZ2375" s="379"/>
      <c r="BA2375" s="379"/>
      <c r="BB2375" s="379"/>
      <c r="BC2375" s="379"/>
      <c r="BD2375" s="379"/>
      <c r="BE2375" s="379"/>
      <c r="BF2375" s="379"/>
      <c r="BG2375" s="379"/>
      <c r="BH2375" s="379"/>
      <c r="BI2375" s="379"/>
      <c r="BJ2375" s="379"/>
      <c r="BK2375" s="379"/>
      <c r="BL2375" s="379"/>
      <c r="BM2375" s="379"/>
      <c r="BN2375" s="379"/>
      <c r="BO2375" s="379"/>
      <c r="BP2375" s="379"/>
      <c r="BQ2375" s="379"/>
      <c r="BR2375" s="379"/>
      <c r="BS2375" s="379"/>
      <c r="BT2375" s="379"/>
      <c r="BU2375" s="379"/>
      <c r="BV2375" s="379"/>
      <c r="BW2375" s="379"/>
      <c r="BX2375" s="379"/>
      <c r="BY2375" s="379"/>
    </row>
    <row r="2376" spans="1:77" s="6" customFormat="1" ht="11.25" customHeight="1">
      <c r="A2376" s="379"/>
      <c r="B2376" s="380" t="s">
        <v>291</v>
      </c>
      <c r="C2376" s="381">
        <v>44716</v>
      </c>
      <c r="D2376" s="381">
        <v>44720</v>
      </c>
      <c r="E2376" s="382" t="s">
        <v>1782</v>
      </c>
      <c r="F2376" s="379" t="s">
        <v>1783</v>
      </c>
      <c r="G2376" s="383" t="s">
        <v>1784</v>
      </c>
      <c r="H2376" s="379" t="s">
        <v>765</v>
      </c>
      <c r="I2376" s="384" t="s">
        <v>156</v>
      </c>
      <c r="J2376" s="385">
        <v>6810</v>
      </c>
      <c r="K2376" s="384"/>
      <c r="L2376" s="385">
        <v>6</v>
      </c>
      <c r="M2376" s="385">
        <v>3.5</v>
      </c>
      <c r="N2376" s="386"/>
      <c r="O2376" s="387">
        <v>0.3</v>
      </c>
      <c r="P2376" s="387">
        <v>0.1</v>
      </c>
      <c r="Q2376" s="386">
        <v>0</v>
      </c>
      <c r="R2376" s="379" t="s">
        <v>149</v>
      </c>
      <c r="S2376" s="388" t="s">
        <v>113</v>
      </c>
      <c r="T2376" s="388">
        <v>40</v>
      </c>
      <c r="U2376" s="389" t="s">
        <v>164</v>
      </c>
      <c r="V2376" s="433"/>
      <c r="W2376" s="379"/>
      <c r="X2376" s="386">
        <v>0</v>
      </c>
      <c r="Y2376" s="386"/>
      <c r="Z2376" s="379"/>
      <c r="AA2376" s="379"/>
      <c r="AB2376" s="379"/>
      <c r="AC2376" s="379"/>
      <c r="AD2376" s="379"/>
      <c r="AE2376" s="379"/>
      <c r="AF2376" s="379"/>
      <c r="AG2376" s="379"/>
      <c r="AH2376" s="379"/>
      <c r="AI2376" s="379"/>
      <c r="AJ2376" s="390">
        <v>0</v>
      </c>
      <c r="AK2376" s="379"/>
      <c r="AL2376" s="379"/>
      <c r="AM2376" s="379"/>
      <c r="AN2376" s="379"/>
      <c r="AO2376" s="379"/>
      <c r="AP2376" s="379"/>
      <c r="AQ2376" s="379"/>
      <c r="AR2376" s="379"/>
      <c r="AS2376" s="379"/>
      <c r="AT2376" s="379"/>
      <c r="AU2376" s="379"/>
      <c r="AV2376" s="379"/>
      <c r="AW2376" s="379"/>
      <c r="AX2376" s="379"/>
      <c r="AY2376" s="379"/>
      <c r="AZ2376" s="379"/>
      <c r="BA2376" s="379"/>
      <c r="BB2376" s="379"/>
      <c r="BC2376" s="379"/>
      <c r="BD2376" s="379"/>
      <c r="BE2376" s="379"/>
      <c r="BF2376" s="379"/>
      <c r="BG2376" s="379"/>
      <c r="BH2376" s="379"/>
      <c r="BI2376" s="379"/>
      <c r="BJ2376" s="379"/>
      <c r="BK2376" s="379"/>
      <c r="BL2376" s="379"/>
      <c r="BM2376" s="379"/>
      <c r="BN2376" s="379"/>
      <c r="BO2376" s="379"/>
      <c r="BP2376" s="379"/>
      <c r="BQ2376" s="379"/>
      <c r="BR2376" s="379"/>
      <c r="BS2376" s="379"/>
      <c r="BT2376" s="379"/>
      <c r="BU2376" s="379"/>
      <c r="BV2376" s="379"/>
      <c r="BW2376" s="379"/>
      <c r="BX2376" s="379"/>
      <c r="BY2376" s="379"/>
    </row>
    <row r="2377" spans="1:77" s="6" customFormat="1" ht="11.25" customHeight="1">
      <c r="A2377" s="379"/>
      <c r="B2377" s="380" t="s">
        <v>291</v>
      </c>
      <c r="C2377" s="381"/>
      <c r="D2377" s="381"/>
      <c r="E2377" s="382" t="s">
        <v>1782</v>
      </c>
      <c r="F2377" s="379" t="s">
        <v>1783</v>
      </c>
      <c r="G2377" s="383" t="s">
        <v>1784</v>
      </c>
      <c r="H2377" s="379" t="s">
        <v>910</v>
      </c>
      <c r="I2377" s="384" t="s">
        <v>156</v>
      </c>
      <c r="J2377" s="385">
        <v>62912</v>
      </c>
      <c r="K2377" s="384"/>
      <c r="L2377" s="385">
        <v>32</v>
      </c>
      <c r="M2377" s="385">
        <v>5.4</v>
      </c>
      <c r="N2377" s="386"/>
      <c r="O2377" s="387">
        <v>0.3</v>
      </c>
      <c r="P2377" s="387">
        <v>0.1</v>
      </c>
      <c r="Q2377" s="386">
        <v>0</v>
      </c>
      <c r="R2377" s="379" t="s">
        <v>149</v>
      </c>
      <c r="S2377" s="388" t="s">
        <v>113</v>
      </c>
      <c r="T2377" s="388">
        <v>40</v>
      </c>
      <c r="U2377" s="389" t="s">
        <v>164</v>
      </c>
      <c r="V2377" s="433"/>
      <c r="W2377" s="379"/>
      <c r="X2377" s="386">
        <v>0</v>
      </c>
      <c r="Y2377" s="386"/>
      <c r="Z2377" s="379"/>
      <c r="AA2377" s="379"/>
      <c r="AB2377" s="379"/>
      <c r="AC2377" s="379"/>
      <c r="AD2377" s="379"/>
      <c r="AE2377" s="379"/>
      <c r="AF2377" s="379"/>
      <c r="AG2377" s="379"/>
      <c r="AH2377" s="379"/>
      <c r="AI2377" s="379"/>
      <c r="AJ2377" s="390">
        <v>0</v>
      </c>
      <c r="AK2377" s="379"/>
      <c r="AL2377" s="379"/>
      <c r="AM2377" s="379"/>
      <c r="AN2377" s="379"/>
      <c r="AO2377" s="379"/>
      <c r="AP2377" s="379"/>
      <c r="AQ2377" s="379"/>
      <c r="AR2377" s="379"/>
      <c r="AS2377" s="379"/>
      <c r="AT2377" s="379"/>
      <c r="AU2377" s="379"/>
      <c r="AV2377" s="379"/>
      <c r="AW2377" s="379"/>
      <c r="AX2377" s="379"/>
      <c r="AY2377" s="379"/>
      <c r="AZ2377" s="379"/>
      <c r="BA2377" s="379"/>
      <c r="BB2377" s="379"/>
      <c r="BC2377" s="379"/>
      <c r="BD2377" s="379"/>
      <c r="BE2377" s="379"/>
      <c r="BF2377" s="379"/>
      <c r="BG2377" s="379"/>
      <c r="BH2377" s="379"/>
      <c r="BI2377" s="379"/>
      <c r="BJ2377" s="379"/>
      <c r="BK2377" s="379"/>
      <c r="BL2377" s="379"/>
      <c r="BM2377" s="379"/>
      <c r="BN2377" s="379"/>
      <c r="BO2377" s="379"/>
      <c r="BP2377" s="379"/>
      <c r="BQ2377" s="379"/>
      <c r="BR2377" s="379"/>
      <c r="BS2377" s="379"/>
      <c r="BT2377" s="379"/>
      <c r="BU2377" s="379"/>
      <c r="BV2377" s="379"/>
      <c r="BW2377" s="379"/>
      <c r="BX2377" s="379"/>
      <c r="BY2377" s="379"/>
    </row>
    <row r="2378" spans="1:77" s="6" customFormat="1" ht="11.25" customHeight="1">
      <c r="A2378" s="379"/>
      <c r="B2378" s="380" t="s">
        <v>291</v>
      </c>
      <c r="C2378" s="381"/>
      <c r="D2378" s="381"/>
      <c r="E2378" s="382" t="s">
        <v>1782</v>
      </c>
      <c r="F2378" s="379" t="s">
        <v>1783</v>
      </c>
      <c r="G2378" s="383" t="s">
        <v>1784</v>
      </c>
      <c r="H2378" s="379" t="s">
        <v>866</v>
      </c>
      <c r="I2378" s="384" t="s">
        <v>156</v>
      </c>
      <c r="J2378" s="385">
        <v>8300</v>
      </c>
      <c r="K2378" s="384"/>
      <c r="L2378" s="385">
        <v>5</v>
      </c>
      <c r="M2378" s="385">
        <v>0.8</v>
      </c>
      <c r="N2378" s="386"/>
      <c r="O2378" s="387">
        <v>0.3</v>
      </c>
      <c r="P2378" s="387">
        <v>0.1</v>
      </c>
      <c r="Q2378" s="386">
        <v>0</v>
      </c>
      <c r="R2378" s="379" t="s">
        <v>149</v>
      </c>
      <c r="S2378" s="388" t="s">
        <v>113</v>
      </c>
      <c r="T2378" s="388">
        <v>40</v>
      </c>
      <c r="U2378" s="389" t="s">
        <v>164</v>
      </c>
      <c r="V2378" s="433"/>
      <c r="W2378" s="379"/>
      <c r="X2378" s="386">
        <v>0</v>
      </c>
      <c r="Y2378" s="386"/>
      <c r="Z2378" s="379"/>
      <c r="AA2378" s="379"/>
      <c r="AB2378" s="379"/>
      <c r="AC2378" s="379"/>
      <c r="AD2378" s="379"/>
      <c r="AE2378" s="379"/>
      <c r="AF2378" s="379"/>
      <c r="AG2378" s="379"/>
      <c r="AH2378" s="379"/>
      <c r="AI2378" s="379"/>
      <c r="AJ2378" s="390">
        <v>0</v>
      </c>
      <c r="AK2378" s="379"/>
      <c r="AL2378" s="379"/>
      <c r="AM2378" s="379"/>
      <c r="AN2378" s="379"/>
      <c r="AO2378" s="379"/>
      <c r="AP2378" s="379"/>
      <c r="AQ2378" s="379"/>
      <c r="AR2378" s="379"/>
      <c r="AS2378" s="379"/>
      <c r="AT2378" s="379"/>
      <c r="AU2378" s="379"/>
      <c r="AV2378" s="379"/>
      <c r="AW2378" s="379"/>
      <c r="AX2378" s="379"/>
      <c r="AY2378" s="379"/>
      <c r="AZ2378" s="379"/>
      <c r="BA2378" s="379"/>
      <c r="BB2378" s="379"/>
      <c r="BC2378" s="379"/>
      <c r="BD2378" s="379"/>
      <c r="BE2378" s="379"/>
      <c r="BF2378" s="379"/>
      <c r="BG2378" s="379"/>
      <c r="BH2378" s="379"/>
      <c r="BI2378" s="379"/>
      <c r="BJ2378" s="379"/>
      <c r="BK2378" s="379"/>
      <c r="BL2378" s="379"/>
      <c r="BM2378" s="379"/>
      <c r="BN2378" s="379"/>
      <c r="BO2378" s="379"/>
      <c r="BP2378" s="379"/>
      <c r="BQ2378" s="379"/>
      <c r="BR2378" s="379"/>
      <c r="BS2378" s="379"/>
      <c r="BT2378" s="379"/>
      <c r="BU2378" s="379"/>
      <c r="BV2378" s="379"/>
      <c r="BW2378" s="379"/>
      <c r="BX2378" s="379"/>
      <c r="BY2378" s="379"/>
    </row>
    <row r="2379" spans="1:77" s="337" customFormat="1" ht="11.25" customHeight="1">
      <c r="A2379" s="473"/>
      <c r="B2379" s="486" t="s">
        <v>291</v>
      </c>
      <c r="C2379" s="487"/>
      <c r="D2379" s="487"/>
      <c r="E2379" s="488" t="s">
        <v>1785</v>
      </c>
      <c r="F2379" s="473" t="s">
        <v>617</v>
      </c>
      <c r="G2379" s="489">
        <v>4532</v>
      </c>
      <c r="H2379" s="473" t="s">
        <v>99</v>
      </c>
      <c r="I2379" s="491" t="s">
        <v>958</v>
      </c>
      <c r="J2379" s="490">
        <v>47349.83</v>
      </c>
      <c r="K2379" s="491"/>
      <c r="L2379" s="490">
        <v>55.87</v>
      </c>
      <c r="M2379" s="490">
        <v>55.5</v>
      </c>
      <c r="N2379" s="492"/>
      <c r="O2379" s="493">
        <v>0.25</v>
      </c>
      <c r="P2379" s="493"/>
      <c r="Q2379" s="492">
        <v>0</v>
      </c>
      <c r="R2379" s="473" t="s">
        <v>257</v>
      </c>
      <c r="S2379" s="481" t="s">
        <v>74</v>
      </c>
      <c r="T2379" s="481">
        <v>32</v>
      </c>
      <c r="U2379" s="494" t="s">
        <v>164</v>
      </c>
      <c r="V2379" s="495"/>
      <c r="W2379" s="473"/>
      <c r="X2379" s="492">
        <v>0</v>
      </c>
      <c r="Y2379" s="492"/>
      <c r="Z2379" s="473"/>
      <c r="AA2379" s="473"/>
      <c r="AB2379" s="473"/>
      <c r="AC2379" s="473"/>
      <c r="AD2379" s="473"/>
      <c r="AE2379" s="473"/>
      <c r="AF2379" s="473"/>
      <c r="AG2379" s="473"/>
      <c r="AH2379" s="473"/>
      <c r="AI2379" s="473"/>
      <c r="AJ2379" s="485"/>
      <c r="AK2379" s="473">
        <v>0</v>
      </c>
      <c r="AL2379" s="473"/>
      <c r="AM2379" s="473"/>
      <c r="AN2379" s="473"/>
      <c r="AO2379" s="473"/>
      <c r="AP2379" s="473"/>
      <c r="AQ2379" s="473"/>
      <c r="AR2379" s="473"/>
      <c r="AS2379" s="473"/>
      <c r="AT2379" s="473"/>
      <c r="AU2379" s="473"/>
      <c r="AV2379" s="473"/>
      <c r="AW2379" s="473"/>
      <c r="AX2379" s="473"/>
      <c r="AY2379" s="473"/>
      <c r="AZ2379" s="473"/>
      <c r="BA2379" s="473"/>
      <c r="BB2379" s="473"/>
      <c r="BC2379" s="473"/>
      <c r="BD2379" s="473"/>
      <c r="BE2379" s="473"/>
      <c r="BF2379" s="473"/>
      <c r="BG2379" s="473"/>
      <c r="BH2379" s="473"/>
      <c r="BI2379" s="473"/>
      <c r="BJ2379" s="473"/>
      <c r="BK2379" s="473"/>
      <c r="BL2379" s="473"/>
      <c r="BM2379" s="473"/>
      <c r="BN2379" s="473"/>
      <c r="BO2379" s="473"/>
      <c r="BP2379" s="473"/>
      <c r="BQ2379" s="473"/>
      <c r="BR2379" s="473"/>
      <c r="BS2379" s="473"/>
      <c r="BT2379" s="473"/>
      <c r="BU2379" s="473"/>
      <c r="BV2379" s="473"/>
      <c r="BW2379" s="473"/>
      <c r="BX2379" s="473"/>
      <c r="BY2379" s="473"/>
    </row>
    <row r="2380" spans="1:77" s="647" customFormat="1" ht="11.25" customHeight="1">
      <c r="B2380" s="661" t="s">
        <v>291</v>
      </c>
      <c r="C2380" s="648">
        <v>44717</v>
      </c>
      <c r="D2380" s="648">
        <v>44720</v>
      </c>
      <c r="E2380" s="649" t="s">
        <v>1785</v>
      </c>
      <c r="F2380" s="647" t="s">
        <v>617</v>
      </c>
      <c r="G2380" s="650">
        <v>4532</v>
      </c>
      <c r="H2380" s="647" t="s">
        <v>138</v>
      </c>
      <c r="I2380" s="676" t="s">
        <v>958</v>
      </c>
      <c r="J2380" s="651">
        <v>13748.4</v>
      </c>
      <c r="K2380" s="676"/>
      <c r="L2380" s="651">
        <v>13.4</v>
      </c>
      <c r="M2380" s="651">
        <v>13.4</v>
      </c>
      <c r="N2380" s="652"/>
      <c r="O2380" s="653">
        <v>0.25</v>
      </c>
      <c r="P2380" s="653"/>
      <c r="Q2380" s="652">
        <v>0</v>
      </c>
      <c r="R2380" s="647" t="s">
        <v>257</v>
      </c>
      <c r="S2380" s="654" t="s">
        <v>74</v>
      </c>
      <c r="T2380" s="654">
        <v>32</v>
      </c>
      <c r="U2380" s="655" t="s">
        <v>164</v>
      </c>
      <c r="V2380" s="656"/>
      <c r="X2380" s="652">
        <v>0</v>
      </c>
      <c r="Y2380" s="652"/>
      <c r="AI2380" s="647">
        <f>X2380</f>
        <v>0</v>
      </c>
      <c r="AJ2380" s="657"/>
      <c r="AK2380" s="658"/>
    </row>
    <row r="2381" spans="1:77" s="647" customFormat="1" ht="11.25" customHeight="1">
      <c r="B2381" s="661" t="s">
        <v>291</v>
      </c>
      <c r="C2381" s="648"/>
      <c r="D2381" s="648"/>
      <c r="E2381" s="649" t="s">
        <v>1785</v>
      </c>
      <c r="F2381" s="647" t="s">
        <v>617</v>
      </c>
      <c r="G2381" s="650">
        <v>4532</v>
      </c>
      <c r="H2381" s="647" t="s">
        <v>140</v>
      </c>
      <c r="I2381" s="676" t="s">
        <v>958</v>
      </c>
      <c r="J2381" s="651">
        <v>19863.84</v>
      </c>
      <c r="K2381" s="676"/>
      <c r="L2381" s="651">
        <v>15.73</v>
      </c>
      <c r="M2381" s="651">
        <v>15.7</v>
      </c>
      <c r="N2381" s="652"/>
      <c r="O2381" s="653">
        <v>0.25</v>
      </c>
      <c r="P2381" s="653"/>
      <c r="Q2381" s="652">
        <v>0</v>
      </c>
      <c r="R2381" s="647" t="s">
        <v>257</v>
      </c>
      <c r="S2381" s="654" t="s">
        <v>74</v>
      </c>
      <c r="T2381" s="654">
        <v>32</v>
      </c>
      <c r="U2381" s="655" t="s">
        <v>164</v>
      </c>
      <c r="V2381" s="656"/>
      <c r="X2381" s="652">
        <v>0</v>
      </c>
      <c r="Y2381" s="652"/>
      <c r="AI2381" s="647">
        <f>X2381</f>
        <v>0</v>
      </c>
      <c r="AJ2381" s="657"/>
      <c r="AK2381" s="658"/>
    </row>
    <row r="2382" spans="1:77" s="647" customFormat="1" ht="11.25" customHeight="1">
      <c r="B2382" s="661" t="s">
        <v>291</v>
      </c>
      <c r="C2382" s="648"/>
      <c r="D2382" s="648"/>
      <c r="E2382" s="649" t="s">
        <v>1786</v>
      </c>
      <c r="F2382" s="647" t="s">
        <v>1787</v>
      </c>
      <c r="G2382" s="675">
        <v>4583</v>
      </c>
      <c r="H2382" s="647" t="s">
        <v>310</v>
      </c>
      <c r="I2382" s="676" t="s">
        <v>33</v>
      </c>
      <c r="J2382" s="651">
        <v>5355.35</v>
      </c>
      <c r="K2382" s="676"/>
      <c r="L2382" s="651">
        <v>7.49</v>
      </c>
      <c r="M2382" s="651">
        <v>7</v>
      </c>
      <c r="N2382" s="652">
        <f>J2382*0.4</f>
        <v>2142.1400000000003</v>
      </c>
      <c r="O2382" s="653">
        <v>0.3</v>
      </c>
      <c r="P2382" s="653"/>
      <c r="Q2382" s="652">
        <v>497.64</v>
      </c>
      <c r="R2382" s="647" t="s">
        <v>35</v>
      </c>
      <c r="S2382" s="654" t="s">
        <v>41</v>
      </c>
      <c r="T2382" s="654">
        <v>17</v>
      </c>
      <c r="U2382" s="655" t="s">
        <v>164</v>
      </c>
      <c r="V2382" s="656"/>
      <c r="X2382" s="652">
        <v>497.64</v>
      </c>
      <c r="Y2382" s="652"/>
      <c r="AH2382" s="658"/>
      <c r="AI2382" s="658">
        <f>X2382</f>
        <v>497.64</v>
      </c>
      <c r="AJ2382" s="657"/>
      <c r="AK2382" s="658"/>
    </row>
    <row r="2383" spans="1:77" s="291" customFormat="1" ht="11.25" customHeight="1">
      <c r="B2383" s="310" t="s">
        <v>291</v>
      </c>
      <c r="C2383" s="292"/>
      <c r="D2383" s="292"/>
      <c r="E2383" s="293" t="s">
        <v>1786</v>
      </c>
      <c r="F2383" s="291" t="s">
        <v>1787</v>
      </c>
      <c r="G2383" s="314">
        <v>4583</v>
      </c>
      <c r="H2383" s="291" t="s">
        <v>99</v>
      </c>
      <c r="I2383" s="295" t="s">
        <v>888</v>
      </c>
      <c r="J2383" s="296">
        <v>19503.330000000002</v>
      </c>
      <c r="K2383" s="295"/>
      <c r="L2383" s="296">
        <v>20.8</v>
      </c>
      <c r="M2383" s="296">
        <v>20</v>
      </c>
      <c r="N2383" s="297"/>
      <c r="O2383" s="298">
        <v>0.3</v>
      </c>
      <c r="P2383" s="298"/>
      <c r="Q2383" s="297">
        <v>0</v>
      </c>
      <c r="R2383" s="291" t="s">
        <v>35</v>
      </c>
      <c r="S2383" s="299" t="s">
        <v>41</v>
      </c>
      <c r="T2383" s="299">
        <v>17</v>
      </c>
      <c r="U2383" s="300" t="s">
        <v>164</v>
      </c>
      <c r="V2383" s="333"/>
      <c r="X2383" s="297">
        <v>0</v>
      </c>
      <c r="Y2383" s="297"/>
      <c r="AH2383" s="291">
        <f>X2383</f>
        <v>0</v>
      </c>
      <c r="AI2383" s="311"/>
      <c r="AJ2383" s="468"/>
    </row>
    <row r="2384" spans="1:77" s="647" customFormat="1" ht="11.25" customHeight="1">
      <c r="B2384" s="661" t="s">
        <v>291</v>
      </c>
      <c r="C2384" s="648">
        <v>44705</v>
      </c>
      <c r="D2384" s="648">
        <v>44720</v>
      </c>
      <c r="E2384" s="649" t="s">
        <v>1786</v>
      </c>
      <c r="F2384" s="647" t="s">
        <v>1787</v>
      </c>
      <c r="G2384" s="675">
        <v>4583</v>
      </c>
      <c r="H2384" s="647" t="s">
        <v>765</v>
      </c>
      <c r="I2384" s="676" t="s">
        <v>33</v>
      </c>
      <c r="J2384" s="651">
        <v>10555.64</v>
      </c>
      <c r="K2384" s="676"/>
      <c r="L2384" s="651">
        <v>12.92</v>
      </c>
      <c r="M2384" s="651">
        <v>12.9</v>
      </c>
      <c r="N2384" s="652"/>
      <c r="O2384" s="653">
        <v>0.3</v>
      </c>
      <c r="P2384" s="653"/>
      <c r="Q2384" s="652">
        <v>0</v>
      </c>
      <c r="R2384" s="647" t="s">
        <v>35</v>
      </c>
      <c r="S2384" s="654" t="s">
        <v>41</v>
      </c>
      <c r="T2384" s="654">
        <v>17</v>
      </c>
      <c r="U2384" s="655" t="s">
        <v>164</v>
      </c>
      <c r="V2384" s="656"/>
      <c r="X2384" s="652">
        <v>0</v>
      </c>
      <c r="Y2384" s="652"/>
      <c r="AI2384" s="647">
        <v>0</v>
      </c>
      <c r="AJ2384" s="657"/>
      <c r="AK2384" s="658"/>
    </row>
    <row r="2385" spans="1:77" s="291" customFormat="1" ht="11.25" customHeight="1">
      <c r="B2385" s="291" t="s">
        <v>291</v>
      </c>
      <c r="C2385" s="292">
        <v>44720</v>
      </c>
      <c r="D2385" s="292">
        <v>44720</v>
      </c>
      <c r="E2385" s="293" t="s">
        <v>1788</v>
      </c>
      <c r="F2385" s="291" t="s">
        <v>104</v>
      </c>
      <c r="G2385" s="314">
        <v>3553</v>
      </c>
      <c r="H2385" s="291" t="s">
        <v>137</v>
      </c>
      <c r="I2385" s="295" t="s">
        <v>1426</v>
      </c>
      <c r="J2385" s="296">
        <v>10721.7</v>
      </c>
      <c r="K2385" s="295"/>
      <c r="L2385" s="296">
        <v>8.5500000000000007</v>
      </c>
      <c r="M2385" s="296">
        <v>8.5500000000000007</v>
      </c>
      <c r="N2385" s="297"/>
      <c r="O2385" s="298">
        <v>0.3</v>
      </c>
      <c r="P2385" s="298"/>
      <c r="Q2385" s="297">
        <v>0</v>
      </c>
      <c r="R2385" s="291" t="s">
        <v>105</v>
      </c>
      <c r="S2385" s="299" t="s">
        <v>30</v>
      </c>
      <c r="T2385" s="299">
        <v>39</v>
      </c>
      <c r="U2385" s="300" t="s">
        <v>164</v>
      </c>
      <c r="V2385" s="333"/>
      <c r="W2385" s="291" t="s">
        <v>3726</v>
      </c>
      <c r="X2385" s="297">
        <v>0</v>
      </c>
      <c r="Y2385" s="297"/>
      <c r="AH2385" s="291">
        <f>X2385</f>
        <v>0</v>
      </c>
      <c r="AI2385" s="311"/>
      <c r="AJ2385" s="468"/>
    </row>
    <row r="2386" spans="1:77" s="261" customFormat="1" ht="11.25" customHeight="1">
      <c r="B2386" s="261" t="s">
        <v>291</v>
      </c>
      <c r="C2386" s="259"/>
      <c r="D2386" s="259"/>
      <c r="E2386" s="260" t="s">
        <v>1788</v>
      </c>
      <c r="F2386" s="261" t="s">
        <v>104</v>
      </c>
      <c r="G2386" s="280">
        <v>3553</v>
      </c>
      <c r="H2386" s="261" t="s">
        <v>99</v>
      </c>
      <c r="I2386" s="264" t="s">
        <v>1426</v>
      </c>
      <c r="J2386" s="263">
        <v>51108.480000000003</v>
      </c>
      <c r="K2386" s="264"/>
      <c r="L2386" s="263">
        <v>42.03</v>
      </c>
      <c r="M2386" s="263">
        <v>42.03</v>
      </c>
      <c r="N2386" s="265"/>
      <c r="O2386" s="266">
        <v>0.3</v>
      </c>
      <c r="P2386" s="266"/>
      <c r="Q2386" s="265">
        <v>0</v>
      </c>
      <c r="R2386" s="261" t="s">
        <v>105</v>
      </c>
      <c r="S2386" s="267" t="s">
        <v>30</v>
      </c>
      <c r="T2386" s="267">
        <v>39</v>
      </c>
      <c r="U2386" s="268" t="s">
        <v>164</v>
      </c>
      <c r="V2386" s="427"/>
      <c r="W2386" s="261" t="s">
        <v>3726</v>
      </c>
      <c r="X2386" s="265">
        <v>0</v>
      </c>
      <c r="Y2386" s="265"/>
      <c r="AG2386" s="261">
        <f>X2386</f>
        <v>0</v>
      </c>
      <c r="AJ2386" s="642"/>
    </row>
    <row r="2387" spans="1:77" s="291" customFormat="1" ht="11.25" customHeight="1">
      <c r="B2387" s="291" t="s">
        <v>291</v>
      </c>
      <c r="C2387" s="292"/>
      <c r="D2387" s="292"/>
      <c r="E2387" s="293" t="s">
        <v>1788</v>
      </c>
      <c r="F2387" s="291" t="s">
        <v>104</v>
      </c>
      <c r="G2387" s="314">
        <v>3553</v>
      </c>
      <c r="H2387" s="291" t="s">
        <v>27</v>
      </c>
      <c r="I2387" s="295" t="s">
        <v>1426</v>
      </c>
      <c r="J2387" s="296">
        <v>60997.22</v>
      </c>
      <c r="K2387" s="295"/>
      <c r="L2387" s="296">
        <v>35.479999999999997</v>
      </c>
      <c r="M2387" s="296">
        <v>35.479999999999997</v>
      </c>
      <c r="N2387" s="297"/>
      <c r="O2387" s="298">
        <v>0.3</v>
      </c>
      <c r="P2387" s="298"/>
      <c r="Q2387" s="297">
        <v>0</v>
      </c>
      <c r="R2387" s="291" t="s">
        <v>105</v>
      </c>
      <c r="S2387" s="299" t="s">
        <v>30</v>
      </c>
      <c r="T2387" s="299">
        <v>39</v>
      </c>
      <c r="U2387" s="300" t="s">
        <v>164</v>
      </c>
      <c r="V2387" s="333"/>
      <c r="W2387" s="291" t="s">
        <v>3726</v>
      </c>
      <c r="X2387" s="297">
        <v>0</v>
      </c>
      <c r="Y2387" s="297"/>
      <c r="AH2387" s="291">
        <f>X2387</f>
        <v>0</v>
      </c>
      <c r="AI2387" s="311"/>
      <c r="AJ2387" s="468"/>
    </row>
    <row r="2388" spans="1:77" s="291" customFormat="1" ht="11.25" customHeight="1">
      <c r="B2388" s="291" t="s">
        <v>291</v>
      </c>
      <c r="C2388" s="292"/>
      <c r="D2388" s="292"/>
      <c r="E2388" s="293" t="s">
        <v>1788</v>
      </c>
      <c r="F2388" s="291" t="s">
        <v>104</v>
      </c>
      <c r="G2388" s="314">
        <v>3553</v>
      </c>
      <c r="H2388" s="291" t="s">
        <v>183</v>
      </c>
      <c r="I2388" s="295" t="s">
        <v>1426</v>
      </c>
      <c r="J2388" s="296">
        <v>42332.13</v>
      </c>
      <c r="K2388" s="295"/>
      <c r="L2388" s="296">
        <v>32.909999999999997</v>
      </c>
      <c r="M2388" s="296">
        <v>32.9</v>
      </c>
      <c r="N2388" s="297"/>
      <c r="O2388" s="298">
        <v>0.3</v>
      </c>
      <c r="P2388" s="298"/>
      <c r="Q2388" s="297">
        <v>0</v>
      </c>
      <c r="R2388" s="291" t="s">
        <v>105</v>
      </c>
      <c r="S2388" s="299" t="s">
        <v>30</v>
      </c>
      <c r="T2388" s="299">
        <v>39</v>
      </c>
      <c r="U2388" s="300" t="s">
        <v>164</v>
      </c>
      <c r="V2388" s="333"/>
      <c r="W2388" s="291" t="s">
        <v>3726</v>
      </c>
      <c r="X2388" s="297">
        <v>0</v>
      </c>
      <c r="Y2388" s="297"/>
      <c r="AH2388" s="291">
        <f>X2388</f>
        <v>0</v>
      </c>
      <c r="AI2388" s="311"/>
      <c r="AJ2388" s="468"/>
    </row>
    <row r="2389" spans="1:77" s="6" customFormat="1" ht="11.25" customHeight="1">
      <c r="A2389" s="618"/>
      <c r="B2389" s="618" t="s">
        <v>291</v>
      </c>
      <c r="C2389" s="620">
        <v>44720</v>
      </c>
      <c r="D2389" s="620">
        <v>44720</v>
      </c>
      <c r="E2389" s="621" t="s">
        <v>1789</v>
      </c>
      <c r="F2389" s="618" t="s">
        <v>1790</v>
      </c>
      <c r="G2389" s="638">
        <v>4352</v>
      </c>
      <c r="H2389" s="618" t="s">
        <v>99</v>
      </c>
      <c r="I2389" s="626" t="s">
        <v>156</v>
      </c>
      <c r="J2389" s="635">
        <v>90908.93</v>
      </c>
      <c r="K2389" s="626"/>
      <c r="L2389" s="635">
        <v>87.04</v>
      </c>
      <c r="M2389" s="635">
        <v>80</v>
      </c>
      <c r="N2389" s="627">
        <v>19090.874879999999</v>
      </c>
      <c r="O2389" s="628">
        <v>0.2</v>
      </c>
      <c r="P2389" s="628">
        <v>0.1</v>
      </c>
      <c r="Q2389" s="627">
        <v>0</v>
      </c>
      <c r="R2389" s="618" t="s">
        <v>281</v>
      </c>
      <c r="S2389" s="629" t="s">
        <v>397</v>
      </c>
      <c r="T2389" s="629" t="s">
        <v>923</v>
      </c>
      <c r="U2389" s="631" t="s">
        <v>164</v>
      </c>
      <c r="V2389" s="632"/>
      <c r="W2389" s="618"/>
      <c r="X2389" s="627">
        <v>0</v>
      </c>
      <c r="Y2389" s="627"/>
      <c r="Z2389" s="618"/>
      <c r="AA2389" s="618"/>
      <c r="AB2389" s="618"/>
      <c r="AC2389" s="618"/>
      <c r="AD2389" s="618"/>
      <c r="AE2389" s="618"/>
      <c r="AF2389" s="618"/>
      <c r="AG2389" s="618"/>
      <c r="AH2389" s="618"/>
      <c r="AI2389" s="618"/>
      <c r="AJ2389" s="633"/>
      <c r="AK2389" s="618"/>
      <c r="AL2389" s="618"/>
      <c r="AM2389" s="618"/>
      <c r="AN2389" s="618"/>
      <c r="AO2389" s="618">
        <v>0</v>
      </c>
      <c r="AP2389" s="618"/>
      <c r="AQ2389" s="618"/>
      <c r="AR2389" s="618"/>
      <c r="AS2389" s="618"/>
      <c r="AT2389" s="618"/>
      <c r="AU2389" s="618"/>
      <c r="AV2389" s="618"/>
      <c r="AW2389" s="618"/>
      <c r="AX2389" s="618"/>
      <c r="AY2389" s="618"/>
      <c r="AZ2389" s="618"/>
      <c r="BA2389" s="618"/>
      <c r="BB2389" s="618"/>
      <c r="BC2389" s="618"/>
      <c r="BD2389" s="618"/>
      <c r="BE2389" s="618"/>
      <c r="BF2389" s="618"/>
      <c r="BG2389" s="618"/>
      <c r="BH2389" s="618"/>
      <c r="BI2389" s="618"/>
      <c r="BJ2389" s="618"/>
      <c r="BK2389" s="618"/>
      <c r="BL2389" s="618"/>
      <c r="BM2389" s="618"/>
      <c r="BN2389" s="618"/>
      <c r="BO2389" s="618"/>
      <c r="BP2389" s="618"/>
      <c r="BQ2389" s="618"/>
      <c r="BR2389" s="618"/>
      <c r="BS2389" s="618"/>
      <c r="BT2389" s="618"/>
      <c r="BU2389" s="618"/>
      <c r="BV2389" s="618"/>
      <c r="BW2389" s="618"/>
      <c r="BX2389" s="618"/>
      <c r="BY2389" s="618"/>
    </row>
    <row r="2390" spans="1:77" s="6" customFormat="1" ht="11.25" customHeight="1">
      <c r="A2390" s="379"/>
      <c r="B2390" s="379" t="s">
        <v>291</v>
      </c>
      <c r="C2390" s="381"/>
      <c r="D2390" s="381"/>
      <c r="E2390" s="382" t="s">
        <v>1789</v>
      </c>
      <c r="F2390" s="379" t="s">
        <v>1790</v>
      </c>
      <c r="G2390" s="404">
        <v>4352</v>
      </c>
      <c r="H2390" s="379" t="s">
        <v>866</v>
      </c>
      <c r="I2390" s="384" t="s">
        <v>156</v>
      </c>
      <c r="J2390" s="385">
        <v>64896.84</v>
      </c>
      <c r="K2390" s="384"/>
      <c r="L2390" s="385">
        <v>57.91</v>
      </c>
      <c r="M2390" s="385">
        <v>40</v>
      </c>
      <c r="N2390" s="386">
        <v>0</v>
      </c>
      <c r="O2390" s="387">
        <v>0.2</v>
      </c>
      <c r="P2390" s="387">
        <v>0.1</v>
      </c>
      <c r="Q2390" s="386">
        <v>0</v>
      </c>
      <c r="R2390" s="379" t="s">
        <v>281</v>
      </c>
      <c r="S2390" s="388" t="s">
        <v>397</v>
      </c>
      <c r="T2390" s="388" t="s">
        <v>923</v>
      </c>
      <c r="U2390" s="389" t="s">
        <v>164</v>
      </c>
      <c r="V2390" s="433"/>
      <c r="W2390" s="379"/>
      <c r="X2390" s="386">
        <v>0</v>
      </c>
      <c r="Y2390" s="386"/>
      <c r="Z2390" s="379"/>
      <c r="AA2390" s="379"/>
      <c r="AB2390" s="379"/>
      <c r="AC2390" s="379"/>
      <c r="AD2390" s="379"/>
      <c r="AE2390" s="379"/>
      <c r="AF2390" s="379"/>
      <c r="AG2390" s="379"/>
      <c r="AH2390" s="379"/>
      <c r="AI2390" s="379"/>
      <c r="AJ2390" s="390">
        <v>0</v>
      </c>
      <c r="AK2390" s="379"/>
      <c r="AL2390" s="379"/>
      <c r="AM2390" s="379"/>
      <c r="AN2390" s="379"/>
      <c r="AO2390" s="379"/>
      <c r="AP2390" s="379"/>
      <c r="AQ2390" s="379"/>
      <c r="AR2390" s="379"/>
      <c r="AS2390" s="379"/>
      <c r="AT2390" s="379"/>
      <c r="AU2390" s="379"/>
      <c r="AV2390" s="379"/>
      <c r="AW2390" s="379"/>
      <c r="AX2390" s="379"/>
      <c r="AY2390" s="379"/>
      <c r="AZ2390" s="379"/>
      <c r="BA2390" s="379"/>
      <c r="BB2390" s="379"/>
      <c r="BC2390" s="379"/>
      <c r="BD2390" s="379"/>
      <c r="BE2390" s="379"/>
      <c r="BF2390" s="379"/>
      <c r="BG2390" s="379"/>
      <c r="BH2390" s="379"/>
      <c r="BI2390" s="379"/>
      <c r="BJ2390" s="379"/>
      <c r="BK2390" s="379"/>
      <c r="BL2390" s="379"/>
      <c r="BM2390" s="379"/>
      <c r="BN2390" s="379"/>
      <c r="BO2390" s="379"/>
      <c r="BP2390" s="379"/>
      <c r="BQ2390" s="379"/>
      <c r="BR2390" s="379"/>
      <c r="BS2390" s="379"/>
      <c r="BT2390" s="379"/>
      <c r="BU2390" s="379"/>
      <c r="BV2390" s="379"/>
      <c r="BW2390" s="379"/>
      <c r="BX2390" s="379"/>
      <c r="BY2390" s="379"/>
    </row>
    <row r="2391" spans="1:77" s="618" customFormat="1" ht="11.25" customHeight="1">
      <c r="A2391" s="379"/>
      <c r="B2391" s="379" t="s">
        <v>291</v>
      </c>
      <c r="C2391" s="381"/>
      <c r="D2391" s="381"/>
      <c r="E2391" s="382" t="s">
        <v>1789</v>
      </c>
      <c r="F2391" s="379" t="s">
        <v>1790</v>
      </c>
      <c r="G2391" s="404">
        <v>4352</v>
      </c>
      <c r="H2391" s="379" t="s">
        <v>765</v>
      </c>
      <c r="I2391" s="384" t="s">
        <v>156</v>
      </c>
      <c r="J2391" s="385">
        <v>21027.83</v>
      </c>
      <c r="K2391" s="384"/>
      <c r="L2391" s="385">
        <v>25.35</v>
      </c>
      <c r="M2391" s="385">
        <v>40</v>
      </c>
      <c r="N2391" s="386">
        <v>0</v>
      </c>
      <c r="O2391" s="387">
        <v>0.2</v>
      </c>
      <c r="P2391" s="387">
        <v>0.1</v>
      </c>
      <c r="Q2391" s="386">
        <v>0</v>
      </c>
      <c r="R2391" s="379" t="s">
        <v>281</v>
      </c>
      <c r="S2391" s="388" t="s">
        <v>397</v>
      </c>
      <c r="T2391" s="388" t="s">
        <v>923</v>
      </c>
      <c r="U2391" s="389" t="s">
        <v>164</v>
      </c>
      <c r="V2391" s="433"/>
      <c r="W2391" s="379"/>
      <c r="X2391" s="386">
        <v>0</v>
      </c>
      <c r="Y2391" s="386"/>
      <c r="Z2391" s="379"/>
      <c r="AA2391" s="379"/>
      <c r="AB2391" s="379"/>
      <c r="AC2391" s="379"/>
      <c r="AD2391" s="379"/>
      <c r="AE2391" s="379"/>
      <c r="AF2391" s="379"/>
      <c r="AG2391" s="379"/>
      <c r="AH2391" s="379"/>
      <c r="AI2391" s="379"/>
      <c r="AJ2391" s="390">
        <v>0</v>
      </c>
      <c r="AK2391" s="379"/>
      <c r="AL2391" s="379"/>
      <c r="AM2391" s="379"/>
      <c r="AN2391" s="379"/>
      <c r="AO2391" s="379"/>
      <c r="AP2391" s="379"/>
      <c r="AQ2391" s="379"/>
      <c r="AR2391" s="379"/>
      <c r="AS2391" s="379"/>
      <c r="AT2391" s="379"/>
      <c r="AU2391" s="379"/>
      <c r="AV2391" s="379"/>
      <c r="AW2391" s="379"/>
      <c r="AX2391" s="379"/>
      <c r="AY2391" s="379"/>
      <c r="AZ2391" s="379"/>
      <c r="BA2391" s="379"/>
      <c r="BB2391" s="379"/>
      <c r="BC2391" s="379"/>
      <c r="BD2391" s="379"/>
      <c r="BE2391" s="379"/>
      <c r="BF2391" s="379"/>
      <c r="BG2391" s="379"/>
      <c r="BH2391" s="379"/>
      <c r="BI2391" s="379"/>
      <c r="BJ2391" s="379"/>
      <c r="BK2391" s="379"/>
      <c r="BL2391" s="379"/>
      <c r="BM2391" s="379"/>
      <c r="BN2391" s="379"/>
      <c r="BO2391" s="379"/>
      <c r="BP2391" s="379"/>
      <c r="BQ2391" s="379"/>
      <c r="BR2391" s="379"/>
      <c r="BS2391" s="379"/>
      <c r="BT2391" s="379"/>
      <c r="BU2391" s="379"/>
      <c r="BV2391" s="379"/>
      <c r="BW2391" s="379"/>
      <c r="BX2391" s="379"/>
      <c r="BY2391" s="379"/>
    </row>
    <row r="2392" spans="1:77" s="6" customFormat="1" ht="11.25" customHeight="1">
      <c r="B2392" s="6" t="s">
        <v>291</v>
      </c>
      <c r="C2392" s="4"/>
      <c r="D2392" s="4"/>
      <c r="E2392" s="5" t="s">
        <v>1789</v>
      </c>
      <c r="F2392" s="6" t="s">
        <v>1790</v>
      </c>
      <c r="G2392" s="31">
        <v>4352</v>
      </c>
      <c r="H2392" s="6" t="s">
        <v>140</v>
      </c>
      <c r="I2392" s="9" t="s">
        <v>156</v>
      </c>
      <c r="J2392" s="24">
        <v>24599.89</v>
      </c>
      <c r="K2392" s="9"/>
      <c r="L2392" s="24">
        <v>17.39</v>
      </c>
      <c r="M2392" s="24">
        <v>34</v>
      </c>
      <c r="N2392" s="8">
        <v>5411.9766799999998</v>
      </c>
      <c r="O2392" s="11">
        <v>0.2</v>
      </c>
      <c r="P2392" s="11">
        <v>0.1</v>
      </c>
      <c r="Q2392" s="112">
        <v>7666.12</v>
      </c>
      <c r="R2392" s="6" t="s">
        <v>281</v>
      </c>
      <c r="S2392" s="3" t="s">
        <v>397</v>
      </c>
      <c r="T2392" s="3" t="s">
        <v>923</v>
      </c>
      <c r="U2392" s="7"/>
      <c r="V2392" s="436"/>
      <c r="X2392" s="8"/>
      <c r="Y2392" s="8"/>
      <c r="AJ2392" s="80"/>
    </row>
    <row r="2393" spans="1:77" s="205" customFormat="1" ht="11.25" customHeight="1">
      <c r="B2393" s="206" t="s">
        <v>291</v>
      </c>
      <c r="C2393" s="207">
        <v>44721</v>
      </c>
      <c r="D2393" s="207">
        <v>44721</v>
      </c>
      <c r="E2393" s="208" t="s">
        <v>1791</v>
      </c>
      <c r="F2393" s="205" t="s">
        <v>1792</v>
      </c>
      <c r="G2393" s="217">
        <v>3783</v>
      </c>
      <c r="H2393" s="205" t="s">
        <v>99</v>
      </c>
      <c r="I2393" s="219" t="s">
        <v>33</v>
      </c>
      <c r="J2393" s="210">
        <v>14584.64</v>
      </c>
      <c r="K2393" s="219"/>
      <c r="L2393" s="210">
        <v>8.5</v>
      </c>
      <c r="M2393" s="210">
        <v>8.5</v>
      </c>
      <c r="N2393" s="213"/>
      <c r="O2393" s="212">
        <v>0.25</v>
      </c>
      <c r="P2393" s="212"/>
      <c r="Q2393" s="213">
        <v>0</v>
      </c>
      <c r="R2393" s="205" t="s">
        <v>105</v>
      </c>
      <c r="S2393" s="214" t="s">
        <v>30</v>
      </c>
      <c r="T2393" s="214" t="s">
        <v>1793</v>
      </c>
      <c r="U2393" s="215" t="s">
        <v>164</v>
      </c>
      <c r="V2393" s="438"/>
      <c r="X2393" s="213">
        <v>0</v>
      </c>
      <c r="Y2393" s="213"/>
      <c r="AF2393" s="230">
        <f>X2393</f>
        <v>0</v>
      </c>
      <c r="AJ2393" s="216"/>
    </row>
    <row r="2394" spans="1:77" s="181" customFormat="1" ht="11.25" customHeight="1">
      <c r="B2394" s="178" t="s">
        <v>291</v>
      </c>
      <c r="C2394" s="179"/>
      <c r="D2394" s="179"/>
      <c r="E2394" s="180" t="s">
        <v>1791</v>
      </c>
      <c r="F2394" s="181" t="s">
        <v>1792</v>
      </c>
      <c r="G2394" s="201">
        <v>3783</v>
      </c>
      <c r="H2394" s="181" t="s">
        <v>27</v>
      </c>
      <c r="I2394" s="190" t="s">
        <v>33</v>
      </c>
      <c r="J2394" s="183">
        <v>28896</v>
      </c>
      <c r="K2394" s="190"/>
      <c r="L2394" s="183">
        <v>14</v>
      </c>
      <c r="M2394" s="183">
        <v>14</v>
      </c>
      <c r="N2394" s="185"/>
      <c r="O2394" s="186">
        <v>0.25</v>
      </c>
      <c r="P2394" s="186"/>
      <c r="Q2394" s="185">
        <v>0</v>
      </c>
      <c r="R2394" s="181" t="s">
        <v>105</v>
      </c>
      <c r="S2394" s="187" t="s">
        <v>30</v>
      </c>
      <c r="T2394" s="187">
        <v>39</v>
      </c>
      <c r="U2394" s="188" t="s">
        <v>164</v>
      </c>
      <c r="V2394" s="441"/>
      <c r="X2394" s="185">
        <v>0</v>
      </c>
      <c r="Y2394" s="185"/>
      <c r="AE2394" s="204">
        <f>X2394</f>
        <v>0</v>
      </c>
      <c r="AJ2394" s="189"/>
    </row>
    <row r="2395" spans="1:77" s="205" customFormat="1" ht="11.25" customHeight="1">
      <c r="B2395" s="206" t="s">
        <v>291</v>
      </c>
      <c r="C2395" s="207"/>
      <c r="D2395" s="207"/>
      <c r="E2395" s="208" t="s">
        <v>1791</v>
      </c>
      <c r="F2395" s="205" t="s">
        <v>1792</v>
      </c>
      <c r="G2395" s="217">
        <v>3783</v>
      </c>
      <c r="H2395" s="205" t="s">
        <v>183</v>
      </c>
      <c r="I2395" s="219" t="s">
        <v>33</v>
      </c>
      <c r="J2395" s="210">
        <v>25941.919999999998</v>
      </c>
      <c r="K2395" s="219"/>
      <c r="L2395" s="210">
        <v>14.3</v>
      </c>
      <c r="M2395" s="210">
        <v>14.3</v>
      </c>
      <c r="N2395" s="213"/>
      <c r="O2395" s="212">
        <v>0.25</v>
      </c>
      <c r="P2395" s="212"/>
      <c r="Q2395" s="213">
        <v>0</v>
      </c>
      <c r="R2395" s="205" t="s">
        <v>105</v>
      </c>
      <c r="S2395" s="214" t="s">
        <v>30</v>
      </c>
      <c r="T2395" s="214">
        <v>71</v>
      </c>
      <c r="U2395" s="215" t="s">
        <v>164</v>
      </c>
      <c r="V2395" s="438"/>
      <c r="X2395" s="213">
        <v>0</v>
      </c>
      <c r="Y2395" s="213"/>
      <c r="AF2395" s="230">
        <f>X2395</f>
        <v>0</v>
      </c>
      <c r="AJ2395" s="216"/>
    </row>
    <row r="2396" spans="1:77" s="205" customFormat="1" ht="11.25" customHeight="1">
      <c r="B2396" s="206" t="s">
        <v>291</v>
      </c>
      <c r="C2396" s="207"/>
      <c r="D2396" s="207"/>
      <c r="E2396" s="208" t="s">
        <v>1791</v>
      </c>
      <c r="F2396" s="205" t="s">
        <v>1792</v>
      </c>
      <c r="G2396" s="217">
        <v>3783</v>
      </c>
      <c r="H2396" s="205" t="s">
        <v>99</v>
      </c>
      <c r="I2396" s="219" t="s">
        <v>33</v>
      </c>
      <c r="J2396" s="210">
        <v>5147.5200000000004</v>
      </c>
      <c r="K2396" s="219"/>
      <c r="L2396" s="210">
        <v>3</v>
      </c>
      <c r="M2396" s="210">
        <v>3</v>
      </c>
      <c r="N2396" s="213"/>
      <c r="O2396" s="212">
        <v>0.25</v>
      </c>
      <c r="P2396" s="212"/>
      <c r="Q2396" s="213">
        <v>0</v>
      </c>
      <c r="R2396" s="205" t="s">
        <v>105</v>
      </c>
      <c r="S2396" s="214" t="s">
        <v>30</v>
      </c>
      <c r="T2396" s="214">
        <v>39</v>
      </c>
      <c r="U2396" s="215" t="s">
        <v>164</v>
      </c>
      <c r="V2396" s="438"/>
      <c r="X2396" s="213">
        <v>0</v>
      </c>
      <c r="Y2396" s="213"/>
      <c r="AF2396" s="230">
        <f>X2396</f>
        <v>0</v>
      </c>
      <c r="AJ2396" s="216"/>
    </row>
    <row r="2397" spans="1:77" s="205" customFormat="1" ht="11.25" customHeight="1">
      <c r="B2397" s="206" t="s">
        <v>291</v>
      </c>
      <c r="C2397" s="207"/>
      <c r="D2397" s="207"/>
      <c r="E2397" s="208" t="s">
        <v>1791</v>
      </c>
      <c r="F2397" s="205" t="s">
        <v>1792</v>
      </c>
      <c r="G2397" s="217">
        <v>3783</v>
      </c>
      <c r="H2397" s="205" t="s">
        <v>99</v>
      </c>
      <c r="I2397" s="219" t="s">
        <v>33</v>
      </c>
      <c r="J2397" s="210">
        <v>34316.800000000003</v>
      </c>
      <c r="K2397" s="219"/>
      <c r="L2397" s="210">
        <v>20</v>
      </c>
      <c r="M2397" s="210">
        <v>20</v>
      </c>
      <c r="N2397" s="213"/>
      <c r="O2397" s="212">
        <v>0.25</v>
      </c>
      <c r="P2397" s="212"/>
      <c r="Q2397" s="213">
        <v>0</v>
      </c>
      <c r="R2397" s="205" t="s">
        <v>105</v>
      </c>
      <c r="S2397" s="214" t="s">
        <v>30</v>
      </c>
      <c r="T2397" s="214">
        <v>71</v>
      </c>
      <c r="U2397" s="215" t="s">
        <v>164</v>
      </c>
      <c r="V2397" s="438"/>
      <c r="X2397" s="213">
        <v>0</v>
      </c>
      <c r="Y2397" s="213"/>
      <c r="AF2397" s="230">
        <f>X2397</f>
        <v>0</v>
      </c>
      <c r="AJ2397" s="216"/>
    </row>
    <row r="2398" spans="1:77" s="6" customFormat="1" ht="11.25" customHeight="1">
      <c r="A2398" s="507"/>
      <c r="B2398" s="508" t="s">
        <v>291</v>
      </c>
      <c r="C2398" s="509"/>
      <c r="D2398" s="509"/>
      <c r="E2398" s="510" t="s">
        <v>1794</v>
      </c>
      <c r="F2398" s="507" t="s">
        <v>1795</v>
      </c>
      <c r="G2398" s="511">
        <v>3733</v>
      </c>
      <c r="H2398" s="507" t="s">
        <v>910</v>
      </c>
      <c r="I2398" s="512" t="s">
        <v>33</v>
      </c>
      <c r="J2398" s="513">
        <v>34210.800000000003</v>
      </c>
      <c r="K2398" s="512"/>
      <c r="L2398" s="513">
        <v>16.77</v>
      </c>
      <c r="M2398" s="513">
        <v>16.77</v>
      </c>
      <c r="N2398" s="514"/>
      <c r="O2398" s="515">
        <v>0.2</v>
      </c>
      <c r="P2398" s="515"/>
      <c r="Q2398" s="514">
        <v>5355.19</v>
      </c>
      <c r="R2398" s="507" t="s">
        <v>35</v>
      </c>
      <c r="S2398" s="516" t="s">
        <v>41</v>
      </c>
      <c r="T2398" s="516">
        <v>16</v>
      </c>
      <c r="U2398" s="517" t="s">
        <v>164</v>
      </c>
      <c r="V2398" s="518"/>
      <c r="W2398" s="507"/>
      <c r="X2398" s="514">
        <v>5355.19</v>
      </c>
      <c r="Y2398" s="514"/>
      <c r="Z2398" s="507"/>
      <c r="AA2398" s="507"/>
      <c r="AB2398" s="507"/>
      <c r="AC2398" s="507"/>
      <c r="AD2398" s="507"/>
      <c r="AE2398" s="507"/>
      <c r="AF2398" s="507"/>
      <c r="AG2398" s="507"/>
      <c r="AH2398" s="507"/>
      <c r="AI2398" s="507"/>
      <c r="AJ2398" s="519"/>
      <c r="AK2398" s="507"/>
      <c r="AL2398" s="514">
        <v>5355.19</v>
      </c>
      <c r="AM2398" s="507"/>
      <c r="AN2398" s="507"/>
      <c r="AO2398" s="507"/>
      <c r="AP2398" s="507"/>
      <c r="AQ2398" s="507"/>
      <c r="AR2398" s="507"/>
      <c r="AS2398" s="507"/>
      <c r="AT2398" s="507"/>
      <c r="AU2398" s="507"/>
      <c r="AV2398" s="507"/>
      <c r="AW2398" s="507"/>
      <c r="AX2398" s="507"/>
      <c r="AY2398" s="507"/>
      <c r="AZ2398" s="507"/>
      <c r="BA2398" s="507"/>
      <c r="BB2398" s="507"/>
      <c r="BC2398" s="507"/>
      <c r="BD2398" s="507"/>
      <c r="BE2398" s="507"/>
      <c r="BF2398" s="507"/>
      <c r="BG2398" s="507"/>
      <c r="BH2398" s="507"/>
      <c r="BI2398" s="507"/>
      <c r="BJ2398" s="507"/>
      <c r="BK2398" s="507"/>
      <c r="BL2398" s="507"/>
      <c r="BM2398" s="507"/>
      <c r="BN2398" s="507"/>
      <c r="BO2398" s="507"/>
      <c r="BP2398" s="507"/>
      <c r="BQ2398" s="507"/>
      <c r="BR2398" s="507"/>
      <c r="BS2398" s="507"/>
      <c r="BT2398" s="507"/>
      <c r="BU2398" s="507"/>
      <c r="BV2398" s="507"/>
      <c r="BW2398" s="507"/>
      <c r="BX2398" s="507"/>
      <c r="BY2398" s="507"/>
    </row>
    <row r="2399" spans="1:77" s="6" customFormat="1" ht="11.25" customHeight="1">
      <c r="A2399" s="473"/>
      <c r="B2399" s="486" t="s">
        <v>291</v>
      </c>
      <c r="C2399" s="487"/>
      <c r="D2399" s="487"/>
      <c r="E2399" s="488" t="s">
        <v>1794</v>
      </c>
      <c r="F2399" s="473" t="s">
        <v>1795</v>
      </c>
      <c r="G2399" s="496">
        <v>3733</v>
      </c>
      <c r="H2399" s="473" t="s">
        <v>765</v>
      </c>
      <c r="I2399" s="491" t="s">
        <v>33</v>
      </c>
      <c r="J2399" s="490">
        <v>34917.75</v>
      </c>
      <c r="K2399" s="491"/>
      <c r="L2399" s="490">
        <v>36.950000000000003</v>
      </c>
      <c r="M2399" s="490">
        <v>36.950000000000003</v>
      </c>
      <c r="N2399" s="492"/>
      <c r="O2399" s="493">
        <v>0.2</v>
      </c>
      <c r="P2399" s="493"/>
      <c r="Q2399" s="492">
        <v>0</v>
      </c>
      <c r="R2399" s="473" t="s">
        <v>35</v>
      </c>
      <c r="S2399" s="481" t="s">
        <v>41</v>
      </c>
      <c r="T2399" s="481">
        <v>16</v>
      </c>
      <c r="U2399" s="494" t="s">
        <v>164</v>
      </c>
      <c r="V2399" s="495"/>
      <c r="W2399" s="473"/>
      <c r="X2399" s="492">
        <v>0</v>
      </c>
      <c r="Y2399" s="492"/>
      <c r="Z2399" s="473"/>
      <c r="AA2399" s="473"/>
      <c r="AB2399" s="473"/>
      <c r="AC2399" s="473"/>
      <c r="AD2399" s="473"/>
      <c r="AE2399" s="473"/>
      <c r="AF2399" s="473"/>
      <c r="AG2399" s="473"/>
      <c r="AH2399" s="473"/>
      <c r="AI2399" s="473"/>
      <c r="AJ2399" s="485"/>
      <c r="AK2399" s="473">
        <v>0</v>
      </c>
      <c r="AL2399" s="473"/>
      <c r="AM2399" s="473"/>
      <c r="AN2399" s="473"/>
      <c r="AO2399" s="473"/>
      <c r="AP2399" s="473"/>
      <c r="AQ2399" s="473"/>
      <c r="AR2399" s="473"/>
      <c r="AS2399" s="473"/>
      <c r="AT2399" s="473"/>
      <c r="AU2399" s="473"/>
      <c r="AV2399" s="473"/>
      <c r="AW2399" s="473"/>
      <c r="AX2399" s="473"/>
      <c r="AY2399" s="473"/>
      <c r="AZ2399" s="473"/>
      <c r="BA2399" s="473"/>
      <c r="BB2399" s="473"/>
      <c r="BC2399" s="473"/>
      <c r="BD2399" s="473"/>
      <c r="BE2399" s="473"/>
      <c r="BF2399" s="473"/>
      <c r="BG2399" s="473"/>
      <c r="BH2399" s="473"/>
      <c r="BI2399" s="473"/>
      <c r="BJ2399" s="473"/>
      <c r="BK2399" s="473"/>
      <c r="BL2399" s="473"/>
      <c r="BM2399" s="473"/>
      <c r="BN2399" s="473"/>
      <c r="BO2399" s="473"/>
      <c r="BP2399" s="473"/>
      <c r="BQ2399" s="473"/>
      <c r="BR2399" s="473"/>
      <c r="BS2399" s="473"/>
      <c r="BT2399" s="473"/>
      <c r="BU2399" s="473"/>
      <c r="BV2399" s="473"/>
      <c r="BW2399" s="473"/>
      <c r="BX2399" s="473"/>
      <c r="BY2399" s="473"/>
    </row>
    <row r="2400" spans="1:77" s="291" customFormat="1" ht="11.25" customHeight="1">
      <c r="B2400" s="310" t="s">
        <v>291</v>
      </c>
      <c r="C2400" s="292"/>
      <c r="D2400" s="292"/>
      <c r="E2400" s="293" t="s">
        <v>1794</v>
      </c>
      <c r="F2400" s="291" t="s">
        <v>1795</v>
      </c>
      <c r="G2400" s="314">
        <v>3733</v>
      </c>
      <c r="H2400" s="291" t="s">
        <v>295</v>
      </c>
      <c r="I2400" s="295" t="s">
        <v>33</v>
      </c>
      <c r="J2400" s="296">
        <v>3377.1</v>
      </c>
      <c r="K2400" s="295"/>
      <c r="L2400" s="296">
        <v>4.8099999999999996</v>
      </c>
      <c r="M2400" s="296">
        <v>4.8099999999999996</v>
      </c>
      <c r="N2400" s="297"/>
      <c r="O2400" s="298">
        <v>0.2</v>
      </c>
      <c r="P2400" s="298"/>
      <c r="Q2400" s="297">
        <v>0</v>
      </c>
      <c r="R2400" s="291" t="s">
        <v>35</v>
      </c>
      <c r="S2400" s="299" t="s">
        <v>41</v>
      </c>
      <c r="T2400" s="299">
        <v>16</v>
      </c>
      <c r="U2400" s="300" t="s">
        <v>164</v>
      </c>
      <c r="V2400" s="333"/>
      <c r="X2400" s="297">
        <v>0</v>
      </c>
      <c r="Y2400" s="297"/>
      <c r="AH2400" s="291">
        <f>X2400</f>
        <v>0</v>
      </c>
      <c r="AI2400" s="311"/>
      <c r="AJ2400" s="468"/>
    </row>
    <row r="2401" spans="1:77" s="291" customFormat="1" ht="11.25" customHeight="1">
      <c r="B2401" s="310" t="s">
        <v>291</v>
      </c>
      <c r="C2401" s="292"/>
      <c r="D2401" s="292"/>
      <c r="E2401" s="293" t="s">
        <v>1794</v>
      </c>
      <c r="F2401" s="291" t="s">
        <v>1795</v>
      </c>
      <c r="G2401" s="314">
        <v>3733</v>
      </c>
      <c r="H2401" s="291" t="s">
        <v>183</v>
      </c>
      <c r="I2401" s="295" t="s">
        <v>33</v>
      </c>
      <c r="J2401" s="296">
        <v>30923.17</v>
      </c>
      <c r="K2401" s="295"/>
      <c r="L2401" s="296">
        <v>33.24</v>
      </c>
      <c r="M2401" s="296">
        <v>33.24</v>
      </c>
      <c r="N2401" s="297"/>
      <c r="O2401" s="298">
        <v>0.2</v>
      </c>
      <c r="P2401" s="298"/>
      <c r="Q2401" s="297">
        <v>0</v>
      </c>
      <c r="R2401" s="291" t="s">
        <v>35</v>
      </c>
      <c r="S2401" s="299" t="s">
        <v>41</v>
      </c>
      <c r="T2401" s="299">
        <v>16</v>
      </c>
      <c r="U2401" s="300" t="s">
        <v>164</v>
      </c>
      <c r="V2401" s="333"/>
      <c r="X2401" s="297">
        <v>0</v>
      </c>
      <c r="Y2401" s="297"/>
      <c r="AH2401" s="291">
        <f>X2401</f>
        <v>0</v>
      </c>
      <c r="AI2401" s="311"/>
      <c r="AJ2401" s="468"/>
    </row>
    <row r="2402" spans="1:77" s="291" customFormat="1" ht="11.25" customHeight="1">
      <c r="B2402" s="310" t="s">
        <v>291</v>
      </c>
      <c r="C2402" s="292">
        <v>44719</v>
      </c>
      <c r="D2402" s="292">
        <v>44721</v>
      </c>
      <c r="E2402" s="293" t="s">
        <v>1794</v>
      </c>
      <c r="F2402" s="291" t="s">
        <v>1795</v>
      </c>
      <c r="G2402" s="314">
        <v>3733</v>
      </c>
      <c r="H2402" s="291" t="s">
        <v>163</v>
      </c>
      <c r="I2402" s="295" t="s">
        <v>33</v>
      </c>
      <c r="J2402" s="296">
        <v>3435.7</v>
      </c>
      <c r="K2402" s="295"/>
      <c r="L2402" s="296">
        <v>4.3</v>
      </c>
      <c r="M2402" s="296">
        <v>4.3</v>
      </c>
      <c r="N2402" s="297"/>
      <c r="O2402" s="298">
        <v>0.2</v>
      </c>
      <c r="P2402" s="298"/>
      <c r="Q2402" s="297">
        <v>596.02</v>
      </c>
      <c r="R2402" s="291" t="s">
        <v>35</v>
      </c>
      <c r="S2402" s="299" t="s">
        <v>41</v>
      </c>
      <c r="T2402" s="299">
        <v>16</v>
      </c>
      <c r="U2402" s="300" t="s">
        <v>164</v>
      </c>
      <c r="V2402" s="333"/>
      <c r="X2402" s="297">
        <v>596.02</v>
      </c>
      <c r="Y2402" s="297"/>
      <c r="AH2402" s="311">
        <f>X2402</f>
        <v>596.02</v>
      </c>
      <c r="AI2402" s="311"/>
      <c r="AJ2402" s="468"/>
    </row>
    <row r="2403" spans="1:77" s="291" customFormat="1" ht="11.25" customHeight="1">
      <c r="B2403" s="310" t="s">
        <v>291</v>
      </c>
      <c r="C2403" s="292"/>
      <c r="D2403" s="292"/>
      <c r="E2403" s="293" t="s">
        <v>1794</v>
      </c>
      <c r="F2403" s="291" t="s">
        <v>1795</v>
      </c>
      <c r="G2403" s="314">
        <v>3733</v>
      </c>
      <c r="H2403" s="291" t="s">
        <v>310</v>
      </c>
      <c r="I2403" s="295" t="s">
        <v>33</v>
      </c>
      <c r="J2403" s="296">
        <v>12181.02</v>
      </c>
      <c r="K2403" s="295"/>
      <c r="L2403" s="296">
        <v>10.91</v>
      </c>
      <c r="M2403" s="296">
        <v>10.91</v>
      </c>
      <c r="N2403" s="297"/>
      <c r="O2403" s="298">
        <v>0.2</v>
      </c>
      <c r="P2403" s="298"/>
      <c r="Q2403" s="297">
        <v>1515.94</v>
      </c>
      <c r="R2403" s="291" t="s">
        <v>35</v>
      </c>
      <c r="S2403" s="299" t="s">
        <v>41</v>
      </c>
      <c r="T2403" s="299">
        <v>16</v>
      </c>
      <c r="U2403" s="300" t="s">
        <v>164</v>
      </c>
      <c r="V2403" s="333"/>
      <c r="X2403" s="297">
        <v>1515.94</v>
      </c>
      <c r="Y2403" s="297"/>
      <c r="AH2403" s="311">
        <f>X2403</f>
        <v>1515.94</v>
      </c>
      <c r="AI2403" s="311"/>
      <c r="AJ2403" s="468"/>
    </row>
    <row r="2404" spans="1:77" s="291" customFormat="1" ht="11.25" customHeight="1">
      <c r="B2404" s="310" t="s">
        <v>291</v>
      </c>
      <c r="C2404" s="292"/>
      <c r="D2404" s="292"/>
      <c r="E2404" s="293" t="s">
        <v>1794</v>
      </c>
      <c r="F2404" s="291" t="s">
        <v>1795</v>
      </c>
      <c r="G2404" s="314">
        <v>3733</v>
      </c>
      <c r="H2404" s="291" t="s">
        <v>99</v>
      </c>
      <c r="I2404" s="295" t="s">
        <v>33</v>
      </c>
      <c r="J2404" s="296">
        <v>80533.490000000005</v>
      </c>
      <c r="K2404" s="295"/>
      <c r="L2404" s="296">
        <v>62.56</v>
      </c>
      <c r="M2404" s="296">
        <v>62.56</v>
      </c>
      <c r="N2404" s="297"/>
      <c r="O2404" s="298">
        <v>0.2</v>
      </c>
      <c r="P2404" s="298"/>
      <c r="Q2404" s="297">
        <v>9170.0400000000009</v>
      </c>
      <c r="R2404" s="291" t="s">
        <v>35</v>
      </c>
      <c r="S2404" s="299" t="s">
        <v>41</v>
      </c>
      <c r="T2404" s="299">
        <v>16</v>
      </c>
      <c r="U2404" s="300" t="s">
        <v>164</v>
      </c>
      <c r="V2404" s="333"/>
      <c r="X2404" s="297">
        <v>9170.0400000000009</v>
      </c>
      <c r="Y2404" s="297"/>
      <c r="AH2404" s="311">
        <f>X2404</f>
        <v>9170.0400000000009</v>
      </c>
      <c r="AI2404" s="311"/>
      <c r="AJ2404" s="468"/>
    </row>
    <row r="2405" spans="1:77" s="507" customFormat="1" ht="11.25" customHeight="1">
      <c r="A2405" s="379"/>
      <c r="B2405" s="380" t="s">
        <v>291</v>
      </c>
      <c r="C2405" s="381"/>
      <c r="D2405" s="381"/>
      <c r="E2405" s="382" t="s">
        <v>1794</v>
      </c>
      <c r="F2405" s="379" t="s">
        <v>1795</v>
      </c>
      <c r="G2405" s="404">
        <v>3733</v>
      </c>
      <c r="H2405" s="379" t="s">
        <v>866</v>
      </c>
      <c r="I2405" s="384" t="s">
        <v>33</v>
      </c>
      <c r="J2405" s="385">
        <v>9388</v>
      </c>
      <c r="K2405" s="384"/>
      <c r="L2405" s="385">
        <v>7</v>
      </c>
      <c r="M2405" s="385">
        <v>7</v>
      </c>
      <c r="N2405" s="386"/>
      <c r="O2405" s="387">
        <v>0.2</v>
      </c>
      <c r="P2405" s="387"/>
      <c r="Q2405" s="386">
        <v>0</v>
      </c>
      <c r="R2405" s="379" t="s">
        <v>35</v>
      </c>
      <c r="S2405" s="388" t="s">
        <v>41</v>
      </c>
      <c r="T2405" s="388">
        <v>16</v>
      </c>
      <c r="U2405" s="389" t="s">
        <v>164</v>
      </c>
      <c r="V2405" s="433"/>
      <c r="W2405" s="379"/>
      <c r="X2405" s="386">
        <v>0</v>
      </c>
      <c r="Y2405" s="386"/>
      <c r="Z2405" s="379"/>
      <c r="AA2405" s="379"/>
      <c r="AB2405" s="379"/>
      <c r="AC2405" s="379"/>
      <c r="AD2405" s="379"/>
      <c r="AE2405" s="379"/>
      <c r="AF2405" s="379"/>
      <c r="AG2405" s="379"/>
      <c r="AH2405" s="379"/>
      <c r="AI2405" s="379"/>
      <c r="AJ2405" s="390">
        <v>0</v>
      </c>
      <c r="AK2405" s="379"/>
      <c r="AL2405" s="379"/>
      <c r="AM2405" s="379"/>
      <c r="AN2405" s="379"/>
      <c r="AO2405" s="379"/>
      <c r="AP2405" s="379"/>
      <c r="AQ2405" s="379"/>
      <c r="AR2405" s="379"/>
      <c r="AS2405" s="379"/>
      <c r="AT2405" s="379"/>
      <c r="AU2405" s="379"/>
      <c r="AV2405" s="379"/>
      <c r="AW2405" s="379"/>
      <c r="AX2405" s="379"/>
      <c r="AY2405" s="379"/>
      <c r="AZ2405" s="379"/>
      <c r="BA2405" s="379"/>
      <c r="BB2405" s="379"/>
      <c r="BC2405" s="379"/>
      <c r="BD2405" s="379"/>
      <c r="BE2405" s="379"/>
      <c r="BF2405" s="379"/>
      <c r="BG2405" s="379"/>
      <c r="BH2405" s="379"/>
      <c r="BI2405" s="379"/>
      <c r="BJ2405" s="379"/>
      <c r="BK2405" s="379"/>
      <c r="BL2405" s="379"/>
      <c r="BM2405" s="379"/>
      <c r="BN2405" s="379"/>
      <c r="BO2405" s="379"/>
      <c r="BP2405" s="379"/>
      <c r="BQ2405" s="379"/>
      <c r="BR2405" s="379"/>
      <c r="BS2405" s="379"/>
      <c r="BT2405" s="379"/>
      <c r="BU2405" s="379"/>
      <c r="BV2405" s="379"/>
      <c r="BW2405" s="379"/>
      <c r="BX2405" s="379"/>
      <c r="BY2405" s="379"/>
    </row>
    <row r="2406" spans="1:77" s="546" customFormat="1" ht="11.25" customHeight="1">
      <c r="B2406" s="546" t="s">
        <v>291</v>
      </c>
      <c r="C2406" s="547">
        <v>44721</v>
      </c>
      <c r="D2406" s="547">
        <v>44721</v>
      </c>
      <c r="E2406" s="548" t="s">
        <v>1796</v>
      </c>
      <c r="F2406" s="546" t="s">
        <v>1526</v>
      </c>
      <c r="G2406" s="570">
        <v>3950</v>
      </c>
      <c r="H2406" s="546" t="s">
        <v>99</v>
      </c>
      <c r="I2406" s="551" t="s">
        <v>156</v>
      </c>
      <c r="J2406" s="550">
        <v>42764</v>
      </c>
      <c r="K2406" s="551"/>
      <c r="L2406" s="550">
        <v>32.86</v>
      </c>
      <c r="M2406" s="550">
        <v>20</v>
      </c>
      <c r="N2406" s="552">
        <f>6908.87+5367.49+2748.56</f>
        <v>15024.92</v>
      </c>
      <c r="O2406" s="553">
        <v>0.25</v>
      </c>
      <c r="P2406" s="553">
        <v>0.1</v>
      </c>
      <c r="Q2406" s="552">
        <v>12212.93</v>
      </c>
      <c r="R2406" s="546" t="s">
        <v>29</v>
      </c>
      <c r="S2406" s="554" t="s">
        <v>30</v>
      </c>
      <c r="T2406" s="554">
        <v>70</v>
      </c>
      <c r="U2406" s="555" t="s">
        <v>164</v>
      </c>
      <c r="V2406" s="556"/>
      <c r="X2406" s="552">
        <v>12212.93</v>
      </c>
      <c r="Y2406" s="552"/>
      <c r="AJ2406" s="557"/>
      <c r="AM2406" s="577">
        <v>12212.93</v>
      </c>
    </row>
    <row r="2407" spans="1:77" s="546" customFormat="1" ht="11.25" customHeight="1">
      <c r="B2407" s="546" t="s">
        <v>291</v>
      </c>
      <c r="C2407" s="547"/>
      <c r="D2407" s="547"/>
      <c r="E2407" s="548" t="s">
        <v>1796</v>
      </c>
      <c r="F2407" s="546" t="s">
        <v>1526</v>
      </c>
      <c r="G2407" s="570">
        <v>3950</v>
      </c>
      <c r="H2407" s="546" t="s">
        <v>183</v>
      </c>
      <c r="I2407" s="551" t="s">
        <v>156</v>
      </c>
      <c r="J2407" s="550">
        <v>17523.54</v>
      </c>
      <c r="K2407" s="551"/>
      <c r="L2407" s="550">
        <v>13.05</v>
      </c>
      <c r="M2407" s="550">
        <v>13.08</v>
      </c>
      <c r="N2407" s="552">
        <f>833.73+1611.36</f>
        <v>2445.09</v>
      </c>
      <c r="O2407" s="553">
        <v>0.25</v>
      </c>
      <c r="P2407" s="553">
        <v>0.1</v>
      </c>
      <c r="Q2407" s="552">
        <v>2682.67</v>
      </c>
      <c r="R2407" s="546" t="s">
        <v>29</v>
      </c>
      <c r="S2407" s="554" t="s">
        <v>30</v>
      </c>
      <c r="T2407" s="554">
        <v>70</v>
      </c>
      <c r="U2407" s="555" t="s">
        <v>164</v>
      </c>
      <c r="V2407" s="556"/>
      <c r="X2407" s="552">
        <v>2682.67</v>
      </c>
      <c r="Y2407" s="552"/>
      <c r="AJ2407" s="557"/>
      <c r="AM2407" s="577">
        <v>2682.67</v>
      </c>
    </row>
    <row r="2408" spans="1:77" s="546" customFormat="1" ht="11.25" customHeight="1">
      <c r="B2408" s="546" t="s">
        <v>291</v>
      </c>
      <c r="C2408" s="547"/>
      <c r="D2408" s="547"/>
      <c r="E2408" s="548" t="s">
        <v>1796</v>
      </c>
      <c r="F2408" s="546" t="s">
        <v>1526</v>
      </c>
      <c r="G2408" s="570">
        <v>3950</v>
      </c>
      <c r="H2408" s="546" t="s">
        <v>27</v>
      </c>
      <c r="I2408" s="551" t="s">
        <v>156</v>
      </c>
      <c r="J2408" s="550">
        <v>14273.28</v>
      </c>
      <c r="K2408" s="551"/>
      <c r="L2408" s="550">
        <v>9.44</v>
      </c>
      <c r="M2408" s="550">
        <v>9.44</v>
      </c>
      <c r="N2408" s="552">
        <f>4281.98</f>
        <v>4281.9799999999996</v>
      </c>
      <c r="O2408" s="553">
        <v>0.25</v>
      </c>
      <c r="P2408" s="553">
        <v>0.1</v>
      </c>
      <c r="Q2408" s="552">
        <v>594.72</v>
      </c>
      <c r="R2408" s="546" t="s">
        <v>29</v>
      </c>
      <c r="S2408" s="554" t="s">
        <v>30</v>
      </c>
      <c r="T2408" s="554">
        <v>70</v>
      </c>
      <c r="U2408" s="555" t="s">
        <v>164</v>
      </c>
      <c r="V2408" s="556"/>
      <c r="X2408" s="552">
        <v>594.72</v>
      </c>
      <c r="Y2408" s="552"/>
      <c r="AJ2408" s="557"/>
      <c r="AM2408" s="577">
        <v>594.72</v>
      </c>
    </row>
    <row r="2409" spans="1:77" s="473" customFormat="1" ht="11.25" customHeight="1">
      <c r="B2409" s="473" t="s">
        <v>291</v>
      </c>
      <c r="C2409" s="487">
        <v>44704</v>
      </c>
      <c r="D2409" s="487">
        <v>44721</v>
      </c>
      <c r="E2409" s="488" t="s">
        <v>1797</v>
      </c>
      <c r="F2409" s="473" t="s">
        <v>1798</v>
      </c>
      <c r="G2409" s="496">
        <v>4322</v>
      </c>
      <c r="H2409" s="473" t="s">
        <v>192</v>
      </c>
      <c r="I2409" s="491" t="s">
        <v>888</v>
      </c>
      <c r="J2409" s="490">
        <v>56074.2</v>
      </c>
      <c r="K2409" s="491"/>
      <c r="L2409" s="490">
        <v>30.81</v>
      </c>
      <c r="M2409" s="490">
        <v>30.81</v>
      </c>
      <c r="N2409" s="492"/>
      <c r="O2409" s="493">
        <v>0.2</v>
      </c>
      <c r="P2409" s="493"/>
      <c r="Q2409" s="492">
        <v>19857.05</v>
      </c>
      <c r="R2409" s="473" t="s">
        <v>128</v>
      </c>
      <c r="S2409" s="481" t="s">
        <v>34</v>
      </c>
      <c r="T2409" s="481">
        <v>79</v>
      </c>
      <c r="U2409" s="494" t="s">
        <v>164</v>
      </c>
      <c r="V2409" s="495"/>
      <c r="X2409" s="492">
        <v>19857.05</v>
      </c>
      <c r="Y2409" s="492"/>
      <c r="AJ2409" s="485"/>
      <c r="AK2409" s="505">
        <v>19857.05</v>
      </c>
    </row>
    <row r="2410" spans="1:77" s="473" customFormat="1" ht="11.25" customHeight="1">
      <c r="B2410" s="473" t="s">
        <v>291</v>
      </c>
      <c r="C2410" s="487"/>
      <c r="D2410" s="487"/>
      <c r="E2410" s="488" t="s">
        <v>1797</v>
      </c>
      <c r="F2410" s="473" t="s">
        <v>1798</v>
      </c>
      <c r="G2410" s="496">
        <v>4322</v>
      </c>
      <c r="H2410" s="473" t="s">
        <v>1052</v>
      </c>
      <c r="I2410" s="491" t="s">
        <v>888</v>
      </c>
      <c r="J2410" s="490">
        <v>7027.02</v>
      </c>
      <c r="K2410" s="491"/>
      <c r="L2410" s="490">
        <v>7.02</v>
      </c>
      <c r="M2410" s="490">
        <v>7.02</v>
      </c>
      <c r="N2410" s="492"/>
      <c r="O2410" s="493">
        <v>0.2</v>
      </c>
      <c r="P2410" s="493"/>
      <c r="Q2410" s="492">
        <v>2727.27</v>
      </c>
      <c r="R2410" s="473" t="s">
        <v>128</v>
      </c>
      <c r="S2410" s="481" t="s">
        <v>34</v>
      </c>
      <c r="T2410" s="481">
        <v>79</v>
      </c>
      <c r="U2410" s="494" t="s">
        <v>164</v>
      </c>
      <c r="V2410" s="495"/>
      <c r="X2410" s="492">
        <v>2727.27</v>
      </c>
      <c r="Y2410" s="492"/>
      <c r="AJ2410" s="485"/>
      <c r="AK2410" s="505">
        <v>2727.27</v>
      </c>
    </row>
    <row r="2411" spans="1:77" s="379" customFormat="1" ht="11.25" customHeight="1">
      <c r="B2411" s="380" t="s">
        <v>291</v>
      </c>
      <c r="C2411" s="381">
        <v>44718</v>
      </c>
      <c r="D2411" s="381">
        <v>44721</v>
      </c>
      <c r="E2411" s="382" t="s">
        <v>1799</v>
      </c>
      <c r="F2411" s="379" t="s">
        <v>1109</v>
      </c>
      <c r="G2411" s="404">
        <v>3835</v>
      </c>
      <c r="H2411" s="379" t="s">
        <v>765</v>
      </c>
      <c r="I2411" s="384" t="s">
        <v>33</v>
      </c>
      <c r="J2411" s="385">
        <v>17212.650000000001</v>
      </c>
      <c r="K2411" s="384"/>
      <c r="L2411" s="385">
        <v>13</v>
      </c>
      <c r="M2411" s="385">
        <v>13</v>
      </c>
      <c r="N2411" s="386">
        <v>0</v>
      </c>
      <c r="O2411" s="387">
        <v>0.15</v>
      </c>
      <c r="P2411" s="387"/>
      <c r="Q2411" s="386">
        <v>2411.63</v>
      </c>
      <c r="R2411" s="379" t="s">
        <v>69</v>
      </c>
      <c r="S2411" s="388" t="s">
        <v>41</v>
      </c>
      <c r="T2411" s="388">
        <v>79</v>
      </c>
      <c r="U2411" s="389" t="s">
        <v>164</v>
      </c>
      <c r="V2411" s="461">
        <v>2411.63</v>
      </c>
      <c r="X2411" s="461">
        <v>2411.63</v>
      </c>
      <c r="Y2411" s="386"/>
      <c r="AJ2411" s="416">
        <v>2411.63</v>
      </c>
    </row>
    <row r="2412" spans="1:77" s="337" customFormat="1" ht="11.25" customHeight="1">
      <c r="B2412" s="337" t="s">
        <v>291</v>
      </c>
      <c r="C2412" s="349">
        <v>44711</v>
      </c>
      <c r="D2412" s="349">
        <v>44721</v>
      </c>
      <c r="E2412" s="350" t="s">
        <v>1800</v>
      </c>
      <c r="F2412" s="337" t="s">
        <v>389</v>
      </c>
      <c r="G2412" s="368">
        <v>3585</v>
      </c>
      <c r="H2412" s="337" t="s">
        <v>99</v>
      </c>
      <c r="I2412" s="353" t="s">
        <v>1022</v>
      </c>
      <c r="J2412" s="352">
        <v>42434.93</v>
      </c>
      <c r="K2412" s="353"/>
      <c r="L2412" s="352">
        <v>37.49</v>
      </c>
      <c r="M2412" s="352">
        <v>37.49</v>
      </c>
      <c r="N2412" s="354">
        <v>10608.732749999999</v>
      </c>
      <c r="O2412" s="355">
        <v>0.15</v>
      </c>
      <c r="P2412" s="355"/>
      <c r="Q2412" s="354">
        <v>284.55</v>
      </c>
      <c r="R2412" s="337" t="s">
        <v>42</v>
      </c>
      <c r="S2412" s="356" t="s">
        <v>41</v>
      </c>
      <c r="T2412" s="356">
        <v>16</v>
      </c>
      <c r="U2412" s="357" t="s">
        <v>164</v>
      </c>
      <c r="V2412" s="434"/>
      <c r="X2412" s="354">
        <v>284.55</v>
      </c>
      <c r="Y2412" s="354"/>
      <c r="AI2412" s="337">
        <v>284.55</v>
      </c>
      <c r="AJ2412" s="358"/>
      <c r="AK2412" s="369"/>
    </row>
    <row r="2413" spans="1:77" s="205" customFormat="1" ht="11.25" customHeight="1">
      <c r="B2413" s="205" t="s">
        <v>291</v>
      </c>
      <c r="C2413" s="207">
        <v>44721</v>
      </c>
      <c r="D2413" s="207">
        <v>44721</v>
      </c>
      <c r="E2413" s="208" t="s">
        <v>1801</v>
      </c>
      <c r="F2413" s="205" t="s">
        <v>3771</v>
      </c>
      <c r="G2413" s="209" t="s">
        <v>1802</v>
      </c>
      <c r="H2413" s="205" t="s">
        <v>163</v>
      </c>
      <c r="I2413" s="219" t="s">
        <v>888</v>
      </c>
      <c r="J2413" s="210">
        <v>1363.45</v>
      </c>
      <c r="K2413" s="219"/>
      <c r="L2413" s="210">
        <v>1.94</v>
      </c>
      <c r="M2413" s="210">
        <v>1.94</v>
      </c>
      <c r="N2413" s="213">
        <v>409.04</v>
      </c>
      <c r="O2413" s="212">
        <v>0.25</v>
      </c>
      <c r="P2413" s="212"/>
      <c r="Q2413" s="213">
        <v>0</v>
      </c>
      <c r="R2413" s="205" t="s">
        <v>112</v>
      </c>
      <c r="S2413" s="214" t="s">
        <v>113</v>
      </c>
      <c r="T2413" s="214">
        <v>64</v>
      </c>
      <c r="U2413" s="215" t="s">
        <v>164</v>
      </c>
      <c r="V2413" s="438"/>
      <c r="W2413" s="205" t="s">
        <v>2751</v>
      </c>
      <c r="X2413" s="213">
        <v>0</v>
      </c>
      <c r="Y2413" s="213"/>
      <c r="AF2413" s="230">
        <f>X2413</f>
        <v>0</v>
      </c>
      <c r="AJ2413" s="216"/>
    </row>
    <row r="2414" spans="1:77" s="618" customFormat="1" ht="11.25" customHeight="1">
      <c r="B2414" s="618" t="s">
        <v>291</v>
      </c>
      <c r="C2414" s="620">
        <v>44721</v>
      </c>
      <c r="D2414" s="620">
        <v>44721</v>
      </c>
      <c r="E2414" s="621" t="s">
        <v>1803</v>
      </c>
      <c r="F2414" s="618" t="s">
        <v>1804</v>
      </c>
      <c r="G2414" s="638">
        <v>3899</v>
      </c>
      <c r="H2414" s="618" t="s">
        <v>99</v>
      </c>
      <c r="I2414" s="626" t="s">
        <v>888</v>
      </c>
      <c r="J2414" s="635">
        <v>52642.22</v>
      </c>
      <c r="K2414" s="626"/>
      <c r="L2414" s="635">
        <v>36.24</v>
      </c>
      <c r="M2414" s="635">
        <v>36</v>
      </c>
      <c r="N2414" s="627">
        <f>18424.7784</f>
        <v>18424.778399999999</v>
      </c>
      <c r="O2414" s="628">
        <v>0.3</v>
      </c>
      <c r="P2414" s="628"/>
      <c r="Q2414" s="627">
        <v>0</v>
      </c>
      <c r="R2414" s="618" t="s">
        <v>69</v>
      </c>
      <c r="S2414" s="629" t="s">
        <v>118</v>
      </c>
      <c r="T2414" s="629">
        <v>79</v>
      </c>
      <c r="U2414" s="631" t="s">
        <v>164</v>
      </c>
      <c r="V2414" s="632"/>
      <c r="X2414" s="627">
        <v>0</v>
      </c>
      <c r="Y2414" s="627"/>
      <c r="AJ2414" s="633"/>
      <c r="AO2414" s="618">
        <v>0</v>
      </c>
    </row>
    <row r="2415" spans="1:77" s="618" customFormat="1" ht="11.25" customHeight="1">
      <c r="B2415" s="618" t="s">
        <v>291</v>
      </c>
      <c r="C2415" s="620"/>
      <c r="D2415" s="620"/>
      <c r="E2415" s="621" t="s">
        <v>1803</v>
      </c>
      <c r="F2415" s="618" t="s">
        <v>1804</v>
      </c>
      <c r="G2415" s="638">
        <v>3899</v>
      </c>
      <c r="H2415" s="618" t="s">
        <v>162</v>
      </c>
      <c r="I2415" s="626" t="s">
        <v>888</v>
      </c>
      <c r="J2415" s="635">
        <v>3994.2</v>
      </c>
      <c r="K2415" s="626"/>
      <c r="L2415" s="635">
        <v>7</v>
      </c>
      <c r="M2415" s="635">
        <v>7</v>
      </c>
      <c r="N2415" s="627">
        <v>2995.65</v>
      </c>
      <c r="O2415" s="628">
        <v>0.3</v>
      </c>
      <c r="P2415" s="628"/>
      <c r="Q2415" s="627">
        <v>1840.7</v>
      </c>
      <c r="R2415" s="618" t="s">
        <v>69</v>
      </c>
      <c r="S2415" s="629" t="s">
        <v>118</v>
      </c>
      <c r="T2415" s="629">
        <v>79</v>
      </c>
      <c r="U2415" s="631" t="s">
        <v>164</v>
      </c>
      <c r="V2415" s="632"/>
      <c r="X2415" s="627">
        <v>1840.7</v>
      </c>
      <c r="Y2415" s="627"/>
      <c r="AJ2415" s="633"/>
      <c r="AO2415" s="627">
        <v>1840.7</v>
      </c>
      <c r="AP2415" s="627"/>
    </row>
    <row r="2416" spans="1:77" s="618" customFormat="1" ht="11.25" customHeight="1">
      <c r="B2416" s="618" t="s">
        <v>291</v>
      </c>
      <c r="C2416" s="620"/>
      <c r="D2416" s="620"/>
      <c r="E2416" s="621" t="s">
        <v>1803</v>
      </c>
      <c r="F2416" s="618" t="s">
        <v>1804</v>
      </c>
      <c r="G2416" s="638">
        <v>3899</v>
      </c>
      <c r="H2416" s="618" t="s">
        <v>765</v>
      </c>
      <c r="I2416" s="626" t="s">
        <v>888</v>
      </c>
      <c r="J2416" s="635">
        <f>23016.92*15.39/22.39</f>
        <v>15820.919999999998</v>
      </c>
      <c r="K2416" s="626"/>
      <c r="L2416" s="635">
        <v>15.39</v>
      </c>
      <c r="M2416" s="635">
        <v>15.39</v>
      </c>
      <c r="N2416" s="627">
        <v>0</v>
      </c>
      <c r="O2416" s="628">
        <v>0.3</v>
      </c>
      <c r="P2416" s="628"/>
      <c r="Q2416" s="627">
        <v>2373.14</v>
      </c>
      <c r="R2416" s="618" t="s">
        <v>69</v>
      </c>
      <c r="S2416" s="629" t="s">
        <v>118</v>
      </c>
      <c r="T2416" s="629">
        <v>79</v>
      </c>
      <c r="U2416" s="631" t="s">
        <v>164</v>
      </c>
      <c r="V2416" s="691">
        <f>2373.14</f>
        <v>2373.14</v>
      </c>
      <c r="X2416" s="627">
        <v>2373.14</v>
      </c>
      <c r="Y2416" s="627"/>
      <c r="AJ2416" s="633"/>
      <c r="AO2416" s="627">
        <v>2373.14</v>
      </c>
      <c r="AP2416" s="627"/>
    </row>
    <row r="2417" spans="2:41" s="618" customFormat="1" ht="11.25" customHeight="1">
      <c r="B2417" s="618" t="s">
        <v>291</v>
      </c>
      <c r="C2417" s="620"/>
      <c r="D2417" s="620"/>
      <c r="E2417" s="621" t="s">
        <v>1803</v>
      </c>
      <c r="F2417" s="618" t="s">
        <v>1804</v>
      </c>
      <c r="G2417" s="638">
        <v>3899</v>
      </c>
      <c r="H2417" s="618" t="s">
        <v>765</v>
      </c>
      <c r="I2417" s="626" t="s">
        <v>888</v>
      </c>
      <c r="J2417" s="635">
        <f>23016.92*7/22.39</f>
        <v>7196</v>
      </c>
      <c r="K2417" s="626"/>
      <c r="L2417" s="635">
        <v>7</v>
      </c>
      <c r="M2417" s="635">
        <v>7</v>
      </c>
      <c r="N2417" s="627">
        <v>2158.8000000000002</v>
      </c>
      <c r="O2417" s="628">
        <v>0.3</v>
      </c>
      <c r="P2417" s="628"/>
      <c r="Q2417" s="627">
        <v>0</v>
      </c>
      <c r="R2417" s="618" t="s">
        <v>69</v>
      </c>
      <c r="S2417" s="629" t="s">
        <v>118</v>
      </c>
      <c r="T2417" s="629">
        <v>79</v>
      </c>
      <c r="U2417" s="631" t="s">
        <v>164</v>
      </c>
      <c r="V2417" s="691"/>
      <c r="X2417" s="627">
        <v>0</v>
      </c>
      <c r="Y2417" s="627"/>
      <c r="AJ2417" s="633"/>
      <c r="AO2417" s="618">
        <v>0</v>
      </c>
    </row>
    <row r="2418" spans="2:41" s="337" customFormat="1" ht="11.25" customHeight="1">
      <c r="B2418" s="338" t="s">
        <v>291</v>
      </c>
      <c r="C2418" s="349">
        <v>44720</v>
      </c>
      <c r="D2418" s="349">
        <v>44721</v>
      </c>
      <c r="E2418" s="350" t="s">
        <v>1805</v>
      </c>
      <c r="F2418" s="337" t="s">
        <v>678</v>
      </c>
      <c r="G2418" s="351">
        <v>3918</v>
      </c>
      <c r="H2418" s="337" t="s">
        <v>27</v>
      </c>
      <c r="I2418" s="353" t="s">
        <v>33</v>
      </c>
      <c r="J2418" s="352">
        <v>12602.3</v>
      </c>
      <c r="K2418" s="353"/>
      <c r="L2418" s="352">
        <v>9.18</v>
      </c>
      <c r="M2418" s="352">
        <v>9.18</v>
      </c>
      <c r="N2418" s="354"/>
      <c r="O2418" s="355">
        <v>0.15</v>
      </c>
      <c r="P2418" s="355"/>
      <c r="Q2418" s="354">
        <v>0</v>
      </c>
      <c r="R2418" s="337" t="s">
        <v>35</v>
      </c>
      <c r="S2418" s="356" t="s">
        <v>41</v>
      </c>
      <c r="T2418" s="356">
        <v>86</v>
      </c>
      <c r="U2418" s="357" t="s">
        <v>164</v>
      </c>
      <c r="V2418" s="434"/>
      <c r="X2418" s="354">
        <v>0</v>
      </c>
      <c r="Y2418" s="354"/>
      <c r="AI2418" s="337">
        <f>X2418</f>
        <v>0</v>
      </c>
      <c r="AJ2418" s="358"/>
      <c r="AK2418" s="369"/>
    </row>
    <row r="2419" spans="2:41" s="337" customFormat="1" ht="11.25" customHeight="1">
      <c r="B2419" s="338" t="s">
        <v>291</v>
      </c>
      <c r="C2419" s="349"/>
      <c r="D2419" s="349"/>
      <c r="E2419" s="350" t="s">
        <v>1805</v>
      </c>
      <c r="F2419" s="337" t="s">
        <v>678</v>
      </c>
      <c r="G2419" s="351">
        <v>3918</v>
      </c>
      <c r="H2419" s="337" t="s">
        <v>99</v>
      </c>
      <c r="I2419" s="353" t="s">
        <v>33</v>
      </c>
      <c r="J2419" s="352">
        <v>15394.22</v>
      </c>
      <c r="K2419" s="353"/>
      <c r="L2419" s="352">
        <v>14.14</v>
      </c>
      <c r="M2419" s="352">
        <v>14.14</v>
      </c>
      <c r="N2419" s="354"/>
      <c r="O2419" s="355">
        <v>0.15</v>
      </c>
      <c r="P2419" s="355"/>
      <c r="Q2419" s="354">
        <v>0</v>
      </c>
      <c r="R2419" s="337" t="s">
        <v>35</v>
      </c>
      <c r="S2419" s="356" t="s">
        <v>41</v>
      </c>
      <c r="T2419" s="356">
        <v>86</v>
      </c>
      <c r="U2419" s="357" t="s">
        <v>164</v>
      </c>
      <c r="V2419" s="434"/>
      <c r="X2419" s="354">
        <v>0</v>
      </c>
      <c r="Y2419" s="354"/>
      <c r="AI2419" s="337">
        <f>X2419</f>
        <v>0</v>
      </c>
      <c r="AJ2419" s="358"/>
      <c r="AK2419" s="369"/>
    </row>
    <row r="2420" spans="2:41" s="205" customFormat="1" ht="11.25" customHeight="1">
      <c r="B2420" s="206" t="s">
        <v>290</v>
      </c>
      <c r="C2420" s="207">
        <v>44716</v>
      </c>
      <c r="D2420" s="207">
        <v>44721</v>
      </c>
      <c r="E2420" s="208" t="s">
        <v>1806</v>
      </c>
      <c r="F2420" s="205" t="s">
        <v>1807</v>
      </c>
      <c r="G2420" s="209" t="s">
        <v>1808</v>
      </c>
      <c r="H2420" s="205" t="s">
        <v>99</v>
      </c>
      <c r="I2420" s="219" t="s">
        <v>1168</v>
      </c>
      <c r="J2420" s="210">
        <v>45760</v>
      </c>
      <c r="K2420" s="219"/>
      <c r="L2420" s="210">
        <v>28.6</v>
      </c>
      <c r="M2420" s="210">
        <v>28.6</v>
      </c>
      <c r="N2420" s="213"/>
      <c r="O2420" s="212">
        <v>0.3</v>
      </c>
      <c r="P2420" s="212">
        <v>0.05</v>
      </c>
      <c r="Q2420" s="213">
        <v>6236</v>
      </c>
      <c r="R2420" s="205" t="s">
        <v>73</v>
      </c>
      <c r="S2420" s="214" t="s">
        <v>113</v>
      </c>
      <c r="T2420" s="214">
        <v>31</v>
      </c>
      <c r="U2420" s="215" t="s">
        <v>164</v>
      </c>
      <c r="V2420" s="438"/>
      <c r="X2420" s="213">
        <v>6236</v>
      </c>
      <c r="Y2420" s="213"/>
      <c r="AF2420" s="230">
        <f>X2420</f>
        <v>6236</v>
      </c>
      <c r="AJ2420" s="216"/>
    </row>
    <row r="2421" spans="2:41" s="205" customFormat="1" ht="11.25" customHeight="1">
      <c r="B2421" s="206" t="s">
        <v>290</v>
      </c>
      <c r="C2421" s="207"/>
      <c r="D2421" s="207"/>
      <c r="E2421" s="208" t="s">
        <v>1806</v>
      </c>
      <c r="F2421" s="205" t="s">
        <v>1807</v>
      </c>
      <c r="G2421" s="209" t="s">
        <v>1808</v>
      </c>
      <c r="H2421" s="205" t="s">
        <v>27</v>
      </c>
      <c r="I2421" s="219" t="s">
        <v>1168</v>
      </c>
      <c r="J2421" s="210">
        <v>19568</v>
      </c>
      <c r="K2421" s="219"/>
      <c r="L2421" s="210">
        <v>12.23</v>
      </c>
      <c r="M2421" s="210">
        <v>12.23</v>
      </c>
      <c r="N2421" s="213"/>
      <c r="O2421" s="212">
        <v>0.3</v>
      </c>
      <c r="P2421" s="212">
        <v>0.05</v>
      </c>
      <c r="Q2421" s="213">
        <v>4892</v>
      </c>
      <c r="R2421" s="205" t="s">
        <v>73</v>
      </c>
      <c r="S2421" s="214" t="s">
        <v>113</v>
      </c>
      <c r="T2421" s="214">
        <v>31</v>
      </c>
      <c r="U2421" s="215" t="s">
        <v>164</v>
      </c>
      <c r="V2421" s="438"/>
      <c r="X2421" s="213">
        <v>4892</v>
      </c>
      <c r="Y2421" s="213"/>
      <c r="AF2421" s="230">
        <f>X2421</f>
        <v>4892</v>
      </c>
      <c r="AJ2421" s="216"/>
    </row>
    <row r="2422" spans="2:41" s="205" customFormat="1" ht="11.25" customHeight="1">
      <c r="B2422" s="206" t="s">
        <v>290</v>
      </c>
      <c r="C2422" s="207"/>
      <c r="D2422" s="207"/>
      <c r="E2422" s="208" t="s">
        <v>1806</v>
      </c>
      <c r="F2422" s="205" t="s">
        <v>1807</v>
      </c>
      <c r="G2422" s="209" t="s">
        <v>1808</v>
      </c>
      <c r="H2422" s="205" t="s">
        <v>183</v>
      </c>
      <c r="I2422" s="219" t="s">
        <v>1168</v>
      </c>
      <c r="J2422" s="210">
        <v>10992</v>
      </c>
      <c r="K2422" s="219"/>
      <c r="L2422" s="210">
        <v>6.87</v>
      </c>
      <c r="M2422" s="210">
        <v>6.87</v>
      </c>
      <c r="N2422" s="213"/>
      <c r="O2422" s="212">
        <v>0.3</v>
      </c>
      <c r="P2422" s="212">
        <v>0.05</v>
      </c>
      <c r="Q2422" s="213">
        <v>3435</v>
      </c>
      <c r="R2422" s="205" t="s">
        <v>73</v>
      </c>
      <c r="S2422" s="214" t="s">
        <v>113</v>
      </c>
      <c r="T2422" s="214">
        <v>31</v>
      </c>
      <c r="U2422" s="215" t="s">
        <v>164</v>
      </c>
      <c r="V2422" s="438"/>
      <c r="X2422" s="213">
        <v>3435</v>
      </c>
      <c r="Y2422" s="213"/>
      <c r="AF2422" s="230">
        <f>X2422</f>
        <v>3435</v>
      </c>
      <c r="AJ2422" s="216"/>
    </row>
    <row r="2423" spans="2:41" s="205" customFormat="1" ht="11.25" customHeight="1">
      <c r="B2423" s="206" t="s">
        <v>290</v>
      </c>
      <c r="C2423" s="207">
        <v>44716</v>
      </c>
      <c r="D2423" s="207">
        <v>44721</v>
      </c>
      <c r="E2423" s="208" t="s">
        <v>1809</v>
      </c>
      <c r="F2423" s="205" t="s">
        <v>1810</v>
      </c>
      <c r="G2423" s="209" t="s">
        <v>1811</v>
      </c>
      <c r="H2423" s="205" t="s">
        <v>99</v>
      </c>
      <c r="I2423" s="219" t="s">
        <v>695</v>
      </c>
      <c r="J2423" s="210">
        <v>17072</v>
      </c>
      <c r="K2423" s="219"/>
      <c r="L2423" s="210">
        <v>10.67</v>
      </c>
      <c r="M2423" s="210">
        <v>10.67</v>
      </c>
      <c r="N2423" s="213"/>
      <c r="O2423" s="212">
        <v>0.3</v>
      </c>
      <c r="P2423" s="212">
        <v>0.05</v>
      </c>
      <c r="Q2423" s="213">
        <v>3081.6</v>
      </c>
      <c r="R2423" s="205" t="s">
        <v>73</v>
      </c>
      <c r="S2423" s="214" t="s">
        <v>113</v>
      </c>
      <c r="T2423" s="214">
        <v>31</v>
      </c>
      <c r="U2423" s="215" t="s">
        <v>164</v>
      </c>
      <c r="V2423" s="438"/>
      <c r="X2423" s="213">
        <v>3081.6</v>
      </c>
      <c r="Y2423" s="213"/>
      <c r="AF2423" s="230">
        <f>X2423</f>
        <v>3081.6</v>
      </c>
      <c r="AJ2423" s="216"/>
    </row>
    <row r="2424" spans="2:41" s="205" customFormat="1" ht="11.25" customHeight="1">
      <c r="B2424" s="206" t="s">
        <v>290</v>
      </c>
      <c r="C2424" s="207"/>
      <c r="D2424" s="207"/>
      <c r="E2424" s="208" t="s">
        <v>1809</v>
      </c>
      <c r="F2424" s="205" t="s">
        <v>1810</v>
      </c>
      <c r="G2424" s="209" t="s">
        <v>1811</v>
      </c>
      <c r="H2424" s="205" t="s">
        <v>27</v>
      </c>
      <c r="I2424" s="219" t="s">
        <v>695</v>
      </c>
      <c r="J2424" s="210">
        <v>15408</v>
      </c>
      <c r="K2424" s="219"/>
      <c r="L2424" s="210">
        <v>9.6300000000000008</v>
      </c>
      <c r="M2424" s="210">
        <v>9.6300000000000008</v>
      </c>
      <c r="N2424" s="213"/>
      <c r="O2424" s="212">
        <v>0.3</v>
      </c>
      <c r="P2424" s="212">
        <v>0.05</v>
      </c>
      <c r="Q2424" s="213">
        <v>4054.6</v>
      </c>
      <c r="R2424" s="205" t="s">
        <v>73</v>
      </c>
      <c r="S2424" s="214" t="s">
        <v>113</v>
      </c>
      <c r="T2424" s="214">
        <v>31</v>
      </c>
      <c r="U2424" s="215" t="s">
        <v>164</v>
      </c>
      <c r="V2424" s="438"/>
      <c r="X2424" s="213">
        <v>4054.6</v>
      </c>
      <c r="Y2424" s="213"/>
      <c r="AF2424" s="230">
        <f>X2424</f>
        <v>4054.6</v>
      </c>
      <c r="AJ2424" s="216"/>
    </row>
    <row r="2425" spans="2:41" s="106" customFormat="1" ht="11.25" customHeight="1">
      <c r="B2425" s="118" t="s">
        <v>291</v>
      </c>
      <c r="C2425" s="107">
        <v>44719</v>
      </c>
      <c r="D2425" s="107">
        <v>44721</v>
      </c>
      <c r="E2425" s="108" t="s">
        <v>1812</v>
      </c>
      <c r="F2425" s="106" t="s">
        <v>1813</v>
      </c>
      <c r="G2425" s="109" t="s">
        <v>1814</v>
      </c>
      <c r="H2425" s="106" t="s">
        <v>138</v>
      </c>
      <c r="I2425" s="111" t="s">
        <v>33</v>
      </c>
      <c r="J2425" s="110">
        <v>37508.129999999997</v>
      </c>
      <c r="K2425" s="111"/>
      <c r="L2425" s="110">
        <v>25.95</v>
      </c>
      <c r="M2425" s="110">
        <v>25.95</v>
      </c>
      <c r="N2425" s="112"/>
      <c r="O2425" s="113">
        <v>0.2</v>
      </c>
      <c r="P2425" s="113"/>
      <c r="Q2425" s="112">
        <v>0</v>
      </c>
      <c r="R2425" s="106" t="s">
        <v>73</v>
      </c>
      <c r="S2425" s="114" t="s">
        <v>74</v>
      </c>
      <c r="T2425" s="114">
        <v>31</v>
      </c>
      <c r="U2425" s="115" t="s">
        <v>164</v>
      </c>
      <c r="V2425" s="443"/>
      <c r="W2425" s="106" t="s">
        <v>3687</v>
      </c>
      <c r="X2425" s="112">
        <v>0</v>
      </c>
      <c r="Y2425" s="112"/>
      <c r="AG2425" s="106">
        <f>X2425</f>
        <v>0</v>
      </c>
      <c r="AJ2425" s="116"/>
    </row>
    <row r="2426" spans="2:41" s="106" customFormat="1" ht="11.25" customHeight="1">
      <c r="B2426" s="118" t="s">
        <v>291</v>
      </c>
      <c r="C2426" s="107"/>
      <c r="D2426" s="107"/>
      <c r="E2426" s="108" t="s">
        <v>1812</v>
      </c>
      <c r="F2426" s="106" t="s">
        <v>1813</v>
      </c>
      <c r="G2426" s="109" t="s">
        <v>1814</v>
      </c>
      <c r="H2426" s="106" t="s">
        <v>140</v>
      </c>
      <c r="I2426" s="111" t="s">
        <v>33</v>
      </c>
      <c r="J2426" s="110">
        <v>11575.95</v>
      </c>
      <c r="K2426" s="111"/>
      <c r="L2426" s="110">
        <v>6.74</v>
      </c>
      <c r="M2426" s="110">
        <v>6.74</v>
      </c>
      <c r="N2426" s="112"/>
      <c r="O2426" s="113">
        <v>0.2</v>
      </c>
      <c r="P2426" s="113"/>
      <c r="Q2426" s="112">
        <v>0</v>
      </c>
      <c r="R2426" s="106" t="s">
        <v>73</v>
      </c>
      <c r="S2426" s="114" t="s">
        <v>74</v>
      </c>
      <c r="T2426" s="114">
        <v>31</v>
      </c>
      <c r="U2426" s="115" t="s">
        <v>164</v>
      </c>
      <c r="V2426" s="443"/>
      <c r="W2426" s="106" t="s">
        <v>3687</v>
      </c>
      <c r="X2426" s="112">
        <v>0</v>
      </c>
      <c r="Y2426" s="112"/>
      <c r="AG2426" s="106">
        <f>X2426</f>
        <v>0</v>
      </c>
      <c r="AJ2426" s="116"/>
    </row>
    <row r="2427" spans="2:41" s="106" customFormat="1" ht="11.25" customHeight="1">
      <c r="B2427" s="118" t="s">
        <v>291</v>
      </c>
      <c r="C2427" s="107"/>
      <c r="D2427" s="107"/>
      <c r="E2427" s="108" t="s">
        <v>1812</v>
      </c>
      <c r="F2427" s="106" t="s">
        <v>1813</v>
      </c>
      <c r="G2427" s="109" t="s">
        <v>1814</v>
      </c>
      <c r="H2427" s="106" t="s">
        <v>99</v>
      </c>
      <c r="I2427" s="111" t="s">
        <v>33</v>
      </c>
      <c r="J2427" s="110">
        <v>118900.8</v>
      </c>
      <c r="K2427" s="111"/>
      <c r="L2427" s="110">
        <v>86.16</v>
      </c>
      <c r="M2427" s="110">
        <v>86.16</v>
      </c>
      <c r="N2427" s="112"/>
      <c r="O2427" s="113">
        <v>0.2</v>
      </c>
      <c r="P2427" s="113"/>
      <c r="Q2427" s="112">
        <v>0</v>
      </c>
      <c r="R2427" s="106" t="s">
        <v>73</v>
      </c>
      <c r="S2427" s="114" t="s">
        <v>74</v>
      </c>
      <c r="T2427" s="114">
        <v>31</v>
      </c>
      <c r="U2427" s="115" t="s">
        <v>164</v>
      </c>
      <c r="V2427" s="443"/>
      <c r="W2427" s="106" t="s">
        <v>3687</v>
      </c>
      <c r="X2427" s="112">
        <v>0</v>
      </c>
      <c r="Y2427" s="112"/>
      <c r="AG2427" s="106">
        <f>X2427</f>
        <v>0</v>
      </c>
      <c r="AJ2427" s="116"/>
    </row>
    <row r="2428" spans="2:41" s="106" customFormat="1" ht="11.25" customHeight="1">
      <c r="B2428" s="118" t="s">
        <v>291</v>
      </c>
      <c r="C2428" s="107"/>
      <c r="D2428" s="107"/>
      <c r="E2428" s="108" t="s">
        <v>1812</v>
      </c>
      <c r="F2428" s="106" t="s">
        <v>1813</v>
      </c>
      <c r="G2428" s="109" t="s">
        <v>1814</v>
      </c>
      <c r="H2428" s="106" t="s">
        <v>27</v>
      </c>
      <c r="I2428" s="111" t="s">
        <v>33</v>
      </c>
      <c r="J2428" s="110">
        <v>58423.95</v>
      </c>
      <c r="K2428" s="111"/>
      <c r="L2428" s="110">
        <v>33.29</v>
      </c>
      <c r="M2428" s="110">
        <v>33.29</v>
      </c>
      <c r="N2428" s="112"/>
      <c r="O2428" s="113">
        <v>0.2</v>
      </c>
      <c r="P2428" s="113"/>
      <c r="Q2428" s="112">
        <v>0</v>
      </c>
      <c r="R2428" s="106" t="s">
        <v>73</v>
      </c>
      <c r="S2428" s="114" t="s">
        <v>74</v>
      </c>
      <c r="T2428" s="114">
        <v>31</v>
      </c>
      <c r="U2428" s="115" t="s">
        <v>164</v>
      </c>
      <c r="V2428" s="443"/>
      <c r="W2428" s="106" t="s">
        <v>3687</v>
      </c>
      <c r="X2428" s="112">
        <v>0</v>
      </c>
      <c r="Y2428" s="112"/>
      <c r="AG2428" s="106">
        <f>X2428</f>
        <v>0</v>
      </c>
      <c r="AJ2428" s="116"/>
    </row>
    <row r="2429" spans="2:41" s="106" customFormat="1" ht="11.25" customHeight="1">
      <c r="B2429" s="118" t="s">
        <v>291</v>
      </c>
      <c r="C2429" s="107"/>
      <c r="D2429" s="107"/>
      <c r="E2429" s="108" t="s">
        <v>1812</v>
      </c>
      <c r="F2429" s="106" t="s">
        <v>1813</v>
      </c>
      <c r="G2429" s="109" t="s">
        <v>1814</v>
      </c>
      <c r="H2429" s="106" t="s">
        <v>137</v>
      </c>
      <c r="I2429" s="111" t="s">
        <v>33</v>
      </c>
      <c r="J2429" s="110">
        <v>25227.759999999998</v>
      </c>
      <c r="K2429" s="111"/>
      <c r="L2429" s="110">
        <v>23.82</v>
      </c>
      <c r="M2429" s="110">
        <v>23.82</v>
      </c>
      <c r="N2429" s="112"/>
      <c r="O2429" s="113">
        <v>0.2</v>
      </c>
      <c r="P2429" s="113"/>
      <c r="Q2429" s="112">
        <v>0</v>
      </c>
      <c r="R2429" s="106" t="s">
        <v>73</v>
      </c>
      <c r="S2429" s="114" t="s">
        <v>74</v>
      </c>
      <c r="T2429" s="114">
        <v>31</v>
      </c>
      <c r="U2429" s="115" t="s">
        <v>164</v>
      </c>
      <c r="V2429" s="443"/>
      <c r="X2429" s="112">
        <v>0</v>
      </c>
      <c r="Y2429" s="112"/>
      <c r="AG2429" s="106">
        <f>X2429</f>
        <v>0</v>
      </c>
      <c r="AJ2429" s="116"/>
    </row>
    <row r="2430" spans="2:41" s="205" customFormat="1" ht="11.25" customHeight="1">
      <c r="B2430" s="206" t="s">
        <v>290</v>
      </c>
      <c r="C2430" s="207">
        <v>44716</v>
      </c>
      <c r="D2430" s="207">
        <v>44721</v>
      </c>
      <c r="E2430" s="208" t="s">
        <v>1815</v>
      </c>
      <c r="F2430" s="205" t="s">
        <v>1816</v>
      </c>
      <c r="G2430" s="209" t="s">
        <v>1817</v>
      </c>
      <c r="H2430" s="205" t="s">
        <v>99</v>
      </c>
      <c r="I2430" s="219" t="s">
        <v>1168</v>
      </c>
      <c r="J2430" s="210">
        <v>12288</v>
      </c>
      <c r="K2430" s="219"/>
      <c r="L2430" s="210">
        <v>7.68</v>
      </c>
      <c r="M2430" s="210">
        <v>7.68</v>
      </c>
      <c r="N2430" s="213"/>
      <c r="O2430" s="212">
        <v>0.3</v>
      </c>
      <c r="P2430" s="212">
        <v>0.05</v>
      </c>
      <c r="Q2430" s="213">
        <v>0</v>
      </c>
      <c r="R2430" s="205" t="s">
        <v>73</v>
      </c>
      <c r="S2430" s="214" t="s">
        <v>113</v>
      </c>
      <c r="T2430" s="214">
        <v>31</v>
      </c>
      <c r="U2430" s="215" t="s">
        <v>164</v>
      </c>
      <c r="V2430" s="438"/>
      <c r="X2430" s="213">
        <v>0</v>
      </c>
      <c r="Y2430" s="213"/>
      <c r="AF2430" s="230">
        <f>X2430</f>
        <v>0</v>
      </c>
      <c r="AJ2430" s="216"/>
    </row>
    <row r="2431" spans="2:41" s="205" customFormat="1" ht="11.25" customHeight="1">
      <c r="B2431" s="206" t="s">
        <v>290</v>
      </c>
      <c r="C2431" s="207"/>
      <c r="D2431" s="207"/>
      <c r="E2431" s="208" t="s">
        <v>1815</v>
      </c>
      <c r="F2431" s="205" t="s">
        <v>1816</v>
      </c>
      <c r="G2431" s="209" t="s">
        <v>1817</v>
      </c>
      <c r="H2431" s="205" t="s">
        <v>27</v>
      </c>
      <c r="I2431" s="219" t="s">
        <v>1168</v>
      </c>
      <c r="J2431" s="210">
        <v>11584</v>
      </c>
      <c r="K2431" s="219"/>
      <c r="L2431" s="210">
        <v>7.24</v>
      </c>
      <c r="M2431" s="210">
        <v>7.24</v>
      </c>
      <c r="N2431" s="213"/>
      <c r="O2431" s="212">
        <v>0.3</v>
      </c>
      <c r="P2431" s="212">
        <v>0.05</v>
      </c>
      <c r="Q2431" s="213">
        <v>1882.4</v>
      </c>
      <c r="R2431" s="205" t="s">
        <v>73</v>
      </c>
      <c r="S2431" s="214" t="s">
        <v>113</v>
      </c>
      <c r="T2431" s="214">
        <v>31</v>
      </c>
      <c r="U2431" s="215" t="s">
        <v>164</v>
      </c>
      <c r="V2431" s="438"/>
      <c r="X2431" s="213">
        <v>1882.4</v>
      </c>
      <c r="Y2431" s="213"/>
      <c r="AF2431" s="230">
        <f>X2431</f>
        <v>1882.4</v>
      </c>
      <c r="AJ2431" s="216"/>
    </row>
    <row r="2432" spans="2:41" s="205" customFormat="1" ht="11.25" customHeight="1">
      <c r="B2432" s="206" t="s">
        <v>291</v>
      </c>
      <c r="C2432" s="207">
        <v>44721</v>
      </c>
      <c r="D2432" s="207">
        <v>44721</v>
      </c>
      <c r="E2432" s="208" t="s">
        <v>1818</v>
      </c>
      <c r="F2432" s="205" t="s">
        <v>1819</v>
      </c>
      <c r="G2432" s="209" t="s">
        <v>1820</v>
      </c>
      <c r="H2432" s="205" t="s">
        <v>137</v>
      </c>
      <c r="I2432" s="219" t="s">
        <v>33</v>
      </c>
      <c r="J2432" s="210">
        <v>63371.31</v>
      </c>
      <c r="K2432" s="219"/>
      <c r="L2432" s="210">
        <v>37.24</v>
      </c>
      <c r="M2432" s="210">
        <v>37.24</v>
      </c>
      <c r="N2432" s="213"/>
      <c r="O2432" s="212">
        <v>0.25</v>
      </c>
      <c r="P2432" s="212"/>
      <c r="Q2432" s="213">
        <v>0</v>
      </c>
      <c r="R2432" s="205" t="s">
        <v>54</v>
      </c>
      <c r="S2432" s="214" t="s">
        <v>51</v>
      </c>
      <c r="T2432" s="214">
        <v>55</v>
      </c>
      <c r="U2432" s="215" t="s">
        <v>164</v>
      </c>
      <c r="V2432" s="438"/>
      <c r="X2432" s="213">
        <v>0</v>
      </c>
      <c r="Y2432" s="213"/>
      <c r="AF2432" s="230">
        <f>X2432</f>
        <v>0</v>
      </c>
      <c r="AJ2432" s="216"/>
    </row>
    <row r="2433" spans="1:77" s="291" customFormat="1" ht="11.25" customHeight="1">
      <c r="B2433" s="291" t="s">
        <v>291</v>
      </c>
      <c r="C2433" s="292">
        <v>44716</v>
      </c>
      <c r="D2433" s="292">
        <v>44721</v>
      </c>
      <c r="E2433" s="293" t="s">
        <v>1821</v>
      </c>
      <c r="F2433" s="291" t="s">
        <v>429</v>
      </c>
      <c r="G2433" s="314">
        <v>4398</v>
      </c>
      <c r="H2433" s="291" t="s">
        <v>99</v>
      </c>
      <c r="I2433" s="295" t="s">
        <v>1822</v>
      </c>
      <c r="J2433" s="296">
        <v>106247.9</v>
      </c>
      <c r="K2433" s="295"/>
      <c r="L2433" s="296">
        <v>66.900000000000006</v>
      </c>
      <c r="M2433" s="296">
        <v>66.8</v>
      </c>
      <c r="N2433" s="297"/>
      <c r="O2433" s="298">
        <v>0.2</v>
      </c>
      <c r="P2433" s="298"/>
      <c r="Q2433" s="297">
        <v>0</v>
      </c>
      <c r="R2433" s="291" t="s">
        <v>35</v>
      </c>
      <c r="S2433" s="299" t="s">
        <v>41</v>
      </c>
      <c r="T2433" s="299">
        <v>86</v>
      </c>
      <c r="U2433" s="300" t="s">
        <v>164</v>
      </c>
      <c r="V2433" s="333"/>
      <c r="W2433" s="303" t="s">
        <v>3897</v>
      </c>
      <c r="X2433" s="306">
        <v>0</v>
      </c>
      <c r="Y2433" s="297"/>
      <c r="AH2433" s="291">
        <f>X2433</f>
        <v>0</v>
      </c>
      <c r="AI2433" s="311"/>
      <c r="AJ2433" s="468"/>
    </row>
    <row r="2434" spans="1:77" s="291" customFormat="1" ht="11.25" customHeight="1">
      <c r="A2434" s="291" t="s">
        <v>3893</v>
      </c>
      <c r="B2434" s="291" t="s">
        <v>291</v>
      </c>
      <c r="C2434" s="292"/>
      <c r="D2434" s="292"/>
      <c r="E2434" s="293" t="s">
        <v>1821</v>
      </c>
      <c r="F2434" s="291" t="s">
        <v>429</v>
      </c>
      <c r="G2434" s="314">
        <v>4398</v>
      </c>
      <c r="H2434" s="291" t="s">
        <v>183</v>
      </c>
      <c r="I2434" s="295" t="s">
        <v>1822</v>
      </c>
      <c r="J2434" s="296">
        <v>59677.17</v>
      </c>
      <c r="K2434" s="295"/>
      <c r="L2434" s="296">
        <v>44.5</v>
      </c>
      <c r="M2434" s="296">
        <v>44.4</v>
      </c>
      <c r="N2434" s="297"/>
      <c r="O2434" s="298">
        <v>0.2</v>
      </c>
      <c r="P2434" s="298"/>
      <c r="Q2434" s="297">
        <v>4895</v>
      </c>
      <c r="R2434" s="291" t="s">
        <v>35</v>
      </c>
      <c r="S2434" s="299" t="s">
        <v>41</v>
      </c>
      <c r="T2434" s="299">
        <v>86</v>
      </c>
      <c r="U2434" s="300" t="s">
        <v>164</v>
      </c>
      <c r="V2434" s="457">
        <v>4895</v>
      </c>
      <c r="X2434" s="297">
        <v>4895</v>
      </c>
      <c r="Y2434" s="297"/>
      <c r="AH2434" s="297">
        <f>X2434</f>
        <v>4895</v>
      </c>
      <c r="AI2434" s="311"/>
      <c r="AJ2434" s="468"/>
    </row>
    <row r="2435" spans="1:77" s="291" customFormat="1" ht="11.25" customHeight="1">
      <c r="B2435" s="291" t="s">
        <v>291</v>
      </c>
      <c r="C2435" s="292"/>
      <c r="D2435" s="292"/>
      <c r="E2435" s="293" t="s">
        <v>1821</v>
      </c>
      <c r="F2435" s="291" t="s">
        <v>429</v>
      </c>
      <c r="G2435" s="314">
        <v>4398</v>
      </c>
      <c r="H2435" s="291" t="s">
        <v>27</v>
      </c>
      <c r="I2435" s="295" t="s">
        <v>1822</v>
      </c>
      <c r="J2435" s="296">
        <v>113737.55</v>
      </c>
      <c r="K2435" s="295"/>
      <c r="L2435" s="296">
        <v>56.23</v>
      </c>
      <c r="M2435" s="296">
        <v>56.22</v>
      </c>
      <c r="N2435" s="297"/>
      <c r="O2435" s="298">
        <v>0.2</v>
      </c>
      <c r="P2435" s="298"/>
      <c r="Q2435" s="297">
        <v>0</v>
      </c>
      <c r="R2435" s="291" t="s">
        <v>35</v>
      </c>
      <c r="S2435" s="299" t="s">
        <v>41</v>
      </c>
      <c r="T2435" s="299">
        <v>86</v>
      </c>
      <c r="U2435" s="300" t="s">
        <v>164</v>
      </c>
      <c r="V2435" s="333"/>
      <c r="W2435" s="303" t="s">
        <v>3897</v>
      </c>
      <c r="X2435" s="306">
        <v>0</v>
      </c>
      <c r="Y2435" s="297"/>
      <c r="AH2435" s="291">
        <f>X2435</f>
        <v>0</v>
      </c>
      <c r="AI2435" s="311"/>
      <c r="AJ2435" s="468"/>
    </row>
    <row r="2436" spans="1:77" s="291" customFormat="1" ht="11.25" customHeight="1">
      <c r="B2436" s="291" t="s">
        <v>291</v>
      </c>
      <c r="C2436" s="292"/>
      <c r="D2436" s="292"/>
      <c r="E2436" s="293" t="s">
        <v>1821</v>
      </c>
      <c r="F2436" s="291" t="s">
        <v>429</v>
      </c>
      <c r="G2436" s="314">
        <v>4398</v>
      </c>
      <c r="H2436" s="291" t="s">
        <v>99</v>
      </c>
      <c r="I2436" s="295" t="s">
        <v>156</v>
      </c>
      <c r="J2436" s="296">
        <v>106247.9</v>
      </c>
      <c r="K2436" s="295"/>
      <c r="L2436" s="296">
        <v>66.900000000000006</v>
      </c>
      <c r="M2436" s="296">
        <v>12.74</v>
      </c>
      <c r="N2436" s="297"/>
      <c r="O2436" s="298">
        <v>0.2</v>
      </c>
      <c r="P2436" s="298">
        <v>0.1</v>
      </c>
      <c r="Q2436" s="297">
        <v>0</v>
      </c>
      <c r="R2436" s="291" t="s">
        <v>35</v>
      </c>
      <c r="S2436" s="299" t="s">
        <v>41</v>
      </c>
      <c r="T2436" s="299">
        <v>86</v>
      </c>
      <c r="U2436" s="300" t="s">
        <v>164</v>
      </c>
      <c r="V2436" s="333"/>
      <c r="W2436" s="303" t="s">
        <v>3897</v>
      </c>
      <c r="X2436" s="306">
        <v>0</v>
      </c>
      <c r="Y2436" s="297"/>
      <c r="AH2436" s="291">
        <f>X2436</f>
        <v>0</v>
      </c>
      <c r="AI2436" s="311"/>
      <c r="AJ2436" s="468"/>
    </row>
    <row r="2437" spans="1:77" s="106" customFormat="1" ht="11.25" customHeight="1">
      <c r="B2437" s="118" t="s">
        <v>291</v>
      </c>
      <c r="C2437" s="107">
        <v>44718</v>
      </c>
      <c r="D2437" s="107">
        <v>44721</v>
      </c>
      <c r="E2437" s="108" t="s">
        <v>1823</v>
      </c>
      <c r="F2437" s="106" t="s">
        <v>787</v>
      </c>
      <c r="G2437" s="680">
        <v>3547</v>
      </c>
      <c r="H2437" s="106" t="s">
        <v>137</v>
      </c>
      <c r="I2437" s="111" t="s">
        <v>888</v>
      </c>
      <c r="J2437" s="110">
        <v>29394</v>
      </c>
      <c r="K2437" s="111"/>
      <c r="L2437" s="110">
        <v>17.04</v>
      </c>
      <c r="M2437" s="110">
        <v>17.04</v>
      </c>
      <c r="N2437" s="112"/>
      <c r="O2437" s="113">
        <v>0.15</v>
      </c>
      <c r="P2437" s="113"/>
      <c r="Q2437" s="112">
        <v>0</v>
      </c>
      <c r="R2437" s="106" t="s">
        <v>105</v>
      </c>
      <c r="S2437" s="114" t="s">
        <v>30</v>
      </c>
      <c r="T2437" s="114">
        <v>39</v>
      </c>
      <c r="U2437" s="115" t="s">
        <v>164</v>
      </c>
      <c r="V2437" s="443"/>
      <c r="X2437" s="112">
        <v>0</v>
      </c>
      <c r="Y2437" s="112"/>
      <c r="AG2437" s="106">
        <f>X2437</f>
        <v>0</v>
      </c>
      <c r="AJ2437" s="116"/>
    </row>
    <row r="2438" spans="1:77" s="106" customFormat="1" ht="11.25" customHeight="1">
      <c r="B2438" s="118" t="s">
        <v>291</v>
      </c>
      <c r="C2438" s="107"/>
      <c r="D2438" s="107"/>
      <c r="E2438" s="108" t="s">
        <v>1823</v>
      </c>
      <c r="F2438" s="106" t="s">
        <v>787</v>
      </c>
      <c r="G2438" s="680">
        <v>3547</v>
      </c>
      <c r="H2438" s="106" t="s">
        <v>99</v>
      </c>
      <c r="I2438" s="111" t="s">
        <v>888</v>
      </c>
      <c r="J2438" s="110">
        <v>130750.68</v>
      </c>
      <c r="K2438" s="111"/>
      <c r="L2438" s="110">
        <v>112.04</v>
      </c>
      <c r="M2438" s="110">
        <v>112.04</v>
      </c>
      <c r="N2438" s="112"/>
      <c r="O2438" s="113">
        <v>0.15</v>
      </c>
      <c r="P2438" s="113"/>
      <c r="Q2438" s="112">
        <v>0</v>
      </c>
      <c r="R2438" s="106" t="s">
        <v>105</v>
      </c>
      <c r="S2438" s="114" t="s">
        <v>30</v>
      </c>
      <c r="T2438" s="114">
        <v>39</v>
      </c>
      <c r="U2438" s="115" t="s">
        <v>164</v>
      </c>
      <c r="V2438" s="443"/>
      <c r="X2438" s="112">
        <v>0</v>
      </c>
      <c r="Y2438" s="112"/>
      <c r="AG2438" s="106">
        <f>X2438</f>
        <v>0</v>
      </c>
      <c r="AJ2438" s="116"/>
    </row>
    <row r="2439" spans="1:77" s="181" customFormat="1" ht="11.25" customHeight="1">
      <c r="B2439" s="178" t="s">
        <v>291</v>
      </c>
      <c r="C2439" s="179"/>
      <c r="D2439" s="179"/>
      <c r="E2439" s="180" t="s">
        <v>1823</v>
      </c>
      <c r="F2439" s="181" t="s">
        <v>787</v>
      </c>
      <c r="G2439" s="201">
        <v>3547</v>
      </c>
      <c r="H2439" s="181" t="s">
        <v>183</v>
      </c>
      <c r="I2439" s="190" t="s">
        <v>888</v>
      </c>
      <c r="J2439" s="183">
        <v>25208.82</v>
      </c>
      <c r="K2439" s="190"/>
      <c r="L2439" s="183">
        <v>26.6</v>
      </c>
      <c r="M2439" s="183">
        <v>26.6</v>
      </c>
      <c r="N2439" s="185"/>
      <c r="O2439" s="186">
        <v>0.15</v>
      </c>
      <c r="P2439" s="186"/>
      <c r="Q2439" s="185">
        <v>0</v>
      </c>
      <c r="R2439" s="181" t="s">
        <v>105</v>
      </c>
      <c r="S2439" s="187" t="s">
        <v>30</v>
      </c>
      <c r="T2439" s="187">
        <v>39</v>
      </c>
      <c r="U2439" s="188" t="s">
        <v>164</v>
      </c>
      <c r="V2439" s="441"/>
      <c r="X2439" s="185">
        <v>0</v>
      </c>
      <c r="Y2439" s="185"/>
      <c r="AE2439" s="204">
        <f>X2439</f>
        <v>0</v>
      </c>
      <c r="AJ2439" s="189"/>
    </row>
    <row r="2440" spans="1:77" s="379" customFormat="1" ht="11.25" customHeight="1">
      <c r="B2440" s="380" t="s">
        <v>291</v>
      </c>
      <c r="C2440" s="381">
        <v>44721</v>
      </c>
      <c r="D2440" s="381">
        <v>44721</v>
      </c>
      <c r="E2440" s="382" t="s">
        <v>1824</v>
      </c>
      <c r="F2440" s="379" t="s">
        <v>1825</v>
      </c>
      <c r="G2440" s="383" t="s">
        <v>1826</v>
      </c>
      <c r="H2440" s="379" t="s">
        <v>99</v>
      </c>
      <c r="I2440" s="384" t="s">
        <v>888</v>
      </c>
      <c r="J2440" s="385">
        <v>12119.26</v>
      </c>
      <c r="K2440" s="384"/>
      <c r="L2440" s="385">
        <v>13.55</v>
      </c>
      <c r="M2440" s="385">
        <v>13.55</v>
      </c>
      <c r="N2440" s="386"/>
      <c r="O2440" s="387">
        <v>0.25</v>
      </c>
      <c r="P2440" s="387"/>
      <c r="Q2440" s="386">
        <v>0</v>
      </c>
      <c r="R2440" s="379" t="s">
        <v>146</v>
      </c>
      <c r="S2440" s="388" t="s">
        <v>74</v>
      </c>
      <c r="T2440" s="388">
        <v>31</v>
      </c>
      <c r="U2440" s="389" t="s">
        <v>164</v>
      </c>
      <c r="V2440" s="433"/>
      <c r="X2440" s="386">
        <v>0</v>
      </c>
      <c r="Y2440" s="386"/>
      <c r="AJ2440" s="390">
        <v>0</v>
      </c>
    </row>
    <row r="2441" spans="1:77" s="337" customFormat="1" ht="11.25" customHeight="1">
      <c r="B2441" s="337" t="s">
        <v>291</v>
      </c>
      <c r="C2441" s="349">
        <v>44721</v>
      </c>
      <c r="D2441" s="349">
        <v>44721</v>
      </c>
      <c r="E2441" s="350" t="s">
        <v>1827</v>
      </c>
      <c r="F2441" s="337" t="s">
        <v>1458</v>
      </c>
      <c r="G2441" s="351" t="s">
        <v>1459</v>
      </c>
      <c r="H2441" s="337" t="s">
        <v>99</v>
      </c>
      <c r="I2441" s="353" t="s">
        <v>888</v>
      </c>
      <c r="J2441" s="352">
        <v>155712.98000000001</v>
      </c>
      <c r="K2441" s="353"/>
      <c r="L2441" s="352">
        <v>120.01</v>
      </c>
      <c r="M2441" s="352">
        <v>120.01</v>
      </c>
      <c r="N2441" s="354"/>
      <c r="O2441" s="355">
        <v>0.25</v>
      </c>
      <c r="P2441" s="355"/>
      <c r="Q2441" s="354">
        <v>0</v>
      </c>
      <c r="R2441" s="341" t="s">
        <v>128</v>
      </c>
      <c r="S2441" s="346" t="s">
        <v>34</v>
      </c>
      <c r="T2441" s="346">
        <v>79</v>
      </c>
      <c r="U2441" s="357" t="s">
        <v>164</v>
      </c>
      <c r="V2441" s="434"/>
      <c r="X2441" s="354">
        <v>0</v>
      </c>
      <c r="Y2441" s="354"/>
      <c r="AI2441" s="337">
        <v>0</v>
      </c>
      <c r="AJ2441" s="358"/>
      <c r="AK2441" s="369"/>
    </row>
    <row r="2442" spans="1:77" s="337" customFormat="1" ht="11.25" customHeight="1">
      <c r="B2442" s="337" t="s">
        <v>291</v>
      </c>
      <c r="C2442" s="349"/>
      <c r="D2442" s="349"/>
      <c r="E2442" s="350" t="s">
        <v>1827</v>
      </c>
      <c r="F2442" s="337" t="s">
        <v>1458</v>
      </c>
      <c r="G2442" s="351" t="s">
        <v>1459</v>
      </c>
      <c r="H2442" s="337" t="s">
        <v>27</v>
      </c>
      <c r="I2442" s="353" t="s">
        <v>888</v>
      </c>
      <c r="J2442" s="352">
        <v>71282.94</v>
      </c>
      <c r="K2442" s="353"/>
      <c r="L2442" s="352">
        <v>52.81</v>
      </c>
      <c r="M2442" s="352">
        <v>52.81</v>
      </c>
      <c r="N2442" s="354"/>
      <c r="O2442" s="355">
        <v>0.25</v>
      </c>
      <c r="P2442" s="355"/>
      <c r="Q2442" s="354">
        <v>0</v>
      </c>
      <c r="R2442" s="341" t="s">
        <v>128</v>
      </c>
      <c r="S2442" s="346" t="s">
        <v>34</v>
      </c>
      <c r="T2442" s="346">
        <v>79</v>
      </c>
      <c r="U2442" s="357" t="s">
        <v>164</v>
      </c>
      <c r="V2442" s="434"/>
      <c r="X2442" s="354">
        <v>0</v>
      </c>
      <c r="Y2442" s="354"/>
      <c r="AI2442" s="337">
        <v>0</v>
      </c>
      <c r="AJ2442" s="358"/>
      <c r="AK2442" s="369"/>
    </row>
    <row r="2443" spans="1:77" s="546" customFormat="1" ht="11.25" customHeight="1">
      <c r="B2443" s="546" t="s">
        <v>291</v>
      </c>
      <c r="C2443" s="547">
        <v>44721</v>
      </c>
      <c r="D2443" s="547">
        <v>44721</v>
      </c>
      <c r="E2443" s="548" t="s">
        <v>1828</v>
      </c>
      <c r="F2443" s="546" t="s">
        <v>1829</v>
      </c>
      <c r="G2443" s="549" t="s">
        <v>1830</v>
      </c>
      <c r="H2443" s="546" t="s">
        <v>99</v>
      </c>
      <c r="I2443" s="551" t="s">
        <v>888</v>
      </c>
      <c r="J2443" s="550">
        <v>45035.19</v>
      </c>
      <c r="K2443" s="551"/>
      <c r="L2443" s="550">
        <v>32.29</v>
      </c>
      <c r="M2443" s="550">
        <v>32.29</v>
      </c>
      <c r="N2443" s="552">
        <f>J2443*0.15</f>
        <v>6755.2785000000003</v>
      </c>
      <c r="O2443" s="553">
        <v>0.25</v>
      </c>
      <c r="P2443" s="553"/>
      <c r="Q2443" s="552">
        <v>1556.81</v>
      </c>
      <c r="R2443" s="546" t="s">
        <v>50</v>
      </c>
      <c r="S2443" s="554" t="s">
        <v>51</v>
      </c>
      <c r="T2443" s="554">
        <v>54</v>
      </c>
      <c r="U2443" s="555" t="s">
        <v>164</v>
      </c>
      <c r="V2443" s="556"/>
      <c r="X2443" s="552">
        <v>1556.81</v>
      </c>
      <c r="Y2443" s="552"/>
      <c r="AJ2443" s="557"/>
      <c r="AM2443" s="577">
        <v>1556.81</v>
      </c>
    </row>
    <row r="2444" spans="1:77" s="205" customFormat="1" ht="11.25" customHeight="1">
      <c r="A2444" s="546"/>
      <c r="B2444" s="546" t="s">
        <v>291</v>
      </c>
      <c r="C2444" s="547"/>
      <c r="D2444" s="547"/>
      <c r="E2444" s="548" t="s">
        <v>1828</v>
      </c>
      <c r="F2444" s="546" t="s">
        <v>1829</v>
      </c>
      <c r="G2444" s="549" t="s">
        <v>1830</v>
      </c>
      <c r="H2444" s="546" t="s">
        <v>183</v>
      </c>
      <c r="I2444" s="551" t="s">
        <v>888</v>
      </c>
      <c r="J2444" s="550">
        <v>16392.13</v>
      </c>
      <c r="K2444" s="551"/>
      <c r="L2444" s="550">
        <v>11.71</v>
      </c>
      <c r="M2444" s="550">
        <v>11.71</v>
      </c>
      <c r="N2444" s="552">
        <f>J2444*0.15</f>
        <v>2458.8195000000001</v>
      </c>
      <c r="O2444" s="553">
        <v>0.25</v>
      </c>
      <c r="P2444" s="553"/>
      <c r="Q2444" s="552">
        <f>0</f>
        <v>0</v>
      </c>
      <c r="R2444" s="546" t="s">
        <v>50</v>
      </c>
      <c r="S2444" s="554" t="s">
        <v>51</v>
      </c>
      <c r="T2444" s="554">
        <v>54</v>
      </c>
      <c r="U2444" s="555" t="s">
        <v>164</v>
      </c>
      <c r="V2444" s="556"/>
      <c r="W2444" s="546"/>
      <c r="X2444" s="552">
        <v>0</v>
      </c>
      <c r="Y2444" s="552"/>
      <c r="Z2444" s="546"/>
      <c r="AA2444" s="546"/>
      <c r="AB2444" s="546"/>
      <c r="AC2444" s="546"/>
      <c r="AD2444" s="546"/>
      <c r="AE2444" s="546"/>
      <c r="AF2444" s="546"/>
      <c r="AG2444" s="546"/>
      <c r="AH2444" s="546"/>
      <c r="AI2444" s="546"/>
      <c r="AJ2444" s="557"/>
      <c r="AK2444" s="546"/>
      <c r="AL2444" s="546"/>
      <c r="AM2444" s="546">
        <v>0</v>
      </c>
      <c r="AN2444" s="546"/>
      <c r="AO2444" s="546"/>
      <c r="AP2444" s="546"/>
      <c r="AQ2444" s="546"/>
      <c r="AR2444" s="546"/>
      <c r="AS2444" s="546"/>
      <c r="AT2444" s="546"/>
      <c r="AU2444" s="546"/>
      <c r="AV2444" s="546"/>
      <c r="AW2444" s="546"/>
      <c r="AX2444" s="546"/>
      <c r="AY2444" s="546"/>
      <c r="AZ2444" s="546"/>
      <c r="BA2444" s="546"/>
      <c r="BB2444" s="546"/>
      <c r="BC2444" s="546"/>
      <c r="BD2444" s="546"/>
      <c r="BE2444" s="546"/>
      <c r="BF2444" s="546"/>
      <c r="BG2444" s="546"/>
      <c r="BH2444" s="546"/>
      <c r="BI2444" s="546"/>
      <c r="BJ2444" s="546"/>
      <c r="BK2444" s="546"/>
      <c r="BL2444" s="546"/>
      <c r="BM2444" s="546"/>
      <c r="BN2444" s="546"/>
      <c r="BO2444" s="546"/>
      <c r="BP2444" s="546"/>
      <c r="BQ2444" s="546"/>
      <c r="BR2444" s="546"/>
      <c r="BS2444" s="546"/>
      <c r="BT2444" s="546"/>
      <c r="BU2444" s="546"/>
      <c r="BV2444" s="546"/>
      <c r="BW2444" s="546"/>
      <c r="BX2444" s="546"/>
      <c r="BY2444" s="546"/>
    </row>
    <row r="2445" spans="1:77" s="546" customFormat="1" ht="11.25" customHeight="1">
      <c r="B2445" s="546" t="s">
        <v>291</v>
      </c>
      <c r="C2445" s="547"/>
      <c r="D2445" s="547"/>
      <c r="E2445" s="548" t="s">
        <v>1828</v>
      </c>
      <c r="F2445" s="546" t="s">
        <v>1829</v>
      </c>
      <c r="G2445" s="549" t="s">
        <v>1830</v>
      </c>
      <c r="H2445" s="546" t="s">
        <v>163</v>
      </c>
      <c r="I2445" s="551" t="s">
        <v>888</v>
      </c>
      <c r="J2445" s="550">
        <v>13916.75</v>
      </c>
      <c r="K2445" s="551"/>
      <c r="L2445" s="550">
        <v>13.48</v>
      </c>
      <c r="M2445" s="550">
        <v>13.48</v>
      </c>
      <c r="N2445" s="552">
        <f>J2445*0.15</f>
        <v>2087.5124999999998</v>
      </c>
      <c r="O2445" s="553">
        <v>0.25</v>
      </c>
      <c r="P2445" s="553"/>
      <c r="Q2445" s="552">
        <v>2375.4499999999998</v>
      </c>
      <c r="R2445" s="546" t="s">
        <v>50</v>
      </c>
      <c r="S2445" s="554" t="s">
        <v>51</v>
      </c>
      <c r="T2445" s="554">
        <v>54</v>
      </c>
      <c r="U2445" s="555" t="s">
        <v>164</v>
      </c>
      <c r="V2445" s="556"/>
      <c r="X2445" s="552">
        <v>2375.4499999999998</v>
      </c>
      <c r="Y2445" s="552"/>
      <c r="AJ2445" s="557"/>
      <c r="AM2445" s="577">
        <v>2375.4499999999998</v>
      </c>
    </row>
    <row r="2446" spans="1:77" s="546" customFormat="1" ht="11.25" customHeight="1">
      <c r="B2446" s="546" t="s">
        <v>291</v>
      </c>
      <c r="C2446" s="547"/>
      <c r="D2446" s="547"/>
      <c r="E2446" s="548" t="s">
        <v>1828</v>
      </c>
      <c r="F2446" s="546" t="s">
        <v>1829</v>
      </c>
      <c r="G2446" s="549" t="s">
        <v>1830</v>
      </c>
      <c r="H2446" s="546" t="s">
        <v>137</v>
      </c>
      <c r="I2446" s="551" t="s">
        <v>888</v>
      </c>
      <c r="J2446" s="550">
        <v>22603</v>
      </c>
      <c r="K2446" s="551"/>
      <c r="L2446" s="550">
        <v>18.940000000000001</v>
      </c>
      <c r="M2446" s="550">
        <v>18.940000000000001</v>
      </c>
      <c r="N2446" s="552">
        <f>J2446*0.5</f>
        <v>11301.5</v>
      </c>
      <c r="O2446" s="553">
        <v>0.25</v>
      </c>
      <c r="P2446" s="553"/>
      <c r="Q2446" s="552">
        <v>0</v>
      </c>
      <c r="R2446" s="546" t="s">
        <v>50</v>
      </c>
      <c r="S2446" s="554" t="s">
        <v>51</v>
      </c>
      <c r="T2446" s="554">
        <v>54</v>
      </c>
      <c r="U2446" s="555" t="s">
        <v>164</v>
      </c>
      <c r="V2446" s="556"/>
      <c r="X2446" s="552">
        <v>0</v>
      </c>
      <c r="Y2446" s="552"/>
      <c r="AJ2446" s="557"/>
      <c r="AM2446" s="546">
        <v>0</v>
      </c>
    </row>
    <row r="2447" spans="1:77" s="205" customFormat="1" ht="11.25" customHeight="1">
      <c r="B2447" s="205" t="s">
        <v>291</v>
      </c>
      <c r="C2447" s="207"/>
      <c r="D2447" s="207"/>
      <c r="E2447" s="208" t="s">
        <v>1828</v>
      </c>
      <c r="F2447" s="205" t="s">
        <v>1829</v>
      </c>
      <c r="G2447" s="209" t="s">
        <v>1830</v>
      </c>
      <c r="H2447" s="205" t="s">
        <v>27</v>
      </c>
      <c r="I2447" s="219" t="s">
        <v>888</v>
      </c>
      <c r="J2447" s="210">
        <v>18268.169999999998</v>
      </c>
      <c r="K2447" s="219"/>
      <c r="L2447" s="210">
        <v>12.18</v>
      </c>
      <c r="M2447" s="210">
        <v>12.18</v>
      </c>
      <c r="N2447" s="213">
        <f>J2447*0.2</f>
        <v>3653.634</v>
      </c>
      <c r="O2447" s="212">
        <v>0.25</v>
      </c>
      <c r="P2447" s="212"/>
      <c r="Q2447" s="213">
        <v>0</v>
      </c>
      <c r="R2447" s="205" t="s">
        <v>50</v>
      </c>
      <c r="S2447" s="214" t="s">
        <v>51</v>
      </c>
      <c r="T2447" s="214">
        <v>54</v>
      </c>
      <c r="U2447" s="215" t="s">
        <v>164</v>
      </c>
      <c r="V2447" s="438"/>
      <c r="W2447" s="205" t="s">
        <v>2913</v>
      </c>
      <c r="X2447" s="213">
        <v>0</v>
      </c>
      <c r="Y2447" s="213"/>
      <c r="AF2447" s="230">
        <f>X2447</f>
        <v>0</v>
      </c>
    </row>
    <row r="2448" spans="1:77" s="106" customFormat="1" ht="11.25" customHeight="1">
      <c r="B2448" s="118" t="s">
        <v>291</v>
      </c>
      <c r="C2448" s="107">
        <v>44716</v>
      </c>
      <c r="D2448" s="107">
        <v>44721</v>
      </c>
      <c r="E2448" s="108" t="s">
        <v>1831</v>
      </c>
      <c r="F2448" s="106" t="s">
        <v>879</v>
      </c>
      <c r="G2448" s="109" t="s">
        <v>880</v>
      </c>
      <c r="H2448" s="106" t="s">
        <v>310</v>
      </c>
      <c r="I2448" s="111" t="s">
        <v>33</v>
      </c>
      <c r="J2448" s="110">
        <v>13572.74</v>
      </c>
      <c r="K2448" s="111"/>
      <c r="L2448" s="110">
        <v>10.66</v>
      </c>
      <c r="M2448" s="110">
        <v>10.66</v>
      </c>
      <c r="N2448" s="112">
        <f>J2448*0.55</f>
        <v>7465.0070000000005</v>
      </c>
      <c r="O2448" s="113">
        <v>0.25</v>
      </c>
      <c r="P2448" s="113"/>
      <c r="Q2448" s="112">
        <v>1200.21</v>
      </c>
      <c r="R2448" s="106" t="s">
        <v>54</v>
      </c>
      <c r="S2448" s="114" t="s">
        <v>882</v>
      </c>
      <c r="T2448" s="114">
        <v>77</v>
      </c>
      <c r="U2448" s="115" t="s">
        <v>164</v>
      </c>
      <c r="V2448" s="443"/>
      <c r="X2448" s="112">
        <v>1200.21</v>
      </c>
      <c r="Y2448" s="112"/>
      <c r="AG2448" s="106">
        <f>X2448</f>
        <v>1200.21</v>
      </c>
      <c r="AJ2448" s="116"/>
    </row>
    <row r="2449" spans="1:77" s="106" customFormat="1" ht="11.25" customHeight="1">
      <c r="B2449" s="118" t="s">
        <v>291</v>
      </c>
      <c r="C2449" s="107">
        <v>44718</v>
      </c>
      <c r="D2449" s="107">
        <v>44721</v>
      </c>
      <c r="E2449" s="108" t="s">
        <v>1832</v>
      </c>
      <c r="F2449" s="106" t="s">
        <v>1833</v>
      </c>
      <c r="G2449" s="109">
        <v>4009</v>
      </c>
      <c r="H2449" s="106" t="s">
        <v>99</v>
      </c>
      <c r="I2449" s="111" t="s">
        <v>1549</v>
      </c>
      <c r="J2449" s="110">
        <v>18370.8</v>
      </c>
      <c r="K2449" s="111"/>
      <c r="L2449" s="110">
        <v>18</v>
      </c>
      <c r="M2449" s="110">
        <v>18</v>
      </c>
      <c r="N2449" s="112">
        <v>5410.2</v>
      </c>
      <c r="O2449" s="113">
        <v>0.2</v>
      </c>
      <c r="P2449" s="113"/>
      <c r="Q2449" s="112">
        <v>0</v>
      </c>
      <c r="R2449" s="106" t="s">
        <v>142</v>
      </c>
      <c r="S2449" s="114" t="s">
        <v>41</v>
      </c>
      <c r="T2449" s="114">
        <v>24</v>
      </c>
      <c r="U2449" s="115" t="s">
        <v>164</v>
      </c>
      <c r="V2449" s="443"/>
      <c r="X2449" s="112">
        <v>0</v>
      </c>
      <c r="Y2449" s="112"/>
      <c r="AG2449" s="106">
        <f>X2449</f>
        <v>0</v>
      </c>
      <c r="AJ2449" s="116"/>
    </row>
    <row r="2450" spans="1:77" s="106" customFormat="1" ht="11.25" customHeight="1">
      <c r="B2450" s="118" t="s">
        <v>291</v>
      </c>
      <c r="C2450" s="107"/>
      <c r="D2450" s="107"/>
      <c r="E2450" s="108" t="s">
        <v>1832</v>
      </c>
      <c r="F2450" s="106" t="s">
        <v>1833</v>
      </c>
      <c r="G2450" s="109">
        <v>4009</v>
      </c>
      <c r="H2450" s="106" t="s">
        <v>183</v>
      </c>
      <c r="I2450" s="111" t="s">
        <v>1549</v>
      </c>
      <c r="J2450" s="110">
        <v>13531.18</v>
      </c>
      <c r="K2450" s="111"/>
      <c r="L2450" s="110">
        <v>17.5</v>
      </c>
      <c r="M2450" s="110">
        <v>17.5</v>
      </c>
      <c r="N2450" s="112">
        <v>2620.23</v>
      </c>
      <c r="O2450" s="113">
        <v>0.2</v>
      </c>
      <c r="P2450" s="113"/>
      <c r="Q2450" s="112">
        <v>0</v>
      </c>
      <c r="R2450" s="106" t="s">
        <v>142</v>
      </c>
      <c r="S2450" s="114" t="s">
        <v>41</v>
      </c>
      <c r="T2450" s="114">
        <v>24</v>
      </c>
      <c r="U2450" s="115" t="s">
        <v>164</v>
      </c>
      <c r="V2450" s="443"/>
      <c r="X2450" s="112">
        <v>0</v>
      </c>
      <c r="Y2450" s="112"/>
      <c r="AG2450" s="106">
        <f>X2450</f>
        <v>0</v>
      </c>
      <c r="AJ2450" s="116"/>
    </row>
    <row r="2451" spans="1:77" s="379" customFormat="1" ht="11.25" customHeight="1">
      <c r="B2451" s="380" t="s">
        <v>291</v>
      </c>
      <c r="C2451" s="381"/>
      <c r="D2451" s="381"/>
      <c r="E2451" s="382" t="s">
        <v>1832</v>
      </c>
      <c r="F2451" s="379" t="s">
        <v>1833</v>
      </c>
      <c r="G2451" s="383">
        <v>4009</v>
      </c>
      <c r="H2451" s="379" t="s">
        <v>765</v>
      </c>
      <c r="I2451" s="384" t="s">
        <v>1549</v>
      </c>
      <c r="J2451" s="385">
        <v>11776</v>
      </c>
      <c r="K2451" s="384"/>
      <c r="L2451" s="385">
        <v>16</v>
      </c>
      <c r="M2451" s="385">
        <v>16</v>
      </c>
      <c r="N2451" s="386">
        <v>3072.36</v>
      </c>
      <c r="O2451" s="387">
        <v>0.2</v>
      </c>
      <c r="P2451" s="387"/>
      <c r="Q2451" s="386">
        <v>0</v>
      </c>
      <c r="R2451" s="379" t="s">
        <v>142</v>
      </c>
      <c r="S2451" s="388" t="s">
        <v>41</v>
      </c>
      <c r="T2451" s="388">
        <v>24</v>
      </c>
      <c r="U2451" s="389" t="s">
        <v>164</v>
      </c>
      <c r="V2451" s="433"/>
      <c r="X2451" s="386">
        <v>0</v>
      </c>
      <c r="Y2451" s="386"/>
      <c r="AJ2451" s="390">
        <v>0</v>
      </c>
    </row>
    <row r="2452" spans="1:77" s="379" customFormat="1" ht="11.25" customHeight="1">
      <c r="B2452" s="380" t="s">
        <v>291</v>
      </c>
      <c r="C2452" s="381">
        <v>44721</v>
      </c>
      <c r="D2452" s="381">
        <v>44721</v>
      </c>
      <c r="E2452" s="382" t="s">
        <v>1834</v>
      </c>
      <c r="F2452" s="379" t="s">
        <v>1835</v>
      </c>
      <c r="G2452" s="383" t="s">
        <v>1836</v>
      </c>
      <c r="H2452" s="379" t="s">
        <v>138</v>
      </c>
      <c r="I2452" s="384" t="s">
        <v>33</v>
      </c>
      <c r="J2452" s="385">
        <v>13643.01</v>
      </c>
      <c r="K2452" s="384"/>
      <c r="L2452" s="385">
        <v>11.1</v>
      </c>
      <c r="M2452" s="385">
        <v>11.1</v>
      </c>
      <c r="N2452" s="386"/>
      <c r="O2452" s="387">
        <v>0.15</v>
      </c>
      <c r="P2452" s="387"/>
      <c r="Q2452" s="386">
        <v>0</v>
      </c>
      <c r="R2452" s="379" t="s">
        <v>73</v>
      </c>
      <c r="S2452" s="388" t="s">
        <v>74</v>
      </c>
      <c r="T2452" s="388">
        <v>31</v>
      </c>
      <c r="U2452" s="389" t="s">
        <v>164</v>
      </c>
      <c r="V2452" s="433"/>
      <c r="X2452" s="386">
        <v>0</v>
      </c>
      <c r="Y2452" s="386"/>
      <c r="AJ2452" s="390">
        <v>0</v>
      </c>
    </row>
    <row r="2453" spans="1:77" s="379" customFormat="1" ht="11.25" customHeight="1">
      <c r="B2453" s="380" t="s">
        <v>291</v>
      </c>
      <c r="C2453" s="381"/>
      <c r="D2453" s="381"/>
      <c r="E2453" s="382" t="s">
        <v>1834</v>
      </c>
      <c r="F2453" s="379" t="s">
        <v>1835</v>
      </c>
      <c r="G2453" s="383" t="s">
        <v>1836</v>
      </c>
      <c r="H2453" s="379" t="s">
        <v>99</v>
      </c>
      <c r="I2453" s="384" t="s">
        <v>33</v>
      </c>
      <c r="J2453" s="385">
        <v>29910.51</v>
      </c>
      <c r="K2453" s="384"/>
      <c r="L2453" s="385">
        <v>27.58</v>
      </c>
      <c r="M2453" s="385">
        <v>27.58</v>
      </c>
      <c r="N2453" s="386"/>
      <c r="O2453" s="387">
        <v>0.15</v>
      </c>
      <c r="P2453" s="387"/>
      <c r="Q2453" s="386">
        <v>5980.03</v>
      </c>
      <c r="R2453" s="379" t="s">
        <v>73</v>
      </c>
      <c r="S2453" s="388" t="s">
        <v>74</v>
      </c>
      <c r="T2453" s="388">
        <v>31</v>
      </c>
      <c r="U2453" s="389" t="s">
        <v>164</v>
      </c>
      <c r="V2453" s="433"/>
      <c r="X2453" s="386">
        <v>5980.03</v>
      </c>
      <c r="Y2453" s="386"/>
      <c r="AJ2453" s="416">
        <v>5980.03</v>
      </c>
    </row>
    <row r="2454" spans="1:77" s="379" customFormat="1" ht="11.25" customHeight="1">
      <c r="B2454" s="380" t="s">
        <v>291</v>
      </c>
      <c r="C2454" s="381"/>
      <c r="D2454" s="381"/>
      <c r="E2454" s="382" t="s">
        <v>1834</v>
      </c>
      <c r="F2454" s="379" t="s">
        <v>1835</v>
      </c>
      <c r="G2454" s="383" t="s">
        <v>1836</v>
      </c>
      <c r="H2454" s="379" t="s">
        <v>140</v>
      </c>
      <c r="I2454" s="384" t="s">
        <v>33</v>
      </c>
      <c r="J2454" s="385">
        <v>23018.31</v>
      </c>
      <c r="K2454" s="384"/>
      <c r="L2454" s="385">
        <v>19.23</v>
      </c>
      <c r="M2454" s="385">
        <v>19.23</v>
      </c>
      <c r="N2454" s="386"/>
      <c r="O2454" s="387">
        <v>0.15</v>
      </c>
      <c r="P2454" s="387"/>
      <c r="Q2454" s="386">
        <v>3708.51</v>
      </c>
      <c r="R2454" s="379" t="s">
        <v>73</v>
      </c>
      <c r="S2454" s="388" t="s">
        <v>74</v>
      </c>
      <c r="T2454" s="388">
        <v>31</v>
      </c>
      <c r="U2454" s="389" t="s">
        <v>164</v>
      </c>
      <c r="V2454" s="433"/>
      <c r="X2454" s="386">
        <v>3708.51</v>
      </c>
      <c r="Y2454" s="386"/>
      <c r="AJ2454" s="416">
        <v>3708.51</v>
      </c>
    </row>
    <row r="2455" spans="1:77" s="379" customFormat="1" ht="11.25" customHeight="1">
      <c r="B2455" s="380" t="s">
        <v>291</v>
      </c>
      <c r="C2455" s="381"/>
      <c r="D2455" s="381"/>
      <c r="E2455" s="382" t="s">
        <v>1834</v>
      </c>
      <c r="F2455" s="379" t="s">
        <v>1835</v>
      </c>
      <c r="G2455" s="383" t="s">
        <v>1836</v>
      </c>
      <c r="H2455" s="379" t="s">
        <v>183</v>
      </c>
      <c r="I2455" s="384" t="s">
        <v>33</v>
      </c>
      <c r="J2455" s="385">
        <v>9366.06</v>
      </c>
      <c r="K2455" s="384"/>
      <c r="L2455" s="385">
        <v>12.65</v>
      </c>
      <c r="M2455" s="385">
        <v>12.65</v>
      </c>
      <c r="N2455" s="386"/>
      <c r="O2455" s="387">
        <v>0.15</v>
      </c>
      <c r="P2455" s="387"/>
      <c r="Q2455" s="386">
        <v>522.95000000000005</v>
      </c>
      <c r="R2455" s="379" t="s">
        <v>73</v>
      </c>
      <c r="S2455" s="388" t="s">
        <v>74</v>
      </c>
      <c r="T2455" s="388">
        <v>31</v>
      </c>
      <c r="U2455" s="389" t="s">
        <v>164</v>
      </c>
      <c r="V2455" s="433"/>
      <c r="X2455" s="386">
        <v>522.95000000000005</v>
      </c>
      <c r="Y2455" s="386"/>
      <c r="AJ2455" s="416">
        <v>522.95000000000005</v>
      </c>
    </row>
    <row r="2456" spans="1:77" s="379" customFormat="1" ht="11.25" customHeight="1">
      <c r="B2456" s="380" t="s">
        <v>291</v>
      </c>
      <c r="C2456" s="381"/>
      <c r="D2456" s="381"/>
      <c r="E2456" s="382" t="s">
        <v>1834</v>
      </c>
      <c r="F2456" s="379" t="s">
        <v>1835</v>
      </c>
      <c r="G2456" s="383" t="s">
        <v>1836</v>
      </c>
      <c r="H2456" s="379" t="s">
        <v>866</v>
      </c>
      <c r="I2456" s="384" t="s">
        <v>33</v>
      </c>
      <c r="J2456" s="385">
        <v>14843.14</v>
      </c>
      <c r="K2456" s="384"/>
      <c r="L2456" s="385">
        <v>14.08</v>
      </c>
      <c r="M2456" s="385">
        <v>14.08</v>
      </c>
      <c r="N2456" s="386"/>
      <c r="O2456" s="387">
        <v>0.15</v>
      </c>
      <c r="P2456" s="387"/>
      <c r="Q2456" s="386">
        <v>0</v>
      </c>
      <c r="R2456" s="379" t="s">
        <v>73</v>
      </c>
      <c r="S2456" s="388" t="s">
        <v>74</v>
      </c>
      <c r="T2456" s="388">
        <v>31</v>
      </c>
      <c r="U2456" s="389" t="s">
        <v>164</v>
      </c>
      <c r="V2456" s="433"/>
      <c r="X2456" s="386">
        <v>0</v>
      </c>
      <c r="Y2456" s="386"/>
      <c r="AJ2456" s="390">
        <v>0</v>
      </c>
    </row>
    <row r="2457" spans="1:77" s="379" customFormat="1" ht="11.25" customHeight="1">
      <c r="B2457" s="380" t="s">
        <v>291</v>
      </c>
      <c r="C2457" s="381"/>
      <c r="D2457" s="381"/>
      <c r="E2457" s="382" t="s">
        <v>1834</v>
      </c>
      <c r="F2457" s="379" t="s">
        <v>1835</v>
      </c>
      <c r="G2457" s="383" t="s">
        <v>1836</v>
      </c>
      <c r="H2457" s="379" t="s">
        <v>1141</v>
      </c>
      <c r="I2457" s="384" t="s">
        <v>33</v>
      </c>
      <c r="J2457" s="385">
        <v>14926.46</v>
      </c>
      <c r="K2457" s="384"/>
      <c r="L2457" s="385">
        <v>18.43</v>
      </c>
      <c r="M2457" s="385">
        <v>18.43</v>
      </c>
      <c r="N2457" s="386"/>
      <c r="O2457" s="387">
        <v>0.15</v>
      </c>
      <c r="P2457" s="387"/>
      <c r="Q2457" s="386">
        <v>0</v>
      </c>
      <c r="R2457" s="379" t="s">
        <v>73</v>
      </c>
      <c r="S2457" s="388" t="s">
        <v>74</v>
      </c>
      <c r="T2457" s="388">
        <v>31</v>
      </c>
      <c r="U2457" s="389" t="s">
        <v>164</v>
      </c>
      <c r="V2457" s="433"/>
      <c r="X2457" s="386">
        <v>0</v>
      </c>
      <c r="Y2457" s="386"/>
      <c r="AJ2457" s="390">
        <v>0</v>
      </c>
    </row>
    <row r="2458" spans="1:77" s="379" customFormat="1" ht="11.25" customHeight="1">
      <c r="B2458" s="380" t="s">
        <v>291</v>
      </c>
      <c r="C2458" s="381"/>
      <c r="D2458" s="381"/>
      <c r="E2458" s="382" t="s">
        <v>1834</v>
      </c>
      <c r="F2458" s="379" t="s">
        <v>1835</v>
      </c>
      <c r="G2458" s="383" t="s">
        <v>1836</v>
      </c>
      <c r="H2458" s="379" t="s">
        <v>765</v>
      </c>
      <c r="I2458" s="384" t="s">
        <v>33</v>
      </c>
      <c r="J2458" s="385">
        <v>36216.18</v>
      </c>
      <c r="K2458" s="384"/>
      <c r="L2458" s="385">
        <v>42.21</v>
      </c>
      <c r="M2458" s="385">
        <v>42.21</v>
      </c>
      <c r="N2458" s="386"/>
      <c r="O2458" s="387">
        <v>0.15</v>
      </c>
      <c r="P2458" s="387"/>
      <c r="Q2458" s="386">
        <v>0</v>
      </c>
      <c r="R2458" s="379" t="s">
        <v>73</v>
      </c>
      <c r="S2458" s="388" t="s">
        <v>74</v>
      </c>
      <c r="T2458" s="388">
        <v>31</v>
      </c>
      <c r="U2458" s="389" t="s">
        <v>164</v>
      </c>
      <c r="V2458" s="433"/>
      <c r="X2458" s="386">
        <v>0</v>
      </c>
      <c r="Y2458" s="386"/>
      <c r="AJ2458" s="390">
        <v>0</v>
      </c>
    </row>
    <row r="2459" spans="1:77" s="106" customFormat="1" ht="11.25" customHeight="1">
      <c r="B2459" s="118" t="s">
        <v>291</v>
      </c>
      <c r="C2459" s="107">
        <v>44720</v>
      </c>
      <c r="D2459" s="107">
        <v>44721</v>
      </c>
      <c r="E2459" s="108" t="s">
        <v>3758</v>
      </c>
      <c r="F2459" s="106" t="s">
        <v>1837</v>
      </c>
      <c r="G2459" s="109" t="s">
        <v>1838</v>
      </c>
      <c r="H2459" s="106" t="s">
        <v>99</v>
      </c>
      <c r="I2459" s="111" t="s">
        <v>1839</v>
      </c>
      <c r="J2459" s="110">
        <v>11240.5</v>
      </c>
      <c r="K2459" s="111"/>
      <c r="L2459" s="110">
        <v>7.8</v>
      </c>
      <c r="M2459" s="110">
        <v>2.5</v>
      </c>
      <c r="N2459" s="112">
        <f>1533.31976+2222.16</f>
        <v>3755.4797600000002</v>
      </c>
      <c r="O2459" s="113">
        <v>0.2</v>
      </c>
      <c r="P2459" s="113"/>
      <c r="Q2459" s="112">
        <v>450</v>
      </c>
      <c r="R2459" s="106" t="s">
        <v>576</v>
      </c>
      <c r="S2459" s="114" t="s">
        <v>41</v>
      </c>
      <c r="T2459" s="114">
        <v>79</v>
      </c>
      <c r="U2459" s="115" t="s">
        <v>164</v>
      </c>
      <c r="V2459" s="443">
        <v>450</v>
      </c>
      <c r="X2459" s="112">
        <v>450</v>
      </c>
      <c r="Y2459" s="112"/>
      <c r="AG2459" s="106">
        <f>X2459</f>
        <v>450</v>
      </c>
      <c r="AJ2459" s="116"/>
    </row>
    <row r="2460" spans="1:77" s="106" customFormat="1" ht="11.25" customHeight="1">
      <c r="B2460" s="118" t="s">
        <v>291</v>
      </c>
      <c r="C2460" s="107"/>
      <c r="D2460" s="107"/>
      <c r="E2460" s="108" t="s">
        <v>3758</v>
      </c>
      <c r="F2460" s="106" t="s">
        <v>1837</v>
      </c>
      <c r="G2460" s="109" t="s">
        <v>1838</v>
      </c>
      <c r="H2460" s="106" t="s">
        <v>183</v>
      </c>
      <c r="I2460" s="111" t="s">
        <v>1839</v>
      </c>
      <c r="J2460" s="110">
        <v>6559.76</v>
      </c>
      <c r="K2460" s="111"/>
      <c r="L2460" s="110">
        <v>4.91</v>
      </c>
      <c r="M2460" s="110">
        <v>4.91</v>
      </c>
      <c r="N2460" s="112">
        <v>1967.91</v>
      </c>
      <c r="O2460" s="113">
        <v>0.2</v>
      </c>
      <c r="P2460" s="113"/>
      <c r="Q2460" s="112">
        <v>300</v>
      </c>
      <c r="R2460" s="106" t="s">
        <v>576</v>
      </c>
      <c r="S2460" s="114" t="s">
        <v>41</v>
      </c>
      <c r="T2460" s="114">
        <v>79</v>
      </c>
      <c r="U2460" s="115" t="s">
        <v>164</v>
      </c>
      <c r="V2460" s="443">
        <v>300</v>
      </c>
      <c r="X2460" s="112">
        <v>300</v>
      </c>
      <c r="Y2460" s="112"/>
      <c r="AG2460" s="106">
        <f>X2460</f>
        <v>300</v>
      </c>
      <c r="AJ2460" s="116"/>
    </row>
    <row r="2461" spans="1:77" s="6" customFormat="1" ht="11.25" customHeight="1">
      <c r="A2461" s="379"/>
      <c r="B2461" s="380" t="s">
        <v>291</v>
      </c>
      <c r="C2461" s="381"/>
      <c r="D2461" s="381"/>
      <c r="E2461" s="382" t="s">
        <v>1840</v>
      </c>
      <c r="F2461" s="379" t="s">
        <v>647</v>
      </c>
      <c r="G2461" s="383">
        <v>4280</v>
      </c>
      <c r="H2461" s="379" t="s">
        <v>137</v>
      </c>
      <c r="I2461" s="384" t="s">
        <v>33</v>
      </c>
      <c r="J2461" s="385">
        <v>4480.8599999999997</v>
      </c>
      <c r="K2461" s="384"/>
      <c r="L2461" s="385">
        <v>4.5999999999999996</v>
      </c>
      <c r="M2461" s="385">
        <v>4.55</v>
      </c>
      <c r="N2461" s="386"/>
      <c r="O2461" s="387">
        <v>0.25</v>
      </c>
      <c r="P2461" s="387"/>
      <c r="Q2461" s="386">
        <v>213.88</v>
      </c>
      <c r="R2461" s="379" t="s">
        <v>35</v>
      </c>
      <c r="S2461" s="388" t="s">
        <v>41</v>
      </c>
      <c r="T2461" s="388">
        <v>16</v>
      </c>
      <c r="U2461" s="389" t="s">
        <v>164</v>
      </c>
      <c r="V2461" s="433">
        <v>213.88</v>
      </c>
      <c r="W2461" s="379"/>
      <c r="X2461" s="390">
        <v>213.88</v>
      </c>
      <c r="Y2461" s="386"/>
      <c r="Z2461" s="379"/>
      <c r="AA2461" s="379"/>
      <c r="AB2461" s="379"/>
      <c r="AC2461" s="379"/>
      <c r="AD2461" s="379"/>
      <c r="AE2461" s="379"/>
      <c r="AF2461" s="379"/>
      <c r="AG2461" s="379"/>
      <c r="AH2461" s="379"/>
      <c r="AI2461" s="379"/>
      <c r="AJ2461" s="390">
        <v>213.88</v>
      </c>
      <c r="AK2461" s="379"/>
      <c r="AL2461" s="379"/>
      <c r="AM2461" s="379"/>
      <c r="AN2461" s="379"/>
      <c r="AO2461" s="379"/>
      <c r="AP2461" s="379"/>
      <c r="AQ2461" s="379"/>
      <c r="AR2461" s="379"/>
      <c r="AS2461" s="379"/>
      <c r="AT2461" s="379"/>
      <c r="AU2461" s="379"/>
      <c r="AV2461" s="379"/>
      <c r="AW2461" s="379"/>
      <c r="AX2461" s="379"/>
      <c r="AY2461" s="379"/>
      <c r="AZ2461" s="379"/>
      <c r="BA2461" s="379"/>
      <c r="BB2461" s="379"/>
      <c r="BC2461" s="379"/>
      <c r="BD2461" s="379"/>
      <c r="BE2461" s="379"/>
      <c r="BF2461" s="379"/>
      <c r="BG2461" s="379"/>
      <c r="BH2461" s="379"/>
      <c r="BI2461" s="379"/>
      <c r="BJ2461" s="379"/>
      <c r="BK2461" s="379"/>
      <c r="BL2461" s="379"/>
      <c r="BM2461" s="379"/>
      <c r="BN2461" s="379"/>
      <c r="BO2461" s="379"/>
      <c r="BP2461" s="379"/>
      <c r="BQ2461" s="379"/>
      <c r="BR2461" s="379"/>
      <c r="BS2461" s="379"/>
      <c r="BT2461" s="379"/>
      <c r="BU2461" s="379"/>
      <c r="BV2461" s="379"/>
      <c r="BW2461" s="379"/>
      <c r="BX2461" s="379"/>
      <c r="BY2461" s="379"/>
    </row>
    <row r="2462" spans="1:77" s="337" customFormat="1" ht="11.25" customHeight="1">
      <c r="B2462" s="338" t="s">
        <v>291</v>
      </c>
      <c r="C2462" s="349"/>
      <c r="D2462" s="349"/>
      <c r="E2462" s="350" t="s">
        <v>1840</v>
      </c>
      <c r="F2462" s="337" t="s">
        <v>647</v>
      </c>
      <c r="G2462" s="351">
        <v>4280</v>
      </c>
      <c r="H2462" s="337" t="s">
        <v>27</v>
      </c>
      <c r="I2462" s="353" t="s">
        <v>33</v>
      </c>
      <c r="J2462" s="352">
        <v>26763.09</v>
      </c>
      <c r="K2462" s="353"/>
      <c r="L2462" s="352">
        <v>24.35</v>
      </c>
      <c r="M2462" s="352">
        <v>24.3</v>
      </c>
      <c r="N2462" s="354">
        <v>0</v>
      </c>
      <c r="O2462" s="355">
        <v>0.25</v>
      </c>
      <c r="P2462" s="355"/>
      <c r="Q2462" s="354">
        <v>0</v>
      </c>
      <c r="R2462" s="337" t="s">
        <v>35</v>
      </c>
      <c r="S2462" s="356" t="s">
        <v>41</v>
      </c>
      <c r="T2462" s="356">
        <v>16</v>
      </c>
      <c r="U2462" s="357" t="s">
        <v>164</v>
      </c>
      <c r="V2462" s="434"/>
      <c r="X2462" s="354">
        <v>0</v>
      </c>
      <c r="Y2462" s="354"/>
      <c r="AI2462" s="337">
        <f>X2462</f>
        <v>0</v>
      </c>
      <c r="AJ2462" s="358"/>
      <c r="AK2462" s="369"/>
    </row>
    <row r="2463" spans="1:77" s="337" customFormat="1" ht="11.25" customHeight="1">
      <c r="B2463" s="338" t="s">
        <v>291</v>
      </c>
      <c r="C2463" s="349"/>
      <c r="D2463" s="349"/>
      <c r="E2463" s="350" t="s">
        <v>1840</v>
      </c>
      <c r="F2463" s="337" t="s">
        <v>647</v>
      </c>
      <c r="G2463" s="351">
        <v>4280</v>
      </c>
      <c r="H2463" s="337" t="s">
        <v>183</v>
      </c>
      <c r="I2463" s="353" t="s">
        <v>33</v>
      </c>
      <c r="J2463" s="352">
        <v>13152.92</v>
      </c>
      <c r="K2463" s="353"/>
      <c r="L2463" s="352">
        <v>14.32</v>
      </c>
      <c r="M2463" s="352">
        <v>14.2</v>
      </c>
      <c r="N2463" s="354">
        <v>0</v>
      </c>
      <c r="O2463" s="355">
        <v>0.25</v>
      </c>
      <c r="P2463" s="355"/>
      <c r="Q2463" s="354">
        <v>0</v>
      </c>
      <c r="R2463" s="337" t="s">
        <v>35</v>
      </c>
      <c r="S2463" s="356" t="s">
        <v>41</v>
      </c>
      <c r="T2463" s="356">
        <v>16</v>
      </c>
      <c r="U2463" s="357" t="s">
        <v>164</v>
      </c>
      <c r="V2463" s="434"/>
      <c r="X2463" s="354">
        <v>0</v>
      </c>
      <c r="Y2463" s="354"/>
      <c r="AI2463" s="337">
        <f>X2463</f>
        <v>0</v>
      </c>
      <c r="AJ2463" s="358"/>
      <c r="AK2463" s="369"/>
    </row>
    <row r="2464" spans="1:77" s="337" customFormat="1" ht="11.25" customHeight="1">
      <c r="B2464" s="338" t="s">
        <v>291</v>
      </c>
      <c r="C2464" s="349">
        <v>44712</v>
      </c>
      <c r="D2464" s="349">
        <v>44722</v>
      </c>
      <c r="E2464" s="350" t="s">
        <v>1840</v>
      </c>
      <c r="F2464" s="337" t="s">
        <v>647</v>
      </c>
      <c r="G2464" s="351">
        <v>4280</v>
      </c>
      <c r="H2464" s="337" t="s">
        <v>99</v>
      </c>
      <c r="I2464" s="353" t="s">
        <v>33</v>
      </c>
      <c r="J2464" s="352">
        <v>53606.73</v>
      </c>
      <c r="K2464" s="353"/>
      <c r="L2464" s="352">
        <v>54.65</v>
      </c>
      <c r="M2464" s="352">
        <v>54.65</v>
      </c>
      <c r="N2464" s="354"/>
      <c r="O2464" s="355">
        <v>0.25</v>
      </c>
      <c r="P2464" s="355"/>
      <c r="Q2464" s="354">
        <v>0</v>
      </c>
      <c r="R2464" s="337" t="s">
        <v>35</v>
      </c>
      <c r="S2464" s="356" t="s">
        <v>41</v>
      </c>
      <c r="T2464" s="356">
        <v>16</v>
      </c>
      <c r="U2464" s="357" t="s">
        <v>164</v>
      </c>
      <c r="V2464" s="434"/>
      <c r="X2464" s="354">
        <v>0</v>
      </c>
      <c r="Y2464" s="354"/>
      <c r="AI2464" s="337">
        <f>X2464</f>
        <v>0</v>
      </c>
      <c r="AJ2464" s="358"/>
      <c r="AK2464" s="369"/>
    </row>
    <row r="2465" spans="1:77" s="261" customFormat="1" ht="11.25" customHeight="1">
      <c r="A2465" s="379"/>
      <c r="B2465" s="380" t="s">
        <v>291</v>
      </c>
      <c r="C2465" s="381"/>
      <c r="D2465" s="381"/>
      <c r="E2465" s="382" t="s">
        <v>1841</v>
      </c>
      <c r="F2465" s="379" t="s">
        <v>1842</v>
      </c>
      <c r="G2465" s="383">
        <v>3911</v>
      </c>
      <c r="H2465" s="379" t="s">
        <v>433</v>
      </c>
      <c r="I2465" s="384" t="s">
        <v>888</v>
      </c>
      <c r="J2465" s="385">
        <v>27780.5</v>
      </c>
      <c r="K2465" s="384"/>
      <c r="L2465" s="385">
        <v>23.54</v>
      </c>
      <c r="M2465" s="385">
        <v>23.54</v>
      </c>
      <c r="N2465" s="386">
        <v>8334.1486800000002</v>
      </c>
      <c r="O2465" s="387">
        <v>0.3</v>
      </c>
      <c r="P2465" s="387"/>
      <c r="Q2465" s="386">
        <v>0</v>
      </c>
      <c r="R2465" s="379" t="s">
        <v>576</v>
      </c>
      <c r="S2465" s="388" t="s">
        <v>41</v>
      </c>
      <c r="T2465" s="388">
        <v>79</v>
      </c>
      <c r="U2465" s="389" t="s">
        <v>164</v>
      </c>
      <c r="V2465" s="433"/>
      <c r="W2465" s="379"/>
      <c r="X2465" s="386">
        <v>0</v>
      </c>
      <c r="Y2465" s="386"/>
      <c r="Z2465" s="379"/>
      <c r="AA2465" s="379"/>
      <c r="AB2465" s="379"/>
      <c r="AC2465" s="379"/>
      <c r="AD2465" s="379"/>
      <c r="AE2465" s="379"/>
      <c r="AF2465" s="379"/>
      <c r="AG2465" s="379"/>
      <c r="AH2465" s="379"/>
      <c r="AI2465" s="379"/>
      <c r="AJ2465" s="390">
        <v>0</v>
      </c>
      <c r="AK2465" s="379"/>
      <c r="AL2465" s="379"/>
      <c r="AM2465" s="379"/>
      <c r="AN2465" s="379"/>
      <c r="AO2465" s="379"/>
      <c r="AP2465" s="379"/>
      <c r="AQ2465" s="379"/>
      <c r="AR2465" s="379"/>
      <c r="AS2465" s="379"/>
      <c r="AT2465" s="379"/>
      <c r="AU2465" s="379"/>
      <c r="AV2465" s="379"/>
      <c r="AW2465" s="379"/>
      <c r="AX2465" s="379"/>
      <c r="AY2465" s="379"/>
      <c r="AZ2465" s="379"/>
      <c r="BA2465" s="379"/>
      <c r="BB2465" s="379"/>
      <c r="BC2465" s="379"/>
      <c r="BD2465" s="379"/>
      <c r="BE2465" s="379"/>
      <c r="BF2465" s="379"/>
      <c r="BG2465" s="379"/>
      <c r="BH2465" s="379"/>
      <c r="BI2465" s="379"/>
      <c r="BJ2465" s="379"/>
      <c r="BK2465" s="379"/>
      <c r="BL2465" s="379"/>
      <c r="BM2465" s="379"/>
      <c r="BN2465" s="379"/>
      <c r="BO2465" s="379"/>
      <c r="BP2465" s="379"/>
      <c r="BQ2465" s="379"/>
      <c r="BR2465" s="379"/>
      <c r="BS2465" s="379"/>
      <c r="BT2465" s="379"/>
      <c r="BU2465" s="379"/>
      <c r="BV2465" s="379"/>
      <c r="BW2465" s="379"/>
      <c r="BX2465" s="379"/>
      <c r="BY2465" s="379"/>
    </row>
    <row r="2466" spans="1:77" s="106" customFormat="1" ht="11.25" customHeight="1">
      <c r="B2466" s="118" t="s">
        <v>291</v>
      </c>
      <c r="C2466" s="107">
        <v>44721</v>
      </c>
      <c r="D2466" s="107">
        <v>44722</v>
      </c>
      <c r="E2466" s="108" t="s">
        <v>1841</v>
      </c>
      <c r="F2466" s="106" t="s">
        <v>1842</v>
      </c>
      <c r="G2466" s="109">
        <v>3911</v>
      </c>
      <c r="H2466" s="106" t="s">
        <v>99</v>
      </c>
      <c r="I2466" s="111" t="s">
        <v>888</v>
      </c>
      <c r="J2466" s="110">
        <v>51111.17</v>
      </c>
      <c r="K2466" s="111"/>
      <c r="L2466" s="110">
        <v>41.67</v>
      </c>
      <c r="M2466" s="110">
        <v>41.67</v>
      </c>
      <c r="N2466" s="112">
        <v>15333.351570000001</v>
      </c>
      <c r="O2466" s="113">
        <v>0.3</v>
      </c>
      <c r="P2466" s="113"/>
      <c r="Q2466" s="112">
        <v>0</v>
      </c>
      <c r="R2466" s="106" t="s">
        <v>576</v>
      </c>
      <c r="S2466" s="114" t="s">
        <v>41</v>
      </c>
      <c r="T2466" s="114">
        <v>79</v>
      </c>
      <c r="U2466" s="115" t="s">
        <v>164</v>
      </c>
      <c r="V2466" s="443"/>
      <c r="X2466" s="112">
        <v>0</v>
      </c>
      <c r="Y2466" s="112"/>
      <c r="AG2466" s="106">
        <f>X2466</f>
        <v>0</v>
      </c>
      <c r="AJ2466" s="116"/>
    </row>
    <row r="2467" spans="1:77" s="106" customFormat="1" ht="11.25" customHeight="1">
      <c r="B2467" s="118" t="s">
        <v>291</v>
      </c>
      <c r="C2467" s="107"/>
      <c r="D2467" s="107"/>
      <c r="E2467" s="108" t="s">
        <v>1841</v>
      </c>
      <c r="F2467" s="106" t="s">
        <v>1842</v>
      </c>
      <c r="G2467" s="109">
        <v>3911</v>
      </c>
      <c r="H2467" s="106" t="s">
        <v>27</v>
      </c>
      <c r="I2467" s="111" t="s">
        <v>888</v>
      </c>
      <c r="J2467" s="110">
        <v>42022.65</v>
      </c>
      <c r="K2467" s="111"/>
      <c r="L2467" s="110">
        <v>29.65</v>
      </c>
      <c r="M2467" s="110">
        <v>29.65</v>
      </c>
      <c r="N2467" s="112">
        <v>14707.92698</v>
      </c>
      <c r="O2467" s="113">
        <v>0.3</v>
      </c>
      <c r="P2467" s="113"/>
      <c r="Q2467" s="112">
        <v>0</v>
      </c>
      <c r="R2467" s="106" t="s">
        <v>576</v>
      </c>
      <c r="S2467" s="114" t="s">
        <v>41</v>
      </c>
      <c r="T2467" s="114">
        <v>79</v>
      </c>
      <c r="U2467" s="115" t="s">
        <v>164</v>
      </c>
      <c r="V2467" s="443"/>
      <c r="X2467" s="112">
        <v>0</v>
      </c>
      <c r="Y2467" s="112"/>
      <c r="AG2467" s="106">
        <f>X2467</f>
        <v>0</v>
      </c>
      <c r="AJ2467" s="116"/>
    </row>
    <row r="2468" spans="1:77" s="106" customFormat="1" ht="11.25" customHeight="1">
      <c r="B2468" s="118" t="s">
        <v>291</v>
      </c>
      <c r="C2468" s="107"/>
      <c r="D2468" s="107"/>
      <c r="E2468" s="108" t="s">
        <v>1841</v>
      </c>
      <c r="F2468" s="106" t="s">
        <v>1842</v>
      </c>
      <c r="G2468" s="109">
        <v>3911</v>
      </c>
      <c r="H2468" s="106" t="s">
        <v>310</v>
      </c>
      <c r="I2468" s="111" t="s">
        <v>888</v>
      </c>
      <c r="J2468" s="110">
        <v>6282.27</v>
      </c>
      <c r="K2468" s="111"/>
      <c r="L2468" s="110">
        <v>6.33</v>
      </c>
      <c r="M2468" s="110">
        <v>6.33</v>
      </c>
      <c r="N2468" s="112">
        <v>4083.47667</v>
      </c>
      <c r="O2468" s="113">
        <v>0.3</v>
      </c>
      <c r="P2468" s="113"/>
      <c r="Q2468" s="112">
        <v>0</v>
      </c>
      <c r="R2468" s="106" t="s">
        <v>576</v>
      </c>
      <c r="S2468" s="114" t="s">
        <v>41</v>
      </c>
      <c r="T2468" s="114">
        <v>79</v>
      </c>
      <c r="U2468" s="115" t="s">
        <v>164</v>
      </c>
      <c r="V2468" s="443"/>
      <c r="X2468" s="112">
        <v>0</v>
      </c>
      <c r="Y2468" s="112"/>
      <c r="AG2468" s="106">
        <f>X2468</f>
        <v>0</v>
      </c>
      <c r="AJ2468" s="116"/>
    </row>
    <row r="2469" spans="1:77" s="181" customFormat="1" ht="11.25" customHeight="1">
      <c r="B2469" s="178" t="s">
        <v>291</v>
      </c>
      <c r="C2469" s="179">
        <v>44716</v>
      </c>
      <c r="D2469" s="179">
        <v>44722</v>
      </c>
      <c r="E2469" s="180" t="s">
        <v>1843</v>
      </c>
      <c r="F2469" s="181" t="s">
        <v>1724</v>
      </c>
      <c r="G2469" s="182" t="s">
        <v>1725</v>
      </c>
      <c r="H2469" s="181" t="s">
        <v>765</v>
      </c>
      <c r="I2469" s="190" t="s">
        <v>156</v>
      </c>
      <c r="J2469" s="183">
        <v>28279.58</v>
      </c>
      <c r="K2469" s="190"/>
      <c r="L2469" s="183">
        <v>22.72</v>
      </c>
      <c r="M2469" s="183">
        <v>7</v>
      </c>
      <c r="N2469" s="185"/>
      <c r="O2469" s="186">
        <v>0.25</v>
      </c>
      <c r="P2469" s="186">
        <v>0.1</v>
      </c>
      <c r="Q2469" s="185">
        <v>0</v>
      </c>
      <c r="R2469" s="181" t="s">
        <v>285</v>
      </c>
      <c r="S2469" s="187" t="s">
        <v>275</v>
      </c>
      <c r="T2469" s="187">
        <v>89</v>
      </c>
      <c r="U2469" s="188" t="s">
        <v>164</v>
      </c>
      <c r="V2469" s="441"/>
      <c r="X2469" s="185">
        <v>0</v>
      </c>
      <c r="Y2469" s="185"/>
      <c r="AE2469" s="204">
        <f>X2469</f>
        <v>0</v>
      </c>
      <c r="AJ2469" s="189"/>
    </row>
    <row r="2470" spans="1:77" s="106" customFormat="1" ht="11.25" customHeight="1">
      <c r="B2470" s="118" t="s">
        <v>291</v>
      </c>
      <c r="C2470" s="107">
        <v>44722</v>
      </c>
      <c r="D2470" s="107">
        <v>44722</v>
      </c>
      <c r="E2470" s="108" t="s">
        <v>1844</v>
      </c>
      <c r="F2470" s="106" t="s">
        <v>1845</v>
      </c>
      <c r="G2470" s="109" t="s">
        <v>1846</v>
      </c>
      <c r="H2470" s="106" t="s">
        <v>250</v>
      </c>
      <c r="I2470" s="111" t="s">
        <v>888</v>
      </c>
      <c r="J2470" s="110">
        <v>3943.28</v>
      </c>
      <c r="K2470" s="111"/>
      <c r="L2470" s="110">
        <v>10.73</v>
      </c>
      <c r="M2470" s="110">
        <v>10.73</v>
      </c>
      <c r="N2470" s="112">
        <v>394.32</v>
      </c>
      <c r="O2470" s="113">
        <v>0.15</v>
      </c>
      <c r="P2470" s="113"/>
      <c r="Q2470" s="112">
        <v>0</v>
      </c>
      <c r="R2470" s="106" t="s">
        <v>54</v>
      </c>
      <c r="S2470" s="114" t="s">
        <v>228</v>
      </c>
      <c r="T2470" s="114">
        <v>10</v>
      </c>
      <c r="U2470" s="115" t="s">
        <v>164</v>
      </c>
      <c r="V2470" s="443"/>
      <c r="X2470" s="112">
        <v>0</v>
      </c>
      <c r="Y2470" s="112"/>
      <c r="AG2470" s="106">
        <f>X2470</f>
        <v>0</v>
      </c>
      <c r="AJ2470" s="116"/>
    </row>
    <row r="2471" spans="1:77" s="291" customFormat="1" ht="11.25" customHeight="1">
      <c r="B2471" s="310" t="s">
        <v>291</v>
      </c>
      <c r="C2471" s="292"/>
      <c r="D2471" s="292"/>
      <c r="E2471" s="293" t="s">
        <v>1844</v>
      </c>
      <c r="F2471" s="291" t="s">
        <v>1845</v>
      </c>
      <c r="G2471" s="294" t="s">
        <v>1846</v>
      </c>
      <c r="H2471" s="291" t="s">
        <v>684</v>
      </c>
      <c r="I2471" s="295" t="s">
        <v>888</v>
      </c>
      <c r="J2471" s="296">
        <v>39247.599999999999</v>
      </c>
      <c r="K2471" s="295"/>
      <c r="L2471" s="296">
        <v>36.68</v>
      </c>
      <c r="M2471" s="296">
        <v>36.68</v>
      </c>
      <c r="N2471" s="297">
        <v>11677.98</v>
      </c>
      <c r="O2471" s="298">
        <v>0.15</v>
      </c>
      <c r="P2471" s="298"/>
      <c r="Q2471" s="297">
        <v>6327.3</v>
      </c>
      <c r="R2471" s="291" t="s">
        <v>54</v>
      </c>
      <c r="S2471" s="299" t="s">
        <v>228</v>
      </c>
      <c r="T2471" s="299">
        <v>10</v>
      </c>
      <c r="U2471" s="300" t="s">
        <v>164</v>
      </c>
      <c r="V2471" s="333"/>
      <c r="X2471" s="297">
        <v>6327.3</v>
      </c>
      <c r="Y2471" s="297"/>
      <c r="AH2471" s="291">
        <f>X2471</f>
        <v>6327.3</v>
      </c>
      <c r="AI2471" s="311"/>
      <c r="AJ2471" s="468"/>
    </row>
    <row r="2472" spans="1:77" s="473" customFormat="1" ht="11.25" customHeight="1">
      <c r="B2472" s="486" t="s">
        <v>291</v>
      </c>
      <c r="C2472" s="487">
        <v>44716</v>
      </c>
      <c r="D2472" s="487">
        <v>44721</v>
      </c>
      <c r="E2472" s="488" t="s">
        <v>1847</v>
      </c>
      <c r="F2472" s="473" t="s">
        <v>1848</v>
      </c>
      <c r="G2472" s="489" t="s">
        <v>1849</v>
      </c>
      <c r="H2472" s="473" t="s">
        <v>866</v>
      </c>
      <c r="I2472" s="491" t="s">
        <v>156</v>
      </c>
      <c r="J2472" s="490">
        <v>154660</v>
      </c>
      <c r="K2472" s="491"/>
      <c r="L2472" s="490">
        <v>74</v>
      </c>
      <c r="M2472" s="490">
        <v>32.03</v>
      </c>
      <c r="N2472" s="492">
        <v>37330.75</v>
      </c>
      <c r="O2472" s="493">
        <v>0.15</v>
      </c>
      <c r="P2472" s="493">
        <v>0.1</v>
      </c>
      <c r="Q2472" s="492">
        <v>73983.070000000007</v>
      </c>
      <c r="R2472" s="473" t="s">
        <v>149</v>
      </c>
      <c r="S2472" s="481" t="s">
        <v>113</v>
      </c>
      <c r="T2472" s="481">
        <v>40</v>
      </c>
      <c r="U2472" s="494" t="s">
        <v>164</v>
      </c>
      <c r="V2472" s="495"/>
      <c r="X2472" s="492">
        <v>73983.070000000007</v>
      </c>
      <c r="Y2472" s="492"/>
      <c r="AJ2472" s="485"/>
      <c r="AK2472" s="505">
        <v>73983.070000000007</v>
      </c>
    </row>
    <row r="2473" spans="1:77" s="473" customFormat="1" ht="11.25" customHeight="1">
      <c r="B2473" s="486" t="s">
        <v>291</v>
      </c>
      <c r="C2473" s="487"/>
      <c r="D2473" s="487"/>
      <c r="E2473" s="488" t="s">
        <v>1847</v>
      </c>
      <c r="F2473" s="473" t="s">
        <v>1848</v>
      </c>
      <c r="G2473" s="489" t="s">
        <v>1849</v>
      </c>
      <c r="H2473" s="473" t="s">
        <v>910</v>
      </c>
      <c r="I2473" s="491" t="s">
        <v>156</v>
      </c>
      <c r="J2473" s="490">
        <v>165974.9</v>
      </c>
      <c r="K2473" s="491"/>
      <c r="L2473" s="490">
        <v>61</v>
      </c>
      <c r="M2473" s="490">
        <v>43.45</v>
      </c>
      <c r="N2473" s="492">
        <v>15437.16</v>
      </c>
      <c r="O2473" s="493">
        <v>0.15</v>
      </c>
      <c r="P2473" s="493">
        <v>0.1</v>
      </c>
      <c r="Q2473" s="492">
        <v>38736.83</v>
      </c>
      <c r="R2473" s="473" t="s">
        <v>149</v>
      </c>
      <c r="S2473" s="481" t="s">
        <v>113</v>
      </c>
      <c r="T2473" s="481">
        <v>40</v>
      </c>
      <c r="U2473" s="494" t="s">
        <v>164</v>
      </c>
      <c r="V2473" s="495"/>
      <c r="X2473" s="492">
        <v>38736.83</v>
      </c>
      <c r="Y2473" s="492"/>
      <c r="AJ2473" s="485"/>
      <c r="AK2473" s="505">
        <v>38736.83</v>
      </c>
    </row>
    <row r="2474" spans="1:77" s="106" customFormat="1" ht="11.25" customHeight="1">
      <c r="B2474" s="118" t="s">
        <v>291</v>
      </c>
      <c r="C2474" s="107">
        <v>44720</v>
      </c>
      <c r="D2474" s="107">
        <v>44722</v>
      </c>
      <c r="E2474" s="108" t="s">
        <v>1850</v>
      </c>
      <c r="F2474" s="106" t="s">
        <v>69</v>
      </c>
      <c r="G2474" s="109" t="s">
        <v>1779</v>
      </c>
      <c r="H2474" s="106" t="s">
        <v>99</v>
      </c>
      <c r="I2474" s="111" t="s">
        <v>888</v>
      </c>
      <c r="J2474" s="110">
        <v>36882</v>
      </c>
      <c r="K2474" s="111"/>
      <c r="L2474" s="110">
        <v>27</v>
      </c>
      <c r="M2474" s="110">
        <v>26.16</v>
      </c>
      <c r="N2474" s="112"/>
      <c r="O2474" s="113">
        <v>0.2</v>
      </c>
      <c r="P2474" s="113"/>
      <c r="Q2474" s="112">
        <v>0</v>
      </c>
      <c r="R2474" s="106" t="s">
        <v>128</v>
      </c>
      <c r="S2474" s="114" t="s">
        <v>34</v>
      </c>
      <c r="T2474" s="114">
        <v>79</v>
      </c>
      <c r="U2474" s="115" t="s">
        <v>164</v>
      </c>
      <c r="V2474" s="443"/>
      <c r="X2474" s="112">
        <v>0</v>
      </c>
      <c r="Y2474" s="112"/>
      <c r="AG2474" s="106">
        <f>X2474</f>
        <v>0</v>
      </c>
      <c r="AJ2474" s="116"/>
    </row>
    <row r="2475" spans="1:77" s="507" customFormat="1" ht="11.25" customHeight="1">
      <c r="B2475" s="508" t="s">
        <v>291</v>
      </c>
      <c r="C2475" s="509">
        <v>44718</v>
      </c>
      <c r="D2475" s="509">
        <v>44722</v>
      </c>
      <c r="E2475" s="510" t="s">
        <v>1851</v>
      </c>
      <c r="F2475" s="507" t="s">
        <v>133</v>
      </c>
      <c r="G2475" s="521">
        <v>4441</v>
      </c>
      <c r="H2475" s="507" t="s">
        <v>1018</v>
      </c>
      <c r="I2475" s="512" t="s">
        <v>33</v>
      </c>
      <c r="J2475" s="513">
        <v>70011.199999999997</v>
      </c>
      <c r="K2475" s="512"/>
      <c r="L2475" s="513">
        <v>46.06</v>
      </c>
      <c r="M2475" s="513">
        <v>10</v>
      </c>
      <c r="N2475" s="514"/>
      <c r="O2475" s="515">
        <v>0.2</v>
      </c>
      <c r="P2475" s="515"/>
      <c r="Q2475" s="514">
        <v>0</v>
      </c>
      <c r="R2475" s="507" t="s">
        <v>42</v>
      </c>
      <c r="S2475" s="516" t="s">
        <v>41</v>
      </c>
      <c r="T2475" s="516">
        <v>86</v>
      </c>
      <c r="U2475" s="517" t="s">
        <v>164</v>
      </c>
      <c r="V2475" s="518"/>
      <c r="X2475" s="514">
        <v>0</v>
      </c>
      <c r="Y2475" s="514"/>
      <c r="AJ2475" s="522"/>
      <c r="AL2475" s="507">
        <v>0</v>
      </c>
    </row>
    <row r="2476" spans="1:77" s="6" customFormat="1" ht="11.25" customHeight="1">
      <c r="A2476" s="379"/>
      <c r="B2476" s="380" t="s">
        <v>291</v>
      </c>
      <c r="C2476" s="381">
        <v>44719</v>
      </c>
      <c r="D2476" s="381">
        <v>44721</v>
      </c>
      <c r="E2476" s="382" t="s">
        <v>1852</v>
      </c>
      <c r="F2476" s="379" t="s">
        <v>687</v>
      </c>
      <c r="G2476" s="383">
        <v>3644</v>
      </c>
      <c r="H2476" s="379" t="s">
        <v>295</v>
      </c>
      <c r="I2476" s="384" t="s">
        <v>958</v>
      </c>
      <c r="J2476" s="385">
        <v>28459.53</v>
      </c>
      <c r="K2476" s="384"/>
      <c r="L2476" s="385">
        <v>31.35</v>
      </c>
      <c r="M2476" s="385">
        <v>31.35</v>
      </c>
      <c r="N2476" s="386"/>
      <c r="O2476" s="387">
        <v>0.15</v>
      </c>
      <c r="P2476" s="387"/>
      <c r="Q2476" s="386">
        <v>1897.3</v>
      </c>
      <c r="R2476" s="379" t="s">
        <v>35</v>
      </c>
      <c r="S2476" s="388" t="s">
        <v>41</v>
      </c>
      <c r="T2476" s="388">
        <v>86</v>
      </c>
      <c r="U2476" s="389" t="s">
        <v>164</v>
      </c>
      <c r="V2476" s="433"/>
      <c r="W2476" s="379"/>
      <c r="X2476" s="386">
        <v>1897.3</v>
      </c>
      <c r="Y2476" s="386"/>
      <c r="Z2476" s="379"/>
      <c r="AA2476" s="379"/>
      <c r="AB2476" s="379"/>
      <c r="AC2476" s="379"/>
      <c r="AD2476" s="379"/>
      <c r="AE2476" s="379"/>
      <c r="AF2476" s="379"/>
      <c r="AG2476" s="379"/>
      <c r="AH2476" s="379"/>
      <c r="AI2476" s="379"/>
      <c r="AJ2476" s="416">
        <v>1897.3</v>
      </c>
      <c r="AK2476" s="379"/>
      <c r="AL2476" s="379"/>
      <c r="AM2476" s="379"/>
      <c r="AN2476" s="379"/>
      <c r="AO2476" s="379"/>
      <c r="AP2476" s="379"/>
      <c r="AQ2476" s="379"/>
      <c r="AR2476" s="379"/>
      <c r="AS2476" s="379"/>
      <c r="AT2476" s="379"/>
      <c r="AU2476" s="379"/>
      <c r="AV2476" s="379"/>
      <c r="AW2476" s="379"/>
      <c r="AX2476" s="379"/>
      <c r="AY2476" s="379"/>
      <c r="AZ2476" s="379"/>
      <c r="BA2476" s="379"/>
      <c r="BB2476" s="379"/>
      <c r="BC2476" s="379"/>
      <c r="BD2476" s="379"/>
      <c r="BE2476" s="379"/>
      <c r="BF2476" s="379"/>
      <c r="BG2476" s="379"/>
      <c r="BH2476" s="379"/>
      <c r="BI2476" s="379"/>
      <c r="BJ2476" s="379"/>
      <c r="BK2476" s="379"/>
      <c r="BL2476" s="379"/>
      <c r="BM2476" s="379"/>
      <c r="BN2476" s="379"/>
      <c r="BO2476" s="379"/>
      <c r="BP2476" s="379"/>
      <c r="BQ2476" s="379"/>
      <c r="BR2476" s="379"/>
      <c r="BS2476" s="379"/>
      <c r="BT2476" s="379"/>
      <c r="BU2476" s="379"/>
      <c r="BV2476" s="379"/>
      <c r="BW2476" s="379"/>
      <c r="BX2476" s="379"/>
      <c r="BY2476" s="379"/>
    </row>
    <row r="2477" spans="1:77" s="379" customFormat="1" ht="11.25" customHeight="1">
      <c r="B2477" s="380" t="s">
        <v>291</v>
      </c>
      <c r="C2477" s="381"/>
      <c r="D2477" s="381"/>
      <c r="E2477" s="382" t="s">
        <v>1852</v>
      </c>
      <c r="F2477" s="379" t="s">
        <v>687</v>
      </c>
      <c r="G2477" s="383">
        <v>3644</v>
      </c>
      <c r="H2477" s="379" t="s">
        <v>163</v>
      </c>
      <c r="I2477" s="384" t="s">
        <v>958</v>
      </c>
      <c r="J2477" s="385">
        <v>23451.5</v>
      </c>
      <c r="K2477" s="384"/>
      <c r="L2477" s="385">
        <v>26.35</v>
      </c>
      <c r="M2477" s="385">
        <v>26.35</v>
      </c>
      <c r="N2477" s="386"/>
      <c r="O2477" s="387">
        <v>0.15</v>
      </c>
      <c r="P2477" s="387"/>
      <c r="Q2477" s="386">
        <v>2451.6799999999998</v>
      </c>
      <c r="R2477" s="379" t="s">
        <v>35</v>
      </c>
      <c r="S2477" s="388" t="s">
        <v>41</v>
      </c>
      <c r="T2477" s="388">
        <v>86</v>
      </c>
      <c r="U2477" s="389" t="s">
        <v>164</v>
      </c>
      <c r="V2477" s="433"/>
      <c r="X2477" s="386">
        <v>2451.6799999999998</v>
      </c>
      <c r="Y2477" s="386"/>
      <c r="AJ2477" s="416">
        <v>2451.6799999999998</v>
      </c>
    </row>
    <row r="2478" spans="1:77" s="379" customFormat="1" ht="11.25" customHeight="1">
      <c r="B2478" s="380" t="s">
        <v>291</v>
      </c>
      <c r="C2478" s="381"/>
      <c r="D2478" s="381"/>
      <c r="E2478" s="382" t="s">
        <v>1852</v>
      </c>
      <c r="F2478" s="379" t="s">
        <v>687</v>
      </c>
      <c r="G2478" s="383">
        <v>3644</v>
      </c>
      <c r="H2478" s="379" t="s">
        <v>765</v>
      </c>
      <c r="I2478" s="384" t="s">
        <v>958</v>
      </c>
      <c r="J2478" s="385">
        <v>39112.120000000003</v>
      </c>
      <c r="K2478" s="384"/>
      <c r="L2478" s="385">
        <v>45.37</v>
      </c>
      <c r="M2478" s="385">
        <v>45.37</v>
      </c>
      <c r="N2478" s="386"/>
      <c r="O2478" s="387">
        <v>0.15</v>
      </c>
      <c r="P2478" s="387"/>
      <c r="Q2478" s="386">
        <v>10.46</v>
      </c>
      <c r="R2478" s="379" t="s">
        <v>35</v>
      </c>
      <c r="S2478" s="388" t="s">
        <v>41</v>
      </c>
      <c r="T2478" s="388">
        <v>86</v>
      </c>
      <c r="U2478" s="389" t="s">
        <v>164</v>
      </c>
      <c r="V2478" s="433"/>
      <c r="X2478" s="386">
        <v>10.46</v>
      </c>
      <c r="Y2478" s="386"/>
      <c r="AJ2478" s="416">
        <v>10.46</v>
      </c>
    </row>
    <row r="2479" spans="1:77" s="379" customFormat="1" ht="11.25" customHeight="1">
      <c r="B2479" s="380" t="s">
        <v>291</v>
      </c>
      <c r="C2479" s="381"/>
      <c r="D2479" s="381"/>
      <c r="E2479" s="382" t="s">
        <v>1852</v>
      </c>
      <c r="F2479" s="379" t="s">
        <v>687</v>
      </c>
      <c r="G2479" s="383">
        <v>3644</v>
      </c>
      <c r="H2479" s="379" t="s">
        <v>137</v>
      </c>
      <c r="I2479" s="384" t="s">
        <v>958</v>
      </c>
      <c r="J2479" s="385">
        <v>18269.04</v>
      </c>
      <c r="K2479" s="384"/>
      <c r="L2479" s="385">
        <v>19.559999999999999</v>
      </c>
      <c r="M2479" s="385">
        <v>19.559999999999999</v>
      </c>
      <c r="N2479" s="386"/>
      <c r="O2479" s="387">
        <v>0.15</v>
      </c>
      <c r="P2479" s="387"/>
      <c r="Q2479" s="386">
        <v>0</v>
      </c>
      <c r="R2479" s="379" t="s">
        <v>35</v>
      </c>
      <c r="S2479" s="388" t="s">
        <v>41</v>
      </c>
      <c r="T2479" s="388">
        <v>86</v>
      </c>
      <c r="U2479" s="389" t="s">
        <v>164</v>
      </c>
      <c r="V2479" s="433"/>
      <c r="X2479" s="386">
        <v>0</v>
      </c>
      <c r="Y2479" s="386"/>
      <c r="AJ2479" s="390">
        <v>0</v>
      </c>
    </row>
    <row r="2480" spans="1:77" s="6" customFormat="1" ht="11.25" customHeight="1">
      <c r="A2480" s="379"/>
      <c r="B2480" s="380" t="s">
        <v>291</v>
      </c>
      <c r="C2480" s="381"/>
      <c r="D2480" s="381"/>
      <c r="E2480" s="382" t="s">
        <v>1852</v>
      </c>
      <c r="F2480" s="379" t="s">
        <v>687</v>
      </c>
      <c r="G2480" s="383">
        <v>3644</v>
      </c>
      <c r="H2480" s="379" t="s">
        <v>137</v>
      </c>
      <c r="I2480" s="384" t="s">
        <v>958</v>
      </c>
      <c r="J2480" s="385">
        <v>6939.02</v>
      </c>
      <c r="K2480" s="384"/>
      <c r="L2480" s="385">
        <v>7.43</v>
      </c>
      <c r="M2480" s="385">
        <v>7.43</v>
      </c>
      <c r="N2480" s="386"/>
      <c r="O2480" s="387">
        <v>0.15</v>
      </c>
      <c r="P2480" s="387"/>
      <c r="Q2480" s="386">
        <v>5098.41</v>
      </c>
      <c r="R2480" s="379" t="s">
        <v>35</v>
      </c>
      <c r="S2480" s="388" t="s">
        <v>41</v>
      </c>
      <c r="T2480" s="388">
        <v>87</v>
      </c>
      <c r="U2480" s="389" t="s">
        <v>164</v>
      </c>
      <c r="V2480" s="433"/>
      <c r="W2480" s="379"/>
      <c r="X2480" s="386">
        <v>5098.41</v>
      </c>
      <c r="Y2480" s="386"/>
      <c r="Z2480" s="379"/>
      <c r="AA2480" s="379"/>
      <c r="AB2480" s="379"/>
      <c r="AC2480" s="379"/>
      <c r="AD2480" s="379"/>
      <c r="AE2480" s="379"/>
      <c r="AF2480" s="379"/>
      <c r="AG2480" s="379"/>
      <c r="AH2480" s="379"/>
      <c r="AI2480" s="379"/>
      <c r="AJ2480" s="416">
        <v>5098.41</v>
      </c>
      <c r="AK2480" s="379"/>
      <c r="AL2480" s="379"/>
      <c r="AM2480" s="379"/>
      <c r="AN2480" s="379"/>
      <c r="AO2480" s="379"/>
      <c r="AP2480" s="379"/>
      <c r="AQ2480" s="379"/>
      <c r="AR2480" s="379"/>
      <c r="AS2480" s="379"/>
      <c r="AT2480" s="379"/>
      <c r="AU2480" s="379"/>
      <c r="AV2480" s="379"/>
      <c r="AW2480" s="379"/>
      <c r="AX2480" s="379"/>
      <c r="AY2480" s="379"/>
      <c r="AZ2480" s="379"/>
      <c r="BA2480" s="379"/>
      <c r="BB2480" s="379"/>
      <c r="BC2480" s="379"/>
      <c r="BD2480" s="379"/>
      <c r="BE2480" s="379"/>
      <c r="BF2480" s="379"/>
      <c r="BG2480" s="379"/>
      <c r="BH2480" s="379"/>
      <c r="BI2480" s="379"/>
      <c r="BJ2480" s="379"/>
      <c r="BK2480" s="379"/>
      <c r="BL2480" s="379"/>
      <c r="BM2480" s="379"/>
      <c r="BN2480" s="379"/>
      <c r="BO2480" s="379"/>
      <c r="BP2480" s="379"/>
      <c r="BQ2480" s="379"/>
      <c r="BR2480" s="379"/>
      <c r="BS2480" s="379"/>
      <c r="BT2480" s="379"/>
      <c r="BU2480" s="379"/>
      <c r="BV2480" s="379"/>
      <c r="BW2480" s="379"/>
      <c r="BX2480" s="379"/>
      <c r="BY2480" s="379"/>
    </row>
    <row r="2481" spans="1:77" s="379" customFormat="1" ht="11.25" customHeight="1">
      <c r="B2481" s="380" t="s">
        <v>291</v>
      </c>
      <c r="C2481" s="381"/>
      <c r="D2481" s="381"/>
      <c r="E2481" s="382" t="s">
        <v>1852</v>
      </c>
      <c r="F2481" s="379" t="s">
        <v>687</v>
      </c>
      <c r="G2481" s="383">
        <v>3644</v>
      </c>
      <c r="H2481" s="379" t="s">
        <v>27</v>
      </c>
      <c r="I2481" s="384" t="s">
        <v>958</v>
      </c>
      <c r="J2481" s="385">
        <v>10159.4</v>
      </c>
      <c r="K2481" s="384"/>
      <c r="L2481" s="385">
        <v>6.43</v>
      </c>
      <c r="M2481" s="385">
        <v>6.43</v>
      </c>
      <c r="N2481" s="386"/>
      <c r="O2481" s="387">
        <v>0.15</v>
      </c>
      <c r="P2481" s="387"/>
      <c r="Q2481" s="386">
        <v>0</v>
      </c>
      <c r="R2481" s="379" t="s">
        <v>35</v>
      </c>
      <c r="S2481" s="388" t="s">
        <v>41</v>
      </c>
      <c r="T2481" s="388">
        <v>86</v>
      </c>
      <c r="U2481" s="389" t="s">
        <v>164</v>
      </c>
      <c r="V2481" s="433"/>
      <c r="X2481" s="386">
        <v>0</v>
      </c>
      <c r="Y2481" s="386"/>
      <c r="AJ2481" s="390">
        <v>0</v>
      </c>
      <c r="AK2481" s="391"/>
    </row>
    <row r="2482" spans="1:77" s="379" customFormat="1" ht="11.25" customHeight="1">
      <c r="B2482" s="380" t="s">
        <v>291</v>
      </c>
      <c r="C2482" s="381"/>
      <c r="D2482" s="381"/>
      <c r="E2482" s="382" t="s">
        <v>1852</v>
      </c>
      <c r="F2482" s="379" t="s">
        <v>687</v>
      </c>
      <c r="G2482" s="383">
        <v>3644</v>
      </c>
      <c r="H2482" s="379" t="s">
        <v>99</v>
      </c>
      <c r="I2482" s="384" t="s">
        <v>958</v>
      </c>
      <c r="J2482" s="385">
        <v>31989.54</v>
      </c>
      <c r="K2482" s="384"/>
      <c r="L2482" s="385">
        <v>25.51</v>
      </c>
      <c r="M2482" s="385">
        <v>25.51</v>
      </c>
      <c r="N2482" s="386"/>
      <c r="O2482" s="387">
        <v>0.15</v>
      </c>
      <c r="P2482" s="387"/>
      <c r="Q2482" s="386">
        <v>8614.73</v>
      </c>
      <c r="R2482" s="379" t="s">
        <v>35</v>
      </c>
      <c r="S2482" s="388" t="s">
        <v>41</v>
      </c>
      <c r="T2482" s="388">
        <v>86</v>
      </c>
      <c r="U2482" s="389" t="s">
        <v>164</v>
      </c>
      <c r="V2482" s="433"/>
      <c r="X2482" s="386">
        <v>8614.73</v>
      </c>
      <c r="Y2482" s="386"/>
      <c r="AJ2482" s="416">
        <v>8614.73</v>
      </c>
    </row>
    <row r="2483" spans="1:77" s="473" customFormat="1" ht="11.25" customHeight="1">
      <c r="B2483" s="473" t="s">
        <v>291</v>
      </c>
      <c r="C2483" s="487">
        <v>44722</v>
      </c>
      <c r="D2483" s="487">
        <v>44722</v>
      </c>
      <c r="E2483" s="488" t="s">
        <v>1909</v>
      </c>
      <c r="F2483" s="473" t="s">
        <v>152</v>
      </c>
      <c r="G2483" s="489">
        <v>3912</v>
      </c>
      <c r="H2483" s="473" t="s">
        <v>765</v>
      </c>
      <c r="I2483" s="491" t="s">
        <v>33</v>
      </c>
      <c r="J2483" s="490">
        <v>15286.05</v>
      </c>
      <c r="K2483" s="491"/>
      <c r="L2483" s="490">
        <v>17.420000000000002</v>
      </c>
      <c r="M2483" s="490">
        <v>17.420000000000002</v>
      </c>
      <c r="N2483" s="492"/>
      <c r="O2483" s="493">
        <v>0.2</v>
      </c>
      <c r="P2483" s="493"/>
      <c r="Q2483" s="492">
        <v>0</v>
      </c>
      <c r="R2483" s="473" t="s">
        <v>77</v>
      </c>
      <c r="S2483" s="481" t="s">
        <v>41</v>
      </c>
      <c r="T2483" s="481">
        <v>16</v>
      </c>
      <c r="U2483" s="494" t="s">
        <v>164</v>
      </c>
      <c r="V2483" s="495"/>
      <c r="X2483" s="492">
        <v>0</v>
      </c>
      <c r="Y2483" s="492"/>
      <c r="AJ2483" s="485"/>
      <c r="AK2483" s="473">
        <v>0</v>
      </c>
    </row>
    <row r="2484" spans="1:77" s="379" customFormat="1" ht="11.25" customHeight="1">
      <c r="A2484" s="473"/>
      <c r="B2484" s="473" t="s">
        <v>291</v>
      </c>
      <c r="C2484" s="487"/>
      <c r="D2484" s="487"/>
      <c r="E2484" s="488" t="s">
        <v>1910</v>
      </c>
      <c r="F2484" s="473" t="s">
        <v>122</v>
      </c>
      <c r="G2484" s="489" t="s">
        <v>123</v>
      </c>
      <c r="H2484" s="473" t="s">
        <v>866</v>
      </c>
      <c r="I2484" s="491" t="s">
        <v>961</v>
      </c>
      <c r="J2484" s="490">
        <v>3969.05</v>
      </c>
      <c r="K2484" s="491"/>
      <c r="L2484" s="490">
        <v>5.19</v>
      </c>
      <c r="M2484" s="490">
        <v>5.19</v>
      </c>
      <c r="N2484" s="492">
        <v>1044.49</v>
      </c>
      <c r="O2484" s="493">
        <v>0.25</v>
      </c>
      <c r="P2484" s="493"/>
      <c r="Q2484" s="492">
        <v>0</v>
      </c>
      <c r="R2484" s="473" t="s">
        <v>35</v>
      </c>
      <c r="S2484" s="481" t="s">
        <v>41</v>
      </c>
      <c r="T2484" s="481">
        <v>86</v>
      </c>
      <c r="U2484" s="494" t="s">
        <v>164</v>
      </c>
      <c r="V2484" s="495"/>
      <c r="W2484" s="473"/>
      <c r="X2484" s="492">
        <v>0</v>
      </c>
      <c r="Y2484" s="492"/>
      <c r="Z2484" s="473"/>
      <c r="AA2484" s="473"/>
      <c r="AB2484" s="473"/>
      <c r="AC2484" s="473"/>
      <c r="AD2484" s="473"/>
      <c r="AE2484" s="473"/>
      <c r="AF2484" s="473"/>
      <c r="AG2484" s="473"/>
      <c r="AH2484" s="473"/>
      <c r="AI2484" s="473"/>
      <c r="AJ2484" s="485"/>
      <c r="AK2484" s="473">
        <v>0</v>
      </c>
      <c r="AL2484" s="473"/>
      <c r="AM2484" s="473"/>
      <c r="AN2484" s="473"/>
      <c r="AO2484" s="473"/>
      <c r="AP2484" s="473"/>
      <c r="AQ2484" s="473"/>
      <c r="AR2484" s="473"/>
      <c r="AS2484" s="473"/>
      <c r="AT2484" s="473"/>
      <c r="AU2484" s="473"/>
      <c r="AV2484" s="473"/>
      <c r="AW2484" s="473"/>
      <c r="AX2484" s="473"/>
      <c r="AY2484" s="473"/>
      <c r="AZ2484" s="473"/>
      <c r="BA2484" s="473"/>
      <c r="BB2484" s="473"/>
      <c r="BC2484" s="473"/>
      <c r="BD2484" s="473"/>
      <c r="BE2484" s="473"/>
      <c r="BF2484" s="473"/>
      <c r="BG2484" s="473"/>
      <c r="BH2484" s="473"/>
      <c r="BI2484" s="473"/>
      <c r="BJ2484" s="473"/>
      <c r="BK2484" s="473"/>
      <c r="BL2484" s="473"/>
      <c r="BM2484" s="473"/>
      <c r="BN2484" s="473"/>
      <c r="BO2484" s="473"/>
      <c r="BP2484" s="473"/>
      <c r="BQ2484" s="473"/>
      <c r="BR2484" s="473"/>
      <c r="BS2484" s="473"/>
      <c r="BT2484" s="473"/>
      <c r="BU2484" s="473"/>
      <c r="BV2484" s="473"/>
      <c r="BW2484" s="473"/>
      <c r="BX2484" s="473"/>
      <c r="BY2484" s="473"/>
    </row>
    <row r="2485" spans="1:77" s="236" customFormat="1" ht="11.25" customHeight="1">
      <c r="A2485" s="379"/>
      <c r="B2485" s="379" t="s">
        <v>291</v>
      </c>
      <c r="C2485" s="381">
        <v>44722</v>
      </c>
      <c r="D2485" s="381">
        <v>44722</v>
      </c>
      <c r="E2485" s="382" t="s">
        <v>1910</v>
      </c>
      <c r="F2485" s="379" t="s">
        <v>122</v>
      </c>
      <c r="G2485" s="383" t="s">
        <v>123</v>
      </c>
      <c r="H2485" s="379" t="s">
        <v>765</v>
      </c>
      <c r="I2485" s="384" t="s">
        <v>961</v>
      </c>
      <c r="J2485" s="385">
        <v>9271.7199999999993</v>
      </c>
      <c r="K2485" s="384"/>
      <c r="L2485" s="385">
        <v>8.86</v>
      </c>
      <c r="M2485" s="385">
        <v>8.86</v>
      </c>
      <c r="N2485" s="386">
        <v>1102.8</v>
      </c>
      <c r="O2485" s="387">
        <v>0.25</v>
      </c>
      <c r="P2485" s="387"/>
      <c r="Q2485" s="386">
        <v>0</v>
      </c>
      <c r="R2485" s="379" t="s">
        <v>35</v>
      </c>
      <c r="S2485" s="388" t="s">
        <v>41</v>
      </c>
      <c r="T2485" s="388">
        <v>86</v>
      </c>
      <c r="U2485" s="389" t="s">
        <v>164</v>
      </c>
      <c r="V2485" s="433"/>
      <c r="W2485" s="379"/>
      <c r="X2485" s="386">
        <v>0</v>
      </c>
      <c r="Y2485" s="386"/>
      <c r="Z2485" s="379"/>
      <c r="AA2485" s="379"/>
      <c r="AB2485" s="379"/>
      <c r="AC2485" s="379"/>
      <c r="AD2485" s="379"/>
      <c r="AE2485" s="379"/>
      <c r="AF2485" s="379"/>
      <c r="AG2485" s="379"/>
      <c r="AH2485" s="379"/>
      <c r="AI2485" s="379"/>
      <c r="AJ2485" s="390">
        <v>0</v>
      </c>
      <c r="AK2485" s="379"/>
      <c r="AL2485" s="379"/>
      <c r="AM2485" s="379"/>
      <c r="AN2485" s="379"/>
      <c r="AO2485" s="379"/>
      <c r="AP2485" s="379"/>
      <c r="AQ2485" s="379"/>
      <c r="AR2485" s="379"/>
      <c r="AS2485" s="379"/>
      <c r="AT2485" s="379"/>
      <c r="AU2485" s="379"/>
      <c r="AV2485" s="379"/>
      <c r="AW2485" s="379"/>
      <c r="AX2485" s="379"/>
      <c r="AY2485" s="379"/>
      <c r="AZ2485" s="379"/>
      <c r="BA2485" s="379"/>
      <c r="BB2485" s="379"/>
      <c r="BC2485" s="379"/>
      <c r="BD2485" s="379"/>
      <c r="BE2485" s="379"/>
      <c r="BF2485" s="379"/>
      <c r="BG2485" s="379"/>
      <c r="BH2485" s="379"/>
      <c r="BI2485" s="379"/>
      <c r="BJ2485" s="379"/>
      <c r="BK2485" s="379"/>
      <c r="BL2485" s="379"/>
      <c r="BM2485" s="379"/>
      <c r="BN2485" s="379"/>
      <c r="BO2485" s="379"/>
      <c r="BP2485" s="379"/>
      <c r="BQ2485" s="379"/>
      <c r="BR2485" s="379"/>
      <c r="BS2485" s="379"/>
      <c r="BT2485" s="379"/>
      <c r="BU2485" s="379"/>
      <c r="BV2485" s="379"/>
      <c r="BW2485" s="379"/>
      <c r="BX2485" s="379"/>
      <c r="BY2485" s="379"/>
    </row>
    <row r="2486" spans="1:77" s="261" customFormat="1" ht="11.25" customHeight="1">
      <c r="B2486" s="261" t="s">
        <v>291</v>
      </c>
      <c r="C2486" s="259"/>
      <c r="D2486" s="259"/>
      <c r="E2486" s="260" t="s">
        <v>1910</v>
      </c>
      <c r="F2486" s="261" t="s">
        <v>122</v>
      </c>
      <c r="G2486" s="262" t="s">
        <v>123</v>
      </c>
      <c r="H2486" s="261" t="s">
        <v>27</v>
      </c>
      <c r="I2486" s="264" t="s">
        <v>961</v>
      </c>
      <c r="J2486" s="263">
        <v>13730.6</v>
      </c>
      <c r="K2486" s="264"/>
      <c r="L2486" s="263">
        <v>9.91</v>
      </c>
      <c r="M2486" s="263">
        <v>2.78</v>
      </c>
      <c r="N2486" s="265"/>
      <c r="O2486" s="266">
        <v>0.25</v>
      </c>
      <c r="P2486" s="266"/>
      <c r="Q2486" s="265">
        <v>0</v>
      </c>
      <c r="R2486" s="261" t="s">
        <v>35</v>
      </c>
      <c r="S2486" s="267" t="s">
        <v>41</v>
      </c>
      <c r="T2486" s="267">
        <v>86</v>
      </c>
      <c r="U2486" s="268" t="s">
        <v>164</v>
      </c>
      <c r="V2486" s="427"/>
      <c r="X2486" s="265">
        <v>0</v>
      </c>
      <c r="Y2486" s="265"/>
      <c r="AG2486" s="261">
        <f>X2486</f>
        <v>0</v>
      </c>
      <c r="AJ2486" s="642"/>
    </row>
    <row r="2487" spans="1:77" s="473" customFormat="1" ht="11.25" customHeight="1">
      <c r="A2487" s="379"/>
      <c r="B2487" s="379" t="s">
        <v>291</v>
      </c>
      <c r="C2487" s="381"/>
      <c r="D2487" s="381"/>
      <c r="E2487" s="382" t="s">
        <v>1910</v>
      </c>
      <c r="F2487" s="379" t="s">
        <v>122</v>
      </c>
      <c r="G2487" s="383" t="s">
        <v>123</v>
      </c>
      <c r="H2487" s="379" t="s">
        <v>898</v>
      </c>
      <c r="I2487" s="384" t="s">
        <v>961</v>
      </c>
      <c r="J2487" s="385">
        <v>3495.16</v>
      </c>
      <c r="K2487" s="384"/>
      <c r="L2487" s="385">
        <v>3.35</v>
      </c>
      <c r="M2487" s="385">
        <v>3.35</v>
      </c>
      <c r="N2487" s="386">
        <v>957.53</v>
      </c>
      <c r="O2487" s="387">
        <v>0.25</v>
      </c>
      <c r="P2487" s="387"/>
      <c r="Q2487" s="386">
        <v>0</v>
      </c>
      <c r="R2487" s="379" t="s">
        <v>35</v>
      </c>
      <c r="S2487" s="388" t="s">
        <v>41</v>
      </c>
      <c r="T2487" s="388">
        <v>86</v>
      </c>
      <c r="U2487" s="389" t="s">
        <v>164</v>
      </c>
      <c r="V2487" s="433"/>
      <c r="W2487" s="379"/>
      <c r="X2487" s="386">
        <v>0</v>
      </c>
      <c r="Y2487" s="386"/>
      <c r="Z2487" s="379"/>
      <c r="AA2487" s="379"/>
      <c r="AB2487" s="379"/>
      <c r="AC2487" s="379"/>
      <c r="AD2487" s="379"/>
      <c r="AE2487" s="379"/>
      <c r="AF2487" s="379"/>
      <c r="AG2487" s="379"/>
      <c r="AH2487" s="379"/>
      <c r="AI2487" s="379"/>
      <c r="AJ2487" s="390">
        <v>0</v>
      </c>
      <c r="AK2487" s="379"/>
      <c r="AL2487" s="379"/>
      <c r="AM2487" s="379"/>
      <c r="AN2487" s="379"/>
      <c r="AO2487" s="379"/>
      <c r="AP2487" s="379"/>
      <c r="AQ2487" s="379"/>
      <c r="AR2487" s="379"/>
      <c r="AS2487" s="379"/>
      <c r="AT2487" s="379"/>
      <c r="AU2487" s="379"/>
      <c r="AV2487" s="379"/>
      <c r="AW2487" s="379"/>
      <c r="AX2487" s="379"/>
      <c r="AY2487" s="379"/>
      <c r="AZ2487" s="379"/>
      <c r="BA2487" s="379"/>
      <c r="BB2487" s="379"/>
      <c r="BC2487" s="379"/>
      <c r="BD2487" s="379"/>
      <c r="BE2487" s="379"/>
      <c r="BF2487" s="379"/>
      <c r="BG2487" s="379"/>
      <c r="BH2487" s="379"/>
      <c r="BI2487" s="379"/>
      <c r="BJ2487" s="379"/>
      <c r="BK2487" s="379"/>
      <c r="BL2487" s="379"/>
      <c r="BM2487" s="379"/>
      <c r="BN2487" s="379"/>
      <c r="BO2487" s="379"/>
      <c r="BP2487" s="379"/>
      <c r="BQ2487" s="379"/>
      <c r="BR2487" s="379"/>
      <c r="BS2487" s="379"/>
      <c r="BT2487" s="379"/>
      <c r="BU2487" s="379"/>
      <c r="BV2487" s="379"/>
      <c r="BW2487" s="379"/>
      <c r="BX2487" s="379"/>
      <c r="BY2487" s="379"/>
    </row>
    <row r="2488" spans="1:77" s="205" customFormat="1" ht="11.25" customHeight="1">
      <c r="B2488" s="205" t="s">
        <v>291</v>
      </c>
      <c r="C2488" s="207">
        <v>44722</v>
      </c>
      <c r="D2488" s="207">
        <v>44722</v>
      </c>
      <c r="E2488" s="208" t="s">
        <v>1911</v>
      </c>
      <c r="F2488" s="205" t="s">
        <v>1912</v>
      </c>
      <c r="G2488" s="209">
        <v>4522</v>
      </c>
      <c r="H2488" s="205" t="s">
        <v>138</v>
      </c>
      <c r="I2488" s="219" t="s">
        <v>888</v>
      </c>
      <c r="J2488" s="210">
        <v>34450.6</v>
      </c>
      <c r="K2488" s="219"/>
      <c r="L2488" s="210">
        <v>28.1</v>
      </c>
      <c r="M2488" s="210">
        <v>28.1</v>
      </c>
      <c r="N2488" s="213"/>
      <c r="O2488" s="212">
        <v>0.3</v>
      </c>
      <c r="P2488" s="212"/>
      <c r="Q2488" s="213">
        <v>0</v>
      </c>
      <c r="R2488" s="205" t="s">
        <v>251</v>
      </c>
      <c r="S2488" s="214" t="s">
        <v>74</v>
      </c>
      <c r="T2488" s="214">
        <v>32</v>
      </c>
      <c r="U2488" s="215" t="s">
        <v>164</v>
      </c>
      <c r="V2488" s="438"/>
      <c r="X2488" s="213">
        <v>0</v>
      </c>
      <c r="Y2488" s="213"/>
      <c r="AF2488" s="230">
        <f t="shared" ref="AF2488:AF2493" si="33">X2488</f>
        <v>0</v>
      </c>
      <c r="AJ2488" s="216"/>
    </row>
    <row r="2489" spans="1:77" s="205" customFormat="1" ht="11.25" customHeight="1">
      <c r="B2489" s="205" t="s">
        <v>291</v>
      </c>
      <c r="C2489" s="207"/>
      <c r="D2489" s="207"/>
      <c r="E2489" s="208" t="s">
        <v>1911</v>
      </c>
      <c r="F2489" s="205" t="s">
        <v>1912</v>
      </c>
      <c r="G2489" s="209">
        <v>4522</v>
      </c>
      <c r="H2489" s="205" t="s">
        <v>99</v>
      </c>
      <c r="I2489" s="219" t="s">
        <v>888</v>
      </c>
      <c r="J2489" s="210">
        <v>80677.8</v>
      </c>
      <c r="K2489" s="219"/>
      <c r="L2489" s="210">
        <v>64.03</v>
      </c>
      <c r="M2489" s="210">
        <v>64.03</v>
      </c>
      <c r="N2489" s="213"/>
      <c r="O2489" s="212">
        <v>0.3</v>
      </c>
      <c r="P2489" s="212"/>
      <c r="Q2489" s="213">
        <v>0</v>
      </c>
      <c r="R2489" s="205" t="s">
        <v>251</v>
      </c>
      <c r="S2489" s="214" t="s">
        <v>74</v>
      </c>
      <c r="T2489" s="214">
        <v>32</v>
      </c>
      <c r="U2489" s="215" t="s">
        <v>164</v>
      </c>
      <c r="V2489" s="438"/>
      <c r="X2489" s="213">
        <v>0</v>
      </c>
      <c r="Y2489" s="213"/>
      <c r="AF2489" s="230">
        <f t="shared" si="33"/>
        <v>0</v>
      </c>
      <c r="AJ2489" s="216"/>
    </row>
    <row r="2490" spans="1:77" s="205" customFormat="1" ht="11.25" customHeight="1">
      <c r="B2490" s="205" t="s">
        <v>291</v>
      </c>
      <c r="C2490" s="207"/>
      <c r="D2490" s="207"/>
      <c r="E2490" s="208" t="s">
        <v>1911</v>
      </c>
      <c r="F2490" s="205" t="s">
        <v>1912</v>
      </c>
      <c r="G2490" s="209">
        <v>4522</v>
      </c>
      <c r="H2490" s="205" t="s">
        <v>1667</v>
      </c>
      <c r="I2490" s="219" t="s">
        <v>888</v>
      </c>
      <c r="J2490" s="210">
        <v>46063.199999999997</v>
      </c>
      <c r="K2490" s="219"/>
      <c r="L2490" s="210">
        <v>22.58</v>
      </c>
      <c r="M2490" s="210">
        <v>22.58</v>
      </c>
      <c r="N2490" s="213"/>
      <c r="O2490" s="212">
        <v>0.3</v>
      </c>
      <c r="P2490" s="212"/>
      <c r="Q2490" s="213">
        <v>0</v>
      </c>
      <c r="R2490" s="205" t="s">
        <v>251</v>
      </c>
      <c r="S2490" s="214" t="s">
        <v>74</v>
      </c>
      <c r="T2490" s="214">
        <v>32</v>
      </c>
      <c r="U2490" s="215" t="s">
        <v>164</v>
      </c>
      <c r="V2490" s="438"/>
      <c r="X2490" s="213">
        <v>0</v>
      </c>
      <c r="Y2490" s="213"/>
      <c r="AF2490" s="230">
        <f t="shared" si="33"/>
        <v>0</v>
      </c>
      <c r="AJ2490" s="216"/>
    </row>
    <row r="2491" spans="1:77" s="205" customFormat="1" ht="11.25" customHeight="1">
      <c r="B2491" s="205" t="s">
        <v>291</v>
      </c>
      <c r="C2491" s="207">
        <v>44722</v>
      </c>
      <c r="D2491" s="207">
        <v>44722</v>
      </c>
      <c r="E2491" s="208" t="s">
        <v>1913</v>
      </c>
      <c r="F2491" s="205" t="s">
        <v>1914</v>
      </c>
      <c r="G2491" s="209">
        <v>4526</v>
      </c>
      <c r="H2491" s="205" t="s">
        <v>138</v>
      </c>
      <c r="I2491" s="219" t="s">
        <v>33</v>
      </c>
      <c r="J2491" s="210">
        <v>18003.48</v>
      </c>
      <c r="K2491" s="219"/>
      <c r="L2491" s="210">
        <v>15.18</v>
      </c>
      <c r="M2491" s="210">
        <v>15.18</v>
      </c>
      <c r="N2491" s="213"/>
      <c r="O2491" s="212">
        <v>0.25</v>
      </c>
      <c r="P2491" s="212"/>
      <c r="Q2491" s="213">
        <v>0</v>
      </c>
      <c r="R2491" s="205" t="s">
        <v>251</v>
      </c>
      <c r="S2491" s="214" t="s">
        <v>74</v>
      </c>
      <c r="T2491" s="214">
        <v>32</v>
      </c>
      <c r="U2491" s="215" t="s">
        <v>164</v>
      </c>
      <c r="V2491" s="438"/>
      <c r="X2491" s="213">
        <v>0</v>
      </c>
      <c r="Y2491" s="213"/>
      <c r="AF2491" s="230">
        <f t="shared" si="33"/>
        <v>0</v>
      </c>
      <c r="AJ2491" s="216"/>
    </row>
    <row r="2492" spans="1:77" s="205" customFormat="1" ht="11.25" customHeight="1">
      <c r="B2492" s="205" t="s">
        <v>291</v>
      </c>
      <c r="C2492" s="207"/>
      <c r="D2492" s="207"/>
      <c r="E2492" s="208" t="s">
        <v>1913</v>
      </c>
      <c r="F2492" s="205" t="s">
        <v>1914</v>
      </c>
      <c r="G2492" s="209">
        <v>4526</v>
      </c>
      <c r="H2492" s="205" t="s">
        <v>765</v>
      </c>
      <c r="I2492" s="219" t="s">
        <v>33</v>
      </c>
      <c r="J2492" s="210">
        <v>42826.04</v>
      </c>
      <c r="K2492" s="219"/>
      <c r="L2492" s="210">
        <v>54.87</v>
      </c>
      <c r="M2492" s="210">
        <v>52.47</v>
      </c>
      <c r="N2492" s="213"/>
      <c r="O2492" s="212">
        <v>0.25</v>
      </c>
      <c r="P2492" s="212"/>
      <c r="Q2492" s="213">
        <v>0</v>
      </c>
      <c r="R2492" s="205" t="s">
        <v>251</v>
      </c>
      <c r="S2492" s="214" t="s">
        <v>74</v>
      </c>
      <c r="T2492" s="214">
        <v>32</v>
      </c>
      <c r="U2492" s="215" t="s">
        <v>164</v>
      </c>
      <c r="V2492" s="438"/>
      <c r="W2492" s="205" t="s">
        <v>3258</v>
      </c>
      <c r="X2492" s="213">
        <v>0</v>
      </c>
      <c r="Y2492" s="213"/>
      <c r="AF2492" s="230">
        <f t="shared" si="33"/>
        <v>0</v>
      </c>
      <c r="AJ2492" s="216"/>
    </row>
    <row r="2493" spans="1:77" s="205" customFormat="1" ht="11.25" customHeight="1">
      <c r="B2493" s="205" t="s">
        <v>291</v>
      </c>
      <c r="C2493" s="207"/>
      <c r="D2493" s="207"/>
      <c r="E2493" s="208" t="s">
        <v>1913</v>
      </c>
      <c r="F2493" s="205" t="s">
        <v>1914</v>
      </c>
      <c r="G2493" s="209">
        <v>4526</v>
      </c>
      <c r="H2493" s="205" t="s">
        <v>1138</v>
      </c>
      <c r="I2493" s="219" t="s">
        <v>33</v>
      </c>
      <c r="J2493" s="210">
        <v>14595</v>
      </c>
      <c r="K2493" s="219"/>
      <c r="L2493" s="210">
        <v>9.73</v>
      </c>
      <c r="M2493" s="210">
        <v>12.13</v>
      </c>
      <c r="N2493" s="213"/>
      <c r="O2493" s="212">
        <v>0.25</v>
      </c>
      <c r="P2493" s="212"/>
      <c r="Q2493" s="213">
        <v>0</v>
      </c>
      <c r="R2493" s="205" t="s">
        <v>251</v>
      </c>
      <c r="S2493" s="214" t="s">
        <v>74</v>
      </c>
      <c r="T2493" s="214">
        <v>32</v>
      </c>
      <c r="U2493" s="215" t="s">
        <v>164</v>
      </c>
      <c r="V2493" s="438"/>
      <c r="X2493" s="213">
        <v>0</v>
      </c>
      <c r="Y2493" s="213"/>
      <c r="AF2493" s="230">
        <f t="shared" si="33"/>
        <v>0</v>
      </c>
      <c r="AJ2493" s="216"/>
    </row>
    <row r="2494" spans="1:77" s="291" customFormat="1" ht="11.25" customHeight="1">
      <c r="B2494" s="291" t="s">
        <v>291</v>
      </c>
      <c r="C2494" s="292">
        <v>44722</v>
      </c>
      <c r="D2494" s="292">
        <v>44722</v>
      </c>
      <c r="E2494" s="293" t="s">
        <v>1915</v>
      </c>
      <c r="F2494" s="291" t="s">
        <v>1916</v>
      </c>
      <c r="G2494" s="294">
        <v>4528</v>
      </c>
      <c r="H2494" s="291" t="s">
        <v>99</v>
      </c>
      <c r="I2494" s="295" t="s">
        <v>888</v>
      </c>
      <c r="J2494" s="296">
        <v>20631.2</v>
      </c>
      <c r="K2494" s="295"/>
      <c r="L2494" s="296">
        <v>19.66</v>
      </c>
      <c r="M2494" s="296">
        <v>19.66</v>
      </c>
      <c r="N2494" s="297"/>
      <c r="O2494" s="298">
        <v>0.3</v>
      </c>
      <c r="P2494" s="298"/>
      <c r="Q2494" s="297">
        <v>0</v>
      </c>
      <c r="R2494" s="291" t="s">
        <v>251</v>
      </c>
      <c r="S2494" s="299" t="s">
        <v>74</v>
      </c>
      <c r="T2494" s="299">
        <v>32</v>
      </c>
      <c r="U2494" s="300" t="s">
        <v>164</v>
      </c>
      <c r="V2494" s="333"/>
      <c r="X2494" s="297">
        <v>0</v>
      </c>
      <c r="Y2494" s="297"/>
      <c r="AH2494" s="311">
        <f>X2494</f>
        <v>0</v>
      </c>
      <c r="AI2494" s="311"/>
      <c r="AJ2494" s="468"/>
    </row>
    <row r="2495" spans="1:77" s="473" customFormat="1" ht="11.25" customHeight="1">
      <c r="B2495" s="473" t="s">
        <v>291</v>
      </c>
      <c r="C2495" s="487">
        <v>44722</v>
      </c>
      <c r="D2495" s="487">
        <v>44722</v>
      </c>
      <c r="E2495" s="488" t="s">
        <v>1917</v>
      </c>
      <c r="F2495" s="473" t="s">
        <v>1918</v>
      </c>
      <c r="G2495" s="489">
        <v>4628</v>
      </c>
      <c r="H2495" s="473" t="s">
        <v>140</v>
      </c>
      <c r="I2495" s="491" t="s">
        <v>33</v>
      </c>
      <c r="J2495" s="490">
        <f>5.55*250*15.94</f>
        <v>22116.75</v>
      </c>
      <c r="K2495" s="491"/>
      <c r="L2495" s="490">
        <v>15.94</v>
      </c>
      <c r="M2495" s="490">
        <v>15.94</v>
      </c>
      <c r="N2495" s="492"/>
      <c r="O2495" s="493">
        <v>0.3</v>
      </c>
      <c r="P2495" s="493"/>
      <c r="Q2495" s="492">
        <v>3925.23</v>
      </c>
      <c r="R2495" s="473" t="s">
        <v>251</v>
      </c>
      <c r="S2495" s="481" t="s">
        <v>74</v>
      </c>
      <c r="T2495" s="481">
        <v>32</v>
      </c>
      <c r="U2495" s="494" t="s">
        <v>164</v>
      </c>
      <c r="V2495" s="495"/>
      <c r="X2495" s="492">
        <v>3925.23</v>
      </c>
      <c r="Y2495" s="492"/>
      <c r="AJ2495" s="485"/>
      <c r="AK2495" s="505">
        <v>3925.23</v>
      </c>
    </row>
    <row r="2496" spans="1:77" s="205" customFormat="1" ht="11.25" customHeight="1">
      <c r="B2496" s="205" t="s">
        <v>291</v>
      </c>
      <c r="C2496" s="207">
        <v>44722</v>
      </c>
      <c r="D2496" s="207">
        <v>44722</v>
      </c>
      <c r="E2496" s="208" t="s">
        <v>1919</v>
      </c>
      <c r="F2496" s="205" t="s">
        <v>1920</v>
      </c>
      <c r="G2496" s="209">
        <v>4527</v>
      </c>
      <c r="H2496" s="205" t="s">
        <v>99</v>
      </c>
      <c r="I2496" s="219" t="s">
        <v>33</v>
      </c>
      <c r="J2496" s="210">
        <v>17967.599999999999</v>
      </c>
      <c r="K2496" s="219"/>
      <c r="L2496" s="210">
        <v>14.49</v>
      </c>
      <c r="M2496" s="210">
        <v>14.48</v>
      </c>
      <c r="N2496" s="213"/>
      <c r="O2496" s="212">
        <v>0.25</v>
      </c>
      <c r="P2496" s="212"/>
      <c r="Q2496" s="213">
        <v>0</v>
      </c>
      <c r="R2496" s="205" t="s">
        <v>251</v>
      </c>
      <c r="S2496" s="214" t="s">
        <v>74</v>
      </c>
      <c r="T2496" s="214">
        <v>32</v>
      </c>
      <c r="U2496" s="215" t="s">
        <v>164</v>
      </c>
      <c r="V2496" s="438"/>
      <c r="X2496" s="213">
        <v>0</v>
      </c>
      <c r="Y2496" s="213"/>
      <c r="AF2496" s="230">
        <f>X2496</f>
        <v>0</v>
      </c>
      <c r="AJ2496" s="216"/>
    </row>
    <row r="2497" spans="1:77" s="205" customFormat="1" ht="11.25" customHeight="1">
      <c r="B2497" s="205" t="s">
        <v>291</v>
      </c>
      <c r="C2497" s="207">
        <v>44722</v>
      </c>
      <c r="D2497" s="207">
        <v>44722</v>
      </c>
      <c r="E2497" s="208" t="s">
        <v>1921</v>
      </c>
      <c r="F2497" s="205" t="s">
        <v>1922</v>
      </c>
      <c r="G2497" s="209">
        <v>4629</v>
      </c>
      <c r="H2497" s="205" t="s">
        <v>99</v>
      </c>
      <c r="I2497" s="219" t="s">
        <v>33</v>
      </c>
      <c r="J2497" s="210">
        <v>53265.01</v>
      </c>
      <c r="K2497" s="219"/>
      <c r="L2497" s="210">
        <v>43.71</v>
      </c>
      <c r="M2497" s="210">
        <v>43.7</v>
      </c>
      <c r="N2497" s="213"/>
      <c r="O2497" s="212">
        <v>0.25</v>
      </c>
      <c r="P2497" s="212"/>
      <c r="Q2497" s="213">
        <v>0</v>
      </c>
      <c r="R2497" s="205" t="s">
        <v>251</v>
      </c>
      <c r="S2497" s="214" t="s">
        <v>74</v>
      </c>
      <c r="T2497" s="214">
        <v>32</v>
      </c>
      <c r="U2497" s="215" t="s">
        <v>164</v>
      </c>
      <c r="V2497" s="438"/>
      <c r="X2497" s="213">
        <v>0</v>
      </c>
      <c r="Y2497" s="213"/>
      <c r="AF2497" s="230">
        <f>X2497</f>
        <v>0</v>
      </c>
      <c r="AJ2497" s="216"/>
    </row>
    <row r="2498" spans="1:77" s="647" customFormat="1" ht="11.25" customHeight="1">
      <c r="B2498" s="647" t="s">
        <v>291</v>
      </c>
      <c r="C2498" s="648">
        <v>44722</v>
      </c>
      <c r="D2498" s="648">
        <v>44722</v>
      </c>
      <c r="E2498" s="649" t="s">
        <v>1923</v>
      </c>
      <c r="F2498" s="647" t="s">
        <v>3104</v>
      </c>
      <c r="G2498" s="650">
        <v>4531</v>
      </c>
      <c r="H2498" s="647" t="s">
        <v>1052</v>
      </c>
      <c r="I2498" s="676" t="s">
        <v>888</v>
      </c>
      <c r="J2498" s="651">
        <v>22637.88</v>
      </c>
      <c r="K2498" s="676"/>
      <c r="L2498" s="651">
        <v>23.29</v>
      </c>
      <c r="M2498" s="651">
        <v>23.25</v>
      </c>
      <c r="N2498" s="652"/>
      <c r="O2498" s="653">
        <v>0.3</v>
      </c>
      <c r="P2498" s="653"/>
      <c r="Q2498" s="652">
        <v>4225.74</v>
      </c>
      <c r="R2498" s="647" t="s">
        <v>251</v>
      </c>
      <c r="S2498" s="654" t="s">
        <v>74</v>
      </c>
      <c r="T2498" s="654">
        <v>32</v>
      </c>
      <c r="U2498" s="655" t="s">
        <v>164</v>
      </c>
      <c r="V2498" s="656"/>
      <c r="X2498" s="652">
        <v>4225.74</v>
      </c>
      <c r="Y2498" s="652"/>
      <c r="AI2498" s="652">
        <v>4225.74</v>
      </c>
      <c r="AJ2498" s="657"/>
      <c r="AK2498" s="658"/>
    </row>
    <row r="2499" spans="1:77" s="647" customFormat="1" ht="11.25" customHeight="1">
      <c r="B2499" s="647" t="s">
        <v>291</v>
      </c>
      <c r="C2499" s="648"/>
      <c r="D2499" s="648"/>
      <c r="E2499" s="649" t="s">
        <v>1923</v>
      </c>
      <c r="F2499" s="647" t="s">
        <v>3104</v>
      </c>
      <c r="G2499" s="650">
        <v>4531</v>
      </c>
      <c r="H2499" s="647" t="s">
        <v>1018</v>
      </c>
      <c r="I2499" s="676" t="s">
        <v>888</v>
      </c>
      <c r="J2499" s="651">
        <v>29062</v>
      </c>
      <c r="K2499" s="676"/>
      <c r="L2499" s="651">
        <v>26.42</v>
      </c>
      <c r="M2499" s="651">
        <v>26.42</v>
      </c>
      <c r="N2499" s="652"/>
      <c r="O2499" s="653">
        <v>0.3</v>
      </c>
      <c r="P2499" s="653"/>
      <c r="Q2499" s="652">
        <v>0</v>
      </c>
      <c r="R2499" s="647" t="s">
        <v>251</v>
      </c>
      <c r="S2499" s="654" t="s">
        <v>74</v>
      </c>
      <c r="T2499" s="654">
        <v>32</v>
      </c>
      <c r="U2499" s="655" t="s">
        <v>164</v>
      </c>
      <c r="V2499" s="656"/>
      <c r="X2499" s="652">
        <v>0</v>
      </c>
      <c r="Y2499" s="652"/>
      <c r="AI2499" s="647">
        <v>0</v>
      </c>
      <c r="AJ2499" s="657"/>
      <c r="AK2499" s="658"/>
    </row>
    <row r="2500" spans="1:77" s="291" customFormat="1" ht="11.25" customHeight="1">
      <c r="B2500" s="291" t="s">
        <v>291</v>
      </c>
      <c r="C2500" s="292">
        <v>44723</v>
      </c>
      <c r="D2500" s="292">
        <v>44723</v>
      </c>
      <c r="E2500" s="293" t="s">
        <v>1924</v>
      </c>
      <c r="F2500" s="291" t="s">
        <v>419</v>
      </c>
      <c r="G2500" s="294" t="s">
        <v>420</v>
      </c>
      <c r="H2500" s="291" t="s">
        <v>684</v>
      </c>
      <c r="I2500" s="295" t="s">
        <v>33</v>
      </c>
      <c r="J2500" s="296">
        <v>9517.5</v>
      </c>
      <c r="K2500" s="295"/>
      <c r="L2500" s="296">
        <v>9.4</v>
      </c>
      <c r="M2500" s="296">
        <v>9.4</v>
      </c>
      <c r="N2500" s="297"/>
      <c r="O2500" s="298">
        <v>0.2</v>
      </c>
      <c r="P2500" s="298"/>
      <c r="Q2500" s="297">
        <v>0</v>
      </c>
      <c r="R2500" s="291" t="s">
        <v>257</v>
      </c>
      <c r="S2500" s="299" t="s">
        <v>3078</v>
      </c>
      <c r="T2500" s="299">
        <v>47</v>
      </c>
      <c r="U2500" s="300" t="s">
        <v>164</v>
      </c>
      <c r="V2500" s="333"/>
      <c r="W2500" s="291" t="s">
        <v>3892</v>
      </c>
      <c r="X2500" s="297">
        <v>0</v>
      </c>
      <c r="Y2500" s="297"/>
      <c r="AH2500" s="291">
        <f>X2500</f>
        <v>0</v>
      </c>
      <c r="AI2500" s="311"/>
      <c r="AJ2500" s="468"/>
    </row>
    <row r="2501" spans="1:77" s="261" customFormat="1" ht="11.25" customHeight="1">
      <c r="B2501" s="261" t="s">
        <v>291</v>
      </c>
      <c r="C2501" s="259">
        <v>44722</v>
      </c>
      <c r="D2501" s="259">
        <v>44722</v>
      </c>
      <c r="E2501" s="260" t="s">
        <v>1925</v>
      </c>
      <c r="F2501" s="261" t="s">
        <v>1926</v>
      </c>
      <c r="G2501" s="262">
        <v>3580</v>
      </c>
      <c r="H2501" s="261" t="s">
        <v>99</v>
      </c>
      <c r="I2501" s="264" t="s">
        <v>33</v>
      </c>
      <c r="J2501" s="263">
        <v>34790.21</v>
      </c>
      <c r="K2501" s="264"/>
      <c r="L2501" s="263">
        <v>38.21</v>
      </c>
      <c r="M2501" s="263">
        <v>38.21</v>
      </c>
      <c r="N2501" s="265"/>
      <c r="O2501" s="266">
        <v>0.15</v>
      </c>
      <c r="P2501" s="266"/>
      <c r="Q2501" s="265">
        <v>6433.61</v>
      </c>
      <c r="R2501" s="261" t="s">
        <v>128</v>
      </c>
      <c r="S2501" s="267" t="s">
        <v>41</v>
      </c>
      <c r="T2501" s="267">
        <v>86</v>
      </c>
      <c r="U2501" s="268" t="s">
        <v>164</v>
      </c>
      <c r="V2501" s="427"/>
      <c r="X2501" s="265">
        <v>6433.61</v>
      </c>
      <c r="Y2501" s="265"/>
      <c r="AG2501" s="261">
        <f>X2501</f>
        <v>6433.61</v>
      </c>
      <c r="AJ2501" s="642"/>
    </row>
    <row r="2502" spans="1:77" s="261" customFormat="1" ht="11.25" customHeight="1">
      <c r="B2502" s="261" t="s">
        <v>291</v>
      </c>
      <c r="C2502" s="259"/>
      <c r="D2502" s="259"/>
      <c r="E2502" s="260" t="s">
        <v>1925</v>
      </c>
      <c r="F2502" s="261" t="s">
        <v>1926</v>
      </c>
      <c r="G2502" s="262">
        <v>3580</v>
      </c>
      <c r="H2502" s="261" t="s">
        <v>183</v>
      </c>
      <c r="I2502" s="264" t="s">
        <v>33</v>
      </c>
      <c r="J2502" s="263">
        <v>4576.66</v>
      </c>
      <c r="K2502" s="264"/>
      <c r="L2502" s="263">
        <v>7.74</v>
      </c>
      <c r="M2502" s="263">
        <v>7.74</v>
      </c>
      <c r="N2502" s="265"/>
      <c r="O2502" s="266">
        <v>0.15</v>
      </c>
      <c r="P2502" s="266"/>
      <c r="Q2502" s="265">
        <v>0</v>
      </c>
      <c r="R2502" s="261" t="s">
        <v>128</v>
      </c>
      <c r="S2502" s="267" t="s">
        <v>41</v>
      </c>
      <c r="T2502" s="267">
        <v>86</v>
      </c>
      <c r="U2502" s="268" t="s">
        <v>164</v>
      </c>
      <c r="V2502" s="427"/>
      <c r="X2502" s="265">
        <v>0</v>
      </c>
      <c r="Y2502" s="265"/>
      <c r="AG2502" s="261">
        <f>X2502</f>
        <v>0</v>
      </c>
      <c r="AJ2502" s="642"/>
    </row>
    <row r="2503" spans="1:77" s="181" customFormat="1" ht="11.25" customHeight="1">
      <c r="A2503" s="379"/>
      <c r="B2503" s="380" t="s">
        <v>291</v>
      </c>
      <c r="C2503" s="381"/>
      <c r="D2503" s="381"/>
      <c r="E2503" s="382" t="s">
        <v>1927</v>
      </c>
      <c r="F2503" s="394" t="s">
        <v>1495</v>
      </c>
      <c r="G2503" s="400">
        <v>4113</v>
      </c>
      <c r="H2503" s="379" t="s">
        <v>814</v>
      </c>
      <c r="I2503" s="384" t="s">
        <v>958</v>
      </c>
      <c r="J2503" s="385">
        <v>25650</v>
      </c>
      <c r="K2503" s="384"/>
      <c r="L2503" s="385">
        <v>18.75</v>
      </c>
      <c r="M2503" s="385">
        <v>3.5</v>
      </c>
      <c r="N2503" s="386"/>
      <c r="O2503" s="387">
        <v>0.15</v>
      </c>
      <c r="P2503" s="387"/>
      <c r="Q2503" s="386">
        <v>0</v>
      </c>
      <c r="R2503" s="379" t="s">
        <v>105</v>
      </c>
      <c r="S2503" s="388" t="s">
        <v>30</v>
      </c>
      <c r="T2503" s="388">
        <v>39</v>
      </c>
      <c r="U2503" s="389" t="s">
        <v>164</v>
      </c>
      <c r="V2503" s="433"/>
      <c r="W2503" s="379"/>
      <c r="X2503" s="386">
        <v>0</v>
      </c>
      <c r="Y2503" s="386"/>
      <c r="Z2503" s="379"/>
      <c r="AA2503" s="379"/>
      <c r="AB2503" s="379"/>
      <c r="AC2503" s="379"/>
      <c r="AD2503" s="379"/>
      <c r="AE2503" s="379"/>
      <c r="AF2503" s="379"/>
      <c r="AG2503" s="379"/>
      <c r="AH2503" s="379"/>
      <c r="AI2503" s="379"/>
      <c r="AJ2503" s="390">
        <v>0</v>
      </c>
      <c r="AK2503" s="379"/>
      <c r="AL2503" s="379"/>
      <c r="AM2503" s="379"/>
      <c r="AN2503" s="379"/>
      <c r="AO2503" s="379"/>
      <c r="AP2503" s="379"/>
      <c r="AQ2503" s="379"/>
      <c r="AR2503" s="379"/>
      <c r="AS2503" s="379"/>
      <c r="AT2503" s="379"/>
      <c r="AU2503" s="379"/>
      <c r="AV2503" s="379"/>
      <c r="AW2503" s="379"/>
      <c r="AX2503" s="379"/>
      <c r="AY2503" s="379"/>
      <c r="AZ2503" s="379"/>
      <c r="BA2503" s="379"/>
      <c r="BB2503" s="379"/>
      <c r="BC2503" s="379"/>
      <c r="BD2503" s="379"/>
      <c r="BE2503" s="379"/>
      <c r="BF2503" s="379"/>
      <c r="BG2503" s="379"/>
      <c r="BH2503" s="379"/>
      <c r="BI2503" s="379"/>
      <c r="BJ2503" s="379"/>
      <c r="BK2503" s="379"/>
      <c r="BL2503" s="379"/>
      <c r="BM2503" s="379"/>
      <c r="BN2503" s="379"/>
      <c r="BO2503" s="379"/>
      <c r="BP2503" s="379"/>
      <c r="BQ2503" s="379"/>
      <c r="BR2503" s="379"/>
      <c r="BS2503" s="379"/>
      <c r="BT2503" s="379"/>
      <c r="BU2503" s="379"/>
      <c r="BV2503" s="379"/>
      <c r="BW2503" s="379"/>
      <c r="BX2503" s="379"/>
      <c r="BY2503" s="379"/>
    </row>
    <row r="2504" spans="1:77" s="647" customFormat="1" ht="11.25" customHeight="1">
      <c r="B2504" s="661" t="s">
        <v>291</v>
      </c>
      <c r="C2504" s="648"/>
      <c r="D2504" s="648"/>
      <c r="E2504" s="649" t="s">
        <v>1927</v>
      </c>
      <c r="F2504" s="660" t="s">
        <v>1495</v>
      </c>
      <c r="G2504" s="667">
        <v>4113</v>
      </c>
      <c r="H2504" s="647" t="s">
        <v>27</v>
      </c>
      <c r="I2504" s="676" t="s">
        <v>958</v>
      </c>
      <c r="J2504" s="651">
        <v>35817.599999999999</v>
      </c>
      <c r="K2504" s="676"/>
      <c r="L2504" s="651">
        <v>20.5</v>
      </c>
      <c r="M2504" s="651">
        <v>20.5</v>
      </c>
      <c r="N2504" s="652"/>
      <c r="O2504" s="653">
        <v>0.15</v>
      </c>
      <c r="P2504" s="653"/>
      <c r="Q2504" s="652">
        <v>0</v>
      </c>
      <c r="R2504" s="647" t="s">
        <v>105</v>
      </c>
      <c r="S2504" s="654" t="s">
        <v>30</v>
      </c>
      <c r="T2504" s="654">
        <v>39</v>
      </c>
      <c r="U2504" s="655" t="s">
        <v>164</v>
      </c>
      <c r="V2504" s="656"/>
      <c r="X2504" s="652">
        <v>0</v>
      </c>
      <c r="Y2504" s="652"/>
      <c r="AI2504" s="647">
        <v>0</v>
      </c>
      <c r="AJ2504" s="657"/>
      <c r="AK2504" s="658"/>
    </row>
    <row r="2505" spans="1:77" s="181" customFormat="1" ht="11.25" customHeight="1">
      <c r="B2505" s="178" t="s">
        <v>291</v>
      </c>
      <c r="C2505" s="179">
        <v>44682</v>
      </c>
      <c r="D2505" s="179">
        <v>44723</v>
      </c>
      <c r="E2505" s="180" t="s">
        <v>1927</v>
      </c>
      <c r="F2505" s="184" t="s">
        <v>1495</v>
      </c>
      <c r="G2505" s="194">
        <v>4113</v>
      </c>
      <c r="H2505" s="181" t="s">
        <v>99</v>
      </c>
      <c r="I2505" s="190" t="s">
        <v>958</v>
      </c>
      <c r="J2505" s="183">
        <v>49042</v>
      </c>
      <c r="K2505" s="190"/>
      <c r="L2505" s="183">
        <v>31</v>
      </c>
      <c r="M2505" s="183">
        <v>31</v>
      </c>
      <c r="N2505" s="185"/>
      <c r="O2505" s="186">
        <v>0.15</v>
      </c>
      <c r="P2505" s="186"/>
      <c r="Q2505" s="185">
        <v>0</v>
      </c>
      <c r="R2505" s="181" t="s">
        <v>105</v>
      </c>
      <c r="S2505" s="187" t="s">
        <v>30</v>
      </c>
      <c r="T2505" s="187">
        <v>39</v>
      </c>
      <c r="U2505" s="188" t="s">
        <v>164</v>
      </c>
      <c r="V2505" s="441"/>
      <c r="X2505" s="185">
        <v>0</v>
      </c>
      <c r="Y2505" s="185"/>
      <c r="AE2505" s="204">
        <f>X2505</f>
        <v>0</v>
      </c>
      <c r="AJ2505" s="189"/>
    </row>
    <row r="2506" spans="1:77" s="379" customFormat="1" ht="11.25" customHeight="1">
      <c r="B2506" s="380" t="s">
        <v>291</v>
      </c>
      <c r="C2506" s="381">
        <v>44720</v>
      </c>
      <c r="D2506" s="381">
        <v>44723</v>
      </c>
      <c r="E2506" s="382" t="s">
        <v>1928</v>
      </c>
      <c r="F2506" s="379" t="s">
        <v>739</v>
      </c>
      <c r="G2506" s="383">
        <v>4162</v>
      </c>
      <c r="H2506" s="379" t="s">
        <v>137</v>
      </c>
      <c r="I2506" s="384" t="s">
        <v>1648</v>
      </c>
      <c r="J2506" s="385">
        <v>3247.83</v>
      </c>
      <c r="K2506" s="384"/>
      <c r="L2506" s="385">
        <v>2.7</v>
      </c>
      <c r="M2506" s="385">
        <v>2.7</v>
      </c>
      <c r="N2506" s="386"/>
      <c r="O2506" s="387">
        <v>0.2</v>
      </c>
      <c r="P2506" s="387">
        <v>0.1</v>
      </c>
      <c r="Q2506" s="386">
        <v>1883.49</v>
      </c>
      <c r="R2506" s="379" t="s">
        <v>35</v>
      </c>
      <c r="S2506" s="388" t="s">
        <v>41</v>
      </c>
      <c r="T2506" s="388">
        <v>16</v>
      </c>
      <c r="U2506" s="389" t="s">
        <v>164</v>
      </c>
      <c r="V2506" s="433"/>
      <c r="X2506" s="386">
        <v>1883.49</v>
      </c>
      <c r="Y2506" s="386"/>
      <c r="AJ2506" s="416">
        <v>1883.49</v>
      </c>
    </row>
    <row r="2507" spans="1:77" s="205" customFormat="1" ht="11.25" customHeight="1">
      <c r="B2507" s="206" t="s">
        <v>291</v>
      </c>
      <c r="C2507" s="207">
        <v>44720</v>
      </c>
      <c r="D2507" s="207">
        <v>44724</v>
      </c>
      <c r="E2507" s="208" t="s">
        <v>1929</v>
      </c>
      <c r="F2507" s="205" t="s">
        <v>1930</v>
      </c>
      <c r="G2507" s="209" t="s">
        <v>1931</v>
      </c>
      <c r="H2507" s="205" t="s">
        <v>99</v>
      </c>
      <c r="I2507" s="219" t="s">
        <v>33</v>
      </c>
      <c r="J2507" s="210">
        <v>272527.2</v>
      </c>
      <c r="K2507" s="219"/>
      <c r="L2507" s="210">
        <v>183.52</v>
      </c>
      <c r="M2507" s="210">
        <v>183.52</v>
      </c>
      <c r="N2507" s="213"/>
      <c r="O2507" s="212">
        <v>0.2</v>
      </c>
      <c r="P2507" s="212"/>
      <c r="Q2507" s="213">
        <v>0</v>
      </c>
      <c r="R2507" s="205" t="s">
        <v>285</v>
      </c>
      <c r="S2507" s="214" t="s">
        <v>275</v>
      </c>
      <c r="T2507" s="214">
        <v>21</v>
      </c>
      <c r="U2507" s="215" t="s">
        <v>164</v>
      </c>
      <c r="V2507" s="438"/>
      <c r="X2507" s="213">
        <v>0</v>
      </c>
      <c r="Y2507" s="213"/>
      <c r="AF2507" s="230">
        <f>X2507</f>
        <v>0</v>
      </c>
      <c r="AJ2507" s="216"/>
    </row>
    <row r="2508" spans="1:77" s="261" customFormat="1" ht="11.25" customHeight="1">
      <c r="B2508" s="258" t="s">
        <v>291</v>
      </c>
      <c r="C2508" s="259"/>
      <c r="D2508" s="259"/>
      <c r="E2508" s="260" t="s">
        <v>1929</v>
      </c>
      <c r="F2508" s="261" t="s">
        <v>1930</v>
      </c>
      <c r="G2508" s="262" t="s">
        <v>1931</v>
      </c>
      <c r="H2508" s="261" t="s">
        <v>183</v>
      </c>
      <c r="I2508" s="264" t="s">
        <v>33</v>
      </c>
      <c r="J2508" s="263">
        <v>91713.05</v>
      </c>
      <c r="K2508" s="264"/>
      <c r="L2508" s="263">
        <v>72.37</v>
      </c>
      <c r="M2508" s="263">
        <v>72.37</v>
      </c>
      <c r="N2508" s="265">
        <f>J2508*0.25</f>
        <v>22928.262500000001</v>
      </c>
      <c r="O2508" s="266">
        <v>0.2</v>
      </c>
      <c r="P2508" s="266"/>
      <c r="Q2508" s="265">
        <v>1130.71</v>
      </c>
      <c r="R2508" s="261" t="s">
        <v>285</v>
      </c>
      <c r="S2508" s="267" t="s">
        <v>275</v>
      </c>
      <c r="T2508" s="267">
        <v>21</v>
      </c>
      <c r="U2508" s="268" t="s">
        <v>164</v>
      </c>
      <c r="V2508" s="427"/>
      <c r="X2508" s="265">
        <v>1130.71</v>
      </c>
      <c r="Y2508" s="265"/>
      <c r="AG2508" s="261">
        <f>X2508</f>
        <v>1130.71</v>
      </c>
      <c r="AJ2508" s="642"/>
    </row>
    <row r="2509" spans="1:77" s="261" customFormat="1" ht="11.25" customHeight="1">
      <c r="B2509" s="258" t="s">
        <v>291</v>
      </c>
      <c r="C2509" s="259"/>
      <c r="D2509" s="259"/>
      <c r="E2509" s="260" t="s">
        <v>1929</v>
      </c>
      <c r="F2509" s="261" t="s">
        <v>1930</v>
      </c>
      <c r="G2509" s="262" t="s">
        <v>1931</v>
      </c>
      <c r="H2509" s="261" t="s">
        <v>137</v>
      </c>
      <c r="I2509" s="264" t="s">
        <v>33</v>
      </c>
      <c r="J2509" s="263">
        <v>178338.53</v>
      </c>
      <c r="K2509" s="264"/>
      <c r="L2509" s="263">
        <v>122.62</v>
      </c>
      <c r="M2509" s="263">
        <v>122.62</v>
      </c>
      <c r="N2509" s="265">
        <f>J2509*0.3</f>
        <v>53501.559000000001</v>
      </c>
      <c r="O2509" s="266">
        <v>0.2</v>
      </c>
      <c r="P2509" s="266"/>
      <c r="Q2509" s="265">
        <v>16715.560000000001</v>
      </c>
      <c r="R2509" s="261" t="s">
        <v>285</v>
      </c>
      <c r="S2509" s="267" t="s">
        <v>275</v>
      </c>
      <c r="T2509" s="267">
        <v>21</v>
      </c>
      <c r="U2509" s="268" t="s">
        <v>164</v>
      </c>
      <c r="V2509" s="427"/>
      <c r="X2509" s="265">
        <v>16715.560000000001</v>
      </c>
      <c r="Y2509" s="265"/>
      <c r="AG2509" s="261">
        <f>X2509</f>
        <v>16715.560000000001</v>
      </c>
      <c r="AJ2509" s="642"/>
    </row>
    <row r="2510" spans="1:77" s="261" customFormat="1" ht="11.25" customHeight="1">
      <c r="B2510" s="258" t="s">
        <v>291</v>
      </c>
      <c r="C2510" s="259"/>
      <c r="D2510" s="259"/>
      <c r="E2510" s="260" t="s">
        <v>1929</v>
      </c>
      <c r="F2510" s="261" t="s">
        <v>1930</v>
      </c>
      <c r="G2510" s="262" t="s">
        <v>1931</v>
      </c>
      <c r="H2510" s="261" t="s">
        <v>163</v>
      </c>
      <c r="I2510" s="264" t="s">
        <v>33</v>
      </c>
      <c r="J2510" s="263">
        <v>36808.199999999997</v>
      </c>
      <c r="K2510" s="264"/>
      <c r="L2510" s="263">
        <v>33</v>
      </c>
      <c r="M2510" s="263">
        <v>33</v>
      </c>
      <c r="N2510" s="265"/>
      <c r="O2510" s="266">
        <v>0.2</v>
      </c>
      <c r="P2510" s="266"/>
      <c r="Q2510" s="265">
        <v>4181.76</v>
      </c>
      <c r="R2510" s="261" t="s">
        <v>285</v>
      </c>
      <c r="S2510" s="267" t="s">
        <v>275</v>
      </c>
      <c r="T2510" s="267">
        <v>21</v>
      </c>
      <c r="U2510" s="268" t="s">
        <v>164</v>
      </c>
      <c r="V2510" s="427"/>
      <c r="X2510" s="265">
        <v>4181.76</v>
      </c>
      <c r="Y2510" s="265"/>
      <c r="AG2510" s="261">
        <f>X2510</f>
        <v>4181.76</v>
      </c>
      <c r="AJ2510" s="642"/>
    </row>
    <row r="2511" spans="1:77" s="291" customFormat="1" ht="11.25" customHeight="1">
      <c r="B2511" s="310" t="s">
        <v>291</v>
      </c>
      <c r="C2511" s="292">
        <v>44722</v>
      </c>
      <c r="D2511" s="292">
        <v>44724</v>
      </c>
      <c r="E2511" s="293" t="s">
        <v>1932</v>
      </c>
      <c r="F2511" s="291" t="s">
        <v>1933</v>
      </c>
      <c r="G2511" s="294">
        <v>4349</v>
      </c>
      <c r="H2511" s="291" t="s">
        <v>99</v>
      </c>
      <c r="I2511" s="295" t="s">
        <v>33</v>
      </c>
      <c r="J2511" s="296">
        <v>157639.35999999999</v>
      </c>
      <c r="K2511" s="295"/>
      <c r="L2511" s="296">
        <v>128.97999999999999</v>
      </c>
      <c r="M2511" s="296">
        <v>128.97999999999999</v>
      </c>
      <c r="N2511" s="297"/>
      <c r="O2511" s="298">
        <v>0.25</v>
      </c>
      <c r="P2511" s="298"/>
      <c r="Q2511" s="297">
        <v>0</v>
      </c>
      <c r="R2511" s="291" t="s">
        <v>46</v>
      </c>
      <c r="S2511" s="299" t="s">
        <v>47</v>
      </c>
      <c r="T2511" s="299">
        <v>28</v>
      </c>
      <c r="U2511" s="300" t="s">
        <v>164</v>
      </c>
      <c r="V2511" s="333"/>
      <c r="X2511" s="297">
        <v>0</v>
      </c>
      <c r="Y2511" s="297"/>
      <c r="AH2511" s="291">
        <f t="shared" ref="AH2511:AH2516" si="34">X2511</f>
        <v>0</v>
      </c>
      <c r="AI2511" s="311"/>
      <c r="AJ2511" s="468"/>
    </row>
    <row r="2512" spans="1:77" s="291" customFormat="1" ht="11.25" customHeight="1">
      <c r="B2512" s="310" t="s">
        <v>291</v>
      </c>
      <c r="C2512" s="292"/>
      <c r="D2512" s="292"/>
      <c r="E2512" s="293" t="s">
        <v>1932</v>
      </c>
      <c r="F2512" s="291" t="s">
        <v>1933</v>
      </c>
      <c r="G2512" s="294">
        <v>4349</v>
      </c>
      <c r="H2512" s="291" t="s">
        <v>183</v>
      </c>
      <c r="I2512" s="295" t="s">
        <v>33</v>
      </c>
      <c r="J2512" s="296">
        <v>47610.85</v>
      </c>
      <c r="K2512" s="295"/>
      <c r="L2512" s="296">
        <v>38.79</v>
      </c>
      <c r="M2512" s="296">
        <v>38.79</v>
      </c>
      <c r="N2512" s="297"/>
      <c r="O2512" s="298">
        <v>0.25</v>
      </c>
      <c r="P2512" s="298"/>
      <c r="Q2512" s="297">
        <v>0</v>
      </c>
      <c r="R2512" s="291" t="s">
        <v>46</v>
      </c>
      <c r="S2512" s="299" t="s">
        <v>47</v>
      </c>
      <c r="T2512" s="299">
        <v>28</v>
      </c>
      <c r="U2512" s="300" t="s">
        <v>164</v>
      </c>
      <c r="V2512" s="333"/>
      <c r="X2512" s="297">
        <v>0</v>
      </c>
      <c r="Y2512" s="297"/>
      <c r="AH2512" s="291">
        <f t="shared" si="34"/>
        <v>0</v>
      </c>
      <c r="AI2512" s="311"/>
      <c r="AJ2512" s="468"/>
    </row>
    <row r="2513" spans="2:37" s="291" customFormat="1" ht="11.25" customHeight="1">
      <c r="B2513" s="310" t="s">
        <v>291</v>
      </c>
      <c r="C2513" s="292"/>
      <c r="D2513" s="292"/>
      <c r="E2513" s="293" t="s">
        <v>1932</v>
      </c>
      <c r="F2513" s="291" t="s">
        <v>1933</v>
      </c>
      <c r="G2513" s="294">
        <v>4349</v>
      </c>
      <c r="H2513" s="291" t="s">
        <v>27</v>
      </c>
      <c r="I2513" s="295" t="s">
        <v>33</v>
      </c>
      <c r="J2513" s="296">
        <v>54316.800000000003</v>
      </c>
      <c r="K2513" s="295"/>
      <c r="L2513" s="296">
        <v>39.36</v>
      </c>
      <c r="M2513" s="296">
        <v>39.36</v>
      </c>
      <c r="N2513" s="297"/>
      <c r="O2513" s="298">
        <v>0.25</v>
      </c>
      <c r="P2513" s="298"/>
      <c r="Q2513" s="297">
        <v>0</v>
      </c>
      <c r="R2513" s="291" t="s">
        <v>46</v>
      </c>
      <c r="S2513" s="299" t="s">
        <v>47</v>
      </c>
      <c r="T2513" s="299">
        <v>28</v>
      </c>
      <c r="U2513" s="300" t="s">
        <v>164</v>
      </c>
      <c r="V2513" s="333"/>
      <c r="X2513" s="297">
        <v>0</v>
      </c>
      <c r="Y2513" s="297"/>
      <c r="AH2513" s="291">
        <f t="shared" si="34"/>
        <v>0</v>
      </c>
      <c r="AI2513" s="311"/>
      <c r="AJ2513" s="468"/>
    </row>
    <row r="2514" spans="2:37" s="291" customFormat="1" ht="11.25" customHeight="1">
      <c r="B2514" s="310" t="s">
        <v>291</v>
      </c>
      <c r="C2514" s="292">
        <v>44722</v>
      </c>
      <c r="D2514" s="292">
        <v>44724</v>
      </c>
      <c r="E2514" s="293" t="s">
        <v>1934</v>
      </c>
      <c r="F2514" s="291" t="s">
        <v>1935</v>
      </c>
      <c r="G2514" s="294">
        <v>4312</v>
      </c>
      <c r="H2514" s="291" t="s">
        <v>99</v>
      </c>
      <c r="I2514" s="295" t="s">
        <v>33</v>
      </c>
      <c r="J2514" s="296">
        <v>174084.34</v>
      </c>
      <c r="K2514" s="295"/>
      <c r="L2514" s="296">
        <v>147.88</v>
      </c>
      <c r="M2514" s="296">
        <v>147.88</v>
      </c>
      <c r="N2514" s="297"/>
      <c r="O2514" s="298">
        <v>0.25</v>
      </c>
      <c r="P2514" s="298"/>
      <c r="Q2514" s="297">
        <v>0</v>
      </c>
      <c r="R2514" s="291" t="s">
        <v>46</v>
      </c>
      <c r="S2514" s="299" t="s">
        <v>47</v>
      </c>
      <c r="T2514" s="299">
        <v>28</v>
      </c>
      <c r="U2514" s="300" t="s">
        <v>164</v>
      </c>
      <c r="V2514" s="333"/>
      <c r="X2514" s="297">
        <v>0</v>
      </c>
      <c r="Y2514" s="297"/>
      <c r="AH2514" s="291">
        <f t="shared" si="34"/>
        <v>0</v>
      </c>
      <c r="AI2514" s="311"/>
      <c r="AJ2514" s="468"/>
    </row>
    <row r="2515" spans="2:37" s="291" customFormat="1" ht="11.25" customHeight="1">
      <c r="B2515" s="310" t="s">
        <v>291</v>
      </c>
      <c r="C2515" s="292"/>
      <c r="D2515" s="292"/>
      <c r="E2515" s="293" t="s">
        <v>1934</v>
      </c>
      <c r="F2515" s="291" t="s">
        <v>1935</v>
      </c>
      <c r="G2515" s="294">
        <v>4312</v>
      </c>
      <c r="H2515" s="291" t="s">
        <v>183</v>
      </c>
      <c r="I2515" s="295" t="s">
        <v>33</v>
      </c>
      <c r="J2515" s="296">
        <v>122789.84</v>
      </c>
      <c r="K2515" s="295"/>
      <c r="L2515" s="296">
        <v>99.08</v>
      </c>
      <c r="M2515" s="296">
        <v>99.08</v>
      </c>
      <c r="N2515" s="297"/>
      <c r="O2515" s="298">
        <v>0.25</v>
      </c>
      <c r="P2515" s="298"/>
      <c r="Q2515" s="297">
        <v>0</v>
      </c>
      <c r="R2515" s="291" t="s">
        <v>46</v>
      </c>
      <c r="S2515" s="299" t="s">
        <v>47</v>
      </c>
      <c r="T2515" s="299">
        <v>28</v>
      </c>
      <c r="U2515" s="300" t="s">
        <v>164</v>
      </c>
      <c r="V2515" s="333"/>
      <c r="X2515" s="297">
        <v>0</v>
      </c>
      <c r="Y2515" s="297"/>
      <c r="AH2515" s="291">
        <f t="shared" si="34"/>
        <v>0</v>
      </c>
      <c r="AI2515" s="311"/>
      <c r="AJ2515" s="468"/>
    </row>
    <row r="2516" spans="2:37" s="291" customFormat="1" ht="11.25" customHeight="1">
      <c r="B2516" s="310" t="s">
        <v>291</v>
      </c>
      <c r="C2516" s="292"/>
      <c r="D2516" s="292"/>
      <c r="E2516" s="293" t="s">
        <v>1934</v>
      </c>
      <c r="F2516" s="291" t="s">
        <v>1935</v>
      </c>
      <c r="G2516" s="294">
        <v>4312</v>
      </c>
      <c r="H2516" s="291" t="s">
        <v>27</v>
      </c>
      <c r="I2516" s="295" t="s">
        <v>33</v>
      </c>
      <c r="J2516" s="296">
        <v>148815.6</v>
      </c>
      <c r="K2516" s="295"/>
      <c r="L2516" s="296">
        <v>115.9</v>
      </c>
      <c r="M2516" s="296">
        <v>115.9</v>
      </c>
      <c r="N2516" s="297"/>
      <c r="O2516" s="298">
        <v>0.25</v>
      </c>
      <c r="P2516" s="298"/>
      <c r="Q2516" s="297">
        <v>0</v>
      </c>
      <c r="R2516" s="291" t="s">
        <v>46</v>
      </c>
      <c r="S2516" s="299" t="s">
        <v>47</v>
      </c>
      <c r="T2516" s="299">
        <v>28</v>
      </c>
      <c r="U2516" s="300" t="s">
        <v>164</v>
      </c>
      <c r="V2516" s="333"/>
      <c r="X2516" s="297">
        <v>0</v>
      </c>
      <c r="Y2516" s="297"/>
      <c r="AH2516" s="291">
        <f t="shared" si="34"/>
        <v>0</v>
      </c>
      <c r="AI2516" s="311"/>
      <c r="AJ2516" s="468"/>
    </row>
    <row r="2517" spans="2:37" s="647" customFormat="1" ht="11.25" customHeight="1">
      <c r="B2517" s="647" t="s">
        <v>291</v>
      </c>
      <c r="C2517" s="648">
        <v>44682</v>
      </c>
      <c r="D2517" s="648">
        <v>44724</v>
      </c>
      <c r="E2517" s="649" t="s">
        <v>1936</v>
      </c>
      <c r="F2517" s="647" t="s">
        <v>1106</v>
      </c>
      <c r="G2517" s="650" t="s">
        <v>1107</v>
      </c>
      <c r="H2517" s="647" t="s">
        <v>99</v>
      </c>
      <c r="I2517" s="676" t="s">
        <v>33</v>
      </c>
      <c r="J2517" s="651">
        <v>63489.2</v>
      </c>
      <c r="K2517" s="676"/>
      <c r="L2517" s="651">
        <v>47.38</v>
      </c>
      <c r="M2517" s="651">
        <v>47.38</v>
      </c>
      <c r="N2517" s="652"/>
      <c r="O2517" s="653">
        <v>0.25</v>
      </c>
      <c r="P2517" s="653"/>
      <c r="Q2517" s="652">
        <v>2132.1</v>
      </c>
      <c r="R2517" s="647" t="s">
        <v>285</v>
      </c>
      <c r="S2517" s="654" t="s">
        <v>275</v>
      </c>
      <c r="T2517" s="654">
        <v>89</v>
      </c>
      <c r="U2517" s="655" t="s">
        <v>164</v>
      </c>
      <c r="V2517" s="656"/>
      <c r="X2517" s="652">
        <v>2132.1</v>
      </c>
      <c r="Y2517" s="652"/>
      <c r="AI2517" s="652">
        <v>2132.1</v>
      </c>
      <c r="AJ2517" s="657"/>
      <c r="AK2517" s="658"/>
    </row>
    <row r="2518" spans="2:37" s="647" customFormat="1" ht="11.25" customHeight="1">
      <c r="B2518" s="647" t="s">
        <v>291</v>
      </c>
      <c r="C2518" s="648"/>
      <c r="D2518" s="648"/>
      <c r="E2518" s="649" t="s">
        <v>1936</v>
      </c>
      <c r="F2518" s="647" t="s">
        <v>1106</v>
      </c>
      <c r="G2518" s="650" t="s">
        <v>1107</v>
      </c>
      <c r="H2518" s="647" t="s">
        <v>137</v>
      </c>
      <c r="I2518" s="676" t="s">
        <v>33</v>
      </c>
      <c r="J2518" s="651">
        <v>24372.86</v>
      </c>
      <c r="K2518" s="676"/>
      <c r="L2518" s="651">
        <v>18.3</v>
      </c>
      <c r="M2518" s="651">
        <v>18.3</v>
      </c>
      <c r="N2518" s="652">
        <f>J2518*0.3</f>
        <v>7311.8580000000002</v>
      </c>
      <c r="O2518" s="653">
        <v>0.25</v>
      </c>
      <c r="P2518" s="653"/>
      <c r="Q2518" s="652">
        <v>1701.72</v>
      </c>
      <c r="R2518" s="647" t="s">
        <v>285</v>
      </c>
      <c r="S2518" s="654" t="s">
        <v>275</v>
      </c>
      <c r="T2518" s="654">
        <v>89</v>
      </c>
      <c r="U2518" s="655" t="s">
        <v>164</v>
      </c>
      <c r="V2518" s="656"/>
      <c r="X2518" s="652">
        <v>1701.72</v>
      </c>
      <c r="Y2518" s="652"/>
      <c r="AI2518" s="652">
        <v>1701.72</v>
      </c>
      <c r="AJ2518" s="657"/>
      <c r="AK2518" s="658"/>
    </row>
    <row r="2519" spans="2:37" s="647" customFormat="1" ht="11.25" customHeight="1">
      <c r="B2519" s="647" t="s">
        <v>291</v>
      </c>
      <c r="C2519" s="648"/>
      <c r="D2519" s="648"/>
      <c r="E2519" s="649" t="s">
        <v>1936</v>
      </c>
      <c r="F2519" s="647" t="s">
        <v>1106</v>
      </c>
      <c r="G2519" s="650" t="s">
        <v>1107</v>
      </c>
      <c r="H2519" s="647" t="s">
        <v>295</v>
      </c>
      <c r="I2519" s="676" t="s">
        <v>33</v>
      </c>
      <c r="J2519" s="651">
        <v>19869.84</v>
      </c>
      <c r="K2519" s="676"/>
      <c r="L2519" s="651">
        <v>22.91</v>
      </c>
      <c r="M2519" s="651">
        <v>22.91</v>
      </c>
      <c r="N2519" s="652"/>
      <c r="O2519" s="653">
        <v>0.25</v>
      </c>
      <c r="P2519" s="653"/>
      <c r="Q2519" s="652">
        <v>993.49</v>
      </c>
      <c r="R2519" s="647" t="s">
        <v>285</v>
      </c>
      <c r="S2519" s="654" t="s">
        <v>275</v>
      </c>
      <c r="T2519" s="654">
        <v>89</v>
      </c>
      <c r="U2519" s="655" t="s">
        <v>164</v>
      </c>
      <c r="V2519" s="656"/>
      <c r="X2519" s="652">
        <v>993.49</v>
      </c>
      <c r="Y2519" s="652"/>
      <c r="AI2519" s="652">
        <v>993.49</v>
      </c>
      <c r="AJ2519" s="657"/>
      <c r="AK2519" s="658"/>
    </row>
    <row r="2520" spans="2:37" s="205" customFormat="1" ht="11.25" customHeight="1">
      <c r="B2520" s="205" t="s">
        <v>291</v>
      </c>
      <c r="C2520" s="207">
        <v>44724</v>
      </c>
      <c r="D2520" s="207">
        <v>44725</v>
      </c>
      <c r="E2520" s="208" t="s">
        <v>1937</v>
      </c>
      <c r="F2520" s="205" t="s">
        <v>1938</v>
      </c>
      <c r="G2520" s="209">
        <v>3805</v>
      </c>
      <c r="H2520" s="205" t="s">
        <v>1939</v>
      </c>
      <c r="I2520" s="219" t="s">
        <v>156</v>
      </c>
      <c r="J2520" s="210">
        <v>18635.5</v>
      </c>
      <c r="K2520" s="219"/>
      <c r="L2520" s="210">
        <v>23.5</v>
      </c>
      <c r="M2520" s="210">
        <v>23.5</v>
      </c>
      <c r="N2520" s="213">
        <v>0</v>
      </c>
      <c r="O2520" s="212">
        <v>0.15</v>
      </c>
      <c r="P2520" s="212">
        <v>0.1</v>
      </c>
      <c r="Q2520" s="213">
        <v>0</v>
      </c>
      <c r="R2520" s="205" t="s">
        <v>29</v>
      </c>
      <c r="S2520" s="214" t="s">
        <v>30</v>
      </c>
      <c r="T2520" s="214">
        <v>70</v>
      </c>
      <c r="U2520" s="215" t="s">
        <v>164</v>
      </c>
      <c r="V2520" s="438"/>
      <c r="W2520" s="205" t="s">
        <v>2748</v>
      </c>
      <c r="X2520" s="213">
        <v>0</v>
      </c>
      <c r="Y2520" s="213"/>
      <c r="AF2520" s="230">
        <f>X2520</f>
        <v>0</v>
      </c>
      <c r="AJ2520" s="216"/>
    </row>
    <row r="2521" spans="2:37" s="205" customFormat="1" ht="11.25" customHeight="1">
      <c r="B2521" s="205" t="s">
        <v>291</v>
      </c>
      <c r="C2521" s="207"/>
      <c r="D2521" s="207"/>
      <c r="E2521" s="208" t="s">
        <v>1937</v>
      </c>
      <c r="F2521" s="205" t="s">
        <v>1938</v>
      </c>
      <c r="G2521" s="209">
        <v>3805</v>
      </c>
      <c r="H2521" s="205" t="s">
        <v>99</v>
      </c>
      <c r="I2521" s="219" t="s">
        <v>156</v>
      </c>
      <c r="J2521" s="210">
        <v>61124.11</v>
      </c>
      <c r="K2521" s="219"/>
      <c r="L2521" s="210">
        <v>54.81</v>
      </c>
      <c r="M2521" s="210">
        <v>20</v>
      </c>
      <c r="N2521" s="213">
        <v>0</v>
      </c>
      <c r="O2521" s="212">
        <v>0.15</v>
      </c>
      <c r="P2521" s="212">
        <v>0.1</v>
      </c>
      <c r="Q2521" s="213">
        <v>0</v>
      </c>
      <c r="R2521" s="205" t="s">
        <v>29</v>
      </c>
      <c r="S2521" s="214" t="s">
        <v>30</v>
      </c>
      <c r="T2521" s="214">
        <v>70</v>
      </c>
      <c r="U2521" s="215" t="s">
        <v>164</v>
      </c>
      <c r="V2521" s="438"/>
      <c r="W2521" s="205" t="s">
        <v>2748</v>
      </c>
      <c r="X2521" s="213">
        <v>0</v>
      </c>
      <c r="Y2521" s="213"/>
      <c r="AF2521" s="230">
        <f>X2521</f>
        <v>0</v>
      </c>
      <c r="AJ2521" s="216"/>
    </row>
    <row r="2522" spans="2:37" s="181" customFormat="1" ht="11.25" customHeight="1">
      <c r="B2522" s="181" t="s">
        <v>291</v>
      </c>
      <c r="C2522" s="179"/>
      <c r="D2522" s="179"/>
      <c r="E2522" s="180" t="s">
        <v>1937</v>
      </c>
      <c r="F2522" s="181" t="s">
        <v>1938</v>
      </c>
      <c r="G2522" s="182">
        <v>3805</v>
      </c>
      <c r="H2522" s="181" t="s">
        <v>866</v>
      </c>
      <c r="I2522" s="190" t="s">
        <v>156</v>
      </c>
      <c r="J2522" s="183">
        <v>28209.22</v>
      </c>
      <c r="K2522" s="190"/>
      <c r="L2522" s="183">
        <v>24.16</v>
      </c>
      <c r="M2522" s="183">
        <v>24.16</v>
      </c>
      <c r="N2522" s="185"/>
      <c r="O2522" s="186">
        <v>0.15</v>
      </c>
      <c r="P2522" s="186">
        <v>0.1</v>
      </c>
      <c r="Q2522" s="185">
        <v>0</v>
      </c>
      <c r="R2522" s="181" t="s">
        <v>29</v>
      </c>
      <c r="S2522" s="187" t="s">
        <v>30</v>
      </c>
      <c r="T2522" s="187">
        <v>70</v>
      </c>
      <c r="U2522" s="188" t="s">
        <v>164</v>
      </c>
      <c r="V2522" s="441"/>
      <c r="X2522" s="185">
        <v>0</v>
      </c>
      <c r="Y2522" s="185"/>
      <c r="AE2522" s="204">
        <f>X2522</f>
        <v>0</v>
      </c>
      <c r="AJ2522" s="189"/>
    </row>
    <row r="2523" spans="2:37" s="205" customFormat="1" ht="11.25" customHeight="1">
      <c r="B2523" s="205" t="s">
        <v>291</v>
      </c>
      <c r="C2523" s="207"/>
      <c r="D2523" s="207"/>
      <c r="E2523" s="208" t="s">
        <v>1937</v>
      </c>
      <c r="F2523" s="205" t="s">
        <v>1938</v>
      </c>
      <c r="G2523" s="209">
        <v>3805</v>
      </c>
      <c r="H2523" s="205" t="s">
        <v>137</v>
      </c>
      <c r="I2523" s="219" t="s">
        <v>156</v>
      </c>
      <c r="J2523" s="210">
        <v>17426.7</v>
      </c>
      <c r="K2523" s="219"/>
      <c r="L2523" s="210">
        <v>20.100000000000001</v>
      </c>
      <c r="M2523" s="210">
        <v>20.100000000000001</v>
      </c>
      <c r="N2523" s="213">
        <v>0</v>
      </c>
      <c r="O2523" s="212">
        <v>0.15</v>
      </c>
      <c r="P2523" s="212">
        <v>0.1</v>
      </c>
      <c r="Q2523" s="213">
        <v>0</v>
      </c>
      <c r="R2523" s="205" t="s">
        <v>29</v>
      </c>
      <c r="S2523" s="214" t="s">
        <v>30</v>
      </c>
      <c r="T2523" s="214">
        <v>70</v>
      </c>
      <c r="U2523" s="215" t="s">
        <v>164</v>
      </c>
      <c r="V2523" s="438"/>
      <c r="W2523" s="205" t="s">
        <v>2748</v>
      </c>
      <c r="X2523" s="213">
        <v>0</v>
      </c>
      <c r="Y2523" s="213"/>
      <c r="AF2523" s="230">
        <f>X2523</f>
        <v>0</v>
      </c>
      <c r="AJ2523" s="216"/>
    </row>
    <row r="2524" spans="2:37" s="379" customFormat="1" ht="11.25" customHeight="1">
      <c r="B2524" s="406" t="s">
        <v>291</v>
      </c>
      <c r="C2524" s="381">
        <v>44723</v>
      </c>
      <c r="D2524" s="381">
        <v>44725</v>
      </c>
      <c r="E2524" s="382" t="s">
        <v>1940</v>
      </c>
      <c r="F2524" s="379" t="s">
        <v>1198</v>
      </c>
      <c r="G2524" s="400" t="s">
        <v>1199</v>
      </c>
      <c r="H2524" s="394" t="s">
        <v>941</v>
      </c>
      <c r="I2524" s="394" t="s">
        <v>888</v>
      </c>
      <c r="J2524" s="385">
        <v>9937.98</v>
      </c>
      <c r="K2524" s="384"/>
      <c r="L2524" s="385">
        <v>11.16</v>
      </c>
      <c r="M2524" s="385">
        <v>11.16</v>
      </c>
      <c r="N2524" s="386"/>
      <c r="O2524" s="387">
        <v>0.2</v>
      </c>
      <c r="P2524" s="387"/>
      <c r="Q2524" s="386">
        <v>0</v>
      </c>
      <c r="R2524" s="379" t="s">
        <v>257</v>
      </c>
      <c r="S2524" s="388" t="s">
        <v>624</v>
      </c>
      <c r="T2524" s="388">
        <v>32</v>
      </c>
      <c r="U2524" s="389" t="s">
        <v>164</v>
      </c>
      <c r="V2524" s="433"/>
      <c r="X2524" s="386">
        <v>0</v>
      </c>
      <c r="Y2524" s="386"/>
      <c r="AJ2524" s="390">
        <v>0</v>
      </c>
    </row>
    <row r="2525" spans="2:37" s="379" customFormat="1" ht="11.25" customHeight="1">
      <c r="B2525" s="406" t="s">
        <v>291</v>
      </c>
      <c r="C2525" s="381">
        <v>44724</v>
      </c>
      <c r="D2525" s="381">
        <v>44725</v>
      </c>
      <c r="E2525" s="382" t="s">
        <v>1941</v>
      </c>
      <c r="F2525" s="379" t="s">
        <v>1942</v>
      </c>
      <c r="G2525" s="383">
        <v>3556</v>
      </c>
      <c r="H2525" s="379" t="s">
        <v>99</v>
      </c>
      <c r="I2525" s="384" t="s">
        <v>156</v>
      </c>
      <c r="J2525" s="385">
        <v>57734.75</v>
      </c>
      <c r="K2525" s="384"/>
      <c r="L2525" s="385">
        <v>52.51</v>
      </c>
      <c r="M2525" s="385">
        <v>10</v>
      </c>
      <c r="N2525" s="386">
        <v>460.91</v>
      </c>
      <c r="O2525" s="387">
        <v>0.2</v>
      </c>
      <c r="P2525" s="387">
        <v>0.1</v>
      </c>
      <c r="Q2525" s="386">
        <v>0</v>
      </c>
      <c r="R2525" s="379" t="s">
        <v>29</v>
      </c>
      <c r="S2525" s="388" t="s">
        <v>30</v>
      </c>
      <c r="T2525" s="388">
        <v>70</v>
      </c>
      <c r="U2525" s="389" t="s">
        <v>164</v>
      </c>
      <c r="V2525" s="433"/>
      <c r="X2525" s="386">
        <v>0</v>
      </c>
      <c r="Y2525" s="386"/>
      <c r="AJ2525" s="390">
        <v>0</v>
      </c>
    </row>
    <row r="2526" spans="2:37" s="379" customFormat="1" ht="11.25" customHeight="1">
      <c r="B2526" s="406" t="s">
        <v>291</v>
      </c>
      <c r="C2526" s="381"/>
      <c r="D2526" s="381"/>
      <c r="E2526" s="382" t="s">
        <v>1941</v>
      </c>
      <c r="F2526" s="379" t="s">
        <v>1942</v>
      </c>
      <c r="G2526" s="383">
        <v>3556</v>
      </c>
      <c r="H2526" s="379" t="s">
        <v>27</v>
      </c>
      <c r="I2526" s="384" t="s">
        <v>156</v>
      </c>
      <c r="J2526" s="385">
        <v>38757.599999999999</v>
      </c>
      <c r="K2526" s="384"/>
      <c r="L2526" s="385">
        <v>30.76</v>
      </c>
      <c r="M2526" s="385">
        <v>20</v>
      </c>
      <c r="N2526" s="386">
        <f>3043.4+111.38</f>
        <v>3154.78</v>
      </c>
      <c r="O2526" s="387">
        <v>0.2</v>
      </c>
      <c r="P2526" s="387">
        <v>0.1</v>
      </c>
      <c r="Q2526" s="386">
        <v>674.1</v>
      </c>
      <c r="R2526" s="379" t="s">
        <v>29</v>
      </c>
      <c r="S2526" s="388" t="s">
        <v>30</v>
      </c>
      <c r="T2526" s="388">
        <v>70</v>
      </c>
      <c r="U2526" s="389" t="s">
        <v>164</v>
      </c>
      <c r="V2526" s="433"/>
      <c r="X2526" s="386">
        <v>674.1</v>
      </c>
      <c r="Y2526" s="386"/>
      <c r="AJ2526" s="416">
        <v>674.1</v>
      </c>
    </row>
    <row r="2527" spans="2:37" s="473" customFormat="1" ht="11.25" customHeight="1">
      <c r="B2527" s="501" t="s">
        <v>291</v>
      </c>
      <c r="C2527" s="487">
        <v>44725</v>
      </c>
      <c r="D2527" s="487">
        <v>44725</v>
      </c>
      <c r="E2527" s="488" t="s">
        <v>1943</v>
      </c>
      <c r="F2527" s="473" t="s">
        <v>1944</v>
      </c>
      <c r="G2527" s="489">
        <v>3959</v>
      </c>
      <c r="H2527" s="473" t="s">
        <v>183</v>
      </c>
      <c r="I2527" s="491" t="s">
        <v>888</v>
      </c>
      <c r="J2527" s="490">
        <v>7458.8</v>
      </c>
      <c r="K2527" s="491"/>
      <c r="L2527" s="490">
        <v>7.25</v>
      </c>
      <c r="M2527" s="490">
        <v>7.2</v>
      </c>
      <c r="N2527" s="492"/>
      <c r="O2527" s="493">
        <v>0.15</v>
      </c>
      <c r="P2527" s="493"/>
      <c r="Q2527" s="492">
        <v>0</v>
      </c>
      <c r="R2527" s="473" t="s">
        <v>105</v>
      </c>
      <c r="S2527" s="481" t="s">
        <v>30</v>
      </c>
      <c r="T2527" s="481">
        <v>39</v>
      </c>
      <c r="U2527" s="494" t="s">
        <v>164</v>
      </c>
      <c r="V2527" s="495"/>
      <c r="X2527" s="492">
        <v>0</v>
      </c>
      <c r="Y2527" s="492"/>
      <c r="AJ2527" s="485"/>
      <c r="AK2527" s="473">
        <v>0</v>
      </c>
    </row>
    <row r="2528" spans="2:37" s="205" customFormat="1" ht="11.25" customHeight="1">
      <c r="B2528" s="229" t="s">
        <v>291</v>
      </c>
      <c r="C2528" s="207">
        <v>44725</v>
      </c>
      <c r="D2528" s="207">
        <v>44725</v>
      </c>
      <c r="E2528" s="208" t="s">
        <v>1945</v>
      </c>
      <c r="F2528" s="205" t="s">
        <v>1946</v>
      </c>
      <c r="G2528" s="209">
        <v>4065</v>
      </c>
      <c r="H2528" s="205" t="s">
        <v>138</v>
      </c>
      <c r="I2528" s="219" t="s">
        <v>888</v>
      </c>
      <c r="J2528" s="210">
        <v>23963.94</v>
      </c>
      <c r="K2528" s="219"/>
      <c r="L2528" s="210">
        <v>19.11</v>
      </c>
      <c r="M2528" s="210">
        <v>19.11</v>
      </c>
      <c r="N2528" s="213"/>
      <c r="O2528" s="212">
        <v>0.2</v>
      </c>
      <c r="P2528" s="212"/>
      <c r="Q2528" s="213">
        <v>0</v>
      </c>
      <c r="R2528" s="205" t="s">
        <v>73</v>
      </c>
      <c r="S2528" s="214" t="s">
        <v>74</v>
      </c>
      <c r="T2528" s="214">
        <v>31</v>
      </c>
      <c r="U2528" s="215" t="s">
        <v>164</v>
      </c>
      <c r="V2528" s="438"/>
      <c r="W2528" s="205" t="s">
        <v>2986</v>
      </c>
      <c r="X2528" s="213">
        <v>0</v>
      </c>
      <c r="Y2528" s="213"/>
      <c r="AF2528" s="230">
        <f t="shared" ref="AF2528:AF2533" si="35">X2528</f>
        <v>0</v>
      </c>
      <c r="AJ2528" s="216"/>
    </row>
    <row r="2529" spans="2:40" s="205" customFormat="1" ht="11.25" customHeight="1">
      <c r="B2529" s="229" t="s">
        <v>291</v>
      </c>
      <c r="C2529" s="207"/>
      <c r="D2529" s="207"/>
      <c r="E2529" s="208" t="s">
        <v>1945</v>
      </c>
      <c r="F2529" s="205" t="s">
        <v>1946</v>
      </c>
      <c r="G2529" s="209">
        <v>4065</v>
      </c>
      <c r="H2529" s="205" t="s">
        <v>138</v>
      </c>
      <c r="I2529" s="219" t="s">
        <v>888</v>
      </c>
      <c r="J2529" s="210">
        <v>11887.92</v>
      </c>
      <c r="K2529" s="219"/>
      <c r="L2529" s="210">
        <v>9.48</v>
      </c>
      <c r="M2529" s="210">
        <v>9.48</v>
      </c>
      <c r="N2529" s="213"/>
      <c r="O2529" s="212">
        <v>0.2</v>
      </c>
      <c r="P2529" s="212"/>
      <c r="Q2529" s="213">
        <v>0</v>
      </c>
      <c r="R2529" s="205" t="s">
        <v>73</v>
      </c>
      <c r="S2529" s="214" t="s">
        <v>74</v>
      </c>
      <c r="T2529" s="214">
        <v>32</v>
      </c>
      <c r="U2529" s="215" t="s">
        <v>164</v>
      </c>
      <c r="V2529" s="438"/>
      <c r="W2529" s="205" t="s">
        <v>2986</v>
      </c>
      <c r="X2529" s="213">
        <v>0</v>
      </c>
      <c r="Y2529" s="213"/>
      <c r="AF2529" s="230">
        <f t="shared" si="35"/>
        <v>0</v>
      </c>
      <c r="AJ2529" s="216"/>
    </row>
    <row r="2530" spans="2:40" s="205" customFormat="1" ht="11.25" customHeight="1">
      <c r="B2530" s="229" t="s">
        <v>291</v>
      </c>
      <c r="C2530" s="207"/>
      <c r="D2530" s="207"/>
      <c r="E2530" s="208" t="s">
        <v>1945</v>
      </c>
      <c r="F2530" s="205" t="s">
        <v>1946</v>
      </c>
      <c r="G2530" s="209">
        <v>4065</v>
      </c>
      <c r="H2530" s="205" t="s">
        <v>140</v>
      </c>
      <c r="I2530" s="219" t="s">
        <v>888</v>
      </c>
      <c r="J2530" s="210">
        <v>50977.62</v>
      </c>
      <c r="K2530" s="219"/>
      <c r="L2530" s="210">
        <v>28.18</v>
      </c>
      <c r="M2530" s="210">
        <v>28.18</v>
      </c>
      <c r="N2530" s="213"/>
      <c r="O2530" s="212">
        <v>0.2</v>
      </c>
      <c r="P2530" s="212"/>
      <c r="Q2530" s="213">
        <v>0</v>
      </c>
      <c r="R2530" s="205" t="s">
        <v>73</v>
      </c>
      <c r="S2530" s="214" t="s">
        <v>74</v>
      </c>
      <c r="T2530" s="214">
        <v>31</v>
      </c>
      <c r="U2530" s="215" t="s">
        <v>164</v>
      </c>
      <c r="V2530" s="438"/>
      <c r="X2530" s="213">
        <v>0</v>
      </c>
      <c r="Y2530" s="213"/>
      <c r="AF2530" s="230">
        <f t="shared" si="35"/>
        <v>0</v>
      </c>
      <c r="AJ2530" s="216"/>
    </row>
    <row r="2531" spans="2:40" s="205" customFormat="1" ht="11.25" customHeight="1">
      <c r="B2531" s="229" t="s">
        <v>291</v>
      </c>
      <c r="C2531" s="207"/>
      <c r="D2531" s="207"/>
      <c r="E2531" s="208" t="s">
        <v>1945</v>
      </c>
      <c r="F2531" s="205" t="s">
        <v>1946</v>
      </c>
      <c r="G2531" s="209">
        <v>4065</v>
      </c>
      <c r="H2531" s="205" t="s">
        <v>140</v>
      </c>
      <c r="I2531" s="219" t="s">
        <v>888</v>
      </c>
      <c r="J2531" s="210">
        <v>20738.38</v>
      </c>
      <c r="K2531" s="219"/>
      <c r="L2531" s="210">
        <v>14.33</v>
      </c>
      <c r="M2531" s="210">
        <v>14.33</v>
      </c>
      <c r="N2531" s="213"/>
      <c r="O2531" s="212">
        <v>0.2</v>
      </c>
      <c r="P2531" s="212"/>
      <c r="Q2531" s="213">
        <v>0</v>
      </c>
      <c r="R2531" s="205" t="s">
        <v>73</v>
      </c>
      <c r="S2531" s="214" t="s">
        <v>74</v>
      </c>
      <c r="T2531" s="214">
        <v>32</v>
      </c>
      <c r="U2531" s="215" t="s">
        <v>164</v>
      </c>
      <c r="V2531" s="438"/>
      <c r="X2531" s="213">
        <v>0</v>
      </c>
      <c r="Y2531" s="213"/>
      <c r="AF2531" s="230">
        <f t="shared" si="35"/>
        <v>0</v>
      </c>
      <c r="AJ2531" s="216"/>
    </row>
    <row r="2532" spans="2:40" s="205" customFormat="1" ht="11.25" customHeight="1">
      <c r="B2532" s="229" t="s">
        <v>291</v>
      </c>
      <c r="C2532" s="207"/>
      <c r="D2532" s="207"/>
      <c r="E2532" s="208" t="s">
        <v>1945</v>
      </c>
      <c r="F2532" s="205" t="s">
        <v>1946</v>
      </c>
      <c r="G2532" s="209">
        <v>4065</v>
      </c>
      <c r="H2532" s="205" t="s">
        <v>99</v>
      </c>
      <c r="I2532" s="219" t="s">
        <v>888</v>
      </c>
      <c r="J2532" s="210">
        <v>44296</v>
      </c>
      <c r="K2532" s="219"/>
      <c r="L2532" s="210">
        <v>39.549999999999997</v>
      </c>
      <c r="M2532" s="210">
        <v>39.549999999999997</v>
      </c>
      <c r="N2532" s="213"/>
      <c r="O2532" s="212">
        <v>0.2</v>
      </c>
      <c r="P2532" s="212"/>
      <c r="Q2532" s="213">
        <v>0</v>
      </c>
      <c r="R2532" s="205" t="s">
        <v>73</v>
      </c>
      <c r="S2532" s="214" t="s">
        <v>74</v>
      </c>
      <c r="T2532" s="214">
        <v>31</v>
      </c>
      <c r="U2532" s="215" t="s">
        <v>164</v>
      </c>
      <c r="V2532" s="438"/>
      <c r="W2532" s="205" t="s">
        <v>2986</v>
      </c>
      <c r="X2532" s="213">
        <v>0</v>
      </c>
      <c r="Y2532" s="213"/>
      <c r="AF2532" s="230">
        <f t="shared" si="35"/>
        <v>0</v>
      </c>
      <c r="AJ2532" s="216"/>
    </row>
    <row r="2533" spans="2:40" s="205" customFormat="1" ht="11.25" customHeight="1">
      <c r="B2533" s="229" t="s">
        <v>291</v>
      </c>
      <c r="C2533" s="207"/>
      <c r="D2533" s="207"/>
      <c r="E2533" s="208" t="s">
        <v>1945</v>
      </c>
      <c r="F2533" s="205" t="s">
        <v>1946</v>
      </c>
      <c r="G2533" s="209">
        <v>4065</v>
      </c>
      <c r="H2533" s="205" t="s">
        <v>137</v>
      </c>
      <c r="I2533" s="219" t="s">
        <v>888</v>
      </c>
      <c r="J2533" s="210">
        <v>8966.4</v>
      </c>
      <c r="K2533" s="219"/>
      <c r="L2533" s="210">
        <v>9.34</v>
      </c>
      <c r="M2533" s="210">
        <v>9.34</v>
      </c>
      <c r="N2533" s="213"/>
      <c r="O2533" s="212">
        <v>0.2</v>
      </c>
      <c r="P2533" s="212"/>
      <c r="Q2533" s="213">
        <v>0</v>
      </c>
      <c r="R2533" s="205" t="s">
        <v>73</v>
      </c>
      <c r="S2533" s="214" t="s">
        <v>74</v>
      </c>
      <c r="T2533" s="214">
        <v>31</v>
      </c>
      <c r="U2533" s="215" t="s">
        <v>164</v>
      </c>
      <c r="V2533" s="438"/>
      <c r="X2533" s="213">
        <v>0</v>
      </c>
      <c r="Y2533" s="213"/>
      <c r="AF2533" s="230">
        <f t="shared" si="35"/>
        <v>0</v>
      </c>
      <c r="AJ2533" s="216"/>
    </row>
    <row r="2534" spans="2:40" s="582" customFormat="1" ht="11.25" customHeight="1">
      <c r="B2534" s="582" t="s">
        <v>291</v>
      </c>
      <c r="C2534" s="583">
        <v>44696</v>
      </c>
      <c r="D2534" s="583">
        <v>44725</v>
      </c>
      <c r="E2534" s="584" t="s">
        <v>1947</v>
      </c>
      <c r="F2534" s="582" t="s">
        <v>49</v>
      </c>
      <c r="G2534" s="610">
        <v>3667</v>
      </c>
      <c r="H2534" s="582" t="s">
        <v>137</v>
      </c>
      <c r="I2534" s="586" t="s">
        <v>33</v>
      </c>
      <c r="J2534" s="587">
        <v>56032.66</v>
      </c>
      <c r="K2534" s="586"/>
      <c r="L2534" s="587">
        <v>51.86</v>
      </c>
      <c r="M2534" s="587">
        <v>51.86</v>
      </c>
      <c r="N2534" s="588"/>
      <c r="O2534" s="589">
        <v>0.2</v>
      </c>
      <c r="P2534" s="589"/>
      <c r="Q2534" s="588">
        <v>0</v>
      </c>
      <c r="R2534" s="582" t="s">
        <v>50</v>
      </c>
      <c r="S2534" s="590" t="s">
        <v>51</v>
      </c>
      <c r="T2534" s="590">
        <v>55</v>
      </c>
      <c r="U2534" s="592" t="s">
        <v>164</v>
      </c>
      <c r="V2534" s="593"/>
      <c r="X2534" s="588">
        <v>0</v>
      </c>
      <c r="Y2534" s="588"/>
      <c r="AJ2534" s="594"/>
      <c r="AN2534" s="582">
        <v>0</v>
      </c>
    </row>
    <row r="2535" spans="2:40" s="379" customFormat="1" ht="11.25" customHeight="1">
      <c r="B2535" s="380" t="s">
        <v>291</v>
      </c>
      <c r="C2535" s="381">
        <v>44725</v>
      </c>
      <c r="D2535" s="381">
        <v>44725</v>
      </c>
      <c r="E2535" s="382" t="s">
        <v>1948</v>
      </c>
      <c r="F2535" s="379" t="s">
        <v>1284</v>
      </c>
      <c r="G2535" s="383">
        <v>4577</v>
      </c>
      <c r="H2535" s="379" t="s">
        <v>765</v>
      </c>
      <c r="I2535" s="384" t="s">
        <v>958</v>
      </c>
      <c r="J2535" s="385">
        <v>36630.410000000003</v>
      </c>
      <c r="K2535" s="384"/>
      <c r="L2535" s="385">
        <v>43.42</v>
      </c>
      <c r="M2535" s="385">
        <v>43.42</v>
      </c>
      <c r="N2535" s="386"/>
      <c r="O2535" s="387">
        <v>0.2</v>
      </c>
      <c r="P2535" s="387"/>
      <c r="Q2535" s="386">
        <v>12290.2</v>
      </c>
      <c r="R2535" s="379" t="s">
        <v>73</v>
      </c>
      <c r="S2535" s="388" t="s">
        <v>65</v>
      </c>
      <c r="T2535" s="388">
        <v>11</v>
      </c>
      <c r="U2535" s="389" t="s">
        <v>164</v>
      </c>
      <c r="V2535" s="433"/>
      <c r="X2535" s="386">
        <v>12290.2</v>
      </c>
      <c r="Y2535" s="386"/>
      <c r="AJ2535" s="416">
        <v>12290.2</v>
      </c>
    </row>
    <row r="2536" spans="2:40" s="473" customFormat="1" ht="11.25" customHeight="1">
      <c r="B2536" s="486" t="s">
        <v>291</v>
      </c>
      <c r="C2536" s="487">
        <v>44725</v>
      </c>
      <c r="D2536" s="487">
        <v>44725</v>
      </c>
      <c r="E2536" s="488" t="s">
        <v>1949</v>
      </c>
      <c r="F2536" s="473" t="s">
        <v>1282</v>
      </c>
      <c r="G2536" s="489">
        <v>4578</v>
      </c>
      <c r="H2536" s="473" t="s">
        <v>765</v>
      </c>
      <c r="I2536" s="472" t="s">
        <v>958</v>
      </c>
      <c r="J2536" s="490">
        <v>31772.49</v>
      </c>
      <c r="K2536" s="491"/>
      <c r="L2536" s="490">
        <v>44.18</v>
      </c>
      <c r="M2536" s="490">
        <v>44.17</v>
      </c>
      <c r="N2536" s="492"/>
      <c r="O2536" s="493">
        <v>0.2</v>
      </c>
      <c r="P2536" s="493"/>
      <c r="Q2536" s="492">
        <v>11161.11</v>
      </c>
      <c r="R2536" s="473" t="s">
        <v>73</v>
      </c>
      <c r="S2536" s="481" t="s">
        <v>65</v>
      </c>
      <c r="T2536" s="481">
        <v>11</v>
      </c>
      <c r="U2536" s="494" t="s">
        <v>164</v>
      </c>
      <c r="V2536" s="495"/>
      <c r="X2536" s="492">
        <v>11161.11</v>
      </c>
      <c r="Y2536" s="492"/>
      <c r="AJ2536" s="485"/>
      <c r="AK2536" s="505">
        <v>11161.11</v>
      </c>
    </row>
    <row r="2537" spans="2:40" s="261" customFormat="1" ht="11.25" customHeight="1">
      <c r="B2537" s="261" t="s">
        <v>291</v>
      </c>
      <c r="C2537" s="259">
        <v>44725</v>
      </c>
      <c r="D2537" s="259">
        <v>44725</v>
      </c>
      <c r="E2537" s="260" t="s">
        <v>1950</v>
      </c>
      <c r="F2537" s="261" t="s">
        <v>402</v>
      </c>
      <c r="G2537" s="262">
        <v>3928</v>
      </c>
      <c r="H2537" s="261" t="s">
        <v>99</v>
      </c>
      <c r="I2537" s="264" t="s">
        <v>33</v>
      </c>
      <c r="J2537" s="263">
        <v>26420.6</v>
      </c>
      <c r="K2537" s="264"/>
      <c r="L2537" s="263">
        <v>20.54</v>
      </c>
      <c r="M2537" s="263">
        <v>20.54</v>
      </c>
      <c r="N2537" s="265">
        <f>13931.58</f>
        <v>13931.58</v>
      </c>
      <c r="O2537" s="266">
        <v>0.15</v>
      </c>
      <c r="P2537" s="266"/>
      <c r="Q2537" s="265">
        <v>0</v>
      </c>
      <c r="R2537" s="261" t="s">
        <v>142</v>
      </c>
      <c r="S2537" s="267" t="s">
        <v>41</v>
      </c>
      <c r="T2537" s="267">
        <v>16</v>
      </c>
      <c r="U2537" s="268" t="s">
        <v>164</v>
      </c>
      <c r="V2537" s="427"/>
      <c r="X2537" s="265">
        <v>0</v>
      </c>
      <c r="Y2537" s="265"/>
      <c r="AG2537" s="261">
        <f>X2537</f>
        <v>0</v>
      </c>
      <c r="AJ2537" s="642"/>
    </row>
    <row r="2538" spans="2:40" s="261" customFormat="1" ht="11.25" customHeight="1">
      <c r="B2538" s="261" t="s">
        <v>291</v>
      </c>
      <c r="C2538" s="259"/>
      <c r="D2538" s="259"/>
      <c r="E2538" s="260" t="s">
        <v>1950</v>
      </c>
      <c r="F2538" s="261" t="s">
        <v>402</v>
      </c>
      <c r="G2538" s="262">
        <v>3928</v>
      </c>
      <c r="H2538" s="261" t="s">
        <v>137</v>
      </c>
      <c r="I2538" s="264" t="s">
        <v>33</v>
      </c>
      <c r="J2538" s="263">
        <v>22426.65</v>
      </c>
      <c r="K2538" s="264"/>
      <c r="L2538" s="263">
        <v>18.3</v>
      </c>
      <c r="M2538" s="263">
        <v>18.3</v>
      </c>
      <c r="N2538" s="265">
        <v>5041.51</v>
      </c>
      <c r="O2538" s="266">
        <v>0.15</v>
      </c>
      <c r="P2538" s="266"/>
      <c r="Q2538" s="265">
        <v>0</v>
      </c>
      <c r="R2538" s="261" t="s">
        <v>142</v>
      </c>
      <c r="S2538" s="267" t="s">
        <v>41</v>
      </c>
      <c r="T2538" s="267">
        <v>16</v>
      </c>
      <c r="U2538" s="268" t="s">
        <v>164</v>
      </c>
      <c r="V2538" s="427"/>
      <c r="X2538" s="265">
        <v>0</v>
      </c>
      <c r="Y2538" s="265"/>
      <c r="AG2538" s="261">
        <f>X2538</f>
        <v>0</v>
      </c>
      <c r="AJ2538" s="642"/>
    </row>
    <row r="2539" spans="2:40" s="261" customFormat="1" ht="11.25" customHeight="1">
      <c r="B2539" s="261" t="s">
        <v>291</v>
      </c>
      <c r="C2539" s="259">
        <v>44725</v>
      </c>
      <c r="D2539" s="259">
        <v>44725</v>
      </c>
      <c r="E2539" s="260" t="s">
        <v>1951</v>
      </c>
      <c r="F2539" s="261" t="s">
        <v>1953</v>
      </c>
      <c r="G2539" s="262" t="s">
        <v>1952</v>
      </c>
      <c r="H2539" s="261" t="s">
        <v>137</v>
      </c>
      <c r="I2539" s="264" t="s">
        <v>33</v>
      </c>
      <c r="J2539" s="263">
        <v>35727.839999999997</v>
      </c>
      <c r="K2539" s="264"/>
      <c r="L2539" s="263">
        <v>34.4</v>
      </c>
      <c r="M2539" s="263">
        <v>23.4</v>
      </c>
      <c r="N2539" s="265"/>
      <c r="O2539" s="266">
        <v>0.25</v>
      </c>
      <c r="P2539" s="266"/>
      <c r="Q2539" s="265">
        <v>0</v>
      </c>
      <c r="R2539" s="261" t="s">
        <v>29</v>
      </c>
      <c r="S2539" s="267" t="s">
        <v>275</v>
      </c>
      <c r="T2539" s="267">
        <v>21</v>
      </c>
      <c r="U2539" s="268" t="s">
        <v>164</v>
      </c>
      <c r="V2539" s="427"/>
      <c r="X2539" s="265">
        <v>0</v>
      </c>
      <c r="Y2539" s="265"/>
      <c r="AG2539" s="261">
        <f>X2539</f>
        <v>0</v>
      </c>
      <c r="AJ2539" s="642"/>
    </row>
    <row r="2540" spans="2:40" s="261" customFormat="1" ht="11.25" customHeight="1">
      <c r="B2540" s="261" t="s">
        <v>291</v>
      </c>
      <c r="C2540" s="259"/>
      <c r="D2540" s="259"/>
      <c r="E2540" s="260" t="s">
        <v>1951</v>
      </c>
      <c r="F2540" s="261" t="s">
        <v>1953</v>
      </c>
      <c r="G2540" s="262" t="s">
        <v>1952</v>
      </c>
      <c r="H2540" s="261" t="s">
        <v>27</v>
      </c>
      <c r="I2540" s="264" t="s">
        <v>33</v>
      </c>
      <c r="J2540" s="263">
        <v>14682.04</v>
      </c>
      <c r="K2540" s="264"/>
      <c r="L2540" s="263">
        <v>12.97</v>
      </c>
      <c r="M2540" s="263">
        <v>12.97</v>
      </c>
      <c r="N2540" s="265"/>
      <c r="O2540" s="266">
        <v>0.25</v>
      </c>
      <c r="P2540" s="266"/>
      <c r="Q2540" s="265">
        <v>0</v>
      </c>
      <c r="R2540" s="261" t="s">
        <v>29</v>
      </c>
      <c r="S2540" s="267" t="s">
        <v>275</v>
      </c>
      <c r="T2540" s="267">
        <v>21</v>
      </c>
      <c r="U2540" s="268" t="s">
        <v>164</v>
      </c>
      <c r="V2540" s="427"/>
      <c r="X2540" s="265">
        <v>0</v>
      </c>
      <c r="Y2540" s="265"/>
      <c r="AG2540" s="261">
        <f>X2540</f>
        <v>0</v>
      </c>
      <c r="AJ2540" s="642"/>
    </row>
    <row r="2541" spans="2:40" s="205" customFormat="1" ht="11.25" customHeight="1">
      <c r="B2541" s="205" t="s">
        <v>291</v>
      </c>
      <c r="C2541" s="207">
        <v>44725</v>
      </c>
      <c r="D2541" s="207">
        <v>44726</v>
      </c>
      <c r="E2541" s="208" t="s">
        <v>1954</v>
      </c>
      <c r="F2541" s="205" t="s">
        <v>239</v>
      </c>
      <c r="G2541" s="209">
        <v>4175</v>
      </c>
      <c r="H2541" s="205" t="s">
        <v>138</v>
      </c>
      <c r="I2541" s="219" t="s">
        <v>958</v>
      </c>
      <c r="J2541" s="210">
        <v>53600</v>
      </c>
      <c r="K2541" s="219"/>
      <c r="L2541" s="210">
        <v>33.5</v>
      </c>
      <c r="M2541" s="210">
        <v>5.09</v>
      </c>
      <c r="N2541" s="213"/>
      <c r="O2541" s="212">
        <v>0.2</v>
      </c>
      <c r="P2541" s="212"/>
      <c r="Q2541" s="213">
        <v>9380</v>
      </c>
      <c r="R2541" s="205" t="s">
        <v>146</v>
      </c>
      <c r="S2541" s="214" t="s">
        <v>74</v>
      </c>
      <c r="T2541" s="214">
        <v>31</v>
      </c>
      <c r="U2541" s="215" t="s">
        <v>164</v>
      </c>
      <c r="V2541" s="438"/>
      <c r="X2541" s="213">
        <v>9380</v>
      </c>
      <c r="Y2541" s="213"/>
      <c r="AF2541" s="230">
        <f>X2541</f>
        <v>9380</v>
      </c>
      <c r="AJ2541" s="216"/>
    </row>
    <row r="2542" spans="2:40" s="205" customFormat="1" ht="11.25" customHeight="1">
      <c r="B2542" s="205" t="s">
        <v>291</v>
      </c>
      <c r="C2542" s="207"/>
      <c r="D2542" s="207"/>
      <c r="E2542" s="208" t="s">
        <v>1954</v>
      </c>
      <c r="F2542" s="205" t="s">
        <v>239</v>
      </c>
      <c r="G2542" s="209">
        <v>4175</v>
      </c>
      <c r="H2542" s="205" t="s">
        <v>99</v>
      </c>
      <c r="I2542" s="219" t="s">
        <v>958</v>
      </c>
      <c r="J2542" s="210">
        <v>45265</v>
      </c>
      <c r="K2542" s="219"/>
      <c r="L2542" s="210">
        <v>27.5</v>
      </c>
      <c r="M2542" s="210">
        <v>27.5</v>
      </c>
      <c r="N2542" s="213"/>
      <c r="O2542" s="212">
        <v>0.2</v>
      </c>
      <c r="P2542" s="212"/>
      <c r="Q2542" s="213">
        <v>14762</v>
      </c>
      <c r="R2542" s="205" t="s">
        <v>146</v>
      </c>
      <c r="S2542" s="214" t="s">
        <v>74</v>
      </c>
      <c r="T2542" s="214">
        <v>31</v>
      </c>
      <c r="U2542" s="215" t="s">
        <v>164</v>
      </c>
      <c r="V2542" s="438"/>
      <c r="X2542" s="213">
        <v>14762</v>
      </c>
      <c r="Y2542" s="213"/>
      <c r="AF2542" s="230">
        <f>X2542</f>
        <v>14762</v>
      </c>
      <c r="AJ2542" s="216"/>
    </row>
    <row r="2543" spans="2:40" s="261" customFormat="1" ht="11.25" customHeight="1">
      <c r="B2543" s="261" t="s">
        <v>291</v>
      </c>
      <c r="C2543" s="259">
        <v>44711</v>
      </c>
      <c r="D2543" s="259">
        <v>44726</v>
      </c>
      <c r="E2543" s="260" t="s">
        <v>1955</v>
      </c>
      <c r="F2543" s="261" t="s">
        <v>1956</v>
      </c>
      <c r="G2543" s="262" t="s">
        <v>1957</v>
      </c>
      <c r="H2543" s="261" t="s">
        <v>99</v>
      </c>
      <c r="I2543" s="264" t="s">
        <v>33</v>
      </c>
      <c r="J2543" s="263">
        <v>117397.2</v>
      </c>
      <c r="K2543" s="264"/>
      <c r="L2543" s="263">
        <v>76</v>
      </c>
      <c r="M2543" s="263">
        <v>76</v>
      </c>
      <c r="N2543" s="265"/>
      <c r="O2543" s="266">
        <v>0.25</v>
      </c>
      <c r="P2543" s="266"/>
      <c r="Q2543" s="265">
        <v>0</v>
      </c>
      <c r="R2543" s="261" t="s">
        <v>29</v>
      </c>
      <c r="S2543" s="267" t="s">
        <v>275</v>
      </c>
      <c r="T2543" s="267">
        <v>21</v>
      </c>
      <c r="U2543" s="268" t="s">
        <v>164</v>
      </c>
      <c r="V2543" s="427"/>
      <c r="W2543" s="261" t="s">
        <v>3786</v>
      </c>
      <c r="X2543" s="265">
        <v>0</v>
      </c>
      <c r="Y2543" s="265"/>
      <c r="AG2543" s="261">
        <f>X2543</f>
        <v>0</v>
      </c>
      <c r="AJ2543" s="642"/>
    </row>
    <row r="2544" spans="2:40" s="261" customFormat="1" ht="11.25" customHeight="1">
      <c r="B2544" s="261" t="s">
        <v>291</v>
      </c>
      <c r="C2544" s="259"/>
      <c r="D2544" s="259"/>
      <c r="E2544" s="260" t="s">
        <v>1955</v>
      </c>
      <c r="F2544" s="261" t="s">
        <v>1956</v>
      </c>
      <c r="G2544" s="262" t="s">
        <v>1957</v>
      </c>
      <c r="H2544" s="261" t="s">
        <v>27</v>
      </c>
      <c r="I2544" s="264" t="s">
        <v>33</v>
      </c>
      <c r="J2544" s="263">
        <v>75204.36</v>
      </c>
      <c r="K2544" s="264"/>
      <c r="L2544" s="263">
        <v>54.26</v>
      </c>
      <c r="M2544" s="263">
        <v>54.26</v>
      </c>
      <c r="N2544" s="265"/>
      <c r="O2544" s="266">
        <v>0.25</v>
      </c>
      <c r="P2544" s="266"/>
      <c r="Q2544" s="265">
        <v>0</v>
      </c>
      <c r="R2544" s="261" t="s">
        <v>29</v>
      </c>
      <c r="S2544" s="267" t="s">
        <v>275</v>
      </c>
      <c r="T2544" s="267">
        <v>21</v>
      </c>
      <c r="U2544" s="268" t="s">
        <v>164</v>
      </c>
      <c r="V2544" s="427"/>
      <c r="W2544" s="261" t="s">
        <v>3786</v>
      </c>
      <c r="X2544" s="265">
        <v>0</v>
      </c>
      <c r="Y2544" s="265"/>
      <c r="AG2544" s="261">
        <f>X2544</f>
        <v>0</v>
      </c>
      <c r="AJ2544" s="642"/>
    </row>
    <row r="2545" spans="2:37" s="181" customFormat="1" ht="11.25" customHeight="1">
      <c r="B2545" s="181" t="s">
        <v>291</v>
      </c>
      <c r="C2545" s="179"/>
      <c r="D2545" s="179"/>
      <c r="E2545" s="180" t="s">
        <v>1955</v>
      </c>
      <c r="F2545" s="181" t="s">
        <v>1956</v>
      </c>
      <c r="G2545" s="182" t="s">
        <v>1957</v>
      </c>
      <c r="H2545" s="181" t="s">
        <v>183</v>
      </c>
      <c r="I2545" s="190" t="s">
        <v>33</v>
      </c>
      <c r="J2545" s="183">
        <v>99900.76</v>
      </c>
      <c r="K2545" s="190"/>
      <c r="L2545" s="183">
        <v>64.28</v>
      </c>
      <c r="M2545" s="183">
        <v>64.28</v>
      </c>
      <c r="N2545" s="185"/>
      <c r="O2545" s="186">
        <v>0.25</v>
      </c>
      <c r="P2545" s="186"/>
      <c r="Q2545" s="185">
        <v>0</v>
      </c>
      <c r="R2545" s="181" t="s">
        <v>29</v>
      </c>
      <c r="S2545" s="187" t="s">
        <v>275</v>
      </c>
      <c r="T2545" s="187">
        <v>21</v>
      </c>
      <c r="U2545" s="188" t="s">
        <v>164</v>
      </c>
      <c r="V2545" s="441"/>
      <c r="X2545" s="185">
        <v>0</v>
      </c>
      <c r="Y2545" s="185"/>
      <c r="AE2545" s="204">
        <f>X2545</f>
        <v>0</v>
      </c>
      <c r="AJ2545" s="189"/>
    </row>
    <row r="2546" spans="2:37" s="473" customFormat="1" ht="11.25" customHeight="1">
      <c r="B2546" s="473" t="s">
        <v>291</v>
      </c>
      <c r="C2546" s="487">
        <v>44711</v>
      </c>
      <c r="D2546" s="487">
        <v>44726</v>
      </c>
      <c r="E2546" s="488" t="s">
        <v>1958</v>
      </c>
      <c r="F2546" s="473" t="s">
        <v>1959</v>
      </c>
      <c r="G2546" s="489" t="s">
        <v>1960</v>
      </c>
      <c r="H2546" s="473" t="s">
        <v>99</v>
      </c>
      <c r="I2546" s="491" t="s">
        <v>33</v>
      </c>
      <c r="J2546" s="490">
        <v>30835.200000000001</v>
      </c>
      <c r="K2546" s="491"/>
      <c r="L2546" s="490">
        <v>29.2</v>
      </c>
      <c r="M2546" s="490">
        <v>29.2</v>
      </c>
      <c r="N2546" s="492">
        <f>1083.14+5365.96+473.3+1784.85+2322.78+1193.7+1682.21</f>
        <v>13905.940000000002</v>
      </c>
      <c r="O2546" s="493">
        <v>0.15</v>
      </c>
      <c r="P2546" s="493"/>
      <c r="Q2546" s="492">
        <v>0</v>
      </c>
      <c r="R2546" s="473" t="s">
        <v>29</v>
      </c>
      <c r="S2546" s="481" t="s">
        <v>51</v>
      </c>
      <c r="T2546" s="481">
        <v>52</v>
      </c>
      <c r="U2546" s="494" t="s">
        <v>164</v>
      </c>
      <c r="V2546" s="495"/>
      <c r="X2546" s="492">
        <v>0</v>
      </c>
      <c r="Y2546" s="492"/>
      <c r="AJ2546" s="485"/>
      <c r="AK2546" s="473">
        <v>0</v>
      </c>
    </row>
    <row r="2547" spans="2:37" s="473" customFormat="1" ht="11.25" customHeight="1">
      <c r="B2547" s="473" t="s">
        <v>291</v>
      </c>
      <c r="C2547" s="487"/>
      <c r="D2547" s="487"/>
      <c r="E2547" s="488" t="s">
        <v>1958</v>
      </c>
      <c r="F2547" s="473" t="s">
        <v>1959</v>
      </c>
      <c r="G2547" s="489" t="s">
        <v>1960</v>
      </c>
      <c r="H2547" s="473" t="s">
        <v>137</v>
      </c>
      <c r="I2547" s="491" t="s">
        <v>33</v>
      </c>
      <c r="J2547" s="490">
        <v>30690.7</v>
      </c>
      <c r="K2547" s="491"/>
      <c r="L2547" s="490">
        <v>29</v>
      </c>
      <c r="M2547" s="490">
        <v>29</v>
      </c>
      <c r="N2547" s="492">
        <f>2106.44+4842.78+5553.96+3923.12+462.05+685.25+567.78</f>
        <v>18141.379999999997</v>
      </c>
      <c r="O2547" s="493">
        <v>0.15</v>
      </c>
      <c r="P2547" s="493"/>
      <c r="Q2547" s="492">
        <v>7463.3</v>
      </c>
      <c r="R2547" s="473" t="s">
        <v>29</v>
      </c>
      <c r="S2547" s="481" t="s">
        <v>51</v>
      </c>
      <c r="T2547" s="481">
        <v>52</v>
      </c>
      <c r="U2547" s="494" t="s">
        <v>164</v>
      </c>
      <c r="V2547" s="495"/>
      <c r="X2547" s="492">
        <v>7463.3</v>
      </c>
      <c r="Y2547" s="492"/>
      <c r="AJ2547" s="485"/>
      <c r="AK2547" s="505">
        <v>7463.3</v>
      </c>
    </row>
    <row r="2548" spans="2:37" s="473" customFormat="1" ht="11.25" customHeight="1">
      <c r="B2548" s="473" t="s">
        <v>291</v>
      </c>
      <c r="C2548" s="487"/>
      <c r="D2548" s="487"/>
      <c r="E2548" s="488" t="s">
        <v>1958</v>
      </c>
      <c r="F2548" s="473" t="s">
        <v>1959</v>
      </c>
      <c r="G2548" s="489" t="s">
        <v>1960</v>
      </c>
      <c r="H2548" s="473" t="s">
        <v>310</v>
      </c>
      <c r="I2548" s="491" t="s">
        <v>33</v>
      </c>
      <c r="J2548" s="490">
        <v>10758.4</v>
      </c>
      <c r="K2548" s="491"/>
      <c r="L2548" s="490">
        <v>13.12</v>
      </c>
      <c r="M2548" s="490">
        <v>13.12</v>
      </c>
      <c r="N2548" s="492">
        <f>1815.48+850.18</f>
        <v>2665.66</v>
      </c>
      <c r="O2548" s="493">
        <v>0.15</v>
      </c>
      <c r="P2548" s="493"/>
      <c r="Q2548" s="492">
        <v>2899.52</v>
      </c>
      <c r="R2548" s="473" t="s">
        <v>29</v>
      </c>
      <c r="S2548" s="481" t="s">
        <v>51</v>
      </c>
      <c r="T2548" s="481">
        <v>52</v>
      </c>
      <c r="U2548" s="494" t="s">
        <v>164</v>
      </c>
      <c r="V2548" s="495"/>
      <c r="X2548" s="492">
        <v>2899.52</v>
      </c>
      <c r="Y2548" s="492"/>
      <c r="AJ2548" s="485"/>
      <c r="AK2548" s="505">
        <v>2899.52</v>
      </c>
    </row>
    <row r="2549" spans="2:37" s="205" customFormat="1" ht="11.25" customHeight="1">
      <c r="B2549" s="205" t="s">
        <v>291</v>
      </c>
      <c r="C2549" s="207">
        <v>44714</v>
      </c>
      <c r="D2549" s="207">
        <v>44714</v>
      </c>
      <c r="E2549" s="208" t="s">
        <v>1961</v>
      </c>
      <c r="F2549" s="205" t="s">
        <v>3211</v>
      </c>
      <c r="G2549" s="209" t="s">
        <v>1962</v>
      </c>
      <c r="H2549" s="205" t="s">
        <v>510</v>
      </c>
      <c r="I2549" s="219" t="s">
        <v>961</v>
      </c>
      <c r="J2549" s="210">
        <v>1817.05</v>
      </c>
      <c r="K2549" s="219"/>
      <c r="L2549" s="210">
        <v>2.09</v>
      </c>
      <c r="M2549" s="210">
        <v>2.09</v>
      </c>
      <c r="N2549" s="213"/>
      <c r="O2549" s="212">
        <v>0.2</v>
      </c>
      <c r="P2549" s="212"/>
      <c r="Q2549" s="213">
        <v>287.42</v>
      </c>
      <c r="R2549" s="205" t="s">
        <v>146</v>
      </c>
      <c r="S2549" s="214" t="s">
        <v>74</v>
      </c>
      <c r="T2549" s="214">
        <v>31</v>
      </c>
      <c r="U2549" s="215" t="s">
        <v>164</v>
      </c>
      <c r="V2549" s="438"/>
      <c r="X2549" s="213">
        <v>287.42</v>
      </c>
      <c r="Y2549" s="213"/>
      <c r="AF2549" s="230">
        <f>X2549</f>
        <v>287.42</v>
      </c>
      <c r="AJ2549" s="216"/>
    </row>
    <row r="2550" spans="2:37" s="205" customFormat="1" ht="11.25" customHeight="1">
      <c r="B2550" s="205" t="s">
        <v>291</v>
      </c>
      <c r="C2550" s="207"/>
      <c r="D2550" s="207"/>
      <c r="E2550" s="208" t="s">
        <v>1961</v>
      </c>
      <c r="F2550" s="205" t="s">
        <v>3211</v>
      </c>
      <c r="G2550" s="209" t="s">
        <v>1962</v>
      </c>
      <c r="H2550" s="205" t="s">
        <v>27</v>
      </c>
      <c r="I2550" s="219" t="s">
        <v>961</v>
      </c>
      <c r="J2550" s="210">
        <v>1641.6</v>
      </c>
      <c r="K2550" s="219"/>
      <c r="L2550" s="210">
        <v>1.52</v>
      </c>
      <c r="M2550" s="210">
        <v>1.52</v>
      </c>
      <c r="N2550" s="213"/>
      <c r="O2550" s="212">
        <v>0.2</v>
      </c>
      <c r="P2550" s="212"/>
      <c r="Q2550" s="213">
        <v>0</v>
      </c>
      <c r="R2550" s="205" t="s">
        <v>146</v>
      </c>
      <c r="S2550" s="214" t="s">
        <v>74</v>
      </c>
      <c r="T2550" s="214">
        <v>31</v>
      </c>
      <c r="U2550" s="215" t="s">
        <v>164</v>
      </c>
      <c r="V2550" s="438"/>
      <c r="X2550" s="213">
        <v>0</v>
      </c>
      <c r="Y2550" s="213"/>
      <c r="AF2550" s="230">
        <f>X2550</f>
        <v>0</v>
      </c>
      <c r="AJ2550" s="216"/>
    </row>
    <row r="2551" spans="2:37" s="205" customFormat="1" ht="11.25" customHeight="1">
      <c r="B2551" s="205" t="s">
        <v>291</v>
      </c>
      <c r="C2551" s="207"/>
      <c r="D2551" s="207"/>
      <c r="E2551" s="208" t="s">
        <v>1961</v>
      </c>
      <c r="F2551" s="205" t="s">
        <v>3211</v>
      </c>
      <c r="G2551" s="209" t="s">
        <v>1962</v>
      </c>
      <c r="H2551" s="205" t="s">
        <v>183</v>
      </c>
      <c r="I2551" s="219" t="s">
        <v>961</v>
      </c>
      <c r="J2551" s="210">
        <v>794.88</v>
      </c>
      <c r="K2551" s="219"/>
      <c r="L2551" s="210">
        <v>1.08</v>
      </c>
      <c r="M2551" s="210">
        <v>1.08</v>
      </c>
      <c r="N2551" s="213"/>
      <c r="O2551" s="212">
        <v>0.2</v>
      </c>
      <c r="P2551" s="212"/>
      <c r="Q2551" s="213">
        <v>0</v>
      </c>
      <c r="R2551" s="205" t="s">
        <v>146</v>
      </c>
      <c r="S2551" s="214" t="s">
        <v>74</v>
      </c>
      <c r="T2551" s="214">
        <v>31</v>
      </c>
      <c r="U2551" s="215" t="s">
        <v>164</v>
      </c>
      <c r="V2551" s="438"/>
      <c r="X2551" s="213">
        <v>0</v>
      </c>
      <c r="Y2551" s="213"/>
      <c r="AF2551" s="230">
        <f>X2551</f>
        <v>0</v>
      </c>
      <c r="AJ2551" s="216"/>
    </row>
    <row r="2552" spans="2:37" s="379" customFormat="1" ht="11.25" customHeight="1">
      <c r="B2552" s="379" t="s">
        <v>291</v>
      </c>
      <c r="C2552" s="381">
        <v>44722</v>
      </c>
      <c r="D2552" s="381">
        <v>44726</v>
      </c>
      <c r="E2552" s="382" t="s">
        <v>3860</v>
      </c>
      <c r="F2552" s="379" t="s">
        <v>1963</v>
      </c>
      <c r="G2552" s="383">
        <v>4075</v>
      </c>
      <c r="H2552" s="379" t="s">
        <v>138</v>
      </c>
      <c r="I2552" s="384" t="s">
        <v>888</v>
      </c>
      <c r="J2552" s="385">
        <v>9566.44</v>
      </c>
      <c r="K2552" s="384"/>
      <c r="L2552" s="385">
        <v>8.2200000000000006</v>
      </c>
      <c r="M2552" s="385">
        <v>8.2200000000000006</v>
      </c>
      <c r="N2552" s="386"/>
      <c r="O2552" s="387">
        <v>0.15</v>
      </c>
      <c r="P2552" s="387"/>
      <c r="Q2552" s="386">
        <v>0</v>
      </c>
      <c r="R2552" s="379" t="s">
        <v>73</v>
      </c>
      <c r="S2552" s="388" t="s">
        <v>74</v>
      </c>
      <c r="T2552" s="388">
        <v>32</v>
      </c>
      <c r="U2552" s="389" t="s">
        <v>164</v>
      </c>
      <c r="V2552" s="433"/>
      <c r="X2552" s="386">
        <v>0</v>
      </c>
      <c r="Y2552" s="386"/>
      <c r="AJ2552" s="390">
        <v>0</v>
      </c>
    </row>
    <row r="2553" spans="2:37" s="379" customFormat="1" ht="11.25" customHeight="1">
      <c r="B2553" s="379" t="s">
        <v>291</v>
      </c>
      <c r="C2553" s="381"/>
      <c r="D2553" s="381"/>
      <c r="E2553" s="382" t="s">
        <v>3860</v>
      </c>
      <c r="F2553" s="379" t="s">
        <v>1963</v>
      </c>
      <c r="G2553" s="383">
        <v>4075</v>
      </c>
      <c r="H2553" s="379" t="s">
        <v>138</v>
      </c>
      <c r="I2553" s="384" t="s">
        <v>888</v>
      </c>
      <c r="J2553" s="385">
        <v>26581.19</v>
      </c>
      <c r="K2553" s="384"/>
      <c r="L2553" s="385">
        <v>22.84</v>
      </c>
      <c r="M2553" s="385">
        <v>22.84</v>
      </c>
      <c r="N2553" s="386"/>
      <c r="O2553" s="387">
        <v>0.15</v>
      </c>
      <c r="P2553" s="387"/>
      <c r="Q2553" s="386">
        <v>6809.28</v>
      </c>
      <c r="R2553" s="379" t="s">
        <v>73</v>
      </c>
      <c r="S2553" s="388" t="s">
        <v>74</v>
      </c>
      <c r="T2553" s="388">
        <v>31</v>
      </c>
      <c r="U2553" s="389" t="s">
        <v>164</v>
      </c>
      <c r="V2553" s="433"/>
      <c r="X2553" s="386">
        <v>6809.28</v>
      </c>
      <c r="Y2553" s="386"/>
      <c r="AJ2553" s="416">
        <v>6809.28</v>
      </c>
    </row>
    <row r="2554" spans="2:37" s="379" customFormat="1" ht="11.25" customHeight="1">
      <c r="B2554" s="379" t="s">
        <v>291</v>
      </c>
      <c r="C2554" s="381"/>
      <c r="D2554" s="381"/>
      <c r="E2554" s="382" t="s">
        <v>3860</v>
      </c>
      <c r="F2554" s="379" t="s">
        <v>1963</v>
      </c>
      <c r="G2554" s="383">
        <v>4075</v>
      </c>
      <c r="H2554" s="379" t="s">
        <v>140</v>
      </c>
      <c r="I2554" s="384" t="s">
        <v>888</v>
      </c>
      <c r="J2554" s="385">
        <v>26497.040000000001</v>
      </c>
      <c r="K2554" s="384"/>
      <c r="L2554" s="385">
        <v>16.690000000000001</v>
      </c>
      <c r="M2554" s="385">
        <v>16.690000000000001</v>
      </c>
      <c r="N2554" s="386"/>
      <c r="O2554" s="387">
        <v>0.15</v>
      </c>
      <c r="P2554" s="387"/>
      <c r="Q2554" s="386">
        <v>0</v>
      </c>
      <c r="R2554" s="379" t="s">
        <v>73</v>
      </c>
      <c r="S2554" s="388" t="s">
        <v>74</v>
      </c>
      <c r="T2554" s="388">
        <v>32</v>
      </c>
      <c r="U2554" s="389" t="s">
        <v>164</v>
      </c>
      <c r="V2554" s="433"/>
      <c r="X2554" s="386">
        <v>0</v>
      </c>
      <c r="Y2554" s="386"/>
      <c r="AJ2554" s="390">
        <v>0</v>
      </c>
    </row>
    <row r="2555" spans="2:37" s="379" customFormat="1" ht="11.25" customHeight="1">
      <c r="B2555" s="379" t="s">
        <v>291</v>
      </c>
      <c r="C2555" s="381"/>
      <c r="D2555" s="381"/>
      <c r="E2555" s="382" t="s">
        <v>3860</v>
      </c>
      <c r="F2555" s="379" t="s">
        <v>1963</v>
      </c>
      <c r="G2555" s="383">
        <v>4075</v>
      </c>
      <c r="H2555" s="379" t="s">
        <v>99</v>
      </c>
      <c r="I2555" s="384" t="s">
        <v>888</v>
      </c>
      <c r="J2555" s="385">
        <v>7430.94</v>
      </c>
      <c r="K2555" s="384"/>
      <c r="L2555" s="385">
        <v>9.9</v>
      </c>
      <c r="M2555" s="385">
        <v>9.9</v>
      </c>
      <c r="N2555" s="386"/>
      <c r="O2555" s="387">
        <v>0.15</v>
      </c>
      <c r="P2555" s="387"/>
      <c r="Q2555" s="386">
        <v>0</v>
      </c>
      <c r="R2555" s="379" t="s">
        <v>73</v>
      </c>
      <c r="S2555" s="388" t="s">
        <v>74</v>
      </c>
      <c r="T2555" s="388">
        <v>32</v>
      </c>
      <c r="U2555" s="389" t="s">
        <v>164</v>
      </c>
      <c r="V2555" s="433"/>
      <c r="X2555" s="386">
        <v>0</v>
      </c>
      <c r="Y2555" s="386"/>
      <c r="AJ2555" s="390">
        <v>0</v>
      </c>
    </row>
    <row r="2556" spans="2:37" s="379" customFormat="1" ht="11.25" customHeight="1">
      <c r="B2556" s="379" t="s">
        <v>291</v>
      </c>
      <c r="C2556" s="381"/>
      <c r="D2556" s="381"/>
      <c r="E2556" s="382" t="s">
        <v>3860</v>
      </c>
      <c r="F2556" s="379" t="s">
        <v>1963</v>
      </c>
      <c r="G2556" s="383">
        <v>4075</v>
      </c>
      <c r="H2556" s="379" t="s">
        <v>137</v>
      </c>
      <c r="I2556" s="384" t="s">
        <v>888</v>
      </c>
      <c r="J2556" s="385">
        <v>8932.14</v>
      </c>
      <c r="K2556" s="384"/>
      <c r="L2556" s="385">
        <v>14.28</v>
      </c>
      <c r="M2556" s="385">
        <v>14.25</v>
      </c>
      <c r="N2556" s="386"/>
      <c r="O2556" s="387">
        <v>0.15</v>
      </c>
      <c r="P2556" s="387"/>
      <c r="Q2556" s="386">
        <v>0</v>
      </c>
      <c r="R2556" s="379" t="s">
        <v>73</v>
      </c>
      <c r="S2556" s="388" t="s">
        <v>74</v>
      </c>
      <c r="T2556" s="388">
        <v>32</v>
      </c>
      <c r="U2556" s="389" t="s">
        <v>164</v>
      </c>
      <c r="V2556" s="433"/>
      <c r="X2556" s="386">
        <v>0</v>
      </c>
      <c r="Y2556" s="386"/>
      <c r="AJ2556" s="390">
        <v>0</v>
      </c>
    </row>
    <row r="2557" spans="2:37" s="647" customFormat="1" ht="11.25" customHeight="1">
      <c r="B2557" s="647" t="s">
        <v>291</v>
      </c>
      <c r="C2557" s="648">
        <v>44716</v>
      </c>
      <c r="D2557" s="648">
        <v>44726</v>
      </c>
      <c r="E2557" s="649" t="s">
        <v>1964</v>
      </c>
      <c r="F2557" s="647" t="s">
        <v>227</v>
      </c>
      <c r="G2557" s="650">
        <v>4579</v>
      </c>
      <c r="H2557" s="647" t="s">
        <v>27</v>
      </c>
      <c r="I2557" s="676" t="s">
        <v>888</v>
      </c>
      <c r="J2557" s="651">
        <v>29925</v>
      </c>
      <c r="K2557" s="676"/>
      <c r="L2557" s="651">
        <v>25</v>
      </c>
      <c r="M2557" s="651">
        <v>25.14</v>
      </c>
      <c r="N2557" s="652">
        <v>0</v>
      </c>
      <c r="O2557" s="653">
        <v>0.25</v>
      </c>
      <c r="P2557" s="653"/>
      <c r="Q2557" s="652">
        <v>0</v>
      </c>
      <c r="R2557" s="647" t="s">
        <v>229</v>
      </c>
      <c r="S2557" s="654" t="s">
        <v>228</v>
      </c>
      <c r="T2557" s="654">
        <v>41</v>
      </c>
      <c r="U2557" s="655" t="s">
        <v>164</v>
      </c>
      <c r="V2557" s="656"/>
      <c r="W2557" s="647" t="s">
        <v>3937</v>
      </c>
      <c r="X2557" s="652">
        <v>0</v>
      </c>
      <c r="Y2557" s="652"/>
      <c r="AI2557" s="647">
        <v>0</v>
      </c>
      <c r="AJ2557" s="657"/>
      <c r="AK2557" s="658"/>
    </row>
    <row r="2558" spans="2:37" s="205" customFormat="1" ht="11.25" customHeight="1">
      <c r="B2558" s="205" t="s">
        <v>291</v>
      </c>
      <c r="C2558" s="207">
        <v>44722</v>
      </c>
      <c r="D2558" s="207">
        <v>44726</v>
      </c>
      <c r="E2558" s="208" t="s">
        <v>1965</v>
      </c>
      <c r="F2558" s="205" t="s">
        <v>1966</v>
      </c>
      <c r="G2558" s="209">
        <v>4181</v>
      </c>
      <c r="H2558" s="205" t="s">
        <v>138</v>
      </c>
      <c r="I2558" s="219" t="s">
        <v>33</v>
      </c>
      <c r="J2558" s="210">
        <v>21450.240000000002</v>
      </c>
      <c r="K2558" s="219"/>
      <c r="L2558" s="210">
        <v>17.100000000000001</v>
      </c>
      <c r="M2558" s="210">
        <v>17.100000000000001</v>
      </c>
      <c r="N2558" s="213"/>
      <c r="O2558" s="212">
        <v>0.25</v>
      </c>
      <c r="P2558" s="212"/>
      <c r="Q2558" s="213">
        <v>0</v>
      </c>
      <c r="R2558" s="205" t="s">
        <v>73</v>
      </c>
      <c r="S2558" s="214" t="s">
        <v>74</v>
      </c>
      <c r="T2558" s="214">
        <v>32</v>
      </c>
      <c r="U2558" s="215" t="s">
        <v>164</v>
      </c>
      <c r="V2558" s="438"/>
      <c r="W2558" s="205" t="s">
        <v>3248</v>
      </c>
      <c r="X2558" s="213">
        <v>0</v>
      </c>
      <c r="Y2558" s="213"/>
      <c r="AF2558" s="230">
        <f t="shared" ref="AF2558:AF2565" si="36">X2558</f>
        <v>0</v>
      </c>
      <c r="AJ2558" s="216"/>
    </row>
    <row r="2559" spans="2:37" s="205" customFormat="1" ht="11.25" customHeight="1">
      <c r="B2559" s="205" t="s">
        <v>291</v>
      </c>
      <c r="C2559" s="207"/>
      <c r="D2559" s="207"/>
      <c r="E2559" s="208" t="s">
        <v>1965</v>
      </c>
      <c r="F2559" s="205" t="s">
        <v>1966</v>
      </c>
      <c r="G2559" s="209">
        <v>4181</v>
      </c>
      <c r="H2559" s="205" t="s">
        <v>138</v>
      </c>
      <c r="I2559" s="219" t="s">
        <v>33</v>
      </c>
      <c r="J2559" s="210">
        <v>5268.48</v>
      </c>
      <c r="K2559" s="219"/>
      <c r="L2559" s="210">
        <v>4.2</v>
      </c>
      <c r="M2559" s="210">
        <v>4.2</v>
      </c>
      <c r="N2559" s="213"/>
      <c r="O2559" s="212">
        <v>0.25</v>
      </c>
      <c r="P2559" s="212"/>
      <c r="Q2559" s="213">
        <v>0</v>
      </c>
      <c r="R2559" s="205" t="s">
        <v>73</v>
      </c>
      <c r="S2559" s="214" t="s">
        <v>74</v>
      </c>
      <c r="T2559" s="214">
        <v>31</v>
      </c>
      <c r="U2559" s="215" t="s">
        <v>164</v>
      </c>
      <c r="V2559" s="438"/>
      <c r="W2559" s="205" t="s">
        <v>3248</v>
      </c>
      <c r="X2559" s="213">
        <v>0</v>
      </c>
      <c r="Y2559" s="213"/>
      <c r="AF2559" s="230">
        <f t="shared" si="36"/>
        <v>0</v>
      </c>
      <c r="AJ2559" s="216"/>
    </row>
    <row r="2560" spans="2:37" s="205" customFormat="1" ht="11.25" customHeight="1">
      <c r="B2560" s="205" t="s">
        <v>291</v>
      </c>
      <c r="C2560" s="207"/>
      <c r="D2560" s="207"/>
      <c r="E2560" s="208" t="s">
        <v>1965</v>
      </c>
      <c r="F2560" s="205" t="s">
        <v>1966</v>
      </c>
      <c r="G2560" s="209">
        <v>4181</v>
      </c>
      <c r="H2560" s="205" t="s">
        <v>140</v>
      </c>
      <c r="I2560" s="219" t="s">
        <v>33</v>
      </c>
      <c r="J2560" s="210">
        <v>18880.2</v>
      </c>
      <c r="K2560" s="219"/>
      <c r="L2560" s="210">
        <v>10.199999999999999</v>
      </c>
      <c r="M2560" s="210">
        <v>10.199999999999999</v>
      </c>
      <c r="N2560" s="213"/>
      <c r="O2560" s="212">
        <v>0.25</v>
      </c>
      <c r="P2560" s="212"/>
      <c r="Q2560" s="213">
        <v>0</v>
      </c>
      <c r="R2560" s="205" t="s">
        <v>73</v>
      </c>
      <c r="S2560" s="214" t="s">
        <v>74</v>
      </c>
      <c r="T2560" s="214">
        <v>32</v>
      </c>
      <c r="U2560" s="215" t="s">
        <v>164</v>
      </c>
      <c r="V2560" s="438"/>
      <c r="X2560" s="213">
        <v>0</v>
      </c>
      <c r="Y2560" s="213"/>
      <c r="AF2560" s="230">
        <f t="shared" si="36"/>
        <v>0</v>
      </c>
      <c r="AJ2560" s="216"/>
    </row>
    <row r="2561" spans="1:77" s="205" customFormat="1" ht="11.25" customHeight="1">
      <c r="B2561" s="205" t="s">
        <v>291</v>
      </c>
      <c r="C2561" s="207"/>
      <c r="D2561" s="207"/>
      <c r="E2561" s="208" t="s">
        <v>1965</v>
      </c>
      <c r="F2561" s="205" t="s">
        <v>1966</v>
      </c>
      <c r="G2561" s="209">
        <v>4181</v>
      </c>
      <c r="H2561" s="205" t="s">
        <v>140</v>
      </c>
      <c r="I2561" s="219" t="s">
        <v>33</v>
      </c>
      <c r="J2561" s="210">
        <v>27394.799999999999</v>
      </c>
      <c r="K2561" s="219"/>
      <c r="L2561" s="210">
        <v>14.8</v>
      </c>
      <c r="M2561" s="210">
        <v>14.8</v>
      </c>
      <c r="N2561" s="213"/>
      <c r="O2561" s="212">
        <v>0.25</v>
      </c>
      <c r="P2561" s="212"/>
      <c r="Q2561" s="213">
        <v>0</v>
      </c>
      <c r="R2561" s="205" t="s">
        <v>73</v>
      </c>
      <c r="S2561" s="214" t="s">
        <v>74</v>
      </c>
      <c r="T2561" s="214">
        <v>31</v>
      </c>
      <c r="U2561" s="215" t="s">
        <v>164</v>
      </c>
      <c r="V2561" s="438"/>
      <c r="X2561" s="213">
        <v>0</v>
      </c>
      <c r="Y2561" s="213"/>
      <c r="AF2561" s="230">
        <f t="shared" si="36"/>
        <v>0</v>
      </c>
      <c r="AJ2561" s="216"/>
    </row>
    <row r="2562" spans="1:77" s="205" customFormat="1" ht="11.25" customHeight="1">
      <c r="B2562" s="205" t="s">
        <v>291</v>
      </c>
      <c r="C2562" s="207"/>
      <c r="D2562" s="207"/>
      <c r="E2562" s="208" t="s">
        <v>1965</v>
      </c>
      <c r="F2562" s="205" t="s">
        <v>1966</v>
      </c>
      <c r="G2562" s="209">
        <v>4181</v>
      </c>
      <c r="H2562" s="205" t="s">
        <v>99</v>
      </c>
      <c r="I2562" s="219" t="s">
        <v>33</v>
      </c>
      <c r="J2562" s="210">
        <v>10248.799999999999</v>
      </c>
      <c r="K2562" s="219"/>
      <c r="L2562" s="210">
        <v>9.1999999999999993</v>
      </c>
      <c r="M2562" s="210">
        <v>9.1999999999999993</v>
      </c>
      <c r="N2562" s="213"/>
      <c r="O2562" s="212">
        <v>0.25</v>
      </c>
      <c r="P2562" s="212"/>
      <c r="Q2562" s="213">
        <v>0</v>
      </c>
      <c r="R2562" s="205" t="s">
        <v>73</v>
      </c>
      <c r="S2562" s="214" t="s">
        <v>74</v>
      </c>
      <c r="T2562" s="214">
        <v>31</v>
      </c>
      <c r="U2562" s="215" t="s">
        <v>164</v>
      </c>
      <c r="V2562" s="438"/>
      <c r="X2562" s="213">
        <v>0</v>
      </c>
      <c r="Y2562" s="213"/>
      <c r="AF2562" s="230">
        <f t="shared" si="36"/>
        <v>0</v>
      </c>
      <c r="AJ2562" s="216"/>
    </row>
    <row r="2563" spans="1:77" s="205" customFormat="1" ht="11.25" customHeight="1">
      <c r="B2563" s="205" t="s">
        <v>291</v>
      </c>
      <c r="C2563" s="207"/>
      <c r="D2563" s="207"/>
      <c r="E2563" s="208" t="s">
        <v>1965</v>
      </c>
      <c r="F2563" s="205" t="s">
        <v>1966</v>
      </c>
      <c r="G2563" s="209">
        <v>4181</v>
      </c>
      <c r="H2563" s="205" t="s">
        <v>27</v>
      </c>
      <c r="I2563" s="219" t="s">
        <v>33</v>
      </c>
      <c r="J2563" s="210">
        <v>1953.6</v>
      </c>
      <c r="K2563" s="219"/>
      <c r="L2563" s="210">
        <v>2.2000000000000002</v>
      </c>
      <c r="M2563" s="210">
        <v>2.2000000000000002</v>
      </c>
      <c r="N2563" s="213"/>
      <c r="O2563" s="212">
        <v>0.25</v>
      </c>
      <c r="P2563" s="212"/>
      <c r="Q2563" s="213">
        <v>0</v>
      </c>
      <c r="R2563" s="205" t="s">
        <v>73</v>
      </c>
      <c r="S2563" s="214" t="s">
        <v>74</v>
      </c>
      <c r="T2563" s="214">
        <v>32</v>
      </c>
      <c r="U2563" s="215" t="s">
        <v>164</v>
      </c>
      <c r="V2563" s="438"/>
      <c r="X2563" s="213">
        <v>0</v>
      </c>
      <c r="Y2563" s="213"/>
      <c r="AF2563" s="230">
        <f t="shared" si="36"/>
        <v>0</v>
      </c>
      <c r="AJ2563" s="216"/>
    </row>
    <row r="2564" spans="1:77" s="205" customFormat="1" ht="11.25" customHeight="1">
      <c r="B2564" s="205" t="s">
        <v>291</v>
      </c>
      <c r="C2564" s="207"/>
      <c r="D2564" s="207"/>
      <c r="E2564" s="208" t="s">
        <v>1965</v>
      </c>
      <c r="F2564" s="205" t="s">
        <v>1966</v>
      </c>
      <c r="G2564" s="209">
        <v>4181</v>
      </c>
      <c r="H2564" s="205" t="s">
        <v>27</v>
      </c>
      <c r="I2564" s="219" t="s">
        <v>33</v>
      </c>
      <c r="J2564" s="210">
        <v>11842.4</v>
      </c>
      <c r="K2564" s="219"/>
      <c r="L2564" s="210">
        <v>11.3</v>
      </c>
      <c r="M2564" s="210">
        <v>11.3</v>
      </c>
      <c r="N2564" s="213"/>
      <c r="O2564" s="212">
        <v>0.25</v>
      </c>
      <c r="P2564" s="212"/>
      <c r="Q2564" s="213">
        <v>0</v>
      </c>
      <c r="R2564" s="205" t="s">
        <v>73</v>
      </c>
      <c r="S2564" s="214" t="s">
        <v>74</v>
      </c>
      <c r="T2564" s="214">
        <v>31</v>
      </c>
      <c r="U2564" s="215" t="s">
        <v>164</v>
      </c>
      <c r="V2564" s="438"/>
      <c r="X2564" s="213">
        <v>0</v>
      </c>
      <c r="Y2564" s="213"/>
      <c r="AF2564" s="230">
        <f t="shared" si="36"/>
        <v>0</v>
      </c>
      <c r="AJ2564" s="216"/>
    </row>
    <row r="2565" spans="1:77" s="205" customFormat="1" ht="11.25" customHeight="1">
      <c r="B2565" s="205" t="s">
        <v>291</v>
      </c>
      <c r="C2565" s="207"/>
      <c r="D2565" s="207"/>
      <c r="E2565" s="208" t="s">
        <v>1965</v>
      </c>
      <c r="F2565" s="205" t="s">
        <v>1966</v>
      </c>
      <c r="G2565" s="209">
        <v>4181</v>
      </c>
      <c r="H2565" s="205" t="s">
        <v>183</v>
      </c>
      <c r="I2565" s="219" t="s">
        <v>33</v>
      </c>
      <c r="J2565" s="210">
        <v>3628.91</v>
      </c>
      <c r="K2565" s="219"/>
      <c r="L2565" s="210">
        <v>4.0999999999999996</v>
      </c>
      <c r="M2565" s="210">
        <v>4.0999999999999996</v>
      </c>
      <c r="N2565" s="213"/>
      <c r="O2565" s="212">
        <v>0.25</v>
      </c>
      <c r="P2565" s="212"/>
      <c r="Q2565" s="213">
        <v>0</v>
      </c>
      <c r="R2565" s="205" t="s">
        <v>73</v>
      </c>
      <c r="S2565" s="214" t="s">
        <v>74</v>
      </c>
      <c r="T2565" s="214">
        <v>32</v>
      </c>
      <c r="U2565" s="215" t="s">
        <v>164</v>
      </c>
      <c r="V2565" s="438"/>
      <c r="X2565" s="213">
        <v>0</v>
      </c>
      <c r="Y2565" s="213"/>
      <c r="AF2565" s="230">
        <f t="shared" si="36"/>
        <v>0</v>
      </c>
      <c r="AJ2565" s="216"/>
    </row>
    <row r="2566" spans="1:77" s="647" customFormat="1" ht="11.25" customHeight="1">
      <c r="B2566" s="647" t="s">
        <v>291</v>
      </c>
      <c r="C2566" s="648">
        <v>44726</v>
      </c>
      <c r="D2566" s="648">
        <v>44726</v>
      </c>
      <c r="E2566" s="649" t="s">
        <v>1967</v>
      </c>
      <c r="F2566" s="647" t="s">
        <v>1968</v>
      </c>
      <c r="G2566" s="650" t="s">
        <v>1969</v>
      </c>
      <c r="H2566" s="647" t="s">
        <v>99</v>
      </c>
      <c r="I2566" s="676" t="s">
        <v>888</v>
      </c>
      <c r="J2566" s="651">
        <v>11968.06</v>
      </c>
      <c r="K2566" s="676"/>
      <c r="L2566" s="651">
        <v>14.71</v>
      </c>
      <c r="M2566" s="651">
        <v>14.71</v>
      </c>
      <c r="N2566" s="652"/>
      <c r="O2566" s="653">
        <v>0.25</v>
      </c>
      <c r="P2566" s="653"/>
      <c r="Q2566" s="652">
        <v>135.04</v>
      </c>
      <c r="R2566" s="647" t="s">
        <v>35</v>
      </c>
      <c r="S2566" s="654" t="s">
        <v>41</v>
      </c>
      <c r="T2566" s="654">
        <v>16</v>
      </c>
      <c r="U2566" s="655" t="s">
        <v>164</v>
      </c>
      <c r="V2566" s="656"/>
      <c r="X2566" s="652">
        <v>135.04</v>
      </c>
      <c r="Y2566" s="652"/>
      <c r="AI2566" s="652">
        <v>135.04</v>
      </c>
      <c r="AJ2566" s="657"/>
      <c r="AK2566" s="658"/>
    </row>
    <row r="2567" spans="1:77" s="647" customFormat="1" ht="11.25" customHeight="1">
      <c r="B2567" s="647" t="s">
        <v>291</v>
      </c>
      <c r="C2567" s="648"/>
      <c r="D2567" s="648"/>
      <c r="E2567" s="649" t="s">
        <v>1967</v>
      </c>
      <c r="F2567" s="647" t="s">
        <v>1968</v>
      </c>
      <c r="G2567" s="650" t="s">
        <v>1969</v>
      </c>
      <c r="H2567" s="647" t="s">
        <v>183</v>
      </c>
      <c r="I2567" s="676" t="s">
        <v>888</v>
      </c>
      <c r="J2567" s="651">
        <v>6807.48</v>
      </c>
      <c r="K2567" s="676"/>
      <c r="L2567" s="651">
        <v>8.52</v>
      </c>
      <c r="M2567" s="651">
        <v>8.52</v>
      </c>
      <c r="N2567" s="652"/>
      <c r="O2567" s="653">
        <v>0.25</v>
      </c>
      <c r="P2567" s="653"/>
      <c r="Q2567" s="652">
        <v>1761.25</v>
      </c>
      <c r="R2567" s="647" t="s">
        <v>35</v>
      </c>
      <c r="S2567" s="654" t="s">
        <v>41</v>
      </c>
      <c r="T2567" s="654">
        <v>16</v>
      </c>
      <c r="U2567" s="655" t="s">
        <v>164</v>
      </c>
      <c r="V2567" s="656"/>
      <c r="X2567" s="652">
        <v>1761.25</v>
      </c>
      <c r="Y2567" s="652"/>
      <c r="AI2567" s="652">
        <v>1761.25</v>
      </c>
      <c r="AJ2567" s="657"/>
      <c r="AK2567" s="658"/>
    </row>
    <row r="2568" spans="1:77" s="379" customFormat="1" ht="11.25" customHeight="1">
      <c r="B2568" s="379" t="s">
        <v>291</v>
      </c>
      <c r="C2568" s="381">
        <v>44726</v>
      </c>
      <c r="D2568" s="381">
        <v>44726</v>
      </c>
      <c r="E2568" s="382" t="s">
        <v>1970</v>
      </c>
      <c r="F2568" s="379" t="s">
        <v>166</v>
      </c>
      <c r="G2568" s="383">
        <v>4074</v>
      </c>
      <c r="H2568" s="379" t="s">
        <v>138</v>
      </c>
      <c r="I2568" s="384" t="s">
        <v>33</v>
      </c>
      <c r="J2568" s="385">
        <v>116762</v>
      </c>
      <c r="K2568" s="384"/>
      <c r="L2568" s="385">
        <v>79</v>
      </c>
      <c r="M2568" s="385">
        <v>79</v>
      </c>
      <c r="N2568" s="386"/>
      <c r="O2568" s="387">
        <v>0.2</v>
      </c>
      <c r="P2568" s="387"/>
      <c r="Q2568" s="386">
        <v>7457.6</v>
      </c>
      <c r="R2568" s="379" t="s">
        <v>73</v>
      </c>
      <c r="S2568" s="388" t="s">
        <v>74</v>
      </c>
      <c r="T2568" s="388">
        <v>31</v>
      </c>
      <c r="U2568" s="389" t="s">
        <v>164</v>
      </c>
      <c r="V2568" s="433"/>
      <c r="X2568" s="386">
        <v>7457.6</v>
      </c>
      <c r="Y2568" s="386"/>
      <c r="AJ2568" s="416">
        <v>7457.6</v>
      </c>
    </row>
    <row r="2569" spans="1:77" s="181" customFormat="1" ht="11.25" customHeight="1">
      <c r="B2569" s="181" t="s">
        <v>291</v>
      </c>
      <c r="C2569" s="179">
        <v>44661</v>
      </c>
      <c r="D2569" s="179">
        <v>44726</v>
      </c>
      <c r="E2569" s="180" t="s">
        <v>1971</v>
      </c>
      <c r="F2569" s="181" t="s">
        <v>1972</v>
      </c>
      <c r="G2569" s="182">
        <v>3543</v>
      </c>
      <c r="H2569" s="181" t="s">
        <v>99</v>
      </c>
      <c r="I2569" s="190" t="s">
        <v>33</v>
      </c>
      <c r="J2569" s="183">
        <v>46297.24</v>
      </c>
      <c r="K2569" s="190"/>
      <c r="L2569" s="183">
        <v>34.71</v>
      </c>
      <c r="M2569" s="183">
        <v>34.71</v>
      </c>
      <c r="N2569" s="185"/>
      <c r="O2569" s="186">
        <v>0.15</v>
      </c>
      <c r="P2569" s="186"/>
      <c r="Q2569" s="185">
        <v>0</v>
      </c>
      <c r="R2569" s="181" t="s">
        <v>105</v>
      </c>
      <c r="S2569" s="187" t="s">
        <v>30</v>
      </c>
      <c r="T2569" s="187">
        <v>39</v>
      </c>
      <c r="U2569" s="188" t="s">
        <v>164</v>
      </c>
      <c r="V2569" s="441"/>
      <c r="X2569" s="185">
        <v>0</v>
      </c>
      <c r="Y2569" s="185"/>
      <c r="AE2569" s="204">
        <f>X2569</f>
        <v>0</v>
      </c>
      <c r="AJ2569" s="189"/>
    </row>
    <row r="2570" spans="1:77" s="205" customFormat="1" ht="11.25" customHeight="1">
      <c r="B2570" s="205" t="s">
        <v>291</v>
      </c>
      <c r="C2570" s="207"/>
      <c r="D2570" s="207"/>
      <c r="E2570" s="208" t="s">
        <v>1971</v>
      </c>
      <c r="F2570" s="205" t="s">
        <v>1972</v>
      </c>
      <c r="G2570" s="209">
        <v>3543</v>
      </c>
      <c r="H2570" s="205" t="s">
        <v>27</v>
      </c>
      <c r="I2570" s="219" t="s">
        <v>33</v>
      </c>
      <c r="J2570" s="210">
        <v>23341.200000000001</v>
      </c>
      <c r="K2570" s="219"/>
      <c r="L2570" s="210">
        <v>15.9</v>
      </c>
      <c r="M2570" s="210">
        <v>15.9</v>
      </c>
      <c r="N2570" s="213"/>
      <c r="O2570" s="212">
        <v>0.15</v>
      </c>
      <c r="P2570" s="212"/>
      <c r="Q2570" s="213">
        <v>0</v>
      </c>
      <c r="R2570" s="205" t="s">
        <v>105</v>
      </c>
      <c r="S2570" s="214" t="s">
        <v>30</v>
      </c>
      <c r="T2570" s="214">
        <v>39</v>
      </c>
      <c r="U2570" s="215" t="s">
        <v>164</v>
      </c>
      <c r="V2570" s="438"/>
      <c r="X2570" s="213">
        <v>0</v>
      </c>
      <c r="Y2570" s="213"/>
      <c r="AF2570" s="230">
        <f>X2570</f>
        <v>0</v>
      </c>
      <c r="AJ2570" s="216"/>
    </row>
    <row r="2571" spans="1:77" s="205" customFormat="1" ht="11.25" customHeight="1">
      <c r="B2571" s="205" t="s">
        <v>291</v>
      </c>
      <c r="C2571" s="207"/>
      <c r="D2571" s="207"/>
      <c r="E2571" s="208" t="s">
        <v>1971</v>
      </c>
      <c r="F2571" s="205" t="s">
        <v>1972</v>
      </c>
      <c r="G2571" s="209">
        <v>3543</v>
      </c>
      <c r="H2571" s="205" t="s">
        <v>183</v>
      </c>
      <c r="I2571" s="219" t="s">
        <v>33</v>
      </c>
      <c r="J2571" s="210">
        <v>15324.54</v>
      </c>
      <c r="K2571" s="219"/>
      <c r="L2571" s="210">
        <v>11.81</v>
      </c>
      <c r="M2571" s="210">
        <v>11.81</v>
      </c>
      <c r="N2571" s="213"/>
      <c r="O2571" s="212">
        <v>0.15</v>
      </c>
      <c r="P2571" s="212"/>
      <c r="Q2571" s="213">
        <v>0</v>
      </c>
      <c r="R2571" s="205" t="s">
        <v>105</v>
      </c>
      <c r="S2571" s="214" t="s">
        <v>30</v>
      </c>
      <c r="T2571" s="214">
        <v>39</v>
      </c>
      <c r="U2571" s="215" t="s">
        <v>164</v>
      </c>
      <c r="V2571" s="438"/>
      <c r="X2571" s="213">
        <v>0</v>
      </c>
      <c r="Y2571" s="213"/>
      <c r="AF2571" s="230">
        <f>X2571</f>
        <v>0</v>
      </c>
      <c r="AJ2571" s="216"/>
    </row>
    <row r="2572" spans="1:77" s="6" customFormat="1" ht="11.25" customHeight="1">
      <c r="A2572" s="379"/>
      <c r="B2572" s="379" t="s">
        <v>291</v>
      </c>
      <c r="C2572" s="381"/>
      <c r="D2572" s="381"/>
      <c r="E2572" s="382" t="s">
        <v>1971</v>
      </c>
      <c r="F2572" s="379" t="s">
        <v>1972</v>
      </c>
      <c r="G2572" s="383">
        <v>3543</v>
      </c>
      <c r="H2572" s="379" t="s">
        <v>1565</v>
      </c>
      <c r="I2572" s="384" t="s">
        <v>33</v>
      </c>
      <c r="J2572" s="385">
        <v>8122.24</v>
      </c>
      <c r="K2572" s="384"/>
      <c r="L2572" s="385">
        <v>7.84</v>
      </c>
      <c r="M2572" s="385">
        <v>7.84</v>
      </c>
      <c r="N2572" s="386">
        <v>0</v>
      </c>
      <c r="O2572" s="387">
        <v>0.15</v>
      </c>
      <c r="P2572" s="387"/>
      <c r="Q2572" s="386">
        <v>0</v>
      </c>
      <c r="R2572" s="379" t="s">
        <v>105</v>
      </c>
      <c r="S2572" s="388" t="s">
        <v>30</v>
      </c>
      <c r="T2572" s="388">
        <v>39</v>
      </c>
      <c r="U2572" s="389" t="s">
        <v>164</v>
      </c>
      <c r="V2572" s="433"/>
      <c r="W2572" s="379"/>
      <c r="X2572" s="386">
        <v>0</v>
      </c>
      <c r="Y2572" s="386"/>
      <c r="Z2572" s="379"/>
      <c r="AA2572" s="379"/>
      <c r="AB2572" s="379"/>
      <c r="AC2572" s="379"/>
      <c r="AD2572" s="379"/>
      <c r="AE2572" s="379"/>
      <c r="AF2572" s="379"/>
      <c r="AG2572" s="379"/>
      <c r="AH2572" s="379"/>
      <c r="AI2572" s="379"/>
      <c r="AJ2572" s="390">
        <v>0</v>
      </c>
      <c r="AK2572" s="379"/>
      <c r="AL2572" s="379"/>
      <c r="AM2572" s="379"/>
      <c r="AN2572" s="379"/>
      <c r="AO2572" s="379"/>
      <c r="AP2572" s="379"/>
      <c r="AQ2572" s="379"/>
      <c r="AR2572" s="379"/>
      <c r="AS2572" s="379"/>
      <c r="AT2572" s="379"/>
      <c r="AU2572" s="379"/>
      <c r="AV2572" s="379"/>
      <c r="AW2572" s="379"/>
      <c r="AX2572" s="379"/>
      <c r="AY2572" s="379"/>
      <c r="AZ2572" s="379"/>
      <c r="BA2572" s="379"/>
      <c r="BB2572" s="379"/>
      <c r="BC2572" s="379"/>
      <c r="BD2572" s="379"/>
      <c r="BE2572" s="379"/>
      <c r="BF2572" s="379"/>
      <c r="BG2572" s="379"/>
      <c r="BH2572" s="379"/>
      <c r="BI2572" s="379"/>
      <c r="BJ2572" s="379"/>
      <c r="BK2572" s="379"/>
      <c r="BL2572" s="379"/>
      <c r="BM2572" s="379"/>
      <c r="BN2572" s="379"/>
      <c r="BO2572" s="379"/>
      <c r="BP2572" s="379"/>
      <c r="BQ2572" s="379"/>
      <c r="BR2572" s="379"/>
      <c r="BS2572" s="379"/>
      <c r="BT2572" s="379"/>
      <c r="BU2572" s="379"/>
      <c r="BV2572" s="379"/>
      <c r="BW2572" s="379"/>
      <c r="BX2572" s="379"/>
      <c r="BY2572" s="379"/>
    </row>
    <row r="2573" spans="1:77" s="647" customFormat="1" ht="11.25" customHeight="1">
      <c r="B2573" s="647" t="s">
        <v>291</v>
      </c>
      <c r="C2573" s="648">
        <v>44726</v>
      </c>
      <c r="D2573" s="648">
        <v>44726</v>
      </c>
      <c r="E2573" s="649" t="s">
        <v>1973</v>
      </c>
      <c r="F2573" s="647" t="s">
        <v>1974</v>
      </c>
      <c r="G2573" s="650">
        <v>3729</v>
      </c>
      <c r="H2573" s="647" t="s">
        <v>163</v>
      </c>
      <c r="I2573" s="676" t="s">
        <v>33</v>
      </c>
      <c r="J2573" s="651">
        <v>6924.64</v>
      </c>
      <c r="K2573" s="676"/>
      <c r="L2573" s="651">
        <v>9.43</v>
      </c>
      <c r="M2573" s="651">
        <v>9.43</v>
      </c>
      <c r="N2573" s="652"/>
      <c r="O2573" s="653">
        <v>0.2</v>
      </c>
      <c r="P2573" s="653"/>
      <c r="Q2573" s="652">
        <v>0</v>
      </c>
      <c r="R2573" s="647" t="s">
        <v>128</v>
      </c>
      <c r="S2573" s="654" t="s">
        <v>41</v>
      </c>
      <c r="T2573" s="654">
        <v>79</v>
      </c>
      <c r="U2573" s="655" t="s">
        <v>164</v>
      </c>
      <c r="V2573" s="656"/>
      <c r="X2573" s="652">
        <v>0</v>
      </c>
      <c r="Y2573" s="652"/>
      <c r="AI2573" s="647">
        <f>X2573</f>
        <v>0</v>
      </c>
      <c r="AJ2573" s="657"/>
      <c r="AK2573" s="658"/>
    </row>
    <row r="2574" spans="1:77" s="647" customFormat="1" ht="11.25" customHeight="1">
      <c r="B2574" s="647" t="s">
        <v>291</v>
      </c>
      <c r="C2574" s="648"/>
      <c r="D2574" s="648"/>
      <c r="E2574" s="649" t="s">
        <v>1973</v>
      </c>
      <c r="F2574" s="647" t="s">
        <v>1974</v>
      </c>
      <c r="G2574" s="650">
        <v>3729</v>
      </c>
      <c r="H2574" s="647" t="s">
        <v>99</v>
      </c>
      <c r="I2574" s="676" t="s">
        <v>33</v>
      </c>
      <c r="J2574" s="651">
        <v>6504.07</v>
      </c>
      <c r="K2574" s="676"/>
      <c r="L2574" s="651">
        <v>5.0599999999999996</v>
      </c>
      <c r="M2574" s="651">
        <v>5.0599999999999996</v>
      </c>
      <c r="N2574" s="652"/>
      <c r="O2574" s="653">
        <v>0.2</v>
      </c>
      <c r="P2574" s="653"/>
      <c r="Q2574" s="652">
        <v>157.57</v>
      </c>
      <c r="R2574" s="647" t="s">
        <v>128</v>
      </c>
      <c r="S2574" s="654" t="s">
        <v>41</v>
      </c>
      <c r="T2574" s="654">
        <v>79</v>
      </c>
      <c r="U2574" s="655" t="s">
        <v>164</v>
      </c>
      <c r="V2574" s="656"/>
      <c r="X2574" s="652">
        <v>157.57</v>
      </c>
      <c r="Y2574" s="652"/>
      <c r="AI2574" s="658">
        <f>X2574</f>
        <v>157.57</v>
      </c>
      <c r="AJ2574" s="657"/>
      <c r="AK2574" s="658"/>
    </row>
    <row r="2575" spans="1:77" s="647" customFormat="1" ht="11.25" customHeight="1">
      <c r="B2575" s="647" t="s">
        <v>291</v>
      </c>
      <c r="C2575" s="648"/>
      <c r="D2575" s="648"/>
      <c r="E2575" s="649" t="s">
        <v>1973</v>
      </c>
      <c r="F2575" s="647" t="s">
        <v>1974</v>
      </c>
      <c r="G2575" s="650">
        <v>3729</v>
      </c>
      <c r="H2575" s="647" t="s">
        <v>765</v>
      </c>
      <c r="I2575" s="676" t="s">
        <v>33</v>
      </c>
      <c r="J2575" s="651">
        <v>4821.46</v>
      </c>
      <c r="K2575" s="676"/>
      <c r="L2575" s="651">
        <v>4.6900000000000004</v>
      </c>
      <c r="M2575" s="651">
        <v>1.5</v>
      </c>
      <c r="N2575" s="652"/>
      <c r="O2575" s="653">
        <v>0.2</v>
      </c>
      <c r="P2575" s="653"/>
      <c r="Q2575" s="652">
        <v>0</v>
      </c>
      <c r="R2575" s="647" t="s">
        <v>128</v>
      </c>
      <c r="S2575" s="654" t="s">
        <v>41</v>
      </c>
      <c r="T2575" s="654">
        <v>79</v>
      </c>
      <c r="U2575" s="655" t="s">
        <v>164</v>
      </c>
      <c r="V2575" s="656"/>
      <c r="W2575" s="647" t="s">
        <v>3932</v>
      </c>
      <c r="X2575" s="652">
        <v>0</v>
      </c>
      <c r="Y2575" s="652"/>
      <c r="AI2575" s="647">
        <f>X2575</f>
        <v>0</v>
      </c>
      <c r="AJ2575" s="657"/>
      <c r="AK2575" s="658"/>
    </row>
    <row r="2576" spans="1:77" s="6" customFormat="1" ht="11.25" customHeight="1">
      <c r="A2576" s="473"/>
      <c r="B2576" s="473" t="s">
        <v>291</v>
      </c>
      <c r="C2576" s="487"/>
      <c r="D2576" s="487"/>
      <c r="E2576" s="488" t="s">
        <v>1975</v>
      </c>
      <c r="F2576" s="473" t="s">
        <v>1976</v>
      </c>
      <c r="G2576" s="489" t="s">
        <v>1977</v>
      </c>
      <c r="H2576" s="473" t="s">
        <v>183</v>
      </c>
      <c r="I2576" s="491" t="s">
        <v>33</v>
      </c>
      <c r="J2576" s="490">
        <v>50895</v>
      </c>
      <c r="K2576" s="491"/>
      <c r="L2576" s="490">
        <v>56.55</v>
      </c>
      <c r="M2576" s="490">
        <v>56.55</v>
      </c>
      <c r="N2576" s="492"/>
      <c r="O2576" s="493">
        <v>0.25</v>
      </c>
      <c r="P2576" s="493"/>
      <c r="Q2576" s="492">
        <v>0</v>
      </c>
      <c r="R2576" s="473" t="s">
        <v>285</v>
      </c>
      <c r="S2576" s="481" t="s">
        <v>275</v>
      </c>
      <c r="T2576" s="481">
        <v>89</v>
      </c>
      <c r="U2576" s="494" t="s">
        <v>164</v>
      </c>
      <c r="V2576" s="495"/>
      <c r="W2576" s="473"/>
      <c r="X2576" s="492">
        <v>0</v>
      </c>
      <c r="Y2576" s="492"/>
      <c r="Z2576" s="473"/>
      <c r="AA2576" s="473"/>
      <c r="AB2576" s="473"/>
      <c r="AC2576" s="473"/>
      <c r="AD2576" s="473"/>
      <c r="AE2576" s="473"/>
      <c r="AF2576" s="473"/>
      <c r="AG2576" s="473"/>
      <c r="AH2576" s="473"/>
      <c r="AI2576" s="473"/>
      <c r="AJ2576" s="485"/>
      <c r="AK2576" s="473">
        <v>0</v>
      </c>
      <c r="AL2576" s="473"/>
      <c r="AM2576" s="473"/>
      <c r="AN2576" s="473"/>
      <c r="AO2576" s="473"/>
      <c r="AP2576" s="473"/>
      <c r="AQ2576" s="473"/>
      <c r="AR2576" s="473"/>
      <c r="AS2576" s="473"/>
      <c r="AT2576" s="473"/>
      <c r="AU2576" s="473"/>
      <c r="AV2576" s="473"/>
      <c r="AW2576" s="473"/>
      <c r="AX2576" s="473"/>
      <c r="AY2576" s="473"/>
      <c r="AZ2576" s="473"/>
      <c r="BA2576" s="473"/>
      <c r="BB2576" s="473"/>
      <c r="BC2576" s="473"/>
      <c r="BD2576" s="473"/>
      <c r="BE2576" s="473"/>
      <c r="BF2576" s="473"/>
      <c r="BG2576" s="473"/>
      <c r="BH2576" s="473"/>
      <c r="BI2576" s="473"/>
      <c r="BJ2576" s="473"/>
      <c r="BK2576" s="473"/>
      <c r="BL2576" s="473"/>
      <c r="BM2576" s="473"/>
      <c r="BN2576" s="473"/>
      <c r="BO2576" s="473"/>
      <c r="BP2576" s="473"/>
      <c r="BQ2576" s="473"/>
      <c r="BR2576" s="473"/>
      <c r="BS2576" s="473"/>
      <c r="BT2576" s="473"/>
      <c r="BU2576" s="473"/>
      <c r="BV2576" s="473"/>
      <c r="BW2576" s="473"/>
      <c r="BX2576" s="473"/>
      <c r="BY2576" s="473"/>
    </row>
    <row r="2577" spans="1:77" s="618" customFormat="1" ht="11.25" customHeight="1">
      <c r="B2577" s="618" t="s">
        <v>291</v>
      </c>
      <c r="C2577" s="620">
        <v>44725</v>
      </c>
      <c r="D2577" s="620">
        <v>44726</v>
      </c>
      <c r="E2577" s="621" t="s">
        <v>1975</v>
      </c>
      <c r="F2577" s="618" t="s">
        <v>1976</v>
      </c>
      <c r="G2577" s="634" t="s">
        <v>1977</v>
      </c>
      <c r="H2577" s="618" t="s">
        <v>99</v>
      </c>
      <c r="I2577" s="626" t="s">
        <v>33</v>
      </c>
      <c r="J2577" s="635">
        <v>117100.76</v>
      </c>
      <c r="K2577" s="626"/>
      <c r="L2577" s="635">
        <v>114.58</v>
      </c>
      <c r="M2577" s="635">
        <v>114.58</v>
      </c>
      <c r="N2577" s="627"/>
      <c r="O2577" s="628">
        <v>0.25</v>
      </c>
      <c r="P2577" s="628"/>
      <c r="Q2577" s="627">
        <v>0</v>
      </c>
      <c r="R2577" s="618" t="s">
        <v>285</v>
      </c>
      <c r="S2577" s="629" t="s">
        <v>275</v>
      </c>
      <c r="T2577" s="629">
        <v>89</v>
      </c>
      <c r="U2577" s="631" t="s">
        <v>164</v>
      </c>
      <c r="V2577" s="632"/>
      <c r="X2577" s="627">
        <v>0</v>
      </c>
      <c r="Y2577" s="627"/>
      <c r="AJ2577" s="633"/>
      <c r="AO2577" s="618">
        <v>0</v>
      </c>
    </row>
    <row r="2578" spans="1:77" s="647" customFormat="1" ht="11.25" customHeight="1">
      <c r="B2578" s="661" t="s">
        <v>291</v>
      </c>
      <c r="C2578" s="648">
        <v>44725</v>
      </c>
      <c r="D2578" s="648">
        <v>44726</v>
      </c>
      <c r="E2578" s="649" t="s">
        <v>1978</v>
      </c>
      <c r="F2578" s="647" t="s">
        <v>1153</v>
      </c>
      <c r="G2578" s="650">
        <v>4604</v>
      </c>
      <c r="H2578" s="647" t="s">
        <v>866</v>
      </c>
      <c r="I2578" s="676" t="s">
        <v>33</v>
      </c>
      <c r="J2578" s="651">
        <v>84203.79</v>
      </c>
      <c r="K2578" s="676"/>
      <c r="L2578" s="651">
        <v>28.67</v>
      </c>
      <c r="M2578" s="651">
        <v>2.5499999999999998</v>
      </c>
      <c r="N2578" s="652">
        <v>8420.3790000000008</v>
      </c>
      <c r="O2578" s="653">
        <v>0.25</v>
      </c>
      <c r="P2578" s="653"/>
      <c r="Q2578" s="652">
        <v>0</v>
      </c>
      <c r="R2578" s="647" t="s">
        <v>281</v>
      </c>
      <c r="S2578" s="654" t="s">
        <v>228</v>
      </c>
      <c r="T2578" s="654">
        <v>58</v>
      </c>
      <c r="U2578" s="655" t="s">
        <v>164</v>
      </c>
      <c r="V2578" s="656"/>
      <c r="X2578" s="652">
        <v>0</v>
      </c>
      <c r="Y2578" s="652"/>
      <c r="AI2578" s="647">
        <v>0</v>
      </c>
      <c r="AJ2578" s="657"/>
      <c r="AK2578" s="658"/>
    </row>
    <row r="2579" spans="1:77" s="647" customFormat="1" ht="11.25" customHeight="1">
      <c r="B2579" s="661" t="s">
        <v>291</v>
      </c>
      <c r="C2579" s="648">
        <v>44726</v>
      </c>
      <c r="D2579" s="648">
        <v>44726</v>
      </c>
      <c r="E2579" s="649" t="s">
        <v>1979</v>
      </c>
      <c r="F2579" s="647" t="s">
        <v>1980</v>
      </c>
      <c r="G2579" s="650">
        <v>4124</v>
      </c>
      <c r="H2579" s="647" t="s">
        <v>99</v>
      </c>
      <c r="I2579" s="676" t="s">
        <v>33</v>
      </c>
      <c r="J2579" s="651">
        <v>27956.62</v>
      </c>
      <c r="K2579" s="676"/>
      <c r="L2579" s="651">
        <v>19.07</v>
      </c>
      <c r="M2579" s="651">
        <v>19.059999999999999</v>
      </c>
      <c r="N2579" s="652"/>
      <c r="O2579" s="653">
        <v>0.15</v>
      </c>
      <c r="P2579" s="653"/>
      <c r="Q2579" s="652">
        <v>0</v>
      </c>
      <c r="R2579" s="647" t="s">
        <v>146</v>
      </c>
      <c r="S2579" s="654" t="s">
        <v>74</v>
      </c>
      <c r="T2579" s="654">
        <v>31</v>
      </c>
      <c r="U2579" s="655" t="s">
        <v>164</v>
      </c>
      <c r="V2579" s="656"/>
      <c r="X2579" s="652">
        <v>0</v>
      </c>
      <c r="Y2579" s="652"/>
      <c r="AI2579" s="647">
        <f>X2579</f>
        <v>0</v>
      </c>
      <c r="AJ2579" s="657"/>
      <c r="AK2579" s="658"/>
    </row>
    <row r="2580" spans="1:77" s="205" customFormat="1" ht="11.25" customHeight="1">
      <c r="A2580" s="546"/>
      <c r="B2580" s="559" t="s">
        <v>291</v>
      </c>
      <c r="C2580" s="547"/>
      <c r="D2580" s="547"/>
      <c r="E2580" s="548" t="s">
        <v>1981</v>
      </c>
      <c r="F2580" s="546" t="s">
        <v>1982</v>
      </c>
      <c r="G2580" s="549" t="s">
        <v>1983</v>
      </c>
      <c r="H2580" s="546" t="s">
        <v>137</v>
      </c>
      <c r="I2580" s="551" t="s">
        <v>33</v>
      </c>
      <c r="J2580" s="550">
        <v>4804.45</v>
      </c>
      <c r="K2580" s="551"/>
      <c r="L2580" s="550">
        <v>5.3</v>
      </c>
      <c r="M2580" s="550">
        <v>5</v>
      </c>
      <c r="N2580" s="552">
        <v>3843.56</v>
      </c>
      <c r="O2580" s="553">
        <v>0.25</v>
      </c>
      <c r="P2580" s="553"/>
      <c r="Q2580" s="552">
        <v>2750.3</v>
      </c>
      <c r="R2580" s="546" t="s">
        <v>281</v>
      </c>
      <c r="S2580" s="554" t="s">
        <v>275</v>
      </c>
      <c r="T2580" s="554">
        <v>89</v>
      </c>
      <c r="U2580" s="555" t="s">
        <v>164</v>
      </c>
      <c r="V2580" s="556"/>
      <c r="W2580" s="546"/>
      <c r="X2580" s="552">
        <v>2750.3</v>
      </c>
      <c r="Y2580" s="552"/>
      <c r="Z2580" s="546"/>
      <c r="AA2580" s="546"/>
      <c r="AB2580" s="546"/>
      <c r="AC2580" s="546"/>
      <c r="AD2580" s="546"/>
      <c r="AE2580" s="546"/>
      <c r="AF2580" s="546"/>
      <c r="AG2580" s="546"/>
      <c r="AH2580" s="546"/>
      <c r="AI2580" s="546"/>
      <c r="AJ2580" s="557"/>
      <c r="AK2580" s="546"/>
      <c r="AL2580" s="546"/>
      <c r="AM2580" s="577">
        <v>2750.3</v>
      </c>
      <c r="AN2580" s="546"/>
      <c r="AO2580" s="546"/>
      <c r="AP2580" s="546"/>
      <c r="AQ2580" s="546"/>
      <c r="AR2580" s="546"/>
      <c r="AS2580" s="546"/>
      <c r="AT2580" s="546"/>
      <c r="AU2580" s="546"/>
      <c r="AV2580" s="546"/>
      <c r="AW2580" s="546"/>
      <c r="AX2580" s="546"/>
      <c r="AY2580" s="546"/>
      <c r="AZ2580" s="546"/>
      <c r="BA2580" s="546"/>
      <c r="BB2580" s="546"/>
      <c r="BC2580" s="546"/>
      <c r="BD2580" s="546"/>
      <c r="BE2580" s="546"/>
      <c r="BF2580" s="546"/>
      <c r="BG2580" s="546"/>
      <c r="BH2580" s="546"/>
      <c r="BI2580" s="546"/>
      <c r="BJ2580" s="546"/>
      <c r="BK2580" s="546"/>
      <c r="BL2580" s="546"/>
      <c r="BM2580" s="546"/>
      <c r="BN2580" s="546"/>
      <c r="BO2580" s="546"/>
      <c r="BP2580" s="546"/>
      <c r="BQ2580" s="546"/>
      <c r="BR2580" s="546"/>
      <c r="BS2580" s="546"/>
      <c r="BT2580" s="546"/>
      <c r="BU2580" s="546"/>
      <c r="BV2580" s="546"/>
      <c r="BW2580" s="546"/>
      <c r="BX2580" s="546"/>
      <c r="BY2580" s="546"/>
    </row>
    <row r="2581" spans="1:77" s="507" customFormat="1" ht="11.25" customHeight="1">
      <c r="B2581" s="508" t="s">
        <v>291</v>
      </c>
      <c r="C2581" s="509"/>
      <c r="D2581" s="509"/>
      <c r="E2581" s="510" t="s">
        <v>1981</v>
      </c>
      <c r="F2581" s="507" t="s">
        <v>1982</v>
      </c>
      <c r="G2581" s="521" t="s">
        <v>1983</v>
      </c>
      <c r="H2581" s="507" t="s">
        <v>1027</v>
      </c>
      <c r="I2581" s="512" t="s">
        <v>33</v>
      </c>
      <c r="J2581" s="513">
        <v>10697</v>
      </c>
      <c r="K2581" s="512"/>
      <c r="L2581" s="513">
        <v>10</v>
      </c>
      <c r="M2581" s="513">
        <v>10</v>
      </c>
      <c r="N2581" s="514">
        <v>8771.5400000000009</v>
      </c>
      <c r="O2581" s="515">
        <v>0.25</v>
      </c>
      <c r="P2581" s="515"/>
      <c r="Q2581" s="514">
        <v>6312.75</v>
      </c>
      <c r="R2581" s="507" t="s">
        <v>281</v>
      </c>
      <c r="S2581" s="516" t="s">
        <v>275</v>
      </c>
      <c r="T2581" s="516">
        <v>89</v>
      </c>
      <c r="U2581" s="517" t="s">
        <v>164</v>
      </c>
      <c r="V2581" s="518"/>
      <c r="X2581" s="514">
        <v>6312.75</v>
      </c>
      <c r="Y2581" s="514"/>
      <c r="AJ2581" s="522"/>
      <c r="AL2581" s="514">
        <v>6312.75</v>
      </c>
    </row>
    <row r="2582" spans="1:77" s="6" customFormat="1" ht="11.25" customHeight="1">
      <c r="A2582" s="507"/>
      <c r="B2582" s="508" t="s">
        <v>291</v>
      </c>
      <c r="C2582" s="509"/>
      <c r="D2582" s="509"/>
      <c r="E2582" s="510" t="s">
        <v>1981</v>
      </c>
      <c r="F2582" s="507" t="s">
        <v>1982</v>
      </c>
      <c r="G2582" s="521" t="s">
        <v>1983</v>
      </c>
      <c r="H2582" s="507" t="s">
        <v>310</v>
      </c>
      <c r="I2582" s="512" t="s">
        <v>33</v>
      </c>
      <c r="J2582" s="513">
        <v>19226.48</v>
      </c>
      <c r="K2582" s="512"/>
      <c r="L2582" s="513">
        <v>28</v>
      </c>
      <c r="M2582" s="513">
        <v>28</v>
      </c>
      <c r="N2582" s="514">
        <v>11535.888000000001</v>
      </c>
      <c r="O2582" s="515">
        <v>0.25</v>
      </c>
      <c r="P2582" s="515"/>
      <c r="Q2582" s="514">
        <v>4689.8599999999997</v>
      </c>
      <c r="R2582" s="507" t="s">
        <v>281</v>
      </c>
      <c r="S2582" s="516" t="s">
        <v>275</v>
      </c>
      <c r="T2582" s="516">
        <v>89</v>
      </c>
      <c r="U2582" s="517" t="s">
        <v>164</v>
      </c>
      <c r="V2582" s="518"/>
      <c r="W2582" s="507"/>
      <c r="X2582" s="514">
        <v>4689.8599999999997</v>
      </c>
      <c r="Y2582" s="514"/>
      <c r="Z2582" s="507"/>
      <c r="AA2582" s="507"/>
      <c r="AB2582" s="507"/>
      <c r="AC2582" s="507"/>
      <c r="AD2582" s="507"/>
      <c r="AE2582" s="507"/>
      <c r="AF2582" s="507"/>
      <c r="AG2582" s="507"/>
      <c r="AH2582" s="507"/>
      <c r="AI2582" s="507"/>
      <c r="AJ2582" s="522"/>
      <c r="AK2582" s="507"/>
      <c r="AL2582" s="514">
        <v>4689.8599999999997</v>
      </c>
      <c r="AM2582" s="507"/>
      <c r="AN2582" s="507"/>
      <c r="AO2582" s="507"/>
      <c r="AP2582" s="507"/>
      <c r="AQ2582" s="507"/>
      <c r="AR2582" s="507"/>
      <c r="AS2582" s="507"/>
      <c r="AT2582" s="507"/>
      <c r="AU2582" s="507"/>
      <c r="AV2582" s="507"/>
      <c r="AW2582" s="507"/>
      <c r="AX2582" s="507"/>
      <c r="AY2582" s="507"/>
      <c r="AZ2582" s="507"/>
      <c r="BA2582" s="507"/>
      <c r="BB2582" s="507"/>
      <c r="BC2582" s="507"/>
      <c r="BD2582" s="507"/>
      <c r="BE2582" s="507"/>
      <c r="BF2582" s="507"/>
      <c r="BG2582" s="507"/>
      <c r="BH2582" s="507"/>
      <c r="BI2582" s="507"/>
      <c r="BJ2582" s="507"/>
      <c r="BK2582" s="507"/>
      <c r="BL2582" s="507"/>
      <c r="BM2582" s="507"/>
      <c r="BN2582" s="507"/>
      <c r="BO2582" s="507"/>
      <c r="BP2582" s="507"/>
      <c r="BQ2582" s="507"/>
      <c r="BR2582" s="507"/>
      <c r="BS2582" s="507"/>
      <c r="BT2582" s="507"/>
      <c r="BU2582" s="507"/>
      <c r="BV2582" s="507"/>
      <c r="BW2582" s="507"/>
      <c r="BX2582" s="507"/>
      <c r="BY2582" s="507"/>
    </row>
    <row r="2583" spans="1:77" s="205" customFormat="1" ht="11.25" customHeight="1">
      <c r="B2583" s="206" t="s">
        <v>291</v>
      </c>
      <c r="C2583" s="207">
        <v>44726</v>
      </c>
      <c r="D2583" s="207">
        <v>44726</v>
      </c>
      <c r="E2583" s="208" t="s">
        <v>1981</v>
      </c>
      <c r="F2583" s="205" t="s">
        <v>1982</v>
      </c>
      <c r="G2583" s="209" t="s">
        <v>1983</v>
      </c>
      <c r="H2583" s="205" t="s">
        <v>99</v>
      </c>
      <c r="I2583" s="219" t="s">
        <v>33</v>
      </c>
      <c r="J2583" s="210">
        <v>100926</v>
      </c>
      <c r="K2583" s="219"/>
      <c r="L2583" s="210">
        <v>40</v>
      </c>
      <c r="M2583" s="210">
        <v>40</v>
      </c>
      <c r="N2583" s="213"/>
      <c r="O2583" s="212">
        <v>0.25</v>
      </c>
      <c r="P2583" s="212"/>
      <c r="Q2583" s="213">
        <v>0</v>
      </c>
      <c r="R2583" s="205" t="s">
        <v>281</v>
      </c>
      <c r="S2583" s="214" t="s">
        <v>275</v>
      </c>
      <c r="T2583" s="214">
        <v>89</v>
      </c>
      <c r="U2583" s="215" t="s">
        <v>164</v>
      </c>
      <c r="V2583" s="438"/>
      <c r="X2583" s="213">
        <v>0</v>
      </c>
      <c r="Y2583" s="213"/>
      <c r="AF2583" s="230">
        <f>X2583</f>
        <v>0</v>
      </c>
      <c r="AJ2583" s="216"/>
    </row>
    <row r="2584" spans="1:77" s="473" customFormat="1" ht="11.25" customHeight="1">
      <c r="B2584" s="486" t="s">
        <v>291</v>
      </c>
      <c r="C2584" s="487">
        <v>44725</v>
      </c>
      <c r="D2584" s="487">
        <v>44726</v>
      </c>
      <c r="E2584" s="488" t="s">
        <v>1984</v>
      </c>
      <c r="F2584" s="473" t="s">
        <v>3914</v>
      </c>
      <c r="G2584" s="489" t="s">
        <v>1985</v>
      </c>
      <c r="H2584" s="473" t="s">
        <v>765</v>
      </c>
      <c r="I2584" s="491" t="s">
        <v>33</v>
      </c>
      <c r="J2584" s="490">
        <v>32096.400000000001</v>
      </c>
      <c r="K2584" s="491"/>
      <c r="L2584" s="490">
        <v>38.21</v>
      </c>
      <c r="M2584" s="490">
        <v>38.21</v>
      </c>
      <c r="N2584" s="492"/>
      <c r="O2584" s="493">
        <v>0.3</v>
      </c>
      <c r="P2584" s="493"/>
      <c r="Q2584" s="492">
        <v>2598.2800000000002</v>
      </c>
      <c r="R2584" s="473" t="s">
        <v>73</v>
      </c>
      <c r="S2584" s="481" t="s">
        <v>74</v>
      </c>
      <c r="T2584" s="481">
        <v>32</v>
      </c>
      <c r="U2584" s="494" t="s">
        <v>164</v>
      </c>
      <c r="V2584" s="495"/>
      <c r="X2584" s="492">
        <v>2598.2800000000002</v>
      </c>
      <c r="Y2584" s="492"/>
      <c r="AJ2584" s="485"/>
      <c r="AK2584" s="505">
        <v>2598.2800000000002</v>
      </c>
    </row>
    <row r="2585" spans="1:77" s="291" customFormat="1" ht="11.25" customHeight="1">
      <c r="A2585" s="291" t="s">
        <v>3893</v>
      </c>
      <c r="B2585" s="310" t="s">
        <v>291</v>
      </c>
      <c r="C2585" s="292">
        <v>44726</v>
      </c>
      <c r="D2585" s="292">
        <v>44727</v>
      </c>
      <c r="E2585" s="293" t="s">
        <v>1986</v>
      </c>
      <c r="F2585" s="291" t="s">
        <v>1041</v>
      </c>
      <c r="G2585" s="314">
        <v>4627</v>
      </c>
      <c r="H2585" s="291" t="s">
        <v>310</v>
      </c>
      <c r="I2585" s="295" t="s">
        <v>1056</v>
      </c>
      <c r="J2585" s="296">
        <v>9386.14</v>
      </c>
      <c r="K2585" s="295"/>
      <c r="L2585" s="296">
        <v>9.73</v>
      </c>
      <c r="M2585" s="296">
        <v>9.73</v>
      </c>
      <c r="N2585" s="297"/>
      <c r="O2585" s="298">
        <v>0.2</v>
      </c>
      <c r="P2585" s="298"/>
      <c r="Q2585" s="297">
        <v>1698.7</v>
      </c>
      <c r="R2585" s="291" t="s">
        <v>128</v>
      </c>
      <c r="S2585" s="299" t="s">
        <v>41</v>
      </c>
      <c r="T2585" s="299">
        <v>86</v>
      </c>
      <c r="U2585" s="300" t="s">
        <v>164</v>
      </c>
      <c r="V2585" s="333"/>
      <c r="X2585" s="297">
        <v>1698.7</v>
      </c>
      <c r="Y2585" s="297"/>
      <c r="AH2585" s="297">
        <f>X2585</f>
        <v>1698.7</v>
      </c>
      <c r="AI2585" s="311"/>
      <c r="AJ2585" s="468"/>
    </row>
    <row r="2586" spans="1:77" s="291" customFormat="1" ht="11.25" customHeight="1">
      <c r="A2586" s="291" t="s">
        <v>3893</v>
      </c>
      <c r="B2586" s="310" t="s">
        <v>291</v>
      </c>
      <c r="C2586" s="292"/>
      <c r="D2586" s="292"/>
      <c r="E2586" s="293" t="s">
        <v>1986</v>
      </c>
      <c r="F2586" s="291" t="s">
        <v>1041</v>
      </c>
      <c r="G2586" s="314">
        <v>4627</v>
      </c>
      <c r="H2586" s="291" t="s">
        <v>99</v>
      </c>
      <c r="I2586" s="295" t="s">
        <v>33</v>
      </c>
      <c r="J2586" s="296">
        <v>24767.53</v>
      </c>
      <c r="K2586" s="295"/>
      <c r="L2586" s="296">
        <v>18.420000000000002</v>
      </c>
      <c r="M2586" s="296">
        <v>18.420000000000002</v>
      </c>
      <c r="N2586" s="297"/>
      <c r="O2586" s="298">
        <v>0.2</v>
      </c>
      <c r="P2586" s="298"/>
      <c r="Q2586" s="297">
        <v>566.97</v>
      </c>
      <c r="R2586" s="291" t="s">
        <v>128</v>
      </c>
      <c r="S2586" s="299" t="s">
        <v>41</v>
      </c>
      <c r="T2586" s="299">
        <v>86</v>
      </c>
      <c r="U2586" s="300" t="s">
        <v>164</v>
      </c>
      <c r="V2586" s="333"/>
      <c r="X2586" s="297">
        <v>566.97</v>
      </c>
      <c r="Y2586" s="297"/>
      <c r="AH2586" s="297">
        <f>X2586</f>
        <v>566.97</v>
      </c>
      <c r="AI2586" s="311"/>
      <c r="AJ2586" s="468"/>
    </row>
    <row r="2587" spans="1:77" s="291" customFormat="1" ht="11.25" customHeight="1">
      <c r="A2587" s="291" t="s">
        <v>3893</v>
      </c>
      <c r="B2587" s="310" t="s">
        <v>291</v>
      </c>
      <c r="C2587" s="292"/>
      <c r="D2587" s="292"/>
      <c r="E2587" s="293" t="s">
        <v>1986</v>
      </c>
      <c r="F2587" s="291" t="s">
        <v>1041</v>
      </c>
      <c r="G2587" s="314">
        <v>4627</v>
      </c>
      <c r="H2587" s="291" t="s">
        <v>137</v>
      </c>
      <c r="I2587" s="295" t="s">
        <v>33</v>
      </c>
      <c r="J2587" s="296">
        <v>2599.3000000000002</v>
      </c>
      <c r="K2587" s="295"/>
      <c r="L2587" s="296">
        <v>2.78</v>
      </c>
      <c r="M2587" s="296">
        <v>2.7</v>
      </c>
      <c r="N2587" s="297"/>
      <c r="O2587" s="298">
        <v>0.2</v>
      </c>
      <c r="P2587" s="298"/>
      <c r="Q2587" s="297">
        <v>1476.33</v>
      </c>
      <c r="R2587" s="291" t="s">
        <v>128</v>
      </c>
      <c r="S2587" s="299" t="s">
        <v>41</v>
      </c>
      <c r="T2587" s="299">
        <v>86</v>
      </c>
      <c r="U2587" s="300" t="s">
        <v>164</v>
      </c>
      <c r="V2587" s="333"/>
      <c r="X2587" s="297">
        <v>1476.33</v>
      </c>
      <c r="Y2587" s="297"/>
      <c r="AH2587" s="297">
        <f>X2587</f>
        <v>1476.33</v>
      </c>
      <c r="AI2587" s="311"/>
      <c r="AJ2587" s="468"/>
    </row>
    <row r="2588" spans="1:77" s="205" customFormat="1" ht="11.25" customHeight="1">
      <c r="B2588" s="206" t="s">
        <v>291</v>
      </c>
      <c r="C2588" s="207">
        <v>44722</v>
      </c>
      <c r="D2588" s="207">
        <v>44727</v>
      </c>
      <c r="E2588" s="208" t="s">
        <v>1987</v>
      </c>
      <c r="F2588" s="205" t="s">
        <v>1988</v>
      </c>
      <c r="G2588" s="217">
        <v>4482</v>
      </c>
      <c r="H2588" s="205" t="s">
        <v>163</v>
      </c>
      <c r="I2588" s="219" t="s">
        <v>33</v>
      </c>
      <c r="J2588" s="210">
        <v>12875.95</v>
      </c>
      <c r="K2588" s="219"/>
      <c r="L2588" s="210">
        <v>12.84</v>
      </c>
      <c r="M2588" s="210">
        <v>12.84</v>
      </c>
      <c r="N2588" s="213">
        <v>3252.84</v>
      </c>
      <c r="O2588" s="212">
        <v>0.25</v>
      </c>
      <c r="P2588" s="212"/>
      <c r="Q2588" s="213">
        <v>0</v>
      </c>
      <c r="R2588" s="205" t="s">
        <v>142</v>
      </c>
      <c r="S2588" s="214" t="s">
        <v>2866</v>
      </c>
      <c r="T2588" s="214">
        <v>24</v>
      </c>
      <c r="U2588" s="215" t="s">
        <v>164</v>
      </c>
      <c r="V2588" s="438"/>
      <c r="X2588" s="213">
        <v>0</v>
      </c>
      <c r="Y2588" s="213"/>
      <c r="AF2588" s="230">
        <f>X2588</f>
        <v>0</v>
      </c>
      <c r="AJ2588" s="216"/>
    </row>
    <row r="2589" spans="1:77" s="379" customFormat="1" ht="11.25" customHeight="1">
      <c r="B2589" s="380" t="s">
        <v>291</v>
      </c>
      <c r="C2589" s="381"/>
      <c r="D2589" s="381"/>
      <c r="E2589" s="382" t="s">
        <v>1987</v>
      </c>
      <c r="F2589" s="379" t="s">
        <v>1988</v>
      </c>
      <c r="G2589" s="404">
        <v>4482</v>
      </c>
      <c r="H2589" s="379" t="s">
        <v>99</v>
      </c>
      <c r="I2589" s="384" t="s">
        <v>33</v>
      </c>
      <c r="J2589" s="385">
        <v>29039.81</v>
      </c>
      <c r="K2589" s="384"/>
      <c r="L2589" s="385">
        <v>24.6</v>
      </c>
      <c r="M2589" s="385">
        <v>24.6</v>
      </c>
      <c r="N2589" s="386">
        <v>8334.4599999999991</v>
      </c>
      <c r="O2589" s="387">
        <v>0.25</v>
      </c>
      <c r="P2589" s="387"/>
      <c r="Q2589" s="386">
        <v>798.79</v>
      </c>
      <c r="R2589" s="379" t="s">
        <v>142</v>
      </c>
      <c r="S2589" s="388" t="s">
        <v>2866</v>
      </c>
      <c r="T2589" s="388">
        <v>24</v>
      </c>
      <c r="U2589" s="389" t="s">
        <v>164</v>
      </c>
      <c r="V2589" s="433"/>
      <c r="W2589" s="379" t="s">
        <v>3953</v>
      </c>
      <c r="X2589" s="386">
        <v>798.79</v>
      </c>
      <c r="Y2589" s="386"/>
      <c r="AF2589" s="391"/>
      <c r="AJ2589" s="416">
        <v>798.79</v>
      </c>
    </row>
    <row r="2590" spans="1:77" s="647" customFormat="1" ht="11.25" customHeight="1">
      <c r="B2590" s="661" t="s">
        <v>291</v>
      </c>
      <c r="C2590" s="648"/>
      <c r="D2590" s="648"/>
      <c r="E2590" s="649" t="s">
        <v>1989</v>
      </c>
      <c r="F2590" s="647" t="s">
        <v>1990</v>
      </c>
      <c r="G2590" s="650" t="s">
        <v>1991</v>
      </c>
      <c r="H2590" s="647" t="s">
        <v>865</v>
      </c>
      <c r="I2590" s="676" t="s">
        <v>888</v>
      </c>
      <c r="J2590" s="651">
        <v>18240.009999999998</v>
      </c>
      <c r="K2590" s="676"/>
      <c r="L2590" s="651">
        <v>10.49</v>
      </c>
      <c r="M2590" s="651">
        <v>5</v>
      </c>
      <c r="N2590" s="652">
        <v>4162.6872000000003</v>
      </c>
      <c r="O2590" s="653">
        <v>0.3</v>
      </c>
      <c r="P2590" s="653"/>
      <c r="Q2590" s="652">
        <v>0</v>
      </c>
      <c r="R2590" s="647" t="s">
        <v>149</v>
      </c>
      <c r="S2590" s="654" t="s">
        <v>113</v>
      </c>
      <c r="T2590" s="654">
        <v>40</v>
      </c>
      <c r="U2590" s="655" t="s">
        <v>164</v>
      </c>
      <c r="V2590" s="656"/>
      <c r="X2590" s="652">
        <v>0</v>
      </c>
      <c r="Y2590" s="652"/>
      <c r="AI2590" s="647">
        <v>0</v>
      </c>
      <c r="AJ2590" s="657"/>
      <c r="AK2590" s="658"/>
    </row>
    <row r="2591" spans="1:77" s="291" customFormat="1" ht="11.25" customHeight="1">
      <c r="B2591" s="310" t="s">
        <v>291</v>
      </c>
      <c r="C2591" s="292">
        <v>44722</v>
      </c>
      <c r="D2591" s="292">
        <v>44727</v>
      </c>
      <c r="E2591" s="293" t="s">
        <v>1989</v>
      </c>
      <c r="F2591" s="291" t="s">
        <v>1990</v>
      </c>
      <c r="G2591" s="294" t="s">
        <v>1991</v>
      </c>
      <c r="H2591" s="291" t="s">
        <v>99</v>
      </c>
      <c r="I2591" s="295" t="s">
        <v>888</v>
      </c>
      <c r="J2591" s="296">
        <v>9921.69</v>
      </c>
      <c r="K2591" s="295"/>
      <c r="L2591" s="296">
        <v>10.76</v>
      </c>
      <c r="M2591" s="296">
        <v>10.76</v>
      </c>
      <c r="N2591" s="297"/>
      <c r="O2591" s="298">
        <v>0.3</v>
      </c>
      <c r="P2591" s="298"/>
      <c r="Q2591" s="297">
        <v>752.99</v>
      </c>
      <c r="R2591" s="291" t="s">
        <v>149</v>
      </c>
      <c r="S2591" s="299" t="s">
        <v>113</v>
      </c>
      <c r="T2591" s="299">
        <v>40</v>
      </c>
      <c r="U2591" s="300" t="s">
        <v>164</v>
      </c>
      <c r="V2591" s="333"/>
      <c r="X2591" s="297">
        <v>752.99</v>
      </c>
      <c r="Y2591" s="297"/>
      <c r="AH2591" s="291">
        <f>X2591</f>
        <v>752.99</v>
      </c>
      <c r="AI2591" s="311"/>
      <c r="AJ2591" s="468"/>
    </row>
    <row r="2592" spans="1:77" s="6" customFormat="1" ht="11.25" customHeight="1">
      <c r="A2592" s="473"/>
      <c r="B2592" s="486" t="s">
        <v>291</v>
      </c>
      <c r="C2592" s="487"/>
      <c r="D2592" s="487"/>
      <c r="E2592" s="488" t="s">
        <v>1992</v>
      </c>
      <c r="F2592" s="473" t="s">
        <v>371</v>
      </c>
      <c r="G2592" s="489">
        <v>3763</v>
      </c>
      <c r="H2592" s="473" t="s">
        <v>1009</v>
      </c>
      <c r="I2592" s="491" t="s">
        <v>1995</v>
      </c>
      <c r="J2592" s="490">
        <v>127861.5</v>
      </c>
      <c r="K2592" s="491"/>
      <c r="L2592" s="490">
        <v>50</v>
      </c>
      <c r="M2592" s="490">
        <v>50</v>
      </c>
      <c r="N2592" s="492"/>
      <c r="O2592" s="493">
        <v>0.15</v>
      </c>
      <c r="P2592" s="493"/>
      <c r="Q2592" s="492">
        <v>44851.13</v>
      </c>
      <c r="R2592" s="473" t="s">
        <v>77</v>
      </c>
      <c r="S2592" s="481" t="s">
        <v>41</v>
      </c>
      <c r="T2592" s="481">
        <v>16</v>
      </c>
      <c r="U2592" s="494" t="s">
        <v>164</v>
      </c>
      <c r="V2592" s="495"/>
      <c r="W2592" s="473"/>
      <c r="X2592" s="492">
        <v>44851.13</v>
      </c>
      <c r="Y2592" s="492"/>
      <c r="Z2592" s="473"/>
      <c r="AA2592" s="473"/>
      <c r="AB2592" s="473"/>
      <c r="AC2592" s="473"/>
      <c r="AD2592" s="473"/>
      <c r="AE2592" s="473"/>
      <c r="AF2592" s="473"/>
      <c r="AG2592" s="473"/>
      <c r="AH2592" s="473"/>
      <c r="AI2592" s="473"/>
      <c r="AJ2592" s="485"/>
      <c r="AK2592" s="505">
        <v>44851.13</v>
      </c>
      <c r="AL2592" s="473"/>
      <c r="AM2592" s="473"/>
      <c r="AN2592" s="473"/>
      <c r="AO2592" s="473"/>
      <c r="AP2592" s="473"/>
      <c r="AQ2592" s="473"/>
      <c r="AR2592" s="473"/>
      <c r="AS2592" s="473"/>
      <c r="AT2592" s="473"/>
      <c r="AU2592" s="473"/>
      <c r="AV2592" s="473"/>
      <c r="AW2592" s="473"/>
      <c r="AX2592" s="473"/>
      <c r="AY2592" s="473"/>
      <c r="AZ2592" s="473"/>
      <c r="BA2592" s="473"/>
      <c r="BB2592" s="473"/>
      <c r="BC2592" s="473"/>
      <c r="BD2592" s="473"/>
      <c r="BE2592" s="473"/>
      <c r="BF2592" s="473"/>
      <c r="BG2592" s="473"/>
      <c r="BH2592" s="473"/>
      <c r="BI2592" s="473"/>
      <c r="BJ2592" s="473"/>
      <c r="BK2592" s="473"/>
      <c r="BL2592" s="473"/>
      <c r="BM2592" s="473"/>
      <c r="BN2592" s="473"/>
      <c r="BO2592" s="473"/>
      <c r="BP2592" s="473"/>
      <c r="BQ2592" s="473"/>
      <c r="BR2592" s="473"/>
      <c r="BS2592" s="473"/>
      <c r="BT2592" s="473"/>
      <c r="BU2592" s="473"/>
      <c r="BV2592" s="473"/>
      <c r="BW2592" s="473"/>
      <c r="BX2592" s="473"/>
      <c r="BY2592" s="473"/>
    </row>
    <row r="2593" spans="1:77" s="473" customFormat="1" ht="11.25" customHeight="1">
      <c r="A2593" s="379"/>
      <c r="B2593" s="380" t="s">
        <v>291</v>
      </c>
      <c r="C2593" s="381">
        <v>44725</v>
      </c>
      <c r="D2593" s="381">
        <v>44727</v>
      </c>
      <c r="E2593" s="382" t="s">
        <v>1992</v>
      </c>
      <c r="F2593" s="379" t="s">
        <v>371</v>
      </c>
      <c r="G2593" s="383">
        <v>3763</v>
      </c>
      <c r="H2593" s="379" t="s">
        <v>898</v>
      </c>
      <c r="I2593" s="384" t="s">
        <v>1056</v>
      </c>
      <c r="J2593" s="385">
        <v>95407.44</v>
      </c>
      <c r="K2593" s="384"/>
      <c r="L2593" s="385">
        <v>58.32</v>
      </c>
      <c r="M2593" s="385">
        <v>58.31</v>
      </c>
      <c r="N2593" s="386"/>
      <c r="O2593" s="387">
        <v>0.15</v>
      </c>
      <c r="P2593" s="387"/>
      <c r="Q2593" s="386">
        <v>0</v>
      </c>
      <c r="R2593" s="379" t="s">
        <v>77</v>
      </c>
      <c r="S2593" s="388" t="s">
        <v>41</v>
      </c>
      <c r="T2593" s="388">
        <v>16</v>
      </c>
      <c r="U2593" s="389" t="s">
        <v>164</v>
      </c>
      <c r="V2593" s="433"/>
      <c r="W2593" s="379"/>
      <c r="X2593" s="386">
        <v>0</v>
      </c>
      <c r="Y2593" s="386"/>
      <c r="Z2593" s="379"/>
      <c r="AA2593" s="379"/>
      <c r="AB2593" s="379"/>
      <c r="AC2593" s="379"/>
      <c r="AD2593" s="379"/>
      <c r="AE2593" s="379"/>
      <c r="AF2593" s="379"/>
      <c r="AG2593" s="379"/>
      <c r="AH2593" s="379"/>
      <c r="AI2593" s="379"/>
      <c r="AJ2593" s="390">
        <v>0</v>
      </c>
      <c r="AK2593" s="379"/>
      <c r="AL2593" s="379"/>
      <c r="AM2593" s="379"/>
      <c r="AN2593" s="379"/>
      <c r="AO2593" s="379"/>
      <c r="AP2593" s="379"/>
      <c r="AQ2593" s="379"/>
      <c r="AR2593" s="379"/>
      <c r="AS2593" s="379"/>
      <c r="AT2593" s="379"/>
      <c r="AU2593" s="379"/>
      <c r="AV2593" s="379"/>
      <c r="AW2593" s="379"/>
      <c r="AX2593" s="379"/>
      <c r="AY2593" s="379"/>
      <c r="AZ2593" s="379"/>
      <c r="BA2593" s="379"/>
      <c r="BB2593" s="379"/>
      <c r="BC2593" s="379"/>
      <c r="BD2593" s="379"/>
      <c r="BE2593" s="379"/>
      <c r="BF2593" s="379"/>
      <c r="BG2593" s="379"/>
      <c r="BH2593" s="379"/>
      <c r="BI2593" s="379"/>
      <c r="BJ2593" s="379"/>
      <c r="BK2593" s="379"/>
      <c r="BL2593" s="379"/>
      <c r="BM2593" s="379"/>
      <c r="BN2593" s="379"/>
      <c r="BO2593" s="379"/>
      <c r="BP2593" s="379"/>
      <c r="BQ2593" s="379"/>
      <c r="BR2593" s="379"/>
      <c r="BS2593" s="379"/>
      <c r="BT2593" s="379"/>
      <c r="BU2593" s="379"/>
      <c r="BV2593" s="379"/>
      <c r="BW2593" s="379"/>
      <c r="BX2593" s="379"/>
      <c r="BY2593" s="379"/>
    </row>
    <row r="2594" spans="1:77" s="379" customFormat="1" ht="11.25" customHeight="1">
      <c r="B2594" s="380" t="s">
        <v>291</v>
      </c>
      <c r="C2594" s="381">
        <v>44727</v>
      </c>
      <c r="D2594" s="381">
        <v>44727</v>
      </c>
      <c r="E2594" s="382" t="s">
        <v>1993</v>
      </c>
      <c r="F2594" s="379" t="s">
        <v>1994</v>
      </c>
      <c r="G2594" s="383">
        <v>4259</v>
      </c>
      <c r="H2594" s="379" t="s">
        <v>765</v>
      </c>
      <c r="I2594" s="384" t="s">
        <v>888</v>
      </c>
      <c r="J2594" s="385">
        <v>23366.400000000001</v>
      </c>
      <c r="K2594" s="384"/>
      <c r="L2594" s="385">
        <v>24.34</v>
      </c>
      <c r="M2594" s="385">
        <v>24.34</v>
      </c>
      <c r="N2594" s="386"/>
      <c r="O2594" s="387">
        <v>0.2</v>
      </c>
      <c r="P2594" s="387"/>
      <c r="Q2594" s="386">
        <v>12066.05</v>
      </c>
      <c r="R2594" s="379" t="s">
        <v>128</v>
      </c>
      <c r="S2594" s="388" t="s">
        <v>34</v>
      </c>
      <c r="T2594" s="388">
        <v>79</v>
      </c>
      <c r="U2594" s="389" t="s">
        <v>164</v>
      </c>
      <c r="V2594" s="433"/>
      <c r="X2594" s="386">
        <v>12066.05</v>
      </c>
      <c r="Y2594" s="386"/>
      <c r="AJ2594" s="416">
        <v>12066.05</v>
      </c>
    </row>
    <row r="2595" spans="1:77" s="647" customFormat="1" ht="11.25" customHeight="1">
      <c r="B2595" s="661" t="s">
        <v>291</v>
      </c>
      <c r="C2595" s="648"/>
      <c r="D2595" s="648"/>
      <c r="E2595" s="649" t="s">
        <v>1993</v>
      </c>
      <c r="F2595" s="647" t="s">
        <v>1994</v>
      </c>
      <c r="G2595" s="650">
        <v>4259</v>
      </c>
      <c r="H2595" s="647" t="s">
        <v>99</v>
      </c>
      <c r="I2595" s="676" t="s">
        <v>888</v>
      </c>
      <c r="J2595" s="651">
        <v>39378.26</v>
      </c>
      <c r="K2595" s="676"/>
      <c r="L2595" s="651">
        <v>29.95</v>
      </c>
      <c r="M2595" s="651">
        <v>30</v>
      </c>
      <c r="N2595" s="652"/>
      <c r="O2595" s="653">
        <v>0.2</v>
      </c>
      <c r="P2595" s="653"/>
      <c r="Q2595" s="652">
        <v>10140.469999999999</v>
      </c>
      <c r="R2595" s="647" t="s">
        <v>128</v>
      </c>
      <c r="S2595" s="654" t="s">
        <v>34</v>
      </c>
      <c r="T2595" s="654">
        <v>79</v>
      </c>
      <c r="U2595" s="655" t="s">
        <v>164</v>
      </c>
      <c r="V2595" s="656"/>
      <c r="X2595" s="652">
        <v>10140.469999999999</v>
      </c>
      <c r="Y2595" s="652"/>
      <c r="AI2595" s="652">
        <v>10140.469999999999</v>
      </c>
      <c r="AJ2595" s="657"/>
      <c r="AK2595" s="658"/>
    </row>
    <row r="2596" spans="1:77" s="647" customFormat="1" ht="11.25" customHeight="1">
      <c r="B2596" s="661" t="s">
        <v>291</v>
      </c>
      <c r="C2596" s="648"/>
      <c r="D2596" s="648"/>
      <c r="E2596" s="649" t="s">
        <v>1993</v>
      </c>
      <c r="F2596" s="647" t="s">
        <v>1994</v>
      </c>
      <c r="G2596" s="650">
        <v>4259</v>
      </c>
      <c r="H2596" s="647" t="s">
        <v>866</v>
      </c>
      <c r="I2596" s="676" t="s">
        <v>888</v>
      </c>
      <c r="J2596" s="651">
        <v>13576.5</v>
      </c>
      <c r="K2596" s="676"/>
      <c r="L2596" s="651">
        <v>12.93</v>
      </c>
      <c r="M2596" s="651">
        <v>12.93</v>
      </c>
      <c r="N2596" s="652"/>
      <c r="O2596" s="653">
        <v>0.2</v>
      </c>
      <c r="P2596" s="653"/>
      <c r="Q2596" s="652">
        <v>0</v>
      </c>
      <c r="R2596" s="647" t="s">
        <v>128</v>
      </c>
      <c r="S2596" s="654" t="s">
        <v>34</v>
      </c>
      <c r="T2596" s="654">
        <v>79</v>
      </c>
      <c r="U2596" s="655" t="s">
        <v>164</v>
      </c>
      <c r="V2596" s="656"/>
      <c r="X2596" s="652">
        <v>0</v>
      </c>
      <c r="Y2596" s="652"/>
      <c r="AI2596" s="647">
        <v>0</v>
      </c>
      <c r="AJ2596" s="657"/>
      <c r="AK2596" s="658"/>
    </row>
    <row r="2597" spans="1:77" s="647" customFormat="1" ht="11.25" customHeight="1">
      <c r="B2597" s="661" t="s">
        <v>291</v>
      </c>
      <c r="C2597" s="648"/>
      <c r="D2597" s="648"/>
      <c r="E2597" s="649" t="s">
        <v>1993</v>
      </c>
      <c r="F2597" s="647" t="s">
        <v>1994</v>
      </c>
      <c r="G2597" s="650">
        <v>4259</v>
      </c>
      <c r="H2597" s="647" t="s">
        <v>898</v>
      </c>
      <c r="I2597" s="676" t="s">
        <v>888</v>
      </c>
      <c r="J2597" s="651">
        <v>14338.92</v>
      </c>
      <c r="K2597" s="676"/>
      <c r="L2597" s="651">
        <v>13.24</v>
      </c>
      <c r="M2597" s="651">
        <v>13</v>
      </c>
      <c r="N2597" s="652"/>
      <c r="O2597" s="653">
        <v>0.2</v>
      </c>
      <c r="P2597" s="653"/>
      <c r="Q2597" s="652">
        <v>5544.91</v>
      </c>
      <c r="R2597" s="647" t="s">
        <v>128</v>
      </c>
      <c r="S2597" s="654" t="s">
        <v>34</v>
      </c>
      <c r="T2597" s="654">
        <v>79</v>
      </c>
      <c r="U2597" s="655" t="s">
        <v>164</v>
      </c>
      <c r="V2597" s="656"/>
      <c r="X2597" s="652">
        <v>5544.91</v>
      </c>
      <c r="Y2597" s="652"/>
      <c r="AI2597" s="652">
        <v>5544.91</v>
      </c>
      <c r="AJ2597" s="657"/>
      <c r="AK2597" s="658"/>
    </row>
    <row r="2598" spans="1:77" s="181" customFormat="1" ht="11.25" customHeight="1">
      <c r="B2598" s="178" t="s">
        <v>291</v>
      </c>
      <c r="C2598" s="179">
        <v>44727</v>
      </c>
      <c r="D2598" s="179">
        <v>44727</v>
      </c>
      <c r="E2598" s="180" t="s">
        <v>1996</v>
      </c>
      <c r="F2598" s="181" t="s">
        <v>109</v>
      </c>
      <c r="G2598" s="182">
        <v>1005</v>
      </c>
      <c r="H2598" s="181" t="s">
        <v>27</v>
      </c>
      <c r="I2598" s="190" t="s">
        <v>33</v>
      </c>
      <c r="J2598" s="183">
        <v>2331.1799999999998</v>
      </c>
      <c r="K2598" s="190"/>
      <c r="L2598" s="183">
        <v>1.6</v>
      </c>
      <c r="M2598" s="183">
        <v>1.6</v>
      </c>
      <c r="N2598" s="185"/>
      <c r="O2598" s="186">
        <v>0.2</v>
      </c>
      <c r="P2598" s="186"/>
      <c r="Q2598" s="185">
        <v>0</v>
      </c>
      <c r="R2598" s="181" t="s">
        <v>112</v>
      </c>
      <c r="S2598" s="187" t="s">
        <v>113</v>
      </c>
      <c r="T2598" s="187">
        <v>64</v>
      </c>
      <c r="U2598" s="188" t="s">
        <v>164</v>
      </c>
      <c r="V2598" s="441"/>
      <c r="W2598" s="181" t="s">
        <v>2698</v>
      </c>
      <c r="X2598" s="185">
        <v>0</v>
      </c>
      <c r="Y2598" s="185"/>
      <c r="AE2598" s="204">
        <f>X2598</f>
        <v>0</v>
      </c>
      <c r="AJ2598" s="189"/>
    </row>
    <row r="2599" spans="1:77" s="6" customFormat="1" ht="11.25" customHeight="1">
      <c r="A2599" s="473"/>
      <c r="B2599" s="486" t="s">
        <v>291</v>
      </c>
      <c r="C2599" s="487"/>
      <c r="D2599" s="487"/>
      <c r="E2599" s="488" t="s">
        <v>1997</v>
      </c>
      <c r="F2599" s="473" t="s">
        <v>152</v>
      </c>
      <c r="G2599" s="489">
        <v>3912</v>
      </c>
      <c r="H2599" s="473" t="s">
        <v>27</v>
      </c>
      <c r="I2599" s="491" t="s">
        <v>33</v>
      </c>
      <c r="J2599" s="490">
        <v>57807.23</v>
      </c>
      <c r="K2599" s="491"/>
      <c r="L2599" s="490">
        <v>44.45</v>
      </c>
      <c r="M2599" s="490">
        <v>36.35</v>
      </c>
      <c r="N2599" s="492"/>
      <c r="O2599" s="493">
        <v>0.2</v>
      </c>
      <c r="P2599" s="493"/>
      <c r="Q2599" s="492">
        <v>0</v>
      </c>
      <c r="R2599" s="473" t="s">
        <v>77</v>
      </c>
      <c r="S2599" s="481" t="s">
        <v>41</v>
      </c>
      <c r="T2599" s="481">
        <v>16</v>
      </c>
      <c r="U2599" s="494" t="s">
        <v>164</v>
      </c>
      <c r="V2599" s="495"/>
      <c r="W2599" s="473"/>
      <c r="X2599" s="492">
        <v>0</v>
      </c>
      <c r="Y2599" s="492"/>
      <c r="Z2599" s="473"/>
      <c r="AA2599" s="473"/>
      <c r="AB2599" s="473"/>
      <c r="AC2599" s="473"/>
      <c r="AD2599" s="473"/>
      <c r="AE2599" s="473"/>
      <c r="AF2599" s="473"/>
      <c r="AG2599" s="473"/>
      <c r="AH2599" s="473"/>
      <c r="AI2599" s="473"/>
      <c r="AJ2599" s="485"/>
      <c r="AK2599" s="473">
        <v>0</v>
      </c>
      <c r="AL2599" s="473"/>
      <c r="AM2599" s="473"/>
      <c r="AN2599" s="473"/>
      <c r="AO2599" s="473"/>
      <c r="AP2599" s="473"/>
      <c r="AQ2599" s="473"/>
      <c r="AR2599" s="473"/>
      <c r="AS2599" s="473"/>
      <c r="AT2599" s="473"/>
      <c r="AU2599" s="473"/>
      <c r="AV2599" s="473"/>
      <c r="AW2599" s="473"/>
      <c r="AX2599" s="473"/>
      <c r="AY2599" s="473"/>
      <c r="AZ2599" s="473"/>
      <c r="BA2599" s="473"/>
      <c r="BB2599" s="473"/>
      <c r="BC2599" s="473"/>
      <c r="BD2599" s="473"/>
      <c r="BE2599" s="473"/>
      <c r="BF2599" s="473"/>
      <c r="BG2599" s="473"/>
      <c r="BH2599" s="473"/>
      <c r="BI2599" s="473"/>
      <c r="BJ2599" s="473"/>
      <c r="BK2599" s="473"/>
      <c r="BL2599" s="473"/>
      <c r="BM2599" s="473"/>
      <c r="BN2599" s="473"/>
      <c r="BO2599" s="473"/>
      <c r="BP2599" s="473"/>
      <c r="BQ2599" s="473"/>
      <c r="BR2599" s="473"/>
      <c r="BS2599" s="473"/>
      <c r="BT2599" s="473"/>
      <c r="BU2599" s="473"/>
      <c r="BV2599" s="473"/>
      <c r="BW2599" s="473"/>
      <c r="BX2599" s="473"/>
      <c r="BY2599" s="473"/>
    </row>
    <row r="2600" spans="1:77" s="6" customFormat="1" ht="11.25" customHeight="1">
      <c r="A2600" s="379"/>
      <c r="B2600" s="380" t="s">
        <v>291</v>
      </c>
      <c r="C2600" s="381">
        <v>44727</v>
      </c>
      <c r="D2600" s="381">
        <v>44727</v>
      </c>
      <c r="E2600" s="382" t="s">
        <v>1997</v>
      </c>
      <c r="F2600" s="379" t="s">
        <v>152</v>
      </c>
      <c r="G2600" s="383">
        <v>3912</v>
      </c>
      <c r="H2600" s="379" t="s">
        <v>295</v>
      </c>
      <c r="I2600" s="384" t="s">
        <v>33</v>
      </c>
      <c r="J2600" s="385">
        <v>3579.48</v>
      </c>
      <c r="K2600" s="384"/>
      <c r="L2600" s="385">
        <v>6.52</v>
      </c>
      <c r="M2600" s="385">
        <v>6.37</v>
      </c>
      <c r="N2600" s="386"/>
      <c r="O2600" s="387">
        <v>0.2</v>
      </c>
      <c r="P2600" s="387"/>
      <c r="Q2600" s="386">
        <v>0</v>
      </c>
      <c r="R2600" s="379" t="s">
        <v>77</v>
      </c>
      <c r="S2600" s="388" t="s">
        <v>41</v>
      </c>
      <c r="T2600" s="388">
        <v>16</v>
      </c>
      <c r="U2600" s="389" t="s">
        <v>164</v>
      </c>
      <c r="V2600" s="433"/>
      <c r="W2600" s="379"/>
      <c r="X2600" s="386">
        <v>0</v>
      </c>
      <c r="Y2600" s="386"/>
      <c r="Z2600" s="379"/>
      <c r="AA2600" s="379"/>
      <c r="AB2600" s="379"/>
      <c r="AC2600" s="379"/>
      <c r="AD2600" s="379"/>
      <c r="AE2600" s="379"/>
      <c r="AF2600" s="379"/>
      <c r="AG2600" s="379"/>
      <c r="AH2600" s="379"/>
      <c r="AI2600" s="379"/>
      <c r="AJ2600" s="390">
        <v>0</v>
      </c>
      <c r="AK2600" s="379"/>
      <c r="AL2600" s="379"/>
      <c r="AM2600" s="379"/>
      <c r="AN2600" s="379"/>
      <c r="AO2600" s="379"/>
      <c r="AP2600" s="379"/>
      <c r="AQ2600" s="379"/>
      <c r="AR2600" s="379"/>
      <c r="AS2600" s="379"/>
      <c r="AT2600" s="379"/>
      <c r="AU2600" s="379"/>
      <c r="AV2600" s="379"/>
      <c r="AW2600" s="379"/>
      <c r="AX2600" s="379"/>
      <c r="AY2600" s="379"/>
      <c r="AZ2600" s="379"/>
      <c r="BA2600" s="379"/>
      <c r="BB2600" s="379"/>
      <c r="BC2600" s="379"/>
      <c r="BD2600" s="379"/>
      <c r="BE2600" s="379"/>
      <c r="BF2600" s="379"/>
      <c r="BG2600" s="379"/>
      <c r="BH2600" s="379"/>
      <c r="BI2600" s="379"/>
      <c r="BJ2600" s="379"/>
      <c r="BK2600" s="379"/>
      <c r="BL2600" s="379"/>
      <c r="BM2600" s="379"/>
      <c r="BN2600" s="379"/>
      <c r="BO2600" s="379"/>
      <c r="BP2600" s="379"/>
      <c r="BQ2600" s="379"/>
      <c r="BR2600" s="379"/>
      <c r="BS2600" s="379"/>
      <c r="BT2600" s="379"/>
      <c r="BU2600" s="379"/>
      <c r="BV2600" s="379"/>
      <c r="BW2600" s="379"/>
      <c r="BX2600" s="379"/>
      <c r="BY2600" s="379"/>
    </row>
    <row r="2601" spans="1:77" s="473" customFormat="1" ht="11.25" customHeight="1">
      <c r="A2601" s="379"/>
      <c r="B2601" s="380" t="s">
        <v>291</v>
      </c>
      <c r="C2601" s="381"/>
      <c r="D2601" s="381"/>
      <c r="E2601" s="382" t="s">
        <v>1997</v>
      </c>
      <c r="F2601" s="379" t="s">
        <v>152</v>
      </c>
      <c r="G2601" s="383">
        <v>3912</v>
      </c>
      <c r="H2601" s="379" t="s">
        <v>99</v>
      </c>
      <c r="I2601" s="384" t="s">
        <v>33</v>
      </c>
      <c r="J2601" s="385">
        <v>68196.399999999994</v>
      </c>
      <c r="K2601" s="384"/>
      <c r="L2601" s="385">
        <v>58.79</v>
      </c>
      <c r="M2601" s="385">
        <v>59.06</v>
      </c>
      <c r="N2601" s="386"/>
      <c r="O2601" s="387">
        <v>0.2</v>
      </c>
      <c r="P2601" s="387"/>
      <c r="Q2601" s="386">
        <v>0</v>
      </c>
      <c r="R2601" s="379" t="s">
        <v>77</v>
      </c>
      <c r="S2601" s="388" t="s">
        <v>41</v>
      </c>
      <c r="T2601" s="388">
        <v>16</v>
      </c>
      <c r="U2601" s="389" t="s">
        <v>164</v>
      </c>
      <c r="V2601" s="433"/>
      <c r="W2601" s="379"/>
      <c r="X2601" s="386">
        <v>0</v>
      </c>
      <c r="Y2601" s="386"/>
      <c r="Z2601" s="379"/>
      <c r="AA2601" s="379"/>
      <c r="AB2601" s="379"/>
      <c r="AC2601" s="379"/>
      <c r="AD2601" s="379"/>
      <c r="AE2601" s="379"/>
      <c r="AF2601" s="379"/>
      <c r="AG2601" s="379"/>
      <c r="AH2601" s="379"/>
      <c r="AI2601" s="379"/>
      <c r="AJ2601" s="390">
        <v>0</v>
      </c>
      <c r="AK2601" s="379"/>
      <c r="AL2601" s="379"/>
      <c r="AM2601" s="379"/>
      <c r="AN2601" s="379"/>
      <c r="AO2601" s="379"/>
      <c r="AP2601" s="379"/>
      <c r="AQ2601" s="379"/>
      <c r="AR2601" s="379"/>
      <c r="AS2601" s="379"/>
      <c r="AT2601" s="379"/>
      <c r="AU2601" s="379"/>
      <c r="AV2601" s="379"/>
      <c r="AW2601" s="379"/>
      <c r="AX2601" s="379"/>
      <c r="AY2601" s="379"/>
      <c r="AZ2601" s="379"/>
      <c r="BA2601" s="379"/>
      <c r="BB2601" s="379"/>
      <c r="BC2601" s="379"/>
      <c r="BD2601" s="379"/>
      <c r="BE2601" s="379"/>
      <c r="BF2601" s="379"/>
      <c r="BG2601" s="379"/>
      <c r="BH2601" s="379"/>
      <c r="BI2601" s="379"/>
      <c r="BJ2601" s="379"/>
      <c r="BK2601" s="379"/>
      <c r="BL2601" s="379"/>
      <c r="BM2601" s="379"/>
      <c r="BN2601" s="379"/>
      <c r="BO2601" s="379"/>
      <c r="BP2601" s="379"/>
      <c r="BQ2601" s="379"/>
      <c r="BR2601" s="379"/>
      <c r="BS2601" s="379"/>
      <c r="BT2601" s="379"/>
      <c r="BU2601" s="379"/>
      <c r="BV2601" s="379"/>
      <c r="BW2601" s="379"/>
      <c r="BX2601" s="379"/>
      <c r="BY2601" s="379"/>
    </row>
    <row r="2602" spans="1:77" s="507" customFormat="1" ht="11.25" customHeight="1">
      <c r="B2602" s="507" t="s">
        <v>291</v>
      </c>
      <c r="C2602" s="509">
        <v>44722</v>
      </c>
      <c r="D2602" s="509">
        <v>44727</v>
      </c>
      <c r="E2602" s="510" t="s">
        <v>1998</v>
      </c>
      <c r="F2602" s="507" t="s">
        <v>1999</v>
      </c>
      <c r="G2602" s="521" t="s">
        <v>2000</v>
      </c>
      <c r="H2602" s="507" t="s">
        <v>336</v>
      </c>
      <c r="I2602" s="512" t="s">
        <v>33</v>
      </c>
      <c r="J2602" s="513">
        <v>64386</v>
      </c>
      <c r="K2602" s="512"/>
      <c r="L2602" s="513">
        <v>36.5</v>
      </c>
      <c r="M2602" s="513">
        <v>36.5</v>
      </c>
      <c r="N2602" s="514"/>
      <c r="O2602" s="515">
        <v>0.2</v>
      </c>
      <c r="P2602" s="515"/>
      <c r="Q2602" s="514">
        <v>0</v>
      </c>
      <c r="R2602" s="507" t="s">
        <v>29</v>
      </c>
      <c r="S2602" s="516" t="s">
        <v>30</v>
      </c>
      <c r="T2602" s="516">
        <v>70</v>
      </c>
      <c r="U2602" s="517" t="s">
        <v>164</v>
      </c>
      <c r="V2602" s="518"/>
      <c r="X2602" s="514">
        <v>0</v>
      </c>
      <c r="Y2602" s="514"/>
      <c r="AJ2602" s="522"/>
      <c r="AL2602" s="507">
        <v>0</v>
      </c>
    </row>
    <row r="2603" spans="1:77" s="507" customFormat="1" ht="11.25" customHeight="1">
      <c r="B2603" s="507" t="s">
        <v>291</v>
      </c>
      <c r="C2603" s="509"/>
      <c r="D2603" s="509"/>
      <c r="E2603" s="510" t="s">
        <v>1998</v>
      </c>
      <c r="F2603" s="507" t="s">
        <v>1999</v>
      </c>
      <c r="G2603" s="521" t="s">
        <v>2000</v>
      </c>
      <c r="H2603" s="507" t="s">
        <v>27</v>
      </c>
      <c r="I2603" s="512" t="s">
        <v>33</v>
      </c>
      <c r="J2603" s="513">
        <v>55108.800000000003</v>
      </c>
      <c r="K2603" s="512"/>
      <c r="L2603" s="513">
        <v>35.6</v>
      </c>
      <c r="M2603" s="513">
        <v>35.6</v>
      </c>
      <c r="N2603" s="514">
        <f>1013.94+984.22</f>
        <v>1998.16</v>
      </c>
      <c r="O2603" s="515">
        <v>0.2</v>
      </c>
      <c r="P2603" s="515"/>
      <c r="Q2603" s="514">
        <v>0</v>
      </c>
      <c r="R2603" s="507" t="s">
        <v>29</v>
      </c>
      <c r="S2603" s="516" t="s">
        <v>30</v>
      </c>
      <c r="T2603" s="516">
        <v>70</v>
      </c>
      <c r="U2603" s="517" t="s">
        <v>164</v>
      </c>
      <c r="V2603" s="518"/>
      <c r="X2603" s="514">
        <v>0</v>
      </c>
      <c r="Y2603" s="514"/>
      <c r="AJ2603" s="522"/>
      <c r="AL2603" s="507">
        <v>0</v>
      </c>
    </row>
    <row r="2604" spans="1:77" s="507" customFormat="1" ht="11.25" customHeight="1">
      <c r="B2604" s="507" t="s">
        <v>291</v>
      </c>
      <c r="C2604" s="509"/>
      <c r="D2604" s="509"/>
      <c r="E2604" s="510" t="s">
        <v>1998</v>
      </c>
      <c r="F2604" s="507" t="s">
        <v>1999</v>
      </c>
      <c r="G2604" s="521" t="s">
        <v>2000</v>
      </c>
      <c r="H2604" s="507" t="s">
        <v>137</v>
      </c>
      <c r="I2604" s="512" t="s">
        <v>33</v>
      </c>
      <c r="J2604" s="513">
        <v>6360.2</v>
      </c>
      <c r="K2604" s="512"/>
      <c r="L2604" s="513">
        <v>4.13</v>
      </c>
      <c r="M2604" s="513">
        <v>4.13</v>
      </c>
      <c r="N2604" s="514">
        <f>J2604*0.28</f>
        <v>1780.8560000000002</v>
      </c>
      <c r="O2604" s="515">
        <v>0.2</v>
      </c>
      <c r="P2604" s="515"/>
      <c r="Q2604" s="514">
        <v>0</v>
      </c>
      <c r="R2604" s="507" t="s">
        <v>29</v>
      </c>
      <c r="S2604" s="516" t="s">
        <v>30</v>
      </c>
      <c r="T2604" s="516">
        <v>70</v>
      </c>
      <c r="U2604" s="517" t="s">
        <v>164</v>
      </c>
      <c r="V2604" s="518"/>
      <c r="X2604" s="514">
        <v>0</v>
      </c>
      <c r="Y2604" s="514"/>
      <c r="AJ2604" s="522"/>
      <c r="AL2604" s="507">
        <v>0</v>
      </c>
    </row>
    <row r="2605" spans="1:77" s="507" customFormat="1" ht="11.25" customHeight="1">
      <c r="B2605" s="507" t="s">
        <v>291</v>
      </c>
      <c r="C2605" s="509"/>
      <c r="D2605" s="509"/>
      <c r="E2605" s="510" t="s">
        <v>1998</v>
      </c>
      <c r="F2605" s="507" t="s">
        <v>1999</v>
      </c>
      <c r="G2605" s="521" t="s">
        <v>2000</v>
      </c>
      <c r="H2605" s="507" t="s">
        <v>493</v>
      </c>
      <c r="I2605" s="512" t="s">
        <v>33</v>
      </c>
      <c r="J2605" s="513">
        <v>52860.639999999999</v>
      </c>
      <c r="K2605" s="512"/>
      <c r="L2605" s="513">
        <v>34.64</v>
      </c>
      <c r="M2605" s="513">
        <v>34.64</v>
      </c>
      <c r="N2605" s="514"/>
      <c r="O2605" s="515">
        <v>0.2</v>
      </c>
      <c r="P2605" s="515"/>
      <c r="Q2605" s="514">
        <v>0</v>
      </c>
      <c r="R2605" s="507" t="s">
        <v>29</v>
      </c>
      <c r="S2605" s="516" t="s">
        <v>30</v>
      </c>
      <c r="T2605" s="516">
        <v>70</v>
      </c>
      <c r="U2605" s="517" t="s">
        <v>164</v>
      </c>
      <c r="V2605" s="518"/>
      <c r="X2605" s="514">
        <v>0</v>
      </c>
      <c r="Y2605" s="514"/>
      <c r="AJ2605" s="522"/>
      <c r="AL2605" s="507">
        <v>0</v>
      </c>
    </row>
    <row r="2606" spans="1:77" s="507" customFormat="1" ht="11.25" customHeight="1">
      <c r="B2606" s="507" t="s">
        <v>291</v>
      </c>
      <c r="C2606" s="509"/>
      <c r="D2606" s="509"/>
      <c r="E2606" s="510" t="s">
        <v>1998</v>
      </c>
      <c r="F2606" s="507" t="s">
        <v>1999</v>
      </c>
      <c r="G2606" s="521" t="s">
        <v>2000</v>
      </c>
      <c r="H2606" s="507" t="s">
        <v>2001</v>
      </c>
      <c r="I2606" s="512" t="s">
        <v>33</v>
      </c>
      <c r="J2606" s="513">
        <v>15881.6</v>
      </c>
      <c r="K2606" s="512"/>
      <c r="L2606" s="513">
        <v>14.18</v>
      </c>
      <c r="M2606" s="513">
        <v>14.18</v>
      </c>
      <c r="N2606" s="514">
        <f>J2606*0.28</f>
        <v>4446.8480000000009</v>
      </c>
      <c r="O2606" s="515">
        <v>0.2</v>
      </c>
      <c r="P2606" s="515"/>
      <c r="Q2606" s="514">
        <v>0</v>
      </c>
      <c r="R2606" s="507" t="s">
        <v>29</v>
      </c>
      <c r="S2606" s="516" t="s">
        <v>30</v>
      </c>
      <c r="T2606" s="516">
        <v>70</v>
      </c>
      <c r="U2606" s="517" t="s">
        <v>164</v>
      </c>
      <c r="V2606" s="518"/>
      <c r="X2606" s="514">
        <v>0</v>
      </c>
      <c r="Y2606" s="514"/>
      <c r="AJ2606" s="522"/>
      <c r="AL2606" s="507">
        <v>0</v>
      </c>
    </row>
    <row r="2607" spans="1:77" s="205" customFormat="1" ht="11.25" customHeight="1">
      <c r="B2607" s="205" t="s">
        <v>291</v>
      </c>
      <c r="C2607" s="207">
        <v>44726</v>
      </c>
      <c r="D2607" s="207">
        <v>44727</v>
      </c>
      <c r="E2607" s="208" t="s">
        <v>2002</v>
      </c>
      <c r="F2607" s="205" t="s">
        <v>484</v>
      </c>
      <c r="G2607" s="209">
        <v>4096</v>
      </c>
      <c r="H2607" s="205" t="s">
        <v>140</v>
      </c>
      <c r="I2607" s="219" t="s">
        <v>1426</v>
      </c>
      <c r="J2607" s="210">
        <v>11211.09</v>
      </c>
      <c r="K2607" s="219"/>
      <c r="L2607" s="210">
        <v>6.41</v>
      </c>
      <c r="M2607" s="210">
        <v>6.41</v>
      </c>
      <c r="N2607" s="213"/>
      <c r="O2607" s="212">
        <v>0.25</v>
      </c>
      <c r="P2607" s="212"/>
      <c r="Q2607" s="213">
        <v>0</v>
      </c>
      <c r="R2607" s="205" t="s">
        <v>73</v>
      </c>
      <c r="S2607" s="214" t="s">
        <v>74</v>
      </c>
      <c r="T2607" s="214">
        <v>32</v>
      </c>
      <c r="U2607" s="215" t="s">
        <v>164</v>
      </c>
      <c r="V2607" s="438"/>
      <c r="X2607" s="213">
        <v>0</v>
      </c>
      <c r="Y2607" s="213"/>
      <c r="AF2607" s="230">
        <f t="shared" ref="AF2607:AF2612" si="37">X2607</f>
        <v>0</v>
      </c>
      <c r="AJ2607" s="216"/>
    </row>
    <row r="2608" spans="1:77" s="205" customFormat="1" ht="11.25" customHeight="1">
      <c r="B2608" s="205" t="s">
        <v>291</v>
      </c>
      <c r="C2608" s="207"/>
      <c r="D2608" s="207"/>
      <c r="E2608" s="208" t="s">
        <v>2002</v>
      </c>
      <c r="F2608" s="205" t="s">
        <v>484</v>
      </c>
      <c r="G2608" s="209">
        <v>4096</v>
      </c>
      <c r="H2608" s="205" t="s">
        <v>138</v>
      </c>
      <c r="I2608" s="219" t="s">
        <v>1426</v>
      </c>
      <c r="J2608" s="210">
        <v>29421.39</v>
      </c>
      <c r="K2608" s="219"/>
      <c r="L2608" s="210">
        <v>23.38</v>
      </c>
      <c r="M2608" s="210">
        <v>23.38</v>
      </c>
      <c r="N2608" s="213"/>
      <c r="O2608" s="212">
        <v>0.25</v>
      </c>
      <c r="P2608" s="212"/>
      <c r="Q2608" s="213">
        <v>0</v>
      </c>
      <c r="R2608" s="205" t="s">
        <v>73</v>
      </c>
      <c r="S2608" s="214" t="s">
        <v>74</v>
      </c>
      <c r="T2608" s="214">
        <v>32</v>
      </c>
      <c r="U2608" s="215" t="s">
        <v>164</v>
      </c>
      <c r="V2608" s="438"/>
      <c r="W2608" s="205" t="s">
        <v>3121</v>
      </c>
      <c r="X2608" s="213">
        <v>0</v>
      </c>
      <c r="Y2608" s="213"/>
      <c r="AF2608" s="230">
        <f t="shared" si="37"/>
        <v>0</v>
      </c>
      <c r="AJ2608" s="216"/>
    </row>
    <row r="2609" spans="2:37" s="205" customFormat="1" ht="11.25" customHeight="1">
      <c r="B2609" s="205" t="s">
        <v>291</v>
      </c>
      <c r="C2609" s="207"/>
      <c r="D2609" s="207"/>
      <c r="E2609" s="208" t="s">
        <v>2002</v>
      </c>
      <c r="F2609" s="205" t="s">
        <v>484</v>
      </c>
      <c r="G2609" s="209">
        <v>4096</v>
      </c>
      <c r="H2609" s="205" t="s">
        <v>99</v>
      </c>
      <c r="I2609" s="219" t="s">
        <v>1426</v>
      </c>
      <c r="J2609" s="210">
        <v>10118.16</v>
      </c>
      <c r="K2609" s="219"/>
      <c r="L2609" s="210">
        <v>8.9700000000000006</v>
      </c>
      <c r="M2609" s="210">
        <v>8.9700000000000006</v>
      </c>
      <c r="N2609" s="213"/>
      <c r="O2609" s="212">
        <v>0.25</v>
      </c>
      <c r="P2609" s="212"/>
      <c r="Q2609" s="213">
        <v>0</v>
      </c>
      <c r="R2609" s="205" t="s">
        <v>73</v>
      </c>
      <c r="S2609" s="214" t="s">
        <v>74</v>
      </c>
      <c r="T2609" s="214">
        <v>32</v>
      </c>
      <c r="U2609" s="215" t="s">
        <v>164</v>
      </c>
      <c r="V2609" s="438"/>
      <c r="W2609" s="205" t="s">
        <v>3121</v>
      </c>
      <c r="X2609" s="213">
        <v>0</v>
      </c>
      <c r="Y2609" s="213"/>
      <c r="AF2609" s="230">
        <f t="shared" si="37"/>
        <v>0</v>
      </c>
      <c r="AJ2609" s="216"/>
    </row>
    <row r="2610" spans="2:37" s="205" customFormat="1" ht="11.25" customHeight="1">
      <c r="B2610" s="205" t="s">
        <v>291</v>
      </c>
      <c r="C2610" s="207"/>
      <c r="D2610" s="207"/>
      <c r="E2610" s="208" t="s">
        <v>2002</v>
      </c>
      <c r="F2610" s="205" t="s">
        <v>484</v>
      </c>
      <c r="G2610" s="209">
        <v>4096</v>
      </c>
      <c r="H2610" s="205" t="s">
        <v>27</v>
      </c>
      <c r="I2610" s="219" t="s">
        <v>1426</v>
      </c>
      <c r="J2610" s="210">
        <v>10981.48</v>
      </c>
      <c r="K2610" s="219"/>
      <c r="L2610" s="210">
        <v>9.77</v>
      </c>
      <c r="M2610" s="210">
        <v>9.77</v>
      </c>
      <c r="N2610" s="213"/>
      <c r="O2610" s="212">
        <v>0.25</v>
      </c>
      <c r="P2610" s="212"/>
      <c r="Q2610" s="213">
        <v>0</v>
      </c>
      <c r="R2610" s="205" t="s">
        <v>73</v>
      </c>
      <c r="S2610" s="214" t="s">
        <v>74</v>
      </c>
      <c r="T2610" s="214">
        <v>32</v>
      </c>
      <c r="U2610" s="215" t="s">
        <v>164</v>
      </c>
      <c r="V2610" s="438"/>
      <c r="X2610" s="213">
        <v>0</v>
      </c>
      <c r="Y2610" s="213"/>
      <c r="AF2610" s="230">
        <f t="shared" si="37"/>
        <v>0</v>
      </c>
      <c r="AJ2610" s="216"/>
    </row>
    <row r="2611" spans="2:37" s="205" customFormat="1" ht="11.25" customHeight="1">
      <c r="B2611" s="205" t="s">
        <v>291</v>
      </c>
      <c r="C2611" s="207"/>
      <c r="D2611" s="207"/>
      <c r="E2611" s="208" t="s">
        <v>2002</v>
      </c>
      <c r="F2611" s="205" t="s">
        <v>484</v>
      </c>
      <c r="G2611" s="209">
        <v>4096</v>
      </c>
      <c r="H2611" s="205" t="s">
        <v>183</v>
      </c>
      <c r="I2611" s="219" t="s">
        <v>1426</v>
      </c>
      <c r="J2611" s="210">
        <v>10680.89</v>
      </c>
      <c r="K2611" s="219"/>
      <c r="L2611" s="210">
        <v>10.74</v>
      </c>
      <c r="M2611" s="210">
        <v>10.74</v>
      </c>
      <c r="N2611" s="213"/>
      <c r="O2611" s="212">
        <v>0.25</v>
      </c>
      <c r="P2611" s="212"/>
      <c r="Q2611" s="213">
        <v>0</v>
      </c>
      <c r="R2611" s="205" t="s">
        <v>73</v>
      </c>
      <c r="S2611" s="214" t="s">
        <v>74</v>
      </c>
      <c r="T2611" s="214">
        <v>32</v>
      </c>
      <c r="U2611" s="215" t="s">
        <v>164</v>
      </c>
      <c r="V2611" s="438"/>
      <c r="X2611" s="213">
        <v>0</v>
      </c>
      <c r="Y2611" s="213"/>
      <c r="AF2611" s="230">
        <f t="shared" si="37"/>
        <v>0</v>
      </c>
      <c r="AJ2611" s="216"/>
    </row>
    <row r="2612" spans="2:37" s="205" customFormat="1" ht="11.25" customHeight="1">
      <c r="B2612" s="205" t="s">
        <v>291</v>
      </c>
      <c r="C2612" s="207"/>
      <c r="D2612" s="207"/>
      <c r="E2612" s="208" t="s">
        <v>2002</v>
      </c>
      <c r="F2612" s="205" t="s">
        <v>484</v>
      </c>
      <c r="G2612" s="209">
        <v>4096</v>
      </c>
      <c r="H2612" s="205" t="s">
        <v>163</v>
      </c>
      <c r="I2612" s="219" t="s">
        <v>1426</v>
      </c>
      <c r="J2612" s="210">
        <v>6155.7</v>
      </c>
      <c r="K2612" s="219"/>
      <c r="L2612" s="210">
        <v>8.5</v>
      </c>
      <c r="M2612" s="210">
        <v>8.5</v>
      </c>
      <c r="N2612" s="213"/>
      <c r="O2612" s="212">
        <v>0.25</v>
      </c>
      <c r="P2612" s="212"/>
      <c r="Q2612" s="213">
        <v>0</v>
      </c>
      <c r="R2612" s="205" t="s">
        <v>73</v>
      </c>
      <c r="S2612" s="214" t="s">
        <v>74</v>
      </c>
      <c r="T2612" s="214">
        <v>32</v>
      </c>
      <c r="U2612" s="215" t="s">
        <v>164</v>
      </c>
      <c r="V2612" s="438"/>
      <c r="W2612" s="205" t="s">
        <v>3121</v>
      </c>
      <c r="X2612" s="213">
        <v>0</v>
      </c>
      <c r="Y2612" s="213"/>
      <c r="AF2612" s="230">
        <f t="shared" si="37"/>
        <v>0</v>
      </c>
      <c r="AJ2612" s="216"/>
    </row>
    <row r="2613" spans="2:37" s="473" customFormat="1" ht="11.25" customHeight="1">
      <c r="B2613" s="473" t="s">
        <v>291</v>
      </c>
      <c r="C2613" s="487">
        <v>44727</v>
      </c>
      <c r="D2613" s="487">
        <v>44727</v>
      </c>
      <c r="E2613" s="488" t="s">
        <v>2003</v>
      </c>
      <c r="F2613" s="473" t="s">
        <v>2004</v>
      </c>
      <c r="G2613" s="489" t="s">
        <v>2005</v>
      </c>
      <c r="H2613" s="473" t="s">
        <v>192</v>
      </c>
      <c r="I2613" s="491" t="s">
        <v>2006</v>
      </c>
      <c r="J2613" s="490">
        <v>65542.460000000006</v>
      </c>
      <c r="K2613" s="491"/>
      <c r="L2613" s="490">
        <v>69.459999999999994</v>
      </c>
      <c r="M2613" s="490">
        <v>30</v>
      </c>
      <c r="N2613" s="492"/>
      <c r="O2613" s="493">
        <v>0.2</v>
      </c>
      <c r="P2613" s="493"/>
      <c r="Q2613" s="492">
        <v>3617.48</v>
      </c>
      <c r="R2613" s="473" t="s">
        <v>285</v>
      </c>
      <c r="S2613" s="481" t="s">
        <v>275</v>
      </c>
      <c r="T2613" s="481">
        <v>21</v>
      </c>
      <c r="U2613" s="494" t="s">
        <v>164</v>
      </c>
      <c r="V2613" s="495"/>
      <c r="X2613" s="492">
        <v>3617.48</v>
      </c>
      <c r="Y2613" s="492"/>
      <c r="AJ2613" s="485"/>
      <c r="AK2613" s="505">
        <v>3617.48</v>
      </c>
    </row>
    <row r="2614" spans="2:37" s="473" customFormat="1" ht="11.25" customHeight="1">
      <c r="B2614" s="473" t="s">
        <v>291</v>
      </c>
      <c r="C2614" s="487"/>
      <c r="D2614" s="487"/>
      <c r="E2614" s="488" t="s">
        <v>2003</v>
      </c>
      <c r="F2614" s="473" t="s">
        <v>2004</v>
      </c>
      <c r="G2614" s="489" t="s">
        <v>2005</v>
      </c>
      <c r="H2614" s="473" t="s">
        <v>157</v>
      </c>
      <c r="I2614" s="491" t="s">
        <v>2006</v>
      </c>
      <c r="J2614" s="490">
        <v>2703.82</v>
      </c>
      <c r="K2614" s="491"/>
      <c r="L2614" s="490">
        <v>7.12</v>
      </c>
      <c r="M2614" s="490">
        <v>7.12</v>
      </c>
      <c r="N2614" s="492"/>
      <c r="O2614" s="493">
        <v>0.2</v>
      </c>
      <c r="P2614" s="493"/>
      <c r="Q2614" s="492">
        <v>331.44</v>
      </c>
      <c r="R2614" s="473" t="s">
        <v>285</v>
      </c>
      <c r="S2614" s="481" t="s">
        <v>275</v>
      </c>
      <c r="T2614" s="481">
        <v>21</v>
      </c>
      <c r="U2614" s="494" t="s">
        <v>164</v>
      </c>
      <c r="V2614" s="495"/>
      <c r="X2614" s="492">
        <v>331.44</v>
      </c>
      <c r="Y2614" s="492"/>
      <c r="AJ2614" s="485"/>
      <c r="AK2614" s="505">
        <v>331.44</v>
      </c>
    </row>
    <row r="2615" spans="2:37" s="473" customFormat="1" ht="11.25" customHeight="1">
      <c r="B2615" s="473" t="s">
        <v>291</v>
      </c>
      <c r="C2615" s="487"/>
      <c r="D2615" s="487"/>
      <c r="E2615" s="488" t="s">
        <v>2003</v>
      </c>
      <c r="F2615" s="473" t="s">
        <v>2004</v>
      </c>
      <c r="G2615" s="489" t="s">
        <v>2005</v>
      </c>
      <c r="H2615" s="473" t="s">
        <v>685</v>
      </c>
      <c r="I2615" s="491" t="s">
        <v>2006</v>
      </c>
      <c r="J2615" s="490">
        <v>3580.2</v>
      </c>
      <c r="K2615" s="491"/>
      <c r="L2615" s="490">
        <v>3.6</v>
      </c>
      <c r="M2615" s="490">
        <v>3.6</v>
      </c>
      <c r="N2615" s="492"/>
      <c r="O2615" s="493">
        <v>0.2</v>
      </c>
      <c r="P2615" s="493"/>
      <c r="Q2615" s="492">
        <v>875.16</v>
      </c>
      <c r="R2615" s="473" t="s">
        <v>285</v>
      </c>
      <c r="S2615" s="481" t="s">
        <v>275</v>
      </c>
      <c r="T2615" s="481">
        <v>21</v>
      </c>
      <c r="U2615" s="494" t="s">
        <v>164</v>
      </c>
      <c r="V2615" s="495"/>
      <c r="X2615" s="492">
        <v>875.16</v>
      </c>
      <c r="Y2615" s="492"/>
      <c r="AJ2615" s="485"/>
      <c r="AK2615" s="505">
        <v>875.16</v>
      </c>
    </row>
    <row r="2616" spans="2:37" s="473" customFormat="1" ht="11.25" customHeight="1">
      <c r="B2616" s="473" t="s">
        <v>291</v>
      </c>
      <c r="C2616" s="487"/>
      <c r="D2616" s="487"/>
      <c r="E2616" s="488" t="s">
        <v>2003</v>
      </c>
      <c r="F2616" s="473" t="s">
        <v>2004</v>
      </c>
      <c r="G2616" s="489" t="s">
        <v>2005</v>
      </c>
      <c r="H2616" s="473" t="s">
        <v>1018</v>
      </c>
      <c r="I2616" s="491" t="s">
        <v>2006</v>
      </c>
      <c r="J2616" s="490">
        <v>18926.36</v>
      </c>
      <c r="K2616" s="491"/>
      <c r="L2616" s="490">
        <v>17.850000000000001</v>
      </c>
      <c r="M2616" s="490">
        <v>4.3</v>
      </c>
      <c r="N2616" s="492"/>
      <c r="O2616" s="493">
        <v>0.2</v>
      </c>
      <c r="P2616" s="493"/>
      <c r="Q2616" s="492">
        <v>2221.79</v>
      </c>
      <c r="R2616" s="473" t="s">
        <v>285</v>
      </c>
      <c r="S2616" s="481" t="s">
        <v>275</v>
      </c>
      <c r="T2616" s="481">
        <v>21</v>
      </c>
      <c r="U2616" s="494" t="s">
        <v>164</v>
      </c>
      <c r="V2616" s="495"/>
      <c r="X2616" s="492">
        <v>2221.79</v>
      </c>
      <c r="Y2616" s="492"/>
      <c r="AJ2616" s="485"/>
      <c r="AK2616" s="505">
        <v>2221.79</v>
      </c>
    </row>
    <row r="2617" spans="2:37" s="473" customFormat="1" ht="11.25" customHeight="1">
      <c r="B2617" s="473" t="s">
        <v>291</v>
      </c>
      <c r="C2617" s="487"/>
      <c r="D2617" s="487"/>
      <c r="E2617" s="488" t="s">
        <v>2003</v>
      </c>
      <c r="F2617" s="473" t="s">
        <v>2004</v>
      </c>
      <c r="G2617" s="489" t="s">
        <v>2005</v>
      </c>
      <c r="H2617" s="473" t="s">
        <v>1138</v>
      </c>
      <c r="I2617" s="491" t="s">
        <v>2006</v>
      </c>
      <c r="J2617" s="490">
        <v>12726</v>
      </c>
      <c r="K2617" s="491"/>
      <c r="L2617" s="490">
        <v>8.08</v>
      </c>
      <c r="M2617" s="490">
        <v>8.08</v>
      </c>
      <c r="N2617" s="492"/>
      <c r="O2617" s="493">
        <v>0.2</v>
      </c>
      <c r="P2617" s="493"/>
      <c r="Q2617" s="492">
        <v>5938.8</v>
      </c>
      <c r="R2617" s="473" t="s">
        <v>285</v>
      </c>
      <c r="S2617" s="481" t="s">
        <v>275</v>
      </c>
      <c r="T2617" s="481">
        <v>21</v>
      </c>
      <c r="U2617" s="494" t="s">
        <v>164</v>
      </c>
      <c r="V2617" s="495"/>
      <c r="X2617" s="492">
        <v>5938.8</v>
      </c>
      <c r="Y2617" s="492"/>
      <c r="AJ2617" s="485"/>
      <c r="AK2617" s="505">
        <v>5938.8</v>
      </c>
    </row>
    <row r="2618" spans="2:37" s="473" customFormat="1" ht="11.25" customHeight="1">
      <c r="B2618" s="473" t="s">
        <v>291</v>
      </c>
      <c r="C2618" s="487"/>
      <c r="D2618" s="487"/>
      <c r="E2618" s="488" t="s">
        <v>2003</v>
      </c>
      <c r="F2618" s="473" t="s">
        <v>2004</v>
      </c>
      <c r="G2618" s="489" t="s">
        <v>2005</v>
      </c>
      <c r="H2618" s="473" t="s">
        <v>684</v>
      </c>
      <c r="I2618" s="491" t="s">
        <v>2006</v>
      </c>
      <c r="J2618" s="490">
        <v>1840</v>
      </c>
      <c r="K2618" s="491"/>
      <c r="L2618" s="490">
        <v>3.68</v>
      </c>
      <c r="M2618" s="490">
        <v>3.68</v>
      </c>
      <c r="N2618" s="492"/>
      <c r="O2618" s="493">
        <v>0.2</v>
      </c>
      <c r="P2618" s="493"/>
      <c r="Q2618" s="492">
        <v>368</v>
      </c>
      <c r="R2618" s="473" t="s">
        <v>285</v>
      </c>
      <c r="S2618" s="481" t="s">
        <v>275</v>
      </c>
      <c r="T2618" s="481">
        <v>21</v>
      </c>
      <c r="U2618" s="494" t="s">
        <v>164</v>
      </c>
      <c r="V2618" s="495"/>
      <c r="X2618" s="492">
        <v>368</v>
      </c>
      <c r="Y2618" s="492"/>
      <c r="AJ2618" s="485"/>
      <c r="AK2618" s="505">
        <v>368</v>
      </c>
    </row>
    <row r="2619" spans="2:37" s="205" customFormat="1" ht="11.25" customHeight="1">
      <c r="B2619" s="205" t="s">
        <v>291</v>
      </c>
      <c r="C2619" s="207">
        <v>44722</v>
      </c>
      <c r="D2619" s="207">
        <v>44727</v>
      </c>
      <c r="E2619" s="208" t="s">
        <v>2007</v>
      </c>
      <c r="F2619" s="205" t="s">
        <v>2008</v>
      </c>
      <c r="G2619" s="209" t="s">
        <v>2009</v>
      </c>
      <c r="H2619" s="205" t="s">
        <v>99</v>
      </c>
      <c r="I2619" s="219" t="s">
        <v>33</v>
      </c>
      <c r="J2619" s="210">
        <v>49114.400000000001</v>
      </c>
      <c r="K2619" s="219"/>
      <c r="L2619" s="210">
        <v>42.34</v>
      </c>
      <c r="M2619" s="210">
        <v>42.34</v>
      </c>
      <c r="N2619" s="213"/>
      <c r="O2619" s="212">
        <v>0.2</v>
      </c>
      <c r="P2619" s="212"/>
      <c r="Q2619" s="213">
        <v>0</v>
      </c>
      <c r="R2619" s="205" t="s">
        <v>73</v>
      </c>
      <c r="S2619" s="214" t="s">
        <v>74</v>
      </c>
      <c r="T2619" s="214">
        <v>31</v>
      </c>
      <c r="U2619" s="215" t="s">
        <v>164</v>
      </c>
      <c r="V2619" s="438"/>
      <c r="X2619" s="213">
        <v>0</v>
      </c>
      <c r="Y2619" s="213"/>
      <c r="AF2619" s="230">
        <f>X2619</f>
        <v>0</v>
      </c>
      <c r="AJ2619" s="216"/>
    </row>
    <row r="2620" spans="2:37" s="379" customFormat="1" ht="11.25" customHeight="1">
      <c r="B2620" s="380" t="s">
        <v>291</v>
      </c>
      <c r="C2620" s="381">
        <v>44727</v>
      </c>
      <c r="D2620" s="381">
        <v>44727</v>
      </c>
      <c r="E2620" s="382" t="s">
        <v>2010</v>
      </c>
      <c r="F2620" s="379" t="s">
        <v>161</v>
      </c>
      <c r="G2620" s="383">
        <v>3832</v>
      </c>
      <c r="H2620" s="379" t="s">
        <v>765</v>
      </c>
      <c r="I2620" s="384" t="s">
        <v>33</v>
      </c>
      <c r="J2620" s="385">
        <v>14832</v>
      </c>
      <c r="K2620" s="384"/>
      <c r="L2620" s="385">
        <v>18</v>
      </c>
      <c r="M2620" s="385">
        <v>18</v>
      </c>
      <c r="N2620" s="386"/>
      <c r="O2620" s="387">
        <v>0.15</v>
      </c>
      <c r="P2620" s="387"/>
      <c r="Q2620" s="386">
        <v>0</v>
      </c>
      <c r="R2620" s="379" t="s">
        <v>128</v>
      </c>
      <c r="S2620" s="388" t="s">
        <v>41</v>
      </c>
      <c r="T2620" s="388">
        <v>86</v>
      </c>
      <c r="U2620" s="389" t="s">
        <v>164</v>
      </c>
      <c r="V2620" s="433"/>
      <c r="X2620" s="386">
        <v>0</v>
      </c>
      <c r="Y2620" s="386"/>
      <c r="AJ2620" s="390">
        <v>0</v>
      </c>
    </row>
    <row r="2621" spans="2:37" s="473" customFormat="1" ht="11.25" customHeight="1">
      <c r="B2621" s="486" t="s">
        <v>291</v>
      </c>
      <c r="C2621" s="487">
        <v>44725</v>
      </c>
      <c r="D2621" s="487">
        <v>44727</v>
      </c>
      <c r="E2621" s="488" t="s">
        <v>2011</v>
      </c>
      <c r="F2621" s="473" t="s">
        <v>2012</v>
      </c>
      <c r="G2621" s="489" t="s">
        <v>2013</v>
      </c>
      <c r="H2621" s="473" t="s">
        <v>137</v>
      </c>
      <c r="I2621" s="491" t="s">
        <v>33</v>
      </c>
      <c r="J2621" s="490">
        <v>169899.08</v>
      </c>
      <c r="K2621" s="491"/>
      <c r="L2621" s="490">
        <v>159.38</v>
      </c>
      <c r="M2621" s="490">
        <v>159.38</v>
      </c>
      <c r="N2621" s="492">
        <f>13596.62+5082.16+25960.83+1711.89+5130.02+2885.02+461.05+9901.01+1335.17+1931.81+7027.71+811.44</f>
        <v>75834.73000000001</v>
      </c>
      <c r="O2621" s="493">
        <v>0.2</v>
      </c>
      <c r="P2621" s="493"/>
      <c r="Q2621" s="492">
        <v>0</v>
      </c>
      <c r="R2621" s="473" t="s">
        <v>29</v>
      </c>
      <c r="S2621" s="481" t="s">
        <v>51</v>
      </c>
      <c r="T2621" s="481">
        <v>52</v>
      </c>
      <c r="U2621" s="494" t="s">
        <v>164</v>
      </c>
      <c r="V2621" s="495"/>
      <c r="X2621" s="492">
        <v>0</v>
      </c>
      <c r="Y2621" s="492"/>
      <c r="AJ2621" s="485"/>
      <c r="AK2621" s="473">
        <v>0</v>
      </c>
    </row>
    <row r="2622" spans="2:37" s="473" customFormat="1" ht="11.25" customHeight="1">
      <c r="B2622" s="486" t="s">
        <v>291</v>
      </c>
      <c r="C2622" s="487"/>
      <c r="D2622" s="487"/>
      <c r="E2622" s="488" t="s">
        <v>2011</v>
      </c>
      <c r="F2622" s="473" t="s">
        <v>2012</v>
      </c>
      <c r="G2622" s="489" t="s">
        <v>2013</v>
      </c>
      <c r="H2622" s="473" t="s">
        <v>183</v>
      </c>
      <c r="I2622" s="491" t="s">
        <v>33</v>
      </c>
      <c r="J2622" s="490">
        <v>94856.28</v>
      </c>
      <c r="K2622" s="491"/>
      <c r="L2622" s="490">
        <v>79.98</v>
      </c>
      <c r="M2622" s="490">
        <v>79.98</v>
      </c>
      <c r="N2622" s="492">
        <f>1637.63+2362.51+872.9+2258.14+8049.62</f>
        <v>15180.8</v>
      </c>
      <c r="O2622" s="493">
        <v>0.2</v>
      </c>
      <c r="P2622" s="493"/>
      <c r="Q2622" s="492">
        <v>0</v>
      </c>
      <c r="R2622" s="473" t="s">
        <v>29</v>
      </c>
      <c r="S2622" s="481" t="s">
        <v>51</v>
      </c>
      <c r="T2622" s="481">
        <v>52</v>
      </c>
      <c r="U2622" s="494" t="s">
        <v>164</v>
      </c>
      <c r="V2622" s="495"/>
      <c r="X2622" s="492">
        <v>0</v>
      </c>
      <c r="Y2622" s="492"/>
      <c r="AJ2622" s="485"/>
      <c r="AK2622" s="473">
        <v>0</v>
      </c>
    </row>
    <row r="2623" spans="2:37" s="473" customFormat="1" ht="11.25" customHeight="1">
      <c r="B2623" s="486" t="s">
        <v>291</v>
      </c>
      <c r="C2623" s="487"/>
      <c r="D2623" s="487"/>
      <c r="E2623" s="488" t="s">
        <v>2011</v>
      </c>
      <c r="F2623" s="473" t="s">
        <v>2012</v>
      </c>
      <c r="G2623" s="489" t="s">
        <v>2013</v>
      </c>
      <c r="H2623" s="473" t="s">
        <v>163</v>
      </c>
      <c r="I2623" s="491" t="s">
        <v>33</v>
      </c>
      <c r="J2623" s="490">
        <v>5018.83</v>
      </c>
      <c r="K2623" s="491"/>
      <c r="L2623" s="490">
        <v>5.29</v>
      </c>
      <c r="M2623" s="490">
        <v>9.7899999999999991</v>
      </c>
      <c r="N2623" s="492"/>
      <c r="O2623" s="493">
        <v>0.2</v>
      </c>
      <c r="P2623" s="493"/>
      <c r="Q2623" s="492">
        <v>0</v>
      </c>
      <c r="R2623" s="473" t="s">
        <v>29</v>
      </c>
      <c r="S2623" s="481" t="s">
        <v>51</v>
      </c>
      <c r="T2623" s="481">
        <v>52</v>
      </c>
      <c r="U2623" s="494" t="s">
        <v>164</v>
      </c>
      <c r="V2623" s="495"/>
      <c r="X2623" s="492">
        <v>0</v>
      </c>
      <c r="Y2623" s="492"/>
      <c r="AJ2623" s="485"/>
      <c r="AK2623" s="473">
        <v>0</v>
      </c>
    </row>
    <row r="2624" spans="2:37" s="379" customFormat="1" ht="11.25" customHeight="1">
      <c r="B2624" s="380" t="s">
        <v>291</v>
      </c>
      <c r="C2624" s="381">
        <v>44727</v>
      </c>
      <c r="D2624" s="381">
        <v>44727</v>
      </c>
      <c r="E2624" s="382" t="s">
        <v>2014</v>
      </c>
      <c r="F2624" s="379" t="s">
        <v>1675</v>
      </c>
      <c r="G2624" s="383" t="s">
        <v>1676</v>
      </c>
      <c r="H2624" s="379" t="s">
        <v>27</v>
      </c>
      <c r="I2624" s="384" t="s">
        <v>888</v>
      </c>
      <c r="J2624" s="385">
        <v>54212.09</v>
      </c>
      <c r="K2624" s="384"/>
      <c r="L2624" s="385">
        <v>37.53</v>
      </c>
      <c r="M2624" s="385">
        <v>37.53</v>
      </c>
      <c r="N2624" s="386"/>
      <c r="O2624" s="387">
        <v>0.25</v>
      </c>
      <c r="P2624" s="387"/>
      <c r="Q2624" s="386">
        <v>0</v>
      </c>
      <c r="R2624" s="379" t="s">
        <v>29</v>
      </c>
      <c r="S2624" s="388" t="s">
        <v>51</v>
      </c>
      <c r="T2624" s="388">
        <v>52</v>
      </c>
      <c r="U2624" s="389" t="s">
        <v>164</v>
      </c>
      <c r="V2624" s="433"/>
      <c r="X2624" s="386">
        <v>0</v>
      </c>
      <c r="Y2624" s="386"/>
      <c r="AJ2624" s="390">
        <v>0</v>
      </c>
    </row>
    <row r="2625" spans="1:77" s="379" customFormat="1" ht="11.25" customHeight="1">
      <c r="B2625" s="380" t="s">
        <v>291</v>
      </c>
      <c r="C2625" s="381"/>
      <c r="D2625" s="381"/>
      <c r="E2625" s="382" t="s">
        <v>2014</v>
      </c>
      <c r="F2625" s="379" t="s">
        <v>1675</v>
      </c>
      <c r="G2625" s="383" t="s">
        <v>1676</v>
      </c>
      <c r="H2625" s="379" t="s">
        <v>183</v>
      </c>
      <c r="I2625" s="384" t="s">
        <v>888</v>
      </c>
      <c r="J2625" s="385">
        <v>15605.46</v>
      </c>
      <c r="K2625" s="384"/>
      <c r="L2625" s="385">
        <v>14.82</v>
      </c>
      <c r="M2625" s="385">
        <v>14.82</v>
      </c>
      <c r="N2625" s="386"/>
      <c r="O2625" s="387">
        <v>0.25</v>
      </c>
      <c r="P2625" s="387"/>
      <c r="Q2625" s="386">
        <v>0</v>
      </c>
      <c r="R2625" s="379" t="s">
        <v>29</v>
      </c>
      <c r="S2625" s="388" t="s">
        <v>51</v>
      </c>
      <c r="T2625" s="388">
        <v>52</v>
      </c>
      <c r="U2625" s="389" t="s">
        <v>164</v>
      </c>
      <c r="V2625" s="433"/>
      <c r="X2625" s="386">
        <v>0</v>
      </c>
      <c r="Y2625" s="386"/>
      <c r="AJ2625" s="390">
        <v>0</v>
      </c>
    </row>
    <row r="2626" spans="1:77" s="379" customFormat="1" ht="11.25" customHeight="1">
      <c r="B2626" s="380" t="s">
        <v>291</v>
      </c>
      <c r="C2626" s="381"/>
      <c r="D2626" s="381"/>
      <c r="E2626" s="382" t="s">
        <v>2014</v>
      </c>
      <c r="F2626" s="379" t="s">
        <v>1675</v>
      </c>
      <c r="G2626" s="383" t="s">
        <v>1676</v>
      </c>
      <c r="H2626" s="379" t="s">
        <v>99</v>
      </c>
      <c r="I2626" s="384" t="s">
        <v>888</v>
      </c>
      <c r="J2626" s="385">
        <v>47279.44</v>
      </c>
      <c r="K2626" s="384"/>
      <c r="L2626" s="385">
        <v>34.97</v>
      </c>
      <c r="M2626" s="385">
        <v>34.97</v>
      </c>
      <c r="N2626" s="386"/>
      <c r="O2626" s="387">
        <v>0.25</v>
      </c>
      <c r="P2626" s="387"/>
      <c r="Q2626" s="386">
        <v>0</v>
      </c>
      <c r="R2626" s="379" t="s">
        <v>29</v>
      </c>
      <c r="S2626" s="388" t="s">
        <v>51</v>
      </c>
      <c r="T2626" s="388">
        <v>52</v>
      </c>
      <c r="U2626" s="389" t="s">
        <v>164</v>
      </c>
      <c r="V2626" s="433"/>
      <c r="X2626" s="386">
        <v>0</v>
      </c>
      <c r="Y2626" s="386"/>
      <c r="AJ2626" s="390">
        <v>0</v>
      </c>
    </row>
    <row r="2627" spans="1:77" s="379" customFormat="1" ht="11.25" customHeight="1">
      <c r="B2627" s="380" t="s">
        <v>291</v>
      </c>
      <c r="C2627" s="381"/>
      <c r="D2627" s="381"/>
      <c r="E2627" s="382" t="s">
        <v>2014</v>
      </c>
      <c r="F2627" s="379" t="s">
        <v>1675</v>
      </c>
      <c r="G2627" s="383" t="s">
        <v>1676</v>
      </c>
      <c r="H2627" s="379" t="s">
        <v>137</v>
      </c>
      <c r="I2627" s="384" t="s">
        <v>888</v>
      </c>
      <c r="J2627" s="385">
        <v>25462.5</v>
      </c>
      <c r="K2627" s="384"/>
      <c r="L2627" s="385">
        <v>26.25</v>
      </c>
      <c r="M2627" s="385">
        <v>26.25</v>
      </c>
      <c r="N2627" s="386"/>
      <c r="O2627" s="387">
        <v>0.25</v>
      </c>
      <c r="P2627" s="387"/>
      <c r="Q2627" s="386">
        <v>0</v>
      </c>
      <c r="R2627" s="379" t="s">
        <v>29</v>
      </c>
      <c r="S2627" s="388" t="s">
        <v>51</v>
      </c>
      <c r="T2627" s="388">
        <v>52</v>
      </c>
      <c r="U2627" s="389" t="s">
        <v>164</v>
      </c>
      <c r="V2627" s="433"/>
      <c r="X2627" s="386">
        <v>0</v>
      </c>
      <c r="Y2627" s="386"/>
      <c r="AJ2627" s="390">
        <v>0</v>
      </c>
    </row>
    <row r="2628" spans="1:77" s="379" customFormat="1" ht="11.25" customHeight="1">
      <c r="B2628" s="380" t="s">
        <v>291</v>
      </c>
      <c r="C2628" s="381"/>
      <c r="D2628" s="381"/>
      <c r="E2628" s="382" t="s">
        <v>2014</v>
      </c>
      <c r="F2628" s="379" t="s">
        <v>1675</v>
      </c>
      <c r="G2628" s="383" t="s">
        <v>1676</v>
      </c>
      <c r="H2628" s="379" t="s">
        <v>310</v>
      </c>
      <c r="I2628" s="384" t="s">
        <v>888</v>
      </c>
      <c r="J2628" s="385">
        <v>5107.1499999999996</v>
      </c>
      <c r="K2628" s="384"/>
      <c r="L2628" s="385">
        <v>6.69</v>
      </c>
      <c r="M2628" s="385">
        <v>6.69</v>
      </c>
      <c r="N2628" s="386"/>
      <c r="O2628" s="387">
        <v>0.25</v>
      </c>
      <c r="P2628" s="387"/>
      <c r="Q2628" s="386">
        <v>0</v>
      </c>
      <c r="R2628" s="379" t="s">
        <v>29</v>
      </c>
      <c r="S2628" s="388" t="s">
        <v>51</v>
      </c>
      <c r="T2628" s="388">
        <v>52</v>
      </c>
      <c r="U2628" s="389" t="s">
        <v>164</v>
      </c>
      <c r="V2628" s="433"/>
      <c r="X2628" s="386">
        <v>0</v>
      </c>
      <c r="Y2628" s="386"/>
      <c r="AJ2628" s="390">
        <v>0</v>
      </c>
    </row>
    <row r="2629" spans="1:77" s="379" customFormat="1" ht="11.25" customHeight="1">
      <c r="B2629" s="380" t="s">
        <v>291</v>
      </c>
      <c r="C2629" s="381"/>
      <c r="D2629" s="381"/>
      <c r="E2629" s="382" t="s">
        <v>2014</v>
      </c>
      <c r="F2629" s="379" t="s">
        <v>1675</v>
      </c>
      <c r="G2629" s="383" t="s">
        <v>1676</v>
      </c>
      <c r="H2629" s="379" t="s">
        <v>941</v>
      </c>
      <c r="I2629" s="384" t="s">
        <v>888</v>
      </c>
      <c r="J2629" s="385">
        <v>4126.82</v>
      </c>
      <c r="K2629" s="384"/>
      <c r="L2629" s="385">
        <v>6.3</v>
      </c>
      <c r="M2629" s="385">
        <v>6.3</v>
      </c>
      <c r="N2629" s="386"/>
      <c r="O2629" s="387">
        <v>0.25</v>
      </c>
      <c r="P2629" s="387"/>
      <c r="Q2629" s="386">
        <v>0</v>
      </c>
      <c r="R2629" s="379" t="s">
        <v>29</v>
      </c>
      <c r="S2629" s="388" t="s">
        <v>51</v>
      </c>
      <c r="T2629" s="388">
        <v>52</v>
      </c>
      <c r="U2629" s="389" t="s">
        <v>164</v>
      </c>
      <c r="V2629" s="433"/>
      <c r="X2629" s="386">
        <v>0</v>
      </c>
      <c r="Y2629" s="386"/>
      <c r="AJ2629" s="390">
        <v>0</v>
      </c>
    </row>
    <row r="2630" spans="1:77" s="647" customFormat="1" ht="11.25" customHeight="1">
      <c r="B2630" s="661" t="s">
        <v>291</v>
      </c>
      <c r="C2630" s="648">
        <v>44727</v>
      </c>
      <c r="D2630" s="648">
        <v>44727</v>
      </c>
      <c r="E2630" s="649" t="s">
        <v>2015</v>
      </c>
      <c r="F2630" s="647" t="s">
        <v>2016</v>
      </c>
      <c r="G2630" s="650">
        <v>3701</v>
      </c>
      <c r="H2630" s="647" t="s">
        <v>99</v>
      </c>
      <c r="I2630" s="676" t="s">
        <v>33</v>
      </c>
      <c r="J2630" s="651">
        <v>56632.95</v>
      </c>
      <c r="K2630" s="676"/>
      <c r="L2630" s="651">
        <v>49.5</v>
      </c>
      <c r="M2630" s="651">
        <v>49.5</v>
      </c>
      <c r="N2630" s="652">
        <f>11417.77-2957.15</f>
        <v>8460.6200000000008</v>
      </c>
      <c r="O2630" s="653">
        <v>0.2</v>
      </c>
      <c r="P2630" s="653"/>
      <c r="Q2630" s="652">
        <v>6608.75</v>
      </c>
      <c r="R2630" s="647" t="s">
        <v>29</v>
      </c>
      <c r="S2630" s="654" t="s">
        <v>51</v>
      </c>
      <c r="T2630" s="654">
        <v>52</v>
      </c>
      <c r="U2630" s="655" t="s">
        <v>164</v>
      </c>
      <c r="V2630" s="656"/>
      <c r="X2630" s="652">
        <v>6608.75</v>
      </c>
      <c r="Y2630" s="652"/>
      <c r="AI2630" s="652">
        <v>6608.75</v>
      </c>
      <c r="AJ2630" s="657"/>
      <c r="AK2630" s="658"/>
    </row>
    <row r="2631" spans="1:77" s="647" customFormat="1" ht="11.25" customHeight="1">
      <c r="B2631" s="661" t="s">
        <v>291</v>
      </c>
      <c r="C2631" s="648"/>
      <c r="D2631" s="648"/>
      <c r="E2631" s="649" t="s">
        <v>2015</v>
      </c>
      <c r="F2631" s="647" t="s">
        <v>2016</v>
      </c>
      <c r="G2631" s="650">
        <v>3701</v>
      </c>
      <c r="H2631" s="647" t="s">
        <v>137</v>
      </c>
      <c r="I2631" s="676" t="s">
        <v>33</v>
      </c>
      <c r="J2631" s="651">
        <v>14785.75</v>
      </c>
      <c r="K2631" s="676"/>
      <c r="L2631" s="651">
        <v>17.5</v>
      </c>
      <c r="M2631" s="651">
        <v>17.5</v>
      </c>
      <c r="N2631" s="652">
        <f>2957.15</f>
        <v>2957.15</v>
      </c>
      <c r="O2631" s="653">
        <v>0.2</v>
      </c>
      <c r="P2631" s="653"/>
      <c r="Q2631" s="652">
        <v>3171.35</v>
      </c>
      <c r="R2631" s="647" t="s">
        <v>29</v>
      </c>
      <c r="S2631" s="654" t="s">
        <v>51</v>
      </c>
      <c r="T2631" s="654">
        <v>52</v>
      </c>
      <c r="U2631" s="655" t="s">
        <v>164</v>
      </c>
      <c r="V2631" s="656"/>
      <c r="X2631" s="652">
        <v>3171.35</v>
      </c>
      <c r="Y2631" s="652"/>
      <c r="AI2631" s="652">
        <v>3171.35</v>
      </c>
      <c r="AJ2631" s="657"/>
      <c r="AK2631" s="658"/>
    </row>
    <row r="2632" spans="1:77" s="261" customFormat="1" ht="11.25" customHeight="1">
      <c r="B2632" s="258" t="s">
        <v>291</v>
      </c>
      <c r="C2632" s="259">
        <v>44727</v>
      </c>
      <c r="D2632" s="259">
        <v>44727</v>
      </c>
      <c r="E2632" s="260" t="s">
        <v>2017</v>
      </c>
      <c r="F2632" s="261" t="s">
        <v>2018</v>
      </c>
      <c r="G2632" s="262">
        <v>3717</v>
      </c>
      <c r="H2632" s="261" t="s">
        <v>99</v>
      </c>
      <c r="I2632" s="264" t="s">
        <v>33</v>
      </c>
      <c r="J2632" s="263">
        <v>46068.75</v>
      </c>
      <c r="K2632" s="264"/>
      <c r="L2632" s="263">
        <v>40.950000000000003</v>
      </c>
      <c r="M2632" s="263">
        <v>40.950000000000003</v>
      </c>
      <c r="N2632" s="265">
        <v>10595.81</v>
      </c>
      <c r="O2632" s="266">
        <v>0.25</v>
      </c>
      <c r="P2632" s="266"/>
      <c r="Q2632" s="265">
        <v>0</v>
      </c>
      <c r="R2632" s="261" t="s">
        <v>29</v>
      </c>
      <c r="S2632" s="267" t="s">
        <v>51</v>
      </c>
      <c r="T2632" s="267">
        <v>52</v>
      </c>
      <c r="U2632" s="268" t="s">
        <v>164</v>
      </c>
      <c r="V2632" s="427"/>
      <c r="X2632" s="265">
        <v>0</v>
      </c>
      <c r="Y2632" s="265"/>
      <c r="AG2632" s="261">
        <f>X2632</f>
        <v>0</v>
      </c>
      <c r="AJ2632" s="642"/>
    </row>
    <row r="2633" spans="1:77" s="205" customFormat="1" ht="11.25" customHeight="1">
      <c r="B2633" s="206" t="s">
        <v>291</v>
      </c>
      <c r="C2633" s="207"/>
      <c r="D2633" s="207"/>
      <c r="E2633" s="208" t="s">
        <v>2017</v>
      </c>
      <c r="F2633" s="205" t="s">
        <v>2018</v>
      </c>
      <c r="G2633" s="209">
        <v>3717</v>
      </c>
      <c r="H2633" s="205" t="s">
        <v>183</v>
      </c>
      <c r="I2633" s="219" t="s">
        <v>33</v>
      </c>
      <c r="J2633" s="210">
        <v>18901.400000000001</v>
      </c>
      <c r="K2633" s="219"/>
      <c r="L2633" s="210">
        <v>23.48</v>
      </c>
      <c r="M2633" s="210">
        <v>23.48</v>
      </c>
      <c r="N2633" s="213"/>
      <c r="O2633" s="212">
        <v>0.25</v>
      </c>
      <c r="P2633" s="212"/>
      <c r="Q2633" s="213">
        <v>0</v>
      </c>
      <c r="R2633" s="205" t="s">
        <v>29</v>
      </c>
      <c r="S2633" s="214" t="s">
        <v>51</v>
      </c>
      <c r="T2633" s="214">
        <v>52</v>
      </c>
      <c r="U2633" s="215" t="s">
        <v>164</v>
      </c>
      <c r="V2633" s="438"/>
      <c r="X2633" s="213">
        <v>0</v>
      </c>
      <c r="Y2633" s="213"/>
      <c r="AF2633" s="230">
        <f>X2633</f>
        <v>0</v>
      </c>
      <c r="AJ2633" s="216"/>
    </row>
    <row r="2634" spans="1:77" s="261" customFormat="1" ht="11.25" customHeight="1">
      <c r="B2634" s="258" t="s">
        <v>291</v>
      </c>
      <c r="C2634" s="259"/>
      <c r="D2634" s="259"/>
      <c r="E2634" s="260" t="s">
        <v>2017</v>
      </c>
      <c r="F2634" s="261" t="s">
        <v>2018</v>
      </c>
      <c r="G2634" s="262">
        <v>3717</v>
      </c>
      <c r="H2634" s="261" t="s">
        <v>137</v>
      </c>
      <c r="I2634" s="264" t="s">
        <v>33</v>
      </c>
      <c r="J2634" s="263">
        <v>14655.41</v>
      </c>
      <c r="K2634" s="264"/>
      <c r="L2634" s="263">
        <v>18.21</v>
      </c>
      <c r="M2634" s="263">
        <v>18.21</v>
      </c>
      <c r="N2634" s="265">
        <v>0</v>
      </c>
      <c r="O2634" s="266">
        <v>0.25</v>
      </c>
      <c r="P2634" s="266"/>
      <c r="Q2634" s="265">
        <v>0</v>
      </c>
      <c r="R2634" s="261" t="s">
        <v>29</v>
      </c>
      <c r="S2634" s="267" t="s">
        <v>51</v>
      </c>
      <c r="T2634" s="267">
        <v>52</v>
      </c>
      <c r="U2634" s="268" t="s">
        <v>164</v>
      </c>
      <c r="V2634" s="427"/>
      <c r="X2634" s="265">
        <v>0</v>
      </c>
      <c r="Y2634" s="265"/>
      <c r="AG2634" s="261">
        <f>X2634</f>
        <v>0</v>
      </c>
      <c r="AJ2634" s="642"/>
    </row>
    <row r="2635" spans="1:77" s="261" customFormat="1" ht="11.25" customHeight="1">
      <c r="B2635" s="258" t="s">
        <v>291</v>
      </c>
      <c r="C2635" s="259"/>
      <c r="D2635" s="259"/>
      <c r="E2635" s="260" t="s">
        <v>2017</v>
      </c>
      <c r="F2635" s="261" t="s">
        <v>2018</v>
      </c>
      <c r="G2635" s="262">
        <v>3717</v>
      </c>
      <c r="H2635" s="261" t="s">
        <v>442</v>
      </c>
      <c r="I2635" s="264" t="s">
        <v>33</v>
      </c>
      <c r="J2635" s="263">
        <v>20004.66</v>
      </c>
      <c r="K2635" s="264"/>
      <c r="L2635" s="263">
        <v>21.58</v>
      </c>
      <c r="M2635" s="263">
        <v>21.58</v>
      </c>
      <c r="N2635" s="265">
        <v>9602.24</v>
      </c>
      <c r="O2635" s="266">
        <v>0.25</v>
      </c>
      <c r="P2635" s="266"/>
      <c r="Q2635" s="265">
        <v>4709.84</v>
      </c>
      <c r="R2635" s="261" t="s">
        <v>29</v>
      </c>
      <c r="S2635" s="267" t="s">
        <v>51</v>
      </c>
      <c r="T2635" s="267">
        <v>52</v>
      </c>
      <c r="U2635" s="268" t="s">
        <v>164</v>
      </c>
      <c r="V2635" s="427"/>
      <c r="X2635" s="265">
        <v>4709.84</v>
      </c>
      <c r="Y2635" s="265"/>
      <c r="AG2635" s="261">
        <f>X2635</f>
        <v>4709.84</v>
      </c>
      <c r="AJ2635" s="642"/>
    </row>
    <row r="2636" spans="1:77" s="291" customFormat="1" ht="11.25" customHeight="1">
      <c r="A2636" s="291" t="s">
        <v>3893</v>
      </c>
      <c r="B2636" s="310" t="s">
        <v>291</v>
      </c>
      <c r="C2636" s="292"/>
      <c r="D2636" s="292"/>
      <c r="E2636" s="293" t="s">
        <v>2017</v>
      </c>
      <c r="F2636" s="291" t="s">
        <v>2018</v>
      </c>
      <c r="G2636" s="294">
        <v>3717</v>
      </c>
      <c r="H2636" s="291" t="s">
        <v>765</v>
      </c>
      <c r="I2636" s="295" t="s">
        <v>33</v>
      </c>
      <c r="J2636" s="296">
        <v>8959.5</v>
      </c>
      <c r="K2636" s="295"/>
      <c r="L2636" s="296">
        <v>10.86</v>
      </c>
      <c r="M2636" s="296">
        <v>10.86</v>
      </c>
      <c r="N2636" s="297">
        <f>538.56+178.2</f>
        <v>716.76</v>
      </c>
      <c r="O2636" s="298">
        <v>0.25</v>
      </c>
      <c r="P2636" s="298"/>
      <c r="Q2636" s="297">
        <v>0</v>
      </c>
      <c r="R2636" s="291" t="s">
        <v>29</v>
      </c>
      <c r="S2636" s="299" t="s">
        <v>51</v>
      </c>
      <c r="T2636" s="299">
        <v>52</v>
      </c>
      <c r="U2636" s="300" t="s">
        <v>164</v>
      </c>
      <c r="V2636" s="333"/>
      <c r="X2636" s="297">
        <v>0</v>
      </c>
      <c r="Y2636" s="297"/>
      <c r="AH2636" s="291">
        <f>X2636</f>
        <v>0</v>
      </c>
      <c r="AI2636" s="311"/>
      <c r="AJ2636" s="468"/>
    </row>
    <row r="2637" spans="1:77" s="261" customFormat="1" ht="11.25" customHeight="1">
      <c r="B2637" s="258" t="s">
        <v>291</v>
      </c>
      <c r="C2637" s="259"/>
      <c r="D2637" s="259"/>
      <c r="E2637" s="260" t="s">
        <v>2017</v>
      </c>
      <c r="F2637" s="261" t="s">
        <v>2018</v>
      </c>
      <c r="G2637" s="262">
        <v>3717</v>
      </c>
      <c r="H2637" s="261" t="s">
        <v>310</v>
      </c>
      <c r="I2637" s="264" t="s">
        <v>33</v>
      </c>
      <c r="J2637" s="263">
        <v>4668.6400000000003</v>
      </c>
      <c r="K2637" s="264"/>
      <c r="L2637" s="263">
        <v>8.0299999999999994</v>
      </c>
      <c r="M2637" s="263">
        <v>8.0299999999999994</v>
      </c>
      <c r="N2637" s="265">
        <v>1447.28</v>
      </c>
      <c r="O2637" s="266">
        <v>0.25</v>
      </c>
      <c r="P2637" s="266"/>
      <c r="Q2637" s="265">
        <v>292.69</v>
      </c>
      <c r="R2637" s="261" t="s">
        <v>29</v>
      </c>
      <c r="S2637" s="267" t="s">
        <v>51</v>
      </c>
      <c r="T2637" s="267">
        <v>52</v>
      </c>
      <c r="U2637" s="268" t="s">
        <v>164</v>
      </c>
      <c r="V2637" s="427"/>
      <c r="X2637" s="265">
        <v>292.69</v>
      </c>
      <c r="Y2637" s="265"/>
      <c r="AG2637" s="261">
        <f>X2637</f>
        <v>292.69</v>
      </c>
      <c r="AJ2637" s="642"/>
    </row>
    <row r="2638" spans="1:77" s="337" customFormat="1" ht="11.25" customHeight="1">
      <c r="A2638" s="379"/>
      <c r="B2638" s="380" t="s">
        <v>291</v>
      </c>
      <c r="C2638" s="381"/>
      <c r="D2638" s="381"/>
      <c r="E2638" s="382" t="s">
        <v>2019</v>
      </c>
      <c r="F2638" s="379" t="s">
        <v>79</v>
      </c>
      <c r="G2638" s="383">
        <v>3586</v>
      </c>
      <c r="H2638" s="379" t="s">
        <v>27</v>
      </c>
      <c r="I2638" s="384" t="s">
        <v>888</v>
      </c>
      <c r="J2638" s="385">
        <v>227800.17</v>
      </c>
      <c r="K2638" s="384"/>
      <c r="L2638" s="385">
        <v>149.77000000000001</v>
      </c>
      <c r="M2638" s="385">
        <v>149.77000000000001</v>
      </c>
      <c r="N2638" s="386"/>
      <c r="O2638" s="387">
        <v>0.2</v>
      </c>
      <c r="P2638" s="387"/>
      <c r="Q2638" s="386">
        <v>67751.42</v>
      </c>
      <c r="R2638" s="379" t="s">
        <v>77</v>
      </c>
      <c r="S2638" s="388" t="s">
        <v>41</v>
      </c>
      <c r="T2638" s="388">
        <v>16</v>
      </c>
      <c r="U2638" s="389" t="s">
        <v>164</v>
      </c>
      <c r="V2638" s="433"/>
      <c r="W2638" s="379"/>
      <c r="X2638" s="386">
        <v>67751.42</v>
      </c>
      <c r="Y2638" s="386"/>
      <c r="Z2638" s="379"/>
      <c r="AA2638" s="379"/>
      <c r="AB2638" s="379"/>
      <c r="AC2638" s="379"/>
      <c r="AD2638" s="379"/>
      <c r="AE2638" s="379"/>
      <c r="AF2638" s="379"/>
      <c r="AG2638" s="379"/>
      <c r="AH2638" s="379"/>
      <c r="AI2638" s="379"/>
      <c r="AJ2638" s="416">
        <v>67751.42</v>
      </c>
      <c r="AK2638" s="379"/>
      <c r="AL2638" s="379"/>
      <c r="AM2638" s="379"/>
      <c r="AN2638" s="379"/>
      <c r="AO2638" s="379"/>
      <c r="AP2638" s="379"/>
      <c r="AQ2638" s="379"/>
      <c r="AR2638" s="379"/>
      <c r="AS2638" s="379"/>
      <c r="AT2638" s="379"/>
      <c r="AU2638" s="379"/>
      <c r="AV2638" s="379"/>
      <c r="AW2638" s="379"/>
      <c r="AX2638" s="379"/>
      <c r="AY2638" s="379"/>
      <c r="AZ2638" s="379"/>
      <c r="BA2638" s="379"/>
      <c r="BB2638" s="379"/>
      <c r="BC2638" s="379"/>
      <c r="BD2638" s="379"/>
      <c r="BE2638" s="379"/>
      <c r="BF2638" s="379"/>
      <c r="BG2638" s="379"/>
      <c r="BH2638" s="379"/>
      <c r="BI2638" s="379"/>
      <c r="BJ2638" s="379"/>
      <c r="BK2638" s="379"/>
      <c r="BL2638" s="379"/>
      <c r="BM2638" s="379"/>
      <c r="BN2638" s="379"/>
      <c r="BO2638" s="379"/>
      <c r="BP2638" s="379"/>
      <c r="BQ2638" s="379"/>
      <c r="BR2638" s="379"/>
      <c r="BS2638" s="379"/>
      <c r="BT2638" s="379"/>
      <c r="BU2638" s="379"/>
      <c r="BV2638" s="379"/>
      <c r="BW2638" s="379"/>
      <c r="BX2638" s="379"/>
      <c r="BY2638" s="379"/>
    </row>
    <row r="2639" spans="1:77" s="647" customFormat="1" ht="11.25" customHeight="1">
      <c r="B2639" s="661" t="s">
        <v>291</v>
      </c>
      <c r="C2639" s="648">
        <v>44727</v>
      </c>
      <c r="D2639" s="648">
        <v>44727</v>
      </c>
      <c r="E2639" s="649" t="s">
        <v>2019</v>
      </c>
      <c r="F2639" s="647" t="s">
        <v>79</v>
      </c>
      <c r="G2639" s="650">
        <v>3586</v>
      </c>
      <c r="H2639" s="647" t="s">
        <v>99</v>
      </c>
      <c r="I2639" s="676" t="s">
        <v>888</v>
      </c>
      <c r="J2639" s="651">
        <v>96643.199999999997</v>
      </c>
      <c r="K2639" s="676"/>
      <c r="L2639" s="651">
        <v>100.67</v>
      </c>
      <c r="M2639" s="651">
        <v>100.67</v>
      </c>
      <c r="N2639" s="652"/>
      <c r="O2639" s="653">
        <v>0.2</v>
      </c>
      <c r="P2639" s="653"/>
      <c r="Q2639" s="652">
        <v>0</v>
      </c>
      <c r="R2639" s="647" t="s">
        <v>77</v>
      </c>
      <c r="S2639" s="654" t="s">
        <v>41</v>
      </c>
      <c r="T2639" s="654">
        <v>16</v>
      </c>
      <c r="U2639" s="655" t="s">
        <v>164</v>
      </c>
      <c r="V2639" s="656"/>
      <c r="X2639" s="652">
        <v>0</v>
      </c>
      <c r="Y2639" s="652"/>
      <c r="AI2639" s="647">
        <v>0</v>
      </c>
      <c r="AJ2639" s="657"/>
      <c r="AK2639" s="658"/>
    </row>
    <row r="2640" spans="1:77" s="647" customFormat="1" ht="11.25" customHeight="1">
      <c r="B2640" s="661" t="s">
        <v>291</v>
      </c>
      <c r="C2640" s="648"/>
      <c r="D2640" s="648"/>
      <c r="E2640" s="649" t="s">
        <v>2019</v>
      </c>
      <c r="F2640" s="647" t="s">
        <v>79</v>
      </c>
      <c r="G2640" s="650">
        <v>3586</v>
      </c>
      <c r="H2640" s="647" t="s">
        <v>183</v>
      </c>
      <c r="I2640" s="676" t="s">
        <v>888</v>
      </c>
      <c r="J2640" s="651">
        <v>33405.9</v>
      </c>
      <c r="K2640" s="676"/>
      <c r="L2640" s="651">
        <v>42.02</v>
      </c>
      <c r="M2640" s="651">
        <v>42.02</v>
      </c>
      <c r="N2640" s="652"/>
      <c r="O2640" s="653">
        <v>0.2</v>
      </c>
      <c r="P2640" s="653"/>
      <c r="Q2640" s="652">
        <v>0</v>
      </c>
      <c r="R2640" s="647" t="s">
        <v>77</v>
      </c>
      <c r="S2640" s="654" t="s">
        <v>41</v>
      </c>
      <c r="T2640" s="654">
        <v>16</v>
      </c>
      <c r="U2640" s="655" t="s">
        <v>164</v>
      </c>
      <c r="V2640" s="656"/>
      <c r="X2640" s="652">
        <v>0</v>
      </c>
      <c r="Y2640" s="652"/>
      <c r="AI2640" s="647">
        <v>0</v>
      </c>
      <c r="AJ2640" s="657"/>
      <c r="AK2640" s="658"/>
    </row>
    <row r="2641" spans="2:36" s="261" customFormat="1" ht="11.25" customHeight="1">
      <c r="B2641" s="258" t="s">
        <v>291</v>
      </c>
      <c r="C2641" s="259">
        <v>44727</v>
      </c>
      <c r="D2641" s="259">
        <v>44727</v>
      </c>
      <c r="E2641" s="260" t="s">
        <v>2020</v>
      </c>
      <c r="F2641" s="261" t="s">
        <v>2021</v>
      </c>
      <c r="G2641" s="262">
        <v>4037</v>
      </c>
      <c r="H2641" s="261" t="s">
        <v>140</v>
      </c>
      <c r="I2641" s="264" t="s">
        <v>1296</v>
      </c>
      <c r="J2641" s="263">
        <v>20973.55</v>
      </c>
      <c r="K2641" s="264"/>
      <c r="L2641" s="263">
        <v>15.81</v>
      </c>
      <c r="M2641" s="263">
        <v>15.81</v>
      </c>
      <c r="N2641" s="265"/>
      <c r="O2641" s="266">
        <v>0.25</v>
      </c>
      <c r="P2641" s="266"/>
      <c r="Q2641" s="265">
        <v>0</v>
      </c>
      <c r="R2641" s="261" t="s">
        <v>42</v>
      </c>
      <c r="S2641" s="267" t="s">
        <v>41</v>
      </c>
      <c r="T2641" s="267">
        <v>17</v>
      </c>
      <c r="U2641" s="268" t="s">
        <v>164</v>
      </c>
      <c r="V2641" s="427"/>
      <c r="W2641" s="261" t="s">
        <v>3728</v>
      </c>
      <c r="X2641" s="265">
        <v>0</v>
      </c>
      <c r="Y2641" s="265"/>
      <c r="AG2641" s="261">
        <f>X2641</f>
        <v>0</v>
      </c>
      <c r="AJ2641" s="642"/>
    </row>
    <row r="2642" spans="2:36" s="261" customFormat="1" ht="11.25" customHeight="1">
      <c r="B2642" s="258" t="s">
        <v>291</v>
      </c>
      <c r="C2642" s="259"/>
      <c r="D2642" s="259"/>
      <c r="E2642" s="260" t="s">
        <v>2020</v>
      </c>
      <c r="F2642" s="261" t="s">
        <v>2021</v>
      </c>
      <c r="G2642" s="262">
        <v>4037</v>
      </c>
      <c r="H2642" s="261" t="s">
        <v>99</v>
      </c>
      <c r="I2642" s="264" t="s">
        <v>1296</v>
      </c>
      <c r="J2642" s="263">
        <v>37452.800000000003</v>
      </c>
      <c r="K2642" s="264"/>
      <c r="L2642" s="263">
        <v>29.26</v>
      </c>
      <c r="M2642" s="263">
        <v>29.26</v>
      </c>
      <c r="N2642" s="265"/>
      <c r="O2642" s="266">
        <v>0.25</v>
      </c>
      <c r="P2642" s="266"/>
      <c r="Q2642" s="265">
        <v>0</v>
      </c>
      <c r="R2642" s="261" t="s">
        <v>42</v>
      </c>
      <c r="S2642" s="267" t="s">
        <v>41</v>
      </c>
      <c r="T2642" s="267">
        <v>17</v>
      </c>
      <c r="U2642" s="268" t="s">
        <v>164</v>
      </c>
      <c r="V2642" s="427"/>
      <c r="X2642" s="265">
        <v>0</v>
      </c>
      <c r="Y2642" s="265"/>
      <c r="AG2642" s="261">
        <f>X2642</f>
        <v>0</v>
      </c>
      <c r="AJ2642" s="642"/>
    </row>
    <row r="2643" spans="2:36" s="261" customFormat="1" ht="11.25" customHeight="1">
      <c r="B2643" s="258" t="s">
        <v>291</v>
      </c>
      <c r="C2643" s="259"/>
      <c r="D2643" s="259"/>
      <c r="E2643" s="260" t="s">
        <v>2020</v>
      </c>
      <c r="F2643" s="261" t="s">
        <v>2021</v>
      </c>
      <c r="G2643" s="262">
        <v>4037</v>
      </c>
      <c r="H2643" s="261" t="s">
        <v>27</v>
      </c>
      <c r="I2643" s="264" t="s">
        <v>1296</v>
      </c>
      <c r="J2643" s="263">
        <v>31720.5</v>
      </c>
      <c r="K2643" s="264"/>
      <c r="L2643" s="263">
        <v>23.85</v>
      </c>
      <c r="M2643" s="263">
        <v>23.85</v>
      </c>
      <c r="N2643" s="265"/>
      <c r="O2643" s="266">
        <v>0.25</v>
      </c>
      <c r="P2643" s="266"/>
      <c r="Q2643" s="265">
        <v>0</v>
      </c>
      <c r="R2643" s="261" t="s">
        <v>42</v>
      </c>
      <c r="S2643" s="267" t="s">
        <v>41</v>
      </c>
      <c r="T2643" s="267">
        <v>17</v>
      </c>
      <c r="U2643" s="268" t="s">
        <v>164</v>
      </c>
      <c r="V2643" s="427"/>
      <c r="W2643" s="261" t="s">
        <v>3728</v>
      </c>
      <c r="X2643" s="265">
        <v>0</v>
      </c>
      <c r="Y2643" s="265"/>
      <c r="AG2643" s="261">
        <f>X2643</f>
        <v>0</v>
      </c>
      <c r="AJ2643" s="642"/>
    </row>
    <row r="2644" spans="2:36" s="379" customFormat="1" ht="11.25" customHeight="1">
      <c r="B2644" s="380" t="s">
        <v>291</v>
      </c>
      <c r="C2644" s="381">
        <v>44725</v>
      </c>
      <c r="D2644" s="381">
        <v>44727</v>
      </c>
      <c r="E2644" s="382" t="s">
        <v>2022</v>
      </c>
      <c r="F2644" s="379" t="s">
        <v>2023</v>
      </c>
      <c r="G2644" s="383">
        <v>4434</v>
      </c>
      <c r="H2644" s="379" t="s">
        <v>137</v>
      </c>
      <c r="I2644" s="384" t="s">
        <v>33</v>
      </c>
      <c r="J2644" s="385">
        <v>7038.61</v>
      </c>
      <c r="K2644" s="384"/>
      <c r="L2644" s="385">
        <v>8.68</v>
      </c>
      <c r="M2644" s="385">
        <v>8.68</v>
      </c>
      <c r="N2644" s="386"/>
      <c r="O2644" s="387">
        <v>0.3</v>
      </c>
      <c r="P2644" s="387"/>
      <c r="Q2644" s="386">
        <v>776.17</v>
      </c>
      <c r="R2644" s="379" t="s">
        <v>128</v>
      </c>
      <c r="S2644" s="388" t="s">
        <v>41</v>
      </c>
      <c r="T2644" s="388">
        <v>79</v>
      </c>
      <c r="U2644" s="389" t="s">
        <v>164</v>
      </c>
      <c r="V2644" s="433"/>
      <c r="X2644" s="386">
        <v>776.17</v>
      </c>
      <c r="Y2644" s="386"/>
      <c r="AJ2644" s="416">
        <v>776.17</v>
      </c>
    </row>
    <row r="2645" spans="2:36" s="379" customFormat="1" ht="11.25" customHeight="1">
      <c r="B2645" s="380" t="s">
        <v>291</v>
      </c>
      <c r="C2645" s="381"/>
      <c r="D2645" s="381"/>
      <c r="E2645" s="382" t="s">
        <v>2022</v>
      </c>
      <c r="F2645" s="379" t="s">
        <v>2023</v>
      </c>
      <c r="G2645" s="383">
        <v>4434</v>
      </c>
      <c r="H2645" s="379" t="s">
        <v>99</v>
      </c>
      <c r="I2645" s="384" t="s">
        <v>33</v>
      </c>
      <c r="J2645" s="385">
        <v>44429.04</v>
      </c>
      <c r="K2645" s="384"/>
      <c r="L2645" s="385">
        <v>46.05</v>
      </c>
      <c r="M2645" s="385">
        <v>46.05</v>
      </c>
      <c r="N2645" s="386"/>
      <c r="O2645" s="387">
        <v>0.3</v>
      </c>
      <c r="P2645" s="387"/>
      <c r="Q2645" s="386">
        <v>0</v>
      </c>
      <c r="R2645" s="379" t="s">
        <v>128</v>
      </c>
      <c r="S2645" s="388" t="s">
        <v>41</v>
      </c>
      <c r="T2645" s="388">
        <v>79</v>
      </c>
      <c r="U2645" s="389" t="s">
        <v>164</v>
      </c>
      <c r="V2645" s="433"/>
      <c r="X2645" s="386">
        <v>0</v>
      </c>
      <c r="Y2645" s="386"/>
      <c r="AJ2645" s="416">
        <v>0</v>
      </c>
    </row>
    <row r="2646" spans="2:36" s="379" customFormat="1" ht="11.25" customHeight="1">
      <c r="B2646" s="380" t="s">
        <v>291</v>
      </c>
      <c r="C2646" s="381"/>
      <c r="D2646" s="381"/>
      <c r="E2646" s="382" t="s">
        <v>2022</v>
      </c>
      <c r="F2646" s="379" t="s">
        <v>2023</v>
      </c>
      <c r="G2646" s="383">
        <v>4434</v>
      </c>
      <c r="H2646" s="379" t="s">
        <v>550</v>
      </c>
      <c r="I2646" s="384" t="s">
        <v>33</v>
      </c>
      <c r="J2646" s="385">
        <v>3241.2</v>
      </c>
      <c r="K2646" s="384"/>
      <c r="L2646" s="385">
        <v>7.3</v>
      </c>
      <c r="M2646" s="385">
        <v>7.3</v>
      </c>
      <c r="N2646" s="386"/>
      <c r="O2646" s="387">
        <v>0.3</v>
      </c>
      <c r="P2646" s="387"/>
      <c r="Q2646" s="386">
        <v>1334.44</v>
      </c>
      <c r="R2646" s="379" t="s">
        <v>128</v>
      </c>
      <c r="S2646" s="388" t="s">
        <v>41</v>
      </c>
      <c r="T2646" s="388">
        <v>79</v>
      </c>
      <c r="U2646" s="389" t="s">
        <v>164</v>
      </c>
      <c r="V2646" s="433"/>
      <c r="X2646" s="386">
        <v>1334.44</v>
      </c>
      <c r="Y2646" s="386"/>
      <c r="AJ2646" s="416">
        <v>1334.44</v>
      </c>
    </row>
    <row r="2647" spans="2:36" s="379" customFormat="1" ht="11.25" customHeight="1">
      <c r="B2647" s="380" t="s">
        <v>291</v>
      </c>
      <c r="C2647" s="381"/>
      <c r="D2647" s="381"/>
      <c r="E2647" s="382" t="s">
        <v>2022</v>
      </c>
      <c r="F2647" s="379" t="s">
        <v>2023</v>
      </c>
      <c r="G2647" s="383">
        <v>4434</v>
      </c>
      <c r="H2647" s="379" t="s">
        <v>27</v>
      </c>
      <c r="I2647" s="384" t="s">
        <v>33</v>
      </c>
      <c r="J2647" s="385">
        <v>6180.93</v>
      </c>
      <c r="K2647" s="384"/>
      <c r="L2647" s="385">
        <v>5.98</v>
      </c>
      <c r="M2647" s="385">
        <v>5.98</v>
      </c>
      <c r="N2647" s="386"/>
      <c r="O2647" s="387">
        <v>0.3</v>
      </c>
      <c r="P2647" s="387"/>
      <c r="Q2647" s="386">
        <v>465.6</v>
      </c>
      <c r="R2647" s="379" t="s">
        <v>128</v>
      </c>
      <c r="S2647" s="388" t="s">
        <v>41</v>
      </c>
      <c r="T2647" s="388">
        <v>79</v>
      </c>
      <c r="U2647" s="389" t="s">
        <v>164</v>
      </c>
      <c r="V2647" s="433"/>
      <c r="X2647" s="386">
        <v>465.6</v>
      </c>
      <c r="Y2647" s="386"/>
      <c r="AJ2647" s="416">
        <v>465.6</v>
      </c>
    </row>
    <row r="2648" spans="2:36" s="379" customFormat="1" ht="11.25" customHeight="1">
      <c r="B2648" s="380" t="s">
        <v>291</v>
      </c>
      <c r="C2648" s="381"/>
      <c r="D2648" s="381"/>
      <c r="E2648" s="382" t="s">
        <v>2022</v>
      </c>
      <c r="F2648" s="379" t="s">
        <v>2023</v>
      </c>
      <c r="G2648" s="383">
        <v>4434</v>
      </c>
      <c r="H2648" s="379" t="s">
        <v>866</v>
      </c>
      <c r="I2648" s="384" t="s">
        <v>33</v>
      </c>
      <c r="J2648" s="385">
        <v>10580.01</v>
      </c>
      <c r="K2648" s="384"/>
      <c r="L2648" s="385">
        <v>11.62</v>
      </c>
      <c r="M2648" s="385">
        <v>11.62</v>
      </c>
      <c r="N2648" s="386"/>
      <c r="O2648" s="387">
        <v>0.3</v>
      </c>
      <c r="P2648" s="387"/>
      <c r="Q2648" s="386">
        <v>2292.0500000000002</v>
      </c>
      <c r="R2648" s="379" t="s">
        <v>128</v>
      </c>
      <c r="S2648" s="388" t="s">
        <v>41</v>
      </c>
      <c r="T2648" s="388">
        <v>79</v>
      </c>
      <c r="U2648" s="389" t="s">
        <v>164</v>
      </c>
      <c r="V2648" s="433"/>
      <c r="X2648" s="386">
        <v>2292.0500000000002</v>
      </c>
      <c r="Y2648" s="386"/>
      <c r="AJ2648" s="416">
        <v>2292.0500000000002</v>
      </c>
    </row>
    <row r="2649" spans="2:36" s="379" customFormat="1" ht="11.25" customHeight="1">
      <c r="B2649" s="380" t="s">
        <v>291</v>
      </c>
      <c r="C2649" s="381"/>
      <c r="D2649" s="381"/>
      <c r="E2649" s="382" t="s">
        <v>2022</v>
      </c>
      <c r="F2649" s="379" t="s">
        <v>2023</v>
      </c>
      <c r="G2649" s="383">
        <v>4434</v>
      </c>
      <c r="H2649" s="379" t="s">
        <v>765</v>
      </c>
      <c r="I2649" s="384" t="s">
        <v>33</v>
      </c>
      <c r="J2649" s="385">
        <v>12579.08</v>
      </c>
      <c r="K2649" s="384"/>
      <c r="L2649" s="385">
        <v>23.77</v>
      </c>
      <c r="M2649" s="385">
        <v>23.77</v>
      </c>
      <c r="N2649" s="386"/>
      <c r="O2649" s="387">
        <v>0.3</v>
      </c>
      <c r="P2649" s="387"/>
      <c r="Q2649" s="386">
        <v>171.14</v>
      </c>
      <c r="R2649" s="379" t="s">
        <v>128</v>
      </c>
      <c r="S2649" s="388" t="s">
        <v>41</v>
      </c>
      <c r="T2649" s="388">
        <v>79</v>
      </c>
      <c r="U2649" s="389" t="s">
        <v>164</v>
      </c>
      <c r="V2649" s="433"/>
      <c r="X2649" s="386">
        <v>171.14</v>
      </c>
      <c r="Y2649" s="386"/>
      <c r="AJ2649" s="416">
        <v>171.14</v>
      </c>
    </row>
    <row r="2650" spans="2:36" s="379" customFormat="1" ht="11.25" customHeight="1">
      <c r="B2650" s="380" t="s">
        <v>291</v>
      </c>
      <c r="C2650" s="381"/>
      <c r="D2650" s="381"/>
      <c r="E2650" s="382" t="s">
        <v>2022</v>
      </c>
      <c r="F2650" s="379" t="s">
        <v>2023</v>
      </c>
      <c r="G2650" s="383">
        <v>4434</v>
      </c>
      <c r="H2650" s="379" t="s">
        <v>310</v>
      </c>
      <c r="I2650" s="384" t="s">
        <v>33</v>
      </c>
      <c r="J2650" s="385">
        <v>3901.08</v>
      </c>
      <c r="K2650" s="384"/>
      <c r="L2650" s="385">
        <v>6.96</v>
      </c>
      <c r="M2650" s="385">
        <v>6.96</v>
      </c>
      <c r="N2650" s="386"/>
      <c r="O2650" s="387">
        <v>0.3</v>
      </c>
      <c r="P2650" s="387"/>
      <c r="Q2650" s="386">
        <v>1165.03</v>
      </c>
      <c r="R2650" s="379" t="s">
        <v>128</v>
      </c>
      <c r="S2650" s="388" t="s">
        <v>41</v>
      </c>
      <c r="T2650" s="388">
        <v>79</v>
      </c>
      <c r="U2650" s="389" t="s">
        <v>164</v>
      </c>
      <c r="V2650" s="433"/>
      <c r="X2650" s="386">
        <v>1165.03</v>
      </c>
      <c r="Y2650" s="386"/>
      <c r="AJ2650" s="416">
        <v>1165.03</v>
      </c>
    </row>
    <row r="2651" spans="2:36" s="205" customFormat="1" ht="11.25" customHeight="1">
      <c r="B2651" s="205" t="s">
        <v>291</v>
      </c>
      <c r="C2651" s="207">
        <v>44728</v>
      </c>
      <c r="D2651" s="207">
        <v>44728</v>
      </c>
      <c r="E2651" s="208" t="s">
        <v>2024</v>
      </c>
      <c r="F2651" s="205" t="s">
        <v>1239</v>
      </c>
      <c r="G2651" s="209">
        <v>3941</v>
      </c>
      <c r="H2651" s="205" t="s">
        <v>99</v>
      </c>
      <c r="I2651" s="219" t="s">
        <v>33</v>
      </c>
      <c r="J2651" s="210">
        <v>2892.56</v>
      </c>
      <c r="K2651" s="219"/>
      <c r="L2651" s="210">
        <v>4</v>
      </c>
      <c r="M2651" s="210">
        <v>4</v>
      </c>
      <c r="N2651" s="213"/>
      <c r="O2651" s="212">
        <v>0.25</v>
      </c>
      <c r="P2651" s="212"/>
      <c r="Q2651" s="213">
        <v>0</v>
      </c>
      <c r="R2651" s="218" t="s">
        <v>112</v>
      </c>
      <c r="S2651" s="221" t="s">
        <v>113</v>
      </c>
      <c r="T2651" s="221">
        <v>64</v>
      </c>
      <c r="U2651" s="215" t="s">
        <v>164</v>
      </c>
      <c r="V2651" s="438"/>
      <c r="X2651" s="213">
        <v>0</v>
      </c>
      <c r="Y2651" s="213"/>
      <c r="AF2651" s="230">
        <f>X2651</f>
        <v>0</v>
      </c>
      <c r="AJ2651" s="216"/>
    </row>
    <row r="2652" spans="2:36" s="181" customFormat="1" ht="11.25" customHeight="1">
      <c r="B2652" s="181" t="s">
        <v>291</v>
      </c>
      <c r="C2652" s="179"/>
      <c r="D2652" s="179"/>
      <c r="E2652" s="180" t="s">
        <v>2024</v>
      </c>
      <c r="F2652" s="181" t="s">
        <v>1239</v>
      </c>
      <c r="G2652" s="182">
        <v>3941</v>
      </c>
      <c r="H2652" s="181" t="s">
        <v>183</v>
      </c>
      <c r="I2652" s="190" t="s">
        <v>33</v>
      </c>
      <c r="J2652" s="183">
        <v>1019.54</v>
      </c>
      <c r="K2652" s="190"/>
      <c r="L2652" s="183">
        <v>1.5</v>
      </c>
      <c r="M2652" s="183">
        <v>1.5</v>
      </c>
      <c r="N2652" s="185"/>
      <c r="O2652" s="186">
        <v>0.25</v>
      </c>
      <c r="P2652" s="186"/>
      <c r="Q2652" s="185">
        <v>0</v>
      </c>
      <c r="R2652" s="184" t="s">
        <v>112</v>
      </c>
      <c r="S2652" s="199" t="s">
        <v>113</v>
      </c>
      <c r="T2652" s="199">
        <v>64</v>
      </c>
      <c r="U2652" s="188" t="s">
        <v>164</v>
      </c>
      <c r="V2652" s="441"/>
      <c r="X2652" s="185">
        <v>0</v>
      </c>
      <c r="Y2652" s="185"/>
      <c r="AE2652" s="204">
        <f>X2652</f>
        <v>0</v>
      </c>
      <c r="AJ2652" s="189"/>
    </row>
    <row r="2653" spans="2:36" s="205" customFormat="1" ht="11.25" customHeight="1">
      <c r="B2653" s="205" t="s">
        <v>291</v>
      </c>
      <c r="C2653" s="207">
        <v>44728</v>
      </c>
      <c r="D2653" s="207">
        <v>44728</v>
      </c>
      <c r="E2653" s="208" t="s">
        <v>2025</v>
      </c>
      <c r="F2653" s="205" t="s">
        <v>2026</v>
      </c>
      <c r="G2653" s="209">
        <v>4506</v>
      </c>
      <c r="H2653" s="205" t="s">
        <v>336</v>
      </c>
      <c r="I2653" s="219" t="s">
        <v>33</v>
      </c>
      <c r="J2653" s="210">
        <v>20426.900000000001</v>
      </c>
      <c r="K2653" s="219"/>
      <c r="L2653" s="210">
        <v>16.54</v>
      </c>
      <c r="M2653" s="210">
        <v>16</v>
      </c>
      <c r="N2653" s="213">
        <v>2694.2759999999998</v>
      </c>
      <c r="O2653" s="212">
        <v>0.2</v>
      </c>
      <c r="P2653" s="212"/>
      <c r="Q2653" s="213">
        <v>0</v>
      </c>
      <c r="R2653" s="205" t="s">
        <v>251</v>
      </c>
      <c r="S2653" s="214" t="s">
        <v>74</v>
      </c>
      <c r="T2653" s="214">
        <v>32</v>
      </c>
      <c r="U2653" s="215" t="s">
        <v>164</v>
      </c>
      <c r="V2653" s="438"/>
      <c r="X2653" s="213">
        <v>0</v>
      </c>
      <c r="Y2653" s="213"/>
      <c r="AF2653" s="230">
        <f>X2653</f>
        <v>0</v>
      </c>
      <c r="AJ2653" s="216"/>
    </row>
    <row r="2654" spans="2:36" s="205" customFormat="1" ht="11.25" customHeight="1">
      <c r="B2654" s="205" t="s">
        <v>291</v>
      </c>
      <c r="C2654" s="207">
        <v>44728</v>
      </c>
      <c r="D2654" s="207">
        <v>44728</v>
      </c>
      <c r="E2654" s="208" t="s">
        <v>2027</v>
      </c>
      <c r="F2654" s="205" t="s">
        <v>2028</v>
      </c>
      <c r="G2654" s="209" t="s">
        <v>2029</v>
      </c>
      <c r="H2654" s="205" t="s">
        <v>99</v>
      </c>
      <c r="I2654" s="219" t="s">
        <v>1296</v>
      </c>
      <c r="J2654" s="210">
        <v>68986.5</v>
      </c>
      <c r="K2654" s="219"/>
      <c r="L2654" s="210">
        <v>41.81</v>
      </c>
      <c r="M2654" s="210">
        <v>41.81</v>
      </c>
      <c r="N2654" s="213"/>
      <c r="O2654" s="212">
        <v>0.2</v>
      </c>
      <c r="P2654" s="212"/>
      <c r="Q2654" s="213">
        <v>0</v>
      </c>
      <c r="R2654" s="205" t="s">
        <v>29</v>
      </c>
      <c r="S2654" s="214" t="s">
        <v>275</v>
      </c>
      <c r="T2654" s="214">
        <v>21</v>
      </c>
      <c r="U2654" s="215" t="s">
        <v>164</v>
      </c>
      <c r="V2654" s="438"/>
      <c r="W2654" s="205" t="s">
        <v>2741</v>
      </c>
      <c r="X2654" s="213">
        <v>0</v>
      </c>
      <c r="Y2654" s="213"/>
      <c r="AF2654" s="230">
        <f>X2654</f>
        <v>0</v>
      </c>
      <c r="AJ2654" s="216"/>
    </row>
    <row r="2655" spans="2:36" s="205" customFormat="1" ht="11.25" customHeight="1">
      <c r="B2655" s="205" t="s">
        <v>291</v>
      </c>
      <c r="C2655" s="207"/>
      <c r="D2655" s="207"/>
      <c r="E2655" s="208" t="s">
        <v>2027</v>
      </c>
      <c r="F2655" s="205" t="s">
        <v>2028</v>
      </c>
      <c r="G2655" s="209" t="s">
        <v>2029</v>
      </c>
      <c r="H2655" s="205" t="s">
        <v>183</v>
      </c>
      <c r="I2655" s="219" t="s">
        <v>1296</v>
      </c>
      <c r="J2655" s="210">
        <v>70170.5</v>
      </c>
      <c r="K2655" s="219"/>
      <c r="L2655" s="210">
        <v>37.840000000000003</v>
      </c>
      <c r="M2655" s="210">
        <v>37.840000000000003</v>
      </c>
      <c r="N2655" s="213"/>
      <c r="O2655" s="212">
        <v>0.2</v>
      </c>
      <c r="P2655" s="212"/>
      <c r="Q2655" s="213">
        <v>0</v>
      </c>
      <c r="R2655" s="205" t="s">
        <v>29</v>
      </c>
      <c r="S2655" s="214" t="s">
        <v>275</v>
      </c>
      <c r="T2655" s="214">
        <v>21</v>
      </c>
      <c r="U2655" s="215" t="s">
        <v>164</v>
      </c>
      <c r="V2655" s="438"/>
      <c r="W2655" s="205" t="s">
        <v>2741</v>
      </c>
      <c r="X2655" s="213">
        <v>0</v>
      </c>
      <c r="Y2655" s="213"/>
      <c r="AF2655" s="230">
        <f>X2655</f>
        <v>0</v>
      </c>
      <c r="AJ2655" s="216"/>
    </row>
    <row r="2656" spans="2:36" s="205" customFormat="1" ht="11.25" customHeight="1">
      <c r="B2656" s="205" t="s">
        <v>291</v>
      </c>
      <c r="C2656" s="207"/>
      <c r="D2656" s="207"/>
      <c r="E2656" s="208" t="s">
        <v>2027</v>
      </c>
      <c r="F2656" s="205" t="s">
        <v>2028</v>
      </c>
      <c r="G2656" s="209" t="s">
        <v>2029</v>
      </c>
      <c r="H2656" s="205" t="s">
        <v>137</v>
      </c>
      <c r="I2656" s="219" t="s">
        <v>1296</v>
      </c>
      <c r="J2656" s="210">
        <v>92084.64</v>
      </c>
      <c r="K2656" s="219"/>
      <c r="L2656" s="210">
        <v>48</v>
      </c>
      <c r="M2656" s="210">
        <v>48</v>
      </c>
      <c r="N2656" s="213">
        <f>13380.72+5534.91</f>
        <v>18915.629999999997</v>
      </c>
      <c r="O2656" s="212">
        <v>0.2</v>
      </c>
      <c r="P2656" s="212"/>
      <c r="Q2656" s="213">
        <v>0</v>
      </c>
      <c r="R2656" s="205" t="s">
        <v>29</v>
      </c>
      <c r="S2656" s="214" t="s">
        <v>275</v>
      </c>
      <c r="T2656" s="214">
        <v>21</v>
      </c>
      <c r="U2656" s="215" t="s">
        <v>164</v>
      </c>
      <c r="V2656" s="438"/>
      <c r="W2656" s="205" t="s">
        <v>2741</v>
      </c>
      <c r="X2656" s="213">
        <v>0</v>
      </c>
      <c r="Y2656" s="213"/>
      <c r="AF2656" s="230">
        <f>X2656</f>
        <v>0</v>
      </c>
      <c r="AJ2656" s="216"/>
    </row>
    <row r="2657" spans="1:77" s="181" customFormat="1" ht="11.25" customHeight="1">
      <c r="B2657" s="181" t="s">
        <v>291</v>
      </c>
      <c r="C2657" s="179"/>
      <c r="D2657" s="179"/>
      <c r="E2657" s="180" t="s">
        <v>2027</v>
      </c>
      <c r="F2657" s="181" t="s">
        <v>2028</v>
      </c>
      <c r="G2657" s="182" t="s">
        <v>2029</v>
      </c>
      <c r="H2657" s="181" t="s">
        <v>310</v>
      </c>
      <c r="I2657" s="190" t="s">
        <v>1296</v>
      </c>
      <c r="J2657" s="183">
        <v>11094.56</v>
      </c>
      <c r="K2657" s="190"/>
      <c r="L2657" s="183">
        <v>5.97</v>
      </c>
      <c r="M2657" s="183">
        <v>5.97</v>
      </c>
      <c r="N2657" s="185"/>
      <c r="O2657" s="186">
        <v>0.2</v>
      </c>
      <c r="P2657" s="186"/>
      <c r="Q2657" s="185">
        <v>0</v>
      </c>
      <c r="R2657" s="181" t="s">
        <v>29</v>
      </c>
      <c r="S2657" s="187" t="s">
        <v>275</v>
      </c>
      <c r="T2657" s="187">
        <v>21</v>
      </c>
      <c r="U2657" s="188" t="s">
        <v>164</v>
      </c>
      <c r="V2657" s="441"/>
      <c r="X2657" s="185">
        <v>0</v>
      </c>
      <c r="Y2657" s="185"/>
      <c r="AE2657" s="204">
        <f>X2657</f>
        <v>0</v>
      </c>
      <c r="AJ2657" s="189"/>
    </row>
    <row r="2658" spans="1:77" s="291" customFormat="1" ht="11.25" customHeight="1">
      <c r="B2658" s="291" t="s">
        <v>291</v>
      </c>
      <c r="C2658" s="292">
        <v>44728</v>
      </c>
      <c r="D2658" s="292">
        <v>44728</v>
      </c>
      <c r="E2658" s="293" t="s">
        <v>2030</v>
      </c>
      <c r="F2658" s="291" t="s">
        <v>2031</v>
      </c>
      <c r="G2658" s="294" t="s">
        <v>2032</v>
      </c>
      <c r="H2658" s="291" t="s">
        <v>99</v>
      </c>
      <c r="I2658" s="295" t="s">
        <v>961</v>
      </c>
      <c r="J2658" s="296">
        <v>15948</v>
      </c>
      <c r="K2658" s="295"/>
      <c r="L2658" s="296">
        <v>13.29</v>
      </c>
      <c r="M2658" s="296">
        <v>13.29</v>
      </c>
      <c r="N2658" s="297"/>
      <c r="O2658" s="298">
        <v>0.2</v>
      </c>
      <c r="P2658" s="298"/>
      <c r="Q2658" s="297">
        <v>2001.47</v>
      </c>
      <c r="R2658" s="291" t="s">
        <v>128</v>
      </c>
      <c r="S2658" s="299" t="s">
        <v>41</v>
      </c>
      <c r="T2658" s="299">
        <v>16</v>
      </c>
      <c r="U2658" s="300" t="s">
        <v>164</v>
      </c>
      <c r="V2658" s="333"/>
      <c r="X2658" s="297">
        <v>2001.47</v>
      </c>
      <c r="Y2658" s="297"/>
      <c r="AH2658" s="291">
        <f>X2658</f>
        <v>2001.47</v>
      </c>
      <c r="AI2658" s="311"/>
      <c r="AJ2658" s="468"/>
    </row>
    <row r="2659" spans="1:77" s="291" customFormat="1" ht="11.25" customHeight="1">
      <c r="B2659" s="291" t="s">
        <v>291</v>
      </c>
      <c r="C2659" s="292"/>
      <c r="D2659" s="292"/>
      <c r="E2659" s="293" t="s">
        <v>2030</v>
      </c>
      <c r="F2659" s="291" t="s">
        <v>2031</v>
      </c>
      <c r="G2659" s="294" t="s">
        <v>2032</v>
      </c>
      <c r="H2659" s="291" t="s">
        <v>183</v>
      </c>
      <c r="I2659" s="295" t="s">
        <v>961</v>
      </c>
      <c r="J2659" s="296">
        <v>12568.54</v>
      </c>
      <c r="K2659" s="295"/>
      <c r="L2659" s="296">
        <v>12.18</v>
      </c>
      <c r="M2659" s="296">
        <v>12.18</v>
      </c>
      <c r="N2659" s="297"/>
      <c r="O2659" s="298">
        <v>0.2</v>
      </c>
      <c r="P2659" s="298"/>
      <c r="Q2659" s="297">
        <v>1006.31</v>
      </c>
      <c r="R2659" s="291" t="s">
        <v>128</v>
      </c>
      <c r="S2659" s="299" t="s">
        <v>41</v>
      </c>
      <c r="T2659" s="299">
        <v>16</v>
      </c>
      <c r="U2659" s="300" t="s">
        <v>164</v>
      </c>
      <c r="V2659" s="333"/>
      <c r="X2659" s="297">
        <v>1006.31</v>
      </c>
      <c r="Y2659" s="297"/>
      <c r="AH2659" s="291">
        <f>X2659</f>
        <v>1006.31</v>
      </c>
      <c r="AI2659" s="311"/>
      <c r="AJ2659" s="468"/>
    </row>
    <row r="2660" spans="1:77" s="261" customFormat="1" ht="11.25" customHeight="1">
      <c r="B2660" s="261" t="s">
        <v>291</v>
      </c>
      <c r="C2660" s="259">
        <v>44728</v>
      </c>
      <c r="D2660" s="259">
        <v>44728</v>
      </c>
      <c r="E2660" s="260" t="s">
        <v>2033</v>
      </c>
      <c r="F2660" s="261" t="s">
        <v>2034</v>
      </c>
      <c r="G2660" s="262" t="s">
        <v>2035</v>
      </c>
      <c r="H2660" s="261" t="s">
        <v>99</v>
      </c>
      <c r="I2660" s="264" t="s">
        <v>33</v>
      </c>
      <c r="J2660" s="263">
        <v>10457.950000000001</v>
      </c>
      <c r="K2660" s="264"/>
      <c r="L2660" s="263">
        <v>10.01</v>
      </c>
      <c r="M2660" s="263">
        <v>10.01</v>
      </c>
      <c r="N2660" s="265">
        <v>1335.61</v>
      </c>
      <c r="O2660" s="266">
        <v>0.25</v>
      </c>
      <c r="P2660" s="266"/>
      <c r="Q2660" s="265">
        <v>0</v>
      </c>
      <c r="R2660" s="261" t="s">
        <v>29</v>
      </c>
      <c r="S2660" s="267" t="s">
        <v>51</v>
      </c>
      <c r="T2660" s="267">
        <v>52</v>
      </c>
      <c r="U2660" s="268" t="s">
        <v>164</v>
      </c>
      <c r="V2660" s="427"/>
      <c r="X2660" s="265">
        <v>0</v>
      </c>
      <c r="Y2660" s="265"/>
      <c r="AG2660" s="261">
        <f>X2660</f>
        <v>0</v>
      </c>
      <c r="AJ2660" s="642"/>
    </row>
    <row r="2661" spans="1:77" s="261" customFormat="1" ht="11.25" customHeight="1">
      <c r="B2661" s="261" t="s">
        <v>291</v>
      </c>
      <c r="C2661" s="259"/>
      <c r="D2661" s="259"/>
      <c r="E2661" s="260" t="s">
        <v>2033</v>
      </c>
      <c r="F2661" s="261" t="s">
        <v>2034</v>
      </c>
      <c r="G2661" s="262" t="s">
        <v>2035</v>
      </c>
      <c r="H2661" s="261" t="s">
        <v>27</v>
      </c>
      <c r="I2661" s="264" t="s">
        <v>33</v>
      </c>
      <c r="J2661" s="263">
        <v>21874.7</v>
      </c>
      <c r="K2661" s="264"/>
      <c r="L2661" s="263">
        <v>19.850000000000001</v>
      </c>
      <c r="M2661" s="263">
        <v>19.850000000000001</v>
      </c>
      <c r="N2661" s="265">
        <v>0</v>
      </c>
      <c r="O2661" s="266">
        <v>0.25</v>
      </c>
      <c r="P2661" s="266"/>
      <c r="Q2661" s="265">
        <v>0</v>
      </c>
      <c r="R2661" s="261" t="s">
        <v>29</v>
      </c>
      <c r="S2661" s="267" t="s">
        <v>51</v>
      </c>
      <c r="T2661" s="267">
        <v>52</v>
      </c>
      <c r="U2661" s="268" t="s">
        <v>164</v>
      </c>
      <c r="V2661" s="427"/>
      <c r="X2661" s="265">
        <v>0</v>
      </c>
      <c r="Y2661" s="265"/>
      <c r="AG2661" s="261">
        <f>X2661</f>
        <v>0</v>
      </c>
      <c r="AJ2661" s="642"/>
    </row>
    <row r="2662" spans="1:77" s="261" customFormat="1" ht="11.25" customHeight="1">
      <c r="B2662" s="261" t="s">
        <v>291</v>
      </c>
      <c r="C2662" s="259"/>
      <c r="D2662" s="259"/>
      <c r="E2662" s="260" t="s">
        <v>2033</v>
      </c>
      <c r="F2662" s="261" t="s">
        <v>2034</v>
      </c>
      <c r="G2662" s="262" t="s">
        <v>2035</v>
      </c>
      <c r="H2662" s="261" t="s">
        <v>137</v>
      </c>
      <c r="I2662" s="264" t="s">
        <v>33</v>
      </c>
      <c r="J2662" s="263">
        <v>8608.7999999999993</v>
      </c>
      <c r="K2662" s="264"/>
      <c r="L2662" s="263">
        <v>12</v>
      </c>
      <c r="M2662" s="263">
        <v>12</v>
      </c>
      <c r="N2662" s="265">
        <v>2586.23</v>
      </c>
      <c r="O2662" s="266">
        <v>0.25</v>
      </c>
      <c r="P2662" s="266"/>
      <c r="Q2662" s="265">
        <v>0</v>
      </c>
      <c r="R2662" s="261" t="s">
        <v>29</v>
      </c>
      <c r="S2662" s="267" t="s">
        <v>51</v>
      </c>
      <c r="T2662" s="267">
        <v>52</v>
      </c>
      <c r="U2662" s="268" t="s">
        <v>164</v>
      </c>
      <c r="V2662" s="427"/>
      <c r="X2662" s="265">
        <v>0</v>
      </c>
      <c r="Y2662" s="265"/>
      <c r="AG2662" s="261">
        <f>X2662</f>
        <v>0</v>
      </c>
      <c r="AJ2662" s="642"/>
    </row>
    <row r="2663" spans="1:77" s="379" customFormat="1" ht="11.25" customHeight="1">
      <c r="B2663" s="379" t="s">
        <v>390</v>
      </c>
      <c r="C2663" s="381">
        <v>44716</v>
      </c>
      <c r="D2663" s="381">
        <v>44727</v>
      </c>
      <c r="E2663" s="382" t="s">
        <v>2036</v>
      </c>
      <c r="F2663" s="379" t="s">
        <v>2037</v>
      </c>
      <c r="G2663" s="383" t="s">
        <v>2038</v>
      </c>
      <c r="H2663" s="379" t="s">
        <v>393</v>
      </c>
      <c r="I2663" s="384" t="s">
        <v>156</v>
      </c>
      <c r="J2663" s="385">
        <v>253967.42</v>
      </c>
      <c r="K2663" s="384"/>
      <c r="L2663" s="385">
        <v>7</v>
      </c>
      <c r="M2663" s="385">
        <v>7</v>
      </c>
      <c r="N2663" s="386">
        <f>1426.7442+1785.82705+4054.9572+1905.88265</f>
        <v>9173.4110999999994</v>
      </c>
      <c r="O2663" s="387">
        <v>0.25</v>
      </c>
      <c r="P2663" s="387">
        <v>0.1</v>
      </c>
      <c r="Q2663" s="386">
        <v>0</v>
      </c>
      <c r="R2663" s="379" t="s">
        <v>69</v>
      </c>
      <c r="S2663" s="388" t="s">
        <v>65</v>
      </c>
      <c r="T2663" s="388">
        <v>37</v>
      </c>
      <c r="U2663" s="389" t="s">
        <v>164</v>
      </c>
      <c r="V2663" s="433"/>
      <c r="X2663" s="386">
        <v>0</v>
      </c>
      <c r="Y2663" s="386"/>
      <c r="AJ2663" s="390">
        <v>0</v>
      </c>
    </row>
    <row r="2664" spans="1:77" s="473" customFormat="1" ht="11.25" customHeight="1">
      <c r="B2664" s="473" t="s">
        <v>291</v>
      </c>
      <c r="C2664" s="487">
        <v>44728</v>
      </c>
      <c r="D2664" s="487">
        <v>44728</v>
      </c>
      <c r="E2664" s="488" t="s">
        <v>2039</v>
      </c>
      <c r="F2664" s="473" t="s">
        <v>2040</v>
      </c>
      <c r="G2664" s="489">
        <v>4271</v>
      </c>
      <c r="H2664" s="473" t="s">
        <v>99</v>
      </c>
      <c r="I2664" s="491" t="s">
        <v>33</v>
      </c>
      <c r="J2664" s="490">
        <v>42660</v>
      </c>
      <c r="K2664" s="491"/>
      <c r="L2664" s="490">
        <v>27</v>
      </c>
      <c r="M2664" s="490">
        <v>27</v>
      </c>
      <c r="N2664" s="492"/>
      <c r="O2664" s="493">
        <v>0.25</v>
      </c>
      <c r="P2664" s="493"/>
      <c r="Q2664" s="492">
        <v>0</v>
      </c>
      <c r="R2664" s="473" t="s">
        <v>229</v>
      </c>
      <c r="S2664" s="481" t="s">
        <v>2041</v>
      </c>
      <c r="T2664" s="481">
        <v>45</v>
      </c>
      <c r="U2664" s="494" t="s">
        <v>164</v>
      </c>
      <c r="V2664" s="495"/>
      <c r="X2664" s="492">
        <v>0</v>
      </c>
      <c r="Y2664" s="492"/>
      <c r="AJ2664" s="485"/>
      <c r="AK2664" s="473">
        <v>0</v>
      </c>
    </row>
    <row r="2665" spans="1:77" s="473" customFormat="1" ht="11.25" customHeight="1">
      <c r="B2665" s="473" t="s">
        <v>291</v>
      </c>
      <c r="C2665" s="487"/>
      <c r="D2665" s="487"/>
      <c r="E2665" s="488" t="s">
        <v>2039</v>
      </c>
      <c r="F2665" s="473" t="s">
        <v>2040</v>
      </c>
      <c r="G2665" s="489">
        <v>4271</v>
      </c>
      <c r="H2665" s="473" t="s">
        <v>137</v>
      </c>
      <c r="I2665" s="491" t="s">
        <v>33</v>
      </c>
      <c r="J2665" s="490">
        <v>31350</v>
      </c>
      <c r="K2665" s="491"/>
      <c r="L2665" s="490">
        <v>19</v>
      </c>
      <c r="M2665" s="490">
        <v>19</v>
      </c>
      <c r="N2665" s="492"/>
      <c r="O2665" s="493">
        <v>0.25</v>
      </c>
      <c r="P2665" s="493"/>
      <c r="Q2665" s="492">
        <v>0</v>
      </c>
      <c r="R2665" s="473" t="s">
        <v>229</v>
      </c>
      <c r="S2665" s="481" t="s">
        <v>2041</v>
      </c>
      <c r="T2665" s="481">
        <v>45</v>
      </c>
      <c r="U2665" s="494" t="s">
        <v>164</v>
      </c>
      <c r="V2665" s="495"/>
      <c r="X2665" s="492">
        <v>0</v>
      </c>
      <c r="Y2665" s="492"/>
      <c r="AJ2665" s="485"/>
      <c r="AK2665" s="473">
        <v>0</v>
      </c>
    </row>
    <row r="2666" spans="1:77" s="473" customFormat="1" ht="11.25" customHeight="1">
      <c r="B2666" s="473" t="s">
        <v>291</v>
      </c>
      <c r="C2666" s="487"/>
      <c r="D2666" s="487"/>
      <c r="E2666" s="488" t="s">
        <v>2039</v>
      </c>
      <c r="F2666" s="473" t="s">
        <v>2040</v>
      </c>
      <c r="G2666" s="489">
        <v>4271</v>
      </c>
      <c r="H2666" s="473" t="s">
        <v>183</v>
      </c>
      <c r="I2666" s="491" t="s">
        <v>33</v>
      </c>
      <c r="J2666" s="490">
        <v>19920</v>
      </c>
      <c r="K2666" s="491"/>
      <c r="L2666" s="490">
        <v>12</v>
      </c>
      <c r="M2666" s="490">
        <v>12</v>
      </c>
      <c r="N2666" s="492"/>
      <c r="O2666" s="493">
        <v>0.25</v>
      </c>
      <c r="P2666" s="493"/>
      <c r="Q2666" s="492">
        <v>0</v>
      </c>
      <c r="R2666" s="473" t="s">
        <v>229</v>
      </c>
      <c r="S2666" s="481" t="s">
        <v>2041</v>
      </c>
      <c r="T2666" s="481">
        <v>45</v>
      </c>
      <c r="U2666" s="494" t="s">
        <v>164</v>
      </c>
      <c r="V2666" s="495"/>
      <c r="X2666" s="492">
        <v>0</v>
      </c>
      <c r="Y2666" s="492"/>
      <c r="AJ2666" s="485"/>
      <c r="AK2666" s="473">
        <v>0</v>
      </c>
    </row>
    <row r="2667" spans="1:77" s="205" customFormat="1" ht="11.25" customHeight="1">
      <c r="A2667" s="379"/>
      <c r="B2667" s="379" t="s">
        <v>291</v>
      </c>
      <c r="C2667" s="381"/>
      <c r="D2667" s="381"/>
      <c r="E2667" s="382" t="s">
        <v>2042</v>
      </c>
      <c r="F2667" s="379" t="s">
        <v>2043</v>
      </c>
      <c r="G2667" s="383">
        <v>3748</v>
      </c>
      <c r="H2667" s="379" t="s">
        <v>432</v>
      </c>
      <c r="I2667" s="384" t="s">
        <v>156</v>
      </c>
      <c r="J2667" s="385">
        <v>11644.07</v>
      </c>
      <c r="K2667" s="384"/>
      <c r="L2667" s="385">
        <v>12.61</v>
      </c>
      <c r="M2667" s="385">
        <v>8.14</v>
      </c>
      <c r="N2667" s="386">
        <v>751</v>
      </c>
      <c r="O2667" s="387">
        <v>0.3</v>
      </c>
      <c r="P2667" s="387">
        <v>0.1</v>
      </c>
      <c r="Q2667" s="386">
        <v>0</v>
      </c>
      <c r="R2667" s="379" t="s">
        <v>105</v>
      </c>
      <c r="S2667" s="388" t="s">
        <v>30</v>
      </c>
      <c r="T2667" s="388">
        <v>39</v>
      </c>
      <c r="U2667" s="389" t="s">
        <v>164</v>
      </c>
      <c r="V2667" s="433"/>
      <c r="W2667" s="379"/>
      <c r="X2667" s="386">
        <v>0</v>
      </c>
      <c r="Y2667" s="386"/>
      <c r="Z2667" s="379"/>
      <c r="AA2667" s="379"/>
      <c r="AB2667" s="379"/>
      <c r="AC2667" s="379"/>
      <c r="AD2667" s="379"/>
      <c r="AE2667" s="379"/>
      <c r="AF2667" s="379"/>
      <c r="AG2667" s="379"/>
      <c r="AH2667" s="379"/>
      <c r="AI2667" s="379"/>
      <c r="AJ2667" s="390">
        <v>0</v>
      </c>
      <c r="AK2667" s="379"/>
      <c r="AL2667" s="379"/>
      <c r="AM2667" s="379"/>
      <c r="AN2667" s="379"/>
      <c r="AO2667" s="379"/>
      <c r="AP2667" s="379"/>
      <c r="AQ2667" s="379"/>
      <c r="AR2667" s="379"/>
      <c r="AS2667" s="379"/>
      <c r="AT2667" s="379"/>
      <c r="AU2667" s="379"/>
      <c r="AV2667" s="379"/>
      <c r="AW2667" s="379"/>
      <c r="AX2667" s="379"/>
      <c r="AY2667" s="379"/>
      <c r="AZ2667" s="379"/>
      <c r="BA2667" s="379"/>
      <c r="BB2667" s="379"/>
      <c r="BC2667" s="379"/>
      <c r="BD2667" s="379"/>
      <c r="BE2667" s="379"/>
      <c r="BF2667" s="379"/>
      <c r="BG2667" s="379"/>
      <c r="BH2667" s="379"/>
      <c r="BI2667" s="379"/>
      <c r="BJ2667" s="379"/>
      <c r="BK2667" s="379"/>
      <c r="BL2667" s="379"/>
      <c r="BM2667" s="379"/>
      <c r="BN2667" s="379"/>
      <c r="BO2667" s="379"/>
      <c r="BP2667" s="379"/>
      <c r="BQ2667" s="379"/>
      <c r="BR2667" s="379"/>
      <c r="BS2667" s="379"/>
      <c r="BT2667" s="379"/>
      <c r="BU2667" s="379"/>
      <c r="BV2667" s="379"/>
      <c r="BW2667" s="379"/>
      <c r="BX2667" s="379"/>
      <c r="BY2667" s="379"/>
    </row>
    <row r="2668" spans="1:77" s="205" customFormat="1" ht="11.25" customHeight="1">
      <c r="B2668" s="205" t="s">
        <v>291</v>
      </c>
      <c r="C2668" s="207">
        <v>44727</v>
      </c>
      <c r="D2668" s="207">
        <v>44728</v>
      </c>
      <c r="E2668" s="208" t="s">
        <v>2042</v>
      </c>
      <c r="F2668" s="205" t="s">
        <v>2043</v>
      </c>
      <c r="G2668" s="209">
        <v>3748</v>
      </c>
      <c r="H2668" s="205" t="s">
        <v>27</v>
      </c>
      <c r="I2668" s="219" t="s">
        <v>156</v>
      </c>
      <c r="J2668" s="210">
        <v>35304.839999999997</v>
      </c>
      <c r="K2668" s="219"/>
      <c r="L2668" s="210">
        <v>25.29</v>
      </c>
      <c r="M2668" s="210">
        <v>13.76</v>
      </c>
      <c r="N2668" s="213">
        <f>1874</f>
        <v>1874</v>
      </c>
      <c r="O2668" s="212">
        <v>0.3</v>
      </c>
      <c r="P2668" s="212">
        <v>0.1</v>
      </c>
      <c r="Q2668" s="213">
        <v>0</v>
      </c>
      <c r="R2668" s="205" t="s">
        <v>105</v>
      </c>
      <c r="S2668" s="214" t="s">
        <v>30</v>
      </c>
      <c r="T2668" s="214">
        <v>39</v>
      </c>
      <c r="U2668" s="215" t="s">
        <v>164</v>
      </c>
      <c r="V2668" s="438"/>
      <c r="X2668" s="213">
        <v>0</v>
      </c>
      <c r="Y2668" s="213"/>
      <c r="AF2668" s="230">
        <f>X2668</f>
        <v>0</v>
      </c>
      <c r="AJ2668" s="216"/>
    </row>
    <row r="2669" spans="1:77" s="205" customFormat="1" ht="11.25" customHeight="1">
      <c r="B2669" s="205" t="s">
        <v>291</v>
      </c>
      <c r="C2669" s="207"/>
      <c r="D2669" s="207"/>
      <c r="E2669" s="208" t="s">
        <v>2042</v>
      </c>
      <c r="F2669" s="205" t="s">
        <v>2043</v>
      </c>
      <c r="G2669" s="209">
        <v>3748</v>
      </c>
      <c r="H2669" s="205" t="s">
        <v>183</v>
      </c>
      <c r="I2669" s="219" t="s">
        <v>156</v>
      </c>
      <c r="J2669" s="210">
        <v>15844.01</v>
      </c>
      <c r="K2669" s="219"/>
      <c r="L2669" s="210">
        <v>13.49</v>
      </c>
      <c r="M2669" s="210">
        <v>7.18</v>
      </c>
      <c r="N2669" s="213">
        <v>1830</v>
      </c>
      <c r="O2669" s="212">
        <v>0.3</v>
      </c>
      <c r="P2669" s="212">
        <v>0.1</v>
      </c>
      <c r="Q2669" s="213">
        <v>1310.71</v>
      </c>
      <c r="R2669" s="205" t="s">
        <v>105</v>
      </c>
      <c r="S2669" s="214" t="s">
        <v>30</v>
      </c>
      <c r="T2669" s="214">
        <v>39</v>
      </c>
      <c r="U2669" s="215" t="s">
        <v>164</v>
      </c>
      <c r="V2669" s="438"/>
      <c r="X2669" s="213">
        <v>1310.71</v>
      </c>
      <c r="Y2669" s="213"/>
      <c r="AF2669" s="230">
        <f>X2669</f>
        <v>1310.71</v>
      </c>
      <c r="AJ2669" s="216"/>
    </row>
    <row r="2670" spans="1:77" s="291" customFormat="1" ht="11.25" customHeight="1">
      <c r="A2670" s="379"/>
      <c r="B2670" s="379" t="s">
        <v>291</v>
      </c>
      <c r="C2670" s="381"/>
      <c r="D2670" s="381"/>
      <c r="E2670" s="382" t="s">
        <v>2044</v>
      </c>
      <c r="F2670" s="379" t="s">
        <v>453</v>
      </c>
      <c r="G2670" s="383">
        <v>4390</v>
      </c>
      <c r="H2670" s="379" t="s">
        <v>99</v>
      </c>
      <c r="I2670" s="384" t="s">
        <v>2045</v>
      </c>
      <c r="J2670" s="385">
        <v>15469.6</v>
      </c>
      <c r="K2670" s="384"/>
      <c r="L2670" s="385">
        <v>15.82</v>
      </c>
      <c r="M2670" s="385">
        <v>15.85</v>
      </c>
      <c r="N2670" s="386"/>
      <c r="O2670" s="387">
        <v>0.3</v>
      </c>
      <c r="P2670" s="387"/>
      <c r="Q2670" s="386">
        <v>0</v>
      </c>
      <c r="R2670" s="379" t="s">
        <v>142</v>
      </c>
      <c r="S2670" s="388" t="s">
        <v>41</v>
      </c>
      <c r="T2670" s="388">
        <v>16</v>
      </c>
      <c r="U2670" s="389" t="s">
        <v>164</v>
      </c>
      <c r="V2670" s="433"/>
      <c r="W2670" s="379"/>
      <c r="X2670" s="386">
        <v>0</v>
      </c>
      <c r="Y2670" s="386"/>
      <c r="Z2670" s="379"/>
      <c r="AA2670" s="379"/>
      <c r="AB2670" s="379"/>
      <c r="AC2670" s="379"/>
      <c r="AD2670" s="379"/>
      <c r="AE2670" s="379"/>
      <c r="AF2670" s="379"/>
      <c r="AG2670" s="379"/>
      <c r="AH2670" s="379"/>
      <c r="AI2670" s="379"/>
      <c r="AJ2670" s="390">
        <v>0</v>
      </c>
      <c r="AK2670" s="379"/>
      <c r="AL2670" s="379"/>
      <c r="AM2670" s="379"/>
      <c r="AN2670" s="379"/>
      <c r="AO2670" s="379"/>
      <c r="AP2670" s="379"/>
      <c r="AQ2670" s="379"/>
      <c r="AR2670" s="379"/>
      <c r="AS2670" s="379"/>
      <c r="AT2670" s="379"/>
      <c r="AU2670" s="379"/>
      <c r="AV2670" s="379"/>
      <c r="AW2670" s="379"/>
      <c r="AX2670" s="379"/>
      <c r="AY2670" s="379"/>
      <c r="AZ2670" s="379"/>
      <c r="BA2670" s="379"/>
      <c r="BB2670" s="379"/>
      <c r="BC2670" s="379"/>
      <c r="BD2670" s="379"/>
      <c r="BE2670" s="379"/>
      <c r="BF2670" s="379"/>
      <c r="BG2670" s="379"/>
      <c r="BH2670" s="379"/>
      <c r="BI2670" s="379"/>
      <c r="BJ2670" s="379"/>
      <c r="BK2670" s="379"/>
      <c r="BL2670" s="379"/>
      <c r="BM2670" s="379"/>
      <c r="BN2670" s="379"/>
      <c r="BO2670" s="379"/>
      <c r="BP2670" s="379"/>
      <c r="BQ2670" s="379"/>
      <c r="BR2670" s="379"/>
      <c r="BS2670" s="379"/>
      <c r="BT2670" s="379"/>
      <c r="BU2670" s="379"/>
      <c r="BV2670" s="379"/>
      <c r="BW2670" s="379"/>
      <c r="BX2670" s="379"/>
      <c r="BY2670" s="379"/>
    </row>
    <row r="2671" spans="1:77" s="379" customFormat="1" ht="11.25" customHeight="1">
      <c r="A2671" s="291" t="s">
        <v>3893</v>
      </c>
      <c r="B2671" s="291" t="s">
        <v>291</v>
      </c>
      <c r="C2671" s="292">
        <v>44728</v>
      </c>
      <c r="D2671" s="292">
        <v>44728</v>
      </c>
      <c r="E2671" s="293" t="s">
        <v>2044</v>
      </c>
      <c r="F2671" s="291" t="s">
        <v>453</v>
      </c>
      <c r="G2671" s="294">
        <v>4390</v>
      </c>
      <c r="H2671" s="291" t="s">
        <v>865</v>
      </c>
      <c r="I2671" s="295" t="s">
        <v>2045</v>
      </c>
      <c r="J2671" s="296">
        <v>26067.09</v>
      </c>
      <c r="K2671" s="295"/>
      <c r="L2671" s="296">
        <v>25.18</v>
      </c>
      <c r="M2671" s="296">
        <v>25.11</v>
      </c>
      <c r="N2671" s="297"/>
      <c r="O2671" s="298">
        <v>0.3</v>
      </c>
      <c r="P2671" s="298"/>
      <c r="Q2671" s="297">
        <v>0</v>
      </c>
      <c r="R2671" s="291" t="s">
        <v>142</v>
      </c>
      <c r="S2671" s="299" t="s">
        <v>41</v>
      </c>
      <c r="T2671" s="299">
        <v>16</v>
      </c>
      <c r="U2671" s="300" t="s">
        <v>164</v>
      </c>
      <c r="V2671" s="333"/>
      <c r="W2671" s="291"/>
      <c r="X2671" s="297">
        <v>0</v>
      </c>
      <c r="Y2671" s="297"/>
      <c r="Z2671" s="291"/>
      <c r="AA2671" s="291"/>
      <c r="AB2671" s="291"/>
      <c r="AC2671" s="291"/>
      <c r="AD2671" s="291"/>
      <c r="AE2671" s="291"/>
      <c r="AF2671" s="291"/>
      <c r="AG2671" s="291"/>
      <c r="AH2671" s="291">
        <f>X2671</f>
        <v>0</v>
      </c>
      <c r="AI2671" s="311"/>
      <c r="AJ2671" s="468"/>
      <c r="AK2671" s="291"/>
      <c r="AL2671" s="291"/>
      <c r="AM2671" s="291"/>
      <c r="AN2671" s="291"/>
      <c r="AO2671" s="291"/>
      <c r="AP2671" s="291"/>
      <c r="AQ2671" s="291"/>
      <c r="AR2671" s="291"/>
      <c r="AS2671" s="291"/>
      <c r="AT2671" s="291"/>
      <c r="AU2671" s="291"/>
      <c r="AV2671" s="291"/>
      <c r="AW2671" s="291"/>
      <c r="AX2671" s="291"/>
      <c r="AY2671" s="291"/>
      <c r="AZ2671" s="291"/>
      <c r="BA2671" s="291"/>
      <c r="BB2671" s="291"/>
      <c r="BC2671" s="291"/>
      <c r="BD2671" s="291"/>
      <c r="BE2671" s="291"/>
      <c r="BF2671" s="291"/>
      <c r="BG2671" s="291"/>
      <c r="BH2671" s="291"/>
      <c r="BI2671" s="291"/>
      <c r="BJ2671" s="291"/>
      <c r="BK2671" s="291"/>
      <c r="BL2671" s="291"/>
      <c r="BM2671" s="291"/>
      <c r="BN2671" s="291"/>
      <c r="BO2671" s="291"/>
      <c r="BP2671" s="291"/>
      <c r="BQ2671" s="291"/>
      <c r="BR2671" s="291"/>
      <c r="BS2671" s="291"/>
      <c r="BT2671" s="291"/>
      <c r="BU2671" s="291"/>
      <c r="BV2671" s="291"/>
      <c r="BW2671" s="291"/>
      <c r="BX2671" s="291"/>
      <c r="BY2671" s="291"/>
    </row>
    <row r="2672" spans="1:77" s="261" customFormat="1" ht="11.25" customHeight="1">
      <c r="B2672" s="261" t="s">
        <v>291</v>
      </c>
      <c r="C2672" s="259"/>
      <c r="D2672" s="259"/>
      <c r="E2672" s="260" t="s">
        <v>2044</v>
      </c>
      <c r="F2672" s="261" t="s">
        <v>453</v>
      </c>
      <c r="G2672" s="262">
        <v>4390</v>
      </c>
      <c r="H2672" s="261" t="s">
        <v>765</v>
      </c>
      <c r="I2672" s="264" t="s">
        <v>2045</v>
      </c>
      <c r="J2672" s="263">
        <v>15350.58</v>
      </c>
      <c r="K2672" s="264"/>
      <c r="L2672" s="263">
        <v>19.649999999999999</v>
      </c>
      <c r="M2672" s="263">
        <v>19.440000000000001</v>
      </c>
      <c r="N2672" s="265"/>
      <c r="O2672" s="266">
        <v>0.3</v>
      </c>
      <c r="P2672" s="266"/>
      <c r="Q2672" s="265">
        <v>0</v>
      </c>
      <c r="R2672" s="261" t="s">
        <v>142</v>
      </c>
      <c r="S2672" s="267" t="s">
        <v>41</v>
      </c>
      <c r="T2672" s="267">
        <v>16</v>
      </c>
      <c r="U2672" s="268" t="s">
        <v>164</v>
      </c>
      <c r="V2672" s="427"/>
      <c r="W2672" s="261" t="s">
        <v>3787</v>
      </c>
      <c r="X2672" s="265">
        <v>0</v>
      </c>
      <c r="Y2672" s="265"/>
      <c r="AG2672" s="261">
        <f>X2672</f>
        <v>0</v>
      </c>
      <c r="AJ2672" s="642"/>
    </row>
    <row r="2673" spans="1:77" s="205" customFormat="1" ht="11.25" customHeight="1">
      <c r="B2673" s="206" t="s">
        <v>291</v>
      </c>
      <c r="C2673" s="207">
        <v>44727</v>
      </c>
      <c r="D2673" s="207">
        <v>44728</v>
      </c>
      <c r="E2673" s="208" t="s">
        <v>2046</v>
      </c>
      <c r="F2673" s="205" t="s">
        <v>537</v>
      </c>
      <c r="G2673" s="209">
        <v>4611</v>
      </c>
      <c r="H2673" s="205" t="s">
        <v>866</v>
      </c>
      <c r="I2673" s="219" t="s">
        <v>33</v>
      </c>
      <c r="J2673" s="210">
        <v>5925.15</v>
      </c>
      <c r="K2673" s="219"/>
      <c r="L2673" s="210">
        <v>6.93</v>
      </c>
      <c r="M2673" s="210">
        <v>6.93</v>
      </c>
      <c r="N2673" s="213"/>
      <c r="O2673" s="212">
        <v>0.25</v>
      </c>
      <c r="P2673" s="212"/>
      <c r="Q2673" s="213">
        <v>0</v>
      </c>
      <c r="R2673" s="205" t="s">
        <v>42</v>
      </c>
      <c r="S2673" s="214" t="s">
        <v>41</v>
      </c>
      <c r="T2673" s="214">
        <v>16</v>
      </c>
      <c r="U2673" s="215" t="s">
        <v>164</v>
      </c>
      <c r="V2673" s="438"/>
      <c r="W2673" s="205" t="s">
        <v>2836</v>
      </c>
      <c r="X2673" s="213">
        <v>0</v>
      </c>
      <c r="Y2673" s="213"/>
      <c r="AF2673" s="230">
        <f>X2673</f>
        <v>0</v>
      </c>
      <c r="AJ2673" s="216"/>
    </row>
    <row r="2674" spans="1:77" s="6" customFormat="1" ht="11.25" customHeight="1">
      <c r="A2674" s="379"/>
      <c r="B2674" s="380" t="s">
        <v>291</v>
      </c>
      <c r="C2674" s="381">
        <v>44725</v>
      </c>
      <c r="D2674" s="381">
        <v>44728</v>
      </c>
      <c r="E2674" s="382" t="s">
        <v>2047</v>
      </c>
      <c r="F2674" s="379" t="s">
        <v>2048</v>
      </c>
      <c r="G2674" s="383">
        <v>3528</v>
      </c>
      <c r="H2674" s="379" t="s">
        <v>99</v>
      </c>
      <c r="I2674" s="384" t="s">
        <v>888</v>
      </c>
      <c r="J2674" s="385">
        <v>99854.22</v>
      </c>
      <c r="K2674" s="384"/>
      <c r="L2674" s="385">
        <v>83.63</v>
      </c>
      <c r="M2674" s="385">
        <v>83.63</v>
      </c>
      <c r="N2674" s="386"/>
      <c r="O2674" s="387">
        <v>0.2</v>
      </c>
      <c r="P2674" s="387"/>
      <c r="Q2674" s="386">
        <v>0</v>
      </c>
      <c r="R2674" s="379" t="s">
        <v>73</v>
      </c>
      <c r="S2674" s="388" t="s">
        <v>74</v>
      </c>
      <c r="T2674" s="388">
        <v>31</v>
      </c>
      <c r="U2674" s="389" t="s">
        <v>164</v>
      </c>
      <c r="V2674" s="433"/>
      <c r="W2674" s="379"/>
      <c r="X2674" s="386">
        <v>0</v>
      </c>
      <c r="Y2674" s="386"/>
      <c r="Z2674" s="379"/>
      <c r="AA2674" s="379"/>
      <c r="AB2674" s="379"/>
      <c r="AC2674" s="379"/>
      <c r="AD2674" s="379"/>
      <c r="AE2674" s="379"/>
      <c r="AF2674" s="379"/>
      <c r="AG2674" s="379"/>
      <c r="AH2674" s="379"/>
      <c r="AI2674" s="379"/>
      <c r="AJ2674" s="390">
        <v>0</v>
      </c>
      <c r="AK2674" s="379"/>
      <c r="AL2674" s="379"/>
      <c r="AM2674" s="379"/>
      <c r="AN2674" s="379"/>
      <c r="AO2674" s="379"/>
      <c r="AP2674" s="379"/>
      <c r="AQ2674" s="379"/>
      <c r="AR2674" s="379"/>
      <c r="AS2674" s="379"/>
      <c r="AT2674" s="379"/>
      <c r="AU2674" s="379"/>
      <c r="AV2674" s="379"/>
      <c r="AW2674" s="379"/>
      <c r="AX2674" s="379"/>
      <c r="AY2674" s="379"/>
      <c r="AZ2674" s="379"/>
      <c r="BA2674" s="379"/>
      <c r="BB2674" s="379"/>
      <c r="BC2674" s="379"/>
      <c r="BD2674" s="379"/>
      <c r="BE2674" s="379"/>
      <c r="BF2674" s="379"/>
      <c r="BG2674" s="379"/>
      <c r="BH2674" s="379"/>
      <c r="BI2674" s="379"/>
      <c r="BJ2674" s="379"/>
      <c r="BK2674" s="379"/>
      <c r="BL2674" s="379"/>
      <c r="BM2674" s="379"/>
      <c r="BN2674" s="379"/>
      <c r="BO2674" s="379"/>
      <c r="BP2674" s="379"/>
      <c r="BQ2674" s="379"/>
      <c r="BR2674" s="379"/>
      <c r="BS2674" s="379"/>
      <c r="BT2674" s="379"/>
      <c r="BU2674" s="379"/>
      <c r="BV2674" s="379"/>
      <c r="BW2674" s="379"/>
      <c r="BX2674" s="379"/>
      <c r="BY2674" s="379"/>
    </row>
    <row r="2675" spans="1:77" s="6" customFormat="1" ht="11.25" customHeight="1">
      <c r="A2675" s="379"/>
      <c r="B2675" s="380" t="s">
        <v>291</v>
      </c>
      <c r="C2675" s="381"/>
      <c r="D2675" s="381"/>
      <c r="E2675" s="382" t="s">
        <v>2047</v>
      </c>
      <c r="F2675" s="379" t="s">
        <v>2048</v>
      </c>
      <c r="G2675" s="383">
        <v>3528</v>
      </c>
      <c r="H2675" s="379" t="s">
        <v>138</v>
      </c>
      <c r="I2675" s="384" t="s">
        <v>888</v>
      </c>
      <c r="J2675" s="385">
        <v>80630.820000000007</v>
      </c>
      <c r="K2675" s="384"/>
      <c r="L2675" s="385">
        <v>61.01</v>
      </c>
      <c r="M2675" s="385">
        <v>61.01</v>
      </c>
      <c r="N2675" s="386"/>
      <c r="O2675" s="387">
        <v>0.2</v>
      </c>
      <c r="P2675" s="387"/>
      <c r="Q2675" s="386">
        <v>0</v>
      </c>
      <c r="R2675" s="379" t="s">
        <v>73</v>
      </c>
      <c r="S2675" s="388" t="s">
        <v>74</v>
      </c>
      <c r="T2675" s="388">
        <v>31</v>
      </c>
      <c r="U2675" s="389" t="s">
        <v>164</v>
      </c>
      <c r="V2675" s="433"/>
      <c r="W2675" s="379"/>
      <c r="X2675" s="386">
        <v>0</v>
      </c>
      <c r="Y2675" s="386"/>
      <c r="Z2675" s="379"/>
      <c r="AA2675" s="379"/>
      <c r="AB2675" s="379"/>
      <c r="AC2675" s="379"/>
      <c r="AD2675" s="379"/>
      <c r="AE2675" s="379"/>
      <c r="AF2675" s="379"/>
      <c r="AG2675" s="379"/>
      <c r="AH2675" s="379"/>
      <c r="AI2675" s="379"/>
      <c r="AJ2675" s="390">
        <v>0</v>
      </c>
      <c r="AK2675" s="379"/>
      <c r="AL2675" s="379"/>
      <c r="AM2675" s="379"/>
      <c r="AN2675" s="379"/>
      <c r="AO2675" s="379"/>
      <c r="AP2675" s="379"/>
      <c r="AQ2675" s="379"/>
      <c r="AR2675" s="379"/>
      <c r="AS2675" s="379"/>
      <c r="AT2675" s="379"/>
      <c r="AU2675" s="379"/>
      <c r="AV2675" s="379"/>
      <c r="AW2675" s="379"/>
      <c r="AX2675" s="379"/>
      <c r="AY2675" s="379"/>
      <c r="AZ2675" s="379"/>
      <c r="BA2675" s="379"/>
      <c r="BB2675" s="379"/>
      <c r="BC2675" s="379"/>
      <c r="BD2675" s="379"/>
      <c r="BE2675" s="379"/>
      <c r="BF2675" s="379"/>
      <c r="BG2675" s="379"/>
      <c r="BH2675" s="379"/>
      <c r="BI2675" s="379"/>
      <c r="BJ2675" s="379"/>
      <c r="BK2675" s="379"/>
      <c r="BL2675" s="379"/>
      <c r="BM2675" s="379"/>
      <c r="BN2675" s="379"/>
      <c r="BO2675" s="379"/>
      <c r="BP2675" s="379"/>
      <c r="BQ2675" s="379"/>
      <c r="BR2675" s="379"/>
      <c r="BS2675" s="379"/>
      <c r="BT2675" s="379"/>
      <c r="BU2675" s="379"/>
      <c r="BV2675" s="379"/>
      <c r="BW2675" s="379"/>
      <c r="BX2675" s="379"/>
      <c r="BY2675" s="379"/>
    </row>
    <row r="2676" spans="1:77" s="181" customFormat="1" ht="11.25" customHeight="1">
      <c r="B2676" s="178" t="s">
        <v>291</v>
      </c>
      <c r="C2676" s="179">
        <v>44716</v>
      </c>
      <c r="D2676" s="179">
        <v>44728</v>
      </c>
      <c r="E2676" s="180" t="s">
        <v>2049</v>
      </c>
      <c r="F2676" s="181" t="s">
        <v>1678</v>
      </c>
      <c r="G2676" s="182" t="s">
        <v>1679</v>
      </c>
      <c r="H2676" s="181" t="s">
        <v>99</v>
      </c>
      <c r="I2676" s="190" t="s">
        <v>156</v>
      </c>
      <c r="J2676" s="183">
        <v>120628.23</v>
      </c>
      <c r="K2676" s="190"/>
      <c r="L2676" s="183">
        <v>79.459999999999994</v>
      </c>
      <c r="M2676" s="183">
        <v>20</v>
      </c>
      <c r="N2676" s="185"/>
      <c r="O2676" s="186">
        <v>0.2</v>
      </c>
      <c r="P2676" s="186">
        <v>0.1</v>
      </c>
      <c r="Q2676" s="185">
        <v>0</v>
      </c>
      <c r="R2676" s="181" t="s">
        <v>285</v>
      </c>
      <c r="S2676" s="187" t="s">
        <v>275</v>
      </c>
      <c r="T2676" s="187">
        <v>21</v>
      </c>
      <c r="U2676" s="188" t="s">
        <v>164</v>
      </c>
      <c r="V2676" s="441"/>
      <c r="X2676" s="185">
        <v>0</v>
      </c>
      <c r="Y2676" s="185"/>
      <c r="AE2676" s="204">
        <f>X2676</f>
        <v>0</v>
      </c>
      <c r="AJ2676" s="189"/>
    </row>
    <row r="2677" spans="1:77" s="337" customFormat="1" ht="11.25" customHeight="1">
      <c r="B2677" s="337" t="s">
        <v>291</v>
      </c>
      <c r="C2677" s="349">
        <v>44729</v>
      </c>
      <c r="D2677" s="349">
        <v>44729</v>
      </c>
      <c r="E2677" s="350" t="s">
        <v>2050</v>
      </c>
      <c r="F2677" s="337" t="s">
        <v>253</v>
      </c>
      <c r="G2677" s="351">
        <v>3900</v>
      </c>
      <c r="H2677" s="337" t="s">
        <v>866</v>
      </c>
      <c r="I2677" s="353" t="s">
        <v>888</v>
      </c>
      <c r="J2677" s="352">
        <v>25471.16</v>
      </c>
      <c r="K2677" s="353"/>
      <c r="L2677" s="352">
        <v>22.28</v>
      </c>
      <c r="M2677" s="352">
        <v>22</v>
      </c>
      <c r="N2677" s="354"/>
      <c r="O2677" s="355">
        <v>0.15</v>
      </c>
      <c r="P2677" s="355"/>
      <c r="Q2677" s="354">
        <v>0</v>
      </c>
      <c r="R2677" s="337" t="s">
        <v>77</v>
      </c>
      <c r="S2677" s="356" t="s">
        <v>41</v>
      </c>
      <c r="T2677" s="356">
        <v>17</v>
      </c>
      <c r="U2677" s="357" t="s">
        <v>164</v>
      </c>
      <c r="V2677" s="434"/>
      <c r="X2677" s="354">
        <v>0</v>
      </c>
      <c r="Y2677" s="354"/>
      <c r="AI2677" s="337">
        <v>0</v>
      </c>
      <c r="AJ2677" s="358"/>
      <c r="AK2677" s="369"/>
    </row>
    <row r="2678" spans="1:77" s="337" customFormat="1" ht="11.25" customHeight="1">
      <c r="A2678" s="379"/>
      <c r="B2678" s="406" t="s">
        <v>291</v>
      </c>
      <c r="C2678" s="381"/>
      <c r="D2678" s="381"/>
      <c r="E2678" s="382" t="s">
        <v>2051</v>
      </c>
      <c r="F2678" s="379" t="s">
        <v>1581</v>
      </c>
      <c r="G2678" s="383">
        <v>3529</v>
      </c>
      <c r="H2678" s="379" t="s">
        <v>898</v>
      </c>
      <c r="I2678" s="384" t="s">
        <v>33</v>
      </c>
      <c r="J2678" s="385">
        <v>22593.119999999999</v>
      </c>
      <c r="K2678" s="384"/>
      <c r="L2678" s="385">
        <v>17.600000000000001</v>
      </c>
      <c r="M2678" s="385">
        <v>17.600000000000001</v>
      </c>
      <c r="N2678" s="386"/>
      <c r="O2678" s="387">
        <v>0.15</v>
      </c>
      <c r="P2678" s="387"/>
      <c r="Q2678" s="386">
        <v>0</v>
      </c>
      <c r="R2678" s="379" t="s">
        <v>69</v>
      </c>
      <c r="S2678" s="388" t="s">
        <v>118</v>
      </c>
      <c r="T2678" s="388">
        <v>79</v>
      </c>
      <c r="U2678" s="389" t="s">
        <v>164</v>
      </c>
      <c r="V2678" s="433"/>
      <c r="W2678" s="379"/>
      <c r="X2678" s="386">
        <v>0</v>
      </c>
      <c r="Y2678" s="386"/>
      <c r="Z2678" s="379"/>
      <c r="AA2678" s="379"/>
      <c r="AB2678" s="379"/>
      <c r="AC2678" s="379"/>
      <c r="AD2678" s="379"/>
      <c r="AE2678" s="379"/>
      <c r="AF2678" s="379"/>
      <c r="AG2678" s="379"/>
      <c r="AH2678" s="379"/>
      <c r="AI2678" s="379"/>
      <c r="AJ2678" s="390">
        <v>0</v>
      </c>
      <c r="AK2678" s="379"/>
      <c r="AL2678" s="379"/>
      <c r="AM2678" s="379"/>
      <c r="AN2678" s="379"/>
      <c r="AO2678" s="379"/>
      <c r="AP2678" s="379"/>
      <c r="AQ2678" s="379"/>
      <c r="AR2678" s="379"/>
      <c r="AS2678" s="379"/>
      <c r="AT2678" s="379"/>
      <c r="AU2678" s="379"/>
      <c r="AV2678" s="379"/>
      <c r="AW2678" s="379"/>
      <c r="AX2678" s="379"/>
      <c r="AY2678" s="379"/>
      <c r="AZ2678" s="379"/>
      <c r="BA2678" s="379"/>
      <c r="BB2678" s="379"/>
      <c r="BC2678" s="379"/>
      <c r="BD2678" s="379"/>
      <c r="BE2678" s="379"/>
      <c r="BF2678" s="379"/>
      <c r="BG2678" s="379"/>
      <c r="BH2678" s="379"/>
      <c r="BI2678" s="379"/>
      <c r="BJ2678" s="379"/>
      <c r="BK2678" s="379"/>
      <c r="BL2678" s="379"/>
      <c r="BM2678" s="379"/>
      <c r="BN2678" s="379"/>
      <c r="BO2678" s="379"/>
      <c r="BP2678" s="379"/>
      <c r="BQ2678" s="379"/>
      <c r="BR2678" s="379"/>
      <c r="BS2678" s="379"/>
      <c r="BT2678" s="379"/>
      <c r="BU2678" s="379"/>
      <c r="BV2678" s="379"/>
      <c r="BW2678" s="379"/>
      <c r="BX2678" s="379"/>
      <c r="BY2678" s="379"/>
    </row>
    <row r="2679" spans="1:77" s="379" customFormat="1" ht="11.25" customHeight="1">
      <c r="B2679" s="406" t="s">
        <v>291</v>
      </c>
      <c r="C2679" s="381"/>
      <c r="D2679" s="381"/>
      <c r="E2679" s="382" t="s">
        <v>2051</v>
      </c>
      <c r="F2679" s="379" t="s">
        <v>1581</v>
      </c>
      <c r="G2679" s="383">
        <v>3529</v>
      </c>
      <c r="H2679" s="379" t="s">
        <v>765</v>
      </c>
      <c r="I2679" s="384" t="s">
        <v>33</v>
      </c>
      <c r="J2679" s="385">
        <v>28454.400000000001</v>
      </c>
      <c r="K2679" s="384"/>
      <c r="L2679" s="385">
        <v>23.04</v>
      </c>
      <c r="M2679" s="385">
        <v>23.04</v>
      </c>
      <c r="N2679" s="386"/>
      <c r="O2679" s="387">
        <v>0.15</v>
      </c>
      <c r="P2679" s="387"/>
      <c r="Q2679" s="386">
        <v>0</v>
      </c>
      <c r="R2679" s="379" t="s">
        <v>69</v>
      </c>
      <c r="S2679" s="388" t="s">
        <v>118</v>
      </c>
      <c r="T2679" s="388">
        <v>79</v>
      </c>
      <c r="U2679" s="389" t="s">
        <v>164</v>
      </c>
      <c r="V2679" s="433"/>
      <c r="X2679" s="386">
        <v>0</v>
      </c>
      <c r="Y2679" s="386"/>
      <c r="AJ2679" s="390">
        <v>0</v>
      </c>
    </row>
    <row r="2680" spans="1:77" s="337" customFormat="1" ht="11.25" customHeight="1">
      <c r="B2680" s="367" t="s">
        <v>291</v>
      </c>
      <c r="C2680" s="349">
        <v>44727</v>
      </c>
      <c r="D2680" s="349">
        <v>44729</v>
      </c>
      <c r="E2680" s="350" t="s">
        <v>2051</v>
      </c>
      <c r="F2680" s="337" t="s">
        <v>1581</v>
      </c>
      <c r="G2680" s="351">
        <v>3529</v>
      </c>
      <c r="H2680" s="337" t="s">
        <v>2052</v>
      </c>
      <c r="I2680" s="353" t="s">
        <v>33</v>
      </c>
      <c r="J2680" s="352">
        <v>22176</v>
      </c>
      <c r="K2680" s="353"/>
      <c r="L2680" s="352">
        <v>15.4</v>
      </c>
      <c r="M2680" s="352">
        <v>15.4</v>
      </c>
      <c r="N2680" s="354"/>
      <c r="O2680" s="355">
        <v>0.15</v>
      </c>
      <c r="P2680" s="355"/>
      <c r="Q2680" s="354">
        <v>0</v>
      </c>
      <c r="R2680" s="337" t="s">
        <v>69</v>
      </c>
      <c r="S2680" s="356" t="s">
        <v>118</v>
      </c>
      <c r="T2680" s="356">
        <v>79</v>
      </c>
      <c r="U2680" s="357" t="s">
        <v>164</v>
      </c>
      <c r="V2680" s="434"/>
      <c r="X2680" s="354">
        <v>0</v>
      </c>
      <c r="Y2680" s="354"/>
      <c r="AI2680" s="337">
        <v>0</v>
      </c>
      <c r="AJ2680" s="358"/>
      <c r="AK2680" s="369"/>
    </row>
    <row r="2681" spans="1:77" s="291" customFormat="1" ht="11.25" customHeight="1">
      <c r="B2681" s="313" t="s">
        <v>291</v>
      </c>
      <c r="C2681" s="292">
        <v>44728</v>
      </c>
      <c r="D2681" s="292">
        <v>44729</v>
      </c>
      <c r="E2681" s="293" t="s">
        <v>2053</v>
      </c>
      <c r="F2681" s="291" t="s">
        <v>2054</v>
      </c>
      <c r="G2681" s="294" t="s">
        <v>2055</v>
      </c>
      <c r="H2681" s="291" t="s">
        <v>99</v>
      </c>
      <c r="I2681" s="295" t="s">
        <v>888</v>
      </c>
      <c r="J2681" s="296">
        <v>228267.18</v>
      </c>
      <c r="K2681" s="295"/>
      <c r="L2681" s="296">
        <v>138.27000000000001</v>
      </c>
      <c r="M2681" s="296">
        <v>138.27000000000001</v>
      </c>
      <c r="N2681" s="297"/>
      <c r="O2681" s="298">
        <v>0.2</v>
      </c>
      <c r="P2681" s="298"/>
      <c r="Q2681" s="297">
        <v>21556.85</v>
      </c>
      <c r="R2681" s="291" t="s">
        <v>285</v>
      </c>
      <c r="S2681" s="299" t="s">
        <v>275</v>
      </c>
      <c r="T2681" s="299">
        <v>21</v>
      </c>
      <c r="U2681" s="300" t="s">
        <v>164</v>
      </c>
      <c r="V2681" s="333"/>
      <c r="X2681" s="297">
        <v>21556.85</v>
      </c>
      <c r="Y2681" s="297"/>
      <c r="AH2681" s="291">
        <f>X2681</f>
        <v>21556.85</v>
      </c>
      <c r="AI2681" s="311"/>
      <c r="AJ2681" s="468"/>
    </row>
    <row r="2682" spans="1:77" s="291" customFormat="1" ht="11.25" customHeight="1">
      <c r="B2682" s="313" t="s">
        <v>291</v>
      </c>
      <c r="C2682" s="292"/>
      <c r="D2682" s="292"/>
      <c r="E2682" s="293" t="s">
        <v>2053</v>
      </c>
      <c r="F2682" s="291" t="s">
        <v>2054</v>
      </c>
      <c r="G2682" s="294" t="s">
        <v>2055</v>
      </c>
      <c r="H2682" s="291" t="s">
        <v>183</v>
      </c>
      <c r="I2682" s="295" t="s">
        <v>888</v>
      </c>
      <c r="J2682" s="296">
        <v>102456.55</v>
      </c>
      <c r="K2682" s="295"/>
      <c r="L2682" s="296">
        <v>67.45</v>
      </c>
      <c r="M2682" s="296">
        <v>67.45</v>
      </c>
      <c r="N2682" s="297"/>
      <c r="O2682" s="298">
        <v>0.2</v>
      </c>
      <c r="P2682" s="298"/>
      <c r="Q2682" s="297">
        <v>8781.99</v>
      </c>
      <c r="R2682" s="291" t="s">
        <v>285</v>
      </c>
      <c r="S2682" s="299" t="s">
        <v>275</v>
      </c>
      <c r="T2682" s="299">
        <v>21</v>
      </c>
      <c r="U2682" s="300" t="s">
        <v>164</v>
      </c>
      <c r="V2682" s="333"/>
      <c r="X2682" s="297">
        <v>8781.99</v>
      </c>
      <c r="Y2682" s="297"/>
      <c r="AH2682" s="291">
        <f>X2682</f>
        <v>8781.99</v>
      </c>
      <c r="AI2682" s="311"/>
      <c r="AJ2682" s="468"/>
    </row>
    <row r="2683" spans="1:77" s="291" customFormat="1" ht="11.25" customHeight="1">
      <c r="B2683" s="313" t="s">
        <v>291</v>
      </c>
      <c r="C2683" s="292"/>
      <c r="D2683" s="292"/>
      <c r="E2683" s="293" t="s">
        <v>2053</v>
      </c>
      <c r="F2683" s="291" t="s">
        <v>2054</v>
      </c>
      <c r="G2683" s="294" t="s">
        <v>2055</v>
      </c>
      <c r="H2683" s="291" t="s">
        <v>137</v>
      </c>
      <c r="I2683" s="295" t="s">
        <v>888</v>
      </c>
      <c r="J2683" s="296">
        <v>72116.039999999994</v>
      </c>
      <c r="K2683" s="295"/>
      <c r="L2683" s="296">
        <v>46.11</v>
      </c>
      <c r="M2683" s="296">
        <v>46.11</v>
      </c>
      <c r="N2683" s="297">
        <f>J2683*0.26</f>
        <v>18750.170399999999</v>
      </c>
      <c r="O2683" s="298">
        <v>0.2</v>
      </c>
      <c r="P2683" s="298"/>
      <c r="Q2683" s="297">
        <v>13150.57</v>
      </c>
      <c r="R2683" s="291" t="s">
        <v>285</v>
      </c>
      <c r="S2683" s="299" t="s">
        <v>275</v>
      </c>
      <c r="T2683" s="299">
        <v>21</v>
      </c>
      <c r="U2683" s="300" t="s">
        <v>164</v>
      </c>
      <c r="V2683" s="333"/>
      <c r="X2683" s="297">
        <v>13150.57</v>
      </c>
      <c r="Y2683" s="297"/>
      <c r="AH2683" s="291">
        <f>X2683</f>
        <v>13150.57</v>
      </c>
      <c r="AI2683" s="311"/>
      <c r="AJ2683" s="468"/>
    </row>
    <row r="2684" spans="1:77" s="291" customFormat="1" ht="11.25" customHeight="1">
      <c r="B2684" s="313" t="s">
        <v>291</v>
      </c>
      <c r="C2684" s="292"/>
      <c r="D2684" s="292"/>
      <c r="E2684" s="293" t="s">
        <v>2053</v>
      </c>
      <c r="F2684" s="291" t="s">
        <v>2054</v>
      </c>
      <c r="G2684" s="294" t="s">
        <v>2055</v>
      </c>
      <c r="H2684" s="291" t="s">
        <v>163</v>
      </c>
      <c r="I2684" s="295" t="s">
        <v>888</v>
      </c>
      <c r="J2684" s="296">
        <v>5174.1000000000004</v>
      </c>
      <c r="K2684" s="295"/>
      <c r="L2684" s="296">
        <v>6.76</v>
      </c>
      <c r="M2684" s="296">
        <v>6.76</v>
      </c>
      <c r="N2684" s="297"/>
      <c r="O2684" s="298">
        <v>0.2</v>
      </c>
      <c r="P2684" s="298"/>
      <c r="Q2684" s="297">
        <v>0</v>
      </c>
      <c r="R2684" s="291" t="s">
        <v>285</v>
      </c>
      <c r="S2684" s="299" t="s">
        <v>275</v>
      </c>
      <c r="T2684" s="299">
        <v>21</v>
      </c>
      <c r="U2684" s="300" t="s">
        <v>164</v>
      </c>
      <c r="V2684" s="333"/>
      <c r="X2684" s="297">
        <v>0</v>
      </c>
      <c r="Y2684" s="297"/>
      <c r="AH2684" s="291">
        <f>X2684</f>
        <v>0</v>
      </c>
      <c r="AI2684" s="311"/>
      <c r="AJ2684" s="468"/>
    </row>
    <row r="2685" spans="1:77" s="261" customFormat="1" ht="11.25" customHeight="1">
      <c r="A2685" s="507"/>
      <c r="B2685" s="508" t="s">
        <v>291</v>
      </c>
      <c r="C2685" s="509"/>
      <c r="D2685" s="509"/>
      <c r="E2685" s="510" t="s">
        <v>2056</v>
      </c>
      <c r="F2685" s="507" t="s">
        <v>64</v>
      </c>
      <c r="G2685" s="521">
        <v>4450</v>
      </c>
      <c r="H2685" s="507" t="s">
        <v>408</v>
      </c>
      <c r="I2685" s="512" t="s">
        <v>1426</v>
      </c>
      <c r="J2685" s="513">
        <v>33334.089999999997</v>
      </c>
      <c r="K2685" s="512"/>
      <c r="L2685" s="513">
        <v>15.51</v>
      </c>
      <c r="M2685" s="513">
        <v>15.51</v>
      </c>
      <c r="N2685" s="514">
        <v>9993.7800000000007</v>
      </c>
      <c r="O2685" s="515">
        <v>0.3</v>
      </c>
      <c r="P2685" s="515"/>
      <c r="Q2685" s="514">
        <v>0</v>
      </c>
      <c r="R2685" s="507" t="s">
        <v>46</v>
      </c>
      <c r="S2685" s="516" t="s">
        <v>65</v>
      </c>
      <c r="T2685" s="516">
        <v>59</v>
      </c>
      <c r="U2685" s="517" t="s">
        <v>164</v>
      </c>
      <c r="V2685" s="518"/>
      <c r="W2685" s="507"/>
      <c r="X2685" s="514">
        <v>0</v>
      </c>
      <c r="Y2685" s="514"/>
      <c r="Z2685" s="507"/>
      <c r="AA2685" s="507"/>
      <c r="AB2685" s="507"/>
      <c r="AC2685" s="507"/>
      <c r="AD2685" s="507"/>
      <c r="AE2685" s="507"/>
      <c r="AF2685" s="507"/>
      <c r="AG2685" s="507"/>
      <c r="AH2685" s="507"/>
      <c r="AI2685" s="507"/>
      <c r="AJ2685" s="522"/>
      <c r="AK2685" s="507"/>
      <c r="AL2685" s="507">
        <v>0</v>
      </c>
      <c r="AM2685" s="507"/>
      <c r="AN2685" s="507"/>
      <c r="AO2685" s="507"/>
      <c r="AP2685" s="507"/>
      <c r="AQ2685" s="507"/>
      <c r="AR2685" s="507"/>
      <c r="AS2685" s="507"/>
      <c r="AT2685" s="507"/>
      <c r="AU2685" s="507"/>
      <c r="AV2685" s="507"/>
      <c r="AW2685" s="507"/>
      <c r="AX2685" s="507"/>
      <c r="AY2685" s="507"/>
      <c r="AZ2685" s="507"/>
      <c r="BA2685" s="507"/>
      <c r="BB2685" s="507"/>
      <c r="BC2685" s="507"/>
      <c r="BD2685" s="507"/>
      <c r="BE2685" s="507"/>
      <c r="BF2685" s="507"/>
      <c r="BG2685" s="507"/>
      <c r="BH2685" s="507"/>
      <c r="BI2685" s="507"/>
      <c r="BJ2685" s="507"/>
      <c r="BK2685" s="507"/>
      <c r="BL2685" s="507"/>
      <c r="BM2685" s="507"/>
      <c r="BN2685" s="507"/>
      <c r="BO2685" s="507"/>
      <c r="BP2685" s="507"/>
      <c r="BQ2685" s="507"/>
      <c r="BR2685" s="507"/>
      <c r="BS2685" s="507"/>
      <c r="BT2685" s="507"/>
      <c r="BU2685" s="507"/>
      <c r="BV2685" s="507"/>
      <c r="BW2685" s="507"/>
      <c r="BX2685" s="507"/>
      <c r="BY2685" s="507"/>
    </row>
    <row r="2686" spans="1:77" s="261" customFormat="1" ht="11.25" customHeight="1">
      <c r="B2686" s="258" t="s">
        <v>291</v>
      </c>
      <c r="C2686" s="259">
        <v>44728</v>
      </c>
      <c r="D2686" s="259">
        <v>44729</v>
      </c>
      <c r="E2686" s="260" t="s">
        <v>2056</v>
      </c>
      <c r="F2686" s="261" t="s">
        <v>64</v>
      </c>
      <c r="G2686" s="262">
        <v>4450</v>
      </c>
      <c r="H2686" s="261" t="s">
        <v>27</v>
      </c>
      <c r="I2686" s="264" t="s">
        <v>1426</v>
      </c>
      <c r="J2686" s="263">
        <v>16501.66</v>
      </c>
      <c r="K2686" s="264"/>
      <c r="L2686" s="263">
        <v>10.47</v>
      </c>
      <c r="M2686" s="263">
        <v>10.47</v>
      </c>
      <c r="N2686" s="265"/>
      <c r="O2686" s="266">
        <v>0.3</v>
      </c>
      <c r="P2686" s="266"/>
      <c r="Q2686" s="265">
        <v>0</v>
      </c>
      <c r="R2686" s="261" t="s">
        <v>46</v>
      </c>
      <c r="S2686" s="267" t="s">
        <v>65</v>
      </c>
      <c r="T2686" s="267">
        <v>59</v>
      </c>
      <c r="U2686" s="268" t="s">
        <v>164</v>
      </c>
      <c r="V2686" s="427"/>
      <c r="X2686" s="265">
        <v>0</v>
      </c>
      <c r="Y2686" s="265"/>
      <c r="AG2686" s="261">
        <f>X2686</f>
        <v>0</v>
      </c>
      <c r="AJ2686" s="642"/>
    </row>
    <row r="2687" spans="1:77" s="261" customFormat="1" ht="11.25" customHeight="1">
      <c r="B2687" s="258" t="s">
        <v>291</v>
      </c>
      <c r="C2687" s="259"/>
      <c r="D2687" s="259"/>
      <c r="E2687" s="260" t="s">
        <v>2056</v>
      </c>
      <c r="F2687" s="261" t="s">
        <v>64</v>
      </c>
      <c r="G2687" s="262">
        <v>4450</v>
      </c>
      <c r="H2687" s="261" t="s">
        <v>99</v>
      </c>
      <c r="I2687" s="264" t="s">
        <v>1426</v>
      </c>
      <c r="J2687" s="263">
        <v>61434.6</v>
      </c>
      <c r="K2687" s="264"/>
      <c r="L2687" s="263">
        <v>38.04</v>
      </c>
      <c r="M2687" s="263">
        <v>38.04</v>
      </c>
      <c r="N2687" s="265"/>
      <c r="O2687" s="266">
        <v>0.3</v>
      </c>
      <c r="P2687" s="266"/>
      <c r="Q2687" s="265">
        <v>0</v>
      </c>
      <c r="R2687" s="261" t="s">
        <v>46</v>
      </c>
      <c r="S2687" s="267" t="s">
        <v>65</v>
      </c>
      <c r="T2687" s="267">
        <v>59</v>
      </c>
      <c r="U2687" s="268" t="s">
        <v>164</v>
      </c>
      <c r="V2687" s="427"/>
      <c r="X2687" s="265">
        <v>0</v>
      </c>
      <c r="Y2687" s="265"/>
      <c r="AG2687" s="261">
        <f>X2687</f>
        <v>0</v>
      </c>
      <c r="AJ2687" s="642"/>
    </row>
    <row r="2688" spans="1:77" s="6" customFormat="1" ht="11.25" customHeight="1">
      <c r="B2688" s="39" t="s">
        <v>291</v>
      </c>
      <c r="C2688" s="4"/>
      <c r="D2688" s="4"/>
      <c r="E2688" s="5" t="s">
        <v>2056</v>
      </c>
      <c r="F2688" s="6" t="s">
        <v>64</v>
      </c>
      <c r="G2688" s="79">
        <v>4450</v>
      </c>
      <c r="H2688" s="6" t="s">
        <v>140</v>
      </c>
      <c r="I2688" s="9" t="s">
        <v>1426</v>
      </c>
      <c r="J2688" s="24">
        <v>11283.75</v>
      </c>
      <c r="K2688" s="9"/>
      <c r="L2688" s="24">
        <v>7.65</v>
      </c>
      <c r="M2688" s="24">
        <v>7.65</v>
      </c>
      <c r="N2688" s="8">
        <v>1681.5</v>
      </c>
      <c r="O2688" s="11">
        <v>0.3</v>
      </c>
      <c r="P2688" s="11"/>
      <c r="Q2688" s="8">
        <v>0</v>
      </c>
      <c r="R2688" s="6" t="s">
        <v>46</v>
      </c>
      <c r="S2688" s="3" t="s">
        <v>65</v>
      </c>
      <c r="T2688" s="3">
        <v>27</v>
      </c>
      <c r="U2688" s="7"/>
      <c r="V2688" s="436"/>
      <c r="X2688" s="8"/>
      <c r="Y2688" s="8"/>
      <c r="AJ2688" s="80"/>
    </row>
    <row r="2689" spans="1:77" s="261" customFormat="1" ht="11.25" customHeight="1">
      <c r="B2689" s="258" t="s">
        <v>291</v>
      </c>
      <c r="C2689" s="259"/>
      <c r="D2689" s="259"/>
      <c r="E2689" s="260" t="s">
        <v>2056</v>
      </c>
      <c r="F2689" s="261" t="s">
        <v>64</v>
      </c>
      <c r="G2689" s="262">
        <v>4450</v>
      </c>
      <c r="H2689" s="261" t="s">
        <v>99</v>
      </c>
      <c r="I2689" s="264" t="s">
        <v>1426</v>
      </c>
      <c r="J2689" s="263">
        <v>63658.080000000002</v>
      </c>
      <c r="K2689" s="264"/>
      <c r="L2689" s="263">
        <v>45.17</v>
      </c>
      <c r="M2689" s="263">
        <v>45.17</v>
      </c>
      <c r="N2689" s="265"/>
      <c r="O2689" s="266">
        <v>0.3</v>
      </c>
      <c r="P2689" s="266"/>
      <c r="Q2689" s="265">
        <v>0</v>
      </c>
      <c r="R2689" s="261" t="s">
        <v>46</v>
      </c>
      <c r="S2689" s="267" t="s">
        <v>65</v>
      </c>
      <c r="T2689" s="267">
        <v>27</v>
      </c>
      <c r="U2689" s="268" t="s">
        <v>164</v>
      </c>
      <c r="V2689" s="427"/>
      <c r="X2689" s="265">
        <v>0</v>
      </c>
      <c r="Y2689" s="265"/>
      <c r="AG2689" s="261">
        <f>X2689</f>
        <v>0</v>
      </c>
      <c r="AJ2689" s="642"/>
    </row>
    <row r="2690" spans="1:77" s="261" customFormat="1" ht="11.25" customHeight="1">
      <c r="B2690" s="258" t="s">
        <v>291</v>
      </c>
      <c r="C2690" s="259"/>
      <c r="D2690" s="259"/>
      <c r="E2690" s="260" t="s">
        <v>2056</v>
      </c>
      <c r="F2690" s="261" t="s">
        <v>64</v>
      </c>
      <c r="G2690" s="262">
        <v>4450</v>
      </c>
      <c r="H2690" s="261" t="s">
        <v>27</v>
      </c>
      <c r="I2690" s="264" t="s">
        <v>1426</v>
      </c>
      <c r="J2690" s="263">
        <v>49427.360000000001</v>
      </c>
      <c r="K2690" s="264"/>
      <c r="L2690" s="263">
        <v>36.64</v>
      </c>
      <c r="M2690" s="263">
        <v>36.64</v>
      </c>
      <c r="N2690" s="265"/>
      <c r="O2690" s="266">
        <v>0.3</v>
      </c>
      <c r="P2690" s="266"/>
      <c r="Q2690" s="265">
        <v>0</v>
      </c>
      <c r="R2690" s="261" t="s">
        <v>46</v>
      </c>
      <c r="S2690" s="267" t="s">
        <v>65</v>
      </c>
      <c r="T2690" s="267">
        <v>27</v>
      </c>
      <c r="U2690" s="268" t="s">
        <v>164</v>
      </c>
      <c r="V2690" s="427"/>
      <c r="X2690" s="265">
        <v>0</v>
      </c>
      <c r="Y2690" s="265"/>
      <c r="AG2690" s="261">
        <f>X2690</f>
        <v>0</v>
      </c>
      <c r="AJ2690" s="642"/>
    </row>
    <row r="2691" spans="1:77" s="761" customFormat="1" ht="11.25" customHeight="1">
      <c r="B2691" s="762" t="s">
        <v>291</v>
      </c>
      <c r="C2691" s="763"/>
      <c r="D2691" s="763"/>
      <c r="E2691" s="764" t="s">
        <v>2056</v>
      </c>
      <c r="F2691" s="761" t="s">
        <v>64</v>
      </c>
      <c r="G2691" s="765">
        <v>4450</v>
      </c>
      <c r="H2691" s="761" t="s">
        <v>407</v>
      </c>
      <c r="I2691" s="766" t="s">
        <v>1426</v>
      </c>
      <c r="J2691" s="767">
        <v>33422.519999999997</v>
      </c>
      <c r="K2691" s="766"/>
      <c r="L2691" s="767">
        <v>16.440000000000001</v>
      </c>
      <c r="M2691" s="767">
        <v>16.440000000000001</v>
      </c>
      <c r="N2691" s="768">
        <v>16670.599999999999</v>
      </c>
      <c r="O2691" s="769">
        <v>0.3</v>
      </c>
      <c r="P2691" s="769"/>
      <c r="Q2691" s="768">
        <v>281.12</v>
      </c>
      <c r="R2691" s="761" t="s">
        <v>46</v>
      </c>
      <c r="S2691" s="770" t="s">
        <v>65</v>
      </c>
      <c r="T2691" s="770">
        <v>27</v>
      </c>
      <c r="U2691" s="771" t="s">
        <v>164</v>
      </c>
      <c r="V2691" s="772"/>
      <c r="X2691" s="768">
        <v>281.12</v>
      </c>
      <c r="Y2691" s="768"/>
      <c r="AJ2691" s="773"/>
      <c r="AT2691" s="761">
        <v>281.12</v>
      </c>
    </row>
    <row r="2692" spans="1:77" s="6" customFormat="1" ht="11.25" customHeight="1">
      <c r="A2692" s="473"/>
      <c r="B2692" s="486" t="s">
        <v>291</v>
      </c>
      <c r="C2692" s="487">
        <v>44727</v>
      </c>
      <c r="D2692" s="487">
        <v>44729</v>
      </c>
      <c r="E2692" s="488" t="s">
        <v>2057</v>
      </c>
      <c r="F2692" s="473" t="s">
        <v>439</v>
      </c>
      <c r="G2692" s="489">
        <v>3851</v>
      </c>
      <c r="H2692" s="473" t="s">
        <v>99</v>
      </c>
      <c r="I2692" s="491" t="s">
        <v>111</v>
      </c>
      <c r="J2692" s="490">
        <v>45025.2</v>
      </c>
      <c r="K2692" s="491"/>
      <c r="L2692" s="490">
        <v>45.48</v>
      </c>
      <c r="M2692" s="490">
        <v>45.48</v>
      </c>
      <c r="N2692" s="492"/>
      <c r="O2692" s="493">
        <v>0.15</v>
      </c>
      <c r="P2692" s="493"/>
      <c r="Q2692" s="492">
        <v>1491.24</v>
      </c>
      <c r="R2692" s="473" t="s">
        <v>35</v>
      </c>
      <c r="S2692" s="481" t="s">
        <v>41</v>
      </c>
      <c r="T2692" s="481">
        <v>16</v>
      </c>
      <c r="U2692" s="494" t="s">
        <v>164</v>
      </c>
      <c r="V2692" s="495"/>
      <c r="W2692" s="473"/>
      <c r="X2692" s="492">
        <v>1491.24</v>
      </c>
      <c r="Y2692" s="492"/>
      <c r="Z2692" s="473"/>
      <c r="AA2692" s="473"/>
      <c r="AB2692" s="473"/>
      <c r="AC2692" s="473"/>
      <c r="AD2692" s="473"/>
      <c r="AE2692" s="473"/>
      <c r="AF2692" s="473"/>
      <c r="AG2692" s="473"/>
      <c r="AH2692" s="473"/>
      <c r="AI2692" s="473"/>
      <c r="AJ2692" s="485"/>
      <c r="AK2692" s="505">
        <v>1491.24</v>
      </c>
      <c r="AL2692" s="473"/>
      <c r="AM2692" s="473"/>
      <c r="AN2692" s="473"/>
      <c r="AO2692" s="473"/>
      <c r="AP2692" s="473"/>
      <c r="AQ2692" s="473"/>
      <c r="AR2692" s="473"/>
      <c r="AS2692" s="473"/>
      <c r="AT2692" s="473"/>
      <c r="AU2692" s="473"/>
      <c r="AV2692" s="473"/>
      <c r="AW2692" s="473"/>
      <c r="AX2692" s="473"/>
      <c r="AY2692" s="473"/>
      <c r="AZ2692" s="473"/>
      <c r="BA2692" s="473"/>
      <c r="BB2692" s="473"/>
      <c r="BC2692" s="473"/>
      <c r="BD2692" s="473"/>
      <c r="BE2692" s="473"/>
      <c r="BF2692" s="473"/>
      <c r="BG2692" s="473"/>
      <c r="BH2692" s="473"/>
      <c r="BI2692" s="473"/>
      <c r="BJ2692" s="473"/>
      <c r="BK2692" s="473"/>
      <c r="BL2692" s="473"/>
      <c r="BM2692" s="473"/>
      <c r="BN2692" s="473"/>
      <c r="BO2692" s="473"/>
      <c r="BP2692" s="473"/>
      <c r="BQ2692" s="473"/>
      <c r="BR2692" s="473"/>
      <c r="BS2692" s="473"/>
      <c r="BT2692" s="473"/>
      <c r="BU2692" s="473"/>
      <c r="BV2692" s="473"/>
      <c r="BW2692" s="473"/>
      <c r="BX2692" s="473"/>
      <c r="BY2692" s="473"/>
    </row>
    <row r="2693" spans="1:77" s="473" customFormat="1" ht="11.25" customHeight="1">
      <c r="A2693" s="379"/>
      <c r="B2693" s="380" t="s">
        <v>291</v>
      </c>
      <c r="C2693" s="381"/>
      <c r="D2693" s="381"/>
      <c r="E2693" s="382" t="s">
        <v>2057</v>
      </c>
      <c r="F2693" s="379" t="s">
        <v>439</v>
      </c>
      <c r="G2693" s="383">
        <v>3851</v>
      </c>
      <c r="H2693" s="379" t="s">
        <v>27</v>
      </c>
      <c r="I2693" s="384" t="s">
        <v>111</v>
      </c>
      <c r="J2693" s="385">
        <v>7263.83</v>
      </c>
      <c r="K2693" s="384"/>
      <c r="L2693" s="385">
        <v>7.47</v>
      </c>
      <c r="M2693" s="385">
        <v>7.47</v>
      </c>
      <c r="N2693" s="386"/>
      <c r="O2693" s="387">
        <v>0.15</v>
      </c>
      <c r="P2693" s="387"/>
      <c r="Q2693" s="386">
        <v>0</v>
      </c>
      <c r="R2693" s="379" t="s">
        <v>35</v>
      </c>
      <c r="S2693" s="388" t="s">
        <v>41</v>
      </c>
      <c r="T2693" s="388">
        <v>16</v>
      </c>
      <c r="U2693" s="389" t="s">
        <v>164</v>
      </c>
      <c r="V2693" s="433"/>
      <c r="W2693" s="379"/>
      <c r="X2693" s="386">
        <v>0</v>
      </c>
      <c r="Y2693" s="386"/>
      <c r="Z2693" s="379"/>
      <c r="AA2693" s="379"/>
      <c r="AB2693" s="379"/>
      <c r="AC2693" s="379"/>
      <c r="AD2693" s="379"/>
      <c r="AE2693" s="379"/>
      <c r="AF2693" s="379"/>
      <c r="AG2693" s="379"/>
      <c r="AH2693" s="379"/>
      <c r="AI2693" s="379"/>
      <c r="AJ2693" s="390">
        <v>0</v>
      </c>
      <c r="AK2693" s="379"/>
      <c r="AL2693" s="379"/>
      <c r="AM2693" s="379"/>
      <c r="AN2693" s="379"/>
      <c r="AO2693" s="379"/>
      <c r="AP2693" s="379"/>
      <c r="AQ2693" s="379"/>
      <c r="AR2693" s="379"/>
      <c r="AS2693" s="379"/>
      <c r="AT2693" s="379"/>
      <c r="AU2693" s="379"/>
      <c r="AV2693" s="379"/>
      <c r="AW2693" s="379"/>
      <c r="AX2693" s="379"/>
      <c r="AY2693" s="379"/>
      <c r="AZ2693" s="379"/>
      <c r="BA2693" s="379"/>
      <c r="BB2693" s="379"/>
      <c r="BC2693" s="379"/>
      <c r="BD2693" s="379"/>
      <c r="BE2693" s="379"/>
      <c r="BF2693" s="379"/>
      <c r="BG2693" s="379"/>
      <c r="BH2693" s="379"/>
      <c r="BI2693" s="379"/>
      <c r="BJ2693" s="379"/>
      <c r="BK2693" s="379"/>
      <c r="BL2693" s="379"/>
      <c r="BM2693" s="379"/>
      <c r="BN2693" s="379"/>
      <c r="BO2693" s="379"/>
      <c r="BP2693" s="379"/>
      <c r="BQ2693" s="379"/>
      <c r="BR2693" s="379"/>
      <c r="BS2693" s="379"/>
      <c r="BT2693" s="379"/>
      <c r="BU2693" s="379"/>
      <c r="BV2693" s="379"/>
      <c r="BW2693" s="379"/>
      <c r="BX2693" s="379"/>
      <c r="BY2693" s="379"/>
    </row>
    <row r="2694" spans="1:77" s="379" customFormat="1" ht="11.25" customHeight="1">
      <c r="B2694" s="380" t="s">
        <v>291</v>
      </c>
      <c r="C2694" s="381">
        <v>44727</v>
      </c>
      <c r="D2694" s="381">
        <v>44729</v>
      </c>
      <c r="E2694" s="382" t="s">
        <v>2058</v>
      </c>
      <c r="F2694" s="379" t="s">
        <v>569</v>
      </c>
      <c r="G2694" s="383">
        <v>3649</v>
      </c>
      <c r="H2694" s="379" t="s">
        <v>765</v>
      </c>
      <c r="I2694" s="384" t="s">
        <v>958</v>
      </c>
      <c r="J2694" s="385">
        <v>17817.87</v>
      </c>
      <c r="K2694" s="384"/>
      <c r="L2694" s="385">
        <v>19.55</v>
      </c>
      <c r="M2694" s="385">
        <v>19.55</v>
      </c>
      <c r="N2694" s="386"/>
      <c r="O2694" s="387">
        <v>0.15</v>
      </c>
      <c r="P2694" s="387"/>
      <c r="Q2694" s="386">
        <v>0</v>
      </c>
      <c r="R2694" s="379" t="s">
        <v>35</v>
      </c>
      <c r="S2694" s="388" t="s">
        <v>41</v>
      </c>
      <c r="T2694" s="388">
        <v>16</v>
      </c>
      <c r="U2694" s="389" t="s">
        <v>164</v>
      </c>
      <c r="V2694" s="433"/>
      <c r="X2694" s="386">
        <v>0</v>
      </c>
      <c r="Y2694" s="386"/>
      <c r="AJ2694" s="390">
        <v>0</v>
      </c>
    </row>
    <row r="2695" spans="1:77" s="379" customFormat="1" ht="11.25" customHeight="1">
      <c r="B2695" s="380" t="s">
        <v>291</v>
      </c>
      <c r="C2695" s="381"/>
      <c r="D2695" s="381"/>
      <c r="E2695" s="382" t="s">
        <v>2059</v>
      </c>
      <c r="F2695" s="379" t="s">
        <v>747</v>
      </c>
      <c r="G2695" s="383" t="s">
        <v>748</v>
      </c>
      <c r="H2695" s="379" t="s">
        <v>1138</v>
      </c>
      <c r="I2695" s="384" t="s">
        <v>33</v>
      </c>
      <c r="J2695" s="385">
        <v>37240</v>
      </c>
      <c r="K2695" s="384"/>
      <c r="L2695" s="385">
        <v>21.28</v>
      </c>
      <c r="M2695" s="385">
        <v>21.28</v>
      </c>
      <c r="N2695" s="386"/>
      <c r="O2695" s="387">
        <v>0.2</v>
      </c>
      <c r="P2695" s="387"/>
      <c r="Q2695" s="386">
        <v>0</v>
      </c>
      <c r="R2695" s="379" t="s">
        <v>257</v>
      </c>
      <c r="S2695" s="388" t="s">
        <v>65</v>
      </c>
      <c r="T2695" s="388">
        <v>82</v>
      </c>
      <c r="U2695" s="389" t="s">
        <v>164</v>
      </c>
      <c r="V2695" s="433"/>
      <c r="X2695" s="386">
        <v>0</v>
      </c>
      <c r="Y2695" s="386"/>
      <c r="AJ2695" s="390">
        <v>0</v>
      </c>
    </row>
    <row r="2696" spans="1:77" s="379" customFormat="1" ht="11.25" customHeight="1">
      <c r="B2696" s="380" t="s">
        <v>291</v>
      </c>
      <c r="C2696" s="381"/>
      <c r="D2696" s="381"/>
      <c r="E2696" s="382" t="s">
        <v>2059</v>
      </c>
      <c r="F2696" s="379" t="s">
        <v>747</v>
      </c>
      <c r="G2696" s="383" t="s">
        <v>748</v>
      </c>
      <c r="H2696" s="379" t="s">
        <v>1018</v>
      </c>
      <c r="I2696" s="384" t="s">
        <v>33</v>
      </c>
      <c r="J2696" s="385">
        <v>18042</v>
      </c>
      <c r="K2696" s="384"/>
      <c r="L2696" s="385">
        <v>24.25</v>
      </c>
      <c r="M2696" s="385">
        <v>24.25</v>
      </c>
      <c r="N2696" s="386"/>
      <c r="O2696" s="387">
        <v>0.2</v>
      </c>
      <c r="P2696" s="387"/>
      <c r="Q2696" s="386">
        <v>0</v>
      </c>
      <c r="R2696" s="379" t="s">
        <v>257</v>
      </c>
      <c r="S2696" s="388" t="s">
        <v>65</v>
      </c>
      <c r="T2696" s="388">
        <v>82</v>
      </c>
      <c r="U2696" s="389" t="s">
        <v>164</v>
      </c>
      <c r="V2696" s="433"/>
      <c r="X2696" s="386">
        <v>0</v>
      </c>
      <c r="Y2696" s="386"/>
      <c r="AJ2696" s="390">
        <v>0</v>
      </c>
    </row>
    <row r="2697" spans="1:77" s="337" customFormat="1" ht="11.25" customHeight="1">
      <c r="B2697" s="338" t="s">
        <v>291</v>
      </c>
      <c r="C2697" s="349">
        <v>44729</v>
      </c>
      <c r="D2697" s="349">
        <v>44729</v>
      </c>
      <c r="E2697" s="350" t="s">
        <v>2059</v>
      </c>
      <c r="F2697" s="337" t="s">
        <v>747</v>
      </c>
      <c r="G2697" s="351" t="s">
        <v>748</v>
      </c>
      <c r="H2697" s="337" t="s">
        <v>192</v>
      </c>
      <c r="I2697" s="353" t="s">
        <v>33</v>
      </c>
      <c r="J2697" s="352">
        <v>12972</v>
      </c>
      <c r="K2697" s="353"/>
      <c r="L2697" s="352">
        <v>12</v>
      </c>
      <c r="M2697" s="352">
        <v>12</v>
      </c>
      <c r="N2697" s="354"/>
      <c r="O2697" s="355">
        <v>0.2</v>
      </c>
      <c r="P2697" s="355"/>
      <c r="Q2697" s="354">
        <v>2989.2</v>
      </c>
      <c r="R2697" s="337" t="s">
        <v>257</v>
      </c>
      <c r="S2697" s="356" t="s">
        <v>65</v>
      </c>
      <c r="T2697" s="356">
        <v>82</v>
      </c>
      <c r="U2697" s="357" t="s">
        <v>164</v>
      </c>
      <c r="V2697" s="434"/>
      <c r="X2697" s="354">
        <v>2989.2</v>
      </c>
      <c r="Y2697" s="354"/>
      <c r="AI2697" s="354">
        <v>2989.2</v>
      </c>
      <c r="AJ2697" s="358"/>
      <c r="AK2697" s="369"/>
    </row>
    <row r="2698" spans="1:77" s="337" customFormat="1" ht="11.25" customHeight="1">
      <c r="B2698" s="338" t="s">
        <v>291</v>
      </c>
      <c r="C2698" s="349"/>
      <c r="D2698" s="349"/>
      <c r="E2698" s="350" t="s">
        <v>2059</v>
      </c>
      <c r="F2698" s="337" t="s">
        <v>747</v>
      </c>
      <c r="G2698" s="351" t="s">
        <v>748</v>
      </c>
      <c r="H2698" s="337" t="s">
        <v>685</v>
      </c>
      <c r="I2698" s="353" t="s">
        <v>33</v>
      </c>
      <c r="J2698" s="352">
        <v>14868</v>
      </c>
      <c r="K2698" s="353"/>
      <c r="L2698" s="352">
        <v>8.26</v>
      </c>
      <c r="M2698" s="352">
        <v>8.26</v>
      </c>
      <c r="N2698" s="354"/>
      <c r="O2698" s="355">
        <v>0.2</v>
      </c>
      <c r="P2698" s="355"/>
      <c r="Q2698" s="354">
        <v>0</v>
      </c>
      <c r="R2698" s="337" t="s">
        <v>257</v>
      </c>
      <c r="S2698" s="356" t="s">
        <v>65</v>
      </c>
      <c r="T2698" s="356">
        <v>82</v>
      </c>
      <c r="U2698" s="357" t="s">
        <v>164</v>
      </c>
      <c r="V2698" s="434"/>
      <c r="X2698" s="354">
        <v>0</v>
      </c>
      <c r="Y2698" s="354"/>
      <c r="AI2698" s="337">
        <v>0</v>
      </c>
      <c r="AJ2698" s="358"/>
      <c r="AK2698" s="369"/>
    </row>
    <row r="2699" spans="1:77" s="337" customFormat="1" ht="11.25" customHeight="1">
      <c r="B2699" s="338" t="s">
        <v>291</v>
      </c>
      <c r="C2699" s="349">
        <v>44729</v>
      </c>
      <c r="D2699" s="349">
        <v>44729</v>
      </c>
      <c r="E2699" s="350" t="s">
        <v>2060</v>
      </c>
      <c r="F2699" s="337" t="s">
        <v>2061</v>
      </c>
      <c r="G2699" s="351" t="s">
        <v>2062</v>
      </c>
      <c r="H2699" s="337" t="s">
        <v>99</v>
      </c>
      <c r="I2699" s="353" t="s">
        <v>33</v>
      </c>
      <c r="J2699" s="352">
        <v>9159.81</v>
      </c>
      <c r="K2699" s="353"/>
      <c r="L2699" s="352">
        <v>6.15</v>
      </c>
      <c r="M2699" s="352">
        <v>6.15</v>
      </c>
      <c r="N2699" s="354"/>
      <c r="O2699" s="355">
        <v>0.25</v>
      </c>
      <c r="P2699" s="355"/>
      <c r="Q2699" s="354">
        <v>0</v>
      </c>
      <c r="R2699" s="337" t="s">
        <v>35</v>
      </c>
      <c r="S2699" s="356" t="s">
        <v>41</v>
      </c>
      <c r="T2699" s="356">
        <v>16</v>
      </c>
      <c r="U2699" s="357" t="s">
        <v>164</v>
      </c>
      <c r="V2699" s="434"/>
      <c r="X2699" s="354">
        <v>0</v>
      </c>
      <c r="Y2699" s="354"/>
      <c r="AI2699" s="337">
        <v>0</v>
      </c>
      <c r="AJ2699" s="358"/>
      <c r="AK2699" s="369"/>
    </row>
    <row r="2700" spans="1:77" s="337" customFormat="1" ht="11.25" customHeight="1">
      <c r="B2700" s="338" t="s">
        <v>291</v>
      </c>
      <c r="C2700" s="349"/>
      <c r="D2700" s="349"/>
      <c r="E2700" s="350" t="s">
        <v>2060</v>
      </c>
      <c r="F2700" s="337" t="s">
        <v>2061</v>
      </c>
      <c r="G2700" s="351" t="s">
        <v>2062</v>
      </c>
      <c r="H2700" s="337" t="s">
        <v>163</v>
      </c>
      <c r="I2700" s="353" t="s">
        <v>33</v>
      </c>
      <c r="J2700" s="352">
        <v>37390.22</v>
      </c>
      <c r="K2700" s="353"/>
      <c r="L2700" s="352">
        <v>32.15</v>
      </c>
      <c r="M2700" s="352">
        <v>32.15</v>
      </c>
      <c r="N2700" s="354"/>
      <c r="O2700" s="355">
        <v>0.25</v>
      </c>
      <c r="P2700" s="355"/>
      <c r="Q2700" s="354">
        <v>0</v>
      </c>
      <c r="R2700" s="337" t="s">
        <v>35</v>
      </c>
      <c r="S2700" s="356" t="s">
        <v>41</v>
      </c>
      <c r="T2700" s="356">
        <v>16</v>
      </c>
      <c r="U2700" s="357" t="s">
        <v>164</v>
      </c>
      <c r="V2700" s="434"/>
      <c r="X2700" s="354">
        <v>0</v>
      </c>
      <c r="Y2700" s="354"/>
      <c r="AI2700" s="337">
        <v>0</v>
      </c>
      <c r="AJ2700" s="358"/>
      <c r="AK2700" s="369"/>
    </row>
    <row r="2701" spans="1:77" s="261" customFormat="1" ht="11.25" customHeight="1">
      <c r="A2701" s="379"/>
      <c r="B2701" s="380" t="s">
        <v>291</v>
      </c>
      <c r="C2701" s="381"/>
      <c r="D2701" s="381"/>
      <c r="E2701" s="382" t="s">
        <v>2063</v>
      </c>
      <c r="F2701" s="379" t="s">
        <v>2064</v>
      </c>
      <c r="G2701" s="383">
        <v>4133</v>
      </c>
      <c r="H2701" s="379" t="s">
        <v>765</v>
      </c>
      <c r="I2701" s="384" t="s">
        <v>888</v>
      </c>
      <c r="J2701" s="385">
        <v>18262.8</v>
      </c>
      <c r="K2701" s="384"/>
      <c r="L2701" s="385">
        <v>16.91</v>
      </c>
      <c r="M2701" s="385">
        <v>16.91</v>
      </c>
      <c r="N2701" s="386"/>
      <c r="O2701" s="387">
        <v>0.2</v>
      </c>
      <c r="P2701" s="387"/>
      <c r="Q2701" s="386">
        <v>0</v>
      </c>
      <c r="R2701" s="379" t="s">
        <v>73</v>
      </c>
      <c r="S2701" s="388" t="s">
        <v>74</v>
      </c>
      <c r="T2701" s="388">
        <v>31</v>
      </c>
      <c r="U2701" s="389" t="s">
        <v>164</v>
      </c>
      <c r="V2701" s="433"/>
      <c r="W2701" s="379"/>
      <c r="X2701" s="386">
        <v>0</v>
      </c>
      <c r="Y2701" s="386"/>
      <c r="Z2701" s="379"/>
      <c r="AA2701" s="379"/>
      <c r="AB2701" s="379"/>
      <c r="AC2701" s="379"/>
      <c r="AD2701" s="379"/>
      <c r="AE2701" s="379"/>
      <c r="AF2701" s="379"/>
      <c r="AG2701" s="379"/>
      <c r="AH2701" s="379"/>
      <c r="AI2701" s="379"/>
      <c r="AJ2701" s="390">
        <v>0</v>
      </c>
      <c r="AK2701" s="379"/>
      <c r="AL2701" s="379"/>
      <c r="AM2701" s="379"/>
      <c r="AN2701" s="379"/>
      <c r="AO2701" s="379"/>
      <c r="AP2701" s="379"/>
      <c r="AQ2701" s="379"/>
      <c r="AR2701" s="379"/>
      <c r="AS2701" s="379"/>
      <c r="AT2701" s="379"/>
      <c r="AU2701" s="379"/>
      <c r="AV2701" s="379"/>
      <c r="AW2701" s="379"/>
      <c r="AX2701" s="379"/>
      <c r="AY2701" s="379"/>
      <c r="AZ2701" s="379"/>
      <c r="BA2701" s="379"/>
      <c r="BB2701" s="379"/>
      <c r="BC2701" s="379"/>
      <c r="BD2701" s="379"/>
      <c r="BE2701" s="379"/>
      <c r="BF2701" s="379"/>
      <c r="BG2701" s="379"/>
      <c r="BH2701" s="379"/>
      <c r="BI2701" s="379"/>
      <c r="BJ2701" s="379"/>
      <c r="BK2701" s="379"/>
      <c r="BL2701" s="379"/>
      <c r="BM2701" s="379"/>
      <c r="BN2701" s="379"/>
      <c r="BO2701" s="379"/>
      <c r="BP2701" s="379"/>
      <c r="BQ2701" s="379"/>
      <c r="BR2701" s="379"/>
      <c r="BS2701" s="379"/>
      <c r="BT2701" s="379"/>
      <c r="BU2701" s="379"/>
      <c r="BV2701" s="379"/>
      <c r="BW2701" s="379"/>
      <c r="BX2701" s="379"/>
      <c r="BY2701" s="379"/>
    </row>
    <row r="2702" spans="1:77" s="261" customFormat="1" ht="11.25" customHeight="1">
      <c r="A2702" s="379"/>
      <c r="B2702" s="380" t="s">
        <v>291</v>
      </c>
      <c r="C2702" s="381"/>
      <c r="D2702" s="381"/>
      <c r="E2702" s="382" t="s">
        <v>2063</v>
      </c>
      <c r="F2702" s="379" t="s">
        <v>2064</v>
      </c>
      <c r="G2702" s="383">
        <v>4133</v>
      </c>
      <c r="H2702" s="379" t="s">
        <v>765</v>
      </c>
      <c r="I2702" s="384" t="s">
        <v>888</v>
      </c>
      <c r="J2702" s="385">
        <v>23414.400000000001</v>
      </c>
      <c r="K2702" s="384"/>
      <c r="L2702" s="385">
        <v>21.68</v>
      </c>
      <c r="M2702" s="385">
        <v>21.68</v>
      </c>
      <c r="N2702" s="386"/>
      <c r="O2702" s="387">
        <v>0.2</v>
      </c>
      <c r="P2702" s="387"/>
      <c r="Q2702" s="386">
        <v>0</v>
      </c>
      <c r="R2702" s="379" t="s">
        <v>73</v>
      </c>
      <c r="S2702" s="388" t="s">
        <v>74</v>
      </c>
      <c r="T2702" s="388">
        <v>32</v>
      </c>
      <c r="U2702" s="389" t="s">
        <v>164</v>
      </c>
      <c r="V2702" s="433"/>
      <c r="W2702" s="379"/>
      <c r="X2702" s="386">
        <v>0</v>
      </c>
      <c r="Y2702" s="386"/>
      <c r="Z2702" s="379"/>
      <c r="AA2702" s="379"/>
      <c r="AB2702" s="379"/>
      <c r="AC2702" s="379"/>
      <c r="AD2702" s="379"/>
      <c r="AE2702" s="379"/>
      <c r="AF2702" s="379"/>
      <c r="AG2702" s="379"/>
      <c r="AH2702" s="379"/>
      <c r="AI2702" s="379"/>
      <c r="AJ2702" s="390">
        <v>0</v>
      </c>
      <c r="AK2702" s="379"/>
      <c r="AL2702" s="379"/>
      <c r="AM2702" s="379"/>
      <c r="AN2702" s="379"/>
      <c r="AO2702" s="379"/>
      <c r="AP2702" s="379"/>
      <c r="AQ2702" s="379"/>
      <c r="AR2702" s="379"/>
      <c r="AS2702" s="379"/>
      <c r="AT2702" s="379"/>
      <c r="AU2702" s="379"/>
      <c r="AV2702" s="379"/>
      <c r="AW2702" s="379"/>
      <c r="AX2702" s="379"/>
      <c r="AY2702" s="379"/>
      <c r="AZ2702" s="379"/>
      <c r="BA2702" s="379"/>
      <c r="BB2702" s="379"/>
      <c r="BC2702" s="379"/>
      <c r="BD2702" s="379"/>
      <c r="BE2702" s="379"/>
      <c r="BF2702" s="379"/>
      <c r="BG2702" s="379"/>
      <c r="BH2702" s="379"/>
      <c r="BI2702" s="379"/>
      <c r="BJ2702" s="379"/>
      <c r="BK2702" s="379"/>
      <c r="BL2702" s="379"/>
      <c r="BM2702" s="379"/>
      <c r="BN2702" s="379"/>
      <c r="BO2702" s="379"/>
      <c r="BP2702" s="379"/>
      <c r="BQ2702" s="379"/>
      <c r="BR2702" s="379"/>
      <c r="BS2702" s="379"/>
      <c r="BT2702" s="379"/>
      <c r="BU2702" s="379"/>
      <c r="BV2702" s="379"/>
      <c r="BW2702" s="379"/>
      <c r="BX2702" s="379"/>
      <c r="BY2702" s="379"/>
    </row>
    <row r="2703" spans="1:77" s="261" customFormat="1" ht="11.25" customHeight="1">
      <c r="B2703" s="258" t="s">
        <v>291</v>
      </c>
      <c r="C2703" s="259">
        <v>44726</v>
      </c>
      <c r="D2703" s="259">
        <v>44729</v>
      </c>
      <c r="E2703" s="260" t="s">
        <v>2063</v>
      </c>
      <c r="F2703" s="261" t="s">
        <v>2064</v>
      </c>
      <c r="G2703" s="262">
        <v>4133</v>
      </c>
      <c r="H2703" s="261" t="s">
        <v>138</v>
      </c>
      <c r="I2703" s="264" t="s">
        <v>888</v>
      </c>
      <c r="J2703" s="263">
        <v>10914.96</v>
      </c>
      <c r="K2703" s="264"/>
      <c r="L2703" s="263">
        <v>8.76</v>
      </c>
      <c r="M2703" s="263">
        <v>8.76</v>
      </c>
      <c r="N2703" s="265"/>
      <c r="O2703" s="266">
        <v>0.2</v>
      </c>
      <c r="P2703" s="266"/>
      <c r="Q2703" s="265">
        <v>0</v>
      </c>
      <c r="R2703" s="261" t="s">
        <v>73</v>
      </c>
      <c r="S2703" s="267" t="s">
        <v>74</v>
      </c>
      <c r="T2703" s="267">
        <v>31</v>
      </c>
      <c r="U2703" s="268" t="s">
        <v>164</v>
      </c>
      <c r="V2703" s="427"/>
      <c r="W2703" s="261" t="s">
        <v>3660</v>
      </c>
      <c r="X2703" s="265">
        <v>0</v>
      </c>
      <c r="Y2703" s="265"/>
      <c r="AG2703" s="261">
        <f>X2703</f>
        <v>0</v>
      </c>
      <c r="AJ2703" s="642"/>
    </row>
    <row r="2704" spans="1:77" s="261" customFormat="1" ht="11.25" customHeight="1">
      <c r="B2704" s="258" t="s">
        <v>291</v>
      </c>
      <c r="C2704" s="259"/>
      <c r="D2704" s="259"/>
      <c r="E2704" s="260" t="s">
        <v>2063</v>
      </c>
      <c r="F2704" s="261" t="s">
        <v>2064</v>
      </c>
      <c r="G2704" s="262">
        <v>4133</v>
      </c>
      <c r="H2704" s="261" t="s">
        <v>99</v>
      </c>
      <c r="I2704" s="264" t="s">
        <v>888</v>
      </c>
      <c r="J2704" s="263">
        <v>15946.31</v>
      </c>
      <c r="K2704" s="264"/>
      <c r="L2704" s="263">
        <v>14.22</v>
      </c>
      <c r="M2704" s="263">
        <v>14.22</v>
      </c>
      <c r="N2704" s="265"/>
      <c r="O2704" s="266">
        <v>0.2</v>
      </c>
      <c r="P2704" s="266"/>
      <c r="Q2704" s="265">
        <v>0</v>
      </c>
      <c r="R2704" s="261" t="s">
        <v>73</v>
      </c>
      <c r="S2704" s="267" t="s">
        <v>74</v>
      </c>
      <c r="T2704" s="267">
        <v>31</v>
      </c>
      <c r="U2704" s="268" t="s">
        <v>164</v>
      </c>
      <c r="V2704" s="427"/>
      <c r="W2704" s="261" t="s">
        <v>3660</v>
      </c>
      <c r="X2704" s="265">
        <v>0</v>
      </c>
      <c r="Y2704" s="265"/>
      <c r="AG2704" s="261">
        <f>X2704</f>
        <v>0</v>
      </c>
      <c r="AJ2704" s="642"/>
    </row>
    <row r="2705" spans="1:77" s="473" customFormat="1" ht="11.25" customHeight="1">
      <c r="B2705" s="486" t="s">
        <v>291</v>
      </c>
      <c r="C2705" s="487">
        <v>44727</v>
      </c>
      <c r="D2705" s="487">
        <v>44729</v>
      </c>
      <c r="E2705" s="488" t="s">
        <v>2065</v>
      </c>
      <c r="F2705" s="473" t="s">
        <v>2066</v>
      </c>
      <c r="G2705" s="489" t="s">
        <v>2067</v>
      </c>
      <c r="H2705" s="473" t="s">
        <v>1300</v>
      </c>
      <c r="I2705" s="491" t="s">
        <v>958</v>
      </c>
      <c r="J2705" s="490">
        <v>85521.15</v>
      </c>
      <c r="K2705" s="491"/>
      <c r="L2705" s="490">
        <v>48.73</v>
      </c>
      <c r="M2705" s="490">
        <v>25</v>
      </c>
      <c r="N2705" s="492">
        <f>J2705*0.85</f>
        <v>72692.977499999994</v>
      </c>
      <c r="O2705" s="493">
        <v>0.25</v>
      </c>
      <c r="P2705" s="493"/>
      <c r="Q2705" s="492">
        <v>58293.26</v>
      </c>
      <c r="R2705" s="473" t="s">
        <v>29</v>
      </c>
      <c r="S2705" s="481" t="s">
        <v>275</v>
      </c>
      <c r="T2705" s="481">
        <v>21</v>
      </c>
      <c r="U2705" s="494" t="s">
        <v>164</v>
      </c>
      <c r="V2705" s="495"/>
      <c r="X2705" s="492">
        <v>58293.26</v>
      </c>
      <c r="Y2705" s="492"/>
      <c r="AJ2705" s="485"/>
      <c r="AK2705" s="505">
        <v>58293.26</v>
      </c>
    </row>
    <row r="2706" spans="1:77" s="379" customFormat="1" ht="11.25" customHeight="1">
      <c r="B2706" s="379" t="s">
        <v>291</v>
      </c>
      <c r="C2706" s="381">
        <v>44729</v>
      </c>
      <c r="D2706" s="381">
        <v>44729</v>
      </c>
      <c r="E2706" s="382" t="s">
        <v>2068</v>
      </c>
      <c r="F2706" s="379" t="s">
        <v>1060</v>
      </c>
      <c r="G2706" s="383">
        <v>4462</v>
      </c>
      <c r="H2706" s="379" t="s">
        <v>310</v>
      </c>
      <c r="I2706" s="384" t="s">
        <v>111</v>
      </c>
      <c r="J2706" s="385">
        <v>7737.13</v>
      </c>
      <c r="K2706" s="384"/>
      <c r="L2706" s="385">
        <v>9.35</v>
      </c>
      <c r="M2706" s="385">
        <v>9.34</v>
      </c>
      <c r="N2706" s="386"/>
      <c r="O2706" s="387">
        <v>0.15</v>
      </c>
      <c r="P2706" s="387"/>
      <c r="Q2706" s="386">
        <v>0</v>
      </c>
      <c r="R2706" s="379" t="s">
        <v>128</v>
      </c>
      <c r="S2706" s="388" t="s">
        <v>34</v>
      </c>
      <c r="T2706" s="388">
        <v>79</v>
      </c>
      <c r="U2706" s="389" t="s">
        <v>164</v>
      </c>
      <c r="V2706" s="433"/>
      <c r="X2706" s="386">
        <v>0</v>
      </c>
      <c r="Y2706" s="386"/>
      <c r="AJ2706" s="390">
        <v>0</v>
      </c>
    </row>
    <row r="2707" spans="1:77" s="337" customFormat="1" ht="11.25" customHeight="1">
      <c r="B2707" s="337" t="s">
        <v>291</v>
      </c>
      <c r="C2707" s="349">
        <v>44725</v>
      </c>
      <c r="D2707" s="349">
        <v>44729</v>
      </c>
      <c r="E2707" s="350" t="s">
        <v>2071</v>
      </c>
      <c r="F2707" s="337" t="s">
        <v>2069</v>
      </c>
      <c r="G2707" s="351" t="s">
        <v>2070</v>
      </c>
      <c r="H2707" s="337" t="s">
        <v>684</v>
      </c>
      <c r="I2707" s="353" t="s">
        <v>33</v>
      </c>
      <c r="J2707" s="352">
        <v>19664.64</v>
      </c>
      <c r="K2707" s="353"/>
      <c r="L2707" s="352">
        <v>16</v>
      </c>
      <c r="M2707" s="352">
        <v>15.17</v>
      </c>
      <c r="N2707" s="354">
        <v>2140.67</v>
      </c>
      <c r="O2707" s="355">
        <v>0.25</v>
      </c>
      <c r="P2707" s="355"/>
      <c r="Q2707" s="354">
        <v>2140.67</v>
      </c>
      <c r="R2707" s="337" t="s">
        <v>128</v>
      </c>
      <c r="S2707" s="356" t="s">
        <v>65</v>
      </c>
      <c r="T2707" s="356">
        <v>79</v>
      </c>
      <c r="U2707" s="357" t="s">
        <v>164</v>
      </c>
      <c r="V2707" s="434"/>
      <c r="X2707" s="354">
        <v>2140.67</v>
      </c>
      <c r="Y2707" s="354"/>
      <c r="AI2707" s="354">
        <v>2140.67</v>
      </c>
      <c r="AJ2707" s="358"/>
      <c r="AK2707" s="369"/>
    </row>
    <row r="2708" spans="1:77" s="337" customFormat="1" ht="11.25" customHeight="1">
      <c r="B2708" s="337" t="s">
        <v>291</v>
      </c>
      <c r="C2708" s="349"/>
      <c r="D2708" s="349"/>
      <c r="E2708" s="350" t="s">
        <v>2071</v>
      </c>
      <c r="F2708" s="337" t="s">
        <v>2069</v>
      </c>
      <c r="G2708" s="351" t="s">
        <v>2070</v>
      </c>
      <c r="H2708" s="337" t="s">
        <v>444</v>
      </c>
      <c r="I2708" s="353" t="s">
        <v>33</v>
      </c>
      <c r="J2708" s="352">
        <v>120339.1</v>
      </c>
      <c r="K2708" s="353"/>
      <c r="L2708" s="352">
        <v>70</v>
      </c>
      <c r="M2708" s="352">
        <v>62.91</v>
      </c>
      <c r="N2708" s="354">
        <v>11135.35</v>
      </c>
      <c r="O2708" s="355">
        <v>0.25</v>
      </c>
      <c r="P2708" s="355"/>
      <c r="Q2708" s="354">
        <v>11135.35</v>
      </c>
      <c r="R2708" s="337" t="s">
        <v>128</v>
      </c>
      <c r="S2708" s="356" t="s">
        <v>65</v>
      </c>
      <c r="T2708" s="356">
        <v>79</v>
      </c>
      <c r="U2708" s="357" t="s">
        <v>164</v>
      </c>
      <c r="V2708" s="434"/>
      <c r="X2708" s="354">
        <v>11135.35</v>
      </c>
      <c r="Y2708" s="354"/>
      <c r="AI2708" s="354">
        <v>11135.35</v>
      </c>
      <c r="AJ2708" s="358"/>
      <c r="AK2708" s="369"/>
    </row>
    <row r="2709" spans="1:77" s="337" customFormat="1" ht="11.25" customHeight="1">
      <c r="B2709" s="337" t="s">
        <v>291</v>
      </c>
      <c r="C2709" s="349">
        <v>44725</v>
      </c>
      <c r="D2709" s="349">
        <v>44729</v>
      </c>
      <c r="E2709" s="350" t="s">
        <v>2072</v>
      </c>
      <c r="F2709" s="337" t="s">
        <v>2073</v>
      </c>
      <c r="G2709" s="351" t="s">
        <v>2074</v>
      </c>
      <c r="H2709" s="337" t="s">
        <v>684</v>
      </c>
      <c r="I2709" s="353" t="s">
        <v>33</v>
      </c>
      <c r="J2709" s="352">
        <v>2867.76</v>
      </c>
      <c r="K2709" s="353"/>
      <c r="L2709" s="352">
        <v>2.52</v>
      </c>
      <c r="M2709" s="352">
        <v>2.52</v>
      </c>
      <c r="N2709" s="354"/>
      <c r="O2709" s="355">
        <v>0.25</v>
      </c>
      <c r="P2709" s="355"/>
      <c r="Q2709" s="354">
        <v>0</v>
      </c>
      <c r="R2709" s="337" t="s">
        <v>128</v>
      </c>
      <c r="S2709" s="356" t="s">
        <v>65</v>
      </c>
      <c r="T2709" s="356">
        <v>86</v>
      </c>
      <c r="U2709" s="357" t="s">
        <v>164</v>
      </c>
      <c r="V2709" s="434"/>
      <c r="X2709" s="354">
        <v>0</v>
      </c>
      <c r="Y2709" s="354"/>
      <c r="AI2709" s="337">
        <v>0</v>
      </c>
      <c r="AJ2709" s="358"/>
      <c r="AK2709" s="369"/>
    </row>
    <row r="2710" spans="1:77" s="337" customFormat="1" ht="11.25" customHeight="1">
      <c r="B2710" s="337" t="s">
        <v>291</v>
      </c>
      <c r="C2710" s="349"/>
      <c r="D2710" s="349"/>
      <c r="E2710" s="350" t="s">
        <v>2072</v>
      </c>
      <c r="F2710" s="337" t="s">
        <v>2073</v>
      </c>
      <c r="G2710" s="351" t="s">
        <v>2074</v>
      </c>
      <c r="H2710" s="337" t="s">
        <v>684</v>
      </c>
      <c r="I2710" s="353" t="s">
        <v>33</v>
      </c>
      <c r="J2710" s="352">
        <v>26208.14</v>
      </c>
      <c r="K2710" s="353"/>
      <c r="L2710" s="352">
        <v>23.03</v>
      </c>
      <c r="M2710" s="352">
        <v>23.03</v>
      </c>
      <c r="N2710" s="354"/>
      <c r="O2710" s="355">
        <v>0.25</v>
      </c>
      <c r="P2710" s="355"/>
      <c r="Q2710" s="354">
        <v>1860.86</v>
      </c>
      <c r="R2710" s="337" t="s">
        <v>128</v>
      </c>
      <c r="S2710" s="356" t="s">
        <v>65</v>
      </c>
      <c r="T2710" s="356">
        <v>79</v>
      </c>
      <c r="U2710" s="357" t="s">
        <v>164</v>
      </c>
      <c r="V2710" s="434"/>
      <c r="X2710" s="354">
        <v>1860.86</v>
      </c>
      <c r="Y2710" s="354"/>
      <c r="AI2710" s="354">
        <v>1860.86</v>
      </c>
      <c r="AJ2710" s="358"/>
      <c r="AK2710" s="369"/>
    </row>
    <row r="2711" spans="1:77" s="337" customFormat="1" ht="11.25" customHeight="1">
      <c r="B2711" s="337" t="s">
        <v>291</v>
      </c>
      <c r="C2711" s="349">
        <v>44725</v>
      </c>
      <c r="D2711" s="349">
        <v>44729</v>
      </c>
      <c r="E2711" s="350" t="s">
        <v>2075</v>
      </c>
      <c r="F2711" s="337" t="s">
        <v>2076</v>
      </c>
      <c r="G2711" s="351" t="s">
        <v>2077</v>
      </c>
      <c r="H2711" s="337" t="s">
        <v>684</v>
      </c>
      <c r="I2711" s="353" t="s">
        <v>33</v>
      </c>
      <c r="J2711" s="352">
        <v>1786.66</v>
      </c>
      <c r="K2711" s="353"/>
      <c r="L2711" s="352">
        <v>1.57</v>
      </c>
      <c r="M2711" s="352">
        <v>1.57</v>
      </c>
      <c r="N2711" s="354"/>
      <c r="O2711" s="355">
        <v>0.25</v>
      </c>
      <c r="P2711" s="355"/>
      <c r="Q2711" s="354">
        <v>382.35</v>
      </c>
      <c r="R2711" s="337" t="s">
        <v>128</v>
      </c>
      <c r="S2711" s="356" t="s">
        <v>65</v>
      </c>
      <c r="T2711" s="356">
        <v>79</v>
      </c>
      <c r="U2711" s="357" t="s">
        <v>164</v>
      </c>
      <c r="V2711" s="434"/>
      <c r="X2711" s="354">
        <v>382.35</v>
      </c>
      <c r="Y2711" s="354"/>
      <c r="AI2711" s="354">
        <v>382.35</v>
      </c>
      <c r="AJ2711" s="358"/>
      <c r="AK2711" s="369"/>
    </row>
    <row r="2712" spans="1:77" s="205" customFormat="1" ht="11.25" customHeight="1">
      <c r="A2712" s="379"/>
      <c r="B2712" s="379" t="s">
        <v>291</v>
      </c>
      <c r="C2712" s="381"/>
      <c r="D2712" s="381"/>
      <c r="E2712" s="382" t="s">
        <v>2078</v>
      </c>
      <c r="F2712" s="379" t="s">
        <v>2079</v>
      </c>
      <c r="G2712" s="383">
        <v>4425</v>
      </c>
      <c r="H2712" s="379" t="s">
        <v>866</v>
      </c>
      <c r="I2712" s="384" t="s">
        <v>33</v>
      </c>
      <c r="J2712" s="385">
        <v>15710.92</v>
      </c>
      <c r="K2712" s="384"/>
      <c r="L2712" s="385">
        <v>15.02</v>
      </c>
      <c r="M2712" s="385">
        <v>15.02</v>
      </c>
      <c r="N2712" s="386"/>
      <c r="O2712" s="387">
        <v>0.15</v>
      </c>
      <c r="P2712" s="387"/>
      <c r="Q2712" s="386">
        <v>0</v>
      </c>
      <c r="R2712" s="379" t="s">
        <v>128</v>
      </c>
      <c r="S2712" s="388" t="s">
        <v>118</v>
      </c>
      <c r="T2712" s="388">
        <v>79</v>
      </c>
      <c r="U2712" s="389" t="s">
        <v>164</v>
      </c>
      <c r="V2712" s="433"/>
      <c r="W2712" s="379"/>
      <c r="X2712" s="386">
        <v>0</v>
      </c>
      <c r="Y2712" s="386"/>
      <c r="Z2712" s="379"/>
      <c r="AA2712" s="379"/>
      <c r="AB2712" s="379"/>
      <c r="AC2712" s="379"/>
      <c r="AD2712" s="379"/>
      <c r="AE2712" s="379"/>
      <c r="AF2712" s="379"/>
      <c r="AG2712" s="379"/>
      <c r="AH2712" s="379"/>
      <c r="AI2712" s="379"/>
      <c r="AJ2712" s="390">
        <v>0</v>
      </c>
      <c r="AK2712" s="379"/>
      <c r="AL2712" s="379"/>
      <c r="AM2712" s="379"/>
      <c r="AN2712" s="379"/>
      <c r="AO2712" s="379"/>
      <c r="AP2712" s="379"/>
      <c r="AQ2712" s="379"/>
      <c r="AR2712" s="379"/>
      <c r="AS2712" s="379"/>
      <c r="AT2712" s="379"/>
      <c r="AU2712" s="379"/>
      <c r="AV2712" s="379"/>
      <c r="AW2712" s="379"/>
      <c r="AX2712" s="379"/>
      <c r="AY2712" s="379"/>
      <c r="AZ2712" s="379"/>
      <c r="BA2712" s="379"/>
      <c r="BB2712" s="379"/>
      <c r="BC2712" s="379"/>
      <c r="BD2712" s="379"/>
      <c r="BE2712" s="379"/>
      <c r="BF2712" s="379"/>
      <c r="BG2712" s="379"/>
      <c r="BH2712" s="379"/>
      <c r="BI2712" s="379"/>
      <c r="BJ2712" s="379"/>
      <c r="BK2712" s="379"/>
      <c r="BL2712" s="379"/>
      <c r="BM2712" s="379"/>
      <c r="BN2712" s="379"/>
      <c r="BO2712" s="379"/>
      <c r="BP2712" s="379"/>
      <c r="BQ2712" s="379"/>
      <c r="BR2712" s="379"/>
      <c r="BS2712" s="379"/>
      <c r="BT2712" s="379"/>
      <c r="BU2712" s="379"/>
      <c r="BV2712" s="379"/>
      <c r="BW2712" s="379"/>
      <c r="BX2712" s="379"/>
      <c r="BY2712" s="379"/>
    </row>
    <row r="2713" spans="1:77" s="379" customFormat="1" ht="11.25" customHeight="1">
      <c r="B2713" s="379" t="s">
        <v>291</v>
      </c>
      <c r="C2713" s="381"/>
      <c r="D2713" s="381"/>
      <c r="E2713" s="382" t="s">
        <v>2078</v>
      </c>
      <c r="F2713" s="379" t="s">
        <v>2079</v>
      </c>
      <c r="G2713" s="383">
        <v>4425</v>
      </c>
      <c r="H2713" s="379" t="s">
        <v>765</v>
      </c>
      <c r="I2713" s="384" t="s">
        <v>33</v>
      </c>
      <c r="J2713" s="385">
        <v>14634.9</v>
      </c>
      <c r="K2713" s="384"/>
      <c r="L2713" s="385">
        <v>14.14</v>
      </c>
      <c r="M2713" s="385">
        <v>14.14</v>
      </c>
      <c r="N2713" s="386"/>
      <c r="O2713" s="387">
        <v>0.15</v>
      </c>
      <c r="P2713" s="387"/>
      <c r="Q2713" s="386">
        <v>0</v>
      </c>
      <c r="R2713" s="379" t="s">
        <v>128</v>
      </c>
      <c r="S2713" s="388" t="s">
        <v>118</v>
      </c>
      <c r="T2713" s="388">
        <v>79</v>
      </c>
      <c r="U2713" s="389" t="s">
        <v>164</v>
      </c>
      <c r="V2713" s="433"/>
      <c r="X2713" s="386">
        <v>0</v>
      </c>
      <c r="Y2713" s="386"/>
      <c r="AJ2713" s="390">
        <v>0</v>
      </c>
    </row>
    <row r="2714" spans="1:77" s="205" customFormat="1" ht="11.25" customHeight="1">
      <c r="B2714" s="205" t="s">
        <v>291</v>
      </c>
      <c r="C2714" s="207">
        <v>44730</v>
      </c>
      <c r="D2714" s="207">
        <v>44732</v>
      </c>
      <c r="E2714" s="208" t="s">
        <v>2078</v>
      </c>
      <c r="F2714" s="205" t="s">
        <v>2079</v>
      </c>
      <c r="G2714" s="209">
        <v>4425</v>
      </c>
      <c r="H2714" s="205" t="s">
        <v>27</v>
      </c>
      <c r="I2714" s="219" t="s">
        <v>156</v>
      </c>
      <c r="J2714" s="210">
        <v>12647.25</v>
      </c>
      <c r="K2714" s="219"/>
      <c r="L2714" s="210">
        <v>10.95</v>
      </c>
      <c r="M2714" s="210">
        <v>10.95</v>
      </c>
      <c r="N2714" s="213"/>
      <c r="O2714" s="212">
        <v>0.15</v>
      </c>
      <c r="P2714" s="212">
        <v>0.1</v>
      </c>
      <c r="Q2714" s="213">
        <v>0</v>
      </c>
      <c r="R2714" s="205" t="s">
        <v>128</v>
      </c>
      <c r="S2714" s="214" t="s">
        <v>118</v>
      </c>
      <c r="T2714" s="214">
        <v>79</v>
      </c>
      <c r="U2714" s="215" t="s">
        <v>164</v>
      </c>
      <c r="V2714" s="438"/>
      <c r="X2714" s="213">
        <v>0</v>
      </c>
      <c r="Y2714" s="213"/>
      <c r="AF2714" s="230">
        <f>X2714</f>
        <v>0</v>
      </c>
      <c r="AJ2714" s="216"/>
    </row>
    <row r="2715" spans="1:77" s="6" customFormat="1" ht="11.25" customHeight="1">
      <c r="A2715" s="379"/>
      <c r="B2715" s="379" t="s">
        <v>291</v>
      </c>
      <c r="C2715" s="381">
        <v>44730</v>
      </c>
      <c r="D2715" s="381">
        <v>44732</v>
      </c>
      <c r="E2715" s="382" t="s">
        <v>2080</v>
      </c>
      <c r="F2715" s="379" t="s">
        <v>2081</v>
      </c>
      <c r="G2715" s="383" t="s">
        <v>2082</v>
      </c>
      <c r="H2715" s="379" t="s">
        <v>866</v>
      </c>
      <c r="I2715" s="384" t="s">
        <v>33</v>
      </c>
      <c r="J2715" s="385">
        <v>42640.800000000003</v>
      </c>
      <c r="K2715" s="384"/>
      <c r="L2715" s="385">
        <v>21.8</v>
      </c>
      <c r="M2715" s="385">
        <v>21.8</v>
      </c>
      <c r="N2715" s="386">
        <f>3993.17+4805.89</f>
        <v>8799.0600000000013</v>
      </c>
      <c r="O2715" s="387">
        <v>0.25</v>
      </c>
      <c r="P2715" s="387"/>
      <c r="Q2715" s="386">
        <v>1765.8</v>
      </c>
      <c r="R2715" s="379" t="s">
        <v>112</v>
      </c>
      <c r="S2715" s="388" t="s">
        <v>113</v>
      </c>
      <c r="T2715" s="388">
        <v>64</v>
      </c>
      <c r="U2715" s="389" t="s">
        <v>164</v>
      </c>
      <c r="V2715" s="433"/>
      <c r="W2715" s="379"/>
      <c r="X2715" s="386">
        <v>1765.8</v>
      </c>
      <c r="Y2715" s="386"/>
      <c r="Z2715" s="379"/>
      <c r="AA2715" s="379"/>
      <c r="AB2715" s="379"/>
      <c r="AC2715" s="379"/>
      <c r="AD2715" s="379"/>
      <c r="AE2715" s="379"/>
      <c r="AF2715" s="379"/>
      <c r="AG2715" s="379"/>
      <c r="AH2715" s="379"/>
      <c r="AI2715" s="379"/>
      <c r="AJ2715" s="416">
        <v>1765.8</v>
      </c>
      <c r="AK2715" s="379"/>
      <c r="AL2715" s="379"/>
      <c r="AM2715" s="379"/>
      <c r="AN2715" s="379"/>
      <c r="AO2715" s="379"/>
      <c r="AP2715" s="379"/>
      <c r="AQ2715" s="379"/>
      <c r="AR2715" s="379"/>
      <c r="AS2715" s="379"/>
      <c r="AT2715" s="379"/>
      <c r="AU2715" s="379"/>
      <c r="AV2715" s="379"/>
      <c r="AW2715" s="379"/>
      <c r="AX2715" s="379"/>
      <c r="AY2715" s="379"/>
      <c r="AZ2715" s="379"/>
      <c r="BA2715" s="379"/>
      <c r="BB2715" s="379"/>
      <c r="BC2715" s="379"/>
      <c r="BD2715" s="379"/>
      <c r="BE2715" s="379"/>
      <c r="BF2715" s="379"/>
      <c r="BG2715" s="379"/>
      <c r="BH2715" s="379"/>
      <c r="BI2715" s="379"/>
      <c r="BJ2715" s="379"/>
      <c r="BK2715" s="379"/>
      <c r="BL2715" s="379"/>
      <c r="BM2715" s="379"/>
      <c r="BN2715" s="379"/>
      <c r="BO2715" s="379"/>
      <c r="BP2715" s="379"/>
      <c r="BQ2715" s="379"/>
      <c r="BR2715" s="379"/>
      <c r="BS2715" s="379"/>
      <c r="BT2715" s="379"/>
      <c r="BU2715" s="379"/>
      <c r="BV2715" s="379"/>
      <c r="BW2715" s="379"/>
      <c r="BX2715" s="379"/>
      <c r="BY2715" s="379"/>
    </row>
    <row r="2716" spans="1:77" s="337" customFormat="1" ht="11.25" customHeight="1">
      <c r="B2716" s="337" t="s">
        <v>291</v>
      </c>
      <c r="C2716" s="349"/>
      <c r="D2716" s="349"/>
      <c r="E2716" s="350" t="s">
        <v>2080</v>
      </c>
      <c r="F2716" s="337" t="s">
        <v>2081</v>
      </c>
      <c r="G2716" s="351" t="s">
        <v>2082</v>
      </c>
      <c r="H2716" s="337" t="s">
        <v>814</v>
      </c>
      <c r="I2716" s="353" t="s">
        <v>33</v>
      </c>
      <c r="J2716" s="352">
        <v>3231.92</v>
      </c>
      <c r="K2716" s="353"/>
      <c r="L2716" s="352">
        <v>3.58</v>
      </c>
      <c r="M2716" s="352">
        <v>3.58</v>
      </c>
      <c r="N2716" s="354">
        <v>484.79</v>
      </c>
      <c r="O2716" s="355">
        <v>0.25</v>
      </c>
      <c r="P2716" s="355"/>
      <c r="Q2716" s="354">
        <v>0</v>
      </c>
      <c r="R2716" s="337" t="s">
        <v>112</v>
      </c>
      <c r="S2716" s="356" t="s">
        <v>113</v>
      </c>
      <c r="T2716" s="356">
        <v>64</v>
      </c>
      <c r="U2716" s="357" t="s">
        <v>164</v>
      </c>
      <c r="V2716" s="434"/>
      <c r="X2716" s="354">
        <v>0</v>
      </c>
      <c r="Y2716" s="354"/>
      <c r="AI2716" s="337">
        <v>0</v>
      </c>
      <c r="AJ2716" s="358"/>
      <c r="AK2716" s="369"/>
    </row>
    <row r="2717" spans="1:77" s="379" customFormat="1" ht="11.25" customHeight="1">
      <c r="A2717" s="546"/>
      <c r="B2717" s="546" t="s">
        <v>291</v>
      </c>
      <c r="C2717" s="547"/>
      <c r="D2717" s="547"/>
      <c r="E2717" s="548" t="s">
        <v>2083</v>
      </c>
      <c r="F2717" s="546" t="s">
        <v>227</v>
      </c>
      <c r="G2717" s="549">
        <v>4579</v>
      </c>
      <c r="H2717" s="546" t="s">
        <v>99</v>
      </c>
      <c r="I2717" s="551" t="s">
        <v>156</v>
      </c>
      <c r="J2717" s="550">
        <v>62149.59</v>
      </c>
      <c r="K2717" s="551"/>
      <c r="L2717" s="550">
        <v>53.86</v>
      </c>
      <c r="M2717" s="550">
        <v>53.86</v>
      </c>
      <c r="N2717" s="552">
        <v>22707</v>
      </c>
      <c r="O2717" s="553">
        <v>0.25</v>
      </c>
      <c r="P2717" s="553">
        <v>0.1</v>
      </c>
      <c r="Q2717" s="552">
        <v>13074.39</v>
      </c>
      <c r="R2717" s="546" t="s">
        <v>229</v>
      </c>
      <c r="S2717" s="554" t="s">
        <v>228</v>
      </c>
      <c r="T2717" s="554">
        <v>41</v>
      </c>
      <c r="U2717" s="555" t="s">
        <v>164</v>
      </c>
      <c r="V2717" s="556">
        <v>378.4</v>
      </c>
      <c r="W2717" s="546"/>
      <c r="X2717" s="552">
        <v>13074.39</v>
      </c>
      <c r="Y2717" s="552"/>
      <c r="Z2717" s="546"/>
      <c r="AA2717" s="546"/>
      <c r="AB2717" s="546"/>
      <c r="AC2717" s="546"/>
      <c r="AD2717" s="546"/>
      <c r="AE2717" s="546"/>
      <c r="AF2717" s="546"/>
      <c r="AG2717" s="546"/>
      <c r="AH2717" s="546"/>
      <c r="AI2717" s="546"/>
      <c r="AJ2717" s="573">
        <v>12298.17</v>
      </c>
      <c r="AK2717" s="546"/>
      <c r="AL2717" s="546"/>
      <c r="AM2717" s="546">
        <v>776.22</v>
      </c>
      <c r="AN2717" s="546"/>
      <c r="AO2717" s="546"/>
      <c r="AP2717" s="546"/>
      <c r="AQ2717" s="546"/>
      <c r="AR2717" s="546"/>
      <c r="AS2717" s="546"/>
      <c r="AT2717" s="546"/>
      <c r="AU2717" s="546"/>
      <c r="AV2717" s="546"/>
      <c r="AW2717" s="546"/>
      <c r="AX2717" s="546"/>
      <c r="AY2717" s="546"/>
      <c r="AZ2717" s="546"/>
      <c r="BA2717" s="546"/>
      <c r="BB2717" s="546"/>
      <c r="BC2717" s="546"/>
      <c r="BD2717" s="546"/>
      <c r="BE2717" s="546"/>
      <c r="BF2717" s="546"/>
      <c r="BG2717" s="546"/>
      <c r="BH2717" s="546"/>
      <c r="BI2717" s="546"/>
      <c r="BJ2717" s="546"/>
      <c r="BK2717" s="546"/>
      <c r="BL2717" s="546"/>
      <c r="BM2717" s="546"/>
      <c r="BN2717" s="546"/>
      <c r="BO2717" s="546"/>
      <c r="BP2717" s="546"/>
      <c r="BQ2717" s="546"/>
      <c r="BR2717" s="546"/>
      <c r="BS2717" s="546"/>
      <c r="BT2717" s="546"/>
      <c r="BU2717" s="546"/>
      <c r="BV2717" s="546"/>
      <c r="BW2717" s="546"/>
      <c r="BX2717" s="546"/>
      <c r="BY2717" s="546"/>
    </row>
    <row r="2718" spans="1:77" s="379" customFormat="1" ht="11.25" customHeight="1">
      <c r="B2718" s="379" t="s">
        <v>291</v>
      </c>
      <c r="C2718" s="381">
        <v>44731</v>
      </c>
      <c r="D2718" s="381">
        <v>44732</v>
      </c>
      <c r="E2718" s="382" t="s">
        <v>2083</v>
      </c>
      <c r="F2718" s="379" t="s">
        <v>227</v>
      </c>
      <c r="G2718" s="383">
        <v>4579</v>
      </c>
      <c r="H2718" s="379" t="s">
        <v>910</v>
      </c>
      <c r="I2718" s="384" t="s">
        <v>156</v>
      </c>
      <c r="J2718" s="385">
        <v>75200.94</v>
      </c>
      <c r="K2718" s="384"/>
      <c r="L2718" s="385">
        <v>29.63</v>
      </c>
      <c r="M2718" s="385">
        <v>29.63</v>
      </c>
      <c r="N2718" s="386">
        <v>11637</v>
      </c>
      <c r="O2718" s="387">
        <v>0.25</v>
      </c>
      <c r="P2718" s="387">
        <v>0.1</v>
      </c>
      <c r="Q2718" s="386">
        <v>4162.92</v>
      </c>
      <c r="R2718" s="379" t="s">
        <v>229</v>
      </c>
      <c r="S2718" s="388" t="s">
        <v>228</v>
      </c>
      <c r="T2718" s="388">
        <v>41</v>
      </c>
      <c r="U2718" s="389" t="s">
        <v>164</v>
      </c>
      <c r="V2718" s="433"/>
      <c r="X2718" s="386">
        <v>4162.92</v>
      </c>
      <c r="Y2718" s="386"/>
      <c r="AJ2718" s="416">
        <v>4162.92</v>
      </c>
    </row>
    <row r="2719" spans="1:77" s="571" customFormat="1" ht="11.25" customHeight="1">
      <c r="A2719" s="379"/>
      <c r="B2719" s="379" t="s">
        <v>291</v>
      </c>
      <c r="C2719" s="381"/>
      <c r="D2719" s="381"/>
      <c r="E2719" s="382" t="s">
        <v>2083</v>
      </c>
      <c r="F2719" s="379" t="s">
        <v>227</v>
      </c>
      <c r="G2719" s="383">
        <v>4579</v>
      </c>
      <c r="H2719" s="379" t="s">
        <v>27</v>
      </c>
      <c r="I2719" s="384" t="s">
        <v>156</v>
      </c>
      <c r="J2719" s="385">
        <v>30092.58</v>
      </c>
      <c r="K2719" s="384"/>
      <c r="L2719" s="385">
        <v>25.14</v>
      </c>
      <c r="M2719" s="385">
        <v>25.14</v>
      </c>
      <c r="N2719" s="386">
        <v>21518</v>
      </c>
      <c r="O2719" s="387">
        <v>0.25</v>
      </c>
      <c r="P2719" s="387">
        <v>0.1</v>
      </c>
      <c r="Q2719" s="386">
        <v>18330.48</v>
      </c>
      <c r="R2719" s="379" t="s">
        <v>229</v>
      </c>
      <c r="S2719" s="388" t="s">
        <v>228</v>
      </c>
      <c r="T2719" s="388">
        <v>41</v>
      </c>
      <c r="U2719" s="389" t="s">
        <v>164</v>
      </c>
      <c r="V2719" s="433"/>
      <c r="W2719" s="379"/>
      <c r="X2719" s="386">
        <v>18330.48</v>
      </c>
      <c r="Y2719" s="386"/>
      <c r="Z2719" s="379"/>
      <c r="AA2719" s="379"/>
      <c r="AB2719" s="379"/>
      <c r="AC2719" s="379"/>
      <c r="AD2719" s="379"/>
      <c r="AE2719" s="379"/>
      <c r="AF2719" s="379"/>
      <c r="AG2719" s="379"/>
      <c r="AH2719" s="379"/>
      <c r="AI2719" s="379"/>
      <c r="AJ2719" s="416">
        <v>18330.48</v>
      </c>
      <c r="AK2719" s="379"/>
      <c r="AL2719" s="379"/>
      <c r="AM2719" s="379"/>
      <c r="AN2719" s="379"/>
      <c r="AO2719" s="379"/>
      <c r="AP2719" s="379"/>
      <c r="AQ2719" s="379"/>
      <c r="AR2719" s="379"/>
      <c r="AS2719" s="379"/>
      <c r="AT2719" s="379"/>
      <c r="AU2719" s="379"/>
      <c r="AV2719" s="379"/>
      <c r="AW2719" s="379"/>
      <c r="AX2719" s="379"/>
      <c r="AY2719" s="379"/>
      <c r="AZ2719" s="379"/>
      <c r="BA2719" s="379"/>
      <c r="BB2719" s="379"/>
      <c r="BC2719" s="379"/>
      <c r="BD2719" s="379"/>
      <c r="BE2719" s="379"/>
      <c r="BF2719" s="379"/>
      <c r="BG2719" s="379"/>
      <c r="BH2719" s="379"/>
      <c r="BI2719" s="379"/>
      <c r="BJ2719" s="379"/>
      <c r="BK2719" s="379"/>
      <c r="BL2719" s="379"/>
      <c r="BM2719" s="379"/>
      <c r="BN2719" s="379"/>
      <c r="BO2719" s="379"/>
      <c r="BP2719" s="379"/>
      <c r="BQ2719" s="379"/>
      <c r="BR2719" s="379"/>
      <c r="BS2719" s="379"/>
      <c r="BT2719" s="379"/>
      <c r="BU2719" s="379"/>
      <c r="BV2719" s="379"/>
      <c r="BW2719" s="379"/>
      <c r="BX2719" s="379"/>
      <c r="BY2719" s="379"/>
    </row>
    <row r="2720" spans="1:77" s="379" customFormat="1" ht="11.25" customHeight="1">
      <c r="B2720" s="379" t="s">
        <v>291</v>
      </c>
      <c r="C2720" s="381">
        <v>44732</v>
      </c>
      <c r="D2720" s="381">
        <v>44732</v>
      </c>
      <c r="E2720" s="382" t="s">
        <v>2084</v>
      </c>
      <c r="F2720" s="379" t="s">
        <v>1776</v>
      </c>
      <c r="G2720" s="404">
        <v>4364</v>
      </c>
      <c r="H2720" s="379" t="s">
        <v>192</v>
      </c>
      <c r="I2720" s="384" t="s">
        <v>156</v>
      </c>
      <c r="J2720" s="385">
        <v>32130</v>
      </c>
      <c r="K2720" s="384"/>
      <c r="L2720" s="385">
        <v>22.95</v>
      </c>
      <c r="M2720" s="385">
        <v>22.95</v>
      </c>
      <c r="N2720" s="386">
        <v>9179.5400000000009</v>
      </c>
      <c r="O2720" s="387">
        <v>0.2</v>
      </c>
      <c r="P2720" s="387">
        <v>0.1</v>
      </c>
      <c r="Q2720" s="386">
        <v>0</v>
      </c>
      <c r="R2720" s="379" t="s">
        <v>142</v>
      </c>
      <c r="S2720" s="388" t="s">
        <v>41</v>
      </c>
      <c r="T2720" s="388">
        <v>16</v>
      </c>
      <c r="U2720" s="389" t="s">
        <v>164</v>
      </c>
      <c r="V2720" s="433"/>
      <c r="X2720" s="386">
        <v>0</v>
      </c>
      <c r="Y2720" s="386"/>
      <c r="AJ2720" s="390">
        <v>0</v>
      </c>
    </row>
    <row r="2721" spans="1:77" s="291" customFormat="1" ht="11.25" customHeight="1">
      <c r="A2721" s="291" t="s">
        <v>3893</v>
      </c>
      <c r="B2721" s="291" t="s">
        <v>290</v>
      </c>
      <c r="C2721" s="292">
        <v>44732</v>
      </c>
      <c r="D2721" s="292">
        <v>44732</v>
      </c>
      <c r="E2721" s="293" t="s">
        <v>2085</v>
      </c>
      <c r="F2721" s="291" t="s">
        <v>2086</v>
      </c>
      <c r="G2721" s="294" t="s">
        <v>2087</v>
      </c>
      <c r="H2721" s="291" t="s">
        <v>27</v>
      </c>
      <c r="I2721" s="295" t="s">
        <v>156</v>
      </c>
      <c r="J2721" s="296">
        <v>30000</v>
      </c>
      <c r="K2721" s="295"/>
      <c r="L2721" s="296">
        <v>20</v>
      </c>
      <c r="M2721" s="296">
        <v>9</v>
      </c>
      <c r="N2721" s="297"/>
      <c r="O2721" s="298">
        <v>0.3</v>
      </c>
      <c r="P2721" s="298">
        <v>0.1</v>
      </c>
      <c r="Q2721" s="297">
        <v>2190</v>
      </c>
      <c r="R2721" s="291" t="s">
        <v>35</v>
      </c>
      <c r="S2721" s="299" t="s">
        <v>41</v>
      </c>
      <c r="T2721" s="299">
        <v>87</v>
      </c>
      <c r="U2721" s="300" t="s">
        <v>164</v>
      </c>
      <c r="V2721" s="333"/>
      <c r="X2721" s="297">
        <v>2190</v>
      </c>
      <c r="Y2721" s="297"/>
      <c r="AH2721" s="291">
        <f>X2721</f>
        <v>2190</v>
      </c>
      <c r="AI2721" s="311"/>
      <c r="AJ2721" s="468"/>
    </row>
    <row r="2722" spans="1:77" s="379" customFormat="1" ht="11.25" customHeight="1">
      <c r="B2722" s="379" t="s">
        <v>291</v>
      </c>
      <c r="C2722" s="381">
        <v>44732</v>
      </c>
      <c r="D2722" s="381">
        <v>44732</v>
      </c>
      <c r="E2722" s="382" t="s">
        <v>2088</v>
      </c>
      <c r="F2722" s="379" t="s">
        <v>3950</v>
      </c>
      <c r="G2722" s="383">
        <v>3854</v>
      </c>
      <c r="H2722" s="379" t="s">
        <v>99</v>
      </c>
      <c r="I2722" s="384" t="s">
        <v>33</v>
      </c>
      <c r="J2722" s="385">
        <v>20629.830000000002</v>
      </c>
      <c r="K2722" s="384"/>
      <c r="L2722" s="385">
        <v>23.11</v>
      </c>
      <c r="M2722" s="385">
        <v>23.11</v>
      </c>
      <c r="N2722" s="386"/>
      <c r="O2722" s="387">
        <v>0.2</v>
      </c>
      <c r="P2722" s="387"/>
      <c r="Q2722" s="386">
        <v>0</v>
      </c>
      <c r="R2722" s="379" t="s">
        <v>128</v>
      </c>
      <c r="S2722" s="388" t="s">
        <v>41</v>
      </c>
      <c r="T2722" s="388">
        <v>79</v>
      </c>
      <c r="U2722" s="389" t="s">
        <v>164</v>
      </c>
      <c r="V2722" s="433"/>
      <c r="X2722" s="386">
        <v>0</v>
      </c>
      <c r="Y2722" s="386"/>
      <c r="AJ2722" s="390">
        <v>0</v>
      </c>
    </row>
    <row r="2723" spans="1:77" s="379" customFormat="1" ht="11.25" customHeight="1">
      <c r="B2723" s="379" t="s">
        <v>291</v>
      </c>
      <c r="C2723" s="381"/>
      <c r="D2723" s="381"/>
      <c r="E2723" s="382" t="s">
        <v>2088</v>
      </c>
      <c r="F2723" s="379" t="s">
        <v>3950</v>
      </c>
      <c r="G2723" s="383">
        <v>3854</v>
      </c>
      <c r="H2723" s="379" t="s">
        <v>27</v>
      </c>
      <c r="I2723" s="384" t="s">
        <v>33</v>
      </c>
      <c r="J2723" s="385">
        <v>21147.16</v>
      </c>
      <c r="K2723" s="384"/>
      <c r="L2723" s="385">
        <v>18.18</v>
      </c>
      <c r="M2723" s="385">
        <v>18.18</v>
      </c>
      <c r="N2723" s="386"/>
      <c r="O2723" s="387">
        <v>0.2</v>
      </c>
      <c r="P2723" s="387"/>
      <c r="Q2723" s="386">
        <v>0</v>
      </c>
      <c r="R2723" s="379" t="s">
        <v>128</v>
      </c>
      <c r="S2723" s="388" t="s">
        <v>41</v>
      </c>
      <c r="T2723" s="388">
        <v>79</v>
      </c>
      <c r="U2723" s="389" t="s">
        <v>164</v>
      </c>
      <c r="V2723" s="433"/>
      <c r="X2723" s="386">
        <v>0</v>
      </c>
      <c r="Y2723" s="386"/>
      <c r="AJ2723" s="390">
        <v>0</v>
      </c>
    </row>
    <row r="2724" spans="1:77" s="379" customFormat="1" ht="11.25" customHeight="1">
      <c r="B2724" s="379" t="s">
        <v>291</v>
      </c>
      <c r="C2724" s="381"/>
      <c r="D2724" s="381"/>
      <c r="E2724" s="382" t="s">
        <v>2088</v>
      </c>
      <c r="F2724" s="379" t="s">
        <v>3950</v>
      </c>
      <c r="G2724" s="383">
        <v>3854</v>
      </c>
      <c r="H2724" s="379" t="s">
        <v>866</v>
      </c>
      <c r="I2724" s="384" t="s">
        <v>33</v>
      </c>
      <c r="J2724" s="385">
        <v>25677.15</v>
      </c>
      <c r="K2724" s="384"/>
      <c r="L2724" s="385">
        <v>22.59</v>
      </c>
      <c r="M2724" s="385">
        <v>22.59</v>
      </c>
      <c r="N2724" s="386"/>
      <c r="O2724" s="387">
        <v>0.2</v>
      </c>
      <c r="P2724" s="387"/>
      <c r="Q2724" s="386">
        <v>9190.67</v>
      </c>
      <c r="R2724" s="379" t="s">
        <v>128</v>
      </c>
      <c r="S2724" s="388" t="s">
        <v>41</v>
      </c>
      <c r="T2724" s="388">
        <v>79</v>
      </c>
      <c r="U2724" s="389" t="s">
        <v>164</v>
      </c>
      <c r="V2724" s="433"/>
      <c r="X2724" s="386">
        <v>9190.67</v>
      </c>
      <c r="Y2724" s="386"/>
      <c r="AJ2724" s="416">
        <v>9190.67</v>
      </c>
    </row>
    <row r="2725" spans="1:77" s="379" customFormat="1" ht="11.25" customHeight="1">
      <c r="B2725" s="379" t="s">
        <v>291</v>
      </c>
      <c r="C2725" s="381"/>
      <c r="D2725" s="381"/>
      <c r="E2725" s="382" t="s">
        <v>2088</v>
      </c>
      <c r="F2725" s="379" t="s">
        <v>3950</v>
      </c>
      <c r="G2725" s="383">
        <v>3854</v>
      </c>
      <c r="H2725" s="379" t="s">
        <v>765</v>
      </c>
      <c r="I2725" s="384" t="s">
        <v>33</v>
      </c>
      <c r="J2725" s="385">
        <v>23682.03</v>
      </c>
      <c r="K2725" s="384"/>
      <c r="L2725" s="385">
        <v>21.86</v>
      </c>
      <c r="M2725" s="385">
        <v>21.86</v>
      </c>
      <c r="N2725" s="386"/>
      <c r="O2725" s="387">
        <v>0.2</v>
      </c>
      <c r="P2725" s="387"/>
      <c r="Q2725" s="386">
        <v>3083.7</v>
      </c>
      <c r="R2725" s="379" t="s">
        <v>128</v>
      </c>
      <c r="S2725" s="388" t="s">
        <v>41</v>
      </c>
      <c r="T2725" s="388">
        <v>79</v>
      </c>
      <c r="U2725" s="389" t="s">
        <v>164</v>
      </c>
      <c r="V2725" s="433"/>
      <c r="X2725" s="386">
        <v>3083.7</v>
      </c>
      <c r="Y2725" s="386"/>
      <c r="AJ2725" s="416">
        <v>3083.7</v>
      </c>
    </row>
    <row r="2726" spans="1:77" s="379" customFormat="1" ht="11.25" customHeight="1">
      <c r="B2726" s="379" t="s">
        <v>291</v>
      </c>
      <c r="C2726" s="381"/>
      <c r="D2726" s="381"/>
      <c r="E2726" s="382" t="s">
        <v>2088</v>
      </c>
      <c r="F2726" s="379" t="s">
        <v>3950</v>
      </c>
      <c r="G2726" s="383">
        <v>3854</v>
      </c>
      <c r="H2726" s="379" t="s">
        <v>163</v>
      </c>
      <c r="I2726" s="384" t="s">
        <v>33</v>
      </c>
      <c r="J2726" s="385">
        <v>5053.2</v>
      </c>
      <c r="K2726" s="384"/>
      <c r="L2726" s="385">
        <v>7.19</v>
      </c>
      <c r="M2726" s="385">
        <v>7.19</v>
      </c>
      <c r="N2726" s="386"/>
      <c r="O2726" s="387">
        <v>0.2</v>
      </c>
      <c r="P2726" s="387"/>
      <c r="Q2726" s="386">
        <v>0</v>
      </c>
      <c r="R2726" s="379" t="s">
        <v>128</v>
      </c>
      <c r="S2726" s="388" t="s">
        <v>41</v>
      </c>
      <c r="T2726" s="388">
        <v>79</v>
      </c>
      <c r="U2726" s="389" t="s">
        <v>164</v>
      </c>
      <c r="V2726" s="433"/>
      <c r="X2726" s="386">
        <v>0</v>
      </c>
      <c r="Y2726" s="386"/>
      <c r="AJ2726" s="390">
        <v>0</v>
      </c>
    </row>
    <row r="2727" spans="1:77" s="236" customFormat="1" ht="11.25" customHeight="1">
      <c r="A2727" s="473"/>
      <c r="B2727" s="473" t="s">
        <v>291</v>
      </c>
      <c r="C2727" s="487"/>
      <c r="D2727" s="487"/>
      <c r="E2727" s="488" t="s">
        <v>2089</v>
      </c>
      <c r="F2727" s="473" t="s">
        <v>406</v>
      </c>
      <c r="G2727" s="489">
        <v>3869</v>
      </c>
      <c r="H2727" s="473" t="s">
        <v>2090</v>
      </c>
      <c r="I2727" s="491" t="s">
        <v>1426</v>
      </c>
      <c r="J2727" s="490">
        <v>145688.57999999999</v>
      </c>
      <c r="K2727" s="491"/>
      <c r="L2727" s="490">
        <v>18.559999999999999</v>
      </c>
      <c r="M2727" s="490">
        <v>18.559999999999999</v>
      </c>
      <c r="N2727" s="492">
        <v>50991</v>
      </c>
      <c r="O2727" s="493">
        <v>0.2</v>
      </c>
      <c r="P2727" s="493"/>
      <c r="Q2727" s="492">
        <v>0</v>
      </c>
      <c r="R2727" s="473" t="s">
        <v>46</v>
      </c>
      <c r="S2727" s="481" t="s">
        <v>47</v>
      </c>
      <c r="T2727" s="481">
        <v>27</v>
      </c>
      <c r="U2727" s="494" t="s">
        <v>164</v>
      </c>
      <c r="V2727" s="495"/>
      <c r="W2727" s="473"/>
      <c r="X2727" s="492">
        <v>0</v>
      </c>
      <c r="Y2727" s="492"/>
      <c r="Z2727" s="473"/>
      <c r="AA2727" s="473"/>
      <c r="AB2727" s="473"/>
      <c r="AC2727" s="473"/>
      <c r="AD2727" s="473"/>
      <c r="AE2727" s="473"/>
      <c r="AF2727" s="473"/>
      <c r="AG2727" s="473"/>
      <c r="AH2727" s="473"/>
      <c r="AI2727" s="473"/>
      <c r="AJ2727" s="485"/>
      <c r="AK2727" s="473">
        <v>0</v>
      </c>
      <c r="AL2727" s="473"/>
      <c r="AM2727" s="473"/>
      <c r="AN2727" s="473"/>
      <c r="AO2727" s="473"/>
      <c r="AP2727" s="473"/>
      <c r="AQ2727" s="473"/>
      <c r="AR2727" s="473"/>
      <c r="AS2727" s="473"/>
      <c r="AT2727" s="473"/>
      <c r="AU2727" s="473"/>
      <c r="AV2727" s="473"/>
      <c r="AW2727" s="473"/>
      <c r="AX2727" s="473"/>
      <c r="AY2727" s="473"/>
      <c r="AZ2727" s="473"/>
      <c r="BA2727" s="473"/>
      <c r="BB2727" s="473"/>
      <c r="BC2727" s="473"/>
      <c r="BD2727" s="473"/>
      <c r="BE2727" s="473"/>
      <c r="BF2727" s="473"/>
      <c r="BG2727" s="473"/>
      <c r="BH2727" s="473"/>
      <c r="BI2727" s="473"/>
      <c r="BJ2727" s="473"/>
      <c r="BK2727" s="473"/>
      <c r="BL2727" s="473"/>
      <c r="BM2727" s="473"/>
      <c r="BN2727" s="473"/>
      <c r="BO2727" s="473"/>
      <c r="BP2727" s="473"/>
      <c r="BQ2727" s="473"/>
      <c r="BR2727" s="473"/>
      <c r="BS2727" s="473"/>
      <c r="BT2727" s="473"/>
      <c r="BU2727" s="473"/>
      <c r="BV2727" s="473"/>
      <c r="BW2727" s="473"/>
      <c r="BX2727" s="473"/>
      <c r="BY2727" s="473"/>
    </row>
    <row r="2728" spans="1:77" s="236" customFormat="1" ht="11.25" customHeight="1">
      <c r="A2728" s="473"/>
      <c r="B2728" s="473" t="s">
        <v>291</v>
      </c>
      <c r="C2728" s="487"/>
      <c r="D2728" s="487"/>
      <c r="E2728" s="488" t="s">
        <v>2089</v>
      </c>
      <c r="F2728" s="473" t="s">
        <v>406</v>
      </c>
      <c r="G2728" s="489">
        <v>3869</v>
      </c>
      <c r="H2728" s="473" t="s">
        <v>2091</v>
      </c>
      <c r="I2728" s="491" t="s">
        <v>1426</v>
      </c>
      <c r="J2728" s="490">
        <v>47866.25</v>
      </c>
      <c r="K2728" s="491"/>
      <c r="L2728" s="490">
        <v>7.45</v>
      </c>
      <c r="M2728" s="490">
        <v>7.45</v>
      </c>
      <c r="N2728" s="492">
        <v>16753</v>
      </c>
      <c r="O2728" s="493">
        <v>0.2</v>
      </c>
      <c r="P2728" s="493"/>
      <c r="Q2728" s="492">
        <v>0</v>
      </c>
      <c r="R2728" s="473" t="s">
        <v>46</v>
      </c>
      <c r="S2728" s="481" t="s">
        <v>47</v>
      </c>
      <c r="T2728" s="481">
        <v>27</v>
      </c>
      <c r="U2728" s="494" t="s">
        <v>164</v>
      </c>
      <c r="V2728" s="495"/>
      <c r="W2728" s="473"/>
      <c r="X2728" s="492">
        <v>0</v>
      </c>
      <c r="Y2728" s="492"/>
      <c r="Z2728" s="473"/>
      <c r="AA2728" s="473"/>
      <c r="AB2728" s="473"/>
      <c r="AC2728" s="473"/>
      <c r="AD2728" s="473"/>
      <c r="AE2728" s="473"/>
      <c r="AF2728" s="473"/>
      <c r="AG2728" s="473"/>
      <c r="AH2728" s="473"/>
      <c r="AI2728" s="473"/>
      <c r="AJ2728" s="485"/>
      <c r="AK2728" s="473">
        <v>0</v>
      </c>
      <c r="AL2728" s="473"/>
      <c r="AM2728" s="473"/>
      <c r="AN2728" s="473"/>
      <c r="AO2728" s="473"/>
      <c r="AP2728" s="473"/>
      <c r="AQ2728" s="473"/>
      <c r="AR2728" s="473"/>
      <c r="AS2728" s="473"/>
      <c r="AT2728" s="473"/>
      <c r="AU2728" s="473"/>
      <c r="AV2728" s="473"/>
      <c r="AW2728" s="473"/>
      <c r="AX2728" s="473"/>
      <c r="AY2728" s="473"/>
      <c r="AZ2728" s="473"/>
      <c r="BA2728" s="473"/>
      <c r="BB2728" s="473"/>
      <c r="BC2728" s="473"/>
      <c r="BD2728" s="473"/>
      <c r="BE2728" s="473"/>
      <c r="BF2728" s="473"/>
      <c r="BG2728" s="473"/>
      <c r="BH2728" s="473"/>
      <c r="BI2728" s="473"/>
      <c r="BJ2728" s="473"/>
      <c r="BK2728" s="473"/>
      <c r="BL2728" s="473"/>
      <c r="BM2728" s="473"/>
      <c r="BN2728" s="473"/>
      <c r="BO2728" s="473"/>
      <c r="BP2728" s="473"/>
      <c r="BQ2728" s="473"/>
      <c r="BR2728" s="473"/>
      <c r="BS2728" s="473"/>
      <c r="BT2728" s="473"/>
      <c r="BU2728" s="473"/>
      <c r="BV2728" s="473"/>
      <c r="BW2728" s="473"/>
      <c r="BX2728" s="473"/>
      <c r="BY2728" s="473"/>
    </row>
    <row r="2729" spans="1:77" s="236" customFormat="1" ht="11.25" customHeight="1">
      <c r="A2729" s="473"/>
      <c r="B2729" s="473" t="s">
        <v>291</v>
      </c>
      <c r="C2729" s="487"/>
      <c r="D2729" s="487"/>
      <c r="E2729" s="488" t="s">
        <v>2089</v>
      </c>
      <c r="F2729" s="473" t="s">
        <v>406</v>
      </c>
      <c r="G2729" s="489">
        <v>3869</v>
      </c>
      <c r="H2729" s="473" t="s">
        <v>2092</v>
      </c>
      <c r="I2729" s="491" t="s">
        <v>1426</v>
      </c>
      <c r="J2729" s="490">
        <v>101613.6</v>
      </c>
      <c r="K2729" s="491"/>
      <c r="L2729" s="490">
        <v>15.84</v>
      </c>
      <c r="M2729" s="490">
        <v>15.84</v>
      </c>
      <c r="N2729" s="492">
        <v>35565</v>
      </c>
      <c r="O2729" s="493">
        <v>0.2</v>
      </c>
      <c r="P2729" s="493"/>
      <c r="Q2729" s="492">
        <v>0</v>
      </c>
      <c r="R2729" s="473" t="s">
        <v>46</v>
      </c>
      <c r="S2729" s="481" t="s">
        <v>47</v>
      </c>
      <c r="T2729" s="481">
        <v>27</v>
      </c>
      <c r="U2729" s="494" t="s">
        <v>164</v>
      </c>
      <c r="V2729" s="495"/>
      <c r="W2729" s="473"/>
      <c r="X2729" s="492">
        <v>0</v>
      </c>
      <c r="Y2729" s="492"/>
      <c r="Z2729" s="473"/>
      <c r="AA2729" s="473"/>
      <c r="AB2729" s="473"/>
      <c r="AC2729" s="473"/>
      <c r="AD2729" s="473"/>
      <c r="AE2729" s="473"/>
      <c r="AF2729" s="473"/>
      <c r="AG2729" s="473"/>
      <c r="AH2729" s="473"/>
      <c r="AI2729" s="473"/>
      <c r="AJ2729" s="485"/>
      <c r="AK2729" s="473">
        <v>0</v>
      </c>
      <c r="AL2729" s="473"/>
      <c r="AM2729" s="473"/>
      <c r="AN2729" s="473"/>
      <c r="AO2729" s="473"/>
      <c r="AP2729" s="473"/>
      <c r="AQ2729" s="473"/>
      <c r="AR2729" s="473"/>
      <c r="AS2729" s="473"/>
      <c r="AT2729" s="473"/>
      <c r="AU2729" s="473"/>
      <c r="AV2729" s="473"/>
      <c r="AW2729" s="473"/>
      <c r="AX2729" s="473"/>
      <c r="AY2729" s="473"/>
      <c r="AZ2729" s="473"/>
      <c r="BA2729" s="473"/>
      <c r="BB2729" s="473"/>
      <c r="BC2729" s="473"/>
      <c r="BD2729" s="473"/>
      <c r="BE2729" s="473"/>
      <c r="BF2729" s="473"/>
      <c r="BG2729" s="473"/>
      <c r="BH2729" s="473"/>
      <c r="BI2729" s="473"/>
      <c r="BJ2729" s="473"/>
      <c r="BK2729" s="473"/>
      <c r="BL2729" s="473"/>
      <c r="BM2729" s="473"/>
      <c r="BN2729" s="473"/>
      <c r="BO2729" s="473"/>
      <c r="BP2729" s="473"/>
      <c r="BQ2729" s="473"/>
      <c r="BR2729" s="473"/>
      <c r="BS2729" s="473"/>
      <c r="BT2729" s="473"/>
      <c r="BU2729" s="473"/>
      <c r="BV2729" s="473"/>
      <c r="BW2729" s="473"/>
      <c r="BX2729" s="473"/>
      <c r="BY2729" s="473"/>
    </row>
    <row r="2730" spans="1:77" s="261" customFormat="1" ht="11.25" customHeight="1">
      <c r="B2730" s="261" t="s">
        <v>291</v>
      </c>
      <c r="C2730" s="259">
        <v>44716</v>
      </c>
      <c r="D2730" s="259">
        <v>44732</v>
      </c>
      <c r="E2730" s="260" t="s">
        <v>2089</v>
      </c>
      <c r="F2730" s="261" t="s">
        <v>406</v>
      </c>
      <c r="G2730" s="262">
        <v>3869</v>
      </c>
      <c r="H2730" s="261" t="s">
        <v>99</v>
      </c>
      <c r="I2730" s="264" t="s">
        <v>1426</v>
      </c>
      <c r="J2730" s="263">
        <v>184473.43</v>
      </c>
      <c r="K2730" s="264"/>
      <c r="L2730" s="263">
        <v>88.92</v>
      </c>
      <c r="M2730" s="263">
        <v>88.92</v>
      </c>
      <c r="N2730" s="265">
        <v>0</v>
      </c>
      <c r="O2730" s="266">
        <v>0.2</v>
      </c>
      <c r="P2730" s="266"/>
      <c r="Q2730" s="265">
        <v>0</v>
      </c>
      <c r="R2730" s="261" t="s">
        <v>46</v>
      </c>
      <c r="S2730" s="267" t="s">
        <v>47</v>
      </c>
      <c r="T2730" s="267">
        <v>27</v>
      </c>
      <c r="U2730" s="268" t="s">
        <v>164</v>
      </c>
      <c r="V2730" s="427"/>
      <c r="X2730" s="265">
        <v>0</v>
      </c>
      <c r="Y2730" s="265"/>
      <c r="AG2730" s="261">
        <f>X2730</f>
        <v>0</v>
      </c>
      <c r="AJ2730" s="642"/>
    </row>
    <row r="2731" spans="1:77" s="261" customFormat="1" ht="11.25" customHeight="1">
      <c r="B2731" s="261" t="s">
        <v>291</v>
      </c>
      <c r="C2731" s="259"/>
      <c r="D2731" s="259"/>
      <c r="E2731" s="260" t="s">
        <v>2089</v>
      </c>
      <c r="F2731" s="261" t="s">
        <v>406</v>
      </c>
      <c r="G2731" s="262">
        <v>3869</v>
      </c>
      <c r="H2731" s="261" t="s">
        <v>27</v>
      </c>
      <c r="I2731" s="264" t="s">
        <v>1426</v>
      </c>
      <c r="J2731" s="263">
        <v>55584.9</v>
      </c>
      <c r="K2731" s="264"/>
      <c r="L2731" s="263">
        <v>29.41</v>
      </c>
      <c r="M2731" s="263">
        <v>29.41</v>
      </c>
      <c r="N2731" s="265">
        <v>0</v>
      </c>
      <c r="O2731" s="266">
        <v>0.2</v>
      </c>
      <c r="P2731" s="266"/>
      <c r="Q2731" s="265">
        <v>0</v>
      </c>
      <c r="R2731" s="261" t="s">
        <v>46</v>
      </c>
      <c r="S2731" s="267" t="s">
        <v>47</v>
      </c>
      <c r="T2731" s="267">
        <v>27</v>
      </c>
      <c r="U2731" s="268" t="s">
        <v>164</v>
      </c>
      <c r="V2731" s="427"/>
      <c r="X2731" s="265">
        <v>0</v>
      </c>
      <c r="Y2731" s="265"/>
      <c r="AG2731" s="261">
        <f>X2731</f>
        <v>0</v>
      </c>
      <c r="AJ2731" s="642"/>
    </row>
    <row r="2732" spans="1:77" s="261" customFormat="1" ht="11.25" customHeight="1">
      <c r="B2732" s="261" t="s">
        <v>291</v>
      </c>
      <c r="C2732" s="259"/>
      <c r="D2732" s="259"/>
      <c r="E2732" s="260" t="s">
        <v>2089</v>
      </c>
      <c r="F2732" s="261" t="s">
        <v>406</v>
      </c>
      <c r="G2732" s="262">
        <v>3869</v>
      </c>
      <c r="H2732" s="261" t="s">
        <v>140</v>
      </c>
      <c r="I2732" s="264" t="s">
        <v>1426</v>
      </c>
      <c r="J2732" s="263">
        <v>20957.79</v>
      </c>
      <c r="K2732" s="264"/>
      <c r="L2732" s="263">
        <v>16.510000000000002</v>
      </c>
      <c r="M2732" s="263">
        <v>16.510000000000002</v>
      </c>
      <c r="N2732" s="265">
        <v>0</v>
      </c>
      <c r="O2732" s="266">
        <v>0.2</v>
      </c>
      <c r="P2732" s="266"/>
      <c r="Q2732" s="265">
        <v>0</v>
      </c>
      <c r="R2732" s="261" t="s">
        <v>46</v>
      </c>
      <c r="S2732" s="267" t="s">
        <v>47</v>
      </c>
      <c r="T2732" s="267">
        <v>27</v>
      </c>
      <c r="U2732" s="268" t="s">
        <v>164</v>
      </c>
      <c r="V2732" s="427"/>
      <c r="X2732" s="265">
        <v>0</v>
      </c>
      <c r="Y2732" s="265"/>
      <c r="AG2732" s="261">
        <f>X2732</f>
        <v>0</v>
      </c>
      <c r="AJ2732" s="642"/>
    </row>
    <row r="2733" spans="1:77" s="749" customFormat="1" ht="11.25" customHeight="1">
      <c r="B2733" s="749" t="s">
        <v>291</v>
      </c>
      <c r="C2733" s="750"/>
      <c r="D2733" s="750"/>
      <c r="E2733" s="751" t="s">
        <v>2089</v>
      </c>
      <c r="F2733" s="749" t="s">
        <v>406</v>
      </c>
      <c r="G2733" s="752">
        <v>3869</v>
      </c>
      <c r="H2733" s="749" t="s">
        <v>407</v>
      </c>
      <c r="I2733" s="753" t="s">
        <v>1426</v>
      </c>
      <c r="J2733" s="754">
        <v>62942.879999999997</v>
      </c>
      <c r="K2733" s="753"/>
      <c r="L2733" s="754">
        <v>34.06</v>
      </c>
      <c r="M2733" s="754">
        <v>34.06</v>
      </c>
      <c r="N2733" s="755">
        <v>22030</v>
      </c>
      <c r="O2733" s="756">
        <v>0.2</v>
      </c>
      <c r="P2733" s="756"/>
      <c r="Q2733" s="755">
        <v>6818.81</v>
      </c>
      <c r="R2733" s="749" t="s">
        <v>46</v>
      </c>
      <c r="S2733" s="757" t="s">
        <v>47</v>
      </c>
      <c r="T2733" s="757">
        <v>27</v>
      </c>
      <c r="U2733" s="758" t="s">
        <v>164</v>
      </c>
      <c r="V2733" s="759"/>
      <c r="X2733" s="755">
        <v>6818.81</v>
      </c>
      <c r="Y2733" s="755"/>
      <c r="AJ2733" s="760"/>
      <c r="AS2733" s="749">
        <v>6818.81</v>
      </c>
    </row>
    <row r="2734" spans="1:77" s="737" customFormat="1" ht="11.25" customHeight="1">
      <c r="B2734" s="737" t="s">
        <v>291</v>
      </c>
      <c r="C2734" s="738"/>
      <c r="D2734" s="738"/>
      <c r="E2734" s="739" t="s">
        <v>2089</v>
      </c>
      <c r="F2734" s="737" t="s">
        <v>406</v>
      </c>
      <c r="G2734" s="740">
        <v>3869</v>
      </c>
      <c r="H2734" s="737" t="s">
        <v>408</v>
      </c>
      <c r="I2734" s="741" t="s">
        <v>1426</v>
      </c>
      <c r="J2734" s="742">
        <v>111969</v>
      </c>
      <c r="K2734" s="741"/>
      <c r="L2734" s="742">
        <v>45.24</v>
      </c>
      <c r="M2734" s="742">
        <v>45.24</v>
      </c>
      <c r="N2734" s="743">
        <v>39189</v>
      </c>
      <c r="O2734" s="744">
        <v>0.2</v>
      </c>
      <c r="P2734" s="744"/>
      <c r="Q2734" s="743">
        <v>0</v>
      </c>
      <c r="R2734" s="737" t="s">
        <v>46</v>
      </c>
      <c r="S2734" s="745" t="s">
        <v>47</v>
      </c>
      <c r="T2734" s="745">
        <v>27</v>
      </c>
      <c r="U2734" s="746" t="s">
        <v>164</v>
      </c>
      <c r="V2734" s="747"/>
      <c r="X2734" s="743">
        <v>0</v>
      </c>
      <c r="Y2734" s="743"/>
      <c r="AJ2734" s="748"/>
      <c r="AR2734" s="737">
        <v>0</v>
      </c>
    </row>
    <row r="2735" spans="1:77" s="379" customFormat="1" ht="11.25" customHeight="1">
      <c r="B2735" s="379" t="s">
        <v>291</v>
      </c>
      <c r="C2735" s="381">
        <v>44730</v>
      </c>
      <c r="D2735" s="381">
        <v>44731</v>
      </c>
      <c r="E2735" s="382" t="s">
        <v>2093</v>
      </c>
      <c r="F2735" s="379" t="s">
        <v>2282</v>
      </c>
      <c r="G2735" s="383" t="s">
        <v>2094</v>
      </c>
      <c r="H2735" s="379" t="s">
        <v>865</v>
      </c>
      <c r="I2735" s="384" t="s">
        <v>1195</v>
      </c>
      <c r="J2735" s="385">
        <v>61529.599999999999</v>
      </c>
      <c r="K2735" s="384"/>
      <c r="L2735" s="385">
        <v>32</v>
      </c>
      <c r="M2735" s="385">
        <v>32</v>
      </c>
      <c r="N2735" s="386">
        <v>8830.5300000000007</v>
      </c>
      <c r="O2735" s="387">
        <v>0.15</v>
      </c>
      <c r="P2735" s="387"/>
      <c r="Q2735" s="386">
        <v>0</v>
      </c>
      <c r="R2735" s="379" t="s">
        <v>112</v>
      </c>
      <c r="S2735" s="388" t="s">
        <v>113</v>
      </c>
      <c r="T2735" s="388">
        <v>64</v>
      </c>
      <c r="U2735" s="389" t="s">
        <v>164</v>
      </c>
      <c r="V2735" s="433"/>
      <c r="X2735" s="386">
        <v>0</v>
      </c>
      <c r="Y2735" s="386"/>
      <c r="AJ2735" s="390">
        <v>0</v>
      </c>
    </row>
    <row r="2736" spans="1:77" s="379" customFormat="1" ht="11.25" customHeight="1">
      <c r="B2736" s="379" t="s">
        <v>291</v>
      </c>
      <c r="C2736" s="381"/>
      <c r="D2736" s="381"/>
      <c r="E2736" s="382" t="s">
        <v>2093</v>
      </c>
      <c r="F2736" s="379" t="s">
        <v>2282</v>
      </c>
      <c r="G2736" s="383" t="s">
        <v>2094</v>
      </c>
      <c r="H2736" s="379" t="s">
        <v>1565</v>
      </c>
      <c r="I2736" s="384" t="s">
        <v>1195</v>
      </c>
      <c r="J2736" s="385">
        <v>18298.8</v>
      </c>
      <c r="K2736" s="384"/>
      <c r="L2736" s="385">
        <v>13</v>
      </c>
      <c r="M2736" s="385">
        <v>13</v>
      </c>
      <c r="N2736" s="386">
        <v>4504.5</v>
      </c>
      <c r="O2736" s="387">
        <v>0.15</v>
      </c>
      <c r="P2736" s="387"/>
      <c r="Q2736" s="386">
        <v>0</v>
      </c>
      <c r="R2736" s="379" t="s">
        <v>112</v>
      </c>
      <c r="S2736" s="388" t="s">
        <v>113</v>
      </c>
      <c r="T2736" s="388">
        <v>64</v>
      </c>
      <c r="U2736" s="389" t="s">
        <v>164</v>
      </c>
      <c r="V2736" s="433"/>
      <c r="X2736" s="386">
        <v>0</v>
      </c>
      <c r="Y2736" s="386"/>
      <c r="AJ2736" s="390">
        <v>0</v>
      </c>
    </row>
    <row r="2737" spans="1:77" s="379" customFormat="1" ht="11.25" customHeight="1">
      <c r="B2737" s="379" t="s">
        <v>291</v>
      </c>
      <c r="C2737" s="381"/>
      <c r="D2737" s="381"/>
      <c r="E2737" s="382" t="s">
        <v>2093</v>
      </c>
      <c r="F2737" s="379" t="s">
        <v>2282</v>
      </c>
      <c r="G2737" s="383" t="s">
        <v>2094</v>
      </c>
      <c r="H2737" s="379" t="s">
        <v>917</v>
      </c>
      <c r="I2737" s="384" t="s">
        <v>1195</v>
      </c>
      <c r="J2737" s="385">
        <v>50452.6</v>
      </c>
      <c r="K2737" s="384"/>
      <c r="L2737" s="385">
        <v>20</v>
      </c>
      <c r="M2737" s="385">
        <v>20</v>
      </c>
      <c r="N2737" s="386">
        <v>3284.4</v>
      </c>
      <c r="O2737" s="387">
        <v>0.15</v>
      </c>
      <c r="P2737" s="387"/>
      <c r="Q2737" s="386">
        <v>0</v>
      </c>
      <c r="R2737" s="379" t="s">
        <v>112</v>
      </c>
      <c r="S2737" s="388" t="s">
        <v>113</v>
      </c>
      <c r="T2737" s="388">
        <v>64</v>
      </c>
      <c r="U2737" s="389" t="s">
        <v>164</v>
      </c>
      <c r="V2737" s="433"/>
      <c r="X2737" s="386">
        <v>0</v>
      </c>
      <c r="Y2737" s="386"/>
      <c r="AJ2737" s="390">
        <v>0</v>
      </c>
    </row>
    <row r="2738" spans="1:77" s="181" customFormat="1" ht="11.25" customHeight="1">
      <c r="B2738" s="181" t="s">
        <v>291</v>
      </c>
      <c r="C2738" s="179"/>
      <c r="D2738" s="179"/>
      <c r="E2738" s="180" t="s">
        <v>2093</v>
      </c>
      <c r="F2738" s="181" t="s">
        <v>2282</v>
      </c>
      <c r="G2738" s="182" t="s">
        <v>2094</v>
      </c>
      <c r="H2738" s="181" t="s">
        <v>99</v>
      </c>
      <c r="I2738" s="190" t="s">
        <v>1195</v>
      </c>
      <c r="J2738" s="183">
        <v>8873.5400000000009</v>
      </c>
      <c r="K2738" s="190"/>
      <c r="L2738" s="183">
        <v>5.8</v>
      </c>
      <c r="M2738" s="183">
        <v>5.8</v>
      </c>
      <c r="N2738" s="185"/>
      <c r="O2738" s="186">
        <v>0.15</v>
      </c>
      <c r="P2738" s="186"/>
      <c r="Q2738" s="185">
        <v>0</v>
      </c>
      <c r="R2738" s="181" t="s">
        <v>112</v>
      </c>
      <c r="S2738" s="187" t="s">
        <v>113</v>
      </c>
      <c r="T2738" s="187">
        <v>64</v>
      </c>
      <c r="U2738" s="188" t="s">
        <v>164</v>
      </c>
      <c r="V2738" s="441"/>
      <c r="X2738" s="185">
        <v>0</v>
      </c>
      <c r="Y2738" s="185"/>
      <c r="AE2738" s="204">
        <f>X2738</f>
        <v>0</v>
      </c>
      <c r="AJ2738" s="189"/>
    </row>
    <row r="2739" spans="1:77" s="261" customFormat="1" ht="11.25" customHeight="1">
      <c r="B2739" s="270" t="s">
        <v>291</v>
      </c>
      <c r="C2739" s="259">
        <v>44731</v>
      </c>
      <c r="D2739" s="259">
        <v>44732</v>
      </c>
      <c r="E2739" s="260" t="s">
        <v>2095</v>
      </c>
      <c r="F2739" s="273" t="s">
        <v>1216</v>
      </c>
      <c r="G2739" s="276">
        <v>3542</v>
      </c>
      <c r="H2739" s="273" t="s">
        <v>99</v>
      </c>
      <c r="I2739" s="264" t="s">
        <v>961</v>
      </c>
      <c r="J2739" s="277">
        <v>7846.66</v>
      </c>
      <c r="K2739" s="264"/>
      <c r="L2739" s="277">
        <v>8.16</v>
      </c>
      <c r="M2739" s="277">
        <v>8.16</v>
      </c>
      <c r="N2739" s="265">
        <v>1569</v>
      </c>
      <c r="O2739" s="278">
        <v>0.15</v>
      </c>
      <c r="P2739" s="266"/>
      <c r="Q2739" s="265">
        <v>1133.9100000000001</v>
      </c>
      <c r="R2739" s="273" t="s">
        <v>105</v>
      </c>
      <c r="S2739" s="279" t="s">
        <v>30</v>
      </c>
      <c r="T2739" s="279">
        <v>39</v>
      </c>
      <c r="U2739" s="268" t="s">
        <v>164</v>
      </c>
      <c r="V2739" s="427"/>
      <c r="X2739" s="265">
        <v>1133.9100000000001</v>
      </c>
      <c r="Y2739" s="265"/>
      <c r="AG2739" s="261">
        <f>X2739</f>
        <v>1133.9100000000001</v>
      </c>
      <c r="AJ2739" s="642"/>
    </row>
    <row r="2740" spans="1:77" s="261" customFormat="1" ht="11.25" customHeight="1">
      <c r="B2740" s="270" t="s">
        <v>291</v>
      </c>
      <c r="C2740" s="259"/>
      <c r="D2740" s="259"/>
      <c r="E2740" s="260" t="s">
        <v>2095</v>
      </c>
      <c r="F2740" s="273" t="s">
        <v>1216</v>
      </c>
      <c r="G2740" s="276">
        <v>3542</v>
      </c>
      <c r="H2740" s="273" t="s">
        <v>138</v>
      </c>
      <c r="I2740" s="264" t="s">
        <v>961</v>
      </c>
      <c r="J2740" s="277">
        <v>14996</v>
      </c>
      <c r="K2740" s="264"/>
      <c r="L2740" s="277">
        <v>13.04</v>
      </c>
      <c r="M2740" s="277">
        <v>13.04</v>
      </c>
      <c r="N2740" s="265">
        <v>2999</v>
      </c>
      <c r="O2740" s="278">
        <v>0.15</v>
      </c>
      <c r="P2740" s="266"/>
      <c r="Q2740" s="265">
        <v>123.88</v>
      </c>
      <c r="R2740" s="273" t="s">
        <v>105</v>
      </c>
      <c r="S2740" s="279" t="s">
        <v>30</v>
      </c>
      <c r="T2740" s="279">
        <v>39</v>
      </c>
      <c r="U2740" s="268" t="s">
        <v>164</v>
      </c>
      <c r="V2740" s="427"/>
      <c r="X2740" s="265">
        <v>123.88</v>
      </c>
      <c r="Y2740" s="265"/>
      <c r="AG2740" s="261">
        <f>X2740</f>
        <v>123.88</v>
      </c>
      <c r="AJ2740" s="642"/>
    </row>
    <row r="2741" spans="1:77" s="261" customFormat="1" ht="11.25" customHeight="1">
      <c r="B2741" s="270" t="s">
        <v>291</v>
      </c>
      <c r="C2741" s="259"/>
      <c r="D2741" s="259"/>
      <c r="E2741" s="260" t="s">
        <v>2095</v>
      </c>
      <c r="F2741" s="273" t="s">
        <v>1216</v>
      </c>
      <c r="G2741" s="276">
        <v>3542</v>
      </c>
      <c r="H2741" s="273" t="s">
        <v>183</v>
      </c>
      <c r="I2741" s="264" t="s">
        <v>961</v>
      </c>
      <c r="J2741" s="277">
        <v>11303.57</v>
      </c>
      <c r="K2741" s="264"/>
      <c r="L2741" s="277">
        <v>11.83</v>
      </c>
      <c r="M2741" s="277">
        <v>11.83</v>
      </c>
      <c r="N2741" s="265">
        <v>2260</v>
      </c>
      <c r="O2741" s="278">
        <v>0.15</v>
      </c>
      <c r="P2741" s="266"/>
      <c r="Q2741" s="265">
        <v>0</v>
      </c>
      <c r="R2741" s="273" t="s">
        <v>105</v>
      </c>
      <c r="S2741" s="279" t="s">
        <v>30</v>
      </c>
      <c r="T2741" s="279">
        <v>39</v>
      </c>
      <c r="U2741" s="268" t="s">
        <v>164</v>
      </c>
      <c r="V2741" s="427"/>
      <c r="X2741" s="265">
        <v>0</v>
      </c>
      <c r="Y2741" s="265"/>
      <c r="AG2741" s="261">
        <f>X2741</f>
        <v>0</v>
      </c>
      <c r="AJ2741" s="642"/>
    </row>
    <row r="2742" spans="1:77" s="205" customFormat="1" ht="11.25" customHeight="1">
      <c r="B2742" s="229" t="s">
        <v>291</v>
      </c>
      <c r="C2742" s="207"/>
      <c r="D2742" s="207"/>
      <c r="E2742" s="208" t="s">
        <v>2095</v>
      </c>
      <c r="F2742" s="218" t="s">
        <v>1216</v>
      </c>
      <c r="G2742" s="220">
        <v>3542</v>
      </c>
      <c r="H2742" s="205" t="s">
        <v>814</v>
      </c>
      <c r="I2742" s="219" t="s">
        <v>961</v>
      </c>
      <c r="J2742" s="210">
        <v>8842.08</v>
      </c>
      <c r="K2742" s="219"/>
      <c r="L2742" s="210">
        <v>10.14</v>
      </c>
      <c r="M2742" s="210">
        <v>10.14</v>
      </c>
      <c r="N2742" s="213">
        <v>0</v>
      </c>
      <c r="O2742" s="224">
        <v>0.15</v>
      </c>
      <c r="P2742" s="212"/>
      <c r="Q2742" s="213">
        <v>0</v>
      </c>
      <c r="R2742" s="218" t="s">
        <v>105</v>
      </c>
      <c r="S2742" s="221" t="s">
        <v>30</v>
      </c>
      <c r="T2742" s="221">
        <v>39</v>
      </c>
      <c r="U2742" s="215" t="s">
        <v>164</v>
      </c>
      <c r="V2742" s="438"/>
      <c r="W2742" s="205" t="s">
        <v>3321</v>
      </c>
      <c r="X2742" s="213">
        <v>0</v>
      </c>
      <c r="Y2742" s="213"/>
      <c r="AF2742" s="230">
        <f>X2742</f>
        <v>0</v>
      </c>
      <c r="AJ2742" s="216"/>
    </row>
    <row r="2743" spans="1:77" s="379" customFormat="1" ht="11.25" customHeight="1">
      <c r="B2743" s="380" t="s">
        <v>291</v>
      </c>
      <c r="C2743" s="392">
        <v>44729</v>
      </c>
      <c r="D2743" s="392">
        <v>44729</v>
      </c>
      <c r="E2743" s="393" t="s">
        <v>2125</v>
      </c>
      <c r="F2743" s="379" t="s">
        <v>1329</v>
      </c>
      <c r="G2743" s="400">
        <v>4630</v>
      </c>
      <c r="H2743" s="394" t="s">
        <v>140</v>
      </c>
      <c r="I2743" s="394" t="s">
        <v>33</v>
      </c>
      <c r="J2743" s="385">
        <v>26608.55</v>
      </c>
      <c r="K2743" s="384"/>
      <c r="L2743" s="385">
        <v>19.57</v>
      </c>
      <c r="M2743" s="385">
        <v>19.57</v>
      </c>
      <c r="N2743" s="386"/>
      <c r="O2743" s="387">
        <v>0.25</v>
      </c>
      <c r="P2743" s="387"/>
      <c r="Q2743" s="386">
        <v>0</v>
      </c>
      <c r="R2743" s="379" t="s">
        <v>35</v>
      </c>
      <c r="S2743" s="388" t="s">
        <v>41</v>
      </c>
      <c r="T2743" s="388">
        <v>16</v>
      </c>
      <c r="U2743" s="389" t="s">
        <v>164</v>
      </c>
      <c r="V2743" s="433"/>
      <c r="X2743" s="386">
        <v>0</v>
      </c>
      <c r="Y2743" s="386"/>
      <c r="AJ2743" s="390">
        <v>0</v>
      </c>
    </row>
    <row r="2744" spans="1:77" s="379" customFormat="1" ht="11.25" customHeight="1">
      <c r="B2744" s="380" t="s">
        <v>291</v>
      </c>
      <c r="C2744" s="392"/>
      <c r="D2744" s="392"/>
      <c r="E2744" s="393" t="s">
        <v>2125</v>
      </c>
      <c r="F2744" s="379" t="s">
        <v>1329</v>
      </c>
      <c r="G2744" s="400">
        <v>4630</v>
      </c>
      <c r="H2744" s="394" t="s">
        <v>1018</v>
      </c>
      <c r="I2744" s="394" t="s">
        <v>33</v>
      </c>
      <c r="J2744" s="385">
        <v>36160.019999999997</v>
      </c>
      <c r="K2744" s="384"/>
      <c r="L2744" s="385">
        <v>26.26</v>
      </c>
      <c r="M2744" s="385">
        <v>26.26</v>
      </c>
      <c r="N2744" s="386"/>
      <c r="O2744" s="387">
        <v>0.25</v>
      </c>
      <c r="P2744" s="387"/>
      <c r="Q2744" s="386">
        <v>0</v>
      </c>
      <c r="R2744" s="379" t="s">
        <v>35</v>
      </c>
      <c r="S2744" s="388" t="s">
        <v>41</v>
      </c>
      <c r="T2744" s="388">
        <v>16</v>
      </c>
      <c r="U2744" s="389" t="s">
        <v>164</v>
      </c>
      <c r="V2744" s="433"/>
      <c r="X2744" s="386">
        <v>0</v>
      </c>
      <c r="Y2744" s="386"/>
      <c r="AJ2744" s="390">
        <v>0</v>
      </c>
    </row>
    <row r="2745" spans="1:77" s="2" customFormat="1" ht="11.25" customHeight="1">
      <c r="A2745" s="379"/>
      <c r="B2745" s="380" t="s">
        <v>291</v>
      </c>
      <c r="C2745" s="392"/>
      <c r="D2745" s="392"/>
      <c r="E2745" s="393" t="s">
        <v>2125</v>
      </c>
      <c r="F2745" s="379" t="s">
        <v>1329</v>
      </c>
      <c r="G2745" s="400">
        <v>4630</v>
      </c>
      <c r="H2745" s="394" t="s">
        <v>99</v>
      </c>
      <c r="I2745" s="394" t="s">
        <v>33</v>
      </c>
      <c r="J2745" s="385">
        <v>15291.33</v>
      </c>
      <c r="K2745" s="384"/>
      <c r="L2745" s="385">
        <v>13.59</v>
      </c>
      <c r="M2745" s="385">
        <v>13.59</v>
      </c>
      <c r="N2745" s="386"/>
      <c r="O2745" s="387">
        <v>0.25</v>
      </c>
      <c r="P2745" s="387"/>
      <c r="Q2745" s="386">
        <v>0</v>
      </c>
      <c r="R2745" s="379" t="s">
        <v>35</v>
      </c>
      <c r="S2745" s="388" t="s">
        <v>41</v>
      </c>
      <c r="T2745" s="388">
        <v>16</v>
      </c>
      <c r="U2745" s="389" t="s">
        <v>164</v>
      </c>
      <c r="V2745" s="433"/>
      <c r="W2745" s="379"/>
      <c r="X2745" s="386">
        <v>0</v>
      </c>
      <c r="Y2745" s="386"/>
      <c r="Z2745" s="379"/>
      <c r="AA2745" s="379"/>
      <c r="AB2745" s="379"/>
      <c r="AC2745" s="379"/>
      <c r="AD2745" s="379"/>
      <c r="AE2745" s="379"/>
      <c r="AF2745" s="379"/>
      <c r="AG2745" s="379"/>
      <c r="AH2745" s="379"/>
      <c r="AI2745" s="379"/>
      <c r="AJ2745" s="390">
        <v>0</v>
      </c>
      <c r="AK2745" s="379"/>
      <c r="AL2745" s="379"/>
      <c r="AM2745" s="379"/>
      <c r="AN2745" s="379"/>
      <c r="AO2745" s="379"/>
      <c r="AP2745" s="379"/>
      <c r="AQ2745" s="379"/>
      <c r="AR2745" s="379"/>
      <c r="AS2745" s="379"/>
      <c r="AT2745" s="379"/>
      <c r="AU2745" s="379"/>
      <c r="AV2745" s="379"/>
      <c r="AW2745" s="379"/>
      <c r="AX2745" s="379"/>
      <c r="AY2745" s="379"/>
      <c r="AZ2745" s="379"/>
      <c r="BA2745" s="379"/>
      <c r="BB2745" s="379"/>
      <c r="BC2745" s="379"/>
      <c r="BD2745" s="379"/>
      <c r="BE2745" s="379"/>
      <c r="BF2745" s="379"/>
      <c r="BG2745" s="379"/>
      <c r="BH2745" s="379"/>
      <c r="BI2745" s="379"/>
      <c r="BJ2745" s="379"/>
      <c r="BK2745" s="379"/>
      <c r="BL2745" s="379"/>
      <c r="BM2745" s="379"/>
      <c r="BN2745" s="379"/>
      <c r="BO2745" s="379"/>
      <c r="BP2745" s="379"/>
      <c r="BQ2745" s="379"/>
      <c r="BR2745" s="379"/>
      <c r="BS2745" s="379"/>
      <c r="BT2745" s="379"/>
      <c r="BU2745" s="379"/>
      <c r="BV2745" s="379"/>
      <c r="BW2745" s="379"/>
      <c r="BX2745" s="379"/>
      <c r="BY2745" s="379"/>
    </row>
    <row r="2746" spans="1:77" s="571" customFormat="1" ht="11.25" customHeight="1">
      <c r="B2746" s="705" t="s">
        <v>291</v>
      </c>
      <c r="C2746" s="708"/>
      <c r="D2746" s="708"/>
      <c r="E2746" s="709" t="s">
        <v>2125</v>
      </c>
      <c r="F2746" s="571" t="s">
        <v>1329</v>
      </c>
      <c r="G2746" s="696">
        <v>4630</v>
      </c>
      <c r="H2746" s="572" t="s">
        <v>684</v>
      </c>
      <c r="I2746" s="572" t="s">
        <v>33</v>
      </c>
      <c r="J2746" s="698">
        <v>26392.5</v>
      </c>
      <c r="K2746" s="697"/>
      <c r="L2746" s="698">
        <v>19.55</v>
      </c>
      <c r="M2746" s="698">
        <v>19.55</v>
      </c>
      <c r="N2746" s="699"/>
      <c r="O2746" s="700">
        <v>0.25</v>
      </c>
      <c r="P2746" s="700"/>
      <c r="Q2746" s="699">
        <v>0</v>
      </c>
      <c r="R2746" s="571" t="s">
        <v>35</v>
      </c>
      <c r="S2746" s="701" t="s">
        <v>41</v>
      </c>
      <c r="T2746" s="701">
        <v>16</v>
      </c>
      <c r="U2746" s="702" t="s">
        <v>164</v>
      </c>
      <c r="V2746" s="703"/>
      <c r="X2746" s="699">
        <v>0</v>
      </c>
      <c r="Y2746" s="699"/>
      <c r="AJ2746" s="704">
        <v>0</v>
      </c>
    </row>
    <row r="2747" spans="1:77" s="571" customFormat="1" ht="11.25" customHeight="1">
      <c r="B2747" s="705" t="s">
        <v>291</v>
      </c>
      <c r="C2747" s="708"/>
      <c r="D2747" s="708"/>
      <c r="E2747" s="709" t="s">
        <v>2125</v>
      </c>
      <c r="F2747" s="571" t="s">
        <v>1329</v>
      </c>
      <c r="G2747" s="696">
        <v>4630</v>
      </c>
      <c r="H2747" s="572" t="s">
        <v>912</v>
      </c>
      <c r="I2747" s="572" t="s">
        <v>33</v>
      </c>
      <c r="J2747" s="698">
        <v>39468.83</v>
      </c>
      <c r="K2747" s="697"/>
      <c r="L2747" s="698">
        <v>21.55</v>
      </c>
      <c r="M2747" s="698">
        <v>21.55</v>
      </c>
      <c r="N2747" s="699"/>
      <c r="O2747" s="700">
        <v>0.25</v>
      </c>
      <c r="P2747" s="700"/>
      <c r="Q2747" s="699">
        <v>0</v>
      </c>
      <c r="R2747" s="571" t="s">
        <v>35</v>
      </c>
      <c r="S2747" s="701" t="s">
        <v>41</v>
      </c>
      <c r="T2747" s="701">
        <v>16</v>
      </c>
      <c r="U2747" s="702" t="s">
        <v>164</v>
      </c>
      <c r="V2747" s="703"/>
      <c r="X2747" s="699">
        <v>0</v>
      </c>
      <c r="Y2747" s="699"/>
      <c r="AJ2747" s="704"/>
      <c r="AP2747" s="571">
        <v>0</v>
      </c>
    </row>
    <row r="2748" spans="1:77" s="205" customFormat="1" ht="11.25" customHeight="1">
      <c r="A2748" s="473"/>
      <c r="B2748" s="486" t="s">
        <v>291</v>
      </c>
      <c r="C2748" s="487"/>
      <c r="D2748" s="487"/>
      <c r="E2748" s="488" t="s">
        <v>2096</v>
      </c>
      <c r="F2748" s="473" t="s">
        <v>742</v>
      </c>
      <c r="G2748" s="489">
        <v>3670</v>
      </c>
      <c r="H2748" s="473" t="s">
        <v>898</v>
      </c>
      <c r="I2748" s="491" t="s">
        <v>961</v>
      </c>
      <c r="J2748" s="490">
        <v>9803.64</v>
      </c>
      <c r="K2748" s="491"/>
      <c r="L2748" s="490">
        <v>10.61</v>
      </c>
      <c r="M2748" s="490">
        <v>10.61</v>
      </c>
      <c r="N2748" s="492">
        <v>2450.91</v>
      </c>
      <c r="O2748" s="493">
        <v>0.2</v>
      </c>
      <c r="P2748" s="493"/>
      <c r="Q2748" s="492">
        <v>0</v>
      </c>
      <c r="R2748" s="473" t="s">
        <v>42</v>
      </c>
      <c r="S2748" s="481" t="s">
        <v>41</v>
      </c>
      <c r="T2748" s="481">
        <v>17</v>
      </c>
      <c r="U2748" s="494" t="s">
        <v>164</v>
      </c>
      <c r="V2748" s="495"/>
      <c r="W2748" s="473"/>
      <c r="X2748" s="492">
        <v>0</v>
      </c>
      <c r="Y2748" s="492"/>
      <c r="Z2748" s="473"/>
      <c r="AA2748" s="473"/>
      <c r="AB2748" s="473"/>
      <c r="AC2748" s="473"/>
      <c r="AD2748" s="473"/>
      <c r="AE2748" s="473"/>
      <c r="AF2748" s="473"/>
      <c r="AG2748" s="473"/>
      <c r="AH2748" s="473"/>
      <c r="AI2748" s="473"/>
      <c r="AJ2748" s="485"/>
      <c r="AK2748" s="473">
        <v>0</v>
      </c>
      <c r="AL2748" s="473"/>
      <c r="AM2748" s="473"/>
      <c r="AN2748" s="473"/>
      <c r="AO2748" s="473"/>
      <c r="AP2748" s="473"/>
      <c r="AQ2748" s="473"/>
      <c r="AR2748" s="473"/>
      <c r="AS2748" s="473"/>
      <c r="AT2748" s="473"/>
      <c r="AU2748" s="473"/>
      <c r="AV2748" s="473"/>
      <c r="AW2748" s="473"/>
      <c r="AX2748" s="473"/>
      <c r="AY2748" s="473"/>
      <c r="AZ2748" s="473"/>
      <c r="BA2748" s="473"/>
      <c r="BB2748" s="473"/>
      <c r="BC2748" s="473"/>
      <c r="BD2748" s="473"/>
      <c r="BE2748" s="473"/>
      <c r="BF2748" s="473"/>
      <c r="BG2748" s="473"/>
      <c r="BH2748" s="473"/>
      <c r="BI2748" s="473"/>
      <c r="BJ2748" s="473"/>
      <c r="BK2748" s="473"/>
      <c r="BL2748" s="473"/>
      <c r="BM2748" s="473"/>
      <c r="BN2748" s="473"/>
      <c r="BO2748" s="473"/>
      <c r="BP2748" s="473"/>
      <c r="BQ2748" s="473"/>
      <c r="BR2748" s="473"/>
      <c r="BS2748" s="473"/>
      <c r="BT2748" s="473"/>
      <c r="BU2748" s="473"/>
      <c r="BV2748" s="473"/>
      <c r="BW2748" s="473"/>
      <c r="BX2748" s="473"/>
      <c r="BY2748" s="473"/>
    </row>
    <row r="2749" spans="1:77" s="473" customFormat="1" ht="11.25" customHeight="1">
      <c r="B2749" s="486" t="s">
        <v>291</v>
      </c>
      <c r="C2749" s="487"/>
      <c r="D2749" s="487"/>
      <c r="E2749" s="488" t="s">
        <v>2096</v>
      </c>
      <c r="F2749" s="473" t="s">
        <v>742</v>
      </c>
      <c r="G2749" s="489">
        <v>3670</v>
      </c>
      <c r="H2749" s="473" t="s">
        <v>910</v>
      </c>
      <c r="I2749" s="491" t="s">
        <v>961</v>
      </c>
      <c r="J2749" s="490">
        <v>16310</v>
      </c>
      <c r="K2749" s="491"/>
      <c r="L2749" s="490">
        <v>11.65</v>
      </c>
      <c r="M2749" s="490">
        <v>11.65</v>
      </c>
      <c r="N2749" s="492">
        <v>5708.5</v>
      </c>
      <c r="O2749" s="493">
        <v>0.2</v>
      </c>
      <c r="P2749" s="493"/>
      <c r="Q2749" s="492">
        <v>0</v>
      </c>
      <c r="R2749" s="473" t="s">
        <v>42</v>
      </c>
      <c r="S2749" s="481" t="s">
        <v>41</v>
      </c>
      <c r="T2749" s="481">
        <v>17</v>
      </c>
      <c r="U2749" s="494" t="s">
        <v>164</v>
      </c>
      <c r="V2749" s="495"/>
      <c r="X2749" s="492">
        <v>0</v>
      </c>
      <c r="Y2749" s="492"/>
      <c r="AJ2749" s="485"/>
      <c r="AK2749" s="473">
        <v>0</v>
      </c>
    </row>
    <row r="2750" spans="1:77" s="473" customFormat="1" ht="11.25" customHeight="1">
      <c r="B2750" s="486" t="s">
        <v>291</v>
      </c>
      <c r="C2750" s="487"/>
      <c r="D2750" s="487"/>
      <c r="E2750" s="488" t="s">
        <v>2096</v>
      </c>
      <c r="F2750" s="473" t="s">
        <v>742</v>
      </c>
      <c r="G2750" s="489">
        <v>3670</v>
      </c>
      <c r="H2750" s="473" t="s">
        <v>765</v>
      </c>
      <c r="I2750" s="491" t="s">
        <v>961</v>
      </c>
      <c r="J2750" s="490">
        <v>5704.41</v>
      </c>
      <c r="K2750" s="491"/>
      <c r="L2750" s="490">
        <v>5.38</v>
      </c>
      <c r="M2750" s="490">
        <v>5.38</v>
      </c>
      <c r="N2750" s="492">
        <v>2852.2069999999999</v>
      </c>
      <c r="O2750" s="493">
        <v>0.2</v>
      </c>
      <c r="P2750" s="493"/>
      <c r="Q2750" s="492">
        <v>0</v>
      </c>
      <c r="R2750" s="473" t="s">
        <v>42</v>
      </c>
      <c r="S2750" s="481" t="s">
        <v>41</v>
      </c>
      <c r="T2750" s="481">
        <v>17</v>
      </c>
      <c r="U2750" s="494" t="s">
        <v>164</v>
      </c>
      <c r="V2750" s="495"/>
      <c r="X2750" s="492">
        <v>0</v>
      </c>
      <c r="Y2750" s="492"/>
      <c r="AJ2750" s="485"/>
      <c r="AK2750" s="473">
        <v>0</v>
      </c>
    </row>
    <row r="2751" spans="1:77" s="205" customFormat="1" ht="11.25" customHeight="1">
      <c r="B2751" s="206" t="s">
        <v>291</v>
      </c>
      <c r="C2751" s="207">
        <v>44722</v>
      </c>
      <c r="D2751" s="207">
        <v>44731</v>
      </c>
      <c r="E2751" s="208" t="s">
        <v>2096</v>
      </c>
      <c r="F2751" s="205" t="s">
        <v>742</v>
      </c>
      <c r="G2751" s="209">
        <v>3670</v>
      </c>
      <c r="H2751" s="205" t="s">
        <v>99</v>
      </c>
      <c r="I2751" s="219" t="s">
        <v>961</v>
      </c>
      <c r="J2751" s="210">
        <v>15921</v>
      </c>
      <c r="K2751" s="219"/>
      <c r="L2751" s="210">
        <v>17.690000000000001</v>
      </c>
      <c r="M2751" s="210">
        <v>17.690000000000001</v>
      </c>
      <c r="N2751" s="213"/>
      <c r="O2751" s="212">
        <v>0.2</v>
      </c>
      <c r="P2751" s="212"/>
      <c r="Q2751" s="213">
        <v>0</v>
      </c>
      <c r="R2751" s="205" t="s">
        <v>42</v>
      </c>
      <c r="S2751" s="214" t="s">
        <v>41</v>
      </c>
      <c r="T2751" s="214">
        <v>17</v>
      </c>
      <c r="U2751" s="215" t="s">
        <v>164</v>
      </c>
      <c r="V2751" s="438"/>
      <c r="X2751" s="213">
        <v>0</v>
      </c>
      <c r="Y2751" s="213"/>
      <c r="AF2751" s="230">
        <f>X2751</f>
        <v>0</v>
      </c>
      <c r="AJ2751" s="216"/>
    </row>
    <row r="2752" spans="1:77" s="473" customFormat="1" ht="11.25" customHeight="1">
      <c r="B2752" s="486" t="s">
        <v>291</v>
      </c>
      <c r="C2752" s="487">
        <v>44731</v>
      </c>
      <c r="D2752" s="487">
        <v>44731</v>
      </c>
      <c r="E2752" s="488" t="s">
        <v>2097</v>
      </c>
      <c r="F2752" s="473" t="s">
        <v>2098</v>
      </c>
      <c r="G2752" s="489" t="s">
        <v>2099</v>
      </c>
      <c r="H2752" s="473" t="s">
        <v>137</v>
      </c>
      <c r="I2752" s="491" t="s">
        <v>33</v>
      </c>
      <c r="J2752" s="490">
        <v>22352.240000000002</v>
      </c>
      <c r="K2752" s="491"/>
      <c r="L2752" s="490">
        <v>23.37</v>
      </c>
      <c r="M2752" s="490">
        <v>23.37</v>
      </c>
      <c r="N2752" s="492"/>
      <c r="O2752" s="493">
        <v>0.25</v>
      </c>
      <c r="P2752" s="493"/>
      <c r="Q2752" s="492">
        <v>2367.09</v>
      </c>
      <c r="R2752" s="473" t="s">
        <v>285</v>
      </c>
      <c r="S2752" s="481" t="s">
        <v>275</v>
      </c>
      <c r="T2752" s="481">
        <v>21</v>
      </c>
      <c r="U2752" s="494" t="s">
        <v>164</v>
      </c>
      <c r="V2752" s="495"/>
      <c r="X2752" s="492">
        <v>2367.09</v>
      </c>
      <c r="Y2752" s="492"/>
      <c r="AJ2752" s="485"/>
      <c r="AK2752" s="505">
        <v>2367.09</v>
      </c>
    </row>
    <row r="2753" spans="1:77" s="473" customFormat="1" ht="11.25" customHeight="1">
      <c r="B2753" s="486" t="s">
        <v>291</v>
      </c>
      <c r="C2753" s="487"/>
      <c r="D2753" s="487"/>
      <c r="E2753" s="488" t="s">
        <v>2097</v>
      </c>
      <c r="F2753" s="473" t="s">
        <v>2098</v>
      </c>
      <c r="G2753" s="489" t="s">
        <v>2099</v>
      </c>
      <c r="H2753" s="473" t="s">
        <v>898</v>
      </c>
      <c r="I2753" s="491" t="s">
        <v>33</v>
      </c>
      <c r="J2753" s="490">
        <v>39877.83</v>
      </c>
      <c r="K2753" s="491"/>
      <c r="L2753" s="490">
        <v>43.87</v>
      </c>
      <c r="M2753" s="490">
        <v>43.87</v>
      </c>
      <c r="N2753" s="492">
        <v>15951.132</v>
      </c>
      <c r="O2753" s="493">
        <v>0.25</v>
      </c>
      <c r="P2753" s="493"/>
      <c r="Q2753" s="492">
        <v>12805.21</v>
      </c>
      <c r="R2753" s="473" t="s">
        <v>285</v>
      </c>
      <c r="S2753" s="481" t="s">
        <v>275</v>
      </c>
      <c r="T2753" s="481">
        <v>21</v>
      </c>
      <c r="U2753" s="494" t="s">
        <v>164</v>
      </c>
      <c r="V2753" s="495"/>
      <c r="X2753" s="492">
        <v>12805.21</v>
      </c>
      <c r="Y2753" s="492"/>
      <c r="AJ2753" s="485"/>
      <c r="AK2753" s="505">
        <v>12805.21</v>
      </c>
    </row>
    <row r="2754" spans="1:77" s="337" customFormat="1" ht="11.25" customHeight="1">
      <c r="B2754" s="338" t="s">
        <v>291</v>
      </c>
      <c r="C2754" s="349">
        <v>44718</v>
      </c>
      <c r="D2754" s="349">
        <v>44729</v>
      </c>
      <c r="E2754" s="350" t="s">
        <v>2100</v>
      </c>
      <c r="F2754" s="337" t="s">
        <v>2101</v>
      </c>
      <c r="G2754" s="351">
        <v>4568</v>
      </c>
      <c r="H2754" s="337" t="s">
        <v>137</v>
      </c>
      <c r="I2754" s="353" t="s">
        <v>33</v>
      </c>
      <c r="J2754" s="352">
        <v>36181.5</v>
      </c>
      <c r="K2754" s="353"/>
      <c r="L2754" s="352">
        <v>35.54</v>
      </c>
      <c r="M2754" s="352">
        <v>35.54</v>
      </c>
      <c r="N2754" s="354"/>
      <c r="O2754" s="355">
        <v>0.15</v>
      </c>
      <c r="P2754" s="355"/>
      <c r="Q2754" s="354">
        <v>0</v>
      </c>
      <c r="R2754" s="337" t="s">
        <v>77</v>
      </c>
      <c r="S2754" s="356" t="s">
        <v>41</v>
      </c>
      <c r="T2754" s="356">
        <v>17</v>
      </c>
      <c r="U2754" s="357" t="s">
        <v>164</v>
      </c>
      <c r="V2754" s="434"/>
      <c r="X2754" s="354">
        <v>0</v>
      </c>
      <c r="Y2754" s="354"/>
      <c r="AI2754" s="337">
        <v>0</v>
      </c>
      <c r="AJ2754" s="358"/>
      <c r="AK2754" s="369"/>
    </row>
    <row r="2755" spans="1:77" s="337" customFormat="1" ht="11.25" customHeight="1">
      <c r="B2755" s="338" t="s">
        <v>291</v>
      </c>
      <c r="C2755" s="349"/>
      <c r="D2755" s="349"/>
      <c r="E2755" s="350" t="s">
        <v>2100</v>
      </c>
      <c r="F2755" s="337" t="s">
        <v>2101</v>
      </c>
      <c r="G2755" s="351">
        <v>4568</v>
      </c>
      <c r="H2755" s="337" t="s">
        <v>910</v>
      </c>
      <c r="I2755" s="353" t="s">
        <v>33</v>
      </c>
      <c r="J2755" s="352">
        <v>39975</v>
      </c>
      <c r="K2755" s="353"/>
      <c r="L2755" s="352">
        <v>21.32</v>
      </c>
      <c r="M2755" s="352">
        <v>21.32</v>
      </c>
      <c r="N2755" s="354"/>
      <c r="O2755" s="355">
        <v>0.15</v>
      </c>
      <c r="P2755" s="355"/>
      <c r="Q2755" s="354">
        <v>0</v>
      </c>
      <c r="R2755" s="337" t="s">
        <v>77</v>
      </c>
      <c r="S2755" s="356" t="s">
        <v>41</v>
      </c>
      <c r="T2755" s="356">
        <v>17</v>
      </c>
      <c r="U2755" s="357" t="s">
        <v>164</v>
      </c>
      <c r="V2755" s="434"/>
      <c r="X2755" s="354">
        <v>0</v>
      </c>
      <c r="Y2755" s="354"/>
      <c r="AI2755" s="337">
        <v>0</v>
      </c>
      <c r="AJ2755" s="358"/>
      <c r="AK2755" s="369"/>
    </row>
    <row r="2756" spans="1:77" s="337" customFormat="1" ht="11.25" customHeight="1">
      <c r="B2756" s="338" t="s">
        <v>291</v>
      </c>
      <c r="C2756" s="349"/>
      <c r="D2756" s="349"/>
      <c r="E2756" s="350" t="s">
        <v>2100</v>
      </c>
      <c r="F2756" s="337" t="s">
        <v>2101</v>
      </c>
      <c r="G2756" s="351">
        <v>4568</v>
      </c>
      <c r="H2756" s="337" t="s">
        <v>140</v>
      </c>
      <c r="I2756" s="353" t="s">
        <v>33</v>
      </c>
      <c r="J2756" s="352">
        <v>43238.42</v>
      </c>
      <c r="K2756" s="353"/>
      <c r="L2756" s="352">
        <v>36.83</v>
      </c>
      <c r="M2756" s="352">
        <v>36.83</v>
      </c>
      <c r="N2756" s="354"/>
      <c r="O2756" s="355">
        <v>0.15</v>
      </c>
      <c r="P2756" s="355"/>
      <c r="Q2756" s="354">
        <v>0</v>
      </c>
      <c r="R2756" s="337" t="s">
        <v>77</v>
      </c>
      <c r="S2756" s="356" t="s">
        <v>41</v>
      </c>
      <c r="T2756" s="356">
        <v>17</v>
      </c>
      <c r="U2756" s="357" t="s">
        <v>164</v>
      </c>
      <c r="V2756" s="434"/>
      <c r="X2756" s="354">
        <v>0</v>
      </c>
      <c r="Y2756" s="354"/>
      <c r="AI2756" s="337">
        <v>0</v>
      </c>
      <c r="AJ2756" s="358"/>
      <c r="AK2756" s="369"/>
    </row>
    <row r="2757" spans="1:77" s="337" customFormat="1" ht="11.25" customHeight="1">
      <c r="B2757" s="338" t="s">
        <v>291</v>
      </c>
      <c r="C2757" s="349"/>
      <c r="D2757" s="349"/>
      <c r="E2757" s="350" t="s">
        <v>2100</v>
      </c>
      <c r="F2757" s="337" t="s">
        <v>2101</v>
      </c>
      <c r="G2757" s="351">
        <v>4568</v>
      </c>
      <c r="H2757" s="337" t="s">
        <v>27</v>
      </c>
      <c r="I2757" s="353" t="s">
        <v>33</v>
      </c>
      <c r="J2757" s="352">
        <v>36320.379999999997</v>
      </c>
      <c r="K2757" s="353"/>
      <c r="L2757" s="352">
        <v>25.75</v>
      </c>
      <c r="M2757" s="352">
        <v>25.75</v>
      </c>
      <c r="N2757" s="354"/>
      <c r="O2757" s="355">
        <v>0.15</v>
      </c>
      <c r="P2757" s="355"/>
      <c r="Q2757" s="354">
        <v>0</v>
      </c>
      <c r="R2757" s="337" t="s">
        <v>77</v>
      </c>
      <c r="S2757" s="356" t="s">
        <v>41</v>
      </c>
      <c r="T2757" s="356">
        <v>17</v>
      </c>
      <c r="U2757" s="357" t="s">
        <v>164</v>
      </c>
      <c r="V2757" s="434"/>
      <c r="X2757" s="354">
        <v>0</v>
      </c>
      <c r="Y2757" s="354"/>
      <c r="AI2757" s="337">
        <v>0</v>
      </c>
      <c r="AJ2757" s="358"/>
      <c r="AK2757" s="369"/>
    </row>
    <row r="2758" spans="1:77" s="337" customFormat="1" ht="11.25" customHeight="1">
      <c r="B2758" s="338" t="s">
        <v>291</v>
      </c>
      <c r="C2758" s="349"/>
      <c r="D2758" s="349"/>
      <c r="E2758" s="350" t="s">
        <v>2100</v>
      </c>
      <c r="F2758" s="337" t="s">
        <v>2101</v>
      </c>
      <c r="G2758" s="351">
        <v>4568</v>
      </c>
      <c r="H2758" s="337" t="s">
        <v>765</v>
      </c>
      <c r="I2758" s="353" t="s">
        <v>33</v>
      </c>
      <c r="J2758" s="352">
        <v>40467.18</v>
      </c>
      <c r="K2758" s="353"/>
      <c r="L2758" s="352">
        <v>31.69</v>
      </c>
      <c r="M2758" s="352">
        <v>31.69</v>
      </c>
      <c r="N2758" s="354"/>
      <c r="O2758" s="355">
        <v>0.15</v>
      </c>
      <c r="P2758" s="355"/>
      <c r="Q2758" s="354">
        <v>0</v>
      </c>
      <c r="R2758" s="337" t="s">
        <v>77</v>
      </c>
      <c r="S2758" s="356" t="s">
        <v>41</v>
      </c>
      <c r="T2758" s="356">
        <v>17</v>
      </c>
      <c r="U2758" s="357" t="s">
        <v>164</v>
      </c>
      <c r="V2758" s="434"/>
      <c r="X2758" s="354">
        <v>0</v>
      </c>
      <c r="Y2758" s="354"/>
      <c r="AI2758" s="337">
        <v>0</v>
      </c>
      <c r="AJ2758" s="358"/>
      <c r="AK2758" s="369"/>
    </row>
    <row r="2759" spans="1:77" s="379" customFormat="1" ht="11.25" customHeight="1">
      <c r="B2759" s="380" t="s">
        <v>291</v>
      </c>
      <c r="C2759" s="381">
        <v>44728</v>
      </c>
      <c r="D2759" s="381">
        <v>44729</v>
      </c>
      <c r="E2759" s="382" t="s">
        <v>2102</v>
      </c>
      <c r="F2759" s="379" t="s">
        <v>2103</v>
      </c>
      <c r="G2759" s="383">
        <v>4460</v>
      </c>
      <c r="H2759" s="379" t="s">
        <v>2104</v>
      </c>
      <c r="I2759" s="384" t="s">
        <v>961</v>
      </c>
      <c r="J2759" s="385">
        <v>6681.92</v>
      </c>
      <c r="K2759" s="384"/>
      <c r="L2759" s="385">
        <v>11.2</v>
      </c>
      <c r="M2759" s="385">
        <v>11.2</v>
      </c>
      <c r="N2759" s="386"/>
      <c r="O2759" s="387">
        <v>0.2</v>
      </c>
      <c r="P2759" s="387"/>
      <c r="Q2759" s="386">
        <v>0</v>
      </c>
      <c r="R2759" s="379" t="s">
        <v>35</v>
      </c>
      <c r="S2759" s="388" t="s">
        <v>41</v>
      </c>
      <c r="T2759" s="388">
        <v>86</v>
      </c>
      <c r="U2759" s="389" t="s">
        <v>164</v>
      </c>
      <c r="V2759" s="433"/>
      <c r="X2759" s="386">
        <v>0</v>
      </c>
      <c r="Y2759" s="386"/>
      <c r="AJ2759" s="390">
        <v>0</v>
      </c>
    </row>
    <row r="2760" spans="1:77" s="205" customFormat="1" ht="11.25" customHeight="1">
      <c r="B2760" s="206" t="s">
        <v>291</v>
      </c>
      <c r="C2760" s="207">
        <v>44726</v>
      </c>
      <c r="D2760" s="207">
        <v>44731</v>
      </c>
      <c r="E2760" s="208" t="s">
        <v>2105</v>
      </c>
      <c r="F2760" s="205" t="s">
        <v>364</v>
      </c>
      <c r="G2760" s="209">
        <v>4537</v>
      </c>
      <c r="H2760" s="205" t="s">
        <v>27</v>
      </c>
      <c r="I2760" s="219" t="s">
        <v>156</v>
      </c>
      <c r="J2760" s="210">
        <v>98543.9</v>
      </c>
      <c r="K2760" s="219"/>
      <c r="L2760" s="210">
        <v>58.31</v>
      </c>
      <c r="M2760" s="210">
        <v>32.1</v>
      </c>
      <c r="N2760" s="213"/>
      <c r="O2760" s="212">
        <v>0.2</v>
      </c>
      <c r="P2760" s="212">
        <v>0.1</v>
      </c>
      <c r="Q2760" s="213">
        <v>14822.27</v>
      </c>
      <c r="R2760" s="205" t="s">
        <v>73</v>
      </c>
      <c r="S2760" s="214" t="s">
        <v>113</v>
      </c>
      <c r="T2760" s="214">
        <v>81</v>
      </c>
      <c r="U2760" s="215" t="s">
        <v>164</v>
      </c>
      <c r="V2760" s="438"/>
      <c r="X2760" s="213">
        <v>14822.27</v>
      </c>
      <c r="Y2760" s="213"/>
      <c r="AF2760" s="230">
        <f>X2760</f>
        <v>14822.27</v>
      </c>
      <c r="AJ2760" s="216"/>
    </row>
    <row r="2761" spans="1:77" s="205" customFormat="1" ht="11.25" customHeight="1">
      <c r="A2761" s="379"/>
      <c r="B2761" s="380" t="s">
        <v>291</v>
      </c>
      <c r="C2761" s="381"/>
      <c r="D2761" s="381"/>
      <c r="E2761" s="382" t="s">
        <v>2106</v>
      </c>
      <c r="F2761" s="379" t="s">
        <v>225</v>
      </c>
      <c r="G2761" s="383">
        <v>4261</v>
      </c>
      <c r="H2761" s="379" t="s">
        <v>765</v>
      </c>
      <c r="I2761" s="384" t="s">
        <v>2107</v>
      </c>
      <c r="J2761" s="385">
        <v>19154.849999999999</v>
      </c>
      <c r="K2761" s="384"/>
      <c r="L2761" s="385">
        <v>23.5</v>
      </c>
      <c r="M2761" s="385">
        <v>23.5</v>
      </c>
      <c r="N2761" s="386">
        <v>4420.9399999999996</v>
      </c>
      <c r="O2761" s="387">
        <v>0.2</v>
      </c>
      <c r="P2761" s="387">
        <v>0.1</v>
      </c>
      <c r="Q2761" s="386">
        <v>496.32</v>
      </c>
      <c r="R2761" s="379" t="s">
        <v>142</v>
      </c>
      <c r="S2761" s="388" t="s">
        <v>41</v>
      </c>
      <c r="T2761" s="388">
        <v>24</v>
      </c>
      <c r="U2761" s="389" t="s">
        <v>164</v>
      </c>
      <c r="V2761" s="433"/>
      <c r="W2761" s="379"/>
      <c r="X2761" s="386">
        <v>496.32</v>
      </c>
      <c r="Y2761" s="386"/>
      <c r="Z2761" s="379"/>
      <c r="AA2761" s="379"/>
      <c r="AB2761" s="379"/>
      <c r="AC2761" s="379"/>
      <c r="AD2761" s="379"/>
      <c r="AE2761" s="379"/>
      <c r="AF2761" s="379"/>
      <c r="AG2761" s="379"/>
      <c r="AH2761" s="379"/>
      <c r="AI2761" s="379"/>
      <c r="AJ2761" s="416">
        <v>496.32</v>
      </c>
      <c r="AK2761" s="379"/>
      <c r="AL2761" s="379"/>
      <c r="AM2761" s="379"/>
      <c r="AN2761" s="379"/>
      <c r="AO2761" s="379"/>
      <c r="AP2761" s="379"/>
      <c r="AQ2761" s="379"/>
      <c r="AR2761" s="379"/>
      <c r="AS2761" s="379"/>
      <c r="AT2761" s="379"/>
      <c r="AU2761" s="379"/>
      <c r="AV2761" s="379"/>
      <c r="AW2761" s="379"/>
      <c r="AX2761" s="379"/>
      <c r="AY2761" s="379"/>
      <c r="AZ2761" s="379"/>
      <c r="BA2761" s="379"/>
      <c r="BB2761" s="379"/>
      <c r="BC2761" s="379"/>
      <c r="BD2761" s="379"/>
      <c r="BE2761" s="379"/>
      <c r="BF2761" s="379"/>
      <c r="BG2761" s="379"/>
      <c r="BH2761" s="379"/>
      <c r="BI2761" s="379"/>
      <c r="BJ2761" s="379"/>
      <c r="BK2761" s="379"/>
      <c r="BL2761" s="379"/>
      <c r="BM2761" s="379"/>
      <c r="BN2761" s="379"/>
      <c r="BO2761" s="379"/>
      <c r="BP2761" s="379"/>
      <c r="BQ2761" s="379"/>
      <c r="BR2761" s="379"/>
      <c r="BS2761" s="379"/>
      <c r="BT2761" s="379"/>
      <c r="BU2761" s="379"/>
      <c r="BV2761" s="379"/>
      <c r="BW2761" s="379"/>
      <c r="BX2761" s="379"/>
      <c r="BY2761" s="379"/>
    </row>
    <row r="2762" spans="1:77" s="6" customFormat="1" ht="11.25" customHeight="1">
      <c r="A2762" s="379"/>
      <c r="B2762" s="380" t="s">
        <v>291</v>
      </c>
      <c r="C2762" s="381"/>
      <c r="D2762" s="381"/>
      <c r="E2762" s="382" t="s">
        <v>2106</v>
      </c>
      <c r="F2762" s="379" t="s">
        <v>225</v>
      </c>
      <c r="G2762" s="383">
        <v>4261</v>
      </c>
      <c r="H2762" s="379" t="s">
        <v>866</v>
      </c>
      <c r="I2762" s="384" t="s">
        <v>2107</v>
      </c>
      <c r="J2762" s="385">
        <v>17828.11</v>
      </c>
      <c r="K2762" s="384"/>
      <c r="L2762" s="385">
        <v>15.91</v>
      </c>
      <c r="M2762" s="385">
        <v>15.91</v>
      </c>
      <c r="N2762" s="386">
        <v>3738.55</v>
      </c>
      <c r="O2762" s="387">
        <v>0.2</v>
      </c>
      <c r="P2762" s="387">
        <v>0.1</v>
      </c>
      <c r="Q2762" s="386">
        <v>0</v>
      </c>
      <c r="R2762" s="379" t="s">
        <v>142</v>
      </c>
      <c r="S2762" s="388" t="s">
        <v>41</v>
      </c>
      <c r="T2762" s="388">
        <v>24</v>
      </c>
      <c r="U2762" s="389" t="s">
        <v>164</v>
      </c>
      <c r="V2762" s="433"/>
      <c r="W2762" s="379"/>
      <c r="X2762" s="386">
        <v>0</v>
      </c>
      <c r="Y2762" s="386"/>
      <c r="Z2762" s="379"/>
      <c r="AA2762" s="379"/>
      <c r="AB2762" s="379"/>
      <c r="AC2762" s="379"/>
      <c r="AD2762" s="379"/>
      <c r="AE2762" s="379"/>
      <c r="AF2762" s="379"/>
      <c r="AG2762" s="379"/>
      <c r="AH2762" s="379"/>
      <c r="AI2762" s="379"/>
      <c r="AJ2762" s="390">
        <v>0</v>
      </c>
      <c r="AK2762" s="379"/>
      <c r="AL2762" s="379"/>
      <c r="AM2762" s="379"/>
      <c r="AN2762" s="379"/>
      <c r="AO2762" s="379"/>
      <c r="AP2762" s="379"/>
      <c r="AQ2762" s="379"/>
      <c r="AR2762" s="379"/>
      <c r="AS2762" s="379"/>
      <c r="AT2762" s="379"/>
      <c r="AU2762" s="379"/>
      <c r="AV2762" s="379"/>
      <c r="AW2762" s="379"/>
      <c r="AX2762" s="379"/>
      <c r="AY2762" s="379"/>
      <c r="AZ2762" s="379"/>
      <c r="BA2762" s="379"/>
      <c r="BB2762" s="379"/>
      <c r="BC2762" s="379"/>
      <c r="BD2762" s="379"/>
      <c r="BE2762" s="379"/>
      <c r="BF2762" s="379"/>
      <c r="BG2762" s="379"/>
      <c r="BH2762" s="379"/>
      <c r="BI2762" s="379"/>
      <c r="BJ2762" s="379"/>
      <c r="BK2762" s="379"/>
      <c r="BL2762" s="379"/>
      <c r="BM2762" s="379"/>
      <c r="BN2762" s="379"/>
      <c r="BO2762" s="379"/>
      <c r="BP2762" s="379"/>
      <c r="BQ2762" s="379"/>
      <c r="BR2762" s="379"/>
      <c r="BS2762" s="379"/>
      <c r="BT2762" s="379"/>
      <c r="BU2762" s="379"/>
      <c r="BV2762" s="379"/>
      <c r="BW2762" s="379"/>
      <c r="BX2762" s="379"/>
      <c r="BY2762" s="379"/>
    </row>
    <row r="2763" spans="1:77" s="205" customFormat="1" ht="11.25" customHeight="1">
      <c r="B2763" s="206" t="s">
        <v>291</v>
      </c>
      <c r="C2763" s="207">
        <v>44731</v>
      </c>
      <c r="D2763" s="207">
        <v>44732</v>
      </c>
      <c r="E2763" s="208" t="s">
        <v>2106</v>
      </c>
      <c r="F2763" s="205" t="s">
        <v>225</v>
      </c>
      <c r="G2763" s="209">
        <v>4261</v>
      </c>
      <c r="H2763" s="205" t="s">
        <v>99</v>
      </c>
      <c r="I2763" s="219" t="s">
        <v>2107</v>
      </c>
      <c r="J2763" s="210">
        <v>20547.04</v>
      </c>
      <c r="K2763" s="219"/>
      <c r="L2763" s="210">
        <v>17.86</v>
      </c>
      <c r="M2763" s="210">
        <v>17.86</v>
      </c>
      <c r="N2763" s="213"/>
      <c r="O2763" s="212">
        <v>0.2</v>
      </c>
      <c r="P2763" s="212">
        <v>0.1</v>
      </c>
      <c r="Q2763" s="213">
        <v>0</v>
      </c>
      <c r="R2763" s="205" t="s">
        <v>142</v>
      </c>
      <c r="S2763" s="214" t="s">
        <v>41</v>
      </c>
      <c r="T2763" s="214">
        <v>24</v>
      </c>
      <c r="U2763" s="215" t="s">
        <v>164</v>
      </c>
      <c r="V2763" s="438"/>
      <c r="X2763" s="213">
        <v>0</v>
      </c>
      <c r="Y2763" s="213"/>
      <c r="AF2763" s="230">
        <f>X2763</f>
        <v>0</v>
      </c>
      <c r="AJ2763" s="216"/>
    </row>
    <row r="2764" spans="1:77" s="261" customFormat="1" ht="11.25" customHeight="1">
      <c r="B2764" s="258" t="s">
        <v>291</v>
      </c>
      <c r="C2764" s="259">
        <v>44716</v>
      </c>
      <c r="D2764" s="259">
        <v>44732</v>
      </c>
      <c r="E2764" s="260" t="s">
        <v>2108</v>
      </c>
      <c r="F2764" s="261" t="s">
        <v>82</v>
      </c>
      <c r="G2764" s="262">
        <v>3874</v>
      </c>
      <c r="H2764" s="261" t="s">
        <v>99</v>
      </c>
      <c r="I2764" s="264" t="s">
        <v>1195</v>
      </c>
      <c r="J2764" s="263">
        <v>211767.34</v>
      </c>
      <c r="K2764" s="264"/>
      <c r="L2764" s="263">
        <v>113.78</v>
      </c>
      <c r="M2764" s="263">
        <v>113.78</v>
      </c>
      <c r="N2764" s="265"/>
      <c r="O2764" s="266">
        <v>0.2</v>
      </c>
      <c r="P2764" s="266"/>
      <c r="Q2764" s="265">
        <v>0</v>
      </c>
      <c r="R2764" s="261" t="s">
        <v>54</v>
      </c>
      <c r="S2764" s="267" t="s">
        <v>65</v>
      </c>
      <c r="T2764" s="267">
        <v>60</v>
      </c>
      <c r="U2764" s="268" t="s">
        <v>164</v>
      </c>
      <c r="V2764" s="427"/>
      <c r="X2764" s="265">
        <v>0</v>
      </c>
      <c r="Y2764" s="265"/>
      <c r="AG2764" s="261">
        <f>X2764</f>
        <v>0</v>
      </c>
      <c r="AJ2764" s="642"/>
    </row>
    <row r="2765" spans="1:77" s="261" customFormat="1" ht="11.25" customHeight="1">
      <c r="B2765" s="258" t="s">
        <v>291</v>
      </c>
      <c r="C2765" s="259"/>
      <c r="D2765" s="259"/>
      <c r="E2765" s="260" t="s">
        <v>2108</v>
      </c>
      <c r="F2765" s="261" t="s">
        <v>82</v>
      </c>
      <c r="G2765" s="262">
        <v>3874</v>
      </c>
      <c r="H2765" s="261" t="s">
        <v>183</v>
      </c>
      <c r="I2765" s="264" t="s">
        <v>1195</v>
      </c>
      <c r="J2765" s="263">
        <v>21736.26</v>
      </c>
      <c r="K2765" s="264"/>
      <c r="L2765" s="263">
        <v>13.27</v>
      </c>
      <c r="M2765" s="263">
        <v>13.27</v>
      </c>
      <c r="N2765" s="265"/>
      <c r="O2765" s="266">
        <v>0.2</v>
      </c>
      <c r="P2765" s="266"/>
      <c r="Q2765" s="265">
        <v>0</v>
      </c>
      <c r="R2765" s="261" t="s">
        <v>54</v>
      </c>
      <c r="S2765" s="267" t="s">
        <v>65</v>
      </c>
      <c r="T2765" s="267">
        <v>60</v>
      </c>
      <c r="U2765" s="268" t="s">
        <v>164</v>
      </c>
      <c r="V2765" s="427"/>
      <c r="X2765" s="265">
        <v>0</v>
      </c>
      <c r="Y2765" s="265"/>
      <c r="AG2765" s="261">
        <f>X2765</f>
        <v>0</v>
      </c>
      <c r="AJ2765" s="642"/>
    </row>
    <row r="2766" spans="1:77" s="261" customFormat="1" ht="11.25" customHeight="1">
      <c r="B2766" s="258" t="s">
        <v>291</v>
      </c>
      <c r="C2766" s="259"/>
      <c r="D2766" s="259"/>
      <c r="E2766" s="260" t="s">
        <v>2108</v>
      </c>
      <c r="F2766" s="261" t="s">
        <v>82</v>
      </c>
      <c r="G2766" s="262">
        <v>3874</v>
      </c>
      <c r="H2766" s="261" t="s">
        <v>27</v>
      </c>
      <c r="I2766" s="264" t="s">
        <v>1195</v>
      </c>
      <c r="J2766" s="263">
        <v>95723.42</v>
      </c>
      <c r="K2766" s="264"/>
      <c r="L2766" s="263">
        <v>48.17</v>
      </c>
      <c r="M2766" s="263">
        <v>48.17</v>
      </c>
      <c r="N2766" s="265"/>
      <c r="O2766" s="266">
        <v>0.2</v>
      </c>
      <c r="P2766" s="266"/>
      <c r="Q2766" s="265">
        <v>0</v>
      </c>
      <c r="R2766" s="261" t="s">
        <v>54</v>
      </c>
      <c r="S2766" s="267" t="s">
        <v>65</v>
      </c>
      <c r="T2766" s="267">
        <v>60</v>
      </c>
      <c r="U2766" s="268" t="s">
        <v>164</v>
      </c>
      <c r="V2766" s="427"/>
      <c r="X2766" s="265">
        <v>0</v>
      </c>
      <c r="Y2766" s="265"/>
      <c r="AG2766" s="261">
        <f>X2766</f>
        <v>0</v>
      </c>
      <c r="AJ2766" s="642"/>
    </row>
    <row r="2767" spans="1:77" s="261" customFormat="1" ht="11.25" customHeight="1">
      <c r="B2767" s="258" t="s">
        <v>291</v>
      </c>
      <c r="C2767" s="259"/>
      <c r="D2767" s="259"/>
      <c r="E2767" s="260" t="s">
        <v>2108</v>
      </c>
      <c r="F2767" s="261" t="s">
        <v>82</v>
      </c>
      <c r="G2767" s="262">
        <v>3874</v>
      </c>
      <c r="H2767" s="261" t="s">
        <v>310</v>
      </c>
      <c r="I2767" s="264" t="s">
        <v>1195</v>
      </c>
      <c r="J2767" s="263">
        <v>18170.2</v>
      </c>
      <c r="K2767" s="264"/>
      <c r="L2767" s="263">
        <v>19.329999999999998</v>
      </c>
      <c r="M2767" s="263">
        <v>19.329999999999998</v>
      </c>
      <c r="N2767" s="265"/>
      <c r="O2767" s="266">
        <v>0.2</v>
      </c>
      <c r="P2767" s="266"/>
      <c r="Q2767" s="265">
        <v>0</v>
      </c>
      <c r="R2767" s="261" t="s">
        <v>54</v>
      </c>
      <c r="S2767" s="267" t="s">
        <v>65</v>
      </c>
      <c r="T2767" s="267">
        <v>60</v>
      </c>
      <c r="U2767" s="268" t="s">
        <v>164</v>
      </c>
      <c r="V2767" s="427"/>
      <c r="X2767" s="265">
        <v>0</v>
      </c>
      <c r="Y2767" s="265"/>
      <c r="AG2767" s="261">
        <f>X2767</f>
        <v>0</v>
      </c>
      <c r="AJ2767" s="642"/>
    </row>
    <row r="2768" spans="1:77" s="181" customFormat="1" ht="11.25" customHeight="1">
      <c r="B2768" s="178" t="s">
        <v>291</v>
      </c>
      <c r="C2768" s="179">
        <v>44716</v>
      </c>
      <c r="D2768" s="179">
        <v>44732</v>
      </c>
      <c r="E2768" s="180" t="s">
        <v>2109</v>
      </c>
      <c r="F2768" s="181" t="s">
        <v>1072</v>
      </c>
      <c r="G2768" s="182">
        <v>3872</v>
      </c>
      <c r="H2768" s="181" t="s">
        <v>866</v>
      </c>
      <c r="I2768" s="190" t="s">
        <v>1195</v>
      </c>
      <c r="J2768" s="183">
        <v>12456.12</v>
      </c>
      <c r="K2768" s="190"/>
      <c r="L2768" s="183">
        <v>7.76</v>
      </c>
      <c r="M2768" s="183">
        <v>7.76</v>
      </c>
      <c r="N2768" s="185"/>
      <c r="O2768" s="186">
        <v>0.2</v>
      </c>
      <c r="P2768" s="186"/>
      <c r="Q2768" s="185">
        <v>0</v>
      </c>
      <c r="R2768" s="181" t="s">
        <v>54</v>
      </c>
      <c r="S2768" s="187" t="s">
        <v>65</v>
      </c>
      <c r="T2768" s="187">
        <v>60</v>
      </c>
      <c r="U2768" s="188" t="s">
        <v>164</v>
      </c>
      <c r="V2768" s="441"/>
      <c r="X2768" s="185">
        <v>0</v>
      </c>
      <c r="Y2768" s="185"/>
      <c r="AE2768" s="204">
        <f>X2768</f>
        <v>0</v>
      </c>
      <c r="AJ2768" s="189"/>
    </row>
    <row r="2769" spans="2:37" s="261" customFormat="1" ht="11.25" customHeight="1">
      <c r="B2769" s="258" t="s">
        <v>291</v>
      </c>
      <c r="C2769" s="259"/>
      <c r="D2769" s="259"/>
      <c r="E2769" s="260" t="s">
        <v>2109</v>
      </c>
      <c r="F2769" s="261" t="s">
        <v>1072</v>
      </c>
      <c r="G2769" s="262">
        <v>3872</v>
      </c>
      <c r="H2769" s="261" t="s">
        <v>99</v>
      </c>
      <c r="I2769" s="264" t="s">
        <v>1195</v>
      </c>
      <c r="J2769" s="263">
        <v>15019.88</v>
      </c>
      <c r="K2769" s="264"/>
      <c r="L2769" s="263">
        <v>8.4600000000000009</v>
      </c>
      <c r="M2769" s="263">
        <v>8.4600000000000009</v>
      </c>
      <c r="N2769" s="265"/>
      <c r="O2769" s="266">
        <v>0.2</v>
      </c>
      <c r="P2769" s="266"/>
      <c r="Q2769" s="265">
        <v>0</v>
      </c>
      <c r="R2769" s="261" t="s">
        <v>54</v>
      </c>
      <c r="S2769" s="267" t="s">
        <v>65</v>
      </c>
      <c r="T2769" s="267">
        <v>60</v>
      </c>
      <c r="U2769" s="268" t="s">
        <v>164</v>
      </c>
      <c r="V2769" s="427"/>
      <c r="X2769" s="265">
        <v>0</v>
      </c>
      <c r="Y2769" s="265"/>
      <c r="AG2769" s="261">
        <f>X2769</f>
        <v>0</v>
      </c>
      <c r="AJ2769" s="642"/>
    </row>
    <row r="2770" spans="2:37" s="261" customFormat="1" ht="11.25" customHeight="1">
      <c r="B2770" s="258" t="s">
        <v>291</v>
      </c>
      <c r="C2770" s="259"/>
      <c r="D2770" s="259"/>
      <c r="E2770" s="260" t="s">
        <v>2109</v>
      </c>
      <c r="F2770" s="261" t="s">
        <v>1072</v>
      </c>
      <c r="G2770" s="262">
        <v>3872</v>
      </c>
      <c r="H2770" s="261" t="s">
        <v>137</v>
      </c>
      <c r="I2770" s="264" t="s">
        <v>1195</v>
      </c>
      <c r="J2770" s="263">
        <v>9681.3799999999992</v>
      </c>
      <c r="K2770" s="264"/>
      <c r="L2770" s="263">
        <v>6.53</v>
      </c>
      <c r="M2770" s="263">
        <v>6.53</v>
      </c>
      <c r="N2770" s="265"/>
      <c r="O2770" s="266">
        <v>0.2</v>
      </c>
      <c r="P2770" s="266"/>
      <c r="Q2770" s="265">
        <v>0</v>
      </c>
      <c r="R2770" s="261" t="s">
        <v>54</v>
      </c>
      <c r="S2770" s="267" t="s">
        <v>65</v>
      </c>
      <c r="T2770" s="267">
        <v>60</v>
      </c>
      <c r="U2770" s="268" t="s">
        <v>164</v>
      </c>
      <c r="V2770" s="427"/>
      <c r="X2770" s="265">
        <v>0</v>
      </c>
      <c r="Y2770" s="265"/>
      <c r="AG2770" s="261">
        <f>X2770</f>
        <v>0</v>
      </c>
      <c r="AJ2770" s="642"/>
    </row>
    <row r="2771" spans="2:37" s="181" customFormat="1" ht="11.25" customHeight="1">
      <c r="B2771" s="178" t="s">
        <v>291</v>
      </c>
      <c r="C2771" s="179">
        <v>44716</v>
      </c>
      <c r="D2771" s="179">
        <v>44732</v>
      </c>
      <c r="E2771" s="180" t="s">
        <v>2126</v>
      </c>
      <c r="F2771" s="181" t="s">
        <v>1077</v>
      </c>
      <c r="G2771" s="182">
        <v>3877</v>
      </c>
      <c r="H2771" s="181" t="s">
        <v>814</v>
      </c>
      <c r="I2771" s="190" t="s">
        <v>1195</v>
      </c>
      <c r="J2771" s="183">
        <v>10560.75</v>
      </c>
      <c r="K2771" s="190"/>
      <c r="L2771" s="183">
        <v>18.190000000000001</v>
      </c>
      <c r="M2771" s="183">
        <v>18.190000000000001</v>
      </c>
      <c r="N2771" s="185"/>
      <c r="O2771" s="186">
        <v>0.2</v>
      </c>
      <c r="P2771" s="186"/>
      <c r="Q2771" s="185">
        <v>0</v>
      </c>
      <c r="R2771" s="181" t="s">
        <v>54</v>
      </c>
      <c r="S2771" s="187" t="s">
        <v>65</v>
      </c>
      <c r="T2771" s="187">
        <v>78</v>
      </c>
      <c r="U2771" s="188" t="s">
        <v>164</v>
      </c>
      <c r="V2771" s="441"/>
      <c r="X2771" s="185">
        <v>0</v>
      </c>
      <c r="Y2771" s="185"/>
      <c r="AE2771" s="204">
        <f>X2771</f>
        <v>0</v>
      </c>
      <c r="AJ2771" s="189"/>
    </row>
    <row r="2772" spans="2:37" s="181" customFormat="1" ht="11.25" customHeight="1">
      <c r="B2772" s="178" t="s">
        <v>291</v>
      </c>
      <c r="C2772" s="179"/>
      <c r="D2772" s="179"/>
      <c r="E2772" s="180" t="s">
        <v>2126</v>
      </c>
      <c r="F2772" s="181" t="s">
        <v>1077</v>
      </c>
      <c r="G2772" s="182">
        <v>3877</v>
      </c>
      <c r="H2772" s="181" t="s">
        <v>814</v>
      </c>
      <c r="I2772" s="190" t="s">
        <v>1195</v>
      </c>
      <c r="J2772" s="183">
        <v>4290.49</v>
      </c>
      <c r="K2772" s="190"/>
      <c r="L2772" s="183">
        <v>7.39</v>
      </c>
      <c r="M2772" s="183">
        <v>7.39</v>
      </c>
      <c r="N2772" s="185"/>
      <c r="O2772" s="186">
        <v>0.2</v>
      </c>
      <c r="P2772" s="186"/>
      <c r="Q2772" s="185">
        <v>0</v>
      </c>
      <c r="R2772" s="181" t="s">
        <v>54</v>
      </c>
      <c r="S2772" s="187" t="s">
        <v>65</v>
      </c>
      <c r="T2772" s="187">
        <v>91</v>
      </c>
      <c r="U2772" s="188" t="s">
        <v>164</v>
      </c>
      <c r="V2772" s="441"/>
      <c r="X2772" s="185">
        <v>0</v>
      </c>
      <c r="Y2772" s="185"/>
      <c r="AE2772" s="204">
        <f>X2772</f>
        <v>0</v>
      </c>
      <c r="AJ2772" s="189"/>
    </row>
    <row r="2773" spans="2:37" s="261" customFormat="1" ht="11.25" customHeight="1">
      <c r="B2773" s="258" t="s">
        <v>291</v>
      </c>
      <c r="C2773" s="259"/>
      <c r="D2773" s="259"/>
      <c r="E2773" s="260" t="s">
        <v>2126</v>
      </c>
      <c r="F2773" s="261" t="s">
        <v>1077</v>
      </c>
      <c r="G2773" s="262">
        <v>3877</v>
      </c>
      <c r="H2773" s="261" t="s">
        <v>250</v>
      </c>
      <c r="I2773" s="264" t="s">
        <v>1195</v>
      </c>
      <c r="J2773" s="263">
        <v>14309.22</v>
      </c>
      <c r="K2773" s="264"/>
      <c r="L2773" s="263">
        <v>28.23</v>
      </c>
      <c r="M2773" s="263">
        <v>28.23</v>
      </c>
      <c r="N2773" s="265">
        <f>J2773*0.25</f>
        <v>3577.3049999999998</v>
      </c>
      <c r="O2773" s="266">
        <v>0.2</v>
      </c>
      <c r="P2773" s="266"/>
      <c r="Q2773" s="265">
        <v>0</v>
      </c>
      <c r="R2773" s="261" t="s">
        <v>54</v>
      </c>
      <c r="S2773" s="267" t="s">
        <v>65</v>
      </c>
      <c r="T2773" s="267">
        <v>91</v>
      </c>
      <c r="U2773" s="268" t="s">
        <v>164</v>
      </c>
      <c r="V2773" s="427"/>
      <c r="X2773" s="265">
        <v>0</v>
      </c>
      <c r="Y2773" s="265"/>
      <c r="AG2773" s="261">
        <f>X2773</f>
        <v>0</v>
      </c>
      <c r="AJ2773" s="642"/>
    </row>
    <row r="2774" spans="2:37" s="261" customFormat="1" ht="11.25" customHeight="1">
      <c r="B2774" s="258" t="s">
        <v>291</v>
      </c>
      <c r="C2774" s="259"/>
      <c r="D2774" s="259"/>
      <c r="E2774" s="260" t="s">
        <v>2126</v>
      </c>
      <c r="F2774" s="261" t="s">
        <v>1077</v>
      </c>
      <c r="G2774" s="262">
        <v>3877</v>
      </c>
      <c r="H2774" s="261" t="s">
        <v>356</v>
      </c>
      <c r="I2774" s="264" t="s">
        <v>1195</v>
      </c>
      <c r="J2774" s="263">
        <v>21750.1</v>
      </c>
      <c r="K2774" s="264"/>
      <c r="L2774" s="263">
        <v>28.15</v>
      </c>
      <c r="M2774" s="263">
        <v>28.15</v>
      </c>
      <c r="N2774" s="265"/>
      <c r="O2774" s="266">
        <v>0.2</v>
      </c>
      <c r="P2774" s="266"/>
      <c r="Q2774" s="265">
        <v>0</v>
      </c>
      <c r="R2774" s="261" t="s">
        <v>54</v>
      </c>
      <c r="S2774" s="267" t="s">
        <v>65</v>
      </c>
      <c r="T2774" s="267">
        <v>78</v>
      </c>
      <c r="U2774" s="268" t="s">
        <v>164</v>
      </c>
      <c r="V2774" s="427"/>
      <c r="X2774" s="265">
        <v>0</v>
      </c>
      <c r="Y2774" s="265"/>
      <c r="AG2774" s="261">
        <f>X2774</f>
        <v>0</v>
      </c>
      <c r="AJ2774" s="642"/>
    </row>
    <row r="2775" spans="2:37" s="261" customFormat="1" ht="11.25" customHeight="1">
      <c r="B2775" s="258" t="s">
        <v>291</v>
      </c>
      <c r="C2775" s="259"/>
      <c r="D2775" s="259"/>
      <c r="E2775" s="260" t="s">
        <v>2126</v>
      </c>
      <c r="F2775" s="261" t="s">
        <v>1077</v>
      </c>
      <c r="G2775" s="262">
        <v>3877</v>
      </c>
      <c r="H2775" s="261" t="s">
        <v>356</v>
      </c>
      <c r="I2775" s="264" t="s">
        <v>1195</v>
      </c>
      <c r="J2775" s="263">
        <v>19803.02</v>
      </c>
      <c r="K2775" s="264"/>
      <c r="L2775" s="263">
        <v>25.63</v>
      </c>
      <c r="M2775" s="263">
        <v>25.63</v>
      </c>
      <c r="N2775" s="265"/>
      <c r="O2775" s="266">
        <v>0.2</v>
      </c>
      <c r="P2775" s="266"/>
      <c r="Q2775" s="265">
        <v>0</v>
      </c>
      <c r="R2775" s="261" t="s">
        <v>54</v>
      </c>
      <c r="S2775" s="267" t="s">
        <v>65</v>
      </c>
      <c r="T2775" s="267">
        <v>91</v>
      </c>
      <c r="U2775" s="268" t="s">
        <v>164</v>
      </c>
      <c r="V2775" s="427"/>
      <c r="X2775" s="265">
        <v>0</v>
      </c>
      <c r="Y2775" s="265"/>
      <c r="AG2775" s="261">
        <f>X2775</f>
        <v>0</v>
      </c>
      <c r="AJ2775" s="642"/>
    </row>
    <row r="2776" spans="2:37" s="261" customFormat="1" ht="11.25" customHeight="1">
      <c r="B2776" s="258" t="s">
        <v>291</v>
      </c>
      <c r="C2776" s="259"/>
      <c r="D2776" s="259"/>
      <c r="E2776" s="260" t="s">
        <v>2126</v>
      </c>
      <c r="F2776" s="261" t="s">
        <v>1077</v>
      </c>
      <c r="G2776" s="262">
        <v>3877</v>
      </c>
      <c r="H2776" s="261" t="s">
        <v>192</v>
      </c>
      <c r="I2776" s="264" t="s">
        <v>1195</v>
      </c>
      <c r="J2776" s="263">
        <v>14508.37</v>
      </c>
      <c r="K2776" s="264"/>
      <c r="L2776" s="263">
        <v>13.16</v>
      </c>
      <c r="M2776" s="263">
        <v>13.16</v>
      </c>
      <c r="N2776" s="265"/>
      <c r="O2776" s="266">
        <v>0.2</v>
      </c>
      <c r="P2776" s="266"/>
      <c r="Q2776" s="265">
        <v>0</v>
      </c>
      <c r="R2776" s="261" t="s">
        <v>54</v>
      </c>
      <c r="S2776" s="267" t="s">
        <v>65</v>
      </c>
      <c r="T2776" s="267">
        <v>78</v>
      </c>
      <c r="U2776" s="268" t="s">
        <v>164</v>
      </c>
      <c r="V2776" s="427"/>
      <c r="X2776" s="265">
        <v>0</v>
      </c>
      <c r="Y2776" s="265"/>
      <c r="AG2776" s="261">
        <f>X2776</f>
        <v>0</v>
      </c>
      <c r="AJ2776" s="642"/>
    </row>
    <row r="2777" spans="2:37" s="261" customFormat="1" ht="11.25" customHeight="1">
      <c r="B2777" s="258" t="s">
        <v>291</v>
      </c>
      <c r="C2777" s="259"/>
      <c r="D2777" s="259"/>
      <c r="E2777" s="260" t="s">
        <v>2126</v>
      </c>
      <c r="F2777" s="261" t="s">
        <v>1077</v>
      </c>
      <c r="G2777" s="262">
        <v>3877</v>
      </c>
      <c r="H2777" s="261" t="s">
        <v>192</v>
      </c>
      <c r="I2777" s="264" t="s">
        <v>1195</v>
      </c>
      <c r="J2777" s="263">
        <v>44519.44</v>
      </c>
      <c r="K2777" s="264"/>
      <c r="L2777" s="263">
        <v>40.18</v>
      </c>
      <c r="M2777" s="263">
        <v>40.18</v>
      </c>
      <c r="N2777" s="265"/>
      <c r="O2777" s="266">
        <v>0.2</v>
      </c>
      <c r="P2777" s="266"/>
      <c r="Q2777" s="265">
        <v>0</v>
      </c>
      <c r="R2777" s="261" t="s">
        <v>54</v>
      </c>
      <c r="S2777" s="267" t="s">
        <v>65</v>
      </c>
      <c r="T2777" s="267">
        <v>91</v>
      </c>
      <c r="U2777" s="268" t="s">
        <v>164</v>
      </c>
      <c r="V2777" s="427"/>
      <c r="X2777" s="265">
        <v>0</v>
      </c>
      <c r="Y2777" s="265"/>
      <c r="AG2777" s="261">
        <f>X2777</f>
        <v>0</v>
      </c>
      <c r="AJ2777" s="642"/>
    </row>
    <row r="2778" spans="2:37" s="291" customFormat="1" ht="11.25" customHeight="1">
      <c r="B2778" s="310" t="s">
        <v>291</v>
      </c>
      <c r="C2778" s="292">
        <v>44731</v>
      </c>
      <c r="D2778" s="292">
        <v>44732</v>
      </c>
      <c r="E2778" s="293" t="s">
        <v>2110</v>
      </c>
      <c r="F2778" s="291" t="s">
        <v>1711</v>
      </c>
      <c r="G2778" s="294">
        <v>4618</v>
      </c>
      <c r="H2778" s="291" t="s">
        <v>27</v>
      </c>
      <c r="I2778" s="295" t="s">
        <v>156</v>
      </c>
      <c r="J2778" s="296">
        <v>132046.35</v>
      </c>
      <c r="K2778" s="295"/>
      <c r="L2778" s="296">
        <v>83.31</v>
      </c>
      <c r="M2778" s="296">
        <v>58.32</v>
      </c>
      <c r="N2778" s="297"/>
      <c r="O2778" s="298">
        <v>0.25</v>
      </c>
      <c r="P2778" s="298">
        <v>0.1</v>
      </c>
      <c r="Q2778" s="297">
        <v>0</v>
      </c>
      <c r="R2778" s="291" t="s">
        <v>69</v>
      </c>
      <c r="S2778" s="299" t="s">
        <v>228</v>
      </c>
      <c r="T2778" s="299">
        <v>37</v>
      </c>
      <c r="U2778" s="300" t="s">
        <v>164</v>
      </c>
      <c r="V2778" s="333"/>
      <c r="X2778" s="297">
        <v>0</v>
      </c>
      <c r="Y2778" s="297"/>
      <c r="AH2778" s="291">
        <f>X2778</f>
        <v>0</v>
      </c>
      <c r="AI2778" s="311"/>
      <c r="AJ2778" s="468"/>
    </row>
    <row r="2779" spans="2:37" s="205" customFormat="1" ht="11.25" customHeight="1">
      <c r="B2779" s="206" t="s">
        <v>291</v>
      </c>
      <c r="C2779" s="207">
        <v>44732</v>
      </c>
      <c r="D2779" s="207">
        <v>44732</v>
      </c>
      <c r="E2779" s="208" t="s">
        <v>2111</v>
      </c>
      <c r="F2779" s="205" t="s">
        <v>2112</v>
      </c>
      <c r="G2779" s="209" t="s">
        <v>2113</v>
      </c>
      <c r="H2779" s="205" t="s">
        <v>503</v>
      </c>
      <c r="I2779" s="219" t="s">
        <v>33</v>
      </c>
      <c r="J2779" s="210">
        <v>7530</v>
      </c>
      <c r="K2779" s="219"/>
      <c r="L2779" s="210">
        <v>7.53</v>
      </c>
      <c r="M2779" s="210">
        <v>7.53</v>
      </c>
      <c r="N2779" s="213"/>
      <c r="O2779" s="212">
        <v>0.25</v>
      </c>
      <c r="P2779" s="212"/>
      <c r="Q2779" s="213">
        <v>0</v>
      </c>
      <c r="R2779" s="205" t="s">
        <v>73</v>
      </c>
      <c r="S2779" s="214" t="s">
        <v>74</v>
      </c>
      <c r="T2779" s="214">
        <v>32</v>
      </c>
      <c r="U2779" s="215" t="s">
        <v>164</v>
      </c>
      <c r="V2779" s="438"/>
      <c r="X2779" s="213">
        <v>0</v>
      </c>
      <c r="Y2779" s="213"/>
      <c r="AF2779" s="230">
        <f>X2779</f>
        <v>0</v>
      </c>
      <c r="AJ2779" s="216"/>
    </row>
    <row r="2780" spans="2:37" s="205" customFormat="1" ht="11.25" customHeight="1">
      <c r="B2780" s="206" t="s">
        <v>291</v>
      </c>
      <c r="C2780" s="207"/>
      <c r="D2780" s="207"/>
      <c r="E2780" s="208" t="s">
        <v>2111</v>
      </c>
      <c r="F2780" s="205" t="s">
        <v>2112</v>
      </c>
      <c r="G2780" s="209" t="s">
        <v>2113</v>
      </c>
      <c r="H2780" s="205" t="s">
        <v>192</v>
      </c>
      <c r="I2780" s="219" t="s">
        <v>33</v>
      </c>
      <c r="J2780" s="210">
        <v>37975</v>
      </c>
      <c r="K2780" s="219"/>
      <c r="L2780" s="210">
        <v>43.4</v>
      </c>
      <c r="M2780" s="210">
        <v>43.4</v>
      </c>
      <c r="N2780" s="213"/>
      <c r="O2780" s="212">
        <v>0.25</v>
      </c>
      <c r="P2780" s="212"/>
      <c r="Q2780" s="213">
        <v>0</v>
      </c>
      <c r="R2780" s="205" t="s">
        <v>73</v>
      </c>
      <c r="S2780" s="214" t="s">
        <v>74</v>
      </c>
      <c r="T2780" s="214">
        <v>32</v>
      </c>
      <c r="U2780" s="215" t="s">
        <v>164</v>
      </c>
      <c r="V2780" s="438"/>
      <c r="W2780" s="205" t="s">
        <v>3118</v>
      </c>
      <c r="X2780" s="213">
        <v>0</v>
      </c>
      <c r="Y2780" s="213"/>
      <c r="AF2780" s="230">
        <f>X2780</f>
        <v>0</v>
      </c>
      <c r="AJ2780" s="216"/>
    </row>
    <row r="2781" spans="2:37" s="473" customFormat="1" ht="11.25" customHeight="1">
      <c r="B2781" s="473" t="s">
        <v>291</v>
      </c>
      <c r="C2781" s="487">
        <v>44730</v>
      </c>
      <c r="D2781" s="487">
        <v>44732</v>
      </c>
      <c r="E2781" s="488" t="s">
        <v>2114</v>
      </c>
      <c r="F2781" s="472" t="s">
        <v>1463</v>
      </c>
      <c r="G2781" s="476">
        <v>4318</v>
      </c>
      <c r="H2781" s="473" t="s">
        <v>1015</v>
      </c>
      <c r="I2781" s="491" t="s">
        <v>111</v>
      </c>
      <c r="J2781" s="490">
        <v>19455.240000000002</v>
      </c>
      <c r="K2781" s="491"/>
      <c r="L2781" s="490">
        <v>17.48</v>
      </c>
      <c r="M2781" s="490">
        <v>17.48</v>
      </c>
      <c r="N2781" s="492"/>
      <c r="O2781" s="493">
        <v>0.2</v>
      </c>
      <c r="P2781" s="493"/>
      <c r="Q2781" s="492">
        <v>2732.12</v>
      </c>
      <c r="R2781" s="472" t="s">
        <v>128</v>
      </c>
      <c r="S2781" s="482" t="s">
        <v>34</v>
      </c>
      <c r="T2781" s="482">
        <v>79</v>
      </c>
      <c r="U2781" s="494" t="s">
        <v>164</v>
      </c>
      <c r="V2781" s="495"/>
      <c r="X2781" s="492">
        <v>2732.12</v>
      </c>
      <c r="Y2781" s="492"/>
      <c r="AJ2781" s="485"/>
      <c r="AK2781" s="505">
        <v>2732.12</v>
      </c>
    </row>
    <row r="2782" spans="2:37" s="473" customFormat="1" ht="11.25" customHeight="1">
      <c r="B2782" s="473" t="s">
        <v>291</v>
      </c>
      <c r="C2782" s="487"/>
      <c r="D2782" s="487"/>
      <c r="E2782" s="488" t="s">
        <v>2114</v>
      </c>
      <c r="F2782" s="472" t="s">
        <v>1463</v>
      </c>
      <c r="G2782" s="476">
        <v>4318</v>
      </c>
      <c r="H2782" s="473" t="s">
        <v>1018</v>
      </c>
      <c r="I2782" s="491" t="s">
        <v>111</v>
      </c>
      <c r="J2782" s="490">
        <v>27189.06</v>
      </c>
      <c r="K2782" s="491"/>
      <c r="L2782" s="490">
        <v>30.01</v>
      </c>
      <c r="M2782" s="490">
        <v>30.01</v>
      </c>
      <c r="N2782" s="492"/>
      <c r="O2782" s="493">
        <v>0.2</v>
      </c>
      <c r="P2782" s="493"/>
      <c r="Q2782" s="492">
        <v>0</v>
      </c>
      <c r="R2782" s="472" t="s">
        <v>128</v>
      </c>
      <c r="S2782" s="482" t="s">
        <v>34</v>
      </c>
      <c r="T2782" s="482">
        <v>79</v>
      </c>
      <c r="U2782" s="494" t="s">
        <v>164</v>
      </c>
      <c r="V2782" s="495"/>
      <c r="X2782" s="492">
        <v>0</v>
      </c>
      <c r="Y2782" s="492"/>
      <c r="AJ2782" s="485"/>
      <c r="AK2782" s="505">
        <v>0</v>
      </c>
    </row>
    <row r="2783" spans="2:37" s="473" customFormat="1" ht="11.25" customHeight="1">
      <c r="B2783" s="473" t="s">
        <v>291</v>
      </c>
      <c r="C2783" s="487"/>
      <c r="D2783" s="487"/>
      <c r="E2783" s="488" t="s">
        <v>2114</v>
      </c>
      <c r="F2783" s="472" t="s">
        <v>1463</v>
      </c>
      <c r="G2783" s="476">
        <v>4318</v>
      </c>
      <c r="H2783" s="473" t="s">
        <v>685</v>
      </c>
      <c r="I2783" s="491" t="s">
        <v>111</v>
      </c>
      <c r="J2783" s="490">
        <v>14080</v>
      </c>
      <c r="K2783" s="491"/>
      <c r="L2783" s="490">
        <v>8.8000000000000007</v>
      </c>
      <c r="M2783" s="490">
        <v>8.8000000000000007</v>
      </c>
      <c r="N2783" s="492"/>
      <c r="O2783" s="493">
        <v>0.2</v>
      </c>
      <c r="P2783" s="493"/>
      <c r="Q2783" s="492">
        <v>3713.6</v>
      </c>
      <c r="R2783" s="472" t="s">
        <v>128</v>
      </c>
      <c r="S2783" s="482" t="s">
        <v>34</v>
      </c>
      <c r="T2783" s="482">
        <v>79</v>
      </c>
      <c r="U2783" s="494" t="s">
        <v>164</v>
      </c>
      <c r="V2783" s="495"/>
      <c r="X2783" s="492">
        <v>3713.6</v>
      </c>
      <c r="Y2783" s="492"/>
      <c r="AJ2783" s="485"/>
      <c r="AK2783" s="505">
        <v>3713.6</v>
      </c>
    </row>
    <row r="2784" spans="2:37" s="473" customFormat="1" ht="11.25" customHeight="1">
      <c r="B2784" s="473" t="s">
        <v>291</v>
      </c>
      <c r="C2784" s="487"/>
      <c r="D2784" s="487"/>
      <c r="E2784" s="488" t="s">
        <v>2114</v>
      </c>
      <c r="F2784" s="472" t="s">
        <v>1463</v>
      </c>
      <c r="G2784" s="476">
        <v>4318</v>
      </c>
      <c r="H2784" s="473" t="s">
        <v>684</v>
      </c>
      <c r="I2784" s="491" t="s">
        <v>111</v>
      </c>
      <c r="J2784" s="490">
        <v>15085.05</v>
      </c>
      <c r="K2784" s="491"/>
      <c r="L2784" s="490">
        <v>12.73</v>
      </c>
      <c r="M2784" s="490">
        <v>12.73</v>
      </c>
      <c r="N2784" s="492"/>
      <c r="O2784" s="493">
        <v>0.2</v>
      </c>
      <c r="P2784" s="493"/>
      <c r="Q2784" s="492">
        <v>2459.9699999999998</v>
      </c>
      <c r="R2784" s="472" t="s">
        <v>128</v>
      </c>
      <c r="S2784" s="482" t="s">
        <v>34</v>
      </c>
      <c r="T2784" s="482">
        <v>79</v>
      </c>
      <c r="U2784" s="494" t="s">
        <v>164</v>
      </c>
      <c r="V2784" s="495"/>
      <c r="X2784" s="492">
        <v>2459.9699999999998</v>
      </c>
      <c r="Y2784" s="492"/>
      <c r="AJ2784" s="485"/>
      <c r="AK2784" s="505">
        <v>2459.9699999999998</v>
      </c>
    </row>
    <row r="2785" spans="1:77" s="379" customFormat="1" ht="11.25" customHeight="1">
      <c r="B2785" s="379" t="s">
        <v>291</v>
      </c>
      <c r="C2785" s="381">
        <v>44730</v>
      </c>
      <c r="D2785" s="381">
        <v>44732</v>
      </c>
      <c r="E2785" s="382" t="s">
        <v>2115</v>
      </c>
      <c r="F2785" s="379" t="s">
        <v>2116</v>
      </c>
      <c r="G2785" s="383" t="s">
        <v>2117</v>
      </c>
      <c r="H2785" s="379" t="s">
        <v>99</v>
      </c>
      <c r="I2785" s="384" t="s">
        <v>33</v>
      </c>
      <c r="J2785" s="385">
        <v>13662.65</v>
      </c>
      <c r="K2785" s="384"/>
      <c r="L2785" s="385">
        <v>12.91</v>
      </c>
      <c r="M2785" s="385">
        <v>12.46</v>
      </c>
      <c r="N2785" s="386"/>
      <c r="O2785" s="387">
        <v>0.25</v>
      </c>
      <c r="P2785" s="387"/>
      <c r="Q2785" s="386">
        <v>0</v>
      </c>
      <c r="R2785" s="379" t="s">
        <v>35</v>
      </c>
      <c r="S2785" s="388" t="s">
        <v>41</v>
      </c>
      <c r="T2785" s="388">
        <v>16</v>
      </c>
      <c r="U2785" s="389" t="s">
        <v>164</v>
      </c>
      <c r="V2785" s="433"/>
      <c r="X2785" s="386">
        <v>0</v>
      </c>
      <c r="Y2785" s="386"/>
      <c r="AJ2785" s="390">
        <v>0</v>
      </c>
    </row>
    <row r="2786" spans="1:77" s="6" customFormat="1" ht="11.25" customHeight="1">
      <c r="A2786" s="379"/>
      <c r="B2786" s="379" t="s">
        <v>291</v>
      </c>
      <c r="C2786" s="381">
        <v>44732</v>
      </c>
      <c r="D2786" s="381">
        <v>44732</v>
      </c>
      <c r="E2786" s="382" t="s">
        <v>2118</v>
      </c>
      <c r="F2786" s="379" t="s">
        <v>236</v>
      </c>
      <c r="G2786" s="383" t="s">
        <v>235</v>
      </c>
      <c r="H2786" s="379" t="s">
        <v>183</v>
      </c>
      <c r="I2786" s="384" t="s">
        <v>33</v>
      </c>
      <c r="J2786" s="385">
        <v>5112</v>
      </c>
      <c r="K2786" s="384"/>
      <c r="L2786" s="385">
        <v>5.68</v>
      </c>
      <c r="M2786" s="385">
        <v>5.68</v>
      </c>
      <c r="N2786" s="386"/>
      <c r="O2786" s="387">
        <v>0.2</v>
      </c>
      <c r="P2786" s="387"/>
      <c r="Q2786" s="386">
        <v>0</v>
      </c>
      <c r="R2786" s="379" t="s">
        <v>146</v>
      </c>
      <c r="S2786" s="388" t="s">
        <v>74</v>
      </c>
      <c r="T2786" s="388">
        <v>31</v>
      </c>
      <c r="U2786" s="389" t="s">
        <v>164</v>
      </c>
      <c r="V2786" s="433"/>
      <c r="W2786" s="379"/>
      <c r="X2786" s="386">
        <v>0</v>
      </c>
      <c r="Y2786" s="386"/>
      <c r="Z2786" s="379"/>
      <c r="AA2786" s="379"/>
      <c r="AB2786" s="379"/>
      <c r="AC2786" s="379"/>
      <c r="AD2786" s="379"/>
      <c r="AE2786" s="379"/>
      <c r="AF2786" s="379"/>
      <c r="AG2786" s="379"/>
      <c r="AH2786" s="379"/>
      <c r="AI2786" s="379"/>
      <c r="AJ2786" s="390">
        <v>0</v>
      </c>
      <c r="AK2786" s="379"/>
      <c r="AL2786" s="379"/>
      <c r="AM2786" s="379"/>
      <c r="AN2786" s="379"/>
      <c r="AO2786" s="379"/>
      <c r="AP2786" s="379"/>
      <c r="AQ2786" s="379"/>
      <c r="AR2786" s="379"/>
      <c r="AS2786" s="379"/>
      <c r="AT2786" s="379"/>
      <c r="AU2786" s="379"/>
      <c r="AV2786" s="379"/>
      <c r="AW2786" s="379"/>
      <c r="AX2786" s="379"/>
      <c r="AY2786" s="379"/>
      <c r="AZ2786" s="379"/>
      <c r="BA2786" s="379"/>
      <c r="BB2786" s="379"/>
      <c r="BC2786" s="379"/>
      <c r="BD2786" s="379"/>
      <c r="BE2786" s="379"/>
      <c r="BF2786" s="379"/>
      <c r="BG2786" s="379"/>
      <c r="BH2786" s="379"/>
      <c r="BI2786" s="379"/>
      <c r="BJ2786" s="379"/>
      <c r="BK2786" s="379"/>
      <c r="BL2786" s="379"/>
      <c r="BM2786" s="379"/>
      <c r="BN2786" s="379"/>
      <c r="BO2786" s="379"/>
      <c r="BP2786" s="379"/>
      <c r="BQ2786" s="379"/>
      <c r="BR2786" s="379"/>
      <c r="BS2786" s="379"/>
      <c r="BT2786" s="379"/>
      <c r="BU2786" s="379"/>
      <c r="BV2786" s="379"/>
      <c r="BW2786" s="379"/>
      <c r="BX2786" s="379"/>
      <c r="BY2786" s="379"/>
    </row>
    <row r="2787" spans="1:77" s="6" customFormat="1" ht="11.25" customHeight="1">
      <c r="A2787" s="379"/>
      <c r="B2787" s="379" t="s">
        <v>291</v>
      </c>
      <c r="C2787" s="381"/>
      <c r="D2787" s="381"/>
      <c r="E2787" s="382" t="s">
        <v>2118</v>
      </c>
      <c r="F2787" s="379" t="s">
        <v>236</v>
      </c>
      <c r="G2787" s="383" t="s">
        <v>235</v>
      </c>
      <c r="H2787" s="379" t="s">
        <v>138</v>
      </c>
      <c r="I2787" s="384" t="s">
        <v>33</v>
      </c>
      <c r="J2787" s="385">
        <v>10620</v>
      </c>
      <c r="K2787" s="384"/>
      <c r="L2787" s="385">
        <v>8.85</v>
      </c>
      <c r="M2787" s="385">
        <v>8.85</v>
      </c>
      <c r="N2787" s="386"/>
      <c r="O2787" s="387">
        <v>0.2</v>
      </c>
      <c r="P2787" s="387"/>
      <c r="Q2787" s="386">
        <v>0</v>
      </c>
      <c r="R2787" s="379" t="s">
        <v>146</v>
      </c>
      <c r="S2787" s="388" t="s">
        <v>74</v>
      </c>
      <c r="T2787" s="388">
        <v>31</v>
      </c>
      <c r="U2787" s="389" t="s">
        <v>164</v>
      </c>
      <c r="V2787" s="433"/>
      <c r="W2787" s="379"/>
      <c r="X2787" s="386">
        <v>0</v>
      </c>
      <c r="Y2787" s="386"/>
      <c r="Z2787" s="379"/>
      <c r="AA2787" s="379"/>
      <c r="AB2787" s="379"/>
      <c r="AC2787" s="379"/>
      <c r="AD2787" s="379"/>
      <c r="AE2787" s="379"/>
      <c r="AF2787" s="379"/>
      <c r="AG2787" s="379"/>
      <c r="AH2787" s="379"/>
      <c r="AI2787" s="379"/>
      <c r="AJ2787" s="390">
        <v>0</v>
      </c>
      <c r="AK2787" s="379"/>
      <c r="AL2787" s="379"/>
      <c r="AM2787" s="379"/>
      <c r="AN2787" s="379"/>
      <c r="AO2787" s="379"/>
      <c r="AP2787" s="379"/>
      <c r="AQ2787" s="379"/>
      <c r="AR2787" s="379"/>
      <c r="AS2787" s="379"/>
      <c r="AT2787" s="379"/>
      <c r="AU2787" s="379"/>
      <c r="AV2787" s="379"/>
      <c r="AW2787" s="379"/>
      <c r="AX2787" s="379"/>
      <c r="AY2787" s="379"/>
      <c r="AZ2787" s="379"/>
      <c r="BA2787" s="379"/>
      <c r="BB2787" s="379"/>
      <c r="BC2787" s="379"/>
      <c r="BD2787" s="379"/>
      <c r="BE2787" s="379"/>
      <c r="BF2787" s="379"/>
      <c r="BG2787" s="379"/>
      <c r="BH2787" s="379"/>
      <c r="BI2787" s="379"/>
      <c r="BJ2787" s="379"/>
      <c r="BK2787" s="379"/>
      <c r="BL2787" s="379"/>
      <c r="BM2787" s="379"/>
      <c r="BN2787" s="379"/>
      <c r="BO2787" s="379"/>
      <c r="BP2787" s="379"/>
      <c r="BQ2787" s="379"/>
      <c r="BR2787" s="379"/>
      <c r="BS2787" s="379"/>
      <c r="BT2787" s="379"/>
      <c r="BU2787" s="379"/>
      <c r="BV2787" s="379"/>
      <c r="BW2787" s="379"/>
      <c r="BX2787" s="379"/>
      <c r="BY2787" s="379"/>
    </row>
    <row r="2788" spans="1:77" s="6" customFormat="1" ht="11.25" customHeight="1">
      <c r="A2788" s="379"/>
      <c r="B2788" s="379" t="s">
        <v>291</v>
      </c>
      <c r="C2788" s="381"/>
      <c r="D2788" s="381"/>
      <c r="E2788" s="382" t="s">
        <v>2118</v>
      </c>
      <c r="F2788" s="379" t="s">
        <v>236</v>
      </c>
      <c r="G2788" s="383" t="s">
        <v>235</v>
      </c>
      <c r="H2788" s="379" t="s">
        <v>99</v>
      </c>
      <c r="I2788" s="384" t="s">
        <v>33</v>
      </c>
      <c r="J2788" s="385">
        <v>12085.2</v>
      </c>
      <c r="K2788" s="384"/>
      <c r="L2788" s="385">
        <v>11.19</v>
      </c>
      <c r="M2788" s="385">
        <v>11.19</v>
      </c>
      <c r="N2788" s="386"/>
      <c r="O2788" s="387">
        <v>0.2</v>
      </c>
      <c r="P2788" s="387"/>
      <c r="Q2788" s="386">
        <v>0</v>
      </c>
      <c r="R2788" s="379" t="s">
        <v>146</v>
      </c>
      <c r="S2788" s="388" t="s">
        <v>74</v>
      </c>
      <c r="T2788" s="388">
        <v>31</v>
      </c>
      <c r="U2788" s="389" t="s">
        <v>164</v>
      </c>
      <c r="V2788" s="433"/>
      <c r="W2788" s="379"/>
      <c r="X2788" s="386">
        <v>0</v>
      </c>
      <c r="Y2788" s="386"/>
      <c r="Z2788" s="379"/>
      <c r="AA2788" s="379"/>
      <c r="AB2788" s="379"/>
      <c r="AC2788" s="379"/>
      <c r="AD2788" s="379"/>
      <c r="AE2788" s="379"/>
      <c r="AF2788" s="379"/>
      <c r="AG2788" s="379"/>
      <c r="AH2788" s="379"/>
      <c r="AI2788" s="379"/>
      <c r="AJ2788" s="390">
        <v>0</v>
      </c>
      <c r="AK2788" s="379"/>
      <c r="AL2788" s="379"/>
      <c r="AM2788" s="379"/>
      <c r="AN2788" s="379"/>
      <c r="AO2788" s="379"/>
      <c r="AP2788" s="379"/>
      <c r="AQ2788" s="379"/>
      <c r="AR2788" s="379"/>
      <c r="AS2788" s="379"/>
      <c r="AT2788" s="379"/>
      <c r="AU2788" s="379"/>
      <c r="AV2788" s="379"/>
      <c r="AW2788" s="379"/>
      <c r="AX2788" s="379"/>
      <c r="AY2788" s="379"/>
      <c r="AZ2788" s="379"/>
      <c r="BA2788" s="379"/>
      <c r="BB2788" s="379"/>
      <c r="BC2788" s="379"/>
      <c r="BD2788" s="379"/>
      <c r="BE2788" s="379"/>
      <c r="BF2788" s="379"/>
      <c r="BG2788" s="379"/>
      <c r="BH2788" s="379"/>
      <c r="BI2788" s="379"/>
      <c r="BJ2788" s="379"/>
      <c r="BK2788" s="379"/>
      <c r="BL2788" s="379"/>
      <c r="BM2788" s="379"/>
      <c r="BN2788" s="379"/>
      <c r="BO2788" s="379"/>
      <c r="BP2788" s="379"/>
      <c r="BQ2788" s="379"/>
      <c r="BR2788" s="379"/>
      <c r="BS2788" s="379"/>
      <c r="BT2788" s="379"/>
      <c r="BU2788" s="379"/>
      <c r="BV2788" s="379"/>
      <c r="BW2788" s="379"/>
      <c r="BX2788" s="379"/>
      <c r="BY2788" s="379"/>
    </row>
    <row r="2789" spans="1:77" s="6" customFormat="1" ht="11.25" customHeight="1">
      <c r="A2789" s="379"/>
      <c r="B2789" s="379" t="s">
        <v>291</v>
      </c>
      <c r="C2789" s="381"/>
      <c r="D2789" s="381"/>
      <c r="E2789" s="382" t="s">
        <v>2118</v>
      </c>
      <c r="F2789" s="379" t="s">
        <v>236</v>
      </c>
      <c r="G2789" s="383" t="s">
        <v>235</v>
      </c>
      <c r="H2789" s="379" t="s">
        <v>910</v>
      </c>
      <c r="I2789" s="384" t="s">
        <v>33</v>
      </c>
      <c r="J2789" s="385">
        <v>3615</v>
      </c>
      <c r="K2789" s="384"/>
      <c r="L2789" s="385">
        <v>2.41</v>
      </c>
      <c r="M2789" s="385">
        <v>2.41</v>
      </c>
      <c r="N2789" s="386"/>
      <c r="O2789" s="387">
        <v>0.2</v>
      </c>
      <c r="P2789" s="387"/>
      <c r="Q2789" s="386">
        <v>0</v>
      </c>
      <c r="R2789" s="379" t="s">
        <v>146</v>
      </c>
      <c r="S2789" s="388" t="s">
        <v>74</v>
      </c>
      <c r="T2789" s="388">
        <v>31</v>
      </c>
      <c r="U2789" s="389" t="s">
        <v>164</v>
      </c>
      <c r="V2789" s="433"/>
      <c r="W2789" s="379"/>
      <c r="X2789" s="386">
        <v>0</v>
      </c>
      <c r="Y2789" s="386"/>
      <c r="Z2789" s="379"/>
      <c r="AA2789" s="379"/>
      <c r="AB2789" s="379"/>
      <c r="AC2789" s="379"/>
      <c r="AD2789" s="379"/>
      <c r="AE2789" s="379"/>
      <c r="AF2789" s="379"/>
      <c r="AG2789" s="379"/>
      <c r="AH2789" s="379"/>
      <c r="AI2789" s="379"/>
      <c r="AJ2789" s="390">
        <v>0</v>
      </c>
      <c r="AK2789" s="379"/>
      <c r="AL2789" s="379"/>
      <c r="AM2789" s="379"/>
      <c r="AN2789" s="379"/>
      <c r="AO2789" s="379"/>
      <c r="AP2789" s="379"/>
      <c r="AQ2789" s="379"/>
      <c r="AR2789" s="379"/>
      <c r="AS2789" s="379"/>
      <c r="AT2789" s="379"/>
      <c r="AU2789" s="379"/>
      <c r="AV2789" s="379"/>
      <c r="AW2789" s="379"/>
      <c r="AX2789" s="379"/>
      <c r="AY2789" s="379"/>
      <c r="AZ2789" s="379"/>
      <c r="BA2789" s="379"/>
      <c r="BB2789" s="379"/>
      <c r="BC2789" s="379"/>
      <c r="BD2789" s="379"/>
      <c r="BE2789" s="379"/>
      <c r="BF2789" s="379"/>
      <c r="BG2789" s="379"/>
      <c r="BH2789" s="379"/>
      <c r="BI2789" s="379"/>
      <c r="BJ2789" s="379"/>
      <c r="BK2789" s="379"/>
      <c r="BL2789" s="379"/>
      <c r="BM2789" s="379"/>
      <c r="BN2789" s="379"/>
      <c r="BO2789" s="379"/>
      <c r="BP2789" s="379"/>
      <c r="BQ2789" s="379"/>
      <c r="BR2789" s="379"/>
      <c r="BS2789" s="379"/>
      <c r="BT2789" s="379"/>
      <c r="BU2789" s="379"/>
      <c r="BV2789" s="379"/>
      <c r="BW2789" s="379"/>
      <c r="BX2789" s="379"/>
      <c r="BY2789" s="379"/>
    </row>
    <row r="2790" spans="1:77" s="337" customFormat="1" ht="11.25" customHeight="1">
      <c r="B2790" s="337" t="s">
        <v>291</v>
      </c>
      <c r="C2790" s="349">
        <v>44732</v>
      </c>
      <c r="D2790" s="349">
        <v>44732</v>
      </c>
      <c r="E2790" s="350" t="s">
        <v>2119</v>
      </c>
      <c r="F2790" s="337" t="s">
        <v>265</v>
      </c>
      <c r="G2790" s="351">
        <v>4601</v>
      </c>
      <c r="H2790" s="337" t="s">
        <v>1313</v>
      </c>
      <c r="I2790" s="353" t="s">
        <v>2120</v>
      </c>
      <c r="J2790" s="352">
        <v>34020</v>
      </c>
      <c r="K2790" s="353"/>
      <c r="L2790" s="352">
        <v>63</v>
      </c>
      <c r="M2790" s="352">
        <v>63</v>
      </c>
      <c r="N2790" s="354"/>
      <c r="O2790" s="355">
        <v>0.2</v>
      </c>
      <c r="P2790" s="355"/>
      <c r="Q2790" s="354">
        <v>12883.5</v>
      </c>
      <c r="R2790" s="337" t="s">
        <v>69</v>
      </c>
      <c r="S2790" s="356" t="s">
        <v>41</v>
      </c>
      <c r="T2790" s="356">
        <v>86</v>
      </c>
      <c r="U2790" s="357" t="s">
        <v>164</v>
      </c>
      <c r="V2790" s="434"/>
      <c r="X2790" s="354">
        <v>12883.5</v>
      </c>
      <c r="Y2790" s="354"/>
      <c r="AI2790" s="369">
        <f>X2790</f>
        <v>12883.5</v>
      </c>
      <c r="AJ2790" s="358"/>
      <c r="AK2790" s="369"/>
    </row>
    <row r="2791" spans="1:77" s="473" customFormat="1" ht="11.25" customHeight="1">
      <c r="B2791" s="473" t="s">
        <v>291</v>
      </c>
      <c r="C2791" s="487">
        <v>44730</v>
      </c>
      <c r="D2791" s="487">
        <v>44732</v>
      </c>
      <c r="E2791" s="488" t="s">
        <v>2121</v>
      </c>
      <c r="F2791" s="473" t="s">
        <v>799</v>
      </c>
      <c r="G2791" s="489" t="s">
        <v>800</v>
      </c>
      <c r="H2791" s="473" t="s">
        <v>99</v>
      </c>
      <c r="I2791" s="491" t="s">
        <v>111</v>
      </c>
      <c r="J2791" s="490">
        <v>10305.61</v>
      </c>
      <c r="K2791" s="491"/>
      <c r="L2791" s="490">
        <v>8.51</v>
      </c>
      <c r="M2791" s="490">
        <v>8.51</v>
      </c>
      <c r="N2791" s="492">
        <v>2208.4899999999998</v>
      </c>
      <c r="O2791" s="493">
        <v>0.2</v>
      </c>
      <c r="P2791" s="493"/>
      <c r="Q2791" s="492">
        <v>0</v>
      </c>
      <c r="R2791" s="473" t="s">
        <v>142</v>
      </c>
      <c r="S2791" s="481" t="s">
        <v>41</v>
      </c>
      <c r="T2791" s="481">
        <v>16</v>
      </c>
      <c r="U2791" s="494" t="s">
        <v>164</v>
      </c>
      <c r="V2791" s="495"/>
      <c r="X2791" s="492">
        <v>0</v>
      </c>
      <c r="Y2791" s="492"/>
      <c r="AJ2791" s="485"/>
      <c r="AK2791" s="473">
        <v>0</v>
      </c>
    </row>
    <row r="2792" spans="1:77" s="379" customFormat="1" ht="11.25" customHeight="1">
      <c r="A2792" s="473"/>
      <c r="B2792" s="473" t="s">
        <v>291</v>
      </c>
      <c r="C2792" s="487"/>
      <c r="D2792" s="487"/>
      <c r="E2792" s="488" t="s">
        <v>2121</v>
      </c>
      <c r="F2792" s="473" t="s">
        <v>799</v>
      </c>
      <c r="G2792" s="489" t="s">
        <v>800</v>
      </c>
      <c r="H2792" s="473" t="s">
        <v>137</v>
      </c>
      <c r="I2792" s="491" t="s">
        <v>111</v>
      </c>
      <c r="J2792" s="490">
        <v>2760.75</v>
      </c>
      <c r="K2792" s="491"/>
      <c r="L2792" s="490">
        <v>2.5099999999999998</v>
      </c>
      <c r="M2792" s="490">
        <v>2.5099999999999998</v>
      </c>
      <c r="N2792" s="492">
        <v>597.42999999999995</v>
      </c>
      <c r="O2792" s="493">
        <v>0.2</v>
      </c>
      <c r="P2792" s="493"/>
      <c r="Q2792" s="492">
        <v>0</v>
      </c>
      <c r="R2792" s="473" t="s">
        <v>142</v>
      </c>
      <c r="S2792" s="481" t="s">
        <v>41</v>
      </c>
      <c r="T2792" s="481">
        <v>16</v>
      </c>
      <c r="U2792" s="494" t="s">
        <v>164</v>
      </c>
      <c r="V2792" s="495"/>
      <c r="W2792" s="473"/>
      <c r="X2792" s="492">
        <v>0</v>
      </c>
      <c r="Y2792" s="492"/>
      <c r="Z2792" s="473"/>
      <c r="AA2792" s="473"/>
      <c r="AB2792" s="473"/>
      <c r="AC2792" s="473"/>
      <c r="AD2792" s="473"/>
      <c r="AE2792" s="473"/>
      <c r="AF2792" s="473"/>
      <c r="AG2792" s="473"/>
      <c r="AH2792" s="473"/>
      <c r="AI2792" s="473"/>
      <c r="AJ2792" s="485"/>
      <c r="AK2792" s="473">
        <v>0</v>
      </c>
      <c r="AL2792" s="473"/>
      <c r="AM2792" s="473"/>
      <c r="AN2792" s="473"/>
      <c r="AO2792" s="473"/>
      <c r="AP2792" s="473"/>
      <c r="AQ2792" s="473"/>
      <c r="AR2792" s="473"/>
      <c r="AS2792" s="473"/>
      <c r="AT2792" s="473"/>
      <c r="AU2792" s="473"/>
      <c r="AV2792" s="473"/>
      <c r="AW2792" s="473"/>
      <c r="AX2792" s="473"/>
      <c r="AY2792" s="473"/>
      <c r="AZ2792" s="473"/>
      <c r="BA2792" s="473"/>
      <c r="BB2792" s="473"/>
      <c r="BC2792" s="473"/>
      <c r="BD2792" s="473"/>
      <c r="BE2792" s="473"/>
      <c r="BF2792" s="473"/>
      <c r="BG2792" s="473"/>
      <c r="BH2792" s="473"/>
      <c r="BI2792" s="473"/>
      <c r="BJ2792" s="473"/>
      <c r="BK2792" s="473"/>
      <c r="BL2792" s="473"/>
      <c r="BM2792" s="473"/>
      <c r="BN2792" s="473"/>
      <c r="BO2792" s="473"/>
      <c r="BP2792" s="473"/>
      <c r="BQ2792" s="473"/>
      <c r="BR2792" s="473"/>
      <c r="BS2792" s="473"/>
      <c r="BT2792" s="473"/>
      <c r="BU2792" s="473"/>
      <c r="BV2792" s="473"/>
      <c r="BW2792" s="473"/>
      <c r="BX2792" s="473"/>
      <c r="BY2792" s="473"/>
    </row>
    <row r="2793" spans="1:77" s="379" customFormat="1" ht="11.25" customHeight="1">
      <c r="B2793" s="379" t="s">
        <v>291</v>
      </c>
      <c r="C2793" s="381"/>
      <c r="D2793" s="381"/>
      <c r="E2793" s="382" t="s">
        <v>2121</v>
      </c>
      <c r="F2793" s="379" t="s">
        <v>799</v>
      </c>
      <c r="G2793" s="383" t="s">
        <v>800</v>
      </c>
      <c r="H2793" s="379" t="s">
        <v>866</v>
      </c>
      <c r="I2793" s="384" t="s">
        <v>111</v>
      </c>
      <c r="J2793" s="385">
        <v>25420.34</v>
      </c>
      <c r="K2793" s="384"/>
      <c r="L2793" s="385">
        <v>18.510000000000002</v>
      </c>
      <c r="M2793" s="385">
        <v>18.510000000000002</v>
      </c>
      <c r="N2793" s="386">
        <f>13373.06-N2792-N2794-N2795</f>
        <v>5113.369999999999</v>
      </c>
      <c r="O2793" s="387">
        <v>0.2</v>
      </c>
      <c r="P2793" s="387"/>
      <c r="Q2793" s="386">
        <v>0</v>
      </c>
      <c r="R2793" s="379" t="s">
        <v>142</v>
      </c>
      <c r="S2793" s="388" t="s">
        <v>41</v>
      </c>
      <c r="T2793" s="388">
        <v>16</v>
      </c>
      <c r="U2793" s="389" t="s">
        <v>164</v>
      </c>
      <c r="V2793" s="433"/>
      <c r="X2793" s="386">
        <v>0</v>
      </c>
      <c r="Y2793" s="386"/>
      <c r="AJ2793" s="390">
        <v>0</v>
      </c>
    </row>
    <row r="2794" spans="1:77" s="473" customFormat="1" ht="11.25" customHeight="1">
      <c r="A2794" s="379"/>
      <c r="B2794" s="379" t="s">
        <v>291</v>
      </c>
      <c r="C2794" s="381"/>
      <c r="D2794" s="381"/>
      <c r="E2794" s="382" t="s">
        <v>2121</v>
      </c>
      <c r="F2794" s="379" t="s">
        <v>799</v>
      </c>
      <c r="G2794" s="383" t="s">
        <v>800</v>
      </c>
      <c r="H2794" s="379" t="s">
        <v>765</v>
      </c>
      <c r="I2794" s="384" t="s">
        <v>111</v>
      </c>
      <c r="J2794" s="385">
        <v>22280.13</v>
      </c>
      <c r="K2794" s="384"/>
      <c r="L2794" s="385">
        <v>16.11</v>
      </c>
      <c r="M2794" s="385">
        <v>16.11</v>
      </c>
      <c r="N2794" s="386">
        <f>2537.81+724+1460.45</f>
        <v>4722.26</v>
      </c>
      <c r="O2794" s="387">
        <v>0.2</v>
      </c>
      <c r="P2794" s="387"/>
      <c r="Q2794" s="386">
        <v>0</v>
      </c>
      <c r="R2794" s="379" t="s">
        <v>142</v>
      </c>
      <c r="S2794" s="388" t="s">
        <v>41</v>
      </c>
      <c r="T2794" s="388">
        <v>16</v>
      </c>
      <c r="U2794" s="389" t="s">
        <v>164</v>
      </c>
      <c r="V2794" s="433"/>
      <c r="W2794" s="379"/>
      <c r="X2794" s="386">
        <v>0</v>
      </c>
      <c r="Y2794" s="386"/>
      <c r="Z2794" s="379"/>
      <c r="AA2794" s="379"/>
      <c r="AB2794" s="379"/>
      <c r="AC2794" s="379"/>
      <c r="AD2794" s="379"/>
      <c r="AE2794" s="379"/>
      <c r="AF2794" s="379"/>
      <c r="AG2794" s="379"/>
      <c r="AH2794" s="379"/>
      <c r="AI2794" s="379"/>
      <c r="AJ2794" s="390">
        <v>0</v>
      </c>
      <c r="AK2794" s="379"/>
      <c r="AL2794" s="379"/>
      <c r="AM2794" s="379"/>
      <c r="AN2794" s="379"/>
      <c r="AO2794" s="379"/>
      <c r="AP2794" s="379"/>
      <c r="AQ2794" s="379"/>
      <c r="AR2794" s="379"/>
      <c r="AS2794" s="379"/>
      <c r="AT2794" s="379"/>
      <c r="AU2794" s="379"/>
      <c r="AV2794" s="379"/>
      <c r="AW2794" s="379"/>
      <c r="AX2794" s="379"/>
      <c r="AY2794" s="379"/>
      <c r="AZ2794" s="379"/>
      <c r="BA2794" s="379"/>
      <c r="BB2794" s="379"/>
      <c r="BC2794" s="379"/>
      <c r="BD2794" s="379"/>
      <c r="BE2794" s="379"/>
      <c r="BF2794" s="379"/>
      <c r="BG2794" s="379"/>
      <c r="BH2794" s="379"/>
      <c r="BI2794" s="379"/>
      <c r="BJ2794" s="379"/>
      <c r="BK2794" s="379"/>
      <c r="BL2794" s="379"/>
      <c r="BM2794" s="379"/>
      <c r="BN2794" s="379"/>
      <c r="BO2794" s="379"/>
      <c r="BP2794" s="379"/>
      <c r="BQ2794" s="379"/>
      <c r="BR2794" s="379"/>
      <c r="BS2794" s="379"/>
      <c r="BT2794" s="379"/>
      <c r="BU2794" s="379"/>
      <c r="BV2794" s="379"/>
      <c r="BW2794" s="379"/>
      <c r="BX2794" s="379"/>
      <c r="BY2794" s="379"/>
    </row>
    <row r="2795" spans="1:77" s="261" customFormat="1" ht="11.25" customHeight="1">
      <c r="B2795" s="261" t="s">
        <v>291</v>
      </c>
      <c r="C2795" s="259">
        <v>44732</v>
      </c>
      <c r="D2795" s="259">
        <v>44732</v>
      </c>
      <c r="E2795" s="260" t="s">
        <v>2122</v>
      </c>
      <c r="F2795" s="261" t="s">
        <v>2123</v>
      </c>
      <c r="G2795" s="262" t="s">
        <v>2124</v>
      </c>
      <c r="H2795" s="261" t="s">
        <v>183</v>
      </c>
      <c r="I2795" s="264" t="s">
        <v>33</v>
      </c>
      <c r="J2795" s="263">
        <v>33943.43</v>
      </c>
      <c r="K2795" s="264"/>
      <c r="L2795" s="263">
        <v>28.02</v>
      </c>
      <c r="M2795" s="263">
        <v>28.02</v>
      </c>
      <c r="N2795" s="265">
        <f>769+1037+1134</f>
        <v>2940</v>
      </c>
      <c r="O2795" s="266">
        <v>0.25</v>
      </c>
      <c r="P2795" s="266"/>
      <c r="Q2795" s="265">
        <v>0</v>
      </c>
      <c r="R2795" s="261" t="s">
        <v>105</v>
      </c>
      <c r="S2795" s="267" t="s">
        <v>275</v>
      </c>
      <c r="T2795" s="267">
        <v>21</v>
      </c>
      <c r="U2795" s="268" t="s">
        <v>164</v>
      </c>
      <c r="V2795" s="427"/>
      <c r="X2795" s="265">
        <v>0</v>
      </c>
      <c r="Y2795" s="265"/>
      <c r="AG2795" s="261">
        <f>X2795</f>
        <v>0</v>
      </c>
      <c r="AJ2795" s="642"/>
    </row>
    <row r="2796" spans="1:77" s="261" customFormat="1" ht="11.25" customHeight="1">
      <c r="B2796" s="261" t="s">
        <v>291</v>
      </c>
      <c r="C2796" s="259"/>
      <c r="D2796" s="259"/>
      <c r="E2796" s="260" t="s">
        <v>2122</v>
      </c>
      <c r="F2796" s="261" t="s">
        <v>2123</v>
      </c>
      <c r="G2796" s="262" t="s">
        <v>2124</v>
      </c>
      <c r="H2796" s="261" t="s">
        <v>27</v>
      </c>
      <c r="I2796" s="264" t="s">
        <v>33</v>
      </c>
      <c r="J2796" s="263">
        <v>66221.460000000006</v>
      </c>
      <c r="K2796" s="264"/>
      <c r="L2796" s="263">
        <v>45.56</v>
      </c>
      <c r="M2796" s="263">
        <f>27.66+17.9</f>
        <v>45.56</v>
      </c>
      <c r="N2796" s="265"/>
      <c r="O2796" s="266">
        <v>0.25</v>
      </c>
      <c r="P2796" s="266"/>
      <c r="Q2796" s="265">
        <v>0</v>
      </c>
      <c r="R2796" s="261" t="s">
        <v>105</v>
      </c>
      <c r="S2796" s="267" t="s">
        <v>275</v>
      </c>
      <c r="T2796" s="267">
        <v>21</v>
      </c>
      <c r="U2796" s="268" t="s">
        <v>164</v>
      </c>
      <c r="V2796" s="427"/>
      <c r="X2796" s="265">
        <v>0</v>
      </c>
      <c r="Y2796" s="265"/>
      <c r="AG2796" s="261">
        <f>X2796</f>
        <v>0</v>
      </c>
      <c r="AJ2796" s="642"/>
    </row>
    <row r="2797" spans="1:77" s="261" customFormat="1" ht="11.25" customHeight="1">
      <c r="B2797" s="261" t="s">
        <v>291</v>
      </c>
      <c r="C2797" s="259"/>
      <c r="D2797" s="259"/>
      <c r="E2797" s="260" t="s">
        <v>2122</v>
      </c>
      <c r="F2797" s="261" t="s">
        <v>2123</v>
      </c>
      <c r="G2797" s="262" t="s">
        <v>2124</v>
      </c>
      <c r="H2797" s="261" t="s">
        <v>137</v>
      </c>
      <c r="I2797" s="264" t="s">
        <v>33</v>
      </c>
      <c r="J2797" s="263">
        <v>28847.98</v>
      </c>
      <c r="K2797" s="264"/>
      <c r="L2797" s="263">
        <v>27.37</v>
      </c>
      <c r="M2797" s="263">
        <v>27</v>
      </c>
      <c r="N2797" s="265"/>
      <c r="O2797" s="266">
        <v>0.25</v>
      </c>
      <c r="P2797" s="266"/>
      <c r="Q2797" s="265">
        <v>0</v>
      </c>
      <c r="R2797" s="261" t="s">
        <v>105</v>
      </c>
      <c r="S2797" s="267" t="s">
        <v>275</v>
      </c>
      <c r="T2797" s="267">
        <v>21</v>
      </c>
      <c r="U2797" s="268" t="s">
        <v>164</v>
      </c>
      <c r="V2797" s="427"/>
      <c r="X2797" s="265">
        <v>0</v>
      </c>
      <c r="Y2797" s="265"/>
      <c r="AG2797" s="261">
        <f>X2797</f>
        <v>0</v>
      </c>
      <c r="AJ2797" s="642"/>
    </row>
    <row r="2798" spans="1:77" s="261" customFormat="1" ht="11.25" customHeight="1">
      <c r="B2798" s="261" t="s">
        <v>291</v>
      </c>
      <c r="C2798" s="259"/>
      <c r="D2798" s="259"/>
      <c r="E2798" s="260" t="s">
        <v>2122</v>
      </c>
      <c r="F2798" s="261" t="s">
        <v>2123</v>
      </c>
      <c r="G2798" s="262" t="s">
        <v>2124</v>
      </c>
      <c r="H2798" s="261" t="s">
        <v>99</v>
      </c>
      <c r="I2798" s="264" t="s">
        <v>33</v>
      </c>
      <c r="J2798" s="263">
        <v>191881.89</v>
      </c>
      <c r="K2798" s="264"/>
      <c r="L2798" s="263">
        <v>151.41</v>
      </c>
      <c r="M2798" s="263">
        <v>86.55</v>
      </c>
      <c r="N2798" s="265"/>
      <c r="O2798" s="266">
        <v>0.25</v>
      </c>
      <c r="P2798" s="266"/>
      <c r="Q2798" s="265">
        <v>0</v>
      </c>
      <c r="R2798" s="261" t="s">
        <v>105</v>
      </c>
      <c r="S2798" s="267" t="s">
        <v>275</v>
      </c>
      <c r="T2798" s="267">
        <v>21</v>
      </c>
      <c r="U2798" s="268" t="s">
        <v>164</v>
      </c>
      <c r="V2798" s="427"/>
      <c r="X2798" s="265">
        <v>0</v>
      </c>
      <c r="Y2798" s="265"/>
      <c r="AG2798" s="261">
        <f>X2798</f>
        <v>0</v>
      </c>
      <c r="AJ2798" s="642"/>
    </row>
    <row r="2799" spans="1:77" s="181" customFormat="1" ht="11.25" customHeight="1">
      <c r="B2799" s="181" t="s">
        <v>291</v>
      </c>
      <c r="C2799" s="179">
        <v>44731</v>
      </c>
      <c r="D2799" s="179">
        <v>44732</v>
      </c>
      <c r="E2799" s="180" t="s">
        <v>2127</v>
      </c>
      <c r="F2799" s="184" t="s">
        <v>2128</v>
      </c>
      <c r="G2799" s="194" t="s">
        <v>2129</v>
      </c>
      <c r="H2799" s="181" t="s">
        <v>163</v>
      </c>
      <c r="I2799" s="190" t="s">
        <v>33</v>
      </c>
      <c r="J2799" s="183">
        <v>2460</v>
      </c>
      <c r="K2799" s="190"/>
      <c r="L2799" s="183">
        <v>4</v>
      </c>
      <c r="M2799" s="183">
        <v>4</v>
      </c>
      <c r="N2799" s="185"/>
      <c r="O2799" s="186">
        <v>0.25</v>
      </c>
      <c r="P2799" s="186"/>
      <c r="Q2799" s="185">
        <v>0</v>
      </c>
      <c r="R2799" s="184" t="s">
        <v>112</v>
      </c>
      <c r="S2799" s="199" t="s">
        <v>113</v>
      </c>
      <c r="T2799" s="199">
        <v>64</v>
      </c>
      <c r="U2799" s="188" t="s">
        <v>164</v>
      </c>
      <c r="V2799" s="441"/>
      <c r="W2799" s="181" t="s">
        <v>2281</v>
      </c>
      <c r="X2799" s="185">
        <v>0</v>
      </c>
      <c r="Y2799" s="185"/>
      <c r="AE2799" s="204">
        <f>X2799</f>
        <v>0</v>
      </c>
      <c r="AJ2799" s="189"/>
    </row>
    <row r="2800" spans="1:77" s="181" customFormat="1" ht="11.25" customHeight="1">
      <c r="B2800" s="181" t="s">
        <v>291</v>
      </c>
      <c r="C2800" s="179"/>
      <c r="D2800" s="179"/>
      <c r="E2800" s="180" t="s">
        <v>2127</v>
      </c>
      <c r="F2800" s="184" t="s">
        <v>2128</v>
      </c>
      <c r="G2800" s="194" t="s">
        <v>2129</v>
      </c>
      <c r="H2800" s="181" t="s">
        <v>866</v>
      </c>
      <c r="I2800" s="190" t="s">
        <v>33</v>
      </c>
      <c r="J2800" s="183">
        <v>31440.75</v>
      </c>
      <c r="K2800" s="190"/>
      <c r="L2800" s="183">
        <v>18.5</v>
      </c>
      <c r="M2800" s="183">
        <v>13.5</v>
      </c>
      <c r="N2800" s="185"/>
      <c r="O2800" s="186">
        <v>0.25</v>
      </c>
      <c r="P2800" s="186"/>
      <c r="Q2800" s="185">
        <v>0</v>
      </c>
      <c r="R2800" s="184" t="s">
        <v>112</v>
      </c>
      <c r="S2800" s="199" t="s">
        <v>113</v>
      </c>
      <c r="T2800" s="199">
        <v>64</v>
      </c>
      <c r="U2800" s="188" t="s">
        <v>164</v>
      </c>
      <c r="V2800" s="441"/>
      <c r="W2800" s="181" t="s">
        <v>2281</v>
      </c>
      <c r="X2800" s="185">
        <v>0</v>
      </c>
      <c r="Y2800" s="185"/>
      <c r="AE2800" s="204">
        <f>X2800</f>
        <v>0</v>
      </c>
      <c r="AJ2800" s="189"/>
    </row>
    <row r="2801" spans="1:77" s="236" customFormat="1" ht="11.25" customHeight="1">
      <c r="A2801" s="618"/>
      <c r="B2801" s="618" t="s">
        <v>291</v>
      </c>
      <c r="C2801" s="620"/>
      <c r="D2801" s="620"/>
      <c r="E2801" s="621" t="s">
        <v>2130</v>
      </c>
      <c r="F2801" s="624" t="s">
        <v>2131</v>
      </c>
      <c r="G2801" s="623" t="s">
        <v>2132</v>
      </c>
      <c r="H2801" s="618" t="s">
        <v>137</v>
      </c>
      <c r="I2801" s="626" t="s">
        <v>888</v>
      </c>
      <c r="J2801" s="635">
        <v>130614</v>
      </c>
      <c r="K2801" s="626"/>
      <c r="L2801" s="635">
        <v>79.16</v>
      </c>
      <c r="M2801" s="635">
        <v>79.16</v>
      </c>
      <c r="N2801" s="627">
        <f>J2801*0.3</f>
        <v>39184.199999999997</v>
      </c>
      <c r="O2801" s="628">
        <v>0.25</v>
      </c>
      <c r="P2801" s="628"/>
      <c r="Q2801" s="627">
        <v>34790.82</v>
      </c>
      <c r="R2801" s="624" t="s">
        <v>285</v>
      </c>
      <c r="S2801" s="630" t="s">
        <v>275</v>
      </c>
      <c r="T2801" s="630">
        <v>21</v>
      </c>
      <c r="U2801" s="631" t="s">
        <v>164</v>
      </c>
      <c r="V2801" s="632"/>
      <c r="W2801" s="618"/>
      <c r="X2801" s="627">
        <v>34790.82</v>
      </c>
      <c r="Y2801" s="627"/>
      <c r="Z2801" s="618"/>
      <c r="AA2801" s="618"/>
      <c r="AB2801" s="618"/>
      <c r="AC2801" s="618"/>
      <c r="AD2801" s="618"/>
      <c r="AE2801" s="618"/>
      <c r="AF2801" s="618"/>
      <c r="AG2801" s="618"/>
      <c r="AH2801" s="618"/>
      <c r="AI2801" s="618"/>
      <c r="AJ2801" s="633"/>
      <c r="AK2801" s="618"/>
      <c r="AL2801" s="618"/>
      <c r="AM2801" s="618"/>
      <c r="AN2801" s="618"/>
      <c r="AO2801" s="627">
        <v>34790.82</v>
      </c>
      <c r="AP2801" s="618"/>
      <c r="AQ2801" s="618"/>
      <c r="AR2801" s="618"/>
      <c r="AS2801" s="618"/>
      <c r="AT2801" s="618"/>
      <c r="AU2801" s="618"/>
      <c r="AV2801" s="618"/>
      <c r="AW2801" s="618"/>
      <c r="AX2801" s="618"/>
      <c r="AY2801" s="618"/>
      <c r="AZ2801" s="618"/>
      <c r="BA2801" s="618"/>
      <c r="BB2801" s="618"/>
      <c r="BC2801" s="618"/>
      <c r="BD2801" s="618"/>
      <c r="BE2801" s="618"/>
      <c r="BF2801" s="618"/>
      <c r="BG2801" s="618"/>
      <c r="BH2801" s="618"/>
      <c r="BI2801" s="618"/>
      <c r="BJ2801" s="618"/>
      <c r="BK2801" s="618"/>
      <c r="BL2801" s="618"/>
      <c r="BM2801" s="618"/>
      <c r="BN2801" s="618"/>
      <c r="BO2801" s="618"/>
      <c r="BP2801" s="618"/>
      <c r="BQ2801" s="618"/>
      <c r="BR2801" s="618"/>
      <c r="BS2801" s="618"/>
      <c r="BT2801" s="618"/>
      <c r="BU2801" s="618"/>
      <c r="BV2801" s="618"/>
      <c r="BW2801" s="618"/>
      <c r="BX2801" s="618"/>
      <c r="BY2801" s="618"/>
    </row>
    <row r="2802" spans="1:77" s="261" customFormat="1" ht="11.25" customHeight="1">
      <c r="B2802" s="261" t="s">
        <v>291</v>
      </c>
      <c r="C2802" s="259">
        <v>44727</v>
      </c>
      <c r="D2802" s="259">
        <v>44732</v>
      </c>
      <c r="E2802" s="260" t="s">
        <v>2130</v>
      </c>
      <c r="F2802" s="273" t="s">
        <v>2131</v>
      </c>
      <c r="G2802" s="276" t="s">
        <v>2132</v>
      </c>
      <c r="H2802" s="261" t="s">
        <v>99</v>
      </c>
      <c r="I2802" s="264" t="s">
        <v>888</v>
      </c>
      <c r="J2802" s="263">
        <v>188428.56</v>
      </c>
      <c r="K2802" s="264"/>
      <c r="L2802" s="263">
        <v>150.93</v>
      </c>
      <c r="M2802" s="263">
        <v>150.93</v>
      </c>
      <c r="N2802" s="265"/>
      <c r="O2802" s="266">
        <v>0.25</v>
      </c>
      <c r="P2802" s="266"/>
      <c r="Q2802" s="265">
        <v>0</v>
      </c>
      <c r="R2802" s="273" t="s">
        <v>285</v>
      </c>
      <c r="S2802" s="279" t="s">
        <v>275</v>
      </c>
      <c r="T2802" s="279">
        <v>21</v>
      </c>
      <c r="U2802" s="268" t="s">
        <v>164</v>
      </c>
      <c r="V2802" s="427"/>
      <c r="X2802" s="265">
        <v>0</v>
      </c>
      <c r="Y2802" s="265"/>
      <c r="AG2802" s="261">
        <f>X2802</f>
        <v>0</v>
      </c>
      <c r="AJ2802" s="642"/>
    </row>
    <row r="2803" spans="1:77" s="261" customFormat="1" ht="11.25" customHeight="1">
      <c r="B2803" s="261" t="s">
        <v>291</v>
      </c>
      <c r="C2803" s="259"/>
      <c r="D2803" s="259"/>
      <c r="E2803" s="260" t="s">
        <v>2130</v>
      </c>
      <c r="F2803" s="273" t="s">
        <v>2131</v>
      </c>
      <c r="G2803" s="276" t="s">
        <v>2132</v>
      </c>
      <c r="H2803" s="261" t="s">
        <v>183</v>
      </c>
      <c r="I2803" s="264" t="s">
        <v>888</v>
      </c>
      <c r="J2803" s="263">
        <v>32986.800000000003</v>
      </c>
      <c r="K2803" s="264"/>
      <c r="L2803" s="263">
        <v>32.340000000000003</v>
      </c>
      <c r="M2803" s="263">
        <v>32.340000000000003</v>
      </c>
      <c r="N2803" s="265"/>
      <c r="O2803" s="266">
        <v>0.25</v>
      </c>
      <c r="P2803" s="266"/>
      <c r="Q2803" s="265">
        <v>0</v>
      </c>
      <c r="R2803" s="273" t="s">
        <v>285</v>
      </c>
      <c r="S2803" s="279" t="s">
        <v>275</v>
      </c>
      <c r="T2803" s="279">
        <v>21</v>
      </c>
      <c r="U2803" s="268" t="s">
        <v>164</v>
      </c>
      <c r="V2803" s="427"/>
      <c r="X2803" s="265">
        <v>0</v>
      </c>
      <c r="Y2803" s="265"/>
      <c r="AG2803" s="261">
        <f>X2803</f>
        <v>0</v>
      </c>
      <c r="AJ2803" s="642"/>
    </row>
    <row r="2804" spans="1:77" s="261" customFormat="1" ht="11.25" customHeight="1">
      <c r="B2804" s="261" t="s">
        <v>291</v>
      </c>
      <c r="C2804" s="259"/>
      <c r="D2804" s="259"/>
      <c r="E2804" s="260" t="s">
        <v>2130</v>
      </c>
      <c r="F2804" s="273" t="s">
        <v>2131</v>
      </c>
      <c r="G2804" s="276" t="s">
        <v>2132</v>
      </c>
      <c r="H2804" s="261" t="s">
        <v>207</v>
      </c>
      <c r="I2804" s="264" t="s">
        <v>888</v>
      </c>
      <c r="J2804" s="263">
        <v>2252.8000000000002</v>
      </c>
      <c r="K2804" s="264"/>
      <c r="L2804" s="263">
        <v>3.2</v>
      </c>
      <c r="M2804" s="263">
        <v>3.2</v>
      </c>
      <c r="N2804" s="265"/>
      <c r="O2804" s="266">
        <v>0.25</v>
      </c>
      <c r="P2804" s="266"/>
      <c r="Q2804" s="265">
        <v>491.52</v>
      </c>
      <c r="R2804" s="273" t="s">
        <v>285</v>
      </c>
      <c r="S2804" s="279" t="s">
        <v>275</v>
      </c>
      <c r="T2804" s="279">
        <v>21</v>
      </c>
      <c r="U2804" s="268" t="s">
        <v>164</v>
      </c>
      <c r="V2804" s="427"/>
      <c r="X2804" s="265">
        <v>491.52</v>
      </c>
      <c r="Y2804" s="265"/>
      <c r="AG2804" s="261">
        <f>X2804</f>
        <v>491.52</v>
      </c>
      <c r="AJ2804" s="642"/>
    </row>
    <row r="2805" spans="1:77" s="261" customFormat="1" ht="11.25" customHeight="1">
      <c r="B2805" s="261" t="s">
        <v>291</v>
      </c>
      <c r="C2805" s="259"/>
      <c r="D2805" s="259"/>
      <c r="E2805" s="260" t="s">
        <v>2130</v>
      </c>
      <c r="F2805" s="273" t="s">
        <v>2131</v>
      </c>
      <c r="G2805" s="276" t="s">
        <v>2132</v>
      </c>
      <c r="H2805" s="261" t="s">
        <v>27</v>
      </c>
      <c r="I2805" s="264" t="s">
        <v>888</v>
      </c>
      <c r="J2805" s="263">
        <v>31468.5</v>
      </c>
      <c r="K2805" s="264"/>
      <c r="L2805" s="263">
        <v>25.9</v>
      </c>
      <c r="M2805" s="263">
        <v>25.9</v>
      </c>
      <c r="N2805" s="265"/>
      <c r="O2805" s="266">
        <v>0.25</v>
      </c>
      <c r="P2805" s="266"/>
      <c r="Q2805" s="265">
        <v>0</v>
      </c>
      <c r="R2805" s="273" t="s">
        <v>285</v>
      </c>
      <c r="S2805" s="279" t="s">
        <v>275</v>
      </c>
      <c r="T2805" s="279">
        <v>21</v>
      </c>
      <c r="U2805" s="268" t="s">
        <v>164</v>
      </c>
      <c r="V2805" s="427"/>
      <c r="X2805" s="265">
        <v>0</v>
      </c>
      <c r="Y2805" s="265"/>
      <c r="AG2805" s="261">
        <f>X2805</f>
        <v>0</v>
      </c>
      <c r="AJ2805" s="642"/>
    </row>
    <row r="2806" spans="1:77" s="261" customFormat="1" ht="11.25" customHeight="1">
      <c r="B2806" s="258" t="s">
        <v>291</v>
      </c>
      <c r="C2806" s="259">
        <v>44731</v>
      </c>
      <c r="D2806" s="259">
        <v>44732</v>
      </c>
      <c r="E2806" s="260" t="s">
        <v>2133</v>
      </c>
      <c r="F2806" s="273" t="s">
        <v>1093</v>
      </c>
      <c r="G2806" s="276">
        <v>3897</v>
      </c>
      <c r="H2806" s="261" t="s">
        <v>207</v>
      </c>
      <c r="I2806" s="264" t="s">
        <v>1151</v>
      </c>
      <c r="J2806" s="263">
        <v>3050.19</v>
      </c>
      <c r="K2806" s="264"/>
      <c r="L2806" s="263">
        <v>12.07</v>
      </c>
      <c r="M2806" s="263">
        <v>12.6</v>
      </c>
      <c r="N2806" s="265"/>
      <c r="O2806" s="266">
        <v>0.25</v>
      </c>
      <c r="P2806" s="266">
        <v>0.1</v>
      </c>
      <c r="Q2806" s="265">
        <v>0</v>
      </c>
      <c r="R2806" s="273" t="s">
        <v>128</v>
      </c>
      <c r="S2806" s="279" t="s">
        <v>41</v>
      </c>
      <c r="T2806" s="279">
        <v>86</v>
      </c>
      <c r="U2806" s="268" t="s">
        <v>164</v>
      </c>
      <c r="V2806" s="427"/>
      <c r="X2806" s="265">
        <v>0</v>
      </c>
      <c r="Y2806" s="265"/>
      <c r="AG2806" s="261">
        <f>X2806</f>
        <v>0</v>
      </c>
      <c r="AJ2806" s="642"/>
    </row>
    <row r="2807" spans="1:77" s="507" customFormat="1" ht="11.25" customHeight="1">
      <c r="B2807" s="508" t="s">
        <v>291</v>
      </c>
      <c r="C2807" s="509">
        <v>44730</v>
      </c>
      <c r="D2807" s="509">
        <v>44732</v>
      </c>
      <c r="E2807" s="510" t="s">
        <v>2134</v>
      </c>
      <c r="F2807" s="523" t="s">
        <v>2135</v>
      </c>
      <c r="G2807" s="526" t="s">
        <v>2136</v>
      </c>
      <c r="H2807" s="507" t="s">
        <v>99</v>
      </c>
      <c r="I2807" s="512" t="s">
        <v>33</v>
      </c>
      <c r="J2807" s="513">
        <v>95109.88</v>
      </c>
      <c r="K2807" s="512"/>
      <c r="L2807" s="513">
        <v>64.06</v>
      </c>
      <c r="M2807" s="513">
        <v>64.06</v>
      </c>
      <c r="N2807" s="514"/>
      <c r="O2807" s="515">
        <v>0.2</v>
      </c>
      <c r="P2807" s="515"/>
      <c r="Q2807" s="514">
        <v>12150.85</v>
      </c>
      <c r="R2807" s="523" t="s">
        <v>35</v>
      </c>
      <c r="S2807" s="531" t="s">
        <v>41</v>
      </c>
      <c r="T2807" s="531">
        <v>17</v>
      </c>
      <c r="U2807" s="517" t="s">
        <v>164</v>
      </c>
      <c r="V2807" s="518"/>
      <c r="X2807" s="514">
        <v>12150.85</v>
      </c>
      <c r="Y2807" s="514"/>
      <c r="AJ2807" s="522"/>
      <c r="AL2807" s="514">
        <v>12150.85</v>
      </c>
    </row>
    <row r="2808" spans="1:77" s="507" customFormat="1" ht="11.25" customHeight="1">
      <c r="B2808" s="508" t="s">
        <v>291</v>
      </c>
      <c r="C2808" s="509"/>
      <c r="D2808" s="509"/>
      <c r="E2808" s="510" t="s">
        <v>2134</v>
      </c>
      <c r="F2808" s="523" t="s">
        <v>2135</v>
      </c>
      <c r="G2808" s="526" t="s">
        <v>2136</v>
      </c>
      <c r="H2808" s="507" t="s">
        <v>27</v>
      </c>
      <c r="I2808" s="512" t="s">
        <v>33</v>
      </c>
      <c r="J2808" s="513">
        <v>54430.5</v>
      </c>
      <c r="K2808" s="512"/>
      <c r="L2808" s="513">
        <v>27.7</v>
      </c>
      <c r="M2808" s="513">
        <v>27.7</v>
      </c>
      <c r="N2808" s="514"/>
      <c r="O2808" s="515">
        <v>0.2</v>
      </c>
      <c r="P2808" s="515"/>
      <c r="Q2808" s="514">
        <v>13740.95</v>
      </c>
      <c r="R2808" s="523" t="s">
        <v>35</v>
      </c>
      <c r="S2808" s="531" t="s">
        <v>41</v>
      </c>
      <c r="T2808" s="531">
        <v>17</v>
      </c>
      <c r="U2808" s="517" t="s">
        <v>164</v>
      </c>
      <c r="V2808" s="518"/>
      <c r="X2808" s="514">
        <v>13740.95</v>
      </c>
      <c r="Y2808" s="514"/>
      <c r="AJ2808" s="522"/>
      <c r="AL2808" s="514">
        <v>13740.95</v>
      </c>
    </row>
    <row r="2809" spans="1:77" s="6" customFormat="1" ht="11.25" customHeight="1">
      <c r="A2809" s="507"/>
      <c r="B2809" s="508" t="s">
        <v>291</v>
      </c>
      <c r="C2809" s="509"/>
      <c r="D2809" s="509"/>
      <c r="E2809" s="510" t="s">
        <v>2137</v>
      </c>
      <c r="F2809" s="523" t="s">
        <v>2138</v>
      </c>
      <c r="G2809" s="526" t="s">
        <v>2139</v>
      </c>
      <c r="H2809" s="507" t="s">
        <v>99</v>
      </c>
      <c r="I2809" s="512" t="s">
        <v>33</v>
      </c>
      <c r="J2809" s="513">
        <v>38454</v>
      </c>
      <c r="K2809" s="512"/>
      <c r="L2809" s="513">
        <v>29</v>
      </c>
      <c r="M2809" s="513">
        <v>29</v>
      </c>
      <c r="N2809" s="514"/>
      <c r="O2809" s="515">
        <v>0.2</v>
      </c>
      <c r="P2809" s="515"/>
      <c r="Q2809" s="514">
        <v>0</v>
      </c>
      <c r="R2809" s="523" t="s">
        <v>35</v>
      </c>
      <c r="S2809" s="531" t="s">
        <v>41</v>
      </c>
      <c r="T2809" s="531">
        <v>86</v>
      </c>
      <c r="U2809" s="517" t="s">
        <v>164</v>
      </c>
      <c r="V2809" s="518"/>
      <c r="W2809" s="507"/>
      <c r="X2809" s="514">
        <v>0</v>
      </c>
      <c r="Y2809" s="514"/>
      <c r="Z2809" s="507"/>
      <c r="AA2809" s="507"/>
      <c r="AB2809" s="507"/>
      <c r="AC2809" s="507"/>
      <c r="AD2809" s="507"/>
      <c r="AE2809" s="507"/>
      <c r="AF2809" s="507"/>
      <c r="AG2809" s="507"/>
      <c r="AH2809" s="507"/>
      <c r="AI2809" s="507"/>
      <c r="AJ2809" s="522"/>
      <c r="AK2809" s="507"/>
      <c r="AL2809" s="507">
        <v>0</v>
      </c>
      <c r="AM2809" s="507"/>
      <c r="AN2809" s="507"/>
      <c r="AO2809" s="507"/>
      <c r="AP2809" s="507"/>
      <c r="AQ2809" s="507"/>
      <c r="AR2809" s="507"/>
      <c r="AS2809" s="507"/>
      <c r="AT2809" s="507"/>
      <c r="AU2809" s="507"/>
      <c r="AV2809" s="507"/>
      <c r="AW2809" s="507"/>
      <c r="AX2809" s="507"/>
      <c r="AY2809" s="507"/>
      <c r="AZ2809" s="507"/>
      <c r="BA2809" s="507"/>
      <c r="BB2809" s="507"/>
      <c r="BC2809" s="507"/>
      <c r="BD2809" s="507"/>
      <c r="BE2809" s="507"/>
      <c r="BF2809" s="507"/>
      <c r="BG2809" s="507"/>
      <c r="BH2809" s="507"/>
      <c r="BI2809" s="507"/>
      <c r="BJ2809" s="507"/>
      <c r="BK2809" s="507"/>
      <c r="BL2809" s="507"/>
      <c r="BM2809" s="507"/>
      <c r="BN2809" s="507"/>
      <c r="BO2809" s="507"/>
      <c r="BP2809" s="507"/>
      <c r="BQ2809" s="507"/>
      <c r="BR2809" s="507"/>
      <c r="BS2809" s="507"/>
      <c r="BT2809" s="507"/>
      <c r="BU2809" s="507"/>
      <c r="BV2809" s="507"/>
      <c r="BW2809" s="507"/>
      <c r="BX2809" s="507"/>
      <c r="BY2809" s="507"/>
    </row>
    <row r="2810" spans="1:77" s="507" customFormat="1" ht="11.25" customHeight="1">
      <c r="A2810" s="379"/>
      <c r="B2810" s="380" t="s">
        <v>291</v>
      </c>
      <c r="C2810" s="381">
        <v>44730</v>
      </c>
      <c r="D2810" s="381">
        <v>44732</v>
      </c>
      <c r="E2810" s="382" t="s">
        <v>2137</v>
      </c>
      <c r="F2810" s="394" t="s">
        <v>2138</v>
      </c>
      <c r="G2810" s="400" t="s">
        <v>2139</v>
      </c>
      <c r="H2810" s="379" t="s">
        <v>99</v>
      </c>
      <c r="I2810" s="384" t="s">
        <v>33</v>
      </c>
      <c r="J2810" s="385">
        <v>78578.759999999995</v>
      </c>
      <c r="K2810" s="384"/>
      <c r="L2810" s="385">
        <v>59.26</v>
      </c>
      <c r="M2810" s="385">
        <v>59.26</v>
      </c>
      <c r="N2810" s="386"/>
      <c r="O2810" s="387">
        <v>0.2</v>
      </c>
      <c r="P2810" s="387"/>
      <c r="Q2810" s="386">
        <v>0</v>
      </c>
      <c r="R2810" s="394" t="s">
        <v>35</v>
      </c>
      <c r="S2810" s="399" t="s">
        <v>41</v>
      </c>
      <c r="T2810" s="399">
        <v>16</v>
      </c>
      <c r="U2810" s="389" t="s">
        <v>164</v>
      </c>
      <c r="V2810" s="433"/>
      <c r="W2810" s="379"/>
      <c r="X2810" s="386">
        <v>0</v>
      </c>
      <c r="Y2810" s="386"/>
      <c r="Z2810" s="379"/>
      <c r="AA2810" s="379"/>
      <c r="AB2810" s="379"/>
      <c r="AC2810" s="379"/>
      <c r="AD2810" s="379"/>
      <c r="AE2810" s="379"/>
      <c r="AF2810" s="379"/>
      <c r="AG2810" s="379"/>
      <c r="AH2810" s="379"/>
      <c r="AI2810" s="379"/>
      <c r="AJ2810" s="390">
        <v>0</v>
      </c>
      <c r="AK2810" s="379"/>
      <c r="AL2810" s="379"/>
      <c r="AM2810" s="379"/>
      <c r="AN2810" s="379"/>
      <c r="AO2810" s="379"/>
      <c r="AP2810" s="379"/>
      <c r="AQ2810" s="379"/>
      <c r="AR2810" s="379"/>
      <c r="AS2810" s="379"/>
      <c r="AT2810" s="379"/>
      <c r="AU2810" s="379"/>
      <c r="AV2810" s="379"/>
      <c r="AW2810" s="379"/>
      <c r="AX2810" s="379"/>
      <c r="AY2810" s="379"/>
      <c r="AZ2810" s="379"/>
      <c r="BA2810" s="379"/>
      <c r="BB2810" s="379"/>
      <c r="BC2810" s="379"/>
      <c r="BD2810" s="379"/>
      <c r="BE2810" s="379"/>
      <c r="BF2810" s="379"/>
      <c r="BG2810" s="379"/>
      <c r="BH2810" s="379"/>
      <c r="BI2810" s="379"/>
      <c r="BJ2810" s="379"/>
      <c r="BK2810" s="379"/>
      <c r="BL2810" s="379"/>
      <c r="BM2810" s="379"/>
      <c r="BN2810" s="379"/>
      <c r="BO2810" s="379"/>
      <c r="BP2810" s="379"/>
      <c r="BQ2810" s="379"/>
      <c r="BR2810" s="379"/>
      <c r="BS2810" s="379"/>
      <c r="BT2810" s="379"/>
      <c r="BU2810" s="379"/>
      <c r="BV2810" s="379"/>
      <c r="BW2810" s="379"/>
      <c r="BX2810" s="379"/>
      <c r="BY2810" s="379"/>
    </row>
    <row r="2811" spans="1:77" s="647" customFormat="1" ht="11.25" customHeight="1">
      <c r="B2811" s="661" t="s">
        <v>291</v>
      </c>
      <c r="C2811" s="648"/>
      <c r="D2811" s="648"/>
      <c r="E2811" s="649" t="s">
        <v>2140</v>
      </c>
      <c r="F2811" s="647" t="s">
        <v>159</v>
      </c>
      <c r="G2811" s="650">
        <v>3817</v>
      </c>
      <c r="H2811" s="647" t="s">
        <v>814</v>
      </c>
      <c r="I2811" s="676" t="s">
        <v>156</v>
      </c>
      <c r="J2811" s="651">
        <v>9310.56</v>
      </c>
      <c r="K2811" s="676"/>
      <c r="L2811" s="651">
        <v>8.16</v>
      </c>
      <c r="M2811" s="651">
        <v>8.16</v>
      </c>
      <c r="N2811" s="652">
        <f>J2811*0.1</f>
        <v>931.05600000000004</v>
      </c>
      <c r="O2811" s="653">
        <v>0.15</v>
      </c>
      <c r="P2811" s="653">
        <v>0.1</v>
      </c>
      <c r="Q2811" s="652">
        <f>N2811-J2811*P2811</f>
        <v>0</v>
      </c>
      <c r="R2811" s="647" t="s">
        <v>112</v>
      </c>
      <c r="S2811" s="654" t="s">
        <v>113</v>
      </c>
      <c r="T2811" s="654">
        <v>64</v>
      </c>
      <c r="U2811" s="655" t="s">
        <v>164</v>
      </c>
      <c r="V2811" s="656"/>
      <c r="X2811" s="652">
        <v>0</v>
      </c>
      <c r="Y2811" s="652"/>
      <c r="AI2811" s="647">
        <f>X2811</f>
        <v>0</v>
      </c>
      <c r="AJ2811" s="657"/>
      <c r="AK2811" s="658"/>
    </row>
    <row r="2812" spans="1:77" s="261" customFormat="1" ht="11.25" customHeight="1">
      <c r="B2812" s="258" t="s">
        <v>291</v>
      </c>
      <c r="C2812" s="259">
        <v>44731</v>
      </c>
      <c r="D2812" s="259">
        <v>44732</v>
      </c>
      <c r="E2812" s="260" t="s">
        <v>2140</v>
      </c>
      <c r="F2812" s="261" t="s">
        <v>159</v>
      </c>
      <c r="G2812" s="262">
        <v>3817</v>
      </c>
      <c r="H2812" s="261" t="s">
        <v>99</v>
      </c>
      <c r="I2812" s="264" t="s">
        <v>156</v>
      </c>
      <c r="J2812" s="263">
        <v>10355.69</v>
      </c>
      <c r="K2812" s="264"/>
      <c r="L2812" s="263">
        <v>7.61</v>
      </c>
      <c r="M2812" s="263">
        <v>7.61</v>
      </c>
      <c r="N2812" s="265">
        <f>J2812*0.15</f>
        <v>1553.3534999999999</v>
      </c>
      <c r="O2812" s="266">
        <v>0.15</v>
      </c>
      <c r="P2812" s="266">
        <v>0.1</v>
      </c>
      <c r="Q2812" s="265">
        <v>239.24</v>
      </c>
      <c r="R2812" s="261" t="s">
        <v>112</v>
      </c>
      <c r="S2812" s="267" t="s">
        <v>113</v>
      </c>
      <c r="T2812" s="267">
        <v>64</v>
      </c>
      <c r="U2812" s="268" t="s">
        <v>164</v>
      </c>
      <c r="V2812" s="427"/>
      <c r="X2812" s="265">
        <v>239.24</v>
      </c>
      <c r="Y2812" s="265"/>
      <c r="AG2812" s="261">
        <f>X2812</f>
        <v>239.24</v>
      </c>
      <c r="AJ2812" s="642"/>
    </row>
    <row r="2813" spans="1:77" s="647" customFormat="1" ht="11.25" customHeight="1">
      <c r="B2813" s="661" t="s">
        <v>291</v>
      </c>
      <c r="C2813" s="648"/>
      <c r="D2813" s="648"/>
      <c r="E2813" s="649" t="s">
        <v>2140</v>
      </c>
      <c r="F2813" s="647" t="s">
        <v>159</v>
      </c>
      <c r="G2813" s="650">
        <v>3817</v>
      </c>
      <c r="H2813" s="647" t="s">
        <v>910</v>
      </c>
      <c r="I2813" s="676" t="s">
        <v>156</v>
      </c>
      <c r="J2813" s="651">
        <v>16429.14</v>
      </c>
      <c r="K2813" s="676"/>
      <c r="L2813" s="651">
        <v>8.19</v>
      </c>
      <c r="M2813" s="651">
        <v>8.19</v>
      </c>
      <c r="N2813" s="652">
        <f>J2813*0.25</f>
        <v>4107.2849999999999</v>
      </c>
      <c r="O2813" s="653">
        <v>0.15</v>
      </c>
      <c r="P2813" s="653">
        <v>0.1</v>
      </c>
      <c r="Q2813" s="652">
        <v>4974.32</v>
      </c>
      <c r="R2813" s="647" t="s">
        <v>112</v>
      </c>
      <c r="S2813" s="654" t="s">
        <v>113</v>
      </c>
      <c r="T2813" s="654">
        <v>64</v>
      </c>
      <c r="U2813" s="655" t="s">
        <v>164</v>
      </c>
      <c r="V2813" s="656"/>
      <c r="X2813" s="652">
        <v>4974.32</v>
      </c>
      <c r="Y2813" s="652"/>
      <c r="AI2813" s="652">
        <v>4974.32</v>
      </c>
      <c r="AJ2813" s="657"/>
      <c r="AK2813" s="658"/>
    </row>
    <row r="2814" spans="1:77" s="647" customFormat="1" ht="11.25" customHeight="1">
      <c r="B2814" s="661" t="s">
        <v>291</v>
      </c>
      <c r="C2814" s="648"/>
      <c r="D2814" s="648"/>
      <c r="E2814" s="649" t="s">
        <v>2140</v>
      </c>
      <c r="F2814" s="647" t="s">
        <v>159</v>
      </c>
      <c r="G2814" s="650">
        <v>3817</v>
      </c>
      <c r="H2814" s="647" t="s">
        <v>866</v>
      </c>
      <c r="I2814" s="676" t="s">
        <v>156</v>
      </c>
      <c r="J2814" s="651">
        <v>6004.4</v>
      </c>
      <c r="K2814" s="676"/>
      <c r="L2814" s="651">
        <v>4</v>
      </c>
      <c r="M2814" s="651">
        <v>4</v>
      </c>
      <c r="N2814" s="652">
        <v>339.25</v>
      </c>
      <c r="O2814" s="653">
        <v>0.15</v>
      </c>
      <c r="P2814" s="653">
        <v>0.1</v>
      </c>
      <c r="Q2814" s="652">
        <v>0</v>
      </c>
      <c r="R2814" s="647" t="s">
        <v>112</v>
      </c>
      <c r="S2814" s="654" t="s">
        <v>113</v>
      </c>
      <c r="T2814" s="654">
        <v>64</v>
      </c>
      <c r="U2814" s="655" t="s">
        <v>164</v>
      </c>
      <c r="V2814" s="656"/>
      <c r="X2814" s="652">
        <v>0</v>
      </c>
      <c r="Y2814" s="652"/>
      <c r="AI2814" s="647">
        <v>0</v>
      </c>
      <c r="AJ2814" s="657"/>
      <c r="AK2814" s="658"/>
    </row>
    <row r="2815" spans="1:77" s="205" customFormat="1" ht="11.25" customHeight="1">
      <c r="B2815" s="206" t="s">
        <v>291</v>
      </c>
      <c r="C2815" s="207"/>
      <c r="D2815" s="207"/>
      <c r="E2815" s="208" t="s">
        <v>2140</v>
      </c>
      <c r="F2815" s="205" t="s">
        <v>159</v>
      </c>
      <c r="G2815" s="209">
        <v>3817</v>
      </c>
      <c r="H2815" s="205" t="s">
        <v>27</v>
      </c>
      <c r="I2815" s="219" t="s">
        <v>156</v>
      </c>
      <c r="J2815" s="210">
        <v>7649.28</v>
      </c>
      <c r="K2815" s="219"/>
      <c r="L2815" s="210">
        <v>6.64</v>
      </c>
      <c r="M2815" s="210">
        <v>6.64</v>
      </c>
      <c r="N2815" s="213">
        <v>0</v>
      </c>
      <c r="O2815" s="212">
        <v>0.15</v>
      </c>
      <c r="P2815" s="212">
        <v>0.1</v>
      </c>
      <c r="Q2815" s="213">
        <v>0</v>
      </c>
      <c r="R2815" s="205" t="s">
        <v>112</v>
      </c>
      <c r="S2815" s="214" t="s">
        <v>113</v>
      </c>
      <c r="T2815" s="214">
        <v>64</v>
      </c>
      <c r="U2815" s="215" t="s">
        <v>164</v>
      </c>
      <c r="V2815" s="438"/>
      <c r="X2815" s="213">
        <v>0</v>
      </c>
      <c r="Y2815" s="213"/>
      <c r="AF2815" s="230">
        <f>X2815</f>
        <v>0</v>
      </c>
      <c r="AJ2815" s="216"/>
    </row>
    <row r="2816" spans="1:77" s="647" customFormat="1" ht="11.25" customHeight="1">
      <c r="B2816" s="661" t="s">
        <v>291</v>
      </c>
      <c r="C2816" s="648"/>
      <c r="D2816" s="648"/>
      <c r="E2816" s="649" t="s">
        <v>2140</v>
      </c>
      <c r="F2816" s="647" t="s">
        <v>159</v>
      </c>
      <c r="G2816" s="650">
        <v>3817</v>
      </c>
      <c r="H2816" s="647" t="s">
        <v>765</v>
      </c>
      <c r="I2816" s="676" t="s">
        <v>156</v>
      </c>
      <c r="J2816" s="651">
        <v>4619.7</v>
      </c>
      <c r="K2816" s="676"/>
      <c r="L2816" s="651">
        <v>4.3499999999999996</v>
      </c>
      <c r="M2816" s="651">
        <v>4.3499999999999996</v>
      </c>
      <c r="N2816" s="652">
        <f>J2816*0.05</f>
        <v>230.98500000000001</v>
      </c>
      <c r="O2816" s="653">
        <v>0.15</v>
      </c>
      <c r="P2816" s="653">
        <v>0.1</v>
      </c>
      <c r="Q2816" s="652">
        <v>0</v>
      </c>
      <c r="R2816" s="647" t="s">
        <v>112</v>
      </c>
      <c r="S2816" s="654" t="s">
        <v>113</v>
      </c>
      <c r="T2816" s="654">
        <v>64</v>
      </c>
      <c r="U2816" s="655" t="s">
        <v>164</v>
      </c>
      <c r="V2816" s="656"/>
      <c r="X2816" s="652">
        <v>0</v>
      </c>
      <c r="Y2816" s="652"/>
      <c r="AI2816" s="647">
        <v>0</v>
      </c>
      <c r="AJ2816" s="657"/>
      <c r="AK2816" s="658"/>
    </row>
    <row r="2817" spans="1:77" s="261" customFormat="1" ht="11.25" customHeight="1">
      <c r="B2817" s="258" t="s">
        <v>291</v>
      </c>
      <c r="C2817" s="259">
        <v>44732</v>
      </c>
      <c r="D2817" s="259">
        <v>44732</v>
      </c>
      <c r="E2817" s="260" t="s">
        <v>2141</v>
      </c>
      <c r="F2817" s="273" t="s">
        <v>2142</v>
      </c>
      <c r="G2817" s="276" t="s">
        <v>2143</v>
      </c>
      <c r="H2817" s="261" t="s">
        <v>99</v>
      </c>
      <c r="I2817" s="264" t="s">
        <v>1351</v>
      </c>
      <c r="J2817" s="263">
        <v>28293.439999999999</v>
      </c>
      <c r="K2817" s="264"/>
      <c r="L2817" s="263">
        <v>17</v>
      </c>
      <c r="M2817" s="263">
        <v>3.14</v>
      </c>
      <c r="N2817" s="265"/>
      <c r="O2817" s="266">
        <v>0.25</v>
      </c>
      <c r="P2817" s="266">
        <v>0.1</v>
      </c>
      <c r="Q2817" s="265">
        <v>0</v>
      </c>
      <c r="R2817" s="273" t="s">
        <v>281</v>
      </c>
      <c r="S2817" s="279" t="s">
        <v>228</v>
      </c>
      <c r="T2817" s="279">
        <v>45</v>
      </c>
      <c r="U2817" s="268" t="s">
        <v>164</v>
      </c>
      <c r="V2817" s="427"/>
      <c r="X2817" s="265">
        <v>0</v>
      </c>
      <c r="Y2817" s="265"/>
      <c r="AG2817" s="261">
        <f>X2817</f>
        <v>0</v>
      </c>
      <c r="AJ2817" s="642"/>
    </row>
    <row r="2818" spans="1:77" s="379" customFormat="1" ht="11.25" customHeight="1">
      <c r="A2818" s="473"/>
      <c r="B2818" s="486" t="s">
        <v>291</v>
      </c>
      <c r="C2818" s="487"/>
      <c r="D2818" s="487"/>
      <c r="E2818" s="488" t="s">
        <v>2144</v>
      </c>
      <c r="F2818" s="473" t="s">
        <v>1471</v>
      </c>
      <c r="G2818" s="489" t="s">
        <v>2145</v>
      </c>
      <c r="H2818" s="473" t="s">
        <v>27</v>
      </c>
      <c r="I2818" s="491" t="s">
        <v>33</v>
      </c>
      <c r="J2818" s="490">
        <v>3433.59</v>
      </c>
      <c r="K2818" s="491"/>
      <c r="L2818" s="490">
        <v>4.71</v>
      </c>
      <c r="M2818" s="490">
        <v>4.71</v>
      </c>
      <c r="N2818" s="492"/>
      <c r="O2818" s="493">
        <v>0.25</v>
      </c>
      <c r="P2818" s="493"/>
      <c r="Q2818" s="492">
        <v>1006.76</v>
      </c>
      <c r="R2818" s="473" t="s">
        <v>285</v>
      </c>
      <c r="S2818" s="481" t="s">
        <v>275</v>
      </c>
      <c r="T2818" s="481">
        <v>21</v>
      </c>
      <c r="U2818" s="494" t="s">
        <v>164</v>
      </c>
      <c r="V2818" s="495"/>
      <c r="W2818" s="473"/>
      <c r="X2818" s="492">
        <v>1006.76</v>
      </c>
      <c r="Y2818" s="492"/>
      <c r="Z2818" s="473"/>
      <c r="AA2818" s="473"/>
      <c r="AB2818" s="473"/>
      <c r="AC2818" s="473"/>
      <c r="AD2818" s="473"/>
      <c r="AE2818" s="473"/>
      <c r="AF2818" s="473"/>
      <c r="AG2818" s="473"/>
      <c r="AH2818" s="473"/>
      <c r="AI2818" s="473"/>
      <c r="AJ2818" s="485"/>
      <c r="AK2818" s="505">
        <v>1006.76</v>
      </c>
      <c r="AL2818" s="473"/>
      <c r="AM2818" s="473"/>
      <c r="AN2818" s="473"/>
      <c r="AO2818" s="473"/>
      <c r="AP2818" s="473"/>
      <c r="AQ2818" s="473"/>
      <c r="AR2818" s="473"/>
      <c r="AS2818" s="473"/>
      <c r="AT2818" s="473"/>
      <c r="AU2818" s="473"/>
      <c r="AV2818" s="473"/>
      <c r="AW2818" s="473"/>
      <c r="AX2818" s="473"/>
      <c r="AY2818" s="473"/>
      <c r="AZ2818" s="473"/>
      <c r="BA2818" s="473"/>
      <c r="BB2818" s="473"/>
      <c r="BC2818" s="473"/>
      <c r="BD2818" s="473"/>
      <c r="BE2818" s="473"/>
      <c r="BF2818" s="473"/>
      <c r="BG2818" s="473"/>
      <c r="BH2818" s="473"/>
      <c r="BI2818" s="473"/>
      <c r="BJ2818" s="473"/>
      <c r="BK2818" s="473"/>
      <c r="BL2818" s="473"/>
      <c r="BM2818" s="473"/>
      <c r="BN2818" s="473"/>
      <c r="BO2818" s="473"/>
      <c r="BP2818" s="473"/>
      <c r="BQ2818" s="473"/>
      <c r="BR2818" s="473"/>
      <c r="BS2818" s="473"/>
      <c r="BT2818" s="473"/>
      <c r="BU2818" s="473"/>
      <c r="BV2818" s="473"/>
      <c r="BW2818" s="473"/>
      <c r="BX2818" s="473"/>
      <c r="BY2818" s="473"/>
    </row>
    <row r="2819" spans="1:77" s="6" customFormat="1" ht="11.25" customHeight="1">
      <c r="A2819" s="473"/>
      <c r="B2819" s="486" t="s">
        <v>291</v>
      </c>
      <c r="C2819" s="487"/>
      <c r="D2819" s="487"/>
      <c r="E2819" s="488" t="s">
        <v>2144</v>
      </c>
      <c r="F2819" s="473" t="s">
        <v>1471</v>
      </c>
      <c r="G2819" s="489" t="s">
        <v>2145</v>
      </c>
      <c r="H2819" s="473" t="s">
        <v>137</v>
      </c>
      <c r="I2819" s="491" t="s">
        <v>33</v>
      </c>
      <c r="J2819" s="490">
        <v>12082.06</v>
      </c>
      <c r="K2819" s="491"/>
      <c r="L2819" s="490">
        <v>12.01</v>
      </c>
      <c r="M2819" s="490">
        <v>12.01</v>
      </c>
      <c r="N2819" s="492"/>
      <c r="O2819" s="493">
        <v>0.25</v>
      </c>
      <c r="P2819" s="493"/>
      <c r="Q2819" s="492">
        <v>1110.93</v>
      </c>
      <c r="R2819" s="473" t="s">
        <v>285</v>
      </c>
      <c r="S2819" s="481" t="s">
        <v>275</v>
      </c>
      <c r="T2819" s="481">
        <v>21</v>
      </c>
      <c r="U2819" s="494" t="s">
        <v>164</v>
      </c>
      <c r="V2819" s="495"/>
      <c r="W2819" s="473"/>
      <c r="X2819" s="492">
        <v>1110.93</v>
      </c>
      <c r="Y2819" s="492"/>
      <c r="Z2819" s="473"/>
      <c r="AA2819" s="473"/>
      <c r="AB2819" s="473"/>
      <c r="AC2819" s="473"/>
      <c r="AD2819" s="473"/>
      <c r="AE2819" s="473"/>
      <c r="AF2819" s="473"/>
      <c r="AG2819" s="473"/>
      <c r="AH2819" s="473"/>
      <c r="AI2819" s="473"/>
      <c r="AJ2819" s="485"/>
      <c r="AK2819" s="505">
        <v>1110.93</v>
      </c>
      <c r="AL2819" s="473"/>
      <c r="AM2819" s="473"/>
      <c r="AN2819" s="473"/>
      <c r="AO2819" s="473"/>
      <c r="AP2819" s="473"/>
      <c r="AQ2819" s="473"/>
      <c r="AR2819" s="473"/>
      <c r="AS2819" s="473"/>
      <c r="AT2819" s="473"/>
      <c r="AU2819" s="473"/>
      <c r="AV2819" s="473"/>
      <c r="AW2819" s="473"/>
      <c r="AX2819" s="473"/>
      <c r="AY2819" s="473"/>
      <c r="AZ2819" s="473"/>
      <c r="BA2819" s="473"/>
      <c r="BB2819" s="473"/>
      <c r="BC2819" s="473"/>
      <c r="BD2819" s="473"/>
      <c r="BE2819" s="473"/>
      <c r="BF2819" s="473"/>
      <c r="BG2819" s="473"/>
      <c r="BH2819" s="473"/>
      <c r="BI2819" s="473"/>
      <c r="BJ2819" s="473"/>
      <c r="BK2819" s="473"/>
      <c r="BL2819" s="473"/>
      <c r="BM2819" s="473"/>
      <c r="BN2819" s="473"/>
      <c r="BO2819" s="473"/>
      <c r="BP2819" s="473"/>
      <c r="BQ2819" s="473"/>
      <c r="BR2819" s="473"/>
      <c r="BS2819" s="473"/>
      <c r="BT2819" s="473"/>
      <c r="BU2819" s="473"/>
      <c r="BV2819" s="473"/>
      <c r="BW2819" s="473"/>
      <c r="BX2819" s="473"/>
      <c r="BY2819" s="473"/>
    </row>
    <row r="2820" spans="1:77" s="6" customFormat="1" ht="11.25" customHeight="1">
      <c r="A2820" s="379"/>
      <c r="B2820" s="380" t="s">
        <v>291</v>
      </c>
      <c r="C2820" s="381">
        <v>44732</v>
      </c>
      <c r="D2820" s="381">
        <v>44732</v>
      </c>
      <c r="E2820" s="382" t="s">
        <v>2144</v>
      </c>
      <c r="F2820" s="379" t="s">
        <v>1471</v>
      </c>
      <c r="G2820" s="383" t="s">
        <v>2145</v>
      </c>
      <c r="H2820" s="379" t="s">
        <v>99</v>
      </c>
      <c r="I2820" s="384" t="s">
        <v>33</v>
      </c>
      <c r="J2820" s="385">
        <v>74229.83</v>
      </c>
      <c r="K2820" s="384"/>
      <c r="L2820" s="385">
        <v>62.71</v>
      </c>
      <c r="M2820" s="385">
        <v>62.71</v>
      </c>
      <c r="N2820" s="386"/>
      <c r="O2820" s="387">
        <v>0.25</v>
      </c>
      <c r="P2820" s="387"/>
      <c r="Q2820" s="386">
        <v>0</v>
      </c>
      <c r="R2820" s="379" t="s">
        <v>285</v>
      </c>
      <c r="S2820" s="388" t="s">
        <v>275</v>
      </c>
      <c r="T2820" s="388">
        <v>21</v>
      </c>
      <c r="U2820" s="389" t="s">
        <v>164</v>
      </c>
      <c r="V2820" s="433"/>
      <c r="W2820" s="379"/>
      <c r="X2820" s="386">
        <v>0</v>
      </c>
      <c r="Y2820" s="386"/>
      <c r="Z2820" s="379"/>
      <c r="AA2820" s="379"/>
      <c r="AB2820" s="379"/>
      <c r="AC2820" s="379"/>
      <c r="AD2820" s="379"/>
      <c r="AE2820" s="379"/>
      <c r="AF2820" s="379"/>
      <c r="AG2820" s="379"/>
      <c r="AH2820" s="379"/>
      <c r="AI2820" s="379"/>
      <c r="AJ2820" s="390">
        <v>0</v>
      </c>
      <c r="AK2820" s="379"/>
      <c r="AL2820" s="379"/>
      <c r="AM2820" s="379"/>
      <c r="AN2820" s="379"/>
      <c r="AO2820" s="379"/>
      <c r="AP2820" s="379"/>
      <c r="AQ2820" s="379"/>
      <c r="AR2820" s="379"/>
      <c r="AS2820" s="379"/>
      <c r="AT2820" s="379"/>
      <c r="AU2820" s="379"/>
      <c r="AV2820" s="379"/>
      <c r="AW2820" s="379"/>
      <c r="AX2820" s="379"/>
      <c r="AY2820" s="379"/>
      <c r="AZ2820" s="379"/>
      <c r="BA2820" s="379"/>
      <c r="BB2820" s="379"/>
      <c r="BC2820" s="379"/>
      <c r="BD2820" s="379"/>
      <c r="BE2820" s="379"/>
      <c r="BF2820" s="379"/>
      <c r="BG2820" s="379"/>
      <c r="BH2820" s="379"/>
      <c r="BI2820" s="379"/>
      <c r="BJ2820" s="379"/>
      <c r="BK2820" s="379"/>
      <c r="BL2820" s="379"/>
      <c r="BM2820" s="379"/>
      <c r="BN2820" s="379"/>
      <c r="BO2820" s="379"/>
      <c r="BP2820" s="379"/>
      <c r="BQ2820" s="379"/>
      <c r="BR2820" s="379"/>
      <c r="BS2820" s="379"/>
      <c r="BT2820" s="379"/>
      <c r="BU2820" s="379"/>
      <c r="BV2820" s="379"/>
      <c r="BW2820" s="379"/>
      <c r="BX2820" s="379"/>
      <c r="BY2820" s="379"/>
    </row>
    <row r="2821" spans="1:77" s="473" customFormat="1" ht="11.25" customHeight="1">
      <c r="A2821" s="379"/>
      <c r="B2821" s="380" t="s">
        <v>291</v>
      </c>
      <c r="C2821" s="381"/>
      <c r="D2821" s="381"/>
      <c r="E2821" s="382" t="s">
        <v>2144</v>
      </c>
      <c r="F2821" s="379" t="s">
        <v>1471</v>
      </c>
      <c r="G2821" s="383" t="s">
        <v>2145</v>
      </c>
      <c r="H2821" s="379" t="s">
        <v>183</v>
      </c>
      <c r="I2821" s="384" t="s">
        <v>33</v>
      </c>
      <c r="J2821" s="385">
        <v>42001.19</v>
      </c>
      <c r="K2821" s="384"/>
      <c r="L2821" s="385">
        <v>37.590000000000003</v>
      </c>
      <c r="M2821" s="385">
        <v>37.590000000000003</v>
      </c>
      <c r="N2821" s="386"/>
      <c r="O2821" s="387">
        <v>0.25</v>
      </c>
      <c r="P2821" s="387"/>
      <c r="Q2821" s="386">
        <v>0</v>
      </c>
      <c r="R2821" s="379" t="s">
        <v>285</v>
      </c>
      <c r="S2821" s="388" t="s">
        <v>275</v>
      </c>
      <c r="T2821" s="388">
        <v>21</v>
      </c>
      <c r="U2821" s="389" t="s">
        <v>164</v>
      </c>
      <c r="V2821" s="433"/>
      <c r="W2821" s="379"/>
      <c r="X2821" s="386">
        <v>0</v>
      </c>
      <c r="Y2821" s="386"/>
      <c r="Z2821" s="379"/>
      <c r="AA2821" s="379"/>
      <c r="AB2821" s="379"/>
      <c r="AC2821" s="379"/>
      <c r="AD2821" s="379"/>
      <c r="AE2821" s="379"/>
      <c r="AF2821" s="379"/>
      <c r="AG2821" s="379"/>
      <c r="AH2821" s="379"/>
      <c r="AI2821" s="379"/>
      <c r="AJ2821" s="390">
        <v>0</v>
      </c>
      <c r="AK2821" s="379"/>
      <c r="AL2821" s="379"/>
      <c r="AM2821" s="379"/>
      <c r="AN2821" s="379"/>
      <c r="AO2821" s="379"/>
      <c r="AP2821" s="379"/>
      <c r="AQ2821" s="379"/>
      <c r="AR2821" s="379"/>
      <c r="AS2821" s="379"/>
      <c r="AT2821" s="379"/>
      <c r="AU2821" s="379"/>
      <c r="AV2821" s="379"/>
      <c r="AW2821" s="379"/>
      <c r="AX2821" s="379"/>
      <c r="AY2821" s="379"/>
      <c r="AZ2821" s="379"/>
      <c r="BA2821" s="379"/>
      <c r="BB2821" s="379"/>
      <c r="BC2821" s="379"/>
      <c r="BD2821" s="379"/>
      <c r="BE2821" s="379"/>
      <c r="BF2821" s="379"/>
      <c r="BG2821" s="379"/>
      <c r="BH2821" s="379"/>
      <c r="BI2821" s="379"/>
      <c r="BJ2821" s="379"/>
      <c r="BK2821" s="379"/>
      <c r="BL2821" s="379"/>
      <c r="BM2821" s="379"/>
      <c r="BN2821" s="379"/>
      <c r="BO2821" s="379"/>
      <c r="BP2821" s="379"/>
      <c r="BQ2821" s="379"/>
      <c r="BR2821" s="379"/>
      <c r="BS2821" s="379"/>
      <c r="BT2821" s="379"/>
      <c r="BU2821" s="379"/>
      <c r="BV2821" s="379"/>
      <c r="BW2821" s="379"/>
      <c r="BX2821" s="379"/>
      <c r="BY2821" s="379"/>
    </row>
    <row r="2822" spans="1:77" s="473" customFormat="1" ht="11.25" customHeight="1">
      <c r="A2822" s="379"/>
      <c r="B2822" s="380" t="s">
        <v>291</v>
      </c>
      <c r="C2822" s="381"/>
      <c r="D2822" s="381"/>
      <c r="E2822" s="382" t="s">
        <v>2144</v>
      </c>
      <c r="F2822" s="379" t="s">
        <v>1471</v>
      </c>
      <c r="G2822" s="383" t="s">
        <v>2145</v>
      </c>
      <c r="H2822" s="379" t="s">
        <v>765</v>
      </c>
      <c r="I2822" s="384" t="s">
        <v>33</v>
      </c>
      <c r="J2822" s="385">
        <v>22269.15</v>
      </c>
      <c r="K2822" s="384"/>
      <c r="L2822" s="385">
        <v>20.91</v>
      </c>
      <c r="M2822" s="385">
        <v>20.91</v>
      </c>
      <c r="N2822" s="386"/>
      <c r="O2822" s="387">
        <v>0.25</v>
      </c>
      <c r="P2822" s="387"/>
      <c r="Q2822" s="386">
        <v>0</v>
      </c>
      <c r="R2822" s="379" t="s">
        <v>285</v>
      </c>
      <c r="S2822" s="388" t="s">
        <v>275</v>
      </c>
      <c r="T2822" s="388">
        <v>21</v>
      </c>
      <c r="U2822" s="389" t="s">
        <v>164</v>
      </c>
      <c r="V2822" s="433"/>
      <c r="W2822" s="379"/>
      <c r="X2822" s="386">
        <v>0</v>
      </c>
      <c r="Y2822" s="386"/>
      <c r="Z2822" s="379"/>
      <c r="AA2822" s="379"/>
      <c r="AB2822" s="379"/>
      <c r="AC2822" s="379"/>
      <c r="AD2822" s="379"/>
      <c r="AE2822" s="379"/>
      <c r="AF2822" s="379"/>
      <c r="AG2822" s="379"/>
      <c r="AH2822" s="379"/>
      <c r="AI2822" s="379"/>
      <c r="AJ2822" s="390">
        <v>0</v>
      </c>
      <c r="AK2822" s="379"/>
      <c r="AL2822" s="379"/>
      <c r="AM2822" s="379"/>
      <c r="AN2822" s="379"/>
      <c r="AO2822" s="379"/>
      <c r="AP2822" s="379"/>
      <c r="AQ2822" s="379"/>
      <c r="AR2822" s="379"/>
      <c r="AS2822" s="379"/>
      <c r="AT2822" s="379"/>
      <c r="AU2822" s="379"/>
      <c r="AV2822" s="379"/>
      <c r="AW2822" s="379"/>
      <c r="AX2822" s="379"/>
      <c r="AY2822" s="379"/>
      <c r="AZ2822" s="379"/>
      <c r="BA2822" s="379"/>
      <c r="BB2822" s="379"/>
      <c r="BC2822" s="379"/>
      <c r="BD2822" s="379"/>
      <c r="BE2822" s="379"/>
      <c r="BF2822" s="379"/>
      <c r="BG2822" s="379"/>
      <c r="BH2822" s="379"/>
      <c r="BI2822" s="379"/>
      <c r="BJ2822" s="379"/>
      <c r="BK2822" s="379"/>
      <c r="BL2822" s="379"/>
      <c r="BM2822" s="379"/>
      <c r="BN2822" s="379"/>
      <c r="BO2822" s="379"/>
      <c r="BP2822" s="379"/>
      <c r="BQ2822" s="379"/>
      <c r="BR2822" s="379"/>
      <c r="BS2822" s="379"/>
      <c r="BT2822" s="379"/>
      <c r="BU2822" s="379"/>
      <c r="BV2822" s="379"/>
      <c r="BW2822" s="379"/>
      <c r="BX2822" s="379"/>
      <c r="BY2822" s="379"/>
    </row>
    <row r="2823" spans="1:77" s="261" customFormat="1" ht="11.25" customHeight="1">
      <c r="B2823" s="258" t="s">
        <v>291</v>
      </c>
      <c r="C2823" s="259">
        <v>44732</v>
      </c>
      <c r="D2823" s="259">
        <v>44732</v>
      </c>
      <c r="E2823" s="260" t="s">
        <v>2146</v>
      </c>
      <c r="F2823" s="261" t="s">
        <v>750</v>
      </c>
      <c r="G2823" s="262" t="s">
        <v>751</v>
      </c>
      <c r="H2823" s="261" t="s">
        <v>27</v>
      </c>
      <c r="I2823" s="264" t="s">
        <v>33</v>
      </c>
      <c r="J2823" s="263">
        <v>18028.919999999998</v>
      </c>
      <c r="K2823" s="264"/>
      <c r="L2823" s="263">
        <v>16.510000000000002</v>
      </c>
      <c r="M2823" s="263">
        <v>16.510000000000002</v>
      </c>
      <c r="N2823" s="265"/>
      <c r="O2823" s="266">
        <v>0.25</v>
      </c>
      <c r="P2823" s="266"/>
      <c r="Q2823" s="265">
        <v>0</v>
      </c>
      <c r="R2823" s="261" t="s">
        <v>105</v>
      </c>
      <c r="S2823" s="267" t="s">
        <v>275</v>
      </c>
      <c r="T2823" s="267">
        <v>21</v>
      </c>
      <c r="U2823" s="268" t="s">
        <v>164</v>
      </c>
      <c r="V2823" s="427"/>
      <c r="X2823" s="265">
        <v>0</v>
      </c>
      <c r="Y2823" s="265"/>
      <c r="AG2823" s="261">
        <f t="shared" ref="AG2823:AG2828" si="38">X2823</f>
        <v>0</v>
      </c>
      <c r="AJ2823" s="642"/>
    </row>
    <row r="2824" spans="1:77" s="261" customFormat="1" ht="11.25" customHeight="1">
      <c r="B2824" s="258" t="s">
        <v>291</v>
      </c>
      <c r="C2824" s="259"/>
      <c r="D2824" s="259"/>
      <c r="E2824" s="260" t="s">
        <v>2146</v>
      </c>
      <c r="F2824" s="261" t="s">
        <v>750</v>
      </c>
      <c r="G2824" s="262" t="s">
        <v>751</v>
      </c>
      <c r="H2824" s="261" t="s">
        <v>99</v>
      </c>
      <c r="I2824" s="264" t="s">
        <v>33</v>
      </c>
      <c r="J2824" s="263">
        <v>47295.16</v>
      </c>
      <c r="K2824" s="264"/>
      <c r="L2824" s="263">
        <v>39.15</v>
      </c>
      <c r="M2824" s="263">
        <v>39.15</v>
      </c>
      <c r="N2824" s="265"/>
      <c r="O2824" s="266">
        <v>0.25</v>
      </c>
      <c r="P2824" s="266"/>
      <c r="Q2824" s="265">
        <v>0</v>
      </c>
      <c r="R2824" s="261" t="s">
        <v>105</v>
      </c>
      <c r="S2824" s="267" t="s">
        <v>275</v>
      </c>
      <c r="T2824" s="267">
        <v>21</v>
      </c>
      <c r="U2824" s="268" t="s">
        <v>164</v>
      </c>
      <c r="V2824" s="427"/>
      <c r="X2824" s="265">
        <v>0</v>
      </c>
      <c r="Y2824" s="265"/>
      <c r="AG2824" s="261">
        <f t="shared" si="38"/>
        <v>0</v>
      </c>
      <c r="AJ2824" s="642"/>
    </row>
    <row r="2825" spans="1:77" s="261" customFormat="1" ht="11.25" customHeight="1">
      <c r="B2825" s="258" t="s">
        <v>291</v>
      </c>
      <c r="C2825" s="259"/>
      <c r="D2825" s="259"/>
      <c r="E2825" s="260" t="s">
        <v>2146</v>
      </c>
      <c r="F2825" s="261" t="s">
        <v>750</v>
      </c>
      <c r="G2825" s="262" t="s">
        <v>751</v>
      </c>
      <c r="H2825" s="261" t="s">
        <v>183</v>
      </c>
      <c r="I2825" s="264" t="s">
        <v>33</v>
      </c>
      <c r="J2825" s="263">
        <v>16428.95</v>
      </c>
      <c r="K2825" s="264"/>
      <c r="L2825" s="263">
        <v>14.51</v>
      </c>
      <c r="M2825" s="263">
        <v>14.51</v>
      </c>
      <c r="N2825" s="265"/>
      <c r="O2825" s="266">
        <v>0.25</v>
      </c>
      <c r="P2825" s="266"/>
      <c r="Q2825" s="265">
        <v>768.12</v>
      </c>
      <c r="R2825" s="261" t="s">
        <v>105</v>
      </c>
      <c r="S2825" s="267" t="s">
        <v>275</v>
      </c>
      <c r="T2825" s="267">
        <v>21</v>
      </c>
      <c r="U2825" s="268" t="s">
        <v>164</v>
      </c>
      <c r="V2825" s="427"/>
      <c r="X2825" s="265">
        <v>768.12</v>
      </c>
      <c r="Y2825" s="265"/>
      <c r="AG2825" s="261">
        <f t="shared" si="38"/>
        <v>768.12</v>
      </c>
      <c r="AJ2825" s="642"/>
    </row>
    <row r="2826" spans="1:77" s="261" customFormat="1" ht="11.25" customHeight="1">
      <c r="B2826" s="258" t="s">
        <v>291</v>
      </c>
      <c r="C2826" s="259"/>
      <c r="D2826" s="259"/>
      <c r="E2826" s="260" t="s">
        <v>2146</v>
      </c>
      <c r="F2826" s="261" t="s">
        <v>750</v>
      </c>
      <c r="G2826" s="262" t="s">
        <v>751</v>
      </c>
      <c r="H2826" s="261" t="s">
        <v>137</v>
      </c>
      <c r="I2826" s="264" t="s">
        <v>33</v>
      </c>
      <c r="J2826" s="263">
        <v>18898.37</v>
      </c>
      <c r="K2826" s="264"/>
      <c r="L2826" s="263">
        <v>20.11</v>
      </c>
      <c r="M2826" s="263">
        <v>20.11</v>
      </c>
      <c r="N2826" s="265"/>
      <c r="O2826" s="266">
        <v>0.25</v>
      </c>
      <c r="P2826" s="266"/>
      <c r="Q2826" s="265">
        <v>545.5</v>
      </c>
      <c r="R2826" s="261" t="s">
        <v>105</v>
      </c>
      <c r="S2826" s="267" t="s">
        <v>275</v>
      </c>
      <c r="T2826" s="267">
        <v>21</v>
      </c>
      <c r="U2826" s="268" t="s">
        <v>164</v>
      </c>
      <c r="V2826" s="427"/>
      <c r="X2826" s="265">
        <v>545.5</v>
      </c>
      <c r="Y2826" s="265"/>
      <c r="AG2826" s="261">
        <f t="shared" si="38"/>
        <v>545.5</v>
      </c>
      <c r="AJ2826" s="642"/>
    </row>
    <row r="2827" spans="1:77" s="261" customFormat="1" ht="11.25" customHeight="1">
      <c r="B2827" s="258" t="s">
        <v>291</v>
      </c>
      <c r="C2827" s="259">
        <v>44732</v>
      </c>
      <c r="D2827" s="259">
        <v>44732</v>
      </c>
      <c r="E2827" s="260" t="s">
        <v>2147</v>
      </c>
      <c r="F2827" s="261" t="s">
        <v>2148</v>
      </c>
      <c r="G2827" s="262" t="s">
        <v>2149</v>
      </c>
      <c r="H2827" s="261" t="s">
        <v>27</v>
      </c>
      <c r="I2827" s="264" t="s">
        <v>33</v>
      </c>
      <c r="J2827" s="263">
        <v>47950.58</v>
      </c>
      <c r="K2827" s="264"/>
      <c r="L2827" s="263">
        <v>33.450000000000003</v>
      </c>
      <c r="M2827" s="263">
        <v>33.450000000000003</v>
      </c>
      <c r="N2827" s="265"/>
      <c r="O2827" s="266">
        <v>0.25</v>
      </c>
      <c r="P2827" s="266"/>
      <c r="Q2827" s="265">
        <v>0</v>
      </c>
      <c r="R2827" s="261" t="s">
        <v>105</v>
      </c>
      <c r="S2827" s="267" t="s">
        <v>275</v>
      </c>
      <c r="T2827" s="267">
        <v>21</v>
      </c>
      <c r="U2827" s="268" t="s">
        <v>164</v>
      </c>
      <c r="V2827" s="427"/>
      <c r="X2827" s="265">
        <v>0</v>
      </c>
      <c r="Y2827" s="265"/>
      <c r="AG2827" s="261">
        <f t="shared" si="38"/>
        <v>0</v>
      </c>
      <c r="AJ2827" s="642"/>
    </row>
    <row r="2828" spans="1:77" s="261" customFormat="1" ht="11.25" customHeight="1">
      <c r="B2828" s="258" t="s">
        <v>291</v>
      </c>
      <c r="C2828" s="259"/>
      <c r="D2828" s="259"/>
      <c r="E2828" s="260" t="s">
        <v>2147</v>
      </c>
      <c r="F2828" s="261" t="s">
        <v>2148</v>
      </c>
      <c r="G2828" s="262" t="s">
        <v>2149</v>
      </c>
      <c r="H2828" s="261" t="s">
        <v>99</v>
      </c>
      <c r="I2828" s="264" t="s">
        <v>33</v>
      </c>
      <c r="J2828" s="263">
        <v>69362.539999999994</v>
      </c>
      <c r="K2828" s="264"/>
      <c r="L2828" s="263">
        <v>46.93</v>
      </c>
      <c r="M2828" s="263">
        <v>46.93</v>
      </c>
      <c r="N2828" s="265"/>
      <c r="O2828" s="266">
        <v>0.25</v>
      </c>
      <c r="P2828" s="266"/>
      <c r="Q2828" s="265">
        <v>0</v>
      </c>
      <c r="R2828" s="261" t="s">
        <v>105</v>
      </c>
      <c r="S2828" s="267" t="s">
        <v>275</v>
      </c>
      <c r="T2828" s="267">
        <v>21</v>
      </c>
      <c r="U2828" s="268" t="s">
        <v>164</v>
      </c>
      <c r="V2828" s="427"/>
      <c r="X2828" s="265">
        <v>0</v>
      </c>
      <c r="Y2828" s="265"/>
      <c r="AG2828" s="261">
        <f t="shared" si="38"/>
        <v>0</v>
      </c>
      <c r="AJ2828" s="642"/>
    </row>
    <row r="2829" spans="1:77" s="181" customFormat="1" ht="11.25" customHeight="1">
      <c r="B2829" s="178" t="s">
        <v>291</v>
      </c>
      <c r="C2829" s="179"/>
      <c r="D2829" s="179"/>
      <c r="E2829" s="180" t="s">
        <v>2147</v>
      </c>
      <c r="F2829" s="181" t="s">
        <v>2148</v>
      </c>
      <c r="G2829" s="182" t="s">
        <v>2149</v>
      </c>
      <c r="H2829" s="181" t="s">
        <v>183</v>
      </c>
      <c r="I2829" s="190" t="s">
        <v>33</v>
      </c>
      <c r="J2829" s="183">
        <v>41418.94</v>
      </c>
      <c r="K2829" s="190"/>
      <c r="L2829" s="183">
        <v>32.880000000000003</v>
      </c>
      <c r="M2829" s="183">
        <v>32.880000000000003</v>
      </c>
      <c r="N2829" s="185"/>
      <c r="O2829" s="186">
        <v>0.25</v>
      </c>
      <c r="P2829" s="186"/>
      <c r="Q2829" s="185">
        <v>0</v>
      </c>
      <c r="R2829" s="181" t="s">
        <v>105</v>
      </c>
      <c r="S2829" s="187" t="s">
        <v>275</v>
      </c>
      <c r="T2829" s="187">
        <v>21</v>
      </c>
      <c r="U2829" s="188" t="s">
        <v>164</v>
      </c>
      <c r="V2829" s="441"/>
      <c r="X2829" s="185">
        <v>0</v>
      </c>
      <c r="Y2829" s="185"/>
      <c r="AE2829" s="204">
        <f>X2829</f>
        <v>0</v>
      </c>
      <c r="AJ2829" s="189"/>
    </row>
    <row r="2830" spans="1:77" s="261" customFormat="1" ht="11.25" customHeight="1">
      <c r="B2830" s="258" t="s">
        <v>291</v>
      </c>
      <c r="C2830" s="259"/>
      <c r="D2830" s="259"/>
      <c r="E2830" s="260" t="s">
        <v>2147</v>
      </c>
      <c r="F2830" s="261" t="s">
        <v>2148</v>
      </c>
      <c r="G2830" s="262" t="s">
        <v>2149</v>
      </c>
      <c r="H2830" s="261" t="s">
        <v>137</v>
      </c>
      <c r="I2830" s="264" t="s">
        <v>33</v>
      </c>
      <c r="J2830" s="263">
        <v>12957.75</v>
      </c>
      <c r="K2830" s="264"/>
      <c r="L2830" s="263">
        <v>13.89</v>
      </c>
      <c r="M2830" s="263">
        <v>13.29</v>
      </c>
      <c r="N2830" s="265"/>
      <c r="O2830" s="266">
        <v>0.25</v>
      </c>
      <c r="P2830" s="266"/>
      <c r="Q2830" s="265">
        <v>0</v>
      </c>
      <c r="R2830" s="261" t="s">
        <v>105</v>
      </c>
      <c r="S2830" s="267" t="s">
        <v>275</v>
      </c>
      <c r="T2830" s="267">
        <v>21</v>
      </c>
      <c r="U2830" s="268" t="s">
        <v>164</v>
      </c>
      <c r="V2830" s="427"/>
      <c r="X2830" s="265">
        <v>0</v>
      </c>
      <c r="Y2830" s="265"/>
      <c r="AG2830" s="261">
        <f>X2830</f>
        <v>0</v>
      </c>
      <c r="AJ2830" s="642"/>
    </row>
    <row r="2831" spans="1:77" s="379" customFormat="1" ht="11.25" customHeight="1">
      <c r="B2831" s="380" t="s">
        <v>291</v>
      </c>
      <c r="C2831" s="381">
        <v>44732</v>
      </c>
      <c r="D2831" s="381">
        <v>44732</v>
      </c>
      <c r="E2831" s="382" t="s">
        <v>2150</v>
      </c>
      <c r="F2831" s="379" t="s">
        <v>2151</v>
      </c>
      <c r="G2831" s="383" t="s">
        <v>2152</v>
      </c>
      <c r="H2831" s="379" t="s">
        <v>27</v>
      </c>
      <c r="I2831" s="384" t="s">
        <v>888</v>
      </c>
      <c r="J2831" s="385">
        <v>67027.58</v>
      </c>
      <c r="K2831" s="384"/>
      <c r="L2831" s="385">
        <v>37.04</v>
      </c>
      <c r="M2831" s="385">
        <v>37</v>
      </c>
      <c r="N2831" s="386"/>
      <c r="O2831" s="387">
        <v>0.25</v>
      </c>
      <c r="P2831" s="387"/>
      <c r="Q2831" s="386">
        <v>0</v>
      </c>
      <c r="R2831" s="379" t="s">
        <v>229</v>
      </c>
      <c r="S2831" s="388" t="s">
        <v>228</v>
      </c>
      <c r="T2831" s="388">
        <v>28</v>
      </c>
      <c r="U2831" s="389" t="s">
        <v>164</v>
      </c>
      <c r="V2831" s="433"/>
      <c r="X2831" s="386">
        <v>0</v>
      </c>
      <c r="Y2831" s="386"/>
      <c r="AJ2831" s="390">
        <v>0</v>
      </c>
    </row>
    <row r="2832" spans="1:77" s="379" customFormat="1" ht="11.25" customHeight="1">
      <c r="B2832" s="380" t="s">
        <v>291</v>
      </c>
      <c r="C2832" s="381"/>
      <c r="D2832" s="381"/>
      <c r="E2832" s="382" t="s">
        <v>2150</v>
      </c>
      <c r="F2832" s="379" t="s">
        <v>2151</v>
      </c>
      <c r="G2832" s="383" t="s">
        <v>2152</v>
      </c>
      <c r="H2832" s="379" t="s">
        <v>99</v>
      </c>
      <c r="I2832" s="384" t="s">
        <v>888</v>
      </c>
      <c r="J2832" s="385">
        <v>40385.4</v>
      </c>
      <c r="K2832" s="384"/>
      <c r="L2832" s="385">
        <v>23.21</v>
      </c>
      <c r="M2832" s="385">
        <v>23</v>
      </c>
      <c r="N2832" s="386"/>
      <c r="O2832" s="387">
        <v>0.25</v>
      </c>
      <c r="P2832" s="387"/>
      <c r="Q2832" s="386">
        <v>0</v>
      </c>
      <c r="R2832" s="379" t="s">
        <v>229</v>
      </c>
      <c r="S2832" s="388" t="s">
        <v>228</v>
      </c>
      <c r="T2832" s="388">
        <v>28</v>
      </c>
      <c r="U2832" s="389" t="s">
        <v>164</v>
      </c>
      <c r="V2832" s="433"/>
      <c r="X2832" s="386">
        <v>0</v>
      </c>
      <c r="Y2832" s="386"/>
      <c r="AJ2832" s="390">
        <v>0</v>
      </c>
    </row>
    <row r="2833" spans="2:37" s="379" customFormat="1" ht="11.25" customHeight="1">
      <c r="B2833" s="380" t="s">
        <v>291</v>
      </c>
      <c r="C2833" s="381"/>
      <c r="D2833" s="381"/>
      <c r="E2833" s="382" t="s">
        <v>2150</v>
      </c>
      <c r="F2833" s="379" t="s">
        <v>2151</v>
      </c>
      <c r="G2833" s="383" t="s">
        <v>2152</v>
      </c>
      <c r="H2833" s="379" t="s">
        <v>183</v>
      </c>
      <c r="I2833" s="384" t="s">
        <v>888</v>
      </c>
      <c r="J2833" s="385">
        <v>41912.639999999999</v>
      </c>
      <c r="K2833" s="384"/>
      <c r="L2833" s="385">
        <v>24.64</v>
      </c>
      <c r="M2833" s="385">
        <v>24.5</v>
      </c>
      <c r="N2833" s="386"/>
      <c r="O2833" s="387">
        <v>0.25</v>
      </c>
      <c r="P2833" s="387"/>
      <c r="Q2833" s="386">
        <v>0</v>
      </c>
      <c r="R2833" s="379" t="s">
        <v>229</v>
      </c>
      <c r="S2833" s="388" t="s">
        <v>228</v>
      </c>
      <c r="T2833" s="388">
        <v>28</v>
      </c>
      <c r="U2833" s="389" t="s">
        <v>164</v>
      </c>
      <c r="V2833" s="433"/>
      <c r="X2833" s="386">
        <v>0</v>
      </c>
      <c r="Y2833" s="386"/>
      <c r="AJ2833" s="390">
        <v>0</v>
      </c>
    </row>
    <row r="2834" spans="2:37" s="261" customFormat="1" ht="11.25" customHeight="1">
      <c r="B2834" s="261" t="s">
        <v>291</v>
      </c>
      <c r="C2834" s="259">
        <v>44732</v>
      </c>
      <c r="D2834" s="259">
        <v>44732</v>
      </c>
      <c r="E2834" s="260" t="s">
        <v>2153</v>
      </c>
      <c r="F2834" s="261" t="s">
        <v>287</v>
      </c>
      <c r="G2834" s="262" t="s">
        <v>288</v>
      </c>
      <c r="H2834" s="261" t="s">
        <v>27</v>
      </c>
      <c r="I2834" s="264" t="s">
        <v>33</v>
      </c>
      <c r="J2834" s="263">
        <v>89140.52</v>
      </c>
      <c r="K2834" s="264"/>
      <c r="L2834" s="263">
        <v>72.59</v>
      </c>
      <c r="M2834" s="263">
        <v>72.59</v>
      </c>
      <c r="N2834" s="265"/>
      <c r="O2834" s="266">
        <v>0.25</v>
      </c>
      <c r="P2834" s="266"/>
      <c r="Q2834" s="265">
        <v>0</v>
      </c>
      <c r="R2834" s="261" t="s">
        <v>29</v>
      </c>
      <c r="S2834" s="267" t="s">
        <v>275</v>
      </c>
      <c r="T2834" s="267">
        <v>21</v>
      </c>
      <c r="U2834" s="268" t="s">
        <v>164</v>
      </c>
      <c r="V2834" s="427"/>
      <c r="X2834" s="265">
        <v>0</v>
      </c>
      <c r="Y2834" s="265"/>
      <c r="AG2834" s="261">
        <f>X2834</f>
        <v>0</v>
      </c>
      <c r="AJ2834" s="642"/>
    </row>
    <row r="2835" spans="2:37" s="261" customFormat="1" ht="11.25" customHeight="1">
      <c r="B2835" s="261" t="s">
        <v>291</v>
      </c>
      <c r="C2835" s="259"/>
      <c r="D2835" s="259"/>
      <c r="E2835" s="260" t="s">
        <v>2153</v>
      </c>
      <c r="F2835" s="261" t="s">
        <v>287</v>
      </c>
      <c r="G2835" s="262" t="s">
        <v>288</v>
      </c>
      <c r="H2835" s="261" t="s">
        <v>99</v>
      </c>
      <c r="I2835" s="264" t="s">
        <v>33</v>
      </c>
      <c r="J2835" s="263">
        <v>189410.76</v>
      </c>
      <c r="K2835" s="264"/>
      <c r="L2835" s="263">
        <v>136.66</v>
      </c>
      <c r="M2835" s="263">
        <v>136.66</v>
      </c>
      <c r="N2835" s="265"/>
      <c r="O2835" s="266">
        <v>0.25</v>
      </c>
      <c r="P2835" s="266"/>
      <c r="Q2835" s="265">
        <v>0</v>
      </c>
      <c r="R2835" s="261" t="s">
        <v>29</v>
      </c>
      <c r="S2835" s="267" t="s">
        <v>275</v>
      </c>
      <c r="T2835" s="267">
        <v>21</v>
      </c>
      <c r="U2835" s="268" t="s">
        <v>164</v>
      </c>
      <c r="V2835" s="427"/>
      <c r="X2835" s="265">
        <v>0</v>
      </c>
      <c r="Y2835" s="265"/>
      <c r="AG2835" s="261">
        <f>X2835</f>
        <v>0</v>
      </c>
      <c r="AJ2835" s="642"/>
    </row>
    <row r="2836" spans="2:37" s="181" customFormat="1" ht="11.25" customHeight="1">
      <c r="B2836" s="181" t="s">
        <v>291</v>
      </c>
      <c r="C2836" s="179"/>
      <c r="D2836" s="179"/>
      <c r="E2836" s="180" t="s">
        <v>2153</v>
      </c>
      <c r="F2836" s="181" t="s">
        <v>287</v>
      </c>
      <c r="G2836" s="182" t="s">
        <v>288</v>
      </c>
      <c r="H2836" s="181" t="s">
        <v>183</v>
      </c>
      <c r="I2836" s="190" t="s">
        <v>33</v>
      </c>
      <c r="J2836" s="183">
        <v>105571.9</v>
      </c>
      <c r="K2836" s="190"/>
      <c r="L2836" s="183">
        <v>90.04</v>
      </c>
      <c r="M2836" s="183">
        <v>90.04</v>
      </c>
      <c r="N2836" s="185"/>
      <c r="O2836" s="186">
        <v>0.25</v>
      </c>
      <c r="P2836" s="186"/>
      <c r="Q2836" s="185">
        <v>0</v>
      </c>
      <c r="R2836" s="181" t="s">
        <v>29</v>
      </c>
      <c r="S2836" s="187" t="s">
        <v>275</v>
      </c>
      <c r="T2836" s="187">
        <v>21</v>
      </c>
      <c r="U2836" s="188" t="s">
        <v>164</v>
      </c>
      <c r="V2836" s="441"/>
      <c r="X2836" s="185">
        <v>0</v>
      </c>
      <c r="Y2836" s="185"/>
      <c r="AE2836" s="204">
        <f>X2836</f>
        <v>0</v>
      </c>
      <c r="AJ2836" s="189"/>
    </row>
    <row r="2837" spans="2:37" s="261" customFormat="1" ht="11.25" customHeight="1">
      <c r="B2837" s="261" t="s">
        <v>291</v>
      </c>
      <c r="C2837" s="259"/>
      <c r="D2837" s="259"/>
      <c r="E2837" s="260" t="s">
        <v>2153</v>
      </c>
      <c r="F2837" s="261" t="s">
        <v>287</v>
      </c>
      <c r="G2837" s="262" t="s">
        <v>288</v>
      </c>
      <c r="H2837" s="261" t="s">
        <v>137</v>
      </c>
      <c r="I2837" s="264" t="s">
        <v>33</v>
      </c>
      <c r="J2837" s="263">
        <v>36378.51</v>
      </c>
      <c r="K2837" s="264"/>
      <c r="L2837" s="263">
        <v>32.840000000000003</v>
      </c>
      <c r="M2837" s="263">
        <v>32.840000000000003</v>
      </c>
      <c r="N2837" s="265"/>
      <c r="O2837" s="266">
        <v>0.25</v>
      </c>
      <c r="P2837" s="266"/>
      <c r="Q2837" s="265">
        <v>0</v>
      </c>
      <c r="R2837" s="261" t="s">
        <v>29</v>
      </c>
      <c r="S2837" s="267" t="s">
        <v>275</v>
      </c>
      <c r="T2837" s="267">
        <v>21</v>
      </c>
      <c r="U2837" s="268" t="s">
        <v>164</v>
      </c>
      <c r="V2837" s="427"/>
      <c r="X2837" s="265">
        <v>0</v>
      </c>
      <c r="Y2837" s="265"/>
      <c r="AG2837" s="261">
        <f>X2837</f>
        <v>0</v>
      </c>
      <c r="AJ2837" s="642"/>
    </row>
    <row r="2838" spans="2:37" s="261" customFormat="1" ht="11.25" customHeight="1">
      <c r="B2838" s="261" t="s">
        <v>291</v>
      </c>
      <c r="C2838" s="259">
        <v>44725</v>
      </c>
      <c r="D2838" s="259">
        <v>44732</v>
      </c>
      <c r="E2838" s="260" t="s">
        <v>2154</v>
      </c>
      <c r="F2838" s="261" t="s">
        <v>2155</v>
      </c>
      <c r="G2838" s="262">
        <v>4289</v>
      </c>
      <c r="H2838" s="261" t="s">
        <v>163</v>
      </c>
      <c r="I2838" s="264" t="s">
        <v>33</v>
      </c>
      <c r="J2838" s="263">
        <v>18203.599999999999</v>
      </c>
      <c r="K2838" s="264"/>
      <c r="L2838" s="263">
        <v>26.77</v>
      </c>
      <c r="M2838" s="263">
        <v>26.77</v>
      </c>
      <c r="N2838" s="265">
        <v>4051.1</v>
      </c>
      <c r="O2838" s="266">
        <v>0.15</v>
      </c>
      <c r="P2838" s="266"/>
      <c r="Q2838" s="265">
        <v>0</v>
      </c>
      <c r="R2838" s="261" t="s">
        <v>251</v>
      </c>
      <c r="S2838" s="267" t="s">
        <v>624</v>
      </c>
      <c r="T2838" s="267">
        <v>32</v>
      </c>
      <c r="U2838" s="268" t="s">
        <v>164</v>
      </c>
      <c r="V2838" s="427"/>
      <c r="X2838" s="265">
        <v>0</v>
      </c>
      <c r="Y2838" s="265"/>
      <c r="AG2838" s="261">
        <f>X2838</f>
        <v>0</v>
      </c>
      <c r="AJ2838" s="642"/>
    </row>
    <row r="2839" spans="2:37" s="261" customFormat="1" ht="11.25" customHeight="1">
      <c r="B2839" s="261" t="s">
        <v>291</v>
      </c>
      <c r="C2839" s="259">
        <v>44729</v>
      </c>
      <c r="D2839" s="259">
        <v>44729</v>
      </c>
      <c r="E2839" s="260" t="s">
        <v>2156</v>
      </c>
      <c r="F2839" s="261" t="s">
        <v>456</v>
      </c>
      <c r="G2839" s="262">
        <v>3510</v>
      </c>
      <c r="H2839" s="261" t="s">
        <v>765</v>
      </c>
      <c r="I2839" s="264" t="s">
        <v>961</v>
      </c>
      <c r="J2839" s="263">
        <v>7936.38</v>
      </c>
      <c r="K2839" s="264"/>
      <c r="L2839" s="263">
        <v>10.35</v>
      </c>
      <c r="M2839" s="263">
        <v>10.35</v>
      </c>
      <c r="N2839" s="265"/>
      <c r="O2839" s="266">
        <v>0.2</v>
      </c>
      <c r="P2839" s="266"/>
      <c r="Q2839" s="265">
        <v>499.28</v>
      </c>
      <c r="R2839" s="261" t="s">
        <v>35</v>
      </c>
      <c r="S2839" s="267" t="s">
        <v>34</v>
      </c>
      <c r="T2839" s="267">
        <v>79</v>
      </c>
      <c r="U2839" s="268" t="s">
        <v>164</v>
      </c>
      <c r="V2839" s="427"/>
      <c r="X2839" s="265">
        <v>499.28</v>
      </c>
      <c r="Y2839" s="265"/>
      <c r="AG2839" s="261">
        <f>X2839</f>
        <v>499.28</v>
      </c>
      <c r="AJ2839" s="642"/>
    </row>
    <row r="2840" spans="2:37" s="647" customFormat="1" ht="11.25" customHeight="1">
      <c r="B2840" s="647" t="s">
        <v>291</v>
      </c>
      <c r="C2840" s="648">
        <v>44729</v>
      </c>
      <c r="D2840" s="648">
        <v>44730</v>
      </c>
      <c r="E2840" s="649" t="s">
        <v>2157</v>
      </c>
      <c r="F2840" s="647" t="s">
        <v>206</v>
      </c>
      <c r="G2840" s="650">
        <v>4337</v>
      </c>
      <c r="H2840" s="647" t="s">
        <v>765</v>
      </c>
      <c r="I2840" s="660" t="s">
        <v>1296</v>
      </c>
      <c r="J2840" s="651">
        <v>40211.199999999997</v>
      </c>
      <c r="K2840" s="676"/>
      <c r="L2840" s="651">
        <v>48.8</v>
      </c>
      <c r="M2840" s="651">
        <v>48.8</v>
      </c>
      <c r="N2840" s="652"/>
      <c r="O2840" s="653">
        <v>0.2</v>
      </c>
      <c r="P2840" s="653"/>
      <c r="Q2840" s="652">
        <v>0</v>
      </c>
      <c r="R2840" s="647" t="s">
        <v>146</v>
      </c>
      <c r="S2840" s="654" t="s">
        <v>74</v>
      </c>
      <c r="T2840" s="654">
        <v>32</v>
      </c>
      <c r="U2840" s="655" t="s">
        <v>164</v>
      </c>
      <c r="V2840" s="656"/>
      <c r="X2840" s="652">
        <v>0</v>
      </c>
      <c r="Y2840" s="652"/>
      <c r="AI2840" s="647">
        <v>0</v>
      </c>
      <c r="AJ2840" s="657"/>
      <c r="AK2840" s="658"/>
    </row>
    <row r="2841" spans="2:37" s="379" customFormat="1" ht="11.25" customHeight="1">
      <c r="B2841" s="380" t="s">
        <v>291</v>
      </c>
      <c r="C2841" s="381">
        <v>44730</v>
      </c>
      <c r="D2841" s="381">
        <v>44730</v>
      </c>
      <c r="E2841" s="382" t="s">
        <v>2158</v>
      </c>
      <c r="F2841" s="379" t="s">
        <v>724</v>
      </c>
      <c r="G2841" s="383">
        <v>4102</v>
      </c>
      <c r="H2841" s="379" t="s">
        <v>765</v>
      </c>
      <c r="I2841" s="384" t="s">
        <v>958</v>
      </c>
      <c r="J2841" s="385">
        <v>64085.36</v>
      </c>
      <c r="K2841" s="384"/>
      <c r="L2841" s="385">
        <v>74.069999999999993</v>
      </c>
      <c r="M2841" s="385">
        <v>74.069999999999993</v>
      </c>
      <c r="N2841" s="386"/>
      <c r="O2841" s="387">
        <v>0.2</v>
      </c>
      <c r="P2841" s="387"/>
      <c r="Q2841" s="386">
        <v>0</v>
      </c>
      <c r="R2841" s="379" t="s">
        <v>146</v>
      </c>
      <c r="S2841" s="388" t="s">
        <v>74</v>
      </c>
      <c r="T2841" s="388">
        <v>31</v>
      </c>
      <c r="U2841" s="389" t="s">
        <v>164</v>
      </c>
      <c r="V2841" s="433"/>
      <c r="X2841" s="386">
        <v>0</v>
      </c>
      <c r="Y2841" s="386"/>
      <c r="AJ2841" s="390">
        <v>0</v>
      </c>
    </row>
    <row r="2842" spans="2:37" s="291" customFormat="1" ht="11.25" customHeight="1">
      <c r="B2842" s="310" t="s">
        <v>291</v>
      </c>
      <c r="C2842" s="292">
        <v>44730</v>
      </c>
      <c r="D2842" s="292">
        <v>44730</v>
      </c>
      <c r="E2842" s="293" t="s">
        <v>2159</v>
      </c>
      <c r="F2842" s="291" t="s">
        <v>293</v>
      </c>
      <c r="G2842" s="294" t="s">
        <v>294</v>
      </c>
      <c r="H2842" s="291" t="s">
        <v>866</v>
      </c>
      <c r="I2842" s="295" t="s">
        <v>33</v>
      </c>
      <c r="J2842" s="296">
        <v>3883.88</v>
      </c>
      <c r="K2842" s="295"/>
      <c r="L2842" s="296">
        <v>2.86</v>
      </c>
      <c r="M2842" s="296">
        <v>2.86</v>
      </c>
      <c r="N2842" s="297"/>
      <c r="O2842" s="298">
        <v>0.2</v>
      </c>
      <c r="P2842" s="298"/>
      <c r="Q2842" s="297">
        <v>0</v>
      </c>
      <c r="R2842" s="291" t="s">
        <v>35</v>
      </c>
      <c r="S2842" s="299" t="s">
        <v>41</v>
      </c>
      <c r="T2842" s="299">
        <v>17</v>
      </c>
      <c r="U2842" s="300" t="s">
        <v>164</v>
      </c>
      <c r="V2842" s="333"/>
      <c r="X2842" s="297">
        <v>0</v>
      </c>
      <c r="Y2842" s="297"/>
      <c r="AH2842" s="291">
        <f>X2842</f>
        <v>0</v>
      </c>
      <c r="AI2842" s="311"/>
      <c r="AJ2842" s="468"/>
    </row>
    <row r="2843" spans="2:37" s="337" customFormat="1" ht="11.25" customHeight="1">
      <c r="B2843" s="338" t="s">
        <v>291</v>
      </c>
      <c r="C2843" s="349">
        <v>44730</v>
      </c>
      <c r="D2843" s="349">
        <v>44732</v>
      </c>
      <c r="E2843" s="350" t="s">
        <v>2160</v>
      </c>
      <c r="F2843" s="337" t="s">
        <v>1116</v>
      </c>
      <c r="G2843" s="351">
        <v>3716</v>
      </c>
      <c r="H2843" s="337" t="s">
        <v>765</v>
      </c>
      <c r="I2843" s="353" t="s">
        <v>1056</v>
      </c>
      <c r="J2843" s="352">
        <v>11826.17</v>
      </c>
      <c r="K2843" s="353"/>
      <c r="L2843" s="352">
        <v>11.01</v>
      </c>
      <c r="M2843" s="352">
        <v>11.01</v>
      </c>
      <c r="N2843" s="354">
        <v>2365.23</v>
      </c>
      <c r="O2843" s="355">
        <v>0.15</v>
      </c>
      <c r="P2843" s="355"/>
      <c r="Q2843" s="354">
        <v>0</v>
      </c>
      <c r="R2843" s="337" t="s">
        <v>112</v>
      </c>
      <c r="S2843" s="356" t="s">
        <v>113</v>
      </c>
      <c r="T2843" s="356">
        <v>64</v>
      </c>
      <c r="U2843" s="357" t="s">
        <v>164</v>
      </c>
      <c r="V2843" s="434"/>
      <c r="X2843" s="354">
        <v>0</v>
      </c>
      <c r="Y2843" s="354"/>
      <c r="AI2843" s="337">
        <v>0</v>
      </c>
      <c r="AJ2843" s="358"/>
      <c r="AK2843" s="369"/>
    </row>
    <row r="2844" spans="2:37" s="337" customFormat="1" ht="11.25" customHeight="1">
      <c r="B2844" s="338" t="s">
        <v>291</v>
      </c>
      <c r="C2844" s="349"/>
      <c r="D2844" s="349"/>
      <c r="E2844" s="350" t="s">
        <v>2160</v>
      </c>
      <c r="F2844" s="337" t="s">
        <v>1116</v>
      </c>
      <c r="G2844" s="351">
        <v>3716</v>
      </c>
      <c r="H2844" s="337" t="s">
        <v>866</v>
      </c>
      <c r="I2844" s="353" t="s">
        <v>1056</v>
      </c>
      <c r="J2844" s="352">
        <v>21736.26</v>
      </c>
      <c r="K2844" s="353"/>
      <c r="L2844" s="352">
        <v>13.27</v>
      </c>
      <c r="M2844" s="352">
        <v>13.27</v>
      </c>
      <c r="N2844" s="354">
        <f>798.53+2781.32</f>
        <v>3579.8500000000004</v>
      </c>
      <c r="O2844" s="355">
        <v>0.15</v>
      </c>
      <c r="P2844" s="355"/>
      <c r="Q2844" s="354">
        <v>0</v>
      </c>
      <c r="R2844" s="337" t="s">
        <v>112</v>
      </c>
      <c r="S2844" s="356" t="s">
        <v>113</v>
      </c>
      <c r="T2844" s="356">
        <v>64</v>
      </c>
      <c r="U2844" s="357" t="s">
        <v>164</v>
      </c>
      <c r="V2844" s="434"/>
      <c r="X2844" s="354">
        <v>0</v>
      </c>
      <c r="Y2844" s="354"/>
      <c r="AI2844" s="337">
        <v>0</v>
      </c>
      <c r="AJ2844" s="358"/>
      <c r="AK2844" s="369"/>
    </row>
    <row r="2845" spans="2:37" s="291" customFormat="1" ht="11.25" customHeight="1">
      <c r="B2845" s="310" t="s">
        <v>291</v>
      </c>
      <c r="C2845" s="292"/>
      <c r="D2845" s="292"/>
      <c r="E2845" s="293" t="s">
        <v>2160</v>
      </c>
      <c r="F2845" s="291" t="s">
        <v>1116</v>
      </c>
      <c r="G2845" s="294">
        <v>3716</v>
      </c>
      <c r="H2845" s="291" t="s">
        <v>910</v>
      </c>
      <c r="I2845" s="295" t="s">
        <v>1056</v>
      </c>
      <c r="J2845" s="296">
        <v>23059.8</v>
      </c>
      <c r="K2845" s="295"/>
      <c r="L2845" s="296">
        <v>11.14</v>
      </c>
      <c r="M2845" s="296">
        <v>11.14</v>
      </c>
      <c r="N2845" s="297">
        <v>0</v>
      </c>
      <c r="O2845" s="298">
        <v>0.15</v>
      </c>
      <c r="P2845" s="298"/>
      <c r="Q2845" s="297">
        <v>0</v>
      </c>
      <c r="R2845" s="291" t="s">
        <v>112</v>
      </c>
      <c r="S2845" s="299" t="s">
        <v>113</v>
      </c>
      <c r="T2845" s="299">
        <v>64</v>
      </c>
      <c r="U2845" s="300" t="s">
        <v>164</v>
      </c>
      <c r="V2845" s="333"/>
      <c r="X2845" s="297">
        <v>0</v>
      </c>
      <c r="Y2845" s="297"/>
      <c r="AH2845" s="311">
        <f>X2845</f>
        <v>0</v>
      </c>
      <c r="AI2845" s="311"/>
      <c r="AJ2845" s="468"/>
    </row>
    <row r="2846" spans="2:37" s="205" customFormat="1" ht="11.25" customHeight="1">
      <c r="B2846" s="206" t="s">
        <v>291</v>
      </c>
      <c r="C2846" s="207"/>
      <c r="D2846" s="207"/>
      <c r="E2846" s="208" t="s">
        <v>2160</v>
      </c>
      <c r="F2846" s="205" t="s">
        <v>1116</v>
      </c>
      <c r="G2846" s="209">
        <v>3716</v>
      </c>
      <c r="H2846" s="205" t="s">
        <v>814</v>
      </c>
      <c r="I2846" s="219" t="s">
        <v>1056</v>
      </c>
      <c r="J2846" s="210">
        <v>13044.15</v>
      </c>
      <c r="K2846" s="219"/>
      <c r="L2846" s="210">
        <v>12.3</v>
      </c>
      <c r="M2846" s="210">
        <v>12.3</v>
      </c>
      <c r="N2846" s="213"/>
      <c r="O2846" s="212">
        <v>0.15</v>
      </c>
      <c r="P2846" s="212"/>
      <c r="Q2846" s="213">
        <v>0</v>
      </c>
      <c r="R2846" s="205" t="s">
        <v>112</v>
      </c>
      <c r="S2846" s="214" t="s">
        <v>113</v>
      </c>
      <c r="T2846" s="214">
        <v>64</v>
      </c>
      <c r="U2846" s="215" t="s">
        <v>164</v>
      </c>
      <c r="V2846" s="438"/>
      <c r="X2846" s="213">
        <v>0</v>
      </c>
      <c r="Y2846" s="213"/>
      <c r="AF2846" s="230">
        <f>X2846</f>
        <v>0</v>
      </c>
      <c r="AJ2846" s="216"/>
    </row>
    <row r="2847" spans="2:37" s="473" customFormat="1" ht="11.25" customHeight="1">
      <c r="B2847" s="473" t="s">
        <v>291</v>
      </c>
      <c r="C2847" s="487">
        <v>44730</v>
      </c>
      <c r="D2847" s="487">
        <v>44732</v>
      </c>
      <c r="E2847" s="488" t="s">
        <v>2161</v>
      </c>
      <c r="F2847" s="473" t="s">
        <v>1798</v>
      </c>
      <c r="G2847" s="489">
        <v>4322</v>
      </c>
      <c r="H2847" s="473" t="s">
        <v>685</v>
      </c>
      <c r="I2847" s="491" t="s">
        <v>111</v>
      </c>
      <c r="J2847" s="490">
        <v>19138.8</v>
      </c>
      <c r="K2847" s="491"/>
      <c r="L2847" s="490">
        <v>15.56</v>
      </c>
      <c r="M2847" s="490">
        <v>15.56</v>
      </c>
      <c r="N2847" s="492"/>
      <c r="O2847" s="493">
        <v>0.2</v>
      </c>
      <c r="P2847" s="493"/>
      <c r="Q2847" s="492">
        <v>0</v>
      </c>
      <c r="R2847" s="473" t="s">
        <v>128</v>
      </c>
      <c r="S2847" s="481" t="s">
        <v>34</v>
      </c>
      <c r="T2847" s="481">
        <v>79</v>
      </c>
      <c r="U2847" s="494" t="s">
        <v>164</v>
      </c>
      <c r="V2847" s="495"/>
      <c r="X2847" s="492">
        <v>0</v>
      </c>
      <c r="Y2847" s="492"/>
      <c r="AJ2847" s="485"/>
      <c r="AK2847" s="473">
        <v>0</v>
      </c>
    </row>
    <row r="2848" spans="2:37" s="337" customFormat="1" ht="11.25" customHeight="1">
      <c r="B2848" s="337" t="s">
        <v>291</v>
      </c>
      <c r="C2848" s="349">
        <v>44730</v>
      </c>
      <c r="D2848" s="349">
        <v>44732</v>
      </c>
      <c r="E2848" s="350" t="s">
        <v>2162</v>
      </c>
      <c r="F2848" s="337" t="s">
        <v>1461</v>
      </c>
      <c r="G2848" s="351">
        <v>4321</v>
      </c>
      <c r="H2848" s="337" t="s">
        <v>1018</v>
      </c>
      <c r="I2848" s="353" t="s">
        <v>111</v>
      </c>
      <c r="J2848" s="352">
        <v>2627.4</v>
      </c>
      <c r="K2848" s="353"/>
      <c r="L2848" s="352">
        <v>2.9</v>
      </c>
      <c r="M2848" s="352">
        <v>2.9</v>
      </c>
      <c r="N2848" s="354"/>
      <c r="O2848" s="355">
        <v>0.2</v>
      </c>
      <c r="P2848" s="355"/>
      <c r="Q2848" s="354">
        <v>0</v>
      </c>
      <c r="R2848" s="341" t="s">
        <v>128</v>
      </c>
      <c r="S2848" s="346" t="s">
        <v>34</v>
      </c>
      <c r="T2848" s="346">
        <v>79</v>
      </c>
      <c r="U2848" s="357" t="s">
        <v>164</v>
      </c>
      <c r="V2848" s="434"/>
      <c r="X2848" s="354">
        <v>0</v>
      </c>
      <c r="Y2848" s="354"/>
      <c r="AI2848" s="337">
        <v>0</v>
      </c>
      <c r="AJ2848" s="358"/>
      <c r="AK2848" s="369"/>
    </row>
    <row r="2849" spans="1:77" s="337" customFormat="1" ht="11.25" customHeight="1">
      <c r="B2849" s="337" t="s">
        <v>291</v>
      </c>
      <c r="C2849" s="349"/>
      <c r="D2849" s="349"/>
      <c r="E2849" s="350" t="s">
        <v>2162</v>
      </c>
      <c r="F2849" s="337" t="s">
        <v>1461</v>
      </c>
      <c r="G2849" s="351">
        <v>4321</v>
      </c>
      <c r="H2849" s="337" t="s">
        <v>685</v>
      </c>
      <c r="I2849" s="353" t="s">
        <v>111</v>
      </c>
      <c r="J2849" s="352">
        <v>19008</v>
      </c>
      <c r="K2849" s="353"/>
      <c r="L2849" s="352">
        <v>11.88</v>
      </c>
      <c r="M2849" s="352">
        <v>9.34</v>
      </c>
      <c r="N2849" s="354"/>
      <c r="O2849" s="355">
        <v>0.2</v>
      </c>
      <c r="P2849" s="355"/>
      <c r="Q2849" s="354">
        <v>0</v>
      </c>
      <c r="R2849" s="341" t="s">
        <v>128</v>
      </c>
      <c r="S2849" s="346" t="s">
        <v>34</v>
      </c>
      <c r="T2849" s="346">
        <v>79</v>
      </c>
      <c r="U2849" s="357" t="s">
        <v>164</v>
      </c>
      <c r="V2849" s="434"/>
      <c r="X2849" s="354">
        <v>0</v>
      </c>
      <c r="Y2849" s="354"/>
      <c r="AI2849" s="337">
        <v>0</v>
      </c>
      <c r="AJ2849" s="358"/>
      <c r="AK2849" s="369"/>
    </row>
    <row r="2850" spans="1:77" s="337" customFormat="1" ht="11.25" customHeight="1">
      <c r="B2850" s="337" t="s">
        <v>291</v>
      </c>
      <c r="C2850" s="349"/>
      <c r="D2850" s="349"/>
      <c r="E2850" s="350" t="s">
        <v>2162</v>
      </c>
      <c r="F2850" s="337" t="s">
        <v>1461</v>
      </c>
      <c r="G2850" s="351">
        <v>4321</v>
      </c>
      <c r="H2850" s="337" t="s">
        <v>1015</v>
      </c>
      <c r="I2850" s="353" t="s">
        <v>111</v>
      </c>
      <c r="J2850" s="352">
        <v>8959.65</v>
      </c>
      <c r="K2850" s="353"/>
      <c r="L2850" s="352">
        <v>8.0500000000000007</v>
      </c>
      <c r="M2850" s="352">
        <v>8.0500000000000007</v>
      </c>
      <c r="N2850" s="354"/>
      <c r="O2850" s="355">
        <v>0.2</v>
      </c>
      <c r="P2850" s="355"/>
      <c r="Q2850" s="354">
        <v>2699.97</v>
      </c>
      <c r="R2850" s="341" t="s">
        <v>128</v>
      </c>
      <c r="S2850" s="346" t="s">
        <v>34</v>
      </c>
      <c r="T2850" s="346">
        <v>79</v>
      </c>
      <c r="U2850" s="357" t="s">
        <v>164</v>
      </c>
      <c r="V2850" s="434"/>
      <c r="X2850" s="354">
        <v>2699.97</v>
      </c>
      <c r="Y2850" s="354"/>
      <c r="AI2850" s="337">
        <v>2699.97</v>
      </c>
      <c r="AJ2850" s="358"/>
      <c r="AK2850" s="369"/>
    </row>
    <row r="2851" spans="1:77" s="337" customFormat="1" ht="11.25" customHeight="1">
      <c r="B2851" s="337" t="s">
        <v>291</v>
      </c>
      <c r="C2851" s="349">
        <v>44730</v>
      </c>
      <c r="D2851" s="349">
        <v>44731</v>
      </c>
      <c r="E2851" s="350" t="s">
        <v>2163</v>
      </c>
      <c r="F2851" s="337" t="s">
        <v>2164</v>
      </c>
      <c r="G2851" s="351" t="s">
        <v>2165</v>
      </c>
      <c r="H2851" s="337" t="s">
        <v>866</v>
      </c>
      <c r="I2851" s="353" t="s">
        <v>2006</v>
      </c>
      <c r="J2851" s="352">
        <v>31202.81</v>
      </c>
      <c r="K2851" s="353"/>
      <c r="L2851" s="352">
        <v>23.66</v>
      </c>
      <c r="M2851" s="352">
        <v>23.66</v>
      </c>
      <c r="N2851" s="354">
        <v>15601.404</v>
      </c>
      <c r="O2851" s="355">
        <v>0.25</v>
      </c>
      <c r="P2851" s="355"/>
      <c r="Q2851" s="354">
        <v>0</v>
      </c>
      <c r="R2851" s="337" t="s">
        <v>149</v>
      </c>
      <c r="S2851" s="356" t="s">
        <v>113</v>
      </c>
      <c r="T2851" s="356">
        <v>40</v>
      </c>
      <c r="U2851" s="357" t="s">
        <v>164</v>
      </c>
      <c r="V2851" s="434"/>
      <c r="X2851" s="354">
        <v>0</v>
      </c>
      <c r="Y2851" s="354"/>
      <c r="AI2851" s="337">
        <v>0</v>
      </c>
      <c r="AJ2851" s="358"/>
      <c r="AK2851" s="369"/>
    </row>
    <row r="2852" spans="1:77" s="337" customFormat="1" ht="11.25" customHeight="1">
      <c r="B2852" s="337" t="s">
        <v>291</v>
      </c>
      <c r="C2852" s="349"/>
      <c r="D2852" s="349"/>
      <c r="E2852" s="350" t="s">
        <v>2163</v>
      </c>
      <c r="F2852" s="337" t="s">
        <v>2164</v>
      </c>
      <c r="G2852" s="351" t="s">
        <v>2165</v>
      </c>
      <c r="H2852" s="337" t="s">
        <v>765</v>
      </c>
      <c r="I2852" s="353" t="s">
        <v>2006</v>
      </c>
      <c r="J2852" s="352">
        <v>21967.8</v>
      </c>
      <c r="K2852" s="353"/>
      <c r="L2852" s="352">
        <v>19.27</v>
      </c>
      <c r="M2852" s="352">
        <v>19.27</v>
      </c>
      <c r="N2852" s="354">
        <v>7688.73</v>
      </c>
      <c r="O2852" s="355">
        <v>0.25</v>
      </c>
      <c r="P2852" s="355"/>
      <c r="Q2852" s="354">
        <v>0</v>
      </c>
      <c r="R2852" s="337" t="s">
        <v>149</v>
      </c>
      <c r="S2852" s="356" t="s">
        <v>113</v>
      </c>
      <c r="T2852" s="356">
        <v>40</v>
      </c>
      <c r="U2852" s="357" t="s">
        <v>164</v>
      </c>
      <c r="V2852" s="434"/>
      <c r="X2852" s="354">
        <v>0</v>
      </c>
      <c r="Y2852" s="354"/>
      <c r="AI2852" s="337">
        <v>0</v>
      </c>
      <c r="AJ2852" s="358"/>
      <c r="AK2852" s="369"/>
    </row>
    <row r="2853" spans="1:77" s="6" customFormat="1" ht="11.25" customHeight="1">
      <c r="A2853" s="379"/>
      <c r="B2853" s="379" t="s">
        <v>291</v>
      </c>
      <c r="C2853" s="381">
        <v>44731</v>
      </c>
      <c r="D2853" s="381">
        <v>44731</v>
      </c>
      <c r="E2853" s="382" t="s">
        <v>2166</v>
      </c>
      <c r="F2853" s="379" t="s">
        <v>1542</v>
      </c>
      <c r="G2853" s="383" t="s">
        <v>1543</v>
      </c>
      <c r="H2853" s="379" t="s">
        <v>866</v>
      </c>
      <c r="I2853" s="384" t="s">
        <v>888</v>
      </c>
      <c r="J2853" s="385">
        <v>12949.74</v>
      </c>
      <c r="K2853" s="384"/>
      <c r="L2853" s="385">
        <v>7.35</v>
      </c>
      <c r="M2853" s="385">
        <v>7.35</v>
      </c>
      <c r="N2853" s="386">
        <v>2989.94</v>
      </c>
      <c r="O2853" s="387">
        <v>0.15</v>
      </c>
      <c r="P2853" s="387"/>
      <c r="Q2853" s="386">
        <v>0</v>
      </c>
      <c r="R2853" s="379" t="s">
        <v>112</v>
      </c>
      <c r="S2853" s="388" t="s">
        <v>113</v>
      </c>
      <c r="T2853" s="388">
        <v>64</v>
      </c>
      <c r="U2853" s="389" t="s">
        <v>164</v>
      </c>
      <c r="V2853" s="433"/>
      <c r="W2853" s="379"/>
      <c r="X2853" s="386">
        <v>0</v>
      </c>
      <c r="Y2853" s="386"/>
      <c r="Z2853" s="379"/>
      <c r="AA2853" s="379"/>
      <c r="AB2853" s="379"/>
      <c r="AC2853" s="379"/>
      <c r="AD2853" s="379"/>
      <c r="AE2853" s="379"/>
      <c r="AF2853" s="379"/>
      <c r="AG2853" s="379"/>
      <c r="AH2853" s="379"/>
      <c r="AI2853" s="379"/>
      <c r="AJ2853" s="390">
        <v>0</v>
      </c>
      <c r="AK2853" s="379"/>
      <c r="AL2853" s="379"/>
      <c r="AM2853" s="379"/>
      <c r="AN2853" s="379"/>
      <c r="AO2853" s="379"/>
      <c r="AP2853" s="379"/>
      <c r="AQ2853" s="379"/>
      <c r="AR2853" s="379"/>
      <c r="AS2853" s="379"/>
      <c r="AT2853" s="379"/>
      <c r="AU2853" s="379"/>
      <c r="AV2853" s="379"/>
      <c r="AW2853" s="379"/>
      <c r="AX2853" s="379"/>
      <c r="AY2853" s="379"/>
      <c r="AZ2853" s="379"/>
      <c r="BA2853" s="379"/>
      <c r="BB2853" s="379"/>
      <c r="BC2853" s="379"/>
      <c r="BD2853" s="379"/>
      <c r="BE2853" s="379"/>
      <c r="BF2853" s="379"/>
      <c r="BG2853" s="379"/>
      <c r="BH2853" s="379"/>
      <c r="BI2853" s="379"/>
      <c r="BJ2853" s="379"/>
      <c r="BK2853" s="379"/>
      <c r="BL2853" s="379"/>
      <c r="BM2853" s="379"/>
      <c r="BN2853" s="379"/>
      <c r="BO2853" s="379"/>
      <c r="BP2853" s="379"/>
      <c r="BQ2853" s="379"/>
      <c r="BR2853" s="379"/>
      <c r="BS2853" s="379"/>
      <c r="BT2853" s="379"/>
      <c r="BU2853" s="379"/>
      <c r="BV2853" s="379"/>
      <c r="BW2853" s="379"/>
      <c r="BX2853" s="379"/>
      <c r="BY2853" s="379"/>
    </row>
    <row r="2854" spans="1:77" s="6" customFormat="1" ht="11.25" customHeight="1">
      <c r="A2854" s="379"/>
      <c r="B2854" s="379" t="s">
        <v>291</v>
      </c>
      <c r="C2854" s="381"/>
      <c r="D2854" s="381"/>
      <c r="E2854" s="382" t="s">
        <v>2166</v>
      </c>
      <c r="F2854" s="379" t="s">
        <v>1542</v>
      </c>
      <c r="G2854" s="383" t="s">
        <v>1543</v>
      </c>
      <c r="H2854" s="379" t="s">
        <v>765</v>
      </c>
      <c r="I2854" s="384" t="s">
        <v>888</v>
      </c>
      <c r="J2854" s="385">
        <v>27676.14</v>
      </c>
      <c r="K2854" s="384"/>
      <c r="L2854" s="385">
        <v>19.829999999999998</v>
      </c>
      <c r="M2854" s="385">
        <v>19.829999999999998</v>
      </c>
      <c r="N2854" s="386">
        <f>1465.45+697.84+1205.86+1913.46</f>
        <v>5282.61</v>
      </c>
      <c r="O2854" s="387">
        <v>0.15</v>
      </c>
      <c r="P2854" s="387"/>
      <c r="Q2854" s="386">
        <v>0</v>
      </c>
      <c r="R2854" s="379" t="s">
        <v>112</v>
      </c>
      <c r="S2854" s="388" t="s">
        <v>113</v>
      </c>
      <c r="T2854" s="388">
        <v>64</v>
      </c>
      <c r="U2854" s="389" t="s">
        <v>164</v>
      </c>
      <c r="V2854" s="433"/>
      <c r="W2854" s="379"/>
      <c r="X2854" s="386">
        <v>0</v>
      </c>
      <c r="Y2854" s="386"/>
      <c r="Z2854" s="379"/>
      <c r="AA2854" s="379"/>
      <c r="AB2854" s="379"/>
      <c r="AC2854" s="379"/>
      <c r="AD2854" s="379"/>
      <c r="AE2854" s="379"/>
      <c r="AF2854" s="379"/>
      <c r="AG2854" s="379"/>
      <c r="AH2854" s="379"/>
      <c r="AI2854" s="379"/>
      <c r="AJ2854" s="390">
        <v>0</v>
      </c>
      <c r="AK2854" s="379"/>
      <c r="AL2854" s="379"/>
      <c r="AM2854" s="379"/>
      <c r="AN2854" s="379"/>
      <c r="AO2854" s="379"/>
      <c r="AP2854" s="379"/>
      <c r="AQ2854" s="379"/>
      <c r="AR2854" s="379"/>
      <c r="AS2854" s="379"/>
      <c r="AT2854" s="379"/>
      <c r="AU2854" s="379"/>
      <c r="AV2854" s="379"/>
      <c r="AW2854" s="379"/>
      <c r="AX2854" s="379"/>
      <c r="AY2854" s="379"/>
      <c r="AZ2854" s="379"/>
      <c r="BA2854" s="379"/>
      <c r="BB2854" s="379"/>
      <c r="BC2854" s="379"/>
      <c r="BD2854" s="379"/>
      <c r="BE2854" s="379"/>
      <c r="BF2854" s="379"/>
      <c r="BG2854" s="379"/>
      <c r="BH2854" s="379"/>
      <c r="BI2854" s="379"/>
      <c r="BJ2854" s="379"/>
      <c r="BK2854" s="379"/>
      <c r="BL2854" s="379"/>
      <c r="BM2854" s="379"/>
      <c r="BN2854" s="379"/>
      <c r="BO2854" s="379"/>
      <c r="BP2854" s="379"/>
      <c r="BQ2854" s="379"/>
      <c r="BR2854" s="379"/>
      <c r="BS2854" s="379"/>
      <c r="BT2854" s="379"/>
      <c r="BU2854" s="379"/>
      <c r="BV2854" s="379"/>
      <c r="BW2854" s="379"/>
      <c r="BX2854" s="379"/>
      <c r="BY2854" s="379"/>
    </row>
    <row r="2855" spans="1:77" s="379" customFormat="1" ht="11.25" customHeight="1">
      <c r="B2855" s="380" t="s">
        <v>291</v>
      </c>
      <c r="C2855" s="381">
        <v>44732</v>
      </c>
      <c r="D2855" s="381">
        <v>44732</v>
      </c>
      <c r="E2855" s="382" t="s">
        <v>2167</v>
      </c>
      <c r="F2855" s="379" t="s">
        <v>215</v>
      </c>
      <c r="G2855" s="383" t="s">
        <v>216</v>
      </c>
      <c r="H2855" s="379" t="s">
        <v>192</v>
      </c>
      <c r="I2855" s="384" t="s">
        <v>33</v>
      </c>
      <c r="J2855" s="385">
        <v>52250</v>
      </c>
      <c r="K2855" s="384"/>
      <c r="L2855" s="385">
        <v>55</v>
      </c>
      <c r="M2855" s="385">
        <v>55</v>
      </c>
      <c r="N2855" s="386"/>
      <c r="O2855" s="387">
        <v>0.2</v>
      </c>
      <c r="P2855" s="387"/>
      <c r="Q2855" s="386">
        <v>0</v>
      </c>
      <c r="R2855" s="379" t="s">
        <v>146</v>
      </c>
      <c r="S2855" s="388" t="s">
        <v>74</v>
      </c>
      <c r="T2855" s="388">
        <v>32</v>
      </c>
      <c r="U2855" s="389" t="s">
        <v>164</v>
      </c>
      <c r="V2855" s="433"/>
      <c r="X2855" s="386">
        <v>0</v>
      </c>
      <c r="Y2855" s="386"/>
      <c r="AJ2855" s="390">
        <v>0</v>
      </c>
    </row>
    <row r="2856" spans="1:77" s="379" customFormat="1" ht="11.25" customHeight="1">
      <c r="B2856" s="380" t="s">
        <v>291</v>
      </c>
      <c r="C2856" s="381"/>
      <c r="D2856" s="381"/>
      <c r="E2856" s="382" t="s">
        <v>2167</v>
      </c>
      <c r="F2856" s="379" t="s">
        <v>215</v>
      </c>
      <c r="G2856" s="383" t="s">
        <v>216</v>
      </c>
      <c r="H2856" s="379" t="s">
        <v>685</v>
      </c>
      <c r="I2856" s="384" t="s">
        <v>33</v>
      </c>
      <c r="J2856" s="385">
        <v>15300</v>
      </c>
      <c r="K2856" s="384"/>
      <c r="L2856" s="385">
        <v>12.5</v>
      </c>
      <c r="M2856" s="385">
        <v>12.5</v>
      </c>
      <c r="N2856" s="386"/>
      <c r="O2856" s="387">
        <v>0.2</v>
      </c>
      <c r="P2856" s="387"/>
      <c r="Q2856" s="386">
        <v>3633.75</v>
      </c>
      <c r="R2856" s="379" t="s">
        <v>146</v>
      </c>
      <c r="S2856" s="388" t="s">
        <v>74</v>
      </c>
      <c r="T2856" s="388">
        <v>32</v>
      </c>
      <c r="U2856" s="389" t="s">
        <v>164</v>
      </c>
      <c r="V2856" s="433"/>
      <c r="X2856" s="386">
        <v>3633.75</v>
      </c>
      <c r="Y2856" s="386"/>
      <c r="AJ2856" s="416">
        <v>3633.75</v>
      </c>
    </row>
    <row r="2857" spans="1:77" s="379" customFormat="1" ht="11.25" customHeight="1">
      <c r="B2857" s="380" t="s">
        <v>291</v>
      </c>
      <c r="C2857" s="381"/>
      <c r="D2857" s="381"/>
      <c r="E2857" s="382" t="s">
        <v>2167</v>
      </c>
      <c r="F2857" s="379" t="s">
        <v>215</v>
      </c>
      <c r="G2857" s="383" t="s">
        <v>216</v>
      </c>
      <c r="H2857" s="379" t="s">
        <v>1138</v>
      </c>
      <c r="I2857" s="384" t="s">
        <v>33</v>
      </c>
      <c r="J2857" s="385">
        <v>14400</v>
      </c>
      <c r="K2857" s="384"/>
      <c r="L2857" s="385">
        <v>16</v>
      </c>
      <c r="M2857" s="385">
        <v>16</v>
      </c>
      <c r="N2857" s="386"/>
      <c r="O2857" s="387">
        <v>0.2</v>
      </c>
      <c r="P2857" s="387"/>
      <c r="Q2857" s="386">
        <v>5088</v>
      </c>
      <c r="R2857" s="379" t="s">
        <v>146</v>
      </c>
      <c r="S2857" s="388" t="s">
        <v>74</v>
      </c>
      <c r="T2857" s="388">
        <v>32</v>
      </c>
      <c r="U2857" s="389" t="s">
        <v>164</v>
      </c>
      <c r="V2857" s="433"/>
      <c r="X2857" s="386">
        <v>5088</v>
      </c>
      <c r="Y2857" s="386"/>
      <c r="AJ2857" s="416">
        <v>5088</v>
      </c>
    </row>
    <row r="2858" spans="1:77" s="379" customFormat="1" ht="11.25" customHeight="1">
      <c r="B2858" s="380" t="s">
        <v>291</v>
      </c>
      <c r="C2858" s="381"/>
      <c r="D2858" s="381"/>
      <c r="E2858" s="382" t="s">
        <v>2167</v>
      </c>
      <c r="F2858" s="379" t="s">
        <v>215</v>
      </c>
      <c r="G2858" s="383" t="s">
        <v>216</v>
      </c>
      <c r="H2858" s="379" t="s">
        <v>1018</v>
      </c>
      <c r="I2858" s="384" t="s">
        <v>33</v>
      </c>
      <c r="J2858" s="385">
        <v>22680</v>
      </c>
      <c r="K2858" s="384"/>
      <c r="L2858" s="385">
        <v>27</v>
      </c>
      <c r="M2858" s="385">
        <v>27</v>
      </c>
      <c r="N2858" s="386"/>
      <c r="O2858" s="387">
        <v>0.2</v>
      </c>
      <c r="P2858" s="387"/>
      <c r="Q2858" s="386">
        <v>2268</v>
      </c>
      <c r="R2858" s="379" t="s">
        <v>146</v>
      </c>
      <c r="S2858" s="388" t="s">
        <v>74</v>
      </c>
      <c r="T2858" s="388">
        <v>32</v>
      </c>
      <c r="U2858" s="389" t="s">
        <v>164</v>
      </c>
      <c r="V2858" s="433"/>
      <c r="X2858" s="386">
        <v>2268</v>
      </c>
      <c r="Y2858" s="386"/>
      <c r="AJ2858" s="416">
        <v>2268</v>
      </c>
    </row>
    <row r="2859" spans="1:77" s="571" customFormat="1" ht="11.25" customHeight="1">
      <c r="B2859" s="705" t="s">
        <v>291</v>
      </c>
      <c r="C2859" s="694">
        <v>44730</v>
      </c>
      <c r="D2859" s="694">
        <v>44731</v>
      </c>
      <c r="E2859" s="695" t="s">
        <v>2168</v>
      </c>
      <c r="F2859" s="571" t="s">
        <v>2169</v>
      </c>
      <c r="G2859" s="706">
        <v>1001</v>
      </c>
      <c r="H2859" s="571" t="s">
        <v>765</v>
      </c>
      <c r="I2859" s="697" t="s">
        <v>961</v>
      </c>
      <c r="J2859" s="698">
        <v>12075.84</v>
      </c>
      <c r="K2859" s="697"/>
      <c r="L2859" s="698">
        <v>8</v>
      </c>
      <c r="M2859" s="698">
        <v>8</v>
      </c>
      <c r="N2859" s="699"/>
      <c r="O2859" s="700">
        <v>0.15</v>
      </c>
      <c r="P2859" s="700"/>
      <c r="Q2859" s="699">
        <v>0</v>
      </c>
      <c r="R2859" s="571" t="s">
        <v>149</v>
      </c>
      <c r="S2859" s="701" t="s">
        <v>113</v>
      </c>
      <c r="T2859" s="701">
        <v>64</v>
      </c>
      <c r="U2859" s="702" t="s">
        <v>164</v>
      </c>
      <c r="V2859" s="703"/>
      <c r="X2859" s="699">
        <v>0</v>
      </c>
      <c r="Y2859" s="699"/>
      <c r="AJ2859" s="704"/>
      <c r="AP2859" s="571">
        <v>0</v>
      </c>
    </row>
    <row r="2860" spans="1:77" s="291" customFormat="1" ht="11.25" customHeight="1">
      <c r="B2860" s="310" t="s">
        <v>291</v>
      </c>
      <c r="C2860" s="292"/>
      <c r="D2860" s="292"/>
      <c r="E2860" s="293" t="s">
        <v>2170</v>
      </c>
      <c r="F2860" s="291" t="s">
        <v>301</v>
      </c>
      <c r="G2860" s="294">
        <v>3849</v>
      </c>
      <c r="H2860" s="291" t="s">
        <v>2171</v>
      </c>
      <c r="I2860" s="295" t="s">
        <v>888</v>
      </c>
      <c r="J2860" s="296">
        <v>8040.96</v>
      </c>
      <c r="K2860" s="295"/>
      <c r="L2860" s="296">
        <v>5.76</v>
      </c>
      <c r="M2860" s="296">
        <v>5.76</v>
      </c>
      <c r="N2860" s="297">
        <f>338.6+741.12</f>
        <v>1079.72</v>
      </c>
      <c r="O2860" s="298">
        <v>0.2</v>
      </c>
      <c r="P2860" s="298"/>
      <c r="Q2860" s="297">
        <v>0</v>
      </c>
      <c r="R2860" s="291" t="s">
        <v>142</v>
      </c>
      <c r="S2860" s="299" t="s">
        <v>41</v>
      </c>
      <c r="T2860" s="299">
        <v>16</v>
      </c>
      <c r="U2860" s="300" t="s">
        <v>164</v>
      </c>
      <c r="V2860" s="333"/>
      <c r="X2860" s="297">
        <v>0</v>
      </c>
      <c r="Y2860" s="297"/>
      <c r="AH2860" s="291">
        <f>X2860</f>
        <v>0</v>
      </c>
      <c r="AI2860" s="311"/>
      <c r="AJ2860" s="468"/>
    </row>
    <row r="2861" spans="1:77" s="291" customFormat="1" ht="11.25" customHeight="1">
      <c r="A2861" s="291" t="s">
        <v>3893</v>
      </c>
      <c r="B2861" s="310" t="s">
        <v>291</v>
      </c>
      <c r="C2861" s="292">
        <v>44731</v>
      </c>
      <c r="D2861" s="292">
        <v>44731</v>
      </c>
      <c r="E2861" s="293" t="s">
        <v>2170</v>
      </c>
      <c r="F2861" s="291" t="s">
        <v>301</v>
      </c>
      <c r="G2861" s="294">
        <v>3849</v>
      </c>
      <c r="H2861" s="291" t="s">
        <v>866</v>
      </c>
      <c r="I2861" s="295" t="s">
        <v>888</v>
      </c>
      <c r="J2861" s="296">
        <v>23884.38</v>
      </c>
      <c r="K2861" s="295"/>
      <c r="L2861" s="296">
        <v>15.57</v>
      </c>
      <c r="M2861" s="296">
        <v>15.57</v>
      </c>
      <c r="N2861" s="297">
        <f>715.67+675.8+668.21+1369.96+384.73</f>
        <v>3814.37</v>
      </c>
      <c r="O2861" s="298">
        <v>0.2</v>
      </c>
      <c r="P2861" s="298"/>
      <c r="Q2861" s="297">
        <v>2846.2</v>
      </c>
      <c r="R2861" s="291" t="s">
        <v>142</v>
      </c>
      <c r="S2861" s="299" t="s">
        <v>41</v>
      </c>
      <c r="T2861" s="299">
        <v>16</v>
      </c>
      <c r="U2861" s="300" t="s">
        <v>164</v>
      </c>
      <c r="V2861" s="333"/>
      <c r="X2861" s="297">
        <v>2846.2</v>
      </c>
      <c r="Y2861" s="297"/>
      <c r="AH2861" s="297">
        <f>X2861</f>
        <v>2846.2</v>
      </c>
      <c r="AI2861" s="311"/>
      <c r="AJ2861" s="468"/>
    </row>
    <row r="2862" spans="1:77" s="261" customFormat="1" ht="11.25" customHeight="1">
      <c r="B2862" s="258" t="s">
        <v>291</v>
      </c>
      <c r="C2862" s="259"/>
      <c r="D2862" s="259"/>
      <c r="E2862" s="260" t="s">
        <v>2170</v>
      </c>
      <c r="F2862" s="261" t="s">
        <v>301</v>
      </c>
      <c r="G2862" s="262">
        <v>3849</v>
      </c>
      <c r="H2862" s="261" t="s">
        <v>765</v>
      </c>
      <c r="I2862" s="264" t="s">
        <v>888</v>
      </c>
      <c r="J2862" s="263">
        <v>29638</v>
      </c>
      <c r="K2862" s="264"/>
      <c r="L2862" s="263">
        <v>20.440000000000001</v>
      </c>
      <c r="M2862" s="263">
        <v>20.440000000000001</v>
      </c>
      <c r="N2862" s="265">
        <f>3713.38+479.59</f>
        <v>4192.97</v>
      </c>
      <c r="O2862" s="266">
        <v>0.2</v>
      </c>
      <c r="P2862" s="266"/>
      <c r="Q2862" s="265">
        <v>0</v>
      </c>
      <c r="R2862" s="261" t="s">
        <v>142</v>
      </c>
      <c r="S2862" s="267" t="s">
        <v>41</v>
      </c>
      <c r="T2862" s="267">
        <v>16</v>
      </c>
      <c r="U2862" s="268" t="s">
        <v>164</v>
      </c>
      <c r="V2862" s="427"/>
      <c r="X2862" s="265">
        <v>0</v>
      </c>
      <c r="Y2862" s="265"/>
      <c r="AG2862" s="261">
        <f>X2862</f>
        <v>0</v>
      </c>
      <c r="AJ2862" s="642"/>
    </row>
    <row r="2863" spans="1:77" s="379" customFormat="1" ht="11.25" customHeight="1">
      <c r="B2863" s="380" t="s">
        <v>291</v>
      </c>
      <c r="C2863" s="381">
        <v>44731</v>
      </c>
      <c r="D2863" s="381">
        <v>44732</v>
      </c>
      <c r="E2863" s="382" t="s">
        <v>2172</v>
      </c>
      <c r="F2863" s="379" t="s">
        <v>1654</v>
      </c>
      <c r="G2863" s="383">
        <v>4263</v>
      </c>
      <c r="H2863" s="379" t="s">
        <v>910</v>
      </c>
      <c r="I2863" s="384" t="s">
        <v>888</v>
      </c>
      <c r="J2863" s="385">
        <v>31082.77</v>
      </c>
      <c r="K2863" s="384"/>
      <c r="L2863" s="385">
        <v>15.05</v>
      </c>
      <c r="M2863" s="385">
        <v>15</v>
      </c>
      <c r="N2863" s="386">
        <f>5284.07005</f>
        <v>5284.0700500000003</v>
      </c>
      <c r="O2863" s="387">
        <v>0.2</v>
      </c>
      <c r="P2863" s="387"/>
      <c r="Q2863" s="386">
        <v>0</v>
      </c>
      <c r="R2863" s="379" t="s">
        <v>281</v>
      </c>
      <c r="S2863" s="388" t="s">
        <v>397</v>
      </c>
      <c r="T2863" s="388" t="s">
        <v>923</v>
      </c>
      <c r="U2863" s="389" t="s">
        <v>164</v>
      </c>
      <c r="V2863" s="433"/>
      <c r="X2863" s="386">
        <v>0</v>
      </c>
      <c r="Y2863" s="386"/>
      <c r="AJ2863" s="390">
        <v>0</v>
      </c>
    </row>
    <row r="2864" spans="1:77" s="379" customFormat="1" ht="11.25" customHeight="1">
      <c r="B2864" s="380" t="s">
        <v>291</v>
      </c>
      <c r="C2864" s="381">
        <v>44730</v>
      </c>
      <c r="D2864" s="381">
        <v>44732</v>
      </c>
      <c r="E2864" s="382" t="s">
        <v>2173</v>
      </c>
      <c r="F2864" s="379" t="s">
        <v>868</v>
      </c>
      <c r="G2864" s="383">
        <v>3533</v>
      </c>
      <c r="H2864" s="379" t="s">
        <v>765</v>
      </c>
      <c r="I2864" s="384" t="s">
        <v>888</v>
      </c>
      <c r="J2864" s="385">
        <v>25365.93</v>
      </c>
      <c r="K2864" s="384"/>
      <c r="L2864" s="385">
        <v>21.41</v>
      </c>
      <c r="M2864" s="385">
        <v>21.41</v>
      </c>
      <c r="N2864" s="386"/>
      <c r="O2864" s="387">
        <v>0.15</v>
      </c>
      <c r="P2864" s="387"/>
      <c r="Q2864" s="386">
        <v>4179.95</v>
      </c>
      <c r="R2864" s="379" t="s">
        <v>128</v>
      </c>
      <c r="S2864" s="388" t="s">
        <v>118</v>
      </c>
      <c r="T2864" s="388">
        <v>79</v>
      </c>
      <c r="U2864" s="389" t="s">
        <v>164</v>
      </c>
      <c r="V2864" s="433"/>
      <c r="X2864" s="386">
        <v>4179.95</v>
      </c>
      <c r="Y2864" s="386"/>
      <c r="AJ2864" s="416">
        <v>4179.95</v>
      </c>
    </row>
    <row r="2865" spans="1:38" s="337" customFormat="1" ht="11.25" customHeight="1">
      <c r="B2865" s="338" t="s">
        <v>291</v>
      </c>
      <c r="C2865" s="349">
        <v>44730</v>
      </c>
      <c r="D2865" s="349">
        <v>44731</v>
      </c>
      <c r="E2865" s="350" t="s">
        <v>2174</v>
      </c>
      <c r="F2865" s="337" t="s">
        <v>580</v>
      </c>
      <c r="G2865" s="351">
        <v>4357</v>
      </c>
      <c r="H2865" s="337" t="s">
        <v>866</v>
      </c>
      <c r="I2865" s="337" t="s">
        <v>33</v>
      </c>
      <c r="J2865" s="352">
        <v>1931.57</v>
      </c>
      <c r="K2865" s="353"/>
      <c r="L2865" s="352">
        <v>1.97</v>
      </c>
      <c r="M2865" s="352">
        <v>1.97</v>
      </c>
      <c r="N2865" s="354">
        <v>579.46959000000004</v>
      </c>
      <c r="O2865" s="355">
        <v>0.2</v>
      </c>
      <c r="P2865" s="355"/>
      <c r="Q2865" s="354">
        <v>13</v>
      </c>
      <c r="R2865" s="337" t="s">
        <v>42</v>
      </c>
      <c r="S2865" s="356" t="s">
        <v>41</v>
      </c>
      <c r="T2865" s="356">
        <v>16</v>
      </c>
      <c r="U2865" s="357" t="s">
        <v>164</v>
      </c>
      <c r="V2865" s="434"/>
      <c r="X2865" s="354">
        <v>13</v>
      </c>
      <c r="Y2865" s="354"/>
      <c r="AI2865" s="337">
        <v>13</v>
      </c>
      <c r="AJ2865" s="358"/>
      <c r="AK2865" s="369"/>
    </row>
    <row r="2866" spans="1:38" s="291" customFormat="1" ht="11.25" customHeight="1">
      <c r="B2866" s="310" t="s">
        <v>291</v>
      </c>
      <c r="C2866" s="292">
        <v>44729</v>
      </c>
      <c r="D2866" s="292">
        <v>44732</v>
      </c>
      <c r="E2866" s="293" t="s">
        <v>2175</v>
      </c>
      <c r="F2866" s="291" t="s">
        <v>505</v>
      </c>
      <c r="G2866" s="294">
        <v>3643</v>
      </c>
      <c r="H2866" s="291" t="s">
        <v>866</v>
      </c>
      <c r="I2866" s="295" t="s">
        <v>1296</v>
      </c>
      <c r="J2866" s="296">
        <v>37077.4</v>
      </c>
      <c r="K2866" s="295"/>
      <c r="L2866" s="296">
        <v>38.64</v>
      </c>
      <c r="M2866" s="296">
        <v>38.64</v>
      </c>
      <c r="N2866" s="297"/>
      <c r="O2866" s="298">
        <v>0.15</v>
      </c>
      <c r="P2866" s="298"/>
      <c r="Q2866" s="297">
        <v>0</v>
      </c>
      <c r="R2866" s="291" t="s">
        <v>69</v>
      </c>
      <c r="S2866" s="299" t="s">
        <v>41</v>
      </c>
      <c r="T2866" s="299">
        <v>86</v>
      </c>
      <c r="U2866" s="300" t="s">
        <v>164</v>
      </c>
      <c r="V2866" s="333"/>
      <c r="X2866" s="297">
        <v>0</v>
      </c>
      <c r="Y2866" s="297"/>
      <c r="AH2866" s="291">
        <f>X2866</f>
        <v>0</v>
      </c>
      <c r="AI2866" s="311"/>
      <c r="AJ2866" s="468"/>
    </row>
    <row r="2867" spans="1:38" s="291" customFormat="1" ht="11.25" customHeight="1">
      <c r="A2867" s="291" t="s">
        <v>3893</v>
      </c>
      <c r="B2867" s="310" t="s">
        <v>291</v>
      </c>
      <c r="C2867" s="292"/>
      <c r="D2867" s="292"/>
      <c r="E2867" s="293" t="s">
        <v>2175</v>
      </c>
      <c r="F2867" s="291" t="s">
        <v>505</v>
      </c>
      <c r="G2867" s="294">
        <v>3643</v>
      </c>
      <c r="H2867" s="291" t="s">
        <v>137</v>
      </c>
      <c r="I2867" s="295" t="s">
        <v>1296</v>
      </c>
      <c r="J2867" s="296">
        <v>36161.24</v>
      </c>
      <c r="K2867" s="295"/>
      <c r="L2867" s="296">
        <v>44.04</v>
      </c>
      <c r="M2867" s="296">
        <v>44.04</v>
      </c>
      <c r="N2867" s="297"/>
      <c r="O2867" s="298">
        <v>0.15</v>
      </c>
      <c r="P2867" s="298"/>
      <c r="Q2867" s="297">
        <v>25511.27</v>
      </c>
      <c r="R2867" s="291" t="s">
        <v>69</v>
      </c>
      <c r="S2867" s="299" t="s">
        <v>41</v>
      </c>
      <c r="T2867" s="299">
        <v>86</v>
      </c>
      <c r="U2867" s="300" t="s">
        <v>164</v>
      </c>
      <c r="V2867" s="333"/>
      <c r="X2867" s="297">
        <v>25511.27</v>
      </c>
      <c r="Y2867" s="297"/>
      <c r="AH2867" s="297">
        <f>X2867</f>
        <v>25511.27</v>
      </c>
      <c r="AI2867" s="311"/>
      <c r="AJ2867" s="468"/>
    </row>
    <row r="2868" spans="1:38" s="291" customFormat="1" ht="11.25" customHeight="1">
      <c r="A2868" s="291" t="s">
        <v>3893</v>
      </c>
      <c r="B2868" s="310" t="s">
        <v>291</v>
      </c>
      <c r="C2868" s="292"/>
      <c r="D2868" s="292"/>
      <c r="E2868" s="293" t="s">
        <v>2175</v>
      </c>
      <c r="F2868" s="291" t="s">
        <v>505</v>
      </c>
      <c r="G2868" s="294">
        <v>3643</v>
      </c>
      <c r="H2868" s="291" t="s">
        <v>295</v>
      </c>
      <c r="I2868" s="295" t="s">
        <v>1296</v>
      </c>
      <c r="J2868" s="296">
        <v>36158.720000000001</v>
      </c>
      <c r="K2868" s="295"/>
      <c r="L2868" s="296">
        <v>55.12</v>
      </c>
      <c r="M2868" s="296">
        <v>55.12</v>
      </c>
      <c r="N2868" s="297"/>
      <c r="O2868" s="298">
        <v>0.15</v>
      </c>
      <c r="P2868" s="298"/>
      <c r="Q2868" s="297">
        <v>4982.8500000000004</v>
      </c>
      <c r="R2868" s="291" t="s">
        <v>69</v>
      </c>
      <c r="S2868" s="299" t="s">
        <v>41</v>
      </c>
      <c r="T2868" s="299">
        <v>86</v>
      </c>
      <c r="U2868" s="300" t="s">
        <v>164</v>
      </c>
      <c r="V2868" s="333"/>
      <c r="X2868" s="297">
        <v>4982.8500000000004</v>
      </c>
      <c r="Y2868" s="297"/>
      <c r="AH2868" s="297">
        <f>X2868</f>
        <v>4982.8500000000004</v>
      </c>
      <c r="AI2868" s="311"/>
      <c r="AJ2868" s="468"/>
    </row>
    <row r="2869" spans="1:38" s="291" customFormat="1" ht="11.25" customHeight="1">
      <c r="A2869" s="291" t="s">
        <v>3893</v>
      </c>
      <c r="B2869" s="310" t="s">
        <v>291</v>
      </c>
      <c r="C2869" s="292"/>
      <c r="D2869" s="292"/>
      <c r="E2869" s="293" t="s">
        <v>2175</v>
      </c>
      <c r="F2869" s="291" t="s">
        <v>505</v>
      </c>
      <c r="G2869" s="294">
        <v>3643</v>
      </c>
      <c r="H2869" s="291" t="s">
        <v>99</v>
      </c>
      <c r="I2869" s="295" t="s">
        <v>1296</v>
      </c>
      <c r="J2869" s="296">
        <v>74600.740000000005</v>
      </c>
      <c r="K2869" s="295"/>
      <c r="L2869" s="296">
        <v>102.77</v>
      </c>
      <c r="M2869" s="296">
        <v>102.77</v>
      </c>
      <c r="N2869" s="297"/>
      <c r="O2869" s="298">
        <v>0.15</v>
      </c>
      <c r="P2869" s="298"/>
      <c r="Q2869" s="297">
        <v>0</v>
      </c>
      <c r="R2869" s="291" t="s">
        <v>69</v>
      </c>
      <c r="S2869" s="299" t="s">
        <v>41</v>
      </c>
      <c r="T2869" s="299">
        <v>86</v>
      </c>
      <c r="U2869" s="300" t="s">
        <v>164</v>
      </c>
      <c r="V2869" s="333"/>
      <c r="X2869" s="297">
        <v>0</v>
      </c>
      <c r="Y2869" s="297"/>
      <c r="AH2869" s="291">
        <f>X2869</f>
        <v>0</v>
      </c>
      <c r="AI2869" s="311"/>
      <c r="AJ2869" s="468"/>
    </row>
    <row r="2870" spans="1:38" s="291" customFormat="1" ht="11.25" customHeight="1">
      <c r="A2870" s="291" t="s">
        <v>3893</v>
      </c>
      <c r="B2870" s="310" t="s">
        <v>291</v>
      </c>
      <c r="C2870" s="292"/>
      <c r="D2870" s="292"/>
      <c r="E2870" s="293" t="s">
        <v>2175</v>
      </c>
      <c r="F2870" s="291" t="s">
        <v>505</v>
      </c>
      <c r="G2870" s="294">
        <v>3643</v>
      </c>
      <c r="H2870" s="291" t="s">
        <v>765</v>
      </c>
      <c r="I2870" s="295" t="s">
        <v>1296</v>
      </c>
      <c r="J2870" s="296">
        <v>23709.15</v>
      </c>
      <c r="K2870" s="295"/>
      <c r="L2870" s="296">
        <v>35.25</v>
      </c>
      <c r="M2870" s="296">
        <v>35.25</v>
      </c>
      <c r="N2870" s="297"/>
      <c r="O2870" s="298">
        <v>0.15</v>
      </c>
      <c r="P2870" s="298"/>
      <c r="Q2870" s="297">
        <v>0</v>
      </c>
      <c r="R2870" s="291" t="s">
        <v>69</v>
      </c>
      <c r="S2870" s="299" t="s">
        <v>41</v>
      </c>
      <c r="T2870" s="299">
        <v>86</v>
      </c>
      <c r="U2870" s="300" t="s">
        <v>164</v>
      </c>
      <c r="V2870" s="333"/>
      <c r="X2870" s="297">
        <v>0</v>
      </c>
      <c r="Y2870" s="297"/>
      <c r="AH2870" s="291">
        <f>X2870</f>
        <v>0</v>
      </c>
      <c r="AI2870" s="311"/>
      <c r="AJ2870" s="468"/>
    </row>
    <row r="2871" spans="1:38" s="507" customFormat="1" ht="11.25" customHeight="1">
      <c r="B2871" s="508" t="s">
        <v>291</v>
      </c>
      <c r="C2871" s="509">
        <v>44682</v>
      </c>
      <c r="D2871" s="509">
        <v>44732</v>
      </c>
      <c r="E2871" s="510" t="s">
        <v>2176</v>
      </c>
      <c r="F2871" s="507" t="s">
        <v>1339</v>
      </c>
      <c r="G2871" s="526" t="s">
        <v>1340</v>
      </c>
      <c r="H2871" s="523" t="s">
        <v>137</v>
      </c>
      <c r="I2871" s="512" t="s">
        <v>33</v>
      </c>
      <c r="J2871" s="513">
        <v>92166.28</v>
      </c>
      <c r="K2871" s="512"/>
      <c r="L2871" s="513">
        <v>77.23</v>
      </c>
      <c r="M2871" s="513">
        <v>78.63</v>
      </c>
      <c r="N2871" s="514">
        <v>39631.5</v>
      </c>
      <c r="O2871" s="515">
        <v>0.25</v>
      </c>
      <c r="P2871" s="515">
        <v>0.1</v>
      </c>
      <c r="Q2871" s="514">
        <v>2835.41</v>
      </c>
      <c r="R2871" s="507" t="s">
        <v>54</v>
      </c>
      <c r="S2871" s="516" t="s">
        <v>51</v>
      </c>
      <c r="T2871" s="516">
        <v>55</v>
      </c>
      <c r="U2871" s="517" t="s">
        <v>164</v>
      </c>
      <c r="V2871" s="518"/>
      <c r="X2871" s="514">
        <v>2835.41</v>
      </c>
      <c r="Y2871" s="514"/>
      <c r="AJ2871" s="522"/>
      <c r="AL2871" s="514">
        <v>2835.41</v>
      </c>
    </row>
    <row r="2872" spans="1:38" s="379" customFormat="1" ht="11.25" customHeight="1">
      <c r="B2872" s="380" t="s">
        <v>291</v>
      </c>
      <c r="C2872" s="381">
        <v>44731</v>
      </c>
      <c r="D2872" s="381">
        <v>44732</v>
      </c>
      <c r="E2872" s="382" t="s">
        <v>2177</v>
      </c>
      <c r="F2872" s="394" t="s">
        <v>1093</v>
      </c>
      <c r="G2872" s="400">
        <v>3897</v>
      </c>
      <c r="H2872" s="394" t="s">
        <v>99</v>
      </c>
      <c r="I2872" s="384" t="s">
        <v>1336</v>
      </c>
      <c r="J2872" s="385">
        <v>11682.89</v>
      </c>
      <c r="K2872" s="384"/>
      <c r="L2872" s="385">
        <v>13.79</v>
      </c>
      <c r="M2872" s="385">
        <v>13.31</v>
      </c>
      <c r="N2872" s="386"/>
      <c r="O2872" s="387">
        <v>0.25</v>
      </c>
      <c r="P2872" s="387">
        <v>0.1</v>
      </c>
      <c r="Q2872" s="386">
        <f>2573.21+603.5</f>
        <v>3176.71</v>
      </c>
      <c r="R2872" s="394" t="s">
        <v>128</v>
      </c>
      <c r="S2872" s="399" t="s">
        <v>41</v>
      </c>
      <c r="T2872" s="399">
        <v>36</v>
      </c>
      <c r="U2872" s="389" t="s">
        <v>164</v>
      </c>
      <c r="V2872" s="433">
        <v>603.5</v>
      </c>
      <c r="X2872" s="386">
        <v>3176.71</v>
      </c>
      <c r="Y2872" s="386"/>
      <c r="AJ2872" s="390">
        <v>3176.71</v>
      </c>
    </row>
    <row r="2873" spans="1:38" s="261" customFormat="1" ht="11.25" customHeight="1">
      <c r="B2873" s="258" t="s">
        <v>291</v>
      </c>
      <c r="C2873" s="259"/>
      <c r="D2873" s="259"/>
      <c r="E2873" s="260" t="s">
        <v>2177</v>
      </c>
      <c r="F2873" s="273" t="s">
        <v>1093</v>
      </c>
      <c r="G2873" s="276">
        <v>3897</v>
      </c>
      <c r="H2873" s="261" t="s">
        <v>207</v>
      </c>
      <c r="I2873" s="264" t="s">
        <v>1336</v>
      </c>
      <c r="J2873" s="263">
        <v>6293.3</v>
      </c>
      <c r="K2873" s="264"/>
      <c r="L2873" s="263">
        <v>12.07</v>
      </c>
      <c r="M2873" s="263">
        <v>12.07</v>
      </c>
      <c r="N2873" s="265"/>
      <c r="O2873" s="266">
        <v>0.25</v>
      </c>
      <c r="P2873" s="266">
        <v>0.1</v>
      </c>
      <c r="Q2873" s="265">
        <v>0</v>
      </c>
      <c r="R2873" s="273" t="s">
        <v>128</v>
      </c>
      <c r="S2873" s="279" t="s">
        <v>41</v>
      </c>
      <c r="T2873" s="279">
        <v>36</v>
      </c>
      <c r="U2873" s="268" t="s">
        <v>164</v>
      </c>
      <c r="V2873" s="427"/>
      <c r="X2873" s="265">
        <v>0</v>
      </c>
      <c r="Y2873" s="265"/>
      <c r="AG2873" s="261">
        <f>X2873</f>
        <v>0</v>
      </c>
      <c r="AJ2873" s="642"/>
    </row>
    <row r="2874" spans="1:38" s="261" customFormat="1" ht="11.25" customHeight="1">
      <c r="B2874" s="258" t="s">
        <v>291</v>
      </c>
      <c r="C2874" s="259"/>
      <c r="D2874" s="259"/>
      <c r="E2874" s="260" t="s">
        <v>2177</v>
      </c>
      <c r="F2874" s="273" t="s">
        <v>1093</v>
      </c>
      <c r="G2874" s="276">
        <v>3897</v>
      </c>
      <c r="H2874" s="261" t="s">
        <v>99</v>
      </c>
      <c r="I2874" s="264" t="s">
        <v>1336</v>
      </c>
      <c r="J2874" s="263">
        <v>1412</v>
      </c>
      <c r="K2874" s="264"/>
      <c r="L2874" s="263">
        <v>2.5</v>
      </c>
      <c r="M2874" s="263">
        <v>2.54</v>
      </c>
      <c r="N2874" s="265"/>
      <c r="O2874" s="266">
        <v>0.25</v>
      </c>
      <c r="P2874" s="266">
        <v>0.1</v>
      </c>
      <c r="Q2874" s="265">
        <v>0</v>
      </c>
      <c r="R2874" s="273" t="s">
        <v>128</v>
      </c>
      <c r="S2874" s="279" t="s">
        <v>41</v>
      </c>
      <c r="T2874" s="279">
        <v>86</v>
      </c>
      <c r="U2874" s="268" t="s">
        <v>164</v>
      </c>
      <c r="V2874" s="427"/>
      <c r="X2874" s="265">
        <v>0</v>
      </c>
      <c r="Y2874" s="265"/>
      <c r="AG2874" s="261">
        <f>X2874</f>
        <v>0</v>
      </c>
      <c r="AJ2874" s="642"/>
    </row>
    <row r="2875" spans="1:38" s="261" customFormat="1" ht="11.25" customHeight="1">
      <c r="B2875" s="258" t="s">
        <v>291</v>
      </c>
      <c r="C2875" s="259"/>
      <c r="D2875" s="259"/>
      <c r="E2875" s="260" t="s">
        <v>2177</v>
      </c>
      <c r="F2875" s="273" t="s">
        <v>1093</v>
      </c>
      <c r="G2875" s="276">
        <v>3897</v>
      </c>
      <c r="H2875" s="261" t="s">
        <v>207</v>
      </c>
      <c r="I2875" s="264" t="s">
        <v>1336</v>
      </c>
      <c r="J2875" s="263">
        <v>3050.19</v>
      </c>
      <c r="K2875" s="264"/>
      <c r="L2875" s="263">
        <v>8.58</v>
      </c>
      <c r="M2875" s="263">
        <v>8.58</v>
      </c>
      <c r="N2875" s="265"/>
      <c r="O2875" s="266">
        <v>0.25</v>
      </c>
      <c r="P2875" s="266">
        <v>0.1</v>
      </c>
      <c r="Q2875" s="265">
        <v>0</v>
      </c>
      <c r="R2875" s="273" t="s">
        <v>128</v>
      </c>
      <c r="S2875" s="279" t="s">
        <v>41</v>
      </c>
      <c r="T2875" s="279">
        <v>86</v>
      </c>
      <c r="U2875" s="268" t="s">
        <v>164</v>
      </c>
      <c r="V2875" s="427"/>
      <c r="X2875" s="265">
        <v>0</v>
      </c>
      <c r="Y2875" s="265"/>
      <c r="AG2875" s="261">
        <f>X2875</f>
        <v>0</v>
      </c>
      <c r="AJ2875" s="642"/>
    </row>
    <row r="2876" spans="1:38" s="291" customFormat="1" ht="11.25" customHeight="1">
      <c r="B2876" s="310" t="s">
        <v>291</v>
      </c>
      <c r="C2876" s="292"/>
      <c r="D2876" s="292"/>
      <c r="E2876" s="293" t="s">
        <v>2178</v>
      </c>
      <c r="F2876" s="291" t="s">
        <v>359</v>
      </c>
      <c r="G2876" s="294" t="s">
        <v>360</v>
      </c>
      <c r="H2876" s="291" t="s">
        <v>1009</v>
      </c>
      <c r="I2876" s="295" t="s">
        <v>819</v>
      </c>
      <c r="J2876" s="296">
        <v>52883.6</v>
      </c>
      <c r="K2876" s="295"/>
      <c r="L2876" s="296">
        <v>26.18</v>
      </c>
      <c r="M2876" s="296">
        <v>26.18</v>
      </c>
      <c r="N2876" s="297">
        <v>52883.6</v>
      </c>
      <c r="O2876" s="298">
        <v>0.2</v>
      </c>
      <c r="P2876" s="298">
        <v>0.1</v>
      </c>
      <c r="Q2876" s="297">
        <v>39165.279999999999</v>
      </c>
      <c r="R2876" s="291" t="s">
        <v>142</v>
      </c>
      <c r="S2876" s="299" t="s">
        <v>150</v>
      </c>
      <c r="T2876" s="299">
        <v>33</v>
      </c>
      <c r="U2876" s="300" t="s">
        <v>164</v>
      </c>
      <c r="V2876" s="333"/>
      <c r="X2876" s="297">
        <v>39165.279999999999</v>
      </c>
      <c r="Y2876" s="297"/>
      <c r="AH2876" s="291">
        <f>X2876</f>
        <v>39165.279999999999</v>
      </c>
      <c r="AI2876" s="311"/>
      <c r="AJ2876" s="468"/>
    </row>
    <row r="2877" spans="1:38" s="261" customFormat="1" ht="11.25" customHeight="1">
      <c r="B2877" s="258" t="s">
        <v>291</v>
      </c>
      <c r="C2877" s="259">
        <v>44732</v>
      </c>
      <c r="D2877" s="259">
        <v>44733</v>
      </c>
      <c r="E2877" s="260" t="s">
        <v>2178</v>
      </c>
      <c r="F2877" s="261" t="s">
        <v>359</v>
      </c>
      <c r="G2877" s="262" t="s">
        <v>360</v>
      </c>
      <c r="H2877" s="261" t="s">
        <v>99</v>
      </c>
      <c r="I2877" s="264" t="s">
        <v>819</v>
      </c>
      <c r="J2877" s="263">
        <v>11306.29</v>
      </c>
      <c r="K2877" s="264"/>
      <c r="L2877" s="263">
        <v>11.21</v>
      </c>
      <c r="M2877" s="263">
        <v>11.21</v>
      </c>
      <c r="N2877" s="265">
        <v>8915.27</v>
      </c>
      <c r="O2877" s="266">
        <v>0.2</v>
      </c>
      <c r="P2877" s="266">
        <v>0.1</v>
      </c>
      <c r="Q2877" s="265">
        <v>6169.01</v>
      </c>
      <c r="R2877" s="261" t="s">
        <v>142</v>
      </c>
      <c r="S2877" s="267" t="s">
        <v>150</v>
      </c>
      <c r="T2877" s="267">
        <v>33</v>
      </c>
      <c r="U2877" s="268" t="s">
        <v>164</v>
      </c>
      <c r="V2877" s="427"/>
      <c r="X2877" s="265">
        <v>6169.01</v>
      </c>
      <c r="Y2877" s="265"/>
      <c r="AG2877" s="261">
        <f>X2877</f>
        <v>6169.01</v>
      </c>
      <c r="AJ2877" s="642"/>
    </row>
    <row r="2878" spans="1:38" s="261" customFormat="1" ht="11.25" customHeight="1">
      <c r="B2878" s="258" t="s">
        <v>291</v>
      </c>
      <c r="C2878" s="259"/>
      <c r="D2878" s="259"/>
      <c r="E2878" s="260" t="s">
        <v>2178</v>
      </c>
      <c r="F2878" s="261" t="s">
        <v>359</v>
      </c>
      <c r="G2878" s="262" t="s">
        <v>360</v>
      </c>
      <c r="H2878" s="261" t="s">
        <v>162</v>
      </c>
      <c r="I2878" s="264" t="s">
        <v>819</v>
      </c>
      <c r="J2878" s="263">
        <v>7828.56</v>
      </c>
      <c r="K2878" s="264"/>
      <c r="L2878" s="263">
        <v>12</v>
      </c>
      <c r="M2878" s="263">
        <v>12</v>
      </c>
      <c r="N2878" s="265">
        <v>7828.56</v>
      </c>
      <c r="O2878" s="266">
        <v>0.2</v>
      </c>
      <c r="P2878" s="266">
        <v>0.1</v>
      </c>
      <c r="Q2878" s="265">
        <v>5302.85</v>
      </c>
      <c r="R2878" s="261" t="s">
        <v>142</v>
      </c>
      <c r="S2878" s="267" t="s">
        <v>150</v>
      </c>
      <c r="T2878" s="267">
        <v>33</v>
      </c>
      <c r="U2878" s="268" t="s">
        <v>164</v>
      </c>
      <c r="V2878" s="427"/>
      <c r="X2878" s="265">
        <v>5302.85</v>
      </c>
      <c r="Y2878" s="265"/>
      <c r="AG2878" s="261">
        <f>X2878</f>
        <v>5302.85</v>
      </c>
      <c r="AJ2878" s="642"/>
    </row>
    <row r="2879" spans="1:38" s="261" customFormat="1" ht="11.25" customHeight="1">
      <c r="B2879" s="258" t="s">
        <v>291</v>
      </c>
      <c r="C2879" s="259"/>
      <c r="D2879" s="259"/>
      <c r="E2879" s="260" t="s">
        <v>2178</v>
      </c>
      <c r="F2879" s="261" t="s">
        <v>359</v>
      </c>
      <c r="G2879" s="262" t="s">
        <v>360</v>
      </c>
      <c r="H2879" s="261" t="s">
        <v>910</v>
      </c>
      <c r="I2879" s="264" t="s">
        <v>819</v>
      </c>
      <c r="J2879" s="263">
        <v>13284.54</v>
      </c>
      <c r="K2879" s="264"/>
      <c r="L2879" s="263">
        <v>6.19</v>
      </c>
      <c r="M2879" s="263">
        <v>6.19</v>
      </c>
      <c r="N2879" s="265">
        <v>13284.54</v>
      </c>
      <c r="O2879" s="266">
        <v>0.2</v>
      </c>
      <c r="P2879" s="266">
        <v>0.1</v>
      </c>
      <c r="Q2879" s="265">
        <v>9822.94</v>
      </c>
      <c r="R2879" s="261" t="s">
        <v>142</v>
      </c>
      <c r="S2879" s="267" t="s">
        <v>150</v>
      </c>
      <c r="T2879" s="267">
        <v>33</v>
      </c>
      <c r="U2879" s="268" t="s">
        <v>164</v>
      </c>
      <c r="V2879" s="427"/>
      <c r="X2879" s="265">
        <v>9822.94</v>
      </c>
      <c r="Y2879" s="265"/>
      <c r="AG2879" s="261">
        <f>X2879</f>
        <v>9822.94</v>
      </c>
      <c r="AJ2879" s="642"/>
    </row>
    <row r="2880" spans="1:38" s="261" customFormat="1" ht="11.25" customHeight="1">
      <c r="B2880" s="258" t="s">
        <v>291</v>
      </c>
      <c r="C2880" s="259"/>
      <c r="D2880" s="259"/>
      <c r="E2880" s="260" t="s">
        <v>2178</v>
      </c>
      <c r="F2880" s="261" t="s">
        <v>359</v>
      </c>
      <c r="G2880" s="262" t="s">
        <v>360</v>
      </c>
      <c r="H2880" s="261" t="s">
        <v>163</v>
      </c>
      <c r="I2880" s="264" t="s">
        <v>819</v>
      </c>
      <c r="J2880" s="263">
        <v>11717.2</v>
      </c>
      <c r="K2880" s="264"/>
      <c r="L2880" s="263">
        <v>19.89</v>
      </c>
      <c r="M2880" s="263">
        <v>19.89</v>
      </c>
      <c r="N2880" s="265">
        <v>9043.33</v>
      </c>
      <c r="O2880" s="266">
        <v>0.2</v>
      </c>
      <c r="P2880" s="266">
        <v>0.1</v>
      </c>
      <c r="Q2880" s="265">
        <v>6643.38</v>
      </c>
      <c r="R2880" s="261" t="s">
        <v>142</v>
      </c>
      <c r="S2880" s="267" t="s">
        <v>150</v>
      </c>
      <c r="T2880" s="267">
        <v>33</v>
      </c>
      <c r="U2880" s="268" t="s">
        <v>164</v>
      </c>
      <c r="V2880" s="427"/>
      <c r="X2880" s="265">
        <v>6643.38</v>
      </c>
      <c r="Y2880" s="265"/>
      <c r="AG2880" s="261">
        <f>X2880</f>
        <v>6643.38</v>
      </c>
      <c r="AJ2880" s="642"/>
    </row>
    <row r="2881" spans="2:37" s="647" customFormat="1" ht="11.25" customHeight="1">
      <c r="B2881" s="647" t="s">
        <v>291</v>
      </c>
      <c r="C2881" s="648"/>
      <c r="D2881" s="648"/>
      <c r="E2881" s="649" t="s">
        <v>2179</v>
      </c>
      <c r="F2881" s="647" t="s">
        <v>253</v>
      </c>
      <c r="G2881" s="650">
        <v>3900</v>
      </c>
      <c r="H2881" s="647" t="s">
        <v>866</v>
      </c>
      <c r="I2881" s="676" t="s">
        <v>156</v>
      </c>
      <c r="J2881" s="651">
        <v>25471.16</v>
      </c>
      <c r="K2881" s="676"/>
      <c r="L2881" s="651">
        <v>22.28</v>
      </c>
      <c r="M2881" s="651">
        <v>22.09</v>
      </c>
      <c r="N2881" s="652">
        <f>J2881*75%</f>
        <v>19103.37</v>
      </c>
      <c r="O2881" s="653">
        <v>0.15</v>
      </c>
      <c r="P2881" s="653">
        <v>0.1</v>
      </c>
      <c r="Q2881" s="658">
        <v>11934.66</v>
      </c>
      <c r="R2881" s="647" t="s">
        <v>77</v>
      </c>
      <c r="S2881" s="654" t="s">
        <v>41</v>
      </c>
      <c r="T2881" s="654">
        <v>17</v>
      </c>
      <c r="U2881" s="655" t="s">
        <v>164</v>
      </c>
      <c r="V2881" s="656"/>
      <c r="X2881" s="658">
        <v>11934.66</v>
      </c>
      <c r="Y2881" s="652"/>
      <c r="AI2881" s="658">
        <v>11934.66</v>
      </c>
      <c r="AJ2881" s="657"/>
      <c r="AK2881" s="658"/>
    </row>
    <row r="2882" spans="2:37" s="647" customFormat="1" ht="11.25" customHeight="1">
      <c r="B2882" s="647" t="s">
        <v>291</v>
      </c>
      <c r="C2882" s="648"/>
      <c r="D2882" s="648"/>
      <c r="E2882" s="649" t="s">
        <v>2179</v>
      </c>
      <c r="F2882" s="647" t="s">
        <v>253</v>
      </c>
      <c r="G2882" s="650">
        <v>3900</v>
      </c>
      <c r="H2882" s="647" t="s">
        <v>765</v>
      </c>
      <c r="I2882" s="676" t="s">
        <v>156</v>
      </c>
      <c r="J2882" s="651">
        <v>1076.4000000000001</v>
      </c>
      <c r="K2882" s="676"/>
      <c r="L2882" s="651">
        <v>1.04</v>
      </c>
      <c r="M2882" s="651">
        <v>1</v>
      </c>
      <c r="N2882" s="652">
        <f>J2882*75%</f>
        <v>807.30000000000007</v>
      </c>
      <c r="O2882" s="653">
        <v>0.15</v>
      </c>
      <c r="P2882" s="653">
        <v>0.1</v>
      </c>
      <c r="Q2882" s="658">
        <v>748.8</v>
      </c>
      <c r="R2882" s="647" t="s">
        <v>77</v>
      </c>
      <c r="S2882" s="654" t="s">
        <v>41</v>
      </c>
      <c r="T2882" s="654">
        <v>17</v>
      </c>
      <c r="U2882" s="655" t="s">
        <v>164</v>
      </c>
      <c r="V2882" s="656"/>
      <c r="X2882" s="658">
        <v>748.8</v>
      </c>
      <c r="Y2882" s="652"/>
      <c r="AI2882" s="658">
        <v>748.8</v>
      </c>
      <c r="AJ2882" s="657"/>
      <c r="AK2882" s="658"/>
    </row>
    <row r="2883" spans="2:37" s="291" customFormat="1" ht="11.25" customHeight="1">
      <c r="B2883" s="291" t="s">
        <v>291</v>
      </c>
      <c r="C2883" s="292">
        <v>44732</v>
      </c>
      <c r="D2883" s="292">
        <v>44733</v>
      </c>
      <c r="E2883" s="293" t="s">
        <v>2179</v>
      </c>
      <c r="F2883" s="291" t="s">
        <v>253</v>
      </c>
      <c r="G2883" s="294">
        <v>3900</v>
      </c>
      <c r="H2883" s="291" t="s">
        <v>183</v>
      </c>
      <c r="I2883" s="295" t="s">
        <v>156</v>
      </c>
      <c r="J2883" s="296">
        <v>11445.67</v>
      </c>
      <c r="K2883" s="295"/>
      <c r="L2883" s="296">
        <v>9.59</v>
      </c>
      <c r="M2883" s="296">
        <v>9.49</v>
      </c>
      <c r="N2883" s="297"/>
      <c r="O2883" s="298">
        <v>0.15</v>
      </c>
      <c r="P2883" s="298">
        <v>0.1</v>
      </c>
      <c r="Q2883" s="297">
        <v>5192.43</v>
      </c>
      <c r="R2883" s="291" t="s">
        <v>77</v>
      </c>
      <c r="S2883" s="299" t="s">
        <v>41</v>
      </c>
      <c r="T2883" s="299">
        <v>17</v>
      </c>
      <c r="U2883" s="300" t="s">
        <v>164</v>
      </c>
      <c r="V2883" s="333"/>
      <c r="X2883" s="297">
        <v>5192.43</v>
      </c>
      <c r="Y2883" s="297"/>
      <c r="AH2883" s="291">
        <f>X2883</f>
        <v>5192.43</v>
      </c>
      <c r="AI2883" s="311"/>
      <c r="AJ2883" s="468"/>
    </row>
    <row r="2884" spans="2:37" s="291" customFormat="1" ht="11.25" customHeight="1">
      <c r="B2884" s="291" t="s">
        <v>291</v>
      </c>
      <c r="C2884" s="292"/>
      <c r="D2884" s="292"/>
      <c r="E2884" s="293" t="s">
        <v>2179</v>
      </c>
      <c r="F2884" s="291" t="s">
        <v>253</v>
      </c>
      <c r="G2884" s="294">
        <v>3900</v>
      </c>
      <c r="H2884" s="291" t="s">
        <v>99</v>
      </c>
      <c r="I2884" s="295" t="s">
        <v>156</v>
      </c>
      <c r="J2884" s="296">
        <v>14098.74</v>
      </c>
      <c r="K2884" s="295"/>
      <c r="L2884" s="296">
        <v>14.24</v>
      </c>
      <c r="M2884" s="296">
        <v>14.1</v>
      </c>
      <c r="N2884" s="297"/>
      <c r="O2884" s="298">
        <v>0.15</v>
      </c>
      <c r="P2884" s="298">
        <v>0.1</v>
      </c>
      <c r="Q2884" s="297">
        <v>6445.57</v>
      </c>
      <c r="R2884" s="291" t="s">
        <v>77</v>
      </c>
      <c r="S2884" s="299" t="s">
        <v>41</v>
      </c>
      <c r="T2884" s="299">
        <v>17</v>
      </c>
      <c r="U2884" s="300" t="s">
        <v>164</v>
      </c>
      <c r="V2884" s="333"/>
      <c r="X2884" s="297">
        <v>6445.57</v>
      </c>
      <c r="Y2884" s="297"/>
      <c r="AH2884" s="291">
        <f>X2884</f>
        <v>6445.57</v>
      </c>
      <c r="AI2884" s="311"/>
      <c r="AJ2884" s="468"/>
    </row>
    <row r="2885" spans="2:37" s="261" customFormat="1" ht="11.25" customHeight="1">
      <c r="B2885" s="258" t="s">
        <v>291</v>
      </c>
      <c r="C2885" s="259">
        <v>44732</v>
      </c>
      <c r="D2885" s="259">
        <v>44733</v>
      </c>
      <c r="E2885" s="260" t="s">
        <v>2180</v>
      </c>
      <c r="F2885" s="261" t="s">
        <v>507</v>
      </c>
      <c r="G2885" s="262">
        <v>3578</v>
      </c>
      <c r="H2885" s="261" t="s">
        <v>27</v>
      </c>
      <c r="I2885" s="264" t="s">
        <v>156</v>
      </c>
      <c r="J2885" s="263">
        <v>73746.720000000001</v>
      </c>
      <c r="K2885" s="264"/>
      <c r="L2885" s="263">
        <v>48</v>
      </c>
      <c r="M2885" s="263">
        <v>48</v>
      </c>
      <c r="N2885" s="265">
        <f>22340.64699+11361.60405</f>
        <v>33702.251040000003</v>
      </c>
      <c r="O2885" s="266">
        <v>0.15</v>
      </c>
      <c r="P2885" s="266">
        <v>0.1</v>
      </c>
      <c r="Q2885" s="265">
        <v>7958.14</v>
      </c>
      <c r="R2885" s="261" t="s">
        <v>42</v>
      </c>
      <c r="S2885" s="267" t="s">
        <v>41</v>
      </c>
      <c r="T2885" s="267">
        <v>24</v>
      </c>
      <c r="U2885" s="268" t="s">
        <v>164</v>
      </c>
      <c r="V2885" s="427"/>
      <c r="X2885" s="265">
        <v>7958.14</v>
      </c>
      <c r="Y2885" s="265"/>
      <c r="AG2885" s="261">
        <f>X2885</f>
        <v>7958.14</v>
      </c>
      <c r="AJ2885" s="642"/>
    </row>
    <row r="2886" spans="2:37" s="379" customFormat="1" ht="11.25" customHeight="1">
      <c r="B2886" s="380" t="s">
        <v>291</v>
      </c>
      <c r="C2886" s="381">
        <v>44732</v>
      </c>
      <c r="D2886" s="381">
        <v>44733</v>
      </c>
      <c r="E2886" s="382" t="s">
        <v>2181</v>
      </c>
      <c r="F2886" s="379" t="s">
        <v>1123</v>
      </c>
      <c r="G2886" s="383">
        <v>3789</v>
      </c>
      <c r="H2886" s="379" t="s">
        <v>27</v>
      </c>
      <c r="I2886" s="384" t="s">
        <v>1648</v>
      </c>
      <c r="J2886" s="385">
        <v>26177.5</v>
      </c>
      <c r="K2886" s="384"/>
      <c r="L2886" s="385">
        <v>18.5</v>
      </c>
      <c r="M2886" s="385">
        <v>18.5</v>
      </c>
      <c r="N2886" s="386"/>
      <c r="O2886" s="387">
        <v>0.2</v>
      </c>
      <c r="P2886" s="387">
        <v>0.1</v>
      </c>
      <c r="Q2886" s="386">
        <v>0</v>
      </c>
      <c r="R2886" s="379" t="s">
        <v>35</v>
      </c>
      <c r="S2886" s="388" t="s">
        <v>41</v>
      </c>
      <c r="T2886" s="388">
        <v>87</v>
      </c>
      <c r="U2886" s="389" t="s">
        <v>164</v>
      </c>
      <c r="V2886" s="433"/>
      <c r="X2886" s="386">
        <v>0</v>
      </c>
      <c r="Y2886" s="386"/>
      <c r="AJ2886" s="390">
        <v>0</v>
      </c>
    </row>
    <row r="2887" spans="2:37" s="379" customFormat="1" ht="11.25" customHeight="1">
      <c r="B2887" s="380" t="s">
        <v>291</v>
      </c>
      <c r="C2887" s="381"/>
      <c r="D2887" s="381"/>
      <c r="E2887" s="382" t="s">
        <v>2181</v>
      </c>
      <c r="F2887" s="379" t="s">
        <v>1123</v>
      </c>
      <c r="G2887" s="383">
        <v>3789</v>
      </c>
      <c r="H2887" s="379" t="s">
        <v>99</v>
      </c>
      <c r="I2887" s="384" t="s">
        <v>1648</v>
      </c>
      <c r="J2887" s="385">
        <v>23086.799999999999</v>
      </c>
      <c r="K2887" s="384"/>
      <c r="L2887" s="385">
        <v>22</v>
      </c>
      <c r="M2887" s="385">
        <v>13</v>
      </c>
      <c r="N2887" s="386"/>
      <c r="O2887" s="387">
        <v>0.2</v>
      </c>
      <c r="P2887" s="387">
        <v>0.1</v>
      </c>
      <c r="Q2887" s="386">
        <v>0</v>
      </c>
      <c r="R2887" s="379" t="s">
        <v>35</v>
      </c>
      <c r="S2887" s="388" t="s">
        <v>41</v>
      </c>
      <c r="T2887" s="388">
        <v>87</v>
      </c>
      <c r="U2887" s="389" t="s">
        <v>164</v>
      </c>
      <c r="V2887" s="433"/>
      <c r="X2887" s="386">
        <v>0</v>
      </c>
      <c r="Y2887" s="386"/>
      <c r="AJ2887" s="390">
        <v>0</v>
      </c>
    </row>
    <row r="2888" spans="2:37" s="647" customFormat="1" ht="11.25" customHeight="1">
      <c r="B2888" s="661" t="s">
        <v>291</v>
      </c>
      <c r="C2888" s="648">
        <v>44732</v>
      </c>
      <c r="D2888" s="648">
        <v>44733</v>
      </c>
      <c r="E2888" s="649" t="s">
        <v>2182</v>
      </c>
      <c r="F2888" s="660" t="s">
        <v>2183</v>
      </c>
      <c r="G2888" s="667">
        <v>4249</v>
      </c>
      <c r="H2888" s="647" t="s">
        <v>765</v>
      </c>
      <c r="I2888" s="676" t="s">
        <v>819</v>
      </c>
      <c r="J2888" s="651">
        <v>7358.4</v>
      </c>
      <c r="K2888" s="676"/>
      <c r="L2888" s="651">
        <v>8.76</v>
      </c>
      <c r="M2888" s="651">
        <v>8.76</v>
      </c>
      <c r="N2888" s="652">
        <f>2923.2</f>
        <v>2923.2</v>
      </c>
      <c r="O2888" s="653">
        <v>0.25</v>
      </c>
      <c r="P2888" s="653">
        <v>0.1</v>
      </c>
      <c r="Q2888" s="652">
        <v>2204.02</v>
      </c>
      <c r="R2888" s="647" t="s">
        <v>42</v>
      </c>
      <c r="S2888" s="654" t="s">
        <v>41</v>
      </c>
      <c r="T2888" s="654">
        <v>17</v>
      </c>
      <c r="U2888" s="655" t="s">
        <v>164</v>
      </c>
      <c r="V2888" s="656"/>
      <c r="X2888" s="652">
        <v>2204.02</v>
      </c>
      <c r="Y2888" s="652"/>
      <c r="AI2888" s="652">
        <v>2204.02</v>
      </c>
      <c r="AJ2888" s="657"/>
      <c r="AK2888" s="658"/>
    </row>
    <row r="2889" spans="2:37" s="647" customFormat="1" ht="11.25" customHeight="1">
      <c r="B2889" s="661" t="s">
        <v>291</v>
      </c>
      <c r="C2889" s="648"/>
      <c r="D2889" s="648"/>
      <c r="E2889" s="649" t="s">
        <v>2182</v>
      </c>
      <c r="F2889" s="660" t="s">
        <v>2183</v>
      </c>
      <c r="G2889" s="667">
        <v>4249</v>
      </c>
      <c r="H2889" s="647" t="s">
        <v>140</v>
      </c>
      <c r="I2889" s="676" t="s">
        <v>819</v>
      </c>
      <c r="J2889" s="651">
        <v>11880.25</v>
      </c>
      <c r="K2889" s="676"/>
      <c r="L2889" s="651">
        <v>9.9700000000000006</v>
      </c>
      <c r="M2889" s="651">
        <v>9.9700000000000006</v>
      </c>
      <c r="N2889" s="652">
        <v>2981.9789999999998</v>
      </c>
      <c r="O2889" s="653">
        <v>0.25</v>
      </c>
      <c r="P2889" s="653">
        <v>0.1</v>
      </c>
      <c r="Q2889" s="652">
        <v>3445.63</v>
      </c>
      <c r="R2889" s="647" t="s">
        <v>42</v>
      </c>
      <c r="S2889" s="654" t="s">
        <v>41</v>
      </c>
      <c r="T2889" s="654">
        <v>17</v>
      </c>
      <c r="U2889" s="655" t="s">
        <v>164</v>
      </c>
      <c r="V2889" s="656"/>
      <c r="X2889" s="652">
        <v>3445.63</v>
      </c>
      <c r="Y2889" s="652"/>
      <c r="AI2889" s="652">
        <v>3445.63</v>
      </c>
      <c r="AJ2889" s="657"/>
      <c r="AK2889" s="658"/>
    </row>
    <row r="2890" spans="2:37" s="647" customFormat="1" ht="11.25" customHeight="1">
      <c r="B2890" s="661" t="s">
        <v>291</v>
      </c>
      <c r="C2890" s="648"/>
      <c r="D2890" s="648"/>
      <c r="E2890" s="649" t="s">
        <v>2182</v>
      </c>
      <c r="F2890" s="660" t="s">
        <v>2183</v>
      </c>
      <c r="G2890" s="667">
        <v>4249</v>
      </c>
      <c r="H2890" s="647" t="s">
        <v>99</v>
      </c>
      <c r="I2890" s="676" t="s">
        <v>819</v>
      </c>
      <c r="J2890" s="651">
        <v>28115.57</v>
      </c>
      <c r="K2890" s="676"/>
      <c r="L2890" s="651">
        <v>23.92</v>
      </c>
      <c r="M2890" s="651">
        <v>22</v>
      </c>
      <c r="N2890" s="652">
        <f>9738.189+2591.757</f>
        <v>12329.946</v>
      </c>
      <c r="O2890" s="653">
        <v>0.25</v>
      </c>
      <c r="P2890" s="653">
        <v>0.1</v>
      </c>
      <c r="Q2890" s="652">
        <v>2665.17</v>
      </c>
      <c r="R2890" s="647" t="s">
        <v>42</v>
      </c>
      <c r="S2890" s="654" t="s">
        <v>41</v>
      </c>
      <c r="T2890" s="654">
        <v>17</v>
      </c>
      <c r="U2890" s="655" t="s">
        <v>164</v>
      </c>
      <c r="V2890" s="656"/>
      <c r="X2890" s="652">
        <v>2665.17</v>
      </c>
      <c r="Y2890" s="652"/>
      <c r="AI2890" s="652">
        <v>2665.17</v>
      </c>
      <c r="AJ2890" s="657"/>
      <c r="AK2890" s="658"/>
    </row>
    <row r="2891" spans="2:37" s="647" customFormat="1" ht="11.25" customHeight="1">
      <c r="B2891" s="661" t="s">
        <v>291</v>
      </c>
      <c r="C2891" s="648"/>
      <c r="D2891" s="648"/>
      <c r="E2891" s="649" t="s">
        <v>2182</v>
      </c>
      <c r="F2891" s="660" t="s">
        <v>2183</v>
      </c>
      <c r="G2891" s="667">
        <v>4249</v>
      </c>
      <c r="H2891" s="647" t="s">
        <v>910</v>
      </c>
      <c r="I2891" s="676" t="s">
        <v>819</v>
      </c>
      <c r="J2891" s="651">
        <v>30424.57</v>
      </c>
      <c r="K2891" s="676"/>
      <c r="L2891" s="651">
        <v>16.62</v>
      </c>
      <c r="M2891" s="651">
        <v>16.62</v>
      </c>
      <c r="N2891" s="652">
        <v>21297.200400000002</v>
      </c>
      <c r="O2891" s="653">
        <v>0.25</v>
      </c>
      <c r="P2891" s="653">
        <v>0.1</v>
      </c>
      <c r="Q2891" s="652">
        <v>9683.81</v>
      </c>
      <c r="R2891" s="647" t="s">
        <v>42</v>
      </c>
      <c r="S2891" s="654" t="s">
        <v>41</v>
      </c>
      <c r="T2891" s="654">
        <v>17</v>
      </c>
      <c r="U2891" s="655" t="s">
        <v>164</v>
      </c>
      <c r="V2891" s="656"/>
      <c r="X2891" s="652">
        <v>9683.81</v>
      </c>
      <c r="Y2891" s="652"/>
      <c r="AI2891" s="652">
        <v>9683.81</v>
      </c>
      <c r="AJ2891" s="657"/>
      <c r="AK2891" s="658"/>
    </row>
    <row r="2892" spans="2:37" s="647" customFormat="1" ht="11.25" customHeight="1">
      <c r="B2892" s="661" t="s">
        <v>291</v>
      </c>
      <c r="C2892" s="648"/>
      <c r="D2892" s="648"/>
      <c r="E2892" s="649" t="s">
        <v>2182</v>
      </c>
      <c r="F2892" s="660" t="s">
        <v>2183</v>
      </c>
      <c r="G2892" s="667">
        <v>4249</v>
      </c>
      <c r="H2892" s="647" t="s">
        <v>866</v>
      </c>
      <c r="I2892" s="676" t="s">
        <v>819</v>
      </c>
      <c r="J2892" s="651">
        <v>9823.52</v>
      </c>
      <c r="K2892" s="676"/>
      <c r="L2892" s="651">
        <v>6.97</v>
      </c>
      <c r="M2892" s="651">
        <v>6.97</v>
      </c>
      <c r="N2892" s="652">
        <v>6906.06</v>
      </c>
      <c r="O2892" s="653">
        <v>0.25</v>
      </c>
      <c r="P2892" s="653">
        <v>0.1</v>
      </c>
      <c r="Q2892" s="652">
        <v>2323.52</v>
      </c>
      <c r="R2892" s="647" t="s">
        <v>42</v>
      </c>
      <c r="S2892" s="654" t="s">
        <v>41</v>
      </c>
      <c r="T2892" s="654">
        <v>17</v>
      </c>
      <c r="U2892" s="655" t="s">
        <v>164</v>
      </c>
      <c r="V2892" s="656"/>
      <c r="X2892" s="652">
        <v>2323.52</v>
      </c>
      <c r="Y2892" s="652"/>
      <c r="AI2892" s="652">
        <v>2323.52</v>
      </c>
      <c r="AJ2892" s="657"/>
      <c r="AK2892" s="658"/>
    </row>
    <row r="2893" spans="2:37" s="647" customFormat="1" ht="11.25" customHeight="1">
      <c r="B2893" s="661" t="s">
        <v>291</v>
      </c>
      <c r="C2893" s="648">
        <v>44732</v>
      </c>
      <c r="D2893" s="648">
        <v>44733</v>
      </c>
      <c r="E2893" s="649" t="s">
        <v>2184</v>
      </c>
      <c r="F2893" s="647" t="s">
        <v>994</v>
      </c>
      <c r="G2893" s="650">
        <v>3823</v>
      </c>
      <c r="H2893" s="647" t="s">
        <v>27</v>
      </c>
      <c r="I2893" s="676" t="s">
        <v>819</v>
      </c>
      <c r="J2893" s="651">
        <v>23121.279999999999</v>
      </c>
      <c r="K2893" s="676"/>
      <c r="L2893" s="651">
        <v>18.2</v>
      </c>
      <c r="M2893" s="651">
        <v>17</v>
      </c>
      <c r="N2893" s="652">
        <f>6757.2575+3555.8496+4607.7408+4579.792</f>
        <v>19500.639899999998</v>
      </c>
      <c r="O2893" s="653">
        <v>0.15</v>
      </c>
      <c r="P2893" s="653">
        <v>0.1</v>
      </c>
      <c r="Q2893" s="652">
        <v>9010.07</v>
      </c>
      <c r="R2893" s="647" t="s">
        <v>42</v>
      </c>
      <c r="S2893" s="654" t="s">
        <v>41</v>
      </c>
      <c r="T2893" s="654">
        <v>17</v>
      </c>
      <c r="U2893" s="655" t="s">
        <v>164</v>
      </c>
      <c r="V2893" s="656"/>
      <c r="X2893" s="652">
        <v>9010.07</v>
      </c>
      <c r="Y2893" s="652"/>
      <c r="AI2893" s="652">
        <v>9010.07</v>
      </c>
      <c r="AJ2893" s="657"/>
      <c r="AK2893" s="658"/>
    </row>
    <row r="2894" spans="2:37" s="647" customFormat="1" ht="11.25" customHeight="1">
      <c r="B2894" s="661" t="s">
        <v>291</v>
      </c>
      <c r="C2894" s="648"/>
      <c r="D2894" s="648"/>
      <c r="E2894" s="649" t="s">
        <v>2184</v>
      </c>
      <c r="F2894" s="647" t="s">
        <v>994</v>
      </c>
      <c r="G2894" s="650">
        <v>3823</v>
      </c>
      <c r="H2894" s="647" t="s">
        <v>911</v>
      </c>
      <c r="I2894" s="676" t="s">
        <v>819</v>
      </c>
      <c r="J2894" s="651">
        <v>25128.34</v>
      </c>
      <c r="K2894" s="676"/>
      <c r="L2894" s="651">
        <v>14.16</v>
      </c>
      <c r="M2894" s="651">
        <v>14.16</v>
      </c>
      <c r="N2894" s="652">
        <v>12564.168</v>
      </c>
      <c r="O2894" s="653">
        <v>0.15</v>
      </c>
      <c r="P2894" s="653">
        <v>0.1</v>
      </c>
      <c r="Q2894" s="652">
        <v>7904.4</v>
      </c>
      <c r="R2894" s="647" t="s">
        <v>42</v>
      </c>
      <c r="S2894" s="654" t="s">
        <v>41</v>
      </c>
      <c r="T2894" s="654">
        <v>17</v>
      </c>
      <c r="U2894" s="655" t="s">
        <v>164</v>
      </c>
      <c r="V2894" s="656"/>
      <c r="X2894" s="652">
        <v>7904.4</v>
      </c>
      <c r="Y2894" s="652"/>
      <c r="AI2894" s="652">
        <v>7904.4</v>
      </c>
      <c r="AJ2894" s="657"/>
      <c r="AK2894" s="658"/>
    </row>
    <row r="2895" spans="2:37" s="647" customFormat="1" ht="11.25" customHeight="1">
      <c r="B2895" s="661" t="s">
        <v>291</v>
      </c>
      <c r="C2895" s="648"/>
      <c r="D2895" s="648"/>
      <c r="E2895" s="649" t="s">
        <v>2184</v>
      </c>
      <c r="F2895" s="647" t="s">
        <v>994</v>
      </c>
      <c r="G2895" s="650">
        <v>3823</v>
      </c>
      <c r="H2895" s="647" t="s">
        <v>765</v>
      </c>
      <c r="I2895" s="676" t="s">
        <v>819</v>
      </c>
      <c r="J2895" s="651">
        <v>9159.4</v>
      </c>
      <c r="K2895" s="676"/>
      <c r="L2895" s="651">
        <v>11.17</v>
      </c>
      <c r="M2895" s="651">
        <v>11.17</v>
      </c>
      <c r="N2895" s="652">
        <f>1822.86+683.88+241.08</f>
        <v>2747.8199999999997</v>
      </c>
      <c r="O2895" s="653">
        <v>0.15</v>
      </c>
      <c r="P2895" s="653">
        <v>0.1</v>
      </c>
      <c r="Q2895" s="652">
        <v>922.64</v>
      </c>
      <c r="R2895" s="647" t="s">
        <v>42</v>
      </c>
      <c r="S2895" s="654" t="s">
        <v>41</v>
      </c>
      <c r="T2895" s="654">
        <v>17</v>
      </c>
      <c r="U2895" s="655" t="s">
        <v>164</v>
      </c>
      <c r="V2895" s="656"/>
      <c r="X2895" s="652">
        <v>922.64</v>
      </c>
      <c r="Y2895" s="652"/>
      <c r="AI2895" s="652">
        <v>922.64</v>
      </c>
      <c r="AJ2895" s="657"/>
      <c r="AK2895" s="658"/>
    </row>
    <row r="2896" spans="2:37" s="291" customFormat="1" ht="11.25" customHeight="1">
      <c r="B2896" s="310" t="s">
        <v>291</v>
      </c>
      <c r="C2896" s="292"/>
      <c r="D2896" s="292"/>
      <c r="E2896" s="293" t="s">
        <v>2184</v>
      </c>
      <c r="F2896" s="291" t="s">
        <v>994</v>
      </c>
      <c r="G2896" s="294">
        <v>3823</v>
      </c>
      <c r="H2896" s="291" t="s">
        <v>99</v>
      </c>
      <c r="I2896" s="295" t="s">
        <v>819</v>
      </c>
      <c r="J2896" s="296">
        <v>9191.26</v>
      </c>
      <c r="K2896" s="295"/>
      <c r="L2896" s="296">
        <v>12.19</v>
      </c>
      <c r="M2896" s="296">
        <v>12.19</v>
      </c>
      <c r="N2896" s="297">
        <f>4198.272+793.208+84.448</f>
        <v>5075.9279999999999</v>
      </c>
      <c r="O2896" s="298">
        <v>0.15</v>
      </c>
      <c r="P2896" s="298">
        <v>0.1</v>
      </c>
      <c r="Q2896" s="297">
        <v>0</v>
      </c>
      <c r="R2896" s="291" t="s">
        <v>42</v>
      </c>
      <c r="S2896" s="299" t="s">
        <v>41</v>
      </c>
      <c r="T2896" s="299">
        <v>17</v>
      </c>
      <c r="U2896" s="300" t="s">
        <v>164</v>
      </c>
      <c r="V2896" s="333"/>
      <c r="X2896" s="297">
        <v>0</v>
      </c>
      <c r="Y2896" s="297"/>
      <c r="AH2896" s="291">
        <f>X2896</f>
        <v>0</v>
      </c>
      <c r="AI2896" s="311"/>
      <c r="AJ2896" s="468"/>
    </row>
    <row r="2897" spans="1:77" s="473" customFormat="1" ht="11.25" customHeight="1">
      <c r="B2897" s="486" t="s">
        <v>390</v>
      </c>
      <c r="C2897" s="487">
        <v>44732</v>
      </c>
      <c r="D2897" s="487">
        <v>44733</v>
      </c>
      <c r="E2897" s="488" t="s">
        <v>2185</v>
      </c>
      <c r="F2897" s="473" t="s">
        <v>69</v>
      </c>
      <c r="G2897" s="489" t="s">
        <v>2186</v>
      </c>
      <c r="H2897" s="473" t="s">
        <v>393</v>
      </c>
      <c r="I2897" s="491" t="s">
        <v>156</v>
      </c>
      <c r="J2897" s="490">
        <v>146167.88</v>
      </c>
      <c r="K2897" s="491"/>
      <c r="L2897" s="490">
        <v>17.52</v>
      </c>
      <c r="M2897" s="490">
        <v>17.52</v>
      </c>
      <c r="N2897" s="492"/>
      <c r="O2897" s="493">
        <v>0.25</v>
      </c>
      <c r="P2897" s="493">
        <v>0.1</v>
      </c>
      <c r="Q2897" s="492">
        <v>25982.49</v>
      </c>
      <c r="R2897" s="473" t="s">
        <v>77</v>
      </c>
      <c r="S2897" s="481" t="s">
        <v>41</v>
      </c>
      <c r="T2897" s="481">
        <v>16</v>
      </c>
      <c r="U2897" s="494" t="s">
        <v>164</v>
      </c>
      <c r="V2897" s="495"/>
      <c r="X2897" s="492">
        <v>25982.49</v>
      </c>
      <c r="Y2897" s="492"/>
      <c r="AJ2897" s="485"/>
      <c r="AK2897" s="505">
        <v>25982.49</v>
      </c>
    </row>
    <row r="2898" spans="1:77" s="261" customFormat="1" ht="11.25" customHeight="1">
      <c r="A2898" s="379"/>
      <c r="B2898" s="380" t="s">
        <v>291</v>
      </c>
      <c r="C2898" s="381"/>
      <c r="D2898" s="381"/>
      <c r="E2898" s="382" t="s">
        <v>2187</v>
      </c>
      <c r="F2898" s="379" t="s">
        <v>1149</v>
      </c>
      <c r="G2898" s="383" t="s">
        <v>1150</v>
      </c>
      <c r="H2898" s="379" t="s">
        <v>731</v>
      </c>
      <c r="I2898" s="384" t="s">
        <v>156</v>
      </c>
      <c r="J2898" s="385">
        <v>170664.12</v>
      </c>
      <c r="K2898" s="384"/>
      <c r="L2898" s="385">
        <v>66.77</v>
      </c>
      <c r="M2898" s="385">
        <v>66.77</v>
      </c>
      <c r="N2898" s="386">
        <f>107656.16+14339.16</f>
        <v>121995.32</v>
      </c>
      <c r="O2898" s="387">
        <v>0.2</v>
      </c>
      <c r="P2898" s="387">
        <v>0.1</v>
      </c>
      <c r="Q2898" s="386">
        <v>115988.95</v>
      </c>
      <c r="R2898" s="379" t="s">
        <v>112</v>
      </c>
      <c r="S2898" s="388" t="s">
        <v>113</v>
      </c>
      <c r="T2898" s="388">
        <v>64</v>
      </c>
      <c r="U2898" s="389" t="s">
        <v>164</v>
      </c>
      <c r="V2898" s="433"/>
      <c r="W2898" s="379"/>
      <c r="X2898" s="386">
        <v>115988.95</v>
      </c>
      <c r="Y2898" s="386"/>
      <c r="Z2898" s="379"/>
      <c r="AA2898" s="379"/>
      <c r="AB2898" s="379"/>
      <c r="AC2898" s="379"/>
      <c r="AD2898" s="379"/>
      <c r="AE2898" s="379"/>
      <c r="AF2898" s="379"/>
      <c r="AG2898" s="379"/>
      <c r="AH2898" s="379"/>
      <c r="AI2898" s="379"/>
      <c r="AJ2898" s="416">
        <v>115988.95</v>
      </c>
      <c r="AK2898" s="379"/>
      <c r="AL2898" s="379"/>
      <c r="AM2898" s="379"/>
      <c r="AN2898" s="379"/>
      <c r="AO2898" s="379"/>
      <c r="AP2898" s="379"/>
      <c r="AQ2898" s="379"/>
      <c r="AR2898" s="379"/>
      <c r="AS2898" s="379"/>
      <c r="AT2898" s="379"/>
      <c r="AU2898" s="379"/>
      <c r="AV2898" s="379"/>
      <c r="AW2898" s="379"/>
      <c r="AX2898" s="379"/>
      <c r="AY2898" s="379"/>
      <c r="AZ2898" s="379"/>
      <c r="BA2898" s="379"/>
      <c r="BB2898" s="379"/>
      <c r="BC2898" s="379"/>
      <c r="BD2898" s="379"/>
      <c r="BE2898" s="379"/>
      <c r="BF2898" s="379"/>
      <c r="BG2898" s="379"/>
      <c r="BH2898" s="379"/>
      <c r="BI2898" s="379"/>
      <c r="BJ2898" s="379"/>
      <c r="BK2898" s="379"/>
      <c r="BL2898" s="379"/>
      <c r="BM2898" s="379"/>
      <c r="BN2898" s="379"/>
      <c r="BO2898" s="379"/>
      <c r="BP2898" s="379"/>
      <c r="BQ2898" s="379"/>
      <c r="BR2898" s="379"/>
      <c r="BS2898" s="379"/>
      <c r="BT2898" s="379"/>
      <c r="BU2898" s="379"/>
      <c r="BV2898" s="379"/>
      <c r="BW2898" s="379"/>
      <c r="BX2898" s="379"/>
      <c r="BY2898" s="379"/>
    </row>
    <row r="2899" spans="1:77" s="379" customFormat="1" ht="11.25" customHeight="1">
      <c r="B2899" s="380" t="s">
        <v>291</v>
      </c>
      <c r="C2899" s="381"/>
      <c r="D2899" s="381"/>
      <c r="E2899" s="382" t="s">
        <v>2187</v>
      </c>
      <c r="F2899" s="379" t="s">
        <v>1149</v>
      </c>
      <c r="G2899" s="383" t="s">
        <v>1150</v>
      </c>
      <c r="H2899" s="379" t="s">
        <v>765</v>
      </c>
      <c r="I2899" s="384" t="s">
        <v>156</v>
      </c>
      <c r="J2899" s="385">
        <v>17770.89</v>
      </c>
      <c r="K2899" s="384"/>
      <c r="L2899" s="385">
        <v>12.06</v>
      </c>
      <c r="M2899" s="385">
        <v>12.06</v>
      </c>
      <c r="N2899" s="386">
        <f>6907.96</f>
        <v>6907.96</v>
      </c>
      <c r="O2899" s="387">
        <v>0.2</v>
      </c>
      <c r="P2899" s="387">
        <v>0.1</v>
      </c>
      <c r="Q2899" s="386">
        <v>5459.73</v>
      </c>
      <c r="R2899" s="379" t="s">
        <v>112</v>
      </c>
      <c r="S2899" s="388" t="s">
        <v>113</v>
      </c>
      <c r="T2899" s="388">
        <v>64</v>
      </c>
      <c r="U2899" s="389" t="s">
        <v>164</v>
      </c>
      <c r="V2899" s="433"/>
      <c r="X2899" s="386">
        <v>5459.73</v>
      </c>
      <c r="Y2899" s="386"/>
      <c r="AJ2899" s="416">
        <v>5459.73</v>
      </c>
    </row>
    <row r="2900" spans="1:77" s="261" customFormat="1" ht="11.25" customHeight="1">
      <c r="B2900" s="258" t="s">
        <v>291</v>
      </c>
      <c r="C2900" s="259">
        <v>44732</v>
      </c>
      <c r="D2900" s="259">
        <v>44733</v>
      </c>
      <c r="E2900" s="260" t="s">
        <v>2187</v>
      </c>
      <c r="F2900" s="261" t="s">
        <v>1149</v>
      </c>
      <c r="G2900" s="262" t="s">
        <v>1150</v>
      </c>
      <c r="H2900" s="261" t="s">
        <v>27</v>
      </c>
      <c r="I2900" s="264" t="s">
        <v>156</v>
      </c>
      <c r="J2900" s="263">
        <v>11558.4</v>
      </c>
      <c r="K2900" s="264"/>
      <c r="L2900" s="263">
        <v>8.9600000000000009</v>
      </c>
      <c r="M2900" s="263">
        <v>8.9600000000000009</v>
      </c>
      <c r="N2900" s="265">
        <f>2451</f>
        <v>2451</v>
      </c>
      <c r="O2900" s="266">
        <v>0.2</v>
      </c>
      <c r="P2900" s="266">
        <v>0.1</v>
      </c>
      <c r="Q2900" s="265">
        <v>2575.36</v>
      </c>
      <c r="R2900" s="261" t="s">
        <v>112</v>
      </c>
      <c r="S2900" s="267" t="s">
        <v>113</v>
      </c>
      <c r="T2900" s="267">
        <v>64</v>
      </c>
      <c r="U2900" s="268" t="s">
        <v>164</v>
      </c>
      <c r="V2900" s="427"/>
      <c r="X2900" s="265">
        <v>2575.36</v>
      </c>
      <c r="Y2900" s="265"/>
      <c r="AG2900" s="261">
        <f>X2900</f>
        <v>2575.36</v>
      </c>
      <c r="AJ2900" s="642"/>
    </row>
    <row r="2901" spans="1:77" s="379" customFormat="1" ht="11.25" customHeight="1">
      <c r="A2901" s="473"/>
      <c r="B2901" s="486" t="s">
        <v>291</v>
      </c>
      <c r="C2901" s="487"/>
      <c r="D2901" s="487"/>
      <c r="E2901" s="488" t="s">
        <v>2188</v>
      </c>
      <c r="F2901" s="473" t="s">
        <v>2189</v>
      </c>
      <c r="G2901" s="489">
        <v>4560</v>
      </c>
      <c r="H2901" s="473" t="s">
        <v>814</v>
      </c>
      <c r="I2901" s="491" t="s">
        <v>156</v>
      </c>
      <c r="J2901" s="490">
        <v>2838.24</v>
      </c>
      <c r="K2901" s="491"/>
      <c r="L2901" s="490">
        <v>2.92</v>
      </c>
      <c r="M2901" s="490">
        <v>2.92</v>
      </c>
      <c r="N2901" s="492">
        <v>2371.0700000000002</v>
      </c>
      <c r="O2901" s="493">
        <v>0.25</v>
      </c>
      <c r="P2901" s="493">
        <v>0.1</v>
      </c>
      <c r="Q2901" s="492">
        <v>2200.5100000000002</v>
      </c>
      <c r="R2901" s="473" t="s">
        <v>142</v>
      </c>
      <c r="S2901" s="481" t="s">
        <v>41</v>
      </c>
      <c r="T2901" s="481">
        <v>24</v>
      </c>
      <c r="U2901" s="494" t="s">
        <v>164</v>
      </c>
      <c r="V2901" s="495"/>
      <c r="W2901" s="473"/>
      <c r="X2901" s="492">
        <v>2200.5100000000002</v>
      </c>
      <c r="Y2901" s="492"/>
      <c r="Z2901" s="473"/>
      <c r="AA2901" s="473"/>
      <c r="AB2901" s="473"/>
      <c r="AC2901" s="473"/>
      <c r="AD2901" s="473"/>
      <c r="AE2901" s="473"/>
      <c r="AF2901" s="473"/>
      <c r="AG2901" s="473"/>
      <c r="AH2901" s="473"/>
      <c r="AI2901" s="473"/>
      <c r="AJ2901" s="485"/>
      <c r="AK2901" s="505">
        <v>2200.5100000000002</v>
      </c>
      <c r="AL2901" s="473"/>
      <c r="AM2901" s="473"/>
      <c r="AN2901" s="473"/>
      <c r="AO2901" s="473"/>
      <c r="AP2901" s="473"/>
      <c r="AQ2901" s="473"/>
      <c r="AR2901" s="473"/>
      <c r="AS2901" s="473"/>
      <c r="AT2901" s="473"/>
      <c r="AU2901" s="473"/>
      <c r="AV2901" s="473"/>
      <c r="AW2901" s="473"/>
      <c r="AX2901" s="473"/>
      <c r="AY2901" s="473"/>
      <c r="AZ2901" s="473"/>
      <c r="BA2901" s="473"/>
      <c r="BB2901" s="473"/>
      <c r="BC2901" s="473"/>
      <c r="BD2901" s="473"/>
      <c r="BE2901" s="473"/>
      <c r="BF2901" s="473"/>
      <c r="BG2901" s="473"/>
      <c r="BH2901" s="473"/>
      <c r="BI2901" s="473"/>
      <c r="BJ2901" s="473"/>
      <c r="BK2901" s="473"/>
      <c r="BL2901" s="473"/>
      <c r="BM2901" s="473"/>
      <c r="BN2901" s="473"/>
      <c r="BO2901" s="473"/>
      <c r="BP2901" s="473"/>
      <c r="BQ2901" s="473"/>
      <c r="BR2901" s="473"/>
      <c r="BS2901" s="473"/>
      <c r="BT2901" s="473"/>
      <c r="BU2901" s="473"/>
      <c r="BV2901" s="473"/>
      <c r="BW2901" s="473"/>
      <c r="BX2901" s="473"/>
      <c r="BY2901" s="473"/>
    </row>
    <row r="2902" spans="1:77" s="379" customFormat="1" ht="11.25" customHeight="1">
      <c r="A2902" s="473"/>
      <c r="B2902" s="486" t="s">
        <v>291</v>
      </c>
      <c r="C2902" s="487"/>
      <c r="D2902" s="487"/>
      <c r="E2902" s="488" t="s">
        <v>2188</v>
      </c>
      <c r="F2902" s="473" t="s">
        <v>2189</v>
      </c>
      <c r="G2902" s="489">
        <v>4560</v>
      </c>
      <c r="H2902" s="473" t="s">
        <v>765</v>
      </c>
      <c r="I2902" s="491" t="s">
        <v>156</v>
      </c>
      <c r="J2902" s="490">
        <v>26604.03</v>
      </c>
      <c r="K2902" s="491"/>
      <c r="L2902" s="490">
        <v>26.62</v>
      </c>
      <c r="M2902" s="490">
        <v>26.62</v>
      </c>
      <c r="N2902" s="492">
        <v>23568.51</v>
      </c>
      <c r="O2902" s="493">
        <v>0.25</v>
      </c>
      <c r="P2902" s="493">
        <v>0.1</v>
      </c>
      <c r="Q2902" s="492">
        <v>7617.05</v>
      </c>
      <c r="R2902" s="473" t="s">
        <v>142</v>
      </c>
      <c r="S2902" s="481" t="s">
        <v>41</v>
      </c>
      <c r="T2902" s="481">
        <v>24</v>
      </c>
      <c r="U2902" s="494" t="s">
        <v>164</v>
      </c>
      <c r="V2902" s="495"/>
      <c r="W2902" s="473"/>
      <c r="X2902" s="492">
        <v>7617.05</v>
      </c>
      <c r="Y2902" s="492"/>
      <c r="Z2902" s="473"/>
      <c r="AA2902" s="473"/>
      <c r="AB2902" s="473"/>
      <c r="AC2902" s="473"/>
      <c r="AD2902" s="473"/>
      <c r="AE2902" s="473"/>
      <c r="AF2902" s="473"/>
      <c r="AG2902" s="473"/>
      <c r="AH2902" s="473"/>
      <c r="AI2902" s="473"/>
      <c r="AJ2902" s="485"/>
      <c r="AK2902" s="505">
        <v>7617.05</v>
      </c>
      <c r="AL2902" s="473"/>
      <c r="AM2902" s="473"/>
      <c r="AN2902" s="473"/>
      <c r="AO2902" s="473"/>
      <c r="AP2902" s="473"/>
      <c r="AQ2902" s="473"/>
      <c r="AR2902" s="473"/>
      <c r="AS2902" s="473"/>
      <c r="AT2902" s="473"/>
      <c r="AU2902" s="473"/>
      <c r="AV2902" s="473"/>
      <c r="AW2902" s="473"/>
      <c r="AX2902" s="473"/>
      <c r="AY2902" s="473"/>
      <c r="AZ2902" s="473"/>
      <c r="BA2902" s="473"/>
      <c r="BB2902" s="473"/>
      <c r="BC2902" s="473"/>
      <c r="BD2902" s="473"/>
      <c r="BE2902" s="473"/>
      <c r="BF2902" s="473"/>
      <c r="BG2902" s="473"/>
      <c r="BH2902" s="473"/>
      <c r="BI2902" s="473"/>
      <c r="BJ2902" s="473"/>
      <c r="BK2902" s="473"/>
      <c r="BL2902" s="473"/>
      <c r="BM2902" s="473"/>
      <c r="BN2902" s="473"/>
      <c r="BO2902" s="473"/>
      <c r="BP2902" s="473"/>
      <c r="BQ2902" s="473"/>
      <c r="BR2902" s="473"/>
      <c r="BS2902" s="473"/>
      <c r="BT2902" s="473"/>
      <c r="BU2902" s="473"/>
      <c r="BV2902" s="473"/>
      <c r="BW2902" s="473"/>
      <c r="BX2902" s="473"/>
      <c r="BY2902" s="473"/>
    </row>
    <row r="2903" spans="1:77" s="379" customFormat="1" ht="11.25" customHeight="1">
      <c r="B2903" s="380" t="s">
        <v>291</v>
      </c>
      <c r="C2903" s="381">
        <v>44732</v>
      </c>
      <c r="D2903" s="381">
        <v>44733</v>
      </c>
      <c r="E2903" s="382" t="s">
        <v>2188</v>
      </c>
      <c r="F2903" s="379" t="s">
        <v>2189</v>
      </c>
      <c r="G2903" s="383">
        <v>4560</v>
      </c>
      <c r="H2903" s="379" t="s">
        <v>941</v>
      </c>
      <c r="I2903" s="384" t="s">
        <v>156</v>
      </c>
      <c r="J2903" s="385">
        <v>1870.06</v>
      </c>
      <c r="K2903" s="384"/>
      <c r="L2903" s="385">
        <v>2.83</v>
      </c>
      <c r="M2903" s="385">
        <v>2.83</v>
      </c>
      <c r="N2903" s="386">
        <v>1870.06</v>
      </c>
      <c r="O2903" s="387">
        <v>0.25</v>
      </c>
      <c r="P2903" s="387">
        <v>0.1</v>
      </c>
      <c r="Q2903" s="386">
        <v>1182.71</v>
      </c>
      <c r="R2903" s="379" t="s">
        <v>142</v>
      </c>
      <c r="S2903" s="388" t="s">
        <v>41</v>
      </c>
      <c r="T2903" s="388">
        <v>24</v>
      </c>
      <c r="U2903" s="389" t="s">
        <v>164</v>
      </c>
      <c r="V2903" s="433"/>
      <c r="X2903" s="386">
        <v>1182.71</v>
      </c>
      <c r="Y2903" s="386"/>
      <c r="AJ2903" s="416">
        <v>1182.71</v>
      </c>
    </row>
    <row r="2904" spans="1:77" s="379" customFormat="1" ht="11.25" customHeight="1">
      <c r="B2904" s="380" t="s">
        <v>291</v>
      </c>
      <c r="C2904" s="381"/>
      <c r="D2904" s="381"/>
      <c r="E2904" s="382" t="s">
        <v>2188</v>
      </c>
      <c r="F2904" s="379" t="s">
        <v>2189</v>
      </c>
      <c r="G2904" s="383">
        <v>4560</v>
      </c>
      <c r="H2904" s="379" t="s">
        <v>295</v>
      </c>
      <c r="I2904" s="384" t="s">
        <v>156</v>
      </c>
      <c r="J2904" s="385">
        <v>4655.82</v>
      </c>
      <c r="K2904" s="384"/>
      <c r="L2904" s="385">
        <v>7.62</v>
      </c>
      <c r="M2904" s="385">
        <v>7.62</v>
      </c>
      <c r="N2904" s="386">
        <v>2822.82</v>
      </c>
      <c r="O2904" s="387">
        <v>0.25</v>
      </c>
      <c r="P2904" s="387">
        <v>0.1</v>
      </c>
      <c r="Q2904" s="386">
        <v>1850.9</v>
      </c>
      <c r="R2904" s="379" t="s">
        <v>142</v>
      </c>
      <c r="S2904" s="388" t="s">
        <v>41</v>
      </c>
      <c r="T2904" s="388">
        <v>24</v>
      </c>
      <c r="U2904" s="389" t="s">
        <v>164</v>
      </c>
      <c r="V2904" s="433"/>
      <c r="X2904" s="386">
        <v>1850.9</v>
      </c>
      <c r="Y2904" s="386"/>
      <c r="AJ2904" s="416">
        <v>1850.9</v>
      </c>
    </row>
    <row r="2905" spans="1:77" s="473" customFormat="1" ht="11.25" customHeight="1">
      <c r="A2905" s="379"/>
      <c r="B2905" s="380" t="s">
        <v>291</v>
      </c>
      <c r="C2905" s="381"/>
      <c r="D2905" s="381"/>
      <c r="E2905" s="382" t="s">
        <v>2188</v>
      </c>
      <c r="F2905" s="379" t="s">
        <v>2189</v>
      </c>
      <c r="G2905" s="383">
        <v>4560</v>
      </c>
      <c r="H2905" s="379" t="s">
        <v>99</v>
      </c>
      <c r="I2905" s="384" t="s">
        <v>156</v>
      </c>
      <c r="J2905" s="385">
        <v>20548.080000000002</v>
      </c>
      <c r="K2905" s="384"/>
      <c r="L2905" s="385">
        <v>24.16</v>
      </c>
      <c r="M2905" s="385">
        <v>24.16</v>
      </c>
      <c r="N2905" s="386">
        <v>19097.39</v>
      </c>
      <c r="O2905" s="387">
        <v>0.25</v>
      </c>
      <c r="P2905" s="387">
        <v>0.1</v>
      </c>
      <c r="Q2905" s="386">
        <v>11209.03</v>
      </c>
      <c r="R2905" s="379" t="s">
        <v>142</v>
      </c>
      <c r="S2905" s="388" t="s">
        <v>41</v>
      </c>
      <c r="T2905" s="388">
        <v>24</v>
      </c>
      <c r="U2905" s="389" t="s">
        <v>164</v>
      </c>
      <c r="V2905" s="433"/>
      <c r="W2905" s="379"/>
      <c r="X2905" s="386">
        <v>11209.03</v>
      </c>
      <c r="Y2905" s="386"/>
      <c r="Z2905" s="379"/>
      <c r="AA2905" s="379"/>
      <c r="AB2905" s="379"/>
      <c r="AC2905" s="379"/>
      <c r="AD2905" s="379"/>
      <c r="AE2905" s="379"/>
      <c r="AF2905" s="379"/>
      <c r="AG2905" s="379"/>
      <c r="AH2905" s="379"/>
      <c r="AI2905" s="379"/>
      <c r="AJ2905" s="416">
        <v>11209.03</v>
      </c>
      <c r="AK2905" s="379"/>
      <c r="AL2905" s="379"/>
      <c r="AM2905" s="379"/>
      <c r="AN2905" s="379"/>
      <c r="AO2905" s="379"/>
      <c r="AP2905" s="379"/>
      <c r="AQ2905" s="379"/>
      <c r="AR2905" s="379"/>
      <c r="AS2905" s="379"/>
      <c r="AT2905" s="379"/>
      <c r="AU2905" s="379"/>
      <c r="AV2905" s="379"/>
      <c r="AW2905" s="379"/>
      <c r="AX2905" s="379"/>
      <c r="AY2905" s="379"/>
      <c r="AZ2905" s="379"/>
      <c r="BA2905" s="379"/>
      <c r="BB2905" s="379"/>
      <c r="BC2905" s="379"/>
      <c r="BD2905" s="379"/>
      <c r="BE2905" s="379"/>
      <c r="BF2905" s="379"/>
      <c r="BG2905" s="379"/>
      <c r="BH2905" s="379"/>
      <c r="BI2905" s="379"/>
      <c r="BJ2905" s="379"/>
      <c r="BK2905" s="379"/>
      <c r="BL2905" s="379"/>
      <c r="BM2905" s="379"/>
      <c r="BN2905" s="379"/>
      <c r="BO2905" s="379"/>
      <c r="BP2905" s="379"/>
      <c r="BQ2905" s="379"/>
      <c r="BR2905" s="379"/>
      <c r="BS2905" s="379"/>
      <c r="BT2905" s="379"/>
      <c r="BU2905" s="379"/>
      <c r="BV2905" s="379"/>
      <c r="BW2905" s="379"/>
      <c r="BX2905" s="379"/>
      <c r="BY2905" s="379"/>
    </row>
    <row r="2906" spans="1:77" s="473" customFormat="1" ht="11.25" customHeight="1">
      <c r="A2906" s="379"/>
      <c r="B2906" s="380" t="s">
        <v>291</v>
      </c>
      <c r="C2906" s="381"/>
      <c r="D2906" s="381"/>
      <c r="E2906" s="382" t="s">
        <v>2188</v>
      </c>
      <c r="F2906" s="379" t="s">
        <v>2189</v>
      </c>
      <c r="G2906" s="383">
        <v>4560</v>
      </c>
      <c r="H2906" s="379" t="s">
        <v>137</v>
      </c>
      <c r="I2906" s="384" t="s">
        <v>156</v>
      </c>
      <c r="J2906" s="385">
        <v>13931.94</v>
      </c>
      <c r="K2906" s="384"/>
      <c r="L2906" s="385">
        <v>13.82</v>
      </c>
      <c r="M2906" s="385">
        <v>13.82</v>
      </c>
      <c r="N2906" s="386">
        <v>13931.94</v>
      </c>
      <c r="O2906" s="387">
        <v>0.25</v>
      </c>
      <c r="P2906" s="387">
        <v>0.1</v>
      </c>
      <c r="Q2906" s="386">
        <v>6752.31</v>
      </c>
      <c r="R2906" s="379" t="s">
        <v>142</v>
      </c>
      <c r="S2906" s="388" t="s">
        <v>41</v>
      </c>
      <c r="T2906" s="388">
        <v>24</v>
      </c>
      <c r="U2906" s="389" t="s">
        <v>164</v>
      </c>
      <c r="V2906" s="433"/>
      <c r="W2906" s="379"/>
      <c r="X2906" s="386">
        <v>6752.31</v>
      </c>
      <c r="Y2906" s="386"/>
      <c r="Z2906" s="379"/>
      <c r="AA2906" s="379"/>
      <c r="AB2906" s="379"/>
      <c r="AC2906" s="379"/>
      <c r="AD2906" s="379"/>
      <c r="AE2906" s="379"/>
      <c r="AF2906" s="379"/>
      <c r="AG2906" s="379"/>
      <c r="AH2906" s="379"/>
      <c r="AI2906" s="379"/>
      <c r="AJ2906" s="416">
        <v>6752.31</v>
      </c>
      <c r="AK2906" s="379"/>
      <c r="AL2906" s="379"/>
      <c r="AM2906" s="379"/>
      <c r="AN2906" s="379"/>
      <c r="AO2906" s="379"/>
      <c r="AP2906" s="379"/>
      <c r="AQ2906" s="379"/>
      <c r="AR2906" s="379"/>
      <c r="AS2906" s="379"/>
      <c r="AT2906" s="379"/>
      <c r="AU2906" s="379"/>
      <c r="AV2906" s="379"/>
      <c r="AW2906" s="379"/>
      <c r="AX2906" s="379"/>
      <c r="AY2906" s="379"/>
      <c r="AZ2906" s="379"/>
      <c r="BA2906" s="379"/>
      <c r="BB2906" s="379"/>
      <c r="BC2906" s="379"/>
      <c r="BD2906" s="379"/>
      <c r="BE2906" s="379"/>
      <c r="BF2906" s="379"/>
      <c r="BG2906" s="379"/>
      <c r="BH2906" s="379"/>
      <c r="BI2906" s="379"/>
      <c r="BJ2906" s="379"/>
      <c r="BK2906" s="379"/>
      <c r="BL2906" s="379"/>
      <c r="BM2906" s="379"/>
      <c r="BN2906" s="379"/>
      <c r="BO2906" s="379"/>
      <c r="BP2906" s="379"/>
      <c r="BQ2906" s="379"/>
      <c r="BR2906" s="379"/>
      <c r="BS2906" s="379"/>
      <c r="BT2906" s="379"/>
      <c r="BU2906" s="379"/>
      <c r="BV2906" s="379"/>
      <c r="BW2906" s="379"/>
      <c r="BX2906" s="379"/>
      <c r="BY2906" s="379"/>
    </row>
    <row r="2907" spans="1:77" s="6" customFormat="1" ht="11.25" customHeight="1">
      <c r="A2907" s="379"/>
      <c r="B2907" s="380" t="s">
        <v>291</v>
      </c>
      <c r="C2907" s="381">
        <v>44733</v>
      </c>
      <c r="D2907" s="381">
        <v>44733</v>
      </c>
      <c r="E2907" s="382" t="s">
        <v>2190</v>
      </c>
      <c r="F2907" s="379" t="s">
        <v>2191</v>
      </c>
      <c r="G2907" s="383" t="s">
        <v>2192</v>
      </c>
      <c r="H2907" s="379" t="s">
        <v>295</v>
      </c>
      <c r="I2907" s="384" t="s">
        <v>961</v>
      </c>
      <c r="J2907" s="385">
        <v>9933.9500000000007</v>
      </c>
      <c r="K2907" s="384"/>
      <c r="L2907" s="385">
        <v>17</v>
      </c>
      <c r="M2907" s="385">
        <v>17</v>
      </c>
      <c r="N2907" s="386"/>
      <c r="O2907" s="387">
        <v>0.25</v>
      </c>
      <c r="P2907" s="387"/>
      <c r="Q2907" s="386">
        <v>0</v>
      </c>
      <c r="R2907" s="379" t="s">
        <v>285</v>
      </c>
      <c r="S2907" s="388" t="s">
        <v>275</v>
      </c>
      <c r="T2907" s="388">
        <v>21</v>
      </c>
      <c r="U2907" s="389" t="s">
        <v>164</v>
      </c>
      <c r="V2907" s="433"/>
      <c r="W2907" s="379"/>
      <c r="X2907" s="386">
        <v>0</v>
      </c>
      <c r="Y2907" s="386"/>
      <c r="Z2907" s="379"/>
      <c r="AA2907" s="379"/>
      <c r="AB2907" s="379"/>
      <c r="AC2907" s="379"/>
      <c r="AD2907" s="379"/>
      <c r="AE2907" s="379"/>
      <c r="AF2907" s="379"/>
      <c r="AG2907" s="379"/>
      <c r="AH2907" s="379"/>
      <c r="AI2907" s="379"/>
      <c r="AJ2907" s="390">
        <v>0</v>
      </c>
      <c r="AK2907" s="379"/>
      <c r="AL2907" s="379"/>
      <c r="AM2907" s="379"/>
      <c r="AN2907" s="379"/>
      <c r="AO2907" s="379"/>
      <c r="AP2907" s="379"/>
      <c r="AQ2907" s="379"/>
      <c r="AR2907" s="379"/>
      <c r="AS2907" s="379"/>
      <c r="AT2907" s="379"/>
      <c r="AU2907" s="379"/>
      <c r="AV2907" s="379"/>
      <c r="AW2907" s="379"/>
      <c r="AX2907" s="379"/>
      <c r="AY2907" s="379"/>
      <c r="AZ2907" s="379"/>
      <c r="BA2907" s="379"/>
      <c r="BB2907" s="379"/>
      <c r="BC2907" s="379"/>
      <c r="BD2907" s="379"/>
      <c r="BE2907" s="379"/>
      <c r="BF2907" s="379"/>
      <c r="BG2907" s="379"/>
      <c r="BH2907" s="379"/>
      <c r="BI2907" s="379"/>
      <c r="BJ2907" s="379"/>
      <c r="BK2907" s="379"/>
      <c r="BL2907" s="379"/>
      <c r="BM2907" s="379"/>
      <c r="BN2907" s="379"/>
      <c r="BO2907" s="379"/>
      <c r="BP2907" s="379"/>
      <c r="BQ2907" s="379"/>
      <c r="BR2907" s="379"/>
      <c r="BS2907" s="379"/>
      <c r="BT2907" s="379"/>
      <c r="BU2907" s="379"/>
      <c r="BV2907" s="379"/>
      <c r="BW2907" s="379"/>
      <c r="BX2907" s="379"/>
      <c r="BY2907" s="379"/>
    </row>
    <row r="2908" spans="1:77" s="6" customFormat="1" ht="11.25" customHeight="1">
      <c r="A2908" s="379"/>
      <c r="B2908" s="380" t="s">
        <v>291</v>
      </c>
      <c r="C2908" s="381"/>
      <c r="D2908" s="381"/>
      <c r="E2908" s="382" t="s">
        <v>2190</v>
      </c>
      <c r="F2908" s="379" t="s">
        <v>2191</v>
      </c>
      <c r="G2908" s="383" t="s">
        <v>2192</v>
      </c>
      <c r="H2908" s="379" t="s">
        <v>140</v>
      </c>
      <c r="I2908" s="384" t="s">
        <v>961</v>
      </c>
      <c r="J2908" s="385">
        <v>31985.25</v>
      </c>
      <c r="K2908" s="384"/>
      <c r="L2908" s="385">
        <v>25.78</v>
      </c>
      <c r="M2908" s="385">
        <v>25.78</v>
      </c>
      <c r="N2908" s="386"/>
      <c r="O2908" s="387">
        <v>0.25</v>
      </c>
      <c r="P2908" s="387"/>
      <c r="Q2908" s="386">
        <v>0</v>
      </c>
      <c r="R2908" s="379" t="s">
        <v>285</v>
      </c>
      <c r="S2908" s="388" t="s">
        <v>275</v>
      </c>
      <c r="T2908" s="388">
        <v>21</v>
      </c>
      <c r="U2908" s="389" t="s">
        <v>164</v>
      </c>
      <c r="V2908" s="433"/>
      <c r="W2908" s="379"/>
      <c r="X2908" s="386">
        <v>0</v>
      </c>
      <c r="Y2908" s="386"/>
      <c r="Z2908" s="379"/>
      <c r="AA2908" s="379"/>
      <c r="AB2908" s="379"/>
      <c r="AC2908" s="379"/>
      <c r="AD2908" s="379"/>
      <c r="AE2908" s="379"/>
      <c r="AF2908" s="379"/>
      <c r="AG2908" s="379"/>
      <c r="AH2908" s="379"/>
      <c r="AI2908" s="379"/>
      <c r="AJ2908" s="390">
        <v>0</v>
      </c>
      <c r="AK2908" s="379"/>
      <c r="AL2908" s="379"/>
      <c r="AM2908" s="379"/>
      <c r="AN2908" s="379"/>
      <c r="AO2908" s="379"/>
      <c r="AP2908" s="379"/>
      <c r="AQ2908" s="379"/>
      <c r="AR2908" s="379"/>
      <c r="AS2908" s="379"/>
      <c r="AT2908" s="379"/>
      <c r="AU2908" s="379"/>
      <c r="AV2908" s="379"/>
      <c r="AW2908" s="379"/>
      <c r="AX2908" s="379"/>
      <c r="AY2908" s="379"/>
      <c r="AZ2908" s="379"/>
      <c r="BA2908" s="379"/>
      <c r="BB2908" s="379"/>
      <c r="BC2908" s="379"/>
      <c r="BD2908" s="379"/>
      <c r="BE2908" s="379"/>
      <c r="BF2908" s="379"/>
      <c r="BG2908" s="379"/>
      <c r="BH2908" s="379"/>
      <c r="BI2908" s="379"/>
      <c r="BJ2908" s="379"/>
      <c r="BK2908" s="379"/>
      <c r="BL2908" s="379"/>
      <c r="BM2908" s="379"/>
      <c r="BN2908" s="379"/>
      <c r="BO2908" s="379"/>
      <c r="BP2908" s="379"/>
      <c r="BQ2908" s="379"/>
      <c r="BR2908" s="379"/>
      <c r="BS2908" s="379"/>
      <c r="BT2908" s="379"/>
      <c r="BU2908" s="379"/>
      <c r="BV2908" s="379"/>
      <c r="BW2908" s="379"/>
      <c r="BX2908" s="379"/>
      <c r="BY2908" s="379"/>
    </row>
    <row r="2909" spans="1:77" s="6" customFormat="1" ht="11.25" customHeight="1">
      <c r="A2909" s="379"/>
      <c r="B2909" s="380" t="s">
        <v>291</v>
      </c>
      <c r="C2909" s="381"/>
      <c r="D2909" s="381"/>
      <c r="E2909" s="382" t="s">
        <v>2190</v>
      </c>
      <c r="F2909" s="379" t="s">
        <v>2191</v>
      </c>
      <c r="G2909" s="383" t="s">
        <v>2192</v>
      </c>
      <c r="H2909" s="379" t="s">
        <v>27</v>
      </c>
      <c r="I2909" s="384" t="s">
        <v>961</v>
      </c>
      <c r="J2909" s="385">
        <v>12442.84</v>
      </c>
      <c r="K2909" s="384"/>
      <c r="L2909" s="385">
        <v>11.23</v>
      </c>
      <c r="M2909" s="385">
        <v>11.23</v>
      </c>
      <c r="N2909" s="386"/>
      <c r="O2909" s="387">
        <v>0.25</v>
      </c>
      <c r="P2909" s="387"/>
      <c r="Q2909" s="386">
        <v>0</v>
      </c>
      <c r="R2909" s="379" t="s">
        <v>285</v>
      </c>
      <c r="S2909" s="388" t="s">
        <v>275</v>
      </c>
      <c r="T2909" s="388">
        <v>21</v>
      </c>
      <c r="U2909" s="389" t="s">
        <v>164</v>
      </c>
      <c r="V2909" s="433"/>
      <c r="W2909" s="379"/>
      <c r="X2909" s="386">
        <v>0</v>
      </c>
      <c r="Y2909" s="386"/>
      <c r="Z2909" s="379"/>
      <c r="AA2909" s="379"/>
      <c r="AB2909" s="379"/>
      <c r="AC2909" s="379"/>
      <c r="AD2909" s="379"/>
      <c r="AE2909" s="379"/>
      <c r="AF2909" s="379"/>
      <c r="AG2909" s="379"/>
      <c r="AH2909" s="379"/>
      <c r="AI2909" s="379"/>
      <c r="AJ2909" s="390">
        <v>0</v>
      </c>
      <c r="AK2909" s="379"/>
      <c r="AL2909" s="379"/>
      <c r="AM2909" s="379"/>
      <c r="AN2909" s="379"/>
      <c r="AO2909" s="379"/>
      <c r="AP2909" s="379"/>
      <c r="AQ2909" s="379"/>
      <c r="AR2909" s="379"/>
      <c r="AS2909" s="379"/>
      <c r="AT2909" s="379"/>
      <c r="AU2909" s="379"/>
      <c r="AV2909" s="379"/>
      <c r="AW2909" s="379"/>
      <c r="AX2909" s="379"/>
      <c r="AY2909" s="379"/>
      <c r="AZ2909" s="379"/>
      <c r="BA2909" s="379"/>
      <c r="BB2909" s="379"/>
      <c r="BC2909" s="379"/>
      <c r="BD2909" s="379"/>
      <c r="BE2909" s="379"/>
      <c r="BF2909" s="379"/>
      <c r="BG2909" s="379"/>
      <c r="BH2909" s="379"/>
      <c r="BI2909" s="379"/>
      <c r="BJ2909" s="379"/>
      <c r="BK2909" s="379"/>
      <c r="BL2909" s="379"/>
      <c r="BM2909" s="379"/>
      <c r="BN2909" s="379"/>
      <c r="BO2909" s="379"/>
      <c r="BP2909" s="379"/>
      <c r="BQ2909" s="379"/>
      <c r="BR2909" s="379"/>
      <c r="BS2909" s="379"/>
      <c r="BT2909" s="379"/>
      <c r="BU2909" s="379"/>
      <c r="BV2909" s="379"/>
      <c r="BW2909" s="379"/>
      <c r="BX2909" s="379"/>
      <c r="BY2909" s="379"/>
    </row>
    <row r="2910" spans="1:77" s="6" customFormat="1" ht="11.25" customHeight="1">
      <c r="A2910" s="379"/>
      <c r="B2910" s="379" t="s">
        <v>291</v>
      </c>
      <c r="C2910" s="381">
        <v>44733</v>
      </c>
      <c r="D2910" s="381">
        <v>44733</v>
      </c>
      <c r="E2910" s="382" t="s">
        <v>2193</v>
      </c>
      <c r="F2910" s="379" t="s">
        <v>283</v>
      </c>
      <c r="G2910" s="383" t="s">
        <v>284</v>
      </c>
      <c r="H2910" s="379" t="s">
        <v>295</v>
      </c>
      <c r="I2910" s="384" t="s">
        <v>961</v>
      </c>
      <c r="J2910" s="385">
        <v>8180.9</v>
      </c>
      <c r="K2910" s="384"/>
      <c r="L2910" s="385">
        <v>14</v>
      </c>
      <c r="M2910" s="385">
        <v>14</v>
      </c>
      <c r="N2910" s="386"/>
      <c r="O2910" s="387">
        <v>0.2</v>
      </c>
      <c r="P2910" s="387"/>
      <c r="Q2910" s="386">
        <v>0</v>
      </c>
      <c r="R2910" s="379" t="s">
        <v>285</v>
      </c>
      <c r="S2910" s="388" t="s">
        <v>275</v>
      </c>
      <c r="T2910" s="388">
        <v>21</v>
      </c>
      <c r="U2910" s="389" t="s">
        <v>164</v>
      </c>
      <c r="V2910" s="433"/>
      <c r="W2910" s="379"/>
      <c r="X2910" s="386">
        <v>0</v>
      </c>
      <c r="Y2910" s="386"/>
      <c r="Z2910" s="379"/>
      <c r="AA2910" s="379"/>
      <c r="AB2910" s="379"/>
      <c r="AC2910" s="379"/>
      <c r="AD2910" s="379"/>
      <c r="AE2910" s="379"/>
      <c r="AF2910" s="379"/>
      <c r="AG2910" s="379"/>
      <c r="AH2910" s="379"/>
      <c r="AI2910" s="379"/>
      <c r="AJ2910" s="390">
        <v>0</v>
      </c>
      <c r="AK2910" s="379"/>
      <c r="AL2910" s="379"/>
      <c r="AM2910" s="379"/>
      <c r="AN2910" s="379"/>
      <c r="AO2910" s="379"/>
      <c r="AP2910" s="379"/>
      <c r="AQ2910" s="379"/>
      <c r="AR2910" s="379"/>
      <c r="AS2910" s="379"/>
      <c r="AT2910" s="379"/>
      <c r="AU2910" s="379"/>
      <c r="AV2910" s="379"/>
      <c r="AW2910" s="379"/>
      <c r="AX2910" s="379"/>
      <c r="AY2910" s="379"/>
      <c r="AZ2910" s="379"/>
      <c r="BA2910" s="379"/>
      <c r="BB2910" s="379"/>
      <c r="BC2910" s="379"/>
      <c r="BD2910" s="379"/>
      <c r="BE2910" s="379"/>
      <c r="BF2910" s="379"/>
      <c r="BG2910" s="379"/>
      <c r="BH2910" s="379"/>
      <c r="BI2910" s="379"/>
      <c r="BJ2910" s="379"/>
      <c r="BK2910" s="379"/>
      <c r="BL2910" s="379"/>
      <c r="BM2910" s="379"/>
      <c r="BN2910" s="379"/>
      <c r="BO2910" s="379"/>
      <c r="BP2910" s="379"/>
      <c r="BQ2910" s="379"/>
      <c r="BR2910" s="379"/>
      <c r="BS2910" s="379"/>
      <c r="BT2910" s="379"/>
      <c r="BU2910" s="379"/>
      <c r="BV2910" s="379"/>
      <c r="BW2910" s="379"/>
      <c r="BX2910" s="379"/>
      <c r="BY2910" s="379"/>
    </row>
    <row r="2911" spans="1:77" s="6" customFormat="1" ht="11.25" customHeight="1">
      <c r="A2911" s="379"/>
      <c r="B2911" s="379" t="s">
        <v>291</v>
      </c>
      <c r="C2911" s="381"/>
      <c r="D2911" s="381"/>
      <c r="E2911" s="382" t="s">
        <v>2193</v>
      </c>
      <c r="F2911" s="379" t="s">
        <v>283</v>
      </c>
      <c r="G2911" s="383" t="s">
        <v>284</v>
      </c>
      <c r="H2911" s="379" t="s">
        <v>99</v>
      </c>
      <c r="I2911" s="384" t="s">
        <v>961</v>
      </c>
      <c r="J2911" s="385">
        <v>37221</v>
      </c>
      <c r="K2911" s="384"/>
      <c r="L2911" s="385">
        <v>30</v>
      </c>
      <c r="M2911" s="385">
        <v>30</v>
      </c>
      <c r="N2911" s="386"/>
      <c r="O2911" s="387">
        <v>0.2</v>
      </c>
      <c r="P2911" s="387"/>
      <c r="Q2911" s="386">
        <v>0</v>
      </c>
      <c r="R2911" s="379" t="s">
        <v>285</v>
      </c>
      <c r="S2911" s="388" t="s">
        <v>275</v>
      </c>
      <c r="T2911" s="388">
        <v>21</v>
      </c>
      <c r="U2911" s="389" t="s">
        <v>164</v>
      </c>
      <c r="V2911" s="433"/>
      <c r="W2911" s="379"/>
      <c r="X2911" s="386">
        <v>0</v>
      </c>
      <c r="Y2911" s="386"/>
      <c r="Z2911" s="379"/>
      <c r="AA2911" s="379"/>
      <c r="AB2911" s="379"/>
      <c r="AC2911" s="379"/>
      <c r="AD2911" s="379"/>
      <c r="AE2911" s="379"/>
      <c r="AF2911" s="379"/>
      <c r="AG2911" s="379"/>
      <c r="AH2911" s="379"/>
      <c r="AI2911" s="379"/>
      <c r="AJ2911" s="390">
        <v>0</v>
      </c>
      <c r="AK2911" s="379"/>
      <c r="AL2911" s="379"/>
      <c r="AM2911" s="379"/>
      <c r="AN2911" s="379"/>
      <c r="AO2911" s="379"/>
      <c r="AP2911" s="379"/>
      <c r="AQ2911" s="379"/>
      <c r="AR2911" s="379"/>
      <c r="AS2911" s="379"/>
      <c r="AT2911" s="379"/>
      <c r="AU2911" s="379"/>
      <c r="AV2911" s="379"/>
      <c r="AW2911" s="379"/>
      <c r="AX2911" s="379"/>
      <c r="AY2911" s="379"/>
      <c r="AZ2911" s="379"/>
      <c r="BA2911" s="379"/>
      <c r="BB2911" s="379"/>
      <c r="BC2911" s="379"/>
      <c r="BD2911" s="379"/>
      <c r="BE2911" s="379"/>
      <c r="BF2911" s="379"/>
      <c r="BG2911" s="379"/>
      <c r="BH2911" s="379"/>
      <c r="BI2911" s="379"/>
      <c r="BJ2911" s="379"/>
      <c r="BK2911" s="379"/>
      <c r="BL2911" s="379"/>
      <c r="BM2911" s="379"/>
      <c r="BN2911" s="379"/>
      <c r="BO2911" s="379"/>
      <c r="BP2911" s="379"/>
      <c r="BQ2911" s="379"/>
      <c r="BR2911" s="379"/>
      <c r="BS2911" s="379"/>
      <c r="BT2911" s="379"/>
      <c r="BU2911" s="379"/>
      <c r="BV2911" s="379"/>
      <c r="BW2911" s="379"/>
      <c r="BX2911" s="379"/>
      <c r="BY2911" s="379"/>
    </row>
    <row r="2912" spans="1:77" s="6" customFormat="1" ht="11.25" customHeight="1">
      <c r="A2912" s="379"/>
      <c r="B2912" s="379" t="s">
        <v>291</v>
      </c>
      <c r="C2912" s="381"/>
      <c r="D2912" s="381"/>
      <c r="E2912" s="382" t="s">
        <v>2193</v>
      </c>
      <c r="F2912" s="379" t="s">
        <v>283</v>
      </c>
      <c r="G2912" s="383" t="s">
        <v>284</v>
      </c>
      <c r="H2912" s="379" t="s">
        <v>27</v>
      </c>
      <c r="I2912" s="384" t="s">
        <v>961</v>
      </c>
      <c r="J2912" s="385">
        <v>33882.639999999999</v>
      </c>
      <c r="K2912" s="384"/>
      <c r="L2912" s="385">
        <v>30.58</v>
      </c>
      <c r="M2912" s="385">
        <v>30.58</v>
      </c>
      <c r="N2912" s="386"/>
      <c r="O2912" s="387">
        <v>0.2</v>
      </c>
      <c r="P2912" s="387"/>
      <c r="Q2912" s="386">
        <v>0</v>
      </c>
      <c r="R2912" s="379" t="s">
        <v>285</v>
      </c>
      <c r="S2912" s="388" t="s">
        <v>275</v>
      </c>
      <c r="T2912" s="388">
        <v>21</v>
      </c>
      <c r="U2912" s="389" t="s">
        <v>164</v>
      </c>
      <c r="V2912" s="433"/>
      <c r="W2912" s="379"/>
      <c r="X2912" s="386">
        <v>0</v>
      </c>
      <c r="Y2912" s="386"/>
      <c r="Z2912" s="379"/>
      <c r="AA2912" s="379"/>
      <c r="AB2912" s="379"/>
      <c r="AC2912" s="379"/>
      <c r="AD2912" s="379"/>
      <c r="AE2912" s="379"/>
      <c r="AF2912" s="379"/>
      <c r="AG2912" s="379"/>
      <c r="AH2912" s="379"/>
      <c r="AI2912" s="379"/>
      <c r="AJ2912" s="390">
        <v>0</v>
      </c>
      <c r="AK2912" s="379"/>
      <c r="AL2912" s="379"/>
      <c r="AM2912" s="379"/>
      <c r="AN2912" s="379"/>
      <c r="AO2912" s="379"/>
      <c r="AP2912" s="379"/>
      <c r="AQ2912" s="379"/>
      <c r="AR2912" s="379"/>
      <c r="AS2912" s="379"/>
      <c r="AT2912" s="379"/>
      <c r="AU2912" s="379"/>
      <c r="AV2912" s="379"/>
      <c r="AW2912" s="379"/>
      <c r="AX2912" s="379"/>
      <c r="AY2912" s="379"/>
      <c r="AZ2912" s="379"/>
      <c r="BA2912" s="379"/>
      <c r="BB2912" s="379"/>
      <c r="BC2912" s="379"/>
      <c r="BD2912" s="379"/>
      <c r="BE2912" s="379"/>
      <c r="BF2912" s="379"/>
      <c r="BG2912" s="379"/>
      <c r="BH2912" s="379"/>
      <c r="BI2912" s="379"/>
      <c r="BJ2912" s="379"/>
      <c r="BK2912" s="379"/>
      <c r="BL2912" s="379"/>
      <c r="BM2912" s="379"/>
      <c r="BN2912" s="379"/>
      <c r="BO2912" s="379"/>
      <c r="BP2912" s="379"/>
      <c r="BQ2912" s="379"/>
      <c r="BR2912" s="379"/>
      <c r="BS2912" s="379"/>
      <c r="BT2912" s="379"/>
      <c r="BU2912" s="379"/>
      <c r="BV2912" s="379"/>
      <c r="BW2912" s="379"/>
      <c r="BX2912" s="379"/>
      <c r="BY2912" s="379"/>
    </row>
    <row r="2913" spans="1:77" s="291" customFormat="1" ht="11.25" customHeight="1">
      <c r="B2913" s="291" t="s">
        <v>291</v>
      </c>
      <c r="C2913" s="292">
        <v>44732</v>
      </c>
      <c r="D2913" s="292">
        <v>44733</v>
      </c>
      <c r="E2913" s="293" t="s">
        <v>2194</v>
      </c>
      <c r="F2913" s="291" t="s">
        <v>2031</v>
      </c>
      <c r="G2913" s="294" t="s">
        <v>2032</v>
      </c>
      <c r="H2913" s="291" t="s">
        <v>27</v>
      </c>
      <c r="I2913" s="295" t="s">
        <v>156</v>
      </c>
      <c r="J2913" s="296">
        <v>17152</v>
      </c>
      <c r="K2913" s="295"/>
      <c r="L2913" s="296">
        <v>10.72</v>
      </c>
      <c r="M2913" s="296">
        <v>10.72</v>
      </c>
      <c r="N2913" s="297"/>
      <c r="O2913" s="298">
        <v>0.2</v>
      </c>
      <c r="P2913" s="298">
        <v>0.1</v>
      </c>
      <c r="Q2913" s="297">
        <v>7562.96</v>
      </c>
      <c r="R2913" s="291" t="s">
        <v>128</v>
      </c>
      <c r="S2913" s="299" t="s">
        <v>41</v>
      </c>
      <c r="T2913" s="299">
        <v>16</v>
      </c>
      <c r="U2913" s="300" t="s">
        <v>164</v>
      </c>
      <c r="V2913" s="333"/>
      <c r="X2913" s="297">
        <v>7562.96</v>
      </c>
      <c r="Y2913" s="297"/>
      <c r="AH2913" s="291">
        <f>X2913</f>
        <v>7562.96</v>
      </c>
      <c r="AI2913" s="311"/>
      <c r="AJ2913" s="468"/>
    </row>
    <row r="2914" spans="1:77" s="379" customFormat="1" ht="11.25" customHeight="1">
      <c r="B2914" s="379" t="s">
        <v>291</v>
      </c>
      <c r="C2914" s="381">
        <v>44732</v>
      </c>
      <c r="D2914" s="381">
        <v>44733</v>
      </c>
      <c r="E2914" s="382" t="s">
        <v>2195</v>
      </c>
      <c r="F2914" s="379" t="s">
        <v>2116</v>
      </c>
      <c r="G2914" s="383" t="s">
        <v>2117</v>
      </c>
      <c r="H2914" s="379" t="s">
        <v>99</v>
      </c>
      <c r="I2914" s="384" t="s">
        <v>156</v>
      </c>
      <c r="J2914" s="385">
        <v>13186.42</v>
      </c>
      <c r="K2914" s="384"/>
      <c r="L2914" s="385">
        <v>12.46</v>
      </c>
      <c r="M2914" s="385">
        <v>12.46</v>
      </c>
      <c r="N2914" s="386"/>
      <c r="O2914" s="387">
        <v>0.25</v>
      </c>
      <c r="P2914" s="387">
        <v>0.1</v>
      </c>
      <c r="Q2914" s="386">
        <v>840.43</v>
      </c>
      <c r="R2914" s="379" t="s">
        <v>35</v>
      </c>
      <c r="S2914" s="388" t="s">
        <v>41</v>
      </c>
      <c r="T2914" s="388">
        <v>16</v>
      </c>
      <c r="U2914" s="389" t="s">
        <v>164</v>
      </c>
      <c r="V2914" s="433"/>
      <c r="X2914" s="386">
        <v>840.43</v>
      </c>
      <c r="Y2914" s="386"/>
      <c r="AJ2914" s="416">
        <v>840.43</v>
      </c>
    </row>
    <row r="2915" spans="1:77" s="379" customFormat="1" ht="11.25" customHeight="1">
      <c r="B2915" s="379" t="s">
        <v>291</v>
      </c>
      <c r="C2915" s="381"/>
      <c r="D2915" s="381"/>
      <c r="E2915" s="382" t="s">
        <v>2195</v>
      </c>
      <c r="F2915" s="379" t="s">
        <v>2116</v>
      </c>
      <c r="G2915" s="383" t="s">
        <v>2117</v>
      </c>
      <c r="H2915" s="379" t="s">
        <v>765</v>
      </c>
      <c r="I2915" s="384" t="s">
        <v>156</v>
      </c>
      <c r="J2915" s="385">
        <v>22010.45</v>
      </c>
      <c r="K2915" s="384"/>
      <c r="L2915" s="385">
        <v>21.22</v>
      </c>
      <c r="M2915" s="385">
        <v>21.22</v>
      </c>
      <c r="N2915" s="386"/>
      <c r="O2915" s="387">
        <v>0.25</v>
      </c>
      <c r="P2915" s="387">
        <v>0.1</v>
      </c>
      <c r="Q2915" s="386">
        <v>2385.6799999999998</v>
      </c>
      <c r="R2915" s="379" t="s">
        <v>35</v>
      </c>
      <c r="S2915" s="388" t="s">
        <v>41</v>
      </c>
      <c r="T2915" s="388">
        <v>16</v>
      </c>
      <c r="U2915" s="389" t="s">
        <v>164</v>
      </c>
      <c r="V2915" s="433"/>
      <c r="X2915" s="386">
        <v>2385.6799999999998</v>
      </c>
      <c r="Y2915" s="386"/>
      <c r="AJ2915" s="416">
        <v>2385.6799999999998</v>
      </c>
    </row>
    <row r="2916" spans="1:77" s="337" customFormat="1" ht="11.25" customHeight="1">
      <c r="A2916" s="379"/>
      <c r="B2916" s="379" t="s">
        <v>291</v>
      </c>
      <c r="C2916" s="381"/>
      <c r="D2916" s="381"/>
      <c r="E2916" s="382" t="s">
        <v>2196</v>
      </c>
      <c r="F2916" s="379" t="s">
        <v>2197</v>
      </c>
      <c r="G2916" s="383" t="s">
        <v>2198</v>
      </c>
      <c r="H2916" s="379" t="s">
        <v>2199</v>
      </c>
      <c r="I2916" s="384" t="s">
        <v>33</v>
      </c>
      <c r="J2916" s="385">
        <v>13927.84</v>
      </c>
      <c r="K2916" s="384"/>
      <c r="L2916" s="385">
        <v>14.82</v>
      </c>
      <c r="M2916" s="385">
        <v>14.82</v>
      </c>
      <c r="N2916" s="386"/>
      <c r="O2916" s="387">
        <v>0.2</v>
      </c>
      <c r="P2916" s="387"/>
      <c r="Q2916" s="386">
        <v>3794.51</v>
      </c>
      <c r="R2916" s="379" t="s">
        <v>285</v>
      </c>
      <c r="S2916" s="388" t="s">
        <v>275</v>
      </c>
      <c r="T2916" s="388">
        <v>21</v>
      </c>
      <c r="U2916" s="389" t="s">
        <v>164</v>
      </c>
      <c r="V2916" s="433"/>
      <c r="W2916" s="379"/>
      <c r="X2916" s="386">
        <v>3794.51</v>
      </c>
      <c r="Y2916" s="386"/>
      <c r="Z2916" s="379"/>
      <c r="AA2916" s="379"/>
      <c r="AB2916" s="379"/>
      <c r="AC2916" s="379"/>
      <c r="AD2916" s="379"/>
      <c r="AE2916" s="379"/>
      <c r="AF2916" s="379"/>
      <c r="AG2916" s="379"/>
      <c r="AH2916" s="379"/>
      <c r="AI2916" s="379"/>
      <c r="AJ2916" s="416">
        <v>3794.51</v>
      </c>
      <c r="AK2916" s="379"/>
      <c r="AL2916" s="379"/>
      <c r="AM2916" s="379"/>
      <c r="AN2916" s="379"/>
      <c r="AO2916" s="379"/>
      <c r="AP2916" s="379"/>
      <c r="AQ2916" s="379"/>
      <c r="AR2916" s="379"/>
      <c r="AS2916" s="379"/>
      <c r="AT2916" s="379"/>
      <c r="AU2916" s="379"/>
      <c r="AV2916" s="379"/>
      <c r="AW2916" s="379"/>
      <c r="AX2916" s="379"/>
      <c r="AY2916" s="379"/>
      <c r="AZ2916" s="379"/>
      <c r="BA2916" s="379"/>
      <c r="BB2916" s="379"/>
      <c r="BC2916" s="379"/>
      <c r="BD2916" s="379"/>
      <c r="BE2916" s="379"/>
      <c r="BF2916" s="379"/>
      <c r="BG2916" s="379"/>
      <c r="BH2916" s="379"/>
      <c r="BI2916" s="379"/>
      <c r="BJ2916" s="379"/>
      <c r="BK2916" s="379"/>
      <c r="BL2916" s="379"/>
      <c r="BM2916" s="379"/>
      <c r="BN2916" s="379"/>
      <c r="BO2916" s="379"/>
      <c r="BP2916" s="379"/>
      <c r="BQ2916" s="379"/>
      <c r="BR2916" s="379"/>
      <c r="BS2916" s="379"/>
      <c r="BT2916" s="379"/>
      <c r="BU2916" s="379"/>
      <c r="BV2916" s="379"/>
      <c r="BW2916" s="379"/>
      <c r="BX2916" s="379"/>
      <c r="BY2916" s="379"/>
    </row>
    <row r="2917" spans="1:77" s="6" customFormat="1" ht="11.25" customHeight="1">
      <c r="A2917" s="379"/>
      <c r="B2917" s="379" t="s">
        <v>291</v>
      </c>
      <c r="C2917" s="381"/>
      <c r="D2917" s="381"/>
      <c r="E2917" s="382" t="s">
        <v>2196</v>
      </c>
      <c r="F2917" s="379" t="s">
        <v>2197</v>
      </c>
      <c r="G2917" s="383" t="s">
        <v>2198</v>
      </c>
      <c r="H2917" s="379" t="s">
        <v>183</v>
      </c>
      <c r="I2917" s="384" t="s">
        <v>33</v>
      </c>
      <c r="J2917" s="385">
        <v>17067.25</v>
      </c>
      <c r="K2917" s="384"/>
      <c r="L2917" s="385">
        <v>19.260000000000002</v>
      </c>
      <c r="M2917" s="385">
        <v>19.260000000000002</v>
      </c>
      <c r="N2917" s="386">
        <f>J2917*0.25</f>
        <v>4266.8125</v>
      </c>
      <c r="O2917" s="387">
        <v>0.2</v>
      </c>
      <c r="P2917" s="387"/>
      <c r="Q2917" s="386">
        <v>3463.33</v>
      </c>
      <c r="R2917" s="379" t="s">
        <v>285</v>
      </c>
      <c r="S2917" s="388" t="s">
        <v>275</v>
      </c>
      <c r="T2917" s="388">
        <v>21</v>
      </c>
      <c r="U2917" s="389" t="s">
        <v>164</v>
      </c>
      <c r="V2917" s="433"/>
      <c r="W2917" s="379"/>
      <c r="X2917" s="386">
        <v>3463.33</v>
      </c>
      <c r="Y2917" s="386"/>
      <c r="Z2917" s="379"/>
      <c r="AA2917" s="379"/>
      <c r="AB2917" s="379"/>
      <c r="AC2917" s="379"/>
      <c r="AD2917" s="379"/>
      <c r="AE2917" s="379"/>
      <c r="AF2917" s="379"/>
      <c r="AG2917" s="379"/>
      <c r="AH2917" s="379"/>
      <c r="AI2917" s="379"/>
      <c r="AJ2917" s="416">
        <v>3463.33</v>
      </c>
      <c r="AK2917" s="379"/>
      <c r="AL2917" s="379"/>
      <c r="AM2917" s="379"/>
      <c r="AN2917" s="379"/>
      <c r="AO2917" s="379"/>
      <c r="AP2917" s="379"/>
      <c r="AQ2917" s="379"/>
      <c r="AR2917" s="379"/>
      <c r="AS2917" s="379"/>
      <c r="AT2917" s="379"/>
      <c r="AU2917" s="379"/>
      <c r="AV2917" s="379"/>
      <c r="AW2917" s="379"/>
      <c r="AX2917" s="379"/>
      <c r="AY2917" s="379"/>
      <c r="AZ2917" s="379"/>
      <c r="BA2917" s="379"/>
      <c r="BB2917" s="379"/>
      <c r="BC2917" s="379"/>
      <c r="BD2917" s="379"/>
      <c r="BE2917" s="379"/>
      <c r="BF2917" s="379"/>
      <c r="BG2917" s="379"/>
      <c r="BH2917" s="379"/>
      <c r="BI2917" s="379"/>
      <c r="BJ2917" s="379"/>
      <c r="BK2917" s="379"/>
      <c r="BL2917" s="379"/>
      <c r="BM2917" s="379"/>
      <c r="BN2917" s="379"/>
      <c r="BO2917" s="379"/>
      <c r="BP2917" s="379"/>
      <c r="BQ2917" s="379"/>
      <c r="BR2917" s="379"/>
      <c r="BS2917" s="379"/>
      <c r="BT2917" s="379"/>
      <c r="BU2917" s="379"/>
      <c r="BV2917" s="379"/>
      <c r="BW2917" s="379"/>
      <c r="BX2917" s="379"/>
      <c r="BY2917" s="379"/>
    </row>
    <row r="2918" spans="1:77" s="337" customFormat="1" ht="11.25" customHeight="1">
      <c r="B2918" s="337" t="s">
        <v>291</v>
      </c>
      <c r="C2918" s="349">
        <v>44730</v>
      </c>
      <c r="D2918" s="349">
        <v>44733</v>
      </c>
      <c r="E2918" s="350" t="s">
        <v>2196</v>
      </c>
      <c r="F2918" s="337" t="s">
        <v>2197</v>
      </c>
      <c r="G2918" s="351" t="s">
        <v>2198</v>
      </c>
      <c r="H2918" s="337" t="s">
        <v>99</v>
      </c>
      <c r="I2918" s="353" t="s">
        <v>33</v>
      </c>
      <c r="J2918" s="352">
        <v>31763.919999999998</v>
      </c>
      <c r="K2918" s="353"/>
      <c r="L2918" s="352">
        <v>28.06</v>
      </c>
      <c r="M2918" s="352">
        <v>28.06</v>
      </c>
      <c r="N2918" s="354"/>
      <c r="O2918" s="355">
        <v>0.2</v>
      </c>
      <c r="P2918" s="355"/>
      <c r="Q2918" s="354">
        <v>0</v>
      </c>
      <c r="R2918" s="337" t="s">
        <v>285</v>
      </c>
      <c r="S2918" s="356" t="s">
        <v>275</v>
      </c>
      <c r="T2918" s="356">
        <v>21</v>
      </c>
      <c r="U2918" s="357" t="s">
        <v>164</v>
      </c>
      <c r="V2918" s="434"/>
      <c r="X2918" s="354">
        <v>0</v>
      </c>
      <c r="Y2918" s="354"/>
      <c r="AI2918" s="337">
        <v>0</v>
      </c>
      <c r="AJ2918" s="358"/>
      <c r="AK2918" s="369"/>
    </row>
    <row r="2919" spans="1:77" s="337" customFormat="1" ht="11.25" customHeight="1">
      <c r="B2919" s="337" t="s">
        <v>291</v>
      </c>
      <c r="C2919" s="349"/>
      <c r="D2919" s="349"/>
      <c r="E2919" s="350" t="s">
        <v>2196</v>
      </c>
      <c r="F2919" s="337" t="s">
        <v>2197</v>
      </c>
      <c r="G2919" s="351" t="s">
        <v>2198</v>
      </c>
      <c r="H2919" s="337" t="s">
        <v>310</v>
      </c>
      <c r="I2919" s="353" t="s">
        <v>33</v>
      </c>
      <c r="J2919" s="352">
        <v>9675.23</v>
      </c>
      <c r="K2919" s="353"/>
      <c r="L2919" s="352">
        <v>12.89</v>
      </c>
      <c r="M2919" s="352">
        <v>12.89</v>
      </c>
      <c r="N2919" s="354"/>
      <c r="O2919" s="355">
        <v>0.2</v>
      </c>
      <c r="P2919" s="355"/>
      <c r="Q2919" s="354">
        <v>0</v>
      </c>
      <c r="R2919" s="337" t="s">
        <v>285</v>
      </c>
      <c r="S2919" s="356" t="s">
        <v>275</v>
      </c>
      <c r="T2919" s="356">
        <v>21</v>
      </c>
      <c r="U2919" s="357" t="s">
        <v>164</v>
      </c>
      <c r="V2919" s="434"/>
      <c r="X2919" s="354">
        <v>0</v>
      </c>
      <c r="Y2919" s="354"/>
      <c r="AI2919" s="337">
        <v>0</v>
      </c>
      <c r="AJ2919" s="358"/>
      <c r="AK2919" s="369"/>
    </row>
    <row r="2920" spans="1:77" s="379" customFormat="1" ht="11.25" customHeight="1">
      <c r="B2920" s="380" t="s">
        <v>291</v>
      </c>
      <c r="C2920" s="381">
        <v>44730</v>
      </c>
      <c r="D2920" s="381">
        <v>44733</v>
      </c>
      <c r="E2920" s="382" t="s">
        <v>2200</v>
      </c>
      <c r="F2920" s="379" t="s">
        <v>1097</v>
      </c>
      <c r="G2920" s="383" t="s">
        <v>1098</v>
      </c>
      <c r="H2920" s="379" t="s">
        <v>765</v>
      </c>
      <c r="I2920" s="384" t="s">
        <v>961</v>
      </c>
      <c r="J2920" s="385">
        <v>32420.799999999999</v>
      </c>
      <c r="K2920" s="384"/>
      <c r="L2920" s="385">
        <v>35.24</v>
      </c>
      <c r="M2920" s="385">
        <v>35.24</v>
      </c>
      <c r="N2920" s="386"/>
      <c r="O2920" s="387">
        <v>0.25</v>
      </c>
      <c r="P2920" s="387"/>
      <c r="Q2920" s="386">
        <v>2537.2800000000002</v>
      </c>
      <c r="R2920" s="379" t="s">
        <v>128</v>
      </c>
      <c r="S2920" s="388" t="s">
        <v>118</v>
      </c>
      <c r="T2920" s="388">
        <v>79</v>
      </c>
      <c r="U2920" s="389" t="s">
        <v>164</v>
      </c>
      <c r="V2920" s="433"/>
      <c r="X2920" s="386">
        <v>2537.2800000000002</v>
      </c>
      <c r="Y2920" s="386"/>
      <c r="AJ2920" s="416">
        <v>2537.2800000000002</v>
      </c>
    </row>
    <row r="2921" spans="1:77" s="379" customFormat="1" ht="11.25" customHeight="1">
      <c r="B2921" s="380" t="s">
        <v>291</v>
      </c>
      <c r="C2921" s="381"/>
      <c r="D2921" s="381"/>
      <c r="E2921" s="382" t="s">
        <v>2200</v>
      </c>
      <c r="F2921" s="379" t="s">
        <v>1097</v>
      </c>
      <c r="G2921" s="383" t="s">
        <v>1098</v>
      </c>
      <c r="H2921" s="379" t="s">
        <v>866</v>
      </c>
      <c r="I2921" s="384" t="s">
        <v>961</v>
      </c>
      <c r="J2921" s="385">
        <v>23998</v>
      </c>
      <c r="K2921" s="384"/>
      <c r="L2921" s="385">
        <v>16.25</v>
      </c>
      <c r="M2921" s="385">
        <v>16.25</v>
      </c>
      <c r="N2921" s="386"/>
      <c r="O2921" s="387">
        <v>0.25</v>
      </c>
      <c r="P2921" s="387"/>
      <c r="Q2921" s="386">
        <v>5981.3</v>
      </c>
      <c r="R2921" s="379" t="s">
        <v>128</v>
      </c>
      <c r="S2921" s="388" t="s">
        <v>118</v>
      </c>
      <c r="T2921" s="388">
        <v>79</v>
      </c>
      <c r="U2921" s="389" t="s">
        <v>164</v>
      </c>
      <c r="V2921" s="433"/>
      <c r="X2921" s="386">
        <v>5981.3</v>
      </c>
      <c r="Y2921" s="386"/>
      <c r="AJ2921" s="416">
        <v>5981.3</v>
      </c>
    </row>
    <row r="2922" spans="1:77" s="337" customFormat="1" ht="11.25" customHeight="1">
      <c r="B2922" s="338" t="s">
        <v>291</v>
      </c>
      <c r="C2922" s="349">
        <v>44733</v>
      </c>
      <c r="D2922" s="349">
        <v>44733</v>
      </c>
      <c r="E2922" s="350" t="s">
        <v>2201</v>
      </c>
      <c r="F2922" s="337" t="s">
        <v>2202</v>
      </c>
      <c r="G2922" s="351" t="s">
        <v>2203</v>
      </c>
      <c r="H2922" s="337" t="s">
        <v>866</v>
      </c>
      <c r="I2922" s="353" t="s">
        <v>156</v>
      </c>
      <c r="J2922" s="352">
        <v>89821.93</v>
      </c>
      <c r="K2922" s="353"/>
      <c r="L2922" s="352">
        <v>39.07</v>
      </c>
      <c r="M2922" s="352">
        <v>39.07</v>
      </c>
      <c r="N2922" s="354">
        <f>27062.68+2115.08+2886.39</f>
        <v>32064.15</v>
      </c>
      <c r="O2922" s="355">
        <v>0.25</v>
      </c>
      <c r="P2922" s="355">
        <v>0.1</v>
      </c>
      <c r="Q2922" s="354">
        <v>31269.31</v>
      </c>
      <c r="R2922" s="337" t="s">
        <v>112</v>
      </c>
      <c r="S2922" s="356" t="s">
        <v>113</v>
      </c>
      <c r="T2922" s="356">
        <v>64</v>
      </c>
      <c r="U2922" s="357" t="s">
        <v>164</v>
      </c>
      <c r="V2922" s="434"/>
      <c r="X2922" s="354">
        <v>31269.31</v>
      </c>
      <c r="Y2922" s="354"/>
      <c r="AI2922" s="354">
        <v>31269.31</v>
      </c>
      <c r="AJ2922" s="358"/>
      <c r="AK2922" s="369"/>
    </row>
    <row r="2923" spans="1:77" s="337" customFormat="1" ht="11.25" customHeight="1">
      <c r="A2923" s="379"/>
      <c r="B2923" s="380" t="s">
        <v>291</v>
      </c>
      <c r="C2923" s="381"/>
      <c r="D2923" s="381"/>
      <c r="E2923" s="382" t="s">
        <v>2204</v>
      </c>
      <c r="F2923" s="379" t="s">
        <v>2021</v>
      </c>
      <c r="G2923" s="383">
        <v>4037</v>
      </c>
      <c r="H2923" s="379" t="s">
        <v>866</v>
      </c>
      <c r="I2923" s="384" t="s">
        <v>819</v>
      </c>
      <c r="J2923" s="385">
        <v>160945.51</v>
      </c>
      <c r="K2923" s="384"/>
      <c r="L2923" s="385">
        <v>87.31</v>
      </c>
      <c r="M2923" s="385">
        <v>87.31</v>
      </c>
      <c r="N2923" s="386">
        <v>122239.564</v>
      </c>
      <c r="O2923" s="387">
        <v>0.25</v>
      </c>
      <c r="P2923" s="387">
        <v>0.1</v>
      </c>
      <c r="Q2923" s="386">
        <v>110526.86</v>
      </c>
      <c r="R2923" s="379" t="s">
        <v>42</v>
      </c>
      <c r="S2923" s="388" t="s">
        <v>41</v>
      </c>
      <c r="T2923" s="388">
        <v>17</v>
      </c>
      <c r="U2923" s="389" t="s">
        <v>164</v>
      </c>
      <c r="V2923" s="433"/>
      <c r="W2923" s="379"/>
      <c r="X2923" s="386">
        <v>110526.86</v>
      </c>
      <c r="Y2923" s="386"/>
      <c r="Z2923" s="379"/>
      <c r="AA2923" s="379"/>
      <c r="AB2923" s="379"/>
      <c r="AC2923" s="379"/>
      <c r="AD2923" s="379"/>
      <c r="AE2923" s="379"/>
      <c r="AF2923" s="379"/>
      <c r="AG2923" s="379"/>
      <c r="AH2923" s="379"/>
      <c r="AI2923" s="379"/>
      <c r="AJ2923" s="416">
        <v>110526.86</v>
      </c>
      <c r="AK2923" s="379"/>
      <c r="AL2923" s="379"/>
      <c r="AM2923" s="379"/>
      <c r="AN2923" s="379"/>
      <c r="AO2923" s="379"/>
      <c r="AP2923" s="379"/>
      <c r="AQ2923" s="379"/>
      <c r="AR2923" s="379"/>
      <c r="AS2923" s="379"/>
      <c r="AT2923" s="379"/>
      <c r="AU2923" s="379"/>
      <c r="AV2923" s="379"/>
      <c r="AW2923" s="379"/>
      <c r="AX2923" s="379"/>
      <c r="AY2923" s="379"/>
      <c r="AZ2923" s="379"/>
      <c r="BA2923" s="379"/>
      <c r="BB2923" s="379"/>
      <c r="BC2923" s="379"/>
      <c r="BD2923" s="379"/>
      <c r="BE2923" s="379"/>
      <c r="BF2923" s="379"/>
      <c r="BG2923" s="379"/>
      <c r="BH2923" s="379"/>
      <c r="BI2923" s="379"/>
      <c r="BJ2923" s="379"/>
      <c r="BK2923" s="379"/>
      <c r="BL2923" s="379"/>
      <c r="BM2923" s="379"/>
      <c r="BN2923" s="379"/>
      <c r="BO2923" s="379"/>
      <c r="BP2923" s="379"/>
      <c r="BQ2923" s="379"/>
      <c r="BR2923" s="379"/>
      <c r="BS2923" s="379"/>
      <c r="BT2923" s="379"/>
      <c r="BU2923" s="379"/>
      <c r="BV2923" s="379"/>
      <c r="BW2923" s="379"/>
      <c r="BX2923" s="379"/>
      <c r="BY2923" s="379"/>
    </row>
    <row r="2924" spans="1:77" s="337" customFormat="1" ht="11.25" customHeight="1">
      <c r="B2924" s="338" t="s">
        <v>291</v>
      </c>
      <c r="C2924" s="349">
        <v>44732</v>
      </c>
      <c r="D2924" s="349">
        <v>44733</v>
      </c>
      <c r="E2924" s="350" t="s">
        <v>2204</v>
      </c>
      <c r="F2924" s="337" t="s">
        <v>2021</v>
      </c>
      <c r="G2924" s="351">
        <v>4037</v>
      </c>
      <c r="H2924" s="337" t="s">
        <v>140</v>
      </c>
      <c r="I2924" s="353" t="s">
        <v>819</v>
      </c>
      <c r="J2924" s="352">
        <v>20973.55</v>
      </c>
      <c r="K2924" s="353"/>
      <c r="L2924" s="352">
        <v>15.81</v>
      </c>
      <c r="M2924" s="352">
        <v>10.79</v>
      </c>
      <c r="N2924" s="354"/>
      <c r="O2924" s="355">
        <v>0.25</v>
      </c>
      <c r="P2924" s="355">
        <v>0.1</v>
      </c>
      <c r="Q2924" s="354">
        <v>1027.81</v>
      </c>
      <c r="R2924" s="337" t="s">
        <v>42</v>
      </c>
      <c r="S2924" s="356" t="s">
        <v>41</v>
      </c>
      <c r="T2924" s="356">
        <v>17</v>
      </c>
      <c r="U2924" s="357" t="s">
        <v>164</v>
      </c>
      <c r="V2924" s="434"/>
      <c r="X2924" s="354">
        <v>1027.81</v>
      </c>
      <c r="Y2924" s="354"/>
      <c r="AI2924" s="354">
        <v>1027.81</v>
      </c>
      <c r="AJ2924" s="358"/>
      <c r="AK2924" s="369"/>
    </row>
    <row r="2925" spans="1:77" s="337" customFormat="1" ht="11.25" customHeight="1">
      <c r="B2925" s="338" t="s">
        <v>291</v>
      </c>
      <c r="C2925" s="349"/>
      <c r="D2925" s="349"/>
      <c r="E2925" s="350" t="s">
        <v>2204</v>
      </c>
      <c r="F2925" s="337" t="s">
        <v>2021</v>
      </c>
      <c r="G2925" s="351">
        <v>4037</v>
      </c>
      <c r="H2925" s="337" t="s">
        <v>27</v>
      </c>
      <c r="I2925" s="353" t="s">
        <v>819</v>
      </c>
      <c r="J2925" s="352">
        <v>31720.5</v>
      </c>
      <c r="K2925" s="353"/>
      <c r="L2925" s="352">
        <v>23.85</v>
      </c>
      <c r="M2925" s="352">
        <v>23.85</v>
      </c>
      <c r="N2925" s="354"/>
      <c r="O2925" s="355">
        <v>0.25</v>
      </c>
      <c r="P2925" s="355">
        <v>0.1</v>
      </c>
      <c r="Q2925" s="354">
        <v>1516.73</v>
      </c>
      <c r="R2925" s="337" t="s">
        <v>42</v>
      </c>
      <c r="S2925" s="356" t="s">
        <v>41</v>
      </c>
      <c r="T2925" s="356">
        <v>17</v>
      </c>
      <c r="U2925" s="357" t="s">
        <v>164</v>
      </c>
      <c r="V2925" s="434"/>
      <c r="X2925" s="354">
        <v>1516.73</v>
      </c>
      <c r="Y2925" s="354"/>
      <c r="AI2925" s="354">
        <v>1516.73</v>
      </c>
      <c r="AJ2925" s="358"/>
      <c r="AK2925" s="369"/>
    </row>
    <row r="2926" spans="1:77" s="261" customFormat="1" ht="11.25" customHeight="1">
      <c r="B2926" s="258" t="s">
        <v>291</v>
      </c>
      <c r="C2926" s="259"/>
      <c r="D2926" s="259"/>
      <c r="E2926" s="260" t="s">
        <v>2204</v>
      </c>
      <c r="F2926" s="261" t="s">
        <v>2021</v>
      </c>
      <c r="G2926" s="262">
        <v>4037</v>
      </c>
      <c r="H2926" s="261" t="s">
        <v>99</v>
      </c>
      <c r="I2926" s="264" t="s">
        <v>819</v>
      </c>
      <c r="J2926" s="263">
        <v>37452.800000000003</v>
      </c>
      <c r="K2926" s="264"/>
      <c r="L2926" s="263">
        <v>29.26</v>
      </c>
      <c r="M2926" s="263">
        <v>12.33</v>
      </c>
      <c r="N2926" s="265"/>
      <c r="O2926" s="266">
        <v>0.25</v>
      </c>
      <c r="P2926" s="266">
        <v>0.1</v>
      </c>
      <c r="Q2926" s="265">
        <v>0</v>
      </c>
      <c r="R2926" s="261" t="s">
        <v>42</v>
      </c>
      <c r="S2926" s="267" t="s">
        <v>41</v>
      </c>
      <c r="T2926" s="267">
        <v>17</v>
      </c>
      <c r="U2926" s="268" t="s">
        <v>164</v>
      </c>
      <c r="V2926" s="427"/>
      <c r="X2926" s="265">
        <v>0</v>
      </c>
      <c r="Y2926" s="265"/>
      <c r="AG2926" s="261">
        <f>X2926</f>
        <v>0</v>
      </c>
      <c r="AJ2926" s="642"/>
    </row>
    <row r="2927" spans="1:77" s="181" customFormat="1" ht="11.25" customHeight="1">
      <c r="B2927" s="178" t="s">
        <v>390</v>
      </c>
      <c r="C2927" s="179">
        <v>44732</v>
      </c>
      <c r="D2927" s="179">
        <v>44733</v>
      </c>
      <c r="E2927" s="180" t="s">
        <v>2205</v>
      </c>
      <c r="F2927" s="181" t="s">
        <v>2206</v>
      </c>
      <c r="G2927" s="182" t="s">
        <v>2207</v>
      </c>
      <c r="H2927" s="181" t="s">
        <v>393</v>
      </c>
      <c r="I2927" s="190" t="s">
        <v>819</v>
      </c>
      <c r="J2927" s="183">
        <v>527391.15</v>
      </c>
      <c r="K2927" s="190"/>
      <c r="L2927" s="183">
        <v>57.18</v>
      </c>
      <c r="M2927" s="183">
        <v>6.11</v>
      </c>
      <c r="N2927" s="185"/>
      <c r="O2927" s="186">
        <v>0.25</v>
      </c>
      <c r="P2927" s="186">
        <v>0.1</v>
      </c>
      <c r="Q2927" s="185">
        <v>0</v>
      </c>
      <c r="R2927" s="181" t="s">
        <v>42</v>
      </c>
      <c r="S2927" s="187" t="s">
        <v>41</v>
      </c>
      <c r="T2927" s="187">
        <v>17</v>
      </c>
      <c r="U2927" s="188" t="s">
        <v>164</v>
      </c>
      <c r="V2927" s="441"/>
      <c r="W2927" s="181" t="s">
        <v>2705</v>
      </c>
      <c r="X2927" s="185">
        <v>0</v>
      </c>
      <c r="Y2927" s="185"/>
      <c r="AE2927" s="204">
        <f>X2927</f>
        <v>0</v>
      </c>
      <c r="AJ2927" s="189"/>
    </row>
    <row r="2928" spans="1:77" s="473" customFormat="1" ht="11.25" customHeight="1">
      <c r="B2928" s="486" t="s">
        <v>291</v>
      </c>
      <c r="C2928" s="487">
        <v>44732</v>
      </c>
      <c r="D2928" s="487">
        <v>44733</v>
      </c>
      <c r="E2928" s="488" t="s">
        <v>2208</v>
      </c>
      <c r="F2928" s="473" t="s">
        <v>1411</v>
      </c>
      <c r="G2928" s="489">
        <v>3765</v>
      </c>
      <c r="H2928" s="473" t="s">
        <v>99</v>
      </c>
      <c r="I2928" s="491" t="s">
        <v>819</v>
      </c>
      <c r="J2928" s="490">
        <v>85823.73</v>
      </c>
      <c r="K2928" s="491"/>
      <c r="L2928" s="490">
        <v>78.55</v>
      </c>
      <c r="M2928" s="490">
        <v>60</v>
      </c>
      <c r="N2928" s="492"/>
      <c r="O2928" s="493">
        <v>0.2</v>
      </c>
      <c r="P2928" s="493">
        <v>0.1</v>
      </c>
      <c r="Q2928" s="492">
        <v>348.52</v>
      </c>
      <c r="R2928" s="473" t="s">
        <v>128</v>
      </c>
      <c r="S2928" s="481" t="s">
        <v>41</v>
      </c>
      <c r="T2928" s="481">
        <v>16</v>
      </c>
      <c r="U2928" s="494" t="s">
        <v>164</v>
      </c>
      <c r="V2928" s="495"/>
      <c r="X2928" s="492">
        <v>348.52</v>
      </c>
      <c r="Y2928" s="492"/>
      <c r="AJ2928" s="485"/>
      <c r="AK2928" s="505">
        <v>348.52</v>
      </c>
    </row>
    <row r="2929" spans="1:77" s="473" customFormat="1" ht="11.25" customHeight="1">
      <c r="B2929" s="486" t="s">
        <v>291</v>
      </c>
      <c r="C2929" s="487"/>
      <c r="D2929" s="487"/>
      <c r="E2929" s="488" t="s">
        <v>2208</v>
      </c>
      <c r="F2929" s="473" t="s">
        <v>1411</v>
      </c>
      <c r="G2929" s="489">
        <v>3765</v>
      </c>
      <c r="H2929" s="473" t="s">
        <v>27</v>
      </c>
      <c r="I2929" s="491" t="s">
        <v>819</v>
      </c>
      <c r="J2929" s="490">
        <v>50848.6</v>
      </c>
      <c r="K2929" s="491"/>
      <c r="L2929" s="490">
        <v>31.88</v>
      </c>
      <c r="M2929" s="490">
        <v>31.88</v>
      </c>
      <c r="N2929" s="492"/>
      <c r="O2929" s="493">
        <v>0.2</v>
      </c>
      <c r="P2929" s="493">
        <v>0.1</v>
      </c>
      <c r="Q2929" s="492">
        <v>6833.78</v>
      </c>
      <c r="R2929" s="473" t="s">
        <v>128</v>
      </c>
      <c r="S2929" s="481" t="s">
        <v>41</v>
      </c>
      <c r="T2929" s="481">
        <v>16</v>
      </c>
      <c r="U2929" s="494" t="s">
        <v>164</v>
      </c>
      <c r="V2929" s="495"/>
      <c r="X2929" s="492">
        <v>6833.78</v>
      </c>
      <c r="Y2929" s="492"/>
      <c r="AJ2929" s="485"/>
      <c r="AK2929" s="505">
        <v>6833.78</v>
      </c>
    </row>
    <row r="2930" spans="1:77" s="473" customFormat="1" ht="11.25" customHeight="1">
      <c r="B2930" s="486" t="s">
        <v>291</v>
      </c>
      <c r="C2930" s="487"/>
      <c r="D2930" s="487"/>
      <c r="E2930" s="488" t="s">
        <v>2208</v>
      </c>
      <c r="F2930" s="473" t="s">
        <v>1411</v>
      </c>
      <c r="G2930" s="489">
        <v>3765</v>
      </c>
      <c r="H2930" s="473" t="s">
        <v>183</v>
      </c>
      <c r="I2930" s="491" t="s">
        <v>819</v>
      </c>
      <c r="J2930" s="490">
        <v>53952.19</v>
      </c>
      <c r="K2930" s="491"/>
      <c r="L2930" s="490">
        <v>57.18</v>
      </c>
      <c r="M2930" s="490">
        <v>1</v>
      </c>
      <c r="N2930" s="492"/>
      <c r="O2930" s="493">
        <v>0.2</v>
      </c>
      <c r="P2930" s="493">
        <v>0.1</v>
      </c>
      <c r="Q2930" s="492">
        <v>0</v>
      </c>
      <c r="R2930" s="473" t="s">
        <v>128</v>
      </c>
      <c r="S2930" s="481" t="s">
        <v>41</v>
      </c>
      <c r="T2930" s="481">
        <v>16</v>
      </c>
      <c r="U2930" s="494" t="s">
        <v>164</v>
      </c>
      <c r="V2930" s="495"/>
      <c r="X2930" s="492">
        <v>0</v>
      </c>
      <c r="Y2930" s="492"/>
      <c r="AJ2930" s="485"/>
      <c r="AK2930" s="473">
        <v>0</v>
      </c>
    </row>
    <row r="2931" spans="1:77" s="337" customFormat="1" ht="11.25" customHeight="1">
      <c r="B2931" s="338" t="s">
        <v>291</v>
      </c>
      <c r="C2931" s="349"/>
      <c r="D2931" s="349"/>
      <c r="E2931" s="350" t="s">
        <v>2209</v>
      </c>
      <c r="F2931" s="337" t="s">
        <v>1324</v>
      </c>
      <c r="G2931" s="351">
        <v>4226</v>
      </c>
      <c r="H2931" s="337" t="s">
        <v>99</v>
      </c>
      <c r="I2931" s="353" t="s">
        <v>1168</v>
      </c>
      <c r="J2931" s="352">
        <v>28977.61</v>
      </c>
      <c r="K2931" s="353"/>
      <c r="L2931" s="352">
        <v>23.69</v>
      </c>
      <c r="M2931" s="352">
        <v>23</v>
      </c>
      <c r="N2931" s="354">
        <f>643.4032+4832.8632</f>
        <v>5476.2663999999995</v>
      </c>
      <c r="O2931" s="355">
        <v>0.15</v>
      </c>
      <c r="P2931" s="355">
        <v>0.1</v>
      </c>
      <c r="Q2931" s="354">
        <v>4185.0200000000004</v>
      </c>
      <c r="R2931" s="337" t="s">
        <v>42</v>
      </c>
      <c r="S2931" s="346" t="s">
        <v>41</v>
      </c>
      <c r="T2931" s="346">
        <v>17</v>
      </c>
      <c r="U2931" s="357" t="s">
        <v>164</v>
      </c>
      <c r="V2931" s="434">
        <v>398.7</v>
      </c>
      <c r="X2931" s="354">
        <v>4185.0200000000004</v>
      </c>
      <c r="Y2931" s="354"/>
      <c r="AI2931" s="354">
        <v>4185.0200000000004</v>
      </c>
      <c r="AJ2931" s="358"/>
      <c r="AK2931" s="369"/>
    </row>
    <row r="2932" spans="1:77" s="261" customFormat="1" ht="11.25" customHeight="1">
      <c r="B2932" s="258" t="s">
        <v>291</v>
      </c>
      <c r="C2932" s="259">
        <v>44732</v>
      </c>
      <c r="D2932" s="259">
        <v>44733</v>
      </c>
      <c r="E2932" s="260" t="s">
        <v>2209</v>
      </c>
      <c r="F2932" s="261" t="s">
        <v>1324</v>
      </c>
      <c r="G2932" s="262">
        <v>4226</v>
      </c>
      <c r="H2932" s="261" t="s">
        <v>27</v>
      </c>
      <c r="I2932" s="264" t="s">
        <v>1168</v>
      </c>
      <c r="J2932" s="263">
        <v>8045.28</v>
      </c>
      <c r="K2932" s="264"/>
      <c r="L2932" s="263">
        <v>5.55</v>
      </c>
      <c r="M2932" s="263">
        <v>5.5</v>
      </c>
      <c r="N2932" s="265">
        <v>632.02560000000005</v>
      </c>
      <c r="O2932" s="266">
        <v>0.15</v>
      </c>
      <c r="P2932" s="266">
        <v>0.1</v>
      </c>
      <c r="Q2932" s="265">
        <v>0</v>
      </c>
      <c r="R2932" s="261" t="s">
        <v>42</v>
      </c>
      <c r="S2932" s="279" t="s">
        <v>41</v>
      </c>
      <c r="T2932" s="279">
        <v>17</v>
      </c>
      <c r="U2932" s="268" t="s">
        <v>164</v>
      </c>
      <c r="V2932" s="427"/>
      <c r="X2932" s="265">
        <v>0</v>
      </c>
      <c r="Y2932" s="265"/>
      <c r="AG2932" s="261">
        <f>X2932</f>
        <v>0</v>
      </c>
      <c r="AJ2932" s="642"/>
    </row>
    <row r="2933" spans="1:77" s="379" customFormat="1" ht="11.25" customHeight="1">
      <c r="B2933" s="379" t="s">
        <v>291</v>
      </c>
      <c r="C2933" s="381">
        <v>44732</v>
      </c>
      <c r="D2933" s="381">
        <v>44733</v>
      </c>
      <c r="E2933" s="382" t="s">
        <v>2210</v>
      </c>
      <c r="F2933" s="379" t="s">
        <v>856</v>
      </c>
      <c r="G2933" s="383">
        <v>4268</v>
      </c>
      <c r="H2933" s="379" t="s">
        <v>99</v>
      </c>
      <c r="I2933" s="384" t="s">
        <v>156</v>
      </c>
      <c r="J2933" s="385">
        <v>12067.27</v>
      </c>
      <c r="K2933" s="384"/>
      <c r="L2933" s="385">
        <v>10.41</v>
      </c>
      <c r="M2933" s="385">
        <v>10.41</v>
      </c>
      <c r="N2933" s="386"/>
      <c r="O2933" s="387">
        <v>0.15</v>
      </c>
      <c r="P2933" s="387">
        <v>0.1</v>
      </c>
      <c r="Q2933" s="386">
        <v>48.72</v>
      </c>
      <c r="R2933" s="379" t="s">
        <v>77</v>
      </c>
      <c r="S2933" s="388" t="s">
        <v>41</v>
      </c>
      <c r="T2933" s="388">
        <v>17</v>
      </c>
      <c r="U2933" s="389" t="s">
        <v>164</v>
      </c>
      <c r="V2933" s="433"/>
      <c r="X2933" s="386">
        <v>48.72</v>
      </c>
      <c r="Y2933" s="386"/>
      <c r="AJ2933" s="390">
        <v>48.72</v>
      </c>
    </row>
    <row r="2934" spans="1:77" s="379" customFormat="1" ht="11.25" customHeight="1">
      <c r="B2934" s="379" t="s">
        <v>291</v>
      </c>
      <c r="C2934" s="381"/>
      <c r="D2934" s="381"/>
      <c r="E2934" s="382" t="s">
        <v>2210</v>
      </c>
      <c r="F2934" s="379" t="s">
        <v>856</v>
      </c>
      <c r="G2934" s="383">
        <v>4268</v>
      </c>
      <c r="H2934" s="379" t="s">
        <v>866</v>
      </c>
      <c r="I2934" s="384" t="s">
        <v>156</v>
      </c>
      <c r="J2934" s="385">
        <v>20085.62</v>
      </c>
      <c r="K2934" s="384"/>
      <c r="L2934" s="385">
        <v>17.940000000000001</v>
      </c>
      <c r="M2934" s="385">
        <v>17.940000000000001</v>
      </c>
      <c r="N2934" s="386"/>
      <c r="O2934" s="387">
        <v>0.15</v>
      </c>
      <c r="P2934" s="387">
        <v>0.1</v>
      </c>
      <c r="Q2934" s="386">
        <v>0</v>
      </c>
      <c r="R2934" s="379" t="s">
        <v>77</v>
      </c>
      <c r="S2934" s="388" t="s">
        <v>41</v>
      </c>
      <c r="T2934" s="388">
        <v>17</v>
      </c>
      <c r="U2934" s="389" t="s">
        <v>164</v>
      </c>
      <c r="V2934" s="433"/>
      <c r="X2934" s="386">
        <v>0</v>
      </c>
      <c r="Y2934" s="386"/>
      <c r="AJ2934" s="390">
        <v>0</v>
      </c>
    </row>
    <row r="2935" spans="1:77" s="337" customFormat="1" ht="11.25" customHeight="1">
      <c r="A2935" s="546"/>
      <c r="B2935" s="546" t="s">
        <v>291</v>
      </c>
      <c r="C2935" s="547"/>
      <c r="D2935" s="547"/>
      <c r="E2935" s="548" t="s">
        <v>2211</v>
      </c>
      <c r="F2935" s="546" t="s">
        <v>2212</v>
      </c>
      <c r="G2935" s="549">
        <v>3674</v>
      </c>
      <c r="H2935" s="546" t="s">
        <v>137</v>
      </c>
      <c r="I2935" s="551" t="s">
        <v>33</v>
      </c>
      <c r="J2935" s="550">
        <v>74215.16</v>
      </c>
      <c r="K2935" s="551"/>
      <c r="L2935" s="550">
        <v>81.87</v>
      </c>
      <c r="M2935" s="550">
        <v>81.86</v>
      </c>
      <c r="N2935" s="552" t="s">
        <v>3923</v>
      </c>
      <c r="O2935" s="553">
        <v>0.2</v>
      </c>
      <c r="P2935" s="553"/>
      <c r="Q2935" s="552">
        <v>9084.65</v>
      </c>
      <c r="R2935" s="546" t="s">
        <v>29</v>
      </c>
      <c r="S2935" s="554" t="s">
        <v>51</v>
      </c>
      <c r="T2935" s="554">
        <v>52</v>
      </c>
      <c r="U2935" s="555" t="s">
        <v>164</v>
      </c>
      <c r="V2935" s="556"/>
      <c r="W2935" s="546"/>
      <c r="X2935" s="552">
        <v>9084.65</v>
      </c>
      <c r="Y2935" s="552"/>
      <c r="Z2935" s="546"/>
      <c r="AA2935" s="546"/>
      <c r="AB2935" s="546"/>
      <c r="AC2935" s="546"/>
      <c r="AD2935" s="546"/>
      <c r="AE2935" s="546"/>
      <c r="AF2935" s="546"/>
      <c r="AG2935" s="546"/>
      <c r="AH2935" s="546"/>
      <c r="AI2935" s="546"/>
      <c r="AJ2935" s="557"/>
      <c r="AK2935" s="546"/>
      <c r="AL2935" s="546"/>
      <c r="AM2935" s="552">
        <v>9084.65</v>
      </c>
      <c r="AN2935" s="546"/>
      <c r="AO2935" s="546"/>
      <c r="AP2935" s="546"/>
      <c r="AQ2935" s="546"/>
      <c r="AR2935" s="546"/>
      <c r="AS2935" s="546"/>
      <c r="AT2935" s="546"/>
      <c r="AU2935" s="546"/>
      <c r="AV2935" s="546"/>
      <c r="AW2935" s="546"/>
      <c r="AX2935" s="546"/>
      <c r="AY2935" s="546"/>
      <c r="AZ2935" s="546"/>
      <c r="BA2935" s="546"/>
      <c r="BB2935" s="546"/>
      <c r="BC2935" s="546"/>
      <c r="BD2935" s="546"/>
      <c r="BE2935" s="546"/>
      <c r="BF2935" s="546"/>
      <c r="BG2935" s="546"/>
      <c r="BH2935" s="546"/>
      <c r="BI2935" s="546"/>
      <c r="BJ2935" s="546"/>
      <c r="BK2935" s="546"/>
      <c r="BL2935" s="546"/>
      <c r="BM2935" s="546"/>
      <c r="BN2935" s="546"/>
      <c r="BO2935" s="546"/>
      <c r="BP2935" s="546"/>
      <c r="BQ2935" s="546"/>
      <c r="BR2935" s="546"/>
      <c r="BS2935" s="546"/>
      <c r="BT2935" s="546"/>
      <c r="BU2935" s="546"/>
      <c r="BV2935" s="546"/>
      <c r="BW2935" s="546"/>
      <c r="BX2935" s="546"/>
      <c r="BY2935" s="546"/>
    </row>
    <row r="2936" spans="1:77" s="6" customFormat="1" ht="11.25" customHeight="1">
      <c r="A2936" s="379"/>
      <c r="B2936" s="379" t="s">
        <v>291</v>
      </c>
      <c r="C2936" s="381"/>
      <c r="D2936" s="381"/>
      <c r="E2936" s="382" t="s">
        <v>2211</v>
      </c>
      <c r="F2936" s="379" t="s">
        <v>2212</v>
      </c>
      <c r="G2936" s="383">
        <v>3674</v>
      </c>
      <c r="H2936" s="379" t="s">
        <v>310</v>
      </c>
      <c r="I2936" s="384" t="s">
        <v>33</v>
      </c>
      <c r="J2936" s="385">
        <v>18018</v>
      </c>
      <c r="K2936" s="384"/>
      <c r="L2936" s="385">
        <v>21.45</v>
      </c>
      <c r="M2936" s="385">
        <v>21.44</v>
      </c>
      <c r="N2936" s="386">
        <v>2507.23</v>
      </c>
      <c r="O2936" s="387">
        <v>0.2</v>
      </c>
      <c r="P2936" s="387"/>
      <c r="Q2936" s="386">
        <v>0</v>
      </c>
      <c r="R2936" s="379" t="s">
        <v>29</v>
      </c>
      <c r="S2936" s="388" t="s">
        <v>51</v>
      </c>
      <c r="T2936" s="388">
        <v>52</v>
      </c>
      <c r="U2936" s="389" t="s">
        <v>164</v>
      </c>
      <c r="V2936" s="433"/>
      <c r="W2936" s="379"/>
      <c r="X2936" s="386">
        <v>0</v>
      </c>
      <c r="Y2936" s="386"/>
      <c r="Z2936" s="379"/>
      <c r="AA2936" s="379"/>
      <c r="AB2936" s="379"/>
      <c r="AC2936" s="379"/>
      <c r="AD2936" s="379"/>
      <c r="AE2936" s="379"/>
      <c r="AF2936" s="379"/>
      <c r="AG2936" s="379"/>
      <c r="AH2936" s="379"/>
      <c r="AI2936" s="379"/>
      <c r="AJ2936" s="390">
        <v>0</v>
      </c>
      <c r="AK2936" s="379"/>
      <c r="AL2936" s="379"/>
      <c r="AM2936" s="379"/>
      <c r="AN2936" s="379"/>
      <c r="AO2936" s="379"/>
      <c r="AP2936" s="379"/>
      <c r="AQ2936" s="379"/>
      <c r="AR2936" s="379"/>
      <c r="AS2936" s="379"/>
      <c r="AT2936" s="379"/>
      <c r="AU2936" s="379"/>
      <c r="AV2936" s="379"/>
      <c r="AW2936" s="379"/>
      <c r="AX2936" s="379"/>
      <c r="AY2936" s="379"/>
      <c r="AZ2936" s="379"/>
      <c r="BA2936" s="379"/>
      <c r="BB2936" s="379"/>
      <c r="BC2936" s="379"/>
      <c r="BD2936" s="379"/>
      <c r="BE2936" s="379"/>
      <c r="BF2936" s="379"/>
      <c r="BG2936" s="379"/>
      <c r="BH2936" s="379"/>
      <c r="BI2936" s="379"/>
      <c r="BJ2936" s="379"/>
      <c r="BK2936" s="379"/>
      <c r="BL2936" s="379"/>
      <c r="BM2936" s="379"/>
      <c r="BN2936" s="379"/>
      <c r="BO2936" s="379"/>
      <c r="BP2936" s="379"/>
      <c r="BQ2936" s="379"/>
      <c r="BR2936" s="379"/>
      <c r="BS2936" s="379"/>
      <c r="BT2936" s="379"/>
      <c r="BU2936" s="379"/>
      <c r="BV2936" s="379"/>
      <c r="BW2936" s="379"/>
      <c r="BX2936" s="379"/>
      <c r="BY2936" s="379"/>
    </row>
    <row r="2937" spans="1:77" s="379" customFormat="1" ht="11.25" customHeight="1">
      <c r="B2937" s="379" t="s">
        <v>291</v>
      </c>
      <c r="C2937" s="381"/>
      <c r="D2937" s="381"/>
      <c r="E2937" s="382" t="s">
        <v>2211</v>
      </c>
      <c r="F2937" s="379" t="s">
        <v>2212</v>
      </c>
      <c r="G2937" s="383">
        <v>3674</v>
      </c>
      <c r="H2937" s="379" t="s">
        <v>2213</v>
      </c>
      <c r="I2937" s="384" t="s">
        <v>33</v>
      </c>
      <c r="J2937" s="385">
        <v>54849.15</v>
      </c>
      <c r="K2937" s="384"/>
      <c r="L2937" s="385">
        <v>42.03</v>
      </c>
      <c r="M2937" s="385">
        <v>42</v>
      </c>
      <c r="N2937" s="386">
        <f>751.68+3514.1+750.11+508.95</f>
        <v>5524.8399999999992</v>
      </c>
      <c r="O2937" s="387">
        <v>0.2</v>
      </c>
      <c r="P2937" s="387"/>
      <c r="Q2937" s="386">
        <v>0</v>
      </c>
      <c r="R2937" s="379" t="s">
        <v>29</v>
      </c>
      <c r="S2937" s="388" t="s">
        <v>51</v>
      </c>
      <c r="T2937" s="408" t="s">
        <v>2214</v>
      </c>
      <c r="U2937" s="389" t="s">
        <v>164</v>
      </c>
      <c r="V2937" s="433"/>
      <c r="X2937" s="386">
        <v>0</v>
      </c>
      <c r="Y2937" s="386"/>
      <c r="AJ2937" s="390">
        <v>0</v>
      </c>
    </row>
    <row r="2938" spans="1:77" s="337" customFormat="1" ht="11.25" customHeight="1">
      <c r="B2938" s="337" t="s">
        <v>291</v>
      </c>
      <c r="C2938" s="349">
        <v>44730</v>
      </c>
      <c r="D2938" s="349">
        <v>44733</v>
      </c>
      <c r="E2938" s="350" t="s">
        <v>2211</v>
      </c>
      <c r="F2938" s="337" t="s">
        <v>2212</v>
      </c>
      <c r="G2938" s="351">
        <v>3674</v>
      </c>
      <c r="H2938" s="337" t="s">
        <v>898</v>
      </c>
      <c r="I2938" s="353" t="s">
        <v>33</v>
      </c>
      <c r="J2938" s="352">
        <v>64469.84</v>
      </c>
      <c r="K2938" s="353"/>
      <c r="L2938" s="352">
        <v>67.14</v>
      </c>
      <c r="M2938" s="352">
        <v>67.14</v>
      </c>
      <c r="N2938" s="354">
        <f>255.42+2035.21+1254.54+826.76+1230.05+8679.52</f>
        <v>14281.5</v>
      </c>
      <c r="O2938" s="355">
        <v>0.2</v>
      </c>
      <c r="P2938" s="355"/>
      <c r="Q2938" s="354">
        <v>562.9</v>
      </c>
      <c r="R2938" s="337" t="s">
        <v>29</v>
      </c>
      <c r="S2938" s="356" t="s">
        <v>51</v>
      </c>
      <c r="T2938" s="356">
        <v>52</v>
      </c>
      <c r="U2938" s="357" t="s">
        <v>164</v>
      </c>
      <c r="V2938" s="434"/>
      <c r="X2938" s="354">
        <v>562.9</v>
      </c>
      <c r="Y2938" s="354"/>
      <c r="AI2938" s="354">
        <v>562.9</v>
      </c>
      <c r="AJ2938" s="358"/>
      <c r="AK2938" s="369"/>
    </row>
    <row r="2939" spans="1:77" s="205" customFormat="1" ht="11.25" customHeight="1">
      <c r="B2939" s="206" t="s">
        <v>291</v>
      </c>
      <c r="C2939" s="207">
        <v>44732</v>
      </c>
      <c r="D2939" s="207">
        <v>44733</v>
      </c>
      <c r="E2939" s="208" t="s">
        <v>2215</v>
      </c>
      <c r="F2939" s="218" t="s">
        <v>1478</v>
      </c>
      <c r="G2939" s="220">
        <v>3656</v>
      </c>
      <c r="H2939" s="205" t="s">
        <v>99</v>
      </c>
      <c r="I2939" s="219" t="s">
        <v>156</v>
      </c>
      <c r="J2939" s="210">
        <v>357749.53</v>
      </c>
      <c r="K2939" s="219"/>
      <c r="L2939" s="210">
        <v>180.91</v>
      </c>
      <c r="M2939" s="210">
        <v>75</v>
      </c>
      <c r="N2939" s="213">
        <v>0</v>
      </c>
      <c r="O2939" s="212">
        <v>0.2</v>
      </c>
      <c r="P2939" s="212">
        <v>0.1</v>
      </c>
      <c r="Q2939" s="213">
        <v>0</v>
      </c>
      <c r="R2939" s="218" t="s">
        <v>54</v>
      </c>
      <c r="S2939" s="221" t="s">
        <v>715</v>
      </c>
      <c r="T2939" s="221">
        <v>55</v>
      </c>
      <c r="U2939" s="215" t="s">
        <v>164</v>
      </c>
      <c r="V2939" s="438"/>
      <c r="W2939" s="205" t="s">
        <v>2747</v>
      </c>
      <c r="X2939" s="213">
        <v>0</v>
      </c>
      <c r="Y2939" s="213"/>
      <c r="AF2939" s="230">
        <f>X2939</f>
        <v>0</v>
      </c>
      <c r="AJ2939" s="216"/>
    </row>
    <row r="2940" spans="1:77" s="379" customFormat="1" ht="11.25" customHeight="1">
      <c r="B2940" s="380" t="s">
        <v>291</v>
      </c>
      <c r="C2940" s="381">
        <v>44733</v>
      </c>
      <c r="D2940" s="381">
        <v>44733</v>
      </c>
      <c r="E2940" s="382" t="s">
        <v>2216</v>
      </c>
      <c r="F2940" s="394" t="s">
        <v>1477</v>
      </c>
      <c r="G2940" s="400">
        <v>3735</v>
      </c>
      <c r="H2940" s="379" t="s">
        <v>27</v>
      </c>
      <c r="I2940" s="384" t="s">
        <v>156</v>
      </c>
      <c r="J2940" s="385">
        <v>44535.93</v>
      </c>
      <c r="K2940" s="384"/>
      <c r="L2940" s="385">
        <v>40.93</v>
      </c>
      <c r="M2940" s="385">
        <v>33.93</v>
      </c>
      <c r="N2940" s="386"/>
      <c r="O2940" s="387">
        <v>0.15</v>
      </c>
      <c r="P2940" s="387">
        <v>0.1</v>
      </c>
      <c r="Q2940" s="386">
        <v>0</v>
      </c>
      <c r="R2940" s="394" t="s">
        <v>128</v>
      </c>
      <c r="S2940" s="399" t="s">
        <v>41</v>
      </c>
      <c r="T2940" s="399">
        <v>86</v>
      </c>
      <c r="U2940" s="389" t="s">
        <v>164</v>
      </c>
      <c r="V2940" s="433"/>
      <c r="X2940" s="386">
        <v>0</v>
      </c>
      <c r="Y2940" s="386"/>
      <c r="AJ2940" s="390">
        <v>0</v>
      </c>
    </row>
    <row r="2941" spans="1:77" s="337" customFormat="1" ht="11.25" customHeight="1">
      <c r="A2941" s="379"/>
      <c r="B2941" s="380" t="s">
        <v>291</v>
      </c>
      <c r="C2941" s="381"/>
      <c r="D2941" s="381"/>
      <c r="E2941" s="382" t="s">
        <v>2217</v>
      </c>
      <c r="F2941" s="379" t="s">
        <v>776</v>
      </c>
      <c r="G2941" s="383">
        <v>4156</v>
      </c>
      <c r="H2941" s="379" t="s">
        <v>866</v>
      </c>
      <c r="I2941" s="384" t="s">
        <v>1168</v>
      </c>
      <c r="J2941" s="385">
        <v>15154.28</v>
      </c>
      <c r="K2941" s="384"/>
      <c r="L2941" s="385">
        <v>8.7799999999999994</v>
      </c>
      <c r="M2941" s="385">
        <v>8.7799999999999994</v>
      </c>
      <c r="N2941" s="386"/>
      <c r="O2941" s="387">
        <v>0.3</v>
      </c>
      <c r="P2941" s="387">
        <v>0.1</v>
      </c>
      <c r="Q2941" s="386">
        <v>5373.85</v>
      </c>
      <c r="R2941" s="379" t="s">
        <v>77</v>
      </c>
      <c r="S2941" s="388" t="s">
        <v>41</v>
      </c>
      <c r="T2941" s="388">
        <v>17</v>
      </c>
      <c r="U2941" s="389" t="s">
        <v>164</v>
      </c>
      <c r="V2941" s="433"/>
      <c r="W2941" s="379"/>
      <c r="X2941" s="386">
        <v>5373.85</v>
      </c>
      <c r="Y2941" s="386"/>
      <c r="Z2941" s="379"/>
      <c r="AA2941" s="379"/>
      <c r="AB2941" s="379"/>
      <c r="AC2941" s="379"/>
      <c r="AD2941" s="379"/>
      <c r="AE2941" s="379"/>
      <c r="AF2941" s="379"/>
      <c r="AG2941" s="379"/>
      <c r="AH2941" s="379"/>
      <c r="AI2941" s="379"/>
      <c r="AJ2941" s="416">
        <v>5373.85</v>
      </c>
      <c r="AK2941" s="379"/>
      <c r="AL2941" s="379"/>
      <c r="AM2941" s="379"/>
      <c r="AN2941" s="379"/>
      <c r="AO2941" s="379"/>
      <c r="AP2941" s="379"/>
      <c r="AQ2941" s="379"/>
      <c r="AR2941" s="379"/>
      <c r="AS2941" s="379"/>
      <c r="AT2941" s="379"/>
      <c r="AU2941" s="379"/>
      <c r="AV2941" s="379"/>
      <c r="AW2941" s="379"/>
      <c r="AX2941" s="379"/>
      <c r="AY2941" s="379"/>
      <c r="AZ2941" s="379"/>
      <c r="BA2941" s="379"/>
      <c r="BB2941" s="379"/>
      <c r="BC2941" s="379"/>
      <c r="BD2941" s="379"/>
      <c r="BE2941" s="379"/>
      <c r="BF2941" s="379"/>
      <c r="BG2941" s="379"/>
      <c r="BH2941" s="379"/>
      <c r="BI2941" s="379"/>
      <c r="BJ2941" s="379"/>
      <c r="BK2941" s="379"/>
      <c r="BL2941" s="379"/>
      <c r="BM2941" s="379"/>
      <c r="BN2941" s="379"/>
      <c r="BO2941" s="379"/>
      <c r="BP2941" s="379"/>
      <c r="BQ2941" s="379"/>
      <c r="BR2941" s="379"/>
      <c r="BS2941" s="379"/>
      <c r="BT2941" s="379"/>
      <c r="BU2941" s="379"/>
      <c r="BV2941" s="379"/>
      <c r="BW2941" s="379"/>
      <c r="BX2941" s="379"/>
      <c r="BY2941" s="379"/>
    </row>
    <row r="2942" spans="1:77" s="379" customFormat="1" ht="11.25" customHeight="1">
      <c r="B2942" s="380" t="s">
        <v>291</v>
      </c>
      <c r="C2942" s="381"/>
      <c r="D2942" s="381"/>
      <c r="E2942" s="382" t="s">
        <v>2217</v>
      </c>
      <c r="F2942" s="379" t="s">
        <v>776</v>
      </c>
      <c r="G2942" s="383">
        <v>4156</v>
      </c>
      <c r="H2942" s="379" t="s">
        <v>910</v>
      </c>
      <c r="I2942" s="384" t="s">
        <v>1168</v>
      </c>
      <c r="J2942" s="385">
        <v>18181.5</v>
      </c>
      <c r="K2942" s="384"/>
      <c r="L2942" s="385">
        <v>7.75</v>
      </c>
      <c r="M2942" s="385">
        <v>7.75</v>
      </c>
      <c r="N2942" s="386"/>
      <c r="O2942" s="387">
        <v>0.3</v>
      </c>
      <c r="P2942" s="387">
        <v>0.1</v>
      </c>
      <c r="Q2942" s="386">
        <v>0</v>
      </c>
      <c r="R2942" s="379" t="s">
        <v>77</v>
      </c>
      <c r="S2942" s="388" t="s">
        <v>41</v>
      </c>
      <c r="T2942" s="388">
        <v>17</v>
      </c>
      <c r="U2942" s="389" t="s">
        <v>164</v>
      </c>
      <c r="V2942" s="433"/>
      <c r="X2942" s="386">
        <v>0</v>
      </c>
      <c r="Y2942" s="386"/>
      <c r="AJ2942" s="390">
        <v>0</v>
      </c>
    </row>
    <row r="2943" spans="1:77" s="379" customFormat="1" ht="11.25" customHeight="1">
      <c r="B2943" s="380" t="s">
        <v>291</v>
      </c>
      <c r="C2943" s="381"/>
      <c r="D2943" s="381"/>
      <c r="E2943" s="382" t="s">
        <v>2217</v>
      </c>
      <c r="F2943" s="379" t="s">
        <v>776</v>
      </c>
      <c r="G2943" s="383">
        <v>4156</v>
      </c>
      <c r="H2943" s="379" t="s">
        <v>99</v>
      </c>
      <c r="I2943" s="384" t="s">
        <v>1168</v>
      </c>
      <c r="J2943" s="385">
        <v>31559.22</v>
      </c>
      <c r="K2943" s="384"/>
      <c r="L2943" s="385">
        <v>22.77</v>
      </c>
      <c r="M2943" s="385">
        <v>22.77</v>
      </c>
      <c r="N2943" s="386"/>
      <c r="O2943" s="387">
        <v>0.3</v>
      </c>
      <c r="P2943" s="387">
        <v>0.1</v>
      </c>
      <c r="Q2943" s="386">
        <v>7910.3</v>
      </c>
      <c r="R2943" s="379" t="s">
        <v>77</v>
      </c>
      <c r="S2943" s="388" t="s">
        <v>41</v>
      </c>
      <c r="T2943" s="388">
        <v>17</v>
      </c>
      <c r="U2943" s="389" t="s">
        <v>164</v>
      </c>
      <c r="V2943" s="433"/>
      <c r="X2943" s="386">
        <v>7910.3</v>
      </c>
      <c r="Y2943" s="386"/>
      <c r="AJ2943" s="416">
        <v>7910.3</v>
      </c>
    </row>
    <row r="2944" spans="1:77" s="337" customFormat="1" ht="11.25" customHeight="1">
      <c r="B2944" s="338" t="s">
        <v>291</v>
      </c>
      <c r="C2944" s="349">
        <v>44671</v>
      </c>
      <c r="D2944" s="349">
        <v>44733</v>
      </c>
      <c r="E2944" s="350" t="s">
        <v>2217</v>
      </c>
      <c r="F2944" s="337" t="s">
        <v>776</v>
      </c>
      <c r="G2944" s="351">
        <v>4156</v>
      </c>
      <c r="H2944" s="337" t="s">
        <v>137</v>
      </c>
      <c r="I2944" s="353" t="s">
        <v>1168</v>
      </c>
      <c r="J2944" s="352">
        <v>12934.92</v>
      </c>
      <c r="K2944" s="353"/>
      <c r="L2944" s="352">
        <v>9.23</v>
      </c>
      <c r="M2944" s="352">
        <v>9.23</v>
      </c>
      <c r="N2944" s="354"/>
      <c r="O2944" s="355">
        <v>0.3</v>
      </c>
      <c r="P2944" s="355">
        <v>0.1</v>
      </c>
      <c r="Q2944" s="354">
        <v>0</v>
      </c>
      <c r="R2944" s="337" t="s">
        <v>77</v>
      </c>
      <c r="S2944" s="356" t="s">
        <v>41</v>
      </c>
      <c r="T2944" s="356">
        <v>17</v>
      </c>
      <c r="U2944" s="357" t="s">
        <v>164</v>
      </c>
      <c r="V2944" s="434"/>
      <c r="X2944" s="354">
        <v>0</v>
      </c>
      <c r="Y2944" s="354"/>
      <c r="AI2944" s="337">
        <v>0</v>
      </c>
      <c r="AJ2944" s="358"/>
      <c r="AK2944" s="369"/>
    </row>
    <row r="2945" spans="1:77" s="261" customFormat="1" ht="11.25" customHeight="1">
      <c r="B2945" s="258" t="s">
        <v>291</v>
      </c>
      <c r="C2945" s="259">
        <v>44730</v>
      </c>
      <c r="D2945" s="259">
        <v>44733</v>
      </c>
      <c r="E2945" s="260" t="s">
        <v>2218</v>
      </c>
      <c r="F2945" s="261" t="s">
        <v>2219</v>
      </c>
      <c r="G2945" s="262" t="s">
        <v>2220</v>
      </c>
      <c r="H2945" s="261" t="s">
        <v>99</v>
      </c>
      <c r="I2945" s="264" t="s">
        <v>33</v>
      </c>
      <c r="J2945" s="263">
        <v>68742</v>
      </c>
      <c r="K2945" s="264"/>
      <c r="L2945" s="263">
        <v>50.92</v>
      </c>
      <c r="M2945" s="263">
        <v>50.92</v>
      </c>
      <c r="N2945" s="265">
        <v>13748.4</v>
      </c>
      <c r="O2945" s="266">
        <v>0.15</v>
      </c>
      <c r="P2945" s="266"/>
      <c r="Q2945" s="265">
        <v>11128.43</v>
      </c>
      <c r="R2945" s="261" t="s">
        <v>50</v>
      </c>
      <c r="S2945" s="267" t="s">
        <v>51</v>
      </c>
      <c r="T2945" s="267">
        <v>55</v>
      </c>
      <c r="U2945" s="268" t="s">
        <v>164</v>
      </c>
      <c r="V2945" s="427"/>
      <c r="X2945" s="265">
        <v>11128.43</v>
      </c>
      <c r="Y2945" s="265"/>
      <c r="AG2945" s="261">
        <f>X2945</f>
        <v>11128.43</v>
      </c>
      <c r="AJ2945" s="642"/>
    </row>
    <row r="2946" spans="1:77" s="6" customFormat="1" ht="11.25" customHeight="1">
      <c r="A2946" s="379"/>
      <c r="B2946" s="380" t="s">
        <v>291</v>
      </c>
      <c r="C2946" s="381">
        <v>44732</v>
      </c>
      <c r="D2946" s="381">
        <v>44733</v>
      </c>
      <c r="E2946" s="382" t="s">
        <v>2221</v>
      </c>
      <c r="F2946" s="379" t="s">
        <v>1145</v>
      </c>
      <c r="G2946" s="383">
        <v>3884</v>
      </c>
      <c r="H2946" s="379" t="s">
        <v>99</v>
      </c>
      <c r="I2946" s="384" t="s">
        <v>156</v>
      </c>
      <c r="J2946" s="385">
        <v>71118.240000000005</v>
      </c>
      <c r="K2946" s="384"/>
      <c r="L2946" s="385">
        <v>51.76</v>
      </c>
      <c r="M2946" s="385">
        <v>51.76</v>
      </c>
      <c r="N2946" s="386">
        <v>23075.51</v>
      </c>
      <c r="O2946" s="387">
        <v>0.15</v>
      </c>
      <c r="P2946" s="387">
        <v>0.1</v>
      </c>
      <c r="Q2946" s="386">
        <v>30678.15</v>
      </c>
      <c r="R2946" s="379" t="s">
        <v>142</v>
      </c>
      <c r="S2946" s="388" t="s">
        <v>2866</v>
      </c>
      <c r="T2946" s="388">
        <v>24</v>
      </c>
      <c r="U2946" s="389" t="s">
        <v>164</v>
      </c>
      <c r="V2946" s="433"/>
      <c r="W2946" s="379"/>
      <c r="X2946" s="386">
        <v>30678.15</v>
      </c>
      <c r="Y2946" s="386"/>
      <c r="Z2946" s="379"/>
      <c r="AA2946" s="379"/>
      <c r="AB2946" s="379"/>
      <c r="AC2946" s="379"/>
      <c r="AD2946" s="379"/>
      <c r="AE2946" s="379"/>
      <c r="AF2946" s="379"/>
      <c r="AG2946" s="379"/>
      <c r="AH2946" s="379"/>
      <c r="AI2946" s="379"/>
      <c r="AJ2946" s="416">
        <v>30678.15</v>
      </c>
      <c r="AK2946" s="379"/>
      <c r="AL2946" s="379"/>
      <c r="AM2946" s="379"/>
      <c r="AN2946" s="379"/>
      <c r="AO2946" s="379"/>
      <c r="AP2946" s="379"/>
      <c r="AQ2946" s="379"/>
      <c r="AR2946" s="379"/>
      <c r="AS2946" s="379"/>
      <c r="AT2946" s="379"/>
      <c r="AU2946" s="379"/>
      <c r="AV2946" s="379"/>
      <c r="AW2946" s="379"/>
      <c r="AX2946" s="379"/>
      <c r="AY2946" s="379"/>
      <c r="AZ2946" s="379"/>
      <c r="BA2946" s="379"/>
      <c r="BB2946" s="379"/>
      <c r="BC2946" s="379"/>
      <c r="BD2946" s="379"/>
      <c r="BE2946" s="379"/>
      <c r="BF2946" s="379"/>
      <c r="BG2946" s="379"/>
      <c r="BH2946" s="379"/>
      <c r="BI2946" s="379"/>
      <c r="BJ2946" s="379"/>
      <c r="BK2946" s="379"/>
      <c r="BL2946" s="379"/>
      <c r="BM2946" s="379"/>
      <c r="BN2946" s="379"/>
      <c r="BO2946" s="379"/>
      <c r="BP2946" s="379"/>
      <c r="BQ2946" s="379"/>
      <c r="BR2946" s="379"/>
      <c r="BS2946" s="379"/>
      <c r="BT2946" s="379"/>
      <c r="BU2946" s="379"/>
      <c r="BV2946" s="379"/>
      <c r="BW2946" s="379"/>
      <c r="BX2946" s="379"/>
      <c r="BY2946" s="379"/>
    </row>
    <row r="2947" spans="1:77" s="291" customFormat="1" ht="11.25" customHeight="1">
      <c r="A2947" s="379"/>
      <c r="B2947" s="380" t="s">
        <v>291</v>
      </c>
      <c r="C2947" s="381"/>
      <c r="D2947" s="381"/>
      <c r="E2947" s="382" t="s">
        <v>2221</v>
      </c>
      <c r="F2947" s="379" t="s">
        <v>1145</v>
      </c>
      <c r="G2947" s="383">
        <v>3884</v>
      </c>
      <c r="H2947" s="379" t="s">
        <v>910</v>
      </c>
      <c r="I2947" s="384" t="s">
        <v>156</v>
      </c>
      <c r="J2947" s="385">
        <v>91676.58</v>
      </c>
      <c r="K2947" s="384"/>
      <c r="L2947" s="385">
        <v>52.87</v>
      </c>
      <c r="M2947" s="385">
        <v>52.87</v>
      </c>
      <c r="N2947" s="386">
        <v>31714.07</v>
      </c>
      <c r="O2947" s="387">
        <v>0.15</v>
      </c>
      <c r="P2947" s="387">
        <v>0.1</v>
      </c>
      <c r="Q2947" s="386">
        <v>45457.63</v>
      </c>
      <c r="R2947" s="379" t="s">
        <v>142</v>
      </c>
      <c r="S2947" s="388" t="s">
        <v>2866</v>
      </c>
      <c r="T2947" s="388">
        <v>24</v>
      </c>
      <c r="U2947" s="389" t="s">
        <v>164</v>
      </c>
      <c r="V2947" s="433"/>
      <c r="W2947" s="379"/>
      <c r="X2947" s="386">
        <v>45457.63</v>
      </c>
      <c r="Y2947" s="386"/>
      <c r="Z2947" s="379"/>
      <c r="AA2947" s="379"/>
      <c r="AB2947" s="379"/>
      <c r="AC2947" s="379"/>
      <c r="AD2947" s="379"/>
      <c r="AE2947" s="379"/>
      <c r="AF2947" s="379"/>
      <c r="AG2947" s="379"/>
      <c r="AH2947" s="379"/>
      <c r="AI2947" s="379"/>
      <c r="AJ2947" s="416">
        <v>45457.63</v>
      </c>
      <c r="AK2947" s="379"/>
      <c r="AL2947" s="379"/>
      <c r="AM2947" s="379"/>
      <c r="AN2947" s="379"/>
      <c r="AO2947" s="379"/>
      <c r="AP2947" s="379"/>
      <c r="AQ2947" s="379"/>
      <c r="AR2947" s="379"/>
      <c r="AS2947" s="379"/>
      <c r="AT2947" s="379"/>
      <c r="AU2947" s="379"/>
      <c r="AV2947" s="379"/>
      <c r="AW2947" s="379"/>
      <c r="AX2947" s="379"/>
      <c r="AY2947" s="379"/>
      <c r="AZ2947" s="379"/>
      <c r="BA2947" s="379"/>
      <c r="BB2947" s="379"/>
      <c r="BC2947" s="379"/>
      <c r="BD2947" s="379"/>
      <c r="BE2947" s="379"/>
      <c r="BF2947" s="379"/>
      <c r="BG2947" s="379"/>
      <c r="BH2947" s="379"/>
      <c r="BI2947" s="379"/>
      <c r="BJ2947" s="379"/>
      <c r="BK2947" s="379"/>
      <c r="BL2947" s="379"/>
      <c r="BM2947" s="379"/>
      <c r="BN2947" s="379"/>
      <c r="BO2947" s="379"/>
      <c r="BP2947" s="379"/>
      <c r="BQ2947" s="379"/>
      <c r="BR2947" s="379"/>
      <c r="BS2947" s="379"/>
      <c r="BT2947" s="379"/>
      <c r="BU2947" s="379"/>
      <c r="BV2947" s="379"/>
      <c r="BW2947" s="379"/>
      <c r="BX2947" s="379"/>
      <c r="BY2947" s="379"/>
    </row>
    <row r="2948" spans="1:77" s="6" customFormat="1" ht="11.25" customHeight="1">
      <c r="A2948" s="379"/>
      <c r="B2948" s="380" t="s">
        <v>291</v>
      </c>
      <c r="C2948" s="381"/>
      <c r="D2948" s="381"/>
      <c r="E2948" s="382" t="s">
        <v>2221</v>
      </c>
      <c r="F2948" s="379" t="s">
        <v>1145</v>
      </c>
      <c r="G2948" s="383">
        <v>3884</v>
      </c>
      <c r="H2948" s="379" t="s">
        <v>814</v>
      </c>
      <c r="I2948" s="384" t="s">
        <v>156</v>
      </c>
      <c r="J2948" s="385">
        <v>17875.2</v>
      </c>
      <c r="K2948" s="384"/>
      <c r="L2948" s="385">
        <v>21.28</v>
      </c>
      <c r="M2948" s="385">
        <v>21.28</v>
      </c>
      <c r="N2948" s="386">
        <v>7405.44</v>
      </c>
      <c r="O2948" s="387">
        <v>0.15</v>
      </c>
      <c r="P2948" s="387">
        <v>0.1</v>
      </c>
      <c r="Q2948" s="386">
        <v>5042.3</v>
      </c>
      <c r="R2948" s="379" t="s">
        <v>142</v>
      </c>
      <c r="S2948" s="388" t="s">
        <v>2866</v>
      </c>
      <c r="T2948" s="388">
        <v>24</v>
      </c>
      <c r="U2948" s="389" t="s">
        <v>164</v>
      </c>
      <c r="V2948" s="433"/>
      <c r="W2948" s="379"/>
      <c r="X2948" s="386">
        <v>5042.3</v>
      </c>
      <c r="Y2948" s="386"/>
      <c r="Z2948" s="379"/>
      <c r="AA2948" s="379"/>
      <c r="AB2948" s="379"/>
      <c r="AC2948" s="379"/>
      <c r="AD2948" s="379"/>
      <c r="AE2948" s="379"/>
      <c r="AF2948" s="379"/>
      <c r="AG2948" s="379"/>
      <c r="AH2948" s="379"/>
      <c r="AI2948" s="379"/>
      <c r="AJ2948" s="416">
        <v>5042.3</v>
      </c>
      <c r="AK2948" s="379"/>
      <c r="AL2948" s="379"/>
      <c r="AM2948" s="379"/>
      <c r="AN2948" s="379"/>
      <c r="AO2948" s="379"/>
      <c r="AP2948" s="379"/>
      <c r="AQ2948" s="379"/>
      <c r="AR2948" s="379"/>
      <c r="AS2948" s="379"/>
      <c r="AT2948" s="379"/>
      <c r="AU2948" s="379"/>
      <c r="AV2948" s="379"/>
      <c r="AW2948" s="379"/>
      <c r="AX2948" s="379"/>
      <c r="AY2948" s="379"/>
      <c r="AZ2948" s="379"/>
      <c r="BA2948" s="379"/>
      <c r="BB2948" s="379"/>
      <c r="BC2948" s="379"/>
      <c r="BD2948" s="379"/>
      <c r="BE2948" s="379"/>
      <c r="BF2948" s="379"/>
      <c r="BG2948" s="379"/>
      <c r="BH2948" s="379"/>
      <c r="BI2948" s="379"/>
      <c r="BJ2948" s="379"/>
      <c r="BK2948" s="379"/>
      <c r="BL2948" s="379"/>
      <c r="BM2948" s="379"/>
      <c r="BN2948" s="379"/>
      <c r="BO2948" s="379"/>
      <c r="BP2948" s="379"/>
      <c r="BQ2948" s="379"/>
      <c r="BR2948" s="379"/>
      <c r="BS2948" s="379"/>
      <c r="BT2948" s="379"/>
      <c r="BU2948" s="379"/>
      <c r="BV2948" s="379"/>
      <c r="BW2948" s="379"/>
      <c r="BX2948" s="379"/>
      <c r="BY2948" s="379"/>
    </row>
    <row r="2949" spans="1:77" s="291" customFormat="1" ht="11.25" customHeight="1">
      <c r="B2949" s="310" t="s">
        <v>291</v>
      </c>
      <c r="C2949" s="292"/>
      <c r="D2949" s="292"/>
      <c r="E2949" s="293" t="s">
        <v>2221</v>
      </c>
      <c r="F2949" s="291" t="s">
        <v>1145</v>
      </c>
      <c r="G2949" s="294">
        <v>3884</v>
      </c>
      <c r="H2949" s="291" t="s">
        <v>27</v>
      </c>
      <c r="I2949" s="295" t="s">
        <v>156</v>
      </c>
      <c r="J2949" s="296">
        <v>35626.5</v>
      </c>
      <c r="K2949" s="295"/>
      <c r="L2949" s="296">
        <v>21</v>
      </c>
      <c r="M2949" s="296">
        <v>3.2</v>
      </c>
      <c r="N2949" s="297">
        <f>1702.71+4181.76</f>
        <v>5884.47</v>
      </c>
      <c r="O2949" s="298">
        <v>0.15</v>
      </c>
      <c r="P2949" s="298">
        <v>0.1</v>
      </c>
      <c r="Q2949" s="297">
        <v>885.83</v>
      </c>
      <c r="R2949" s="291" t="s">
        <v>142</v>
      </c>
      <c r="S2949" s="299" t="s">
        <v>2866</v>
      </c>
      <c r="T2949" s="299">
        <v>24</v>
      </c>
      <c r="U2949" s="300" t="s">
        <v>164</v>
      </c>
      <c r="V2949" s="333"/>
      <c r="X2949" s="297">
        <v>885.83</v>
      </c>
      <c r="Y2949" s="297"/>
      <c r="AH2949" s="297">
        <f>X2949</f>
        <v>885.83</v>
      </c>
      <c r="AI2949" s="311"/>
      <c r="AJ2949" s="468"/>
    </row>
    <row r="2950" spans="1:77" s="291" customFormat="1" ht="11.25" customHeight="1">
      <c r="B2950" s="310" t="s">
        <v>291</v>
      </c>
      <c r="C2950" s="292"/>
      <c r="D2950" s="292"/>
      <c r="E2950" s="293" t="s">
        <v>2221</v>
      </c>
      <c r="F2950" s="291" t="s">
        <v>1145</v>
      </c>
      <c r="G2950" s="294">
        <v>3884</v>
      </c>
      <c r="H2950" s="291" t="s">
        <v>765</v>
      </c>
      <c r="I2950" s="295" t="s">
        <v>156</v>
      </c>
      <c r="J2950" s="296">
        <v>28194.880000000001</v>
      </c>
      <c r="K2950" s="295"/>
      <c r="L2950" s="296">
        <v>24.56</v>
      </c>
      <c r="M2950" s="296">
        <v>24.56</v>
      </c>
      <c r="N2950" s="297">
        <v>12229.07</v>
      </c>
      <c r="O2950" s="298">
        <v>0.15</v>
      </c>
      <c r="P2950" s="298">
        <v>0.1</v>
      </c>
      <c r="Q2950" s="297">
        <v>4621.4399999999996</v>
      </c>
      <c r="R2950" s="291" t="s">
        <v>142</v>
      </c>
      <c r="S2950" s="299" t="s">
        <v>2866</v>
      </c>
      <c r="T2950" s="299">
        <v>24</v>
      </c>
      <c r="U2950" s="300" t="s">
        <v>164</v>
      </c>
      <c r="V2950" s="333"/>
      <c r="X2950" s="297">
        <v>4621.4399999999996</v>
      </c>
      <c r="Y2950" s="297"/>
      <c r="AH2950" s="297">
        <f>X2950</f>
        <v>4621.4399999999996</v>
      </c>
      <c r="AI2950" s="311"/>
      <c r="AJ2950" s="468"/>
    </row>
    <row r="2951" spans="1:77" s="291" customFormat="1" ht="11.25" customHeight="1">
      <c r="B2951" s="310" t="s">
        <v>291</v>
      </c>
      <c r="C2951" s="292"/>
      <c r="D2951" s="292"/>
      <c r="E2951" s="293" t="s">
        <v>2221</v>
      </c>
      <c r="F2951" s="291" t="s">
        <v>1145</v>
      </c>
      <c r="G2951" s="294">
        <v>3884</v>
      </c>
      <c r="H2951" s="291" t="s">
        <v>163</v>
      </c>
      <c r="I2951" s="295" t="s">
        <v>156</v>
      </c>
      <c r="J2951" s="296">
        <v>7747.95</v>
      </c>
      <c r="K2951" s="295"/>
      <c r="L2951" s="296">
        <v>9.42</v>
      </c>
      <c r="M2951" s="296">
        <v>9.42</v>
      </c>
      <c r="N2951" s="297">
        <v>2258.52</v>
      </c>
      <c r="O2951" s="298">
        <v>0.15</v>
      </c>
      <c r="P2951" s="298">
        <v>0.1</v>
      </c>
      <c r="Q2951" s="297">
        <v>1765.54</v>
      </c>
      <c r="R2951" s="291" t="s">
        <v>142</v>
      </c>
      <c r="S2951" s="299" t="s">
        <v>2866</v>
      </c>
      <c r="T2951" s="299">
        <v>24</v>
      </c>
      <c r="U2951" s="300" t="s">
        <v>164</v>
      </c>
      <c r="V2951" s="333"/>
      <c r="X2951" s="297">
        <v>1765.54</v>
      </c>
      <c r="Y2951" s="297"/>
      <c r="AH2951" s="297">
        <f>X2951</f>
        <v>1765.54</v>
      </c>
      <c r="AI2951" s="311"/>
      <c r="AJ2951" s="468"/>
    </row>
    <row r="2952" spans="1:77" s="291" customFormat="1" ht="11.25" customHeight="1">
      <c r="B2952" s="310" t="s">
        <v>291</v>
      </c>
      <c r="C2952" s="292"/>
      <c r="D2952" s="292"/>
      <c r="E2952" s="293" t="s">
        <v>2221</v>
      </c>
      <c r="F2952" s="291" t="s">
        <v>1145</v>
      </c>
      <c r="G2952" s="294">
        <v>3884</v>
      </c>
      <c r="H2952" s="291" t="s">
        <v>433</v>
      </c>
      <c r="I2952" s="295" t="s">
        <v>156</v>
      </c>
      <c r="J2952" s="296">
        <v>13505.45</v>
      </c>
      <c r="K2952" s="295"/>
      <c r="L2952" s="296">
        <v>16.420000000000002</v>
      </c>
      <c r="M2952" s="296">
        <v>16.420000000000002</v>
      </c>
      <c r="N2952" s="297">
        <v>4442.5600000000004</v>
      </c>
      <c r="O2952" s="298">
        <v>0.15</v>
      </c>
      <c r="P2952" s="298">
        <v>0.1</v>
      </c>
      <c r="Q2952" s="297">
        <v>225.68</v>
      </c>
      <c r="R2952" s="291" t="s">
        <v>142</v>
      </c>
      <c r="S2952" s="299" t="s">
        <v>2866</v>
      </c>
      <c r="T2952" s="299">
        <v>24</v>
      </c>
      <c r="U2952" s="300" t="s">
        <v>164</v>
      </c>
      <c r="V2952" s="333"/>
      <c r="X2952" s="297">
        <v>225.68</v>
      </c>
      <c r="Y2952" s="297"/>
      <c r="AH2952" s="297">
        <f>X2952</f>
        <v>225.68</v>
      </c>
      <c r="AI2952" s="311"/>
      <c r="AJ2952" s="468"/>
    </row>
    <row r="2953" spans="1:77" s="291" customFormat="1" ht="11.25" customHeight="1">
      <c r="B2953" s="310" t="s">
        <v>291</v>
      </c>
      <c r="C2953" s="292">
        <v>44733</v>
      </c>
      <c r="D2953" s="292">
        <v>44733</v>
      </c>
      <c r="E2953" s="293" t="s">
        <v>2222</v>
      </c>
      <c r="F2953" s="291" t="s">
        <v>2223</v>
      </c>
      <c r="G2953" s="294">
        <v>3680</v>
      </c>
      <c r="H2953" s="291" t="s">
        <v>310</v>
      </c>
      <c r="I2953" s="295" t="s">
        <v>33</v>
      </c>
      <c r="J2953" s="296">
        <v>18254.59</v>
      </c>
      <c r="K2953" s="295"/>
      <c r="L2953" s="296">
        <v>17.28</v>
      </c>
      <c r="M2953" s="296">
        <v>17.28</v>
      </c>
      <c r="N2953" s="297">
        <v>2738.1887999999999</v>
      </c>
      <c r="O2953" s="298">
        <v>0.2</v>
      </c>
      <c r="P2953" s="298"/>
      <c r="Q2953" s="297">
        <f>7076.06-6510.65-57.51</f>
        <v>507.90000000000077</v>
      </c>
      <c r="R2953" s="291" t="s">
        <v>50</v>
      </c>
      <c r="S2953" s="299" t="s">
        <v>51</v>
      </c>
      <c r="T2953" s="299">
        <v>54</v>
      </c>
      <c r="U2953" s="300" t="s">
        <v>164</v>
      </c>
      <c r="V2953" s="333"/>
      <c r="W2953" s="291" t="s">
        <v>3908</v>
      </c>
      <c r="X2953" s="297">
        <v>507.9</v>
      </c>
      <c r="Y2953" s="297"/>
      <c r="AF2953" s="311"/>
      <c r="AH2953" s="311">
        <f>X2953</f>
        <v>507.9</v>
      </c>
      <c r="AI2953" s="311"/>
      <c r="AJ2953" s="468"/>
    </row>
    <row r="2954" spans="1:77" s="205" customFormat="1" ht="11.25" customHeight="1">
      <c r="B2954" s="206" t="s">
        <v>291</v>
      </c>
      <c r="C2954" s="207"/>
      <c r="D2954" s="207"/>
      <c r="E2954" s="208" t="s">
        <v>2222</v>
      </c>
      <c r="F2954" s="205" t="s">
        <v>2223</v>
      </c>
      <c r="G2954" s="209">
        <v>3680</v>
      </c>
      <c r="H2954" s="205" t="s">
        <v>99</v>
      </c>
      <c r="I2954" s="219" t="s">
        <v>33</v>
      </c>
      <c r="J2954" s="210">
        <v>72996.44</v>
      </c>
      <c r="K2954" s="219"/>
      <c r="L2954" s="210">
        <v>53.54</v>
      </c>
      <c r="M2954" s="210">
        <v>53.54</v>
      </c>
      <c r="N2954" s="213"/>
      <c r="O2954" s="212">
        <v>0.2</v>
      </c>
      <c r="P2954" s="212"/>
      <c r="Q2954" s="213">
        <v>0</v>
      </c>
      <c r="R2954" s="205" t="s">
        <v>50</v>
      </c>
      <c r="S2954" s="214" t="s">
        <v>51</v>
      </c>
      <c r="T2954" s="214">
        <v>54</v>
      </c>
      <c r="U2954" s="215" t="s">
        <v>164</v>
      </c>
      <c r="V2954" s="438"/>
      <c r="X2954" s="213">
        <v>0</v>
      </c>
      <c r="Y2954" s="213"/>
      <c r="AF2954" s="230">
        <f>X2954</f>
        <v>0</v>
      </c>
      <c r="AJ2954" s="216"/>
    </row>
    <row r="2955" spans="1:77" s="205" customFormat="1" ht="11.25" customHeight="1">
      <c r="B2955" s="206" t="s">
        <v>291</v>
      </c>
      <c r="C2955" s="207"/>
      <c r="D2955" s="207"/>
      <c r="E2955" s="208" t="s">
        <v>2222</v>
      </c>
      <c r="F2955" s="205" t="s">
        <v>2223</v>
      </c>
      <c r="G2955" s="209">
        <v>3680</v>
      </c>
      <c r="H2955" s="205" t="s">
        <v>27</v>
      </c>
      <c r="I2955" s="219" t="s">
        <v>33</v>
      </c>
      <c r="J2955" s="210">
        <v>12652.64</v>
      </c>
      <c r="K2955" s="219"/>
      <c r="L2955" s="210">
        <v>10.27</v>
      </c>
      <c r="M2955" s="210">
        <v>10.27</v>
      </c>
      <c r="N2955" s="213">
        <v>1897.896</v>
      </c>
      <c r="O2955" s="212">
        <v>0.2</v>
      </c>
      <c r="P2955" s="212"/>
      <c r="Q2955" s="213">
        <v>57.51</v>
      </c>
      <c r="R2955" s="205" t="s">
        <v>50</v>
      </c>
      <c r="S2955" s="214" t="s">
        <v>51</v>
      </c>
      <c r="T2955" s="214">
        <v>54</v>
      </c>
      <c r="U2955" s="215" t="s">
        <v>164</v>
      </c>
      <c r="V2955" s="438"/>
      <c r="X2955" s="213">
        <v>57.51</v>
      </c>
      <c r="Y2955" s="213"/>
      <c r="AF2955" s="230">
        <f>X2955</f>
        <v>57.51</v>
      </c>
      <c r="AJ2955" s="216"/>
    </row>
    <row r="2956" spans="1:77" s="205" customFormat="1" ht="11.25" customHeight="1">
      <c r="B2956" s="206" t="s">
        <v>291</v>
      </c>
      <c r="C2956" s="207"/>
      <c r="D2956" s="207"/>
      <c r="E2956" s="208" t="s">
        <v>2222</v>
      </c>
      <c r="F2956" s="205" t="s">
        <v>2223</v>
      </c>
      <c r="G2956" s="209">
        <v>3680</v>
      </c>
      <c r="H2956" s="205" t="s">
        <v>183</v>
      </c>
      <c r="I2956" s="219" t="s">
        <v>33</v>
      </c>
      <c r="J2956" s="210">
        <v>17984.16</v>
      </c>
      <c r="K2956" s="219"/>
      <c r="L2956" s="210">
        <v>16.29</v>
      </c>
      <c r="M2956" s="210">
        <v>16.29</v>
      </c>
      <c r="N2956" s="213"/>
      <c r="O2956" s="212">
        <v>0.2</v>
      </c>
      <c r="P2956" s="212"/>
      <c r="Q2956" s="213">
        <v>0</v>
      </c>
      <c r="R2956" s="205" t="s">
        <v>50</v>
      </c>
      <c r="S2956" s="214" t="s">
        <v>51</v>
      </c>
      <c r="T2956" s="214">
        <v>54</v>
      </c>
      <c r="U2956" s="215" t="s">
        <v>164</v>
      </c>
      <c r="V2956" s="438"/>
      <c r="X2956" s="213">
        <v>0</v>
      </c>
      <c r="Y2956" s="213"/>
      <c r="AF2956" s="230">
        <f>X2956</f>
        <v>0</v>
      </c>
      <c r="AJ2956" s="216"/>
    </row>
    <row r="2957" spans="1:77" s="205" customFormat="1" ht="11.25" customHeight="1">
      <c r="B2957" s="206" t="s">
        <v>291</v>
      </c>
      <c r="C2957" s="207"/>
      <c r="D2957" s="207"/>
      <c r="E2957" s="208" t="s">
        <v>2222</v>
      </c>
      <c r="F2957" s="205" t="s">
        <v>2223</v>
      </c>
      <c r="G2957" s="209">
        <v>3680</v>
      </c>
      <c r="H2957" s="205" t="s">
        <v>137</v>
      </c>
      <c r="I2957" s="219" t="s">
        <v>33</v>
      </c>
      <c r="J2957" s="210">
        <v>27399.83</v>
      </c>
      <c r="K2957" s="219"/>
      <c r="L2957" s="210">
        <v>28.19</v>
      </c>
      <c r="M2957" s="210">
        <v>28.19</v>
      </c>
      <c r="N2957" s="213"/>
      <c r="O2957" s="212">
        <v>0.2</v>
      </c>
      <c r="P2957" s="212"/>
      <c r="Q2957" s="213">
        <v>6510.65</v>
      </c>
      <c r="R2957" s="205" t="s">
        <v>50</v>
      </c>
      <c r="S2957" s="214" t="s">
        <v>51</v>
      </c>
      <c r="T2957" s="214">
        <v>54</v>
      </c>
      <c r="U2957" s="215" t="s">
        <v>164</v>
      </c>
      <c r="V2957" s="438"/>
      <c r="X2957" s="213">
        <v>6510.65</v>
      </c>
      <c r="Y2957" s="213"/>
      <c r="AF2957" s="230">
        <f>X2957</f>
        <v>6510.65</v>
      </c>
      <c r="AJ2957" s="216"/>
    </row>
    <row r="2958" spans="1:77" s="379" customFormat="1" ht="11.25" customHeight="1">
      <c r="B2958" s="380" t="s">
        <v>291</v>
      </c>
      <c r="C2958" s="381">
        <v>44733</v>
      </c>
      <c r="D2958" s="381">
        <v>44733</v>
      </c>
      <c r="E2958" s="382" t="s">
        <v>2224</v>
      </c>
      <c r="F2958" s="379" t="s">
        <v>581</v>
      </c>
      <c r="G2958" s="383" t="s">
        <v>582</v>
      </c>
      <c r="H2958" s="379" t="s">
        <v>138</v>
      </c>
      <c r="I2958" s="384" t="s">
        <v>33</v>
      </c>
      <c r="J2958" s="385">
        <v>27133.66</v>
      </c>
      <c r="K2958" s="384"/>
      <c r="L2958" s="385">
        <v>25.79</v>
      </c>
      <c r="M2958" s="385">
        <v>25.79</v>
      </c>
      <c r="N2958" s="386"/>
      <c r="O2958" s="387">
        <v>0.2</v>
      </c>
      <c r="P2958" s="387"/>
      <c r="Q2958" s="386">
        <v>0</v>
      </c>
      <c r="R2958" s="379" t="s">
        <v>146</v>
      </c>
      <c r="S2958" s="388" t="s">
        <v>74</v>
      </c>
      <c r="T2958" s="388">
        <v>31</v>
      </c>
      <c r="U2958" s="389" t="s">
        <v>164</v>
      </c>
      <c r="V2958" s="433"/>
      <c r="X2958" s="386">
        <v>0</v>
      </c>
      <c r="Y2958" s="386"/>
      <c r="AJ2958" s="390">
        <v>0</v>
      </c>
    </row>
    <row r="2959" spans="1:77" s="261" customFormat="1" ht="11.25" customHeight="1">
      <c r="B2959" s="258" t="s">
        <v>291</v>
      </c>
      <c r="C2959" s="259"/>
      <c r="D2959" s="259"/>
      <c r="E2959" s="260" t="s">
        <v>2224</v>
      </c>
      <c r="F2959" s="261" t="s">
        <v>581</v>
      </c>
      <c r="G2959" s="262" t="s">
        <v>582</v>
      </c>
      <c r="H2959" s="261" t="s">
        <v>27</v>
      </c>
      <c r="I2959" s="264" t="s">
        <v>33</v>
      </c>
      <c r="J2959" s="263">
        <v>44961.66</v>
      </c>
      <c r="K2959" s="264"/>
      <c r="L2959" s="263">
        <v>31.82</v>
      </c>
      <c r="M2959" s="263">
        <v>31.82</v>
      </c>
      <c r="N2959" s="265"/>
      <c r="O2959" s="266">
        <v>0.2</v>
      </c>
      <c r="P2959" s="266"/>
      <c r="Q2959" s="265">
        <v>0</v>
      </c>
      <c r="R2959" s="261" t="s">
        <v>146</v>
      </c>
      <c r="S2959" s="267" t="s">
        <v>74</v>
      </c>
      <c r="T2959" s="267">
        <v>31</v>
      </c>
      <c r="U2959" s="268" t="s">
        <v>164</v>
      </c>
      <c r="V2959" s="427"/>
      <c r="X2959" s="265">
        <v>0</v>
      </c>
      <c r="Y2959" s="265"/>
      <c r="AG2959" s="261">
        <f>X2959</f>
        <v>0</v>
      </c>
      <c r="AJ2959" s="642"/>
    </row>
    <row r="2960" spans="1:77" s="379" customFormat="1" ht="11.25" customHeight="1">
      <c r="B2960" s="380" t="s">
        <v>291</v>
      </c>
      <c r="C2960" s="381"/>
      <c r="D2960" s="381"/>
      <c r="E2960" s="382" t="s">
        <v>2224</v>
      </c>
      <c r="F2960" s="379" t="s">
        <v>581</v>
      </c>
      <c r="G2960" s="383" t="s">
        <v>582</v>
      </c>
      <c r="H2960" s="379" t="s">
        <v>910</v>
      </c>
      <c r="I2960" s="384" t="s">
        <v>33</v>
      </c>
      <c r="J2960" s="385">
        <v>160821.84</v>
      </c>
      <c r="K2960" s="384"/>
      <c r="L2960" s="385">
        <v>68.61</v>
      </c>
      <c r="M2960" s="385">
        <v>68.61</v>
      </c>
      <c r="N2960" s="386"/>
      <c r="O2960" s="387">
        <v>0.2</v>
      </c>
      <c r="P2960" s="387"/>
      <c r="Q2960" s="386">
        <v>36445.629999999997</v>
      </c>
      <c r="R2960" s="379" t="s">
        <v>146</v>
      </c>
      <c r="S2960" s="388" t="s">
        <v>74</v>
      </c>
      <c r="T2960" s="388">
        <v>31</v>
      </c>
      <c r="U2960" s="389" t="s">
        <v>164</v>
      </c>
      <c r="V2960" s="433"/>
      <c r="X2960" s="386">
        <v>36445.629999999997</v>
      </c>
      <c r="Y2960" s="386"/>
      <c r="AJ2960" s="416">
        <v>36445.629999999997</v>
      </c>
    </row>
    <row r="2961" spans="1:77" s="379" customFormat="1" ht="11.25" customHeight="1">
      <c r="B2961" s="380" t="s">
        <v>291</v>
      </c>
      <c r="C2961" s="381"/>
      <c r="D2961" s="381"/>
      <c r="E2961" s="382" t="s">
        <v>2224</v>
      </c>
      <c r="F2961" s="379" t="s">
        <v>581</v>
      </c>
      <c r="G2961" s="383" t="s">
        <v>582</v>
      </c>
      <c r="H2961" s="379" t="s">
        <v>866</v>
      </c>
      <c r="I2961" s="384" t="s">
        <v>33</v>
      </c>
      <c r="J2961" s="385">
        <v>23942.799999999999</v>
      </c>
      <c r="K2961" s="384"/>
      <c r="L2961" s="385">
        <v>20.12</v>
      </c>
      <c r="M2961" s="385">
        <v>20.12</v>
      </c>
      <c r="N2961" s="386"/>
      <c r="O2961" s="387">
        <v>0.2</v>
      </c>
      <c r="P2961" s="387"/>
      <c r="Q2961" s="386">
        <v>15130.24</v>
      </c>
      <c r="R2961" s="379" t="s">
        <v>146</v>
      </c>
      <c r="S2961" s="388" t="s">
        <v>74</v>
      </c>
      <c r="T2961" s="388">
        <v>31</v>
      </c>
      <c r="U2961" s="389" t="s">
        <v>164</v>
      </c>
      <c r="V2961" s="433"/>
      <c r="X2961" s="386">
        <v>15130.24</v>
      </c>
      <c r="Y2961" s="386"/>
      <c r="AJ2961" s="416">
        <v>15130.24</v>
      </c>
    </row>
    <row r="2962" spans="1:77" s="261" customFormat="1" ht="11.25" customHeight="1">
      <c r="B2962" s="258" t="s">
        <v>291</v>
      </c>
      <c r="C2962" s="259"/>
      <c r="D2962" s="259"/>
      <c r="E2962" s="260" t="s">
        <v>2224</v>
      </c>
      <c r="F2962" s="261" t="s">
        <v>581</v>
      </c>
      <c r="G2962" s="262" t="s">
        <v>582</v>
      </c>
      <c r="H2962" s="261" t="s">
        <v>137</v>
      </c>
      <c r="I2962" s="264" t="s">
        <v>33</v>
      </c>
      <c r="J2962" s="263">
        <v>25029</v>
      </c>
      <c r="K2962" s="264"/>
      <c r="L2962" s="263">
        <v>30.9</v>
      </c>
      <c r="M2962" s="263">
        <v>30.9</v>
      </c>
      <c r="N2962" s="265"/>
      <c r="O2962" s="266">
        <v>0.2</v>
      </c>
      <c r="P2962" s="266"/>
      <c r="Q2962" s="265">
        <v>0</v>
      </c>
      <c r="R2962" s="261" t="s">
        <v>146</v>
      </c>
      <c r="S2962" s="267" t="s">
        <v>74</v>
      </c>
      <c r="T2962" s="267">
        <v>31</v>
      </c>
      <c r="U2962" s="268" t="s">
        <v>164</v>
      </c>
      <c r="V2962" s="427"/>
      <c r="X2962" s="265">
        <v>0</v>
      </c>
      <c r="Y2962" s="265"/>
      <c r="AG2962" s="261">
        <f>X2962</f>
        <v>0</v>
      </c>
      <c r="AJ2962" s="642"/>
    </row>
    <row r="2963" spans="1:77" s="379" customFormat="1" ht="11.25" customHeight="1">
      <c r="B2963" s="380" t="s">
        <v>291</v>
      </c>
      <c r="C2963" s="381"/>
      <c r="D2963" s="381"/>
      <c r="E2963" s="382" t="s">
        <v>2224</v>
      </c>
      <c r="F2963" s="379" t="s">
        <v>581</v>
      </c>
      <c r="G2963" s="383" t="s">
        <v>582</v>
      </c>
      <c r="H2963" s="379" t="s">
        <v>765</v>
      </c>
      <c r="I2963" s="384" t="s">
        <v>33</v>
      </c>
      <c r="J2963" s="385">
        <v>20631.55</v>
      </c>
      <c r="K2963" s="384"/>
      <c r="L2963" s="385">
        <v>20.48</v>
      </c>
      <c r="M2963" s="385">
        <v>20.48</v>
      </c>
      <c r="N2963" s="386"/>
      <c r="O2963" s="387">
        <v>0.2</v>
      </c>
      <c r="P2963" s="387"/>
      <c r="Q2963" s="386">
        <v>3504.54</v>
      </c>
      <c r="R2963" s="379" t="s">
        <v>146</v>
      </c>
      <c r="S2963" s="388" t="s">
        <v>74</v>
      </c>
      <c r="T2963" s="388">
        <v>31</v>
      </c>
      <c r="U2963" s="389" t="s">
        <v>164</v>
      </c>
      <c r="V2963" s="433"/>
      <c r="X2963" s="386">
        <v>3504.54</v>
      </c>
      <c r="Y2963" s="386"/>
      <c r="AJ2963" s="416">
        <v>3504.54</v>
      </c>
    </row>
    <row r="2964" spans="1:77" s="181" customFormat="1" ht="11.25" customHeight="1">
      <c r="B2964" s="181" t="s">
        <v>291</v>
      </c>
      <c r="C2964" s="179">
        <v>44732</v>
      </c>
      <c r="D2964" s="179">
        <v>44733</v>
      </c>
      <c r="E2964" s="180" t="s">
        <v>2225</v>
      </c>
      <c r="F2964" s="181" t="s">
        <v>1406</v>
      </c>
      <c r="G2964" s="182">
        <v>3824</v>
      </c>
      <c r="H2964" s="181" t="s">
        <v>99</v>
      </c>
      <c r="I2964" s="190" t="s">
        <v>156</v>
      </c>
      <c r="J2964" s="183">
        <v>22457.09</v>
      </c>
      <c r="K2964" s="190"/>
      <c r="L2964" s="183">
        <v>28.8</v>
      </c>
      <c r="M2964" s="183">
        <v>28.8</v>
      </c>
      <c r="N2964" s="185"/>
      <c r="O2964" s="186">
        <v>0.15</v>
      </c>
      <c r="P2964" s="186">
        <v>0.1</v>
      </c>
      <c r="Q2964" s="185">
        <v>0</v>
      </c>
      <c r="R2964" s="184" t="s">
        <v>1407</v>
      </c>
      <c r="S2964" s="199" t="s">
        <v>41</v>
      </c>
      <c r="T2964" s="199">
        <v>24</v>
      </c>
      <c r="U2964" s="188" t="s">
        <v>164</v>
      </c>
      <c r="V2964" s="441"/>
      <c r="X2964" s="185">
        <v>0</v>
      </c>
      <c r="Y2964" s="185"/>
      <c r="AE2964" s="204">
        <f>X2964</f>
        <v>0</v>
      </c>
      <c r="AJ2964" s="189"/>
    </row>
    <row r="2965" spans="1:77" s="181" customFormat="1" ht="11.25" customHeight="1">
      <c r="B2965" s="181" t="s">
        <v>291</v>
      </c>
      <c r="C2965" s="179"/>
      <c r="D2965" s="179"/>
      <c r="E2965" s="180" t="s">
        <v>2225</v>
      </c>
      <c r="F2965" s="181" t="s">
        <v>1406</v>
      </c>
      <c r="G2965" s="182">
        <v>3824</v>
      </c>
      <c r="H2965" s="181" t="s">
        <v>910</v>
      </c>
      <c r="I2965" s="190" t="s">
        <v>156</v>
      </c>
      <c r="J2965" s="183">
        <v>58696</v>
      </c>
      <c r="K2965" s="190"/>
      <c r="L2965" s="183">
        <v>44</v>
      </c>
      <c r="M2965" s="183">
        <v>10</v>
      </c>
      <c r="N2965" s="185"/>
      <c r="O2965" s="186">
        <v>0.15</v>
      </c>
      <c r="P2965" s="186">
        <v>0.1</v>
      </c>
      <c r="Q2965" s="185">
        <v>0</v>
      </c>
      <c r="R2965" s="184" t="s">
        <v>1407</v>
      </c>
      <c r="S2965" s="199" t="s">
        <v>41</v>
      </c>
      <c r="T2965" s="199">
        <v>24</v>
      </c>
      <c r="U2965" s="188" t="s">
        <v>164</v>
      </c>
      <c r="V2965" s="441"/>
      <c r="X2965" s="185">
        <v>0</v>
      </c>
      <c r="Y2965" s="185"/>
      <c r="AE2965" s="204">
        <f>X2965</f>
        <v>0</v>
      </c>
      <c r="AJ2965" s="189"/>
    </row>
    <row r="2966" spans="1:77" s="6" customFormat="1" ht="11.25" customHeight="1">
      <c r="A2966" s="379"/>
      <c r="B2966" s="379" t="s">
        <v>291</v>
      </c>
      <c r="C2966" s="381">
        <v>44730</v>
      </c>
      <c r="D2966" s="381">
        <v>44733</v>
      </c>
      <c r="E2966" s="382" t="s">
        <v>2226</v>
      </c>
      <c r="F2966" s="379" t="s">
        <v>2227</v>
      </c>
      <c r="G2966" s="383">
        <v>3695</v>
      </c>
      <c r="H2966" s="379" t="s">
        <v>27</v>
      </c>
      <c r="I2966" s="384" t="s">
        <v>958</v>
      </c>
      <c r="J2966" s="385">
        <v>36265.949999999997</v>
      </c>
      <c r="K2966" s="384"/>
      <c r="L2966" s="385">
        <v>35</v>
      </c>
      <c r="M2966" s="385">
        <v>35</v>
      </c>
      <c r="N2966" s="386">
        <f>2650.94+674.44</f>
        <v>3325.38</v>
      </c>
      <c r="O2966" s="387">
        <v>0.2</v>
      </c>
      <c r="P2966" s="387"/>
      <c r="Q2966" s="386">
        <v>0</v>
      </c>
      <c r="R2966" s="379" t="s">
        <v>29</v>
      </c>
      <c r="S2966" s="388" t="s">
        <v>51</v>
      </c>
      <c r="T2966" s="388">
        <v>52</v>
      </c>
      <c r="U2966" s="389" t="s">
        <v>164</v>
      </c>
      <c r="V2966" s="433"/>
      <c r="W2966" s="379"/>
      <c r="X2966" s="386">
        <v>0</v>
      </c>
      <c r="Y2966" s="386"/>
      <c r="Z2966" s="379"/>
      <c r="AA2966" s="379"/>
      <c r="AB2966" s="379"/>
      <c r="AC2966" s="379"/>
      <c r="AD2966" s="379"/>
      <c r="AE2966" s="379"/>
      <c r="AF2966" s="379"/>
      <c r="AG2966" s="379"/>
      <c r="AH2966" s="379"/>
      <c r="AI2966" s="379"/>
      <c r="AJ2966" s="390">
        <v>0</v>
      </c>
      <c r="AK2966" s="379"/>
      <c r="AL2966" s="379"/>
      <c r="AM2966" s="379"/>
      <c r="AN2966" s="379"/>
      <c r="AO2966" s="379"/>
      <c r="AP2966" s="379"/>
      <c r="AQ2966" s="379"/>
      <c r="AR2966" s="379"/>
      <c r="AS2966" s="379"/>
      <c r="AT2966" s="379"/>
      <c r="AU2966" s="379"/>
      <c r="AV2966" s="379"/>
      <c r="AW2966" s="379"/>
      <c r="AX2966" s="379"/>
      <c r="AY2966" s="379"/>
      <c r="AZ2966" s="379"/>
      <c r="BA2966" s="379"/>
      <c r="BB2966" s="379"/>
      <c r="BC2966" s="379"/>
      <c r="BD2966" s="379"/>
      <c r="BE2966" s="379"/>
      <c r="BF2966" s="379"/>
      <c r="BG2966" s="379"/>
      <c r="BH2966" s="379"/>
      <c r="BI2966" s="379"/>
      <c r="BJ2966" s="379"/>
      <c r="BK2966" s="379"/>
      <c r="BL2966" s="379"/>
      <c r="BM2966" s="379"/>
      <c r="BN2966" s="379"/>
      <c r="BO2966" s="379"/>
      <c r="BP2966" s="379"/>
      <c r="BQ2966" s="379"/>
      <c r="BR2966" s="379"/>
      <c r="BS2966" s="379"/>
      <c r="BT2966" s="379"/>
      <c r="BU2966" s="379"/>
      <c r="BV2966" s="379"/>
      <c r="BW2966" s="379"/>
      <c r="BX2966" s="379"/>
      <c r="BY2966" s="379"/>
    </row>
    <row r="2967" spans="1:77" s="6" customFormat="1" ht="11.25" customHeight="1">
      <c r="A2967" s="379"/>
      <c r="B2967" s="379" t="s">
        <v>291</v>
      </c>
      <c r="C2967" s="381"/>
      <c r="D2967" s="381"/>
      <c r="E2967" s="382" t="s">
        <v>2226</v>
      </c>
      <c r="F2967" s="379" t="s">
        <v>2227</v>
      </c>
      <c r="G2967" s="383">
        <v>3695</v>
      </c>
      <c r="H2967" s="379" t="s">
        <v>99</v>
      </c>
      <c r="I2967" s="384" t="s">
        <v>958</v>
      </c>
      <c r="J2967" s="385">
        <v>90956.800000000003</v>
      </c>
      <c r="K2967" s="384"/>
      <c r="L2967" s="385">
        <v>76</v>
      </c>
      <c r="M2967" s="385">
        <v>76</v>
      </c>
      <c r="N2967" s="386">
        <f>5193.51+3559.88+5091.19</f>
        <v>13844.579999999998</v>
      </c>
      <c r="O2967" s="387">
        <v>0.2</v>
      </c>
      <c r="P2967" s="387"/>
      <c r="Q2967" s="386">
        <v>0</v>
      </c>
      <c r="R2967" s="379" t="s">
        <v>29</v>
      </c>
      <c r="S2967" s="388" t="s">
        <v>51</v>
      </c>
      <c r="T2967" s="388">
        <v>52</v>
      </c>
      <c r="U2967" s="389" t="s">
        <v>164</v>
      </c>
      <c r="V2967" s="433"/>
      <c r="W2967" s="379"/>
      <c r="X2967" s="386">
        <v>0</v>
      </c>
      <c r="Y2967" s="386"/>
      <c r="Z2967" s="379"/>
      <c r="AA2967" s="379"/>
      <c r="AB2967" s="379"/>
      <c r="AC2967" s="379"/>
      <c r="AD2967" s="379"/>
      <c r="AE2967" s="379"/>
      <c r="AF2967" s="379"/>
      <c r="AG2967" s="379"/>
      <c r="AH2967" s="379"/>
      <c r="AI2967" s="379"/>
      <c r="AJ2967" s="390">
        <v>0</v>
      </c>
      <c r="AK2967" s="379"/>
      <c r="AL2967" s="379"/>
      <c r="AM2967" s="379"/>
      <c r="AN2967" s="379"/>
      <c r="AO2967" s="379"/>
      <c r="AP2967" s="379"/>
      <c r="AQ2967" s="379"/>
      <c r="AR2967" s="379"/>
      <c r="AS2967" s="379"/>
      <c r="AT2967" s="379"/>
      <c r="AU2967" s="379"/>
      <c r="AV2967" s="379"/>
      <c r="AW2967" s="379"/>
      <c r="AX2967" s="379"/>
      <c r="AY2967" s="379"/>
      <c r="AZ2967" s="379"/>
      <c r="BA2967" s="379"/>
      <c r="BB2967" s="379"/>
      <c r="BC2967" s="379"/>
      <c r="BD2967" s="379"/>
      <c r="BE2967" s="379"/>
      <c r="BF2967" s="379"/>
      <c r="BG2967" s="379"/>
      <c r="BH2967" s="379"/>
      <c r="BI2967" s="379"/>
      <c r="BJ2967" s="379"/>
      <c r="BK2967" s="379"/>
      <c r="BL2967" s="379"/>
      <c r="BM2967" s="379"/>
      <c r="BN2967" s="379"/>
      <c r="BO2967" s="379"/>
      <c r="BP2967" s="379"/>
      <c r="BQ2967" s="379"/>
      <c r="BR2967" s="379"/>
      <c r="BS2967" s="379"/>
      <c r="BT2967" s="379"/>
      <c r="BU2967" s="379"/>
      <c r="BV2967" s="379"/>
      <c r="BW2967" s="379"/>
      <c r="BX2967" s="379"/>
      <c r="BY2967" s="379"/>
    </row>
    <row r="2968" spans="1:77" s="6" customFormat="1" ht="11.25" customHeight="1">
      <c r="A2968" s="379"/>
      <c r="B2968" s="379" t="s">
        <v>291</v>
      </c>
      <c r="C2968" s="381"/>
      <c r="D2968" s="381"/>
      <c r="E2968" s="382" t="s">
        <v>2226</v>
      </c>
      <c r="F2968" s="379" t="s">
        <v>2227</v>
      </c>
      <c r="G2968" s="383">
        <v>3695</v>
      </c>
      <c r="H2968" s="379" t="s">
        <v>442</v>
      </c>
      <c r="I2968" s="384" t="s">
        <v>958</v>
      </c>
      <c r="J2968" s="385">
        <v>13252.5</v>
      </c>
      <c r="K2968" s="384"/>
      <c r="L2968" s="385">
        <v>19</v>
      </c>
      <c r="M2968" s="385">
        <v>19</v>
      </c>
      <c r="N2968" s="386">
        <v>6361.2</v>
      </c>
      <c r="O2968" s="387">
        <v>0.2</v>
      </c>
      <c r="P2968" s="387"/>
      <c r="Q2968" s="386">
        <v>0</v>
      </c>
      <c r="R2968" s="379" t="s">
        <v>29</v>
      </c>
      <c r="S2968" s="388" t="s">
        <v>51</v>
      </c>
      <c r="T2968" s="388">
        <v>52</v>
      </c>
      <c r="U2968" s="389" t="s">
        <v>164</v>
      </c>
      <c r="V2968" s="433"/>
      <c r="W2968" s="379"/>
      <c r="X2968" s="386">
        <v>0</v>
      </c>
      <c r="Y2968" s="386"/>
      <c r="Z2968" s="379"/>
      <c r="AA2968" s="379"/>
      <c r="AB2968" s="379"/>
      <c r="AC2968" s="379"/>
      <c r="AD2968" s="379"/>
      <c r="AE2968" s="379"/>
      <c r="AF2968" s="379"/>
      <c r="AG2968" s="379"/>
      <c r="AH2968" s="379"/>
      <c r="AI2968" s="379"/>
      <c r="AJ2968" s="390">
        <v>0</v>
      </c>
      <c r="AK2968" s="379"/>
      <c r="AL2968" s="379"/>
      <c r="AM2968" s="379"/>
      <c r="AN2968" s="379"/>
      <c r="AO2968" s="379"/>
      <c r="AP2968" s="379"/>
      <c r="AQ2968" s="379"/>
      <c r="AR2968" s="379"/>
      <c r="AS2968" s="379"/>
      <c r="AT2968" s="379"/>
      <c r="AU2968" s="379"/>
      <c r="AV2968" s="379"/>
      <c r="AW2968" s="379"/>
      <c r="AX2968" s="379"/>
      <c r="AY2968" s="379"/>
      <c r="AZ2968" s="379"/>
      <c r="BA2968" s="379"/>
      <c r="BB2968" s="379"/>
      <c r="BC2968" s="379"/>
      <c r="BD2968" s="379"/>
      <c r="BE2968" s="379"/>
      <c r="BF2968" s="379"/>
      <c r="BG2968" s="379"/>
      <c r="BH2968" s="379"/>
      <c r="BI2968" s="379"/>
      <c r="BJ2968" s="379"/>
      <c r="BK2968" s="379"/>
      <c r="BL2968" s="379"/>
      <c r="BM2968" s="379"/>
      <c r="BN2968" s="379"/>
      <c r="BO2968" s="379"/>
      <c r="BP2968" s="379"/>
      <c r="BQ2968" s="379"/>
      <c r="BR2968" s="379"/>
      <c r="BS2968" s="379"/>
      <c r="BT2968" s="379"/>
      <c r="BU2968" s="379"/>
      <c r="BV2968" s="379"/>
      <c r="BW2968" s="379"/>
      <c r="BX2968" s="379"/>
      <c r="BY2968" s="379"/>
    </row>
    <row r="2969" spans="1:77" s="6" customFormat="1" ht="11.25" customHeight="1">
      <c r="A2969" s="379"/>
      <c r="B2969" s="379" t="s">
        <v>291</v>
      </c>
      <c r="C2969" s="381"/>
      <c r="D2969" s="381"/>
      <c r="E2969" s="382" t="s">
        <v>2226</v>
      </c>
      <c r="F2969" s="379" t="s">
        <v>2227</v>
      </c>
      <c r="G2969" s="383">
        <v>3695</v>
      </c>
      <c r="H2969" s="379" t="s">
        <v>137</v>
      </c>
      <c r="I2969" s="384" t="s">
        <v>958</v>
      </c>
      <c r="J2969" s="385">
        <v>24619.4</v>
      </c>
      <c r="K2969" s="384"/>
      <c r="L2969" s="385">
        <v>26</v>
      </c>
      <c r="M2969" s="385">
        <v>26</v>
      </c>
      <c r="N2969" s="386">
        <v>3446.72</v>
      </c>
      <c r="O2969" s="387">
        <v>0.2</v>
      </c>
      <c r="P2969" s="387"/>
      <c r="Q2969" s="386">
        <v>0</v>
      </c>
      <c r="R2969" s="379" t="s">
        <v>29</v>
      </c>
      <c r="S2969" s="388" t="s">
        <v>51</v>
      </c>
      <c r="T2969" s="388">
        <v>52</v>
      </c>
      <c r="U2969" s="389" t="s">
        <v>164</v>
      </c>
      <c r="V2969" s="433"/>
      <c r="W2969" s="379"/>
      <c r="X2969" s="386">
        <v>0</v>
      </c>
      <c r="Y2969" s="386"/>
      <c r="Z2969" s="379"/>
      <c r="AA2969" s="379"/>
      <c r="AB2969" s="379"/>
      <c r="AC2969" s="379"/>
      <c r="AD2969" s="379"/>
      <c r="AE2969" s="379"/>
      <c r="AF2969" s="379"/>
      <c r="AG2969" s="379"/>
      <c r="AH2969" s="379"/>
      <c r="AI2969" s="379"/>
      <c r="AJ2969" s="390">
        <v>0</v>
      </c>
      <c r="AK2969" s="379"/>
      <c r="AL2969" s="379"/>
      <c r="AM2969" s="379"/>
      <c r="AN2969" s="379"/>
      <c r="AO2969" s="379"/>
      <c r="AP2969" s="379"/>
      <c r="AQ2969" s="379"/>
      <c r="AR2969" s="379"/>
      <c r="AS2969" s="379"/>
      <c r="AT2969" s="379"/>
      <c r="AU2969" s="379"/>
      <c r="AV2969" s="379"/>
      <c r="AW2969" s="379"/>
      <c r="AX2969" s="379"/>
      <c r="AY2969" s="379"/>
      <c r="AZ2969" s="379"/>
      <c r="BA2969" s="379"/>
      <c r="BB2969" s="379"/>
      <c r="BC2969" s="379"/>
      <c r="BD2969" s="379"/>
      <c r="BE2969" s="379"/>
      <c r="BF2969" s="379"/>
      <c r="BG2969" s="379"/>
      <c r="BH2969" s="379"/>
      <c r="BI2969" s="379"/>
      <c r="BJ2969" s="379"/>
      <c r="BK2969" s="379"/>
      <c r="BL2969" s="379"/>
      <c r="BM2969" s="379"/>
      <c r="BN2969" s="379"/>
      <c r="BO2969" s="379"/>
      <c r="BP2969" s="379"/>
      <c r="BQ2969" s="379"/>
      <c r="BR2969" s="379"/>
      <c r="BS2969" s="379"/>
      <c r="BT2969" s="379"/>
      <c r="BU2969" s="379"/>
      <c r="BV2969" s="379"/>
      <c r="BW2969" s="379"/>
      <c r="BX2969" s="379"/>
      <c r="BY2969" s="379"/>
    </row>
    <row r="2970" spans="1:77" s="6" customFormat="1" ht="11.25" customHeight="1">
      <c r="A2970" s="379"/>
      <c r="B2970" s="379" t="s">
        <v>291</v>
      </c>
      <c r="C2970" s="381"/>
      <c r="D2970" s="381"/>
      <c r="E2970" s="382" t="s">
        <v>2226</v>
      </c>
      <c r="F2970" s="379" t="s">
        <v>2227</v>
      </c>
      <c r="G2970" s="383">
        <v>3695</v>
      </c>
      <c r="H2970" s="379" t="s">
        <v>941</v>
      </c>
      <c r="I2970" s="384" t="s">
        <v>958</v>
      </c>
      <c r="J2970" s="385">
        <v>3876.6</v>
      </c>
      <c r="K2970" s="384"/>
      <c r="L2970" s="385">
        <v>6.5</v>
      </c>
      <c r="M2970" s="385">
        <v>6.5</v>
      </c>
      <c r="N2970" s="386">
        <v>697.79</v>
      </c>
      <c r="O2970" s="387">
        <v>0.2</v>
      </c>
      <c r="P2970" s="387"/>
      <c r="Q2970" s="386">
        <v>307.58</v>
      </c>
      <c r="R2970" s="379" t="s">
        <v>29</v>
      </c>
      <c r="S2970" s="388" t="s">
        <v>51</v>
      </c>
      <c r="T2970" s="388">
        <v>52</v>
      </c>
      <c r="U2970" s="389" t="s">
        <v>164</v>
      </c>
      <c r="V2970" s="433"/>
      <c r="W2970" s="379"/>
      <c r="X2970" s="386">
        <v>307.58</v>
      </c>
      <c r="Y2970" s="386"/>
      <c r="Z2970" s="379"/>
      <c r="AA2970" s="379"/>
      <c r="AB2970" s="379"/>
      <c r="AC2970" s="379"/>
      <c r="AD2970" s="379"/>
      <c r="AE2970" s="379"/>
      <c r="AF2970" s="379"/>
      <c r="AG2970" s="379"/>
      <c r="AH2970" s="379"/>
      <c r="AI2970" s="379"/>
      <c r="AJ2970" s="416">
        <v>307.58</v>
      </c>
      <c r="AK2970" s="379"/>
      <c r="AL2970" s="379"/>
      <c r="AM2970" s="379"/>
      <c r="AN2970" s="379"/>
      <c r="AO2970" s="379"/>
      <c r="AP2970" s="379"/>
      <c r="AQ2970" s="379"/>
      <c r="AR2970" s="379"/>
      <c r="AS2970" s="379"/>
      <c r="AT2970" s="379"/>
      <c r="AU2970" s="379"/>
      <c r="AV2970" s="379"/>
      <c r="AW2970" s="379"/>
      <c r="AX2970" s="379"/>
      <c r="AY2970" s="379"/>
      <c r="AZ2970" s="379"/>
      <c r="BA2970" s="379"/>
      <c r="BB2970" s="379"/>
      <c r="BC2970" s="379"/>
      <c r="BD2970" s="379"/>
      <c r="BE2970" s="379"/>
      <c r="BF2970" s="379"/>
      <c r="BG2970" s="379"/>
      <c r="BH2970" s="379"/>
      <c r="BI2970" s="379"/>
      <c r="BJ2970" s="379"/>
      <c r="BK2970" s="379"/>
      <c r="BL2970" s="379"/>
      <c r="BM2970" s="379"/>
      <c r="BN2970" s="379"/>
      <c r="BO2970" s="379"/>
      <c r="BP2970" s="379"/>
      <c r="BQ2970" s="379"/>
      <c r="BR2970" s="379"/>
      <c r="BS2970" s="379"/>
      <c r="BT2970" s="379"/>
      <c r="BU2970" s="379"/>
      <c r="BV2970" s="379"/>
      <c r="BW2970" s="379"/>
      <c r="BX2970" s="379"/>
      <c r="BY2970" s="379"/>
    </row>
    <row r="2971" spans="1:77" s="379" customFormat="1" ht="11.25" customHeight="1">
      <c r="B2971" s="380" t="s">
        <v>291</v>
      </c>
      <c r="C2971" s="381">
        <v>44733</v>
      </c>
      <c r="D2971" s="381">
        <v>44733</v>
      </c>
      <c r="E2971" s="382" t="s">
        <v>2228</v>
      </c>
      <c r="F2971" s="379" t="s">
        <v>626</v>
      </c>
      <c r="G2971" s="383" t="s">
        <v>627</v>
      </c>
      <c r="H2971" s="379" t="s">
        <v>138</v>
      </c>
      <c r="I2971" s="384" t="s">
        <v>33</v>
      </c>
      <c r="J2971" s="385">
        <v>12625.2</v>
      </c>
      <c r="K2971" s="384"/>
      <c r="L2971" s="385">
        <v>12</v>
      </c>
      <c r="M2971" s="385">
        <v>12</v>
      </c>
      <c r="N2971" s="386"/>
      <c r="O2971" s="387">
        <v>0.2</v>
      </c>
      <c r="P2971" s="387"/>
      <c r="Q2971" s="386">
        <v>0</v>
      </c>
      <c r="R2971" s="379" t="s">
        <v>146</v>
      </c>
      <c r="S2971" s="388" t="s">
        <v>74</v>
      </c>
      <c r="T2971" s="388">
        <v>31</v>
      </c>
      <c r="U2971" s="389" t="s">
        <v>164</v>
      </c>
      <c r="V2971" s="433"/>
      <c r="X2971" s="386">
        <v>0</v>
      </c>
      <c r="Y2971" s="386"/>
      <c r="AJ2971" s="390">
        <v>0</v>
      </c>
    </row>
    <row r="2972" spans="1:77" s="261" customFormat="1" ht="11.25" customHeight="1">
      <c r="B2972" s="258" t="s">
        <v>291</v>
      </c>
      <c r="C2972" s="259"/>
      <c r="D2972" s="259"/>
      <c r="E2972" s="260" t="s">
        <v>2228</v>
      </c>
      <c r="F2972" s="261" t="s">
        <v>626</v>
      </c>
      <c r="G2972" s="262" t="s">
        <v>627</v>
      </c>
      <c r="H2972" s="261" t="s">
        <v>27</v>
      </c>
      <c r="I2972" s="264" t="s">
        <v>33</v>
      </c>
      <c r="J2972" s="263">
        <v>1497.78</v>
      </c>
      <c r="K2972" s="264"/>
      <c r="L2972" s="263">
        <v>1.06</v>
      </c>
      <c r="M2972" s="263">
        <v>1.06</v>
      </c>
      <c r="N2972" s="265"/>
      <c r="O2972" s="266">
        <v>0.2</v>
      </c>
      <c r="P2972" s="266"/>
      <c r="Q2972" s="265">
        <v>0</v>
      </c>
      <c r="R2972" s="261" t="s">
        <v>146</v>
      </c>
      <c r="S2972" s="267" t="s">
        <v>74</v>
      </c>
      <c r="T2972" s="267">
        <v>31</v>
      </c>
      <c r="U2972" s="268" t="s">
        <v>164</v>
      </c>
      <c r="V2972" s="427"/>
      <c r="X2972" s="265">
        <v>0</v>
      </c>
      <c r="Y2972" s="265"/>
      <c r="AG2972" s="261">
        <f>X2972</f>
        <v>0</v>
      </c>
      <c r="AJ2972" s="642"/>
    </row>
    <row r="2973" spans="1:77" s="379" customFormat="1" ht="11.25" customHeight="1">
      <c r="B2973" s="380" t="s">
        <v>291</v>
      </c>
      <c r="C2973" s="381"/>
      <c r="D2973" s="381"/>
      <c r="E2973" s="382" t="s">
        <v>2228</v>
      </c>
      <c r="F2973" s="379" t="s">
        <v>626</v>
      </c>
      <c r="G2973" s="383" t="s">
        <v>627</v>
      </c>
      <c r="H2973" s="379" t="s">
        <v>866</v>
      </c>
      <c r="I2973" s="384" t="s">
        <v>33</v>
      </c>
      <c r="J2973" s="385">
        <v>11999</v>
      </c>
      <c r="K2973" s="384"/>
      <c r="L2973" s="385">
        <v>9.23</v>
      </c>
      <c r="M2973" s="385">
        <v>9.23</v>
      </c>
      <c r="N2973" s="386"/>
      <c r="O2973" s="387">
        <v>0.2</v>
      </c>
      <c r="P2973" s="387"/>
      <c r="Q2973" s="386">
        <v>7310.16</v>
      </c>
      <c r="R2973" s="379" t="s">
        <v>146</v>
      </c>
      <c r="S2973" s="388" t="s">
        <v>74</v>
      </c>
      <c r="T2973" s="388">
        <v>31</v>
      </c>
      <c r="U2973" s="389" t="s">
        <v>164</v>
      </c>
      <c r="V2973" s="433"/>
      <c r="X2973" s="386">
        <v>7310.16</v>
      </c>
      <c r="Y2973" s="386"/>
      <c r="AJ2973" s="416">
        <v>7310.16</v>
      </c>
    </row>
    <row r="2974" spans="1:77" s="379" customFormat="1" ht="11.25" customHeight="1">
      <c r="B2974" s="380" t="s">
        <v>291</v>
      </c>
      <c r="C2974" s="381"/>
      <c r="D2974" s="381"/>
      <c r="E2974" s="382" t="s">
        <v>2228</v>
      </c>
      <c r="F2974" s="379" t="s">
        <v>626</v>
      </c>
      <c r="G2974" s="383" t="s">
        <v>627</v>
      </c>
      <c r="H2974" s="379" t="s">
        <v>765</v>
      </c>
      <c r="I2974" s="384" t="s">
        <v>33</v>
      </c>
      <c r="J2974" s="385">
        <v>2042.4</v>
      </c>
      <c r="K2974" s="384"/>
      <c r="L2974" s="385">
        <v>2.2200000000000002</v>
      </c>
      <c r="M2974" s="385">
        <v>2.2200000000000002</v>
      </c>
      <c r="N2974" s="386"/>
      <c r="O2974" s="387">
        <v>0.2</v>
      </c>
      <c r="P2974" s="387"/>
      <c r="Q2974" s="386">
        <v>255.3</v>
      </c>
      <c r="R2974" s="379" t="s">
        <v>146</v>
      </c>
      <c r="S2974" s="388" t="s">
        <v>74</v>
      </c>
      <c r="T2974" s="388">
        <v>31</v>
      </c>
      <c r="U2974" s="389" t="s">
        <v>164</v>
      </c>
      <c r="V2974" s="433"/>
      <c r="X2974" s="386">
        <v>255.3</v>
      </c>
      <c r="Y2974" s="386"/>
      <c r="AJ2974" s="416">
        <v>255.3</v>
      </c>
    </row>
    <row r="2975" spans="1:77" s="379" customFormat="1" ht="11.25" customHeight="1">
      <c r="A2975" s="473"/>
      <c r="B2975" s="486" t="s">
        <v>291</v>
      </c>
      <c r="C2975" s="487">
        <v>44732</v>
      </c>
      <c r="D2975" s="487">
        <v>44733</v>
      </c>
      <c r="E2975" s="488" t="s">
        <v>2229</v>
      </c>
      <c r="F2975" s="473" t="s">
        <v>647</v>
      </c>
      <c r="G2975" s="489">
        <v>4280</v>
      </c>
      <c r="H2975" s="473" t="s">
        <v>510</v>
      </c>
      <c r="I2975" s="491" t="s">
        <v>819</v>
      </c>
      <c r="J2975" s="490">
        <v>53606.73</v>
      </c>
      <c r="K2975" s="491"/>
      <c r="L2975" s="490">
        <v>54.65</v>
      </c>
      <c r="M2975" s="490">
        <v>54.5</v>
      </c>
      <c r="N2975" s="492"/>
      <c r="O2975" s="493">
        <v>0.25</v>
      </c>
      <c r="P2975" s="493">
        <v>0.1</v>
      </c>
      <c r="Q2975" s="492">
        <v>4481</v>
      </c>
      <c r="R2975" s="473" t="s">
        <v>35</v>
      </c>
      <c r="S2975" s="481" t="s">
        <v>41</v>
      </c>
      <c r="T2975" s="481">
        <v>16</v>
      </c>
      <c r="U2975" s="494" t="s">
        <v>164</v>
      </c>
      <c r="V2975" s="492">
        <v>4481</v>
      </c>
      <c r="W2975" s="473"/>
      <c r="X2975" s="492">
        <v>4481</v>
      </c>
      <c r="Y2975" s="492"/>
      <c r="Z2975" s="473"/>
      <c r="AA2975" s="473"/>
      <c r="AB2975" s="473"/>
      <c r="AC2975" s="473"/>
      <c r="AD2975" s="473"/>
      <c r="AE2975" s="473"/>
      <c r="AF2975" s="473"/>
      <c r="AG2975" s="473"/>
      <c r="AH2975" s="473"/>
      <c r="AI2975" s="473"/>
      <c r="AJ2975" s="485"/>
      <c r="AK2975" s="505">
        <v>4481</v>
      </c>
      <c r="AL2975" s="473"/>
      <c r="AM2975" s="473"/>
      <c r="AN2975" s="473"/>
      <c r="AO2975" s="473"/>
      <c r="AP2975" s="473"/>
      <c r="AQ2975" s="473"/>
      <c r="AR2975" s="473"/>
      <c r="AS2975" s="473"/>
      <c r="AT2975" s="473"/>
      <c r="AU2975" s="473"/>
      <c r="AV2975" s="473"/>
      <c r="AW2975" s="473"/>
      <c r="AX2975" s="473"/>
      <c r="AY2975" s="473"/>
      <c r="AZ2975" s="473"/>
      <c r="BA2975" s="473"/>
      <c r="BB2975" s="473"/>
      <c r="BC2975" s="473"/>
      <c r="BD2975" s="473"/>
      <c r="BE2975" s="473"/>
      <c r="BF2975" s="473"/>
      <c r="BG2975" s="473"/>
      <c r="BH2975" s="473"/>
      <c r="BI2975" s="473"/>
      <c r="BJ2975" s="473"/>
      <c r="BK2975" s="473"/>
      <c r="BL2975" s="473"/>
      <c r="BM2975" s="473"/>
      <c r="BN2975" s="473"/>
      <c r="BO2975" s="473"/>
      <c r="BP2975" s="473"/>
      <c r="BQ2975" s="473"/>
      <c r="BR2975" s="473"/>
      <c r="BS2975" s="473"/>
      <c r="BT2975" s="473"/>
      <c r="BU2975" s="473"/>
      <c r="BV2975" s="473"/>
      <c r="BW2975" s="473"/>
      <c r="BX2975" s="473"/>
      <c r="BY2975" s="473"/>
    </row>
    <row r="2976" spans="1:77" s="473" customFormat="1" ht="11.25" customHeight="1">
      <c r="A2976" s="379"/>
      <c r="B2976" s="380" t="s">
        <v>291</v>
      </c>
      <c r="C2976" s="381"/>
      <c r="D2976" s="381"/>
      <c r="E2976" s="382" t="s">
        <v>2229</v>
      </c>
      <c r="F2976" s="379" t="s">
        <v>647</v>
      </c>
      <c r="G2976" s="383">
        <v>4280</v>
      </c>
      <c r="H2976" s="379" t="s">
        <v>27</v>
      </c>
      <c r="I2976" s="384" t="s">
        <v>819</v>
      </c>
      <c r="J2976" s="385">
        <v>26763.09</v>
      </c>
      <c r="K2976" s="384"/>
      <c r="L2976" s="385">
        <v>24.35</v>
      </c>
      <c r="M2976" s="385">
        <v>24.3</v>
      </c>
      <c r="N2976" s="386">
        <v>0</v>
      </c>
      <c r="O2976" s="387">
        <v>0.25</v>
      </c>
      <c r="P2976" s="387">
        <v>0.1</v>
      </c>
      <c r="Q2976" s="386">
        <v>0</v>
      </c>
      <c r="R2976" s="379" t="s">
        <v>35</v>
      </c>
      <c r="S2976" s="388" t="s">
        <v>41</v>
      </c>
      <c r="T2976" s="388">
        <v>16</v>
      </c>
      <c r="U2976" s="389" t="s">
        <v>164</v>
      </c>
      <c r="V2976" s="433"/>
      <c r="W2976" s="379"/>
      <c r="X2976" s="386">
        <v>0</v>
      </c>
      <c r="Y2976" s="386"/>
      <c r="Z2976" s="379"/>
      <c r="AA2976" s="379"/>
      <c r="AB2976" s="379"/>
      <c r="AC2976" s="379"/>
      <c r="AD2976" s="379"/>
      <c r="AE2976" s="379"/>
      <c r="AF2976" s="379"/>
      <c r="AG2976" s="379"/>
      <c r="AH2976" s="379"/>
      <c r="AI2976" s="379"/>
      <c r="AJ2976" s="390">
        <v>0</v>
      </c>
      <c r="AK2976" s="379"/>
      <c r="AL2976" s="379"/>
      <c r="AM2976" s="379"/>
      <c r="AN2976" s="379"/>
      <c r="AO2976" s="379"/>
      <c r="AP2976" s="379"/>
      <c r="AQ2976" s="379"/>
      <c r="AR2976" s="379"/>
      <c r="AS2976" s="379"/>
      <c r="AT2976" s="379"/>
      <c r="AU2976" s="379"/>
      <c r="AV2976" s="379"/>
      <c r="AW2976" s="379"/>
      <c r="AX2976" s="379"/>
      <c r="AY2976" s="379"/>
      <c r="AZ2976" s="379"/>
      <c r="BA2976" s="379"/>
      <c r="BB2976" s="379"/>
      <c r="BC2976" s="379"/>
      <c r="BD2976" s="379"/>
      <c r="BE2976" s="379"/>
      <c r="BF2976" s="379"/>
      <c r="BG2976" s="379"/>
      <c r="BH2976" s="379"/>
      <c r="BI2976" s="379"/>
      <c r="BJ2976" s="379"/>
      <c r="BK2976" s="379"/>
      <c r="BL2976" s="379"/>
      <c r="BM2976" s="379"/>
      <c r="BN2976" s="379"/>
      <c r="BO2976" s="379"/>
      <c r="BP2976" s="379"/>
      <c r="BQ2976" s="379"/>
      <c r="BR2976" s="379"/>
      <c r="BS2976" s="379"/>
      <c r="BT2976" s="379"/>
      <c r="BU2976" s="379"/>
      <c r="BV2976" s="379"/>
      <c r="BW2976" s="379"/>
      <c r="BX2976" s="379"/>
      <c r="BY2976" s="379"/>
    </row>
    <row r="2977" spans="1:77" s="291" customFormat="1" ht="11.25" customHeight="1">
      <c r="B2977" s="291" t="s">
        <v>291</v>
      </c>
      <c r="C2977" s="292">
        <v>44733</v>
      </c>
      <c r="D2977" s="292">
        <v>44733</v>
      </c>
      <c r="E2977" s="293" t="s">
        <v>2230</v>
      </c>
      <c r="F2977" s="291" t="s">
        <v>652</v>
      </c>
      <c r="G2977" s="294" t="s">
        <v>653</v>
      </c>
      <c r="H2977" s="291" t="s">
        <v>27</v>
      </c>
      <c r="I2977" s="295" t="s">
        <v>1648</v>
      </c>
      <c r="J2977" s="296">
        <v>30034.37</v>
      </c>
      <c r="K2977" s="295"/>
      <c r="L2977" s="296">
        <v>16.38</v>
      </c>
      <c r="M2977" s="296">
        <v>12.08</v>
      </c>
      <c r="N2977" s="297">
        <v>19934.8992</v>
      </c>
      <c r="O2977" s="298">
        <v>0.2</v>
      </c>
      <c r="P2977" s="298">
        <v>0.1</v>
      </c>
      <c r="Q2977" s="297">
        <v>394.29</v>
      </c>
      <c r="R2977" s="291" t="s">
        <v>42</v>
      </c>
      <c r="S2977" s="299" t="s">
        <v>41</v>
      </c>
      <c r="T2977" s="299">
        <v>17</v>
      </c>
      <c r="U2977" s="300" t="s">
        <v>164</v>
      </c>
      <c r="V2977" s="333"/>
      <c r="X2977" s="297">
        <v>394.29</v>
      </c>
      <c r="Y2977" s="297"/>
      <c r="AH2977" s="297">
        <f>X2977</f>
        <v>394.29</v>
      </c>
      <c r="AI2977" s="311"/>
      <c r="AJ2977" s="468"/>
    </row>
    <row r="2978" spans="1:77" s="291" customFormat="1" ht="11.25" customHeight="1">
      <c r="B2978" s="291" t="s">
        <v>291</v>
      </c>
      <c r="C2978" s="292"/>
      <c r="D2978" s="292"/>
      <c r="E2978" s="293" t="s">
        <v>2230</v>
      </c>
      <c r="F2978" s="291" t="s">
        <v>652</v>
      </c>
      <c r="G2978" s="294" t="s">
        <v>653</v>
      </c>
      <c r="H2978" s="291" t="s">
        <v>99</v>
      </c>
      <c r="I2978" s="295" t="s">
        <v>1648</v>
      </c>
      <c r="J2978" s="296">
        <v>36505.42</v>
      </c>
      <c r="K2978" s="295"/>
      <c r="L2978" s="296">
        <v>32.869999999999997</v>
      </c>
      <c r="M2978" s="296">
        <v>13.24</v>
      </c>
      <c r="N2978" s="297">
        <f>5242.032+4075.902</f>
        <v>9317.9340000000011</v>
      </c>
      <c r="O2978" s="298">
        <v>0.2</v>
      </c>
      <c r="P2978" s="298">
        <v>0.1</v>
      </c>
      <c r="Q2978" s="297">
        <v>1036.1500000000001</v>
      </c>
      <c r="R2978" s="291" t="s">
        <v>42</v>
      </c>
      <c r="S2978" s="299" t="s">
        <v>41</v>
      </c>
      <c r="T2978" s="299">
        <v>17</v>
      </c>
      <c r="U2978" s="300" t="s">
        <v>164</v>
      </c>
      <c r="V2978" s="333"/>
      <c r="X2978" s="297">
        <v>1036.1500000000001</v>
      </c>
      <c r="Y2978" s="297"/>
      <c r="AH2978" s="297">
        <f>X2978</f>
        <v>1036.1500000000001</v>
      </c>
      <c r="AI2978" s="311"/>
      <c r="AJ2978" s="468"/>
    </row>
    <row r="2979" spans="1:77" s="379" customFormat="1" ht="11.25" customHeight="1">
      <c r="B2979" s="380" t="s">
        <v>291</v>
      </c>
      <c r="C2979" s="381">
        <v>44732</v>
      </c>
      <c r="D2979" s="381">
        <v>44733</v>
      </c>
      <c r="E2979" s="382" t="s">
        <v>2231</v>
      </c>
      <c r="F2979" s="379" t="s">
        <v>809</v>
      </c>
      <c r="G2979" s="383">
        <v>4029</v>
      </c>
      <c r="H2979" s="379" t="s">
        <v>99</v>
      </c>
      <c r="I2979" s="384" t="s">
        <v>156</v>
      </c>
      <c r="J2979" s="385">
        <v>10200.75</v>
      </c>
      <c r="K2979" s="384"/>
      <c r="L2979" s="385">
        <v>10.15</v>
      </c>
      <c r="M2979" s="385">
        <v>10.15</v>
      </c>
      <c r="N2979" s="386"/>
      <c r="O2979" s="387">
        <v>0.15</v>
      </c>
      <c r="P2979" s="387">
        <v>0.1</v>
      </c>
      <c r="Q2979" s="386">
        <v>997.24</v>
      </c>
      <c r="R2979" s="379" t="s">
        <v>77</v>
      </c>
      <c r="S2979" s="388" t="s">
        <v>41</v>
      </c>
      <c r="T2979" s="388">
        <v>17</v>
      </c>
      <c r="U2979" s="389" t="s">
        <v>164</v>
      </c>
      <c r="V2979" s="433"/>
      <c r="X2979" s="386">
        <v>997.24</v>
      </c>
      <c r="Y2979" s="386"/>
      <c r="AJ2979" s="416">
        <v>997.24</v>
      </c>
    </row>
    <row r="2980" spans="1:77" s="379" customFormat="1" ht="11.25" customHeight="1">
      <c r="B2980" s="380" t="s">
        <v>291</v>
      </c>
      <c r="C2980" s="381"/>
      <c r="D2980" s="381"/>
      <c r="E2980" s="382" t="s">
        <v>2231</v>
      </c>
      <c r="F2980" s="379" t="s">
        <v>809</v>
      </c>
      <c r="G2980" s="383">
        <v>4029</v>
      </c>
      <c r="H2980" s="379" t="s">
        <v>866</v>
      </c>
      <c r="I2980" s="384" t="s">
        <v>156</v>
      </c>
      <c r="J2980" s="385">
        <v>13256.1</v>
      </c>
      <c r="K2980" s="384"/>
      <c r="L2980" s="385">
        <v>12.36</v>
      </c>
      <c r="M2980" s="385">
        <v>12.36</v>
      </c>
      <c r="N2980" s="386">
        <v>9942.07</v>
      </c>
      <c r="O2980" s="387">
        <v>0.15</v>
      </c>
      <c r="P2980" s="387">
        <v>0.1</v>
      </c>
      <c r="Q2980" s="386">
        <v>1492.47</v>
      </c>
      <c r="R2980" s="379" t="s">
        <v>77</v>
      </c>
      <c r="S2980" s="388" t="s">
        <v>41</v>
      </c>
      <c r="T2980" s="388">
        <v>17</v>
      </c>
      <c r="U2980" s="389" t="s">
        <v>164</v>
      </c>
      <c r="V2980" s="433"/>
      <c r="X2980" s="386">
        <v>1492.47</v>
      </c>
      <c r="Y2980" s="386"/>
      <c r="AJ2980" s="416">
        <v>1492.47</v>
      </c>
    </row>
    <row r="2981" spans="1:77" s="647" customFormat="1" ht="11.25" customHeight="1">
      <c r="B2981" s="661" t="s">
        <v>291</v>
      </c>
      <c r="C2981" s="648">
        <v>44733</v>
      </c>
      <c r="D2981" s="648">
        <v>44733</v>
      </c>
      <c r="E2981" s="649" t="s">
        <v>2232</v>
      </c>
      <c r="F2981" s="647" t="s">
        <v>580</v>
      </c>
      <c r="G2981" s="650">
        <v>4357</v>
      </c>
      <c r="H2981" s="647" t="s">
        <v>27</v>
      </c>
      <c r="I2981" s="676" t="s">
        <v>156</v>
      </c>
      <c r="J2981" s="651">
        <v>11689.7</v>
      </c>
      <c r="L2981" s="651">
        <v>10.63</v>
      </c>
      <c r="M2981" s="651">
        <v>10.63</v>
      </c>
      <c r="N2981" s="652">
        <v>2945.64</v>
      </c>
      <c r="O2981" s="653">
        <v>0.2</v>
      </c>
      <c r="P2981" s="653">
        <v>0.1</v>
      </c>
      <c r="Q2981" s="652">
        <v>2945.64</v>
      </c>
      <c r="R2981" s="647" t="s">
        <v>42</v>
      </c>
      <c r="S2981" s="654" t="s">
        <v>41</v>
      </c>
      <c r="T2981" s="654">
        <v>16</v>
      </c>
      <c r="U2981" s="655" t="s">
        <v>164</v>
      </c>
      <c r="V2981" s="656"/>
      <c r="X2981" s="652">
        <v>2945.64</v>
      </c>
      <c r="Y2981" s="652"/>
      <c r="AI2981" s="647">
        <v>2945.64</v>
      </c>
      <c r="AJ2981" s="657"/>
      <c r="AK2981" s="658"/>
    </row>
    <row r="2982" spans="1:77" s="647" customFormat="1" ht="11.25" customHeight="1">
      <c r="B2982" s="647" t="s">
        <v>291</v>
      </c>
      <c r="C2982" s="648">
        <v>44732</v>
      </c>
      <c r="D2982" s="648">
        <v>44733</v>
      </c>
      <c r="E2982" s="649" t="s">
        <v>2233</v>
      </c>
      <c r="F2982" s="647" t="s">
        <v>1290</v>
      </c>
      <c r="G2982" s="650">
        <v>3616</v>
      </c>
      <c r="H2982" s="647" t="s">
        <v>27</v>
      </c>
      <c r="I2982" s="676" t="s">
        <v>1168</v>
      </c>
      <c r="J2982" s="651">
        <v>24882</v>
      </c>
      <c r="K2982" s="676"/>
      <c r="L2982" s="651">
        <v>22</v>
      </c>
      <c r="M2982" s="651">
        <v>22</v>
      </c>
      <c r="N2982" s="652">
        <v>6786</v>
      </c>
      <c r="O2982" s="653">
        <v>0.2</v>
      </c>
      <c r="P2982" s="653">
        <v>0.1</v>
      </c>
      <c r="Q2982" s="652">
        <v>729</v>
      </c>
      <c r="R2982" s="647" t="s">
        <v>42</v>
      </c>
      <c r="S2982" s="654" t="s">
        <v>41</v>
      </c>
      <c r="T2982" s="654">
        <v>17</v>
      </c>
      <c r="U2982" s="655" t="s">
        <v>164</v>
      </c>
      <c r="V2982" s="656"/>
      <c r="X2982" s="652">
        <v>729</v>
      </c>
      <c r="Y2982" s="652"/>
      <c r="AI2982" s="681">
        <v>729</v>
      </c>
      <c r="AJ2982" s="657"/>
      <c r="AK2982" s="658"/>
    </row>
    <row r="2983" spans="1:77" s="647" customFormat="1" ht="11.25" customHeight="1">
      <c r="B2983" s="647" t="s">
        <v>291</v>
      </c>
      <c r="C2983" s="648"/>
      <c r="D2983" s="648"/>
      <c r="E2983" s="649" t="s">
        <v>2233</v>
      </c>
      <c r="F2983" s="647" t="s">
        <v>1290</v>
      </c>
      <c r="G2983" s="650">
        <v>3616</v>
      </c>
      <c r="H2983" s="647" t="s">
        <v>99</v>
      </c>
      <c r="I2983" s="676" t="s">
        <v>1168</v>
      </c>
      <c r="J2983" s="651">
        <v>29881.599999999999</v>
      </c>
      <c r="K2983" s="676"/>
      <c r="L2983" s="651">
        <v>28</v>
      </c>
      <c r="M2983" s="651">
        <v>13</v>
      </c>
      <c r="N2983" s="652">
        <v>1680.84</v>
      </c>
      <c r="O2983" s="653">
        <v>0.2</v>
      </c>
      <c r="P2983" s="653">
        <v>0.1</v>
      </c>
      <c r="Q2983" s="652">
        <v>959.76</v>
      </c>
      <c r="R2983" s="647" t="s">
        <v>42</v>
      </c>
      <c r="S2983" s="654" t="s">
        <v>41</v>
      </c>
      <c r="T2983" s="654">
        <v>17</v>
      </c>
      <c r="U2983" s="655" t="s">
        <v>164</v>
      </c>
      <c r="V2983" s="656"/>
      <c r="X2983" s="652">
        <v>959.76</v>
      </c>
      <c r="Y2983" s="652"/>
      <c r="AI2983" s="647">
        <v>959.76</v>
      </c>
      <c r="AJ2983" s="657"/>
      <c r="AK2983" s="658"/>
    </row>
    <row r="2984" spans="1:77" s="379" customFormat="1" ht="11.25" customHeight="1">
      <c r="B2984" s="380" t="s">
        <v>291</v>
      </c>
      <c r="C2984" s="381">
        <v>44732</v>
      </c>
      <c r="D2984" s="381">
        <v>44733</v>
      </c>
      <c r="E2984" s="382" t="s">
        <v>2234</v>
      </c>
      <c r="F2984" s="379" t="s">
        <v>481</v>
      </c>
      <c r="G2984" s="383" t="s">
        <v>482</v>
      </c>
      <c r="H2984" s="379" t="s">
        <v>27</v>
      </c>
      <c r="I2984" s="384" t="s">
        <v>1168</v>
      </c>
      <c r="J2984" s="385">
        <v>13505</v>
      </c>
      <c r="L2984" s="385">
        <v>9.25</v>
      </c>
      <c r="M2984" s="385">
        <v>9.24</v>
      </c>
      <c r="N2984" s="386"/>
      <c r="O2984" s="387">
        <v>0.25</v>
      </c>
      <c r="P2984" s="387">
        <v>0.1</v>
      </c>
      <c r="Q2984" s="386">
        <v>0</v>
      </c>
      <c r="R2984" s="379" t="s">
        <v>77</v>
      </c>
      <c r="S2984" s="388" t="s">
        <v>41</v>
      </c>
      <c r="T2984" s="388">
        <v>17</v>
      </c>
      <c r="U2984" s="389" t="s">
        <v>164</v>
      </c>
      <c r="V2984" s="433"/>
      <c r="X2984" s="386">
        <v>0</v>
      </c>
      <c r="Y2984" s="386"/>
      <c r="AJ2984" s="390">
        <v>0</v>
      </c>
    </row>
    <row r="2985" spans="1:77" s="205" customFormat="1" ht="11.25" customHeight="1">
      <c r="B2985" s="206" t="s">
        <v>291</v>
      </c>
      <c r="C2985" s="207"/>
      <c r="D2985" s="207"/>
      <c r="E2985" s="208" t="s">
        <v>2234</v>
      </c>
      <c r="F2985" s="205" t="s">
        <v>481</v>
      </c>
      <c r="G2985" s="209" t="s">
        <v>482</v>
      </c>
      <c r="H2985" s="205" t="s">
        <v>99</v>
      </c>
      <c r="I2985" s="219" t="s">
        <v>1168</v>
      </c>
      <c r="J2985" s="210">
        <v>9105</v>
      </c>
      <c r="L2985" s="210">
        <v>7.5</v>
      </c>
      <c r="M2985" s="210">
        <v>7.5</v>
      </c>
      <c r="N2985" s="213"/>
      <c r="O2985" s="212">
        <v>0.25</v>
      </c>
      <c r="P2985" s="212">
        <v>0.1</v>
      </c>
      <c r="Q2985" s="213">
        <v>1339.5</v>
      </c>
      <c r="R2985" s="205" t="s">
        <v>77</v>
      </c>
      <c r="S2985" s="214" t="s">
        <v>41</v>
      </c>
      <c r="T2985" s="214">
        <v>17</v>
      </c>
      <c r="U2985" s="215" t="s">
        <v>164</v>
      </c>
      <c r="V2985" s="438"/>
      <c r="X2985" s="213">
        <v>1339.5</v>
      </c>
      <c r="Y2985" s="213"/>
      <c r="AF2985" s="230">
        <f>X2985</f>
        <v>1339.5</v>
      </c>
      <c r="AJ2985" s="216"/>
    </row>
    <row r="2986" spans="1:77" s="379" customFormat="1" ht="11.25" customHeight="1">
      <c r="B2986" s="380" t="s">
        <v>291</v>
      </c>
      <c r="C2986" s="381">
        <v>44732</v>
      </c>
      <c r="D2986" s="381">
        <v>44733</v>
      </c>
      <c r="E2986" s="382" t="s">
        <v>2235</v>
      </c>
      <c r="F2986" s="379" t="s">
        <v>1772</v>
      </c>
      <c r="G2986" s="404">
        <v>3598</v>
      </c>
      <c r="H2986" s="379" t="s">
        <v>27</v>
      </c>
      <c r="I2986" s="384" t="s">
        <v>1168</v>
      </c>
      <c r="J2986" s="385">
        <v>14879.16</v>
      </c>
      <c r="K2986" s="384"/>
      <c r="L2986" s="385">
        <v>17.97</v>
      </c>
      <c r="M2986" s="385">
        <v>17.97</v>
      </c>
      <c r="N2986" s="386"/>
      <c r="O2986" s="387">
        <v>0.15</v>
      </c>
      <c r="P2986" s="387">
        <v>0.1</v>
      </c>
      <c r="Q2986" s="386">
        <v>2911.71</v>
      </c>
      <c r="R2986" s="379" t="s">
        <v>77</v>
      </c>
      <c r="S2986" s="388" t="s">
        <v>41</v>
      </c>
      <c r="T2986" s="388">
        <v>16</v>
      </c>
      <c r="U2986" s="389" t="s">
        <v>164</v>
      </c>
      <c r="V2986" s="433"/>
      <c r="X2986" s="386">
        <v>2911.71</v>
      </c>
      <c r="Y2986" s="386"/>
      <c r="AJ2986" s="416">
        <v>2911.71</v>
      </c>
    </row>
    <row r="2987" spans="1:77" s="379" customFormat="1" ht="11.25" customHeight="1">
      <c r="B2987" s="380" t="s">
        <v>291</v>
      </c>
      <c r="C2987" s="381"/>
      <c r="D2987" s="381"/>
      <c r="E2987" s="382" t="s">
        <v>2235</v>
      </c>
      <c r="F2987" s="379" t="s">
        <v>1772</v>
      </c>
      <c r="G2987" s="404">
        <v>3598</v>
      </c>
      <c r="H2987" s="379" t="s">
        <v>99</v>
      </c>
      <c r="I2987" s="384" t="s">
        <v>1168</v>
      </c>
      <c r="J2987" s="385">
        <v>32307.55</v>
      </c>
      <c r="K2987" s="384"/>
      <c r="L2987" s="385">
        <v>36.78</v>
      </c>
      <c r="M2987" s="385">
        <v>36.78</v>
      </c>
      <c r="N2987" s="386"/>
      <c r="O2987" s="387">
        <v>0.15</v>
      </c>
      <c r="P2987" s="387">
        <v>0.1</v>
      </c>
      <c r="Q2987" s="386">
        <v>3698.68</v>
      </c>
      <c r="R2987" s="379" t="s">
        <v>77</v>
      </c>
      <c r="S2987" s="388" t="s">
        <v>41</v>
      </c>
      <c r="T2987" s="388">
        <v>16</v>
      </c>
      <c r="U2987" s="389" t="s">
        <v>164</v>
      </c>
      <c r="V2987" s="433"/>
      <c r="X2987" s="386">
        <v>3698.68</v>
      </c>
      <c r="Y2987" s="386"/>
      <c r="AJ2987" s="416">
        <v>3698.68</v>
      </c>
    </row>
    <row r="2988" spans="1:77" s="379" customFormat="1" ht="11.25" customHeight="1">
      <c r="B2988" s="380" t="s">
        <v>291</v>
      </c>
      <c r="C2988" s="381"/>
      <c r="D2988" s="381"/>
      <c r="E2988" s="382" t="s">
        <v>2235</v>
      </c>
      <c r="F2988" s="379" t="s">
        <v>1772</v>
      </c>
      <c r="G2988" s="404">
        <v>3598</v>
      </c>
      <c r="H2988" s="379" t="s">
        <v>336</v>
      </c>
      <c r="I2988" s="384" t="s">
        <v>1168</v>
      </c>
      <c r="J2988" s="385">
        <v>14417.64</v>
      </c>
      <c r="K2988" s="384"/>
      <c r="L2988" s="385">
        <v>13.81</v>
      </c>
      <c r="M2988" s="385">
        <v>13.81</v>
      </c>
      <c r="N2988" s="386"/>
      <c r="O2988" s="387">
        <v>0.15</v>
      </c>
      <c r="P2988" s="387">
        <v>0.1</v>
      </c>
      <c r="Q2988" s="386">
        <v>1145.95</v>
      </c>
      <c r="R2988" s="379" t="s">
        <v>77</v>
      </c>
      <c r="S2988" s="388" t="s">
        <v>41</v>
      </c>
      <c r="T2988" s="388">
        <v>16</v>
      </c>
      <c r="U2988" s="389" t="s">
        <v>164</v>
      </c>
      <c r="V2988" s="433"/>
      <c r="X2988" s="386">
        <v>1145.95</v>
      </c>
      <c r="Y2988" s="386"/>
      <c r="AJ2988" s="416">
        <v>1145.95</v>
      </c>
    </row>
    <row r="2989" spans="1:77" s="291" customFormat="1" ht="11.25" customHeight="1">
      <c r="B2989" s="291" t="s">
        <v>291</v>
      </c>
      <c r="C2989" s="292">
        <v>44733</v>
      </c>
      <c r="D2989" s="292">
        <v>44733</v>
      </c>
      <c r="E2989" s="293" t="s">
        <v>2236</v>
      </c>
      <c r="F2989" s="303" t="s">
        <v>1203</v>
      </c>
      <c r="G2989" s="304">
        <v>3758</v>
      </c>
      <c r="H2989" s="291" t="s">
        <v>99</v>
      </c>
      <c r="I2989" s="295" t="s">
        <v>819</v>
      </c>
      <c r="J2989" s="296">
        <v>6682.11</v>
      </c>
      <c r="K2989" s="295"/>
      <c r="L2989" s="296">
        <v>5.7</v>
      </c>
      <c r="M2989" s="296">
        <v>5.7</v>
      </c>
      <c r="N2989" s="297">
        <v>3974.52</v>
      </c>
      <c r="O2989" s="298">
        <v>0.15</v>
      </c>
      <c r="P2989" s="298">
        <v>0.1</v>
      </c>
      <c r="Q2989" s="297">
        <v>1800.49</v>
      </c>
      <c r="R2989" s="303" t="s">
        <v>142</v>
      </c>
      <c r="S2989" s="308" t="s">
        <v>41</v>
      </c>
      <c r="T2989" s="308">
        <v>24</v>
      </c>
      <c r="U2989" s="300" t="s">
        <v>164</v>
      </c>
      <c r="V2989" s="333"/>
      <c r="X2989" s="297">
        <v>1800.49</v>
      </c>
      <c r="Y2989" s="297"/>
      <c r="AF2989" s="297"/>
      <c r="AH2989" s="291">
        <f>X2989</f>
        <v>1800.49</v>
      </c>
      <c r="AI2989" s="311"/>
      <c r="AJ2989" s="468"/>
    </row>
    <row r="2990" spans="1:77" s="291" customFormat="1" ht="11.25" customHeight="1">
      <c r="B2990" s="291" t="s">
        <v>291</v>
      </c>
      <c r="C2990" s="292"/>
      <c r="D2990" s="292"/>
      <c r="E2990" s="293" t="s">
        <v>2236</v>
      </c>
      <c r="F2990" s="303" t="s">
        <v>1203</v>
      </c>
      <c r="G2990" s="304">
        <v>3758</v>
      </c>
      <c r="H2990" s="291" t="s">
        <v>162</v>
      </c>
      <c r="I2990" s="295" t="s">
        <v>819</v>
      </c>
      <c r="J2990" s="296">
        <v>430.92</v>
      </c>
      <c r="K2990" s="295"/>
      <c r="L2990" s="296">
        <v>1.8</v>
      </c>
      <c r="M2990" s="296">
        <v>1.8</v>
      </c>
      <c r="N2990" s="297">
        <v>333.7</v>
      </c>
      <c r="O2990" s="298">
        <v>0.15</v>
      </c>
      <c r="P2990" s="298">
        <v>0.1</v>
      </c>
      <c r="Q2990" s="297">
        <v>0</v>
      </c>
      <c r="R2990" s="303" t="s">
        <v>142</v>
      </c>
      <c r="S2990" s="308" t="s">
        <v>41</v>
      </c>
      <c r="T2990" s="308">
        <v>24</v>
      </c>
      <c r="U2990" s="300" t="s">
        <v>164</v>
      </c>
      <c r="V2990" s="333"/>
      <c r="X2990" s="297">
        <v>0</v>
      </c>
      <c r="Y2990" s="297"/>
      <c r="AH2990" s="291">
        <f>X2990</f>
        <v>0</v>
      </c>
      <c r="AI2990" s="311"/>
      <c r="AJ2990" s="468"/>
    </row>
    <row r="2991" spans="1:77" s="205" customFormat="1" ht="11.25" customHeight="1">
      <c r="B2991" s="205" t="s">
        <v>291</v>
      </c>
      <c r="C2991" s="207"/>
      <c r="D2991" s="207"/>
      <c r="E2991" s="208" t="s">
        <v>2236</v>
      </c>
      <c r="F2991" s="218" t="s">
        <v>1203</v>
      </c>
      <c r="G2991" s="220">
        <v>3758</v>
      </c>
      <c r="H2991" s="205" t="s">
        <v>866</v>
      </c>
      <c r="I2991" s="219" t="s">
        <v>819</v>
      </c>
      <c r="J2991" s="210">
        <v>3304.1</v>
      </c>
      <c r="K2991" s="219"/>
      <c r="L2991" s="210">
        <v>3.7</v>
      </c>
      <c r="M2991" s="210">
        <v>3.7</v>
      </c>
      <c r="N2991" s="213">
        <v>3259.45</v>
      </c>
      <c r="O2991" s="212">
        <v>0.15</v>
      </c>
      <c r="P2991" s="212">
        <v>0.1</v>
      </c>
      <c r="Q2991" s="213">
        <v>2640.69</v>
      </c>
      <c r="R2991" s="218" t="s">
        <v>142</v>
      </c>
      <c r="S2991" s="221" t="s">
        <v>41</v>
      </c>
      <c r="T2991" s="221">
        <v>24</v>
      </c>
      <c r="U2991" s="215" t="s">
        <v>164</v>
      </c>
      <c r="V2991" s="438"/>
      <c r="X2991" s="213">
        <v>2640.69</v>
      </c>
      <c r="Y2991" s="213"/>
      <c r="AF2991" s="230">
        <f>X2991</f>
        <v>2640.69</v>
      </c>
      <c r="AJ2991" s="216"/>
    </row>
    <row r="2992" spans="1:77" s="6" customFormat="1" ht="11.25" customHeight="1">
      <c r="A2992" s="379"/>
      <c r="B2992" s="379" t="s">
        <v>291</v>
      </c>
      <c r="C2992" s="381">
        <v>44732</v>
      </c>
      <c r="D2992" s="381">
        <v>44733</v>
      </c>
      <c r="E2992" s="382" t="s">
        <v>2237</v>
      </c>
      <c r="F2992" s="379" t="s">
        <v>139</v>
      </c>
      <c r="G2992" s="383">
        <v>3738</v>
      </c>
      <c r="H2992" s="379" t="s">
        <v>140</v>
      </c>
      <c r="I2992" s="384" t="s">
        <v>1648</v>
      </c>
      <c r="J2992" s="385">
        <v>26056.799999999999</v>
      </c>
      <c r="K2992" s="384"/>
      <c r="L2992" s="385">
        <v>20</v>
      </c>
      <c r="M2992" s="385">
        <v>20</v>
      </c>
      <c r="N2992" s="386">
        <v>16425</v>
      </c>
      <c r="O2992" s="387">
        <v>0.3</v>
      </c>
      <c r="P2992" s="387">
        <v>0.1</v>
      </c>
      <c r="Q2992" s="391">
        <v>9161.41</v>
      </c>
      <c r="R2992" s="379" t="s">
        <v>142</v>
      </c>
      <c r="S2992" s="388" t="s">
        <v>41</v>
      </c>
      <c r="T2992" s="388">
        <v>24</v>
      </c>
      <c r="U2992" s="389" t="s">
        <v>164</v>
      </c>
      <c r="V2992" s="433">
        <v>3713</v>
      </c>
      <c r="W2992" s="379"/>
      <c r="X2992" s="391">
        <v>9161.41</v>
      </c>
      <c r="Y2992" s="386"/>
      <c r="Z2992" s="379"/>
      <c r="AA2992" s="379"/>
      <c r="AB2992" s="379"/>
      <c r="AC2992" s="379"/>
      <c r="AD2992" s="379"/>
      <c r="AE2992" s="379"/>
      <c r="AF2992" s="379"/>
      <c r="AG2992" s="379"/>
      <c r="AH2992" s="379"/>
      <c r="AI2992" s="379"/>
      <c r="AJ2992" s="390">
        <v>9161.41</v>
      </c>
      <c r="AK2992" s="379"/>
      <c r="AL2992" s="379"/>
      <c r="AM2992" s="379"/>
      <c r="AN2992" s="379"/>
      <c r="AO2992" s="379"/>
      <c r="AP2992" s="379"/>
      <c r="AQ2992" s="379"/>
      <c r="AR2992" s="379"/>
      <c r="AS2992" s="379"/>
      <c r="AT2992" s="379"/>
      <c r="AU2992" s="379"/>
      <c r="AV2992" s="379"/>
      <c r="AW2992" s="379"/>
      <c r="AX2992" s="379"/>
      <c r="AY2992" s="379"/>
      <c r="AZ2992" s="379"/>
      <c r="BA2992" s="379"/>
      <c r="BB2992" s="379"/>
      <c r="BC2992" s="379"/>
      <c r="BD2992" s="379"/>
      <c r="BE2992" s="379"/>
      <c r="BF2992" s="379"/>
      <c r="BG2992" s="379"/>
      <c r="BH2992" s="379"/>
      <c r="BI2992" s="379"/>
      <c r="BJ2992" s="379"/>
      <c r="BK2992" s="379"/>
      <c r="BL2992" s="379"/>
      <c r="BM2992" s="379"/>
      <c r="BN2992" s="379"/>
      <c r="BO2992" s="379"/>
      <c r="BP2992" s="379"/>
      <c r="BQ2992" s="379"/>
      <c r="BR2992" s="379"/>
      <c r="BS2992" s="379"/>
      <c r="BT2992" s="379"/>
      <c r="BU2992" s="379"/>
      <c r="BV2992" s="379"/>
      <c r="BW2992" s="379"/>
      <c r="BX2992" s="379"/>
      <c r="BY2992" s="379"/>
    </row>
    <row r="2993" spans="1:77" s="379" customFormat="1" ht="11.25" customHeight="1">
      <c r="B2993" s="379" t="s">
        <v>291</v>
      </c>
      <c r="C2993" s="381"/>
      <c r="D2993" s="381"/>
      <c r="E2993" s="382" t="s">
        <v>2237</v>
      </c>
      <c r="F2993" s="379" t="s">
        <v>139</v>
      </c>
      <c r="G2993" s="383">
        <v>3738</v>
      </c>
      <c r="H2993" s="379" t="s">
        <v>162</v>
      </c>
      <c r="I2993" s="384" t="s">
        <v>1648</v>
      </c>
      <c r="J2993" s="385">
        <v>6599.16</v>
      </c>
      <c r="K2993" s="384"/>
      <c r="L2993" s="385">
        <v>15.29</v>
      </c>
      <c r="M2993" s="385">
        <v>15.29</v>
      </c>
      <c r="N2993" s="386">
        <v>5584</v>
      </c>
      <c r="O2993" s="387">
        <v>0.3</v>
      </c>
      <c r="P2993" s="387">
        <v>0.1</v>
      </c>
      <c r="Q2993" s="391">
        <v>4162.55</v>
      </c>
      <c r="R2993" s="379" t="s">
        <v>142</v>
      </c>
      <c r="S2993" s="388" t="s">
        <v>41</v>
      </c>
      <c r="T2993" s="388">
        <v>24</v>
      </c>
      <c r="U2993" s="389" t="s">
        <v>164</v>
      </c>
      <c r="V2993" s="433"/>
      <c r="X2993" s="391">
        <v>4162.55</v>
      </c>
      <c r="Y2993" s="386"/>
      <c r="AJ2993" s="390">
        <v>4162.55</v>
      </c>
    </row>
    <row r="2994" spans="1:77" s="379" customFormat="1" ht="11.25" customHeight="1">
      <c r="B2994" s="379" t="s">
        <v>291</v>
      </c>
      <c r="C2994" s="381"/>
      <c r="D2994" s="381"/>
      <c r="E2994" s="382" t="s">
        <v>2237</v>
      </c>
      <c r="F2994" s="379" t="s">
        <v>139</v>
      </c>
      <c r="G2994" s="383">
        <v>3738</v>
      </c>
      <c r="H2994" s="379" t="s">
        <v>137</v>
      </c>
      <c r="I2994" s="384" t="s">
        <v>1648</v>
      </c>
      <c r="J2994" s="385">
        <v>7656.8</v>
      </c>
      <c r="K2994" s="384"/>
      <c r="L2994" s="385">
        <v>8</v>
      </c>
      <c r="M2994" s="385">
        <v>8</v>
      </c>
      <c r="N2994" s="386">
        <v>1252</v>
      </c>
      <c r="O2994" s="387">
        <v>0.3</v>
      </c>
      <c r="P2994" s="387">
        <v>0.1</v>
      </c>
      <c r="Q2994" s="391">
        <v>1133.9100000000001</v>
      </c>
      <c r="R2994" s="379" t="s">
        <v>142</v>
      </c>
      <c r="S2994" s="388" t="s">
        <v>41</v>
      </c>
      <c r="T2994" s="388">
        <v>24</v>
      </c>
      <c r="U2994" s="389" t="s">
        <v>164</v>
      </c>
      <c r="V2994" s="433"/>
      <c r="X2994" s="391">
        <v>1133.9100000000001</v>
      </c>
      <c r="Y2994" s="386"/>
      <c r="AJ2994" s="390">
        <v>1133.9100000000001</v>
      </c>
    </row>
    <row r="2995" spans="1:77" s="379" customFormat="1" ht="11.25" customHeight="1">
      <c r="B2995" s="379" t="s">
        <v>291</v>
      </c>
      <c r="C2995" s="381"/>
      <c r="D2995" s="381"/>
      <c r="E2995" s="382" t="s">
        <v>2237</v>
      </c>
      <c r="F2995" s="379" t="s">
        <v>139</v>
      </c>
      <c r="G2995" s="383">
        <v>3738</v>
      </c>
      <c r="H2995" s="379" t="s">
        <v>99</v>
      </c>
      <c r="I2995" s="384" t="s">
        <v>1648</v>
      </c>
      <c r="J2995" s="385">
        <v>42525</v>
      </c>
      <c r="K2995" s="384"/>
      <c r="L2995" s="385">
        <v>50</v>
      </c>
      <c r="M2995" s="385">
        <v>50</v>
      </c>
      <c r="N2995" s="386">
        <v>20964</v>
      </c>
      <c r="O2995" s="387">
        <v>0.3</v>
      </c>
      <c r="P2995" s="387">
        <v>0.1</v>
      </c>
      <c r="Q2995" s="386">
        <v>17815.73</v>
      </c>
      <c r="R2995" s="379" t="s">
        <v>142</v>
      </c>
      <c r="S2995" s="388" t="s">
        <v>41</v>
      </c>
      <c r="T2995" s="388">
        <v>24</v>
      </c>
      <c r="U2995" s="389" t="s">
        <v>164</v>
      </c>
      <c r="V2995" s="433"/>
      <c r="X2995" s="386">
        <v>17815.73</v>
      </c>
      <c r="Y2995" s="386"/>
      <c r="AJ2995" s="416">
        <v>17815.73</v>
      </c>
    </row>
    <row r="2996" spans="1:77" s="379" customFormat="1" ht="11.25" customHeight="1">
      <c r="B2996" s="379" t="s">
        <v>291</v>
      </c>
      <c r="C2996" s="381"/>
      <c r="D2996" s="381"/>
      <c r="E2996" s="382" t="s">
        <v>2237</v>
      </c>
      <c r="F2996" s="379" t="s">
        <v>139</v>
      </c>
      <c r="G2996" s="383">
        <v>3738</v>
      </c>
      <c r="H2996" s="379" t="s">
        <v>183</v>
      </c>
      <c r="I2996" s="384" t="s">
        <v>1648</v>
      </c>
      <c r="J2996" s="385">
        <v>43179.8</v>
      </c>
      <c r="K2996" s="384"/>
      <c r="L2996" s="385">
        <v>49.89</v>
      </c>
      <c r="M2996" s="385">
        <v>49.89</v>
      </c>
      <c r="N2996" s="386">
        <v>30928</v>
      </c>
      <c r="O2996" s="387">
        <v>0.3</v>
      </c>
      <c r="P2996" s="387">
        <v>0.1</v>
      </c>
      <c r="Q2996" s="386">
        <v>24866.94</v>
      </c>
      <c r="R2996" s="379" t="s">
        <v>142</v>
      </c>
      <c r="S2996" s="388" t="s">
        <v>41</v>
      </c>
      <c r="T2996" s="388">
        <v>24</v>
      </c>
      <c r="U2996" s="389" t="s">
        <v>164</v>
      </c>
      <c r="V2996" s="433"/>
      <c r="X2996" s="386">
        <v>24866.94</v>
      </c>
      <c r="Y2996" s="386"/>
      <c r="AJ2996" s="416">
        <v>24866.94</v>
      </c>
    </row>
    <row r="2997" spans="1:77" s="647" customFormat="1" ht="11.25" customHeight="1">
      <c r="B2997" s="647" t="s">
        <v>291</v>
      </c>
      <c r="C2997" s="648"/>
      <c r="D2997" s="648"/>
      <c r="E2997" s="649" t="s">
        <v>2237</v>
      </c>
      <c r="F2997" s="647" t="s">
        <v>139</v>
      </c>
      <c r="G2997" s="650">
        <v>3738</v>
      </c>
      <c r="H2997" s="647" t="s">
        <v>765</v>
      </c>
      <c r="I2997" s="676" t="s">
        <v>1648</v>
      </c>
      <c r="J2997" s="651">
        <v>38817</v>
      </c>
      <c r="K2997" s="676"/>
      <c r="L2997" s="651">
        <v>45</v>
      </c>
      <c r="M2997" s="651">
        <v>45</v>
      </c>
      <c r="N2997" s="652">
        <v>32354</v>
      </c>
      <c r="O2997" s="653">
        <v>0.3</v>
      </c>
      <c r="P2997" s="653">
        <v>0.1</v>
      </c>
      <c r="Q2997" s="652">
        <v>28471.5</v>
      </c>
      <c r="R2997" s="647" t="s">
        <v>142</v>
      </c>
      <c r="S2997" s="654" t="s">
        <v>41</v>
      </c>
      <c r="T2997" s="654">
        <v>24</v>
      </c>
      <c r="U2997" s="655" t="s">
        <v>164</v>
      </c>
      <c r="V2997" s="656"/>
      <c r="X2997" s="652">
        <v>28471.5</v>
      </c>
      <c r="Y2997" s="652"/>
      <c r="AI2997" s="652">
        <v>28471.5</v>
      </c>
      <c r="AJ2997" s="657"/>
      <c r="AK2997" s="658"/>
    </row>
    <row r="2998" spans="1:77" s="261" customFormat="1" ht="11.25" customHeight="1">
      <c r="B2998" s="261" t="s">
        <v>291</v>
      </c>
      <c r="C2998" s="259"/>
      <c r="D2998" s="259"/>
      <c r="E2998" s="260" t="s">
        <v>2237</v>
      </c>
      <c r="F2998" s="261" t="s">
        <v>139</v>
      </c>
      <c r="G2998" s="262">
        <v>3738</v>
      </c>
      <c r="H2998" s="261" t="s">
        <v>910</v>
      </c>
      <c r="I2998" s="264" t="s">
        <v>1648</v>
      </c>
      <c r="J2998" s="263">
        <v>87439.61</v>
      </c>
      <c r="K2998" s="264"/>
      <c r="L2998" s="263">
        <v>48.92</v>
      </c>
      <c r="M2998" s="263">
        <v>48.92</v>
      </c>
      <c r="N2998" s="265"/>
      <c r="O2998" s="266">
        <v>0.3</v>
      </c>
      <c r="P2998" s="266">
        <v>0.1</v>
      </c>
      <c r="Q2998" s="265">
        <v>71993.61</v>
      </c>
      <c r="R2998" s="261" t="s">
        <v>142</v>
      </c>
      <c r="S2998" s="267" t="s">
        <v>41</v>
      </c>
      <c r="T2998" s="267">
        <v>24</v>
      </c>
      <c r="U2998" s="274" t="s">
        <v>164</v>
      </c>
      <c r="V2998" s="427"/>
      <c r="X2998" s="265">
        <v>71993.61</v>
      </c>
      <c r="Y2998" s="265"/>
      <c r="AG2998" s="261">
        <f>X2998</f>
        <v>71993.61</v>
      </c>
      <c r="AJ2998" s="642"/>
    </row>
    <row r="2999" spans="1:77" s="337" customFormat="1" ht="11.25" customHeight="1">
      <c r="A2999" s="379"/>
      <c r="B2999" s="380" t="s">
        <v>291</v>
      </c>
      <c r="C2999" s="381"/>
      <c r="D2999" s="381"/>
      <c r="E2999" s="382" t="s">
        <v>2238</v>
      </c>
      <c r="F2999" s="379" t="s">
        <v>79</v>
      </c>
      <c r="G2999" s="383">
        <v>3586</v>
      </c>
      <c r="H2999" s="379" t="s">
        <v>27</v>
      </c>
      <c r="I2999" s="384" t="s">
        <v>156</v>
      </c>
      <c r="J2999" s="385">
        <v>225838.07999999999</v>
      </c>
      <c r="K2999" s="384"/>
      <c r="L2999" s="385">
        <v>148.47999999999999</v>
      </c>
      <c r="M2999" s="385">
        <v>148.47999999999999</v>
      </c>
      <c r="N2999" s="386"/>
      <c r="O2999" s="387">
        <v>0.2</v>
      </c>
      <c r="P2999" s="387">
        <v>0.1</v>
      </c>
      <c r="Q2999" s="386">
        <v>0</v>
      </c>
      <c r="R2999" s="379" t="s">
        <v>77</v>
      </c>
      <c r="S2999" s="388" t="s">
        <v>41</v>
      </c>
      <c r="T2999" s="388">
        <v>16</v>
      </c>
      <c r="U2999" s="389" t="s">
        <v>164</v>
      </c>
      <c r="V2999" s="433"/>
      <c r="W2999" s="379"/>
      <c r="X2999" s="386">
        <v>0</v>
      </c>
      <c r="Y2999" s="386"/>
      <c r="Z2999" s="379"/>
      <c r="AA2999" s="379"/>
      <c r="AB2999" s="379"/>
      <c r="AC2999" s="379"/>
      <c r="AD2999" s="379"/>
      <c r="AE2999" s="379"/>
      <c r="AF2999" s="379"/>
      <c r="AG2999" s="379"/>
      <c r="AH2999" s="379"/>
      <c r="AI2999" s="379"/>
      <c r="AJ2999" s="390">
        <v>0</v>
      </c>
      <c r="AK2999" s="379"/>
      <c r="AL2999" s="379"/>
      <c r="AM2999" s="379"/>
      <c r="AN2999" s="379"/>
      <c r="AO2999" s="379"/>
      <c r="AP2999" s="379"/>
      <c r="AQ2999" s="379"/>
      <c r="AR2999" s="379"/>
      <c r="AS2999" s="379"/>
      <c r="AT2999" s="379"/>
      <c r="AU2999" s="379"/>
      <c r="AV2999" s="379"/>
      <c r="AW2999" s="379"/>
      <c r="AX2999" s="379"/>
      <c r="AY2999" s="379"/>
      <c r="AZ2999" s="379"/>
      <c r="BA2999" s="379"/>
      <c r="BB2999" s="379"/>
      <c r="BC2999" s="379"/>
      <c r="BD2999" s="379"/>
      <c r="BE2999" s="379"/>
      <c r="BF2999" s="379"/>
      <c r="BG2999" s="379"/>
      <c r="BH2999" s="379"/>
      <c r="BI2999" s="379"/>
      <c r="BJ2999" s="379"/>
      <c r="BK2999" s="379"/>
      <c r="BL2999" s="379"/>
      <c r="BM2999" s="379"/>
      <c r="BN2999" s="379"/>
      <c r="BO2999" s="379"/>
      <c r="BP2999" s="379"/>
      <c r="BQ2999" s="379"/>
      <c r="BR2999" s="379"/>
      <c r="BS2999" s="379"/>
      <c r="BT2999" s="379"/>
      <c r="BU2999" s="379"/>
      <c r="BV2999" s="379"/>
      <c r="BW2999" s="379"/>
      <c r="BX2999" s="379"/>
      <c r="BY2999" s="379"/>
    </row>
    <row r="3000" spans="1:77" s="647" customFormat="1" ht="11.25" customHeight="1">
      <c r="B3000" s="661" t="s">
        <v>291</v>
      </c>
      <c r="C3000" s="648">
        <v>44732</v>
      </c>
      <c r="D3000" s="648">
        <v>44733</v>
      </c>
      <c r="E3000" s="649" t="s">
        <v>2238</v>
      </c>
      <c r="F3000" s="647" t="s">
        <v>79</v>
      </c>
      <c r="G3000" s="650">
        <v>3586</v>
      </c>
      <c r="H3000" s="647" t="s">
        <v>99</v>
      </c>
      <c r="I3000" s="676" t="s">
        <v>156</v>
      </c>
      <c r="J3000" s="651">
        <v>140822.39999999999</v>
      </c>
      <c r="K3000" s="676"/>
      <c r="L3000" s="651">
        <v>146.69</v>
      </c>
      <c r="M3000" s="651">
        <v>146.69</v>
      </c>
      <c r="N3000" s="652"/>
      <c r="O3000" s="653">
        <v>0.2</v>
      </c>
      <c r="P3000" s="653">
        <v>0.1</v>
      </c>
      <c r="Q3000" s="652">
        <v>0</v>
      </c>
      <c r="R3000" s="647" t="s">
        <v>77</v>
      </c>
      <c r="S3000" s="654" t="s">
        <v>41</v>
      </c>
      <c r="T3000" s="654">
        <v>16</v>
      </c>
      <c r="U3000" s="655" t="s">
        <v>164</v>
      </c>
      <c r="V3000" s="656"/>
      <c r="X3000" s="652">
        <v>0</v>
      </c>
      <c r="Y3000" s="652"/>
      <c r="AI3000" s="647">
        <v>0</v>
      </c>
      <c r="AJ3000" s="657"/>
      <c r="AK3000" s="658"/>
    </row>
    <row r="3001" spans="1:77" s="6" customFormat="1" ht="11.25" customHeight="1">
      <c r="A3001" s="379"/>
      <c r="B3001" s="379" t="s">
        <v>291</v>
      </c>
      <c r="C3001" s="381">
        <v>44732</v>
      </c>
      <c r="D3001" s="381">
        <v>44733</v>
      </c>
      <c r="E3001" s="382" t="s">
        <v>2239</v>
      </c>
      <c r="F3001" s="379" t="s">
        <v>81</v>
      </c>
      <c r="G3001" s="404">
        <v>3577</v>
      </c>
      <c r="H3001" s="379" t="s">
        <v>99</v>
      </c>
      <c r="I3001" s="384" t="s">
        <v>156</v>
      </c>
      <c r="J3001" s="385">
        <v>41733.15</v>
      </c>
      <c r="K3001" s="384"/>
      <c r="L3001" s="385">
        <v>45.61</v>
      </c>
      <c r="M3001" s="385">
        <v>45.61</v>
      </c>
      <c r="N3001" s="386"/>
      <c r="O3001" s="387">
        <v>0.2</v>
      </c>
      <c r="P3001" s="387">
        <v>0.1</v>
      </c>
      <c r="Q3001" s="386">
        <v>12246.29</v>
      </c>
      <c r="R3001" s="379" t="s">
        <v>77</v>
      </c>
      <c r="S3001" s="388" t="s">
        <v>41</v>
      </c>
      <c r="T3001" s="388">
        <v>16</v>
      </c>
      <c r="U3001" s="389" t="s">
        <v>164</v>
      </c>
      <c r="V3001" s="433"/>
      <c r="W3001" s="379"/>
      <c r="X3001" s="386">
        <v>12246.29</v>
      </c>
      <c r="Y3001" s="386"/>
      <c r="Z3001" s="379"/>
      <c r="AA3001" s="379"/>
      <c r="AB3001" s="379"/>
      <c r="AC3001" s="379"/>
      <c r="AD3001" s="379"/>
      <c r="AE3001" s="379"/>
      <c r="AF3001" s="379"/>
      <c r="AG3001" s="379"/>
      <c r="AH3001" s="379"/>
      <c r="AI3001" s="379"/>
      <c r="AJ3001" s="416">
        <v>12246.29</v>
      </c>
      <c r="AK3001" s="379"/>
      <c r="AL3001" s="379"/>
      <c r="AM3001" s="379"/>
      <c r="AN3001" s="379"/>
      <c r="AO3001" s="379"/>
      <c r="AP3001" s="379"/>
      <c r="AQ3001" s="379"/>
      <c r="AR3001" s="379"/>
      <c r="AS3001" s="379"/>
      <c r="AT3001" s="379"/>
      <c r="AU3001" s="379"/>
      <c r="AV3001" s="379"/>
      <c r="AW3001" s="379"/>
      <c r="AX3001" s="379"/>
      <c r="AY3001" s="379"/>
      <c r="AZ3001" s="379"/>
      <c r="BA3001" s="379"/>
      <c r="BB3001" s="379"/>
      <c r="BC3001" s="379"/>
      <c r="BD3001" s="379"/>
      <c r="BE3001" s="379"/>
      <c r="BF3001" s="379"/>
      <c r="BG3001" s="379"/>
      <c r="BH3001" s="379"/>
      <c r="BI3001" s="379"/>
      <c r="BJ3001" s="379"/>
      <c r="BK3001" s="379"/>
      <c r="BL3001" s="379"/>
      <c r="BM3001" s="379"/>
      <c r="BN3001" s="379"/>
      <c r="BO3001" s="379"/>
      <c r="BP3001" s="379"/>
      <c r="BQ3001" s="379"/>
      <c r="BR3001" s="379"/>
      <c r="BS3001" s="379"/>
      <c r="BT3001" s="379"/>
      <c r="BU3001" s="379"/>
      <c r="BV3001" s="379"/>
      <c r="BW3001" s="379"/>
      <c r="BX3001" s="379"/>
      <c r="BY3001" s="379"/>
    </row>
    <row r="3002" spans="1:77" s="647" customFormat="1" ht="11.25" customHeight="1">
      <c r="B3002" s="647" t="s">
        <v>291</v>
      </c>
      <c r="C3002" s="648"/>
      <c r="D3002" s="648"/>
      <c r="E3002" s="649" t="s">
        <v>2239</v>
      </c>
      <c r="F3002" s="647" t="s">
        <v>81</v>
      </c>
      <c r="G3002" s="675">
        <v>3577</v>
      </c>
      <c r="H3002" s="647" t="s">
        <v>27</v>
      </c>
      <c r="I3002" s="676" t="s">
        <v>156</v>
      </c>
      <c r="J3002" s="651">
        <v>31112.1</v>
      </c>
      <c r="K3002" s="676"/>
      <c r="L3002" s="651">
        <v>25.05</v>
      </c>
      <c r="M3002" s="651">
        <v>25.05</v>
      </c>
      <c r="N3002" s="652"/>
      <c r="O3002" s="653">
        <v>0.2</v>
      </c>
      <c r="P3002" s="653">
        <v>0.1</v>
      </c>
      <c r="Q3002" s="652">
        <v>0</v>
      </c>
      <c r="R3002" s="647" t="s">
        <v>77</v>
      </c>
      <c r="S3002" s="654" t="s">
        <v>41</v>
      </c>
      <c r="T3002" s="654">
        <v>16</v>
      </c>
      <c r="U3002" s="655" t="s">
        <v>164</v>
      </c>
      <c r="V3002" s="656"/>
      <c r="X3002" s="652">
        <v>0</v>
      </c>
      <c r="Y3002" s="652"/>
      <c r="AI3002" s="647">
        <v>0</v>
      </c>
      <c r="AJ3002" s="657"/>
      <c r="AK3002" s="658"/>
    </row>
    <row r="3003" spans="1:77" s="337" customFormat="1" ht="11.25" customHeight="1">
      <c r="A3003" s="379"/>
      <c r="B3003" s="379" t="s">
        <v>291</v>
      </c>
      <c r="C3003" s="381"/>
      <c r="D3003" s="381"/>
      <c r="E3003" s="382" t="s">
        <v>2240</v>
      </c>
      <c r="F3003" s="394" t="s">
        <v>2241</v>
      </c>
      <c r="G3003" s="400" t="s">
        <v>2242</v>
      </c>
      <c r="H3003" s="379" t="s">
        <v>1300</v>
      </c>
      <c r="I3003" s="384" t="s">
        <v>33</v>
      </c>
      <c r="J3003" s="385">
        <v>24600</v>
      </c>
      <c r="K3003" s="384"/>
      <c r="L3003" s="385">
        <v>12.3</v>
      </c>
      <c r="M3003" s="385">
        <v>12.3</v>
      </c>
      <c r="N3003" s="386"/>
      <c r="O3003" s="387">
        <v>0.2</v>
      </c>
      <c r="P3003" s="387"/>
      <c r="Q3003" s="386">
        <v>1082.4000000000001</v>
      </c>
      <c r="R3003" s="394" t="s">
        <v>285</v>
      </c>
      <c r="S3003" s="399" t="s">
        <v>275</v>
      </c>
      <c r="T3003" s="399">
        <v>21</v>
      </c>
      <c r="U3003" s="389" t="s">
        <v>164</v>
      </c>
      <c r="V3003" s="433"/>
      <c r="W3003" s="379"/>
      <c r="X3003" s="386">
        <v>1082.4000000000001</v>
      </c>
      <c r="Y3003" s="386"/>
      <c r="Z3003" s="379"/>
      <c r="AA3003" s="379"/>
      <c r="AB3003" s="379"/>
      <c r="AC3003" s="379"/>
      <c r="AD3003" s="379"/>
      <c r="AE3003" s="379"/>
      <c r="AF3003" s="379"/>
      <c r="AG3003" s="379"/>
      <c r="AH3003" s="379"/>
      <c r="AI3003" s="379"/>
      <c r="AJ3003" s="416">
        <v>1082.4000000000001</v>
      </c>
      <c r="AK3003" s="379"/>
      <c r="AL3003" s="379"/>
      <c r="AM3003" s="379"/>
      <c r="AN3003" s="379"/>
      <c r="AO3003" s="379"/>
      <c r="AP3003" s="379"/>
      <c r="AQ3003" s="379"/>
      <c r="AR3003" s="379"/>
      <c r="AS3003" s="379"/>
      <c r="AT3003" s="379"/>
      <c r="AU3003" s="379"/>
      <c r="AV3003" s="379"/>
      <c r="AW3003" s="379"/>
      <c r="AX3003" s="379"/>
      <c r="AY3003" s="379"/>
      <c r="AZ3003" s="379"/>
      <c r="BA3003" s="379"/>
      <c r="BB3003" s="379"/>
      <c r="BC3003" s="379"/>
      <c r="BD3003" s="379"/>
      <c r="BE3003" s="379"/>
      <c r="BF3003" s="379"/>
      <c r="BG3003" s="379"/>
      <c r="BH3003" s="379"/>
      <c r="BI3003" s="379"/>
      <c r="BJ3003" s="379"/>
      <c r="BK3003" s="379"/>
      <c r="BL3003" s="379"/>
      <c r="BM3003" s="379"/>
      <c r="BN3003" s="379"/>
      <c r="BO3003" s="379"/>
      <c r="BP3003" s="379"/>
      <c r="BQ3003" s="379"/>
      <c r="BR3003" s="379"/>
      <c r="BS3003" s="379"/>
      <c r="BT3003" s="379"/>
      <c r="BU3003" s="379"/>
      <c r="BV3003" s="379"/>
      <c r="BW3003" s="379"/>
      <c r="BX3003" s="379"/>
      <c r="BY3003" s="379"/>
    </row>
    <row r="3004" spans="1:77" s="379" customFormat="1" ht="11.25" customHeight="1">
      <c r="B3004" s="379" t="s">
        <v>291</v>
      </c>
      <c r="C3004" s="381"/>
      <c r="D3004" s="381"/>
      <c r="E3004" s="382" t="s">
        <v>2240</v>
      </c>
      <c r="F3004" s="394" t="s">
        <v>2241</v>
      </c>
      <c r="G3004" s="400" t="s">
        <v>2242</v>
      </c>
      <c r="H3004" s="379" t="s">
        <v>765</v>
      </c>
      <c r="I3004" s="384" t="s">
        <v>33</v>
      </c>
      <c r="J3004" s="385">
        <v>22168.799999999999</v>
      </c>
      <c r="K3004" s="384"/>
      <c r="L3004" s="385">
        <v>16.21</v>
      </c>
      <c r="M3004" s="385">
        <v>16.21</v>
      </c>
      <c r="N3004" s="386"/>
      <c r="O3004" s="387">
        <v>0.2</v>
      </c>
      <c r="P3004" s="387"/>
      <c r="Q3004" s="386">
        <v>2689.24</v>
      </c>
      <c r="R3004" s="394" t="s">
        <v>285</v>
      </c>
      <c r="S3004" s="399" t="s">
        <v>275</v>
      </c>
      <c r="T3004" s="399">
        <v>21</v>
      </c>
      <c r="U3004" s="389" t="s">
        <v>164</v>
      </c>
      <c r="V3004" s="433"/>
      <c r="X3004" s="386">
        <v>2689.24</v>
      </c>
      <c r="Y3004" s="386"/>
      <c r="AJ3004" s="416">
        <v>2689.24</v>
      </c>
    </row>
    <row r="3005" spans="1:77" s="647" customFormat="1" ht="11.25" customHeight="1">
      <c r="B3005" s="661" t="s">
        <v>291</v>
      </c>
      <c r="C3005" s="648">
        <v>44733</v>
      </c>
      <c r="D3005" s="648">
        <v>44733</v>
      </c>
      <c r="E3005" s="649" t="s">
        <v>2240</v>
      </c>
      <c r="F3005" s="660" t="s">
        <v>2241</v>
      </c>
      <c r="G3005" s="667" t="s">
        <v>2242</v>
      </c>
      <c r="H3005" s="647" t="s">
        <v>99</v>
      </c>
      <c r="I3005" s="676" t="s">
        <v>33</v>
      </c>
      <c r="J3005" s="651">
        <v>102196.91</v>
      </c>
      <c r="K3005" s="676"/>
      <c r="L3005" s="651">
        <v>75.78</v>
      </c>
      <c r="M3005" s="651">
        <v>75.78</v>
      </c>
      <c r="N3005" s="652"/>
      <c r="O3005" s="653">
        <v>0.2</v>
      </c>
      <c r="P3005" s="653"/>
      <c r="Q3005" s="652">
        <v>0</v>
      </c>
      <c r="R3005" s="660" t="s">
        <v>285</v>
      </c>
      <c r="S3005" s="671" t="s">
        <v>275</v>
      </c>
      <c r="T3005" s="671">
        <v>21</v>
      </c>
      <c r="U3005" s="655" t="s">
        <v>164</v>
      </c>
      <c r="V3005" s="656"/>
      <c r="X3005" s="652">
        <v>0</v>
      </c>
      <c r="Y3005" s="652"/>
      <c r="AI3005" s="647">
        <v>0</v>
      </c>
      <c r="AJ3005" s="657"/>
      <c r="AK3005" s="658"/>
    </row>
    <row r="3006" spans="1:77" s="261" customFormat="1" ht="11.25" customHeight="1">
      <c r="B3006" s="261" t="s">
        <v>291</v>
      </c>
      <c r="C3006" s="259">
        <v>44732</v>
      </c>
      <c r="D3006" s="259">
        <v>44733</v>
      </c>
      <c r="E3006" s="260" t="s">
        <v>2243</v>
      </c>
      <c r="F3006" s="273" t="s">
        <v>2128</v>
      </c>
      <c r="G3006" s="276" t="s">
        <v>2129</v>
      </c>
      <c r="H3006" s="261" t="s">
        <v>866</v>
      </c>
      <c r="I3006" s="264" t="s">
        <v>156</v>
      </c>
      <c r="J3006" s="263">
        <v>31440.75</v>
      </c>
      <c r="K3006" s="264"/>
      <c r="L3006" s="263">
        <v>18.5</v>
      </c>
      <c r="M3006" s="263">
        <v>16</v>
      </c>
      <c r="N3006" s="265">
        <f>J3006*0.4</f>
        <v>12576.300000000001</v>
      </c>
      <c r="O3006" s="266">
        <v>0.25</v>
      </c>
      <c r="P3006" s="266">
        <v>0.1</v>
      </c>
      <c r="Q3006" s="265">
        <v>6781.21</v>
      </c>
      <c r="R3006" s="273" t="s">
        <v>112</v>
      </c>
      <c r="S3006" s="279" t="s">
        <v>113</v>
      </c>
      <c r="T3006" s="279">
        <v>64</v>
      </c>
      <c r="U3006" s="268" t="s">
        <v>164</v>
      </c>
      <c r="V3006" s="427"/>
      <c r="X3006" s="265">
        <v>6781.21</v>
      </c>
      <c r="Y3006" s="265"/>
      <c r="AG3006" s="261">
        <f>X3006</f>
        <v>6781.21</v>
      </c>
      <c r="AJ3006" s="642"/>
    </row>
    <row r="3007" spans="1:77" s="261" customFormat="1" ht="11.25" customHeight="1">
      <c r="B3007" s="261" t="s">
        <v>291</v>
      </c>
      <c r="C3007" s="259"/>
      <c r="D3007" s="259"/>
      <c r="E3007" s="260" t="s">
        <v>2243</v>
      </c>
      <c r="F3007" s="273" t="s">
        <v>2128</v>
      </c>
      <c r="G3007" s="276" t="s">
        <v>2129</v>
      </c>
      <c r="H3007" s="261" t="s">
        <v>163</v>
      </c>
      <c r="I3007" s="264" t="s">
        <v>156</v>
      </c>
      <c r="J3007" s="263">
        <v>2460</v>
      </c>
      <c r="K3007" s="264"/>
      <c r="L3007" s="263">
        <v>4</v>
      </c>
      <c r="M3007" s="263">
        <v>4</v>
      </c>
      <c r="N3007" s="265">
        <f>J3007*0.3</f>
        <v>738</v>
      </c>
      <c r="O3007" s="266">
        <v>0.25</v>
      </c>
      <c r="P3007" s="266">
        <v>0.1</v>
      </c>
      <c r="Q3007" s="265">
        <v>429</v>
      </c>
      <c r="R3007" s="273" t="s">
        <v>112</v>
      </c>
      <c r="S3007" s="279" t="s">
        <v>113</v>
      </c>
      <c r="T3007" s="279">
        <v>64</v>
      </c>
      <c r="U3007" s="268" t="s">
        <v>164</v>
      </c>
      <c r="V3007" s="427"/>
      <c r="X3007" s="265">
        <v>429</v>
      </c>
      <c r="Y3007" s="265"/>
      <c r="AG3007" s="261">
        <f>X3007</f>
        <v>429</v>
      </c>
      <c r="AJ3007" s="642"/>
    </row>
    <row r="3008" spans="1:77" s="236" customFormat="1" ht="11.25" customHeight="1">
      <c r="A3008" s="473"/>
      <c r="B3008" s="473" t="s">
        <v>291</v>
      </c>
      <c r="C3008" s="487"/>
      <c r="D3008" s="487"/>
      <c r="E3008" s="488" t="s">
        <v>2244</v>
      </c>
      <c r="F3008" s="472" t="s">
        <v>537</v>
      </c>
      <c r="G3008" s="476">
        <v>4611</v>
      </c>
      <c r="H3008" s="473" t="s">
        <v>866</v>
      </c>
      <c r="I3008" s="491" t="s">
        <v>156</v>
      </c>
      <c r="J3008" s="490">
        <v>5925.15</v>
      </c>
      <c r="K3008" s="491"/>
      <c r="L3008" s="490">
        <v>6.93</v>
      </c>
      <c r="M3008" s="490">
        <v>4.29</v>
      </c>
      <c r="N3008" s="492">
        <v>5331.6350000000002</v>
      </c>
      <c r="O3008" s="493">
        <v>0.25</v>
      </c>
      <c r="P3008" s="493">
        <v>0.1</v>
      </c>
      <c r="Q3008" s="492">
        <v>2855.36</v>
      </c>
      <c r="R3008" s="472" t="s">
        <v>42</v>
      </c>
      <c r="S3008" s="482" t="s">
        <v>41</v>
      </c>
      <c r="T3008" s="482">
        <v>16</v>
      </c>
      <c r="U3008" s="494" t="s">
        <v>164</v>
      </c>
      <c r="V3008" s="495"/>
      <c r="W3008" s="473"/>
      <c r="X3008" s="492">
        <v>2855.36</v>
      </c>
      <c r="Y3008" s="492"/>
      <c r="Z3008" s="473"/>
      <c r="AA3008" s="473"/>
      <c r="AB3008" s="473"/>
      <c r="AC3008" s="473"/>
      <c r="AD3008" s="473"/>
      <c r="AE3008" s="473"/>
      <c r="AF3008" s="473"/>
      <c r="AG3008" s="473"/>
      <c r="AH3008" s="473"/>
      <c r="AI3008" s="473"/>
      <c r="AJ3008" s="485"/>
      <c r="AK3008" s="505">
        <v>2855.36</v>
      </c>
      <c r="AL3008" s="473"/>
      <c r="AM3008" s="473"/>
      <c r="AN3008" s="473"/>
      <c r="AO3008" s="473"/>
      <c r="AP3008" s="473"/>
      <c r="AQ3008" s="473"/>
      <c r="AR3008" s="473"/>
      <c r="AS3008" s="473"/>
      <c r="AT3008" s="473"/>
      <c r="AU3008" s="473"/>
      <c r="AV3008" s="473"/>
      <c r="AW3008" s="473"/>
      <c r="AX3008" s="473"/>
      <c r="AY3008" s="473"/>
      <c r="AZ3008" s="473"/>
      <c r="BA3008" s="473"/>
      <c r="BB3008" s="473"/>
      <c r="BC3008" s="473"/>
      <c r="BD3008" s="473"/>
      <c r="BE3008" s="473"/>
      <c r="BF3008" s="473"/>
      <c r="BG3008" s="473"/>
      <c r="BH3008" s="473"/>
      <c r="BI3008" s="473"/>
      <c r="BJ3008" s="473"/>
      <c r="BK3008" s="473"/>
      <c r="BL3008" s="473"/>
      <c r="BM3008" s="473"/>
      <c r="BN3008" s="473"/>
      <c r="BO3008" s="473"/>
      <c r="BP3008" s="473"/>
      <c r="BQ3008" s="473"/>
      <c r="BR3008" s="473"/>
      <c r="BS3008" s="473"/>
      <c r="BT3008" s="473"/>
      <c r="BU3008" s="473"/>
      <c r="BV3008" s="473"/>
      <c r="BW3008" s="473"/>
      <c r="BX3008" s="473"/>
      <c r="BY3008" s="473"/>
    </row>
    <row r="3009" spans="1:77" s="261" customFormat="1" ht="11.25" customHeight="1">
      <c r="B3009" s="261" t="s">
        <v>291</v>
      </c>
      <c r="C3009" s="259">
        <v>44732</v>
      </c>
      <c r="D3009" s="259">
        <v>44733</v>
      </c>
      <c r="E3009" s="260" t="s">
        <v>2244</v>
      </c>
      <c r="F3009" s="273" t="s">
        <v>537</v>
      </c>
      <c r="G3009" s="276">
        <v>4611</v>
      </c>
      <c r="H3009" s="261" t="s">
        <v>99</v>
      </c>
      <c r="I3009" s="264" t="s">
        <v>156</v>
      </c>
      <c r="J3009" s="263">
        <v>10297.58</v>
      </c>
      <c r="K3009" s="264"/>
      <c r="L3009" s="263">
        <v>17.73</v>
      </c>
      <c r="M3009" s="263">
        <v>17.73</v>
      </c>
      <c r="N3009" s="265">
        <v>2059.5167999999999</v>
      </c>
      <c r="O3009" s="266">
        <v>0.25</v>
      </c>
      <c r="P3009" s="266">
        <v>0.1</v>
      </c>
      <c r="Q3009" s="265">
        <v>0</v>
      </c>
      <c r="R3009" s="273" t="s">
        <v>42</v>
      </c>
      <c r="S3009" s="279" t="s">
        <v>41</v>
      </c>
      <c r="T3009" s="279">
        <v>16</v>
      </c>
      <c r="U3009" s="268" t="s">
        <v>164</v>
      </c>
      <c r="V3009" s="427"/>
      <c r="X3009" s="265">
        <v>0</v>
      </c>
      <c r="Y3009" s="265"/>
      <c r="AG3009" s="261">
        <f>X3009</f>
        <v>0</v>
      </c>
      <c r="AJ3009" s="642"/>
    </row>
    <row r="3010" spans="1:77" s="291" customFormat="1" ht="11.25" customHeight="1">
      <c r="B3010" s="291" t="s">
        <v>291</v>
      </c>
      <c r="C3010" s="292">
        <v>44733</v>
      </c>
      <c r="D3010" s="292">
        <v>44733</v>
      </c>
      <c r="E3010" s="293" t="s">
        <v>2245</v>
      </c>
      <c r="F3010" s="303" t="s">
        <v>2246</v>
      </c>
      <c r="G3010" s="304">
        <v>3703</v>
      </c>
      <c r="H3010" s="291" t="s">
        <v>137</v>
      </c>
      <c r="I3010" s="295" t="s">
        <v>33</v>
      </c>
      <c r="J3010" s="296">
        <v>43200</v>
      </c>
      <c r="K3010" s="295"/>
      <c r="L3010" s="296">
        <v>40</v>
      </c>
      <c r="M3010" s="296">
        <v>40</v>
      </c>
      <c r="N3010" s="297">
        <v>20736</v>
      </c>
      <c r="O3010" s="298">
        <v>0.2</v>
      </c>
      <c r="P3010" s="298"/>
      <c r="Q3010" s="297">
        <v>6592</v>
      </c>
      <c r="R3010" s="303" t="s">
        <v>54</v>
      </c>
      <c r="S3010" s="308" t="s">
        <v>51</v>
      </c>
      <c r="T3010" s="308">
        <v>55</v>
      </c>
      <c r="U3010" s="300" t="s">
        <v>164</v>
      </c>
      <c r="V3010" s="333"/>
      <c r="X3010" s="297">
        <v>6592</v>
      </c>
      <c r="Y3010" s="297"/>
      <c r="AH3010" s="291">
        <f>X3010</f>
        <v>6592</v>
      </c>
      <c r="AI3010" s="311"/>
      <c r="AJ3010" s="468"/>
    </row>
    <row r="3011" spans="1:77" s="291" customFormat="1" ht="11.25" customHeight="1">
      <c r="B3011" s="291" t="s">
        <v>291</v>
      </c>
      <c r="C3011" s="292"/>
      <c r="D3011" s="292"/>
      <c r="E3011" s="293" t="s">
        <v>2245</v>
      </c>
      <c r="F3011" s="303" t="s">
        <v>2246</v>
      </c>
      <c r="G3011" s="304">
        <v>3703</v>
      </c>
      <c r="H3011" s="291" t="s">
        <v>765</v>
      </c>
      <c r="I3011" s="295" t="s">
        <v>33</v>
      </c>
      <c r="J3011" s="296">
        <v>16646.400000000001</v>
      </c>
      <c r="K3011" s="295"/>
      <c r="L3011" s="296">
        <v>15.3</v>
      </c>
      <c r="M3011" s="296">
        <v>15.3</v>
      </c>
      <c r="N3011" s="297">
        <v>5826.24</v>
      </c>
      <c r="O3011" s="298">
        <v>0.2</v>
      </c>
      <c r="P3011" s="298"/>
      <c r="Q3011" s="297">
        <v>0</v>
      </c>
      <c r="R3011" s="303" t="s">
        <v>54</v>
      </c>
      <c r="S3011" s="308" t="s">
        <v>51</v>
      </c>
      <c r="T3011" s="308">
        <v>55</v>
      </c>
      <c r="U3011" s="300" t="s">
        <v>164</v>
      </c>
      <c r="V3011" s="333"/>
      <c r="X3011" s="297">
        <v>0</v>
      </c>
      <c r="Y3011" s="297"/>
      <c r="AH3011" s="291">
        <f>X3011</f>
        <v>0</v>
      </c>
      <c r="AI3011" s="311"/>
      <c r="AJ3011" s="468"/>
    </row>
    <row r="3012" spans="1:77" s="6" customFormat="1" ht="11.25" customHeight="1">
      <c r="A3012" s="379"/>
      <c r="B3012" s="380" t="s">
        <v>291</v>
      </c>
      <c r="C3012" s="381"/>
      <c r="D3012" s="381"/>
      <c r="E3012" s="382" t="s">
        <v>2247</v>
      </c>
      <c r="F3012" s="379" t="s">
        <v>774</v>
      </c>
      <c r="G3012" s="383">
        <v>4155</v>
      </c>
      <c r="H3012" s="379" t="s">
        <v>866</v>
      </c>
      <c r="I3012" s="384" t="s">
        <v>1168</v>
      </c>
      <c r="J3012" s="385">
        <v>86110.14</v>
      </c>
      <c r="K3012" s="384"/>
      <c r="L3012" s="385">
        <v>48.89</v>
      </c>
      <c r="M3012" s="385">
        <v>15.89</v>
      </c>
      <c r="N3012" s="386"/>
      <c r="O3012" s="387">
        <v>0.3</v>
      </c>
      <c r="P3012" s="387">
        <v>0.1</v>
      </c>
      <c r="Q3012" s="386">
        <v>0</v>
      </c>
      <c r="R3012" s="379" t="s">
        <v>77</v>
      </c>
      <c r="S3012" s="388" t="s">
        <v>41</v>
      </c>
      <c r="T3012" s="388">
        <v>17</v>
      </c>
      <c r="U3012" s="389" t="s">
        <v>164</v>
      </c>
      <c r="V3012" s="433"/>
      <c r="W3012" s="379"/>
      <c r="X3012" s="386">
        <v>0</v>
      </c>
      <c r="Y3012" s="386"/>
      <c r="Z3012" s="379"/>
      <c r="AA3012" s="379"/>
      <c r="AB3012" s="379"/>
      <c r="AC3012" s="379"/>
      <c r="AD3012" s="379"/>
      <c r="AE3012" s="379"/>
      <c r="AF3012" s="379"/>
      <c r="AG3012" s="379"/>
      <c r="AH3012" s="379"/>
      <c r="AI3012" s="379"/>
      <c r="AJ3012" s="416">
        <v>0</v>
      </c>
      <c r="AK3012" s="379"/>
      <c r="AL3012" s="379"/>
      <c r="AM3012" s="379"/>
      <c r="AN3012" s="379"/>
      <c r="AO3012" s="379"/>
      <c r="AP3012" s="379"/>
      <c r="AQ3012" s="379"/>
      <c r="AR3012" s="379"/>
      <c r="AS3012" s="379"/>
      <c r="AT3012" s="379"/>
      <c r="AU3012" s="379"/>
      <c r="AV3012" s="379"/>
      <c r="AW3012" s="379"/>
      <c r="AX3012" s="379"/>
      <c r="AY3012" s="379"/>
      <c r="AZ3012" s="379"/>
      <c r="BA3012" s="379"/>
      <c r="BB3012" s="379"/>
      <c r="BC3012" s="379"/>
      <c r="BD3012" s="379"/>
      <c r="BE3012" s="379"/>
      <c r="BF3012" s="379"/>
      <c r="BG3012" s="379"/>
      <c r="BH3012" s="379"/>
      <c r="BI3012" s="379"/>
      <c r="BJ3012" s="379"/>
      <c r="BK3012" s="379"/>
      <c r="BL3012" s="379"/>
      <c r="BM3012" s="379"/>
      <c r="BN3012" s="379"/>
      <c r="BO3012" s="379"/>
      <c r="BP3012" s="379"/>
      <c r="BQ3012" s="379"/>
      <c r="BR3012" s="379"/>
      <c r="BS3012" s="379"/>
      <c r="BT3012" s="379"/>
      <c r="BU3012" s="379"/>
      <c r="BV3012" s="379"/>
      <c r="BW3012" s="379"/>
      <c r="BX3012" s="379"/>
      <c r="BY3012" s="379"/>
    </row>
    <row r="3013" spans="1:77" s="379" customFormat="1" ht="11.25" customHeight="1">
      <c r="B3013" s="380" t="s">
        <v>291</v>
      </c>
      <c r="C3013" s="381">
        <v>44732</v>
      </c>
      <c r="D3013" s="381">
        <v>44733</v>
      </c>
      <c r="E3013" s="382" t="s">
        <v>2247</v>
      </c>
      <c r="F3013" s="379" t="s">
        <v>774</v>
      </c>
      <c r="G3013" s="383">
        <v>4155</v>
      </c>
      <c r="H3013" s="379" t="s">
        <v>137</v>
      </c>
      <c r="I3013" s="384" t="s">
        <v>1168</v>
      </c>
      <c r="J3013" s="385">
        <v>3384.38</v>
      </c>
      <c r="K3013" s="384"/>
      <c r="L3013" s="385">
        <v>2.5299999999999998</v>
      </c>
      <c r="M3013" s="385">
        <v>2.5</v>
      </c>
      <c r="N3013" s="386"/>
      <c r="O3013" s="387">
        <v>0.3</v>
      </c>
      <c r="P3013" s="387">
        <v>0.1</v>
      </c>
      <c r="Q3013" s="386">
        <v>1643.31</v>
      </c>
      <c r="R3013" s="379" t="s">
        <v>77</v>
      </c>
      <c r="S3013" s="388" t="s">
        <v>41</v>
      </c>
      <c r="T3013" s="388">
        <v>17</v>
      </c>
      <c r="U3013" s="389" t="s">
        <v>164</v>
      </c>
      <c r="V3013" s="433"/>
      <c r="X3013" s="386">
        <v>1643.31</v>
      </c>
      <c r="Y3013" s="386"/>
      <c r="AJ3013" s="390">
        <v>1643.31</v>
      </c>
    </row>
    <row r="3014" spans="1:77" s="379" customFormat="1" ht="11.25" customHeight="1">
      <c r="B3014" s="380" t="s">
        <v>291</v>
      </c>
      <c r="C3014" s="381"/>
      <c r="D3014" s="381"/>
      <c r="E3014" s="382" t="s">
        <v>2247</v>
      </c>
      <c r="F3014" s="379" t="s">
        <v>774</v>
      </c>
      <c r="G3014" s="383">
        <v>4155</v>
      </c>
      <c r="H3014" s="379" t="s">
        <v>99</v>
      </c>
      <c r="I3014" s="384" t="s">
        <v>1168</v>
      </c>
      <c r="J3014" s="385">
        <v>81000</v>
      </c>
      <c r="K3014" s="384"/>
      <c r="L3014" s="385">
        <v>54</v>
      </c>
      <c r="M3014" s="385">
        <v>54</v>
      </c>
      <c r="N3014" s="386"/>
      <c r="O3014" s="387">
        <v>0.3</v>
      </c>
      <c r="P3014" s="387">
        <v>0.1</v>
      </c>
      <c r="Q3014" s="386">
        <v>0</v>
      </c>
      <c r="R3014" s="379" t="s">
        <v>77</v>
      </c>
      <c r="S3014" s="388" t="s">
        <v>41</v>
      </c>
      <c r="T3014" s="388">
        <v>17</v>
      </c>
      <c r="U3014" s="389" t="s">
        <v>164</v>
      </c>
      <c r="V3014" s="433"/>
      <c r="X3014" s="386">
        <v>0</v>
      </c>
      <c r="Y3014" s="386"/>
      <c r="AJ3014" s="390">
        <v>0</v>
      </c>
    </row>
    <row r="3015" spans="1:77" s="379" customFormat="1" ht="11.25" customHeight="1">
      <c r="B3015" s="380" t="s">
        <v>291</v>
      </c>
      <c r="C3015" s="381"/>
      <c r="D3015" s="381"/>
      <c r="E3015" s="382" t="s">
        <v>2247</v>
      </c>
      <c r="F3015" s="379" t="s">
        <v>774</v>
      </c>
      <c r="G3015" s="383">
        <v>4155</v>
      </c>
      <c r="H3015" s="379" t="s">
        <v>910</v>
      </c>
      <c r="I3015" s="384" t="s">
        <v>1168</v>
      </c>
      <c r="J3015" s="385">
        <v>126684</v>
      </c>
      <c r="K3015" s="384"/>
      <c r="L3015" s="385">
        <v>54</v>
      </c>
      <c r="M3015" s="385">
        <v>54</v>
      </c>
      <c r="N3015" s="386"/>
      <c r="O3015" s="387">
        <v>0.3</v>
      </c>
      <c r="P3015" s="387">
        <v>0.1</v>
      </c>
      <c r="Q3015" s="386">
        <v>0</v>
      </c>
      <c r="R3015" s="379" t="s">
        <v>77</v>
      </c>
      <c r="S3015" s="388" t="s">
        <v>41</v>
      </c>
      <c r="T3015" s="388">
        <v>17</v>
      </c>
      <c r="U3015" s="389" t="s">
        <v>164</v>
      </c>
      <c r="V3015" s="433"/>
      <c r="X3015" s="386">
        <v>0</v>
      </c>
      <c r="Y3015" s="386"/>
      <c r="AJ3015" s="390">
        <v>0</v>
      </c>
    </row>
    <row r="3016" spans="1:77" s="473" customFormat="1" ht="11.25" customHeight="1">
      <c r="B3016" s="486" t="s">
        <v>291</v>
      </c>
      <c r="C3016" s="487">
        <v>44732</v>
      </c>
      <c r="D3016" s="487">
        <v>44733</v>
      </c>
      <c r="E3016" s="488" t="s">
        <v>2248</v>
      </c>
      <c r="F3016" s="472" t="s">
        <v>2249</v>
      </c>
      <c r="G3016" s="476">
        <v>3727</v>
      </c>
      <c r="H3016" s="473" t="s">
        <v>27</v>
      </c>
      <c r="I3016" s="491" t="s">
        <v>156</v>
      </c>
      <c r="J3016" s="490">
        <v>39272.730000000003</v>
      </c>
      <c r="K3016" s="491"/>
      <c r="L3016" s="490">
        <v>32.43</v>
      </c>
      <c r="M3016" s="490">
        <v>32.43</v>
      </c>
      <c r="N3016" s="492"/>
      <c r="O3016" s="493">
        <v>0.3</v>
      </c>
      <c r="P3016" s="493">
        <v>0.1</v>
      </c>
      <c r="Q3016" s="492">
        <v>2203.62</v>
      </c>
      <c r="R3016" s="472" t="s">
        <v>35</v>
      </c>
      <c r="S3016" s="482" t="s">
        <v>41</v>
      </c>
      <c r="T3016" s="482">
        <v>16</v>
      </c>
      <c r="U3016" s="494" t="s">
        <v>164</v>
      </c>
      <c r="V3016" s="495"/>
      <c r="X3016" s="492">
        <v>2203.62</v>
      </c>
      <c r="Y3016" s="492"/>
      <c r="AJ3016" s="485"/>
      <c r="AK3016" s="505">
        <v>2203.62</v>
      </c>
    </row>
    <row r="3017" spans="1:77" s="647" customFormat="1" ht="11.25" customHeight="1">
      <c r="B3017" s="664" t="s">
        <v>291</v>
      </c>
      <c r="C3017" s="648"/>
      <c r="D3017" s="648"/>
      <c r="E3017" s="649" t="s">
        <v>2250</v>
      </c>
      <c r="F3017" s="647" t="s">
        <v>1194</v>
      </c>
      <c r="G3017" s="650">
        <v>3810</v>
      </c>
      <c r="H3017" s="647" t="s">
        <v>99</v>
      </c>
      <c r="I3017" s="676" t="s">
        <v>156</v>
      </c>
      <c r="J3017" s="651">
        <v>55764.59</v>
      </c>
      <c r="K3017" s="676"/>
      <c r="L3017" s="651">
        <v>65.39</v>
      </c>
      <c r="M3017" s="651">
        <v>65.39</v>
      </c>
      <c r="N3017" s="652"/>
      <c r="O3017" s="653">
        <v>0.2</v>
      </c>
      <c r="P3017" s="653">
        <v>0.1</v>
      </c>
      <c r="Q3017" s="652">
        <v>0</v>
      </c>
      <c r="R3017" s="660" t="s">
        <v>35</v>
      </c>
      <c r="S3017" s="654" t="s">
        <v>41</v>
      </c>
      <c r="T3017" s="654">
        <v>16</v>
      </c>
      <c r="U3017" s="655" t="s">
        <v>164</v>
      </c>
      <c r="V3017" s="656"/>
      <c r="X3017" s="652">
        <v>0</v>
      </c>
      <c r="Y3017" s="652"/>
      <c r="AI3017" s="647">
        <f>X3017</f>
        <v>0</v>
      </c>
      <c r="AJ3017" s="657"/>
      <c r="AK3017" s="658"/>
    </row>
    <row r="3018" spans="1:77" s="647" customFormat="1" ht="11.25" customHeight="1">
      <c r="B3018" s="664" t="s">
        <v>291</v>
      </c>
      <c r="C3018" s="648"/>
      <c r="D3018" s="648"/>
      <c r="E3018" s="649" t="s">
        <v>2250</v>
      </c>
      <c r="F3018" s="647" t="s">
        <v>1194</v>
      </c>
      <c r="G3018" s="650">
        <v>3810</v>
      </c>
      <c r="H3018" s="647" t="s">
        <v>27</v>
      </c>
      <c r="I3018" s="676" t="s">
        <v>156</v>
      </c>
      <c r="J3018" s="651">
        <v>22809.33</v>
      </c>
      <c r="K3018" s="676"/>
      <c r="L3018" s="651">
        <v>22.55</v>
      </c>
      <c r="M3018" s="651">
        <v>22.55</v>
      </c>
      <c r="N3018" s="652"/>
      <c r="O3018" s="653">
        <v>0.2</v>
      </c>
      <c r="P3018" s="653">
        <v>0.1</v>
      </c>
      <c r="Q3018" s="652">
        <v>0</v>
      </c>
      <c r="R3018" s="660" t="s">
        <v>35</v>
      </c>
      <c r="S3018" s="654" t="s">
        <v>41</v>
      </c>
      <c r="T3018" s="654">
        <v>16</v>
      </c>
      <c r="U3018" s="655" t="s">
        <v>164</v>
      </c>
      <c r="V3018" s="656"/>
      <c r="X3018" s="652">
        <v>0</v>
      </c>
      <c r="Y3018" s="652"/>
      <c r="AI3018" s="647">
        <f>X3018</f>
        <v>0</v>
      </c>
      <c r="AJ3018" s="657"/>
      <c r="AK3018" s="658"/>
    </row>
    <row r="3019" spans="1:77" s="647" customFormat="1" ht="11.25" customHeight="1">
      <c r="B3019" s="664" t="s">
        <v>291</v>
      </c>
      <c r="C3019" s="648"/>
      <c r="D3019" s="648"/>
      <c r="E3019" s="649" t="s">
        <v>2250</v>
      </c>
      <c r="F3019" s="647" t="s">
        <v>1194</v>
      </c>
      <c r="G3019" s="650">
        <v>3810</v>
      </c>
      <c r="H3019" s="647" t="s">
        <v>2251</v>
      </c>
      <c r="I3019" s="676" t="s">
        <v>156</v>
      </c>
      <c r="J3019" s="651">
        <v>15615.6</v>
      </c>
      <c r="K3019" s="676"/>
      <c r="L3019" s="651">
        <v>15.6</v>
      </c>
      <c r="M3019" s="651">
        <v>15.6</v>
      </c>
      <c r="N3019" s="652"/>
      <c r="O3019" s="653">
        <v>0.2</v>
      </c>
      <c r="P3019" s="653">
        <v>0.1</v>
      </c>
      <c r="Q3019" s="652">
        <v>0</v>
      </c>
      <c r="R3019" s="660" t="s">
        <v>35</v>
      </c>
      <c r="S3019" s="654" t="s">
        <v>41</v>
      </c>
      <c r="T3019" s="654">
        <v>16</v>
      </c>
      <c r="U3019" s="655" t="s">
        <v>164</v>
      </c>
      <c r="V3019" s="656"/>
      <c r="X3019" s="652">
        <v>0</v>
      </c>
      <c r="Y3019" s="652"/>
      <c r="AI3019" s="647">
        <f>X3019</f>
        <v>0</v>
      </c>
      <c r="AJ3019" s="657"/>
      <c r="AK3019" s="658"/>
    </row>
    <row r="3020" spans="1:77" s="379" customFormat="1" ht="11.25" customHeight="1">
      <c r="B3020" s="406" t="s">
        <v>291</v>
      </c>
      <c r="C3020" s="381">
        <v>44732</v>
      </c>
      <c r="D3020" s="381">
        <v>44733</v>
      </c>
      <c r="E3020" s="382" t="s">
        <v>2250</v>
      </c>
      <c r="F3020" s="379" t="s">
        <v>1194</v>
      </c>
      <c r="G3020" s="383">
        <v>3810</v>
      </c>
      <c r="H3020" s="379" t="s">
        <v>898</v>
      </c>
      <c r="I3020" s="384" t="s">
        <v>156</v>
      </c>
      <c r="J3020" s="385">
        <v>16088.04</v>
      </c>
      <c r="K3020" s="384"/>
      <c r="L3020" s="385">
        <v>19.61</v>
      </c>
      <c r="M3020" s="385">
        <v>19.61</v>
      </c>
      <c r="N3020" s="386"/>
      <c r="O3020" s="387">
        <v>0.2</v>
      </c>
      <c r="P3020" s="387">
        <v>0.1</v>
      </c>
      <c r="Q3020" s="386">
        <v>4881.32</v>
      </c>
      <c r="R3020" s="394" t="s">
        <v>35</v>
      </c>
      <c r="S3020" s="388" t="s">
        <v>41</v>
      </c>
      <c r="T3020" s="388">
        <v>16</v>
      </c>
      <c r="U3020" s="389" t="s">
        <v>164</v>
      </c>
      <c r="V3020" s="433"/>
      <c r="X3020" s="386">
        <v>4881.32</v>
      </c>
      <c r="Y3020" s="386"/>
      <c r="AJ3020" s="416">
        <v>4881.32</v>
      </c>
    </row>
    <row r="3021" spans="1:77" s="473" customFormat="1" ht="11.25" customHeight="1">
      <c r="B3021" s="486" t="s">
        <v>291</v>
      </c>
      <c r="C3021" s="487"/>
      <c r="D3021" s="487"/>
      <c r="E3021" s="488" t="s">
        <v>2252</v>
      </c>
      <c r="F3021" s="472" t="s">
        <v>726</v>
      </c>
      <c r="G3021" s="476">
        <v>3647</v>
      </c>
      <c r="H3021" s="472" t="s">
        <v>27</v>
      </c>
      <c r="I3021" s="491" t="s">
        <v>1168</v>
      </c>
      <c r="J3021" s="490">
        <v>23413.47</v>
      </c>
      <c r="K3021" s="491"/>
      <c r="L3021" s="490">
        <v>18.43</v>
      </c>
      <c r="M3021" s="490">
        <v>18.43</v>
      </c>
      <c r="N3021" s="492"/>
      <c r="O3021" s="493">
        <v>0.15</v>
      </c>
      <c r="P3021" s="493">
        <v>0.1</v>
      </c>
      <c r="Q3021" s="492">
        <v>0</v>
      </c>
      <c r="R3021" s="473" t="s">
        <v>77</v>
      </c>
      <c r="S3021" s="481" t="s">
        <v>41</v>
      </c>
      <c r="T3021" s="481">
        <v>16</v>
      </c>
      <c r="U3021" s="494" t="s">
        <v>164</v>
      </c>
      <c r="V3021" s="495"/>
      <c r="X3021" s="492">
        <v>0</v>
      </c>
      <c r="Y3021" s="492"/>
      <c r="AJ3021" s="485"/>
      <c r="AK3021" s="473">
        <v>0</v>
      </c>
    </row>
    <row r="3022" spans="1:77" s="582" customFormat="1" ht="11.25" customHeight="1">
      <c r="B3022" s="611" t="s">
        <v>291</v>
      </c>
      <c r="C3022" s="583">
        <v>44732</v>
      </c>
      <c r="D3022" s="583">
        <v>44733</v>
      </c>
      <c r="E3022" s="584" t="s">
        <v>2252</v>
      </c>
      <c r="F3022" s="612" t="s">
        <v>726</v>
      </c>
      <c r="G3022" s="585">
        <v>3647</v>
      </c>
      <c r="H3022" s="612" t="s">
        <v>99</v>
      </c>
      <c r="I3022" s="586" t="s">
        <v>1168</v>
      </c>
      <c r="J3022" s="587">
        <v>51040.7</v>
      </c>
      <c r="K3022" s="586"/>
      <c r="L3022" s="587">
        <v>43.94</v>
      </c>
      <c r="M3022" s="587">
        <v>34</v>
      </c>
      <c r="N3022" s="588"/>
      <c r="O3022" s="589">
        <v>0.15</v>
      </c>
      <c r="P3022" s="589">
        <v>0.1</v>
      </c>
      <c r="Q3022" s="588">
        <v>6409.09</v>
      </c>
      <c r="R3022" s="582" t="s">
        <v>77</v>
      </c>
      <c r="S3022" s="590" t="s">
        <v>41</v>
      </c>
      <c r="T3022" s="590">
        <v>16</v>
      </c>
      <c r="U3022" s="592" t="s">
        <v>164</v>
      </c>
      <c r="V3022" s="593"/>
      <c r="X3022" s="588">
        <v>6409.09</v>
      </c>
      <c r="Y3022" s="588"/>
      <c r="AJ3022" s="594"/>
      <c r="AN3022" s="588">
        <v>6409.09</v>
      </c>
    </row>
    <row r="3023" spans="1:77" s="647" customFormat="1" ht="11.25" customHeight="1">
      <c r="B3023" s="664" t="s">
        <v>291</v>
      </c>
      <c r="C3023" s="648">
        <v>44733</v>
      </c>
      <c r="D3023" s="648">
        <v>44733</v>
      </c>
      <c r="E3023" s="649" t="s">
        <v>2253</v>
      </c>
      <c r="F3023" s="660" t="s">
        <v>2254</v>
      </c>
      <c r="G3023" s="667">
        <v>3885</v>
      </c>
      <c r="H3023" s="647" t="s">
        <v>866</v>
      </c>
      <c r="I3023" s="676" t="s">
        <v>33</v>
      </c>
      <c r="J3023" s="651">
        <v>27549.83</v>
      </c>
      <c r="K3023" s="676"/>
      <c r="L3023" s="651">
        <v>34.299999999999997</v>
      </c>
      <c r="M3023" s="651">
        <v>34.299999999999997</v>
      </c>
      <c r="N3023" s="652"/>
      <c r="O3023" s="653">
        <v>0.15</v>
      </c>
      <c r="P3023" s="653"/>
      <c r="Q3023" s="652">
        <v>17742.599999999999</v>
      </c>
      <c r="R3023" s="660" t="s">
        <v>128</v>
      </c>
      <c r="S3023" s="671" t="s">
        <v>118</v>
      </c>
      <c r="T3023" s="671">
        <v>79</v>
      </c>
      <c r="U3023" s="655" t="s">
        <v>164</v>
      </c>
      <c r="V3023" s="656"/>
      <c r="X3023" s="652">
        <v>17742.599999999999</v>
      </c>
      <c r="Y3023" s="652"/>
      <c r="AI3023" s="652">
        <v>17742.599999999999</v>
      </c>
      <c r="AJ3023" s="657"/>
      <c r="AK3023" s="658"/>
    </row>
    <row r="3024" spans="1:77" s="647" customFormat="1" ht="11.25" customHeight="1">
      <c r="B3024" s="661" t="s">
        <v>291</v>
      </c>
      <c r="C3024" s="648"/>
      <c r="D3024" s="648"/>
      <c r="E3024" s="649" t="s">
        <v>2253</v>
      </c>
      <c r="F3024" s="660" t="s">
        <v>2254</v>
      </c>
      <c r="G3024" s="667">
        <v>3885</v>
      </c>
      <c r="H3024" s="647" t="s">
        <v>765</v>
      </c>
      <c r="I3024" s="676" t="s">
        <v>33</v>
      </c>
      <c r="J3024" s="651">
        <v>11998.29</v>
      </c>
      <c r="K3024" s="676"/>
      <c r="L3024" s="651">
        <v>30.53</v>
      </c>
      <c r="M3024" s="651">
        <v>30.53</v>
      </c>
      <c r="N3024" s="652"/>
      <c r="O3024" s="653">
        <v>0.15</v>
      </c>
      <c r="P3024" s="653"/>
      <c r="Q3024" s="652">
        <v>0</v>
      </c>
      <c r="R3024" s="660" t="s">
        <v>128</v>
      </c>
      <c r="S3024" s="671" t="s">
        <v>118</v>
      </c>
      <c r="T3024" s="671">
        <v>79</v>
      </c>
      <c r="U3024" s="655" t="s">
        <v>164</v>
      </c>
      <c r="V3024" s="656"/>
      <c r="X3024" s="652">
        <v>0</v>
      </c>
      <c r="Y3024" s="652"/>
      <c r="AI3024" s="647">
        <v>0</v>
      </c>
      <c r="AJ3024" s="657"/>
      <c r="AK3024" s="658"/>
    </row>
    <row r="3025" spans="1:77" s="647" customFormat="1" ht="11.25" customHeight="1">
      <c r="B3025" s="661" t="s">
        <v>291</v>
      </c>
      <c r="C3025" s="648"/>
      <c r="D3025" s="648"/>
      <c r="E3025" s="649" t="s">
        <v>2253</v>
      </c>
      <c r="F3025" s="660" t="s">
        <v>2254</v>
      </c>
      <c r="G3025" s="667">
        <v>3885</v>
      </c>
      <c r="H3025" s="647" t="s">
        <v>99</v>
      </c>
      <c r="I3025" s="676" t="s">
        <v>33</v>
      </c>
      <c r="J3025" s="651">
        <v>128386.38</v>
      </c>
      <c r="K3025" s="676"/>
      <c r="L3025" s="651">
        <v>97.41</v>
      </c>
      <c r="M3025" s="651">
        <v>97.41</v>
      </c>
      <c r="N3025" s="652"/>
      <c r="O3025" s="653">
        <v>0.15</v>
      </c>
      <c r="P3025" s="653"/>
      <c r="Q3025" s="652">
        <v>28882.07</v>
      </c>
      <c r="R3025" s="660" t="s">
        <v>128</v>
      </c>
      <c r="S3025" s="671" t="s">
        <v>118</v>
      </c>
      <c r="T3025" s="671">
        <v>79</v>
      </c>
      <c r="U3025" s="655" t="s">
        <v>164</v>
      </c>
      <c r="V3025" s="656"/>
      <c r="X3025" s="652">
        <v>28882.07</v>
      </c>
      <c r="Y3025" s="652"/>
      <c r="AI3025" s="652">
        <v>28882.07</v>
      </c>
      <c r="AJ3025" s="657"/>
      <c r="AK3025" s="658"/>
    </row>
    <row r="3026" spans="1:77" s="205" customFormat="1" ht="11.25" customHeight="1">
      <c r="B3026" s="206" t="s">
        <v>291</v>
      </c>
      <c r="C3026" s="207">
        <v>44730</v>
      </c>
      <c r="D3026" s="207">
        <v>44732</v>
      </c>
      <c r="E3026" s="208" t="s">
        <v>2255</v>
      </c>
      <c r="F3026" s="205" t="s">
        <v>977</v>
      </c>
      <c r="G3026" s="220">
        <v>3881</v>
      </c>
      <c r="H3026" s="205" t="s">
        <v>765</v>
      </c>
      <c r="I3026" s="219" t="s">
        <v>1056</v>
      </c>
      <c r="J3026" s="210">
        <v>13331.25</v>
      </c>
      <c r="K3026" s="219"/>
      <c r="L3026" s="210">
        <v>11.25</v>
      </c>
      <c r="M3026" s="210">
        <v>11.25</v>
      </c>
      <c r="N3026" s="213"/>
      <c r="O3026" s="212">
        <v>0.15</v>
      </c>
      <c r="P3026" s="212"/>
      <c r="Q3026" s="213">
        <v>0</v>
      </c>
      <c r="R3026" s="205" t="s">
        <v>142</v>
      </c>
      <c r="S3026" s="214" t="s">
        <v>41</v>
      </c>
      <c r="T3026" s="214">
        <v>16</v>
      </c>
      <c r="U3026" s="215" t="s">
        <v>164</v>
      </c>
      <c r="V3026" s="438"/>
      <c r="X3026" s="213">
        <v>0</v>
      </c>
      <c r="Y3026" s="213"/>
      <c r="AF3026" s="230">
        <f>X3026</f>
        <v>0</v>
      </c>
      <c r="AJ3026" s="216"/>
    </row>
    <row r="3027" spans="1:77" s="647" customFormat="1" ht="11.25" customHeight="1">
      <c r="B3027" s="661" t="s">
        <v>291</v>
      </c>
      <c r="C3027" s="648">
        <v>44731</v>
      </c>
      <c r="D3027" s="648">
        <v>44732</v>
      </c>
      <c r="E3027" s="649" t="s">
        <v>2256</v>
      </c>
      <c r="F3027" s="660" t="s">
        <v>2257</v>
      </c>
      <c r="G3027" s="667" t="s">
        <v>2258</v>
      </c>
      <c r="H3027" s="647" t="s">
        <v>814</v>
      </c>
      <c r="I3027" s="676" t="s">
        <v>156</v>
      </c>
      <c r="J3027" s="651">
        <v>18795.2</v>
      </c>
      <c r="K3027" s="676"/>
      <c r="L3027" s="651">
        <v>14.48</v>
      </c>
      <c r="M3027" s="651">
        <v>3.3</v>
      </c>
      <c r="N3027" s="652">
        <v>642.52</v>
      </c>
      <c r="O3027" s="653">
        <v>0.2</v>
      </c>
      <c r="P3027" s="653">
        <v>0.1</v>
      </c>
      <c r="Q3027" s="652">
        <v>0</v>
      </c>
      <c r="R3027" s="660" t="s">
        <v>112</v>
      </c>
      <c r="S3027" s="671" t="s">
        <v>150</v>
      </c>
      <c r="T3027" s="671">
        <v>64</v>
      </c>
      <c r="U3027" s="655" t="s">
        <v>164</v>
      </c>
      <c r="V3027" s="656"/>
      <c r="X3027" s="652">
        <v>0</v>
      </c>
      <c r="Y3027" s="652"/>
      <c r="AI3027" s="647">
        <v>0</v>
      </c>
      <c r="AJ3027" s="657"/>
      <c r="AK3027" s="658"/>
    </row>
    <row r="3028" spans="1:77" s="379" customFormat="1" ht="11.25" customHeight="1">
      <c r="B3028" s="380" t="s">
        <v>291</v>
      </c>
      <c r="C3028" s="381">
        <v>44731</v>
      </c>
      <c r="D3028" s="381">
        <v>44732</v>
      </c>
      <c r="E3028" s="382" t="s">
        <v>2259</v>
      </c>
      <c r="F3028" s="394" t="s">
        <v>718</v>
      </c>
      <c r="G3028" s="400">
        <v>4142</v>
      </c>
      <c r="H3028" s="379" t="s">
        <v>765</v>
      </c>
      <c r="I3028" s="394" t="s">
        <v>888</v>
      </c>
      <c r="J3028" s="385">
        <v>95762.8</v>
      </c>
      <c r="K3028" s="384"/>
      <c r="L3028" s="385">
        <v>104.09</v>
      </c>
      <c r="M3028" s="385">
        <v>104.09</v>
      </c>
      <c r="N3028" s="386"/>
      <c r="O3028" s="387">
        <v>0.3</v>
      </c>
      <c r="P3028" s="387"/>
      <c r="Q3028" s="386">
        <v>2914.52</v>
      </c>
      <c r="R3028" s="394" t="s">
        <v>73</v>
      </c>
      <c r="S3028" s="399" t="s">
        <v>74</v>
      </c>
      <c r="T3028" s="399">
        <v>81</v>
      </c>
      <c r="U3028" s="389" t="s">
        <v>164</v>
      </c>
      <c r="V3028" s="433"/>
      <c r="X3028" s="386">
        <v>2914.52</v>
      </c>
      <c r="Y3028" s="386"/>
      <c r="AJ3028" s="390">
        <v>2914.52</v>
      </c>
    </row>
    <row r="3029" spans="1:77" s="379" customFormat="1" ht="11.25" customHeight="1">
      <c r="B3029" s="380" t="s">
        <v>291</v>
      </c>
      <c r="C3029" s="381"/>
      <c r="D3029" s="381"/>
      <c r="E3029" s="382" t="s">
        <v>2259</v>
      </c>
      <c r="F3029" s="394" t="s">
        <v>718</v>
      </c>
      <c r="G3029" s="400">
        <v>4142</v>
      </c>
      <c r="H3029" s="379" t="s">
        <v>866</v>
      </c>
      <c r="I3029" s="394" t="s">
        <v>888</v>
      </c>
      <c r="J3029" s="385">
        <v>46941.75</v>
      </c>
      <c r="K3029" s="384"/>
      <c r="L3029" s="385">
        <v>46.5</v>
      </c>
      <c r="M3029" s="385">
        <v>46.5</v>
      </c>
      <c r="N3029" s="386"/>
      <c r="O3029" s="387">
        <v>0.3</v>
      </c>
      <c r="P3029" s="387"/>
      <c r="Q3029" s="386">
        <v>4959.2299999999996</v>
      </c>
      <c r="R3029" s="394" t="s">
        <v>73</v>
      </c>
      <c r="S3029" s="399" t="s">
        <v>74</v>
      </c>
      <c r="T3029" s="399">
        <v>81</v>
      </c>
      <c r="U3029" s="389" t="s">
        <v>164</v>
      </c>
      <c r="V3029" s="433"/>
      <c r="X3029" s="386">
        <v>4959.2299999999996</v>
      </c>
      <c r="Y3029" s="386"/>
      <c r="AJ3029" s="390">
        <v>4959.2299999999996</v>
      </c>
    </row>
    <row r="3030" spans="1:77" s="473" customFormat="1" ht="11.25" customHeight="1">
      <c r="B3030" s="486" t="s">
        <v>291</v>
      </c>
      <c r="C3030" s="487">
        <v>44715</v>
      </c>
      <c r="D3030" s="487">
        <v>44732</v>
      </c>
      <c r="E3030" s="488" t="s">
        <v>2260</v>
      </c>
      <c r="F3030" s="472" t="s">
        <v>2261</v>
      </c>
      <c r="G3030" s="476" t="s">
        <v>2262</v>
      </c>
      <c r="H3030" s="473" t="s">
        <v>910</v>
      </c>
      <c r="I3030" s="491" t="s">
        <v>156</v>
      </c>
      <c r="J3030" s="490">
        <v>205775</v>
      </c>
      <c r="K3030" s="491"/>
      <c r="L3030" s="490">
        <v>82.31</v>
      </c>
      <c r="M3030" s="490">
        <v>24.64</v>
      </c>
      <c r="N3030" s="492">
        <f>5910</f>
        <v>5910</v>
      </c>
      <c r="O3030" s="493">
        <v>0.3</v>
      </c>
      <c r="P3030" s="493">
        <v>0.1</v>
      </c>
      <c r="Q3030" s="492">
        <f>N3030-J3030*P3030*23.64/L3030</f>
        <v>0</v>
      </c>
      <c r="R3030" s="472" t="s">
        <v>251</v>
      </c>
      <c r="S3030" s="482" t="s">
        <v>113</v>
      </c>
      <c r="T3030" s="482">
        <v>40</v>
      </c>
      <c r="U3030" s="494" t="s">
        <v>164</v>
      </c>
      <c r="V3030" s="495"/>
      <c r="X3030" s="492">
        <v>0</v>
      </c>
      <c r="Y3030" s="492"/>
      <c r="AJ3030" s="485"/>
      <c r="AK3030" s="473">
        <v>0</v>
      </c>
    </row>
    <row r="3031" spans="1:77" s="6" customFormat="1" ht="11.25" customHeight="1">
      <c r="A3031" s="379"/>
      <c r="B3031" s="379" t="s">
        <v>291</v>
      </c>
      <c r="C3031" s="381">
        <v>44730</v>
      </c>
      <c r="D3031" s="381">
        <v>44732</v>
      </c>
      <c r="E3031" s="382" t="s">
        <v>2263</v>
      </c>
      <c r="F3031" s="394" t="s">
        <v>1465</v>
      </c>
      <c r="G3031" s="400">
        <v>3599</v>
      </c>
      <c r="H3031" s="379" t="s">
        <v>765</v>
      </c>
      <c r="I3031" s="394" t="s">
        <v>33</v>
      </c>
      <c r="J3031" s="385">
        <v>50383.08</v>
      </c>
      <c r="K3031" s="384"/>
      <c r="L3031" s="385">
        <v>42.41</v>
      </c>
      <c r="M3031" s="385">
        <v>42.41</v>
      </c>
      <c r="N3031" s="386"/>
      <c r="O3031" s="387">
        <v>0.25</v>
      </c>
      <c r="P3031" s="387"/>
      <c r="Q3031" s="386">
        <v>1660.35</v>
      </c>
      <c r="R3031" s="394" t="s">
        <v>128</v>
      </c>
      <c r="S3031" s="399" t="s">
        <v>41</v>
      </c>
      <c r="T3031" s="399">
        <v>79</v>
      </c>
      <c r="U3031" s="389" t="s">
        <v>164</v>
      </c>
      <c r="V3031" s="433"/>
      <c r="W3031" s="379"/>
      <c r="X3031" s="386">
        <v>1660.35</v>
      </c>
      <c r="Y3031" s="386"/>
      <c r="Z3031" s="379"/>
      <c r="AA3031" s="379"/>
      <c r="AB3031" s="379"/>
      <c r="AC3031" s="379"/>
      <c r="AD3031" s="379"/>
      <c r="AE3031" s="379"/>
      <c r="AF3031" s="379"/>
      <c r="AG3031" s="379"/>
      <c r="AH3031" s="379"/>
      <c r="AI3031" s="379"/>
      <c r="AJ3031" s="416">
        <v>1660.35</v>
      </c>
      <c r="AK3031" s="379"/>
      <c r="AL3031" s="379"/>
      <c r="AM3031" s="379"/>
      <c r="AN3031" s="379"/>
      <c r="AO3031" s="379"/>
      <c r="AP3031" s="379"/>
      <c r="AQ3031" s="379"/>
      <c r="AR3031" s="379"/>
      <c r="AS3031" s="379"/>
      <c r="AT3031" s="379"/>
      <c r="AU3031" s="379"/>
      <c r="AV3031" s="379"/>
      <c r="AW3031" s="379"/>
      <c r="AX3031" s="379"/>
      <c r="AY3031" s="379"/>
      <c r="AZ3031" s="379"/>
      <c r="BA3031" s="379"/>
      <c r="BB3031" s="379"/>
      <c r="BC3031" s="379"/>
      <c r="BD3031" s="379"/>
      <c r="BE3031" s="379"/>
      <c r="BF3031" s="379"/>
      <c r="BG3031" s="379"/>
      <c r="BH3031" s="379"/>
      <c r="BI3031" s="379"/>
      <c r="BJ3031" s="379"/>
      <c r="BK3031" s="379"/>
      <c r="BL3031" s="379"/>
      <c r="BM3031" s="379"/>
      <c r="BN3031" s="379"/>
      <c r="BO3031" s="379"/>
      <c r="BP3031" s="379"/>
      <c r="BQ3031" s="379"/>
      <c r="BR3031" s="379"/>
      <c r="BS3031" s="379"/>
      <c r="BT3031" s="379"/>
      <c r="BU3031" s="379"/>
      <c r="BV3031" s="379"/>
      <c r="BW3031" s="379"/>
      <c r="BX3031" s="379"/>
      <c r="BY3031" s="379"/>
    </row>
    <row r="3032" spans="1:77" s="261" customFormat="1" ht="11.25" customHeight="1">
      <c r="A3032" s="379"/>
      <c r="B3032" s="379" t="s">
        <v>291</v>
      </c>
      <c r="C3032" s="381"/>
      <c r="D3032" s="381"/>
      <c r="E3032" s="382" t="s">
        <v>2264</v>
      </c>
      <c r="F3032" s="394" t="s">
        <v>2833</v>
      </c>
      <c r="G3032" s="400" t="s">
        <v>2265</v>
      </c>
      <c r="H3032" s="379" t="s">
        <v>2267</v>
      </c>
      <c r="I3032" s="384" t="s">
        <v>961</v>
      </c>
      <c r="J3032" s="385">
        <v>65853.81</v>
      </c>
      <c r="K3032" s="384"/>
      <c r="L3032" s="385">
        <v>27</v>
      </c>
      <c r="M3032" s="385">
        <v>27</v>
      </c>
      <c r="N3032" s="386">
        <f>11853.69+987.81+6567.62</f>
        <v>19409.12</v>
      </c>
      <c r="O3032" s="387">
        <v>0.15</v>
      </c>
      <c r="P3032" s="387"/>
      <c r="Q3032" s="386">
        <v>0</v>
      </c>
      <c r="R3032" s="394" t="s">
        <v>112</v>
      </c>
      <c r="S3032" s="399" t="s">
        <v>113</v>
      </c>
      <c r="T3032" s="399">
        <v>64</v>
      </c>
      <c r="U3032" s="389" t="s">
        <v>164</v>
      </c>
      <c r="V3032" s="433"/>
      <c r="W3032" s="379"/>
      <c r="X3032" s="386">
        <v>0</v>
      </c>
      <c r="Y3032" s="386"/>
      <c r="Z3032" s="379"/>
      <c r="AA3032" s="379"/>
      <c r="AB3032" s="379"/>
      <c r="AC3032" s="379"/>
      <c r="AD3032" s="379"/>
      <c r="AE3032" s="379"/>
      <c r="AF3032" s="379"/>
      <c r="AG3032" s="379"/>
      <c r="AH3032" s="379"/>
      <c r="AI3032" s="379"/>
      <c r="AJ3032" s="390">
        <v>0</v>
      </c>
      <c r="AK3032" s="379"/>
      <c r="AL3032" s="379"/>
      <c r="AM3032" s="379"/>
      <c r="AN3032" s="379"/>
      <c r="AO3032" s="379"/>
      <c r="AP3032" s="379"/>
      <c r="AQ3032" s="379"/>
      <c r="AR3032" s="379"/>
      <c r="AS3032" s="379"/>
      <c r="AT3032" s="379"/>
      <c r="AU3032" s="379"/>
      <c r="AV3032" s="379"/>
      <c r="AW3032" s="379"/>
      <c r="AX3032" s="379"/>
      <c r="AY3032" s="379"/>
      <c r="AZ3032" s="379"/>
      <c r="BA3032" s="379"/>
      <c r="BB3032" s="379"/>
      <c r="BC3032" s="379"/>
      <c r="BD3032" s="379"/>
      <c r="BE3032" s="379"/>
      <c r="BF3032" s="379"/>
      <c r="BG3032" s="379"/>
      <c r="BH3032" s="379"/>
      <c r="BI3032" s="379"/>
      <c r="BJ3032" s="379"/>
      <c r="BK3032" s="379"/>
      <c r="BL3032" s="379"/>
      <c r="BM3032" s="379"/>
      <c r="BN3032" s="379"/>
      <c r="BO3032" s="379"/>
      <c r="BP3032" s="379"/>
      <c r="BQ3032" s="379"/>
      <c r="BR3032" s="379"/>
      <c r="BS3032" s="379"/>
      <c r="BT3032" s="379"/>
      <c r="BU3032" s="379"/>
      <c r="BV3032" s="379"/>
      <c r="BW3032" s="379"/>
      <c r="BX3032" s="379"/>
      <c r="BY3032" s="379"/>
    </row>
    <row r="3033" spans="1:77" s="379" customFormat="1" ht="11.25" customHeight="1">
      <c r="B3033" s="379" t="s">
        <v>291</v>
      </c>
      <c r="C3033" s="381"/>
      <c r="D3033" s="381"/>
      <c r="E3033" s="382" t="s">
        <v>2264</v>
      </c>
      <c r="F3033" s="394" t="s">
        <v>2833</v>
      </c>
      <c r="G3033" s="400" t="s">
        <v>2265</v>
      </c>
      <c r="H3033" s="379" t="s">
        <v>2171</v>
      </c>
      <c r="I3033" s="384" t="s">
        <v>961</v>
      </c>
      <c r="J3033" s="385">
        <v>32838.080000000002</v>
      </c>
      <c r="K3033" s="384"/>
      <c r="L3033" s="385">
        <v>16</v>
      </c>
      <c r="M3033" s="385">
        <v>16</v>
      </c>
      <c r="N3033" s="386">
        <f>J3033*0.2</f>
        <v>6567.6160000000009</v>
      </c>
      <c r="O3033" s="387">
        <v>0.15</v>
      </c>
      <c r="P3033" s="387"/>
      <c r="Q3033" s="386">
        <v>0</v>
      </c>
      <c r="R3033" s="394" t="s">
        <v>112</v>
      </c>
      <c r="S3033" s="399" t="s">
        <v>113</v>
      </c>
      <c r="T3033" s="399">
        <v>64</v>
      </c>
      <c r="U3033" s="389" t="s">
        <v>164</v>
      </c>
      <c r="V3033" s="433"/>
      <c r="X3033" s="386">
        <v>0</v>
      </c>
      <c r="Y3033" s="386"/>
      <c r="AJ3033" s="390">
        <v>0</v>
      </c>
    </row>
    <row r="3034" spans="1:77" s="379" customFormat="1" ht="11.25" customHeight="1">
      <c r="B3034" s="379" t="s">
        <v>291</v>
      </c>
      <c r="C3034" s="381"/>
      <c r="D3034" s="381"/>
      <c r="E3034" s="382" t="s">
        <v>2264</v>
      </c>
      <c r="F3034" s="394" t="s">
        <v>2833</v>
      </c>
      <c r="G3034" s="400" t="s">
        <v>2265</v>
      </c>
      <c r="H3034" s="379" t="s">
        <v>814</v>
      </c>
      <c r="I3034" s="384" t="s">
        <v>961</v>
      </c>
      <c r="J3034" s="385">
        <v>13125.87</v>
      </c>
      <c r="K3034" s="384"/>
      <c r="L3034" s="385">
        <v>8.5</v>
      </c>
      <c r="M3034" s="385">
        <v>8.5</v>
      </c>
      <c r="N3034" s="386">
        <v>2625.17</v>
      </c>
      <c r="O3034" s="387">
        <v>0.15</v>
      </c>
      <c r="P3034" s="387"/>
      <c r="Q3034" s="386">
        <v>0</v>
      </c>
      <c r="R3034" s="394" t="s">
        <v>112</v>
      </c>
      <c r="S3034" s="399" t="s">
        <v>113</v>
      </c>
      <c r="T3034" s="399">
        <v>64</v>
      </c>
      <c r="U3034" s="389" t="s">
        <v>164</v>
      </c>
      <c r="V3034" s="433"/>
      <c r="X3034" s="386">
        <v>0</v>
      </c>
      <c r="Y3034" s="386"/>
      <c r="AJ3034" s="390">
        <v>0</v>
      </c>
    </row>
    <row r="3035" spans="1:77" s="261" customFormat="1" ht="11.25" customHeight="1">
      <c r="B3035" s="261" t="s">
        <v>291</v>
      </c>
      <c r="C3035" s="259">
        <v>44730</v>
      </c>
      <c r="D3035" s="259">
        <v>44732</v>
      </c>
      <c r="E3035" s="260" t="s">
        <v>2264</v>
      </c>
      <c r="F3035" s="273" t="s">
        <v>2833</v>
      </c>
      <c r="G3035" s="276" t="s">
        <v>2265</v>
      </c>
      <c r="H3035" s="261" t="s">
        <v>2266</v>
      </c>
      <c r="I3035" s="264" t="s">
        <v>961</v>
      </c>
      <c r="J3035" s="263">
        <v>16099.68</v>
      </c>
      <c r="K3035" s="264"/>
      <c r="L3035" s="263">
        <v>6.8</v>
      </c>
      <c r="M3035" s="263">
        <v>6.8</v>
      </c>
      <c r="N3035" s="265">
        <f>J3035*0.2</f>
        <v>3219.9360000000001</v>
      </c>
      <c r="O3035" s="266">
        <v>0.15</v>
      </c>
      <c r="P3035" s="266"/>
      <c r="Q3035" s="265">
        <v>0</v>
      </c>
      <c r="R3035" s="273" t="s">
        <v>112</v>
      </c>
      <c r="S3035" s="279" t="s">
        <v>113</v>
      </c>
      <c r="T3035" s="279">
        <v>64</v>
      </c>
      <c r="U3035" s="268" t="s">
        <v>164</v>
      </c>
      <c r="V3035" s="427"/>
      <c r="W3035" s="261" t="s">
        <v>3785</v>
      </c>
      <c r="X3035" s="265">
        <v>0</v>
      </c>
      <c r="Y3035" s="265"/>
      <c r="AG3035" s="261">
        <f>X3035</f>
        <v>0</v>
      </c>
      <c r="AJ3035" s="642"/>
    </row>
    <row r="3036" spans="1:77" s="379" customFormat="1" ht="11.25" customHeight="1">
      <c r="B3036" s="379" t="s">
        <v>291</v>
      </c>
      <c r="C3036" s="381">
        <v>44731</v>
      </c>
      <c r="D3036" s="381">
        <v>44732</v>
      </c>
      <c r="E3036" s="382" t="s">
        <v>2268</v>
      </c>
      <c r="F3036" s="394" t="s">
        <v>2269</v>
      </c>
      <c r="G3036" s="400" t="s">
        <v>2270</v>
      </c>
      <c r="H3036" s="379" t="s">
        <v>1164</v>
      </c>
      <c r="I3036" s="384" t="s">
        <v>156</v>
      </c>
      <c r="J3036" s="385">
        <v>156936</v>
      </c>
      <c r="K3036" s="384"/>
      <c r="L3036" s="385">
        <v>24</v>
      </c>
      <c r="M3036" s="385">
        <v>24</v>
      </c>
      <c r="N3036" s="386"/>
      <c r="O3036" s="387">
        <v>0.25</v>
      </c>
      <c r="P3036" s="387">
        <v>0.1</v>
      </c>
      <c r="Q3036" s="386">
        <v>1050</v>
      </c>
      <c r="R3036" s="394" t="s">
        <v>112</v>
      </c>
      <c r="S3036" s="399" t="s">
        <v>150</v>
      </c>
      <c r="T3036" s="399">
        <v>64</v>
      </c>
      <c r="U3036" s="389" t="s">
        <v>164</v>
      </c>
      <c r="V3036" s="433">
        <v>1050</v>
      </c>
      <c r="X3036" s="386">
        <v>1050</v>
      </c>
      <c r="Y3036" s="386"/>
      <c r="AJ3036" s="416">
        <v>1050</v>
      </c>
    </row>
    <row r="3037" spans="1:77" s="379" customFormat="1" ht="11.25" customHeight="1">
      <c r="B3037" s="379" t="s">
        <v>291</v>
      </c>
      <c r="C3037" s="381"/>
      <c r="D3037" s="381"/>
      <c r="E3037" s="382" t="s">
        <v>2268</v>
      </c>
      <c r="F3037" s="394" t="s">
        <v>2269</v>
      </c>
      <c r="G3037" s="400" t="s">
        <v>2270</v>
      </c>
      <c r="H3037" s="379" t="s">
        <v>765</v>
      </c>
      <c r="I3037" s="384" t="s">
        <v>156</v>
      </c>
      <c r="J3037" s="385">
        <v>18500</v>
      </c>
      <c r="K3037" s="384"/>
      <c r="L3037" s="385">
        <v>7.4</v>
      </c>
      <c r="M3037" s="385">
        <v>7.4</v>
      </c>
      <c r="N3037" s="386">
        <f>6475</f>
        <v>6475</v>
      </c>
      <c r="O3037" s="387">
        <v>0.25</v>
      </c>
      <c r="P3037" s="387">
        <v>0.1</v>
      </c>
      <c r="Q3037" s="386">
        <v>1850</v>
      </c>
      <c r="R3037" s="394" t="s">
        <v>112</v>
      </c>
      <c r="S3037" s="399" t="s">
        <v>150</v>
      </c>
      <c r="T3037" s="399">
        <v>64</v>
      </c>
      <c r="U3037" s="389" t="s">
        <v>164</v>
      </c>
      <c r="V3037" s="433"/>
      <c r="X3037" s="386">
        <v>1850</v>
      </c>
      <c r="Y3037" s="386"/>
      <c r="AJ3037" s="416">
        <v>1850</v>
      </c>
    </row>
    <row r="3038" spans="1:77" s="473" customFormat="1" ht="11.25" customHeight="1">
      <c r="B3038" s="501" t="s">
        <v>291</v>
      </c>
      <c r="C3038" s="487">
        <v>44732</v>
      </c>
      <c r="D3038" s="487">
        <v>44732</v>
      </c>
      <c r="E3038" s="488" t="s">
        <v>2271</v>
      </c>
      <c r="F3038" s="472" t="s">
        <v>1162</v>
      </c>
      <c r="G3038" s="476" t="s">
        <v>1161</v>
      </c>
      <c r="H3038" s="473" t="s">
        <v>866</v>
      </c>
      <c r="I3038" s="491" t="s">
        <v>156</v>
      </c>
      <c r="J3038" s="490">
        <v>54000</v>
      </c>
      <c r="K3038" s="491"/>
      <c r="L3038" s="490">
        <v>27</v>
      </c>
      <c r="M3038" s="490">
        <v>10</v>
      </c>
      <c r="N3038" s="492">
        <v>12072</v>
      </c>
      <c r="O3038" s="493">
        <v>0.25</v>
      </c>
      <c r="P3038" s="493">
        <v>0.1</v>
      </c>
      <c r="Q3038" s="492">
        <v>6196</v>
      </c>
      <c r="R3038" s="472" t="s">
        <v>112</v>
      </c>
      <c r="S3038" s="482" t="s">
        <v>113</v>
      </c>
      <c r="T3038" s="482">
        <v>64</v>
      </c>
      <c r="U3038" s="494" t="s">
        <v>164</v>
      </c>
      <c r="V3038" s="495"/>
      <c r="X3038" s="492">
        <v>6196</v>
      </c>
      <c r="Y3038" s="492"/>
      <c r="AJ3038" s="485"/>
      <c r="AK3038" s="505">
        <v>6196</v>
      </c>
    </row>
    <row r="3039" spans="1:77" s="261" customFormat="1" ht="11.25" customHeight="1">
      <c r="B3039" s="258" t="s">
        <v>291</v>
      </c>
      <c r="C3039" s="259">
        <v>44730</v>
      </c>
      <c r="D3039" s="259">
        <v>44732</v>
      </c>
      <c r="E3039" s="260" t="s">
        <v>2272</v>
      </c>
      <c r="F3039" s="261" t="s">
        <v>1081</v>
      </c>
      <c r="G3039" s="262">
        <v>4216</v>
      </c>
      <c r="H3039" s="261" t="s">
        <v>866</v>
      </c>
      <c r="I3039" s="264" t="s">
        <v>958</v>
      </c>
      <c r="J3039" s="263">
        <v>27474.400000000001</v>
      </c>
      <c r="K3039" s="264"/>
      <c r="L3039" s="263">
        <v>24.4</v>
      </c>
      <c r="M3039" s="263">
        <v>24.4</v>
      </c>
      <c r="N3039" s="265"/>
      <c r="O3039" s="266">
        <v>0.2</v>
      </c>
      <c r="P3039" s="266"/>
      <c r="Q3039" s="265">
        <v>0</v>
      </c>
      <c r="R3039" s="261" t="s">
        <v>42</v>
      </c>
      <c r="S3039" s="267" t="s">
        <v>41</v>
      </c>
      <c r="T3039" s="267">
        <v>16</v>
      </c>
      <c r="U3039" s="268" t="s">
        <v>164</v>
      </c>
      <c r="V3039" s="427"/>
      <c r="W3039" s="261" t="s">
        <v>3536</v>
      </c>
      <c r="X3039" s="265">
        <v>0</v>
      </c>
      <c r="Y3039" s="265"/>
      <c r="AG3039" s="261">
        <f>X3039</f>
        <v>0</v>
      </c>
      <c r="AJ3039" s="642"/>
    </row>
    <row r="3040" spans="1:77" s="261" customFormat="1" ht="11.25" customHeight="1">
      <c r="B3040" s="258" t="s">
        <v>291</v>
      </c>
      <c r="C3040" s="259"/>
      <c r="D3040" s="259"/>
      <c r="E3040" s="260" t="s">
        <v>2272</v>
      </c>
      <c r="F3040" s="261" t="s">
        <v>1081</v>
      </c>
      <c r="G3040" s="262">
        <v>4216</v>
      </c>
      <c r="H3040" s="261" t="s">
        <v>765</v>
      </c>
      <c r="I3040" s="264" t="s">
        <v>958</v>
      </c>
      <c r="J3040" s="263">
        <v>31714</v>
      </c>
      <c r="K3040" s="264"/>
      <c r="L3040" s="263">
        <v>40.4</v>
      </c>
      <c r="M3040" s="263">
        <v>40.4</v>
      </c>
      <c r="N3040" s="265"/>
      <c r="O3040" s="266">
        <v>0.2</v>
      </c>
      <c r="P3040" s="266"/>
      <c r="Q3040" s="265">
        <v>0</v>
      </c>
      <c r="R3040" s="261" t="s">
        <v>42</v>
      </c>
      <c r="S3040" s="267" t="s">
        <v>41</v>
      </c>
      <c r="T3040" s="267">
        <v>16</v>
      </c>
      <c r="U3040" s="268" t="s">
        <v>164</v>
      </c>
      <c r="V3040" s="427"/>
      <c r="W3040" s="261" t="s">
        <v>3536</v>
      </c>
      <c r="X3040" s="265">
        <v>0</v>
      </c>
      <c r="Y3040" s="265"/>
      <c r="AG3040" s="261">
        <f>X3040</f>
        <v>0</v>
      </c>
      <c r="AJ3040" s="642"/>
    </row>
    <row r="3041" spans="1:37" s="647" customFormat="1" ht="11.25" customHeight="1">
      <c r="B3041" s="661" t="s">
        <v>291</v>
      </c>
      <c r="C3041" s="648">
        <v>44732</v>
      </c>
      <c r="D3041" s="648">
        <v>44733</v>
      </c>
      <c r="E3041" s="649" t="s">
        <v>2273</v>
      </c>
      <c r="F3041" s="647" t="s">
        <v>2061</v>
      </c>
      <c r="G3041" s="650" t="s">
        <v>2062</v>
      </c>
      <c r="H3041" s="647" t="s">
        <v>99</v>
      </c>
      <c r="I3041" s="676" t="s">
        <v>1168</v>
      </c>
      <c r="J3041" s="651">
        <v>9159.81</v>
      </c>
      <c r="K3041" s="676"/>
      <c r="L3041" s="651">
        <v>6.15</v>
      </c>
      <c r="M3041" s="651">
        <v>6.15</v>
      </c>
      <c r="N3041" s="652"/>
      <c r="O3041" s="653">
        <v>0.25</v>
      </c>
      <c r="P3041" s="653">
        <v>0.1</v>
      </c>
      <c r="Q3041" s="652">
        <v>91.33</v>
      </c>
      <c r="R3041" s="647" t="s">
        <v>35</v>
      </c>
      <c r="S3041" s="654" t="s">
        <v>41</v>
      </c>
      <c r="T3041" s="654">
        <v>16</v>
      </c>
      <c r="U3041" s="655" t="s">
        <v>164</v>
      </c>
      <c r="V3041" s="656"/>
      <c r="X3041" s="652">
        <v>91.33</v>
      </c>
      <c r="Y3041" s="652"/>
      <c r="AI3041" s="647">
        <v>91.33</v>
      </c>
      <c r="AJ3041" s="657"/>
      <c r="AK3041" s="658"/>
    </row>
    <row r="3042" spans="1:37" s="647" customFormat="1" ht="11.25" customHeight="1">
      <c r="B3042" s="661" t="s">
        <v>291</v>
      </c>
      <c r="C3042" s="648"/>
      <c r="D3042" s="648"/>
      <c r="E3042" s="649" t="s">
        <v>2273</v>
      </c>
      <c r="F3042" s="647" t="s">
        <v>2061</v>
      </c>
      <c r="G3042" s="650" t="s">
        <v>2062</v>
      </c>
      <c r="H3042" s="647" t="s">
        <v>866</v>
      </c>
      <c r="I3042" s="676" t="s">
        <v>1168</v>
      </c>
      <c r="J3042" s="651">
        <v>30981.599999999999</v>
      </c>
      <c r="K3042" s="676"/>
      <c r="L3042" s="651">
        <v>19.86</v>
      </c>
      <c r="M3042" s="651">
        <v>19.86</v>
      </c>
      <c r="N3042" s="652"/>
      <c r="O3042" s="653">
        <v>0.25</v>
      </c>
      <c r="P3042" s="653">
        <v>0.1</v>
      </c>
      <c r="Q3042" s="652">
        <v>0</v>
      </c>
      <c r="R3042" s="647" t="s">
        <v>35</v>
      </c>
      <c r="S3042" s="654" t="s">
        <v>41</v>
      </c>
      <c r="T3042" s="654">
        <v>16</v>
      </c>
      <c r="U3042" s="655" t="s">
        <v>164</v>
      </c>
      <c r="V3042" s="656"/>
      <c r="X3042" s="652">
        <v>0</v>
      </c>
      <c r="Y3042" s="652"/>
      <c r="AI3042" s="647">
        <v>0</v>
      </c>
      <c r="AJ3042" s="657"/>
      <c r="AK3042" s="658"/>
    </row>
    <row r="3043" spans="1:37" s="647" customFormat="1" ht="11.25" customHeight="1">
      <c r="B3043" s="661" t="s">
        <v>291</v>
      </c>
      <c r="C3043" s="648"/>
      <c r="D3043" s="648"/>
      <c r="E3043" s="649" t="s">
        <v>2273</v>
      </c>
      <c r="F3043" s="647" t="s">
        <v>2061</v>
      </c>
      <c r="G3043" s="650" t="s">
        <v>2062</v>
      </c>
      <c r="H3043" s="647" t="s">
        <v>163</v>
      </c>
      <c r="I3043" s="676" t="s">
        <v>1168</v>
      </c>
      <c r="J3043" s="651">
        <v>37390.22</v>
      </c>
      <c r="K3043" s="676"/>
      <c r="L3043" s="651">
        <v>32.15</v>
      </c>
      <c r="M3043" s="651">
        <v>32.15</v>
      </c>
      <c r="N3043" s="652"/>
      <c r="O3043" s="653">
        <v>0.25</v>
      </c>
      <c r="P3043" s="653">
        <v>0.1</v>
      </c>
      <c r="Q3043" s="652">
        <v>11210.34</v>
      </c>
      <c r="R3043" s="647" t="s">
        <v>35</v>
      </c>
      <c r="S3043" s="654" t="s">
        <v>41</v>
      </c>
      <c r="T3043" s="654">
        <v>16</v>
      </c>
      <c r="U3043" s="655" t="s">
        <v>164</v>
      </c>
      <c r="V3043" s="656"/>
      <c r="X3043" s="652">
        <v>11210.34</v>
      </c>
      <c r="Y3043" s="652"/>
      <c r="AI3043" s="652">
        <v>11210.34</v>
      </c>
      <c r="AJ3043" s="657"/>
      <c r="AK3043" s="658"/>
    </row>
    <row r="3044" spans="1:37" s="379" customFormat="1" ht="11.25" customHeight="1">
      <c r="B3044" s="379" t="s">
        <v>291</v>
      </c>
      <c r="C3044" s="381"/>
      <c r="D3044" s="381"/>
      <c r="E3044" s="382" t="s">
        <v>2274</v>
      </c>
      <c r="F3044" s="379" t="s">
        <v>1395</v>
      </c>
      <c r="G3044" s="400">
        <v>3737</v>
      </c>
      <c r="H3044" s="379" t="s">
        <v>765</v>
      </c>
      <c r="I3044" s="384" t="s">
        <v>156</v>
      </c>
      <c r="J3044" s="385">
        <v>22035.439999999999</v>
      </c>
      <c r="K3044" s="384"/>
      <c r="L3044" s="385">
        <v>25.27</v>
      </c>
      <c r="M3044" s="385">
        <v>25.27</v>
      </c>
      <c r="N3044" s="386"/>
      <c r="O3044" s="387">
        <v>0.25</v>
      </c>
      <c r="P3044" s="387">
        <v>0.1</v>
      </c>
      <c r="Q3044" s="386">
        <v>0</v>
      </c>
      <c r="R3044" s="379" t="s">
        <v>35</v>
      </c>
      <c r="S3044" s="388" t="s">
        <v>41</v>
      </c>
      <c r="T3044" s="388">
        <v>16</v>
      </c>
      <c r="U3044" s="389" t="s">
        <v>164</v>
      </c>
      <c r="V3044" s="433"/>
      <c r="X3044" s="386">
        <v>0</v>
      </c>
      <c r="Y3044" s="386"/>
      <c r="AJ3044" s="390">
        <v>0</v>
      </c>
    </row>
    <row r="3045" spans="1:37" s="647" customFormat="1" ht="11.25" customHeight="1">
      <c r="B3045" s="647" t="s">
        <v>291</v>
      </c>
      <c r="C3045" s="648">
        <v>44733</v>
      </c>
      <c r="D3045" s="648">
        <v>44733</v>
      </c>
      <c r="E3045" s="649" t="s">
        <v>2274</v>
      </c>
      <c r="F3045" s="647" t="s">
        <v>1395</v>
      </c>
      <c r="G3045" s="667">
        <v>3737</v>
      </c>
      <c r="H3045" s="647" t="s">
        <v>99</v>
      </c>
      <c r="I3045" s="676" t="s">
        <v>156</v>
      </c>
      <c r="J3045" s="651">
        <v>52381.61</v>
      </c>
      <c r="K3045" s="676"/>
      <c r="L3045" s="651">
        <v>49.15</v>
      </c>
      <c r="M3045" s="651">
        <v>49.15</v>
      </c>
      <c r="N3045" s="652"/>
      <c r="O3045" s="653">
        <v>0.25</v>
      </c>
      <c r="P3045" s="653">
        <v>0.1</v>
      </c>
      <c r="Q3045" s="652">
        <v>3932</v>
      </c>
      <c r="R3045" s="647" t="s">
        <v>35</v>
      </c>
      <c r="S3045" s="654" t="s">
        <v>41</v>
      </c>
      <c r="T3045" s="654">
        <v>16</v>
      </c>
      <c r="U3045" s="655" t="s">
        <v>164</v>
      </c>
      <c r="V3045" s="656"/>
      <c r="X3045" s="652">
        <v>3932</v>
      </c>
      <c r="Y3045" s="652"/>
      <c r="AI3045" s="652">
        <v>3932</v>
      </c>
      <c r="AJ3045" s="657"/>
      <c r="AK3045" s="658"/>
    </row>
    <row r="3046" spans="1:37" s="379" customFormat="1" ht="11.25" customHeight="1">
      <c r="B3046" s="380" t="s">
        <v>291</v>
      </c>
      <c r="C3046" s="381">
        <v>44730</v>
      </c>
      <c r="D3046" s="381">
        <v>44732</v>
      </c>
      <c r="E3046" s="382" t="s">
        <v>2275</v>
      </c>
      <c r="F3046" s="379" t="s">
        <v>511</v>
      </c>
      <c r="G3046" s="383">
        <v>4256</v>
      </c>
      <c r="H3046" s="379" t="s">
        <v>765</v>
      </c>
      <c r="I3046" s="384" t="s">
        <v>33</v>
      </c>
      <c r="J3046" s="385">
        <v>22138.27</v>
      </c>
      <c r="K3046" s="384"/>
      <c r="L3046" s="385">
        <v>26.28</v>
      </c>
      <c r="M3046" s="385">
        <v>26.28</v>
      </c>
      <c r="N3046" s="386"/>
      <c r="O3046" s="387">
        <v>0.2</v>
      </c>
      <c r="P3046" s="387"/>
      <c r="Q3046" s="386">
        <v>520.34</v>
      </c>
      <c r="R3046" s="379" t="s">
        <v>35</v>
      </c>
      <c r="S3046" s="388" t="s">
        <v>41</v>
      </c>
      <c r="T3046" s="388">
        <v>16</v>
      </c>
      <c r="U3046" s="389" t="s">
        <v>164</v>
      </c>
      <c r="V3046" s="433"/>
      <c r="X3046" s="386">
        <v>520.34</v>
      </c>
      <c r="Y3046" s="386"/>
      <c r="AJ3046" s="416">
        <v>520.34</v>
      </c>
    </row>
    <row r="3047" spans="1:37" s="291" customFormat="1" ht="11.25" customHeight="1">
      <c r="B3047" s="291" t="s">
        <v>291</v>
      </c>
      <c r="C3047" s="292">
        <v>44730</v>
      </c>
      <c r="D3047" s="292">
        <v>44732</v>
      </c>
      <c r="E3047" s="293" t="s">
        <v>2276</v>
      </c>
      <c r="F3047" s="291" t="s">
        <v>479</v>
      </c>
      <c r="G3047" s="294">
        <v>3640</v>
      </c>
      <c r="H3047" s="291" t="s">
        <v>765</v>
      </c>
      <c r="I3047" s="295" t="s">
        <v>2277</v>
      </c>
      <c r="J3047" s="296">
        <v>12482.68</v>
      </c>
      <c r="K3047" s="295"/>
      <c r="L3047" s="296">
        <v>9.2100000000000009</v>
      </c>
      <c r="M3047" s="296">
        <v>9.1999999999999993</v>
      </c>
      <c r="N3047" s="297"/>
      <c r="O3047" s="298">
        <v>0.2</v>
      </c>
      <c r="P3047" s="298"/>
      <c r="Q3047" s="297">
        <v>0</v>
      </c>
      <c r="R3047" s="291" t="s">
        <v>128</v>
      </c>
      <c r="S3047" s="299" t="s">
        <v>41</v>
      </c>
      <c r="T3047" s="299">
        <v>79</v>
      </c>
      <c r="U3047" s="300" t="s">
        <v>164</v>
      </c>
      <c r="V3047" s="333"/>
      <c r="X3047" s="297">
        <v>0</v>
      </c>
      <c r="Y3047" s="297"/>
      <c r="AH3047" s="291">
        <f>X3047</f>
        <v>0</v>
      </c>
      <c r="AI3047" s="311"/>
      <c r="AJ3047" s="468"/>
    </row>
    <row r="3048" spans="1:37" s="647" customFormat="1" ht="11.25" customHeight="1">
      <c r="B3048" s="647" t="s">
        <v>291</v>
      </c>
      <c r="C3048" s="648">
        <v>44732</v>
      </c>
      <c r="D3048" s="648">
        <v>44733</v>
      </c>
      <c r="E3048" s="649" t="s">
        <v>2283</v>
      </c>
      <c r="F3048" s="660" t="s">
        <v>2284</v>
      </c>
      <c r="G3048" s="667" t="s">
        <v>2285</v>
      </c>
      <c r="H3048" s="647" t="s">
        <v>866</v>
      </c>
      <c r="I3048" s="676" t="s">
        <v>156</v>
      </c>
      <c r="J3048" s="651">
        <v>14572.8</v>
      </c>
      <c r="K3048" s="676"/>
      <c r="L3048" s="651">
        <v>5.52</v>
      </c>
      <c r="M3048" s="651">
        <v>5.52</v>
      </c>
      <c r="N3048" s="652"/>
      <c r="O3048" s="653">
        <v>0.25</v>
      </c>
      <c r="P3048" s="653">
        <v>0.1</v>
      </c>
      <c r="Q3048" s="652">
        <v>0</v>
      </c>
      <c r="R3048" s="660" t="s">
        <v>112</v>
      </c>
      <c r="S3048" s="671" t="s">
        <v>113</v>
      </c>
      <c r="T3048" s="671">
        <v>64</v>
      </c>
      <c r="U3048" s="655" t="s">
        <v>164</v>
      </c>
      <c r="V3048" s="656"/>
      <c r="X3048" s="652">
        <v>0</v>
      </c>
      <c r="Y3048" s="652"/>
      <c r="AI3048" s="647">
        <f>X3048</f>
        <v>0</v>
      </c>
      <c r="AJ3048" s="657"/>
      <c r="AK3048" s="658"/>
    </row>
    <row r="3049" spans="1:37" s="647" customFormat="1" ht="11.25" customHeight="1">
      <c r="B3049" s="647" t="s">
        <v>290</v>
      </c>
      <c r="C3049" s="648">
        <v>44732</v>
      </c>
      <c r="D3049" s="648">
        <v>44733</v>
      </c>
      <c r="E3049" s="649" t="s">
        <v>2286</v>
      </c>
      <c r="F3049" s="660" t="s">
        <v>2287</v>
      </c>
      <c r="G3049" s="667" t="s">
        <v>2288</v>
      </c>
      <c r="H3049" s="647" t="s">
        <v>866</v>
      </c>
      <c r="I3049" s="676" t="s">
        <v>156</v>
      </c>
      <c r="J3049" s="651">
        <v>55738.2</v>
      </c>
      <c r="K3049" s="676"/>
      <c r="L3049" s="651">
        <v>28.85</v>
      </c>
      <c r="M3049" s="651">
        <v>28.85</v>
      </c>
      <c r="N3049" s="652">
        <f>13084.47+2511.6</f>
        <v>15596.07</v>
      </c>
      <c r="O3049" s="653">
        <v>0.3</v>
      </c>
      <c r="P3049" s="653">
        <v>0.05</v>
      </c>
      <c r="Q3049" s="652">
        <v>11691.18</v>
      </c>
      <c r="R3049" s="660" t="s">
        <v>112</v>
      </c>
      <c r="S3049" s="671" t="s">
        <v>113</v>
      </c>
      <c r="T3049" s="671">
        <v>65</v>
      </c>
      <c r="U3049" s="655" t="s">
        <v>164</v>
      </c>
      <c r="V3049" s="656"/>
      <c r="X3049" s="652">
        <v>11691.18</v>
      </c>
      <c r="Y3049" s="652"/>
      <c r="AI3049" s="652">
        <v>11691.18</v>
      </c>
      <c r="AJ3049" s="657"/>
      <c r="AK3049" s="658"/>
    </row>
    <row r="3050" spans="1:37" s="379" customFormat="1" ht="11.25" customHeight="1">
      <c r="B3050" s="379" t="s">
        <v>291</v>
      </c>
      <c r="C3050" s="381">
        <v>44732</v>
      </c>
      <c r="D3050" s="381">
        <v>44733</v>
      </c>
      <c r="E3050" s="382" t="s">
        <v>2289</v>
      </c>
      <c r="F3050" s="394" t="s">
        <v>2290</v>
      </c>
      <c r="G3050" s="400">
        <v>3875</v>
      </c>
      <c r="H3050" s="379" t="s">
        <v>1138</v>
      </c>
      <c r="I3050" s="384" t="s">
        <v>156</v>
      </c>
      <c r="J3050" s="385">
        <v>588849.44999999995</v>
      </c>
      <c r="K3050" s="384"/>
      <c r="L3050" s="385">
        <v>243.83</v>
      </c>
      <c r="M3050" s="385">
        <v>61.3</v>
      </c>
      <c r="N3050" s="386">
        <f>30616.16+7672.6</f>
        <v>38288.76</v>
      </c>
      <c r="O3050" s="387">
        <v>0.3</v>
      </c>
      <c r="P3050" s="387">
        <v>0.1</v>
      </c>
      <c r="Q3050" s="386">
        <v>0</v>
      </c>
      <c r="R3050" s="394" t="s">
        <v>142</v>
      </c>
      <c r="S3050" s="399" t="s">
        <v>150</v>
      </c>
      <c r="T3050" s="399">
        <v>33</v>
      </c>
      <c r="U3050" s="389" t="s">
        <v>164</v>
      </c>
      <c r="V3050" s="433"/>
      <c r="X3050" s="386">
        <v>0</v>
      </c>
      <c r="Y3050" s="386"/>
      <c r="AJ3050" s="390">
        <v>0</v>
      </c>
    </row>
    <row r="3051" spans="1:37" s="261" customFormat="1" ht="11.25" customHeight="1">
      <c r="B3051" s="261" t="s">
        <v>291</v>
      </c>
      <c r="C3051" s="259">
        <v>44733</v>
      </c>
      <c r="D3051" s="259">
        <v>44733</v>
      </c>
      <c r="E3051" s="260" t="s">
        <v>2291</v>
      </c>
      <c r="F3051" s="273" t="s">
        <v>960</v>
      </c>
      <c r="G3051" s="276">
        <v>3638</v>
      </c>
      <c r="H3051" s="261" t="s">
        <v>765</v>
      </c>
      <c r="I3051" s="264" t="s">
        <v>961</v>
      </c>
      <c r="J3051" s="263">
        <v>12149.66</v>
      </c>
      <c r="K3051" s="264"/>
      <c r="L3051" s="263">
        <v>12.55</v>
      </c>
      <c r="M3051" s="263">
        <v>12.55</v>
      </c>
      <c r="N3051" s="265"/>
      <c r="O3051" s="266">
        <v>0.15</v>
      </c>
      <c r="P3051" s="266"/>
      <c r="Q3051" s="265">
        <v>0</v>
      </c>
      <c r="R3051" s="261" t="s">
        <v>42</v>
      </c>
      <c r="S3051" s="267" t="s">
        <v>41</v>
      </c>
      <c r="T3051" s="267">
        <v>17</v>
      </c>
      <c r="U3051" s="268" t="s">
        <v>164</v>
      </c>
      <c r="V3051" s="427"/>
      <c r="X3051" s="265">
        <v>0</v>
      </c>
      <c r="Y3051" s="265"/>
      <c r="AG3051" s="261">
        <f>X3051</f>
        <v>0</v>
      </c>
      <c r="AJ3051" s="642"/>
    </row>
    <row r="3052" spans="1:37" s="291" customFormat="1" ht="11.25" customHeight="1">
      <c r="B3052" s="310" t="s">
        <v>291</v>
      </c>
      <c r="C3052" s="292">
        <v>44732</v>
      </c>
      <c r="D3052" s="292">
        <v>44733</v>
      </c>
      <c r="E3052" s="293" t="s">
        <v>2292</v>
      </c>
      <c r="F3052" s="303" t="s">
        <v>812</v>
      </c>
      <c r="G3052" s="294" t="s">
        <v>813</v>
      </c>
      <c r="H3052" s="291" t="s">
        <v>866</v>
      </c>
      <c r="I3052" s="295" t="s">
        <v>156</v>
      </c>
      <c r="J3052" s="296">
        <v>18006.400000000001</v>
      </c>
      <c r="K3052" s="295"/>
      <c r="L3052" s="296">
        <v>9.6999999999999993</v>
      </c>
      <c r="M3052" s="296">
        <v>9.6999999999999993</v>
      </c>
      <c r="N3052" s="297">
        <v>2700.96</v>
      </c>
      <c r="O3052" s="298">
        <v>0.15</v>
      </c>
      <c r="P3052" s="298">
        <v>0.1</v>
      </c>
      <c r="Q3052" s="297">
        <v>0</v>
      </c>
      <c r="R3052" s="291" t="s">
        <v>112</v>
      </c>
      <c r="S3052" s="299" t="s">
        <v>113</v>
      </c>
      <c r="T3052" s="299">
        <v>64</v>
      </c>
      <c r="U3052" s="300" t="s">
        <v>164</v>
      </c>
      <c r="V3052" s="333"/>
      <c r="X3052" s="297">
        <v>0</v>
      </c>
      <c r="Y3052" s="297"/>
      <c r="AH3052" s="291">
        <f>X3052</f>
        <v>0</v>
      </c>
      <c r="AI3052" s="311"/>
      <c r="AJ3052" s="468"/>
    </row>
    <row r="3053" spans="1:37" s="647" customFormat="1" ht="11.25" customHeight="1">
      <c r="B3053" s="661" t="s">
        <v>291</v>
      </c>
      <c r="C3053" s="648">
        <v>44732</v>
      </c>
      <c r="D3053" s="648">
        <v>44733</v>
      </c>
      <c r="E3053" s="649" t="s">
        <v>2293</v>
      </c>
      <c r="F3053" s="660" t="s">
        <v>2294</v>
      </c>
      <c r="G3053" s="667" t="s">
        <v>2295</v>
      </c>
      <c r="H3053" s="647" t="s">
        <v>866</v>
      </c>
      <c r="I3053" s="676" t="s">
        <v>156</v>
      </c>
      <c r="J3053" s="651">
        <v>58693.98</v>
      </c>
      <c r="K3053" s="676"/>
      <c r="L3053" s="651">
        <v>28.11</v>
      </c>
      <c r="M3053" s="651">
        <v>28.11</v>
      </c>
      <c r="N3053" s="652">
        <f>1196+1729+1930+9522</f>
        <v>14377</v>
      </c>
      <c r="O3053" s="653">
        <v>0.25</v>
      </c>
      <c r="P3053" s="653">
        <v>0.1</v>
      </c>
      <c r="Q3053" s="652">
        <v>9501.1</v>
      </c>
      <c r="R3053" s="660" t="s">
        <v>2296</v>
      </c>
      <c r="S3053" s="671" t="s">
        <v>113</v>
      </c>
      <c r="T3053" s="671">
        <v>64</v>
      </c>
      <c r="U3053" s="655" t="s">
        <v>164</v>
      </c>
      <c r="V3053" s="656"/>
      <c r="X3053" s="652">
        <v>9501.1</v>
      </c>
      <c r="Y3053" s="652"/>
      <c r="AI3053" s="652">
        <v>9501.1</v>
      </c>
      <c r="AJ3053" s="657"/>
      <c r="AK3053" s="658"/>
    </row>
    <row r="3054" spans="1:37" s="647" customFormat="1" ht="11.25" customHeight="1">
      <c r="B3054" s="661" t="s">
        <v>291</v>
      </c>
      <c r="C3054" s="648">
        <v>44732</v>
      </c>
      <c r="D3054" s="648">
        <v>44733</v>
      </c>
      <c r="E3054" s="649" t="s">
        <v>2297</v>
      </c>
      <c r="F3054" s="660" t="s">
        <v>2298</v>
      </c>
      <c r="G3054" s="667" t="s">
        <v>2299</v>
      </c>
      <c r="H3054" s="647" t="s">
        <v>866</v>
      </c>
      <c r="I3054" s="676" t="s">
        <v>156</v>
      </c>
      <c r="J3054" s="651">
        <v>4322.16</v>
      </c>
      <c r="K3054" s="676"/>
      <c r="L3054" s="651">
        <v>2.0699999999999998</v>
      </c>
      <c r="M3054" s="651">
        <v>2.0699999999999998</v>
      </c>
      <c r="N3054" s="652"/>
      <c r="O3054" s="653">
        <v>0.25</v>
      </c>
      <c r="P3054" s="653">
        <v>0.1</v>
      </c>
      <c r="Q3054" s="652">
        <v>1095.44</v>
      </c>
      <c r="R3054" s="660" t="s">
        <v>2296</v>
      </c>
      <c r="S3054" s="671" t="s">
        <v>113</v>
      </c>
      <c r="T3054" s="671">
        <v>64</v>
      </c>
      <c r="U3054" s="655" t="s">
        <v>164</v>
      </c>
      <c r="V3054" s="656"/>
      <c r="X3054" s="652">
        <v>1095.44</v>
      </c>
      <c r="Y3054" s="652"/>
      <c r="AI3054" s="652">
        <v>1095.44</v>
      </c>
      <c r="AJ3054" s="657"/>
      <c r="AK3054" s="658"/>
    </row>
    <row r="3055" spans="1:37" s="379" customFormat="1" ht="11.25" customHeight="1">
      <c r="A3055" s="379" t="s">
        <v>3893</v>
      </c>
      <c r="B3055" s="380" t="s">
        <v>291</v>
      </c>
      <c r="C3055" s="381">
        <v>44733</v>
      </c>
      <c r="D3055" s="381">
        <v>44733</v>
      </c>
      <c r="E3055" s="382" t="s">
        <v>2300</v>
      </c>
      <c r="F3055" s="394" t="s">
        <v>2301</v>
      </c>
      <c r="G3055" s="400" t="s">
        <v>2302</v>
      </c>
      <c r="H3055" s="379" t="s">
        <v>910</v>
      </c>
      <c r="I3055" s="384" t="s">
        <v>156</v>
      </c>
      <c r="J3055" s="385">
        <v>39564.69</v>
      </c>
      <c r="K3055" s="384"/>
      <c r="L3055" s="385">
        <v>17.989999999999998</v>
      </c>
      <c r="M3055" s="385">
        <v>17.989999999999998</v>
      </c>
      <c r="N3055" s="386">
        <v>15932.67</v>
      </c>
      <c r="O3055" s="387">
        <v>0.25</v>
      </c>
      <c r="P3055" s="387">
        <v>0.1</v>
      </c>
      <c r="Q3055" s="386">
        <v>15932.67</v>
      </c>
      <c r="R3055" s="394" t="s">
        <v>112</v>
      </c>
      <c r="S3055" s="399" t="s">
        <v>150</v>
      </c>
      <c r="T3055" s="399">
        <v>64</v>
      </c>
      <c r="U3055" s="389" t="s">
        <v>164</v>
      </c>
      <c r="V3055" s="433"/>
      <c r="X3055" s="386">
        <v>15932.67</v>
      </c>
      <c r="Y3055" s="386"/>
      <c r="AJ3055" s="416">
        <v>15932.67</v>
      </c>
    </row>
    <row r="3056" spans="1:37" s="379" customFormat="1" ht="11.25" customHeight="1">
      <c r="B3056" s="380" t="s">
        <v>291</v>
      </c>
      <c r="C3056" s="381"/>
      <c r="D3056" s="381"/>
      <c r="E3056" s="382" t="s">
        <v>2300</v>
      </c>
      <c r="F3056" s="394" t="s">
        <v>2301</v>
      </c>
      <c r="G3056" s="400" t="s">
        <v>2302</v>
      </c>
      <c r="H3056" s="379" t="s">
        <v>765</v>
      </c>
      <c r="I3056" s="384" t="s">
        <v>156</v>
      </c>
      <c r="J3056" s="385">
        <v>8975.67</v>
      </c>
      <c r="K3056" s="384"/>
      <c r="L3056" s="385">
        <v>8.25</v>
      </c>
      <c r="M3056" s="385">
        <v>1.5</v>
      </c>
      <c r="N3056" s="386"/>
      <c r="O3056" s="387">
        <v>0.25</v>
      </c>
      <c r="P3056" s="387">
        <v>0.1</v>
      </c>
      <c r="Q3056" s="386">
        <v>0</v>
      </c>
      <c r="R3056" s="394" t="s">
        <v>112</v>
      </c>
      <c r="S3056" s="399" t="s">
        <v>150</v>
      </c>
      <c r="T3056" s="399">
        <v>64</v>
      </c>
      <c r="U3056" s="389" t="s">
        <v>164</v>
      </c>
      <c r="V3056" s="433"/>
      <c r="X3056" s="386">
        <v>0</v>
      </c>
      <c r="Y3056" s="386"/>
      <c r="AJ3056" s="390">
        <v>0</v>
      </c>
    </row>
    <row r="3057" spans="1:77" s="647" customFormat="1" ht="11.25" customHeight="1">
      <c r="B3057" s="661" t="s">
        <v>291</v>
      </c>
      <c r="C3057" s="648"/>
      <c r="D3057" s="648"/>
      <c r="E3057" s="649" t="s">
        <v>2303</v>
      </c>
      <c r="F3057" s="660" t="s">
        <v>2304</v>
      </c>
      <c r="G3057" s="667" t="s">
        <v>2305</v>
      </c>
      <c r="H3057" s="647" t="s">
        <v>866</v>
      </c>
      <c r="I3057" s="676" t="s">
        <v>156</v>
      </c>
      <c r="J3057" s="651">
        <v>50050.54</v>
      </c>
      <c r="K3057" s="676"/>
      <c r="L3057" s="651">
        <v>30.27</v>
      </c>
      <c r="M3057" s="651">
        <v>7.8</v>
      </c>
      <c r="N3057" s="652">
        <v>5932.65</v>
      </c>
      <c r="O3057" s="653">
        <v>0.2</v>
      </c>
      <c r="P3057" s="653">
        <v>0.1</v>
      </c>
      <c r="Q3057" s="652">
        <v>0</v>
      </c>
      <c r="R3057" s="660" t="s">
        <v>112</v>
      </c>
      <c r="S3057" s="671" t="s">
        <v>113</v>
      </c>
      <c r="T3057" s="671">
        <v>65</v>
      </c>
      <c r="U3057" s="655" t="s">
        <v>164</v>
      </c>
      <c r="V3057" s="656"/>
      <c r="X3057" s="652">
        <v>0</v>
      </c>
      <c r="Y3057" s="652"/>
      <c r="AI3057" s="647">
        <v>0</v>
      </c>
      <c r="AJ3057" s="657"/>
      <c r="AK3057" s="658"/>
    </row>
    <row r="3058" spans="1:77" s="181" customFormat="1" ht="11.25" customHeight="1">
      <c r="B3058" s="178" t="s">
        <v>291</v>
      </c>
      <c r="C3058" s="179">
        <v>44732</v>
      </c>
      <c r="D3058" s="179">
        <v>44733</v>
      </c>
      <c r="E3058" s="180" t="s">
        <v>2303</v>
      </c>
      <c r="F3058" s="184" t="s">
        <v>2304</v>
      </c>
      <c r="G3058" s="194" t="s">
        <v>2305</v>
      </c>
      <c r="H3058" s="181" t="s">
        <v>765</v>
      </c>
      <c r="I3058" s="190" t="s">
        <v>156</v>
      </c>
      <c r="J3058" s="183">
        <v>3360.28</v>
      </c>
      <c r="K3058" s="190"/>
      <c r="L3058" s="183">
        <v>2.73</v>
      </c>
      <c r="M3058" s="183">
        <v>2.73</v>
      </c>
      <c r="N3058" s="185"/>
      <c r="O3058" s="186">
        <v>0.2</v>
      </c>
      <c r="P3058" s="186">
        <v>0.1</v>
      </c>
      <c r="Q3058" s="185">
        <v>0</v>
      </c>
      <c r="R3058" s="184" t="s">
        <v>112</v>
      </c>
      <c r="S3058" s="199" t="s">
        <v>113</v>
      </c>
      <c r="T3058" s="199">
        <v>64</v>
      </c>
      <c r="U3058" s="188" t="s">
        <v>164</v>
      </c>
      <c r="V3058" s="441"/>
      <c r="X3058" s="185">
        <v>0</v>
      </c>
      <c r="Y3058" s="185"/>
      <c r="AE3058" s="204">
        <f>X3058</f>
        <v>0</v>
      </c>
      <c r="AJ3058" s="189"/>
    </row>
    <row r="3059" spans="1:77" s="181" customFormat="1" ht="11.25" customHeight="1">
      <c r="B3059" s="178" t="s">
        <v>291</v>
      </c>
      <c r="C3059" s="179"/>
      <c r="D3059" s="179"/>
      <c r="E3059" s="180" t="s">
        <v>2303</v>
      </c>
      <c r="F3059" s="184" t="s">
        <v>2304</v>
      </c>
      <c r="G3059" s="194" t="s">
        <v>2305</v>
      </c>
      <c r="H3059" s="181" t="s">
        <v>765</v>
      </c>
      <c r="I3059" s="190" t="s">
        <v>156</v>
      </c>
      <c r="J3059" s="183">
        <v>10082.07</v>
      </c>
      <c r="K3059" s="190"/>
      <c r="L3059" s="183">
        <v>8.1</v>
      </c>
      <c r="M3059" s="183">
        <v>3.75</v>
      </c>
      <c r="N3059" s="185"/>
      <c r="O3059" s="186">
        <v>0.2</v>
      </c>
      <c r="P3059" s="186">
        <v>0.1</v>
      </c>
      <c r="Q3059" s="185">
        <v>0</v>
      </c>
      <c r="R3059" s="184" t="s">
        <v>112</v>
      </c>
      <c r="S3059" s="199" t="s">
        <v>113</v>
      </c>
      <c r="T3059" s="199">
        <v>65</v>
      </c>
      <c r="U3059" s="188" t="s">
        <v>164</v>
      </c>
      <c r="V3059" s="441"/>
      <c r="X3059" s="185">
        <v>0</v>
      </c>
      <c r="Y3059" s="185"/>
      <c r="AE3059" s="204">
        <f>X3059</f>
        <v>0</v>
      </c>
      <c r="AJ3059" s="189"/>
    </row>
    <row r="3060" spans="1:77" s="647" customFormat="1" ht="11.25" customHeight="1">
      <c r="B3060" s="661" t="s">
        <v>291</v>
      </c>
      <c r="C3060" s="648">
        <v>44732</v>
      </c>
      <c r="D3060" s="648">
        <v>44733</v>
      </c>
      <c r="E3060" s="649" t="s">
        <v>2306</v>
      </c>
      <c r="F3060" s="660" t="s">
        <v>2307</v>
      </c>
      <c r="G3060" s="667" t="s">
        <v>2308</v>
      </c>
      <c r="H3060" s="647" t="s">
        <v>866</v>
      </c>
      <c r="I3060" s="676" t="s">
        <v>156</v>
      </c>
      <c r="J3060" s="651">
        <v>23383</v>
      </c>
      <c r="K3060" s="676"/>
      <c r="L3060" s="651">
        <v>12.74</v>
      </c>
      <c r="M3060" s="651">
        <v>0.68</v>
      </c>
      <c r="N3060" s="652">
        <v>312</v>
      </c>
      <c r="O3060" s="653">
        <v>0.3</v>
      </c>
      <c r="P3060" s="653">
        <v>0.1</v>
      </c>
      <c r="Q3060" s="652">
        <v>671.11</v>
      </c>
      <c r="R3060" s="660" t="s">
        <v>2296</v>
      </c>
      <c r="S3060" s="671" t="s">
        <v>113</v>
      </c>
      <c r="T3060" s="671">
        <v>64</v>
      </c>
      <c r="U3060" s="655" t="s">
        <v>164</v>
      </c>
      <c r="V3060" s="656"/>
      <c r="X3060" s="652">
        <v>671.11</v>
      </c>
      <c r="Y3060" s="652"/>
      <c r="AI3060" s="652">
        <v>671.11</v>
      </c>
      <c r="AJ3060" s="657"/>
      <c r="AK3060" s="658"/>
    </row>
    <row r="3061" spans="1:77" s="647" customFormat="1" ht="11.25" customHeight="1">
      <c r="B3061" s="661" t="s">
        <v>291</v>
      </c>
      <c r="C3061" s="648">
        <v>44732</v>
      </c>
      <c r="D3061" s="648">
        <v>44733</v>
      </c>
      <c r="E3061" s="649" t="s">
        <v>2309</v>
      </c>
      <c r="F3061" s="660" t="s">
        <v>2310</v>
      </c>
      <c r="G3061" s="667" t="s">
        <v>2311</v>
      </c>
      <c r="H3061" s="647" t="s">
        <v>866</v>
      </c>
      <c r="I3061" s="676" t="s">
        <v>156</v>
      </c>
      <c r="J3061" s="651">
        <v>54689.599999999999</v>
      </c>
      <c r="K3061" s="676"/>
      <c r="L3061" s="651">
        <v>26.6</v>
      </c>
      <c r="M3061" s="651">
        <v>14.4</v>
      </c>
      <c r="N3061" s="652">
        <f>7083+2991</f>
        <v>10074</v>
      </c>
      <c r="O3061" s="653">
        <v>0.3</v>
      </c>
      <c r="P3061" s="653">
        <v>0.1</v>
      </c>
      <c r="Q3061" s="652">
        <v>0</v>
      </c>
      <c r="R3061" s="660" t="s">
        <v>2296</v>
      </c>
      <c r="S3061" s="671" t="s">
        <v>113</v>
      </c>
      <c r="T3061" s="671">
        <v>64</v>
      </c>
      <c r="U3061" s="655" t="s">
        <v>164</v>
      </c>
      <c r="V3061" s="656"/>
      <c r="X3061" s="652">
        <v>0</v>
      </c>
      <c r="Y3061" s="652"/>
      <c r="AI3061" s="647">
        <v>0</v>
      </c>
      <c r="AJ3061" s="657"/>
      <c r="AK3061" s="658"/>
    </row>
    <row r="3062" spans="1:77" s="379" customFormat="1" ht="11.25" customHeight="1">
      <c r="B3062" s="380" t="s">
        <v>291</v>
      </c>
      <c r="C3062" s="381">
        <v>44732</v>
      </c>
      <c r="D3062" s="381">
        <v>44733</v>
      </c>
      <c r="E3062" s="382" t="s">
        <v>2312</v>
      </c>
      <c r="F3062" s="379" t="s">
        <v>109</v>
      </c>
      <c r="G3062" s="400">
        <v>1005</v>
      </c>
      <c r="H3062" s="379" t="s">
        <v>866</v>
      </c>
      <c r="I3062" s="384" t="s">
        <v>156</v>
      </c>
      <c r="J3062" s="385">
        <v>16614</v>
      </c>
      <c r="K3062" s="384"/>
      <c r="L3062" s="385">
        <v>10.4</v>
      </c>
      <c r="M3062" s="385">
        <v>10.4</v>
      </c>
      <c r="N3062" s="386">
        <f>1881.53+4249.35</f>
        <v>6130.88</v>
      </c>
      <c r="O3062" s="387">
        <v>0.2</v>
      </c>
      <c r="P3062" s="387">
        <v>0.1</v>
      </c>
      <c r="Q3062" s="386">
        <v>1071.47</v>
      </c>
      <c r="R3062" s="379" t="s">
        <v>112</v>
      </c>
      <c r="S3062" s="388" t="s">
        <v>113</v>
      </c>
      <c r="T3062" s="388">
        <v>64</v>
      </c>
      <c r="U3062" s="389" t="s">
        <v>164</v>
      </c>
      <c r="V3062" s="433">
        <v>87</v>
      </c>
      <c r="X3062" s="386">
        <v>1071.47</v>
      </c>
      <c r="Y3062" s="386"/>
      <c r="AJ3062" s="416">
        <v>1071.47</v>
      </c>
    </row>
    <row r="3063" spans="1:77" s="205" customFormat="1" ht="11.25" customHeight="1">
      <c r="B3063" s="206" t="s">
        <v>291</v>
      </c>
      <c r="C3063" s="207"/>
      <c r="D3063" s="207"/>
      <c r="E3063" s="208" t="s">
        <v>2312</v>
      </c>
      <c r="F3063" s="205" t="s">
        <v>109</v>
      </c>
      <c r="G3063" s="220">
        <v>1005</v>
      </c>
      <c r="H3063" s="205" t="s">
        <v>27</v>
      </c>
      <c r="I3063" s="219" t="s">
        <v>156</v>
      </c>
      <c r="J3063" s="210">
        <v>2331.1799999999998</v>
      </c>
      <c r="K3063" s="219"/>
      <c r="L3063" s="210">
        <v>1.6</v>
      </c>
      <c r="M3063" s="210">
        <v>1.6</v>
      </c>
      <c r="N3063" s="213">
        <f>J3063*0.2</f>
        <v>466.23599999999999</v>
      </c>
      <c r="O3063" s="212">
        <v>0.2</v>
      </c>
      <c r="P3063" s="212">
        <v>0.1</v>
      </c>
      <c r="Q3063" s="213">
        <v>715.24</v>
      </c>
      <c r="R3063" s="205" t="s">
        <v>112</v>
      </c>
      <c r="S3063" s="214" t="s">
        <v>113</v>
      </c>
      <c r="T3063" s="214">
        <v>64</v>
      </c>
      <c r="U3063" s="215" t="s">
        <v>164</v>
      </c>
      <c r="V3063" s="438"/>
      <c r="X3063" s="213">
        <v>715.24</v>
      </c>
      <c r="Y3063" s="213"/>
      <c r="AF3063" s="230">
        <f>X3063</f>
        <v>715.24</v>
      </c>
      <c r="AJ3063" s="216"/>
    </row>
    <row r="3064" spans="1:77" s="379" customFormat="1" ht="11.25" customHeight="1">
      <c r="B3064" s="380" t="s">
        <v>291</v>
      </c>
      <c r="C3064" s="381">
        <v>44732</v>
      </c>
      <c r="D3064" s="381">
        <v>44733</v>
      </c>
      <c r="E3064" s="382" t="s">
        <v>2313</v>
      </c>
      <c r="F3064" s="394" t="s">
        <v>829</v>
      </c>
      <c r="G3064" s="383" t="s">
        <v>830</v>
      </c>
      <c r="H3064" s="379" t="s">
        <v>140</v>
      </c>
      <c r="I3064" s="384" t="s">
        <v>1168</v>
      </c>
      <c r="J3064" s="385">
        <v>23012</v>
      </c>
      <c r="K3064" s="384"/>
      <c r="L3064" s="385">
        <v>22</v>
      </c>
      <c r="M3064" s="385">
        <v>22</v>
      </c>
      <c r="N3064" s="386"/>
      <c r="O3064" s="387">
        <v>0.25</v>
      </c>
      <c r="P3064" s="387">
        <v>0.1</v>
      </c>
      <c r="Q3064" s="386">
        <v>0</v>
      </c>
      <c r="R3064" s="379" t="s">
        <v>77</v>
      </c>
      <c r="S3064" s="388" t="s">
        <v>41</v>
      </c>
      <c r="T3064" s="388">
        <v>17</v>
      </c>
      <c r="U3064" s="389" t="s">
        <v>164</v>
      </c>
      <c r="V3064" s="433"/>
      <c r="X3064" s="386">
        <v>0</v>
      </c>
      <c r="Y3064" s="386"/>
      <c r="AJ3064" s="390">
        <v>0</v>
      </c>
    </row>
    <row r="3065" spans="1:77" s="6" customFormat="1" ht="11.25" customHeight="1">
      <c r="A3065" s="379"/>
      <c r="B3065" s="380" t="s">
        <v>291</v>
      </c>
      <c r="C3065" s="381"/>
      <c r="D3065" s="381"/>
      <c r="E3065" s="382" t="s">
        <v>2313</v>
      </c>
      <c r="F3065" s="394" t="s">
        <v>829</v>
      </c>
      <c r="G3065" s="383" t="s">
        <v>830</v>
      </c>
      <c r="H3065" s="379" t="s">
        <v>137</v>
      </c>
      <c r="I3065" s="384" t="s">
        <v>1168</v>
      </c>
      <c r="J3065" s="385">
        <v>8246.7000000000007</v>
      </c>
      <c r="K3065" s="384"/>
      <c r="L3065" s="385">
        <v>7.7</v>
      </c>
      <c r="M3065" s="385">
        <v>7.7</v>
      </c>
      <c r="N3065" s="386"/>
      <c r="O3065" s="387">
        <v>0.25</v>
      </c>
      <c r="P3065" s="387">
        <v>0.1</v>
      </c>
      <c r="Q3065" s="386">
        <v>0</v>
      </c>
      <c r="R3065" s="379" t="s">
        <v>77</v>
      </c>
      <c r="S3065" s="388" t="s">
        <v>41</v>
      </c>
      <c r="T3065" s="388">
        <v>17</v>
      </c>
      <c r="U3065" s="389" t="s">
        <v>164</v>
      </c>
      <c r="V3065" s="433"/>
      <c r="W3065" s="379"/>
      <c r="X3065" s="386">
        <v>0</v>
      </c>
      <c r="Y3065" s="386"/>
      <c r="Z3065" s="379"/>
      <c r="AA3065" s="379"/>
      <c r="AB3065" s="379"/>
      <c r="AC3065" s="379"/>
      <c r="AD3065" s="379"/>
      <c r="AE3065" s="379"/>
      <c r="AF3065" s="379"/>
      <c r="AG3065" s="379"/>
      <c r="AH3065" s="379"/>
      <c r="AI3065" s="379"/>
      <c r="AJ3065" s="390">
        <v>0</v>
      </c>
      <c r="AK3065" s="379"/>
      <c r="AL3065" s="379"/>
      <c r="AM3065" s="379"/>
      <c r="AN3065" s="379"/>
      <c r="AO3065" s="379"/>
      <c r="AP3065" s="379"/>
      <c r="AQ3065" s="379"/>
      <c r="AR3065" s="379"/>
      <c r="AS3065" s="379"/>
      <c r="AT3065" s="379"/>
      <c r="AU3065" s="379"/>
      <c r="AV3065" s="379"/>
      <c r="AW3065" s="379"/>
      <c r="AX3065" s="379"/>
      <c r="AY3065" s="379"/>
      <c r="AZ3065" s="379"/>
      <c r="BA3065" s="379"/>
      <c r="BB3065" s="379"/>
      <c r="BC3065" s="379"/>
      <c r="BD3065" s="379"/>
      <c r="BE3065" s="379"/>
      <c r="BF3065" s="379"/>
      <c r="BG3065" s="379"/>
      <c r="BH3065" s="379"/>
      <c r="BI3065" s="379"/>
      <c r="BJ3065" s="379"/>
      <c r="BK3065" s="379"/>
      <c r="BL3065" s="379"/>
      <c r="BM3065" s="379"/>
      <c r="BN3065" s="379"/>
      <c r="BO3065" s="379"/>
      <c r="BP3065" s="379"/>
      <c r="BQ3065" s="379"/>
      <c r="BR3065" s="379"/>
      <c r="BS3065" s="379"/>
      <c r="BT3065" s="379"/>
      <c r="BU3065" s="379"/>
      <c r="BV3065" s="379"/>
      <c r="BW3065" s="379"/>
      <c r="BX3065" s="379"/>
      <c r="BY3065" s="379"/>
    </row>
    <row r="3066" spans="1:77" s="379" customFormat="1" ht="11.25" customHeight="1">
      <c r="B3066" s="380" t="s">
        <v>291</v>
      </c>
      <c r="C3066" s="381"/>
      <c r="D3066" s="381"/>
      <c r="E3066" s="382" t="s">
        <v>2313</v>
      </c>
      <c r="F3066" s="394" t="s">
        <v>829</v>
      </c>
      <c r="G3066" s="383" t="s">
        <v>830</v>
      </c>
      <c r="H3066" s="379" t="s">
        <v>866</v>
      </c>
      <c r="I3066" s="384" t="s">
        <v>1168</v>
      </c>
      <c r="J3066" s="385">
        <v>16486.400000000001</v>
      </c>
      <c r="K3066" s="384"/>
      <c r="L3066" s="385">
        <v>16</v>
      </c>
      <c r="M3066" s="385">
        <v>16</v>
      </c>
      <c r="N3066" s="386">
        <v>12364.8</v>
      </c>
      <c r="O3066" s="387">
        <v>0.25</v>
      </c>
      <c r="P3066" s="387">
        <v>0.1</v>
      </c>
      <c r="Q3066" s="386">
        <v>1957.76</v>
      </c>
      <c r="R3066" s="379" t="s">
        <v>77</v>
      </c>
      <c r="S3066" s="388" t="s">
        <v>41</v>
      </c>
      <c r="T3066" s="388">
        <v>17</v>
      </c>
      <c r="U3066" s="389" t="s">
        <v>164</v>
      </c>
      <c r="V3066" s="433"/>
      <c r="X3066" s="386">
        <v>1957.76</v>
      </c>
      <c r="Y3066" s="386"/>
      <c r="AJ3066" s="416">
        <v>1957.76</v>
      </c>
    </row>
    <row r="3067" spans="1:77" s="379" customFormat="1" ht="11.25" customHeight="1">
      <c r="B3067" s="380" t="s">
        <v>291</v>
      </c>
      <c r="C3067" s="381"/>
      <c r="D3067" s="381"/>
      <c r="E3067" s="382" t="s">
        <v>2313</v>
      </c>
      <c r="F3067" s="394" t="s">
        <v>829</v>
      </c>
      <c r="G3067" s="383" t="s">
        <v>830</v>
      </c>
      <c r="H3067" s="379" t="s">
        <v>765</v>
      </c>
      <c r="I3067" s="384" t="s">
        <v>1168</v>
      </c>
      <c r="J3067" s="385">
        <v>7186.2</v>
      </c>
      <c r="K3067" s="384"/>
      <c r="L3067" s="385">
        <v>11.6</v>
      </c>
      <c r="M3067" s="385">
        <v>11.6</v>
      </c>
      <c r="N3067" s="386">
        <v>5748.96</v>
      </c>
      <c r="O3067" s="387">
        <v>0.25</v>
      </c>
      <c r="P3067" s="387">
        <v>0.1</v>
      </c>
      <c r="Q3067" s="386">
        <v>3219.58</v>
      </c>
      <c r="R3067" s="379" t="s">
        <v>77</v>
      </c>
      <c r="S3067" s="388" t="s">
        <v>41</v>
      </c>
      <c r="T3067" s="388">
        <v>17</v>
      </c>
      <c r="U3067" s="389" t="s">
        <v>164</v>
      </c>
      <c r="V3067" s="433"/>
      <c r="X3067" s="386">
        <v>3219.58</v>
      </c>
      <c r="Y3067" s="386"/>
      <c r="AJ3067" s="416">
        <v>3219.58</v>
      </c>
    </row>
    <row r="3068" spans="1:77" s="379" customFormat="1" ht="11.25" customHeight="1">
      <c r="B3068" s="380" t="s">
        <v>291</v>
      </c>
      <c r="C3068" s="381"/>
      <c r="D3068" s="381"/>
      <c r="E3068" s="382" t="s">
        <v>2313</v>
      </c>
      <c r="F3068" s="394" t="s">
        <v>829</v>
      </c>
      <c r="G3068" s="383" t="s">
        <v>830</v>
      </c>
      <c r="H3068" s="379" t="s">
        <v>910</v>
      </c>
      <c r="I3068" s="384" t="s">
        <v>1168</v>
      </c>
      <c r="J3068" s="385">
        <v>24262.7</v>
      </c>
      <c r="K3068" s="384"/>
      <c r="L3068" s="385">
        <v>13.7</v>
      </c>
      <c r="M3068" s="385">
        <v>13.7</v>
      </c>
      <c r="N3068" s="386">
        <v>18197.02</v>
      </c>
      <c r="O3068" s="387">
        <v>0.25</v>
      </c>
      <c r="P3068" s="387">
        <v>0.1</v>
      </c>
      <c r="Q3068" s="386">
        <v>1499.88</v>
      </c>
      <c r="R3068" s="379" t="s">
        <v>77</v>
      </c>
      <c r="S3068" s="388" t="s">
        <v>41</v>
      </c>
      <c r="T3068" s="388">
        <v>17</v>
      </c>
      <c r="U3068" s="389" t="s">
        <v>164</v>
      </c>
      <c r="V3068" s="433"/>
      <c r="X3068" s="386">
        <v>1499.88</v>
      </c>
      <c r="Y3068" s="386"/>
      <c r="AJ3068" s="416">
        <v>1499.88</v>
      </c>
    </row>
    <row r="3069" spans="1:77" s="647" customFormat="1" ht="11.25" customHeight="1">
      <c r="A3069" s="647" t="s">
        <v>3893</v>
      </c>
      <c r="B3069" s="661" t="s">
        <v>291</v>
      </c>
      <c r="C3069" s="648">
        <v>44731</v>
      </c>
      <c r="D3069" s="648">
        <v>44733</v>
      </c>
      <c r="E3069" s="649" t="s">
        <v>2314</v>
      </c>
      <c r="F3069" s="660" t="s">
        <v>2315</v>
      </c>
      <c r="G3069" s="667">
        <v>4424</v>
      </c>
      <c r="H3069" s="647" t="s">
        <v>99</v>
      </c>
      <c r="I3069" s="676" t="s">
        <v>819</v>
      </c>
      <c r="J3069" s="651">
        <v>53127.95</v>
      </c>
      <c r="K3069" s="676"/>
      <c r="L3069" s="651">
        <v>56.87</v>
      </c>
      <c r="M3069" s="651">
        <v>25</v>
      </c>
      <c r="N3069" s="652"/>
      <c r="O3069" s="653">
        <v>0.2</v>
      </c>
      <c r="P3069" s="653">
        <v>0.1</v>
      </c>
      <c r="Q3069" s="652">
        <v>15699.68</v>
      </c>
      <c r="R3069" s="660" t="s">
        <v>281</v>
      </c>
      <c r="S3069" s="671" t="s">
        <v>41</v>
      </c>
      <c r="T3069" s="671">
        <v>36</v>
      </c>
      <c r="U3069" s="655" t="s">
        <v>164</v>
      </c>
      <c r="V3069" s="656"/>
      <c r="X3069" s="652">
        <v>15699.68</v>
      </c>
      <c r="Y3069" s="652"/>
      <c r="AI3069" s="652">
        <v>15699.68</v>
      </c>
      <c r="AJ3069" s="657"/>
      <c r="AK3069" s="658"/>
    </row>
    <row r="3070" spans="1:77" s="647" customFormat="1" ht="11.25" customHeight="1">
      <c r="A3070" s="647" t="s">
        <v>3893</v>
      </c>
      <c r="B3070" s="661" t="s">
        <v>291</v>
      </c>
      <c r="C3070" s="648"/>
      <c r="D3070" s="648"/>
      <c r="E3070" s="649" t="s">
        <v>2314</v>
      </c>
      <c r="F3070" s="660" t="s">
        <v>2315</v>
      </c>
      <c r="G3070" s="667">
        <v>4424</v>
      </c>
      <c r="H3070" s="647" t="s">
        <v>207</v>
      </c>
      <c r="I3070" s="676" t="s">
        <v>819</v>
      </c>
      <c r="J3070" s="651">
        <v>3651.75</v>
      </c>
      <c r="K3070" s="676"/>
      <c r="L3070" s="651">
        <v>5.41</v>
      </c>
      <c r="M3070" s="651">
        <v>4</v>
      </c>
      <c r="N3070" s="652"/>
      <c r="O3070" s="653">
        <v>0.2</v>
      </c>
      <c r="P3070" s="653">
        <v>0.1</v>
      </c>
      <c r="Q3070" s="652">
        <v>2096.1</v>
      </c>
      <c r="R3070" s="660" t="s">
        <v>281</v>
      </c>
      <c r="S3070" s="671" t="s">
        <v>41</v>
      </c>
      <c r="T3070" s="671">
        <v>36</v>
      </c>
      <c r="U3070" s="655" t="s">
        <v>164</v>
      </c>
      <c r="V3070" s="656"/>
      <c r="X3070" s="652">
        <v>2096.1</v>
      </c>
      <c r="Y3070" s="652"/>
      <c r="AI3070" s="652">
        <v>2096.1</v>
      </c>
      <c r="AJ3070" s="657"/>
      <c r="AK3070" s="658"/>
    </row>
    <row r="3071" spans="1:77" s="647" customFormat="1" ht="11.25" customHeight="1">
      <c r="A3071" s="647" t="s">
        <v>3893</v>
      </c>
      <c r="B3071" s="661" t="s">
        <v>291</v>
      </c>
      <c r="C3071" s="648"/>
      <c r="D3071" s="648"/>
      <c r="E3071" s="649" t="s">
        <v>2314</v>
      </c>
      <c r="F3071" s="660" t="s">
        <v>2315</v>
      </c>
      <c r="G3071" s="667">
        <v>4424</v>
      </c>
      <c r="H3071" s="647" t="s">
        <v>163</v>
      </c>
      <c r="I3071" s="676" t="s">
        <v>819</v>
      </c>
      <c r="J3071" s="651">
        <v>57591.040000000001</v>
      </c>
      <c r="K3071" s="676"/>
      <c r="L3071" s="651">
        <v>69.22</v>
      </c>
      <c r="M3071" s="651">
        <v>15</v>
      </c>
      <c r="N3071" s="652"/>
      <c r="O3071" s="653">
        <v>0.2</v>
      </c>
      <c r="P3071" s="653">
        <v>0.1</v>
      </c>
      <c r="Q3071" s="652">
        <v>7511.74</v>
      </c>
      <c r="R3071" s="660" t="s">
        <v>281</v>
      </c>
      <c r="S3071" s="671" t="s">
        <v>41</v>
      </c>
      <c r="T3071" s="671">
        <v>36</v>
      </c>
      <c r="U3071" s="655" t="s">
        <v>164</v>
      </c>
      <c r="V3071" s="656"/>
      <c r="X3071" s="652">
        <v>7511.74</v>
      </c>
      <c r="Y3071" s="652"/>
      <c r="AI3071" s="652">
        <v>7511.74</v>
      </c>
      <c r="AJ3071" s="657"/>
      <c r="AK3071" s="658"/>
    </row>
    <row r="3072" spans="1:77" s="261" customFormat="1" ht="11.25" customHeight="1">
      <c r="B3072" s="270" t="s">
        <v>291</v>
      </c>
      <c r="C3072" s="259">
        <v>44733</v>
      </c>
      <c r="D3072" s="259">
        <v>44733</v>
      </c>
      <c r="E3072" s="260" t="s">
        <v>2316</v>
      </c>
      <c r="F3072" s="273" t="s">
        <v>1579</v>
      </c>
      <c r="G3072" s="276">
        <v>4001</v>
      </c>
      <c r="H3072" s="261" t="s">
        <v>99</v>
      </c>
      <c r="I3072" s="264" t="s">
        <v>1168</v>
      </c>
      <c r="J3072" s="263">
        <v>12243.83</v>
      </c>
      <c r="K3072" s="264"/>
      <c r="L3072" s="263">
        <v>9.9600000000000009</v>
      </c>
      <c r="M3072" s="263">
        <v>9.9600000000000009</v>
      </c>
      <c r="N3072" s="265">
        <v>3959.18</v>
      </c>
      <c r="O3072" s="278">
        <v>0.2</v>
      </c>
      <c r="P3072" s="266">
        <v>0.1</v>
      </c>
      <c r="Q3072" s="265">
        <v>1514.68</v>
      </c>
      <c r="R3072" s="261" t="s">
        <v>142</v>
      </c>
      <c r="S3072" s="267" t="s">
        <v>41</v>
      </c>
      <c r="T3072" s="267">
        <v>24</v>
      </c>
      <c r="U3072" s="268" t="s">
        <v>164</v>
      </c>
      <c r="V3072" s="427"/>
      <c r="X3072" s="265">
        <v>1514.68</v>
      </c>
      <c r="Y3072" s="265"/>
      <c r="AG3072" s="261">
        <f>X3072</f>
        <v>1514.68</v>
      </c>
      <c r="AJ3072" s="642"/>
    </row>
    <row r="3073" spans="1:40" s="379" customFormat="1" ht="11.25" customHeight="1">
      <c r="B3073" s="406" t="s">
        <v>291</v>
      </c>
      <c r="C3073" s="381"/>
      <c r="D3073" s="381"/>
      <c r="E3073" s="382" t="s">
        <v>2316</v>
      </c>
      <c r="F3073" s="394" t="s">
        <v>1579</v>
      </c>
      <c r="G3073" s="400">
        <v>4001</v>
      </c>
      <c r="H3073" s="379" t="s">
        <v>910</v>
      </c>
      <c r="I3073" s="384" t="s">
        <v>1168</v>
      </c>
      <c r="J3073" s="385">
        <v>33969.69</v>
      </c>
      <c r="K3073" s="384"/>
      <c r="L3073" s="385">
        <v>19.93</v>
      </c>
      <c r="M3073" s="385">
        <v>19.93</v>
      </c>
      <c r="N3073" s="386">
        <v>12924.58</v>
      </c>
      <c r="O3073" s="397">
        <v>0.2</v>
      </c>
      <c r="P3073" s="387">
        <v>0.1</v>
      </c>
      <c r="Q3073" s="386">
        <v>0</v>
      </c>
      <c r="R3073" s="379" t="s">
        <v>142</v>
      </c>
      <c r="S3073" s="388" t="s">
        <v>41</v>
      </c>
      <c r="T3073" s="388">
        <v>24</v>
      </c>
      <c r="U3073" s="389" t="s">
        <v>164</v>
      </c>
      <c r="V3073" s="433"/>
      <c r="X3073" s="386">
        <v>0</v>
      </c>
      <c r="Y3073" s="386"/>
      <c r="AJ3073" s="390">
        <v>0</v>
      </c>
    </row>
    <row r="3074" spans="1:40" s="261" customFormat="1" ht="11.25" customHeight="1">
      <c r="B3074" s="270" t="s">
        <v>291</v>
      </c>
      <c r="C3074" s="259"/>
      <c r="D3074" s="259"/>
      <c r="E3074" s="260" t="s">
        <v>2316</v>
      </c>
      <c r="F3074" s="273" t="s">
        <v>1579</v>
      </c>
      <c r="G3074" s="276">
        <v>4001</v>
      </c>
      <c r="H3074" s="261" t="s">
        <v>137</v>
      </c>
      <c r="I3074" s="264" t="s">
        <v>1168</v>
      </c>
      <c r="J3074" s="263">
        <v>12413.25</v>
      </c>
      <c r="K3074" s="264"/>
      <c r="L3074" s="263">
        <v>11.25</v>
      </c>
      <c r="M3074" s="263">
        <v>11.25</v>
      </c>
      <c r="N3074" s="265">
        <v>5123.6400000000003</v>
      </c>
      <c r="O3074" s="278">
        <v>0.2</v>
      </c>
      <c r="P3074" s="266">
        <v>0.1</v>
      </c>
      <c r="Q3074" s="265">
        <v>2640.6</v>
      </c>
      <c r="R3074" s="261" t="s">
        <v>142</v>
      </c>
      <c r="S3074" s="267" t="s">
        <v>41</v>
      </c>
      <c r="T3074" s="267">
        <v>24</v>
      </c>
      <c r="U3074" s="268" t="s">
        <v>164</v>
      </c>
      <c r="V3074" s="427"/>
      <c r="X3074" s="265">
        <v>2640.6</v>
      </c>
      <c r="Y3074" s="265"/>
      <c r="AG3074" s="261">
        <f>X3074</f>
        <v>2640.6</v>
      </c>
      <c r="AJ3074" s="642"/>
    </row>
    <row r="3075" spans="1:40" s="379" customFormat="1" ht="11.25" customHeight="1">
      <c r="B3075" s="406" t="s">
        <v>291</v>
      </c>
      <c r="C3075" s="381"/>
      <c r="D3075" s="381"/>
      <c r="E3075" s="382" t="s">
        <v>2316</v>
      </c>
      <c r="F3075" s="394" t="s">
        <v>1579</v>
      </c>
      <c r="G3075" s="400">
        <v>4001</v>
      </c>
      <c r="H3075" s="379" t="s">
        <v>765</v>
      </c>
      <c r="I3075" s="384" t="s">
        <v>1168</v>
      </c>
      <c r="J3075" s="385">
        <v>16232.4</v>
      </c>
      <c r="K3075" s="384"/>
      <c r="L3075" s="385">
        <v>15.03</v>
      </c>
      <c r="M3075" s="385">
        <v>15.03</v>
      </c>
      <c r="N3075" s="386">
        <v>3408.8</v>
      </c>
      <c r="O3075" s="397">
        <v>0.2</v>
      </c>
      <c r="P3075" s="387">
        <v>0.1</v>
      </c>
      <c r="Q3075" s="386">
        <v>0</v>
      </c>
      <c r="R3075" s="379" t="s">
        <v>142</v>
      </c>
      <c r="S3075" s="388" t="s">
        <v>41</v>
      </c>
      <c r="T3075" s="388">
        <v>24</v>
      </c>
      <c r="U3075" s="389" t="s">
        <v>164</v>
      </c>
      <c r="V3075" s="433"/>
      <c r="X3075" s="386">
        <v>0</v>
      </c>
      <c r="Y3075" s="386"/>
      <c r="AJ3075" s="390">
        <v>0</v>
      </c>
    </row>
    <row r="3076" spans="1:40" s="379" customFormat="1" ht="11.25" customHeight="1">
      <c r="B3076" s="406" t="s">
        <v>291</v>
      </c>
      <c r="C3076" s="381"/>
      <c r="D3076" s="381"/>
      <c r="E3076" s="382" t="s">
        <v>2316</v>
      </c>
      <c r="F3076" s="394" t="s">
        <v>1579</v>
      </c>
      <c r="G3076" s="400">
        <v>4001</v>
      </c>
      <c r="H3076" s="379" t="s">
        <v>1141</v>
      </c>
      <c r="I3076" s="384" t="s">
        <v>1168</v>
      </c>
      <c r="J3076" s="385">
        <v>6821.2</v>
      </c>
      <c r="K3076" s="384"/>
      <c r="L3076" s="385">
        <v>7.13</v>
      </c>
      <c r="M3076" s="385">
        <v>7.13</v>
      </c>
      <c r="N3076" s="386">
        <v>1042.05</v>
      </c>
      <c r="O3076" s="397">
        <v>0.2</v>
      </c>
      <c r="P3076" s="387">
        <v>0.1</v>
      </c>
      <c r="Q3076" s="386">
        <v>0</v>
      </c>
      <c r="R3076" s="379" t="s">
        <v>142</v>
      </c>
      <c r="S3076" s="388" t="s">
        <v>41</v>
      </c>
      <c r="T3076" s="388">
        <v>24</v>
      </c>
      <c r="U3076" s="389" t="s">
        <v>164</v>
      </c>
      <c r="V3076" s="433"/>
      <c r="X3076" s="386">
        <v>0</v>
      </c>
      <c r="Y3076" s="386"/>
      <c r="AJ3076" s="390">
        <v>0</v>
      </c>
    </row>
    <row r="3077" spans="1:40" s="291" customFormat="1" ht="11.25" customHeight="1">
      <c r="A3077" s="291" t="s">
        <v>3893</v>
      </c>
      <c r="B3077" s="291" t="s">
        <v>291</v>
      </c>
      <c r="C3077" s="292">
        <v>44732</v>
      </c>
      <c r="D3077" s="292">
        <v>44734</v>
      </c>
      <c r="E3077" s="293" t="s">
        <v>2317</v>
      </c>
      <c r="F3077" s="303" t="s">
        <v>429</v>
      </c>
      <c r="G3077" s="304">
        <v>4398</v>
      </c>
      <c r="H3077" s="291" t="s">
        <v>99</v>
      </c>
      <c r="I3077" s="295" t="s">
        <v>1822</v>
      </c>
      <c r="J3077" s="296">
        <v>106247.9</v>
      </c>
      <c r="K3077" s="295"/>
      <c r="L3077" s="296">
        <v>66.900000000000006</v>
      </c>
      <c r="M3077" s="296">
        <v>66.849999999999994</v>
      </c>
      <c r="N3077" s="297"/>
      <c r="O3077" s="298">
        <v>0.2</v>
      </c>
      <c r="P3077" s="298"/>
      <c r="Q3077" s="297">
        <v>8697</v>
      </c>
      <c r="R3077" s="291" t="s">
        <v>35</v>
      </c>
      <c r="S3077" s="299" t="s">
        <v>41</v>
      </c>
      <c r="T3077" s="299">
        <v>86</v>
      </c>
      <c r="U3077" s="300" t="s">
        <v>164</v>
      </c>
      <c r="V3077" s="457">
        <v>8697</v>
      </c>
      <c r="X3077" s="297">
        <v>8697</v>
      </c>
      <c r="Y3077" s="297"/>
      <c r="AH3077" s="297">
        <f>X3077</f>
        <v>8697</v>
      </c>
      <c r="AI3077" s="311"/>
      <c r="AJ3077" s="468"/>
    </row>
    <row r="3078" spans="1:40" s="291" customFormat="1" ht="11.25" customHeight="1">
      <c r="A3078" s="291" t="s">
        <v>3893</v>
      </c>
      <c r="B3078" s="291" t="s">
        <v>291</v>
      </c>
      <c r="C3078" s="292"/>
      <c r="D3078" s="292"/>
      <c r="E3078" s="293" t="s">
        <v>2317</v>
      </c>
      <c r="F3078" s="303" t="s">
        <v>429</v>
      </c>
      <c r="G3078" s="304">
        <v>4398</v>
      </c>
      <c r="H3078" s="291" t="s">
        <v>27</v>
      </c>
      <c r="I3078" s="295" t="s">
        <v>1822</v>
      </c>
      <c r="J3078" s="296">
        <v>113737.55</v>
      </c>
      <c r="K3078" s="295"/>
      <c r="L3078" s="296">
        <v>56.23</v>
      </c>
      <c r="M3078" s="296">
        <v>56.22</v>
      </c>
      <c r="N3078" s="297"/>
      <c r="O3078" s="298">
        <v>0.2</v>
      </c>
      <c r="P3078" s="298"/>
      <c r="Q3078" s="297">
        <v>0</v>
      </c>
      <c r="R3078" s="291" t="s">
        <v>35</v>
      </c>
      <c r="S3078" s="299" t="s">
        <v>41</v>
      </c>
      <c r="T3078" s="299">
        <v>86</v>
      </c>
      <c r="U3078" s="300" t="s">
        <v>164</v>
      </c>
      <c r="V3078" s="333"/>
      <c r="X3078" s="297">
        <v>0</v>
      </c>
      <c r="Y3078" s="297"/>
      <c r="AH3078" s="291">
        <f>X3078</f>
        <v>0</v>
      </c>
      <c r="AI3078" s="311"/>
      <c r="AJ3078" s="468"/>
    </row>
    <row r="3079" spans="1:40" s="596" customFormat="1" ht="11.25" customHeight="1">
      <c r="B3079" s="596" t="s">
        <v>291</v>
      </c>
      <c r="C3079" s="597">
        <v>44730</v>
      </c>
      <c r="D3079" s="597">
        <v>44734</v>
      </c>
      <c r="E3079" s="598" t="s">
        <v>3466</v>
      </c>
      <c r="F3079" s="595" t="s">
        <v>2318</v>
      </c>
      <c r="G3079" s="599" t="s">
        <v>2319</v>
      </c>
      <c r="H3079" s="596" t="s">
        <v>99</v>
      </c>
      <c r="I3079" s="600" t="s">
        <v>1056</v>
      </c>
      <c r="J3079" s="601">
        <v>58816</v>
      </c>
      <c r="K3079" s="600"/>
      <c r="L3079" s="601">
        <v>45.95</v>
      </c>
      <c r="M3079" s="601">
        <v>45.95</v>
      </c>
      <c r="N3079" s="602"/>
      <c r="O3079" s="603">
        <v>0.25</v>
      </c>
      <c r="P3079" s="603"/>
      <c r="Q3079" s="602">
        <v>7995.3</v>
      </c>
      <c r="R3079" s="595" t="s">
        <v>285</v>
      </c>
      <c r="S3079" s="604" t="s">
        <v>275</v>
      </c>
      <c r="T3079" s="604">
        <v>21</v>
      </c>
      <c r="U3079" s="605" t="s">
        <v>164</v>
      </c>
      <c r="V3079" s="606"/>
      <c r="X3079" s="602">
        <v>7995.3</v>
      </c>
      <c r="Y3079" s="602"/>
      <c r="AJ3079" s="607"/>
      <c r="AN3079" s="602">
        <v>7995.3</v>
      </c>
    </row>
    <row r="3080" spans="1:40" s="596" customFormat="1" ht="11.25" customHeight="1">
      <c r="B3080" s="596" t="s">
        <v>291</v>
      </c>
      <c r="C3080" s="597"/>
      <c r="D3080" s="597"/>
      <c r="E3080" s="598" t="s">
        <v>3466</v>
      </c>
      <c r="F3080" s="595" t="s">
        <v>2318</v>
      </c>
      <c r="G3080" s="599" t="s">
        <v>2319</v>
      </c>
      <c r="H3080" s="596" t="s">
        <v>137</v>
      </c>
      <c r="I3080" s="600" t="s">
        <v>1056</v>
      </c>
      <c r="J3080" s="601">
        <v>56430.62</v>
      </c>
      <c r="K3080" s="600"/>
      <c r="L3080" s="601">
        <v>45.56</v>
      </c>
      <c r="M3080" s="601">
        <v>45.56</v>
      </c>
      <c r="N3080" s="602"/>
      <c r="O3080" s="603">
        <v>0.25</v>
      </c>
      <c r="P3080" s="603"/>
      <c r="Q3080" s="602">
        <v>16162.41</v>
      </c>
      <c r="R3080" s="595" t="s">
        <v>285</v>
      </c>
      <c r="S3080" s="604" t="s">
        <v>275</v>
      </c>
      <c r="T3080" s="604">
        <v>21</v>
      </c>
      <c r="U3080" s="605" t="s">
        <v>164</v>
      </c>
      <c r="V3080" s="606"/>
      <c r="X3080" s="602">
        <v>16162.41</v>
      </c>
      <c r="Y3080" s="602"/>
      <c r="AJ3080" s="607"/>
      <c r="AN3080" s="602">
        <v>16162.41</v>
      </c>
    </row>
    <row r="3081" spans="1:40" s="596" customFormat="1" ht="11.25" customHeight="1">
      <c r="B3081" s="596" t="s">
        <v>291</v>
      </c>
      <c r="C3081" s="597"/>
      <c r="D3081" s="597"/>
      <c r="E3081" s="598" t="s">
        <v>3466</v>
      </c>
      <c r="F3081" s="595" t="s">
        <v>2318</v>
      </c>
      <c r="G3081" s="599" t="s">
        <v>2319</v>
      </c>
      <c r="H3081" s="596" t="s">
        <v>310</v>
      </c>
      <c r="I3081" s="600" t="s">
        <v>1056</v>
      </c>
      <c r="J3081" s="601">
        <v>11057.31</v>
      </c>
      <c r="K3081" s="600"/>
      <c r="L3081" s="601">
        <v>12.41</v>
      </c>
      <c r="M3081" s="601">
        <v>12.41</v>
      </c>
      <c r="N3081" s="602">
        <f>5528.655</f>
        <v>5528.6549999999997</v>
      </c>
      <c r="O3081" s="603">
        <v>0.25</v>
      </c>
      <c r="P3081" s="603"/>
      <c r="Q3081" s="602">
        <v>2410.64</v>
      </c>
      <c r="R3081" s="595" t="s">
        <v>285</v>
      </c>
      <c r="S3081" s="604" t="s">
        <v>275</v>
      </c>
      <c r="T3081" s="604">
        <v>21</v>
      </c>
      <c r="U3081" s="605" t="s">
        <v>164</v>
      </c>
      <c r="V3081" s="606"/>
      <c r="X3081" s="602">
        <v>2410.64</v>
      </c>
      <c r="Y3081" s="602"/>
      <c r="AJ3081" s="607"/>
      <c r="AN3081" s="602">
        <v>2410.64</v>
      </c>
    </row>
    <row r="3082" spans="1:40" s="647" customFormat="1" ht="11.25" customHeight="1">
      <c r="A3082" s="647" t="s">
        <v>3893</v>
      </c>
      <c r="B3082" s="647" t="s">
        <v>291</v>
      </c>
      <c r="C3082" s="648">
        <v>44732</v>
      </c>
      <c r="D3082" s="648">
        <v>44734</v>
      </c>
      <c r="E3082" s="649" t="s">
        <v>2320</v>
      </c>
      <c r="F3082" s="660" t="s">
        <v>891</v>
      </c>
      <c r="G3082" s="667">
        <v>3615</v>
      </c>
      <c r="H3082" s="647" t="s">
        <v>99</v>
      </c>
      <c r="I3082" s="676" t="s">
        <v>156</v>
      </c>
      <c r="J3082" s="651">
        <v>37770.82</v>
      </c>
      <c r="K3082" s="676"/>
      <c r="L3082" s="651">
        <v>38.11</v>
      </c>
      <c r="M3082" s="651">
        <v>32</v>
      </c>
      <c r="N3082" s="652"/>
      <c r="O3082" s="653">
        <v>0.15</v>
      </c>
      <c r="P3082" s="653">
        <v>0.1</v>
      </c>
      <c r="Q3082" s="652">
        <v>1754.44</v>
      </c>
      <c r="R3082" s="647" t="s">
        <v>77</v>
      </c>
      <c r="S3082" s="654" t="s">
        <v>41</v>
      </c>
      <c r="T3082" s="654">
        <v>16</v>
      </c>
      <c r="U3082" s="655" t="s">
        <v>164</v>
      </c>
      <c r="V3082" s="656"/>
      <c r="X3082" s="652">
        <v>1754.44</v>
      </c>
      <c r="Y3082" s="652"/>
      <c r="AI3082" s="652">
        <v>1754.44</v>
      </c>
      <c r="AJ3082" s="657"/>
      <c r="AK3082" s="658"/>
    </row>
    <row r="3083" spans="1:40" s="379" customFormat="1" ht="11.25" customHeight="1">
      <c r="B3083" s="379" t="s">
        <v>291</v>
      </c>
      <c r="C3083" s="381">
        <v>44733</v>
      </c>
      <c r="D3083" s="381">
        <v>44733</v>
      </c>
      <c r="E3083" s="382" t="s">
        <v>2321</v>
      </c>
      <c r="F3083" s="394" t="s">
        <v>2322</v>
      </c>
      <c r="G3083" s="400">
        <v>4011</v>
      </c>
      <c r="H3083" s="379" t="s">
        <v>765</v>
      </c>
      <c r="I3083" s="384" t="s">
        <v>156</v>
      </c>
      <c r="J3083" s="385">
        <v>25070.77</v>
      </c>
      <c r="K3083" s="384"/>
      <c r="L3083" s="385">
        <v>24.71</v>
      </c>
      <c r="M3083" s="385">
        <v>6.84</v>
      </c>
      <c r="N3083" s="386">
        <v>7021.23</v>
      </c>
      <c r="O3083" s="387">
        <v>0.3</v>
      </c>
      <c r="P3083" s="387">
        <v>0.1</v>
      </c>
      <c r="Q3083" s="386">
        <v>6318.93</v>
      </c>
      <c r="R3083" s="394" t="s">
        <v>1407</v>
      </c>
      <c r="S3083" s="399" t="s">
        <v>41</v>
      </c>
      <c r="T3083" s="399">
        <v>24</v>
      </c>
      <c r="U3083" s="389" t="s">
        <v>164</v>
      </c>
      <c r="V3083" s="433"/>
      <c r="X3083" s="386">
        <v>6318.93</v>
      </c>
      <c r="Y3083" s="386"/>
      <c r="AJ3083" s="416">
        <v>6318.93</v>
      </c>
    </row>
    <row r="3084" spans="1:40" s="647" customFormat="1" ht="11.25" customHeight="1">
      <c r="B3084" s="647" t="s">
        <v>291</v>
      </c>
      <c r="C3084" s="648">
        <v>44732</v>
      </c>
      <c r="D3084" s="648">
        <v>44733</v>
      </c>
      <c r="E3084" s="649" t="s">
        <v>2323</v>
      </c>
      <c r="F3084" s="660" t="s">
        <v>2324</v>
      </c>
      <c r="G3084" s="667" t="s">
        <v>2325</v>
      </c>
      <c r="H3084" s="647" t="s">
        <v>866</v>
      </c>
      <c r="I3084" s="676" t="s">
        <v>156</v>
      </c>
      <c r="J3084" s="651">
        <v>90000.66</v>
      </c>
      <c r="K3084" s="676"/>
      <c r="L3084" s="651">
        <v>48.94</v>
      </c>
      <c r="M3084" s="651">
        <v>48.94</v>
      </c>
      <c r="N3084" s="652">
        <v>45455.12</v>
      </c>
      <c r="O3084" s="653">
        <v>0.25</v>
      </c>
      <c r="P3084" s="653">
        <v>0.1</v>
      </c>
      <c r="Q3084" s="652">
        <v>32994.980000000003</v>
      </c>
      <c r="R3084" s="660" t="s">
        <v>112</v>
      </c>
      <c r="S3084" s="671" t="s">
        <v>113</v>
      </c>
      <c r="T3084" s="671">
        <v>64</v>
      </c>
      <c r="U3084" s="655" t="s">
        <v>164</v>
      </c>
      <c r="V3084" s="656"/>
      <c r="X3084" s="652">
        <v>32994.980000000003</v>
      </c>
      <c r="Y3084" s="652"/>
      <c r="AI3084" s="652">
        <v>32994.980000000003</v>
      </c>
      <c r="AJ3084" s="657"/>
      <c r="AK3084" s="658"/>
    </row>
    <row r="3085" spans="1:40" s="647" customFormat="1" ht="11.25" customHeight="1">
      <c r="B3085" s="647" t="s">
        <v>291</v>
      </c>
      <c r="C3085" s="648">
        <v>44733</v>
      </c>
      <c r="D3085" s="648">
        <v>44733</v>
      </c>
      <c r="E3085" s="649" t="s">
        <v>2326</v>
      </c>
      <c r="F3085" s="660" t="s">
        <v>1968</v>
      </c>
      <c r="G3085" s="667" t="s">
        <v>1969</v>
      </c>
      <c r="H3085" s="647" t="s">
        <v>898</v>
      </c>
      <c r="I3085" s="676" t="s">
        <v>1151</v>
      </c>
      <c r="J3085" s="651">
        <v>17756.89</v>
      </c>
      <c r="K3085" s="676"/>
      <c r="L3085" s="651">
        <v>12.11</v>
      </c>
      <c r="M3085" s="651">
        <v>12.11</v>
      </c>
      <c r="N3085" s="652"/>
      <c r="O3085" s="653">
        <v>0.25</v>
      </c>
      <c r="P3085" s="653">
        <v>0.1</v>
      </c>
      <c r="Q3085" s="652">
        <v>0</v>
      </c>
      <c r="R3085" s="647" t="s">
        <v>35</v>
      </c>
      <c r="S3085" s="654" t="s">
        <v>41</v>
      </c>
      <c r="T3085" s="654">
        <v>16</v>
      </c>
      <c r="U3085" s="655" t="s">
        <v>164</v>
      </c>
      <c r="V3085" s="656"/>
      <c r="X3085" s="652">
        <v>0</v>
      </c>
      <c r="Y3085" s="652"/>
      <c r="AI3085" s="647">
        <v>0</v>
      </c>
      <c r="AJ3085" s="657"/>
      <c r="AK3085" s="658"/>
    </row>
    <row r="3086" spans="1:40" s="647" customFormat="1" ht="11.25" customHeight="1">
      <c r="B3086" s="647" t="s">
        <v>291</v>
      </c>
      <c r="C3086" s="648"/>
      <c r="D3086" s="648"/>
      <c r="E3086" s="649" t="s">
        <v>2326</v>
      </c>
      <c r="F3086" s="660" t="s">
        <v>1968</v>
      </c>
      <c r="G3086" s="667" t="s">
        <v>1969</v>
      </c>
      <c r="H3086" s="647" t="s">
        <v>866</v>
      </c>
      <c r="I3086" s="676" t="s">
        <v>1151</v>
      </c>
      <c r="J3086" s="651">
        <v>23553.06</v>
      </c>
      <c r="K3086" s="676"/>
      <c r="L3086" s="651">
        <v>21.11</v>
      </c>
      <c r="M3086" s="651">
        <v>21.11</v>
      </c>
      <c r="N3086" s="652"/>
      <c r="O3086" s="653">
        <v>0.25</v>
      </c>
      <c r="P3086" s="653">
        <v>0.1</v>
      </c>
      <c r="Q3086" s="652">
        <v>6924.87</v>
      </c>
      <c r="R3086" s="647" t="s">
        <v>35</v>
      </c>
      <c r="S3086" s="654" t="s">
        <v>41</v>
      </c>
      <c r="T3086" s="654">
        <v>16</v>
      </c>
      <c r="U3086" s="655" t="s">
        <v>164</v>
      </c>
      <c r="V3086" s="656"/>
      <c r="X3086" s="652">
        <v>6924.87</v>
      </c>
      <c r="Y3086" s="652"/>
      <c r="AI3086" s="647">
        <v>6924.87</v>
      </c>
      <c r="AJ3086" s="657"/>
      <c r="AK3086" s="658"/>
    </row>
    <row r="3087" spans="1:40" s="473" customFormat="1" ht="11.25" customHeight="1">
      <c r="B3087" s="473" t="s">
        <v>291</v>
      </c>
      <c r="C3087" s="487">
        <v>44733</v>
      </c>
      <c r="D3087" s="487">
        <v>44733</v>
      </c>
      <c r="E3087" s="488" t="s">
        <v>2327</v>
      </c>
      <c r="F3087" s="472" t="s">
        <v>2328</v>
      </c>
      <c r="G3087" s="476" t="s">
        <v>2329</v>
      </c>
      <c r="H3087" s="473" t="s">
        <v>866</v>
      </c>
      <c r="I3087" s="491" t="s">
        <v>156</v>
      </c>
      <c r="J3087" s="490">
        <v>120636</v>
      </c>
      <c r="K3087" s="491"/>
      <c r="L3087" s="490">
        <v>67.02</v>
      </c>
      <c r="M3087" s="490">
        <v>36</v>
      </c>
      <c r="N3087" s="492">
        <f>3979.8+15238.8+14112</f>
        <v>33330.6</v>
      </c>
      <c r="O3087" s="493">
        <v>0.25</v>
      </c>
      <c r="P3087" s="493">
        <v>0.1</v>
      </c>
      <c r="Q3087" s="492">
        <v>31624.78</v>
      </c>
      <c r="R3087" s="472" t="s">
        <v>112</v>
      </c>
      <c r="S3087" s="482" t="s">
        <v>113</v>
      </c>
      <c r="T3087" s="482">
        <v>64</v>
      </c>
      <c r="U3087" s="494" t="s">
        <v>164</v>
      </c>
      <c r="V3087" s="495"/>
      <c r="X3087" s="492">
        <v>31624.78</v>
      </c>
      <c r="Y3087" s="492"/>
      <c r="AJ3087" s="485"/>
      <c r="AK3087" s="505">
        <v>31624.78</v>
      </c>
    </row>
    <row r="3088" spans="1:40" s="473" customFormat="1" ht="11.25" customHeight="1">
      <c r="B3088" s="473" t="s">
        <v>291</v>
      </c>
      <c r="C3088" s="487"/>
      <c r="D3088" s="487"/>
      <c r="E3088" s="488" t="s">
        <v>2327</v>
      </c>
      <c r="F3088" s="472" t="s">
        <v>2328</v>
      </c>
      <c r="G3088" s="476" t="s">
        <v>2329</v>
      </c>
      <c r="H3088" s="473" t="s">
        <v>814</v>
      </c>
      <c r="I3088" s="491" t="s">
        <v>156</v>
      </c>
      <c r="J3088" s="490">
        <v>15914.21</v>
      </c>
      <c r="K3088" s="491"/>
      <c r="L3088" s="490">
        <v>13</v>
      </c>
      <c r="M3088" s="490">
        <v>13</v>
      </c>
      <c r="N3088" s="492"/>
      <c r="O3088" s="493">
        <v>0.25</v>
      </c>
      <c r="P3088" s="493">
        <v>0.1</v>
      </c>
      <c r="Q3088" s="492">
        <v>0</v>
      </c>
      <c r="R3088" s="472" t="s">
        <v>112</v>
      </c>
      <c r="S3088" s="482" t="s">
        <v>113</v>
      </c>
      <c r="T3088" s="482">
        <v>64</v>
      </c>
      <c r="U3088" s="494" t="s">
        <v>164</v>
      </c>
      <c r="V3088" s="495"/>
      <c r="X3088" s="492">
        <v>0</v>
      </c>
      <c r="Y3088" s="492"/>
      <c r="AJ3088" s="485"/>
      <c r="AK3088" s="473">
        <v>0</v>
      </c>
    </row>
    <row r="3089" spans="1:77" s="6" customFormat="1" ht="11.25" customHeight="1">
      <c r="A3089" s="379"/>
      <c r="B3089" s="380" t="s">
        <v>291</v>
      </c>
      <c r="C3089" s="381">
        <v>44730</v>
      </c>
      <c r="D3089" s="381">
        <v>44733</v>
      </c>
      <c r="E3089" s="382" t="s">
        <v>2330</v>
      </c>
      <c r="F3089" s="394" t="s">
        <v>245</v>
      </c>
      <c r="G3089" s="400">
        <v>4294</v>
      </c>
      <c r="H3089" s="379" t="s">
        <v>911</v>
      </c>
      <c r="I3089" s="384" t="s">
        <v>961</v>
      </c>
      <c r="J3089" s="385">
        <v>12750.1</v>
      </c>
      <c r="K3089" s="384"/>
      <c r="L3089" s="385">
        <v>6.7</v>
      </c>
      <c r="M3089" s="385">
        <v>6.7</v>
      </c>
      <c r="N3089" s="386"/>
      <c r="O3089" s="387">
        <v>0.2</v>
      </c>
      <c r="P3089" s="387"/>
      <c r="Q3089" s="386">
        <v>0</v>
      </c>
      <c r="R3089" s="379" t="s">
        <v>35</v>
      </c>
      <c r="S3089" s="388" t="s">
        <v>41</v>
      </c>
      <c r="T3089" s="388">
        <v>17</v>
      </c>
      <c r="U3089" s="389" t="s">
        <v>164</v>
      </c>
      <c r="V3089" s="433"/>
      <c r="W3089" s="379"/>
      <c r="X3089" s="386">
        <v>0</v>
      </c>
      <c r="Y3089" s="386"/>
      <c r="Z3089" s="379"/>
      <c r="AA3089" s="379"/>
      <c r="AB3089" s="379"/>
      <c r="AC3089" s="379"/>
      <c r="AD3089" s="379"/>
      <c r="AE3089" s="379"/>
      <c r="AF3089" s="379"/>
      <c r="AG3089" s="379"/>
      <c r="AH3089" s="379"/>
      <c r="AI3089" s="379"/>
      <c r="AJ3089" s="390">
        <v>0</v>
      </c>
      <c r="AK3089" s="379"/>
      <c r="AL3089" s="379"/>
      <c r="AM3089" s="379"/>
      <c r="AN3089" s="379"/>
      <c r="AO3089" s="379"/>
      <c r="AP3089" s="379"/>
      <c r="AQ3089" s="379"/>
      <c r="AR3089" s="379"/>
      <c r="AS3089" s="379"/>
      <c r="AT3089" s="379"/>
      <c r="AU3089" s="379"/>
      <c r="AV3089" s="379"/>
      <c r="AW3089" s="379"/>
      <c r="AX3089" s="379"/>
      <c r="AY3089" s="379"/>
      <c r="AZ3089" s="379"/>
      <c r="BA3089" s="379"/>
      <c r="BB3089" s="379"/>
      <c r="BC3089" s="379"/>
      <c r="BD3089" s="379"/>
      <c r="BE3089" s="379"/>
      <c r="BF3089" s="379"/>
      <c r="BG3089" s="379"/>
      <c r="BH3089" s="379"/>
      <c r="BI3089" s="379"/>
      <c r="BJ3089" s="379"/>
      <c r="BK3089" s="379"/>
      <c r="BL3089" s="379"/>
      <c r="BM3089" s="379"/>
      <c r="BN3089" s="379"/>
      <c r="BO3089" s="379"/>
      <c r="BP3089" s="379"/>
      <c r="BQ3089" s="379"/>
      <c r="BR3089" s="379"/>
      <c r="BS3089" s="379"/>
      <c r="BT3089" s="379"/>
      <c r="BU3089" s="379"/>
      <c r="BV3089" s="379"/>
      <c r="BW3089" s="379"/>
      <c r="BX3089" s="379"/>
      <c r="BY3089" s="379"/>
    </row>
    <row r="3090" spans="1:77" s="6" customFormat="1" ht="11.25" customHeight="1">
      <c r="A3090" s="379"/>
      <c r="B3090" s="380" t="s">
        <v>291</v>
      </c>
      <c r="C3090" s="381"/>
      <c r="D3090" s="381"/>
      <c r="E3090" s="382" t="s">
        <v>2330</v>
      </c>
      <c r="F3090" s="394" t="s">
        <v>245</v>
      </c>
      <c r="G3090" s="400">
        <v>4294</v>
      </c>
      <c r="H3090" s="379" t="s">
        <v>910</v>
      </c>
      <c r="I3090" s="384" t="s">
        <v>961</v>
      </c>
      <c r="J3090" s="385">
        <v>33516</v>
      </c>
      <c r="K3090" s="384"/>
      <c r="L3090" s="385">
        <v>14.7</v>
      </c>
      <c r="M3090" s="385">
        <v>14.7</v>
      </c>
      <c r="N3090" s="386"/>
      <c r="O3090" s="387">
        <v>0.2</v>
      </c>
      <c r="P3090" s="387"/>
      <c r="Q3090" s="386">
        <v>0</v>
      </c>
      <c r="R3090" s="379" t="s">
        <v>35</v>
      </c>
      <c r="S3090" s="388" t="s">
        <v>41</v>
      </c>
      <c r="T3090" s="388">
        <v>17</v>
      </c>
      <c r="U3090" s="389" t="s">
        <v>164</v>
      </c>
      <c r="V3090" s="433"/>
      <c r="W3090" s="379"/>
      <c r="X3090" s="386">
        <v>0</v>
      </c>
      <c r="Y3090" s="386"/>
      <c r="Z3090" s="379"/>
      <c r="AA3090" s="379"/>
      <c r="AB3090" s="379"/>
      <c r="AC3090" s="379"/>
      <c r="AD3090" s="379"/>
      <c r="AE3090" s="379"/>
      <c r="AF3090" s="379"/>
      <c r="AG3090" s="379"/>
      <c r="AH3090" s="379"/>
      <c r="AI3090" s="379"/>
      <c r="AJ3090" s="390">
        <v>0</v>
      </c>
      <c r="AK3090" s="379"/>
      <c r="AL3090" s="379"/>
      <c r="AM3090" s="379"/>
      <c r="AN3090" s="379"/>
      <c r="AO3090" s="379"/>
      <c r="AP3090" s="379"/>
      <c r="AQ3090" s="379"/>
      <c r="AR3090" s="379"/>
      <c r="AS3090" s="379"/>
      <c r="AT3090" s="379"/>
      <c r="AU3090" s="379"/>
      <c r="AV3090" s="379"/>
      <c r="AW3090" s="379"/>
      <c r="AX3090" s="379"/>
      <c r="AY3090" s="379"/>
      <c r="AZ3090" s="379"/>
      <c r="BA3090" s="379"/>
      <c r="BB3090" s="379"/>
      <c r="BC3090" s="379"/>
      <c r="BD3090" s="379"/>
      <c r="BE3090" s="379"/>
      <c r="BF3090" s="379"/>
      <c r="BG3090" s="379"/>
      <c r="BH3090" s="379"/>
      <c r="BI3090" s="379"/>
      <c r="BJ3090" s="379"/>
      <c r="BK3090" s="379"/>
      <c r="BL3090" s="379"/>
      <c r="BM3090" s="379"/>
      <c r="BN3090" s="379"/>
      <c r="BO3090" s="379"/>
      <c r="BP3090" s="379"/>
      <c r="BQ3090" s="379"/>
      <c r="BR3090" s="379"/>
      <c r="BS3090" s="379"/>
      <c r="BT3090" s="379"/>
      <c r="BU3090" s="379"/>
      <c r="BV3090" s="379"/>
      <c r="BW3090" s="379"/>
      <c r="BX3090" s="379"/>
      <c r="BY3090" s="379"/>
    </row>
    <row r="3091" spans="1:77" s="379" customFormat="1" ht="11.25" customHeight="1">
      <c r="B3091" s="380" t="s">
        <v>291</v>
      </c>
      <c r="C3091" s="381"/>
      <c r="D3091" s="381"/>
      <c r="E3091" s="382" t="s">
        <v>2330</v>
      </c>
      <c r="F3091" s="394" t="s">
        <v>245</v>
      </c>
      <c r="G3091" s="400">
        <v>4294</v>
      </c>
      <c r="H3091" s="379" t="s">
        <v>866</v>
      </c>
      <c r="I3091" s="384" t="s">
        <v>961</v>
      </c>
      <c r="J3091" s="385">
        <v>17122.919999999998</v>
      </c>
      <c r="K3091" s="384"/>
      <c r="L3091" s="385">
        <v>9.74</v>
      </c>
      <c r="M3091" s="385">
        <v>9.74</v>
      </c>
      <c r="N3091" s="386"/>
      <c r="O3091" s="387">
        <v>0.2</v>
      </c>
      <c r="P3091" s="387"/>
      <c r="Q3091" s="386">
        <v>0</v>
      </c>
      <c r="R3091" s="379" t="s">
        <v>35</v>
      </c>
      <c r="S3091" s="388" t="s">
        <v>41</v>
      </c>
      <c r="T3091" s="388">
        <v>17</v>
      </c>
      <c r="U3091" s="389" t="s">
        <v>164</v>
      </c>
      <c r="V3091" s="433"/>
      <c r="X3091" s="386">
        <v>0</v>
      </c>
      <c r="Y3091" s="386"/>
      <c r="AJ3091" s="390">
        <v>0</v>
      </c>
    </row>
    <row r="3092" spans="1:77" s="379" customFormat="1" ht="11.25" customHeight="1">
      <c r="B3092" s="380" t="s">
        <v>291</v>
      </c>
      <c r="C3092" s="381"/>
      <c r="D3092" s="381"/>
      <c r="E3092" s="382" t="s">
        <v>2330</v>
      </c>
      <c r="F3092" s="394" t="s">
        <v>245</v>
      </c>
      <c r="G3092" s="400">
        <v>4294</v>
      </c>
      <c r="H3092" s="379" t="s">
        <v>765</v>
      </c>
      <c r="I3092" s="384" t="s">
        <v>961</v>
      </c>
      <c r="J3092" s="385">
        <v>20795.39</v>
      </c>
      <c r="K3092" s="384"/>
      <c r="L3092" s="385">
        <v>15.82</v>
      </c>
      <c r="M3092" s="385">
        <v>15.82</v>
      </c>
      <c r="N3092" s="386"/>
      <c r="O3092" s="387">
        <v>0.2</v>
      </c>
      <c r="P3092" s="387"/>
      <c r="Q3092" s="386">
        <v>0</v>
      </c>
      <c r="R3092" s="379" t="s">
        <v>35</v>
      </c>
      <c r="S3092" s="388" t="s">
        <v>41</v>
      </c>
      <c r="T3092" s="388">
        <v>17</v>
      </c>
      <c r="U3092" s="389" t="s">
        <v>164</v>
      </c>
      <c r="V3092" s="433"/>
      <c r="X3092" s="386">
        <v>0</v>
      </c>
      <c r="Y3092" s="386"/>
      <c r="AJ3092" s="390">
        <v>0</v>
      </c>
    </row>
    <row r="3093" spans="1:77" s="647" customFormat="1" ht="11.25" customHeight="1">
      <c r="B3093" s="661" t="s">
        <v>291</v>
      </c>
      <c r="C3093" s="648">
        <v>44733</v>
      </c>
      <c r="D3093" s="648">
        <v>44733</v>
      </c>
      <c r="E3093" s="649" t="s">
        <v>2331</v>
      </c>
      <c r="F3093" s="660" t="s">
        <v>2332</v>
      </c>
      <c r="G3093" s="667">
        <v>3651</v>
      </c>
      <c r="H3093" s="647" t="s">
        <v>550</v>
      </c>
      <c r="I3093" s="676" t="s">
        <v>1151</v>
      </c>
      <c r="J3093" s="651">
        <v>8211.4599999999991</v>
      </c>
      <c r="K3093" s="676"/>
      <c r="L3093" s="651">
        <v>9.6</v>
      </c>
      <c r="M3093" s="651">
        <v>9.6</v>
      </c>
      <c r="N3093" s="652">
        <v>5763.23</v>
      </c>
      <c r="O3093" s="653">
        <v>0.25</v>
      </c>
      <c r="P3093" s="653">
        <v>0.1</v>
      </c>
      <c r="Q3093" s="652">
        <v>5763.23</v>
      </c>
      <c r="R3093" s="660" t="s">
        <v>77</v>
      </c>
      <c r="S3093" s="671" t="s">
        <v>41</v>
      </c>
      <c r="T3093" s="671">
        <v>16</v>
      </c>
      <c r="U3093" s="655" t="s">
        <v>164</v>
      </c>
      <c r="V3093" s="656"/>
      <c r="X3093" s="652">
        <v>5763.23</v>
      </c>
      <c r="Y3093" s="652"/>
      <c r="AI3093" s="652">
        <v>5763.23</v>
      </c>
      <c r="AJ3093" s="657"/>
      <c r="AK3093" s="658"/>
    </row>
    <row r="3094" spans="1:77" s="291" customFormat="1" ht="11.25" customHeight="1">
      <c r="A3094" s="473"/>
      <c r="B3094" s="486" t="s">
        <v>291</v>
      </c>
      <c r="C3094" s="487"/>
      <c r="D3094" s="487"/>
      <c r="E3094" s="488" t="s">
        <v>2333</v>
      </c>
      <c r="F3094" s="472" t="s">
        <v>2334</v>
      </c>
      <c r="G3094" s="476">
        <v>1007</v>
      </c>
      <c r="H3094" s="473" t="s">
        <v>2335</v>
      </c>
      <c r="I3094" s="491" t="s">
        <v>1351</v>
      </c>
      <c r="J3094" s="490">
        <v>65340</v>
      </c>
      <c r="K3094" s="491"/>
      <c r="L3094" s="490">
        <v>29.7</v>
      </c>
      <c r="M3094" s="490">
        <v>29.7</v>
      </c>
      <c r="N3094" s="492">
        <f>2359.5</f>
        <v>2359.5</v>
      </c>
      <c r="O3094" s="493">
        <v>0.25</v>
      </c>
      <c r="P3094" s="493">
        <v>0.1</v>
      </c>
      <c r="Q3094" s="492">
        <v>13205.5</v>
      </c>
      <c r="R3094" s="472" t="s">
        <v>112</v>
      </c>
      <c r="S3094" s="482" t="s">
        <v>113</v>
      </c>
      <c r="T3094" s="482">
        <v>64</v>
      </c>
      <c r="U3094" s="494" t="s">
        <v>164</v>
      </c>
      <c r="V3094" s="495"/>
      <c r="W3094" s="473"/>
      <c r="X3094" s="492">
        <v>13205.5</v>
      </c>
      <c r="Y3094" s="492"/>
      <c r="Z3094" s="473"/>
      <c r="AA3094" s="473"/>
      <c r="AB3094" s="473"/>
      <c r="AC3094" s="473"/>
      <c r="AD3094" s="473"/>
      <c r="AE3094" s="473"/>
      <c r="AF3094" s="473"/>
      <c r="AG3094" s="473"/>
      <c r="AH3094" s="473"/>
      <c r="AI3094" s="473"/>
      <c r="AJ3094" s="485"/>
      <c r="AK3094" s="505">
        <v>13205.5</v>
      </c>
      <c r="AL3094" s="473"/>
      <c r="AM3094" s="473"/>
      <c r="AN3094" s="473"/>
      <c r="AO3094" s="473"/>
      <c r="AP3094" s="473"/>
      <c r="AQ3094" s="473"/>
      <c r="AR3094" s="473"/>
      <c r="AS3094" s="473"/>
      <c r="AT3094" s="473"/>
      <c r="AU3094" s="473"/>
      <c r="AV3094" s="473"/>
      <c r="AW3094" s="473"/>
      <c r="AX3094" s="473"/>
      <c r="AY3094" s="473"/>
      <c r="AZ3094" s="473"/>
      <c r="BA3094" s="473"/>
      <c r="BB3094" s="473"/>
      <c r="BC3094" s="473"/>
      <c r="BD3094" s="473"/>
      <c r="BE3094" s="473"/>
      <c r="BF3094" s="473"/>
      <c r="BG3094" s="473"/>
      <c r="BH3094" s="473"/>
      <c r="BI3094" s="473"/>
      <c r="BJ3094" s="473"/>
      <c r="BK3094" s="473"/>
      <c r="BL3094" s="473"/>
      <c r="BM3094" s="473"/>
      <c r="BN3094" s="473"/>
      <c r="BO3094" s="473"/>
      <c r="BP3094" s="473"/>
      <c r="BQ3094" s="473"/>
      <c r="BR3094" s="473"/>
      <c r="BS3094" s="473"/>
      <c r="BT3094" s="473"/>
      <c r="BU3094" s="473"/>
      <c r="BV3094" s="473"/>
      <c r="BW3094" s="473"/>
      <c r="BX3094" s="473"/>
      <c r="BY3094" s="473"/>
    </row>
    <row r="3095" spans="1:77" s="291" customFormat="1" ht="11.25" customHeight="1">
      <c r="B3095" s="310" t="s">
        <v>291</v>
      </c>
      <c r="C3095" s="292">
        <v>44733</v>
      </c>
      <c r="D3095" s="292">
        <v>44733</v>
      </c>
      <c r="E3095" s="293" t="s">
        <v>2333</v>
      </c>
      <c r="F3095" s="303" t="s">
        <v>2334</v>
      </c>
      <c r="G3095" s="304">
        <v>1007</v>
      </c>
      <c r="H3095" s="291" t="s">
        <v>910</v>
      </c>
      <c r="I3095" s="295" t="s">
        <v>1351</v>
      </c>
      <c r="J3095" s="296">
        <v>33094.04</v>
      </c>
      <c r="K3095" s="295"/>
      <c r="L3095" s="296">
        <v>13.06</v>
      </c>
      <c r="M3095" s="296">
        <v>13.06</v>
      </c>
      <c r="N3095" s="297"/>
      <c r="O3095" s="298">
        <v>0.25</v>
      </c>
      <c r="P3095" s="298">
        <v>0.1</v>
      </c>
      <c r="Q3095" s="297">
        <v>0</v>
      </c>
      <c r="R3095" s="303" t="s">
        <v>112</v>
      </c>
      <c r="S3095" s="308" t="s">
        <v>113</v>
      </c>
      <c r="T3095" s="308">
        <v>64</v>
      </c>
      <c r="U3095" s="300" t="s">
        <v>164</v>
      </c>
      <c r="V3095" s="333"/>
      <c r="X3095" s="297">
        <v>0</v>
      </c>
      <c r="Y3095" s="297"/>
      <c r="AH3095" s="311">
        <f>X3095</f>
        <v>0</v>
      </c>
      <c r="AI3095" s="311"/>
      <c r="AJ3095" s="468"/>
    </row>
    <row r="3096" spans="1:77" s="181" customFormat="1" ht="11.25" customHeight="1">
      <c r="B3096" s="178" t="s">
        <v>291</v>
      </c>
      <c r="C3096" s="179"/>
      <c r="D3096" s="179"/>
      <c r="E3096" s="180" t="s">
        <v>2333</v>
      </c>
      <c r="F3096" s="184" t="s">
        <v>2334</v>
      </c>
      <c r="G3096" s="194">
        <v>1007</v>
      </c>
      <c r="H3096" s="181" t="s">
        <v>814</v>
      </c>
      <c r="I3096" s="190" t="s">
        <v>1351</v>
      </c>
      <c r="J3096" s="183">
        <v>23251.9</v>
      </c>
      <c r="K3096" s="190"/>
      <c r="L3096" s="183">
        <v>14.78</v>
      </c>
      <c r="M3096" s="183">
        <v>14.78</v>
      </c>
      <c r="N3096" s="185">
        <v>0</v>
      </c>
      <c r="O3096" s="186">
        <v>0.25</v>
      </c>
      <c r="P3096" s="186">
        <v>0.1</v>
      </c>
      <c r="Q3096" s="185">
        <v>0</v>
      </c>
      <c r="R3096" s="184" t="s">
        <v>112</v>
      </c>
      <c r="S3096" s="199" t="s">
        <v>113</v>
      </c>
      <c r="T3096" s="199">
        <v>64</v>
      </c>
      <c r="U3096" s="188" t="s">
        <v>164</v>
      </c>
      <c r="V3096" s="441"/>
      <c r="X3096" s="185">
        <v>0</v>
      </c>
      <c r="Y3096" s="185"/>
      <c r="AE3096" s="204">
        <f>X3096</f>
        <v>0</v>
      </c>
      <c r="AJ3096" s="189"/>
    </row>
    <row r="3097" spans="1:77" s="6" customFormat="1" ht="11.25" customHeight="1">
      <c r="A3097" s="379"/>
      <c r="B3097" s="380" t="s">
        <v>291</v>
      </c>
      <c r="C3097" s="381">
        <v>44733</v>
      </c>
      <c r="D3097" s="381">
        <v>44734</v>
      </c>
      <c r="E3097" s="382" t="s">
        <v>2336</v>
      </c>
      <c r="F3097" s="394" t="s">
        <v>927</v>
      </c>
      <c r="G3097" s="400">
        <v>3625</v>
      </c>
      <c r="H3097" s="379" t="s">
        <v>99</v>
      </c>
      <c r="I3097" s="384" t="s">
        <v>156</v>
      </c>
      <c r="J3097" s="385">
        <v>69904.800000000003</v>
      </c>
      <c r="K3097" s="384"/>
      <c r="L3097" s="385">
        <v>76.650000000000006</v>
      </c>
      <c r="M3097" s="385">
        <v>76.650000000000006</v>
      </c>
      <c r="N3097" s="386"/>
      <c r="O3097" s="387">
        <v>0.15</v>
      </c>
      <c r="P3097" s="387">
        <v>0.1</v>
      </c>
      <c r="Q3097" s="386">
        <v>0</v>
      </c>
      <c r="R3097" s="379" t="s">
        <v>35</v>
      </c>
      <c r="S3097" s="388" t="s">
        <v>41</v>
      </c>
      <c r="T3097" s="388">
        <v>16</v>
      </c>
      <c r="U3097" s="389" t="s">
        <v>164</v>
      </c>
      <c r="V3097" s="433"/>
      <c r="W3097" s="379"/>
      <c r="X3097" s="386">
        <v>0</v>
      </c>
      <c r="Y3097" s="386"/>
      <c r="Z3097" s="379"/>
      <c r="AA3097" s="379"/>
      <c r="AB3097" s="379"/>
      <c r="AC3097" s="379"/>
      <c r="AD3097" s="379"/>
      <c r="AE3097" s="379"/>
      <c r="AF3097" s="379"/>
      <c r="AG3097" s="379"/>
      <c r="AH3097" s="379"/>
      <c r="AI3097" s="379"/>
      <c r="AJ3097" s="390">
        <v>0</v>
      </c>
      <c r="AK3097" s="379"/>
      <c r="AL3097" s="379"/>
      <c r="AM3097" s="379"/>
      <c r="AN3097" s="379"/>
      <c r="AO3097" s="379"/>
      <c r="AP3097" s="379"/>
      <c r="AQ3097" s="379"/>
      <c r="AR3097" s="379"/>
      <c r="AS3097" s="379"/>
      <c r="AT3097" s="379"/>
      <c r="AU3097" s="379"/>
      <c r="AV3097" s="379"/>
      <c r="AW3097" s="379"/>
      <c r="AX3097" s="379"/>
      <c r="AY3097" s="379"/>
      <c r="AZ3097" s="379"/>
      <c r="BA3097" s="379"/>
      <c r="BB3097" s="379"/>
      <c r="BC3097" s="379"/>
      <c r="BD3097" s="379"/>
      <c r="BE3097" s="379"/>
      <c r="BF3097" s="379"/>
      <c r="BG3097" s="379"/>
      <c r="BH3097" s="379"/>
      <c r="BI3097" s="379"/>
      <c r="BJ3097" s="379"/>
      <c r="BK3097" s="379"/>
      <c r="BL3097" s="379"/>
      <c r="BM3097" s="379"/>
      <c r="BN3097" s="379"/>
      <c r="BO3097" s="379"/>
      <c r="BP3097" s="379"/>
      <c r="BQ3097" s="379"/>
      <c r="BR3097" s="379"/>
      <c r="BS3097" s="379"/>
      <c r="BT3097" s="379"/>
      <c r="BU3097" s="379"/>
      <c r="BV3097" s="379"/>
      <c r="BW3097" s="379"/>
      <c r="BX3097" s="379"/>
      <c r="BY3097" s="379"/>
    </row>
    <row r="3098" spans="1:77" s="6" customFormat="1" ht="11.25" customHeight="1">
      <c r="A3098" s="379"/>
      <c r="B3098" s="380" t="s">
        <v>291</v>
      </c>
      <c r="C3098" s="381"/>
      <c r="D3098" s="381"/>
      <c r="E3098" s="382" t="s">
        <v>2336</v>
      </c>
      <c r="F3098" s="394" t="s">
        <v>927</v>
      </c>
      <c r="G3098" s="400">
        <v>3625</v>
      </c>
      <c r="H3098" s="379" t="s">
        <v>27</v>
      </c>
      <c r="I3098" s="384" t="s">
        <v>156</v>
      </c>
      <c r="J3098" s="385">
        <v>46905.5</v>
      </c>
      <c r="K3098" s="384"/>
      <c r="L3098" s="385">
        <v>49.09</v>
      </c>
      <c r="M3098" s="385">
        <v>40</v>
      </c>
      <c r="N3098" s="386"/>
      <c r="O3098" s="387">
        <v>0.15</v>
      </c>
      <c r="P3098" s="387">
        <v>0.1</v>
      </c>
      <c r="Q3098" s="386">
        <v>0</v>
      </c>
      <c r="R3098" s="379" t="s">
        <v>35</v>
      </c>
      <c r="S3098" s="388" t="s">
        <v>41</v>
      </c>
      <c r="T3098" s="388">
        <v>16</v>
      </c>
      <c r="U3098" s="389" t="s">
        <v>164</v>
      </c>
      <c r="V3098" s="433"/>
      <c r="W3098" s="379"/>
      <c r="X3098" s="386">
        <v>0</v>
      </c>
      <c r="Y3098" s="386"/>
      <c r="Z3098" s="379"/>
      <c r="AA3098" s="379"/>
      <c r="AB3098" s="379"/>
      <c r="AC3098" s="379"/>
      <c r="AD3098" s="379"/>
      <c r="AE3098" s="379"/>
      <c r="AF3098" s="379"/>
      <c r="AG3098" s="379"/>
      <c r="AH3098" s="379"/>
      <c r="AI3098" s="379"/>
      <c r="AJ3098" s="390">
        <v>0</v>
      </c>
      <c r="AK3098" s="379"/>
      <c r="AL3098" s="379"/>
      <c r="AM3098" s="379"/>
      <c r="AN3098" s="379"/>
      <c r="AO3098" s="379"/>
      <c r="AP3098" s="379"/>
      <c r="AQ3098" s="379"/>
      <c r="AR3098" s="379"/>
      <c r="AS3098" s="379"/>
      <c r="AT3098" s="379"/>
      <c r="AU3098" s="379"/>
      <c r="AV3098" s="379"/>
      <c r="AW3098" s="379"/>
      <c r="AX3098" s="379"/>
      <c r="AY3098" s="379"/>
      <c r="AZ3098" s="379"/>
      <c r="BA3098" s="379"/>
      <c r="BB3098" s="379"/>
      <c r="BC3098" s="379"/>
      <c r="BD3098" s="379"/>
      <c r="BE3098" s="379"/>
      <c r="BF3098" s="379"/>
      <c r="BG3098" s="379"/>
      <c r="BH3098" s="379"/>
      <c r="BI3098" s="379"/>
      <c r="BJ3098" s="379"/>
      <c r="BK3098" s="379"/>
      <c r="BL3098" s="379"/>
      <c r="BM3098" s="379"/>
      <c r="BN3098" s="379"/>
      <c r="BO3098" s="379"/>
      <c r="BP3098" s="379"/>
      <c r="BQ3098" s="379"/>
      <c r="BR3098" s="379"/>
      <c r="BS3098" s="379"/>
      <c r="BT3098" s="379"/>
      <c r="BU3098" s="379"/>
      <c r="BV3098" s="379"/>
      <c r="BW3098" s="379"/>
      <c r="BX3098" s="379"/>
      <c r="BY3098" s="379"/>
    </row>
    <row r="3099" spans="1:77" s="379" customFormat="1" ht="11.25" customHeight="1">
      <c r="B3099" s="379" t="s">
        <v>291</v>
      </c>
      <c r="C3099" s="381">
        <v>44733</v>
      </c>
      <c r="D3099" s="381">
        <v>44734</v>
      </c>
      <c r="E3099" s="382" t="s">
        <v>2337</v>
      </c>
      <c r="F3099" s="394" t="s">
        <v>2241</v>
      </c>
      <c r="G3099" s="383" t="s">
        <v>2242</v>
      </c>
      <c r="H3099" s="379" t="s">
        <v>137</v>
      </c>
      <c r="I3099" s="384" t="s">
        <v>33</v>
      </c>
      <c r="J3099" s="385">
        <v>6063.66</v>
      </c>
      <c r="K3099" s="384"/>
      <c r="L3099" s="385">
        <v>5.27</v>
      </c>
      <c r="M3099" s="385">
        <v>5.27</v>
      </c>
      <c r="N3099" s="386">
        <v>1515.9155000000001</v>
      </c>
      <c r="O3099" s="387">
        <v>0.2</v>
      </c>
      <c r="P3099" s="387"/>
      <c r="Q3099" s="386">
        <v>3262.55</v>
      </c>
      <c r="R3099" s="394" t="s">
        <v>285</v>
      </c>
      <c r="S3099" s="399" t="s">
        <v>275</v>
      </c>
      <c r="T3099" s="399">
        <v>21</v>
      </c>
      <c r="U3099" s="389" t="s">
        <v>164</v>
      </c>
      <c r="V3099" s="433"/>
      <c r="X3099" s="386">
        <v>3262.55</v>
      </c>
      <c r="Y3099" s="386"/>
      <c r="AJ3099" s="416">
        <v>3262.55</v>
      </c>
    </row>
    <row r="3100" spans="1:77" s="205" customFormat="1" ht="11.25" customHeight="1">
      <c r="B3100" s="205" t="s">
        <v>291</v>
      </c>
      <c r="C3100" s="207">
        <v>44732</v>
      </c>
      <c r="D3100" s="207">
        <v>44734</v>
      </c>
      <c r="E3100" s="208" t="s">
        <v>2338</v>
      </c>
      <c r="F3100" s="205" t="s">
        <v>908</v>
      </c>
      <c r="G3100" s="209">
        <v>3673</v>
      </c>
      <c r="H3100" s="205" t="s">
        <v>99</v>
      </c>
      <c r="I3100" s="219" t="s">
        <v>156</v>
      </c>
      <c r="J3100" s="210">
        <v>114328.5</v>
      </c>
      <c r="K3100" s="219"/>
      <c r="L3100" s="210">
        <v>106.6</v>
      </c>
      <c r="M3100" s="210">
        <v>10</v>
      </c>
      <c r="N3100" s="213"/>
      <c r="O3100" s="212">
        <v>0.2</v>
      </c>
      <c r="P3100" s="212">
        <v>0.1</v>
      </c>
      <c r="Q3100" s="213">
        <v>0</v>
      </c>
      <c r="R3100" s="205" t="s">
        <v>50</v>
      </c>
      <c r="S3100" s="214" t="s">
        <v>51</v>
      </c>
      <c r="T3100" s="214">
        <v>55</v>
      </c>
      <c r="U3100" s="215" t="s">
        <v>164</v>
      </c>
      <c r="V3100" s="438"/>
      <c r="X3100" s="213">
        <v>0</v>
      </c>
      <c r="Y3100" s="213"/>
      <c r="AF3100" s="230">
        <f>X3100</f>
        <v>0</v>
      </c>
      <c r="AJ3100" s="216"/>
    </row>
    <row r="3101" spans="1:77" s="647" customFormat="1" ht="11.25" customHeight="1">
      <c r="B3101" s="647" t="s">
        <v>291</v>
      </c>
      <c r="C3101" s="648">
        <v>44733</v>
      </c>
      <c r="D3101" s="648">
        <v>44734</v>
      </c>
      <c r="E3101" s="649" t="s">
        <v>2339</v>
      </c>
      <c r="F3101" s="647" t="s">
        <v>2340</v>
      </c>
      <c r="G3101" s="650">
        <v>4440</v>
      </c>
      <c r="H3101" s="647" t="s">
        <v>27</v>
      </c>
      <c r="I3101" s="676" t="s">
        <v>156</v>
      </c>
      <c r="J3101" s="651">
        <v>5554.85</v>
      </c>
      <c r="K3101" s="676"/>
      <c r="L3101" s="651">
        <v>5.9</v>
      </c>
      <c r="M3101" s="651">
        <v>5.9</v>
      </c>
      <c r="N3101" s="652"/>
      <c r="O3101" s="653">
        <v>0.25</v>
      </c>
      <c r="P3101" s="653">
        <v>0.1</v>
      </c>
      <c r="Q3101" s="652">
        <v>4255.97</v>
      </c>
      <c r="R3101" s="647" t="s">
        <v>281</v>
      </c>
      <c r="S3101" s="654" t="s">
        <v>228</v>
      </c>
      <c r="T3101" s="654">
        <v>58</v>
      </c>
      <c r="U3101" s="655" t="s">
        <v>164</v>
      </c>
      <c r="V3101" s="656"/>
      <c r="X3101" s="652">
        <v>4255.97</v>
      </c>
      <c r="Y3101" s="652"/>
      <c r="AI3101" s="652">
        <v>4255.97</v>
      </c>
      <c r="AJ3101" s="657"/>
      <c r="AK3101" s="658"/>
    </row>
    <row r="3102" spans="1:77" s="647" customFormat="1" ht="11.25" customHeight="1">
      <c r="B3102" s="647" t="s">
        <v>291</v>
      </c>
      <c r="C3102" s="648"/>
      <c r="D3102" s="648"/>
      <c r="E3102" s="649" t="s">
        <v>2339</v>
      </c>
      <c r="F3102" s="647" t="s">
        <v>2340</v>
      </c>
      <c r="G3102" s="650">
        <v>4440</v>
      </c>
      <c r="H3102" s="647" t="s">
        <v>898</v>
      </c>
      <c r="I3102" s="676" t="s">
        <v>156</v>
      </c>
      <c r="J3102" s="651">
        <v>4054.4</v>
      </c>
      <c r="K3102" s="676"/>
      <c r="L3102" s="651">
        <v>4</v>
      </c>
      <c r="M3102" s="651">
        <v>4</v>
      </c>
      <c r="N3102" s="652"/>
      <c r="O3102" s="653">
        <v>0.25</v>
      </c>
      <c r="P3102" s="653">
        <v>0.1</v>
      </c>
      <c r="Q3102" s="652">
        <v>1658.56</v>
      </c>
      <c r="R3102" s="647" t="s">
        <v>281</v>
      </c>
      <c r="S3102" s="654" t="s">
        <v>228</v>
      </c>
      <c r="T3102" s="654">
        <v>58</v>
      </c>
      <c r="U3102" s="655" t="s">
        <v>164</v>
      </c>
      <c r="V3102" s="656"/>
      <c r="X3102" s="652">
        <v>1658.56</v>
      </c>
      <c r="Y3102" s="652"/>
      <c r="AI3102" s="652">
        <v>1658.56</v>
      </c>
      <c r="AJ3102" s="657"/>
      <c r="AK3102" s="658"/>
    </row>
    <row r="3103" spans="1:77" s="647" customFormat="1" ht="11.25" customHeight="1">
      <c r="B3103" s="647" t="s">
        <v>291</v>
      </c>
      <c r="C3103" s="648"/>
      <c r="D3103" s="648"/>
      <c r="E3103" s="649" t="s">
        <v>2339</v>
      </c>
      <c r="F3103" s="647" t="s">
        <v>2340</v>
      </c>
      <c r="G3103" s="650">
        <v>4440</v>
      </c>
      <c r="H3103" s="647" t="s">
        <v>866</v>
      </c>
      <c r="I3103" s="676" t="s">
        <v>156</v>
      </c>
      <c r="J3103" s="651">
        <v>4680</v>
      </c>
      <c r="K3103" s="676"/>
      <c r="L3103" s="651">
        <v>3.9</v>
      </c>
      <c r="M3103" s="651">
        <v>3.9</v>
      </c>
      <c r="N3103" s="652"/>
      <c r="O3103" s="653">
        <v>0.25</v>
      </c>
      <c r="P3103" s="653">
        <v>0.1</v>
      </c>
      <c r="Q3103" s="652">
        <v>2223</v>
      </c>
      <c r="R3103" s="647" t="s">
        <v>281</v>
      </c>
      <c r="S3103" s="654" t="s">
        <v>228</v>
      </c>
      <c r="T3103" s="654">
        <v>58</v>
      </c>
      <c r="U3103" s="655" t="s">
        <v>164</v>
      </c>
      <c r="V3103" s="656"/>
      <c r="X3103" s="652">
        <v>2223</v>
      </c>
      <c r="Y3103" s="652"/>
      <c r="AI3103" s="652">
        <v>2223</v>
      </c>
      <c r="AJ3103" s="657"/>
      <c r="AK3103" s="658"/>
    </row>
    <row r="3104" spans="1:77" s="647" customFormat="1" ht="11.25" customHeight="1">
      <c r="B3104" s="647" t="s">
        <v>291</v>
      </c>
      <c r="C3104" s="648"/>
      <c r="D3104" s="648"/>
      <c r="E3104" s="649" t="s">
        <v>2339</v>
      </c>
      <c r="F3104" s="647" t="s">
        <v>2340</v>
      </c>
      <c r="G3104" s="650">
        <v>4440</v>
      </c>
      <c r="H3104" s="647" t="s">
        <v>183</v>
      </c>
      <c r="I3104" s="676" t="s">
        <v>156</v>
      </c>
      <c r="J3104" s="651">
        <v>12259.8</v>
      </c>
      <c r="K3104" s="676"/>
      <c r="L3104" s="651">
        <v>13.9</v>
      </c>
      <c r="M3104" s="651">
        <v>4.5</v>
      </c>
      <c r="N3104" s="652"/>
      <c r="O3104" s="653">
        <v>0.25</v>
      </c>
      <c r="P3104" s="653">
        <v>0.1</v>
      </c>
      <c r="Q3104" s="652">
        <v>2293.1999999999998</v>
      </c>
      <c r="R3104" s="647" t="s">
        <v>281</v>
      </c>
      <c r="S3104" s="654" t="s">
        <v>228</v>
      </c>
      <c r="T3104" s="654">
        <v>58</v>
      </c>
      <c r="U3104" s="655" t="s">
        <v>164</v>
      </c>
      <c r="V3104" s="656"/>
      <c r="X3104" s="652">
        <v>2293.1999999999998</v>
      </c>
      <c r="Y3104" s="652"/>
      <c r="AI3104" s="652">
        <v>2293.1999999999998</v>
      </c>
      <c r="AJ3104" s="657"/>
      <c r="AK3104" s="658"/>
    </row>
    <row r="3105" spans="1:77" s="261" customFormat="1" ht="11.25" customHeight="1">
      <c r="B3105" s="258" t="s">
        <v>291</v>
      </c>
      <c r="C3105" s="259">
        <v>44730</v>
      </c>
      <c r="D3105" s="259">
        <v>44734</v>
      </c>
      <c r="E3105" s="260" t="s">
        <v>2341</v>
      </c>
      <c r="F3105" s="261" t="s">
        <v>549</v>
      </c>
      <c r="G3105" s="262">
        <v>3745</v>
      </c>
      <c r="H3105" s="261" t="s">
        <v>911</v>
      </c>
      <c r="I3105" s="264" t="s">
        <v>888</v>
      </c>
      <c r="J3105" s="263">
        <v>6361.6</v>
      </c>
      <c r="K3105" s="264"/>
      <c r="L3105" s="263">
        <v>3.2</v>
      </c>
      <c r="M3105" s="263">
        <v>3.2</v>
      </c>
      <c r="N3105" s="265">
        <v>1590.4</v>
      </c>
      <c r="O3105" s="266">
        <v>0.25</v>
      </c>
      <c r="P3105" s="266"/>
      <c r="Q3105" s="265">
        <f>N3105-J3105*O3105</f>
        <v>0</v>
      </c>
      <c r="R3105" s="261" t="s">
        <v>42</v>
      </c>
      <c r="S3105" s="267" t="s">
        <v>41</v>
      </c>
      <c r="T3105" s="267">
        <v>79</v>
      </c>
      <c r="U3105" s="268" t="s">
        <v>164</v>
      </c>
      <c r="V3105" s="427"/>
      <c r="W3105" s="261" t="s">
        <v>3537</v>
      </c>
      <c r="X3105" s="265">
        <v>0</v>
      </c>
      <c r="Y3105" s="265"/>
      <c r="AG3105" s="261">
        <f t="shared" ref="AG3105:AG3111" si="39">X3105</f>
        <v>0</v>
      </c>
      <c r="AJ3105" s="642"/>
    </row>
    <row r="3106" spans="1:77" s="261" customFormat="1" ht="11.25" customHeight="1">
      <c r="B3106" s="258" t="s">
        <v>291</v>
      </c>
      <c r="C3106" s="259"/>
      <c r="D3106" s="259"/>
      <c r="E3106" s="260" t="s">
        <v>2341</v>
      </c>
      <c r="F3106" s="261" t="s">
        <v>549</v>
      </c>
      <c r="G3106" s="262">
        <v>3745</v>
      </c>
      <c r="H3106" s="261" t="s">
        <v>550</v>
      </c>
      <c r="I3106" s="264" t="s">
        <v>888</v>
      </c>
      <c r="J3106" s="263">
        <v>3164.04</v>
      </c>
      <c r="K3106" s="264"/>
      <c r="L3106" s="263">
        <v>5.61</v>
      </c>
      <c r="M3106" s="263">
        <v>5.61</v>
      </c>
      <c r="N3106" s="265">
        <v>1265.616</v>
      </c>
      <c r="O3106" s="266">
        <v>0.25</v>
      </c>
      <c r="P3106" s="266"/>
      <c r="Q3106" s="265">
        <v>37.03</v>
      </c>
      <c r="R3106" s="261" t="s">
        <v>42</v>
      </c>
      <c r="S3106" s="267" t="s">
        <v>41</v>
      </c>
      <c r="T3106" s="267">
        <v>79</v>
      </c>
      <c r="U3106" s="268" t="s">
        <v>164</v>
      </c>
      <c r="V3106" s="427"/>
      <c r="X3106" s="265">
        <v>37.03</v>
      </c>
      <c r="Y3106" s="265"/>
      <c r="AG3106" s="261">
        <f t="shared" si="39"/>
        <v>37.03</v>
      </c>
      <c r="AJ3106" s="642"/>
    </row>
    <row r="3107" spans="1:77" s="261" customFormat="1" ht="11.25" customHeight="1">
      <c r="B3107" s="258" t="s">
        <v>291</v>
      </c>
      <c r="C3107" s="259"/>
      <c r="D3107" s="259"/>
      <c r="E3107" s="260" t="s">
        <v>2341</v>
      </c>
      <c r="F3107" s="261" t="s">
        <v>549</v>
      </c>
      <c r="G3107" s="262">
        <v>3745</v>
      </c>
      <c r="H3107" s="261" t="s">
        <v>162</v>
      </c>
      <c r="I3107" s="264" t="s">
        <v>888</v>
      </c>
      <c r="J3107" s="263">
        <v>12804.18</v>
      </c>
      <c r="K3107" s="264"/>
      <c r="L3107" s="263">
        <v>18.309999999999999</v>
      </c>
      <c r="M3107" s="263">
        <v>18.309999999999999</v>
      </c>
      <c r="N3107" s="265">
        <v>7682.5097999999998</v>
      </c>
      <c r="O3107" s="266">
        <v>0.25</v>
      </c>
      <c r="P3107" s="266"/>
      <c r="Q3107" s="265">
        <v>4187.5200000000004</v>
      </c>
      <c r="R3107" s="261" t="s">
        <v>42</v>
      </c>
      <c r="S3107" s="267" t="s">
        <v>41</v>
      </c>
      <c r="T3107" s="267">
        <v>79</v>
      </c>
      <c r="U3107" s="268" t="s">
        <v>164</v>
      </c>
      <c r="V3107" s="427"/>
      <c r="X3107" s="265">
        <v>4187.5200000000004</v>
      </c>
      <c r="Y3107" s="265"/>
      <c r="AG3107" s="261">
        <f t="shared" si="39"/>
        <v>4187.5200000000004</v>
      </c>
      <c r="AJ3107" s="642"/>
    </row>
    <row r="3108" spans="1:77" s="261" customFormat="1" ht="11.25" customHeight="1">
      <c r="B3108" s="258" t="s">
        <v>291</v>
      </c>
      <c r="C3108" s="259"/>
      <c r="D3108" s="259"/>
      <c r="E3108" s="260" t="s">
        <v>2341</v>
      </c>
      <c r="F3108" s="261" t="s">
        <v>549</v>
      </c>
      <c r="G3108" s="262">
        <v>3745</v>
      </c>
      <c r="H3108" s="261" t="s">
        <v>442</v>
      </c>
      <c r="I3108" s="264" t="s">
        <v>888</v>
      </c>
      <c r="J3108" s="263">
        <v>12082</v>
      </c>
      <c r="K3108" s="264"/>
      <c r="L3108" s="263">
        <v>17.260000000000002</v>
      </c>
      <c r="M3108" s="263">
        <v>17.260000000000002</v>
      </c>
      <c r="N3108" s="265">
        <v>5436.9</v>
      </c>
      <c r="O3108" s="266">
        <v>0.25</v>
      </c>
      <c r="P3108" s="266"/>
      <c r="Q3108" s="265">
        <v>0</v>
      </c>
      <c r="R3108" s="261" t="s">
        <v>42</v>
      </c>
      <c r="S3108" s="267" t="s">
        <v>41</v>
      </c>
      <c r="T3108" s="267">
        <v>79</v>
      </c>
      <c r="U3108" s="268" t="s">
        <v>164</v>
      </c>
      <c r="V3108" s="427"/>
      <c r="X3108" s="265">
        <v>0</v>
      </c>
      <c r="Y3108" s="265"/>
      <c r="AG3108" s="261">
        <f t="shared" si="39"/>
        <v>0</v>
      </c>
      <c r="AJ3108" s="642"/>
    </row>
    <row r="3109" spans="1:77" s="261" customFormat="1" ht="11.25" customHeight="1">
      <c r="B3109" s="258" t="s">
        <v>291</v>
      </c>
      <c r="C3109" s="259"/>
      <c r="D3109" s="259"/>
      <c r="E3109" s="260" t="s">
        <v>2341</v>
      </c>
      <c r="F3109" s="261" t="s">
        <v>549</v>
      </c>
      <c r="G3109" s="262">
        <v>3745</v>
      </c>
      <c r="H3109" s="261" t="s">
        <v>765</v>
      </c>
      <c r="I3109" s="264" t="s">
        <v>888</v>
      </c>
      <c r="J3109" s="263">
        <v>14401.8</v>
      </c>
      <c r="K3109" s="264"/>
      <c r="L3109" s="263">
        <v>11.43</v>
      </c>
      <c r="M3109" s="263">
        <v>11.43</v>
      </c>
      <c r="N3109" s="265">
        <v>3600.45</v>
      </c>
      <c r="O3109" s="266">
        <v>0.25</v>
      </c>
      <c r="P3109" s="266"/>
      <c r="Q3109" s="265">
        <f>N3109-J3109*O3109</f>
        <v>0</v>
      </c>
      <c r="R3109" s="261" t="s">
        <v>42</v>
      </c>
      <c r="S3109" s="267" t="s">
        <v>41</v>
      </c>
      <c r="T3109" s="267">
        <v>79</v>
      </c>
      <c r="U3109" s="268" t="s">
        <v>164</v>
      </c>
      <c r="V3109" s="427"/>
      <c r="W3109" s="261" t="s">
        <v>3537</v>
      </c>
      <c r="X3109" s="265">
        <v>0</v>
      </c>
      <c r="Y3109" s="265"/>
      <c r="AG3109" s="261">
        <f t="shared" si="39"/>
        <v>0</v>
      </c>
      <c r="AJ3109" s="642"/>
    </row>
    <row r="3110" spans="1:77" s="261" customFormat="1" ht="11.25" customHeight="1">
      <c r="B3110" s="258" t="s">
        <v>291</v>
      </c>
      <c r="C3110" s="259"/>
      <c r="D3110" s="259"/>
      <c r="E3110" s="260" t="s">
        <v>2341</v>
      </c>
      <c r="F3110" s="261" t="s">
        <v>549</v>
      </c>
      <c r="G3110" s="262">
        <v>3745</v>
      </c>
      <c r="H3110" s="261" t="s">
        <v>336</v>
      </c>
      <c r="I3110" s="264" t="s">
        <v>888</v>
      </c>
      <c r="J3110" s="263">
        <v>38556.379999999997</v>
      </c>
      <c r="K3110" s="264"/>
      <c r="L3110" s="263">
        <v>35.950000000000003</v>
      </c>
      <c r="M3110" s="263">
        <v>35.950000000000003</v>
      </c>
      <c r="N3110" s="265">
        <v>9639.09375</v>
      </c>
      <c r="O3110" s="266">
        <v>0.25</v>
      </c>
      <c r="P3110" s="266"/>
      <c r="Q3110" s="265">
        <v>0</v>
      </c>
      <c r="R3110" s="261" t="s">
        <v>42</v>
      </c>
      <c r="S3110" s="267" t="s">
        <v>41</v>
      </c>
      <c r="T3110" s="267">
        <v>79</v>
      </c>
      <c r="U3110" s="268" t="s">
        <v>164</v>
      </c>
      <c r="V3110" s="427"/>
      <c r="X3110" s="265">
        <v>0</v>
      </c>
      <c r="Y3110" s="265"/>
      <c r="AG3110" s="261">
        <f t="shared" si="39"/>
        <v>0</v>
      </c>
      <c r="AJ3110" s="642"/>
    </row>
    <row r="3111" spans="1:77" s="261" customFormat="1" ht="11.25" customHeight="1">
      <c r="B3111" s="258" t="s">
        <v>291</v>
      </c>
      <c r="C3111" s="259"/>
      <c r="D3111" s="259"/>
      <c r="E3111" s="260" t="s">
        <v>2341</v>
      </c>
      <c r="F3111" s="261" t="s">
        <v>549</v>
      </c>
      <c r="G3111" s="262">
        <v>3745</v>
      </c>
      <c r="H3111" s="261" t="s">
        <v>866</v>
      </c>
      <c r="I3111" s="264" t="s">
        <v>888</v>
      </c>
      <c r="J3111" s="263">
        <v>19852.080000000002</v>
      </c>
      <c r="K3111" s="264"/>
      <c r="L3111" s="263">
        <v>13.71</v>
      </c>
      <c r="M3111" s="263">
        <v>13.71</v>
      </c>
      <c r="N3111" s="265">
        <v>4963.0200000000004</v>
      </c>
      <c r="O3111" s="266">
        <v>0.25</v>
      </c>
      <c r="P3111" s="266"/>
      <c r="Q3111" s="265">
        <f>N3111-J3111*O3111</f>
        <v>0</v>
      </c>
      <c r="R3111" s="261" t="s">
        <v>42</v>
      </c>
      <c r="S3111" s="267" t="s">
        <v>41</v>
      </c>
      <c r="T3111" s="267">
        <v>79</v>
      </c>
      <c r="U3111" s="268" t="s">
        <v>164</v>
      </c>
      <c r="V3111" s="427"/>
      <c r="W3111" s="261" t="s">
        <v>3537</v>
      </c>
      <c r="X3111" s="265">
        <v>0</v>
      </c>
      <c r="Y3111" s="265"/>
      <c r="AG3111" s="261">
        <f t="shared" si="39"/>
        <v>0</v>
      </c>
      <c r="AJ3111" s="642"/>
    </row>
    <row r="3112" spans="1:77" s="473" customFormat="1" ht="11.25" customHeight="1">
      <c r="A3112" s="473" t="s">
        <v>3893</v>
      </c>
      <c r="B3112" s="486" t="s">
        <v>290</v>
      </c>
      <c r="C3112" s="487">
        <v>44734</v>
      </c>
      <c r="D3112" s="487">
        <v>44734</v>
      </c>
      <c r="E3112" s="488" t="s">
        <v>2342</v>
      </c>
      <c r="F3112" s="473" t="s">
        <v>2343</v>
      </c>
      <c r="G3112" s="489" t="s">
        <v>2344</v>
      </c>
      <c r="H3112" s="473" t="s">
        <v>27</v>
      </c>
      <c r="I3112" s="491" t="s">
        <v>1168</v>
      </c>
      <c r="J3112" s="490">
        <v>28600</v>
      </c>
      <c r="K3112" s="491"/>
      <c r="L3112" s="490">
        <v>14.3</v>
      </c>
      <c r="M3112" s="490">
        <v>14.3</v>
      </c>
      <c r="N3112" s="492"/>
      <c r="O3112" s="493">
        <v>0.3</v>
      </c>
      <c r="P3112" s="493">
        <v>0.05</v>
      </c>
      <c r="Q3112" s="492">
        <v>1430</v>
      </c>
      <c r="R3112" s="473" t="s">
        <v>35</v>
      </c>
      <c r="S3112" s="481" t="s">
        <v>41</v>
      </c>
      <c r="T3112" s="481">
        <v>16</v>
      </c>
      <c r="U3112" s="494" t="s">
        <v>164</v>
      </c>
      <c r="V3112" s="495"/>
      <c r="X3112" s="492">
        <v>1430</v>
      </c>
      <c r="Y3112" s="492"/>
      <c r="AJ3112" s="485"/>
      <c r="AK3112" s="505">
        <v>1430</v>
      </c>
    </row>
    <row r="3113" spans="1:77" s="473" customFormat="1" ht="11.25" customHeight="1">
      <c r="B3113" s="486" t="s">
        <v>291</v>
      </c>
      <c r="C3113" s="487">
        <v>44732</v>
      </c>
      <c r="D3113" s="487">
        <v>44734</v>
      </c>
      <c r="E3113" s="488" t="s">
        <v>2345</v>
      </c>
      <c r="F3113" s="473" t="s">
        <v>152</v>
      </c>
      <c r="G3113" s="489">
        <v>3912</v>
      </c>
      <c r="H3113" s="473" t="s">
        <v>27</v>
      </c>
      <c r="I3113" s="491" t="s">
        <v>156</v>
      </c>
      <c r="J3113" s="490">
        <v>47273.18</v>
      </c>
      <c r="K3113" s="491"/>
      <c r="L3113" s="490">
        <v>36.35</v>
      </c>
      <c r="M3113" s="490">
        <v>36.35</v>
      </c>
      <c r="N3113" s="492"/>
      <c r="O3113" s="493">
        <v>0.2</v>
      </c>
      <c r="P3113" s="493">
        <v>0.1</v>
      </c>
      <c r="Q3113" s="492">
        <v>13298.65</v>
      </c>
      <c r="R3113" s="473" t="s">
        <v>77</v>
      </c>
      <c r="S3113" s="481" t="s">
        <v>41</v>
      </c>
      <c r="T3113" s="481">
        <v>16</v>
      </c>
      <c r="U3113" s="494" t="s">
        <v>164</v>
      </c>
      <c r="V3113" s="495"/>
      <c r="X3113" s="492">
        <v>13298.65</v>
      </c>
      <c r="Y3113" s="492"/>
      <c r="AJ3113" s="485"/>
      <c r="AK3113" s="505">
        <v>13298.65</v>
      </c>
    </row>
    <row r="3114" spans="1:77" s="473" customFormat="1" ht="11.25" customHeight="1">
      <c r="B3114" s="486" t="s">
        <v>291</v>
      </c>
      <c r="C3114" s="487"/>
      <c r="D3114" s="487"/>
      <c r="E3114" s="488" t="s">
        <v>2345</v>
      </c>
      <c r="F3114" s="473" t="s">
        <v>152</v>
      </c>
      <c r="G3114" s="489">
        <v>3912</v>
      </c>
      <c r="H3114" s="473" t="s">
        <v>99</v>
      </c>
      <c r="I3114" s="491" t="s">
        <v>156</v>
      </c>
      <c r="J3114" s="490">
        <v>68509.600000000006</v>
      </c>
      <c r="K3114" s="491"/>
      <c r="L3114" s="490">
        <v>59.06</v>
      </c>
      <c r="M3114" s="490">
        <v>59.06</v>
      </c>
      <c r="N3114" s="492"/>
      <c r="O3114" s="493">
        <v>0.2</v>
      </c>
      <c r="P3114" s="493">
        <v>0.1</v>
      </c>
      <c r="Q3114" s="492">
        <v>0</v>
      </c>
      <c r="R3114" s="473" t="s">
        <v>77</v>
      </c>
      <c r="S3114" s="481" t="s">
        <v>41</v>
      </c>
      <c r="T3114" s="481">
        <v>16</v>
      </c>
      <c r="U3114" s="494" t="s">
        <v>164</v>
      </c>
      <c r="V3114" s="495"/>
      <c r="X3114" s="492">
        <v>0</v>
      </c>
      <c r="Y3114" s="492"/>
      <c r="AJ3114" s="485"/>
      <c r="AK3114" s="473">
        <v>0</v>
      </c>
    </row>
    <row r="3115" spans="1:77" s="473" customFormat="1" ht="11.25" customHeight="1">
      <c r="B3115" s="486" t="s">
        <v>291</v>
      </c>
      <c r="C3115" s="487"/>
      <c r="D3115" s="487"/>
      <c r="E3115" s="488" t="s">
        <v>2345</v>
      </c>
      <c r="F3115" s="473" t="s">
        <v>152</v>
      </c>
      <c r="G3115" s="489">
        <v>3912</v>
      </c>
      <c r="H3115" s="473" t="s">
        <v>295</v>
      </c>
      <c r="I3115" s="491" t="s">
        <v>156</v>
      </c>
      <c r="J3115" s="490">
        <v>3497.13</v>
      </c>
      <c r="K3115" s="491"/>
      <c r="L3115" s="490">
        <v>6.37</v>
      </c>
      <c r="M3115" s="490">
        <v>6.37</v>
      </c>
      <c r="N3115" s="492"/>
      <c r="O3115" s="493">
        <v>0.2</v>
      </c>
      <c r="P3115" s="493">
        <v>0.1</v>
      </c>
      <c r="Q3115" s="492">
        <v>752.93</v>
      </c>
      <c r="R3115" s="473" t="s">
        <v>77</v>
      </c>
      <c r="S3115" s="481" t="s">
        <v>41</v>
      </c>
      <c r="T3115" s="481">
        <v>16</v>
      </c>
      <c r="U3115" s="494" t="s">
        <v>164</v>
      </c>
      <c r="V3115" s="495"/>
      <c r="X3115" s="492">
        <v>752.93</v>
      </c>
      <c r="Y3115" s="492"/>
      <c r="AJ3115" s="485"/>
      <c r="AK3115" s="505">
        <v>752.93</v>
      </c>
    </row>
    <row r="3116" spans="1:77" s="261" customFormat="1" ht="11.25" customHeight="1">
      <c r="B3116" s="258" t="s">
        <v>291</v>
      </c>
      <c r="C3116" s="259">
        <v>44734</v>
      </c>
      <c r="D3116" s="259">
        <v>44734</v>
      </c>
      <c r="E3116" s="260" t="s">
        <v>2346</v>
      </c>
      <c r="F3116" s="261" t="s">
        <v>879</v>
      </c>
      <c r="G3116" s="262" t="s">
        <v>880</v>
      </c>
      <c r="H3116" s="261" t="s">
        <v>137</v>
      </c>
      <c r="I3116" s="264" t="s">
        <v>33</v>
      </c>
      <c r="J3116" s="263">
        <v>16530.8</v>
      </c>
      <c r="K3116" s="264"/>
      <c r="L3116" s="263">
        <v>17</v>
      </c>
      <c r="M3116" s="263">
        <v>17</v>
      </c>
      <c r="N3116" s="265">
        <f>J3116*0.35</f>
        <v>5785.78</v>
      </c>
      <c r="O3116" s="266">
        <v>0.25</v>
      </c>
      <c r="P3116" s="266"/>
      <c r="Q3116" s="265">
        <v>1054.8499999999999</v>
      </c>
      <c r="R3116" s="261" t="s">
        <v>54</v>
      </c>
      <c r="S3116" s="267" t="s">
        <v>882</v>
      </c>
      <c r="T3116" s="267">
        <v>77</v>
      </c>
      <c r="U3116" s="268" t="s">
        <v>164</v>
      </c>
      <c r="V3116" s="427"/>
      <c r="X3116" s="265">
        <v>1054.8499999999999</v>
      </c>
      <c r="Y3116" s="265"/>
      <c r="AG3116" s="261">
        <f>X3116</f>
        <v>1054.8499999999999</v>
      </c>
      <c r="AJ3116" s="642"/>
    </row>
    <row r="3117" spans="1:77" s="337" customFormat="1" ht="11.25" customHeight="1">
      <c r="A3117" s="379"/>
      <c r="B3117" s="380" t="s">
        <v>291</v>
      </c>
      <c r="C3117" s="381"/>
      <c r="D3117" s="381"/>
      <c r="E3117" s="382" t="s">
        <v>2347</v>
      </c>
      <c r="F3117" s="379" t="s">
        <v>2348</v>
      </c>
      <c r="G3117" s="383">
        <v>4239</v>
      </c>
      <c r="H3117" s="379" t="s">
        <v>866</v>
      </c>
      <c r="I3117" s="384" t="s">
        <v>888</v>
      </c>
      <c r="J3117" s="385">
        <v>48676.32</v>
      </c>
      <c r="K3117" s="384"/>
      <c r="L3117" s="385">
        <v>35.119999999999997</v>
      </c>
      <c r="M3117" s="385">
        <v>35.119999999999997</v>
      </c>
      <c r="N3117" s="386"/>
      <c r="O3117" s="387">
        <v>0.25</v>
      </c>
      <c r="P3117" s="387"/>
      <c r="Q3117" s="386">
        <v>15154.28</v>
      </c>
      <c r="R3117" s="379" t="s">
        <v>257</v>
      </c>
      <c r="S3117" s="388" t="s">
        <v>74</v>
      </c>
      <c r="T3117" s="388">
        <v>32</v>
      </c>
      <c r="U3117" s="389" t="s">
        <v>164</v>
      </c>
      <c r="V3117" s="433"/>
      <c r="W3117" s="379"/>
      <c r="X3117" s="386">
        <v>15154.28</v>
      </c>
      <c r="Y3117" s="386"/>
      <c r="Z3117" s="379"/>
      <c r="AA3117" s="379"/>
      <c r="AB3117" s="379"/>
      <c r="AC3117" s="379"/>
      <c r="AD3117" s="379"/>
      <c r="AE3117" s="379"/>
      <c r="AF3117" s="379"/>
      <c r="AG3117" s="379"/>
      <c r="AH3117" s="379"/>
      <c r="AI3117" s="379"/>
      <c r="AJ3117" s="416">
        <v>15154.28</v>
      </c>
      <c r="AK3117" s="379"/>
      <c r="AL3117" s="379"/>
      <c r="AM3117" s="379"/>
      <c r="AN3117" s="379"/>
      <c r="AO3117" s="379"/>
      <c r="AP3117" s="379"/>
      <c r="AQ3117" s="379"/>
      <c r="AR3117" s="379"/>
      <c r="AS3117" s="379"/>
      <c r="AT3117" s="379"/>
      <c r="AU3117" s="379"/>
      <c r="AV3117" s="379"/>
      <c r="AW3117" s="379"/>
      <c r="AX3117" s="379"/>
      <c r="AY3117" s="379"/>
      <c r="AZ3117" s="379"/>
      <c r="BA3117" s="379"/>
      <c r="BB3117" s="379"/>
      <c r="BC3117" s="379"/>
      <c r="BD3117" s="379"/>
      <c r="BE3117" s="379"/>
      <c r="BF3117" s="379"/>
      <c r="BG3117" s="379"/>
      <c r="BH3117" s="379"/>
      <c r="BI3117" s="379"/>
      <c r="BJ3117" s="379"/>
      <c r="BK3117" s="379"/>
      <c r="BL3117" s="379"/>
      <c r="BM3117" s="379"/>
      <c r="BN3117" s="379"/>
      <c r="BO3117" s="379"/>
      <c r="BP3117" s="379"/>
      <c r="BQ3117" s="379"/>
      <c r="BR3117" s="379"/>
      <c r="BS3117" s="379"/>
      <c r="BT3117" s="379"/>
      <c r="BU3117" s="379"/>
      <c r="BV3117" s="379"/>
      <c r="BW3117" s="379"/>
      <c r="BX3117" s="379"/>
      <c r="BY3117" s="379"/>
    </row>
    <row r="3118" spans="1:77" s="337" customFormat="1" ht="11.25" customHeight="1">
      <c r="A3118" s="379"/>
      <c r="B3118" s="380" t="s">
        <v>291</v>
      </c>
      <c r="C3118" s="381"/>
      <c r="D3118" s="381"/>
      <c r="E3118" s="382" t="s">
        <v>2347</v>
      </c>
      <c r="F3118" s="379" t="s">
        <v>2348</v>
      </c>
      <c r="G3118" s="383">
        <v>4239</v>
      </c>
      <c r="H3118" s="379" t="s">
        <v>765</v>
      </c>
      <c r="I3118" s="384" t="s">
        <v>888</v>
      </c>
      <c r="J3118" s="385">
        <v>33373.440000000002</v>
      </c>
      <c r="K3118" s="384"/>
      <c r="L3118" s="385">
        <v>28.97</v>
      </c>
      <c r="M3118" s="385">
        <v>28.97</v>
      </c>
      <c r="N3118" s="386"/>
      <c r="O3118" s="387">
        <v>0.25</v>
      </c>
      <c r="P3118" s="387"/>
      <c r="Q3118" s="386">
        <v>0</v>
      </c>
      <c r="R3118" s="379" t="s">
        <v>257</v>
      </c>
      <c r="S3118" s="388" t="s">
        <v>74</v>
      </c>
      <c r="T3118" s="388">
        <v>32</v>
      </c>
      <c r="U3118" s="389" t="s">
        <v>164</v>
      </c>
      <c r="V3118" s="433"/>
      <c r="W3118" s="379"/>
      <c r="X3118" s="386">
        <v>0</v>
      </c>
      <c r="Y3118" s="386"/>
      <c r="Z3118" s="379"/>
      <c r="AA3118" s="379"/>
      <c r="AB3118" s="379"/>
      <c r="AC3118" s="379"/>
      <c r="AD3118" s="379"/>
      <c r="AE3118" s="379"/>
      <c r="AF3118" s="379"/>
      <c r="AG3118" s="379"/>
      <c r="AH3118" s="379"/>
      <c r="AI3118" s="379"/>
      <c r="AJ3118" s="390">
        <v>0</v>
      </c>
      <c r="AK3118" s="379"/>
      <c r="AL3118" s="379"/>
      <c r="AM3118" s="379"/>
      <c r="AN3118" s="379"/>
      <c r="AO3118" s="379"/>
      <c r="AP3118" s="379"/>
      <c r="AQ3118" s="379"/>
      <c r="AR3118" s="379"/>
      <c r="AS3118" s="379"/>
      <c r="AT3118" s="379"/>
      <c r="AU3118" s="379"/>
      <c r="AV3118" s="379"/>
      <c r="AW3118" s="379"/>
      <c r="AX3118" s="379"/>
      <c r="AY3118" s="379"/>
      <c r="AZ3118" s="379"/>
      <c r="BA3118" s="379"/>
      <c r="BB3118" s="379"/>
      <c r="BC3118" s="379"/>
      <c r="BD3118" s="379"/>
      <c r="BE3118" s="379"/>
      <c r="BF3118" s="379"/>
      <c r="BG3118" s="379"/>
      <c r="BH3118" s="379"/>
      <c r="BI3118" s="379"/>
      <c r="BJ3118" s="379"/>
      <c r="BK3118" s="379"/>
      <c r="BL3118" s="379"/>
      <c r="BM3118" s="379"/>
      <c r="BN3118" s="379"/>
      <c r="BO3118" s="379"/>
      <c r="BP3118" s="379"/>
      <c r="BQ3118" s="379"/>
      <c r="BR3118" s="379"/>
      <c r="BS3118" s="379"/>
      <c r="BT3118" s="379"/>
      <c r="BU3118" s="379"/>
      <c r="BV3118" s="379"/>
      <c r="BW3118" s="379"/>
      <c r="BX3118" s="379"/>
      <c r="BY3118" s="379"/>
    </row>
    <row r="3119" spans="1:77" s="337" customFormat="1" ht="11.25" customHeight="1">
      <c r="B3119" s="338" t="s">
        <v>291</v>
      </c>
      <c r="C3119" s="349">
        <v>44732</v>
      </c>
      <c r="D3119" s="349">
        <v>44734</v>
      </c>
      <c r="E3119" s="350" t="s">
        <v>2347</v>
      </c>
      <c r="F3119" s="337" t="s">
        <v>2348</v>
      </c>
      <c r="G3119" s="351">
        <v>4239</v>
      </c>
      <c r="H3119" s="337" t="s">
        <v>140</v>
      </c>
      <c r="I3119" s="353" t="s">
        <v>888</v>
      </c>
      <c r="J3119" s="352">
        <v>35521.199999999997</v>
      </c>
      <c r="K3119" s="353"/>
      <c r="L3119" s="352">
        <v>23.4</v>
      </c>
      <c r="M3119" s="352">
        <v>23.4</v>
      </c>
      <c r="N3119" s="354"/>
      <c r="O3119" s="355">
        <v>0.25</v>
      </c>
      <c r="P3119" s="355"/>
      <c r="Q3119" s="354">
        <v>0</v>
      </c>
      <c r="R3119" s="337" t="s">
        <v>257</v>
      </c>
      <c r="S3119" s="356" t="s">
        <v>74</v>
      </c>
      <c r="T3119" s="356">
        <v>32</v>
      </c>
      <c r="U3119" s="357" t="s">
        <v>164</v>
      </c>
      <c r="V3119" s="434"/>
      <c r="X3119" s="354">
        <v>0</v>
      </c>
      <c r="Y3119" s="354"/>
      <c r="AI3119" s="337">
        <v>0</v>
      </c>
      <c r="AJ3119" s="358"/>
      <c r="AK3119" s="369"/>
    </row>
    <row r="3120" spans="1:77" s="337" customFormat="1" ht="11.25" customHeight="1">
      <c r="B3120" s="338" t="s">
        <v>291</v>
      </c>
      <c r="C3120" s="349"/>
      <c r="D3120" s="349"/>
      <c r="E3120" s="350" t="s">
        <v>2347</v>
      </c>
      <c r="F3120" s="337" t="s">
        <v>2348</v>
      </c>
      <c r="G3120" s="351">
        <v>4239</v>
      </c>
      <c r="H3120" s="337" t="s">
        <v>99</v>
      </c>
      <c r="I3120" s="353" t="s">
        <v>888</v>
      </c>
      <c r="J3120" s="352">
        <v>61087.5</v>
      </c>
      <c r="K3120" s="353"/>
      <c r="L3120" s="352">
        <v>56.25</v>
      </c>
      <c r="M3120" s="352">
        <v>56.25</v>
      </c>
      <c r="N3120" s="354"/>
      <c r="O3120" s="355">
        <v>0.25</v>
      </c>
      <c r="P3120" s="355"/>
      <c r="Q3120" s="354">
        <v>0</v>
      </c>
      <c r="R3120" s="337" t="s">
        <v>257</v>
      </c>
      <c r="S3120" s="356" t="s">
        <v>74</v>
      </c>
      <c r="T3120" s="356">
        <v>32</v>
      </c>
      <c r="U3120" s="357" t="s">
        <v>164</v>
      </c>
      <c r="V3120" s="434"/>
      <c r="X3120" s="354">
        <v>0</v>
      </c>
      <c r="Y3120" s="354"/>
      <c r="AI3120" s="337">
        <v>0</v>
      </c>
      <c r="AJ3120" s="358"/>
      <c r="AK3120" s="369"/>
    </row>
    <row r="3121" spans="1:77" s="337" customFormat="1" ht="11.25" customHeight="1">
      <c r="B3121" s="338" t="s">
        <v>291</v>
      </c>
      <c r="C3121" s="349"/>
      <c r="D3121" s="349"/>
      <c r="E3121" s="350" t="s">
        <v>2347</v>
      </c>
      <c r="F3121" s="337" t="s">
        <v>2348</v>
      </c>
      <c r="G3121" s="351">
        <v>4239</v>
      </c>
      <c r="H3121" s="337" t="s">
        <v>183</v>
      </c>
      <c r="I3121" s="353" t="s">
        <v>888</v>
      </c>
      <c r="J3121" s="352">
        <v>4348.26</v>
      </c>
      <c r="K3121" s="353"/>
      <c r="L3121" s="352">
        <v>4.93</v>
      </c>
      <c r="M3121" s="352">
        <v>4.93</v>
      </c>
      <c r="N3121" s="354"/>
      <c r="O3121" s="355">
        <v>0.25</v>
      </c>
      <c r="P3121" s="355"/>
      <c r="Q3121" s="354">
        <v>0</v>
      </c>
      <c r="R3121" s="337" t="s">
        <v>257</v>
      </c>
      <c r="S3121" s="356" t="s">
        <v>74</v>
      </c>
      <c r="T3121" s="356">
        <v>32</v>
      </c>
      <c r="U3121" s="357" t="s">
        <v>164</v>
      </c>
      <c r="V3121" s="434"/>
      <c r="X3121" s="354">
        <v>0</v>
      </c>
      <c r="Y3121" s="354"/>
      <c r="AI3121" s="337">
        <v>0</v>
      </c>
      <c r="AJ3121" s="358"/>
      <c r="AK3121" s="369"/>
    </row>
    <row r="3122" spans="1:77" s="261" customFormat="1" ht="11.25" customHeight="1">
      <c r="B3122" s="261" t="s">
        <v>291</v>
      </c>
      <c r="C3122" s="259">
        <v>44734</v>
      </c>
      <c r="D3122" s="259">
        <v>44734</v>
      </c>
      <c r="E3122" s="260" t="s">
        <v>2349</v>
      </c>
      <c r="F3122" s="261" t="s">
        <v>1956</v>
      </c>
      <c r="G3122" s="262" t="s">
        <v>1957</v>
      </c>
      <c r="H3122" s="261" t="s">
        <v>99</v>
      </c>
      <c r="I3122" s="264" t="s">
        <v>156</v>
      </c>
      <c r="J3122" s="263">
        <v>117397.2</v>
      </c>
      <c r="K3122" s="264"/>
      <c r="L3122" s="263">
        <v>76</v>
      </c>
      <c r="M3122" s="263">
        <v>26</v>
      </c>
      <c r="N3122" s="265">
        <v>0</v>
      </c>
      <c r="O3122" s="266">
        <v>0.25</v>
      </c>
      <c r="P3122" s="266">
        <v>0.1</v>
      </c>
      <c r="Q3122" s="265">
        <v>0</v>
      </c>
      <c r="R3122" s="261" t="s">
        <v>29</v>
      </c>
      <c r="S3122" s="267" t="s">
        <v>275</v>
      </c>
      <c r="T3122" s="267">
        <v>21</v>
      </c>
      <c r="U3122" s="268" t="s">
        <v>164</v>
      </c>
      <c r="V3122" s="427"/>
      <c r="X3122" s="265">
        <v>0</v>
      </c>
      <c r="Y3122" s="265"/>
      <c r="AG3122" s="261">
        <f>X3122</f>
        <v>0</v>
      </c>
      <c r="AJ3122" s="642"/>
    </row>
    <row r="3123" spans="1:77" s="261" customFormat="1" ht="11.25" customHeight="1">
      <c r="B3123" s="261" t="s">
        <v>291</v>
      </c>
      <c r="C3123" s="259"/>
      <c r="D3123" s="259"/>
      <c r="E3123" s="260" t="s">
        <v>2349</v>
      </c>
      <c r="F3123" s="261" t="s">
        <v>1956</v>
      </c>
      <c r="G3123" s="262" t="s">
        <v>1957</v>
      </c>
      <c r="H3123" s="261" t="s">
        <v>27</v>
      </c>
      <c r="I3123" s="264" t="s">
        <v>156</v>
      </c>
      <c r="J3123" s="263">
        <v>75204.36</v>
      </c>
      <c r="K3123" s="264"/>
      <c r="L3123" s="263">
        <v>54.26</v>
      </c>
      <c r="M3123" s="263">
        <v>40</v>
      </c>
      <c r="N3123" s="265">
        <v>0</v>
      </c>
      <c r="O3123" s="266">
        <v>0.25</v>
      </c>
      <c r="P3123" s="266">
        <v>0.1</v>
      </c>
      <c r="Q3123" s="265">
        <v>0</v>
      </c>
      <c r="R3123" s="261" t="s">
        <v>29</v>
      </c>
      <c r="S3123" s="267" t="s">
        <v>275</v>
      </c>
      <c r="T3123" s="267">
        <v>21</v>
      </c>
      <c r="U3123" s="268" t="s">
        <v>164</v>
      </c>
      <c r="V3123" s="427"/>
      <c r="X3123" s="265">
        <v>0</v>
      </c>
      <c r="Y3123" s="265"/>
      <c r="AG3123" s="261">
        <f>X3123</f>
        <v>0</v>
      </c>
      <c r="AJ3123" s="642"/>
    </row>
    <row r="3124" spans="1:77" s="337" customFormat="1" ht="11.25" customHeight="1">
      <c r="B3124" s="337" t="s">
        <v>291</v>
      </c>
      <c r="C3124" s="349"/>
      <c r="D3124" s="349"/>
      <c r="E3124" s="350" t="s">
        <v>2350</v>
      </c>
      <c r="F3124" s="337" t="s">
        <v>2351</v>
      </c>
      <c r="G3124" s="351" t="s">
        <v>2352</v>
      </c>
      <c r="H3124" s="337" t="s">
        <v>1009</v>
      </c>
      <c r="I3124" s="353" t="s">
        <v>156</v>
      </c>
      <c r="J3124" s="352">
        <v>54767.48</v>
      </c>
      <c r="K3124" s="353"/>
      <c r="L3124" s="352">
        <v>22.87</v>
      </c>
      <c r="M3124" s="352">
        <v>22.87</v>
      </c>
      <c r="N3124" s="354">
        <f>14997.6+2987.64</f>
        <v>17985.240000000002</v>
      </c>
      <c r="O3124" s="355">
        <v>0.25</v>
      </c>
      <c r="P3124" s="355">
        <v>0.1</v>
      </c>
      <c r="Q3124" s="354">
        <v>12757.69</v>
      </c>
      <c r="R3124" s="337" t="s">
        <v>112</v>
      </c>
      <c r="S3124" s="356" t="s">
        <v>113</v>
      </c>
      <c r="T3124" s="356">
        <v>64</v>
      </c>
      <c r="U3124" s="357" t="s">
        <v>164</v>
      </c>
      <c r="V3124" s="434"/>
      <c r="X3124" s="354">
        <v>12757.69</v>
      </c>
      <c r="Y3124" s="354"/>
      <c r="AI3124" s="354">
        <v>12757.69</v>
      </c>
      <c r="AJ3124" s="358"/>
      <c r="AK3124" s="369"/>
    </row>
    <row r="3125" spans="1:77" s="337" customFormat="1" ht="11.25" customHeight="1">
      <c r="B3125" s="337" t="s">
        <v>291</v>
      </c>
      <c r="C3125" s="349"/>
      <c r="D3125" s="349"/>
      <c r="E3125" s="350" t="s">
        <v>2350</v>
      </c>
      <c r="F3125" s="337" t="s">
        <v>2351</v>
      </c>
      <c r="G3125" s="351" t="s">
        <v>2352</v>
      </c>
      <c r="H3125" s="337" t="s">
        <v>163</v>
      </c>
      <c r="I3125" s="353" t="s">
        <v>156</v>
      </c>
      <c r="J3125" s="352">
        <v>1000.4</v>
      </c>
      <c r="K3125" s="353"/>
      <c r="L3125" s="352">
        <v>1.41</v>
      </c>
      <c r="M3125" s="352">
        <v>1.41</v>
      </c>
      <c r="N3125" s="354">
        <f>J3125*0.15</f>
        <v>150.06</v>
      </c>
      <c r="O3125" s="355">
        <v>0.25</v>
      </c>
      <c r="P3125" s="355">
        <v>0.1</v>
      </c>
      <c r="Q3125" s="354">
        <v>253.17</v>
      </c>
      <c r="R3125" s="337" t="s">
        <v>112</v>
      </c>
      <c r="S3125" s="356" t="s">
        <v>113</v>
      </c>
      <c r="T3125" s="356">
        <v>64</v>
      </c>
      <c r="U3125" s="357" t="s">
        <v>164</v>
      </c>
      <c r="V3125" s="434"/>
      <c r="X3125" s="354">
        <v>253.17</v>
      </c>
      <c r="Y3125" s="354"/>
      <c r="AI3125" s="354">
        <v>253.17</v>
      </c>
      <c r="AJ3125" s="358"/>
      <c r="AK3125" s="369"/>
    </row>
    <row r="3126" spans="1:77" s="337" customFormat="1" ht="11.25" customHeight="1">
      <c r="B3126" s="337" t="s">
        <v>291</v>
      </c>
      <c r="C3126" s="349">
        <v>44732</v>
      </c>
      <c r="D3126" s="349">
        <v>44734</v>
      </c>
      <c r="E3126" s="350" t="s">
        <v>2350</v>
      </c>
      <c r="F3126" s="337" t="s">
        <v>2351</v>
      </c>
      <c r="G3126" s="351" t="s">
        <v>2352</v>
      </c>
      <c r="H3126" s="337" t="s">
        <v>910</v>
      </c>
      <c r="I3126" s="353" t="s">
        <v>156</v>
      </c>
      <c r="J3126" s="352">
        <v>103281.55</v>
      </c>
      <c r="K3126" s="353"/>
      <c r="L3126" s="352">
        <v>34.630000000000003</v>
      </c>
      <c r="M3126" s="352">
        <v>34.630000000000003</v>
      </c>
      <c r="N3126" s="354">
        <f>11935.68+15873.98</f>
        <v>27809.66</v>
      </c>
      <c r="O3126" s="355">
        <v>0.25</v>
      </c>
      <c r="P3126" s="355">
        <v>0.1</v>
      </c>
      <c r="Q3126" s="354">
        <v>5163.9799999999996</v>
      </c>
      <c r="R3126" s="337" t="s">
        <v>112</v>
      </c>
      <c r="S3126" s="356" t="s">
        <v>113</v>
      </c>
      <c r="T3126" s="356">
        <v>64</v>
      </c>
      <c r="U3126" s="357" t="s">
        <v>164</v>
      </c>
      <c r="V3126" s="434"/>
      <c r="X3126" s="354">
        <v>5163.9799999999996</v>
      </c>
      <c r="Y3126" s="354"/>
      <c r="AI3126" s="337">
        <v>5163.9799999999996</v>
      </c>
      <c r="AJ3126" s="358"/>
      <c r="AK3126" s="369"/>
    </row>
    <row r="3127" spans="1:77" s="337" customFormat="1" ht="11.25" customHeight="1">
      <c r="B3127" s="337" t="s">
        <v>291</v>
      </c>
      <c r="C3127" s="349">
        <v>44734</v>
      </c>
      <c r="D3127" s="349">
        <v>44734</v>
      </c>
      <c r="E3127" s="350" t="s">
        <v>2353</v>
      </c>
      <c r="F3127" s="337" t="s">
        <v>2354</v>
      </c>
      <c r="G3127" s="351" t="s">
        <v>2355</v>
      </c>
      <c r="H3127" s="337" t="s">
        <v>183</v>
      </c>
      <c r="I3127" s="353" t="s">
        <v>2356</v>
      </c>
      <c r="J3127" s="352">
        <v>10004.57</v>
      </c>
      <c r="K3127" s="353"/>
      <c r="L3127" s="352">
        <v>13.56</v>
      </c>
      <c r="M3127" s="352">
        <v>13.56</v>
      </c>
      <c r="N3127" s="354">
        <f>1357.1712</f>
        <v>1357.1712</v>
      </c>
      <c r="O3127" s="355">
        <v>0.25</v>
      </c>
      <c r="P3127" s="355">
        <v>0.1</v>
      </c>
      <c r="Q3127" s="354">
        <v>4921.6000000000004</v>
      </c>
      <c r="R3127" s="337" t="s">
        <v>285</v>
      </c>
      <c r="S3127" s="356" t="s">
        <v>275</v>
      </c>
      <c r="T3127" s="356">
        <v>21</v>
      </c>
      <c r="U3127" s="357" t="s">
        <v>164</v>
      </c>
      <c r="V3127" s="434"/>
      <c r="X3127" s="354">
        <v>4921.6000000000004</v>
      </c>
      <c r="Y3127" s="354"/>
      <c r="AI3127" s="337">
        <f>X3127</f>
        <v>4921.6000000000004</v>
      </c>
      <c r="AJ3127" s="358"/>
      <c r="AK3127" s="369"/>
    </row>
    <row r="3128" spans="1:77" s="337" customFormat="1" ht="11.25" customHeight="1">
      <c r="B3128" s="337" t="s">
        <v>291</v>
      </c>
      <c r="C3128" s="349"/>
      <c r="D3128" s="349"/>
      <c r="E3128" s="350" t="s">
        <v>2353</v>
      </c>
      <c r="F3128" s="337" t="s">
        <v>2354</v>
      </c>
      <c r="G3128" s="351" t="s">
        <v>2355</v>
      </c>
      <c r="H3128" s="337" t="s">
        <v>163</v>
      </c>
      <c r="I3128" s="353" t="s">
        <v>2356</v>
      </c>
      <c r="J3128" s="352">
        <v>5987.52</v>
      </c>
      <c r="K3128" s="353"/>
      <c r="L3128" s="352">
        <v>5</v>
      </c>
      <c r="M3128" s="352">
        <v>5</v>
      </c>
      <c r="N3128" s="354"/>
      <c r="O3128" s="355">
        <v>0.25</v>
      </c>
      <c r="P3128" s="355">
        <v>0.1</v>
      </c>
      <c r="Q3128" s="354">
        <v>1479.87</v>
      </c>
      <c r="R3128" s="337" t="s">
        <v>285</v>
      </c>
      <c r="S3128" s="356" t="s">
        <v>275</v>
      </c>
      <c r="T3128" s="356">
        <v>21</v>
      </c>
      <c r="U3128" s="357" t="s">
        <v>164</v>
      </c>
      <c r="V3128" s="434"/>
      <c r="X3128" s="354">
        <v>1479.87</v>
      </c>
      <c r="Y3128" s="354"/>
      <c r="AI3128" s="337">
        <f>X3128</f>
        <v>1479.87</v>
      </c>
      <c r="AJ3128" s="358"/>
      <c r="AK3128" s="369"/>
    </row>
    <row r="3129" spans="1:77" s="379" customFormat="1" ht="11.25" customHeight="1">
      <c r="B3129" s="379" t="s">
        <v>291</v>
      </c>
      <c r="C3129" s="381">
        <v>44734</v>
      </c>
      <c r="D3129" s="381">
        <v>44734</v>
      </c>
      <c r="E3129" s="382" t="s">
        <v>2357</v>
      </c>
      <c r="F3129" s="379" t="s">
        <v>385</v>
      </c>
      <c r="G3129" s="383">
        <v>4129</v>
      </c>
      <c r="H3129" s="379" t="s">
        <v>356</v>
      </c>
      <c r="I3129" s="384" t="s">
        <v>1168</v>
      </c>
      <c r="J3129" s="385">
        <v>10974.99</v>
      </c>
      <c r="K3129" s="384"/>
      <c r="L3129" s="385">
        <v>15.26</v>
      </c>
      <c r="M3129" s="385">
        <v>15.26</v>
      </c>
      <c r="N3129" s="386"/>
      <c r="O3129" s="387">
        <v>0.2</v>
      </c>
      <c r="P3129" s="387">
        <v>0.1</v>
      </c>
      <c r="Q3129" s="386">
        <v>0</v>
      </c>
      <c r="R3129" s="379" t="s">
        <v>77</v>
      </c>
      <c r="S3129" s="388" t="s">
        <v>41</v>
      </c>
      <c r="T3129" s="388">
        <v>86</v>
      </c>
      <c r="U3129" s="389" t="s">
        <v>164</v>
      </c>
      <c r="V3129" s="433"/>
      <c r="X3129" s="386">
        <v>0</v>
      </c>
      <c r="Y3129" s="386"/>
      <c r="AJ3129" s="390">
        <v>0</v>
      </c>
    </row>
    <row r="3130" spans="1:77" s="379" customFormat="1" ht="11.25" customHeight="1">
      <c r="B3130" s="379" t="s">
        <v>291</v>
      </c>
      <c r="C3130" s="381"/>
      <c r="D3130" s="381"/>
      <c r="E3130" s="382" t="s">
        <v>2357</v>
      </c>
      <c r="F3130" s="379" t="s">
        <v>385</v>
      </c>
      <c r="G3130" s="383">
        <v>4129</v>
      </c>
      <c r="H3130" s="379" t="s">
        <v>1015</v>
      </c>
      <c r="I3130" s="384" t="s">
        <v>1168</v>
      </c>
      <c r="J3130" s="385">
        <v>8139.32</v>
      </c>
      <c r="K3130" s="384"/>
      <c r="L3130" s="385">
        <v>7.09</v>
      </c>
      <c r="M3130" s="385">
        <v>7.09</v>
      </c>
      <c r="N3130" s="386"/>
      <c r="O3130" s="387">
        <v>0.2</v>
      </c>
      <c r="P3130" s="387">
        <v>0.1</v>
      </c>
      <c r="Q3130" s="386">
        <v>0</v>
      </c>
      <c r="R3130" s="379" t="s">
        <v>77</v>
      </c>
      <c r="S3130" s="388" t="s">
        <v>41</v>
      </c>
      <c r="T3130" s="388">
        <v>86</v>
      </c>
      <c r="U3130" s="389" t="s">
        <v>164</v>
      </c>
      <c r="V3130" s="433"/>
      <c r="X3130" s="386">
        <v>0</v>
      </c>
      <c r="Y3130" s="386"/>
      <c r="AJ3130" s="390">
        <v>0</v>
      </c>
    </row>
    <row r="3131" spans="1:77" s="379" customFormat="1" ht="11.25" customHeight="1">
      <c r="B3131" s="379" t="s">
        <v>291</v>
      </c>
      <c r="C3131" s="381"/>
      <c r="D3131" s="381"/>
      <c r="E3131" s="382" t="s">
        <v>2357</v>
      </c>
      <c r="F3131" s="379" t="s">
        <v>385</v>
      </c>
      <c r="G3131" s="383">
        <v>4129</v>
      </c>
      <c r="H3131" s="379" t="s">
        <v>528</v>
      </c>
      <c r="I3131" s="384" t="s">
        <v>1168</v>
      </c>
      <c r="J3131" s="385">
        <v>86506.559999999998</v>
      </c>
      <c r="K3131" s="384"/>
      <c r="L3131" s="385">
        <v>49.04</v>
      </c>
      <c r="M3131" s="385">
        <v>49.04</v>
      </c>
      <c r="N3131" s="386"/>
      <c r="O3131" s="387">
        <v>0.2</v>
      </c>
      <c r="P3131" s="387">
        <v>0.1</v>
      </c>
      <c r="Q3131" s="386">
        <v>26635.68</v>
      </c>
      <c r="R3131" s="379" t="s">
        <v>77</v>
      </c>
      <c r="S3131" s="388" t="s">
        <v>41</v>
      </c>
      <c r="T3131" s="388">
        <v>86</v>
      </c>
      <c r="U3131" s="389" t="s">
        <v>164</v>
      </c>
      <c r="V3131" s="433"/>
      <c r="X3131" s="386">
        <v>26635.68</v>
      </c>
      <c r="Y3131" s="386"/>
      <c r="AJ3131" s="416">
        <v>26635.68</v>
      </c>
    </row>
    <row r="3132" spans="1:77" s="379" customFormat="1" ht="11.25" customHeight="1">
      <c r="B3132" s="379" t="s">
        <v>291</v>
      </c>
      <c r="C3132" s="381"/>
      <c r="D3132" s="381"/>
      <c r="E3132" s="382" t="s">
        <v>2357</v>
      </c>
      <c r="F3132" s="379" t="s">
        <v>385</v>
      </c>
      <c r="G3132" s="383">
        <v>4129</v>
      </c>
      <c r="H3132" s="379" t="s">
        <v>192</v>
      </c>
      <c r="I3132" s="384" t="s">
        <v>1168</v>
      </c>
      <c r="J3132" s="385">
        <v>133447.07999999999</v>
      </c>
      <c r="K3132" s="384"/>
      <c r="L3132" s="385">
        <v>84.89</v>
      </c>
      <c r="M3132" s="385">
        <v>84.89</v>
      </c>
      <c r="N3132" s="386"/>
      <c r="O3132" s="387">
        <v>0.2</v>
      </c>
      <c r="P3132" s="387">
        <v>0.1</v>
      </c>
      <c r="Q3132" s="386">
        <v>21290.41</v>
      </c>
      <c r="R3132" s="379" t="s">
        <v>77</v>
      </c>
      <c r="S3132" s="388" t="s">
        <v>41</v>
      </c>
      <c r="T3132" s="388">
        <v>86</v>
      </c>
      <c r="U3132" s="389" t="s">
        <v>164</v>
      </c>
      <c r="V3132" s="433"/>
      <c r="X3132" s="386">
        <v>21290.41</v>
      </c>
      <c r="Y3132" s="386"/>
      <c r="AJ3132" s="416">
        <v>21290.41</v>
      </c>
    </row>
    <row r="3133" spans="1:77" s="379" customFormat="1" ht="11.25" customHeight="1">
      <c r="B3133" s="379" t="s">
        <v>291</v>
      </c>
      <c r="C3133" s="381"/>
      <c r="D3133" s="381"/>
      <c r="E3133" s="382" t="s">
        <v>2357</v>
      </c>
      <c r="F3133" s="379" t="s">
        <v>385</v>
      </c>
      <c r="G3133" s="383">
        <v>4129</v>
      </c>
      <c r="H3133" s="379" t="s">
        <v>134</v>
      </c>
      <c r="I3133" s="384" t="s">
        <v>1168</v>
      </c>
      <c r="J3133" s="385">
        <v>54576.34</v>
      </c>
      <c r="K3133" s="384"/>
      <c r="L3133" s="385">
        <v>40.82</v>
      </c>
      <c r="M3133" s="385">
        <v>40.82</v>
      </c>
      <c r="N3133" s="386"/>
      <c r="O3133" s="387">
        <v>0.2</v>
      </c>
      <c r="P3133" s="387">
        <v>0.1</v>
      </c>
      <c r="Q3133" s="386">
        <v>29802.68</v>
      </c>
      <c r="R3133" s="379" t="s">
        <v>77</v>
      </c>
      <c r="S3133" s="388" t="s">
        <v>41</v>
      </c>
      <c r="T3133" s="388">
        <v>86</v>
      </c>
      <c r="U3133" s="389" t="s">
        <v>164</v>
      </c>
      <c r="V3133" s="433"/>
      <c r="X3133" s="386">
        <v>29802.68</v>
      </c>
      <c r="Y3133" s="386"/>
      <c r="AJ3133" s="416">
        <v>29802.68</v>
      </c>
    </row>
    <row r="3134" spans="1:77" s="337" customFormat="1" ht="11.25" customHeight="1">
      <c r="B3134" s="337" t="s">
        <v>291</v>
      </c>
      <c r="C3134" s="349">
        <v>44732</v>
      </c>
      <c r="D3134" s="349">
        <v>44733</v>
      </c>
      <c r="E3134" s="350" t="s">
        <v>2358</v>
      </c>
      <c r="F3134" s="337" t="s">
        <v>2359</v>
      </c>
      <c r="G3134" s="351" t="s">
        <v>2360</v>
      </c>
      <c r="H3134" s="337" t="s">
        <v>866</v>
      </c>
      <c r="I3134" s="353" t="s">
        <v>156</v>
      </c>
      <c r="J3134" s="352">
        <v>53951.63</v>
      </c>
      <c r="K3134" s="353"/>
      <c r="L3134" s="352">
        <v>29.75</v>
      </c>
      <c r="M3134" s="352">
        <v>26.75</v>
      </c>
      <c r="N3134" s="354">
        <v>1028</v>
      </c>
      <c r="O3134" s="355">
        <v>0.3</v>
      </c>
      <c r="P3134" s="355">
        <v>0.1</v>
      </c>
      <c r="Q3134" s="354">
        <v>0</v>
      </c>
      <c r="R3134" s="337" t="s">
        <v>2296</v>
      </c>
      <c r="S3134" s="356" t="s">
        <v>113</v>
      </c>
      <c r="T3134" s="356">
        <v>64</v>
      </c>
      <c r="U3134" s="357" t="s">
        <v>164</v>
      </c>
      <c r="V3134" s="434"/>
      <c r="X3134" s="354">
        <v>0</v>
      </c>
      <c r="Y3134" s="354"/>
      <c r="AI3134" s="337">
        <v>0</v>
      </c>
      <c r="AJ3134" s="358"/>
      <c r="AK3134" s="369"/>
    </row>
    <row r="3135" spans="1:77" s="261" customFormat="1" ht="11.25" customHeight="1">
      <c r="A3135" s="379"/>
      <c r="B3135" s="379" t="s">
        <v>291</v>
      </c>
      <c r="C3135" s="381"/>
      <c r="D3135" s="381"/>
      <c r="E3135" s="382" t="s">
        <v>2361</v>
      </c>
      <c r="F3135" s="379" t="s">
        <v>2362</v>
      </c>
      <c r="G3135" s="383" t="s">
        <v>2363</v>
      </c>
      <c r="H3135" s="379" t="s">
        <v>866</v>
      </c>
      <c r="I3135" s="384" t="s">
        <v>156</v>
      </c>
      <c r="J3135" s="385">
        <v>14505</v>
      </c>
      <c r="K3135" s="384"/>
      <c r="L3135" s="385">
        <v>10</v>
      </c>
      <c r="M3135" s="385">
        <v>10</v>
      </c>
      <c r="N3135" s="386">
        <v>0</v>
      </c>
      <c r="O3135" s="387">
        <v>0.25</v>
      </c>
      <c r="P3135" s="387">
        <v>0.1</v>
      </c>
      <c r="Q3135" s="386">
        <v>0</v>
      </c>
      <c r="R3135" s="379" t="s">
        <v>112</v>
      </c>
      <c r="S3135" s="388" t="s">
        <v>113</v>
      </c>
      <c r="T3135" s="388">
        <v>64</v>
      </c>
      <c r="U3135" s="389" t="s">
        <v>164</v>
      </c>
      <c r="V3135" s="433"/>
      <c r="W3135" s="379"/>
      <c r="X3135" s="386">
        <v>0</v>
      </c>
      <c r="Y3135" s="386"/>
      <c r="Z3135" s="379"/>
      <c r="AA3135" s="379"/>
      <c r="AB3135" s="379"/>
      <c r="AC3135" s="379"/>
      <c r="AD3135" s="379"/>
      <c r="AE3135" s="379"/>
      <c r="AF3135" s="379"/>
      <c r="AG3135" s="379"/>
      <c r="AH3135" s="379"/>
      <c r="AI3135" s="379"/>
      <c r="AJ3135" s="390">
        <v>0</v>
      </c>
      <c r="AK3135" s="379"/>
      <c r="AL3135" s="379"/>
      <c r="AM3135" s="379"/>
      <c r="AN3135" s="379"/>
      <c r="AO3135" s="379"/>
      <c r="AP3135" s="379"/>
      <c r="AQ3135" s="379"/>
      <c r="AR3135" s="379"/>
      <c r="AS3135" s="379"/>
      <c r="AT3135" s="379"/>
      <c r="AU3135" s="379"/>
      <c r="AV3135" s="379"/>
      <c r="AW3135" s="379"/>
      <c r="AX3135" s="379"/>
      <c r="AY3135" s="379"/>
      <c r="AZ3135" s="379"/>
      <c r="BA3135" s="379"/>
      <c r="BB3135" s="379"/>
      <c r="BC3135" s="379"/>
      <c r="BD3135" s="379"/>
      <c r="BE3135" s="379"/>
      <c r="BF3135" s="379"/>
      <c r="BG3135" s="379"/>
      <c r="BH3135" s="379"/>
      <c r="BI3135" s="379"/>
      <c r="BJ3135" s="379"/>
      <c r="BK3135" s="379"/>
      <c r="BL3135" s="379"/>
      <c r="BM3135" s="379"/>
      <c r="BN3135" s="379"/>
      <c r="BO3135" s="379"/>
      <c r="BP3135" s="379"/>
      <c r="BQ3135" s="379"/>
      <c r="BR3135" s="379"/>
      <c r="BS3135" s="379"/>
      <c r="BT3135" s="379"/>
      <c r="BU3135" s="379"/>
      <c r="BV3135" s="379"/>
      <c r="BW3135" s="379"/>
      <c r="BX3135" s="379"/>
      <c r="BY3135" s="379"/>
    </row>
    <row r="3136" spans="1:77" s="379" customFormat="1" ht="11.25" customHeight="1">
      <c r="B3136" s="379" t="s">
        <v>291</v>
      </c>
      <c r="C3136" s="381"/>
      <c r="D3136" s="381"/>
      <c r="E3136" s="382" t="s">
        <v>2361</v>
      </c>
      <c r="F3136" s="379" t="s">
        <v>2362</v>
      </c>
      <c r="G3136" s="383" t="s">
        <v>2363</v>
      </c>
      <c r="H3136" s="379" t="s">
        <v>814</v>
      </c>
      <c r="I3136" s="384" t="s">
        <v>156</v>
      </c>
      <c r="J3136" s="385">
        <v>4528</v>
      </c>
      <c r="K3136" s="384"/>
      <c r="L3136" s="385">
        <v>5</v>
      </c>
      <c r="M3136" s="385">
        <v>5</v>
      </c>
      <c r="N3136" s="386"/>
      <c r="O3136" s="387">
        <v>0.25</v>
      </c>
      <c r="P3136" s="387">
        <v>0.1</v>
      </c>
      <c r="Q3136" s="386">
        <v>0</v>
      </c>
      <c r="R3136" s="379" t="s">
        <v>112</v>
      </c>
      <c r="S3136" s="388" t="s">
        <v>113</v>
      </c>
      <c r="T3136" s="388">
        <v>64</v>
      </c>
      <c r="U3136" s="389" t="s">
        <v>164</v>
      </c>
      <c r="V3136" s="433"/>
      <c r="X3136" s="386">
        <v>0</v>
      </c>
      <c r="Y3136" s="386"/>
      <c r="AJ3136" s="390">
        <v>0</v>
      </c>
    </row>
    <row r="3137" spans="1:37" s="261" customFormat="1" ht="11.25" customHeight="1">
      <c r="B3137" s="261" t="s">
        <v>291</v>
      </c>
      <c r="C3137" s="259">
        <v>44732</v>
      </c>
      <c r="D3137" s="259">
        <v>44734</v>
      </c>
      <c r="E3137" s="260" t="s">
        <v>2361</v>
      </c>
      <c r="F3137" s="261" t="s">
        <v>2362</v>
      </c>
      <c r="G3137" s="262" t="s">
        <v>2363</v>
      </c>
      <c r="H3137" s="261" t="s">
        <v>910</v>
      </c>
      <c r="I3137" s="264" t="s">
        <v>156</v>
      </c>
      <c r="J3137" s="263">
        <v>71982</v>
      </c>
      <c r="K3137" s="264"/>
      <c r="L3137" s="263">
        <v>36</v>
      </c>
      <c r="M3137" s="263">
        <v>36</v>
      </c>
      <c r="N3137" s="265"/>
      <c r="O3137" s="266">
        <v>0.25</v>
      </c>
      <c r="P3137" s="266">
        <v>0.1</v>
      </c>
      <c r="Q3137" s="265">
        <v>0</v>
      </c>
      <c r="R3137" s="261" t="s">
        <v>112</v>
      </c>
      <c r="S3137" s="267" t="s">
        <v>113</v>
      </c>
      <c r="T3137" s="267">
        <v>64</v>
      </c>
      <c r="U3137" s="268" t="s">
        <v>164</v>
      </c>
      <c r="V3137" s="427"/>
      <c r="W3137" s="261" t="s">
        <v>3808</v>
      </c>
      <c r="X3137" s="265">
        <v>0</v>
      </c>
      <c r="Y3137" s="265"/>
      <c r="AG3137" s="261">
        <f>X3137</f>
        <v>0</v>
      </c>
      <c r="AJ3137" s="642"/>
    </row>
    <row r="3138" spans="1:37" s="337" customFormat="1" ht="11.25" customHeight="1">
      <c r="B3138" s="337" t="s">
        <v>291</v>
      </c>
      <c r="C3138" s="349">
        <v>44733</v>
      </c>
      <c r="D3138" s="349">
        <v>44734</v>
      </c>
      <c r="E3138" s="350" t="s">
        <v>2364</v>
      </c>
      <c r="F3138" s="337" t="s">
        <v>893</v>
      </c>
      <c r="G3138" s="351" t="s">
        <v>894</v>
      </c>
      <c r="H3138" s="337" t="s">
        <v>765</v>
      </c>
      <c r="I3138" s="353" t="s">
        <v>156</v>
      </c>
      <c r="J3138" s="352">
        <v>11165.36</v>
      </c>
      <c r="K3138" s="353"/>
      <c r="L3138" s="352">
        <v>8</v>
      </c>
      <c r="M3138" s="352">
        <v>8</v>
      </c>
      <c r="N3138" s="354">
        <f>586.18+1877.86</f>
        <v>2464.04</v>
      </c>
      <c r="O3138" s="355">
        <v>0.25</v>
      </c>
      <c r="P3138" s="355">
        <v>0.1</v>
      </c>
      <c r="Q3138" s="354">
        <v>1694.99</v>
      </c>
      <c r="R3138" s="337" t="s">
        <v>112</v>
      </c>
      <c r="S3138" s="356" t="s">
        <v>113</v>
      </c>
      <c r="T3138" s="356">
        <v>64</v>
      </c>
      <c r="U3138" s="357" t="s">
        <v>164</v>
      </c>
      <c r="V3138" s="434"/>
      <c r="X3138" s="354">
        <v>1694.99</v>
      </c>
      <c r="Y3138" s="354"/>
      <c r="AI3138" s="354">
        <v>1694.99</v>
      </c>
      <c r="AJ3138" s="358"/>
      <c r="AK3138" s="369"/>
    </row>
    <row r="3139" spans="1:37" s="473" customFormat="1" ht="11.25" customHeight="1">
      <c r="B3139" s="473" t="s">
        <v>291</v>
      </c>
      <c r="C3139" s="487">
        <v>44730</v>
      </c>
      <c r="D3139" s="487">
        <v>44730</v>
      </c>
      <c r="E3139" s="488" t="s">
        <v>2365</v>
      </c>
      <c r="F3139" s="473" t="s">
        <v>2366</v>
      </c>
      <c r="G3139" s="489">
        <v>4332</v>
      </c>
      <c r="H3139" s="473" t="s">
        <v>765</v>
      </c>
      <c r="I3139" s="491" t="s">
        <v>33</v>
      </c>
      <c r="J3139" s="490">
        <v>26386.93</v>
      </c>
      <c r="K3139" s="491"/>
      <c r="L3139" s="490">
        <v>30.59</v>
      </c>
      <c r="M3139" s="490">
        <v>30.59</v>
      </c>
      <c r="N3139" s="492"/>
      <c r="O3139" s="493">
        <v>0.25</v>
      </c>
      <c r="P3139" s="493"/>
      <c r="Q3139" s="492">
        <v>4969.3500000000004</v>
      </c>
      <c r="R3139" s="473" t="s">
        <v>35</v>
      </c>
      <c r="S3139" s="481" t="s">
        <v>41</v>
      </c>
      <c r="T3139" s="481">
        <v>86</v>
      </c>
      <c r="U3139" s="494" t="s">
        <v>164</v>
      </c>
      <c r="V3139" s="495"/>
      <c r="X3139" s="492">
        <v>4969.3500000000004</v>
      </c>
      <c r="Y3139" s="492"/>
      <c r="AJ3139" s="485"/>
      <c r="AK3139" s="505">
        <v>4969.3500000000004</v>
      </c>
    </row>
    <row r="3140" spans="1:37" s="473" customFormat="1" ht="11.25" customHeight="1">
      <c r="B3140" s="473" t="s">
        <v>291</v>
      </c>
      <c r="C3140" s="487"/>
      <c r="D3140" s="487"/>
      <c r="E3140" s="488" t="s">
        <v>2365</v>
      </c>
      <c r="F3140" s="473" t="s">
        <v>2366</v>
      </c>
      <c r="G3140" s="489">
        <v>4332</v>
      </c>
      <c r="H3140" s="473" t="s">
        <v>866</v>
      </c>
      <c r="I3140" s="491" t="s">
        <v>33</v>
      </c>
      <c r="J3140" s="490">
        <v>7689.12</v>
      </c>
      <c r="K3140" s="491"/>
      <c r="L3140" s="490">
        <v>8.3000000000000007</v>
      </c>
      <c r="M3140" s="490">
        <v>8.3000000000000007</v>
      </c>
      <c r="N3140" s="492"/>
      <c r="O3140" s="493">
        <v>0.25</v>
      </c>
      <c r="P3140" s="493"/>
      <c r="Q3140" s="492">
        <v>3571.66</v>
      </c>
      <c r="R3140" s="473" t="s">
        <v>35</v>
      </c>
      <c r="S3140" s="481" t="s">
        <v>41</v>
      </c>
      <c r="T3140" s="481">
        <v>86</v>
      </c>
      <c r="U3140" s="494" t="s">
        <v>164</v>
      </c>
      <c r="V3140" s="495"/>
      <c r="X3140" s="492">
        <v>3571.66</v>
      </c>
      <c r="Y3140" s="492"/>
      <c r="AJ3140" s="485"/>
      <c r="AK3140" s="505">
        <v>3571.66</v>
      </c>
    </row>
    <row r="3141" spans="1:37" s="337" customFormat="1" ht="11.25" customHeight="1">
      <c r="A3141" s="337" t="s">
        <v>3893</v>
      </c>
      <c r="B3141" s="337" t="s">
        <v>291</v>
      </c>
      <c r="C3141" s="349"/>
      <c r="D3141" s="349"/>
      <c r="E3141" s="350" t="s">
        <v>2367</v>
      </c>
      <c r="F3141" s="337" t="s">
        <v>1343</v>
      </c>
      <c r="G3141" s="351">
        <v>4336</v>
      </c>
      <c r="H3141" s="337" t="s">
        <v>99</v>
      </c>
      <c r="I3141" s="353" t="s">
        <v>819</v>
      </c>
      <c r="J3141" s="352">
        <v>29208.7</v>
      </c>
      <c r="K3141" s="353"/>
      <c r="L3141" s="352">
        <v>34.74</v>
      </c>
      <c r="M3141" s="352">
        <v>34.74</v>
      </c>
      <c r="N3141" s="354"/>
      <c r="O3141" s="355">
        <v>0.25</v>
      </c>
      <c r="P3141" s="355">
        <v>0.1</v>
      </c>
      <c r="Q3141" s="354">
        <v>4964.28</v>
      </c>
      <c r="R3141" s="337" t="s">
        <v>35</v>
      </c>
      <c r="S3141" s="356" t="s">
        <v>41</v>
      </c>
      <c r="T3141" s="356">
        <v>16</v>
      </c>
      <c r="U3141" s="357" t="s">
        <v>164</v>
      </c>
      <c r="V3141" s="434"/>
      <c r="X3141" s="354">
        <v>4964.28</v>
      </c>
      <c r="Y3141" s="354"/>
      <c r="AI3141" s="337">
        <f>X3141</f>
        <v>4964.28</v>
      </c>
      <c r="AJ3141" s="358"/>
      <c r="AK3141" s="369"/>
    </row>
    <row r="3142" spans="1:37" s="291" customFormat="1" ht="11.25" customHeight="1">
      <c r="B3142" s="291" t="s">
        <v>291</v>
      </c>
      <c r="C3142" s="292">
        <v>44732</v>
      </c>
      <c r="D3142" s="292">
        <v>44734</v>
      </c>
      <c r="E3142" s="293" t="s">
        <v>2367</v>
      </c>
      <c r="F3142" s="291" t="s">
        <v>1343</v>
      </c>
      <c r="G3142" s="294">
        <v>4336</v>
      </c>
      <c r="H3142" s="291" t="s">
        <v>866</v>
      </c>
      <c r="I3142" s="295" t="s">
        <v>819</v>
      </c>
      <c r="J3142" s="296">
        <v>10425.07</v>
      </c>
      <c r="K3142" s="295"/>
      <c r="L3142" s="296">
        <v>11.36</v>
      </c>
      <c r="M3142" s="296">
        <v>11.35</v>
      </c>
      <c r="N3142" s="297"/>
      <c r="O3142" s="298">
        <v>0.25</v>
      </c>
      <c r="P3142" s="298">
        <v>0.1</v>
      </c>
      <c r="Q3142" s="297">
        <v>0</v>
      </c>
      <c r="R3142" s="291" t="s">
        <v>35</v>
      </c>
      <c r="S3142" s="299" t="s">
        <v>41</v>
      </c>
      <c r="T3142" s="299">
        <v>16</v>
      </c>
      <c r="U3142" s="300" t="s">
        <v>164</v>
      </c>
      <c r="V3142" s="333"/>
      <c r="X3142" s="297">
        <v>0</v>
      </c>
      <c r="Y3142" s="297"/>
      <c r="AH3142" s="291">
        <f>X3142</f>
        <v>0</v>
      </c>
      <c r="AI3142" s="311"/>
      <c r="AJ3142" s="468"/>
    </row>
    <row r="3143" spans="1:37" s="291" customFormat="1" ht="11.25" customHeight="1">
      <c r="B3143" s="291" t="s">
        <v>291</v>
      </c>
      <c r="C3143" s="292"/>
      <c r="D3143" s="292"/>
      <c r="E3143" s="293" t="s">
        <v>2367</v>
      </c>
      <c r="F3143" s="291" t="s">
        <v>1343</v>
      </c>
      <c r="G3143" s="294">
        <v>4336</v>
      </c>
      <c r="H3143" s="291" t="s">
        <v>765</v>
      </c>
      <c r="I3143" s="295" t="s">
        <v>819</v>
      </c>
      <c r="J3143" s="296">
        <v>20146.02</v>
      </c>
      <c r="K3143" s="295"/>
      <c r="L3143" s="296">
        <v>26.62</v>
      </c>
      <c r="M3143" s="296">
        <v>26.62</v>
      </c>
      <c r="N3143" s="297"/>
      <c r="O3143" s="298">
        <v>0.25</v>
      </c>
      <c r="P3143" s="298">
        <v>0.1</v>
      </c>
      <c r="Q3143" s="297">
        <v>0</v>
      </c>
      <c r="R3143" s="291" t="s">
        <v>35</v>
      </c>
      <c r="S3143" s="299" t="s">
        <v>41</v>
      </c>
      <c r="T3143" s="299">
        <v>16</v>
      </c>
      <c r="U3143" s="300" t="s">
        <v>164</v>
      </c>
      <c r="V3143" s="333"/>
      <c r="X3143" s="297">
        <v>0</v>
      </c>
      <c r="Y3143" s="297"/>
      <c r="AH3143" s="291">
        <f>X3143</f>
        <v>0</v>
      </c>
      <c r="AI3143" s="311"/>
      <c r="AJ3143" s="468"/>
    </row>
    <row r="3144" spans="1:37" s="337" customFormat="1" ht="11.25" customHeight="1">
      <c r="A3144" s="337" t="s">
        <v>3893</v>
      </c>
      <c r="B3144" s="337" t="s">
        <v>291</v>
      </c>
      <c r="C3144" s="349"/>
      <c r="D3144" s="349"/>
      <c r="E3144" s="350" t="s">
        <v>2367</v>
      </c>
      <c r="F3144" s="337" t="s">
        <v>1343</v>
      </c>
      <c r="G3144" s="351">
        <v>4336</v>
      </c>
      <c r="H3144" s="337" t="s">
        <v>27</v>
      </c>
      <c r="I3144" s="353" t="s">
        <v>819</v>
      </c>
      <c r="J3144" s="352">
        <v>15014.54</v>
      </c>
      <c r="K3144" s="353"/>
      <c r="L3144" s="352">
        <v>12.2</v>
      </c>
      <c r="M3144" s="352">
        <v>12.2</v>
      </c>
      <c r="N3144" s="354"/>
      <c r="O3144" s="355">
        <v>0.25</v>
      </c>
      <c r="P3144" s="355">
        <v>0.1</v>
      </c>
      <c r="Q3144" s="354">
        <v>4581.8599999999997</v>
      </c>
      <c r="R3144" s="337" t="s">
        <v>35</v>
      </c>
      <c r="S3144" s="356" t="s">
        <v>41</v>
      </c>
      <c r="T3144" s="356">
        <v>16</v>
      </c>
      <c r="U3144" s="357" t="s">
        <v>164</v>
      </c>
      <c r="V3144" s="434"/>
      <c r="X3144" s="354">
        <v>4581.8599999999997</v>
      </c>
      <c r="Y3144" s="354"/>
      <c r="AI3144" s="354">
        <v>4581.8599999999997</v>
      </c>
      <c r="AJ3144" s="358"/>
      <c r="AK3144" s="369"/>
    </row>
    <row r="3145" spans="1:37" s="379" customFormat="1" ht="11.25" customHeight="1">
      <c r="B3145" s="379" t="s">
        <v>291</v>
      </c>
      <c r="C3145" s="381"/>
      <c r="D3145" s="381"/>
      <c r="E3145" s="382" t="s">
        <v>2367</v>
      </c>
      <c r="F3145" s="379" t="s">
        <v>1343</v>
      </c>
      <c r="G3145" s="383">
        <v>4336</v>
      </c>
      <c r="H3145" s="379" t="s">
        <v>295</v>
      </c>
      <c r="I3145" s="384" t="s">
        <v>819</v>
      </c>
      <c r="J3145" s="385">
        <v>9719.23</v>
      </c>
      <c r="K3145" s="384"/>
      <c r="L3145" s="385">
        <v>13.28</v>
      </c>
      <c r="M3145" s="385">
        <v>13.28</v>
      </c>
      <c r="N3145" s="386"/>
      <c r="O3145" s="387">
        <v>0.25</v>
      </c>
      <c r="P3145" s="387">
        <v>0.1</v>
      </c>
      <c r="Q3145" s="386">
        <v>2427.64</v>
      </c>
      <c r="R3145" s="379" t="s">
        <v>35</v>
      </c>
      <c r="S3145" s="388" t="s">
        <v>41</v>
      </c>
      <c r="T3145" s="388">
        <v>16</v>
      </c>
      <c r="U3145" s="389" t="s">
        <v>164</v>
      </c>
      <c r="V3145" s="433"/>
      <c r="X3145" s="386">
        <v>2427.64</v>
      </c>
      <c r="Y3145" s="386"/>
      <c r="AJ3145" s="416">
        <v>2427.64</v>
      </c>
    </row>
    <row r="3146" spans="1:37" s="337" customFormat="1" ht="11.25" customHeight="1">
      <c r="B3146" s="338" t="s">
        <v>290</v>
      </c>
      <c r="C3146" s="349"/>
      <c r="D3146" s="349"/>
      <c r="E3146" s="350" t="s">
        <v>2368</v>
      </c>
      <c r="F3146" s="337" t="s">
        <v>1127</v>
      </c>
      <c r="G3146" s="351" t="s">
        <v>1128</v>
      </c>
      <c r="H3146" s="337" t="s">
        <v>866</v>
      </c>
      <c r="I3146" s="353" t="s">
        <v>156</v>
      </c>
      <c r="J3146" s="352">
        <v>56285.46</v>
      </c>
      <c r="K3146" s="353"/>
      <c r="L3146" s="352">
        <v>27.51</v>
      </c>
      <c r="M3146" s="352">
        <v>4</v>
      </c>
      <c r="N3146" s="354">
        <f>1043.4</f>
        <v>1043.4000000000001</v>
      </c>
      <c r="O3146" s="355">
        <v>0.3</v>
      </c>
      <c r="P3146" s="355">
        <v>0.05</v>
      </c>
      <c r="Q3146" s="354">
        <v>3234.51</v>
      </c>
      <c r="R3146" s="337" t="s">
        <v>112</v>
      </c>
      <c r="S3146" s="356" t="s">
        <v>113</v>
      </c>
      <c r="T3146" s="356">
        <v>64</v>
      </c>
      <c r="U3146" s="357" t="s">
        <v>164</v>
      </c>
      <c r="V3146" s="434"/>
      <c r="X3146" s="354">
        <v>3234.51</v>
      </c>
      <c r="Y3146" s="354"/>
      <c r="AI3146" s="354">
        <v>3234.51</v>
      </c>
      <c r="AJ3146" s="358"/>
      <c r="AK3146" s="369"/>
    </row>
    <row r="3147" spans="1:37" s="291" customFormat="1" ht="11.25" customHeight="1">
      <c r="B3147" s="310" t="s">
        <v>290</v>
      </c>
      <c r="C3147" s="292">
        <v>44734</v>
      </c>
      <c r="D3147" s="292">
        <v>44734</v>
      </c>
      <c r="E3147" s="293" t="s">
        <v>2368</v>
      </c>
      <c r="F3147" s="291" t="s">
        <v>1127</v>
      </c>
      <c r="G3147" s="294" t="s">
        <v>1128</v>
      </c>
      <c r="H3147" s="291" t="s">
        <v>765</v>
      </c>
      <c r="I3147" s="295" t="s">
        <v>156</v>
      </c>
      <c r="J3147" s="296">
        <v>3797.5</v>
      </c>
      <c r="K3147" s="295"/>
      <c r="L3147" s="296">
        <v>4.34</v>
      </c>
      <c r="M3147" s="296">
        <v>2.2000000000000002</v>
      </c>
      <c r="N3147" s="297">
        <v>231</v>
      </c>
      <c r="O3147" s="298">
        <v>0.3</v>
      </c>
      <c r="P3147" s="298">
        <v>0.05</v>
      </c>
      <c r="Q3147" s="297">
        <v>0</v>
      </c>
      <c r="R3147" s="291" t="s">
        <v>112</v>
      </c>
      <c r="S3147" s="299" t="s">
        <v>113</v>
      </c>
      <c r="T3147" s="299">
        <v>64</v>
      </c>
      <c r="U3147" s="300" t="s">
        <v>164</v>
      </c>
      <c r="V3147" s="333"/>
      <c r="X3147" s="297">
        <v>0</v>
      </c>
      <c r="Y3147" s="297"/>
      <c r="AH3147" s="291">
        <f>X3147</f>
        <v>0</v>
      </c>
      <c r="AI3147" s="311"/>
      <c r="AJ3147" s="468"/>
    </row>
    <row r="3148" spans="1:37" s="337" customFormat="1" ht="11.25" customHeight="1">
      <c r="B3148" s="337" t="s">
        <v>291</v>
      </c>
      <c r="C3148" s="349">
        <v>44732</v>
      </c>
      <c r="D3148" s="349">
        <v>44734</v>
      </c>
      <c r="E3148" s="350" t="s">
        <v>2369</v>
      </c>
      <c r="F3148" s="337" t="s">
        <v>2370</v>
      </c>
      <c r="G3148" s="351">
        <v>3804</v>
      </c>
      <c r="H3148" s="337" t="s">
        <v>910</v>
      </c>
      <c r="I3148" s="353" t="s">
        <v>156</v>
      </c>
      <c r="J3148" s="352">
        <v>25505.51</v>
      </c>
      <c r="K3148" s="353"/>
      <c r="L3148" s="352">
        <v>13.11</v>
      </c>
      <c r="M3148" s="352">
        <v>13.11</v>
      </c>
      <c r="N3148" s="354">
        <f>4590.99</f>
        <v>4590.99</v>
      </c>
      <c r="O3148" s="355">
        <v>0.2</v>
      </c>
      <c r="P3148" s="355">
        <v>0.1</v>
      </c>
      <c r="Q3148" s="354">
        <v>2011.73</v>
      </c>
      <c r="R3148" s="337" t="s">
        <v>112</v>
      </c>
      <c r="S3148" s="356" t="s">
        <v>113</v>
      </c>
      <c r="T3148" s="356">
        <v>64</v>
      </c>
      <c r="U3148" s="357" t="s">
        <v>164</v>
      </c>
      <c r="V3148" s="434"/>
      <c r="X3148" s="354">
        <v>2011.73</v>
      </c>
      <c r="Y3148" s="354"/>
      <c r="AI3148" s="354">
        <v>2011.73</v>
      </c>
      <c r="AJ3148" s="358"/>
      <c r="AK3148" s="369"/>
    </row>
    <row r="3149" spans="1:37" s="205" customFormat="1" ht="11.25" customHeight="1">
      <c r="B3149" s="205" t="s">
        <v>291</v>
      </c>
      <c r="C3149" s="207">
        <v>44733</v>
      </c>
      <c r="D3149" s="207">
        <v>44734</v>
      </c>
      <c r="E3149" s="208" t="s">
        <v>2371</v>
      </c>
      <c r="F3149" s="205" t="s">
        <v>2372</v>
      </c>
      <c r="G3149" s="209" t="s">
        <v>2373</v>
      </c>
      <c r="H3149" s="205" t="s">
        <v>866</v>
      </c>
      <c r="I3149" s="219" t="s">
        <v>888</v>
      </c>
      <c r="J3149" s="210">
        <v>47388</v>
      </c>
      <c r="K3149" s="219"/>
      <c r="L3149" s="210">
        <v>22</v>
      </c>
      <c r="M3149" s="210">
        <v>22</v>
      </c>
      <c r="N3149" s="213"/>
      <c r="O3149" s="212">
        <v>0.15</v>
      </c>
      <c r="P3149" s="212"/>
      <c r="Q3149" s="213">
        <v>0</v>
      </c>
      <c r="R3149" s="205" t="s">
        <v>112</v>
      </c>
      <c r="S3149" s="214" t="s">
        <v>113</v>
      </c>
      <c r="T3149" s="214">
        <v>64</v>
      </c>
      <c r="U3149" s="215" t="s">
        <v>164</v>
      </c>
      <c r="V3149" s="438"/>
      <c r="W3149" s="205" t="s">
        <v>2923</v>
      </c>
      <c r="X3149" s="213">
        <v>0</v>
      </c>
      <c r="Y3149" s="213"/>
      <c r="AF3149" s="230">
        <f>X3149</f>
        <v>0</v>
      </c>
      <c r="AJ3149" s="216"/>
    </row>
    <row r="3150" spans="1:37" s="181" customFormat="1" ht="11.25" customHeight="1">
      <c r="B3150" s="181" t="s">
        <v>291</v>
      </c>
      <c r="C3150" s="179">
        <v>44733</v>
      </c>
      <c r="D3150" s="179">
        <v>44734</v>
      </c>
      <c r="E3150" s="180" t="s">
        <v>2374</v>
      </c>
      <c r="F3150" s="181" t="s">
        <v>2834</v>
      </c>
      <c r="G3150" s="182" t="s">
        <v>2375</v>
      </c>
      <c r="H3150" s="181" t="s">
        <v>910</v>
      </c>
      <c r="I3150" s="190" t="s">
        <v>33</v>
      </c>
      <c r="J3150" s="183">
        <v>25300</v>
      </c>
      <c r="K3150" s="190"/>
      <c r="L3150" s="183">
        <v>11</v>
      </c>
      <c r="M3150" s="183">
        <v>12</v>
      </c>
      <c r="N3150" s="185"/>
      <c r="O3150" s="186">
        <v>0.15</v>
      </c>
      <c r="P3150" s="186"/>
      <c r="Q3150" s="185">
        <v>0</v>
      </c>
      <c r="R3150" s="181" t="s">
        <v>112</v>
      </c>
      <c r="S3150" s="187" t="s">
        <v>113</v>
      </c>
      <c r="T3150" s="187">
        <v>64</v>
      </c>
      <c r="U3150" s="188" t="s">
        <v>164</v>
      </c>
      <c r="V3150" s="441"/>
      <c r="X3150" s="185">
        <v>0</v>
      </c>
      <c r="Y3150" s="185"/>
      <c r="AE3150" s="204">
        <f>X3150</f>
        <v>0</v>
      </c>
      <c r="AJ3150" s="189"/>
    </row>
    <row r="3151" spans="1:37" s="205" customFormat="1" ht="11.25" customHeight="1">
      <c r="B3151" s="205" t="s">
        <v>291</v>
      </c>
      <c r="C3151" s="207"/>
      <c r="D3151" s="207"/>
      <c r="E3151" s="208" t="s">
        <v>2374</v>
      </c>
      <c r="F3151" s="205" t="s">
        <v>2834</v>
      </c>
      <c r="G3151" s="209" t="s">
        <v>2375</v>
      </c>
      <c r="H3151" s="205" t="s">
        <v>866</v>
      </c>
      <c r="I3151" s="219" t="s">
        <v>33</v>
      </c>
      <c r="J3151" s="210">
        <v>108834</v>
      </c>
      <c r="K3151" s="219"/>
      <c r="L3151" s="210">
        <v>51</v>
      </c>
      <c r="M3151" s="210">
        <v>50</v>
      </c>
      <c r="N3151" s="213">
        <v>21019.9</v>
      </c>
      <c r="O3151" s="212">
        <v>0.15</v>
      </c>
      <c r="P3151" s="212"/>
      <c r="Q3151" s="213">
        <v>0</v>
      </c>
      <c r="R3151" s="205" t="s">
        <v>112</v>
      </c>
      <c r="S3151" s="214" t="s">
        <v>113</v>
      </c>
      <c r="T3151" s="214">
        <v>64</v>
      </c>
      <c r="U3151" s="215" t="s">
        <v>164</v>
      </c>
      <c r="V3151" s="438"/>
      <c r="W3151" s="205" t="s">
        <v>2924</v>
      </c>
      <c r="X3151" s="213">
        <v>0</v>
      </c>
      <c r="Y3151" s="213"/>
      <c r="AF3151" s="230">
        <f>X3151</f>
        <v>0</v>
      </c>
      <c r="AJ3151" s="216"/>
    </row>
    <row r="3152" spans="1:37" s="379" customFormat="1" ht="11.25" customHeight="1">
      <c r="B3152" s="379" t="s">
        <v>291</v>
      </c>
      <c r="C3152" s="381">
        <v>44733</v>
      </c>
      <c r="D3152" s="381">
        <v>44734</v>
      </c>
      <c r="E3152" s="382" t="s">
        <v>2376</v>
      </c>
      <c r="F3152" s="379" t="s">
        <v>3771</v>
      </c>
      <c r="G3152" s="383" t="s">
        <v>1802</v>
      </c>
      <c r="H3152" s="379" t="s">
        <v>866</v>
      </c>
      <c r="I3152" s="384" t="s">
        <v>156</v>
      </c>
      <c r="J3152" s="385">
        <v>81210.899999999994</v>
      </c>
      <c r="K3152" s="384"/>
      <c r="L3152" s="385">
        <v>32.15</v>
      </c>
      <c r="M3152" s="385">
        <v>32.15</v>
      </c>
      <c r="N3152" s="386">
        <f>26927.16+19989.5</f>
        <v>46916.66</v>
      </c>
      <c r="O3152" s="387">
        <v>0.25</v>
      </c>
      <c r="P3152" s="387">
        <v>0.1</v>
      </c>
      <c r="Q3152" s="386">
        <v>28478.61</v>
      </c>
      <c r="R3152" s="379" t="s">
        <v>112</v>
      </c>
      <c r="S3152" s="388" t="s">
        <v>113</v>
      </c>
      <c r="T3152" s="388">
        <v>64</v>
      </c>
      <c r="U3152" s="389" t="s">
        <v>164</v>
      </c>
      <c r="V3152" s="433"/>
      <c r="X3152" s="386">
        <v>28478.61</v>
      </c>
      <c r="Y3152" s="386"/>
      <c r="AJ3152" s="416">
        <v>28478.61</v>
      </c>
    </row>
    <row r="3153" spans="1:77" s="337" customFormat="1" ht="11.25" customHeight="1">
      <c r="B3153" s="337" t="s">
        <v>291</v>
      </c>
      <c r="C3153" s="349"/>
      <c r="D3153" s="349"/>
      <c r="E3153" s="350" t="s">
        <v>2376</v>
      </c>
      <c r="F3153" s="337" t="s">
        <v>3771</v>
      </c>
      <c r="G3153" s="351" t="s">
        <v>1802</v>
      </c>
      <c r="H3153" s="337" t="s">
        <v>814</v>
      </c>
      <c r="I3153" s="353" t="s">
        <v>156</v>
      </c>
      <c r="J3153" s="352">
        <v>5220</v>
      </c>
      <c r="K3153" s="353"/>
      <c r="L3153" s="352">
        <v>4</v>
      </c>
      <c r="M3153" s="352">
        <v>4</v>
      </c>
      <c r="N3153" s="354">
        <f>J3153*0.5</f>
        <v>2610</v>
      </c>
      <c r="O3153" s="355">
        <v>0.25</v>
      </c>
      <c r="P3153" s="355">
        <v>0.1</v>
      </c>
      <c r="Q3153" s="354">
        <v>0</v>
      </c>
      <c r="R3153" s="337" t="s">
        <v>112</v>
      </c>
      <c r="S3153" s="356" t="s">
        <v>113</v>
      </c>
      <c r="T3153" s="356">
        <v>64</v>
      </c>
      <c r="U3153" s="357" t="s">
        <v>164</v>
      </c>
      <c r="V3153" s="434"/>
      <c r="X3153" s="354">
        <v>0</v>
      </c>
      <c r="Y3153" s="354"/>
      <c r="AI3153" s="337">
        <v>0</v>
      </c>
      <c r="AJ3153" s="358"/>
      <c r="AK3153" s="369"/>
    </row>
    <row r="3154" spans="1:77" s="261" customFormat="1" ht="11.25" customHeight="1">
      <c r="B3154" s="261" t="s">
        <v>291</v>
      </c>
      <c r="C3154" s="259"/>
      <c r="D3154" s="259"/>
      <c r="E3154" s="260" t="s">
        <v>2376</v>
      </c>
      <c r="F3154" s="261" t="s">
        <v>3771</v>
      </c>
      <c r="G3154" s="262" t="s">
        <v>1802</v>
      </c>
      <c r="H3154" s="261" t="s">
        <v>163</v>
      </c>
      <c r="I3154" s="264" t="s">
        <v>156</v>
      </c>
      <c r="J3154" s="263">
        <v>1363.45</v>
      </c>
      <c r="K3154" s="264"/>
      <c r="L3154" s="263">
        <v>1.94</v>
      </c>
      <c r="M3154" s="263">
        <v>1.94</v>
      </c>
      <c r="N3154" s="265">
        <f>J3154*0.5</f>
        <v>681.72500000000002</v>
      </c>
      <c r="O3154" s="266">
        <v>0.25</v>
      </c>
      <c r="P3154" s="266">
        <v>0.1</v>
      </c>
      <c r="Q3154" s="265">
        <v>469.63</v>
      </c>
      <c r="R3154" s="261" t="s">
        <v>112</v>
      </c>
      <c r="S3154" s="267" t="s">
        <v>113</v>
      </c>
      <c r="T3154" s="267">
        <v>64</v>
      </c>
      <c r="U3154" s="268" t="s">
        <v>164</v>
      </c>
      <c r="V3154" s="427"/>
      <c r="X3154" s="265">
        <v>469.63</v>
      </c>
      <c r="Y3154" s="265"/>
      <c r="AG3154" s="261">
        <f>X3154</f>
        <v>469.63</v>
      </c>
      <c r="AJ3154" s="642"/>
    </row>
    <row r="3155" spans="1:77" s="261" customFormat="1" ht="11.25" customHeight="1">
      <c r="B3155" s="258" t="s">
        <v>291</v>
      </c>
      <c r="C3155" s="259">
        <v>44733</v>
      </c>
      <c r="D3155" s="259">
        <v>44734</v>
      </c>
      <c r="E3155" s="260" t="s">
        <v>2377</v>
      </c>
      <c r="F3155" s="261" t="s">
        <v>1365</v>
      </c>
      <c r="G3155" s="262">
        <v>4625</v>
      </c>
      <c r="H3155" s="261" t="s">
        <v>137</v>
      </c>
      <c r="I3155" s="264" t="s">
        <v>732</v>
      </c>
      <c r="J3155" s="263">
        <v>18510.36</v>
      </c>
      <c r="K3155" s="264"/>
      <c r="L3155" s="263">
        <v>22.74</v>
      </c>
      <c r="M3155" s="263">
        <v>22.74</v>
      </c>
      <c r="N3155" s="275">
        <v>6043.63</v>
      </c>
      <c r="O3155" s="266">
        <v>0.15</v>
      </c>
      <c r="P3155" s="266"/>
      <c r="Q3155" s="290">
        <v>3266.83</v>
      </c>
      <c r="R3155" s="261" t="s">
        <v>142</v>
      </c>
      <c r="S3155" s="279" t="s">
        <v>41</v>
      </c>
      <c r="T3155" s="279">
        <v>16</v>
      </c>
      <c r="U3155" s="268" t="s">
        <v>164</v>
      </c>
      <c r="V3155" s="427"/>
      <c r="X3155" s="265">
        <v>3266.83</v>
      </c>
      <c r="Y3155" s="265"/>
      <c r="AG3155" s="261">
        <f>X3155</f>
        <v>3266.83</v>
      </c>
      <c r="AJ3155" s="642"/>
    </row>
    <row r="3156" spans="1:77" s="379" customFormat="1" ht="11.25" customHeight="1">
      <c r="B3156" s="379" t="s">
        <v>390</v>
      </c>
      <c r="C3156" s="381">
        <v>44732</v>
      </c>
      <c r="D3156" s="381">
        <v>44734</v>
      </c>
      <c r="E3156" s="382" t="s">
        <v>2378</v>
      </c>
      <c r="F3156" s="379" t="s">
        <v>2379</v>
      </c>
      <c r="G3156" s="383" t="s">
        <v>2380</v>
      </c>
      <c r="H3156" s="379" t="s">
        <v>393</v>
      </c>
      <c r="I3156" s="384" t="s">
        <v>156</v>
      </c>
      <c r="J3156" s="385">
        <v>143221.24</v>
      </c>
      <c r="K3156" s="384"/>
      <c r="L3156" s="385">
        <v>12.32</v>
      </c>
      <c r="M3156" s="385">
        <v>11</v>
      </c>
      <c r="N3156" s="386"/>
      <c r="O3156" s="387">
        <v>0.25</v>
      </c>
      <c r="P3156" s="387">
        <v>0.1</v>
      </c>
      <c r="Q3156" s="386">
        <v>0</v>
      </c>
      <c r="R3156" s="379" t="s">
        <v>77</v>
      </c>
      <c r="S3156" s="388" t="s">
        <v>41</v>
      </c>
      <c r="T3156" s="388">
        <v>16</v>
      </c>
      <c r="U3156" s="389" t="s">
        <v>164</v>
      </c>
      <c r="V3156" s="433"/>
      <c r="X3156" s="386">
        <v>0</v>
      </c>
      <c r="Y3156" s="386"/>
      <c r="AJ3156" s="390">
        <v>0</v>
      </c>
    </row>
    <row r="3157" spans="1:77" s="618" customFormat="1" ht="11.25" customHeight="1">
      <c r="B3157" s="619" t="s">
        <v>291</v>
      </c>
      <c r="C3157" s="620">
        <v>44734</v>
      </c>
      <c r="D3157" s="620">
        <v>44734</v>
      </c>
      <c r="E3157" s="621" t="s">
        <v>2381</v>
      </c>
      <c r="F3157" s="618" t="s">
        <v>2382</v>
      </c>
      <c r="G3157" s="634" t="s">
        <v>2383</v>
      </c>
      <c r="H3157" s="618" t="s">
        <v>941</v>
      </c>
      <c r="I3157" s="626" t="s">
        <v>156</v>
      </c>
      <c r="J3157" s="635">
        <v>3673.05</v>
      </c>
      <c r="K3157" s="626"/>
      <c r="L3157" s="635">
        <v>5.21</v>
      </c>
      <c r="M3157" s="635">
        <v>5.21</v>
      </c>
      <c r="N3157" s="627"/>
      <c r="O3157" s="628">
        <v>0.25</v>
      </c>
      <c r="P3157" s="628">
        <v>0.1</v>
      </c>
      <c r="Q3157" s="627">
        <v>2168.66</v>
      </c>
      <c r="R3157" s="618" t="s">
        <v>285</v>
      </c>
      <c r="S3157" s="629" t="s">
        <v>275</v>
      </c>
      <c r="T3157" s="629">
        <v>21</v>
      </c>
      <c r="U3157" s="631" t="s">
        <v>164</v>
      </c>
      <c r="V3157" s="632"/>
      <c r="X3157" s="627">
        <v>2168.66</v>
      </c>
      <c r="Y3157" s="627"/>
      <c r="AJ3157" s="633"/>
      <c r="AO3157" s="627">
        <v>2168.66</v>
      </c>
    </row>
    <row r="3158" spans="1:77" s="618" customFormat="1" ht="11.25" customHeight="1">
      <c r="B3158" s="619" t="s">
        <v>291</v>
      </c>
      <c r="C3158" s="620"/>
      <c r="D3158" s="620"/>
      <c r="E3158" s="621" t="s">
        <v>2381</v>
      </c>
      <c r="F3158" s="618" t="s">
        <v>2382</v>
      </c>
      <c r="G3158" s="634" t="s">
        <v>2383</v>
      </c>
      <c r="H3158" s="618" t="s">
        <v>99</v>
      </c>
      <c r="I3158" s="626" t="s">
        <v>156</v>
      </c>
      <c r="J3158" s="635">
        <v>17672.150000000001</v>
      </c>
      <c r="K3158" s="626"/>
      <c r="L3158" s="635">
        <v>18.420000000000002</v>
      </c>
      <c r="M3158" s="635">
        <v>18.420000000000002</v>
      </c>
      <c r="N3158" s="627"/>
      <c r="O3158" s="628">
        <v>0.25</v>
      </c>
      <c r="P3158" s="628">
        <v>0.1</v>
      </c>
      <c r="Q3158" s="627">
        <v>10739.49</v>
      </c>
      <c r="R3158" s="618" t="s">
        <v>285</v>
      </c>
      <c r="S3158" s="629" t="s">
        <v>275</v>
      </c>
      <c r="T3158" s="629">
        <v>21</v>
      </c>
      <c r="U3158" s="631" t="s">
        <v>164</v>
      </c>
      <c r="V3158" s="632"/>
      <c r="X3158" s="627">
        <v>10739.49</v>
      </c>
      <c r="Y3158" s="627"/>
      <c r="AJ3158" s="633"/>
      <c r="AO3158" s="627">
        <v>10739.49</v>
      </c>
    </row>
    <row r="3159" spans="1:77" s="6" customFormat="1" ht="11.25" customHeight="1">
      <c r="A3159" s="379"/>
      <c r="B3159" s="380" t="s">
        <v>291</v>
      </c>
      <c r="C3159" s="381"/>
      <c r="D3159" s="381"/>
      <c r="E3159" s="382" t="s">
        <v>2381</v>
      </c>
      <c r="F3159" s="379" t="s">
        <v>2382</v>
      </c>
      <c r="G3159" s="383" t="s">
        <v>2383</v>
      </c>
      <c r="H3159" s="379" t="s">
        <v>898</v>
      </c>
      <c r="I3159" s="384" t="s">
        <v>156</v>
      </c>
      <c r="J3159" s="385">
        <v>5567.63</v>
      </c>
      <c r="K3159" s="384"/>
      <c r="L3159" s="385">
        <v>5.25</v>
      </c>
      <c r="M3159" s="385">
        <v>5.25</v>
      </c>
      <c r="N3159" s="386"/>
      <c r="O3159" s="387">
        <v>0.25</v>
      </c>
      <c r="P3159" s="387">
        <v>0.1</v>
      </c>
      <c r="Q3159" s="386">
        <v>0</v>
      </c>
      <c r="R3159" s="379" t="s">
        <v>285</v>
      </c>
      <c r="S3159" s="388" t="s">
        <v>275</v>
      </c>
      <c r="T3159" s="388">
        <v>21</v>
      </c>
      <c r="U3159" s="389" t="s">
        <v>164</v>
      </c>
      <c r="V3159" s="433"/>
      <c r="W3159" s="379"/>
      <c r="X3159" s="386">
        <v>0</v>
      </c>
      <c r="Y3159" s="386"/>
      <c r="Z3159" s="379"/>
      <c r="AA3159" s="379"/>
      <c r="AB3159" s="379"/>
      <c r="AC3159" s="379"/>
      <c r="AD3159" s="379"/>
      <c r="AE3159" s="379"/>
      <c r="AF3159" s="379"/>
      <c r="AG3159" s="379"/>
      <c r="AH3159" s="379"/>
      <c r="AI3159" s="379"/>
      <c r="AJ3159" s="390">
        <v>0</v>
      </c>
      <c r="AK3159" s="379"/>
      <c r="AL3159" s="379"/>
      <c r="AM3159" s="379"/>
      <c r="AN3159" s="379"/>
      <c r="AO3159" s="379"/>
      <c r="AP3159" s="379"/>
      <c r="AQ3159" s="379"/>
      <c r="AR3159" s="379"/>
      <c r="AS3159" s="379"/>
      <c r="AT3159" s="379"/>
      <c r="AU3159" s="379"/>
      <c r="AV3159" s="379"/>
      <c r="AW3159" s="379"/>
      <c r="AX3159" s="379"/>
      <c r="AY3159" s="379"/>
      <c r="AZ3159" s="379"/>
      <c r="BA3159" s="379"/>
      <c r="BB3159" s="379"/>
      <c r="BC3159" s="379"/>
      <c r="BD3159" s="379"/>
      <c r="BE3159" s="379"/>
      <c r="BF3159" s="379"/>
      <c r="BG3159" s="379"/>
      <c r="BH3159" s="379"/>
      <c r="BI3159" s="379"/>
      <c r="BJ3159" s="379"/>
      <c r="BK3159" s="379"/>
      <c r="BL3159" s="379"/>
      <c r="BM3159" s="379"/>
      <c r="BN3159" s="379"/>
      <c r="BO3159" s="379"/>
      <c r="BP3159" s="379"/>
      <c r="BQ3159" s="379"/>
      <c r="BR3159" s="379"/>
      <c r="BS3159" s="379"/>
      <c r="BT3159" s="379"/>
      <c r="BU3159" s="379"/>
      <c r="BV3159" s="379"/>
      <c r="BW3159" s="379"/>
      <c r="BX3159" s="379"/>
      <c r="BY3159" s="379"/>
    </row>
    <row r="3160" spans="1:77" s="618" customFormat="1" ht="11.25" customHeight="1">
      <c r="B3160" s="619" t="s">
        <v>291</v>
      </c>
      <c r="C3160" s="620"/>
      <c r="D3160" s="620"/>
      <c r="E3160" s="621" t="s">
        <v>2381</v>
      </c>
      <c r="F3160" s="618" t="s">
        <v>2382</v>
      </c>
      <c r="G3160" s="634" t="s">
        <v>2383</v>
      </c>
      <c r="H3160" s="618" t="s">
        <v>137</v>
      </c>
      <c r="I3160" s="626" t="s">
        <v>156</v>
      </c>
      <c r="J3160" s="635">
        <v>8787.4</v>
      </c>
      <c r="K3160" s="626"/>
      <c r="L3160" s="635">
        <v>8.2899999999999991</v>
      </c>
      <c r="M3160" s="635">
        <v>8.2899999999999991</v>
      </c>
      <c r="N3160" s="627"/>
      <c r="O3160" s="628">
        <v>0.25</v>
      </c>
      <c r="P3160" s="628">
        <v>0.1</v>
      </c>
      <c r="Q3160" s="627">
        <v>540.54</v>
      </c>
      <c r="R3160" s="618" t="s">
        <v>285</v>
      </c>
      <c r="S3160" s="629" t="s">
        <v>275</v>
      </c>
      <c r="T3160" s="629">
        <v>21</v>
      </c>
      <c r="U3160" s="631" t="s">
        <v>164</v>
      </c>
      <c r="V3160" s="632"/>
      <c r="X3160" s="627">
        <v>540.54</v>
      </c>
      <c r="Y3160" s="627"/>
      <c r="AJ3160" s="633"/>
      <c r="AO3160" s="627">
        <v>540.54</v>
      </c>
    </row>
    <row r="3161" spans="1:77" s="618" customFormat="1" ht="11.25" customHeight="1">
      <c r="B3161" s="619" t="s">
        <v>291</v>
      </c>
      <c r="C3161" s="620"/>
      <c r="D3161" s="620"/>
      <c r="E3161" s="621" t="s">
        <v>2381</v>
      </c>
      <c r="F3161" s="618" t="s">
        <v>2382</v>
      </c>
      <c r="G3161" s="634" t="s">
        <v>2383</v>
      </c>
      <c r="H3161" s="618" t="s">
        <v>183</v>
      </c>
      <c r="I3161" s="626" t="s">
        <v>156</v>
      </c>
      <c r="J3161" s="635">
        <v>9201.15</v>
      </c>
      <c r="K3161" s="626"/>
      <c r="L3161" s="635">
        <v>11.43</v>
      </c>
      <c r="M3161" s="635">
        <v>11.43</v>
      </c>
      <c r="N3161" s="627"/>
      <c r="O3161" s="628">
        <v>0.25</v>
      </c>
      <c r="P3161" s="628">
        <v>0.1</v>
      </c>
      <c r="Q3161" s="627">
        <v>4900.6099999999997</v>
      </c>
      <c r="R3161" s="618" t="s">
        <v>285</v>
      </c>
      <c r="S3161" s="629" t="s">
        <v>275</v>
      </c>
      <c r="T3161" s="629">
        <v>21</v>
      </c>
      <c r="U3161" s="631" t="s">
        <v>164</v>
      </c>
      <c r="V3161" s="632"/>
      <c r="X3161" s="627">
        <v>4900.6099999999997</v>
      </c>
      <c r="Y3161" s="627"/>
      <c r="AJ3161" s="633"/>
      <c r="AO3161" s="627">
        <v>4900.6099999999997</v>
      </c>
    </row>
    <row r="3162" spans="1:77" s="181" customFormat="1" ht="11.25" customHeight="1">
      <c r="B3162" s="178" t="s">
        <v>291</v>
      </c>
      <c r="C3162" s="179"/>
      <c r="D3162" s="179"/>
      <c r="E3162" s="180" t="s">
        <v>2381</v>
      </c>
      <c r="F3162" s="181" t="s">
        <v>2382</v>
      </c>
      <c r="G3162" s="182" t="s">
        <v>2383</v>
      </c>
      <c r="H3162" s="181" t="s">
        <v>163</v>
      </c>
      <c r="I3162" s="190" t="s">
        <v>156</v>
      </c>
      <c r="J3162" s="183">
        <v>4332.17</v>
      </c>
      <c r="K3162" s="190"/>
      <c r="L3162" s="183">
        <v>6.67</v>
      </c>
      <c r="M3162" s="183">
        <v>6.67</v>
      </c>
      <c r="N3162" s="185"/>
      <c r="O3162" s="186">
        <v>0.25</v>
      </c>
      <c r="P3162" s="186">
        <v>0.1</v>
      </c>
      <c r="Q3162" s="185">
        <v>0</v>
      </c>
      <c r="R3162" s="181" t="s">
        <v>285</v>
      </c>
      <c r="S3162" s="187" t="s">
        <v>275</v>
      </c>
      <c r="T3162" s="187">
        <v>21</v>
      </c>
      <c r="U3162" s="188" t="s">
        <v>164</v>
      </c>
      <c r="V3162" s="441"/>
      <c r="X3162" s="185">
        <v>0</v>
      </c>
      <c r="Y3162" s="185"/>
      <c r="AE3162" s="204">
        <f>X3162</f>
        <v>0</v>
      </c>
      <c r="AJ3162" s="189"/>
    </row>
    <row r="3163" spans="1:77" s="205" customFormat="1" ht="11.25" customHeight="1">
      <c r="B3163" s="205" t="s">
        <v>291</v>
      </c>
      <c r="C3163" s="207">
        <v>44733</v>
      </c>
      <c r="D3163" s="207">
        <v>44735</v>
      </c>
      <c r="E3163" s="208" t="s">
        <v>2384</v>
      </c>
      <c r="F3163" s="205" t="s">
        <v>98</v>
      </c>
      <c r="G3163" s="209" t="s">
        <v>100</v>
      </c>
      <c r="H3163" s="205" t="s">
        <v>137</v>
      </c>
      <c r="I3163" s="219" t="s">
        <v>156</v>
      </c>
      <c r="J3163" s="210">
        <v>45066.86</v>
      </c>
      <c r="K3163" s="219"/>
      <c r="L3163" s="210">
        <v>30.53</v>
      </c>
      <c r="M3163" s="210">
        <v>10.79</v>
      </c>
      <c r="N3163" s="213"/>
      <c r="O3163" s="212">
        <v>0.25</v>
      </c>
      <c r="P3163" s="212">
        <v>0.1</v>
      </c>
      <c r="Q3163" s="213">
        <v>0</v>
      </c>
      <c r="R3163" s="205" t="s">
        <v>50</v>
      </c>
      <c r="S3163" s="214" t="s">
        <v>51</v>
      </c>
      <c r="T3163" s="214">
        <v>55</v>
      </c>
      <c r="U3163" s="215" t="s">
        <v>164</v>
      </c>
      <c r="V3163" s="438"/>
      <c r="W3163" s="205" t="s">
        <v>2590</v>
      </c>
      <c r="X3163" s="213">
        <v>0</v>
      </c>
      <c r="Y3163" s="213"/>
      <c r="AF3163" s="230">
        <f>X3163</f>
        <v>0</v>
      </c>
      <c r="AJ3163" s="216"/>
    </row>
    <row r="3164" spans="1:77" s="261" customFormat="1" ht="11.25" customHeight="1">
      <c r="B3164" s="258" t="s">
        <v>291</v>
      </c>
      <c r="C3164" s="259">
        <v>44732</v>
      </c>
      <c r="D3164" s="259">
        <v>44734</v>
      </c>
      <c r="E3164" s="260" t="s">
        <v>2385</v>
      </c>
      <c r="F3164" s="261" t="s">
        <v>161</v>
      </c>
      <c r="G3164" s="262">
        <v>3832</v>
      </c>
      <c r="H3164" s="261" t="s">
        <v>27</v>
      </c>
      <c r="I3164" s="264" t="s">
        <v>156</v>
      </c>
      <c r="J3164" s="263">
        <v>13748.8</v>
      </c>
      <c r="K3164" s="264"/>
      <c r="L3164" s="263">
        <v>13.22</v>
      </c>
      <c r="M3164" s="263">
        <v>13.22</v>
      </c>
      <c r="N3164" s="265"/>
      <c r="O3164" s="266">
        <v>0.15</v>
      </c>
      <c r="P3164" s="266">
        <v>0.1</v>
      </c>
      <c r="Q3164" s="265">
        <v>0</v>
      </c>
      <c r="R3164" s="261" t="s">
        <v>128</v>
      </c>
      <c r="S3164" s="267" t="s">
        <v>41</v>
      </c>
      <c r="T3164" s="267">
        <v>86</v>
      </c>
      <c r="U3164" s="268" t="s">
        <v>164</v>
      </c>
      <c r="V3164" s="427"/>
      <c r="X3164" s="265">
        <v>0</v>
      </c>
      <c r="Y3164" s="265"/>
      <c r="AG3164" s="261">
        <f>X3164</f>
        <v>0</v>
      </c>
      <c r="AJ3164" s="642"/>
    </row>
    <row r="3165" spans="1:77" s="205" customFormat="1" ht="11.25" customHeight="1">
      <c r="A3165" s="473"/>
      <c r="B3165" s="486" t="s">
        <v>291</v>
      </c>
      <c r="C3165" s="487"/>
      <c r="D3165" s="487"/>
      <c r="E3165" s="488" t="s">
        <v>2386</v>
      </c>
      <c r="F3165" s="473" t="s">
        <v>1153</v>
      </c>
      <c r="G3165" s="489">
        <v>4604</v>
      </c>
      <c r="H3165" s="473" t="s">
        <v>163</v>
      </c>
      <c r="I3165" s="491" t="s">
        <v>156</v>
      </c>
      <c r="J3165" s="490">
        <v>20038.169999999998</v>
      </c>
      <c r="K3165" s="491"/>
      <c r="L3165" s="490">
        <v>31.12</v>
      </c>
      <c r="M3165" s="490">
        <v>31.12</v>
      </c>
      <c r="N3165" s="492">
        <v>9417.9389599999995</v>
      </c>
      <c r="O3165" s="493">
        <v>0.25</v>
      </c>
      <c r="P3165" s="493">
        <v>0.1</v>
      </c>
      <c r="Q3165" s="492">
        <v>6075.4</v>
      </c>
      <c r="R3165" s="473" t="s">
        <v>281</v>
      </c>
      <c r="S3165" s="481" t="s">
        <v>228</v>
      </c>
      <c r="T3165" s="481">
        <v>58</v>
      </c>
      <c r="U3165" s="494" t="s">
        <v>164</v>
      </c>
      <c r="V3165" s="495"/>
      <c r="W3165" s="473"/>
      <c r="X3165" s="492">
        <v>6075.4</v>
      </c>
      <c r="Y3165" s="492"/>
      <c r="Z3165" s="473"/>
      <c r="AA3165" s="473"/>
      <c r="AB3165" s="473"/>
      <c r="AC3165" s="473"/>
      <c r="AD3165" s="473"/>
      <c r="AE3165" s="473"/>
      <c r="AF3165" s="473"/>
      <c r="AG3165" s="473"/>
      <c r="AH3165" s="473"/>
      <c r="AI3165" s="473"/>
      <c r="AJ3165" s="485"/>
      <c r="AK3165" s="505">
        <v>6075.4</v>
      </c>
      <c r="AL3165" s="473"/>
      <c r="AM3165" s="473"/>
      <c r="AN3165" s="473"/>
      <c r="AO3165" s="473"/>
      <c r="AP3165" s="473"/>
      <c r="AQ3165" s="473"/>
      <c r="AR3165" s="473"/>
      <c r="AS3165" s="473"/>
      <c r="AT3165" s="473"/>
      <c r="AU3165" s="473"/>
      <c r="AV3165" s="473"/>
      <c r="AW3165" s="473"/>
      <c r="AX3165" s="473"/>
      <c r="AY3165" s="473"/>
      <c r="AZ3165" s="473"/>
      <c r="BA3165" s="473"/>
      <c r="BB3165" s="473"/>
      <c r="BC3165" s="473"/>
      <c r="BD3165" s="473"/>
      <c r="BE3165" s="473"/>
      <c r="BF3165" s="473"/>
      <c r="BG3165" s="473"/>
      <c r="BH3165" s="473"/>
      <c r="BI3165" s="473"/>
      <c r="BJ3165" s="473"/>
      <c r="BK3165" s="473"/>
      <c r="BL3165" s="473"/>
      <c r="BM3165" s="473"/>
      <c r="BN3165" s="473"/>
      <c r="BO3165" s="473"/>
      <c r="BP3165" s="473"/>
      <c r="BQ3165" s="473"/>
      <c r="BR3165" s="473"/>
      <c r="BS3165" s="473"/>
      <c r="BT3165" s="473"/>
      <c r="BU3165" s="473"/>
      <c r="BV3165" s="473"/>
      <c r="BW3165" s="473"/>
      <c r="BX3165" s="473"/>
      <c r="BY3165" s="473"/>
    </row>
    <row r="3166" spans="1:77" s="205" customFormat="1" ht="11.25" customHeight="1">
      <c r="B3166" s="206" t="s">
        <v>291</v>
      </c>
      <c r="C3166" s="207">
        <v>44733</v>
      </c>
      <c r="D3166" s="207">
        <v>44734</v>
      </c>
      <c r="E3166" s="208" t="s">
        <v>2386</v>
      </c>
      <c r="F3166" s="205" t="s">
        <v>1153</v>
      </c>
      <c r="G3166" s="209">
        <v>4604</v>
      </c>
      <c r="H3166" s="205" t="s">
        <v>99</v>
      </c>
      <c r="I3166" s="219" t="s">
        <v>156</v>
      </c>
      <c r="J3166" s="210">
        <v>30179</v>
      </c>
      <c r="K3166" s="219"/>
      <c r="L3166" s="210">
        <v>35.04</v>
      </c>
      <c r="M3166" s="210">
        <v>3.65</v>
      </c>
      <c r="N3166" s="213"/>
      <c r="O3166" s="212">
        <v>0.25</v>
      </c>
      <c r="P3166" s="212">
        <v>0.1</v>
      </c>
      <c r="Q3166" s="213">
        <v>0</v>
      </c>
      <c r="R3166" s="205" t="s">
        <v>281</v>
      </c>
      <c r="S3166" s="214" t="s">
        <v>228</v>
      </c>
      <c r="T3166" s="214">
        <v>58</v>
      </c>
      <c r="U3166" s="215" t="s">
        <v>164</v>
      </c>
      <c r="V3166" s="438"/>
      <c r="X3166" s="213">
        <v>0</v>
      </c>
      <c r="Y3166" s="213"/>
      <c r="AF3166" s="230">
        <f>X3166</f>
        <v>0</v>
      </c>
      <c r="AJ3166" s="216"/>
    </row>
    <row r="3167" spans="1:77" s="261" customFormat="1" ht="11.25" customHeight="1">
      <c r="B3167" s="258" t="s">
        <v>291</v>
      </c>
      <c r="C3167" s="259">
        <v>44734</v>
      </c>
      <c r="D3167" s="259">
        <v>44734</v>
      </c>
      <c r="E3167" s="260" t="s">
        <v>2387</v>
      </c>
      <c r="F3167" s="261" t="s">
        <v>2388</v>
      </c>
      <c r="G3167" s="262" t="s">
        <v>2389</v>
      </c>
      <c r="H3167" s="261" t="s">
        <v>99</v>
      </c>
      <c r="I3167" s="264" t="s">
        <v>33</v>
      </c>
      <c r="J3167" s="263">
        <v>40508.620000000003</v>
      </c>
      <c r="K3167" s="264"/>
      <c r="L3167" s="263">
        <v>48.11</v>
      </c>
      <c r="M3167" s="263">
        <v>48.11</v>
      </c>
      <c r="N3167" s="265">
        <v>8101.7240000000002</v>
      </c>
      <c r="O3167" s="266">
        <v>0.15</v>
      </c>
      <c r="P3167" s="266"/>
      <c r="Q3167" s="265">
        <v>21923.73</v>
      </c>
      <c r="R3167" s="261" t="s">
        <v>285</v>
      </c>
      <c r="S3167" s="267" t="s">
        <v>275</v>
      </c>
      <c r="T3167" s="267">
        <v>21</v>
      </c>
      <c r="U3167" s="268" t="s">
        <v>164</v>
      </c>
      <c r="V3167" s="427"/>
      <c r="X3167" s="265">
        <v>21923.73</v>
      </c>
      <c r="Y3167" s="265"/>
      <c r="AG3167" s="261">
        <f>X3167</f>
        <v>21923.73</v>
      </c>
      <c r="AJ3167" s="642"/>
    </row>
    <row r="3168" spans="1:77" s="261" customFormat="1" ht="11.25" customHeight="1">
      <c r="B3168" s="258" t="s">
        <v>291</v>
      </c>
      <c r="C3168" s="259"/>
      <c r="D3168" s="259"/>
      <c r="E3168" s="260" t="s">
        <v>2387</v>
      </c>
      <c r="F3168" s="261" t="s">
        <v>2388</v>
      </c>
      <c r="G3168" s="262" t="s">
        <v>2389</v>
      </c>
      <c r="H3168" s="261" t="s">
        <v>163</v>
      </c>
      <c r="I3168" s="264" t="s">
        <v>33</v>
      </c>
      <c r="J3168" s="263">
        <v>9972.2000000000007</v>
      </c>
      <c r="K3168" s="264"/>
      <c r="L3168" s="263">
        <v>14</v>
      </c>
      <c r="M3168" s="263">
        <v>14</v>
      </c>
      <c r="N3168" s="265">
        <v>0</v>
      </c>
      <c r="O3168" s="266">
        <v>0.15</v>
      </c>
      <c r="P3168" s="266"/>
      <c r="Q3168" s="265">
        <v>0</v>
      </c>
      <c r="R3168" s="261" t="s">
        <v>285</v>
      </c>
      <c r="S3168" s="267" t="s">
        <v>275</v>
      </c>
      <c r="T3168" s="267">
        <v>21</v>
      </c>
      <c r="U3168" s="268" t="s">
        <v>164</v>
      </c>
      <c r="V3168" s="427"/>
      <c r="W3168" s="261" t="s">
        <v>3564</v>
      </c>
      <c r="X3168" s="265">
        <v>0</v>
      </c>
      <c r="Y3168" s="265"/>
      <c r="AG3168" s="261">
        <f>X3168</f>
        <v>0</v>
      </c>
      <c r="AJ3168" s="642"/>
    </row>
    <row r="3169" spans="1:77" s="261" customFormat="1" ht="11.25" customHeight="1">
      <c r="B3169" s="258" t="s">
        <v>291</v>
      </c>
      <c r="C3169" s="259"/>
      <c r="D3169" s="259"/>
      <c r="E3169" s="260" t="s">
        <v>2387</v>
      </c>
      <c r="F3169" s="261" t="s">
        <v>2388</v>
      </c>
      <c r="G3169" s="262" t="s">
        <v>2389</v>
      </c>
      <c r="H3169" s="261" t="s">
        <v>137</v>
      </c>
      <c r="I3169" s="264" t="s">
        <v>33</v>
      </c>
      <c r="J3169" s="263">
        <v>10146.24</v>
      </c>
      <c r="K3169" s="264"/>
      <c r="L3169" s="263">
        <v>19.2</v>
      </c>
      <c r="M3169" s="263">
        <v>19.2</v>
      </c>
      <c r="N3169" s="265">
        <v>2029.248</v>
      </c>
      <c r="O3169" s="266">
        <v>0.15</v>
      </c>
      <c r="P3169" s="266"/>
      <c r="Q3169" s="265">
        <v>4131.5</v>
      </c>
      <c r="R3169" s="261" t="s">
        <v>285</v>
      </c>
      <c r="S3169" s="267" t="s">
        <v>275</v>
      </c>
      <c r="T3169" s="267">
        <v>21</v>
      </c>
      <c r="U3169" s="268" t="s">
        <v>164</v>
      </c>
      <c r="V3169" s="427"/>
      <c r="X3169" s="265">
        <v>4131.5</v>
      </c>
      <c r="Y3169" s="265"/>
      <c r="AG3169" s="261">
        <f>X3169</f>
        <v>4131.5</v>
      </c>
      <c r="AJ3169" s="642"/>
    </row>
    <row r="3170" spans="1:77" s="291" customFormat="1" ht="11.25" customHeight="1">
      <c r="A3170" s="291" t="s">
        <v>3893</v>
      </c>
      <c r="B3170" s="310" t="s">
        <v>291</v>
      </c>
      <c r="C3170" s="292"/>
      <c r="D3170" s="292"/>
      <c r="E3170" s="293" t="s">
        <v>2387</v>
      </c>
      <c r="F3170" s="291" t="s">
        <v>2388</v>
      </c>
      <c r="G3170" s="294" t="s">
        <v>2389</v>
      </c>
      <c r="H3170" s="291" t="s">
        <v>765</v>
      </c>
      <c r="I3170" s="295" t="s">
        <v>33</v>
      </c>
      <c r="J3170" s="296">
        <v>35615.5</v>
      </c>
      <c r="K3170" s="295"/>
      <c r="L3170" s="296">
        <v>46</v>
      </c>
      <c r="M3170" s="296">
        <v>46</v>
      </c>
      <c r="N3170" s="297"/>
      <c r="O3170" s="298">
        <v>0.15</v>
      </c>
      <c r="P3170" s="298"/>
      <c r="Q3170" s="297">
        <v>12574.68</v>
      </c>
      <c r="R3170" s="291" t="s">
        <v>285</v>
      </c>
      <c r="S3170" s="299" t="s">
        <v>275</v>
      </c>
      <c r="T3170" s="299">
        <v>21</v>
      </c>
      <c r="U3170" s="300" t="s">
        <v>164</v>
      </c>
      <c r="V3170" s="333"/>
      <c r="X3170" s="297">
        <v>12574.68</v>
      </c>
      <c r="Y3170" s="297"/>
      <c r="AH3170" s="297">
        <f>X3170</f>
        <v>12574.68</v>
      </c>
      <c r="AI3170" s="311"/>
      <c r="AJ3170" s="468"/>
    </row>
    <row r="3171" spans="1:77" s="379" customFormat="1" ht="11.25" customHeight="1">
      <c r="B3171" s="406" t="s">
        <v>291</v>
      </c>
      <c r="C3171" s="381">
        <v>44734</v>
      </c>
      <c r="D3171" s="381">
        <v>44734</v>
      </c>
      <c r="E3171" s="382" t="s">
        <v>2390</v>
      </c>
      <c r="F3171" s="394" t="s">
        <v>1570</v>
      </c>
      <c r="G3171" s="400">
        <v>3650</v>
      </c>
      <c r="H3171" s="379" t="s">
        <v>99</v>
      </c>
      <c r="I3171" s="384" t="s">
        <v>156</v>
      </c>
      <c r="J3171" s="385">
        <v>18672.61</v>
      </c>
      <c r="K3171" s="384"/>
      <c r="L3171" s="385">
        <v>14.23</v>
      </c>
      <c r="M3171" s="385">
        <v>14.23</v>
      </c>
      <c r="N3171" s="386"/>
      <c r="O3171" s="387">
        <v>0.3</v>
      </c>
      <c r="P3171" s="387">
        <v>0.1</v>
      </c>
      <c r="Q3171" s="386">
        <v>2774</v>
      </c>
      <c r="R3171" s="379" t="s">
        <v>35</v>
      </c>
      <c r="S3171" s="388" t="s">
        <v>41</v>
      </c>
      <c r="T3171" s="388">
        <v>16</v>
      </c>
      <c r="U3171" s="389" t="s">
        <v>164</v>
      </c>
      <c r="V3171" s="433"/>
      <c r="X3171" s="386">
        <v>2774</v>
      </c>
      <c r="Y3171" s="386"/>
      <c r="AJ3171" s="416">
        <v>2774</v>
      </c>
    </row>
    <row r="3172" spans="1:77" s="379" customFormat="1" ht="11.25" customHeight="1">
      <c r="B3172" s="406" t="s">
        <v>291</v>
      </c>
      <c r="C3172" s="381"/>
      <c r="D3172" s="381"/>
      <c r="E3172" s="382" t="s">
        <v>2390</v>
      </c>
      <c r="F3172" s="394" t="s">
        <v>1570</v>
      </c>
      <c r="G3172" s="400">
        <v>3650</v>
      </c>
      <c r="H3172" s="379" t="s">
        <v>310</v>
      </c>
      <c r="I3172" s="384" t="s">
        <v>156</v>
      </c>
      <c r="J3172" s="385">
        <v>6092.56</v>
      </c>
      <c r="K3172" s="384"/>
      <c r="L3172" s="385">
        <v>7.42</v>
      </c>
      <c r="M3172" s="385">
        <v>7.42</v>
      </c>
      <c r="N3172" s="386"/>
      <c r="O3172" s="387">
        <v>0.3</v>
      </c>
      <c r="P3172" s="387">
        <v>0.1</v>
      </c>
      <c r="Q3172" s="386">
        <v>2012.08</v>
      </c>
      <c r="R3172" s="379" t="s">
        <v>35</v>
      </c>
      <c r="S3172" s="388" t="s">
        <v>41</v>
      </c>
      <c r="T3172" s="388">
        <v>16</v>
      </c>
      <c r="U3172" s="389" t="s">
        <v>164</v>
      </c>
      <c r="V3172" s="433"/>
      <c r="X3172" s="386">
        <v>2012.08</v>
      </c>
      <c r="Y3172" s="386"/>
      <c r="AJ3172" s="416">
        <v>2012.08</v>
      </c>
    </row>
    <row r="3173" spans="1:77" s="379" customFormat="1" ht="11.25" customHeight="1">
      <c r="B3173" s="406" t="s">
        <v>291</v>
      </c>
      <c r="C3173" s="381"/>
      <c r="D3173" s="381"/>
      <c r="E3173" s="382" t="s">
        <v>2390</v>
      </c>
      <c r="F3173" s="394" t="s">
        <v>1570</v>
      </c>
      <c r="G3173" s="400">
        <v>3650</v>
      </c>
      <c r="H3173" s="379" t="s">
        <v>866</v>
      </c>
      <c r="I3173" s="384" t="s">
        <v>156</v>
      </c>
      <c r="J3173" s="385">
        <v>3343.12</v>
      </c>
      <c r="K3173" s="384"/>
      <c r="L3173" s="385">
        <v>2.62</v>
      </c>
      <c r="M3173" s="385">
        <v>2.62</v>
      </c>
      <c r="N3173" s="386"/>
      <c r="O3173" s="387">
        <v>0.3</v>
      </c>
      <c r="P3173" s="387">
        <v>0.1</v>
      </c>
      <c r="Q3173" s="386">
        <v>635.09</v>
      </c>
      <c r="R3173" s="379" t="s">
        <v>35</v>
      </c>
      <c r="S3173" s="388" t="s">
        <v>41</v>
      </c>
      <c r="T3173" s="388">
        <v>16</v>
      </c>
      <c r="U3173" s="389" t="s">
        <v>164</v>
      </c>
      <c r="V3173" s="433"/>
      <c r="X3173" s="386">
        <v>635.09</v>
      </c>
      <c r="Y3173" s="386"/>
      <c r="AJ3173" s="416">
        <v>635.09</v>
      </c>
    </row>
    <row r="3174" spans="1:77" s="291" customFormat="1" ht="11.25" customHeight="1">
      <c r="B3174" s="313" t="s">
        <v>291</v>
      </c>
      <c r="C3174" s="292">
        <v>44732</v>
      </c>
      <c r="D3174" s="292">
        <v>44734</v>
      </c>
      <c r="E3174" s="293" t="s">
        <v>2391</v>
      </c>
      <c r="F3174" s="291" t="s">
        <v>3488</v>
      </c>
      <c r="G3174" s="294" t="s">
        <v>2393</v>
      </c>
      <c r="H3174" s="291" t="s">
        <v>27</v>
      </c>
      <c r="I3174" s="295" t="s">
        <v>1648</v>
      </c>
      <c r="J3174" s="296">
        <v>9528.7099999999991</v>
      </c>
      <c r="K3174" s="295"/>
      <c r="L3174" s="296">
        <v>7.34</v>
      </c>
      <c r="M3174" s="296">
        <v>7.34</v>
      </c>
      <c r="N3174" s="297"/>
      <c r="O3174" s="298">
        <v>0.25</v>
      </c>
      <c r="P3174" s="298">
        <v>0.1</v>
      </c>
      <c r="Q3174" s="297">
        <v>0</v>
      </c>
      <c r="R3174" s="291" t="s">
        <v>77</v>
      </c>
      <c r="S3174" s="299" t="s">
        <v>41</v>
      </c>
      <c r="T3174" s="299">
        <v>16</v>
      </c>
      <c r="U3174" s="300" t="s">
        <v>164</v>
      </c>
      <c r="V3174" s="333"/>
      <c r="X3174" s="297">
        <v>0</v>
      </c>
      <c r="Y3174" s="297"/>
      <c r="AH3174" s="291">
        <f>X3174</f>
        <v>0</v>
      </c>
      <c r="AI3174" s="311"/>
      <c r="AJ3174" s="468"/>
    </row>
    <row r="3175" spans="1:77" s="291" customFormat="1" ht="11.25" customHeight="1">
      <c r="B3175" s="291" t="s">
        <v>291</v>
      </c>
      <c r="C3175" s="292">
        <v>44734</v>
      </c>
      <c r="D3175" s="292">
        <v>44734</v>
      </c>
      <c r="E3175" s="293" t="s">
        <v>2394</v>
      </c>
      <c r="F3175" s="291" t="s">
        <v>330</v>
      </c>
      <c r="G3175" s="294">
        <v>3618</v>
      </c>
      <c r="H3175" s="291" t="s">
        <v>99</v>
      </c>
      <c r="I3175" s="295" t="s">
        <v>819</v>
      </c>
      <c r="J3175" s="296">
        <v>62749.53</v>
      </c>
      <c r="K3175" s="295"/>
      <c r="L3175" s="296">
        <v>60.61</v>
      </c>
      <c r="M3175" s="296">
        <v>17.04</v>
      </c>
      <c r="N3175" s="297"/>
      <c r="O3175" s="298">
        <v>0.15</v>
      </c>
      <c r="P3175" s="298">
        <v>0.1</v>
      </c>
      <c r="Q3175" s="297">
        <v>0</v>
      </c>
      <c r="R3175" s="291" t="s">
        <v>35</v>
      </c>
      <c r="S3175" s="299" t="s">
        <v>41</v>
      </c>
      <c r="T3175" s="299">
        <v>86</v>
      </c>
      <c r="U3175" s="300" t="s">
        <v>164</v>
      </c>
      <c r="V3175" s="333"/>
      <c r="X3175" s="297">
        <v>0</v>
      </c>
      <c r="Y3175" s="297"/>
      <c r="AH3175" s="291">
        <f>X3175</f>
        <v>0</v>
      </c>
      <c r="AI3175" s="311"/>
      <c r="AJ3175" s="468"/>
    </row>
    <row r="3176" spans="1:77" s="291" customFormat="1" ht="11.25" customHeight="1">
      <c r="B3176" s="291" t="s">
        <v>291</v>
      </c>
      <c r="C3176" s="292"/>
      <c r="D3176" s="292"/>
      <c r="E3176" s="293" t="s">
        <v>2394</v>
      </c>
      <c r="F3176" s="291" t="s">
        <v>330</v>
      </c>
      <c r="G3176" s="294">
        <v>3618</v>
      </c>
      <c r="H3176" s="291" t="s">
        <v>27</v>
      </c>
      <c r="I3176" s="295" t="s">
        <v>819</v>
      </c>
      <c r="J3176" s="296">
        <v>29118.92</v>
      </c>
      <c r="K3176" s="295"/>
      <c r="L3176" s="296">
        <v>28.59</v>
      </c>
      <c r="M3176" s="296">
        <v>28.59</v>
      </c>
      <c r="N3176" s="297"/>
      <c r="O3176" s="298">
        <v>0.15</v>
      </c>
      <c r="P3176" s="298">
        <v>0.1</v>
      </c>
      <c r="Q3176" s="297">
        <v>0</v>
      </c>
      <c r="R3176" s="291" t="s">
        <v>35</v>
      </c>
      <c r="S3176" s="299" t="s">
        <v>41</v>
      </c>
      <c r="T3176" s="299">
        <v>86</v>
      </c>
      <c r="U3176" s="300" t="s">
        <v>164</v>
      </c>
      <c r="V3176" s="333"/>
      <c r="X3176" s="297">
        <v>0</v>
      </c>
      <c r="Y3176" s="297"/>
      <c r="AH3176" s="291">
        <f>X3176</f>
        <v>0</v>
      </c>
      <c r="AI3176" s="311"/>
      <c r="AJ3176" s="468"/>
    </row>
    <row r="3177" spans="1:77" s="291" customFormat="1" ht="11.25" customHeight="1">
      <c r="B3177" s="291" t="s">
        <v>291</v>
      </c>
      <c r="C3177" s="292"/>
      <c r="D3177" s="292"/>
      <c r="E3177" s="293" t="s">
        <v>2394</v>
      </c>
      <c r="F3177" s="291" t="s">
        <v>330</v>
      </c>
      <c r="G3177" s="294">
        <v>3618</v>
      </c>
      <c r="H3177" s="291" t="s">
        <v>162</v>
      </c>
      <c r="I3177" s="295" t="s">
        <v>819</v>
      </c>
      <c r="J3177" s="296">
        <v>27679.919999999998</v>
      </c>
      <c r="K3177" s="295"/>
      <c r="L3177" s="296">
        <v>39.770000000000003</v>
      </c>
      <c r="M3177" s="296">
        <v>7.87</v>
      </c>
      <c r="N3177" s="297"/>
      <c r="O3177" s="298">
        <v>0.15</v>
      </c>
      <c r="P3177" s="298">
        <v>0.1</v>
      </c>
      <c r="Q3177" s="297">
        <v>6866.6</v>
      </c>
      <c r="R3177" s="291" t="s">
        <v>35</v>
      </c>
      <c r="S3177" s="299" t="s">
        <v>41</v>
      </c>
      <c r="T3177" s="299">
        <v>86</v>
      </c>
      <c r="U3177" s="300" t="s">
        <v>164</v>
      </c>
      <c r="V3177" s="333"/>
      <c r="X3177" s="297">
        <v>6866.6</v>
      </c>
      <c r="Y3177" s="297"/>
      <c r="AH3177" s="291">
        <f>X3177</f>
        <v>6866.6</v>
      </c>
      <c r="AI3177" s="311"/>
      <c r="AJ3177" s="468"/>
    </row>
    <row r="3178" spans="1:77" s="379" customFormat="1" ht="11.25" customHeight="1">
      <c r="B3178" s="380" t="s">
        <v>291</v>
      </c>
      <c r="C3178" s="381">
        <v>44732</v>
      </c>
      <c r="D3178" s="381">
        <v>44734</v>
      </c>
      <c r="E3178" s="382" t="s">
        <v>2395</v>
      </c>
      <c r="F3178" s="379" t="s">
        <v>642</v>
      </c>
      <c r="G3178" s="383">
        <v>4302</v>
      </c>
      <c r="H3178" s="379" t="s">
        <v>99</v>
      </c>
      <c r="I3178" s="384" t="s">
        <v>2396</v>
      </c>
      <c r="J3178" s="385">
        <v>42778.8</v>
      </c>
      <c r="K3178" s="384"/>
      <c r="L3178" s="385">
        <v>30.6</v>
      </c>
      <c r="M3178" s="385">
        <v>30.6</v>
      </c>
      <c r="N3178" s="386"/>
      <c r="O3178" s="387">
        <v>0.2</v>
      </c>
      <c r="P3178" s="387">
        <v>0.1</v>
      </c>
      <c r="Q3178" s="386">
        <v>361.37</v>
      </c>
      <c r="R3178" s="379" t="s">
        <v>35</v>
      </c>
      <c r="S3178" s="388" t="s">
        <v>41</v>
      </c>
      <c r="T3178" s="388">
        <v>16</v>
      </c>
      <c r="U3178" s="389" t="s">
        <v>164</v>
      </c>
      <c r="V3178" s="433"/>
      <c r="X3178" s="386">
        <v>361.37</v>
      </c>
      <c r="Y3178" s="386"/>
      <c r="AJ3178" s="390">
        <v>361.37</v>
      </c>
    </row>
    <row r="3179" spans="1:77" s="379" customFormat="1" ht="11.25" customHeight="1">
      <c r="B3179" s="380" t="s">
        <v>291</v>
      </c>
      <c r="C3179" s="381"/>
      <c r="D3179" s="381"/>
      <c r="E3179" s="382" t="s">
        <v>2395</v>
      </c>
      <c r="F3179" s="379" t="s">
        <v>642</v>
      </c>
      <c r="G3179" s="383">
        <v>4302</v>
      </c>
      <c r="H3179" s="379" t="s">
        <v>27</v>
      </c>
      <c r="I3179" s="384" t="s">
        <v>2396</v>
      </c>
      <c r="J3179" s="385">
        <v>30579.48</v>
      </c>
      <c r="K3179" s="384"/>
      <c r="L3179" s="385">
        <v>19.64</v>
      </c>
      <c r="M3179" s="385">
        <v>19.64</v>
      </c>
      <c r="N3179" s="386"/>
      <c r="O3179" s="387">
        <v>0.2</v>
      </c>
      <c r="P3179" s="387">
        <v>0.1</v>
      </c>
      <c r="Q3179" s="386">
        <v>5674</v>
      </c>
      <c r="R3179" s="379" t="s">
        <v>35</v>
      </c>
      <c r="S3179" s="388" t="s">
        <v>41</v>
      </c>
      <c r="T3179" s="388">
        <v>16</v>
      </c>
      <c r="U3179" s="389" t="s">
        <v>164</v>
      </c>
      <c r="V3179" s="433"/>
      <c r="X3179" s="386">
        <v>5674</v>
      </c>
      <c r="Y3179" s="386"/>
      <c r="AJ3179" s="416">
        <v>5674</v>
      </c>
    </row>
    <row r="3180" spans="1:77" s="205" customFormat="1" ht="11.25" customHeight="1">
      <c r="A3180" s="379"/>
      <c r="B3180" s="380" t="s">
        <v>291</v>
      </c>
      <c r="C3180" s="381"/>
      <c r="D3180" s="381"/>
      <c r="E3180" s="382" t="s">
        <v>2397</v>
      </c>
      <c r="F3180" s="394" t="s">
        <v>1435</v>
      </c>
      <c r="G3180" s="400">
        <v>3685</v>
      </c>
      <c r="H3180" s="379" t="s">
        <v>137</v>
      </c>
      <c r="I3180" s="384" t="s">
        <v>156</v>
      </c>
      <c r="J3180" s="385">
        <v>18848</v>
      </c>
      <c r="K3180" s="384"/>
      <c r="L3180" s="385">
        <v>15.5</v>
      </c>
      <c r="M3180" s="385">
        <v>15.5</v>
      </c>
      <c r="N3180" s="386"/>
      <c r="O3180" s="387">
        <v>0.15</v>
      </c>
      <c r="P3180" s="387">
        <v>0.1</v>
      </c>
      <c r="Q3180" s="386">
        <v>0</v>
      </c>
      <c r="R3180" s="394" t="s">
        <v>50</v>
      </c>
      <c r="S3180" s="399" t="s">
        <v>51</v>
      </c>
      <c r="T3180" s="399">
        <v>54</v>
      </c>
      <c r="U3180" s="389" t="s">
        <v>164</v>
      </c>
      <c r="V3180" s="433"/>
      <c r="W3180" s="379"/>
      <c r="X3180" s="386">
        <v>0</v>
      </c>
      <c r="Y3180" s="386"/>
      <c r="Z3180" s="379"/>
      <c r="AA3180" s="379"/>
      <c r="AB3180" s="379"/>
      <c r="AC3180" s="379"/>
      <c r="AD3180" s="379"/>
      <c r="AE3180" s="379"/>
      <c r="AF3180" s="379"/>
      <c r="AG3180" s="379"/>
      <c r="AH3180" s="379"/>
      <c r="AI3180" s="379"/>
      <c r="AJ3180" s="390">
        <v>0</v>
      </c>
      <c r="AK3180" s="379"/>
      <c r="AL3180" s="379"/>
      <c r="AM3180" s="379"/>
      <c r="AN3180" s="379"/>
      <c r="AO3180" s="379"/>
      <c r="AP3180" s="379"/>
      <c r="AQ3180" s="379"/>
      <c r="AR3180" s="379"/>
      <c r="AS3180" s="379"/>
      <c r="AT3180" s="379"/>
      <c r="AU3180" s="379"/>
      <c r="AV3180" s="379"/>
      <c r="AW3180" s="379"/>
      <c r="AX3180" s="379"/>
      <c r="AY3180" s="379"/>
      <c r="AZ3180" s="379"/>
      <c r="BA3180" s="379"/>
      <c r="BB3180" s="379"/>
      <c r="BC3180" s="379"/>
      <c r="BD3180" s="379"/>
      <c r="BE3180" s="379"/>
      <c r="BF3180" s="379"/>
      <c r="BG3180" s="379"/>
      <c r="BH3180" s="379"/>
      <c r="BI3180" s="379"/>
      <c r="BJ3180" s="379"/>
      <c r="BK3180" s="379"/>
      <c r="BL3180" s="379"/>
      <c r="BM3180" s="379"/>
      <c r="BN3180" s="379"/>
      <c r="BO3180" s="379"/>
      <c r="BP3180" s="379"/>
      <c r="BQ3180" s="379"/>
      <c r="BR3180" s="379"/>
      <c r="BS3180" s="379"/>
      <c r="BT3180" s="379"/>
      <c r="BU3180" s="379"/>
      <c r="BV3180" s="379"/>
      <c r="BW3180" s="379"/>
      <c r="BX3180" s="379"/>
      <c r="BY3180" s="379"/>
    </row>
    <row r="3181" spans="1:77" s="205" customFormat="1" ht="11.25" customHeight="1">
      <c r="A3181" s="379"/>
      <c r="B3181" s="380" t="s">
        <v>291</v>
      </c>
      <c r="C3181" s="381"/>
      <c r="D3181" s="381"/>
      <c r="E3181" s="382" t="s">
        <v>2397</v>
      </c>
      <c r="F3181" s="394" t="s">
        <v>1435</v>
      </c>
      <c r="G3181" s="400">
        <v>3685</v>
      </c>
      <c r="H3181" s="379" t="s">
        <v>442</v>
      </c>
      <c r="I3181" s="384" t="s">
        <v>156</v>
      </c>
      <c r="J3181" s="385">
        <v>24110.55</v>
      </c>
      <c r="K3181" s="384"/>
      <c r="L3181" s="385">
        <v>20.45</v>
      </c>
      <c r="M3181" s="385">
        <v>20.45</v>
      </c>
      <c r="N3181" s="386"/>
      <c r="O3181" s="387">
        <v>0.15</v>
      </c>
      <c r="P3181" s="387">
        <v>0.1</v>
      </c>
      <c r="Q3181" s="386">
        <v>0</v>
      </c>
      <c r="R3181" s="394" t="s">
        <v>50</v>
      </c>
      <c r="S3181" s="399" t="s">
        <v>51</v>
      </c>
      <c r="T3181" s="399">
        <v>54</v>
      </c>
      <c r="U3181" s="389" t="s">
        <v>164</v>
      </c>
      <c r="V3181" s="433"/>
      <c r="W3181" s="379"/>
      <c r="X3181" s="386">
        <v>0</v>
      </c>
      <c r="Y3181" s="386"/>
      <c r="Z3181" s="379"/>
      <c r="AA3181" s="379"/>
      <c r="AB3181" s="379"/>
      <c r="AC3181" s="379"/>
      <c r="AD3181" s="379"/>
      <c r="AE3181" s="379"/>
      <c r="AF3181" s="379"/>
      <c r="AG3181" s="379"/>
      <c r="AH3181" s="379"/>
      <c r="AI3181" s="379"/>
      <c r="AJ3181" s="390">
        <v>0</v>
      </c>
      <c r="AK3181" s="379"/>
      <c r="AL3181" s="379"/>
      <c r="AM3181" s="379"/>
      <c r="AN3181" s="379"/>
      <c r="AO3181" s="379"/>
      <c r="AP3181" s="379"/>
      <c r="AQ3181" s="379"/>
      <c r="AR3181" s="379"/>
      <c r="AS3181" s="379"/>
      <c r="AT3181" s="379"/>
      <c r="AU3181" s="379"/>
      <c r="AV3181" s="379"/>
      <c r="AW3181" s="379"/>
      <c r="AX3181" s="379"/>
      <c r="AY3181" s="379"/>
      <c r="AZ3181" s="379"/>
      <c r="BA3181" s="379"/>
      <c r="BB3181" s="379"/>
      <c r="BC3181" s="379"/>
      <c r="BD3181" s="379"/>
      <c r="BE3181" s="379"/>
      <c r="BF3181" s="379"/>
      <c r="BG3181" s="379"/>
      <c r="BH3181" s="379"/>
      <c r="BI3181" s="379"/>
      <c r="BJ3181" s="379"/>
      <c r="BK3181" s="379"/>
      <c r="BL3181" s="379"/>
      <c r="BM3181" s="379"/>
      <c r="BN3181" s="379"/>
      <c r="BO3181" s="379"/>
      <c r="BP3181" s="379"/>
      <c r="BQ3181" s="379"/>
      <c r="BR3181" s="379"/>
      <c r="BS3181" s="379"/>
      <c r="BT3181" s="379"/>
      <c r="BU3181" s="379"/>
      <c r="BV3181" s="379"/>
      <c r="BW3181" s="379"/>
      <c r="BX3181" s="379"/>
      <c r="BY3181" s="379"/>
    </row>
    <row r="3182" spans="1:77" s="205" customFormat="1" ht="11.25" customHeight="1">
      <c r="B3182" s="206" t="s">
        <v>291</v>
      </c>
      <c r="C3182" s="207">
        <v>44732</v>
      </c>
      <c r="D3182" s="207">
        <v>44734</v>
      </c>
      <c r="E3182" s="208" t="s">
        <v>2397</v>
      </c>
      <c r="F3182" s="218" t="s">
        <v>1435</v>
      </c>
      <c r="G3182" s="220">
        <v>3685</v>
      </c>
      <c r="H3182" s="205" t="s">
        <v>99</v>
      </c>
      <c r="I3182" s="219" t="s">
        <v>156</v>
      </c>
      <c r="J3182" s="210">
        <v>79217.279999999999</v>
      </c>
      <c r="K3182" s="219"/>
      <c r="L3182" s="210">
        <v>57.6</v>
      </c>
      <c r="M3182" s="210">
        <v>57.6</v>
      </c>
      <c r="N3182" s="213"/>
      <c r="O3182" s="212">
        <v>0.15</v>
      </c>
      <c r="P3182" s="212">
        <v>0.1</v>
      </c>
      <c r="Q3182" s="213">
        <v>0</v>
      </c>
      <c r="R3182" s="218" t="s">
        <v>50</v>
      </c>
      <c r="S3182" s="221" t="s">
        <v>51</v>
      </c>
      <c r="T3182" s="221">
        <v>54</v>
      </c>
      <c r="U3182" s="215" t="s">
        <v>164</v>
      </c>
      <c r="V3182" s="438"/>
      <c r="X3182" s="213">
        <v>0</v>
      </c>
      <c r="Y3182" s="213"/>
      <c r="AF3182" s="230">
        <f>X3182</f>
        <v>0</v>
      </c>
      <c r="AJ3182" s="216"/>
    </row>
    <row r="3183" spans="1:77" s="205" customFormat="1" ht="11.25" customHeight="1">
      <c r="B3183" s="206" t="s">
        <v>291</v>
      </c>
      <c r="C3183" s="207"/>
      <c r="D3183" s="207"/>
      <c r="E3183" s="208" t="s">
        <v>2397</v>
      </c>
      <c r="F3183" s="218" t="s">
        <v>1435</v>
      </c>
      <c r="G3183" s="220">
        <v>3685</v>
      </c>
      <c r="H3183" s="205" t="s">
        <v>27</v>
      </c>
      <c r="I3183" s="219" t="s">
        <v>156</v>
      </c>
      <c r="J3183" s="210">
        <v>54974.6</v>
      </c>
      <c r="K3183" s="219"/>
      <c r="L3183" s="210">
        <v>42.55</v>
      </c>
      <c r="M3183" s="210">
        <v>42.55</v>
      </c>
      <c r="N3183" s="213"/>
      <c r="O3183" s="212">
        <v>0.15</v>
      </c>
      <c r="P3183" s="212">
        <v>0.1</v>
      </c>
      <c r="Q3183" s="213">
        <v>0</v>
      </c>
      <c r="R3183" s="218" t="s">
        <v>50</v>
      </c>
      <c r="S3183" s="221" t="s">
        <v>51</v>
      </c>
      <c r="T3183" s="221">
        <v>54</v>
      </c>
      <c r="U3183" s="215" t="s">
        <v>164</v>
      </c>
      <c r="V3183" s="438"/>
      <c r="X3183" s="213">
        <v>0</v>
      </c>
      <c r="Y3183" s="213"/>
      <c r="AF3183" s="230">
        <f>X3183</f>
        <v>0</v>
      </c>
      <c r="AJ3183" s="216"/>
    </row>
    <row r="3184" spans="1:77" s="205" customFormat="1" ht="11.25" customHeight="1">
      <c r="B3184" s="206" t="s">
        <v>291</v>
      </c>
      <c r="C3184" s="207"/>
      <c r="D3184" s="207"/>
      <c r="E3184" s="208" t="s">
        <v>2397</v>
      </c>
      <c r="F3184" s="218" t="s">
        <v>1435</v>
      </c>
      <c r="G3184" s="220">
        <v>3685</v>
      </c>
      <c r="H3184" s="205" t="s">
        <v>183</v>
      </c>
      <c r="I3184" s="219" t="s">
        <v>156</v>
      </c>
      <c r="J3184" s="210">
        <v>33003.43</v>
      </c>
      <c r="K3184" s="219"/>
      <c r="L3184" s="210">
        <v>25.18</v>
      </c>
      <c r="M3184" s="210">
        <v>25.18</v>
      </c>
      <c r="N3184" s="213"/>
      <c r="O3184" s="212">
        <v>0.15</v>
      </c>
      <c r="P3184" s="212">
        <v>0.1</v>
      </c>
      <c r="Q3184" s="213">
        <v>0</v>
      </c>
      <c r="R3184" s="218" t="s">
        <v>50</v>
      </c>
      <c r="S3184" s="221" t="s">
        <v>51</v>
      </c>
      <c r="T3184" s="221">
        <v>54</v>
      </c>
      <c r="U3184" s="215" t="s">
        <v>164</v>
      </c>
      <c r="V3184" s="438"/>
      <c r="X3184" s="213">
        <v>0</v>
      </c>
      <c r="Y3184" s="213"/>
      <c r="AF3184" s="230">
        <f>X3184</f>
        <v>0</v>
      </c>
      <c r="AJ3184" s="216"/>
    </row>
    <row r="3185" spans="2:37" s="337" customFormat="1" ht="11.25" customHeight="1">
      <c r="B3185" s="337" t="s">
        <v>291</v>
      </c>
      <c r="C3185" s="349">
        <v>44734</v>
      </c>
      <c r="D3185" s="349">
        <v>44734</v>
      </c>
      <c r="E3185" s="350" t="s">
        <v>2398</v>
      </c>
      <c r="F3185" s="337" t="s">
        <v>404</v>
      </c>
      <c r="G3185" s="351">
        <v>3604</v>
      </c>
      <c r="H3185" s="337" t="s">
        <v>99</v>
      </c>
      <c r="I3185" s="353" t="s">
        <v>156</v>
      </c>
      <c r="J3185" s="352">
        <v>10275.299999999999</v>
      </c>
      <c r="K3185" s="353"/>
      <c r="L3185" s="352">
        <v>9.32</v>
      </c>
      <c r="M3185" s="352">
        <v>9.32</v>
      </c>
      <c r="N3185" s="354"/>
      <c r="O3185" s="355">
        <v>0.15</v>
      </c>
      <c r="P3185" s="355">
        <v>0.1</v>
      </c>
      <c r="Q3185" s="354">
        <v>0</v>
      </c>
      <c r="R3185" s="337" t="s">
        <v>35</v>
      </c>
      <c r="S3185" s="356" t="s">
        <v>41</v>
      </c>
      <c r="T3185" s="356">
        <v>16</v>
      </c>
      <c r="U3185" s="357" t="s">
        <v>164</v>
      </c>
      <c r="V3185" s="434"/>
      <c r="X3185" s="354">
        <v>0</v>
      </c>
      <c r="Y3185" s="354"/>
      <c r="AI3185" s="337">
        <f>X3185</f>
        <v>0</v>
      </c>
      <c r="AJ3185" s="358"/>
      <c r="AK3185" s="369"/>
    </row>
    <row r="3186" spans="2:37" s="379" customFormat="1" ht="11.25" customHeight="1">
      <c r="B3186" s="379" t="s">
        <v>291</v>
      </c>
      <c r="C3186" s="381"/>
      <c r="D3186" s="381"/>
      <c r="E3186" s="382" t="s">
        <v>2398</v>
      </c>
      <c r="F3186" s="379" t="s">
        <v>404</v>
      </c>
      <c r="G3186" s="383">
        <v>3604</v>
      </c>
      <c r="H3186" s="379" t="s">
        <v>898</v>
      </c>
      <c r="I3186" s="384" t="s">
        <v>156</v>
      </c>
      <c r="J3186" s="385">
        <v>9385.1299999999992</v>
      </c>
      <c r="K3186" s="384"/>
      <c r="L3186" s="385">
        <v>10.28</v>
      </c>
      <c r="M3186" s="385">
        <v>10.28</v>
      </c>
      <c r="N3186" s="386"/>
      <c r="O3186" s="387">
        <v>0.15</v>
      </c>
      <c r="P3186" s="387">
        <v>0.1</v>
      </c>
      <c r="Q3186" s="386">
        <v>0</v>
      </c>
      <c r="R3186" s="379" t="s">
        <v>35</v>
      </c>
      <c r="S3186" s="388" t="s">
        <v>41</v>
      </c>
      <c r="T3186" s="388">
        <v>16</v>
      </c>
      <c r="U3186" s="389" t="s">
        <v>164</v>
      </c>
      <c r="V3186" s="433"/>
      <c r="X3186" s="386">
        <v>0</v>
      </c>
      <c r="Y3186" s="386"/>
      <c r="AJ3186" s="390">
        <v>0</v>
      </c>
    </row>
    <row r="3187" spans="2:37" s="379" customFormat="1" ht="11.25" customHeight="1">
      <c r="B3187" s="379" t="s">
        <v>291</v>
      </c>
      <c r="C3187" s="381">
        <v>44732</v>
      </c>
      <c r="D3187" s="381">
        <v>44735</v>
      </c>
      <c r="E3187" s="382" t="s">
        <v>2399</v>
      </c>
      <c r="F3187" s="379" t="s">
        <v>2400</v>
      </c>
      <c r="G3187" s="383">
        <v>4228</v>
      </c>
      <c r="H3187" s="379" t="s">
        <v>99</v>
      </c>
      <c r="I3187" s="384" t="s">
        <v>961</v>
      </c>
      <c r="J3187" s="385">
        <v>24168.76</v>
      </c>
      <c r="K3187" s="384"/>
      <c r="L3187" s="385">
        <v>24.25</v>
      </c>
      <c r="M3187" s="385">
        <v>24.25</v>
      </c>
      <c r="N3187" s="386"/>
      <c r="O3187" s="387">
        <v>0.3</v>
      </c>
      <c r="P3187" s="387"/>
      <c r="Q3187" s="386">
        <v>0</v>
      </c>
      <c r="R3187" s="379" t="s">
        <v>257</v>
      </c>
      <c r="S3187" s="388" t="s">
        <v>74</v>
      </c>
      <c r="T3187" s="388">
        <v>32</v>
      </c>
      <c r="U3187" s="389" t="s">
        <v>164</v>
      </c>
      <c r="V3187" s="433"/>
      <c r="X3187" s="386">
        <v>0</v>
      </c>
      <c r="Y3187" s="386"/>
      <c r="AJ3187" s="390">
        <v>0</v>
      </c>
    </row>
    <row r="3188" spans="2:37" s="379" customFormat="1" ht="11.25" customHeight="1">
      <c r="B3188" s="379" t="s">
        <v>291</v>
      </c>
      <c r="C3188" s="381"/>
      <c r="D3188" s="381"/>
      <c r="E3188" s="382" t="s">
        <v>2399</v>
      </c>
      <c r="F3188" s="379" t="s">
        <v>2400</v>
      </c>
      <c r="G3188" s="383">
        <v>4228</v>
      </c>
      <c r="H3188" s="379" t="s">
        <v>765</v>
      </c>
      <c r="I3188" s="384" t="s">
        <v>961</v>
      </c>
      <c r="J3188" s="385">
        <v>43523.87</v>
      </c>
      <c r="K3188" s="384"/>
      <c r="L3188" s="385">
        <v>58.3</v>
      </c>
      <c r="M3188" s="385">
        <v>58.3</v>
      </c>
      <c r="N3188" s="386"/>
      <c r="O3188" s="387">
        <v>0.3</v>
      </c>
      <c r="P3188" s="387"/>
      <c r="Q3188" s="386">
        <v>0</v>
      </c>
      <c r="R3188" s="379" t="s">
        <v>257</v>
      </c>
      <c r="S3188" s="388" t="s">
        <v>74</v>
      </c>
      <c r="T3188" s="388">
        <v>32</v>
      </c>
      <c r="U3188" s="389" t="s">
        <v>164</v>
      </c>
      <c r="V3188" s="433"/>
      <c r="X3188" s="386">
        <v>0</v>
      </c>
      <c r="Y3188" s="386"/>
      <c r="AJ3188" s="390">
        <v>0</v>
      </c>
    </row>
    <row r="3189" spans="2:37" s="181" customFormat="1" ht="11.25" customHeight="1">
      <c r="B3189" s="181" t="s">
        <v>291</v>
      </c>
      <c r="C3189" s="179">
        <v>44734</v>
      </c>
      <c r="D3189" s="179">
        <v>44735</v>
      </c>
      <c r="E3189" s="180" t="s">
        <v>2401</v>
      </c>
      <c r="F3189" s="181" t="s">
        <v>318</v>
      </c>
      <c r="G3189" s="182" t="s">
        <v>319</v>
      </c>
      <c r="H3189" s="181" t="s">
        <v>99</v>
      </c>
      <c r="I3189" s="190" t="s">
        <v>156</v>
      </c>
      <c r="J3189" s="183">
        <v>93870.25</v>
      </c>
      <c r="K3189" s="190"/>
      <c r="L3189" s="183">
        <v>80.42</v>
      </c>
      <c r="M3189" s="183">
        <v>80.42</v>
      </c>
      <c r="N3189" s="185">
        <v>0</v>
      </c>
      <c r="O3189" s="186">
        <v>0.2</v>
      </c>
      <c r="P3189" s="186">
        <v>0.1</v>
      </c>
      <c r="Q3189" s="185">
        <v>0</v>
      </c>
      <c r="R3189" s="181" t="s">
        <v>285</v>
      </c>
      <c r="S3189" s="187" t="s">
        <v>275</v>
      </c>
      <c r="T3189" s="187">
        <v>21</v>
      </c>
      <c r="U3189" s="188" t="s">
        <v>164</v>
      </c>
      <c r="V3189" s="441"/>
      <c r="X3189" s="185">
        <v>0</v>
      </c>
      <c r="Y3189" s="185"/>
      <c r="AE3189" s="204">
        <f>X3189</f>
        <v>0</v>
      </c>
      <c r="AJ3189" s="189"/>
    </row>
    <row r="3190" spans="2:37" s="261" customFormat="1" ht="11.25" customHeight="1">
      <c r="B3190" s="261" t="s">
        <v>291</v>
      </c>
      <c r="C3190" s="259"/>
      <c r="D3190" s="259"/>
      <c r="E3190" s="260" t="s">
        <v>2401</v>
      </c>
      <c r="F3190" s="261" t="s">
        <v>318</v>
      </c>
      <c r="G3190" s="262" t="s">
        <v>319</v>
      </c>
      <c r="H3190" s="261" t="s">
        <v>27</v>
      </c>
      <c r="I3190" s="264" t="s">
        <v>156</v>
      </c>
      <c r="J3190" s="263">
        <v>71104.77</v>
      </c>
      <c r="K3190" s="264"/>
      <c r="L3190" s="263">
        <v>59.18</v>
      </c>
      <c r="M3190" s="263">
        <v>59.18</v>
      </c>
      <c r="O3190" s="266">
        <v>0.2</v>
      </c>
      <c r="P3190" s="266">
        <v>0.1</v>
      </c>
      <c r="Q3190" s="265">
        <v>0</v>
      </c>
      <c r="R3190" s="261" t="s">
        <v>285</v>
      </c>
      <c r="S3190" s="267" t="s">
        <v>275</v>
      </c>
      <c r="T3190" s="267">
        <v>21</v>
      </c>
      <c r="U3190" s="268" t="s">
        <v>164</v>
      </c>
      <c r="V3190" s="427"/>
      <c r="W3190" s="261" t="s">
        <v>3807</v>
      </c>
      <c r="X3190" s="265">
        <v>0</v>
      </c>
      <c r="Y3190" s="265"/>
      <c r="AG3190" s="261">
        <f>X3190</f>
        <v>0</v>
      </c>
      <c r="AJ3190" s="642"/>
    </row>
    <row r="3191" spans="2:37" s="181" customFormat="1" ht="11.25" customHeight="1">
      <c r="B3191" s="181" t="s">
        <v>291</v>
      </c>
      <c r="C3191" s="179"/>
      <c r="D3191" s="179"/>
      <c r="E3191" s="180" t="s">
        <v>2401</v>
      </c>
      <c r="F3191" s="181" t="s">
        <v>318</v>
      </c>
      <c r="G3191" s="182" t="s">
        <v>319</v>
      </c>
      <c r="H3191" s="181" t="s">
        <v>183</v>
      </c>
      <c r="I3191" s="190" t="s">
        <v>156</v>
      </c>
      <c r="J3191" s="183">
        <v>42958.080000000002</v>
      </c>
      <c r="K3191" s="190"/>
      <c r="L3191" s="183">
        <v>37.29</v>
      </c>
      <c r="M3191" s="183">
        <v>14.5</v>
      </c>
      <c r="N3191" s="185"/>
      <c r="O3191" s="186">
        <v>0.2</v>
      </c>
      <c r="P3191" s="186">
        <v>0.1</v>
      </c>
      <c r="Q3191" s="185">
        <v>0</v>
      </c>
      <c r="R3191" s="181" t="s">
        <v>285</v>
      </c>
      <c r="S3191" s="187" t="s">
        <v>275</v>
      </c>
      <c r="T3191" s="187">
        <v>21</v>
      </c>
      <c r="U3191" s="188" t="s">
        <v>164</v>
      </c>
      <c r="V3191" s="441"/>
      <c r="X3191" s="185">
        <v>0</v>
      </c>
      <c r="Y3191" s="185"/>
      <c r="AE3191" s="204">
        <f>X3191</f>
        <v>0</v>
      </c>
      <c r="AJ3191" s="189"/>
    </row>
    <row r="3192" spans="2:37" s="291" customFormat="1" ht="11.25" customHeight="1">
      <c r="B3192" s="313" t="s">
        <v>291</v>
      </c>
      <c r="C3192" s="292">
        <v>44732</v>
      </c>
      <c r="D3192" s="292">
        <v>44735</v>
      </c>
      <c r="E3192" s="293" t="s">
        <v>2402</v>
      </c>
      <c r="F3192" s="291" t="s">
        <v>1188</v>
      </c>
      <c r="G3192" s="294">
        <v>4418</v>
      </c>
      <c r="H3192" s="291" t="s">
        <v>99</v>
      </c>
      <c r="I3192" s="295" t="s">
        <v>156</v>
      </c>
      <c r="J3192" s="296">
        <v>8000</v>
      </c>
      <c r="K3192" s="295"/>
      <c r="L3192" s="296">
        <v>5</v>
      </c>
      <c r="M3192" s="296">
        <v>5</v>
      </c>
      <c r="N3192" s="297"/>
      <c r="O3192" s="298">
        <v>0.15</v>
      </c>
      <c r="P3192" s="298">
        <v>0.1</v>
      </c>
      <c r="Q3192" s="297">
        <v>4575</v>
      </c>
      <c r="R3192" s="291" t="s">
        <v>77</v>
      </c>
      <c r="S3192" s="299" t="s">
        <v>41</v>
      </c>
      <c r="T3192" s="299">
        <v>17</v>
      </c>
      <c r="U3192" s="300" t="s">
        <v>164</v>
      </c>
      <c r="V3192" s="333"/>
      <c r="X3192" s="297">
        <v>4575</v>
      </c>
      <c r="Y3192" s="297"/>
      <c r="AH3192" s="291">
        <f>X3192</f>
        <v>4575</v>
      </c>
      <c r="AI3192" s="311"/>
      <c r="AJ3192" s="468"/>
    </row>
    <row r="3193" spans="2:37" s="291" customFormat="1" ht="11.25" customHeight="1">
      <c r="B3193" s="313" t="s">
        <v>291</v>
      </c>
      <c r="C3193" s="292"/>
      <c r="D3193" s="292"/>
      <c r="E3193" s="293" t="s">
        <v>2402</v>
      </c>
      <c r="F3193" s="291" t="s">
        <v>1188</v>
      </c>
      <c r="G3193" s="294">
        <v>4418</v>
      </c>
      <c r="H3193" s="291" t="s">
        <v>27</v>
      </c>
      <c r="I3193" s="295" t="s">
        <v>156</v>
      </c>
      <c r="J3193" s="296">
        <v>12240</v>
      </c>
      <c r="K3193" s="295"/>
      <c r="L3193" s="296">
        <v>8</v>
      </c>
      <c r="M3193" s="296">
        <v>3</v>
      </c>
      <c r="N3193" s="297"/>
      <c r="O3193" s="298">
        <v>0.15</v>
      </c>
      <c r="P3193" s="298">
        <v>0.1</v>
      </c>
      <c r="Q3193" s="297">
        <v>1800</v>
      </c>
      <c r="R3193" s="291" t="s">
        <v>77</v>
      </c>
      <c r="S3193" s="299" t="s">
        <v>41</v>
      </c>
      <c r="T3193" s="299">
        <v>17</v>
      </c>
      <c r="U3193" s="300" t="s">
        <v>164</v>
      </c>
      <c r="V3193" s="333"/>
      <c r="X3193" s="297">
        <v>1800</v>
      </c>
      <c r="Y3193" s="297"/>
      <c r="AH3193" s="291">
        <f>X3193</f>
        <v>1800</v>
      </c>
      <c r="AI3193" s="311"/>
      <c r="AJ3193" s="468"/>
    </row>
    <row r="3194" spans="2:37" s="379" customFormat="1" ht="11.25" customHeight="1">
      <c r="B3194" s="406" t="s">
        <v>291</v>
      </c>
      <c r="C3194" s="381">
        <v>44734</v>
      </c>
      <c r="D3194" s="381">
        <v>44734</v>
      </c>
      <c r="E3194" s="382" t="s">
        <v>2403</v>
      </c>
      <c r="F3194" s="379" t="s">
        <v>2404</v>
      </c>
      <c r="G3194" s="383" t="s">
        <v>2405</v>
      </c>
      <c r="H3194" s="379" t="s">
        <v>866</v>
      </c>
      <c r="I3194" s="384" t="s">
        <v>156</v>
      </c>
      <c r="J3194" s="385">
        <v>19143.900000000001</v>
      </c>
      <c r="K3194" s="384"/>
      <c r="L3194" s="385">
        <v>14.34</v>
      </c>
      <c r="M3194" s="385">
        <v>14</v>
      </c>
      <c r="N3194" s="386">
        <v>2242.8000000000002</v>
      </c>
      <c r="O3194" s="387">
        <v>0.15</v>
      </c>
      <c r="P3194" s="387">
        <v>0.1</v>
      </c>
      <c r="Q3194" s="386">
        <v>333.41</v>
      </c>
      <c r="R3194" s="379" t="s">
        <v>112</v>
      </c>
      <c r="S3194" s="388" t="s">
        <v>113</v>
      </c>
      <c r="T3194" s="388">
        <v>64</v>
      </c>
      <c r="U3194" s="389" t="s">
        <v>164</v>
      </c>
      <c r="V3194" s="433"/>
      <c r="X3194" s="386">
        <v>333.41</v>
      </c>
      <c r="Y3194" s="386"/>
      <c r="AJ3194" s="416">
        <v>333.41</v>
      </c>
    </row>
    <row r="3195" spans="2:37" s="379" customFormat="1" ht="11.25" customHeight="1">
      <c r="B3195" s="380" t="s">
        <v>291</v>
      </c>
      <c r="C3195" s="381">
        <v>44733</v>
      </c>
      <c r="D3195" s="381">
        <v>44734</v>
      </c>
      <c r="E3195" s="382" t="s">
        <v>2406</v>
      </c>
      <c r="F3195" s="379" t="s">
        <v>1331</v>
      </c>
      <c r="G3195" s="383" t="s">
        <v>1332</v>
      </c>
      <c r="H3195" s="379" t="s">
        <v>1009</v>
      </c>
      <c r="I3195" s="384" t="s">
        <v>156</v>
      </c>
      <c r="J3195" s="385">
        <v>4721.75</v>
      </c>
      <c r="K3195" s="384"/>
      <c r="L3195" s="385">
        <v>2.75</v>
      </c>
      <c r="M3195" s="385">
        <v>2.75</v>
      </c>
      <c r="N3195" s="386">
        <v>944.35</v>
      </c>
      <c r="O3195" s="387">
        <v>0.2</v>
      </c>
      <c r="P3195" s="387">
        <v>0.1</v>
      </c>
      <c r="Q3195" s="386">
        <v>944.35</v>
      </c>
      <c r="R3195" s="379" t="s">
        <v>112</v>
      </c>
      <c r="S3195" s="388" t="s">
        <v>113</v>
      </c>
      <c r="T3195" s="388">
        <v>64</v>
      </c>
      <c r="U3195" s="389" t="s">
        <v>164</v>
      </c>
      <c r="V3195" s="433"/>
      <c r="X3195" s="386">
        <v>944.35</v>
      </c>
      <c r="Y3195" s="386"/>
      <c r="AJ3195" s="416">
        <v>944.35</v>
      </c>
    </row>
    <row r="3196" spans="2:37" s="337" customFormat="1" ht="11.25" customHeight="1">
      <c r="B3196" s="338" t="s">
        <v>291</v>
      </c>
      <c r="C3196" s="349"/>
      <c r="D3196" s="349"/>
      <c r="E3196" s="350" t="s">
        <v>2406</v>
      </c>
      <c r="F3196" s="337" t="s">
        <v>1331</v>
      </c>
      <c r="G3196" s="351" t="s">
        <v>1332</v>
      </c>
      <c r="H3196" s="337" t="s">
        <v>910</v>
      </c>
      <c r="I3196" s="353" t="s">
        <v>156</v>
      </c>
      <c r="J3196" s="352">
        <v>13772.21</v>
      </c>
      <c r="K3196" s="353"/>
      <c r="L3196" s="352">
        <v>7.32</v>
      </c>
      <c r="M3196" s="352">
        <v>7.32</v>
      </c>
      <c r="N3196" s="354">
        <v>0</v>
      </c>
      <c r="O3196" s="355">
        <v>0.2</v>
      </c>
      <c r="P3196" s="355">
        <v>0.1</v>
      </c>
      <c r="Q3196" s="354">
        <v>0</v>
      </c>
      <c r="R3196" s="337" t="s">
        <v>112</v>
      </c>
      <c r="S3196" s="356" t="s">
        <v>113</v>
      </c>
      <c r="T3196" s="356">
        <v>64</v>
      </c>
      <c r="U3196" s="357" t="s">
        <v>164</v>
      </c>
      <c r="V3196" s="434"/>
      <c r="X3196" s="354">
        <v>0</v>
      </c>
      <c r="Y3196" s="354"/>
      <c r="AI3196" s="337">
        <v>0</v>
      </c>
      <c r="AJ3196" s="358"/>
      <c r="AK3196" s="369"/>
    </row>
    <row r="3197" spans="2:37" s="337" customFormat="1" ht="11.25" customHeight="1">
      <c r="B3197" s="338" t="s">
        <v>291</v>
      </c>
      <c r="C3197" s="349"/>
      <c r="D3197" s="349"/>
      <c r="E3197" s="350" t="s">
        <v>2406</v>
      </c>
      <c r="F3197" s="337" t="s">
        <v>1331</v>
      </c>
      <c r="G3197" s="351" t="s">
        <v>1332</v>
      </c>
      <c r="H3197" s="337" t="s">
        <v>866</v>
      </c>
      <c r="I3197" s="353" t="s">
        <v>156</v>
      </c>
      <c r="J3197" s="352">
        <v>10704.6</v>
      </c>
      <c r="K3197" s="353"/>
      <c r="L3197" s="352">
        <v>6.31</v>
      </c>
      <c r="M3197" s="352">
        <v>2.83</v>
      </c>
      <c r="N3197" s="354">
        <v>672.13</v>
      </c>
      <c r="O3197" s="355">
        <v>0.2</v>
      </c>
      <c r="P3197" s="355">
        <v>0.1</v>
      </c>
      <c r="Q3197" s="354">
        <v>0</v>
      </c>
      <c r="R3197" s="337" t="s">
        <v>112</v>
      </c>
      <c r="S3197" s="356" t="s">
        <v>113</v>
      </c>
      <c r="T3197" s="356">
        <v>64</v>
      </c>
      <c r="U3197" s="357" t="s">
        <v>164</v>
      </c>
      <c r="V3197" s="434"/>
      <c r="X3197" s="354">
        <v>0</v>
      </c>
      <c r="Y3197" s="354"/>
      <c r="AI3197" s="337">
        <v>0</v>
      </c>
      <c r="AJ3197" s="358"/>
      <c r="AK3197" s="369"/>
    </row>
    <row r="3198" spans="2:37" s="337" customFormat="1" ht="11.25" customHeight="1">
      <c r="B3198" s="338" t="s">
        <v>291</v>
      </c>
      <c r="C3198" s="349">
        <v>44732</v>
      </c>
      <c r="D3198" s="349">
        <v>44735</v>
      </c>
      <c r="E3198" s="350" t="s">
        <v>2407</v>
      </c>
      <c r="F3198" s="337" t="s">
        <v>2408</v>
      </c>
      <c r="G3198" s="351" t="s">
        <v>2409</v>
      </c>
      <c r="H3198" s="337" t="s">
        <v>910</v>
      </c>
      <c r="I3198" s="353" t="s">
        <v>1351</v>
      </c>
      <c r="J3198" s="352">
        <v>68838.509999999995</v>
      </c>
      <c r="K3198" s="353"/>
      <c r="L3198" s="352">
        <v>35.72</v>
      </c>
      <c r="M3198" s="352">
        <v>35.72</v>
      </c>
      <c r="N3198" s="354">
        <v>17898.009999999998</v>
      </c>
      <c r="O3198" s="355">
        <v>0.3</v>
      </c>
      <c r="P3198" s="355">
        <v>0.1</v>
      </c>
      <c r="Q3198" s="354">
        <v>907.03</v>
      </c>
      <c r="R3198" s="337" t="s">
        <v>112</v>
      </c>
      <c r="S3198" s="356" t="s">
        <v>113</v>
      </c>
      <c r="T3198" s="356">
        <v>64</v>
      </c>
      <c r="U3198" s="357" t="s">
        <v>164</v>
      </c>
      <c r="V3198" s="434"/>
      <c r="X3198" s="354">
        <v>907.03</v>
      </c>
      <c r="Y3198" s="354"/>
      <c r="AI3198" s="354">
        <v>907.03</v>
      </c>
      <c r="AJ3198" s="358"/>
      <c r="AK3198" s="369"/>
    </row>
    <row r="3199" spans="2:37" s="337" customFormat="1" ht="11.25" customHeight="1">
      <c r="B3199" s="338" t="s">
        <v>291</v>
      </c>
      <c r="C3199" s="349"/>
      <c r="D3199" s="349"/>
      <c r="E3199" s="350" t="s">
        <v>2407</v>
      </c>
      <c r="F3199" s="337" t="s">
        <v>2408</v>
      </c>
      <c r="G3199" s="351" t="s">
        <v>2409</v>
      </c>
      <c r="H3199" s="337" t="s">
        <v>866</v>
      </c>
      <c r="I3199" s="353" t="s">
        <v>1351</v>
      </c>
      <c r="J3199" s="352">
        <v>36273.99</v>
      </c>
      <c r="K3199" s="353"/>
      <c r="L3199" s="352">
        <v>24.41</v>
      </c>
      <c r="M3199" s="352">
        <v>24.41</v>
      </c>
      <c r="N3199" s="354">
        <v>18862.48</v>
      </c>
      <c r="O3199" s="355">
        <v>0.3</v>
      </c>
      <c r="P3199" s="355">
        <v>0.1</v>
      </c>
      <c r="Q3199" s="354">
        <v>6923.97</v>
      </c>
      <c r="R3199" s="337" t="s">
        <v>112</v>
      </c>
      <c r="S3199" s="356" t="s">
        <v>113</v>
      </c>
      <c r="T3199" s="356">
        <v>64</v>
      </c>
      <c r="U3199" s="357" t="s">
        <v>164</v>
      </c>
      <c r="V3199" s="434"/>
      <c r="X3199" s="354">
        <v>6923.97</v>
      </c>
      <c r="Y3199" s="354"/>
      <c r="AI3199" s="354">
        <v>6923.97</v>
      </c>
      <c r="AJ3199" s="358"/>
      <c r="AK3199" s="369"/>
    </row>
    <row r="3200" spans="2:37" s="379" customFormat="1" ht="11.25" customHeight="1">
      <c r="B3200" s="379" t="s">
        <v>291</v>
      </c>
      <c r="C3200" s="381">
        <v>44734</v>
      </c>
      <c r="D3200" s="381">
        <v>44735</v>
      </c>
      <c r="E3200" s="382" t="s">
        <v>2410</v>
      </c>
      <c r="F3200" s="379" t="s">
        <v>2372</v>
      </c>
      <c r="G3200" s="383" t="s">
        <v>2373</v>
      </c>
      <c r="H3200" s="379" t="s">
        <v>866</v>
      </c>
      <c r="I3200" s="384" t="s">
        <v>156</v>
      </c>
      <c r="J3200" s="385">
        <v>47388</v>
      </c>
      <c r="K3200" s="384"/>
      <c r="L3200" s="385">
        <v>22</v>
      </c>
      <c r="M3200" s="385">
        <v>22</v>
      </c>
      <c r="N3200" s="386">
        <f>14216</f>
        <v>14216</v>
      </c>
      <c r="O3200" s="387">
        <v>0.15</v>
      </c>
      <c r="P3200" s="387">
        <v>0.1</v>
      </c>
      <c r="Q3200" s="386">
        <v>0</v>
      </c>
      <c r="R3200" s="379" t="s">
        <v>112</v>
      </c>
      <c r="S3200" s="388" t="s">
        <v>113</v>
      </c>
      <c r="T3200" s="388">
        <v>64</v>
      </c>
      <c r="U3200" s="389" t="s">
        <v>164</v>
      </c>
      <c r="V3200" s="433"/>
      <c r="X3200" s="386">
        <v>0</v>
      </c>
      <c r="Y3200" s="386"/>
      <c r="AJ3200" s="390">
        <v>0</v>
      </c>
    </row>
    <row r="3201" spans="1:77" s="379" customFormat="1" ht="11.25" customHeight="1">
      <c r="B3201" s="380" t="s">
        <v>291</v>
      </c>
      <c r="C3201" s="381">
        <v>44734</v>
      </c>
      <c r="D3201" s="381">
        <v>44735</v>
      </c>
      <c r="E3201" s="382" t="s">
        <v>2411</v>
      </c>
      <c r="F3201" s="379" t="s">
        <v>1719</v>
      </c>
      <c r="G3201" s="383">
        <v>3707</v>
      </c>
      <c r="H3201" s="379" t="s">
        <v>99</v>
      </c>
      <c r="I3201" s="384" t="s">
        <v>156</v>
      </c>
      <c r="J3201" s="385">
        <v>57621</v>
      </c>
      <c r="K3201" s="384"/>
      <c r="L3201" s="385">
        <v>50.21</v>
      </c>
      <c r="M3201" s="385">
        <v>14.2</v>
      </c>
      <c r="N3201" s="386">
        <v>5748.7865999999985</v>
      </c>
      <c r="O3201" s="387">
        <v>0.2</v>
      </c>
      <c r="P3201" s="387">
        <v>0.1</v>
      </c>
      <c r="Q3201" s="386">
        <v>0</v>
      </c>
      <c r="R3201" s="379" t="s">
        <v>29</v>
      </c>
      <c r="S3201" s="388" t="s">
        <v>51</v>
      </c>
      <c r="T3201" s="388">
        <v>52</v>
      </c>
      <c r="U3201" s="389" t="s">
        <v>164</v>
      </c>
      <c r="V3201" s="433"/>
      <c r="X3201" s="386">
        <v>0</v>
      </c>
      <c r="Y3201" s="386"/>
      <c r="AJ3201" s="390">
        <v>0</v>
      </c>
    </row>
    <row r="3202" spans="1:77" s="6" customFormat="1" ht="11.25" customHeight="1">
      <c r="A3202" s="379"/>
      <c r="B3202" s="380" t="s">
        <v>291</v>
      </c>
      <c r="C3202" s="381"/>
      <c r="D3202" s="381"/>
      <c r="E3202" s="382" t="s">
        <v>2411</v>
      </c>
      <c r="F3202" s="379" t="s">
        <v>1719</v>
      </c>
      <c r="G3202" s="383">
        <v>3707</v>
      </c>
      <c r="H3202" s="379" t="s">
        <v>27</v>
      </c>
      <c r="I3202" s="384" t="s">
        <v>156</v>
      </c>
      <c r="J3202" s="385">
        <v>30874.03</v>
      </c>
      <c r="K3202" s="384"/>
      <c r="L3202" s="385">
        <v>26.16</v>
      </c>
      <c r="M3202" s="385">
        <v>26.16</v>
      </c>
      <c r="N3202" s="386">
        <f>1505.94+1134.64+5280.69</f>
        <v>7921.2699999999995</v>
      </c>
      <c r="O3202" s="387">
        <v>0.2</v>
      </c>
      <c r="P3202" s="387">
        <v>0.1</v>
      </c>
      <c r="Q3202" s="386">
        <v>0</v>
      </c>
      <c r="R3202" s="379" t="s">
        <v>29</v>
      </c>
      <c r="S3202" s="388" t="s">
        <v>51</v>
      </c>
      <c r="T3202" s="388">
        <v>52</v>
      </c>
      <c r="U3202" s="389" t="s">
        <v>164</v>
      </c>
      <c r="V3202" s="433"/>
      <c r="W3202" s="379"/>
      <c r="X3202" s="386">
        <v>0</v>
      </c>
      <c r="Y3202" s="386"/>
      <c r="Z3202" s="379"/>
      <c r="AA3202" s="379"/>
      <c r="AB3202" s="379"/>
      <c r="AC3202" s="379"/>
      <c r="AD3202" s="379"/>
      <c r="AE3202" s="379"/>
      <c r="AF3202" s="379"/>
      <c r="AG3202" s="379"/>
      <c r="AH3202" s="379"/>
      <c r="AI3202" s="379"/>
      <c r="AJ3202" s="390">
        <v>0</v>
      </c>
      <c r="AK3202" s="379"/>
      <c r="AL3202" s="379"/>
      <c r="AM3202" s="379"/>
      <c r="AN3202" s="379"/>
      <c r="AO3202" s="379"/>
      <c r="AP3202" s="379"/>
      <c r="AQ3202" s="379"/>
      <c r="AR3202" s="379"/>
      <c r="AS3202" s="379"/>
      <c r="AT3202" s="379"/>
      <c r="AU3202" s="379"/>
      <c r="AV3202" s="379"/>
      <c r="AW3202" s="379"/>
      <c r="AX3202" s="379"/>
      <c r="AY3202" s="379"/>
      <c r="AZ3202" s="379"/>
      <c r="BA3202" s="379"/>
      <c r="BB3202" s="379"/>
      <c r="BC3202" s="379"/>
      <c r="BD3202" s="379"/>
      <c r="BE3202" s="379"/>
      <c r="BF3202" s="379"/>
      <c r="BG3202" s="379"/>
      <c r="BH3202" s="379"/>
      <c r="BI3202" s="379"/>
      <c r="BJ3202" s="379"/>
      <c r="BK3202" s="379"/>
      <c r="BL3202" s="379"/>
      <c r="BM3202" s="379"/>
      <c r="BN3202" s="379"/>
      <c r="BO3202" s="379"/>
      <c r="BP3202" s="379"/>
      <c r="BQ3202" s="379"/>
      <c r="BR3202" s="379"/>
      <c r="BS3202" s="379"/>
      <c r="BT3202" s="379"/>
      <c r="BU3202" s="379"/>
      <c r="BV3202" s="379"/>
      <c r="BW3202" s="379"/>
      <c r="BX3202" s="379"/>
      <c r="BY3202" s="379"/>
    </row>
    <row r="3203" spans="1:77" s="379" customFormat="1" ht="11.25" customHeight="1">
      <c r="B3203" s="380" t="s">
        <v>291</v>
      </c>
      <c r="C3203" s="381">
        <v>44735</v>
      </c>
      <c r="D3203" s="381">
        <v>44735</v>
      </c>
      <c r="E3203" s="382" t="s">
        <v>2497</v>
      </c>
      <c r="F3203" s="379" t="s">
        <v>2392</v>
      </c>
      <c r="G3203" s="383">
        <v>4316</v>
      </c>
      <c r="H3203" s="379" t="s">
        <v>99</v>
      </c>
      <c r="I3203" s="384" t="s">
        <v>33</v>
      </c>
      <c r="J3203" s="385">
        <v>35669.32</v>
      </c>
      <c r="K3203" s="384"/>
      <c r="L3203" s="385">
        <v>31.51</v>
      </c>
      <c r="M3203" s="385">
        <v>31.51</v>
      </c>
      <c r="N3203" s="386"/>
      <c r="O3203" s="387">
        <v>0.2</v>
      </c>
      <c r="P3203" s="387"/>
      <c r="Q3203" s="386">
        <v>0</v>
      </c>
      <c r="R3203" s="379" t="s">
        <v>73</v>
      </c>
      <c r="S3203" s="388" t="s">
        <v>74</v>
      </c>
      <c r="T3203" s="388">
        <v>31</v>
      </c>
      <c r="U3203" s="389" t="s">
        <v>164</v>
      </c>
      <c r="V3203" s="433"/>
      <c r="X3203" s="386">
        <v>0</v>
      </c>
      <c r="Y3203" s="386"/>
      <c r="AJ3203" s="390">
        <v>0</v>
      </c>
    </row>
    <row r="3204" spans="1:77" s="379" customFormat="1" ht="11.25" customHeight="1">
      <c r="B3204" s="380" t="s">
        <v>291</v>
      </c>
      <c r="C3204" s="381"/>
      <c r="D3204" s="381"/>
      <c r="E3204" s="382" t="s">
        <v>2497</v>
      </c>
      <c r="F3204" s="379" t="s">
        <v>2392</v>
      </c>
      <c r="G3204" s="383">
        <v>4316</v>
      </c>
      <c r="H3204" s="379" t="s">
        <v>765</v>
      </c>
      <c r="I3204" s="384" t="s">
        <v>33</v>
      </c>
      <c r="J3204" s="385">
        <v>36520</v>
      </c>
      <c r="K3204" s="384"/>
      <c r="L3204" s="385">
        <v>45.65</v>
      </c>
      <c r="M3204" s="385">
        <v>45.65</v>
      </c>
      <c r="N3204" s="386"/>
      <c r="O3204" s="387">
        <v>0.2</v>
      </c>
      <c r="P3204" s="387"/>
      <c r="Q3204" s="386">
        <v>12876.4</v>
      </c>
      <c r="R3204" s="379" t="s">
        <v>73</v>
      </c>
      <c r="S3204" s="388" t="s">
        <v>74</v>
      </c>
      <c r="T3204" s="388">
        <v>31</v>
      </c>
      <c r="U3204" s="389" t="s">
        <v>164</v>
      </c>
      <c r="V3204" s="433"/>
      <c r="X3204" s="386">
        <v>12876.4</v>
      </c>
      <c r="Y3204" s="386"/>
      <c r="AJ3204" s="416">
        <v>12876.4</v>
      </c>
    </row>
    <row r="3205" spans="1:77" s="379" customFormat="1" ht="11.25" customHeight="1">
      <c r="B3205" s="380" t="s">
        <v>291</v>
      </c>
      <c r="C3205" s="381">
        <v>44734</v>
      </c>
      <c r="D3205" s="381">
        <v>44735</v>
      </c>
      <c r="E3205" s="382" t="s">
        <v>2412</v>
      </c>
      <c r="F3205" s="379" t="s">
        <v>1938</v>
      </c>
      <c r="G3205" s="383">
        <v>3805</v>
      </c>
      <c r="H3205" s="379" t="s">
        <v>99</v>
      </c>
      <c r="I3205" s="384" t="s">
        <v>156</v>
      </c>
      <c r="J3205" s="385">
        <v>61124.11</v>
      </c>
      <c r="K3205" s="384"/>
      <c r="L3205" s="385">
        <v>54.81</v>
      </c>
      <c r="M3205" s="385">
        <v>33</v>
      </c>
      <c r="N3205" s="386">
        <f>3599.2+1344.49</f>
        <v>4943.6899999999996</v>
      </c>
      <c r="O3205" s="387">
        <v>0.15</v>
      </c>
      <c r="P3205" s="387">
        <v>0.1</v>
      </c>
      <c r="Q3205" s="386">
        <v>2234.23</v>
      </c>
      <c r="R3205" s="379" t="s">
        <v>29</v>
      </c>
      <c r="S3205" s="388" t="s">
        <v>30</v>
      </c>
      <c r="T3205" s="388">
        <v>70</v>
      </c>
      <c r="U3205" s="389" t="s">
        <v>164</v>
      </c>
      <c r="V3205" s="433"/>
      <c r="X3205" s="386">
        <v>2234.23</v>
      </c>
      <c r="Y3205" s="386"/>
      <c r="AJ3205" s="416">
        <v>2234.23</v>
      </c>
    </row>
    <row r="3206" spans="1:77" s="379" customFormat="1" ht="11.25" customHeight="1">
      <c r="B3206" s="380" t="s">
        <v>291</v>
      </c>
      <c r="C3206" s="381"/>
      <c r="D3206" s="381"/>
      <c r="E3206" s="382" t="s">
        <v>2412</v>
      </c>
      <c r="F3206" s="379" t="s">
        <v>1938</v>
      </c>
      <c r="G3206" s="383">
        <v>3805</v>
      </c>
      <c r="H3206" s="379" t="s">
        <v>1939</v>
      </c>
      <c r="I3206" s="384" t="s">
        <v>156</v>
      </c>
      <c r="J3206" s="385">
        <v>18635.5</v>
      </c>
      <c r="K3206" s="384"/>
      <c r="L3206" s="385">
        <v>23.5</v>
      </c>
      <c r="M3206" s="385">
        <v>20.149999999999999</v>
      </c>
      <c r="N3206" s="386">
        <v>11984.21</v>
      </c>
      <c r="O3206" s="387">
        <v>0.15</v>
      </c>
      <c r="P3206" s="387">
        <v>0.1</v>
      </c>
      <c r="Q3206" s="386">
        <v>9665.9599999999991</v>
      </c>
      <c r="R3206" s="379" t="s">
        <v>29</v>
      </c>
      <c r="S3206" s="388" t="s">
        <v>30</v>
      </c>
      <c r="T3206" s="388">
        <v>70</v>
      </c>
      <c r="U3206" s="389" t="s">
        <v>164</v>
      </c>
      <c r="V3206" s="433"/>
      <c r="X3206" s="386">
        <v>9665.9599999999991</v>
      </c>
      <c r="Y3206" s="386"/>
      <c r="AJ3206" s="416">
        <v>9665.9599999999991</v>
      </c>
    </row>
    <row r="3207" spans="1:77" s="379" customFormat="1" ht="11.25" customHeight="1">
      <c r="B3207" s="380" t="s">
        <v>291</v>
      </c>
      <c r="C3207" s="381"/>
      <c r="D3207" s="381"/>
      <c r="E3207" s="382" t="s">
        <v>2412</v>
      </c>
      <c r="F3207" s="379" t="s">
        <v>1938</v>
      </c>
      <c r="G3207" s="383">
        <v>3805</v>
      </c>
      <c r="H3207" s="379" t="s">
        <v>866</v>
      </c>
      <c r="I3207" s="384" t="s">
        <v>156</v>
      </c>
      <c r="J3207" s="385">
        <v>28209.22</v>
      </c>
      <c r="K3207" s="384"/>
      <c r="L3207" s="385">
        <v>24.16</v>
      </c>
      <c r="M3207" s="385">
        <v>24.16</v>
      </c>
      <c r="N3207" s="386">
        <v>4231.38</v>
      </c>
      <c r="O3207" s="387">
        <v>0.15</v>
      </c>
      <c r="P3207" s="387">
        <v>0.1</v>
      </c>
      <c r="Q3207" s="386">
        <v>9442.69</v>
      </c>
      <c r="R3207" s="379" t="s">
        <v>29</v>
      </c>
      <c r="S3207" s="388" t="s">
        <v>30</v>
      </c>
      <c r="T3207" s="388">
        <v>70</v>
      </c>
      <c r="U3207" s="389" t="s">
        <v>164</v>
      </c>
      <c r="V3207" s="433"/>
      <c r="X3207" s="386">
        <v>9442.69</v>
      </c>
      <c r="Y3207" s="386"/>
      <c r="AJ3207" s="416">
        <v>9442.69</v>
      </c>
    </row>
    <row r="3208" spans="1:77" s="379" customFormat="1" ht="11.25" customHeight="1">
      <c r="B3208" s="380" t="s">
        <v>291</v>
      </c>
      <c r="C3208" s="381"/>
      <c r="D3208" s="381"/>
      <c r="E3208" s="382" t="s">
        <v>2412</v>
      </c>
      <c r="F3208" s="379" t="s">
        <v>1938</v>
      </c>
      <c r="G3208" s="383">
        <v>3805</v>
      </c>
      <c r="H3208" s="379" t="s">
        <v>137</v>
      </c>
      <c r="I3208" s="384" t="s">
        <v>156</v>
      </c>
      <c r="J3208" s="385">
        <v>17426.7</v>
      </c>
      <c r="K3208" s="384"/>
      <c r="L3208" s="385">
        <v>20.100000000000001</v>
      </c>
      <c r="M3208" s="385">
        <v>20.100000000000001</v>
      </c>
      <c r="N3208" s="386">
        <v>7144.95</v>
      </c>
      <c r="O3208" s="387">
        <v>0.15</v>
      </c>
      <c r="P3208" s="387">
        <v>0.1</v>
      </c>
      <c r="Q3208" s="386">
        <v>3177.81</v>
      </c>
      <c r="R3208" s="379" t="s">
        <v>29</v>
      </c>
      <c r="S3208" s="388" t="s">
        <v>30</v>
      </c>
      <c r="T3208" s="388">
        <v>70</v>
      </c>
      <c r="U3208" s="389" t="s">
        <v>164</v>
      </c>
      <c r="V3208" s="433"/>
      <c r="X3208" s="386">
        <v>3177.81</v>
      </c>
      <c r="Y3208" s="386"/>
      <c r="AJ3208" s="416">
        <v>3177.81</v>
      </c>
    </row>
    <row r="3209" spans="1:77" s="507" customFormat="1" ht="11.25" customHeight="1">
      <c r="B3209" s="508" t="s">
        <v>291</v>
      </c>
      <c r="C3209" s="509">
        <v>44733</v>
      </c>
      <c r="D3209" s="509">
        <v>44735</v>
      </c>
      <c r="E3209" s="510" t="s">
        <v>2413</v>
      </c>
      <c r="F3209" s="507" t="s">
        <v>2414</v>
      </c>
      <c r="G3209" s="521" t="s">
        <v>2415</v>
      </c>
      <c r="H3209" s="507" t="s">
        <v>99</v>
      </c>
      <c r="I3209" s="512" t="s">
        <v>33</v>
      </c>
      <c r="J3209" s="513">
        <v>67076.12</v>
      </c>
      <c r="K3209" s="512"/>
      <c r="L3209" s="513">
        <v>47.26</v>
      </c>
      <c r="M3209" s="513">
        <v>47.26</v>
      </c>
      <c r="N3209" s="514">
        <f>1456.2+775.79+1999.51+1762.77+2272.02</f>
        <v>8266.2900000000009</v>
      </c>
      <c r="O3209" s="515">
        <v>0.25</v>
      </c>
      <c r="P3209" s="515"/>
      <c r="Q3209" s="514">
        <v>0</v>
      </c>
      <c r="R3209" s="507" t="s">
        <v>29</v>
      </c>
      <c r="S3209" s="516" t="s">
        <v>275</v>
      </c>
      <c r="T3209" s="516">
        <v>21</v>
      </c>
      <c r="U3209" s="517" t="s">
        <v>164</v>
      </c>
      <c r="V3209" s="518"/>
      <c r="X3209" s="514">
        <v>0</v>
      </c>
      <c r="Y3209" s="514"/>
      <c r="AJ3209" s="522"/>
      <c r="AL3209" s="507">
        <v>0</v>
      </c>
    </row>
    <row r="3210" spans="1:77" s="507" customFormat="1" ht="11.25" customHeight="1">
      <c r="B3210" s="508" t="s">
        <v>291</v>
      </c>
      <c r="C3210" s="509"/>
      <c r="D3210" s="509"/>
      <c r="E3210" s="510" t="s">
        <v>2413</v>
      </c>
      <c r="F3210" s="507" t="s">
        <v>2414</v>
      </c>
      <c r="G3210" s="521" t="s">
        <v>2415</v>
      </c>
      <c r="H3210" s="507" t="s">
        <v>137</v>
      </c>
      <c r="I3210" s="512" t="s">
        <v>33</v>
      </c>
      <c r="J3210" s="513">
        <v>17664.87</v>
      </c>
      <c r="K3210" s="512"/>
      <c r="L3210" s="513">
        <v>18.23</v>
      </c>
      <c r="M3210" s="513">
        <v>18.23</v>
      </c>
      <c r="N3210" s="514">
        <f>5476.11</f>
        <v>5476.11</v>
      </c>
      <c r="O3210" s="515">
        <v>0.25</v>
      </c>
      <c r="P3210" s="515"/>
      <c r="Q3210" s="514">
        <v>0</v>
      </c>
      <c r="R3210" s="507" t="s">
        <v>29</v>
      </c>
      <c r="S3210" s="516" t="s">
        <v>275</v>
      </c>
      <c r="T3210" s="516">
        <v>21</v>
      </c>
      <c r="U3210" s="517" t="s">
        <v>164</v>
      </c>
      <c r="V3210" s="518"/>
      <c r="X3210" s="514">
        <v>0</v>
      </c>
      <c r="Y3210" s="514"/>
      <c r="AJ3210" s="522"/>
      <c r="AL3210" s="507">
        <v>0</v>
      </c>
    </row>
    <row r="3211" spans="1:77" s="507" customFormat="1" ht="11.25" customHeight="1">
      <c r="B3211" s="508" t="s">
        <v>291</v>
      </c>
      <c r="C3211" s="509">
        <v>44734</v>
      </c>
      <c r="D3211" s="509">
        <v>44735</v>
      </c>
      <c r="E3211" s="510" t="s">
        <v>2416</v>
      </c>
      <c r="F3211" s="523" t="s">
        <v>2138</v>
      </c>
      <c r="G3211" s="526" t="s">
        <v>2139</v>
      </c>
      <c r="H3211" s="507" t="s">
        <v>99</v>
      </c>
      <c r="I3211" s="512" t="s">
        <v>1168</v>
      </c>
      <c r="J3211" s="513">
        <v>78578.759999999995</v>
      </c>
      <c r="K3211" s="512"/>
      <c r="L3211" s="513">
        <v>59.26</v>
      </c>
      <c r="M3211" s="513">
        <v>59.26</v>
      </c>
      <c r="N3211" s="514"/>
      <c r="O3211" s="515">
        <v>0.2</v>
      </c>
      <c r="P3211" s="515">
        <v>0.1</v>
      </c>
      <c r="Q3211" s="514">
        <v>14376.73</v>
      </c>
      <c r="R3211" s="523" t="s">
        <v>35</v>
      </c>
      <c r="S3211" s="531" t="s">
        <v>41</v>
      </c>
      <c r="T3211" s="531">
        <v>16</v>
      </c>
      <c r="U3211" s="517" t="s">
        <v>164</v>
      </c>
      <c r="V3211" s="518"/>
      <c r="X3211" s="514">
        <v>14376.73</v>
      </c>
      <c r="Y3211" s="514"/>
      <c r="AJ3211" s="522"/>
      <c r="AL3211" s="514">
        <v>14376.73</v>
      </c>
    </row>
    <row r="3212" spans="1:77" s="507" customFormat="1" ht="11.25" customHeight="1">
      <c r="B3212" s="508" t="s">
        <v>291</v>
      </c>
      <c r="C3212" s="509"/>
      <c r="D3212" s="509"/>
      <c r="E3212" s="510" t="s">
        <v>2416</v>
      </c>
      <c r="F3212" s="523" t="s">
        <v>2138</v>
      </c>
      <c r="G3212" s="526" t="s">
        <v>2139</v>
      </c>
      <c r="H3212" s="507" t="s">
        <v>765</v>
      </c>
      <c r="I3212" s="512" t="s">
        <v>1168</v>
      </c>
      <c r="J3212" s="513">
        <v>8625</v>
      </c>
      <c r="K3212" s="512"/>
      <c r="L3212" s="513">
        <v>7.5</v>
      </c>
      <c r="M3212" s="513">
        <v>7.5</v>
      </c>
      <c r="N3212" s="514"/>
      <c r="O3212" s="515">
        <v>0.2</v>
      </c>
      <c r="P3212" s="515">
        <v>0.1</v>
      </c>
      <c r="Q3212" s="514">
        <v>0</v>
      </c>
      <c r="R3212" s="523" t="s">
        <v>35</v>
      </c>
      <c r="S3212" s="531" t="s">
        <v>41</v>
      </c>
      <c r="T3212" s="531">
        <v>16</v>
      </c>
      <c r="U3212" s="517" t="s">
        <v>164</v>
      </c>
      <c r="V3212" s="518"/>
      <c r="X3212" s="514">
        <v>0</v>
      </c>
      <c r="Y3212" s="514"/>
      <c r="AJ3212" s="522"/>
      <c r="AL3212" s="507">
        <v>0</v>
      </c>
    </row>
    <row r="3213" spans="1:77" s="473" customFormat="1" ht="11.25" customHeight="1">
      <c r="B3213" s="486" t="s">
        <v>291</v>
      </c>
      <c r="C3213" s="487">
        <v>44734</v>
      </c>
      <c r="D3213" s="487">
        <v>44735</v>
      </c>
      <c r="E3213" s="488" t="s">
        <v>2417</v>
      </c>
      <c r="F3213" s="473" t="s">
        <v>2418</v>
      </c>
      <c r="G3213" s="489">
        <v>3913</v>
      </c>
      <c r="H3213" s="473" t="s">
        <v>99</v>
      </c>
      <c r="I3213" s="491" t="s">
        <v>819</v>
      </c>
      <c r="J3213" s="490">
        <v>43284.24</v>
      </c>
      <c r="K3213" s="491"/>
      <c r="L3213" s="490">
        <v>34.549999999999997</v>
      </c>
      <c r="M3213" s="490">
        <v>12</v>
      </c>
      <c r="N3213" s="492">
        <f>1009.26+186.42</f>
        <v>1195.68</v>
      </c>
      <c r="O3213" s="493">
        <v>0.2</v>
      </c>
      <c r="P3213" s="493">
        <v>0.1</v>
      </c>
      <c r="Q3213" s="492">
        <v>0</v>
      </c>
      <c r="R3213" s="473" t="s">
        <v>29</v>
      </c>
      <c r="S3213" s="481" t="s">
        <v>30</v>
      </c>
      <c r="T3213" s="481">
        <v>70</v>
      </c>
      <c r="U3213" s="494" t="s">
        <v>164</v>
      </c>
      <c r="V3213" s="495"/>
      <c r="X3213" s="492">
        <v>0</v>
      </c>
      <c r="Y3213" s="492"/>
      <c r="AJ3213" s="485"/>
      <c r="AK3213" s="473">
        <v>0</v>
      </c>
    </row>
    <row r="3214" spans="1:77" s="473" customFormat="1" ht="11.25" customHeight="1">
      <c r="B3214" s="486" t="s">
        <v>291</v>
      </c>
      <c r="C3214" s="487"/>
      <c r="D3214" s="487"/>
      <c r="E3214" s="488" t="s">
        <v>2417</v>
      </c>
      <c r="F3214" s="473" t="s">
        <v>2418</v>
      </c>
      <c r="G3214" s="489">
        <v>3913</v>
      </c>
      <c r="H3214" s="473" t="s">
        <v>27</v>
      </c>
      <c r="I3214" s="491" t="s">
        <v>819</v>
      </c>
      <c r="J3214" s="490">
        <v>14739.52</v>
      </c>
      <c r="K3214" s="491"/>
      <c r="L3214" s="490">
        <v>11.93</v>
      </c>
      <c r="M3214" s="490">
        <v>11.93</v>
      </c>
      <c r="N3214" s="492">
        <v>1110.7099999999998</v>
      </c>
      <c r="O3214" s="493">
        <v>0.2</v>
      </c>
      <c r="P3214" s="493">
        <v>0.1</v>
      </c>
      <c r="Q3214" s="492">
        <v>0</v>
      </c>
      <c r="R3214" s="473" t="s">
        <v>29</v>
      </c>
      <c r="S3214" s="481" t="s">
        <v>30</v>
      </c>
      <c r="T3214" s="481">
        <v>70</v>
      </c>
      <c r="U3214" s="494" t="s">
        <v>164</v>
      </c>
      <c r="V3214" s="495"/>
      <c r="X3214" s="492">
        <v>0</v>
      </c>
      <c r="Y3214" s="492"/>
      <c r="AJ3214" s="485"/>
      <c r="AK3214" s="473">
        <v>0</v>
      </c>
    </row>
    <row r="3215" spans="1:77" s="379" customFormat="1" ht="11.25" customHeight="1">
      <c r="B3215" s="380" t="s">
        <v>291</v>
      </c>
      <c r="C3215" s="381">
        <v>44735</v>
      </c>
      <c r="D3215" s="381">
        <v>44735</v>
      </c>
      <c r="E3215" s="382" t="s">
        <v>2419</v>
      </c>
      <c r="F3215" s="379" t="s">
        <v>2420</v>
      </c>
      <c r="G3215" s="383">
        <v>4491</v>
      </c>
      <c r="H3215" s="379" t="s">
        <v>99</v>
      </c>
      <c r="I3215" s="384" t="s">
        <v>1168</v>
      </c>
      <c r="J3215" s="385">
        <v>51098.71</v>
      </c>
      <c r="K3215" s="384"/>
      <c r="L3215" s="385">
        <v>46.01</v>
      </c>
      <c r="M3215" s="385">
        <v>46</v>
      </c>
      <c r="N3215" s="386"/>
      <c r="O3215" s="387">
        <v>0.15</v>
      </c>
      <c r="P3215" s="387">
        <v>0.1</v>
      </c>
      <c r="Q3215" s="386">
        <v>18410.439999999999</v>
      </c>
      <c r="R3215" s="379" t="s">
        <v>77</v>
      </c>
      <c r="S3215" s="388" t="s">
        <v>41</v>
      </c>
      <c r="T3215" s="388">
        <v>17</v>
      </c>
      <c r="U3215" s="389" t="s">
        <v>164</v>
      </c>
      <c r="V3215" s="433"/>
      <c r="X3215" s="386">
        <v>18410.439999999999</v>
      </c>
      <c r="Y3215" s="386"/>
      <c r="AJ3215" s="416">
        <v>18410.439999999999</v>
      </c>
    </row>
    <row r="3216" spans="1:77" s="379" customFormat="1" ht="11.25" customHeight="1">
      <c r="B3216" s="380" t="s">
        <v>291</v>
      </c>
      <c r="C3216" s="381"/>
      <c r="D3216" s="381"/>
      <c r="E3216" s="382" t="s">
        <v>2419</v>
      </c>
      <c r="F3216" s="379" t="s">
        <v>2420</v>
      </c>
      <c r="G3216" s="383">
        <v>4491</v>
      </c>
      <c r="H3216" s="379" t="s">
        <v>162</v>
      </c>
      <c r="I3216" s="384" t="s">
        <v>1168</v>
      </c>
      <c r="J3216" s="385">
        <v>6030.6</v>
      </c>
      <c r="K3216" s="384"/>
      <c r="L3216" s="385">
        <v>8.74</v>
      </c>
      <c r="M3216" s="385">
        <v>8.74</v>
      </c>
      <c r="N3216" s="386"/>
      <c r="O3216" s="387">
        <v>0.15</v>
      </c>
      <c r="P3216" s="387">
        <v>0.1</v>
      </c>
      <c r="Q3216" s="386">
        <v>5427.54</v>
      </c>
      <c r="R3216" s="379" t="s">
        <v>77</v>
      </c>
      <c r="S3216" s="388" t="s">
        <v>41</v>
      </c>
      <c r="T3216" s="388">
        <v>17</v>
      </c>
      <c r="U3216" s="389" t="s">
        <v>164</v>
      </c>
      <c r="V3216" s="433"/>
      <c r="X3216" s="386">
        <v>5427.54</v>
      </c>
      <c r="Y3216" s="386"/>
      <c r="AJ3216" s="416">
        <v>5427.54</v>
      </c>
    </row>
    <row r="3217" spans="2:37" s="379" customFormat="1" ht="11.25" customHeight="1">
      <c r="B3217" s="380" t="s">
        <v>291</v>
      </c>
      <c r="C3217" s="381"/>
      <c r="D3217" s="381"/>
      <c r="E3217" s="382" t="s">
        <v>2419</v>
      </c>
      <c r="F3217" s="379" t="s">
        <v>2420</v>
      </c>
      <c r="G3217" s="383">
        <v>4491</v>
      </c>
      <c r="H3217" s="379" t="s">
        <v>866</v>
      </c>
      <c r="I3217" s="384" t="s">
        <v>1168</v>
      </c>
      <c r="J3217" s="385">
        <v>24650.34</v>
      </c>
      <c r="K3217" s="384"/>
      <c r="L3217" s="385">
        <v>22</v>
      </c>
      <c r="M3217" s="385">
        <v>22</v>
      </c>
      <c r="N3217" s="386">
        <v>12325.17</v>
      </c>
      <c r="O3217" s="387">
        <v>0.15</v>
      </c>
      <c r="P3217" s="387">
        <v>0.1</v>
      </c>
      <c r="Q3217" s="386">
        <v>498.63</v>
      </c>
      <c r="R3217" s="379" t="s">
        <v>77</v>
      </c>
      <c r="S3217" s="388" t="s">
        <v>41</v>
      </c>
      <c r="T3217" s="388">
        <v>17</v>
      </c>
      <c r="U3217" s="389" t="s">
        <v>164</v>
      </c>
      <c r="V3217" s="433"/>
      <c r="X3217" s="386">
        <v>498.63</v>
      </c>
      <c r="Y3217" s="386"/>
      <c r="AJ3217" s="416">
        <v>498.63</v>
      </c>
    </row>
    <row r="3218" spans="2:37" s="379" customFormat="1" ht="11.25" customHeight="1">
      <c r="B3218" s="380" t="s">
        <v>291</v>
      </c>
      <c r="C3218" s="381"/>
      <c r="D3218" s="381"/>
      <c r="E3218" s="382" t="s">
        <v>2419</v>
      </c>
      <c r="F3218" s="379" t="s">
        <v>2420</v>
      </c>
      <c r="G3218" s="383">
        <v>4491</v>
      </c>
      <c r="H3218" s="379" t="s">
        <v>2267</v>
      </c>
      <c r="I3218" s="384" t="s">
        <v>1168</v>
      </c>
      <c r="J3218" s="385">
        <v>44855.24</v>
      </c>
      <c r="K3218" s="384"/>
      <c r="L3218" s="385">
        <v>32.659999999999997</v>
      </c>
      <c r="M3218" s="385">
        <v>32.659999999999997</v>
      </c>
      <c r="N3218" s="386">
        <v>22427.62</v>
      </c>
      <c r="O3218" s="387">
        <v>0.15</v>
      </c>
      <c r="P3218" s="387">
        <v>0.1</v>
      </c>
      <c r="Q3218" s="386">
        <v>15443.61</v>
      </c>
      <c r="R3218" s="379" t="s">
        <v>77</v>
      </c>
      <c r="S3218" s="388" t="s">
        <v>41</v>
      </c>
      <c r="T3218" s="388">
        <v>17</v>
      </c>
      <c r="U3218" s="389" t="s">
        <v>164</v>
      </c>
      <c r="V3218" s="433"/>
      <c r="X3218" s="386">
        <v>15443.61</v>
      </c>
      <c r="Y3218" s="386"/>
      <c r="AJ3218" s="416">
        <v>15443.61</v>
      </c>
    </row>
    <row r="3219" spans="2:37" s="379" customFormat="1" ht="11.25" customHeight="1">
      <c r="B3219" s="380" t="s">
        <v>291</v>
      </c>
      <c r="C3219" s="381"/>
      <c r="D3219" s="381"/>
      <c r="E3219" s="382" t="s">
        <v>2419</v>
      </c>
      <c r="F3219" s="379" t="s">
        <v>2420</v>
      </c>
      <c r="G3219" s="383">
        <v>4491</v>
      </c>
      <c r="H3219" s="379" t="s">
        <v>2171</v>
      </c>
      <c r="I3219" s="384" t="s">
        <v>1168</v>
      </c>
      <c r="J3219" s="385">
        <v>16750.8</v>
      </c>
      <c r="K3219" s="384"/>
      <c r="L3219" s="385">
        <v>22</v>
      </c>
      <c r="M3219" s="385">
        <v>22</v>
      </c>
      <c r="N3219" s="386">
        <v>8375.4</v>
      </c>
      <c r="O3219" s="387">
        <v>0.15</v>
      </c>
      <c r="P3219" s="387">
        <v>0.1</v>
      </c>
      <c r="Q3219" s="386">
        <v>5056.92</v>
      </c>
      <c r="R3219" s="379" t="s">
        <v>77</v>
      </c>
      <c r="S3219" s="388" t="s">
        <v>41</v>
      </c>
      <c r="T3219" s="388">
        <v>17</v>
      </c>
      <c r="U3219" s="389" t="s">
        <v>164</v>
      </c>
      <c r="V3219" s="433"/>
      <c r="X3219" s="386">
        <v>5056.92</v>
      </c>
      <c r="Y3219" s="386"/>
      <c r="AJ3219" s="416">
        <v>5056.92</v>
      </c>
    </row>
    <row r="3220" spans="2:37" s="205" customFormat="1" ht="11.25" customHeight="1">
      <c r="B3220" s="206" t="s">
        <v>291</v>
      </c>
      <c r="C3220" s="207">
        <v>44735</v>
      </c>
      <c r="D3220" s="207">
        <v>44735</v>
      </c>
      <c r="E3220" s="208" t="s">
        <v>2430</v>
      </c>
      <c r="F3220" s="205" t="s">
        <v>2425</v>
      </c>
      <c r="G3220" s="209">
        <v>4305</v>
      </c>
      <c r="H3220" s="205" t="s">
        <v>27</v>
      </c>
      <c r="I3220" s="219" t="s">
        <v>156</v>
      </c>
      <c r="J3220" s="210">
        <v>52772.45</v>
      </c>
      <c r="K3220" s="219"/>
      <c r="L3220" s="210">
        <v>31.23</v>
      </c>
      <c r="M3220" s="210">
        <v>7.45</v>
      </c>
      <c r="N3220" s="213"/>
      <c r="O3220" s="212">
        <v>0.3</v>
      </c>
      <c r="P3220" s="212">
        <v>0.1</v>
      </c>
      <c r="Q3220" s="213">
        <v>1518.09</v>
      </c>
      <c r="R3220" s="205" t="s">
        <v>29</v>
      </c>
      <c r="S3220" s="214" t="s">
        <v>30</v>
      </c>
      <c r="T3220" s="214">
        <v>70</v>
      </c>
      <c r="U3220" s="215" t="s">
        <v>164</v>
      </c>
      <c r="V3220" s="438"/>
      <c r="X3220" s="213">
        <v>1518.09</v>
      </c>
      <c r="Y3220" s="213"/>
      <c r="AF3220" s="230">
        <f>X3220</f>
        <v>1518.09</v>
      </c>
      <c r="AJ3220" s="216"/>
    </row>
    <row r="3221" spans="2:37" s="205" customFormat="1" ht="11.25" customHeight="1">
      <c r="B3221" s="206" t="s">
        <v>291</v>
      </c>
      <c r="C3221" s="207">
        <v>44735</v>
      </c>
      <c r="D3221" s="207">
        <v>44735</v>
      </c>
      <c r="E3221" s="208" t="s">
        <v>2426</v>
      </c>
      <c r="F3221" s="205" t="s">
        <v>2427</v>
      </c>
      <c r="G3221" s="209">
        <v>4159</v>
      </c>
      <c r="H3221" s="205" t="s">
        <v>27</v>
      </c>
      <c r="I3221" s="219" t="s">
        <v>2006</v>
      </c>
      <c r="J3221" s="210">
        <v>14838.27</v>
      </c>
      <c r="K3221" s="219"/>
      <c r="L3221" s="210">
        <v>12.8</v>
      </c>
      <c r="M3221" s="210">
        <v>12</v>
      </c>
      <c r="N3221" s="213"/>
      <c r="O3221" s="212">
        <v>0.2</v>
      </c>
      <c r="P3221" s="212"/>
      <c r="Q3221" s="213">
        <v>0</v>
      </c>
      <c r="R3221" s="205" t="s">
        <v>54</v>
      </c>
      <c r="S3221" s="214" t="s">
        <v>51</v>
      </c>
      <c r="T3221" s="214">
        <v>55</v>
      </c>
      <c r="U3221" s="215" t="s">
        <v>164</v>
      </c>
      <c r="V3221" s="438"/>
      <c r="X3221" s="213">
        <v>0</v>
      </c>
      <c r="Y3221" s="213"/>
      <c r="AF3221" s="230">
        <f>X3221</f>
        <v>0</v>
      </c>
      <c r="AJ3221" s="216"/>
    </row>
    <row r="3222" spans="2:37" s="379" customFormat="1" ht="11.25" customHeight="1">
      <c r="B3222" s="380" t="s">
        <v>291</v>
      </c>
      <c r="C3222" s="381">
        <v>44734</v>
      </c>
      <c r="D3222" s="381">
        <v>44734</v>
      </c>
      <c r="E3222" s="382" t="s">
        <v>2428</v>
      </c>
      <c r="F3222" s="379" t="s">
        <v>2429</v>
      </c>
      <c r="G3222" s="383">
        <v>3808</v>
      </c>
      <c r="H3222" s="379" t="s">
        <v>99</v>
      </c>
      <c r="I3222" s="384" t="s">
        <v>1151</v>
      </c>
      <c r="J3222" s="385">
        <v>20666.05</v>
      </c>
      <c r="K3222" s="384"/>
      <c r="L3222" s="385">
        <v>20.5</v>
      </c>
      <c r="M3222" s="385">
        <v>20.5</v>
      </c>
      <c r="N3222" s="386"/>
      <c r="O3222" s="387">
        <v>0.15</v>
      </c>
      <c r="P3222" s="387">
        <v>0.1</v>
      </c>
      <c r="Q3222" s="386">
        <v>0</v>
      </c>
      <c r="R3222" s="379" t="s">
        <v>128</v>
      </c>
      <c r="S3222" s="388" t="s">
        <v>41</v>
      </c>
      <c r="T3222" s="388">
        <v>86</v>
      </c>
      <c r="U3222" s="389" t="s">
        <v>164</v>
      </c>
      <c r="V3222" s="433"/>
      <c r="X3222" s="386">
        <v>0</v>
      </c>
      <c r="Y3222" s="386"/>
      <c r="AJ3222" s="390">
        <v>0</v>
      </c>
    </row>
    <row r="3223" spans="2:37" s="379" customFormat="1" ht="11.25" customHeight="1">
      <c r="B3223" s="380" t="s">
        <v>291</v>
      </c>
      <c r="C3223" s="381"/>
      <c r="D3223" s="381"/>
      <c r="E3223" s="382" t="s">
        <v>2428</v>
      </c>
      <c r="F3223" s="379" t="s">
        <v>2429</v>
      </c>
      <c r="G3223" s="383">
        <v>3808</v>
      </c>
      <c r="H3223" s="379" t="s">
        <v>27</v>
      </c>
      <c r="I3223" s="384" t="s">
        <v>1151</v>
      </c>
      <c r="J3223" s="385">
        <v>14233</v>
      </c>
      <c r="K3223" s="384"/>
      <c r="L3223" s="385">
        <v>8.6</v>
      </c>
      <c r="M3223" s="385">
        <v>8.6</v>
      </c>
      <c r="N3223" s="386"/>
      <c r="O3223" s="387">
        <v>0.15</v>
      </c>
      <c r="P3223" s="387">
        <v>0.1</v>
      </c>
      <c r="Q3223" s="386">
        <v>0</v>
      </c>
      <c r="R3223" s="379" t="s">
        <v>128</v>
      </c>
      <c r="S3223" s="388" t="s">
        <v>41</v>
      </c>
      <c r="T3223" s="388">
        <v>86</v>
      </c>
      <c r="U3223" s="389" t="s">
        <v>164</v>
      </c>
      <c r="V3223" s="433"/>
      <c r="X3223" s="386">
        <v>0</v>
      </c>
      <c r="Y3223" s="386"/>
      <c r="AJ3223" s="390">
        <v>0</v>
      </c>
    </row>
    <row r="3224" spans="2:37" s="379" customFormat="1" ht="11.25" customHeight="1">
      <c r="B3224" s="380" t="s">
        <v>291</v>
      </c>
      <c r="C3224" s="381"/>
      <c r="D3224" s="381"/>
      <c r="E3224" s="382" t="s">
        <v>2428</v>
      </c>
      <c r="F3224" s="379" t="s">
        <v>2429</v>
      </c>
      <c r="G3224" s="383">
        <v>3808</v>
      </c>
      <c r="H3224" s="379" t="s">
        <v>866</v>
      </c>
      <c r="I3224" s="384" t="s">
        <v>1151</v>
      </c>
      <c r="J3224" s="385">
        <v>5471.28</v>
      </c>
      <c r="K3224" s="384"/>
      <c r="L3224" s="385">
        <v>5.4</v>
      </c>
      <c r="M3224" s="385">
        <v>5.4</v>
      </c>
      <c r="N3224" s="386"/>
      <c r="O3224" s="387">
        <v>0.15</v>
      </c>
      <c r="P3224" s="387">
        <v>0.1</v>
      </c>
      <c r="Q3224" s="386">
        <v>0</v>
      </c>
      <c r="R3224" s="379" t="s">
        <v>128</v>
      </c>
      <c r="S3224" s="388" t="s">
        <v>41</v>
      </c>
      <c r="T3224" s="388">
        <v>86</v>
      </c>
      <c r="U3224" s="389" t="s">
        <v>164</v>
      </c>
      <c r="V3224" s="433"/>
      <c r="X3224" s="386">
        <v>0</v>
      </c>
      <c r="Y3224" s="386"/>
      <c r="AJ3224" s="390">
        <v>0</v>
      </c>
    </row>
    <row r="3225" spans="2:37" s="379" customFormat="1" ht="11.25" customHeight="1">
      <c r="B3225" s="380" t="s">
        <v>291</v>
      </c>
      <c r="C3225" s="381"/>
      <c r="D3225" s="381"/>
      <c r="E3225" s="382" t="s">
        <v>2428</v>
      </c>
      <c r="F3225" s="379" t="s">
        <v>2429</v>
      </c>
      <c r="G3225" s="383">
        <v>3808</v>
      </c>
      <c r="H3225" s="379" t="s">
        <v>765</v>
      </c>
      <c r="I3225" s="384" t="s">
        <v>1151</v>
      </c>
      <c r="J3225" s="385">
        <v>10592.5</v>
      </c>
      <c r="K3225" s="384"/>
      <c r="L3225" s="385">
        <v>9.5</v>
      </c>
      <c r="M3225" s="385">
        <v>9.5</v>
      </c>
      <c r="N3225" s="386"/>
      <c r="O3225" s="387">
        <v>0.15</v>
      </c>
      <c r="P3225" s="387">
        <v>0.1</v>
      </c>
      <c r="Q3225" s="386">
        <v>0</v>
      </c>
      <c r="R3225" s="379" t="s">
        <v>128</v>
      </c>
      <c r="S3225" s="388" t="s">
        <v>41</v>
      </c>
      <c r="T3225" s="388">
        <v>86</v>
      </c>
      <c r="U3225" s="389" t="s">
        <v>164</v>
      </c>
      <c r="V3225" s="433"/>
      <c r="X3225" s="386">
        <v>0</v>
      </c>
      <c r="Y3225" s="386"/>
      <c r="AJ3225" s="390">
        <v>0</v>
      </c>
    </row>
    <row r="3226" spans="2:37" s="205" customFormat="1" ht="11.25" customHeight="1">
      <c r="B3226" s="206" t="s">
        <v>291</v>
      </c>
      <c r="C3226" s="207">
        <v>44732</v>
      </c>
      <c r="D3226" s="207">
        <v>44735</v>
      </c>
      <c r="E3226" s="208" t="s">
        <v>2431</v>
      </c>
      <c r="F3226" s="205" t="s">
        <v>787</v>
      </c>
      <c r="G3226" s="209">
        <v>3547</v>
      </c>
      <c r="H3226" s="205" t="s">
        <v>866</v>
      </c>
      <c r="I3226" s="219" t="s">
        <v>888</v>
      </c>
      <c r="J3226" s="210">
        <v>90564.4</v>
      </c>
      <c r="K3226" s="219"/>
      <c r="L3226" s="210">
        <v>60.7</v>
      </c>
      <c r="M3226" s="210">
        <v>12</v>
      </c>
      <c r="N3226" s="213"/>
      <c r="O3226" s="212">
        <v>0.15</v>
      </c>
      <c r="P3226" s="212"/>
      <c r="Q3226" s="213">
        <v>0</v>
      </c>
      <c r="R3226" s="205" t="s">
        <v>105</v>
      </c>
      <c r="S3226" s="214" t="s">
        <v>30</v>
      </c>
      <c r="T3226" s="214">
        <v>39</v>
      </c>
      <c r="U3226" s="215" t="s">
        <v>164</v>
      </c>
      <c r="V3226" s="438"/>
      <c r="W3226" s="205" t="s">
        <v>3322</v>
      </c>
      <c r="X3226" s="213">
        <v>0</v>
      </c>
      <c r="Y3226" s="213"/>
      <c r="AF3226" s="230">
        <f>X3226</f>
        <v>0</v>
      </c>
      <c r="AJ3226" s="216"/>
    </row>
    <row r="3227" spans="2:37" s="181" customFormat="1" ht="11.25" customHeight="1">
      <c r="B3227" s="178" t="s">
        <v>291</v>
      </c>
      <c r="C3227" s="179"/>
      <c r="D3227" s="179"/>
      <c r="E3227" s="180" t="s">
        <v>2431</v>
      </c>
      <c r="F3227" s="181" t="s">
        <v>787</v>
      </c>
      <c r="G3227" s="182">
        <v>3547</v>
      </c>
      <c r="H3227" s="181" t="s">
        <v>765</v>
      </c>
      <c r="I3227" s="190" t="s">
        <v>888</v>
      </c>
      <c r="J3227" s="183">
        <v>49816.800000000003</v>
      </c>
      <c r="K3227" s="190"/>
      <c r="L3227" s="183">
        <v>31.45</v>
      </c>
      <c r="M3227" s="183">
        <v>31.45</v>
      </c>
      <c r="N3227" s="185"/>
      <c r="O3227" s="186">
        <v>0.15</v>
      </c>
      <c r="P3227" s="186"/>
      <c r="Q3227" s="185">
        <v>0</v>
      </c>
      <c r="R3227" s="181" t="s">
        <v>105</v>
      </c>
      <c r="S3227" s="187" t="s">
        <v>30</v>
      </c>
      <c r="T3227" s="187">
        <v>39</v>
      </c>
      <c r="U3227" s="188" t="s">
        <v>164</v>
      </c>
      <c r="V3227" s="441"/>
      <c r="X3227" s="185">
        <v>0</v>
      </c>
      <c r="Y3227" s="185"/>
      <c r="AE3227" s="204">
        <f>X3227</f>
        <v>0</v>
      </c>
      <c r="AJ3227" s="189"/>
    </row>
    <row r="3228" spans="2:37" s="337" customFormat="1" ht="11.25" customHeight="1">
      <c r="B3228" s="338" t="s">
        <v>291</v>
      </c>
      <c r="C3228" s="349">
        <v>44735</v>
      </c>
      <c r="D3228" s="349">
        <v>44735</v>
      </c>
      <c r="E3228" s="350" t="s">
        <v>2432</v>
      </c>
      <c r="F3228" s="337" t="s">
        <v>2433</v>
      </c>
      <c r="G3228" s="351" t="s">
        <v>2434</v>
      </c>
      <c r="H3228" s="337" t="s">
        <v>866</v>
      </c>
      <c r="I3228" s="353" t="s">
        <v>1168</v>
      </c>
      <c r="J3228" s="352">
        <v>113217.31</v>
      </c>
      <c r="K3228" s="353"/>
      <c r="L3228" s="352">
        <v>64.739999999999995</v>
      </c>
      <c r="M3228" s="352">
        <v>64.55</v>
      </c>
      <c r="N3228" s="354">
        <f>2368+1568+972</f>
        <v>4908</v>
      </c>
      <c r="O3228" s="355">
        <v>0.25</v>
      </c>
      <c r="P3228" s="355">
        <v>0.1</v>
      </c>
      <c r="Q3228" s="354">
        <v>0</v>
      </c>
      <c r="R3228" s="337" t="s">
        <v>2296</v>
      </c>
      <c r="S3228" s="356" t="s">
        <v>113</v>
      </c>
      <c r="T3228" s="356">
        <v>64</v>
      </c>
      <c r="U3228" s="357" t="s">
        <v>164</v>
      </c>
      <c r="V3228" s="434"/>
      <c r="X3228" s="354">
        <v>0</v>
      </c>
      <c r="Y3228" s="354"/>
      <c r="AI3228" s="337">
        <v>0</v>
      </c>
      <c r="AJ3228" s="358"/>
      <c r="AK3228" s="369"/>
    </row>
    <row r="3229" spans="2:37" s="337" customFormat="1" ht="11.25" customHeight="1">
      <c r="B3229" s="338" t="s">
        <v>291</v>
      </c>
      <c r="C3229" s="349">
        <v>44735</v>
      </c>
      <c r="D3229" s="349">
        <v>44735</v>
      </c>
      <c r="E3229" s="350" t="s">
        <v>2435</v>
      </c>
      <c r="F3229" s="337" t="s">
        <v>2436</v>
      </c>
      <c r="G3229" s="351" t="s">
        <v>2437</v>
      </c>
      <c r="H3229" s="337" t="s">
        <v>866</v>
      </c>
      <c r="I3229" s="353" t="s">
        <v>1168</v>
      </c>
      <c r="J3229" s="352">
        <v>111577.84</v>
      </c>
      <c r="K3229" s="353"/>
      <c r="L3229" s="352">
        <v>61.55</v>
      </c>
      <c r="M3229" s="352">
        <v>61.55</v>
      </c>
      <c r="N3229" s="354">
        <f>12876+2715</f>
        <v>15591</v>
      </c>
      <c r="O3229" s="355">
        <v>0.25</v>
      </c>
      <c r="P3229" s="355">
        <v>0.1</v>
      </c>
      <c r="Q3229" s="354">
        <v>0</v>
      </c>
      <c r="R3229" s="337" t="s">
        <v>2296</v>
      </c>
      <c r="S3229" s="356" t="s">
        <v>113</v>
      </c>
      <c r="T3229" s="356">
        <v>64</v>
      </c>
      <c r="U3229" s="357" t="s">
        <v>164</v>
      </c>
      <c r="V3229" s="434"/>
      <c r="X3229" s="354">
        <v>0</v>
      </c>
      <c r="Y3229" s="354"/>
      <c r="AI3229" s="337">
        <v>0</v>
      </c>
      <c r="AJ3229" s="358"/>
      <c r="AK3229" s="369"/>
    </row>
    <row r="3230" spans="2:37" s="337" customFormat="1" ht="11.25" customHeight="1">
      <c r="B3230" s="338" t="s">
        <v>291</v>
      </c>
      <c r="C3230" s="349"/>
      <c r="D3230" s="349"/>
      <c r="E3230" s="350" t="s">
        <v>2435</v>
      </c>
      <c r="F3230" s="337" t="s">
        <v>2436</v>
      </c>
      <c r="G3230" s="351" t="s">
        <v>2437</v>
      </c>
      <c r="H3230" s="337" t="s">
        <v>814</v>
      </c>
      <c r="I3230" s="353" t="s">
        <v>1168</v>
      </c>
      <c r="J3230" s="352">
        <v>4844.96</v>
      </c>
      <c r="K3230" s="353"/>
      <c r="L3230" s="352">
        <v>5.35</v>
      </c>
      <c r="M3230" s="352">
        <v>5.33</v>
      </c>
      <c r="N3230" s="354">
        <v>487</v>
      </c>
      <c r="O3230" s="355">
        <v>0.25</v>
      </c>
      <c r="P3230" s="355">
        <v>0.1</v>
      </c>
      <c r="Q3230" s="354">
        <v>0</v>
      </c>
      <c r="R3230" s="337" t="s">
        <v>2296</v>
      </c>
      <c r="S3230" s="356" t="s">
        <v>113</v>
      </c>
      <c r="T3230" s="356">
        <v>64</v>
      </c>
      <c r="U3230" s="357" t="s">
        <v>164</v>
      </c>
      <c r="V3230" s="434"/>
      <c r="X3230" s="354">
        <v>0</v>
      </c>
      <c r="Y3230" s="354"/>
      <c r="AI3230" s="337">
        <v>0</v>
      </c>
      <c r="AJ3230" s="358"/>
      <c r="AK3230" s="369"/>
    </row>
    <row r="3231" spans="2:37" s="291" customFormat="1" ht="11.25" customHeight="1">
      <c r="B3231" s="310" t="s">
        <v>291</v>
      </c>
      <c r="C3231" s="292">
        <v>44734</v>
      </c>
      <c r="D3231" s="292">
        <v>44735</v>
      </c>
      <c r="E3231" s="293" t="s">
        <v>2438</v>
      </c>
      <c r="F3231" s="291" t="s">
        <v>2439</v>
      </c>
      <c r="G3231" s="294" t="s">
        <v>2440</v>
      </c>
      <c r="H3231" s="291" t="s">
        <v>866</v>
      </c>
      <c r="I3231" s="295" t="s">
        <v>156</v>
      </c>
      <c r="J3231" s="296">
        <v>48051.09</v>
      </c>
      <c r="K3231" s="295"/>
      <c r="L3231" s="296">
        <v>26</v>
      </c>
      <c r="M3231" s="296">
        <v>11</v>
      </c>
      <c r="N3231" s="297">
        <v>10164</v>
      </c>
      <c r="O3231" s="298">
        <v>0.2</v>
      </c>
      <c r="P3231" s="298">
        <v>0.1</v>
      </c>
      <c r="Q3231" s="297">
        <v>0</v>
      </c>
      <c r="R3231" s="291" t="s">
        <v>2296</v>
      </c>
      <c r="S3231" s="299" t="s">
        <v>113</v>
      </c>
      <c r="T3231" s="299">
        <v>64</v>
      </c>
      <c r="U3231" s="300" t="s">
        <v>164</v>
      </c>
      <c r="V3231" s="333"/>
      <c r="W3231" s="291" t="s">
        <v>3921</v>
      </c>
      <c r="X3231" s="297">
        <v>0</v>
      </c>
      <c r="Y3231" s="297"/>
      <c r="AH3231" s="311">
        <f>X3231</f>
        <v>0</v>
      </c>
      <c r="AI3231" s="311"/>
      <c r="AJ3231" s="468"/>
    </row>
    <row r="3232" spans="2:37" s="337" customFormat="1" ht="11.25" customHeight="1">
      <c r="B3232" s="338" t="s">
        <v>291</v>
      </c>
      <c r="C3232" s="349">
        <v>44732</v>
      </c>
      <c r="D3232" s="349">
        <v>44735</v>
      </c>
      <c r="E3232" s="350" t="s">
        <v>2441</v>
      </c>
      <c r="F3232" s="337" t="s">
        <v>2442</v>
      </c>
      <c r="G3232" s="351" t="s">
        <v>2443</v>
      </c>
      <c r="H3232" s="337" t="s">
        <v>910</v>
      </c>
      <c r="I3232" s="353" t="s">
        <v>156</v>
      </c>
      <c r="J3232" s="352">
        <v>66517.5</v>
      </c>
      <c r="K3232" s="353"/>
      <c r="L3232" s="352">
        <v>35</v>
      </c>
      <c r="M3232" s="352">
        <v>4.3499999999999996</v>
      </c>
      <c r="N3232" s="354">
        <f>1240</f>
        <v>1240</v>
      </c>
      <c r="O3232" s="355">
        <v>0.3</v>
      </c>
      <c r="P3232" s="355">
        <v>0.1</v>
      </c>
      <c r="Q3232" s="354">
        <v>2155.21</v>
      </c>
      <c r="R3232" s="337" t="s">
        <v>2296</v>
      </c>
      <c r="S3232" s="356" t="s">
        <v>113</v>
      </c>
      <c r="T3232" s="356">
        <v>64</v>
      </c>
      <c r="U3232" s="357" t="s">
        <v>164</v>
      </c>
      <c r="V3232" s="434"/>
      <c r="X3232" s="354">
        <v>2155.21</v>
      </c>
      <c r="Y3232" s="354"/>
      <c r="AI3232" s="354">
        <v>2155.21</v>
      </c>
      <c r="AJ3232" s="358"/>
      <c r="AK3232" s="369"/>
    </row>
    <row r="3233" spans="1:77" s="337" customFormat="1" ht="11.25" customHeight="1">
      <c r="B3233" s="338" t="s">
        <v>291</v>
      </c>
      <c r="C3233" s="349"/>
      <c r="D3233" s="349"/>
      <c r="E3233" s="350" t="s">
        <v>2441</v>
      </c>
      <c r="F3233" s="337" t="s">
        <v>2442</v>
      </c>
      <c r="G3233" s="351" t="s">
        <v>2443</v>
      </c>
      <c r="H3233" s="337" t="s">
        <v>866</v>
      </c>
      <c r="I3233" s="353" t="s">
        <v>156</v>
      </c>
      <c r="J3233" s="352">
        <v>16005</v>
      </c>
      <c r="K3233" s="353"/>
      <c r="L3233" s="352">
        <v>10</v>
      </c>
      <c r="M3233" s="352">
        <v>6.25</v>
      </c>
      <c r="N3233" s="354">
        <f>1138+1408</f>
        <v>2546</v>
      </c>
      <c r="O3233" s="355">
        <v>0.3</v>
      </c>
      <c r="P3233" s="355">
        <v>0.1</v>
      </c>
      <c r="Q3233" s="354">
        <v>3614.58</v>
      </c>
      <c r="R3233" s="337" t="s">
        <v>2296</v>
      </c>
      <c r="S3233" s="356" t="s">
        <v>113</v>
      </c>
      <c r="T3233" s="356">
        <v>64</v>
      </c>
      <c r="U3233" s="357" t="s">
        <v>164</v>
      </c>
      <c r="V3233" s="434"/>
      <c r="X3233" s="354">
        <v>3614.58</v>
      </c>
      <c r="Y3233" s="354"/>
      <c r="AI3233" s="354">
        <v>3614.58</v>
      </c>
      <c r="AJ3233" s="358"/>
      <c r="AK3233" s="369"/>
    </row>
    <row r="3234" spans="1:77" s="337" customFormat="1" ht="11.25" customHeight="1">
      <c r="B3234" s="338" t="s">
        <v>291</v>
      </c>
      <c r="C3234" s="349">
        <v>44734</v>
      </c>
      <c r="D3234" s="349">
        <v>44735</v>
      </c>
      <c r="E3234" s="350" t="s">
        <v>2444</v>
      </c>
      <c r="F3234" s="337" t="s">
        <v>2445</v>
      </c>
      <c r="G3234" s="351" t="s">
        <v>2446</v>
      </c>
      <c r="H3234" s="337" t="s">
        <v>866</v>
      </c>
      <c r="I3234" s="353" t="s">
        <v>1351</v>
      </c>
      <c r="J3234" s="352">
        <v>34382.32</v>
      </c>
      <c r="K3234" s="353"/>
      <c r="L3234" s="352">
        <v>12.53</v>
      </c>
      <c r="M3234" s="352">
        <v>12.53</v>
      </c>
      <c r="N3234" s="354"/>
      <c r="O3234" s="355">
        <v>0.2</v>
      </c>
      <c r="P3234" s="355">
        <v>0.1</v>
      </c>
      <c r="Q3234" s="354">
        <v>0</v>
      </c>
      <c r="R3234" s="337" t="s">
        <v>112</v>
      </c>
      <c r="S3234" s="356" t="s">
        <v>113</v>
      </c>
      <c r="T3234" s="356">
        <v>64</v>
      </c>
      <c r="U3234" s="357" t="s">
        <v>164</v>
      </c>
      <c r="V3234" s="434"/>
      <c r="W3234" s="337" t="s">
        <v>3934</v>
      </c>
      <c r="X3234" s="354">
        <v>0</v>
      </c>
      <c r="Y3234" s="354"/>
      <c r="AI3234" s="337">
        <f>X3234</f>
        <v>0</v>
      </c>
      <c r="AJ3234" s="358"/>
      <c r="AK3234" s="369"/>
    </row>
    <row r="3235" spans="1:77" s="337" customFormat="1" ht="11.25" customHeight="1">
      <c r="B3235" s="338" t="s">
        <v>291</v>
      </c>
      <c r="C3235" s="349"/>
      <c r="D3235" s="349"/>
      <c r="E3235" s="350" t="s">
        <v>2444</v>
      </c>
      <c r="F3235" s="337" t="s">
        <v>2445</v>
      </c>
      <c r="G3235" s="351" t="s">
        <v>2446</v>
      </c>
      <c r="H3235" s="337" t="s">
        <v>866</v>
      </c>
      <c r="I3235" s="353" t="s">
        <v>1351</v>
      </c>
      <c r="J3235" s="352">
        <v>12348</v>
      </c>
      <c r="K3235" s="353"/>
      <c r="L3235" s="352">
        <v>4.5</v>
      </c>
      <c r="M3235" s="352">
        <v>4.5</v>
      </c>
      <c r="N3235" s="354"/>
      <c r="O3235" s="355">
        <v>0.2</v>
      </c>
      <c r="P3235" s="355">
        <v>0.1</v>
      </c>
      <c r="Q3235" s="354">
        <v>0</v>
      </c>
      <c r="R3235" s="337" t="s">
        <v>112</v>
      </c>
      <c r="S3235" s="356" t="s">
        <v>113</v>
      </c>
      <c r="T3235" s="356">
        <v>40</v>
      </c>
      <c r="U3235" s="357" t="s">
        <v>164</v>
      </c>
      <c r="V3235" s="434"/>
      <c r="W3235" s="337" t="s">
        <v>3934</v>
      </c>
      <c r="X3235" s="354">
        <v>0</v>
      </c>
      <c r="Y3235" s="354"/>
      <c r="AI3235" s="337">
        <f>X3235</f>
        <v>0</v>
      </c>
      <c r="AJ3235" s="358"/>
      <c r="AK3235" s="369"/>
    </row>
    <row r="3236" spans="1:77" s="6" customFormat="1" ht="11.25" customHeight="1">
      <c r="A3236" s="379"/>
      <c r="B3236" s="380" t="s">
        <v>291</v>
      </c>
      <c r="C3236" s="381">
        <v>44734</v>
      </c>
      <c r="D3236" s="381">
        <v>44734</v>
      </c>
      <c r="E3236" s="382" t="s">
        <v>2447</v>
      </c>
      <c r="F3236" s="379" t="s">
        <v>344</v>
      </c>
      <c r="G3236" s="383">
        <v>3606</v>
      </c>
      <c r="H3236" s="379" t="s">
        <v>295</v>
      </c>
      <c r="I3236" s="384" t="s">
        <v>1168</v>
      </c>
      <c r="J3236" s="385">
        <v>6606.6</v>
      </c>
      <c r="K3236" s="384"/>
      <c r="L3236" s="385">
        <v>12.1</v>
      </c>
      <c r="M3236" s="385">
        <v>12.1</v>
      </c>
      <c r="N3236" s="386"/>
      <c r="O3236" s="387">
        <v>0.2</v>
      </c>
      <c r="P3236" s="387">
        <v>0.1</v>
      </c>
      <c r="Q3236" s="386">
        <v>0</v>
      </c>
      <c r="R3236" s="379" t="s">
        <v>35</v>
      </c>
      <c r="S3236" s="388" t="s">
        <v>41</v>
      </c>
      <c r="T3236" s="388">
        <v>86</v>
      </c>
      <c r="U3236" s="389" t="s">
        <v>164</v>
      </c>
      <c r="V3236" s="433"/>
      <c r="W3236" s="379"/>
      <c r="X3236" s="386">
        <v>0</v>
      </c>
      <c r="Y3236" s="386"/>
      <c r="Z3236" s="379"/>
      <c r="AA3236" s="379"/>
      <c r="AB3236" s="379"/>
      <c r="AC3236" s="379"/>
      <c r="AD3236" s="379"/>
      <c r="AE3236" s="379"/>
      <c r="AF3236" s="379"/>
      <c r="AG3236" s="379"/>
      <c r="AH3236" s="379"/>
      <c r="AI3236" s="379"/>
      <c r="AJ3236" s="390">
        <v>0</v>
      </c>
      <c r="AK3236" s="379"/>
      <c r="AL3236" s="379"/>
      <c r="AM3236" s="379"/>
      <c r="AN3236" s="379"/>
      <c r="AO3236" s="379"/>
      <c r="AP3236" s="379"/>
      <c r="AQ3236" s="379"/>
      <c r="AR3236" s="379"/>
      <c r="AS3236" s="379"/>
      <c r="AT3236" s="379"/>
      <c r="AU3236" s="379"/>
      <c r="AV3236" s="379"/>
      <c r="AW3236" s="379"/>
      <c r="AX3236" s="379"/>
      <c r="AY3236" s="379"/>
      <c r="AZ3236" s="379"/>
      <c r="BA3236" s="379"/>
      <c r="BB3236" s="379"/>
      <c r="BC3236" s="379"/>
      <c r="BD3236" s="379"/>
      <c r="BE3236" s="379"/>
      <c r="BF3236" s="379"/>
      <c r="BG3236" s="379"/>
      <c r="BH3236" s="379"/>
      <c r="BI3236" s="379"/>
      <c r="BJ3236" s="379"/>
      <c r="BK3236" s="379"/>
      <c r="BL3236" s="379"/>
      <c r="BM3236" s="379"/>
      <c r="BN3236" s="379"/>
      <c r="BO3236" s="379"/>
      <c r="BP3236" s="379"/>
      <c r="BQ3236" s="379"/>
      <c r="BR3236" s="379"/>
      <c r="BS3236" s="379"/>
      <c r="BT3236" s="379"/>
      <c r="BU3236" s="379"/>
      <c r="BV3236" s="379"/>
      <c r="BW3236" s="379"/>
      <c r="BX3236" s="379"/>
      <c r="BY3236" s="379"/>
    </row>
    <row r="3237" spans="1:77" s="6" customFormat="1" ht="11.25" customHeight="1">
      <c r="A3237" s="379"/>
      <c r="B3237" s="380" t="s">
        <v>291</v>
      </c>
      <c r="C3237" s="381"/>
      <c r="D3237" s="381"/>
      <c r="E3237" s="382" t="s">
        <v>2447</v>
      </c>
      <c r="F3237" s="379" t="s">
        <v>344</v>
      </c>
      <c r="G3237" s="383">
        <v>3606</v>
      </c>
      <c r="H3237" s="379" t="s">
        <v>866</v>
      </c>
      <c r="I3237" s="384" t="s">
        <v>1168</v>
      </c>
      <c r="J3237" s="385">
        <v>25984.84</v>
      </c>
      <c r="K3237" s="384"/>
      <c r="L3237" s="385">
        <v>17.05</v>
      </c>
      <c r="M3237" s="385">
        <v>17.05</v>
      </c>
      <c r="N3237" s="386"/>
      <c r="O3237" s="387">
        <v>0.2</v>
      </c>
      <c r="P3237" s="387">
        <v>0.1</v>
      </c>
      <c r="Q3237" s="386">
        <v>0</v>
      </c>
      <c r="R3237" s="379" t="s">
        <v>35</v>
      </c>
      <c r="S3237" s="388" t="s">
        <v>41</v>
      </c>
      <c r="T3237" s="388">
        <v>86</v>
      </c>
      <c r="U3237" s="389" t="s">
        <v>164</v>
      </c>
      <c r="V3237" s="433"/>
      <c r="W3237" s="379"/>
      <c r="X3237" s="386">
        <v>0</v>
      </c>
      <c r="Y3237" s="386"/>
      <c r="Z3237" s="379"/>
      <c r="AA3237" s="379"/>
      <c r="AB3237" s="379"/>
      <c r="AC3237" s="379"/>
      <c r="AD3237" s="379"/>
      <c r="AE3237" s="379"/>
      <c r="AF3237" s="379"/>
      <c r="AG3237" s="379"/>
      <c r="AH3237" s="379"/>
      <c r="AI3237" s="379"/>
      <c r="AJ3237" s="390">
        <v>0</v>
      </c>
      <c r="AK3237" s="379"/>
      <c r="AL3237" s="379"/>
      <c r="AM3237" s="379"/>
      <c r="AN3237" s="379"/>
      <c r="AO3237" s="379"/>
      <c r="AP3237" s="379"/>
      <c r="AQ3237" s="379"/>
      <c r="AR3237" s="379"/>
      <c r="AS3237" s="379"/>
      <c r="AT3237" s="379"/>
      <c r="AU3237" s="379"/>
      <c r="AV3237" s="379"/>
      <c r="AW3237" s="379"/>
      <c r="AX3237" s="379"/>
      <c r="AY3237" s="379"/>
      <c r="AZ3237" s="379"/>
      <c r="BA3237" s="379"/>
      <c r="BB3237" s="379"/>
      <c r="BC3237" s="379"/>
      <c r="BD3237" s="379"/>
      <c r="BE3237" s="379"/>
      <c r="BF3237" s="379"/>
      <c r="BG3237" s="379"/>
      <c r="BH3237" s="379"/>
      <c r="BI3237" s="379"/>
      <c r="BJ3237" s="379"/>
      <c r="BK3237" s="379"/>
      <c r="BL3237" s="379"/>
      <c r="BM3237" s="379"/>
      <c r="BN3237" s="379"/>
      <c r="BO3237" s="379"/>
      <c r="BP3237" s="379"/>
      <c r="BQ3237" s="379"/>
      <c r="BR3237" s="379"/>
      <c r="BS3237" s="379"/>
      <c r="BT3237" s="379"/>
      <c r="BU3237" s="379"/>
      <c r="BV3237" s="379"/>
      <c r="BW3237" s="379"/>
      <c r="BX3237" s="379"/>
      <c r="BY3237" s="379"/>
    </row>
    <row r="3238" spans="1:77" s="337" customFormat="1" ht="11.25" customHeight="1">
      <c r="A3238" s="473"/>
      <c r="B3238" s="486" t="s">
        <v>291</v>
      </c>
      <c r="C3238" s="487"/>
      <c r="D3238" s="487"/>
      <c r="E3238" s="488" t="s">
        <v>2448</v>
      </c>
      <c r="F3238" s="473" t="s">
        <v>2449</v>
      </c>
      <c r="G3238" s="489" t="s">
        <v>2450</v>
      </c>
      <c r="H3238" s="473" t="s">
        <v>866</v>
      </c>
      <c r="I3238" s="491" t="s">
        <v>111</v>
      </c>
      <c r="J3238" s="490">
        <v>35518.400000000001</v>
      </c>
      <c r="K3238" s="491"/>
      <c r="L3238" s="490">
        <v>19.420000000000002</v>
      </c>
      <c r="M3238" s="490">
        <v>19.420000000000002</v>
      </c>
      <c r="N3238" s="492"/>
      <c r="O3238" s="493">
        <v>0.3</v>
      </c>
      <c r="P3238" s="493"/>
      <c r="Q3238" s="492">
        <v>0</v>
      </c>
      <c r="R3238" s="473" t="s">
        <v>112</v>
      </c>
      <c r="S3238" s="481" t="s">
        <v>113</v>
      </c>
      <c r="T3238" s="481">
        <v>64</v>
      </c>
      <c r="U3238" s="494" t="s">
        <v>164</v>
      </c>
      <c r="V3238" s="495"/>
      <c r="W3238" s="473"/>
      <c r="X3238" s="492">
        <v>0</v>
      </c>
      <c r="Y3238" s="492"/>
      <c r="Z3238" s="473"/>
      <c r="AA3238" s="473"/>
      <c r="AB3238" s="473"/>
      <c r="AC3238" s="473"/>
      <c r="AD3238" s="473"/>
      <c r="AE3238" s="473"/>
      <c r="AF3238" s="473"/>
      <c r="AG3238" s="473"/>
      <c r="AH3238" s="473"/>
      <c r="AI3238" s="473"/>
      <c r="AJ3238" s="485"/>
      <c r="AK3238" s="473">
        <v>0</v>
      </c>
      <c r="AL3238" s="473"/>
      <c r="AM3238" s="473"/>
      <c r="AN3238" s="473"/>
      <c r="AO3238" s="473"/>
      <c r="AP3238" s="473"/>
      <c r="AQ3238" s="473"/>
      <c r="AR3238" s="473"/>
      <c r="AS3238" s="473"/>
      <c r="AT3238" s="473"/>
      <c r="AU3238" s="473"/>
      <c r="AV3238" s="473"/>
      <c r="AW3238" s="473"/>
      <c r="AX3238" s="473"/>
      <c r="AY3238" s="473"/>
      <c r="AZ3238" s="473"/>
      <c r="BA3238" s="473"/>
      <c r="BB3238" s="473"/>
      <c r="BC3238" s="473"/>
      <c r="BD3238" s="473"/>
      <c r="BE3238" s="473"/>
      <c r="BF3238" s="473"/>
      <c r="BG3238" s="473"/>
      <c r="BH3238" s="473"/>
      <c r="BI3238" s="473"/>
      <c r="BJ3238" s="473"/>
      <c r="BK3238" s="473"/>
      <c r="BL3238" s="473"/>
      <c r="BM3238" s="473"/>
      <c r="BN3238" s="473"/>
      <c r="BO3238" s="473"/>
      <c r="BP3238" s="473"/>
      <c r="BQ3238" s="473"/>
      <c r="BR3238" s="473"/>
      <c r="BS3238" s="473"/>
      <c r="BT3238" s="473"/>
      <c r="BU3238" s="473"/>
      <c r="BV3238" s="473"/>
      <c r="BW3238" s="473"/>
      <c r="BX3238" s="473"/>
      <c r="BY3238" s="473"/>
    </row>
    <row r="3239" spans="1:77" s="337" customFormat="1" ht="11.25" customHeight="1">
      <c r="B3239" s="338" t="s">
        <v>291</v>
      </c>
      <c r="C3239" s="349">
        <v>44730</v>
      </c>
      <c r="D3239" s="349">
        <v>44735</v>
      </c>
      <c r="E3239" s="350" t="s">
        <v>2448</v>
      </c>
      <c r="F3239" s="337" t="s">
        <v>2449</v>
      </c>
      <c r="G3239" s="351" t="s">
        <v>2450</v>
      </c>
      <c r="H3239" s="337" t="s">
        <v>910</v>
      </c>
      <c r="I3239" s="353" t="s">
        <v>111</v>
      </c>
      <c r="J3239" s="352">
        <v>37756.54</v>
      </c>
      <c r="K3239" s="353"/>
      <c r="L3239" s="352">
        <v>17.41</v>
      </c>
      <c r="M3239" s="352">
        <v>17.41</v>
      </c>
      <c r="N3239" s="354"/>
      <c r="O3239" s="355">
        <v>0.3</v>
      </c>
      <c r="P3239" s="355"/>
      <c r="Q3239" s="354">
        <v>0</v>
      </c>
      <c r="R3239" s="337" t="s">
        <v>112</v>
      </c>
      <c r="S3239" s="356" t="s">
        <v>113</v>
      </c>
      <c r="T3239" s="356">
        <v>64</v>
      </c>
      <c r="U3239" s="357" t="s">
        <v>164</v>
      </c>
      <c r="V3239" s="434"/>
      <c r="X3239" s="354">
        <v>0</v>
      </c>
      <c r="Y3239" s="354"/>
      <c r="AI3239" s="337">
        <f>X3239</f>
        <v>0</v>
      </c>
      <c r="AJ3239" s="358"/>
      <c r="AK3239" s="369"/>
    </row>
    <row r="3240" spans="1:77" s="337" customFormat="1" ht="11.25" customHeight="1">
      <c r="B3240" s="338" t="s">
        <v>291</v>
      </c>
      <c r="C3240" s="349"/>
      <c r="D3240" s="349"/>
      <c r="E3240" s="350" t="s">
        <v>2448</v>
      </c>
      <c r="F3240" s="337" t="s">
        <v>2449</v>
      </c>
      <c r="G3240" s="351" t="s">
        <v>2450</v>
      </c>
      <c r="H3240" s="337" t="s">
        <v>814</v>
      </c>
      <c r="I3240" s="353" t="s">
        <v>111</v>
      </c>
      <c r="J3240" s="352">
        <v>10396.85</v>
      </c>
      <c r="K3240" s="353"/>
      <c r="L3240" s="352">
        <v>7.76</v>
      </c>
      <c r="M3240" s="352">
        <v>7.76</v>
      </c>
      <c r="N3240" s="354"/>
      <c r="O3240" s="355">
        <v>0.3</v>
      </c>
      <c r="P3240" s="355"/>
      <c r="Q3240" s="354">
        <v>0</v>
      </c>
      <c r="R3240" s="337" t="s">
        <v>112</v>
      </c>
      <c r="S3240" s="356" t="s">
        <v>113</v>
      </c>
      <c r="T3240" s="356">
        <v>64</v>
      </c>
      <c r="U3240" s="357" t="s">
        <v>164</v>
      </c>
      <c r="V3240" s="434"/>
      <c r="X3240" s="354">
        <v>0</v>
      </c>
      <c r="Y3240" s="354"/>
      <c r="AI3240" s="337">
        <f>X3240</f>
        <v>0</v>
      </c>
      <c r="AJ3240" s="358"/>
      <c r="AK3240" s="369"/>
    </row>
    <row r="3241" spans="1:77" s="261" customFormat="1" ht="11.25" customHeight="1">
      <c r="B3241" s="261" t="s">
        <v>291</v>
      </c>
      <c r="C3241" s="259">
        <v>44733</v>
      </c>
      <c r="D3241" s="259">
        <v>44735</v>
      </c>
      <c r="E3241" s="260" t="s">
        <v>2451</v>
      </c>
      <c r="F3241" s="261" t="s">
        <v>1256</v>
      </c>
      <c r="G3241" s="262" t="s">
        <v>1257</v>
      </c>
      <c r="H3241" s="261" t="s">
        <v>250</v>
      </c>
      <c r="I3241" s="264" t="s">
        <v>156</v>
      </c>
      <c r="J3241" s="263">
        <v>9909.76</v>
      </c>
      <c r="K3241" s="264"/>
      <c r="L3241" s="263">
        <v>12.64</v>
      </c>
      <c r="M3241" s="263">
        <v>12.64</v>
      </c>
      <c r="N3241" s="265">
        <v>8621.4912000000004</v>
      </c>
      <c r="O3241" s="266">
        <v>0.15</v>
      </c>
      <c r="P3241" s="266">
        <v>0.1</v>
      </c>
      <c r="Q3241" s="265">
        <v>0</v>
      </c>
      <c r="R3241" s="261" t="s">
        <v>281</v>
      </c>
      <c r="S3241" s="267" t="s">
        <v>1258</v>
      </c>
      <c r="T3241" s="267">
        <v>36</v>
      </c>
      <c r="U3241" s="268" t="s">
        <v>3648</v>
      </c>
      <c r="V3241" s="427"/>
      <c r="X3241" s="265">
        <v>0</v>
      </c>
      <c r="Y3241" s="265"/>
      <c r="AG3241" s="261">
        <f>X3241</f>
        <v>0</v>
      </c>
      <c r="AJ3241" s="642"/>
    </row>
    <row r="3242" spans="1:77" s="261" customFormat="1" ht="11.25" customHeight="1">
      <c r="B3242" s="261" t="s">
        <v>291</v>
      </c>
      <c r="C3242" s="259"/>
      <c r="D3242" s="259"/>
      <c r="E3242" s="260" t="s">
        <v>2451</v>
      </c>
      <c r="F3242" s="261" t="s">
        <v>1256</v>
      </c>
      <c r="G3242" s="262" t="s">
        <v>1257</v>
      </c>
      <c r="H3242" s="261" t="s">
        <v>157</v>
      </c>
      <c r="I3242" s="264" t="s">
        <v>156</v>
      </c>
      <c r="J3242" s="263">
        <v>27654.9</v>
      </c>
      <c r="K3242" s="264"/>
      <c r="L3242" s="263">
        <v>20.260000000000002</v>
      </c>
      <c r="M3242" s="263">
        <v>20.260000000000002</v>
      </c>
      <c r="N3242" s="265">
        <v>21570.822</v>
      </c>
      <c r="O3242" s="266">
        <v>0.15</v>
      </c>
      <c r="P3242" s="266">
        <v>0.1</v>
      </c>
      <c r="Q3242" s="265">
        <v>19616.75</v>
      </c>
      <c r="R3242" s="261" t="s">
        <v>281</v>
      </c>
      <c r="S3242" s="267" t="s">
        <v>1258</v>
      </c>
      <c r="T3242" s="267">
        <v>36</v>
      </c>
      <c r="U3242" s="268" t="s">
        <v>3648</v>
      </c>
      <c r="V3242" s="427"/>
      <c r="X3242" s="265">
        <v>19616.75</v>
      </c>
      <c r="Y3242" s="265"/>
      <c r="AG3242" s="261">
        <f>X3242</f>
        <v>19616.75</v>
      </c>
      <c r="AJ3242" s="642"/>
    </row>
    <row r="3243" spans="1:77" s="291" customFormat="1" ht="11.25" customHeight="1">
      <c r="B3243" s="291" t="s">
        <v>291</v>
      </c>
      <c r="C3243" s="292">
        <v>44734</v>
      </c>
      <c r="D3243" s="292">
        <v>44735</v>
      </c>
      <c r="E3243" s="293" t="s">
        <v>2452</v>
      </c>
      <c r="F3243" s="291" t="s">
        <v>2453</v>
      </c>
      <c r="G3243" s="294" t="s">
        <v>2454</v>
      </c>
      <c r="H3243" s="291" t="s">
        <v>765</v>
      </c>
      <c r="I3243" s="295" t="s">
        <v>888</v>
      </c>
      <c r="J3243" s="296">
        <v>15056.26</v>
      </c>
      <c r="K3243" s="295"/>
      <c r="L3243" s="296">
        <v>14.2</v>
      </c>
      <c r="M3243" s="296">
        <v>14.2</v>
      </c>
      <c r="N3243" s="297"/>
      <c r="O3243" s="298">
        <v>0.15</v>
      </c>
      <c r="P3243" s="298"/>
      <c r="Q3243" s="297">
        <v>0</v>
      </c>
      <c r="R3243" s="291" t="s">
        <v>251</v>
      </c>
      <c r="S3243" s="299" t="s">
        <v>74</v>
      </c>
      <c r="T3243" s="299">
        <v>32</v>
      </c>
      <c r="U3243" s="300" t="s">
        <v>164</v>
      </c>
      <c r="V3243" s="333"/>
      <c r="X3243" s="297">
        <v>0</v>
      </c>
      <c r="Y3243" s="297"/>
      <c r="AH3243" s="291">
        <f>X3243</f>
        <v>0</v>
      </c>
      <c r="AI3243" s="311"/>
      <c r="AJ3243" s="468"/>
    </row>
    <row r="3244" spans="1:77" s="205" customFormat="1" ht="11.25" customHeight="1">
      <c r="B3244" s="205" t="s">
        <v>291</v>
      </c>
      <c r="C3244" s="207"/>
      <c r="D3244" s="207"/>
      <c r="E3244" s="208" t="s">
        <v>2452</v>
      </c>
      <c r="F3244" s="205" t="s">
        <v>2453</v>
      </c>
      <c r="G3244" s="209" t="s">
        <v>2454</v>
      </c>
      <c r="H3244" s="205" t="s">
        <v>163</v>
      </c>
      <c r="I3244" s="219" t="s">
        <v>888</v>
      </c>
      <c r="J3244" s="210">
        <v>4371.71</v>
      </c>
      <c r="K3244" s="219"/>
      <c r="L3244" s="210">
        <v>6.11</v>
      </c>
      <c r="M3244" s="210">
        <v>6.11</v>
      </c>
      <c r="N3244" s="213">
        <f>1967.26725</f>
        <v>1967.2672500000001</v>
      </c>
      <c r="O3244" s="212">
        <v>0.15</v>
      </c>
      <c r="P3244" s="212"/>
      <c r="Q3244" s="213">
        <v>874.8</v>
      </c>
      <c r="R3244" s="205" t="s">
        <v>251</v>
      </c>
      <c r="S3244" s="214" t="s">
        <v>74</v>
      </c>
      <c r="T3244" s="214">
        <v>32</v>
      </c>
      <c r="U3244" s="215" t="s">
        <v>164</v>
      </c>
      <c r="V3244" s="438"/>
      <c r="X3244" s="213">
        <v>874.8</v>
      </c>
      <c r="Y3244" s="213"/>
      <c r="AF3244" s="230">
        <f>X3244</f>
        <v>874.8</v>
      </c>
      <c r="AJ3244" s="216"/>
    </row>
    <row r="3245" spans="1:77" s="205" customFormat="1" ht="11.25" customHeight="1">
      <c r="B3245" s="205" t="s">
        <v>291</v>
      </c>
      <c r="C3245" s="207"/>
      <c r="D3245" s="207"/>
      <c r="E3245" s="208" t="s">
        <v>2452</v>
      </c>
      <c r="F3245" s="205" t="s">
        <v>2453</v>
      </c>
      <c r="G3245" s="209" t="s">
        <v>2454</v>
      </c>
      <c r="H3245" s="205" t="s">
        <v>433</v>
      </c>
      <c r="I3245" s="219" t="s">
        <v>888</v>
      </c>
      <c r="J3245" s="210">
        <v>5229</v>
      </c>
      <c r="K3245" s="219"/>
      <c r="L3245" s="210">
        <v>6.64</v>
      </c>
      <c r="M3245" s="210">
        <v>6.64</v>
      </c>
      <c r="N3245" s="213">
        <v>1202.67</v>
      </c>
      <c r="O3245" s="212">
        <v>0.15</v>
      </c>
      <c r="P3245" s="212"/>
      <c r="Q3245" s="213">
        <v>0</v>
      </c>
      <c r="R3245" s="205" t="s">
        <v>251</v>
      </c>
      <c r="S3245" s="214" t="s">
        <v>74</v>
      </c>
      <c r="T3245" s="214">
        <v>32</v>
      </c>
      <c r="U3245" s="215" t="s">
        <v>164</v>
      </c>
      <c r="V3245" s="438"/>
      <c r="X3245" s="213">
        <v>0</v>
      </c>
      <c r="Y3245" s="213"/>
      <c r="AF3245" s="230">
        <f>X3245</f>
        <v>0</v>
      </c>
      <c r="AJ3245" s="216"/>
    </row>
    <row r="3246" spans="1:77" s="205" customFormat="1" ht="11.25" customHeight="1">
      <c r="B3246" s="205" t="s">
        <v>291</v>
      </c>
      <c r="C3246" s="207">
        <v>44732</v>
      </c>
      <c r="D3246" s="207">
        <v>44735</v>
      </c>
      <c r="E3246" s="208" t="s">
        <v>2455</v>
      </c>
      <c r="F3246" s="205" t="s">
        <v>2456</v>
      </c>
      <c r="G3246" s="209">
        <v>3722</v>
      </c>
      <c r="H3246" s="205" t="s">
        <v>162</v>
      </c>
      <c r="I3246" s="219" t="s">
        <v>2457</v>
      </c>
      <c r="J3246" s="210">
        <v>812.59</v>
      </c>
      <c r="K3246" s="219"/>
      <c r="L3246" s="210">
        <v>1.52</v>
      </c>
      <c r="M3246" s="210">
        <v>1.52</v>
      </c>
      <c r="N3246" s="213">
        <f>322</f>
        <v>322</v>
      </c>
      <c r="O3246" s="212">
        <v>0.2</v>
      </c>
      <c r="P3246" s="212"/>
      <c r="Q3246" s="213">
        <v>130.22999999999999</v>
      </c>
      <c r="R3246" s="205" t="s">
        <v>105</v>
      </c>
      <c r="S3246" s="214" t="s">
        <v>30</v>
      </c>
      <c r="T3246" s="214">
        <v>71</v>
      </c>
      <c r="U3246" s="215" t="s">
        <v>164</v>
      </c>
      <c r="V3246" s="438"/>
      <c r="X3246" s="213">
        <v>130.22999999999999</v>
      </c>
      <c r="Y3246" s="213"/>
      <c r="AF3246" s="230">
        <f>X3246</f>
        <v>130.22999999999999</v>
      </c>
      <c r="AJ3246" s="216"/>
    </row>
    <row r="3247" spans="1:77" s="205" customFormat="1" ht="11.25" customHeight="1">
      <c r="B3247" s="205" t="s">
        <v>291</v>
      </c>
      <c r="C3247" s="207">
        <v>44732</v>
      </c>
      <c r="D3247" s="207">
        <v>44735</v>
      </c>
      <c r="E3247" s="208" t="s">
        <v>2458</v>
      </c>
      <c r="F3247" s="205" t="s">
        <v>1542</v>
      </c>
      <c r="G3247" s="209" t="s">
        <v>1543</v>
      </c>
      <c r="H3247" s="205" t="s">
        <v>866</v>
      </c>
      <c r="I3247" s="219" t="s">
        <v>156</v>
      </c>
      <c r="J3247" s="210">
        <v>12949.74</v>
      </c>
      <c r="K3247" s="219"/>
      <c r="L3247" s="210">
        <v>7.35</v>
      </c>
      <c r="M3247" s="210">
        <v>7.35</v>
      </c>
      <c r="N3247" s="213"/>
      <c r="O3247" s="212">
        <v>0.15</v>
      </c>
      <c r="P3247" s="212">
        <v>0.1</v>
      </c>
      <c r="Q3247" s="213">
        <v>0</v>
      </c>
      <c r="R3247" s="205" t="s">
        <v>112</v>
      </c>
      <c r="S3247" s="214" t="s">
        <v>113</v>
      </c>
      <c r="T3247" s="214">
        <v>64</v>
      </c>
      <c r="U3247" s="215" t="s">
        <v>164</v>
      </c>
      <c r="V3247" s="438"/>
      <c r="X3247" s="213">
        <v>0</v>
      </c>
      <c r="Y3247" s="213"/>
      <c r="AF3247" s="230">
        <f>X3247</f>
        <v>0</v>
      </c>
      <c r="AJ3247" s="216"/>
    </row>
    <row r="3248" spans="1:77" s="507" customFormat="1" ht="11.25" customHeight="1">
      <c r="B3248" s="507" t="s">
        <v>291</v>
      </c>
      <c r="C3248" s="509">
        <v>44735</v>
      </c>
      <c r="D3248" s="509">
        <v>44735</v>
      </c>
      <c r="E3248" s="510" t="s">
        <v>2459</v>
      </c>
      <c r="F3248" s="507" t="s">
        <v>3805</v>
      </c>
      <c r="G3248" s="521">
        <v>4324</v>
      </c>
      <c r="H3248" s="507" t="s">
        <v>27</v>
      </c>
      <c r="I3248" s="512" t="s">
        <v>1151</v>
      </c>
      <c r="J3248" s="513">
        <v>3591</v>
      </c>
      <c r="K3248" s="512"/>
      <c r="L3248" s="513">
        <v>3.9</v>
      </c>
      <c r="M3248" s="513">
        <v>3.8</v>
      </c>
      <c r="N3248" s="514"/>
      <c r="O3248" s="515">
        <v>0.15</v>
      </c>
      <c r="P3248" s="515">
        <v>0.1</v>
      </c>
      <c r="Q3248" s="514">
        <v>0</v>
      </c>
      <c r="R3248" s="507" t="s">
        <v>35</v>
      </c>
      <c r="S3248" s="516" t="s">
        <v>41</v>
      </c>
      <c r="T3248" s="516">
        <v>86</v>
      </c>
      <c r="U3248" s="517" t="s">
        <v>164</v>
      </c>
      <c r="V3248" s="518"/>
      <c r="X3248" s="514">
        <v>0</v>
      </c>
      <c r="Y3248" s="514"/>
      <c r="AJ3248" s="522"/>
      <c r="AL3248" s="507">
        <v>0</v>
      </c>
    </row>
    <row r="3249" spans="1:77" s="507" customFormat="1" ht="11.25" customHeight="1">
      <c r="B3249" s="507" t="s">
        <v>291</v>
      </c>
      <c r="C3249" s="509"/>
      <c r="D3249" s="509"/>
      <c r="E3249" s="510" t="s">
        <v>2459</v>
      </c>
      <c r="F3249" s="507" t="s">
        <v>3805</v>
      </c>
      <c r="G3249" s="521">
        <v>4324</v>
      </c>
      <c r="H3249" s="507" t="s">
        <v>27</v>
      </c>
      <c r="I3249" s="512" t="s">
        <v>1151</v>
      </c>
      <c r="J3249" s="513">
        <v>25174.799999999999</v>
      </c>
      <c r="K3249" s="512"/>
      <c r="L3249" s="513">
        <v>26.64</v>
      </c>
      <c r="M3249" s="513">
        <v>26.64</v>
      </c>
      <c r="N3249" s="514"/>
      <c r="O3249" s="515">
        <v>0.15</v>
      </c>
      <c r="P3249" s="515">
        <v>0.1</v>
      </c>
      <c r="Q3249" s="514">
        <v>11641.42</v>
      </c>
      <c r="R3249" s="507" t="s">
        <v>35</v>
      </c>
      <c r="S3249" s="516" t="s">
        <v>41</v>
      </c>
      <c r="T3249" s="516">
        <v>16</v>
      </c>
      <c r="U3249" s="517" t="s">
        <v>164</v>
      </c>
      <c r="V3249" s="518"/>
      <c r="X3249" s="514">
        <v>11641.42</v>
      </c>
      <c r="Y3249" s="514"/>
      <c r="AJ3249" s="522"/>
      <c r="AL3249" s="514">
        <v>11641.42</v>
      </c>
    </row>
    <row r="3250" spans="1:77" s="473" customFormat="1" ht="11.25" customHeight="1">
      <c r="B3250" s="473" t="s">
        <v>291</v>
      </c>
      <c r="C3250" s="487">
        <v>44735</v>
      </c>
      <c r="D3250" s="487">
        <v>44735</v>
      </c>
      <c r="E3250" s="488" t="s">
        <v>2460</v>
      </c>
      <c r="F3250" s="473" t="s">
        <v>202</v>
      </c>
      <c r="G3250" s="489">
        <v>3992</v>
      </c>
      <c r="H3250" s="473" t="s">
        <v>814</v>
      </c>
      <c r="I3250" s="491" t="s">
        <v>819</v>
      </c>
      <c r="J3250" s="490">
        <v>18001.8</v>
      </c>
      <c r="K3250" s="491"/>
      <c r="L3250" s="490">
        <v>21.42</v>
      </c>
      <c r="M3250" s="490">
        <v>21.41</v>
      </c>
      <c r="N3250" s="492"/>
      <c r="O3250" s="493">
        <v>0.15</v>
      </c>
      <c r="P3250" s="493">
        <v>0.1</v>
      </c>
      <c r="Q3250" s="492">
        <v>4127.58</v>
      </c>
      <c r="R3250" s="473" t="s">
        <v>146</v>
      </c>
      <c r="S3250" s="481" t="s">
        <v>74</v>
      </c>
      <c r="T3250" s="481">
        <v>31</v>
      </c>
      <c r="U3250" s="494" t="s">
        <v>164</v>
      </c>
      <c r="V3250" s="495"/>
      <c r="X3250" s="492">
        <v>4127.58</v>
      </c>
      <c r="Y3250" s="492"/>
      <c r="AJ3250" s="485"/>
      <c r="AK3250" s="505">
        <v>4127.58</v>
      </c>
    </row>
    <row r="3251" spans="1:77" s="473" customFormat="1" ht="11.25" customHeight="1">
      <c r="B3251" s="473" t="s">
        <v>291</v>
      </c>
      <c r="C3251" s="487"/>
      <c r="D3251" s="487"/>
      <c r="E3251" s="488" t="s">
        <v>2460</v>
      </c>
      <c r="F3251" s="473" t="s">
        <v>202</v>
      </c>
      <c r="G3251" s="489">
        <v>3992</v>
      </c>
      <c r="H3251" s="473" t="s">
        <v>765</v>
      </c>
      <c r="I3251" s="491" t="s">
        <v>819</v>
      </c>
      <c r="J3251" s="490">
        <v>28639.33</v>
      </c>
      <c r="K3251" s="491"/>
      <c r="L3251" s="490">
        <v>24.27</v>
      </c>
      <c r="M3251" s="490">
        <v>24.27</v>
      </c>
      <c r="N3251" s="492"/>
      <c r="O3251" s="493">
        <v>0.15</v>
      </c>
      <c r="P3251" s="493">
        <v>0.1</v>
      </c>
      <c r="Q3251" s="492">
        <v>3672.18</v>
      </c>
      <c r="R3251" s="473" t="s">
        <v>146</v>
      </c>
      <c r="S3251" s="481" t="s">
        <v>74</v>
      </c>
      <c r="T3251" s="481">
        <v>31</v>
      </c>
      <c r="U3251" s="494" t="s">
        <v>164</v>
      </c>
      <c r="V3251" s="495"/>
      <c r="X3251" s="492">
        <v>3672.18</v>
      </c>
      <c r="Y3251" s="492"/>
      <c r="AJ3251" s="485"/>
      <c r="AK3251" s="505">
        <v>3672.18</v>
      </c>
    </row>
    <row r="3252" spans="1:77" s="6" customFormat="1" ht="11.25" customHeight="1">
      <c r="A3252" s="379"/>
      <c r="B3252" s="379" t="s">
        <v>291</v>
      </c>
      <c r="C3252" s="381"/>
      <c r="D3252" s="381"/>
      <c r="E3252" s="382" t="s">
        <v>2460</v>
      </c>
      <c r="F3252" s="379" t="s">
        <v>202</v>
      </c>
      <c r="G3252" s="383">
        <v>3992</v>
      </c>
      <c r="H3252" s="379" t="s">
        <v>99</v>
      </c>
      <c r="I3252" s="384" t="s">
        <v>819</v>
      </c>
      <c r="J3252" s="385">
        <v>17342.04</v>
      </c>
      <c r="K3252" s="384"/>
      <c r="L3252" s="385">
        <v>15.93</v>
      </c>
      <c r="M3252" s="385">
        <v>15.93</v>
      </c>
      <c r="N3252" s="386"/>
      <c r="O3252" s="387">
        <v>0.15</v>
      </c>
      <c r="P3252" s="387">
        <v>0.1</v>
      </c>
      <c r="Q3252" s="386">
        <v>0</v>
      </c>
      <c r="R3252" s="379" t="s">
        <v>146</v>
      </c>
      <c r="S3252" s="388" t="s">
        <v>74</v>
      </c>
      <c r="T3252" s="388">
        <v>31</v>
      </c>
      <c r="U3252" s="389" t="s">
        <v>164</v>
      </c>
      <c r="V3252" s="433"/>
      <c r="W3252" s="379"/>
      <c r="X3252" s="386">
        <v>0</v>
      </c>
      <c r="Y3252" s="386"/>
      <c r="Z3252" s="379"/>
      <c r="AA3252" s="379"/>
      <c r="AB3252" s="379"/>
      <c r="AC3252" s="379"/>
      <c r="AD3252" s="379"/>
      <c r="AE3252" s="379"/>
      <c r="AF3252" s="379"/>
      <c r="AG3252" s="379"/>
      <c r="AH3252" s="379"/>
      <c r="AI3252" s="379"/>
      <c r="AJ3252" s="390">
        <v>0</v>
      </c>
      <c r="AK3252" s="379"/>
      <c r="AL3252" s="379"/>
      <c r="AM3252" s="379"/>
      <c r="AN3252" s="379"/>
      <c r="AO3252" s="379"/>
      <c r="AP3252" s="379"/>
      <c r="AQ3252" s="379"/>
      <c r="AR3252" s="379"/>
      <c r="AS3252" s="379"/>
      <c r="AT3252" s="379"/>
      <c r="AU3252" s="379"/>
      <c r="AV3252" s="379"/>
      <c r="AW3252" s="379"/>
      <c r="AX3252" s="379"/>
      <c r="AY3252" s="379"/>
      <c r="AZ3252" s="379"/>
      <c r="BA3252" s="379"/>
      <c r="BB3252" s="379"/>
      <c r="BC3252" s="379"/>
      <c r="BD3252" s="379"/>
      <c r="BE3252" s="379"/>
      <c r="BF3252" s="379"/>
      <c r="BG3252" s="379"/>
      <c r="BH3252" s="379"/>
      <c r="BI3252" s="379"/>
      <c r="BJ3252" s="379"/>
      <c r="BK3252" s="379"/>
      <c r="BL3252" s="379"/>
      <c r="BM3252" s="379"/>
      <c r="BN3252" s="379"/>
      <c r="BO3252" s="379"/>
      <c r="BP3252" s="379"/>
      <c r="BQ3252" s="379"/>
      <c r="BR3252" s="379"/>
      <c r="BS3252" s="379"/>
      <c r="BT3252" s="379"/>
      <c r="BU3252" s="379"/>
      <c r="BV3252" s="379"/>
      <c r="BW3252" s="379"/>
      <c r="BX3252" s="379"/>
      <c r="BY3252" s="379"/>
    </row>
    <row r="3253" spans="1:77" s="473" customFormat="1" ht="11.25" customHeight="1">
      <c r="B3253" s="486" t="s">
        <v>390</v>
      </c>
      <c r="C3253" s="487">
        <v>44732</v>
      </c>
      <c r="D3253" s="487">
        <v>44735</v>
      </c>
      <c r="E3253" s="488" t="s">
        <v>2461</v>
      </c>
      <c r="F3253" s="473" t="s">
        <v>943</v>
      </c>
      <c r="G3253" s="489" t="s">
        <v>944</v>
      </c>
      <c r="H3253" s="473" t="s">
        <v>393</v>
      </c>
      <c r="I3253" s="491" t="s">
        <v>156</v>
      </c>
      <c r="J3253" s="490">
        <v>1010668.22</v>
      </c>
      <c r="K3253" s="491"/>
      <c r="L3253" s="490">
        <v>81.7</v>
      </c>
      <c r="M3253" s="490">
        <v>81</v>
      </c>
      <c r="N3253" s="492"/>
      <c r="O3253" s="493">
        <v>0.25</v>
      </c>
      <c r="P3253" s="493">
        <v>0.1</v>
      </c>
      <c r="Q3253" s="492">
        <v>0</v>
      </c>
      <c r="R3253" s="473" t="s">
        <v>77</v>
      </c>
      <c r="S3253" s="481" t="s">
        <v>41</v>
      </c>
      <c r="T3253" s="481">
        <v>16</v>
      </c>
      <c r="U3253" s="494" t="s">
        <v>164</v>
      </c>
      <c r="V3253" s="495"/>
      <c r="X3253" s="492">
        <v>0</v>
      </c>
      <c r="Y3253" s="492"/>
      <c r="AJ3253" s="485">
        <v>0</v>
      </c>
      <c r="AK3253" s="473">
        <v>0</v>
      </c>
    </row>
    <row r="3254" spans="1:77" s="291" customFormat="1" ht="11.25" customHeight="1">
      <c r="B3254" s="291" t="s">
        <v>291</v>
      </c>
      <c r="C3254" s="292"/>
      <c r="D3254" s="292"/>
      <c r="E3254" s="293" t="s">
        <v>2462</v>
      </c>
      <c r="F3254" s="291" t="s">
        <v>2463</v>
      </c>
      <c r="G3254" s="294" t="s">
        <v>2464</v>
      </c>
      <c r="H3254" s="291" t="s">
        <v>910</v>
      </c>
      <c r="I3254" s="295" t="s">
        <v>156</v>
      </c>
      <c r="J3254" s="296">
        <v>84524</v>
      </c>
      <c r="K3254" s="295"/>
      <c r="L3254" s="296">
        <v>34</v>
      </c>
      <c r="M3254" s="296">
        <v>23</v>
      </c>
      <c r="N3254" s="297">
        <v>6891.19</v>
      </c>
      <c r="O3254" s="298">
        <v>0.25</v>
      </c>
      <c r="P3254" s="298">
        <v>0.1</v>
      </c>
      <c r="Q3254" s="297">
        <v>0</v>
      </c>
      <c r="R3254" s="291" t="s">
        <v>112</v>
      </c>
      <c r="S3254" s="299" t="s">
        <v>113</v>
      </c>
      <c r="T3254" s="299">
        <v>64</v>
      </c>
      <c r="U3254" s="300" t="s">
        <v>164</v>
      </c>
      <c r="V3254" s="333"/>
      <c r="X3254" s="297">
        <v>0</v>
      </c>
      <c r="Y3254" s="297"/>
      <c r="AH3254" s="291">
        <f>X3254</f>
        <v>0</v>
      </c>
      <c r="AI3254" s="311"/>
      <c r="AJ3254" s="468"/>
    </row>
    <row r="3255" spans="1:77" s="379" customFormat="1" ht="11.25" customHeight="1">
      <c r="B3255" s="379" t="s">
        <v>291</v>
      </c>
      <c r="C3255" s="381">
        <v>44733</v>
      </c>
      <c r="D3255" s="381">
        <v>44735</v>
      </c>
      <c r="E3255" s="382" t="s">
        <v>2462</v>
      </c>
      <c r="F3255" s="379" t="s">
        <v>2463</v>
      </c>
      <c r="G3255" s="383" t="s">
        <v>2464</v>
      </c>
      <c r="H3255" s="379" t="s">
        <v>765</v>
      </c>
      <c r="I3255" s="384" t="s">
        <v>156</v>
      </c>
      <c r="J3255" s="385">
        <v>6990</v>
      </c>
      <c r="K3255" s="384"/>
      <c r="L3255" s="385">
        <v>6</v>
      </c>
      <c r="M3255" s="385">
        <v>6</v>
      </c>
      <c r="N3255" s="386">
        <v>1048.5</v>
      </c>
      <c r="O3255" s="387">
        <v>0.25</v>
      </c>
      <c r="P3255" s="387">
        <v>0.1</v>
      </c>
      <c r="Q3255" s="386">
        <v>0</v>
      </c>
      <c r="R3255" s="379" t="s">
        <v>112</v>
      </c>
      <c r="S3255" s="388" t="s">
        <v>113</v>
      </c>
      <c r="T3255" s="388">
        <v>64</v>
      </c>
      <c r="U3255" s="389" t="s">
        <v>164</v>
      </c>
      <c r="V3255" s="433"/>
      <c r="X3255" s="386">
        <v>0</v>
      </c>
      <c r="Y3255" s="386"/>
      <c r="AJ3255" s="390">
        <v>0</v>
      </c>
    </row>
    <row r="3256" spans="1:77" s="6" customFormat="1" ht="11.25" customHeight="1">
      <c r="A3256" s="379"/>
      <c r="B3256" s="379" t="s">
        <v>291</v>
      </c>
      <c r="C3256" s="381"/>
      <c r="D3256" s="381"/>
      <c r="E3256" s="382" t="s">
        <v>2462</v>
      </c>
      <c r="F3256" s="379" t="s">
        <v>2463</v>
      </c>
      <c r="G3256" s="383" t="s">
        <v>2464</v>
      </c>
      <c r="H3256" s="379" t="s">
        <v>866</v>
      </c>
      <c r="I3256" s="384" t="s">
        <v>156</v>
      </c>
      <c r="J3256" s="385">
        <v>59010</v>
      </c>
      <c r="K3256" s="384"/>
      <c r="L3256" s="385">
        <v>35</v>
      </c>
      <c r="M3256" s="385">
        <v>24</v>
      </c>
      <c r="N3256" s="386">
        <v>3250.61</v>
      </c>
      <c r="O3256" s="387">
        <v>0.25</v>
      </c>
      <c r="P3256" s="387">
        <v>0.1</v>
      </c>
      <c r="Q3256" s="386">
        <v>0</v>
      </c>
      <c r="R3256" s="379" t="s">
        <v>112</v>
      </c>
      <c r="S3256" s="388" t="s">
        <v>113</v>
      </c>
      <c r="T3256" s="388">
        <v>64</v>
      </c>
      <c r="U3256" s="389" t="s">
        <v>164</v>
      </c>
      <c r="V3256" s="433"/>
      <c r="W3256" s="379"/>
      <c r="X3256" s="386">
        <v>0</v>
      </c>
      <c r="Y3256" s="386"/>
      <c r="Z3256" s="379"/>
      <c r="AA3256" s="379"/>
      <c r="AB3256" s="379"/>
      <c r="AC3256" s="379"/>
      <c r="AD3256" s="379"/>
      <c r="AE3256" s="379"/>
      <c r="AF3256" s="379"/>
      <c r="AG3256" s="379"/>
      <c r="AH3256" s="379"/>
      <c r="AI3256" s="379"/>
      <c r="AJ3256" s="390">
        <v>0</v>
      </c>
      <c r="AK3256" s="379"/>
      <c r="AL3256" s="379"/>
      <c r="AM3256" s="379"/>
      <c r="AN3256" s="379"/>
      <c r="AO3256" s="379"/>
      <c r="AP3256" s="379"/>
      <c r="AQ3256" s="379"/>
      <c r="AR3256" s="379"/>
      <c r="AS3256" s="379"/>
      <c r="AT3256" s="379"/>
      <c r="AU3256" s="379"/>
      <c r="AV3256" s="379"/>
      <c r="AW3256" s="379"/>
      <c r="AX3256" s="379"/>
      <c r="AY3256" s="379"/>
      <c r="AZ3256" s="379"/>
      <c r="BA3256" s="379"/>
      <c r="BB3256" s="379"/>
      <c r="BC3256" s="379"/>
      <c r="BD3256" s="379"/>
      <c r="BE3256" s="379"/>
      <c r="BF3256" s="379"/>
      <c r="BG3256" s="379"/>
      <c r="BH3256" s="379"/>
      <c r="BI3256" s="379"/>
      <c r="BJ3256" s="379"/>
      <c r="BK3256" s="379"/>
      <c r="BL3256" s="379"/>
      <c r="BM3256" s="379"/>
      <c r="BN3256" s="379"/>
      <c r="BO3256" s="379"/>
      <c r="BP3256" s="379"/>
      <c r="BQ3256" s="379"/>
      <c r="BR3256" s="379"/>
      <c r="BS3256" s="379"/>
      <c r="BT3256" s="379"/>
      <c r="BU3256" s="379"/>
      <c r="BV3256" s="379"/>
      <c r="BW3256" s="379"/>
      <c r="BX3256" s="379"/>
      <c r="BY3256" s="379"/>
    </row>
    <row r="3257" spans="1:77" s="473" customFormat="1" ht="11.25" customHeight="1">
      <c r="B3257" s="473" t="s">
        <v>290</v>
      </c>
      <c r="C3257" s="487">
        <v>44735</v>
      </c>
      <c r="D3257" s="487">
        <v>44735</v>
      </c>
      <c r="E3257" s="488" t="s">
        <v>2465</v>
      </c>
      <c r="F3257" s="473" t="s">
        <v>2466</v>
      </c>
      <c r="G3257" s="489" t="s">
        <v>2467</v>
      </c>
      <c r="H3257" s="473" t="s">
        <v>765</v>
      </c>
      <c r="I3257" s="491" t="s">
        <v>156</v>
      </c>
      <c r="J3257" s="490">
        <v>24365</v>
      </c>
      <c r="K3257" s="491"/>
      <c r="L3257" s="490">
        <v>17.72</v>
      </c>
      <c r="M3257" s="490">
        <v>17.72</v>
      </c>
      <c r="N3257" s="492"/>
      <c r="O3257" s="493">
        <v>0.3</v>
      </c>
      <c r="P3257" s="493">
        <v>0.1</v>
      </c>
      <c r="Q3257" s="492">
        <v>11207.9</v>
      </c>
      <c r="R3257" s="473" t="s">
        <v>73</v>
      </c>
      <c r="S3257" s="481" t="s">
        <v>74</v>
      </c>
      <c r="T3257" s="481">
        <v>31</v>
      </c>
      <c r="U3257" s="494" t="s">
        <v>164</v>
      </c>
      <c r="V3257" s="495"/>
      <c r="X3257" s="492">
        <v>11207.9</v>
      </c>
      <c r="Y3257" s="492"/>
      <c r="AJ3257" s="485"/>
      <c r="AK3257" s="505">
        <v>11207.9</v>
      </c>
    </row>
    <row r="3258" spans="1:77" s="473" customFormat="1" ht="11.25" customHeight="1">
      <c r="B3258" s="473" t="s">
        <v>290</v>
      </c>
      <c r="C3258" s="487"/>
      <c r="D3258" s="487"/>
      <c r="E3258" s="488" t="s">
        <v>2465</v>
      </c>
      <c r="F3258" s="473" t="s">
        <v>2466</v>
      </c>
      <c r="G3258" s="489" t="s">
        <v>2467</v>
      </c>
      <c r="H3258" s="473" t="s">
        <v>814</v>
      </c>
      <c r="I3258" s="491" t="s">
        <v>156</v>
      </c>
      <c r="J3258" s="490">
        <v>34356</v>
      </c>
      <c r="K3258" s="491"/>
      <c r="L3258" s="490">
        <v>24.54</v>
      </c>
      <c r="M3258" s="490">
        <v>24.54</v>
      </c>
      <c r="N3258" s="492"/>
      <c r="O3258" s="493">
        <v>0.3</v>
      </c>
      <c r="P3258" s="493">
        <v>0.1</v>
      </c>
      <c r="Q3258" s="492">
        <v>21061.200000000001</v>
      </c>
      <c r="R3258" s="473" t="s">
        <v>73</v>
      </c>
      <c r="S3258" s="481" t="s">
        <v>74</v>
      </c>
      <c r="T3258" s="481">
        <v>31</v>
      </c>
      <c r="U3258" s="494" t="s">
        <v>164</v>
      </c>
      <c r="V3258" s="495"/>
      <c r="X3258" s="492">
        <v>21061.200000000001</v>
      </c>
      <c r="Y3258" s="492"/>
      <c r="AJ3258" s="485"/>
      <c r="AK3258" s="505">
        <v>21061.200000000001</v>
      </c>
    </row>
    <row r="3259" spans="1:77" s="473" customFormat="1" ht="11.25" customHeight="1">
      <c r="B3259" s="473" t="s">
        <v>290</v>
      </c>
      <c r="C3259" s="487"/>
      <c r="D3259" s="487"/>
      <c r="E3259" s="488" t="s">
        <v>2465</v>
      </c>
      <c r="F3259" s="473" t="s">
        <v>2466</v>
      </c>
      <c r="G3259" s="489" t="s">
        <v>2467</v>
      </c>
      <c r="H3259" s="473" t="s">
        <v>910</v>
      </c>
      <c r="I3259" s="491" t="s">
        <v>156</v>
      </c>
      <c r="J3259" s="490">
        <v>62914.5</v>
      </c>
      <c r="K3259" s="491"/>
      <c r="L3259" s="490">
        <v>30.69</v>
      </c>
      <c r="M3259" s="490">
        <v>30.69</v>
      </c>
      <c r="N3259" s="492"/>
      <c r="O3259" s="493">
        <v>0.3</v>
      </c>
      <c r="P3259" s="493">
        <v>0.1</v>
      </c>
      <c r="Q3259" s="492">
        <v>38756.07</v>
      </c>
      <c r="R3259" s="473" t="s">
        <v>73</v>
      </c>
      <c r="S3259" s="481" t="s">
        <v>74</v>
      </c>
      <c r="T3259" s="481">
        <v>31</v>
      </c>
      <c r="U3259" s="494" t="s">
        <v>164</v>
      </c>
      <c r="V3259" s="495"/>
      <c r="X3259" s="492">
        <v>38756.07</v>
      </c>
      <c r="Y3259" s="492"/>
      <c r="AJ3259" s="485"/>
      <c r="AK3259" s="505">
        <v>38756.07</v>
      </c>
    </row>
    <row r="3260" spans="1:77" s="205" customFormat="1" ht="11.25" customHeight="1">
      <c r="B3260" s="205" t="s">
        <v>290</v>
      </c>
      <c r="C3260" s="207"/>
      <c r="D3260" s="207"/>
      <c r="E3260" s="208" t="s">
        <v>2465</v>
      </c>
      <c r="F3260" s="205" t="s">
        <v>2466</v>
      </c>
      <c r="G3260" s="209" t="s">
        <v>2467</v>
      </c>
      <c r="H3260" s="205" t="s">
        <v>138</v>
      </c>
      <c r="I3260" s="219" t="s">
        <v>156</v>
      </c>
      <c r="J3260" s="210">
        <v>54951.6</v>
      </c>
      <c r="K3260" s="219"/>
      <c r="L3260" s="210">
        <v>41.63</v>
      </c>
      <c r="M3260" s="210">
        <v>39.799999999999997</v>
      </c>
      <c r="N3260" s="213"/>
      <c r="O3260" s="212">
        <v>0.3</v>
      </c>
      <c r="P3260" s="212">
        <v>0.1</v>
      </c>
      <c r="Q3260" s="213">
        <v>20998.12</v>
      </c>
      <c r="R3260" s="205" t="s">
        <v>73</v>
      </c>
      <c r="S3260" s="214" t="s">
        <v>74</v>
      </c>
      <c r="T3260" s="214">
        <v>31</v>
      </c>
      <c r="U3260" s="215" t="s">
        <v>164</v>
      </c>
      <c r="V3260" s="438"/>
      <c r="X3260" s="213">
        <v>20998.12</v>
      </c>
      <c r="Y3260" s="213"/>
      <c r="AF3260" s="230">
        <f>X3260</f>
        <v>20998.12</v>
      </c>
      <c r="AJ3260" s="216"/>
    </row>
    <row r="3261" spans="1:77" s="205" customFormat="1" ht="11.25" customHeight="1">
      <c r="B3261" s="205" t="s">
        <v>290</v>
      </c>
      <c r="C3261" s="207"/>
      <c r="D3261" s="207"/>
      <c r="E3261" s="208" t="s">
        <v>2465</v>
      </c>
      <c r="F3261" s="205" t="s">
        <v>2466</v>
      </c>
      <c r="G3261" s="209" t="s">
        <v>2467</v>
      </c>
      <c r="H3261" s="205" t="s">
        <v>183</v>
      </c>
      <c r="I3261" s="219" t="s">
        <v>156</v>
      </c>
      <c r="J3261" s="210">
        <v>31776</v>
      </c>
      <c r="K3261" s="219"/>
      <c r="L3261" s="210">
        <v>26.48</v>
      </c>
      <c r="M3261" s="210">
        <v>20.100000000000001</v>
      </c>
      <c r="N3261" s="213"/>
      <c r="O3261" s="212">
        <v>0.3</v>
      </c>
      <c r="P3261" s="212">
        <v>0.1</v>
      </c>
      <c r="Q3261" s="213">
        <v>5592</v>
      </c>
      <c r="R3261" s="205" t="s">
        <v>73</v>
      </c>
      <c r="S3261" s="214" t="s">
        <v>74</v>
      </c>
      <c r="T3261" s="214">
        <v>31</v>
      </c>
      <c r="U3261" s="215" t="s">
        <v>164</v>
      </c>
      <c r="V3261" s="438"/>
      <c r="X3261" s="213">
        <v>5592</v>
      </c>
      <c r="Y3261" s="213"/>
      <c r="AF3261" s="230">
        <f>X3261</f>
        <v>5592</v>
      </c>
      <c r="AJ3261" s="216"/>
    </row>
    <row r="3262" spans="1:77" s="507" customFormat="1" ht="11.25" customHeight="1">
      <c r="B3262" s="507" t="s">
        <v>291</v>
      </c>
      <c r="C3262" s="509">
        <v>44734</v>
      </c>
      <c r="D3262" s="509">
        <v>44735</v>
      </c>
      <c r="E3262" s="510" t="s">
        <v>2468</v>
      </c>
      <c r="F3262" s="507" t="s">
        <v>2469</v>
      </c>
      <c r="G3262" s="521">
        <v>3816</v>
      </c>
      <c r="H3262" s="507" t="s">
        <v>27</v>
      </c>
      <c r="I3262" s="512" t="s">
        <v>156</v>
      </c>
      <c r="J3262" s="513">
        <v>16215.55</v>
      </c>
      <c r="K3262" s="512"/>
      <c r="L3262" s="513">
        <v>12.96</v>
      </c>
      <c r="M3262" s="513">
        <v>12.96</v>
      </c>
      <c r="N3262" s="514"/>
      <c r="O3262" s="515">
        <v>0.15</v>
      </c>
      <c r="P3262" s="515">
        <v>0.1</v>
      </c>
      <c r="Q3262" s="514">
        <v>4018.64</v>
      </c>
      <c r="R3262" s="507" t="s">
        <v>77</v>
      </c>
      <c r="S3262" s="516" t="s">
        <v>41</v>
      </c>
      <c r="T3262" s="516">
        <v>17</v>
      </c>
      <c r="U3262" s="517" t="s">
        <v>164</v>
      </c>
      <c r="V3262" s="518"/>
      <c r="X3262" s="514">
        <v>4018.64</v>
      </c>
      <c r="Y3262" s="514"/>
      <c r="AJ3262" s="522"/>
      <c r="AL3262" s="514">
        <v>4018.64</v>
      </c>
    </row>
    <row r="3263" spans="1:77" s="205" customFormat="1" ht="11.25" customHeight="1">
      <c r="B3263" s="205" t="s">
        <v>291</v>
      </c>
      <c r="C3263" s="207">
        <v>44730</v>
      </c>
      <c r="D3263" s="207">
        <v>44736</v>
      </c>
      <c r="E3263" s="208" t="s">
        <v>2470</v>
      </c>
      <c r="F3263" s="205" t="s">
        <v>125</v>
      </c>
      <c r="G3263" s="209">
        <v>3551</v>
      </c>
      <c r="H3263" s="205" t="s">
        <v>99</v>
      </c>
      <c r="I3263" s="205" t="s">
        <v>33</v>
      </c>
      <c r="J3263" s="210">
        <v>55102.080000000002</v>
      </c>
      <c r="K3263" s="219"/>
      <c r="L3263" s="210">
        <v>52.18</v>
      </c>
      <c r="M3263" s="210">
        <v>52.18</v>
      </c>
      <c r="N3263" s="213"/>
      <c r="O3263" s="212">
        <v>0.15</v>
      </c>
      <c r="P3263" s="212"/>
      <c r="Q3263" s="213">
        <v>0</v>
      </c>
      <c r="R3263" s="205" t="s">
        <v>29</v>
      </c>
      <c r="S3263" s="214" t="s">
        <v>30</v>
      </c>
      <c r="T3263" s="214">
        <v>70</v>
      </c>
      <c r="U3263" s="215" t="s">
        <v>164</v>
      </c>
      <c r="V3263" s="438"/>
      <c r="X3263" s="213">
        <v>0</v>
      </c>
      <c r="Y3263" s="213"/>
      <c r="AF3263" s="230">
        <f>X3263</f>
        <v>0</v>
      </c>
      <c r="AJ3263" s="216"/>
    </row>
    <row r="3264" spans="1:77" s="205" customFormat="1" ht="11.25" customHeight="1">
      <c r="B3264" s="205" t="s">
        <v>291</v>
      </c>
      <c r="C3264" s="207"/>
      <c r="D3264" s="207"/>
      <c r="E3264" s="208" t="s">
        <v>2470</v>
      </c>
      <c r="F3264" s="205" t="s">
        <v>125</v>
      </c>
      <c r="G3264" s="209">
        <v>3551</v>
      </c>
      <c r="H3264" s="205" t="s">
        <v>336</v>
      </c>
      <c r="I3264" s="205" t="s">
        <v>33</v>
      </c>
      <c r="J3264" s="210">
        <v>22946.6</v>
      </c>
      <c r="K3264" s="219"/>
      <c r="L3264" s="210">
        <v>19.850000000000001</v>
      </c>
      <c r="M3264" s="210">
        <v>19.850000000000001</v>
      </c>
      <c r="N3264" s="213"/>
      <c r="O3264" s="212">
        <v>0.15</v>
      </c>
      <c r="P3264" s="212"/>
      <c r="Q3264" s="213">
        <v>0</v>
      </c>
      <c r="R3264" s="205" t="s">
        <v>29</v>
      </c>
      <c r="S3264" s="214" t="s">
        <v>30</v>
      </c>
      <c r="T3264" s="214">
        <v>70</v>
      </c>
      <c r="U3264" s="215" t="s">
        <v>164</v>
      </c>
      <c r="V3264" s="438"/>
      <c r="X3264" s="213">
        <v>0</v>
      </c>
      <c r="Y3264" s="213"/>
      <c r="AF3264" s="230">
        <f>X3264</f>
        <v>0</v>
      </c>
      <c r="AJ3264" s="216"/>
    </row>
    <row r="3265" spans="1:77" s="205" customFormat="1" ht="11.25" customHeight="1">
      <c r="B3265" s="205" t="s">
        <v>291</v>
      </c>
      <c r="C3265" s="207"/>
      <c r="D3265" s="207"/>
      <c r="E3265" s="208" t="s">
        <v>2470</v>
      </c>
      <c r="F3265" s="205" t="s">
        <v>125</v>
      </c>
      <c r="G3265" s="209">
        <v>3551</v>
      </c>
      <c r="H3265" s="205" t="s">
        <v>27</v>
      </c>
      <c r="I3265" s="205" t="s">
        <v>33</v>
      </c>
      <c r="J3265" s="210">
        <v>16387.66</v>
      </c>
      <c r="K3265" s="219"/>
      <c r="L3265" s="210">
        <v>15.7</v>
      </c>
      <c r="M3265" s="210">
        <v>15.7</v>
      </c>
      <c r="N3265" s="213"/>
      <c r="O3265" s="212">
        <v>0.15</v>
      </c>
      <c r="P3265" s="212"/>
      <c r="Q3265" s="213">
        <v>0</v>
      </c>
      <c r="R3265" s="205" t="s">
        <v>29</v>
      </c>
      <c r="S3265" s="214" t="s">
        <v>30</v>
      </c>
      <c r="T3265" s="214">
        <v>70</v>
      </c>
      <c r="U3265" s="215" t="s">
        <v>164</v>
      </c>
      <c r="V3265" s="438"/>
      <c r="X3265" s="213">
        <v>0</v>
      </c>
      <c r="Y3265" s="213"/>
      <c r="AF3265" s="230">
        <f>X3265</f>
        <v>0</v>
      </c>
      <c r="AJ3265" s="216"/>
    </row>
    <row r="3266" spans="1:77" s="205" customFormat="1" ht="11.25" customHeight="1">
      <c r="B3266" s="205" t="s">
        <v>291</v>
      </c>
      <c r="C3266" s="207"/>
      <c r="D3266" s="207"/>
      <c r="E3266" s="208" t="s">
        <v>2470</v>
      </c>
      <c r="F3266" s="205" t="s">
        <v>125</v>
      </c>
      <c r="G3266" s="209">
        <v>3551</v>
      </c>
      <c r="H3266" s="205" t="s">
        <v>163</v>
      </c>
      <c r="I3266" s="205" t="s">
        <v>33</v>
      </c>
      <c r="J3266" s="210">
        <v>11072.25</v>
      </c>
      <c r="K3266" s="219"/>
      <c r="L3266" s="210">
        <v>11.25</v>
      </c>
      <c r="M3266" s="210">
        <v>11.25</v>
      </c>
      <c r="N3266" s="213"/>
      <c r="O3266" s="212">
        <v>0.15</v>
      </c>
      <c r="P3266" s="212"/>
      <c r="Q3266" s="213">
        <v>0</v>
      </c>
      <c r="R3266" s="205" t="s">
        <v>29</v>
      </c>
      <c r="S3266" s="214" t="s">
        <v>30</v>
      </c>
      <c r="T3266" s="214">
        <v>70</v>
      </c>
      <c r="U3266" s="215" t="s">
        <v>164</v>
      </c>
      <c r="V3266" s="438"/>
      <c r="X3266" s="213">
        <v>0</v>
      </c>
      <c r="Y3266" s="213"/>
      <c r="AF3266" s="230">
        <f>X3266</f>
        <v>0</v>
      </c>
      <c r="AJ3266" s="216"/>
    </row>
    <row r="3267" spans="1:77" s="205" customFormat="1" ht="11.25" customHeight="1">
      <c r="B3267" s="205" t="s">
        <v>291</v>
      </c>
      <c r="C3267" s="207"/>
      <c r="D3267" s="207"/>
      <c r="E3267" s="208" t="s">
        <v>2470</v>
      </c>
      <c r="F3267" s="205" t="s">
        <v>125</v>
      </c>
      <c r="G3267" s="209">
        <v>3551</v>
      </c>
      <c r="H3267" s="205" t="s">
        <v>433</v>
      </c>
      <c r="I3267" s="205" t="s">
        <v>33</v>
      </c>
      <c r="J3267" s="210">
        <v>18440.580000000002</v>
      </c>
      <c r="K3267" s="219"/>
      <c r="L3267" s="210">
        <v>15.15</v>
      </c>
      <c r="M3267" s="210">
        <v>15.15</v>
      </c>
      <c r="N3267" s="213"/>
      <c r="O3267" s="212">
        <v>0.15</v>
      </c>
      <c r="P3267" s="212"/>
      <c r="Q3267" s="213">
        <v>0</v>
      </c>
      <c r="R3267" s="205" t="s">
        <v>29</v>
      </c>
      <c r="S3267" s="214" t="s">
        <v>30</v>
      </c>
      <c r="T3267" s="214">
        <v>70</v>
      </c>
      <c r="U3267" s="215" t="s">
        <v>164</v>
      </c>
      <c r="V3267" s="438"/>
      <c r="X3267" s="213">
        <v>0</v>
      </c>
      <c r="Y3267" s="213"/>
      <c r="AF3267" s="230">
        <f>X3267</f>
        <v>0</v>
      </c>
      <c r="AJ3267" s="216"/>
    </row>
    <row r="3268" spans="1:77" s="261" customFormat="1" ht="11.25" customHeight="1">
      <c r="A3268" s="379"/>
      <c r="B3268" s="379" t="s">
        <v>291</v>
      </c>
      <c r="C3268" s="381"/>
      <c r="D3268" s="381"/>
      <c r="E3268" s="382" t="s">
        <v>2471</v>
      </c>
      <c r="F3268" s="379" t="s">
        <v>2472</v>
      </c>
      <c r="G3268" s="383" t="s">
        <v>2473</v>
      </c>
      <c r="H3268" s="379" t="s">
        <v>910</v>
      </c>
      <c r="I3268" s="384" t="s">
        <v>156</v>
      </c>
      <c r="J3268" s="385">
        <v>143480</v>
      </c>
      <c r="K3268" s="384"/>
      <c r="L3268" s="385">
        <v>71.739999999999995</v>
      </c>
      <c r="M3268" s="385">
        <v>71.739999999999995</v>
      </c>
      <c r="N3268" s="386"/>
      <c r="O3268" s="387">
        <v>0.25</v>
      </c>
      <c r="P3268" s="387">
        <v>0.1</v>
      </c>
      <c r="Q3268" s="386">
        <v>91451.6</v>
      </c>
      <c r="R3268" s="379" t="s">
        <v>73</v>
      </c>
      <c r="S3268" s="388" t="s">
        <v>74</v>
      </c>
      <c r="T3268" s="388">
        <v>31</v>
      </c>
      <c r="U3268" s="389" t="s">
        <v>164</v>
      </c>
      <c r="V3268" s="433"/>
      <c r="W3268" s="379"/>
      <c r="X3268" s="386">
        <v>91451.6</v>
      </c>
      <c r="Y3268" s="386"/>
      <c r="Z3268" s="379"/>
      <c r="AA3268" s="379"/>
      <c r="AB3268" s="379"/>
      <c r="AC3268" s="379"/>
      <c r="AD3268" s="379"/>
      <c r="AE3268" s="379"/>
      <c r="AF3268" s="379"/>
      <c r="AG3268" s="379"/>
      <c r="AH3268" s="379"/>
      <c r="AI3268" s="379"/>
      <c r="AJ3268" s="416">
        <v>91451.6</v>
      </c>
      <c r="AK3268" s="379"/>
      <c r="AL3268" s="379"/>
      <c r="AM3268" s="379"/>
      <c r="AN3268" s="379"/>
      <c r="AO3268" s="379"/>
      <c r="AP3268" s="379"/>
      <c r="AQ3268" s="379"/>
      <c r="AR3268" s="379"/>
      <c r="AS3268" s="379"/>
      <c r="AT3268" s="379"/>
      <c r="AU3268" s="379"/>
      <c r="AV3268" s="379"/>
      <c r="AW3268" s="379"/>
      <c r="AX3268" s="379"/>
      <c r="AY3268" s="379"/>
      <c r="AZ3268" s="379"/>
      <c r="BA3268" s="379"/>
      <c r="BB3268" s="379"/>
      <c r="BC3268" s="379"/>
      <c r="BD3268" s="379"/>
      <c r="BE3268" s="379"/>
      <c r="BF3268" s="379"/>
      <c r="BG3268" s="379"/>
      <c r="BH3268" s="379"/>
      <c r="BI3268" s="379"/>
      <c r="BJ3268" s="379"/>
      <c r="BK3268" s="379"/>
      <c r="BL3268" s="379"/>
      <c r="BM3268" s="379"/>
      <c r="BN3268" s="379"/>
      <c r="BO3268" s="379"/>
      <c r="BP3268" s="379"/>
      <c r="BQ3268" s="379"/>
      <c r="BR3268" s="379"/>
      <c r="BS3268" s="379"/>
      <c r="BT3268" s="379"/>
      <c r="BU3268" s="379"/>
      <c r="BV3268" s="379"/>
      <c r="BW3268" s="379"/>
      <c r="BX3268" s="379"/>
      <c r="BY3268" s="379"/>
    </row>
    <row r="3269" spans="1:77" s="6" customFormat="1" ht="11.25" customHeight="1">
      <c r="A3269" s="379"/>
      <c r="B3269" s="379" t="s">
        <v>291</v>
      </c>
      <c r="C3269" s="381"/>
      <c r="D3269" s="381"/>
      <c r="E3269" s="382" t="s">
        <v>2471</v>
      </c>
      <c r="F3269" s="379" t="s">
        <v>2472</v>
      </c>
      <c r="G3269" s="383" t="s">
        <v>2473</v>
      </c>
      <c r="H3269" s="379" t="s">
        <v>866</v>
      </c>
      <c r="I3269" s="384" t="s">
        <v>156</v>
      </c>
      <c r="J3269" s="385">
        <v>16544</v>
      </c>
      <c r="K3269" s="384"/>
      <c r="L3269" s="385">
        <v>16</v>
      </c>
      <c r="M3269" s="385">
        <v>16</v>
      </c>
      <c r="N3269" s="386"/>
      <c r="O3269" s="387">
        <v>0.25</v>
      </c>
      <c r="P3269" s="387">
        <v>0.1</v>
      </c>
      <c r="Q3269" s="386">
        <v>10889.6</v>
      </c>
      <c r="R3269" s="379" t="s">
        <v>73</v>
      </c>
      <c r="S3269" s="388" t="s">
        <v>74</v>
      </c>
      <c r="T3269" s="388">
        <v>31</v>
      </c>
      <c r="U3269" s="389" t="s">
        <v>164</v>
      </c>
      <c r="V3269" s="433"/>
      <c r="W3269" s="379"/>
      <c r="X3269" s="386">
        <v>10889.6</v>
      </c>
      <c r="Y3269" s="386"/>
      <c r="Z3269" s="379"/>
      <c r="AA3269" s="379"/>
      <c r="AB3269" s="379"/>
      <c r="AC3269" s="379"/>
      <c r="AD3269" s="379"/>
      <c r="AE3269" s="379"/>
      <c r="AF3269" s="379"/>
      <c r="AG3269" s="379"/>
      <c r="AH3269" s="379"/>
      <c r="AI3269" s="379"/>
      <c r="AJ3269" s="416">
        <v>10889.6</v>
      </c>
      <c r="AK3269" s="379"/>
      <c r="AL3269" s="379"/>
      <c r="AM3269" s="379"/>
      <c r="AN3269" s="379"/>
      <c r="AO3269" s="379"/>
      <c r="AP3269" s="379"/>
      <c r="AQ3269" s="379"/>
      <c r="AR3269" s="379"/>
      <c r="AS3269" s="379"/>
      <c r="AT3269" s="379"/>
      <c r="AU3269" s="379"/>
      <c r="AV3269" s="379"/>
      <c r="AW3269" s="379"/>
      <c r="AX3269" s="379"/>
      <c r="AY3269" s="379"/>
      <c r="AZ3269" s="379"/>
      <c r="BA3269" s="379"/>
      <c r="BB3269" s="379"/>
      <c r="BC3269" s="379"/>
      <c r="BD3269" s="379"/>
      <c r="BE3269" s="379"/>
      <c r="BF3269" s="379"/>
      <c r="BG3269" s="379"/>
      <c r="BH3269" s="379"/>
      <c r="BI3269" s="379"/>
      <c r="BJ3269" s="379"/>
      <c r="BK3269" s="379"/>
      <c r="BL3269" s="379"/>
      <c r="BM3269" s="379"/>
      <c r="BN3269" s="379"/>
      <c r="BO3269" s="379"/>
      <c r="BP3269" s="379"/>
      <c r="BQ3269" s="379"/>
      <c r="BR3269" s="379"/>
      <c r="BS3269" s="379"/>
      <c r="BT3269" s="379"/>
      <c r="BU3269" s="379"/>
      <c r="BV3269" s="379"/>
      <c r="BW3269" s="379"/>
      <c r="BX3269" s="379"/>
      <c r="BY3269" s="379"/>
    </row>
    <row r="3270" spans="1:77" s="6" customFormat="1" ht="11.25" customHeight="1">
      <c r="A3270" s="379"/>
      <c r="B3270" s="379" t="s">
        <v>291</v>
      </c>
      <c r="C3270" s="381"/>
      <c r="D3270" s="381"/>
      <c r="E3270" s="382" t="s">
        <v>2471</v>
      </c>
      <c r="F3270" s="379" t="s">
        <v>2472</v>
      </c>
      <c r="G3270" s="383" t="s">
        <v>2473</v>
      </c>
      <c r="H3270" s="379" t="s">
        <v>765</v>
      </c>
      <c r="I3270" s="384" t="s">
        <v>156</v>
      </c>
      <c r="J3270" s="385">
        <v>31492.13</v>
      </c>
      <c r="K3270" s="384"/>
      <c r="L3270" s="385">
        <v>32.25</v>
      </c>
      <c r="M3270" s="385">
        <v>32.25</v>
      </c>
      <c r="N3270" s="386"/>
      <c r="O3270" s="387">
        <v>0.25</v>
      </c>
      <c r="P3270" s="387">
        <v>0.1</v>
      </c>
      <c r="Q3270" s="386">
        <v>12203.66</v>
      </c>
      <c r="R3270" s="379" t="s">
        <v>73</v>
      </c>
      <c r="S3270" s="388" t="s">
        <v>74</v>
      </c>
      <c r="T3270" s="388">
        <v>31</v>
      </c>
      <c r="U3270" s="389" t="s">
        <v>164</v>
      </c>
      <c r="V3270" s="433"/>
      <c r="W3270" s="379"/>
      <c r="X3270" s="386">
        <v>12203.66</v>
      </c>
      <c r="Y3270" s="386"/>
      <c r="Z3270" s="379"/>
      <c r="AA3270" s="379"/>
      <c r="AB3270" s="379"/>
      <c r="AC3270" s="379"/>
      <c r="AD3270" s="379"/>
      <c r="AE3270" s="379"/>
      <c r="AF3270" s="379"/>
      <c r="AG3270" s="379"/>
      <c r="AH3270" s="379"/>
      <c r="AI3270" s="379"/>
      <c r="AJ3270" s="416">
        <v>12203.66</v>
      </c>
      <c r="AK3270" s="379"/>
      <c r="AL3270" s="379"/>
      <c r="AM3270" s="379"/>
      <c r="AN3270" s="379"/>
      <c r="AO3270" s="379"/>
      <c r="AP3270" s="379"/>
      <c r="AQ3270" s="379"/>
      <c r="AR3270" s="379"/>
      <c r="AS3270" s="379"/>
      <c r="AT3270" s="379"/>
      <c r="AU3270" s="379"/>
      <c r="AV3270" s="379"/>
      <c r="AW3270" s="379"/>
      <c r="AX3270" s="379"/>
      <c r="AY3270" s="379"/>
      <c r="AZ3270" s="379"/>
      <c r="BA3270" s="379"/>
      <c r="BB3270" s="379"/>
      <c r="BC3270" s="379"/>
      <c r="BD3270" s="379"/>
      <c r="BE3270" s="379"/>
      <c r="BF3270" s="379"/>
      <c r="BG3270" s="379"/>
      <c r="BH3270" s="379"/>
      <c r="BI3270" s="379"/>
      <c r="BJ3270" s="379"/>
      <c r="BK3270" s="379"/>
      <c r="BL3270" s="379"/>
      <c r="BM3270" s="379"/>
      <c r="BN3270" s="379"/>
      <c r="BO3270" s="379"/>
      <c r="BP3270" s="379"/>
      <c r="BQ3270" s="379"/>
      <c r="BR3270" s="379"/>
      <c r="BS3270" s="379"/>
      <c r="BT3270" s="379"/>
      <c r="BU3270" s="379"/>
      <c r="BV3270" s="379"/>
      <c r="BW3270" s="379"/>
      <c r="BX3270" s="379"/>
      <c r="BY3270" s="379"/>
    </row>
    <row r="3271" spans="1:77" s="261" customFormat="1" ht="11.25" customHeight="1">
      <c r="B3271" s="261" t="s">
        <v>291</v>
      </c>
      <c r="C3271" s="259">
        <v>44735</v>
      </c>
      <c r="D3271" s="259">
        <v>44736</v>
      </c>
      <c r="E3271" s="260" t="s">
        <v>2471</v>
      </c>
      <c r="F3271" s="261" t="s">
        <v>2472</v>
      </c>
      <c r="G3271" s="262" t="s">
        <v>2473</v>
      </c>
      <c r="H3271" s="261" t="s">
        <v>99</v>
      </c>
      <c r="I3271" s="264" t="s">
        <v>156</v>
      </c>
      <c r="J3271" s="263">
        <v>25781.040000000001</v>
      </c>
      <c r="K3271" s="264"/>
      <c r="L3271" s="263">
        <v>21.96</v>
      </c>
      <c r="M3271" s="263">
        <v>21.96</v>
      </c>
      <c r="N3271" s="265"/>
      <c r="O3271" s="266">
        <v>0.25</v>
      </c>
      <c r="P3271" s="266">
        <v>0.1</v>
      </c>
      <c r="Q3271" s="265">
        <v>12790.24</v>
      </c>
      <c r="R3271" s="261" t="s">
        <v>73</v>
      </c>
      <c r="S3271" s="267" t="s">
        <v>74</v>
      </c>
      <c r="T3271" s="267">
        <v>31</v>
      </c>
      <c r="U3271" s="268" t="s">
        <v>164</v>
      </c>
      <c r="V3271" s="427"/>
      <c r="X3271" s="265">
        <v>12790.24</v>
      </c>
      <c r="Y3271" s="265"/>
      <c r="AG3271" s="261">
        <f>X3271</f>
        <v>12790.24</v>
      </c>
      <c r="AJ3271" s="642"/>
    </row>
    <row r="3272" spans="1:77" s="6" customFormat="1" ht="11.25" customHeight="1">
      <c r="A3272" s="379"/>
      <c r="B3272" s="380" t="s">
        <v>291</v>
      </c>
      <c r="C3272" s="381"/>
      <c r="D3272" s="381"/>
      <c r="E3272" s="382" t="s">
        <v>2474</v>
      </c>
      <c r="F3272" s="379" t="s">
        <v>728</v>
      </c>
      <c r="G3272" s="400">
        <v>4461</v>
      </c>
      <c r="H3272" s="379" t="s">
        <v>765</v>
      </c>
      <c r="I3272" s="384" t="s">
        <v>1056</v>
      </c>
      <c r="J3272" s="385">
        <v>33900</v>
      </c>
      <c r="K3272" s="384"/>
      <c r="L3272" s="385">
        <v>30</v>
      </c>
      <c r="M3272" s="385">
        <v>30</v>
      </c>
      <c r="N3272" s="386"/>
      <c r="O3272" s="387">
        <v>0.25</v>
      </c>
      <c r="P3272" s="387"/>
      <c r="Q3272" s="386">
        <v>6125.25</v>
      </c>
      <c r="R3272" s="379" t="s">
        <v>257</v>
      </c>
      <c r="S3272" s="388" t="s">
        <v>74</v>
      </c>
      <c r="T3272" s="388">
        <v>32</v>
      </c>
      <c r="U3272" s="389" t="s">
        <v>164</v>
      </c>
      <c r="V3272" s="433"/>
      <c r="W3272" s="379"/>
      <c r="X3272" s="386">
        <v>6125.25</v>
      </c>
      <c r="Y3272" s="386"/>
      <c r="Z3272" s="379"/>
      <c r="AA3272" s="379"/>
      <c r="AB3272" s="379"/>
      <c r="AC3272" s="379"/>
      <c r="AD3272" s="379"/>
      <c r="AE3272" s="379"/>
      <c r="AF3272" s="379"/>
      <c r="AG3272" s="379"/>
      <c r="AH3272" s="379"/>
      <c r="AI3272" s="379"/>
      <c r="AJ3272" s="390">
        <v>6125.25</v>
      </c>
      <c r="AK3272" s="379"/>
      <c r="AL3272" s="379"/>
      <c r="AM3272" s="379"/>
      <c r="AN3272" s="379"/>
      <c r="AO3272" s="379"/>
      <c r="AP3272" s="379"/>
      <c r="AQ3272" s="379"/>
      <c r="AR3272" s="379"/>
      <c r="AS3272" s="379"/>
      <c r="AT3272" s="379"/>
      <c r="AU3272" s="379"/>
      <c r="AV3272" s="379"/>
      <c r="AW3272" s="379"/>
      <c r="AX3272" s="379"/>
      <c r="AY3272" s="379"/>
      <c r="AZ3272" s="379"/>
      <c r="BA3272" s="379"/>
      <c r="BB3272" s="379"/>
      <c r="BC3272" s="379"/>
      <c r="BD3272" s="379"/>
      <c r="BE3272" s="379"/>
      <c r="BF3272" s="379"/>
      <c r="BG3272" s="379"/>
      <c r="BH3272" s="379"/>
      <c r="BI3272" s="379"/>
      <c r="BJ3272" s="379"/>
      <c r="BK3272" s="379"/>
      <c r="BL3272" s="379"/>
      <c r="BM3272" s="379"/>
      <c r="BN3272" s="379"/>
      <c r="BO3272" s="379"/>
      <c r="BP3272" s="379"/>
      <c r="BQ3272" s="379"/>
      <c r="BR3272" s="379"/>
      <c r="BS3272" s="379"/>
      <c r="BT3272" s="379"/>
      <c r="BU3272" s="379"/>
      <c r="BV3272" s="379"/>
      <c r="BW3272" s="379"/>
      <c r="BX3272" s="379"/>
      <c r="BY3272" s="379"/>
    </row>
    <row r="3273" spans="1:77" s="379" customFormat="1" ht="11.25" customHeight="1">
      <c r="B3273" s="380" t="s">
        <v>291</v>
      </c>
      <c r="C3273" s="381">
        <v>44730</v>
      </c>
      <c r="D3273" s="381">
        <v>44736</v>
      </c>
      <c r="E3273" s="382" t="s">
        <v>2474</v>
      </c>
      <c r="F3273" s="379" t="s">
        <v>728</v>
      </c>
      <c r="G3273" s="400">
        <v>4461</v>
      </c>
      <c r="H3273" s="379" t="s">
        <v>729</v>
      </c>
      <c r="I3273" s="384" t="s">
        <v>1056</v>
      </c>
      <c r="J3273" s="385">
        <v>15984</v>
      </c>
      <c r="K3273" s="384"/>
      <c r="L3273" s="385">
        <v>4</v>
      </c>
      <c r="M3273" s="385">
        <v>4</v>
      </c>
      <c r="N3273" s="386"/>
      <c r="O3273" s="387">
        <v>0.25</v>
      </c>
      <c r="P3273" s="387"/>
      <c r="Q3273" s="386">
        <v>1659.94</v>
      </c>
      <c r="R3273" s="379" t="s">
        <v>257</v>
      </c>
      <c r="S3273" s="388" t="s">
        <v>74</v>
      </c>
      <c r="T3273" s="388">
        <v>32</v>
      </c>
      <c r="U3273" s="389" t="s">
        <v>164</v>
      </c>
      <c r="V3273" s="433"/>
      <c r="X3273" s="386">
        <v>1659.94</v>
      </c>
      <c r="Y3273" s="386"/>
      <c r="AJ3273" s="416">
        <v>1659.94</v>
      </c>
    </row>
    <row r="3274" spans="1:77" s="205" customFormat="1" ht="11.25" customHeight="1">
      <c r="A3274" s="379"/>
      <c r="B3274" s="379" t="s">
        <v>291</v>
      </c>
      <c r="C3274" s="381"/>
      <c r="D3274" s="381"/>
      <c r="E3274" s="382" t="s">
        <v>2475</v>
      </c>
      <c r="F3274" s="379" t="s">
        <v>1966</v>
      </c>
      <c r="G3274" s="383">
        <v>4181</v>
      </c>
      <c r="H3274" s="379" t="s">
        <v>765</v>
      </c>
      <c r="I3274" s="384" t="s">
        <v>156</v>
      </c>
      <c r="J3274" s="385">
        <v>21247.200000000001</v>
      </c>
      <c r="K3274" s="384"/>
      <c r="L3274" s="385">
        <v>23.4</v>
      </c>
      <c r="M3274" s="385">
        <v>15</v>
      </c>
      <c r="N3274" s="386"/>
      <c r="O3274" s="387">
        <v>0.25</v>
      </c>
      <c r="P3274" s="387">
        <v>0.1</v>
      </c>
      <c r="Q3274" s="386">
        <v>6527.6</v>
      </c>
      <c r="R3274" s="379" t="s">
        <v>73</v>
      </c>
      <c r="S3274" s="388" t="s">
        <v>74</v>
      </c>
      <c r="T3274" s="388">
        <v>31</v>
      </c>
      <c r="U3274" s="389" t="s">
        <v>164</v>
      </c>
      <c r="V3274" s="433"/>
      <c r="W3274" s="379"/>
      <c r="X3274" s="386">
        <v>6527.6</v>
      </c>
      <c r="Y3274" s="386"/>
      <c r="Z3274" s="379"/>
      <c r="AA3274" s="379"/>
      <c r="AB3274" s="379"/>
      <c r="AC3274" s="379"/>
      <c r="AD3274" s="379"/>
      <c r="AE3274" s="379"/>
      <c r="AF3274" s="379"/>
      <c r="AG3274" s="379"/>
      <c r="AH3274" s="379"/>
      <c r="AI3274" s="379"/>
      <c r="AJ3274" s="416">
        <v>6527.6</v>
      </c>
      <c r="AK3274" s="379"/>
      <c r="AL3274" s="379"/>
      <c r="AM3274" s="379"/>
      <c r="AN3274" s="379"/>
      <c r="AO3274" s="379"/>
      <c r="AP3274" s="379"/>
      <c r="AQ3274" s="379"/>
      <c r="AR3274" s="379"/>
      <c r="AS3274" s="379"/>
      <c r="AT3274" s="379"/>
      <c r="AU3274" s="379"/>
      <c r="AV3274" s="379"/>
      <c r="AW3274" s="379"/>
      <c r="AX3274" s="379"/>
      <c r="AY3274" s="379"/>
      <c r="AZ3274" s="379"/>
      <c r="BA3274" s="379"/>
      <c r="BB3274" s="379"/>
      <c r="BC3274" s="379"/>
      <c r="BD3274" s="379"/>
      <c r="BE3274" s="379"/>
      <c r="BF3274" s="379"/>
      <c r="BG3274" s="379"/>
      <c r="BH3274" s="379"/>
      <c r="BI3274" s="379"/>
      <c r="BJ3274" s="379"/>
      <c r="BK3274" s="379"/>
      <c r="BL3274" s="379"/>
      <c r="BM3274" s="379"/>
      <c r="BN3274" s="379"/>
      <c r="BO3274" s="379"/>
      <c r="BP3274" s="379"/>
      <c r="BQ3274" s="379"/>
      <c r="BR3274" s="379"/>
      <c r="BS3274" s="379"/>
      <c r="BT3274" s="379"/>
      <c r="BU3274" s="379"/>
      <c r="BV3274" s="379"/>
      <c r="BW3274" s="379"/>
      <c r="BX3274" s="379"/>
      <c r="BY3274" s="379"/>
    </row>
    <row r="3275" spans="1:77" s="205" customFormat="1" ht="11.25" customHeight="1">
      <c r="A3275" s="379"/>
      <c r="B3275" s="379" t="s">
        <v>291</v>
      </c>
      <c r="C3275" s="381"/>
      <c r="D3275" s="381"/>
      <c r="E3275" s="382" t="s">
        <v>2475</v>
      </c>
      <c r="F3275" s="379" t="s">
        <v>1966</v>
      </c>
      <c r="G3275" s="383">
        <v>4181</v>
      </c>
      <c r="H3275" s="379" t="s">
        <v>898</v>
      </c>
      <c r="I3275" s="384" t="s">
        <v>156</v>
      </c>
      <c r="J3275" s="385">
        <v>7280</v>
      </c>
      <c r="K3275" s="384"/>
      <c r="L3275" s="385">
        <v>8</v>
      </c>
      <c r="M3275" s="385">
        <v>8</v>
      </c>
      <c r="N3275" s="386"/>
      <c r="O3275" s="387">
        <v>0.25</v>
      </c>
      <c r="P3275" s="387">
        <v>0.1</v>
      </c>
      <c r="Q3275" s="386">
        <v>2184</v>
      </c>
      <c r="R3275" s="379" t="s">
        <v>73</v>
      </c>
      <c r="S3275" s="388" t="s">
        <v>74</v>
      </c>
      <c r="T3275" s="388">
        <v>31</v>
      </c>
      <c r="U3275" s="389" t="s">
        <v>164</v>
      </c>
      <c r="V3275" s="433"/>
      <c r="W3275" s="379"/>
      <c r="X3275" s="386">
        <v>2184</v>
      </c>
      <c r="Y3275" s="386"/>
      <c r="Z3275" s="379"/>
      <c r="AA3275" s="379"/>
      <c r="AB3275" s="379"/>
      <c r="AC3275" s="379"/>
      <c r="AD3275" s="379"/>
      <c r="AE3275" s="379"/>
      <c r="AF3275" s="379"/>
      <c r="AG3275" s="379"/>
      <c r="AH3275" s="379"/>
      <c r="AI3275" s="379"/>
      <c r="AJ3275" s="416">
        <v>2184</v>
      </c>
      <c r="AK3275" s="379"/>
      <c r="AL3275" s="379"/>
      <c r="AM3275" s="379"/>
      <c r="AN3275" s="379"/>
      <c r="AO3275" s="379"/>
      <c r="AP3275" s="379"/>
      <c r="AQ3275" s="379"/>
      <c r="AR3275" s="379"/>
      <c r="AS3275" s="379"/>
      <c r="AT3275" s="379"/>
      <c r="AU3275" s="379"/>
      <c r="AV3275" s="379"/>
      <c r="AW3275" s="379"/>
      <c r="AX3275" s="379"/>
      <c r="AY3275" s="379"/>
      <c r="AZ3275" s="379"/>
      <c r="BA3275" s="379"/>
      <c r="BB3275" s="379"/>
      <c r="BC3275" s="379"/>
      <c r="BD3275" s="379"/>
      <c r="BE3275" s="379"/>
      <c r="BF3275" s="379"/>
      <c r="BG3275" s="379"/>
      <c r="BH3275" s="379"/>
      <c r="BI3275" s="379"/>
      <c r="BJ3275" s="379"/>
      <c r="BK3275" s="379"/>
      <c r="BL3275" s="379"/>
      <c r="BM3275" s="379"/>
      <c r="BN3275" s="379"/>
      <c r="BO3275" s="379"/>
      <c r="BP3275" s="379"/>
      <c r="BQ3275" s="379"/>
      <c r="BR3275" s="379"/>
      <c r="BS3275" s="379"/>
      <c r="BT3275" s="379"/>
      <c r="BU3275" s="379"/>
      <c r="BV3275" s="379"/>
      <c r="BW3275" s="379"/>
      <c r="BX3275" s="379"/>
      <c r="BY3275" s="379"/>
    </row>
    <row r="3276" spans="1:77" s="205" customFormat="1" ht="11.25" customHeight="1">
      <c r="B3276" s="205" t="s">
        <v>291</v>
      </c>
      <c r="C3276" s="207">
        <v>44735</v>
      </c>
      <c r="D3276" s="207">
        <v>44736</v>
      </c>
      <c r="E3276" s="208" t="s">
        <v>2475</v>
      </c>
      <c r="F3276" s="205" t="s">
        <v>1966</v>
      </c>
      <c r="G3276" s="209">
        <v>4181</v>
      </c>
      <c r="H3276" s="205" t="s">
        <v>138</v>
      </c>
      <c r="I3276" s="219" t="s">
        <v>156</v>
      </c>
      <c r="J3276" s="210">
        <v>5268.48</v>
      </c>
      <c r="K3276" s="219"/>
      <c r="L3276" s="210">
        <v>4.2</v>
      </c>
      <c r="M3276" s="210">
        <v>4</v>
      </c>
      <c r="N3276" s="213"/>
      <c r="O3276" s="212">
        <v>0.25</v>
      </c>
      <c r="P3276" s="212">
        <v>0.1</v>
      </c>
      <c r="Q3276" s="213">
        <v>0</v>
      </c>
      <c r="R3276" s="205" t="s">
        <v>73</v>
      </c>
      <c r="S3276" s="214" t="s">
        <v>74</v>
      </c>
      <c r="T3276" s="214">
        <v>31</v>
      </c>
      <c r="U3276" s="215" t="s">
        <v>164</v>
      </c>
      <c r="V3276" s="438"/>
      <c r="W3276" s="205" t="s">
        <v>3249</v>
      </c>
      <c r="X3276" s="213">
        <v>0</v>
      </c>
      <c r="Y3276" s="213"/>
      <c r="AF3276" s="230">
        <f>X3276</f>
        <v>0</v>
      </c>
      <c r="AJ3276" s="216"/>
    </row>
    <row r="3277" spans="1:77" s="205" customFormat="1" ht="11.25" customHeight="1">
      <c r="B3277" s="205" t="s">
        <v>291</v>
      </c>
      <c r="C3277" s="207"/>
      <c r="D3277" s="207"/>
      <c r="E3277" s="208" t="s">
        <v>2475</v>
      </c>
      <c r="F3277" s="205" t="s">
        <v>1966</v>
      </c>
      <c r="G3277" s="209">
        <v>4181</v>
      </c>
      <c r="H3277" s="205" t="s">
        <v>138</v>
      </c>
      <c r="I3277" s="219" t="s">
        <v>156</v>
      </c>
      <c r="J3277" s="210">
        <v>21450.240000000002</v>
      </c>
      <c r="K3277" s="219"/>
      <c r="L3277" s="210">
        <v>17.100000000000001</v>
      </c>
      <c r="M3277" s="210">
        <v>6</v>
      </c>
      <c r="N3277" s="213"/>
      <c r="O3277" s="212">
        <v>0.25</v>
      </c>
      <c r="P3277" s="212">
        <v>0.1</v>
      </c>
      <c r="Q3277" s="213">
        <v>2329.6</v>
      </c>
      <c r="R3277" s="205" t="s">
        <v>73</v>
      </c>
      <c r="S3277" s="214" t="s">
        <v>74</v>
      </c>
      <c r="T3277" s="214">
        <v>32</v>
      </c>
      <c r="U3277" s="215" t="s">
        <v>164</v>
      </c>
      <c r="V3277" s="438"/>
      <c r="X3277" s="213">
        <v>2329.6</v>
      </c>
      <c r="Y3277" s="213"/>
      <c r="AF3277" s="230">
        <f>X3277</f>
        <v>2329.6</v>
      </c>
      <c r="AJ3277" s="216"/>
    </row>
    <row r="3278" spans="1:77" s="205" customFormat="1" ht="11.25" customHeight="1">
      <c r="B3278" s="205" t="s">
        <v>291</v>
      </c>
      <c r="C3278" s="207">
        <v>44712</v>
      </c>
      <c r="D3278" s="207">
        <v>44736</v>
      </c>
      <c r="E3278" s="208" t="s">
        <v>2476</v>
      </c>
      <c r="F3278" s="205" t="s">
        <v>2477</v>
      </c>
      <c r="G3278" s="209">
        <v>4365</v>
      </c>
      <c r="H3278" s="205" t="s">
        <v>27</v>
      </c>
      <c r="I3278" s="219" t="s">
        <v>1426</v>
      </c>
      <c r="J3278" s="210">
        <v>13770.18</v>
      </c>
      <c r="K3278" s="219"/>
      <c r="L3278" s="210">
        <v>15.28</v>
      </c>
      <c r="M3278" s="210">
        <v>15.28</v>
      </c>
      <c r="N3278" s="213"/>
      <c r="O3278" s="212">
        <v>0.25</v>
      </c>
      <c r="P3278" s="212"/>
      <c r="Q3278" s="213">
        <v>0</v>
      </c>
      <c r="R3278" s="205" t="s">
        <v>281</v>
      </c>
      <c r="S3278" s="214" t="s">
        <v>228</v>
      </c>
      <c r="T3278" s="214">
        <v>58</v>
      </c>
      <c r="U3278" s="215" t="s">
        <v>164</v>
      </c>
      <c r="V3278" s="438"/>
      <c r="X3278" s="213">
        <v>0</v>
      </c>
      <c r="Y3278" s="213"/>
      <c r="AF3278" s="230">
        <f>X3278</f>
        <v>0</v>
      </c>
      <c r="AJ3278" s="216"/>
    </row>
    <row r="3279" spans="1:77" s="205" customFormat="1" ht="11.25" customHeight="1">
      <c r="B3279" s="205" t="s">
        <v>291</v>
      </c>
      <c r="C3279" s="207"/>
      <c r="D3279" s="207"/>
      <c r="E3279" s="208" t="s">
        <v>2476</v>
      </c>
      <c r="F3279" s="205" t="s">
        <v>2477</v>
      </c>
      <c r="G3279" s="209">
        <v>4365</v>
      </c>
      <c r="H3279" s="205" t="s">
        <v>99</v>
      </c>
      <c r="I3279" s="219" t="s">
        <v>1426</v>
      </c>
      <c r="J3279" s="210">
        <v>31568.87</v>
      </c>
      <c r="K3279" s="219"/>
      <c r="L3279" s="210">
        <v>29.15</v>
      </c>
      <c r="M3279" s="210">
        <v>29.14</v>
      </c>
      <c r="N3279" s="213"/>
      <c r="O3279" s="212">
        <v>0.25</v>
      </c>
      <c r="P3279" s="212"/>
      <c r="Q3279" s="213">
        <v>0</v>
      </c>
      <c r="R3279" s="205" t="s">
        <v>281</v>
      </c>
      <c r="S3279" s="214" t="s">
        <v>228</v>
      </c>
      <c r="T3279" s="214">
        <v>58</v>
      </c>
      <c r="U3279" s="215" t="s">
        <v>164</v>
      </c>
      <c r="V3279" s="438"/>
      <c r="X3279" s="213">
        <v>0</v>
      </c>
      <c r="Y3279" s="213"/>
      <c r="AF3279" s="230">
        <f>X3279</f>
        <v>0</v>
      </c>
      <c r="AJ3279" s="216"/>
    </row>
    <row r="3280" spans="1:77" s="618" customFormat="1" ht="11.25" customHeight="1">
      <c r="B3280" s="618" t="s">
        <v>291</v>
      </c>
      <c r="C3280" s="620">
        <v>44734</v>
      </c>
      <c r="D3280" s="620">
        <v>44736</v>
      </c>
      <c r="E3280" s="621" t="s">
        <v>2478</v>
      </c>
      <c r="F3280" s="618" t="s">
        <v>2479</v>
      </c>
      <c r="G3280" s="634" t="s">
        <v>2480</v>
      </c>
      <c r="H3280" s="618" t="s">
        <v>192</v>
      </c>
      <c r="I3280" s="626" t="s">
        <v>156</v>
      </c>
      <c r="J3280" s="635">
        <v>65472.3</v>
      </c>
      <c r="K3280" s="626"/>
      <c r="L3280" s="635">
        <v>53.1</v>
      </c>
      <c r="M3280" s="635">
        <v>17</v>
      </c>
      <c r="N3280" s="627">
        <v>0</v>
      </c>
      <c r="O3280" s="628">
        <v>0.2</v>
      </c>
      <c r="P3280" s="628">
        <v>0.1</v>
      </c>
      <c r="Q3280" s="627">
        <v>4439.59</v>
      </c>
      <c r="R3280" s="618" t="s">
        <v>285</v>
      </c>
      <c r="S3280" s="629" t="s">
        <v>275</v>
      </c>
      <c r="T3280" s="629">
        <v>21</v>
      </c>
      <c r="U3280" s="631" t="s">
        <v>164</v>
      </c>
      <c r="V3280" s="632"/>
      <c r="X3280" s="627">
        <v>4439.59</v>
      </c>
      <c r="Y3280" s="627"/>
      <c r="AJ3280" s="633"/>
      <c r="AO3280" s="690">
        <v>4439.59</v>
      </c>
    </row>
    <row r="3281" spans="1:77" s="618" customFormat="1" ht="11.25" customHeight="1">
      <c r="B3281" s="618" t="s">
        <v>291</v>
      </c>
      <c r="C3281" s="620"/>
      <c r="D3281" s="620"/>
      <c r="E3281" s="621" t="s">
        <v>2478</v>
      </c>
      <c r="F3281" s="618" t="s">
        <v>2479</v>
      </c>
      <c r="G3281" s="634" t="s">
        <v>2480</v>
      </c>
      <c r="H3281" s="618" t="s">
        <v>134</v>
      </c>
      <c r="I3281" s="626" t="s">
        <v>156</v>
      </c>
      <c r="J3281" s="635">
        <v>27936</v>
      </c>
      <c r="K3281" s="626"/>
      <c r="L3281" s="635">
        <v>23.28</v>
      </c>
      <c r="M3281" s="635">
        <v>4</v>
      </c>
      <c r="N3281" s="627">
        <f>J3281*0.4</f>
        <v>11174.400000000001</v>
      </c>
      <c r="O3281" s="628">
        <v>0.2</v>
      </c>
      <c r="P3281" s="628">
        <v>0.1</v>
      </c>
      <c r="Q3281" s="627">
        <v>2218.4</v>
      </c>
      <c r="R3281" s="618" t="s">
        <v>285</v>
      </c>
      <c r="S3281" s="629" t="s">
        <v>275</v>
      </c>
      <c r="T3281" s="629">
        <v>21</v>
      </c>
      <c r="U3281" s="631" t="s">
        <v>164</v>
      </c>
      <c r="V3281" s="632"/>
      <c r="X3281" s="627">
        <v>2218.4</v>
      </c>
      <c r="Y3281" s="627"/>
      <c r="AJ3281" s="633"/>
      <c r="AO3281" s="690">
        <v>2218.4</v>
      </c>
    </row>
    <row r="3282" spans="1:77" s="507" customFormat="1" ht="11.25" customHeight="1">
      <c r="B3282" s="507" t="s">
        <v>291</v>
      </c>
      <c r="C3282" s="509">
        <v>44735</v>
      </c>
      <c r="D3282" s="509">
        <v>44736</v>
      </c>
      <c r="E3282" s="510" t="s">
        <v>2481</v>
      </c>
      <c r="F3282" s="507" t="s">
        <v>2482</v>
      </c>
      <c r="G3282" s="521">
        <v>4423</v>
      </c>
      <c r="H3282" s="507" t="s">
        <v>1141</v>
      </c>
      <c r="I3282" s="512" t="s">
        <v>958</v>
      </c>
      <c r="J3282" s="513">
        <v>10877.69</v>
      </c>
      <c r="K3282" s="512"/>
      <c r="L3282" s="513">
        <v>11.83</v>
      </c>
      <c r="M3282" s="513">
        <v>11.83</v>
      </c>
      <c r="N3282" s="514"/>
      <c r="O3282" s="515">
        <v>0.25</v>
      </c>
      <c r="P3282" s="515"/>
      <c r="Q3282" s="514">
        <v>3012.21</v>
      </c>
      <c r="R3282" s="507" t="s">
        <v>73</v>
      </c>
      <c r="S3282" s="516" t="s">
        <v>74</v>
      </c>
      <c r="T3282" s="516">
        <v>32</v>
      </c>
      <c r="U3282" s="517" t="s">
        <v>164</v>
      </c>
      <c r="V3282" s="518"/>
      <c r="X3282" s="514">
        <v>3012.21</v>
      </c>
      <c r="Y3282" s="514"/>
      <c r="AJ3282" s="522"/>
      <c r="AL3282" s="507">
        <v>3012.21</v>
      </c>
    </row>
    <row r="3283" spans="1:77" s="507" customFormat="1" ht="11.25" customHeight="1">
      <c r="B3283" s="507" t="s">
        <v>291</v>
      </c>
      <c r="C3283" s="509"/>
      <c r="D3283" s="509"/>
      <c r="E3283" s="510" t="s">
        <v>2481</v>
      </c>
      <c r="F3283" s="507" t="s">
        <v>2482</v>
      </c>
      <c r="G3283" s="521">
        <v>4423</v>
      </c>
      <c r="H3283" s="507" t="s">
        <v>765</v>
      </c>
      <c r="I3283" s="512" t="s">
        <v>958</v>
      </c>
      <c r="J3283" s="513">
        <v>16615.2</v>
      </c>
      <c r="K3283" s="512"/>
      <c r="L3283" s="513">
        <v>19.78</v>
      </c>
      <c r="M3283" s="513">
        <v>19.78</v>
      </c>
      <c r="N3283" s="514"/>
      <c r="O3283" s="515">
        <v>0.25</v>
      </c>
      <c r="P3283" s="515"/>
      <c r="Q3283" s="514">
        <v>0</v>
      </c>
      <c r="R3283" s="507" t="s">
        <v>73</v>
      </c>
      <c r="S3283" s="516" t="s">
        <v>74</v>
      </c>
      <c r="T3283" s="516">
        <v>32</v>
      </c>
      <c r="U3283" s="517" t="s">
        <v>164</v>
      </c>
      <c r="V3283" s="518"/>
      <c r="X3283" s="514">
        <v>0</v>
      </c>
      <c r="Y3283" s="514"/>
      <c r="AJ3283" s="522"/>
      <c r="AL3283" s="507">
        <v>0</v>
      </c>
    </row>
    <row r="3284" spans="1:77" s="261" customFormat="1" ht="11.25" customHeight="1">
      <c r="A3284" s="379"/>
      <c r="B3284" s="380" t="s">
        <v>291</v>
      </c>
      <c r="C3284" s="381"/>
      <c r="D3284" s="381"/>
      <c r="E3284" s="382" t="s">
        <v>2483</v>
      </c>
      <c r="F3284" s="379" t="s">
        <v>2064</v>
      </c>
      <c r="G3284" s="383">
        <v>4133</v>
      </c>
      <c r="H3284" s="379" t="s">
        <v>910</v>
      </c>
      <c r="I3284" s="379" t="s">
        <v>156</v>
      </c>
      <c r="J3284" s="385">
        <v>105402</v>
      </c>
      <c r="K3284" s="384"/>
      <c r="L3284" s="385">
        <v>47.91</v>
      </c>
      <c r="M3284" s="385">
        <v>47.91</v>
      </c>
      <c r="N3284" s="386"/>
      <c r="O3284" s="387">
        <v>0.2</v>
      </c>
      <c r="P3284" s="387">
        <v>0.1</v>
      </c>
      <c r="Q3284" s="386">
        <v>0</v>
      </c>
      <c r="R3284" s="379" t="s">
        <v>73</v>
      </c>
      <c r="S3284" s="388" t="s">
        <v>74</v>
      </c>
      <c r="T3284" s="388">
        <v>31</v>
      </c>
      <c r="U3284" s="389" t="s">
        <v>164</v>
      </c>
      <c r="V3284" s="433"/>
      <c r="W3284" s="379"/>
      <c r="X3284" s="386">
        <v>0</v>
      </c>
      <c r="Y3284" s="386"/>
      <c r="Z3284" s="379"/>
      <c r="AA3284" s="379"/>
      <c r="AB3284" s="379"/>
      <c r="AC3284" s="379"/>
      <c r="AD3284" s="379"/>
      <c r="AE3284" s="379"/>
      <c r="AF3284" s="379"/>
      <c r="AG3284" s="379"/>
      <c r="AH3284" s="379"/>
      <c r="AI3284" s="379"/>
      <c r="AJ3284" s="390">
        <v>0</v>
      </c>
      <c r="AK3284" s="379"/>
      <c r="AL3284" s="379"/>
      <c r="AM3284" s="379"/>
      <c r="AN3284" s="379"/>
      <c r="AO3284" s="379"/>
      <c r="AP3284" s="379"/>
      <c r="AQ3284" s="379"/>
      <c r="AR3284" s="379"/>
      <c r="AS3284" s="379"/>
      <c r="AT3284" s="379"/>
      <c r="AU3284" s="379"/>
      <c r="AV3284" s="379"/>
      <c r="AW3284" s="379"/>
      <c r="AX3284" s="379"/>
      <c r="AY3284" s="379"/>
      <c r="AZ3284" s="379"/>
      <c r="BA3284" s="379"/>
      <c r="BB3284" s="379"/>
      <c r="BC3284" s="379"/>
      <c r="BD3284" s="379"/>
      <c r="BE3284" s="379"/>
      <c r="BF3284" s="379"/>
      <c r="BG3284" s="379"/>
      <c r="BH3284" s="379"/>
      <c r="BI3284" s="379"/>
      <c r="BJ3284" s="379"/>
      <c r="BK3284" s="379"/>
      <c r="BL3284" s="379"/>
      <c r="BM3284" s="379"/>
      <c r="BN3284" s="379"/>
      <c r="BO3284" s="379"/>
      <c r="BP3284" s="379"/>
      <c r="BQ3284" s="379"/>
      <c r="BR3284" s="379"/>
      <c r="BS3284" s="379"/>
      <c r="BT3284" s="379"/>
      <c r="BU3284" s="379"/>
      <c r="BV3284" s="379"/>
      <c r="BW3284" s="379"/>
      <c r="BX3284" s="379"/>
      <c r="BY3284" s="379"/>
    </row>
    <row r="3285" spans="1:77" s="261" customFormat="1" ht="11.25" customHeight="1">
      <c r="A3285" s="379"/>
      <c r="B3285" s="380" t="s">
        <v>291</v>
      </c>
      <c r="C3285" s="381"/>
      <c r="D3285" s="381"/>
      <c r="E3285" s="382" t="s">
        <v>2483</v>
      </c>
      <c r="F3285" s="379" t="s">
        <v>2064</v>
      </c>
      <c r="G3285" s="383">
        <v>4133</v>
      </c>
      <c r="H3285" s="379" t="s">
        <v>765</v>
      </c>
      <c r="I3285" s="379" t="s">
        <v>156</v>
      </c>
      <c r="J3285" s="385">
        <v>18262.8</v>
      </c>
      <c r="K3285" s="384"/>
      <c r="L3285" s="385">
        <v>16.91</v>
      </c>
      <c r="M3285" s="385">
        <v>16.91</v>
      </c>
      <c r="N3285" s="386"/>
      <c r="O3285" s="387">
        <v>0.2</v>
      </c>
      <c r="P3285" s="387">
        <v>0.1</v>
      </c>
      <c r="Q3285" s="386">
        <v>0</v>
      </c>
      <c r="R3285" s="379" t="s">
        <v>73</v>
      </c>
      <c r="S3285" s="388" t="s">
        <v>74</v>
      </c>
      <c r="T3285" s="388">
        <v>31</v>
      </c>
      <c r="U3285" s="389" t="s">
        <v>164</v>
      </c>
      <c r="V3285" s="433"/>
      <c r="W3285" s="379"/>
      <c r="X3285" s="386">
        <v>0</v>
      </c>
      <c r="Y3285" s="386"/>
      <c r="Z3285" s="379"/>
      <c r="AA3285" s="379"/>
      <c r="AB3285" s="379"/>
      <c r="AC3285" s="379"/>
      <c r="AD3285" s="379"/>
      <c r="AE3285" s="379"/>
      <c r="AF3285" s="379"/>
      <c r="AG3285" s="379"/>
      <c r="AH3285" s="379"/>
      <c r="AI3285" s="379"/>
      <c r="AJ3285" s="390">
        <v>0</v>
      </c>
      <c r="AK3285" s="379"/>
      <c r="AL3285" s="379"/>
      <c r="AM3285" s="379"/>
      <c r="AN3285" s="379"/>
      <c r="AO3285" s="379"/>
      <c r="AP3285" s="379"/>
      <c r="AQ3285" s="379"/>
      <c r="AR3285" s="379"/>
      <c r="AS3285" s="379"/>
      <c r="AT3285" s="379"/>
      <c r="AU3285" s="379"/>
      <c r="AV3285" s="379"/>
      <c r="AW3285" s="379"/>
      <c r="AX3285" s="379"/>
      <c r="AY3285" s="379"/>
      <c r="AZ3285" s="379"/>
      <c r="BA3285" s="379"/>
      <c r="BB3285" s="379"/>
      <c r="BC3285" s="379"/>
      <c r="BD3285" s="379"/>
      <c r="BE3285" s="379"/>
      <c r="BF3285" s="379"/>
      <c r="BG3285" s="379"/>
      <c r="BH3285" s="379"/>
      <c r="BI3285" s="379"/>
      <c r="BJ3285" s="379"/>
      <c r="BK3285" s="379"/>
      <c r="BL3285" s="379"/>
      <c r="BM3285" s="379"/>
      <c r="BN3285" s="379"/>
      <c r="BO3285" s="379"/>
      <c r="BP3285" s="379"/>
      <c r="BQ3285" s="379"/>
      <c r="BR3285" s="379"/>
      <c r="BS3285" s="379"/>
      <c r="BT3285" s="379"/>
      <c r="BU3285" s="379"/>
      <c r="BV3285" s="379"/>
      <c r="BW3285" s="379"/>
      <c r="BX3285" s="379"/>
      <c r="BY3285" s="379"/>
    </row>
    <row r="3286" spans="1:77" s="6" customFormat="1" ht="11.25" customHeight="1">
      <c r="A3286" s="379"/>
      <c r="B3286" s="380" t="s">
        <v>291</v>
      </c>
      <c r="C3286" s="381"/>
      <c r="D3286" s="381"/>
      <c r="E3286" s="382" t="s">
        <v>2483</v>
      </c>
      <c r="F3286" s="379" t="s">
        <v>2064</v>
      </c>
      <c r="G3286" s="383">
        <v>4133</v>
      </c>
      <c r="H3286" s="379" t="s">
        <v>765</v>
      </c>
      <c r="I3286" s="379" t="s">
        <v>156</v>
      </c>
      <c r="J3286" s="385">
        <v>23414.400000000001</v>
      </c>
      <c r="K3286" s="384"/>
      <c r="L3286" s="385">
        <v>21.68</v>
      </c>
      <c r="M3286" s="385">
        <v>21.68</v>
      </c>
      <c r="N3286" s="386"/>
      <c r="O3286" s="387">
        <v>0.2</v>
      </c>
      <c r="P3286" s="387">
        <v>0.1</v>
      </c>
      <c r="Q3286" s="386">
        <v>0</v>
      </c>
      <c r="R3286" s="379" t="s">
        <v>73</v>
      </c>
      <c r="S3286" s="388" t="s">
        <v>74</v>
      </c>
      <c r="T3286" s="388">
        <v>32</v>
      </c>
      <c r="U3286" s="389" t="s">
        <v>164</v>
      </c>
      <c r="V3286" s="433"/>
      <c r="W3286" s="379"/>
      <c r="X3286" s="386">
        <v>0</v>
      </c>
      <c r="Y3286" s="386"/>
      <c r="Z3286" s="379"/>
      <c r="AA3286" s="379"/>
      <c r="AB3286" s="379"/>
      <c r="AC3286" s="379"/>
      <c r="AD3286" s="379"/>
      <c r="AE3286" s="379"/>
      <c r="AF3286" s="379"/>
      <c r="AG3286" s="379"/>
      <c r="AH3286" s="379"/>
      <c r="AI3286" s="379"/>
      <c r="AJ3286" s="390">
        <v>0</v>
      </c>
      <c r="AK3286" s="379"/>
      <c r="AL3286" s="379"/>
      <c r="AM3286" s="379"/>
      <c r="AN3286" s="379"/>
      <c r="AO3286" s="379"/>
      <c r="AP3286" s="379"/>
      <c r="AQ3286" s="379"/>
      <c r="AR3286" s="379"/>
      <c r="AS3286" s="379"/>
      <c r="AT3286" s="379"/>
      <c r="AU3286" s="379"/>
      <c r="AV3286" s="379"/>
      <c r="AW3286" s="379"/>
      <c r="AX3286" s="379"/>
      <c r="AY3286" s="379"/>
      <c r="AZ3286" s="379"/>
      <c r="BA3286" s="379"/>
      <c r="BB3286" s="379"/>
      <c r="BC3286" s="379"/>
      <c r="BD3286" s="379"/>
      <c r="BE3286" s="379"/>
      <c r="BF3286" s="379"/>
      <c r="BG3286" s="379"/>
      <c r="BH3286" s="379"/>
      <c r="BI3286" s="379"/>
      <c r="BJ3286" s="379"/>
      <c r="BK3286" s="379"/>
      <c r="BL3286" s="379"/>
      <c r="BM3286" s="379"/>
      <c r="BN3286" s="379"/>
      <c r="BO3286" s="379"/>
      <c r="BP3286" s="379"/>
      <c r="BQ3286" s="379"/>
      <c r="BR3286" s="379"/>
      <c r="BS3286" s="379"/>
      <c r="BT3286" s="379"/>
      <c r="BU3286" s="379"/>
      <c r="BV3286" s="379"/>
      <c r="BW3286" s="379"/>
      <c r="BX3286" s="379"/>
      <c r="BY3286" s="379"/>
    </row>
    <row r="3287" spans="1:77" s="261" customFormat="1" ht="11.25" customHeight="1">
      <c r="B3287" s="258" t="s">
        <v>291</v>
      </c>
      <c r="C3287" s="259">
        <v>44735</v>
      </c>
      <c r="D3287" s="259">
        <v>44736</v>
      </c>
      <c r="E3287" s="260" t="s">
        <v>2483</v>
      </c>
      <c r="F3287" s="261" t="s">
        <v>2064</v>
      </c>
      <c r="G3287" s="262">
        <v>4133</v>
      </c>
      <c r="H3287" s="261" t="s">
        <v>138</v>
      </c>
      <c r="I3287" s="261" t="s">
        <v>156</v>
      </c>
      <c r="J3287" s="263">
        <v>10914.96</v>
      </c>
      <c r="K3287" s="264"/>
      <c r="L3287" s="263">
        <v>8.76</v>
      </c>
      <c r="M3287" s="263">
        <v>8.76</v>
      </c>
      <c r="N3287" s="265"/>
      <c r="O3287" s="266">
        <v>0.2</v>
      </c>
      <c r="P3287" s="266">
        <v>0.1</v>
      </c>
      <c r="Q3287" s="265">
        <v>1753.79</v>
      </c>
      <c r="R3287" s="261" t="s">
        <v>73</v>
      </c>
      <c r="S3287" s="267" t="s">
        <v>74</v>
      </c>
      <c r="T3287" s="267">
        <v>31</v>
      </c>
      <c r="U3287" s="268" t="s">
        <v>164</v>
      </c>
      <c r="V3287" s="427"/>
      <c r="X3287" s="265">
        <v>1753.79</v>
      </c>
      <c r="Y3287" s="265"/>
      <c r="AG3287" s="261">
        <f>X3287</f>
        <v>1753.79</v>
      </c>
      <c r="AJ3287" s="642"/>
    </row>
    <row r="3288" spans="1:77" s="261" customFormat="1" ht="11.25" customHeight="1">
      <c r="B3288" s="258" t="s">
        <v>291</v>
      </c>
      <c r="C3288" s="259"/>
      <c r="D3288" s="259"/>
      <c r="E3288" s="260" t="s">
        <v>2483</v>
      </c>
      <c r="F3288" s="261" t="s">
        <v>2064</v>
      </c>
      <c r="G3288" s="262">
        <v>4133</v>
      </c>
      <c r="H3288" s="261" t="s">
        <v>99</v>
      </c>
      <c r="I3288" s="261" t="s">
        <v>156</v>
      </c>
      <c r="J3288" s="263">
        <v>15946.31</v>
      </c>
      <c r="K3288" s="264"/>
      <c r="L3288" s="263">
        <v>14.22</v>
      </c>
      <c r="M3288" s="263">
        <v>14.22</v>
      </c>
      <c r="N3288" s="265"/>
      <c r="O3288" s="266">
        <v>0.2</v>
      </c>
      <c r="P3288" s="266">
        <v>0.1</v>
      </c>
      <c r="Q3288" s="265">
        <v>1880.51</v>
      </c>
      <c r="R3288" s="261" t="s">
        <v>73</v>
      </c>
      <c r="S3288" s="267" t="s">
        <v>74</v>
      </c>
      <c r="T3288" s="267">
        <v>31</v>
      </c>
      <c r="U3288" s="268" t="s">
        <v>164</v>
      </c>
      <c r="V3288" s="427"/>
      <c r="X3288" s="265">
        <v>1880.51</v>
      </c>
      <c r="Y3288" s="265"/>
      <c r="AG3288" s="261">
        <f>X3288</f>
        <v>1880.51</v>
      </c>
      <c r="AJ3288" s="642"/>
    </row>
    <row r="3289" spans="1:77" s="507" customFormat="1" ht="11.25" customHeight="1">
      <c r="B3289" s="508" t="s">
        <v>291</v>
      </c>
      <c r="C3289" s="509">
        <v>44733</v>
      </c>
      <c r="D3289" s="509">
        <v>44736</v>
      </c>
      <c r="E3289" s="510" t="s">
        <v>2484</v>
      </c>
      <c r="F3289" s="507" t="s">
        <v>131</v>
      </c>
      <c r="G3289" s="521">
        <v>4152</v>
      </c>
      <c r="H3289" s="507" t="s">
        <v>27</v>
      </c>
      <c r="I3289" s="512" t="s">
        <v>156</v>
      </c>
      <c r="J3289" s="513">
        <v>15121.73</v>
      </c>
      <c r="K3289" s="512"/>
      <c r="L3289" s="513">
        <v>13</v>
      </c>
      <c r="M3289" s="513">
        <v>13</v>
      </c>
      <c r="N3289" s="514"/>
      <c r="O3289" s="515">
        <v>0.15</v>
      </c>
      <c r="P3289" s="515">
        <v>0.1</v>
      </c>
      <c r="Q3289" s="514">
        <v>7042.96</v>
      </c>
      <c r="R3289" s="507" t="s">
        <v>128</v>
      </c>
      <c r="S3289" s="516" t="s">
        <v>41</v>
      </c>
      <c r="T3289" s="516">
        <v>86</v>
      </c>
      <c r="U3289" s="517" t="s">
        <v>164</v>
      </c>
      <c r="V3289" s="518">
        <v>2380</v>
      </c>
      <c r="X3289" s="514">
        <v>7042.96</v>
      </c>
      <c r="Y3289" s="514"/>
      <c r="AJ3289" s="522"/>
      <c r="AL3289" s="514">
        <v>7042.96</v>
      </c>
    </row>
    <row r="3290" spans="1:77" s="379" customFormat="1" ht="11.25" customHeight="1">
      <c r="B3290" s="380" t="s">
        <v>290</v>
      </c>
      <c r="C3290" s="381"/>
      <c r="D3290" s="381"/>
      <c r="E3290" s="382" t="s">
        <v>2485</v>
      </c>
      <c r="F3290" s="379" t="s">
        <v>2486</v>
      </c>
      <c r="G3290" s="383" t="s">
        <v>2487</v>
      </c>
      <c r="H3290" s="379" t="s">
        <v>765</v>
      </c>
      <c r="I3290" s="384" t="s">
        <v>156</v>
      </c>
      <c r="J3290" s="385">
        <v>155910</v>
      </c>
      <c r="K3290" s="384"/>
      <c r="L3290" s="385">
        <v>103.94</v>
      </c>
      <c r="M3290" s="385">
        <v>103.94</v>
      </c>
      <c r="N3290" s="386"/>
      <c r="O3290" s="387">
        <v>0.3</v>
      </c>
      <c r="P3290" s="387">
        <v>0.1</v>
      </c>
      <c r="Q3290" s="386">
        <v>70823</v>
      </c>
      <c r="R3290" s="379" t="s">
        <v>73</v>
      </c>
      <c r="S3290" s="388" t="s">
        <v>74</v>
      </c>
      <c r="T3290" s="388">
        <v>31</v>
      </c>
      <c r="U3290" s="389" t="s">
        <v>164</v>
      </c>
      <c r="V3290" s="433"/>
      <c r="X3290" s="386">
        <v>70823</v>
      </c>
      <c r="Y3290" s="386"/>
      <c r="AJ3290" s="416">
        <v>70823</v>
      </c>
    </row>
    <row r="3291" spans="1:77" s="379" customFormat="1" ht="11.25" customHeight="1">
      <c r="B3291" s="380" t="s">
        <v>290</v>
      </c>
      <c r="C3291" s="381"/>
      <c r="D3291" s="381"/>
      <c r="E3291" s="382" t="s">
        <v>2485</v>
      </c>
      <c r="F3291" s="379" t="s">
        <v>2486</v>
      </c>
      <c r="G3291" s="383" t="s">
        <v>2487</v>
      </c>
      <c r="H3291" s="379" t="s">
        <v>814</v>
      </c>
      <c r="I3291" s="384" t="s">
        <v>156</v>
      </c>
      <c r="J3291" s="385">
        <v>16785</v>
      </c>
      <c r="K3291" s="384"/>
      <c r="L3291" s="385">
        <v>11.19</v>
      </c>
      <c r="M3291" s="385">
        <v>11.19</v>
      </c>
      <c r="N3291" s="386"/>
      <c r="O3291" s="387">
        <v>0.3</v>
      </c>
      <c r="P3291" s="387">
        <v>0.1</v>
      </c>
      <c r="Q3291" s="386">
        <v>2797.5</v>
      </c>
      <c r="R3291" s="379" t="s">
        <v>73</v>
      </c>
      <c r="S3291" s="388" t="s">
        <v>74</v>
      </c>
      <c r="T3291" s="388">
        <v>31</v>
      </c>
      <c r="U3291" s="389" t="s">
        <v>164</v>
      </c>
      <c r="V3291" s="433"/>
      <c r="X3291" s="386">
        <v>2797.5</v>
      </c>
      <c r="Y3291" s="386"/>
      <c r="AJ3291" s="416">
        <v>2797.5</v>
      </c>
    </row>
    <row r="3292" spans="1:77" s="379" customFormat="1" ht="11.25" customHeight="1">
      <c r="B3292" s="380" t="s">
        <v>290</v>
      </c>
      <c r="C3292" s="381"/>
      <c r="D3292" s="381"/>
      <c r="E3292" s="382" t="s">
        <v>2485</v>
      </c>
      <c r="F3292" s="379" t="s">
        <v>2486</v>
      </c>
      <c r="G3292" s="383" t="s">
        <v>2487</v>
      </c>
      <c r="H3292" s="379" t="s">
        <v>1141</v>
      </c>
      <c r="I3292" s="384" t="s">
        <v>156</v>
      </c>
      <c r="J3292" s="385">
        <v>49584</v>
      </c>
      <c r="K3292" s="384"/>
      <c r="L3292" s="385">
        <v>41.32</v>
      </c>
      <c r="M3292" s="385">
        <v>41.32</v>
      </c>
      <c r="N3292" s="386"/>
      <c r="O3292" s="387">
        <v>0.3</v>
      </c>
      <c r="P3292" s="387">
        <v>0.1</v>
      </c>
      <c r="Q3292" s="386">
        <v>0</v>
      </c>
      <c r="R3292" s="379" t="s">
        <v>73</v>
      </c>
      <c r="S3292" s="388" t="s">
        <v>74</v>
      </c>
      <c r="T3292" s="388">
        <v>31</v>
      </c>
      <c r="U3292" s="389" t="s">
        <v>164</v>
      </c>
      <c r="V3292" s="433"/>
      <c r="X3292" s="386">
        <v>0</v>
      </c>
      <c r="Y3292" s="386"/>
      <c r="AJ3292" s="390">
        <v>0</v>
      </c>
    </row>
    <row r="3293" spans="1:77" s="205" customFormat="1" ht="11.25" customHeight="1">
      <c r="B3293" s="206" t="s">
        <v>290</v>
      </c>
      <c r="C3293" s="207">
        <v>44735</v>
      </c>
      <c r="D3293" s="207">
        <v>44736</v>
      </c>
      <c r="E3293" s="208" t="s">
        <v>2485</v>
      </c>
      <c r="F3293" s="205" t="s">
        <v>2486</v>
      </c>
      <c r="G3293" s="209" t="s">
        <v>2487</v>
      </c>
      <c r="H3293" s="205" t="s">
        <v>163</v>
      </c>
      <c r="I3293" s="219" t="s">
        <v>156</v>
      </c>
      <c r="J3293" s="210">
        <v>3426.5</v>
      </c>
      <c r="K3293" s="219"/>
      <c r="L3293" s="210">
        <v>3.85</v>
      </c>
      <c r="M3293" s="210">
        <v>3.85</v>
      </c>
      <c r="N3293" s="213"/>
      <c r="O3293" s="212">
        <v>0.3</v>
      </c>
      <c r="P3293" s="212">
        <v>0.1</v>
      </c>
      <c r="Q3293" s="213">
        <v>205.59</v>
      </c>
      <c r="R3293" s="205" t="s">
        <v>73</v>
      </c>
      <c r="S3293" s="214" t="s">
        <v>74</v>
      </c>
      <c r="T3293" s="214">
        <v>31</v>
      </c>
      <c r="U3293" s="215" t="s">
        <v>164</v>
      </c>
      <c r="V3293" s="438"/>
      <c r="X3293" s="213">
        <v>205.59</v>
      </c>
      <c r="Y3293" s="213"/>
      <c r="AF3293" s="230">
        <f>X3293</f>
        <v>205.59</v>
      </c>
      <c r="AJ3293" s="216"/>
    </row>
    <row r="3294" spans="1:77" s="379" customFormat="1" ht="11.25" customHeight="1">
      <c r="B3294" s="379" t="s">
        <v>390</v>
      </c>
      <c r="C3294" s="381">
        <v>44732</v>
      </c>
      <c r="D3294" s="381">
        <v>44736</v>
      </c>
      <c r="E3294" s="382" t="s">
        <v>2488</v>
      </c>
      <c r="F3294" s="379" t="s">
        <v>2489</v>
      </c>
      <c r="G3294" s="383" t="s">
        <v>2490</v>
      </c>
      <c r="H3294" s="379" t="s">
        <v>393</v>
      </c>
      <c r="I3294" s="384" t="s">
        <v>156</v>
      </c>
      <c r="J3294" s="385">
        <v>2981523.77</v>
      </c>
      <c r="K3294" s="384"/>
      <c r="L3294" s="385">
        <v>134.66999999999999</v>
      </c>
      <c r="M3294" s="385">
        <v>36.799999999999997</v>
      </c>
      <c r="N3294" s="386">
        <f>0.2*(34.0021*737*30.04)</f>
        <v>150557.76258159999</v>
      </c>
      <c r="O3294" s="387">
        <v>0.25</v>
      </c>
      <c r="P3294" s="387">
        <v>0.1</v>
      </c>
      <c r="Q3294" s="386">
        <v>0</v>
      </c>
      <c r="R3294" s="379" t="s">
        <v>782</v>
      </c>
      <c r="S3294" s="388" t="s">
        <v>65</v>
      </c>
      <c r="T3294" s="388">
        <v>89</v>
      </c>
      <c r="U3294" s="389" t="s">
        <v>164</v>
      </c>
      <c r="V3294" s="433"/>
      <c r="X3294" s="386">
        <v>0</v>
      </c>
      <c r="Y3294" s="386"/>
      <c r="AJ3294" s="390">
        <v>0</v>
      </c>
    </row>
    <row r="3295" spans="1:77" s="205" customFormat="1" ht="11.25" customHeight="1">
      <c r="B3295" s="205" t="s">
        <v>291</v>
      </c>
      <c r="C3295" s="207">
        <v>44735</v>
      </c>
      <c r="D3295" s="207">
        <v>44736</v>
      </c>
      <c r="E3295" s="208" t="s">
        <v>2491</v>
      </c>
      <c r="F3295" s="205" t="s">
        <v>1318</v>
      </c>
      <c r="G3295" s="220" t="s">
        <v>1319</v>
      </c>
      <c r="H3295" s="205" t="s">
        <v>295</v>
      </c>
      <c r="I3295" s="219" t="s">
        <v>156</v>
      </c>
      <c r="J3295" s="210">
        <v>13938.75</v>
      </c>
      <c r="K3295" s="219"/>
      <c r="L3295" s="210">
        <v>26.55</v>
      </c>
      <c r="M3295" s="210">
        <v>26.55</v>
      </c>
      <c r="N3295" s="213"/>
      <c r="O3295" s="212">
        <v>0.25</v>
      </c>
      <c r="P3295" s="212">
        <v>0.1</v>
      </c>
      <c r="Q3295" s="213">
        <v>5376.38</v>
      </c>
      <c r="R3295" s="205" t="s">
        <v>146</v>
      </c>
      <c r="S3295" s="214" t="s">
        <v>74</v>
      </c>
      <c r="T3295" s="214">
        <v>32</v>
      </c>
      <c r="U3295" s="215" t="s">
        <v>164</v>
      </c>
      <c r="V3295" s="438"/>
      <c r="X3295" s="213">
        <v>5376.38</v>
      </c>
      <c r="Y3295" s="213"/>
      <c r="AF3295" s="230">
        <f>X3295</f>
        <v>5376.38</v>
      </c>
      <c r="AJ3295" s="216"/>
    </row>
    <row r="3296" spans="1:77" s="379" customFormat="1" ht="11.25" customHeight="1">
      <c r="B3296" s="379" t="s">
        <v>291</v>
      </c>
      <c r="C3296" s="381"/>
      <c r="D3296" s="381"/>
      <c r="E3296" s="382" t="s">
        <v>2491</v>
      </c>
      <c r="F3296" s="379" t="s">
        <v>1318</v>
      </c>
      <c r="G3296" s="400" t="s">
        <v>1319</v>
      </c>
      <c r="H3296" s="379" t="s">
        <v>1141</v>
      </c>
      <c r="I3296" s="384" t="s">
        <v>156</v>
      </c>
      <c r="J3296" s="385">
        <v>13243.99</v>
      </c>
      <c r="K3296" s="384"/>
      <c r="L3296" s="385">
        <v>13.74</v>
      </c>
      <c r="M3296" s="385">
        <v>13.74</v>
      </c>
      <c r="N3296" s="386"/>
      <c r="O3296" s="387">
        <v>0.25</v>
      </c>
      <c r="P3296" s="387">
        <v>0.1</v>
      </c>
      <c r="Q3296" s="386">
        <v>0</v>
      </c>
      <c r="R3296" s="379" t="s">
        <v>146</v>
      </c>
      <c r="S3296" s="388" t="s">
        <v>74</v>
      </c>
      <c r="T3296" s="388">
        <v>32</v>
      </c>
      <c r="U3296" s="389" t="s">
        <v>164</v>
      </c>
      <c r="V3296" s="433"/>
      <c r="X3296" s="386">
        <v>0</v>
      </c>
      <c r="Y3296" s="386"/>
      <c r="AJ3296" s="390">
        <v>0</v>
      </c>
    </row>
    <row r="3297" spans="1:77" s="379" customFormat="1" ht="11.25" customHeight="1">
      <c r="B3297" s="379" t="s">
        <v>291</v>
      </c>
      <c r="C3297" s="381"/>
      <c r="D3297" s="381"/>
      <c r="E3297" s="382" t="s">
        <v>2491</v>
      </c>
      <c r="F3297" s="379" t="s">
        <v>1318</v>
      </c>
      <c r="G3297" s="400" t="s">
        <v>1319</v>
      </c>
      <c r="H3297" s="379" t="s">
        <v>765</v>
      </c>
      <c r="I3297" s="384" t="s">
        <v>156</v>
      </c>
      <c r="J3297" s="385">
        <v>16872</v>
      </c>
      <c r="K3297" s="384"/>
      <c r="L3297" s="385">
        <v>27.75</v>
      </c>
      <c r="M3297" s="385">
        <v>27.75</v>
      </c>
      <c r="N3297" s="386"/>
      <c r="O3297" s="387">
        <v>0.25</v>
      </c>
      <c r="P3297" s="387">
        <v>0.1</v>
      </c>
      <c r="Q3297" s="386">
        <v>0</v>
      </c>
      <c r="R3297" s="379" t="s">
        <v>146</v>
      </c>
      <c r="S3297" s="388" t="s">
        <v>74</v>
      </c>
      <c r="T3297" s="388">
        <v>32</v>
      </c>
      <c r="U3297" s="389" t="s">
        <v>164</v>
      </c>
      <c r="V3297" s="433"/>
      <c r="X3297" s="386">
        <v>0</v>
      </c>
      <c r="Y3297" s="386"/>
      <c r="AJ3297" s="390">
        <v>0</v>
      </c>
    </row>
    <row r="3298" spans="1:77" s="261" customFormat="1" ht="11.25" customHeight="1">
      <c r="B3298" s="258" t="s">
        <v>291</v>
      </c>
      <c r="C3298" s="259">
        <v>44734</v>
      </c>
      <c r="D3298" s="259">
        <v>44736</v>
      </c>
      <c r="E3298" s="260" t="s">
        <v>2492</v>
      </c>
      <c r="F3298" s="261" t="s">
        <v>2388</v>
      </c>
      <c r="G3298" s="262" t="s">
        <v>2389</v>
      </c>
      <c r="H3298" s="261" t="s">
        <v>163</v>
      </c>
      <c r="I3298" s="264" t="s">
        <v>156</v>
      </c>
      <c r="J3298" s="263">
        <v>9972.2000000000007</v>
      </c>
      <c r="K3298" s="264"/>
      <c r="L3298" s="263">
        <v>14</v>
      </c>
      <c r="M3298" s="263">
        <v>14</v>
      </c>
      <c r="N3298" s="265">
        <v>2493.0500000000002</v>
      </c>
      <c r="O3298" s="266">
        <v>0.15</v>
      </c>
      <c r="P3298" s="266">
        <v>0.1</v>
      </c>
      <c r="Q3298" s="265">
        <v>5572.77</v>
      </c>
      <c r="R3298" s="261" t="s">
        <v>285</v>
      </c>
      <c r="S3298" s="267" t="s">
        <v>275</v>
      </c>
      <c r="T3298" s="267">
        <v>21</v>
      </c>
      <c r="U3298" s="268" t="s">
        <v>164</v>
      </c>
      <c r="V3298" s="427"/>
      <c r="X3298" s="265">
        <v>5572.77</v>
      </c>
      <c r="Y3298" s="265"/>
      <c r="AG3298" s="261">
        <f>X3298</f>
        <v>5572.77</v>
      </c>
      <c r="AJ3298" s="642"/>
    </row>
    <row r="3299" spans="1:77" s="291" customFormat="1" ht="11.25" customHeight="1">
      <c r="B3299" s="291" t="s">
        <v>291</v>
      </c>
      <c r="C3299" s="292">
        <v>44736</v>
      </c>
      <c r="D3299" s="292">
        <v>44736</v>
      </c>
      <c r="E3299" s="293" t="s">
        <v>2493</v>
      </c>
      <c r="F3299" s="291" t="s">
        <v>2494</v>
      </c>
      <c r="G3299" s="294" t="s">
        <v>2495</v>
      </c>
      <c r="H3299" s="291" t="s">
        <v>295</v>
      </c>
      <c r="I3299" s="295" t="s">
        <v>888</v>
      </c>
      <c r="J3299" s="296">
        <v>10252.799999999999</v>
      </c>
      <c r="K3299" s="295"/>
      <c r="L3299" s="296">
        <v>14.24</v>
      </c>
      <c r="M3299" s="296">
        <v>14.24</v>
      </c>
      <c r="N3299" s="297"/>
      <c r="O3299" s="298">
        <v>0.25</v>
      </c>
      <c r="P3299" s="298"/>
      <c r="Q3299" s="297">
        <v>0</v>
      </c>
      <c r="R3299" s="291" t="s">
        <v>285</v>
      </c>
      <c r="S3299" s="299" t="s">
        <v>275</v>
      </c>
      <c r="T3299" s="299">
        <v>21</v>
      </c>
      <c r="U3299" s="300" t="s">
        <v>164</v>
      </c>
      <c r="V3299" s="333"/>
      <c r="X3299" s="297">
        <v>0</v>
      </c>
      <c r="Y3299" s="297"/>
      <c r="AH3299" s="291">
        <f t="shared" ref="AH3299:AH3305" si="40">X3299</f>
        <v>0</v>
      </c>
      <c r="AI3299" s="311"/>
      <c r="AJ3299" s="468"/>
    </row>
    <row r="3300" spans="1:77" s="291" customFormat="1" ht="11.25" customHeight="1">
      <c r="B3300" s="291" t="s">
        <v>291</v>
      </c>
      <c r="C3300" s="292"/>
      <c r="D3300" s="292"/>
      <c r="E3300" s="293" t="s">
        <v>2493</v>
      </c>
      <c r="F3300" s="291" t="s">
        <v>2494</v>
      </c>
      <c r="G3300" s="294" t="s">
        <v>2495</v>
      </c>
      <c r="H3300" s="291" t="s">
        <v>99</v>
      </c>
      <c r="I3300" s="295" t="s">
        <v>888</v>
      </c>
      <c r="J3300" s="296">
        <v>74780.350000000006</v>
      </c>
      <c r="K3300" s="295"/>
      <c r="L3300" s="296">
        <v>68.33</v>
      </c>
      <c r="M3300" s="296">
        <v>68.33</v>
      </c>
      <c r="N3300" s="297"/>
      <c r="O3300" s="298">
        <v>0.25</v>
      </c>
      <c r="P3300" s="298"/>
      <c r="Q3300" s="297">
        <v>0</v>
      </c>
      <c r="R3300" s="291" t="s">
        <v>285</v>
      </c>
      <c r="S3300" s="299" t="s">
        <v>275</v>
      </c>
      <c r="T3300" s="299">
        <v>21</v>
      </c>
      <c r="U3300" s="300" t="s">
        <v>164</v>
      </c>
      <c r="V3300" s="333"/>
      <c r="X3300" s="297">
        <v>0</v>
      </c>
      <c r="Y3300" s="297"/>
      <c r="AH3300" s="291">
        <f t="shared" si="40"/>
        <v>0</v>
      </c>
      <c r="AI3300" s="311"/>
      <c r="AJ3300" s="468"/>
    </row>
    <row r="3301" spans="1:77" s="291" customFormat="1" ht="11.25" customHeight="1">
      <c r="B3301" s="291" t="s">
        <v>291</v>
      </c>
      <c r="C3301" s="292"/>
      <c r="D3301" s="292"/>
      <c r="E3301" s="293" t="s">
        <v>2493</v>
      </c>
      <c r="F3301" s="291" t="s">
        <v>2494</v>
      </c>
      <c r="G3301" s="294" t="s">
        <v>2495</v>
      </c>
      <c r="H3301" s="291" t="s">
        <v>27</v>
      </c>
      <c r="I3301" s="295" t="s">
        <v>888</v>
      </c>
      <c r="J3301" s="296">
        <v>25524.14</v>
      </c>
      <c r="K3301" s="295"/>
      <c r="L3301" s="296">
        <v>18.97</v>
      </c>
      <c r="M3301" s="296">
        <v>18.97</v>
      </c>
      <c r="N3301" s="297"/>
      <c r="O3301" s="298">
        <v>0.25</v>
      </c>
      <c r="P3301" s="298"/>
      <c r="Q3301" s="297">
        <v>0</v>
      </c>
      <c r="R3301" s="291" t="s">
        <v>285</v>
      </c>
      <c r="S3301" s="299" t="s">
        <v>275</v>
      </c>
      <c r="T3301" s="299">
        <v>21</v>
      </c>
      <c r="U3301" s="300" t="s">
        <v>164</v>
      </c>
      <c r="V3301" s="333"/>
      <c r="X3301" s="297">
        <v>0</v>
      </c>
      <c r="Y3301" s="297"/>
      <c r="AH3301" s="291">
        <f t="shared" si="40"/>
        <v>0</v>
      </c>
      <c r="AI3301" s="311"/>
      <c r="AJ3301" s="468"/>
    </row>
    <row r="3302" spans="1:77" s="291" customFormat="1" ht="11.25" customHeight="1">
      <c r="B3302" s="310" t="s">
        <v>291</v>
      </c>
      <c r="C3302" s="292"/>
      <c r="D3302" s="292"/>
      <c r="E3302" s="293" t="s">
        <v>2493</v>
      </c>
      <c r="F3302" s="291" t="s">
        <v>2494</v>
      </c>
      <c r="G3302" s="294" t="s">
        <v>2495</v>
      </c>
      <c r="H3302" s="291" t="s">
        <v>442</v>
      </c>
      <c r="I3302" s="295" t="s">
        <v>888</v>
      </c>
      <c r="J3302" s="296">
        <v>6005.25</v>
      </c>
      <c r="K3302" s="295"/>
      <c r="L3302" s="296">
        <v>8.5</v>
      </c>
      <c r="M3302" s="296">
        <v>8.5</v>
      </c>
      <c r="N3302" s="297"/>
      <c r="O3302" s="298">
        <v>0.25</v>
      </c>
      <c r="P3302" s="298"/>
      <c r="Q3302" s="297">
        <v>0</v>
      </c>
      <c r="R3302" s="291" t="s">
        <v>285</v>
      </c>
      <c r="S3302" s="299" t="s">
        <v>275</v>
      </c>
      <c r="T3302" s="299">
        <v>21</v>
      </c>
      <c r="U3302" s="300" t="s">
        <v>164</v>
      </c>
      <c r="V3302" s="333"/>
      <c r="X3302" s="297">
        <v>0</v>
      </c>
      <c r="Y3302" s="297"/>
      <c r="AH3302" s="291">
        <f t="shared" si="40"/>
        <v>0</v>
      </c>
      <c r="AI3302" s="311"/>
      <c r="AJ3302" s="468"/>
    </row>
    <row r="3303" spans="1:77" s="291" customFormat="1" ht="11.25" customHeight="1">
      <c r="B3303" s="291" t="s">
        <v>291</v>
      </c>
      <c r="C3303" s="292"/>
      <c r="D3303" s="292"/>
      <c r="E3303" s="293" t="s">
        <v>2493</v>
      </c>
      <c r="F3303" s="291" t="s">
        <v>2494</v>
      </c>
      <c r="G3303" s="294" t="s">
        <v>2495</v>
      </c>
      <c r="H3303" s="291" t="s">
        <v>137</v>
      </c>
      <c r="I3303" s="295" t="s">
        <v>888</v>
      </c>
      <c r="J3303" s="296">
        <v>4312.3</v>
      </c>
      <c r="K3303" s="295"/>
      <c r="L3303" s="296">
        <v>4.3899999999999997</v>
      </c>
      <c r="M3303" s="296">
        <v>4.3899999999999997</v>
      </c>
      <c r="N3303" s="297"/>
      <c r="O3303" s="298">
        <v>0.25</v>
      </c>
      <c r="P3303" s="298"/>
      <c r="Q3303" s="297">
        <v>0</v>
      </c>
      <c r="R3303" s="291" t="s">
        <v>285</v>
      </c>
      <c r="S3303" s="299" t="s">
        <v>275</v>
      </c>
      <c r="T3303" s="299">
        <v>21</v>
      </c>
      <c r="U3303" s="300" t="s">
        <v>164</v>
      </c>
      <c r="V3303" s="333"/>
      <c r="X3303" s="297">
        <v>0</v>
      </c>
      <c r="Y3303" s="297"/>
      <c r="AH3303" s="291">
        <f t="shared" si="40"/>
        <v>0</v>
      </c>
      <c r="AI3303" s="311"/>
      <c r="AJ3303" s="468"/>
    </row>
    <row r="3304" spans="1:77" s="291" customFormat="1" ht="11.25" customHeight="1">
      <c r="B3304" s="291" t="s">
        <v>291</v>
      </c>
      <c r="C3304" s="292"/>
      <c r="D3304" s="292"/>
      <c r="E3304" s="293" t="s">
        <v>2493</v>
      </c>
      <c r="F3304" s="291" t="s">
        <v>2494</v>
      </c>
      <c r="G3304" s="294" t="s">
        <v>2495</v>
      </c>
      <c r="H3304" s="291" t="s">
        <v>183</v>
      </c>
      <c r="I3304" s="295" t="s">
        <v>888</v>
      </c>
      <c r="J3304" s="296">
        <v>40884.1</v>
      </c>
      <c r="K3304" s="295"/>
      <c r="L3304" s="296">
        <v>41.57</v>
      </c>
      <c r="M3304" s="296">
        <v>41.57</v>
      </c>
      <c r="N3304" s="297"/>
      <c r="O3304" s="298">
        <v>0.25</v>
      </c>
      <c r="P3304" s="298"/>
      <c r="Q3304" s="297">
        <v>0</v>
      </c>
      <c r="R3304" s="291" t="s">
        <v>285</v>
      </c>
      <c r="S3304" s="299" t="s">
        <v>275</v>
      </c>
      <c r="T3304" s="299">
        <v>21</v>
      </c>
      <c r="U3304" s="300" t="s">
        <v>164</v>
      </c>
      <c r="V3304" s="333"/>
      <c r="X3304" s="297">
        <v>0</v>
      </c>
      <c r="Y3304" s="297"/>
      <c r="AH3304" s="291">
        <f t="shared" si="40"/>
        <v>0</v>
      </c>
      <c r="AI3304" s="311"/>
      <c r="AJ3304" s="468"/>
    </row>
    <row r="3305" spans="1:77" s="291" customFormat="1" ht="11.25" customHeight="1">
      <c r="B3305" s="291" t="s">
        <v>291</v>
      </c>
      <c r="C3305" s="292"/>
      <c r="D3305" s="292"/>
      <c r="E3305" s="293" t="s">
        <v>2493</v>
      </c>
      <c r="F3305" s="291" t="s">
        <v>2494</v>
      </c>
      <c r="G3305" s="294" t="s">
        <v>2495</v>
      </c>
      <c r="H3305" s="291" t="s">
        <v>163</v>
      </c>
      <c r="I3305" s="295" t="s">
        <v>888</v>
      </c>
      <c r="J3305" s="296">
        <v>9573.4500000000007</v>
      </c>
      <c r="K3305" s="295"/>
      <c r="L3305" s="296">
        <v>14.26</v>
      </c>
      <c r="M3305" s="296">
        <v>14.26</v>
      </c>
      <c r="N3305" s="297"/>
      <c r="O3305" s="298">
        <v>0.25</v>
      </c>
      <c r="P3305" s="298"/>
      <c r="Q3305" s="297">
        <v>0</v>
      </c>
      <c r="R3305" s="291" t="s">
        <v>285</v>
      </c>
      <c r="S3305" s="299" t="s">
        <v>275</v>
      </c>
      <c r="T3305" s="299">
        <v>21</v>
      </c>
      <c r="U3305" s="300" t="s">
        <v>164</v>
      </c>
      <c r="V3305" s="333"/>
      <c r="X3305" s="297">
        <v>0</v>
      </c>
      <c r="Y3305" s="297"/>
      <c r="AH3305" s="291">
        <f t="shared" si="40"/>
        <v>0</v>
      </c>
      <c r="AI3305" s="311"/>
      <c r="AJ3305" s="468"/>
    </row>
    <row r="3306" spans="1:77" s="6" customFormat="1" ht="11.25" customHeight="1">
      <c r="A3306" s="473"/>
      <c r="B3306" s="486" t="s">
        <v>291</v>
      </c>
      <c r="C3306" s="487">
        <v>44735</v>
      </c>
      <c r="D3306" s="487">
        <v>44736</v>
      </c>
      <c r="E3306" s="488" t="s">
        <v>2496</v>
      </c>
      <c r="F3306" s="473" t="s">
        <v>2392</v>
      </c>
      <c r="G3306" s="489">
        <v>4316</v>
      </c>
      <c r="H3306" s="473" t="s">
        <v>99</v>
      </c>
      <c r="I3306" s="491" t="s">
        <v>156</v>
      </c>
      <c r="J3306" s="490">
        <v>35669.32</v>
      </c>
      <c r="K3306" s="491"/>
      <c r="L3306" s="490">
        <v>31.51</v>
      </c>
      <c r="M3306" s="490">
        <v>31.51</v>
      </c>
      <c r="N3306" s="492"/>
      <c r="O3306" s="493">
        <v>0.2</v>
      </c>
      <c r="P3306" s="493">
        <v>0.1</v>
      </c>
      <c r="Q3306" s="492">
        <v>12731.46</v>
      </c>
      <c r="R3306" s="473" t="s">
        <v>73</v>
      </c>
      <c r="S3306" s="481" t="s">
        <v>74</v>
      </c>
      <c r="T3306" s="481">
        <v>31</v>
      </c>
      <c r="U3306" s="494" t="s">
        <v>164</v>
      </c>
      <c r="V3306" s="495"/>
      <c r="W3306" s="473"/>
      <c r="X3306" s="492">
        <v>12731.46</v>
      </c>
      <c r="Y3306" s="492"/>
      <c r="Z3306" s="473"/>
      <c r="AA3306" s="473"/>
      <c r="AB3306" s="473"/>
      <c r="AC3306" s="473"/>
      <c r="AD3306" s="473"/>
      <c r="AE3306" s="473"/>
      <c r="AF3306" s="473"/>
      <c r="AG3306" s="473"/>
      <c r="AH3306" s="473"/>
      <c r="AI3306" s="473"/>
      <c r="AJ3306" s="485"/>
      <c r="AK3306" s="505">
        <v>12731.46</v>
      </c>
      <c r="AL3306" s="473"/>
      <c r="AM3306" s="473"/>
      <c r="AN3306" s="473"/>
      <c r="AO3306" s="473"/>
      <c r="AP3306" s="473"/>
      <c r="AQ3306" s="473"/>
      <c r="AR3306" s="473"/>
      <c r="AS3306" s="473"/>
      <c r="AT3306" s="473"/>
      <c r="AU3306" s="473"/>
      <c r="AV3306" s="473"/>
      <c r="AW3306" s="473"/>
      <c r="AX3306" s="473"/>
      <c r="AY3306" s="473"/>
      <c r="AZ3306" s="473"/>
      <c r="BA3306" s="473"/>
      <c r="BB3306" s="473"/>
      <c r="BC3306" s="473"/>
      <c r="BD3306" s="473"/>
      <c r="BE3306" s="473"/>
      <c r="BF3306" s="473"/>
      <c r="BG3306" s="473"/>
      <c r="BH3306" s="473"/>
      <c r="BI3306" s="473"/>
      <c r="BJ3306" s="473"/>
      <c r="BK3306" s="473"/>
      <c r="BL3306" s="473"/>
      <c r="BM3306" s="473"/>
      <c r="BN3306" s="473"/>
      <c r="BO3306" s="473"/>
      <c r="BP3306" s="473"/>
      <c r="BQ3306" s="473"/>
      <c r="BR3306" s="473"/>
      <c r="BS3306" s="473"/>
      <c r="BT3306" s="473"/>
      <c r="BU3306" s="473"/>
      <c r="BV3306" s="473"/>
      <c r="BW3306" s="473"/>
      <c r="BX3306" s="473"/>
      <c r="BY3306" s="473"/>
    </row>
    <row r="3307" spans="1:77" s="473" customFormat="1" ht="11.25" customHeight="1">
      <c r="A3307" s="379"/>
      <c r="B3307" s="380" t="s">
        <v>291</v>
      </c>
      <c r="C3307" s="381"/>
      <c r="D3307" s="381"/>
      <c r="E3307" s="382" t="s">
        <v>2496</v>
      </c>
      <c r="F3307" s="379" t="s">
        <v>2392</v>
      </c>
      <c r="G3307" s="383">
        <v>4316</v>
      </c>
      <c r="H3307" s="379" t="s">
        <v>765</v>
      </c>
      <c r="I3307" s="384" t="s">
        <v>156</v>
      </c>
      <c r="J3307" s="385">
        <v>36520</v>
      </c>
      <c r="K3307" s="384"/>
      <c r="L3307" s="385">
        <v>45.65</v>
      </c>
      <c r="M3307" s="385">
        <v>45.65</v>
      </c>
      <c r="N3307" s="386"/>
      <c r="O3307" s="387">
        <v>0.2</v>
      </c>
      <c r="P3307" s="387">
        <v>0.1</v>
      </c>
      <c r="Q3307" s="386">
        <v>0</v>
      </c>
      <c r="R3307" s="379" t="s">
        <v>73</v>
      </c>
      <c r="S3307" s="388" t="s">
        <v>74</v>
      </c>
      <c r="T3307" s="388">
        <v>31</v>
      </c>
      <c r="U3307" s="389" t="s">
        <v>164</v>
      </c>
      <c r="V3307" s="433"/>
      <c r="W3307" s="379"/>
      <c r="X3307" s="386">
        <v>0</v>
      </c>
      <c r="Y3307" s="386"/>
      <c r="Z3307" s="379"/>
      <c r="AA3307" s="379"/>
      <c r="AB3307" s="379"/>
      <c r="AC3307" s="379"/>
      <c r="AD3307" s="379"/>
      <c r="AE3307" s="379"/>
      <c r="AF3307" s="379"/>
      <c r="AG3307" s="379"/>
      <c r="AH3307" s="379"/>
      <c r="AI3307" s="379"/>
      <c r="AJ3307" s="390">
        <v>0</v>
      </c>
      <c r="AK3307" s="379"/>
      <c r="AL3307" s="379"/>
      <c r="AM3307" s="379"/>
      <c r="AN3307" s="379"/>
      <c r="AO3307" s="379"/>
      <c r="AP3307" s="379"/>
      <c r="AQ3307" s="379"/>
      <c r="AR3307" s="379"/>
      <c r="AS3307" s="379"/>
      <c r="AT3307" s="379"/>
      <c r="AU3307" s="379"/>
      <c r="AV3307" s="379"/>
      <c r="AW3307" s="379"/>
      <c r="AX3307" s="379"/>
      <c r="AY3307" s="379"/>
      <c r="AZ3307" s="379"/>
      <c r="BA3307" s="379"/>
      <c r="BB3307" s="379"/>
      <c r="BC3307" s="379"/>
      <c r="BD3307" s="379"/>
      <c r="BE3307" s="379"/>
      <c r="BF3307" s="379"/>
      <c r="BG3307" s="379"/>
      <c r="BH3307" s="379"/>
      <c r="BI3307" s="379"/>
      <c r="BJ3307" s="379"/>
      <c r="BK3307" s="379"/>
      <c r="BL3307" s="379"/>
      <c r="BM3307" s="379"/>
      <c r="BN3307" s="379"/>
      <c r="BO3307" s="379"/>
      <c r="BP3307" s="379"/>
      <c r="BQ3307" s="379"/>
      <c r="BR3307" s="379"/>
      <c r="BS3307" s="379"/>
      <c r="BT3307" s="379"/>
      <c r="BU3307" s="379"/>
      <c r="BV3307" s="379"/>
      <c r="BW3307" s="379"/>
      <c r="BX3307" s="379"/>
      <c r="BY3307" s="379"/>
    </row>
    <row r="3308" spans="1:77" s="379" customFormat="1" ht="11.25" customHeight="1">
      <c r="B3308" s="380" t="s">
        <v>291</v>
      </c>
      <c r="C3308" s="381">
        <v>44736</v>
      </c>
      <c r="D3308" s="381">
        <v>44736</v>
      </c>
      <c r="E3308" s="382" t="s">
        <v>2498</v>
      </c>
      <c r="F3308" s="379" t="s">
        <v>2499</v>
      </c>
      <c r="G3308" s="383">
        <v>3834</v>
      </c>
      <c r="H3308" s="379" t="s">
        <v>27</v>
      </c>
      <c r="I3308" s="384" t="s">
        <v>1168</v>
      </c>
      <c r="J3308" s="385">
        <v>35579.120000000003</v>
      </c>
      <c r="K3308" s="384"/>
      <c r="L3308" s="385">
        <v>21.17</v>
      </c>
      <c r="M3308" s="385">
        <v>12</v>
      </c>
      <c r="N3308" s="386">
        <v>3272.44</v>
      </c>
      <c r="O3308" s="387">
        <v>0.15</v>
      </c>
      <c r="P3308" s="387">
        <v>0.1</v>
      </c>
      <c r="Q3308" s="386">
        <v>1708.25</v>
      </c>
      <c r="R3308" s="379" t="s">
        <v>29</v>
      </c>
      <c r="S3308" s="388" t="s">
        <v>30</v>
      </c>
      <c r="T3308" s="388">
        <v>70</v>
      </c>
      <c r="U3308" s="389" t="s">
        <v>164</v>
      </c>
      <c r="V3308" s="433"/>
      <c r="X3308" s="386">
        <v>1708.25</v>
      </c>
      <c r="Y3308" s="386"/>
      <c r="AJ3308" s="416">
        <v>1708.25</v>
      </c>
    </row>
    <row r="3309" spans="1:77" s="379" customFormat="1" ht="11.25" customHeight="1">
      <c r="B3309" s="380" t="s">
        <v>291</v>
      </c>
      <c r="C3309" s="381">
        <v>44736</v>
      </c>
      <c r="D3309" s="381">
        <v>44736</v>
      </c>
      <c r="E3309" s="382" t="s">
        <v>2500</v>
      </c>
      <c r="F3309" s="379" t="s">
        <v>1825</v>
      </c>
      <c r="G3309" s="383" t="s">
        <v>1826</v>
      </c>
      <c r="H3309" s="379" t="s">
        <v>1138</v>
      </c>
      <c r="I3309" s="384" t="s">
        <v>33</v>
      </c>
      <c r="J3309" s="385">
        <v>15873</v>
      </c>
      <c r="K3309" s="384"/>
      <c r="L3309" s="385">
        <v>28.6</v>
      </c>
      <c r="M3309" s="385">
        <v>2.85</v>
      </c>
      <c r="N3309" s="386"/>
      <c r="O3309" s="387">
        <v>0.25</v>
      </c>
      <c r="P3309" s="387"/>
      <c r="Q3309" s="386">
        <v>1506.92</v>
      </c>
      <c r="R3309" s="379" t="s">
        <v>146</v>
      </c>
      <c r="S3309" s="388" t="s">
        <v>74</v>
      </c>
      <c r="T3309" s="388">
        <v>31</v>
      </c>
      <c r="U3309" s="389" t="s">
        <v>164</v>
      </c>
      <c r="V3309" s="433"/>
      <c r="X3309" s="386">
        <v>1506.92</v>
      </c>
      <c r="Y3309" s="386"/>
      <c r="AJ3309" s="416">
        <v>1506.92</v>
      </c>
    </row>
    <row r="3310" spans="1:77" s="379" customFormat="1" ht="11.25" customHeight="1">
      <c r="B3310" s="380" t="s">
        <v>291</v>
      </c>
      <c r="C3310" s="381">
        <v>44735</v>
      </c>
      <c r="D3310" s="381">
        <v>44736</v>
      </c>
      <c r="E3310" s="382" t="s">
        <v>2501</v>
      </c>
      <c r="F3310" s="379" t="s">
        <v>724</v>
      </c>
      <c r="G3310" s="383">
        <v>4102</v>
      </c>
      <c r="H3310" s="394" t="s">
        <v>295</v>
      </c>
      <c r="I3310" s="384" t="s">
        <v>156</v>
      </c>
      <c r="J3310" s="385">
        <v>3760.02</v>
      </c>
      <c r="K3310" s="384"/>
      <c r="L3310" s="385">
        <v>5.94</v>
      </c>
      <c r="M3310" s="385">
        <v>5.94</v>
      </c>
      <c r="N3310" s="386"/>
      <c r="O3310" s="387">
        <v>0.2</v>
      </c>
      <c r="P3310" s="387">
        <v>0.1</v>
      </c>
      <c r="Q3310" s="386">
        <v>693.2</v>
      </c>
      <c r="R3310" s="379" t="s">
        <v>146</v>
      </c>
      <c r="S3310" s="388" t="s">
        <v>74</v>
      </c>
      <c r="T3310" s="388">
        <v>31</v>
      </c>
      <c r="U3310" s="389" t="s">
        <v>164</v>
      </c>
      <c r="V3310" s="433"/>
      <c r="X3310" s="386">
        <v>693.2</v>
      </c>
      <c r="Y3310" s="386"/>
      <c r="AJ3310" s="416">
        <v>693.2</v>
      </c>
    </row>
    <row r="3311" spans="1:77" s="379" customFormat="1" ht="11.25" customHeight="1">
      <c r="B3311" s="380" t="s">
        <v>291</v>
      </c>
      <c r="C3311" s="381"/>
      <c r="D3311" s="381"/>
      <c r="E3311" s="382" t="s">
        <v>2501</v>
      </c>
      <c r="F3311" s="379" t="s">
        <v>724</v>
      </c>
      <c r="G3311" s="383">
        <v>4102</v>
      </c>
      <c r="H3311" s="394" t="s">
        <v>99</v>
      </c>
      <c r="I3311" s="384" t="s">
        <v>156</v>
      </c>
      <c r="J3311" s="385">
        <v>72303.62</v>
      </c>
      <c r="K3311" s="384"/>
      <c r="L3311" s="385">
        <v>58.86</v>
      </c>
      <c r="M3311" s="385">
        <v>36.43</v>
      </c>
      <c r="N3311" s="386"/>
      <c r="O3311" s="387">
        <v>0.2</v>
      </c>
      <c r="P3311" s="387">
        <v>0.1</v>
      </c>
      <c r="Q3311" s="386">
        <v>16595.919999999998</v>
      </c>
      <c r="R3311" s="379" t="s">
        <v>146</v>
      </c>
      <c r="S3311" s="388" t="s">
        <v>74</v>
      </c>
      <c r="T3311" s="388">
        <v>31</v>
      </c>
      <c r="U3311" s="389" t="s">
        <v>164</v>
      </c>
      <c r="V3311" s="433"/>
      <c r="X3311" s="386">
        <v>16595.919999999998</v>
      </c>
      <c r="Y3311" s="386"/>
      <c r="AJ3311" s="416">
        <v>16595.919999999998</v>
      </c>
    </row>
    <row r="3312" spans="1:77" s="379" customFormat="1" ht="11.25" customHeight="1">
      <c r="B3312" s="380" t="s">
        <v>291</v>
      </c>
      <c r="C3312" s="381"/>
      <c r="D3312" s="381"/>
      <c r="E3312" s="382" t="s">
        <v>2501</v>
      </c>
      <c r="F3312" s="379" t="s">
        <v>724</v>
      </c>
      <c r="G3312" s="383">
        <v>4102</v>
      </c>
      <c r="H3312" s="379" t="s">
        <v>765</v>
      </c>
      <c r="I3312" s="384" t="s">
        <v>156</v>
      </c>
      <c r="J3312" s="385">
        <v>64085.36</v>
      </c>
      <c r="K3312" s="384"/>
      <c r="L3312" s="385">
        <v>74.069999999999993</v>
      </c>
      <c r="M3312" s="385">
        <v>74.069999999999993</v>
      </c>
      <c r="N3312" s="386"/>
      <c r="O3312" s="387">
        <v>0.2</v>
      </c>
      <c r="P3312" s="387">
        <v>0.1</v>
      </c>
      <c r="Q3312" s="386">
        <v>4702.22</v>
      </c>
      <c r="R3312" s="379" t="s">
        <v>146</v>
      </c>
      <c r="S3312" s="388" t="s">
        <v>74</v>
      </c>
      <c r="T3312" s="388">
        <v>31</v>
      </c>
      <c r="U3312" s="389" t="s">
        <v>164</v>
      </c>
      <c r="V3312" s="433"/>
      <c r="X3312" s="386">
        <v>4702.22</v>
      </c>
      <c r="Y3312" s="386"/>
      <c r="AJ3312" s="416">
        <v>4702.22</v>
      </c>
    </row>
    <row r="3313" spans="1:77" s="379" customFormat="1" ht="11.25" customHeight="1">
      <c r="B3313" s="380" t="s">
        <v>291</v>
      </c>
      <c r="C3313" s="381">
        <v>44735</v>
      </c>
      <c r="D3313" s="381">
        <v>44736</v>
      </c>
      <c r="E3313" s="382" t="s">
        <v>2502</v>
      </c>
      <c r="F3313" s="379" t="s">
        <v>1835</v>
      </c>
      <c r="G3313" s="383" t="s">
        <v>1836</v>
      </c>
      <c r="H3313" s="379" t="s">
        <v>866</v>
      </c>
      <c r="I3313" s="384" t="s">
        <v>156</v>
      </c>
      <c r="J3313" s="385">
        <v>14843.14</v>
      </c>
      <c r="K3313" s="384"/>
      <c r="L3313" s="385">
        <v>14.08</v>
      </c>
      <c r="M3313" s="385">
        <v>14.08</v>
      </c>
      <c r="N3313" s="386"/>
      <c r="O3313" s="387">
        <v>0.15</v>
      </c>
      <c r="P3313" s="387">
        <v>0.1</v>
      </c>
      <c r="Q3313" s="386">
        <v>5986.27</v>
      </c>
      <c r="R3313" s="379" t="s">
        <v>73</v>
      </c>
      <c r="S3313" s="388" t="s">
        <v>74</v>
      </c>
      <c r="T3313" s="388">
        <v>31</v>
      </c>
      <c r="U3313" s="389" t="s">
        <v>164</v>
      </c>
      <c r="V3313" s="433"/>
      <c r="X3313" s="386">
        <v>5986.27</v>
      </c>
      <c r="Y3313" s="386"/>
      <c r="AJ3313" s="416">
        <v>5986.27</v>
      </c>
    </row>
    <row r="3314" spans="1:77" s="379" customFormat="1" ht="11.25" customHeight="1">
      <c r="B3314" s="380" t="s">
        <v>291</v>
      </c>
      <c r="C3314" s="381"/>
      <c r="D3314" s="381"/>
      <c r="E3314" s="382" t="s">
        <v>2502</v>
      </c>
      <c r="F3314" s="379" t="s">
        <v>1835</v>
      </c>
      <c r="G3314" s="383" t="s">
        <v>1836</v>
      </c>
      <c r="H3314" s="379" t="s">
        <v>1141</v>
      </c>
      <c r="I3314" s="384" t="s">
        <v>156</v>
      </c>
      <c r="J3314" s="385">
        <v>14926.46</v>
      </c>
      <c r="K3314" s="384"/>
      <c r="L3314" s="385">
        <v>18.43</v>
      </c>
      <c r="M3314" s="385">
        <v>18.43</v>
      </c>
      <c r="N3314" s="386"/>
      <c r="O3314" s="387">
        <v>0.15</v>
      </c>
      <c r="P3314" s="387">
        <v>0.1</v>
      </c>
      <c r="Q3314" s="386">
        <v>4663.8900000000003</v>
      </c>
      <c r="R3314" s="379" t="s">
        <v>73</v>
      </c>
      <c r="S3314" s="388" t="s">
        <v>74</v>
      </c>
      <c r="T3314" s="388">
        <v>31</v>
      </c>
      <c r="U3314" s="389" t="s">
        <v>164</v>
      </c>
      <c r="V3314" s="433"/>
      <c r="X3314" s="386">
        <v>4663.8900000000003</v>
      </c>
      <c r="Y3314" s="386"/>
      <c r="AJ3314" s="416">
        <v>4663.8900000000003</v>
      </c>
    </row>
    <row r="3315" spans="1:77" s="379" customFormat="1" ht="11.25" customHeight="1">
      <c r="B3315" s="380" t="s">
        <v>291</v>
      </c>
      <c r="C3315" s="381"/>
      <c r="D3315" s="381"/>
      <c r="E3315" s="382" t="s">
        <v>2502</v>
      </c>
      <c r="F3315" s="379" t="s">
        <v>1835</v>
      </c>
      <c r="G3315" s="383" t="s">
        <v>1836</v>
      </c>
      <c r="H3315" s="379" t="s">
        <v>765</v>
      </c>
      <c r="I3315" s="384" t="s">
        <v>156</v>
      </c>
      <c r="J3315" s="385">
        <v>36216.18</v>
      </c>
      <c r="K3315" s="384"/>
      <c r="L3315" s="385">
        <v>42.21</v>
      </c>
      <c r="M3315" s="385">
        <v>42.21</v>
      </c>
      <c r="N3315" s="386"/>
      <c r="O3315" s="387">
        <v>0.15</v>
      </c>
      <c r="P3315" s="387">
        <v>0.1</v>
      </c>
      <c r="Q3315" s="386">
        <v>7729.29</v>
      </c>
      <c r="R3315" s="379" t="s">
        <v>73</v>
      </c>
      <c r="S3315" s="388" t="s">
        <v>74</v>
      </c>
      <c r="T3315" s="388">
        <v>31</v>
      </c>
      <c r="U3315" s="389" t="s">
        <v>164</v>
      </c>
      <c r="V3315" s="433"/>
      <c r="X3315" s="386">
        <v>7729.29</v>
      </c>
      <c r="Y3315" s="386"/>
      <c r="AJ3315" s="416">
        <v>7729.29</v>
      </c>
    </row>
    <row r="3316" spans="1:77" s="291" customFormat="1" ht="11.25" customHeight="1">
      <c r="A3316" s="473"/>
      <c r="B3316" s="486" t="s">
        <v>291</v>
      </c>
      <c r="C3316" s="487"/>
      <c r="D3316" s="487"/>
      <c r="E3316" s="488" t="s">
        <v>2503</v>
      </c>
      <c r="F3316" s="473" t="s">
        <v>2504</v>
      </c>
      <c r="G3316" s="489">
        <v>4414</v>
      </c>
      <c r="H3316" s="473" t="s">
        <v>27</v>
      </c>
      <c r="I3316" s="491" t="s">
        <v>156</v>
      </c>
      <c r="J3316" s="490">
        <v>24772.5</v>
      </c>
      <c r="K3316" s="491"/>
      <c r="L3316" s="490">
        <v>13.5</v>
      </c>
      <c r="M3316" s="490">
        <v>13.5</v>
      </c>
      <c r="N3316" s="492">
        <f>J3316</f>
        <v>24772.5</v>
      </c>
      <c r="O3316" s="493">
        <v>0.15</v>
      </c>
      <c r="P3316" s="493">
        <v>0.1</v>
      </c>
      <c r="Q3316" s="492">
        <v>15612.75</v>
      </c>
      <c r="R3316" s="473" t="s">
        <v>112</v>
      </c>
      <c r="S3316" s="481" t="s">
        <v>74</v>
      </c>
      <c r="T3316" s="481">
        <v>65</v>
      </c>
      <c r="U3316" s="494" t="s">
        <v>164</v>
      </c>
      <c r="V3316" s="495"/>
      <c r="W3316" s="473"/>
      <c r="X3316" s="492">
        <v>15612.75</v>
      </c>
      <c r="Y3316" s="492"/>
      <c r="Z3316" s="473"/>
      <c r="AA3316" s="473"/>
      <c r="AB3316" s="473"/>
      <c r="AC3316" s="473"/>
      <c r="AD3316" s="473"/>
      <c r="AE3316" s="473"/>
      <c r="AF3316" s="473"/>
      <c r="AG3316" s="473"/>
      <c r="AH3316" s="492"/>
      <c r="AI3316" s="473"/>
      <c r="AJ3316" s="485"/>
      <c r="AK3316" s="505">
        <v>15612.75</v>
      </c>
      <c r="AL3316" s="473"/>
      <c r="AM3316" s="473"/>
      <c r="AN3316" s="473"/>
      <c r="AO3316" s="473"/>
      <c r="AP3316" s="473"/>
      <c r="AQ3316" s="473"/>
      <c r="AR3316" s="473"/>
      <c r="AS3316" s="473"/>
      <c r="AT3316" s="473"/>
      <c r="AU3316" s="473"/>
      <c r="AV3316" s="473"/>
      <c r="AW3316" s="473"/>
      <c r="AX3316" s="473"/>
      <c r="AY3316" s="473"/>
      <c r="AZ3316" s="473"/>
      <c r="BA3316" s="473"/>
      <c r="BB3316" s="473"/>
      <c r="BC3316" s="473"/>
      <c r="BD3316" s="473"/>
      <c r="BE3316" s="473"/>
      <c r="BF3316" s="473"/>
      <c r="BG3316" s="473"/>
      <c r="BH3316" s="473"/>
      <c r="BI3316" s="473"/>
      <c r="BJ3316" s="473"/>
      <c r="BK3316" s="473"/>
      <c r="BL3316" s="473"/>
      <c r="BM3316" s="473"/>
      <c r="BN3316" s="473"/>
      <c r="BO3316" s="473"/>
      <c r="BP3316" s="473"/>
      <c r="BQ3316" s="473"/>
      <c r="BR3316" s="473"/>
      <c r="BS3316" s="473"/>
      <c r="BT3316" s="473"/>
      <c r="BU3316" s="473"/>
      <c r="BV3316" s="473"/>
      <c r="BW3316" s="473"/>
      <c r="BX3316" s="473"/>
      <c r="BY3316" s="473"/>
    </row>
    <row r="3317" spans="1:77" s="291" customFormat="1" ht="11.25" customHeight="1">
      <c r="B3317" s="310" t="s">
        <v>291</v>
      </c>
      <c r="C3317" s="292">
        <v>44735</v>
      </c>
      <c r="D3317" s="292">
        <v>44736</v>
      </c>
      <c r="E3317" s="293" t="s">
        <v>2503</v>
      </c>
      <c r="F3317" s="291" t="s">
        <v>2504</v>
      </c>
      <c r="G3317" s="294">
        <v>4414</v>
      </c>
      <c r="H3317" s="291" t="s">
        <v>433</v>
      </c>
      <c r="I3317" s="295" t="s">
        <v>156</v>
      </c>
      <c r="J3317" s="296">
        <v>7200</v>
      </c>
      <c r="K3317" s="295"/>
      <c r="L3317" s="296">
        <v>9</v>
      </c>
      <c r="M3317" s="296">
        <v>9</v>
      </c>
      <c r="N3317" s="297">
        <f>3060+2160</f>
        <v>5220</v>
      </c>
      <c r="O3317" s="298">
        <v>0.15</v>
      </c>
      <c r="P3317" s="298">
        <v>0.1</v>
      </c>
      <c r="Q3317" s="297">
        <v>2779.2</v>
      </c>
      <c r="R3317" s="291" t="s">
        <v>112</v>
      </c>
      <c r="S3317" s="299" t="s">
        <v>74</v>
      </c>
      <c r="T3317" s="299">
        <v>65</v>
      </c>
      <c r="U3317" s="300" t="s">
        <v>164</v>
      </c>
      <c r="V3317" s="333"/>
      <c r="X3317" s="297">
        <v>2779.2</v>
      </c>
      <c r="Y3317" s="297"/>
      <c r="AH3317" s="297">
        <f>X3317</f>
        <v>2779.2</v>
      </c>
      <c r="AI3317" s="311"/>
      <c r="AJ3317" s="468"/>
    </row>
    <row r="3318" spans="1:77" s="291" customFormat="1" ht="11.25" customHeight="1">
      <c r="B3318" s="310" t="s">
        <v>291</v>
      </c>
      <c r="C3318" s="292"/>
      <c r="D3318" s="292"/>
      <c r="E3318" s="293" t="s">
        <v>2503</v>
      </c>
      <c r="F3318" s="291" t="s">
        <v>2504</v>
      </c>
      <c r="G3318" s="294">
        <v>4414</v>
      </c>
      <c r="H3318" s="291" t="s">
        <v>910</v>
      </c>
      <c r="I3318" s="295" t="s">
        <v>156</v>
      </c>
      <c r="J3318" s="296">
        <v>81360</v>
      </c>
      <c r="K3318" s="295"/>
      <c r="L3318" s="296">
        <v>40</v>
      </c>
      <c r="M3318" s="296">
        <v>40</v>
      </c>
      <c r="N3318" s="297">
        <f>55935+18306</f>
        <v>74241</v>
      </c>
      <c r="O3318" s="298">
        <v>0.15</v>
      </c>
      <c r="P3318" s="298">
        <v>0.1</v>
      </c>
      <c r="Q3318" s="297">
        <v>58447.5</v>
      </c>
      <c r="R3318" s="291" t="s">
        <v>112</v>
      </c>
      <c r="S3318" s="299" t="s">
        <v>74</v>
      </c>
      <c r="T3318" s="299">
        <v>65</v>
      </c>
      <c r="U3318" s="300" t="s">
        <v>164</v>
      </c>
      <c r="V3318" s="333"/>
      <c r="X3318" s="297">
        <v>58447.5</v>
      </c>
      <c r="Y3318" s="297"/>
      <c r="AH3318" s="297">
        <f>X3318</f>
        <v>58447.5</v>
      </c>
      <c r="AI3318" s="311"/>
      <c r="AJ3318" s="468"/>
    </row>
    <row r="3319" spans="1:77" s="291" customFormat="1" ht="11.25" customHeight="1">
      <c r="B3319" s="310" t="s">
        <v>291</v>
      </c>
      <c r="C3319" s="292"/>
      <c r="D3319" s="292"/>
      <c r="E3319" s="293" t="s">
        <v>2503</v>
      </c>
      <c r="F3319" s="291" t="s">
        <v>2504</v>
      </c>
      <c r="G3319" s="294">
        <v>4414</v>
      </c>
      <c r="H3319" s="291" t="s">
        <v>814</v>
      </c>
      <c r="I3319" s="295" t="s">
        <v>156</v>
      </c>
      <c r="J3319" s="296">
        <v>35672</v>
      </c>
      <c r="K3319" s="295"/>
      <c r="L3319" s="296">
        <v>26</v>
      </c>
      <c r="M3319" s="296">
        <v>26</v>
      </c>
      <c r="N3319" s="297">
        <v>25120.799999999999</v>
      </c>
      <c r="O3319" s="298">
        <v>0.15</v>
      </c>
      <c r="P3319" s="298">
        <v>0.1</v>
      </c>
      <c r="Q3319" s="297">
        <v>25120.799999999999</v>
      </c>
      <c r="R3319" s="291" t="s">
        <v>112</v>
      </c>
      <c r="S3319" s="299" t="s">
        <v>74</v>
      </c>
      <c r="T3319" s="299">
        <v>65</v>
      </c>
      <c r="U3319" s="300" t="s">
        <v>164</v>
      </c>
      <c r="V3319" s="333"/>
      <c r="X3319" s="297">
        <v>25120.799999999999</v>
      </c>
      <c r="Y3319" s="297"/>
      <c r="AH3319" s="297">
        <f>X3319</f>
        <v>25120.799999999999</v>
      </c>
      <c r="AI3319" s="311"/>
      <c r="AJ3319" s="468"/>
    </row>
    <row r="3320" spans="1:77" s="291" customFormat="1" ht="11.25" customHeight="1">
      <c r="B3320" s="310" t="s">
        <v>291</v>
      </c>
      <c r="C3320" s="292"/>
      <c r="D3320" s="292"/>
      <c r="E3320" s="293" t="s">
        <v>2503</v>
      </c>
      <c r="F3320" s="291" t="s">
        <v>2504</v>
      </c>
      <c r="G3320" s="294">
        <v>4414</v>
      </c>
      <c r="H3320" s="291" t="s">
        <v>99</v>
      </c>
      <c r="I3320" s="295" t="s">
        <v>156</v>
      </c>
      <c r="J3320" s="296">
        <v>10741</v>
      </c>
      <c r="K3320" s="295"/>
      <c r="L3320" s="296">
        <v>11.5</v>
      </c>
      <c r="M3320" s="296">
        <v>11.5</v>
      </c>
      <c r="N3320" s="297">
        <f>6981.65</f>
        <v>6981.65</v>
      </c>
      <c r="O3320" s="298">
        <v>0.15</v>
      </c>
      <c r="P3320" s="298">
        <v>0.1</v>
      </c>
      <c r="Q3320" s="297">
        <v>2122.9</v>
      </c>
      <c r="R3320" s="291" t="s">
        <v>112</v>
      </c>
      <c r="S3320" s="299" t="s">
        <v>74</v>
      </c>
      <c r="T3320" s="299">
        <v>65</v>
      </c>
      <c r="U3320" s="300" t="s">
        <v>164</v>
      </c>
      <c r="V3320" s="333"/>
      <c r="X3320" s="297">
        <v>2122.9</v>
      </c>
      <c r="Y3320" s="297"/>
      <c r="AH3320" s="297">
        <f>X3320</f>
        <v>2122.9</v>
      </c>
      <c r="AI3320" s="311"/>
      <c r="AJ3320" s="468"/>
    </row>
    <row r="3321" spans="1:77" s="205" customFormat="1" ht="11.25" customHeight="1">
      <c r="A3321" s="379"/>
      <c r="B3321" s="380" t="s">
        <v>291</v>
      </c>
      <c r="C3321" s="381"/>
      <c r="D3321" s="381"/>
      <c r="E3321" s="382" t="s">
        <v>2505</v>
      </c>
      <c r="F3321" s="379" t="s">
        <v>2112</v>
      </c>
      <c r="G3321" s="383" t="s">
        <v>2113</v>
      </c>
      <c r="H3321" s="379" t="s">
        <v>1138</v>
      </c>
      <c r="I3321" s="384" t="s">
        <v>156</v>
      </c>
      <c r="J3321" s="385">
        <v>17091.41</v>
      </c>
      <c r="K3321" s="384"/>
      <c r="L3321" s="385">
        <v>15.63</v>
      </c>
      <c r="M3321" s="385">
        <v>15.63</v>
      </c>
      <c r="N3321" s="386"/>
      <c r="O3321" s="387">
        <v>0.25</v>
      </c>
      <c r="P3321" s="387">
        <v>0.1</v>
      </c>
      <c r="Q3321" s="386">
        <v>3658.4</v>
      </c>
      <c r="R3321" s="379" t="s">
        <v>73</v>
      </c>
      <c r="S3321" s="388" t="s">
        <v>74</v>
      </c>
      <c r="T3321" s="388">
        <v>32</v>
      </c>
      <c r="U3321" s="389" t="s">
        <v>164</v>
      </c>
      <c r="V3321" s="433"/>
      <c r="W3321" s="379"/>
      <c r="X3321" s="386">
        <v>3658.4</v>
      </c>
      <c r="Y3321" s="386"/>
      <c r="Z3321" s="379"/>
      <c r="AA3321" s="379"/>
      <c r="AB3321" s="379"/>
      <c r="AC3321" s="379"/>
      <c r="AD3321" s="379"/>
      <c r="AE3321" s="379"/>
      <c r="AF3321" s="379"/>
      <c r="AG3321" s="379"/>
      <c r="AH3321" s="379"/>
      <c r="AI3321" s="379"/>
      <c r="AJ3321" s="416">
        <v>3658.4</v>
      </c>
      <c r="AK3321" s="379"/>
      <c r="AL3321" s="379"/>
      <c r="AM3321" s="379"/>
      <c r="AN3321" s="379"/>
      <c r="AO3321" s="379"/>
      <c r="AP3321" s="379"/>
      <c r="AQ3321" s="379"/>
      <c r="AR3321" s="379"/>
      <c r="AS3321" s="379"/>
      <c r="AT3321" s="379"/>
      <c r="AU3321" s="379"/>
      <c r="AV3321" s="379"/>
      <c r="AW3321" s="379"/>
      <c r="AX3321" s="379"/>
      <c r="AY3321" s="379"/>
      <c r="AZ3321" s="379"/>
      <c r="BA3321" s="379"/>
      <c r="BB3321" s="379"/>
      <c r="BC3321" s="379"/>
      <c r="BD3321" s="379"/>
      <c r="BE3321" s="379"/>
      <c r="BF3321" s="379"/>
      <c r="BG3321" s="379"/>
      <c r="BH3321" s="379"/>
      <c r="BI3321" s="379"/>
      <c r="BJ3321" s="379"/>
      <c r="BK3321" s="379"/>
      <c r="BL3321" s="379"/>
      <c r="BM3321" s="379"/>
      <c r="BN3321" s="379"/>
      <c r="BO3321" s="379"/>
      <c r="BP3321" s="379"/>
      <c r="BQ3321" s="379"/>
      <c r="BR3321" s="379"/>
      <c r="BS3321" s="379"/>
      <c r="BT3321" s="379"/>
      <c r="BU3321" s="379"/>
      <c r="BV3321" s="379"/>
      <c r="BW3321" s="379"/>
      <c r="BX3321" s="379"/>
      <c r="BY3321" s="379"/>
    </row>
    <row r="3322" spans="1:77" s="205" customFormat="1" ht="11.25" customHeight="1">
      <c r="A3322" s="379"/>
      <c r="B3322" s="380" t="s">
        <v>291</v>
      </c>
      <c r="C3322" s="381"/>
      <c r="D3322" s="381"/>
      <c r="E3322" s="382" t="s">
        <v>2505</v>
      </c>
      <c r="F3322" s="379" t="s">
        <v>2112</v>
      </c>
      <c r="G3322" s="383" t="s">
        <v>2113</v>
      </c>
      <c r="H3322" s="379" t="s">
        <v>1018</v>
      </c>
      <c r="I3322" s="384" t="s">
        <v>156</v>
      </c>
      <c r="J3322" s="385">
        <v>22356</v>
      </c>
      <c r="K3322" s="384"/>
      <c r="L3322" s="385">
        <v>33.119999999999997</v>
      </c>
      <c r="M3322" s="385">
        <v>33.119999999999997</v>
      </c>
      <c r="N3322" s="386"/>
      <c r="O3322" s="387">
        <v>0.25</v>
      </c>
      <c r="P3322" s="387">
        <v>0.1</v>
      </c>
      <c r="Q3322" s="386">
        <v>0</v>
      </c>
      <c r="R3322" s="379" t="s">
        <v>73</v>
      </c>
      <c r="S3322" s="388" t="s">
        <v>74</v>
      </c>
      <c r="T3322" s="388">
        <v>32</v>
      </c>
      <c r="U3322" s="389" t="s">
        <v>164</v>
      </c>
      <c r="V3322" s="433"/>
      <c r="W3322" s="379"/>
      <c r="X3322" s="386">
        <v>0</v>
      </c>
      <c r="Y3322" s="386"/>
      <c r="Z3322" s="379"/>
      <c r="AA3322" s="379"/>
      <c r="AB3322" s="379"/>
      <c r="AC3322" s="379"/>
      <c r="AD3322" s="379"/>
      <c r="AE3322" s="379"/>
      <c r="AF3322" s="379"/>
      <c r="AG3322" s="379"/>
      <c r="AH3322" s="379"/>
      <c r="AI3322" s="379"/>
      <c r="AJ3322" s="390">
        <v>0</v>
      </c>
      <c r="AK3322" s="379"/>
      <c r="AL3322" s="379"/>
      <c r="AM3322" s="379"/>
      <c r="AN3322" s="379"/>
      <c r="AO3322" s="379"/>
      <c r="AP3322" s="379"/>
      <c r="AQ3322" s="379"/>
      <c r="AR3322" s="379"/>
      <c r="AS3322" s="379"/>
      <c r="AT3322" s="379"/>
      <c r="AU3322" s="379"/>
      <c r="AV3322" s="379"/>
      <c r="AW3322" s="379"/>
      <c r="AX3322" s="379"/>
      <c r="AY3322" s="379"/>
      <c r="AZ3322" s="379"/>
      <c r="BA3322" s="379"/>
      <c r="BB3322" s="379"/>
      <c r="BC3322" s="379"/>
      <c r="BD3322" s="379"/>
      <c r="BE3322" s="379"/>
      <c r="BF3322" s="379"/>
      <c r="BG3322" s="379"/>
      <c r="BH3322" s="379"/>
      <c r="BI3322" s="379"/>
      <c r="BJ3322" s="379"/>
      <c r="BK3322" s="379"/>
      <c r="BL3322" s="379"/>
      <c r="BM3322" s="379"/>
      <c r="BN3322" s="379"/>
      <c r="BO3322" s="379"/>
      <c r="BP3322" s="379"/>
      <c r="BQ3322" s="379"/>
      <c r="BR3322" s="379"/>
      <c r="BS3322" s="379"/>
      <c r="BT3322" s="379"/>
      <c r="BU3322" s="379"/>
      <c r="BV3322" s="379"/>
      <c r="BW3322" s="379"/>
      <c r="BX3322" s="379"/>
      <c r="BY3322" s="379"/>
    </row>
    <row r="3323" spans="1:77" s="205" customFormat="1" ht="11.25" customHeight="1">
      <c r="B3323" s="206" t="s">
        <v>291</v>
      </c>
      <c r="C3323" s="207">
        <v>44735</v>
      </c>
      <c r="D3323" s="207">
        <v>44736</v>
      </c>
      <c r="E3323" s="208" t="s">
        <v>2505</v>
      </c>
      <c r="F3323" s="205" t="s">
        <v>2112</v>
      </c>
      <c r="G3323" s="209" t="s">
        <v>2113</v>
      </c>
      <c r="H3323" s="205" t="s">
        <v>192</v>
      </c>
      <c r="I3323" s="219" t="s">
        <v>156</v>
      </c>
      <c r="J3323" s="210">
        <v>37975</v>
      </c>
      <c r="K3323" s="219"/>
      <c r="L3323" s="210">
        <v>43.4</v>
      </c>
      <c r="M3323" s="210">
        <v>40</v>
      </c>
      <c r="N3323" s="213"/>
      <c r="O3323" s="212">
        <v>0.25</v>
      </c>
      <c r="P3323" s="212">
        <v>0.1</v>
      </c>
      <c r="Q3323" s="213">
        <v>3762.15</v>
      </c>
      <c r="R3323" s="205" t="s">
        <v>73</v>
      </c>
      <c r="S3323" s="214" t="s">
        <v>74</v>
      </c>
      <c r="T3323" s="214">
        <v>32</v>
      </c>
      <c r="U3323" s="215" t="s">
        <v>164</v>
      </c>
      <c r="V3323" s="438"/>
      <c r="X3323" s="213">
        <v>3762.15</v>
      </c>
      <c r="Y3323" s="213"/>
      <c r="AF3323" s="230">
        <f>X3323</f>
        <v>3762.15</v>
      </c>
      <c r="AJ3323" s="216"/>
    </row>
    <row r="3324" spans="1:77" s="205" customFormat="1" ht="11.25" customHeight="1">
      <c r="B3324" s="206" t="s">
        <v>291</v>
      </c>
      <c r="C3324" s="207"/>
      <c r="D3324" s="207"/>
      <c r="E3324" s="208" t="s">
        <v>2505</v>
      </c>
      <c r="F3324" s="205" t="s">
        <v>2112</v>
      </c>
      <c r="G3324" s="209" t="s">
        <v>2113</v>
      </c>
      <c r="H3324" s="205" t="s">
        <v>684</v>
      </c>
      <c r="I3324" s="219" t="s">
        <v>156</v>
      </c>
      <c r="J3324" s="210">
        <v>5923.2</v>
      </c>
      <c r="K3324" s="219"/>
      <c r="L3324" s="210">
        <v>12.34</v>
      </c>
      <c r="M3324" s="210">
        <v>12.34</v>
      </c>
      <c r="N3324" s="213"/>
      <c r="O3324" s="212">
        <v>0.25</v>
      </c>
      <c r="P3324" s="212">
        <v>0.1</v>
      </c>
      <c r="Q3324" s="213">
        <v>854.4</v>
      </c>
      <c r="R3324" s="205" t="s">
        <v>73</v>
      </c>
      <c r="S3324" s="214" t="s">
        <v>74</v>
      </c>
      <c r="T3324" s="214">
        <v>32</v>
      </c>
      <c r="U3324" s="215" t="s">
        <v>164</v>
      </c>
      <c r="V3324" s="438"/>
      <c r="X3324" s="213">
        <v>854.4</v>
      </c>
      <c r="Y3324" s="213"/>
      <c r="AF3324" s="230">
        <f>X3324</f>
        <v>854.4</v>
      </c>
      <c r="AJ3324" s="216"/>
    </row>
    <row r="3325" spans="1:77" s="181" customFormat="1" ht="11.25" customHeight="1">
      <c r="B3325" s="181" t="s">
        <v>291</v>
      </c>
      <c r="C3325" s="179">
        <v>44731</v>
      </c>
      <c r="D3325" s="179">
        <v>44736</v>
      </c>
      <c r="E3325" s="180" t="s">
        <v>2506</v>
      </c>
      <c r="F3325" s="181" t="s">
        <v>2370</v>
      </c>
      <c r="G3325" s="182">
        <v>3804</v>
      </c>
      <c r="H3325" s="181" t="s">
        <v>183</v>
      </c>
      <c r="I3325" s="190" t="s">
        <v>156</v>
      </c>
      <c r="J3325" s="183">
        <v>3315.88</v>
      </c>
      <c r="K3325" s="190"/>
      <c r="L3325" s="183">
        <v>4.84</v>
      </c>
      <c r="M3325" s="183">
        <v>4.82</v>
      </c>
      <c r="N3325" s="185">
        <v>0</v>
      </c>
      <c r="O3325" s="186">
        <v>0.2</v>
      </c>
      <c r="P3325" s="186">
        <v>0.1</v>
      </c>
      <c r="Q3325" s="185">
        <v>0</v>
      </c>
      <c r="R3325" s="181" t="s">
        <v>112</v>
      </c>
      <c r="S3325" s="187" t="s">
        <v>113</v>
      </c>
      <c r="T3325" s="187">
        <v>64</v>
      </c>
      <c r="U3325" s="188" t="s">
        <v>164</v>
      </c>
      <c r="V3325" s="441"/>
      <c r="X3325" s="185">
        <v>0</v>
      </c>
      <c r="Y3325" s="185"/>
      <c r="AE3325" s="204">
        <f>X3325</f>
        <v>0</v>
      </c>
      <c r="AJ3325" s="189"/>
    </row>
    <row r="3326" spans="1:77" s="261" customFormat="1" ht="11.25" customHeight="1">
      <c r="B3326" s="261" t="s">
        <v>290</v>
      </c>
      <c r="C3326" s="259">
        <v>44735</v>
      </c>
      <c r="D3326" s="259">
        <v>44736</v>
      </c>
      <c r="E3326" s="260" t="s">
        <v>2508</v>
      </c>
      <c r="F3326" s="261" t="s">
        <v>3552</v>
      </c>
      <c r="G3326" s="262" t="s">
        <v>2507</v>
      </c>
      <c r="H3326" s="261" t="s">
        <v>27</v>
      </c>
      <c r="I3326" s="264" t="s">
        <v>156</v>
      </c>
      <c r="J3326" s="263">
        <v>47555.199999999997</v>
      </c>
      <c r="K3326" s="264"/>
      <c r="L3326" s="263">
        <v>21.23</v>
      </c>
      <c r="M3326" s="263">
        <v>21.33</v>
      </c>
      <c r="N3326" s="265">
        <v>19305.8</v>
      </c>
      <c r="O3326" s="266">
        <v>0.3</v>
      </c>
      <c r="P3326" s="266">
        <v>0.1</v>
      </c>
      <c r="Q3326" s="265">
        <v>23860.16</v>
      </c>
      <c r="R3326" s="261" t="s">
        <v>29</v>
      </c>
      <c r="S3326" s="267" t="s">
        <v>275</v>
      </c>
      <c r="T3326" s="267">
        <v>21</v>
      </c>
      <c r="U3326" s="268" t="s">
        <v>164</v>
      </c>
      <c r="V3326" s="427"/>
      <c r="X3326" s="265">
        <v>23860.16</v>
      </c>
      <c r="Y3326" s="265"/>
      <c r="AG3326" s="261">
        <f>X3326</f>
        <v>23860.16</v>
      </c>
      <c r="AJ3326" s="642"/>
    </row>
    <row r="3327" spans="1:77" s="291" customFormat="1" ht="11.25" customHeight="1">
      <c r="B3327" s="291" t="s">
        <v>291</v>
      </c>
      <c r="C3327" s="292">
        <v>44735</v>
      </c>
      <c r="D3327" s="292">
        <v>44736</v>
      </c>
      <c r="E3327" s="293" t="s">
        <v>2509</v>
      </c>
      <c r="F3327" s="291" t="s">
        <v>2028</v>
      </c>
      <c r="G3327" s="294" t="s">
        <v>2029</v>
      </c>
      <c r="H3327" s="291" t="s">
        <v>99</v>
      </c>
      <c r="I3327" s="295" t="s">
        <v>156</v>
      </c>
      <c r="J3327" s="296">
        <v>68986.5</v>
      </c>
      <c r="K3327" s="295"/>
      <c r="L3327" s="296">
        <v>41.81</v>
      </c>
      <c r="M3327" s="296">
        <v>31</v>
      </c>
      <c r="N3327" s="297">
        <v>10917.75</v>
      </c>
      <c r="O3327" s="298">
        <v>0.2</v>
      </c>
      <c r="P3327" s="298">
        <v>0.1</v>
      </c>
      <c r="Q3327" s="297">
        <v>1655.68</v>
      </c>
      <c r="R3327" s="291" t="s">
        <v>29</v>
      </c>
      <c r="S3327" s="299" t="s">
        <v>275</v>
      </c>
      <c r="T3327" s="299">
        <v>21</v>
      </c>
      <c r="U3327" s="300" t="s">
        <v>164</v>
      </c>
      <c r="V3327" s="333"/>
      <c r="X3327" s="297">
        <v>1655.68</v>
      </c>
      <c r="Y3327" s="297"/>
      <c r="AH3327" s="291">
        <f>X3327</f>
        <v>1655.68</v>
      </c>
      <c r="AI3327" s="311"/>
      <c r="AJ3327" s="468"/>
    </row>
    <row r="3328" spans="1:77" s="291" customFormat="1" ht="11.25" customHeight="1">
      <c r="B3328" s="291" t="s">
        <v>291</v>
      </c>
      <c r="C3328" s="292"/>
      <c r="D3328" s="292"/>
      <c r="E3328" s="293" t="s">
        <v>2509</v>
      </c>
      <c r="F3328" s="291" t="s">
        <v>2028</v>
      </c>
      <c r="G3328" s="294" t="s">
        <v>2029</v>
      </c>
      <c r="H3328" s="291" t="s">
        <v>183</v>
      </c>
      <c r="I3328" s="295" t="s">
        <v>156</v>
      </c>
      <c r="J3328" s="296">
        <v>70170.5</v>
      </c>
      <c r="K3328" s="295"/>
      <c r="L3328" s="296">
        <v>37.840000000000003</v>
      </c>
      <c r="M3328" s="296">
        <v>37.840000000000003</v>
      </c>
      <c r="N3328" s="297">
        <v>19647.740000000002</v>
      </c>
      <c r="O3328" s="298">
        <v>0.2</v>
      </c>
      <c r="P3328" s="298">
        <v>0.1</v>
      </c>
      <c r="Q3328" s="297">
        <v>16881.18</v>
      </c>
      <c r="R3328" s="291" t="s">
        <v>29</v>
      </c>
      <c r="S3328" s="299" t="s">
        <v>275</v>
      </c>
      <c r="T3328" s="299">
        <v>21</v>
      </c>
      <c r="U3328" s="300" t="s">
        <v>164</v>
      </c>
      <c r="V3328" s="333"/>
      <c r="X3328" s="297">
        <v>16881.18</v>
      </c>
      <c r="Y3328" s="297"/>
      <c r="AH3328" s="291">
        <f>X3328</f>
        <v>16881.18</v>
      </c>
      <c r="AI3328" s="311"/>
      <c r="AJ3328" s="468"/>
    </row>
    <row r="3329" spans="1:77" s="291" customFormat="1" ht="11.25" customHeight="1">
      <c r="B3329" s="291" t="s">
        <v>291</v>
      </c>
      <c r="C3329" s="292"/>
      <c r="D3329" s="292"/>
      <c r="E3329" s="293" t="s">
        <v>2509</v>
      </c>
      <c r="F3329" s="291" t="s">
        <v>2028</v>
      </c>
      <c r="G3329" s="294" t="s">
        <v>2029</v>
      </c>
      <c r="H3329" s="291" t="s">
        <v>137</v>
      </c>
      <c r="I3329" s="295" t="s">
        <v>156</v>
      </c>
      <c r="J3329" s="296">
        <v>92084.64</v>
      </c>
      <c r="K3329" s="295"/>
      <c r="L3329" s="296">
        <v>52.44</v>
      </c>
      <c r="M3329" s="296">
        <v>40</v>
      </c>
      <c r="N3329" s="297">
        <f>20740.12+5534.91</f>
        <v>26275.03</v>
      </c>
      <c r="O3329" s="298">
        <v>0.2</v>
      </c>
      <c r="P3329" s="298">
        <v>0.1</v>
      </c>
      <c r="Q3329" s="297">
        <v>9202.27</v>
      </c>
      <c r="R3329" s="291" t="s">
        <v>29</v>
      </c>
      <c r="S3329" s="299" t="s">
        <v>275</v>
      </c>
      <c r="T3329" s="299">
        <v>21</v>
      </c>
      <c r="U3329" s="300" t="s">
        <v>164</v>
      </c>
      <c r="V3329" s="333"/>
      <c r="X3329" s="297">
        <v>9202.27</v>
      </c>
      <c r="Y3329" s="297"/>
      <c r="AH3329" s="291">
        <f>X3329</f>
        <v>9202.27</v>
      </c>
      <c r="AI3329" s="311"/>
      <c r="AJ3329" s="468"/>
    </row>
    <row r="3330" spans="1:77" s="205" customFormat="1" ht="11.25" customHeight="1">
      <c r="B3330" s="205" t="s">
        <v>291</v>
      </c>
      <c r="C3330" s="207"/>
      <c r="D3330" s="207"/>
      <c r="E3330" s="208" t="s">
        <v>2509</v>
      </c>
      <c r="F3330" s="205" t="s">
        <v>2028</v>
      </c>
      <c r="G3330" s="209" t="s">
        <v>2029</v>
      </c>
      <c r="H3330" s="205" t="s">
        <v>310</v>
      </c>
      <c r="I3330" s="219" t="s">
        <v>156</v>
      </c>
      <c r="J3330" s="210">
        <v>11094.56</v>
      </c>
      <c r="K3330" s="219"/>
      <c r="L3330" s="210">
        <v>11.54</v>
      </c>
      <c r="M3330" s="210">
        <v>11.5</v>
      </c>
      <c r="N3330" s="213"/>
      <c r="O3330" s="212">
        <v>0.2</v>
      </c>
      <c r="P3330" s="212">
        <v>0.1</v>
      </c>
      <c r="Q3330" s="213">
        <v>0</v>
      </c>
      <c r="R3330" s="205" t="s">
        <v>29</v>
      </c>
      <c r="S3330" s="214" t="s">
        <v>275</v>
      </c>
      <c r="T3330" s="214">
        <v>21</v>
      </c>
      <c r="U3330" s="215" t="s">
        <v>164</v>
      </c>
      <c r="V3330" s="438"/>
      <c r="X3330" s="213">
        <v>0</v>
      </c>
      <c r="Y3330" s="213"/>
      <c r="AF3330" s="230">
        <f>X3330</f>
        <v>0</v>
      </c>
      <c r="AJ3330" s="216"/>
    </row>
    <row r="3331" spans="1:77" s="337" customFormat="1" ht="11.25" customHeight="1">
      <c r="B3331" s="338" t="s">
        <v>291</v>
      </c>
      <c r="C3331" s="349">
        <v>44735</v>
      </c>
      <c r="D3331" s="349">
        <v>44736</v>
      </c>
      <c r="E3331" s="350" t="s">
        <v>2510</v>
      </c>
      <c r="F3331" s="337" t="s">
        <v>2304</v>
      </c>
      <c r="G3331" s="351" t="s">
        <v>2305</v>
      </c>
      <c r="H3331" s="337" t="s">
        <v>765</v>
      </c>
      <c r="I3331" s="353" t="s">
        <v>156</v>
      </c>
      <c r="J3331" s="352">
        <v>10082.07</v>
      </c>
      <c r="K3331" s="353"/>
      <c r="L3331" s="352">
        <v>8.1</v>
      </c>
      <c r="M3331" s="352">
        <v>8.1</v>
      </c>
      <c r="N3331" s="354"/>
      <c r="O3331" s="355">
        <v>0.2</v>
      </c>
      <c r="P3331" s="355">
        <v>0.1</v>
      </c>
      <c r="Q3331" s="354">
        <v>0</v>
      </c>
      <c r="R3331" s="337" t="s">
        <v>112</v>
      </c>
      <c r="S3331" s="356" t="s">
        <v>113</v>
      </c>
      <c r="T3331" s="356">
        <v>65</v>
      </c>
      <c r="U3331" s="357" t="s">
        <v>164</v>
      </c>
      <c r="V3331" s="434"/>
      <c r="X3331" s="354">
        <v>0</v>
      </c>
      <c r="Y3331" s="354"/>
      <c r="AI3331" s="337">
        <v>0</v>
      </c>
      <c r="AJ3331" s="358"/>
      <c r="AK3331" s="369"/>
    </row>
    <row r="3332" spans="1:77" s="291" customFormat="1" ht="11.25" customHeight="1">
      <c r="A3332" s="291" t="s">
        <v>3893</v>
      </c>
      <c r="B3332" s="310" t="s">
        <v>291</v>
      </c>
      <c r="C3332" s="292">
        <v>44736</v>
      </c>
      <c r="D3332" s="292">
        <v>44736</v>
      </c>
      <c r="E3332" s="293" t="s">
        <v>2511</v>
      </c>
      <c r="F3332" s="291" t="s">
        <v>146</v>
      </c>
      <c r="G3332" s="294">
        <v>3793</v>
      </c>
      <c r="H3332" s="303" t="s">
        <v>99</v>
      </c>
      <c r="I3332" s="295" t="s">
        <v>1351</v>
      </c>
      <c r="J3332" s="296">
        <v>32077.71</v>
      </c>
      <c r="K3332" s="295"/>
      <c r="L3332" s="296">
        <v>25.89</v>
      </c>
      <c r="M3332" s="296">
        <v>25.89</v>
      </c>
      <c r="N3332" s="297"/>
      <c r="O3332" s="298">
        <v>0.2</v>
      </c>
      <c r="P3332" s="298">
        <v>0.1</v>
      </c>
      <c r="Q3332" s="297">
        <v>2935.93</v>
      </c>
      <c r="R3332" s="291" t="s">
        <v>146</v>
      </c>
      <c r="S3332" s="299" t="s">
        <v>74</v>
      </c>
      <c r="T3332" s="299">
        <v>32</v>
      </c>
      <c r="U3332" s="300" t="s">
        <v>164</v>
      </c>
      <c r="V3332" s="333"/>
      <c r="X3332" s="297">
        <v>2935.93</v>
      </c>
      <c r="Y3332" s="297"/>
      <c r="AH3332" s="291">
        <f>X3332</f>
        <v>2935.93</v>
      </c>
      <c r="AI3332" s="311"/>
      <c r="AJ3332" s="468"/>
    </row>
    <row r="3333" spans="1:77" s="379" customFormat="1" ht="11.25" customHeight="1">
      <c r="B3333" s="380" t="s">
        <v>291</v>
      </c>
      <c r="C3333" s="381"/>
      <c r="D3333" s="381"/>
      <c r="E3333" s="382" t="s">
        <v>2511</v>
      </c>
      <c r="F3333" s="379" t="s">
        <v>146</v>
      </c>
      <c r="G3333" s="383">
        <v>3793</v>
      </c>
      <c r="H3333" s="394" t="s">
        <v>814</v>
      </c>
      <c r="I3333" s="384" t="s">
        <v>1351</v>
      </c>
      <c r="J3333" s="385">
        <v>13518.46</v>
      </c>
      <c r="K3333" s="384"/>
      <c r="L3333" s="385">
        <v>12.01</v>
      </c>
      <c r="M3333" s="385">
        <v>12</v>
      </c>
      <c r="N3333" s="386"/>
      <c r="O3333" s="387">
        <v>0.2</v>
      </c>
      <c r="P3333" s="387">
        <v>0.1</v>
      </c>
      <c r="Q3333" s="386">
        <v>0</v>
      </c>
      <c r="R3333" s="379" t="s">
        <v>146</v>
      </c>
      <c r="S3333" s="388" t="s">
        <v>74</v>
      </c>
      <c r="T3333" s="388">
        <v>32</v>
      </c>
      <c r="U3333" s="389" t="s">
        <v>164</v>
      </c>
      <c r="V3333" s="433"/>
      <c r="X3333" s="386">
        <v>0</v>
      </c>
      <c r="Y3333" s="386"/>
      <c r="AJ3333" s="390">
        <v>0</v>
      </c>
    </row>
    <row r="3334" spans="1:77" s="379" customFormat="1" ht="11.25" customHeight="1">
      <c r="B3334" s="380" t="s">
        <v>291</v>
      </c>
      <c r="C3334" s="381"/>
      <c r="D3334" s="381"/>
      <c r="E3334" s="382" t="s">
        <v>2511</v>
      </c>
      <c r="F3334" s="379" t="s">
        <v>146</v>
      </c>
      <c r="G3334" s="383">
        <v>3793</v>
      </c>
      <c r="H3334" s="379" t="s">
        <v>765</v>
      </c>
      <c r="I3334" s="384" t="s">
        <v>1351</v>
      </c>
      <c r="J3334" s="385">
        <v>26789.62</v>
      </c>
      <c r="K3334" s="384"/>
      <c r="L3334" s="385">
        <v>29.53</v>
      </c>
      <c r="M3334" s="385">
        <v>29.53</v>
      </c>
      <c r="N3334" s="386"/>
      <c r="O3334" s="387">
        <v>0.2</v>
      </c>
      <c r="P3334" s="387">
        <v>0.1</v>
      </c>
      <c r="Q3334" s="386">
        <v>2173.25</v>
      </c>
      <c r="R3334" s="379" t="s">
        <v>146</v>
      </c>
      <c r="S3334" s="388" t="s">
        <v>74</v>
      </c>
      <c r="T3334" s="388">
        <v>32</v>
      </c>
      <c r="U3334" s="389" t="s">
        <v>164</v>
      </c>
      <c r="V3334" s="433"/>
      <c r="X3334" s="386">
        <v>2173.25</v>
      </c>
      <c r="Y3334" s="386"/>
      <c r="AJ3334" s="416">
        <v>2173.25</v>
      </c>
    </row>
    <row r="3335" spans="1:77" s="205" customFormat="1" ht="11.25" customHeight="1">
      <c r="A3335" s="379"/>
      <c r="B3335" s="380" t="s">
        <v>291</v>
      </c>
      <c r="C3335" s="381"/>
      <c r="D3335" s="381"/>
      <c r="E3335" s="382" t="s">
        <v>2512</v>
      </c>
      <c r="F3335" s="379" t="s">
        <v>484</v>
      </c>
      <c r="G3335" s="383">
        <v>4096</v>
      </c>
      <c r="H3335" s="379" t="s">
        <v>1141</v>
      </c>
      <c r="I3335" s="384" t="s">
        <v>156</v>
      </c>
      <c r="J3335" s="385">
        <v>6132.24</v>
      </c>
      <c r="K3335" s="384"/>
      <c r="L3335" s="385">
        <v>6.68</v>
      </c>
      <c r="M3335" s="385">
        <v>6.68</v>
      </c>
      <c r="N3335" s="386"/>
      <c r="O3335" s="387">
        <v>0.25</v>
      </c>
      <c r="P3335" s="387">
        <v>0.1</v>
      </c>
      <c r="Q3335" s="386">
        <v>0</v>
      </c>
      <c r="R3335" s="379" t="s">
        <v>73</v>
      </c>
      <c r="S3335" s="388" t="s">
        <v>74</v>
      </c>
      <c r="T3335" s="388">
        <v>32</v>
      </c>
      <c r="U3335" s="389" t="s">
        <v>164</v>
      </c>
      <c r="V3335" s="433"/>
      <c r="W3335" s="379"/>
      <c r="X3335" s="386">
        <v>0</v>
      </c>
      <c r="Y3335" s="386"/>
      <c r="Z3335" s="379"/>
      <c r="AA3335" s="379"/>
      <c r="AB3335" s="379"/>
      <c r="AC3335" s="379"/>
      <c r="AD3335" s="379"/>
      <c r="AE3335" s="379"/>
      <c r="AF3335" s="379"/>
      <c r="AG3335" s="379"/>
      <c r="AH3335" s="379"/>
      <c r="AI3335" s="379"/>
      <c r="AJ3335" s="390">
        <v>0</v>
      </c>
      <c r="AK3335" s="379"/>
      <c r="AL3335" s="379"/>
      <c r="AM3335" s="379"/>
      <c r="AN3335" s="379"/>
      <c r="AO3335" s="379"/>
      <c r="AP3335" s="379"/>
      <c r="AQ3335" s="379"/>
      <c r="AR3335" s="379"/>
      <c r="AS3335" s="379"/>
      <c r="AT3335" s="379"/>
      <c r="AU3335" s="379"/>
      <c r="AV3335" s="379"/>
      <c r="AW3335" s="379"/>
      <c r="AX3335" s="379"/>
      <c r="AY3335" s="379"/>
      <c r="AZ3335" s="379"/>
      <c r="BA3335" s="379"/>
      <c r="BB3335" s="379"/>
      <c r="BC3335" s="379"/>
      <c r="BD3335" s="379"/>
      <c r="BE3335" s="379"/>
      <c r="BF3335" s="379"/>
      <c r="BG3335" s="379"/>
      <c r="BH3335" s="379"/>
      <c r="BI3335" s="379"/>
      <c r="BJ3335" s="379"/>
      <c r="BK3335" s="379"/>
      <c r="BL3335" s="379"/>
      <c r="BM3335" s="379"/>
      <c r="BN3335" s="379"/>
      <c r="BO3335" s="379"/>
      <c r="BP3335" s="379"/>
      <c r="BQ3335" s="379"/>
      <c r="BR3335" s="379"/>
      <c r="BS3335" s="379"/>
      <c r="BT3335" s="379"/>
      <c r="BU3335" s="379"/>
      <c r="BV3335" s="379"/>
      <c r="BW3335" s="379"/>
      <c r="BX3335" s="379"/>
      <c r="BY3335" s="379"/>
    </row>
    <row r="3336" spans="1:77" s="205" customFormat="1" ht="11.25" customHeight="1">
      <c r="A3336" s="379"/>
      <c r="B3336" s="380" t="s">
        <v>291</v>
      </c>
      <c r="C3336" s="381"/>
      <c r="D3336" s="381"/>
      <c r="E3336" s="382" t="s">
        <v>2512</v>
      </c>
      <c r="F3336" s="379" t="s">
        <v>484</v>
      </c>
      <c r="G3336" s="383">
        <v>4096</v>
      </c>
      <c r="H3336" s="379" t="s">
        <v>765</v>
      </c>
      <c r="I3336" s="384" t="s">
        <v>156</v>
      </c>
      <c r="J3336" s="385">
        <v>10227.879999999999</v>
      </c>
      <c r="K3336" s="384"/>
      <c r="L3336" s="385">
        <v>15.13</v>
      </c>
      <c r="M3336" s="385">
        <v>15.13</v>
      </c>
      <c r="N3336" s="386"/>
      <c r="O3336" s="387">
        <v>0.25</v>
      </c>
      <c r="P3336" s="387">
        <v>0.1</v>
      </c>
      <c r="Q3336" s="386">
        <v>0</v>
      </c>
      <c r="R3336" s="379" t="s">
        <v>73</v>
      </c>
      <c r="S3336" s="388" t="s">
        <v>74</v>
      </c>
      <c r="T3336" s="388">
        <v>32</v>
      </c>
      <c r="U3336" s="389" t="s">
        <v>164</v>
      </c>
      <c r="V3336" s="433"/>
      <c r="W3336" s="379"/>
      <c r="X3336" s="386">
        <v>0</v>
      </c>
      <c r="Y3336" s="386"/>
      <c r="Z3336" s="379"/>
      <c r="AA3336" s="379"/>
      <c r="AB3336" s="379"/>
      <c r="AC3336" s="379"/>
      <c r="AD3336" s="379"/>
      <c r="AE3336" s="379"/>
      <c r="AF3336" s="379"/>
      <c r="AG3336" s="379"/>
      <c r="AH3336" s="379"/>
      <c r="AI3336" s="379"/>
      <c r="AJ3336" s="390">
        <v>0</v>
      </c>
      <c r="AK3336" s="379"/>
      <c r="AL3336" s="379"/>
      <c r="AM3336" s="379"/>
      <c r="AN3336" s="379"/>
      <c r="AO3336" s="379"/>
      <c r="AP3336" s="379"/>
      <c r="AQ3336" s="379"/>
      <c r="AR3336" s="379"/>
      <c r="AS3336" s="379"/>
      <c r="AT3336" s="379"/>
      <c r="AU3336" s="379"/>
      <c r="AV3336" s="379"/>
      <c r="AW3336" s="379"/>
      <c r="AX3336" s="379"/>
      <c r="AY3336" s="379"/>
      <c r="AZ3336" s="379"/>
      <c r="BA3336" s="379"/>
      <c r="BB3336" s="379"/>
      <c r="BC3336" s="379"/>
      <c r="BD3336" s="379"/>
      <c r="BE3336" s="379"/>
      <c r="BF3336" s="379"/>
      <c r="BG3336" s="379"/>
      <c r="BH3336" s="379"/>
      <c r="BI3336" s="379"/>
      <c r="BJ3336" s="379"/>
      <c r="BK3336" s="379"/>
      <c r="BL3336" s="379"/>
      <c r="BM3336" s="379"/>
      <c r="BN3336" s="379"/>
      <c r="BO3336" s="379"/>
      <c r="BP3336" s="379"/>
      <c r="BQ3336" s="379"/>
      <c r="BR3336" s="379"/>
      <c r="BS3336" s="379"/>
      <c r="BT3336" s="379"/>
      <c r="BU3336" s="379"/>
      <c r="BV3336" s="379"/>
      <c r="BW3336" s="379"/>
      <c r="BX3336" s="379"/>
      <c r="BY3336" s="379"/>
    </row>
    <row r="3337" spans="1:77" s="379" customFormat="1" ht="11.25" customHeight="1">
      <c r="B3337" s="380" t="s">
        <v>291</v>
      </c>
      <c r="C3337" s="381"/>
      <c r="D3337" s="381"/>
      <c r="E3337" s="382" t="s">
        <v>2512</v>
      </c>
      <c r="F3337" s="379" t="s">
        <v>484</v>
      </c>
      <c r="G3337" s="383">
        <v>4096</v>
      </c>
      <c r="H3337" s="379" t="s">
        <v>814</v>
      </c>
      <c r="I3337" s="384" t="s">
        <v>156</v>
      </c>
      <c r="J3337" s="385">
        <v>4000.56</v>
      </c>
      <c r="K3337" s="384"/>
      <c r="L3337" s="385">
        <v>4.22</v>
      </c>
      <c r="M3337" s="385">
        <v>4.22</v>
      </c>
      <c r="N3337" s="386"/>
      <c r="O3337" s="387">
        <v>0.25</v>
      </c>
      <c r="P3337" s="387">
        <v>0.1</v>
      </c>
      <c r="Q3337" s="386">
        <v>0</v>
      </c>
      <c r="R3337" s="379" t="s">
        <v>73</v>
      </c>
      <c r="S3337" s="388" t="s">
        <v>74</v>
      </c>
      <c r="T3337" s="388">
        <v>32</v>
      </c>
      <c r="U3337" s="389" t="s">
        <v>164</v>
      </c>
      <c r="V3337" s="433"/>
      <c r="X3337" s="386">
        <v>0</v>
      </c>
      <c r="Y3337" s="386"/>
      <c r="AJ3337" s="390">
        <v>0</v>
      </c>
    </row>
    <row r="3338" spans="1:77" s="205" customFormat="1" ht="11.25" customHeight="1">
      <c r="B3338" s="206" t="s">
        <v>291</v>
      </c>
      <c r="C3338" s="207">
        <v>44735</v>
      </c>
      <c r="D3338" s="207">
        <v>44736</v>
      </c>
      <c r="E3338" s="208" t="s">
        <v>2512</v>
      </c>
      <c r="F3338" s="205" t="s">
        <v>484</v>
      </c>
      <c r="G3338" s="209">
        <v>4096</v>
      </c>
      <c r="H3338" s="205" t="s">
        <v>138</v>
      </c>
      <c r="I3338" s="219" t="s">
        <v>156</v>
      </c>
      <c r="J3338" s="210">
        <v>29421.39</v>
      </c>
      <c r="K3338" s="219"/>
      <c r="L3338" s="210">
        <v>23.38</v>
      </c>
      <c r="M3338" s="210">
        <v>14</v>
      </c>
      <c r="N3338" s="213"/>
      <c r="O3338" s="212">
        <v>0.25</v>
      </c>
      <c r="P3338" s="212">
        <v>0.1</v>
      </c>
      <c r="Q3338" s="213">
        <v>2242.2399999999998</v>
      </c>
      <c r="R3338" s="205" t="s">
        <v>73</v>
      </c>
      <c r="S3338" s="214" t="s">
        <v>74</v>
      </c>
      <c r="T3338" s="214">
        <v>32</v>
      </c>
      <c r="U3338" s="215" t="s">
        <v>164</v>
      </c>
      <c r="V3338" s="438"/>
      <c r="X3338" s="213">
        <v>2242.2399999999998</v>
      </c>
      <c r="Y3338" s="213"/>
      <c r="AF3338" s="230">
        <f>X3338</f>
        <v>2242.2399999999998</v>
      </c>
      <c r="AJ3338" s="216"/>
    </row>
    <row r="3339" spans="1:77" s="205" customFormat="1" ht="11.25" customHeight="1">
      <c r="B3339" s="206" t="s">
        <v>291</v>
      </c>
      <c r="C3339" s="207"/>
      <c r="D3339" s="207"/>
      <c r="E3339" s="208" t="s">
        <v>2512</v>
      </c>
      <c r="F3339" s="205" t="s">
        <v>484</v>
      </c>
      <c r="G3339" s="209">
        <v>4096</v>
      </c>
      <c r="H3339" s="205" t="s">
        <v>99</v>
      </c>
      <c r="I3339" s="219" t="s">
        <v>156</v>
      </c>
      <c r="J3339" s="210">
        <v>10118.16</v>
      </c>
      <c r="K3339" s="219"/>
      <c r="L3339" s="210">
        <v>8.9700000000000006</v>
      </c>
      <c r="M3339" s="210">
        <v>8.9700000000000006</v>
      </c>
      <c r="N3339" s="213"/>
      <c r="O3339" s="212">
        <v>0.25</v>
      </c>
      <c r="P3339" s="212">
        <v>0.1</v>
      </c>
      <c r="Q3339" s="213">
        <v>2411.42</v>
      </c>
      <c r="R3339" s="205" t="s">
        <v>73</v>
      </c>
      <c r="S3339" s="214" t="s">
        <v>74</v>
      </c>
      <c r="T3339" s="214">
        <v>32</v>
      </c>
      <c r="U3339" s="215" t="s">
        <v>164</v>
      </c>
      <c r="V3339" s="438"/>
      <c r="X3339" s="213">
        <v>2411.42</v>
      </c>
      <c r="Y3339" s="213"/>
      <c r="AF3339" s="230">
        <f>X3339</f>
        <v>2411.42</v>
      </c>
      <c r="AJ3339" s="216"/>
    </row>
    <row r="3340" spans="1:77" s="205" customFormat="1" ht="11.25" customHeight="1">
      <c r="B3340" s="206" t="s">
        <v>291</v>
      </c>
      <c r="C3340" s="207"/>
      <c r="D3340" s="207"/>
      <c r="E3340" s="208" t="s">
        <v>2512</v>
      </c>
      <c r="F3340" s="205" t="s">
        <v>484</v>
      </c>
      <c r="G3340" s="209">
        <v>4096</v>
      </c>
      <c r="H3340" s="205" t="s">
        <v>163</v>
      </c>
      <c r="I3340" s="219" t="s">
        <v>156</v>
      </c>
      <c r="J3340" s="210">
        <v>6155.7</v>
      </c>
      <c r="K3340" s="219"/>
      <c r="L3340" s="210">
        <v>8.5</v>
      </c>
      <c r="M3340" s="210">
        <v>8.5</v>
      </c>
      <c r="N3340" s="213"/>
      <c r="O3340" s="212">
        <v>0.25</v>
      </c>
      <c r="P3340" s="212">
        <v>0.1</v>
      </c>
      <c r="Q3340" s="213">
        <v>1853.43</v>
      </c>
      <c r="R3340" s="205" t="s">
        <v>73</v>
      </c>
      <c r="S3340" s="214" t="s">
        <v>74</v>
      </c>
      <c r="T3340" s="214">
        <v>32</v>
      </c>
      <c r="U3340" s="215" t="s">
        <v>164</v>
      </c>
      <c r="V3340" s="438"/>
      <c r="X3340" s="213">
        <v>1853.43</v>
      </c>
      <c r="Y3340" s="213"/>
      <c r="AF3340" s="230">
        <f>X3340</f>
        <v>1853.43</v>
      </c>
      <c r="AJ3340" s="216"/>
    </row>
    <row r="3341" spans="1:77" s="205" customFormat="1" ht="11.25" customHeight="1">
      <c r="B3341" s="205" t="s">
        <v>291</v>
      </c>
      <c r="C3341" s="207">
        <v>44734</v>
      </c>
      <c r="D3341" s="207">
        <v>44736</v>
      </c>
      <c r="E3341" s="208" t="s">
        <v>2513</v>
      </c>
      <c r="F3341" s="205" t="s">
        <v>1678</v>
      </c>
      <c r="G3341" s="209" t="s">
        <v>1679</v>
      </c>
      <c r="H3341" s="205" t="s">
        <v>27</v>
      </c>
      <c r="I3341" s="219" t="s">
        <v>156</v>
      </c>
      <c r="J3341" s="210">
        <v>9049.76</v>
      </c>
      <c r="K3341" s="219"/>
      <c r="L3341" s="210">
        <v>14.99</v>
      </c>
      <c r="M3341" s="210">
        <v>14.99</v>
      </c>
      <c r="N3341" s="213"/>
      <c r="O3341" s="212">
        <v>0.2</v>
      </c>
      <c r="P3341" s="212">
        <v>0.1</v>
      </c>
      <c r="Q3341" s="213">
        <v>1643.52</v>
      </c>
      <c r="R3341" s="205" t="s">
        <v>285</v>
      </c>
      <c r="S3341" s="214" t="s">
        <v>275</v>
      </c>
      <c r="T3341" s="214">
        <v>21</v>
      </c>
      <c r="U3341" s="215" t="s">
        <v>164</v>
      </c>
      <c r="V3341" s="438"/>
      <c r="X3341" s="213">
        <v>1643.52</v>
      </c>
      <c r="Y3341" s="213"/>
      <c r="AF3341" s="230">
        <f>X3341</f>
        <v>1643.52</v>
      </c>
      <c r="AJ3341" s="216"/>
    </row>
    <row r="3342" spans="1:77" s="181" customFormat="1" ht="11.25" customHeight="1">
      <c r="B3342" s="181" t="s">
        <v>291</v>
      </c>
      <c r="C3342" s="179"/>
      <c r="D3342" s="179"/>
      <c r="E3342" s="180" t="s">
        <v>2513</v>
      </c>
      <c r="F3342" s="181" t="s">
        <v>1678</v>
      </c>
      <c r="G3342" s="182" t="s">
        <v>1679</v>
      </c>
      <c r="H3342" s="181" t="s">
        <v>765</v>
      </c>
      <c r="I3342" s="190" t="s">
        <v>1839</v>
      </c>
      <c r="J3342" s="183">
        <v>73128.320000000007</v>
      </c>
      <c r="K3342" s="190"/>
      <c r="L3342" s="183">
        <v>56.08</v>
      </c>
      <c r="M3342" s="183">
        <v>11.69</v>
      </c>
      <c r="N3342" s="185"/>
      <c r="O3342" s="186">
        <v>0.2</v>
      </c>
      <c r="P3342" s="186">
        <v>0.1</v>
      </c>
      <c r="Q3342" s="185">
        <v>0</v>
      </c>
      <c r="R3342" s="181" t="s">
        <v>285</v>
      </c>
      <c r="S3342" s="187" t="s">
        <v>275</v>
      </c>
      <c r="T3342" s="187">
        <v>21</v>
      </c>
      <c r="U3342" s="188" t="s">
        <v>164</v>
      </c>
      <c r="V3342" s="441"/>
      <c r="X3342" s="185">
        <v>0</v>
      </c>
      <c r="Y3342" s="185"/>
      <c r="AE3342" s="204">
        <f>X3342</f>
        <v>0</v>
      </c>
      <c r="AJ3342" s="189"/>
    </row>
    <row r="3343" spans="1:77" s="618" customFormat="1" ht="11.25" customHeight="1">
      <c r="B3343" s="618" t="s">
        <v>291</v>
      </c>
      <c r="C3343" s="620">
        <v>44691</v>
      </c>
      <c r="D3343" s="620">
        <v>44736</v>
      </c>
      <c r="E3343" s="621" t="s">
        <v>2514</v>
      </c>
      <c r="F3343" s="618" t="s">
        <v>2515</v>
      </c>
      <c r="G3343" s="634" t="s">
        <v>2516</v>
      </c>
      <c r="H3343" s="618" t="s">
        <v>99</v>
      </c>
      <c r="I3343" s="626" t="s">
        <v>888</v>
      </c>
      <c r="J3343" s="635">
        <v>143933.23000000001</v>
      </c>
      <c r="K3343" s="626"/>
      <c r="L3343" s="635">
        <v>131.28</v>
      </c>
      <c r="M3343" s="635">
        <v>131.28</v>
      </c>
      <c r="N3343" s="627">
        <v>0</v>
      </c>
      <c r="O3343" s="628">
        <v>0.25</v>
      </c>
      <c r="P3343" s="628"/>
      <c r="Q3343" s="627">
        <f>IF(N3343-J3343*O3343&lt;0,0)</f>
        <v>0</v>
      </c>
      <c r="R3343" s="618" t="s">
        <v>285</v>
      </c>
      <c r="S3343" s="629" t="s">
        <v>275</v>
      </c>
      <c r="T3343" s="629">
        <v>21</v>
      </c>
      <c r="U3343" s="631" t="s">
        <v>164</v>
      </c>
      <c r="V3343" s="632"/>
      <c r="X3343" s="627">
        <v>0</v>
      </c>
      <c r="Y3343" s="627"/>
      <c r="AJ3343" s="633"/>
      <c r="AO3343" s="618">
        <v>0</v>
      </c>
    </row>
    <row r="3344" spans="1:77" s="618" customFormat="1" ht="11.25" customHeight="1">
      <c r="B3344" s="618" t="s">
        <v>291</v>
      </c>
      <c r="C3344" s="620"/>
      <c r="D3344" s="620"/>
      <c r="E3344" s="621" t="s">
        <v>2514</v>
      </c>
      <c r="F3344" s="618" t="s">
        <v>2515</v>
      </c>
      <c r="G3344" s="634" t="s">
        <v>2516</v>
      </c>
      <c r="H3344" s="618" t="s">
        <v>137</v>
      </c>
      <c r="I3344" s="626" t="s">
        <v>888</v>
      </c>
      <c r="J3344" s="635">
        <v>15744.59</v>
      </c>
      <c r="K3344" s="626"/>
      <c r="L3344" s="635">
        <v>14.75</v>
      </c>
      <c r="M3344" s="635">
        <v>14.75</v>
      </c>
      <c r="N3344" s="627">
        <v>3148.9185000000002</v>
      </c>
      <c r="O3344" s="628">
        <v>0.25</v>
      </c>
      <c r="P3344" s="628"/>
      <c r="Q3344" s="627">
        <f>IF(N3344-J3344*O3344&lt;0,0)</f>
        <v>0</v>
      </c>
      <c r="R3344" s="618" t="s">
        <v>285</v>
      </c>
      <c r="S3344" s="629" t="s">
        <v>275</v>
      </c>
      <c r="T3344" s="629">
        <v>21</v>
      </c>
      <c r="U3344" s="631" t="s">
        <v>164</v>
      </c>
      <c r="V3344" s="632"/>
      <c r="X3344" s="627">
        <v>0</v>
      </c>
      <c r="Y3344" s="627"/>
      <c r="AJ3344" s="633"/>
      <c r="AO3344" s="618">
        <v>0</v>
      </c>
    </row>
    <row r="3345" spans="1:77" s="618" customFormat="1" ht="11.25" customHeight="1">
      <c r="B3345" s="618" t="s">
        <v>291</v>
      </c>
      <c r="C3345" s="620"/>
      <c r="D3345" s="620"/>
      <c r="E3345" s="621" t="s">
        <v>2514</v>
      </c>
      <c r="F3345" s="618" t="s">
        <v>2515</v>
      </c>
      <c r="G3345" s="634" t="s">
        <v>2516</v>
      </c>
      <c r="H3345" s="618" t="s">
        <v>442</v>
      </c>
      <c r="I3345" s="626" t="s">
        <v>888</v>
      </c>
      <c r="J3345" s="635">
        <v>11497.15</v>
      </c>
      <c r="K3345" s="626"/>
      <c r="L3345" s="635">
        <v>21.49</v>
      </c>
      <c r="M3345" s="635">
        <v>21.49</v>
      </c>
      <c r="N3345" s="627">
        <v>0</v>
      </c>
      <c r="O3345" s="628">
        <v>0.25</v>
      </c>
      <c r="P3345" s="628"/>
      <c r="Q3345" s="627">
        <f>IF(N3345-J3345*O3345&lt;0,0)</f>
        <v>0</v>
      </c>
      <c r="R3345" s="618" t="s">
        <v>285</v>
      </c>
      <c r="S3345" s="629" t="s">
        <v>275</v>
      </c>
      <c r="T3345" s="629">
        <v>21</v>
      </c>
      <c r="U3345" s="631" t="s">
        <v>164</v>
      </c>
      <c r="V3345" s="632"/>
      <c r="X3345" s="627">
        <v>0</v>
      </c>
      <c r="Y3345" s="627"/>
      <c r="AJ3345" s="633"/>
      <c r="AO3345" s="618">
        <v>0</v>
      </c>
    </row>
    <row r="3346" spans="1:77" s="618" customFormat="1" ht="11.25" customHeight="1">
      <c r="B3346" s="618" t="s">
        <v>291</v>
      </c>
      <c r="C3346" s="620"/>
      <c r="D3346" s="620"/>
      <c r="E3346" s="621" t="s">
        <v>2514</v>
      </c>
      <c r="F3346" s="618" t="s">
        <v>2515</v>
      </c>
      <c r="G3346" s="634" t="s">
        <v>2516</v>
      </c>
      <c r="H3346" s="618" t="s">
        <v>295</v>
      </c>
      <c r="I3346" s="626" t="s">
        <v>888</v>
      </c>
      <c r="J3346" s="635">
        <v>2359.1799999999998</v>
      </c>
      <c r="K3346" s="626"/>
      <c r="L3346" s="635">
        <v>4.1399999999999997</v>
      </c>
      <c r="M3346" s="635">
        <v>4.1399999999999997</v>
      </c>
      <c r="N3346" s="627">
        <v>589.79475000000002</v>
      </c>
      <c r="O3346" s="628">
        <v>0.25</v>
      </c>
      <c r="P3346" s="628"/>
      <c r="Q3346" s="627">
        <f>IF(N3346-J3346*O3346&lt;0,0)</f>
        <v>0</v>
      </c>
      <c r="R3346" s="618" t="s">
        <v>285</v>
      </c>
      <c r="S3346" s="629" t="s">
        <v>275</v>
      </c>
      <c r="T3346" s="629">
        <v>21</v>
      </c>
      <c r="U3346" s="631" t="s">
        <v>164</v>
      </c>
      <c r="V3346" s="632"/>
      <c r="X3346" s="627">
        <v>0</v>
      </c>
      <c r="Y3346" s="627"/>
      <c r="AJ3346" s="633"/>
      <c r="AO3346" s="618">
        <v>0</v>
      </c>
    </row>
    <row r="3347" spans="1:77" s="6" customFormat="1" ht="11.25" customHeight="1">
      <c r="B3347" s="6" t="s">
        <v>291</v>
      </c>
      <c r="C3347" s="4"/>
      <c r="D3347" s="4"/>
      <c r="E3347" s="5" t="s">
        <v>2514</v>
      </c>
      <c r="F3347" s="6" t="s">
        <v>2515</v>
      </c>
      <c r="G3347" s="79" t="s">
        <v>2516</v>
      </c>
      <c r="H3347" s="6" t="s">
        <v>162</v>
      </c>
      <c r="I3347" s="9" t="s">
        <v>888</v>
      </c>
      <c r="J3347" s="24">
        <v>2319.85</v>
      </c>
      <c r="K3347" s="9"/>
      <c r="L3347" s="24">
        <v>8.3000000000000007</v>
      </c>
      <c r="M3347" s="24">
        <v>8.3000000000000007</v>
      </c>
      <c r="N3347" s="8">
        <v>463.97</v>
      </c>
      <c r="O3347" s="11">
        <v>0.25</v>
      </c>
      <c r="P3347" s="11"/>
      <c r="Q3347" s="142">
        <v>133.81</v>
      </c>
      <c r="R3347" s="6" t="s">
        <v>285</v>
      </c>
      <c r="S3347" s="3" t="s">
        <v>275</v>
      </c>
      <c r="T3347" s="3">
        <v>21</v>
      </c>
      <c r="U3347" s="7"/>
      <c r="V3347" s="436"/>
      <c r="X3347" s="8"/>
      <c r="Y3347" s="8"/>
      <c r="AJ3347" s="80"/>
    </row>
    <row r="3348" spans="1:77" s="618" customFormat="1" ht="11.25" customHeight="1">
      <c r="B3348" s="618" t="s">
        <v>291</v>
      </c>
      <c r="C3348" s="620">
        <v>44691</v>
      </c>
      <c r="D3348" s="620">
        <v>44736</v>
      </c>
      <c r="E3348" s="621" t="s">
        <v>2517</v>
      </c>
      <c r="F3348" s="618" t="s">
        <v>2518</v>
      </c>
      <c r="G3348" s="634" t="s">
        <v>2519</v>
      </c>
      <c r="H3348" s="618" t="s">
        <v>99</v>
      </c>
      <c r="I3348" s="626" t="s">
        <v>888</v>
      </c>
      <c r="J3348" s="635">
        <v>16964.099999999999</v>
      </c>
      <c r="K3348" s="626"/>
      <c r="L3348" s="635">
        <v>15.45</v>
      </c>
      <c r="M3348" s="635">
        <v>15.45</v>
      </c>
      <c r="N3348" s="627">
        <v>0</v>
      </c>
      <c r="O3348" s="628">
        <v>0.25</v>
      </c>
      <c r="P3348" s="628"/>
      <c r="Q3348" s="627">
        <v>0</v>
      </c>
      <c r="R3348" s="618" t="s">
        <v>285</v>
      </c>
      <c r="S3348" s="629" t="s">
        <v>275</v>
      </c>
      <c r="T3348" s="629">
        <v>21</v>
      </c>
      <c r="U3348" s="631" t="s">
        <v>164</v>
      </c>
      <c r="V3348" s="632"/>
      <c r="X3348" s="627">
        <v>0</v>
      </c>
      <c r="Y3348" s="627"/>
      <c r="AJ3348" s="633"/>
      <c r="AO3348" s="618">
        <v>0</v>
      </c>
    </row>
    <row r="3349" spans="1:77" s="261" customFormat="1" ht="11.25" customHeight="1">
      <c r="B3349" s="258" t="s">
        <v>291</v>
      </c>
      <c r="C3349" s="259">
        <v>44735</v>
      </c>
      <c r="D3349" s="259">
        <v>44736</v>
      </c>
      <c r="E3349" s="260" t="s">
        <v>2520</v>
      </c>
      <c r="F3349" s="261" t="s">
        <v>1760</v>
      </c>
      <c r="G3349" s="280">
        <v>4051</v>
      </c>
      <c r="H3349" s="261" t="s">
        <v>138</v>
      </c>
      <c r="I3349" s="264" t="s">
        <v>156</v>
      </c>
      <c r="J3349" s="263">
        <v>27025.8</v>
      </c>
      <c r="K3349" s="264"/>
      <c r="L3349" s="263">
        <v>21.43</v>
      </c>
      <c r="M3349" s="263">
        <v>16</v>
      </c>
      <c r="N3349" s="265"/>
      <c r="O3349" s="266">
        <v>0.15</v>
      </c>
      <c r="P3349" s="266">
        <v>0.1</v>
      </c>
      <c r="Q3349" s="265">
        <v>1706.51</v>
      </c>
      <c r="R3349" s="261" t="s">
        <v>146</v>
      </c>
      <c r="S3349" s="267" t="s">
        <v>74</v>
      </c>
      <c r="T3349" s="267">
        <v>31</v>
      </c>
      <c r="U3349" s="268" t="s">
        <v>164</v>
      </c>
      <c r="V3349" s="427"/>
      <c r="X3349" s="265">
        <v>1706.51</v>
      </c>
      <c r="Y3349" s="265"/>
      <c r="AG3349" s="261">
        <f>X3349</f>
        <v>1706.51</v>
      </c>
      <c r="AJ3349" s="642"/>
    </row>
    <row r="3350" spans="1:77" s="261" customFormat="1" ht="11.25" customHeight="1">
      <c r="B3350" s="258" t="s">
        <v>291</v>
      </c>
      <c r="C3350" s="259"/>
      <c r="D3350" s="259"/>
      <c r="E3350" s="260" t="s">
        <v>2520</v>
      </c>
      <c r="F3350" s="261" t="s">
        <v>1760</v>
      </c>
      <c r="G3350" s="280">
        <v>4051</v>
      </c>
      <c r="H3350" s="261" t="s">
        <v>163</v>
      </c>
      <c r="I3350" s="264" t="s">
        <v>156</v>
      </c>
      <c r="J3350" s="263">
        <v>1078.6500000000001</v>
      </c>
      <c r="K3350" s="264"/>
      <c r="L3350" s="263">
        <v>1.5</v>
      </c>
      <c r="M3350" s="263">
        <v>1.5</v>
      </c>
      <c r="N3350" s="265"/>
      <c r="O3350" s="266">
        <v>0.15</v>
      </c>
      <c r="P3350" s="266">
        <v>0.1</v>
      </c>
      <c r="Q3350" s="265">
        <v>0</v>
      </c>
      <c r="R3350" s="261" t="s">
        <v>146</v>
      </c>
      <c r="S3350" s="267" t="s">
        <v>74</v>
      </c>
      <c r="T3350" s="267">
        <v>31</v>
      </c>
      <c r="U3350" s="268" t="s">
        <v>164</v>
      </c>
      <c r="V3350" s="427"/>
      <c r="X3350" s="265">
        <v>0</v>
      </c>
      <c r="Y3350" s="265"/>
      <c r="AG3350" s="261">
        <f>X3350</f>
        <v>0</v>
      </c>
      <c r="AJ3350" s="642"/>
    </row>
    <row r="3351" spans="1:77" s="379" customFormat="1" ht="11.25" customHeight="1">
      <c r="B3351" s="380" t="s">
        <v>291</v>
      </c>
      <c r="C3351" s="381"/>
      <c r="D3351" s="381"/>
      <c r="E3351" s="382" t="s">
        <v>2520</v>
      </c>
      <c r="F3351" s="379" t="s">
        <v>1760</v>
      </c>
      <c r="G3351" s="404">
        <v>4051</v>
      </c>
      <c r="H3351" s="379" t="s">
        <v>866</v>
      </c>
      <c r="I3351" s="384" t="s">
        <v>156</v>
      </c>
      <c r="J3351" s="385">
        <v>4111.88</v>
      </c>
      <c r="K3351" s="384"/>
      <c r="L3351" s="385">
        <v>3.75</v>
      </c>
      <c r="M3351" s="385">
        <v>3.75</v>
      </c>
      <c r="N3351" s="386"/>
      <c r="O3351" s="387">
        <v>0.15</v>
      </c>
      <c r="P3351" s="387">
        <v>0.1</v>
      </c>
      <c r="Q3351" s="386">
        <v>0</v>
      </c>
      <c r="R3351" s="379" t="s">
        <v>146</v>
      </c>
      <c r="S3351" s="388" t="s">
        <v>74</v>
      </c>
      <c r="T3351" s="388">
        <v>31</v>
      </c>
      <c r="U3351" s="389" t="s">
        <v>164</v>
      </c>
      <c r="V3351" s="433"/>
      <c r="X3351" s="386">
        <v>0</v>
      </c>
      <c r="Y3351" s="386"/>
      <c r="AJ3351" s="390">
        <v>0</v>
      </c>
    </row>
    <row r="3352" spans="1:77" s="261" customFormat="1" ht="11.25" customHeight="1">
      <c r="B3352" s="258" t="s">
        <v>291</v>
      </c>
      <c r="C3352" s="259"/>
      <c r="D3352" s="259"/>
      <c r="E3352" s="260" t="s">
        <v>2520</v>
      </c>
      <c r="F3352" s="261" t="s">
        <v>1760</v>
      </c>
      <c r="G3352" s="280">
        <v>4051</v>
      </c>
      <c r="H3352" s="261" t="s">
        <v>814</v>
      </c>
      <c r="I3352" s="264" t="s">
        <v>156</v>
      </c>
      <c r="J3352" s="263">
        <v>4979.04</v>
      </c>
      <c r="K3352" s="264"/>
      <c r="L3352" s="263">
        <v>4.92</v>
      </c>
      <c r="M3352" s="263">
        <v>4.92</v>
      </c>
      <c r="N3352" s="265"/>
      <c r="O3352" s="266">
        <v>0.15</v>
      </c>
      <c r="P3352" s="266">
        <v>0.1</v>
      </c>
      <c r="Q3352" s="265">
        <v>0</v>
      </c>
      <c r="R3352" s="261" t="s">
        <v>146</v>
      </c>
      <c r="S3352" s="267" t="s">
        <v>74</v>
      </c>
      <c r="T3352" s="267">
        <v>31</v>
      </c>
      <c r="U3352" s="268" t="s">
        <v>164</v>
      </c>
      <c r="V3352" s="427"/>
      <c r="X3352" s="265">
        <v>0</v>
      </c>
      <c r="Y3352" s="265"/>
      <c r="AG3352" s="261">
        <f>X3352</f>
        <v>0</v>
      </c>
      <c r="AJ3352" s="642"/>
    </row>
    <row r="3353" spans="1:77" s="6" customFormat="1" ht="11.25" customHeight="1">
      <c r="A3353" s="379"/>
      <c r="B3353" s="380" t="s">
        <v>291</v>
      </c>
      <c r="C3353" s="381"/>
      <c r="D3353" s="381"/>
      <c r="E3353" s="382" t="s">
        <v>2520</v>
      </c>
      <c r="F3353" s="379" t="s">
        <v>1760</v>
      </c>
      <c r="G3353" s="404">
        <v>4051</v>
      </c>
      <c r="H3353" s="379" t="s">
        <v>765</v>
      </c>
      <c r="I3353" s="384" t="s">
        <v>156</v>
      </c>
      <c r="J3353" s="385">
        <v>32556.240000000002</v>
      </c>
      <c r="K3353" s="384"/>
      <c r="L3353" s="385">
        <v>35.119999999999997</v>
      </c>
      <c r="M3353" s="385">
        <v>3.2</v>
      </c>
      <c r="N3353" s="386"/>
      <c r="O3353" s="387">
        <v>0.15</v>
      </c>
      <c r="P3353" s="387">
        <v>0.1</v>
      </c>
      <c r="Q3353" s="386">
        <v>0</v>
      </c>
      <c r="R3353" s="379" t="s">
        <v>146</v>
      </c>
      <c r="S3353" s="388" t="s">
        <v>74</v>
      </c>
      <c r="T3353" s="388">
        <v>31</v>
      </c>
      <c r="U3353" s="389" t="s">
        <v>164</v>
      </c>
      <c r="V3353" s="433"/>
      <c r="W3353" s="379"/>
      <c r="X3353" s="386">
        <v>0</v>
      </c>
      <c r="Y3353" s="386"/>
      <c r="Z3353" s="379"/>
      <c r="AA3353" s="379"/>
      <c r="AB3353" s="379"/>
      <c r="AC3353" s="379"/>
      <c r="AD3353" s="379"/>
      <c r="AE3353" s="379"/>
      <c r="AF3353" s="379"/>
      <c r="AG3353" s="379"/>
      <c r="AH3353" s="379"/>
      <c r="AI3353" s="379"/>
      <c r="AJ3353" s="390">
        <v>0</v>
      </c>
      <c r="AK3353" s="379"/>
      <c r="AL3353" s="379"/>
      <c r="AM3353" s="379"/>
      <c r="AN3353" s="379"/>
      <c r="AO3353" s="379"/>
      <c r="AP3353" s="379"/>
      <c r="AQ3353" s="379"/>
      <c r="AR3353" s="379"/>
      <c r="AS3353" s="379"/>
      <c r="AT3353" s="379"/>
      <c r="AU3353" s="379"/>
      <c r="AV3353" s="379"/>
      <c r="AW3353" s="379"/>
      <c r="AX3353" s="379"/>
      <c r="AY3353" s="379"/>
      <c r="AZ3353" s="379"/>
      <c r="BA3353" s="379"/>
      <c r="BB3353" s="379"/>
      <c r="BC3353" s="379"/>
      <c r="BD3353" s="379"/>
      <c r="BE3353" s="379"/>
      <c r="BF3353" s="379"/>
      <c r="BG3353" s="379"/>
      <c r="BH3353" s="379"/>
      <c r="BI3353" s="379"/>
      <c r="BJ3353" s="379"/>
      <c r="BK3353" s="379"/>
      <c r="BL3353" s="379"/>
      <c r="BM3353" s="379"/>
      <c r="BN3353" s="379"/>
      <c r="BO3353" s="379"/>
      <c r="BP3353" s="379"/>
      <c r="BQ3353" s="379"/>
      <c r="BR3353" s="379"/>
      <c r="BS3353" s="379"/>
      <c r="BT3353" s="379"/>
      <c r="BU3353" s="379"/>
      <c r="BV3353" s="379"/>
      <c r="BW3353" s="379"/>
      <c r="BX3353" s="379"/>
      <c r="BY3353" s="379"/>
    </row>
    <row r="3354" spans="1:77" s="473" customFormat="1" ht="11.25" customHeight="1">
      <c r="B3354" s="486" t="s">
        <v>290</v>
      </c>
      <c r="C3354" s="487">
        <v>44735</v>
      </c>
      <c r="D3354" s="487">
        <v>44736</v>
      </c>
      <c r="E3354" s="488" t="s">
        <v>2521</v>
      </c>
      <c r="F3354" s="472" t="s">
        <v>2522</v>
      </c>
      <c r="G3354" s="476" t="s">
        <v>2523</v>
      </c>
      <c r="H3354" s="473" t="s">
        <v>99</v>
      </c>
      <c r="I3354" s="491" t="s">
        <v>156</v>
      </c>
      <c r="J3354" s="490">
        <v>17030</v>
      </c>
      <c r="K3354" s="491"/>
      <c r="L3354" s="490">
        <v>13.1</v>
      </c>
      <c r="M3354" s="490">
        <v>13.1</v>
      </c>
      <c r="N3354" s="492"/>
      <c r="O3354" s="493">
        <v>0.3</v>
      </c>
      <c r="P3354" s="493">
        <v>0.05</v>
      </c>
      <c r="Q3354" s="492">
        <v>2168.5</v>
      </c>
      <c r="R3354" s="472" t="s">
        <v>73</v>
      </c>
      <c r="S3354" s="481" t="s">
        <v>74</v>
      </c>
      <c r="T3354" s="481">
        <v>31</v>
      </c>
      <c r="U3354" s="494" t="s">
        <v>164</v>
      </c>
      <c r="V3354" s="495"/>
      <c r="X3354" s="492">
        <v>2168.5</v>
      </c>
      <c r="Y3354" s="492"/>
      <c r="AJ3354" s="485"/>
      <c r="AK3354" s="505">
        <v>2168.5</v>
      </c>
    </row>
    <row r="3355" spans="1:77" s="473" customFormat="1" ht="11.25" customHeight="1">
      <c r="B3355" s="486" t="s">
        <v>290</v>
      </c>
      <c r="C3355" s="487"/>
      <c r="D3355" s="487"/>
      <c r="E3355" s="488" t="s">
        <v>2521</v>
      </c>
      <c r="F3355" s="472" t="s">
        <v>2522</v>
      </c>
      <c r="G3355" s="476" t="s">
        <v>2523</v>
      </c>
      <c r="H3355" s="473" t="s">
        <v>910</v>
      </c>
      <c r="I3355" s="491" t="s">
        <v>156</v>
      </c>
      <c r="J3355" s="490">
        <v>10237.5</v>
      </c>
      <c r="K3355" s="491"/>
      <c r="L3355" s="490">
        <v>6.5</v>
      </c>
      <c r="M3355" s="490">
        <v>6.5</v>
      </c>
      <c r="N3355" s="492"/>
      <c r="O3355" s="493">
        <v>0.3</v>
      </c>
      <c r="P3355" s="493">
        <v>0.05</v>
      </c>
      <c r="Q3355" s="492">
        <v>3906.88</v>
      </c>
      <c r="R3355" s="472" t="s">
        <v>73</v>
      </c>
      <c r="S3355" s="481" t="s">
        <v>74</v>
      </c>
      <c r="T3355" s="481">
        <v>31</v>
      </c>
      <c r="U3355" s="494" t="s">
        <v>164</v>
      </c>
      <c r="V3355" s="495"/>
      <c r="X3355" s="492">
        <v>3906.88</v>
      </c>
      <c r="Y3355" s="492"/>
      <c r="AJ3355" s="485"/>
      <c r="AK3355" s="505">
        <v>3906.88</v>
      </c>
    </row>
    <row r="3356" spans="1:77" s="473" customFormat="1" ht="11.25" customHeight="1">
      <c r="B3356" s="486" t="s">
        <v>290</v>
      </c>
      <c r="C3356" s="487"/>
      <c r="D3356" s="487"/>
      <c r="E3356" s="488" t="s">
        <v>2521</v>
      </c>
      <c r="F3356" s="472" t="s">
        <v>2522</v>
      </c>
      <c r="G3356" s="476" t="s">
        <v>2523</v>
      </c>
      <c r="H3356" s="473" t="s">
        <v>814</v>
      </c>
      <c r="I3356" s="491" t="s">
        <v>156</v>
      </c>
      <c r="J3356" s="490">
        <v>16240</v>
      </c>
      <c r="K3356" s="491"/>
      <c r="L3356" s="490">
        <v>14.5</v>
      </c>
      <c r="M3356" s="490">
        <v>14.5</v>
      </c>
      <c r="N3356" s="492"/>
      <c r="O3356" s="493">
        <v>0.3</v>
      </c>
      <c r="P3356" s="493">
        <v>0.05</v>
      </c>
      <c r="Q3356" s="492">
        <v>6628</v>
      </c>
      <c r="R3356" s="472" t="s">
        <v>73</v>
      </c>
      <c r="S3356" s="481" t="s">
        <v>74</v>
      </c>
      <c r="T3356" s="481">
        <v>31</v>
      </c>
      <c r="U3356" s="494" t="s">
        <v>164</v>
      </c>
      <c r="V3356" s="495"/>
      <c r="X3356" s="492">
        <v>6628</v>
      </c>
      <c r="Y3356" s="492"/>
      <c r="AJ3356" s="485"/>
      <c r="AK3356" s="505">
        <v>6628</v>
      </c>
    </row>
    <row r="3357" spans="1:77" s="473" customFormat="1" ht="11.25" customHeight="1">
      <c r="B3357" s="486" t="s">
        <v>290</v>
      </c>
      <c r="C3357" s="487"/>
      <c r="D3357" s="487"/>
      <c r="E3357" s="488" t="s">
        <v>2521</v>
      </c>
      <c r="F3357" s="472" t="s">
        <v>2522</v>
      </c>
      <c r="G3357" s="476" t="s">
        <v>2523</v>
      </c>
      <c r="H3357" s="473" t="s">
        <v>765</v>
      </c>
      <c r="I3357" s="491" t="s">
        <v>156</v>
      </c>
      <c r="J3357" s="490">
        <v>2305</v>
      </c>
      <c r="K3357" s="491"/>
      <c r="L3357" s="490">
        <v>2.5</v>
      </c>
      <c r="M3357" s="490">
        <v>2.5</v>
      </c>
      <c r="N3357" s="492"/>
      <c r="O3357" s="493">
        <v>0.3</v>
      </c>
      <c r="P3357" s="493">
        <v>0.05</v>
      </c>
      <c r="Q3357" s="492">
        <v>691.5</v>
      </c>
      <c r="R3357" s="472" t="s">
        <v>73</v>
      </c>
      <c r="S3357" s="481" t="s">
        <v>74</v>
      </c>
      <c r="T3357" s="481">
        <v>31</v>
      </c>
      <c r="U3357" s="494" t="s">
        <v>164</v>
      </c>
      <c r="V3357" s="495"/>
      <c r="X3357" s="492">
        <v>691.5</v>
      </c>
      <c r="Y3357" s="492"/>
      <c r="AJ3357" s="485"/>
      <c r="AK3357" s="505">
        <v>691.5</v>
      </c>
    </row>
    <row r="3358" spans="1:77" s="291" customFormat="1" ht="11.25" customHeight="1">
      <c r="B3358" s="313" t="s">
        <v>291</v>
      </c>
      <c r="C3358" s="292">
        <v>44735</v>
      </c>
      <c r="D3358" s="292">
        <v>44736</v>
      </c>
      <c r="E3358" s="293" t="s">
        <v>2524</v>
      </c>
      <c r="F3358" s="291" t="s">
        <v>1599</v>
      </c>
      <c r="G3358" s="294">
        <v>4283</v>
      </c>
      <c r="H3358" s="291" t="s">
        <v>192</v>
      </c>
      <c r="I3358" s="295" t="s">
        <v>156</v>
      </c>
      <c r="J3358" s="296">
        <v>29000.16</v>
      </c>
      <c r="K3358" s="295"/>
      <c r="L3358" s="296">
        <v>28</v>
      </c>
      <c r="M3358" s="296">
        <v>28.35</v>
      </c>
      <c r="N3358" s="297"/>
      <c r="O3358" s="298">
        <v>0.25</v>
      </c>
      <c r="P3358" s="298">
        <v>0.1</v>
      </c>
      <c r="Q3358" s="297">
        <v>4503.57</v>
      </c>
      <c r="R3358" s="291" t="s">
        <v>146</v>
      </c>
      <c r="S3358" s="299" t="s">
        <v>74</v>
      </c>
      <c r="T3358" s="299">
        <v>31</v>
      </c>
      <c r="U3358" s="300" t="s">
        <v>164</v>
      </c>
      <c r="V3358" s="333"/>
      <c r="X3358" s="297">
        <v>4503.57</v>
      </c>
      <c r="Y3358" s="297"/>
      <c r="AH3358" s="332">
        <f>X3358</f>
        <v>4503.57</v>
      </c>
      <c r="AI3358" s="311"/>
      <c r="AJ3358" s="468"/>
    </row>
    <row r="3359" spans="1:77" s="291" customFormat="1" ht="11.25" customHeight="1">
      <c r="B3359" s="313" t="s">
        <v>291</v>
      </c>
      <c r="C3359" s="292"/>
      <c r="D3359" s="292"/>
      <c r="E3359" s="293" t="s">
        <v>2524</v>
      </c>
      <c r="F3359" s="291" t="s">
        <v>1599</v>
      </c>
      <c r="G3359" s="294">
        <v>4283</v>
      </c>
      <c r="H3359" s="291" t="s">
        <v>250</v>
      </c>
      <c r="I3359" s="295" t="s">
        <v>156</v>
      </c>
      <c r="J3359" s="296">
        <v>68724</v>
      </c>
      <c r="K3359" s="295"/>
      <c r="L3359" s="296">
        <v>83</v>
      </c>
      <c r="M3359" s="296">
        <v>93.37</v>
      </c>
      <c r="N3359" s="297"/>
      <c r="O3359" s="298">
        <v>0.25</v>
      </c>
      <c r="P3359" s="298">
        <v>0.1</v>
      </c>
      <c r="Q3359" s="297">
        <v>34199.43</v>
      </c>
      <c r="R3359" s="291" t="s">
        <v>146</v>
      </c>
      <c r="S3359" s="299" t="s">
        <v>74</v>
      </c>
      <c r="T3359" s="299">
        <v>31</v>
      </c>
      <c r="U3359" s="300" t="s">
        <v>164</v>
      </c>
      <c r="V3359" s="333"/>
      <c r="X3359" s="297">
        <v>34199.43</v>
      </c>
      <c r="Y3359" s="297"/>
      <c r="AH3359" s="332">
        <f>X3359</f>
        <v>34199.43</v>
      </c>
      <c r="AI3359" s="311"/>
      <c r="AJ3359" s="468"/>
    </row>
    <row r="3360" spans="1:77" s="291" customFormat="1" ht="11.25" customHeight="1">
      <c r="B3360" s="313" t="s">
        <v>291</v>
      </c>
      <c r="C3360" s="292"/>
      <c r="D3360" s="292"/>
      <c r="E3360" s="293" t="s">
        <v>2524</v>
      </c>
      <c r="F3360" s="291" t="s">
        <v>1599</v>
      </c>
      <c r="G3360" s="294">
        <v>4283</v>
      </c>
      <c r="H3360" s="291" t="s">
        <v>356</v>
      </c>
      <c r="I3360" s="295" t="s">
        <v>156</v>
      </c>
      <c r="J3360" s="296">
        <v>5500</v>
      </c>
      <c r="K3360" s="295"/>
      <c r="L3360" s="296">
        <v>5.5</v>
      </c>
      <c r="M3360" s="296">
        <v>5.24</v>
      </c>
      <c r="N3360" s="297"/>
      <c r="O3360" s="298">
        <v>0.25</v>
      </c>
      <c r="P3360" s="298">
        <v>0.1</v>
      </c>
      <c r="Q3360" s="297">
        <v>0</v>
      </c>
      <c r="R3360" s="291" t="s">
        <v>146</v>
      </c>
      <c r="S3360" s="299" t="s">
        <v>74</v>
      </c>
      <c r="T3360" s="299">
        <v>31</v>
      </c>
      <c r="U3360" s="300" t="s">
        <v>164</v>
      </c>
      <c r="V3360" s="333"/>
      <c r="X3360" s="297">
        <v>0</v>
      </c>
      <c r="Y3360" s="297"/>
      <c r="AH3360" s="332">
        <f>X3360</f>
        <v>0</v>
      </c>
      <c r="AI3360" s="311"/>
      <c r="AJ3360" s="468"/>
    </row>
    <row r="3361" spans="1:77" s="291" customFormat="1" ht="11.25" customHeight="1">
      <c r="B3361" s="313" t="s">
        <v>291</v>
      </c>
      <c r="C3361" s="292"/>
      <c r="D3361" s="292"/>
      <c r="E3361" s="293" t="s">
        <v>2524</v>
      </c>
      <c r="F3361" s="291" t="s">
        <v>1599</v>
      </c>
      <c r="G3361" s="294">
        <v>4283</v>
      </c>
      <c r="H3361" s="291" t="s">
        <v>386</v>
      </c>
      <c r="I3361" s="295" t="s">
        <v>156</v>
      </c>
      <c r="J3361" s="296">
        <v>6613.75</v>
      </c>
      <c r="K3361" s="295"/>
      <c r="L3361" s="296">
        <v>6.5</v>
      </c>
      <c r="M3361" s="296">
        <v>6.63</v>
      </c>
      <c r="N3361" s="297"/>
      <c r="O3361" s="298">
        <v>0.25</v>
      </c>
      <c r="P3361" s="298">
        <v>0.1</v>
      </c>
      <c r="Q3361" s="297">
        <v>2083.4899999999998</v>
      </c>
      <c r="R3361" s="291" t="s">
        <v>146</v>
      </c>
      <c r="S3361" s="299" t="s">
        <v>74</v>
      </c>
      <c r="T3361" s="299">
        <v>31</v>
      </c>
      <c r="U3361" s="300" t="s">
        <v>164</v>
      </c>
      <c r="V3361" s="333"/>
      <c r="X3361" s="297">
        <v>2083.4899999999998</v>
      </c>
      <c r="Y3361" s="297"/>
      <c r="AH3361" s="332">
        <f>X3361</f>
        <v>2083.4899999999998</v>
      </c>
      <c r="AI3361" s="311"/>
      <c r="AJ3361" s="468"/>
    </row>
    <row r="3362" spans="1:77" s="291" customFormat="1" ht="11.25" customHeight="1">
      <c r="B3362" s="313" t="s">
        <v>291</v>
      </c>
      <c r="C3362" s="292">
        <v>44735</v>
      </c>
      <c r="D3362" s="292">
        <v>44736</v>
      </c>
      <c r="E3362" s="293" t="s">
        <v>2525</v>
      </c>
      <c r="F3362" s="303" t="s">
        <v>2526</v>
      </c>
      <c r="G3362" s="304" t="s">
        <v>2527</v>
      </c>
      <c r="H3362" s="291" t="s">
        <v>99</v>
      </c>
      <c r="I3362" s="295" t="s">
        <v>156</v>
      </c>
      <c r="J3362" s="296">
        <v>8846.0499999999993</v>
      </c>
      <c r="K3362" s="295"/>
      <c r="L3362" s="296">
        <v>10.39</v>
      </c>
      <c r="M3362" s="296">
        <v>10.39</v>
      </c>
      <c r="N3362" s="297"/>
      <c r="O3362" s="298">
        <v>0.25</v>
      </c>
      <c r="P3362" s="298">
        <v>0.1</v>
      </c>
      <c r="Q3362" s="297">
        <v>2712.7</v>
      </c>
      <c r="R3362" s="291" t="s">
        <v>146</v>
      </c>
      <c r="S3362" s="299" t="s">
        <v>74</v>
      </c>
      <c r="T3362" s="299">
        <v>31</v>
      </c>
      <c r="U3362" s="300" t="s">
        <v>164</v>
      </c>
      <c r="V3362" s="333"/>
      <c r="X3362" s="297">
        <v>2712.7</v>
      </c>
      <c r="Y3362" s="297"/>
      <c r="AH3362" s="291">
        <f>X3362</f>
        <v>2712.7</v>
      </c>
      <c r="AI3362" s="311"/>
      <c r="AJ3362" s="468"/>
    </row>
    <row r="3363" spans="1:77" s="261" customFormat="1" ht="11.25" customHeight="1">
      <c r="B3363" s="270" t="s">
        <v>291</v>
      </c>
      <c r="C3363" s="259"/>
      <c r="D3363" s="259"/>
      <c r="E3363" s="260" t="s">
        <v>2525</v>
      </c>
      <c r="F3363" s="273" t="s">
        <v>2526</v>
      </c>
      <c r="G3363" s="276" t="s">
        <v>2527</v>
      </c>
      <c r="H3363" s="261" t="s">
        <v>866</v>
      </c>
      <c r="I3363" s="264" t="s">
        <v>156</v>
      </c>
      <c r="J3363" s="263">
        <v>4030.88</v>
      </c>
      <c r="K3363" s="264"/>
      <c r="L3363" s="263">
        <v>4.29</v>
      </c>
      <c r="M3363" s="263">
        <v>4.29</v>
      </c>
      <c r="N3363" s="265"/>
      <c r="O3363" s="266">
        <v>0.25</v>
      </c>
      <c r="P3363" s="266">
        <v>0.1</v>
      </c>
      <c r="Q3363" s="265">
        <v>0</v>
      </c>
      <c r="R3363" s="261" t="s">
        <v>146</v>
      </c>
      <c r="S3363" s="267" t="s">
        <v>74</v>
      </c>
      <c r="T3363" s="267">
        <v>31</v>
      </c>
      <c r="U3363" s="268" t="s">
        <v>164</v>
      </c>
      <c r="V3363" s="427"/>
      <c r="X3363" s="265">
        <v>0</v>
      </c>
      <c r="Y3363" s="265"/>
      <c r="AG3363" s="261">
        <f>X3363</f>
        <v>0</v>
      </c>
      <c r="AJ3363" s="642"/>
    </row>
    <row r="3364" spans="1:77" s="261" customFormat="1" ht="11.25" customHeight="1">
      <c r="B3364" s="270" t="s">
        <v>291</v>
      </c>
      <c r="C3364" s="259"/>
      <c r="D3364" s="259"/>
      <c r="E3364" s="260" t="s">
        <v>2525</v>
      </c>
      <c r="F3364" s="273" t="s">
        <v>2526</v>
      </c>
      <c r="G3364" s="276" t="s">
        <v>2527</v>
      </c>
      <c r="H3364" s="261" t="s">
        <v>137</v>
      </c>
      <c r="I3364" s="264" t="s">
        <v>156</v>
      </c>
      <c r="J3364" s="263">
        <v>2049.3000000000002</v>
      </c>
      <c r="K3364" s="264"/>
      <c r="L3364" s="263">
        <v>2.5299999999999998</v>
      </c>
      <c r="M3364" s="263">
        <v>2.5299999999999998</v>
      </c>
      <c r="N3364" s="265"/>
      <c r="O3364" s="266">
        <v>0.25</v>
      </c>
      <c r="P3364" s="266">
        <v>0.1</v>
      </c>
      <c r="Q3364" s="265">
        <v>0</v>
      </c>
      <c r="R3364" s="261" t="s">
        <v>146</v>
      </c>
      <c r="S3364" s="267" t="s">
        <v>74</v>
      </c>
      <c r="T3364" s="267">
        <v>31</v>
      </c>
      <c r="U3364" s="268" t="s">
        <v>164</v>
      </c>
      <c r="V3364" s="427"/>
      <c r="X3364" s="265">
        <v>0</v>
      </c>
      <c r="Y3364" s="265"/>
      <c r="AG3364" s="261">
        <f>X3364</f>
        <v>0</v>
      </c>
      <c r="AJ3364" s="642"/>
    </row>
    <row r="3365" spans="1:77" s="261" customFormat="1" ht="11.25" customHeight="1">
      <c r="B3365" s="270" t="s">
        <v>291</v>
      </c>
      <c r="C3365" s="259"/>
      <c r="D3365" s="259"/>
      <c r="E3365" s="260" t="s">
        <v>2525</v>
      </c>
      <c r="F3365" s="273" t="s">
        <v>2526</v>
      </c>
      <c r="G3365" s="276" t="s">
        <v>2527</v>
      </c>
      <c r="H3365" s="261" t="s">
        <v>765</v>
      </c>
      <c r="I3365" s="264" t="s">
        <v>156</v>
      </c>
      <c r="J3365" s="263">
        <v>16576.560000000001</v>
      </c>
      <c r="K3365" s="264"/>
      <c r="L3365" s="263">
        <v>17.71</v>
      </c>
      <c r="M3365" s="263">
        <v>17.71</v>
      </c>
      <c r="N3365" s="265"/>
      <c r="O3365" s="266">
        <v>0.25</v>
      </c>
      <c r="P3365" s="266">
        <v>0.1</v>
      </c>
      <c r="Q3365" s="265">
        <v>0</v>
      </c>
      <c r="R3365" s="261" t="s">
        <v>146</v>
      </c>
      <c r="S3365" s="267" t="s">
        <v>74</v>
      </c>
      <c r="T3365" s="267">
        <v>31</v>
      </c>
      <c r="U3365" s="268" t="s">
        <v>164</v>
      </c>
      <c r="V3365" s="427"/>
      <c r="X3365" s="265">
        <v>0</v>
      </c>
      <c r="Y3365" s="265"/>
      <c r="AG3365" s="261">
        <f>X3365</f>
        <v>0</v>
      </c>
      <c r="AJ3365" s="642"/>
    </row>
    <row r="3366" spans="1:77" s="379" customFormat="1" ht="11.25" customHeight="1">
      <c r="B3366" s="406" t="s">
        <v>291</v>
      </c>
      <c r="C3366" s="381"/>
      <c r="D3366" s="381"/>
      <c r="E3366" s="382" t="s">
        <v>2530</v>
      </c>
      <c r="F3366" s="379" t="s">
        <v>1946</v>
      </c>
      <c r="G3366" s="383">
        <v>4065</v>
      </c>
      <c r="H3366" s="379" t="s">
        <v>898</v>
      </c>
      <c r="I3366" s="384" t="s">
        <v>156</v>
      </c>
      <c r="J3366" s="385">
        <v>5363.75</v>
      </c>
      <c r="K3366" s="384"/>
      <c r="L3366" s="385">
        <v>6.28</v>
      </c>
      <c r="M3366" s="385">
        <v>6.28</v>
      </c>
      <c r="N3366" s="386"/>
      <c r="O3366" s="387">
        <v>0.2</v>
      </c>
      <c r="P3366" s="387">
        <v>0.1</v>
      </c>
      <c r="Q3366" s="386">
        <v>3357.85</v>
      </c>
      <c r="R3366" s="379" t="s">
        <v>73</v>
      </c>
      <c r="S3366" s="388" t="s">
        <v>74</v>
      </c>
      <c r="T3366" s="388">
        <v>31</v>
      </c>
      <c r="U3366" s="389" t="s">
        <v>164</v>
      </c>
      <c r="V3366" s="433"/>
      <c r="X3366" s="386">
        <v>3357.85</v>
      </c>
      <c r="Y3366" s="386"/>
      <c r="AJ3366" s="416">
        <v>3357.85</v>
      </c>
    </row>
    <row r="3367" spans="1:77" s="379" customFormat="1" ht="11.25" customHeight="1">
      <c r="B3367" s="406" t="s">
        <v>291</v>
      </c>
      <c r="C3367" s="381"/>
      <c r="D3367" s="381"/>
      <c r="E3367" s="382" t="s">
        <v>2530</v>
      </c>
      <c r="F3367" s="379" t="s">
        <v>1946</v>
      </c>
      <c r="G3367" s="383">
        <v>4065</v>
      </c>
      <c r="H3367" s="379" t="s">
        <v>814</v>
      </c>
      <c r="I3367" s="384" t="s">
        <v>156</v>
      </c>
      <c r="J3367" s="385">
        <v>16513.48</v>
      </c>
      <c r="K3367" s="384"/>
      <c r="L3367" s="385">
        <v>14.09</v>
      </c>
      <c r="M3367" s="385">
        <v>14.09</v>
      </c>
      <c r="N3367" s="386"/>
      <c r="O3367" s="387">
        <v>0.2</v>
      </c>
      <c r="P3367" s="387">
        <v>0.1</v>
      </c>
      <c r="Q3367" s="386">
        <v>10396.93</v>
      </c>
      <c r="R3367" s="379" t="s">
        <v>73</v>
      </c>
      <c r="S3367" s="388" t="s">
        <v>74</v>
      </c>
      <c r="T3367" s="388">
        <v>31</v>
      </c>
      <c r="U3367" s="389" t="s">
        <v>164</v>
      </c>
      <c r="V3367" s="433"/>
      <c r="X3367" s="386">
        <v>10396.93</v>
      </c>
      <c r="Y3367" s="386"/>
      <c r="AJ3367" s="416">
        <v>10396.93</v>
      </c>
    </row>
    <row r="3368" spans="1:77" s="379" customFormat="1" ht="11.25" customHeight="1">
      <c r="B3368" s="406" t="s">
        <v>291</v>
      </c>
      <c r="C3368" s="381"/>
      <c r="D3368" s="381"/>
      <c r="E3368" s="382" t="s">
        <v>2530</v>
      </c>
      <c r="F3368" s="379" t="s">
        <v>1946</v>
      </c>
      <c r="G3368" s="383">
        <v>4065</v>
      </c>
      <c r="H3368" s="379" t="s">
        <v>765</v>
      </c>
      <c r="I3368" s="384" t="s">
        <v>156</v>
      </c>
      <c r="J3368" s="385">
        <v>56028</v>
      </c>
      <c r="K3368" s="384"/>
      <c r="L3368" s="385">
        <v>60.9</v>
      </c>
      <c r="M3368" s="385">
        <v>60.9</v>
      </c>
      <c r="N3368" s="386"/>
      <c r="O3368" s="387">
        <v>0.2</v>
      </c>
      <c r="P3368" s="387">
        <v>0.1</v>
      </c>
      <c r="Q3368" s="386">
        <v>18673.2</v>
      </c>
      <c r="R3368" s="379" t="s">
        <v>73</v>
      </c>
      <c r="S3368" s="388" t="s">
        <v>74</v>
      </c>
      <c r="T3368" s="388">
        <v>31</v>
      </c>
      <c r="U3368" s="389" t="s">
        <v>164</v>
      </c>
      <c r="V3368" s="433"/>
      <c r="X3368" s="386">
        <v>18673.2</v>
      </c>
      <c r="Y3368" s="386"/>
      <c r="AJ3368" s="416">
        <v>18673.2</v>
      </c>
    </row>
    <row r="3369" spans="1:77" s="205" customFormat="1" ht="11.25" customHeight="1">
      <c r="A3369" s="379"/>
      <c r="B3369" s="406" t="s">
        <v>291</v>
      </c>
      <c r="C3369" s="381"/>
      <c r="D3369" s="381"/>
      <c r="E3369" s="382" t="s">
        <v>2530</v>
      </c>
      <c r="F3369" s="379" t="s">
        <v>1946</v>
      </c>
      <c r="G3369" s="383">
        <v>4065</v>
      </c>
      <c r="H3369" s="379" t="s">
        <v>765</v>
      </c>
      <c r="I3369" s="384" t="s">
        <v>156</v>
      </c>
      <c r="J3369" s="385">
        <v>24354.12</v>
      </c>
      <c r="K3369" s="384"/>
      <c r="L3369" s="385">
        <v>25.69</v>
      </c>
      <c r="M3369" s="385">
        <v>25.69</v>
      </c>
      <c r="N3369" s="386"/>
      <c r="O3369" s="387">
        <v>0.2</v>
      </c>
      <c r="P3369" s="387">
        <v>0.1</v>
      </c>
      <c r="Q3369" s="386">
        <v>8218.31</v>
      </c>
      <c r="R3369" s="379" t="s">
        <v>73</v>
      </c>
      <c r="S3369" s="388" t="s">
        <v>74</v>
      </c>
      <c r="T3369" s="388">
        <v>32</v>
      </c>
      <c r="U3369" s="389" t="s">
        <v>164</v>
      </c>
      <c r="V3369" s="433"/>
      <c r="W3369" s="379"/>
      <c r="X3369" s="386">
        <v>8218.31</v>
      </c>
      <c r="Y3369" s="386"/>
      <c r="Z3369" s="379"/>
      <c r="AA3369" s="379"/>
      <c r="AB3369" s="379"/>
      <c r="AC3369" s="379"/>
      <c r="AD3369" s="379"/>
      <c r="AE3369" s="379"/>
      <c r="AF3369" s="379"/>
      <c r="AG3369" s="379"/>
      <c r="AH3369" s="379"/>
      <c r="AI3369" s="379"/>
      <c r="AJ3369" s="416">
        <v>8218.31</v>
      </c>
      <c r="AK3369" s="379"/>
      <c r="AL3369" s="379"/>
      <c r="AM3369" s="379"/>
      <c r="AN3369" s="379"/>
      <c r="AO3369" s="379"/>
      <c r="AP3369" s="379"/>
      <c r="AQ3369" s="379"/>
      <c r="AR3369" s="379"/>
      <c r="AS3369" s="379"/>
      <c r="AT3369" s="379"/>
      <c r="AU3369" s="379"/>
      <c r="AV3369" s="379"/>
      <c r="AW3369" s="379"/>
      <c r="AX3369" s="379"/>
      <c r="AY3369" s="379"/>
      <c r="AZ3369" s="379"/>
      <c r="BA3369" s="379"/>
      <c r="BB3369" s="379"/>
      <c r="BC3369" s="379"/>
      <c r="BD3369" s="379"/>
      <c r="BE3369" s="379"/>
      <c r="BF3369" s="379"/>
      <c r="BG3369" s="379"/>
      <c r="BH3369" s="379"/>
      <c r="BI3369" s="379"/>
      <c r="BJ3369" s="379"/>
      <c r="BK3369" s="379"/>
      <c r="BL3369" s="379"/>
      <c r="BM3369" s="379"/>
      <c r="BN3369" s="379"/>
      <c r="BO3369" s="379"/>
      <c r="BP3369" s="379"/>
      <c r="BQ3369" s="379"/>
      <c r="BR3369" s="379"/>
      <c r="BS3369" s="379"/>
      <c r="BT3369" s="379"/>
      <c r="BU3369" s="379"/>
      <c r="BV3369" s="379"/>
      <c r="BW3369" s="379"/>
      <c r="BX3369" s="379"/>
      <c r="BY3369" s="379"/>
    </row>
    <row r="3370" spans="1:77" s="205" customFormat="1" ht="11.25" customHeight="1">
      <c r="B3370" s="229" t="s">
        <v>291</v>
      </c>
      <c r="C3370" s="207">
        <v>44735</v>
      </c>
      <c r="D3370" s="207">
        <v>44736</v>
      </c>
      <c r="E3370" s="208" t="s">
        <v>2530</v>
      </c>
      <c r="F3370" s="205" t="s">
        <v>1946</v>
      </c>
      <c r="G3370" s="209">
        <v>4065</v>
      </c>
      <c r="H3370" s="205" t="s">
        <v>138</v>
      </c>
      <c r="I3370" s="219" t="s">
        <v>156</v>
      </c>
      <c r="J3370" s="210">
        <v>23963.94</v>
      </c>
      <c r="K3370" s="219"/>
      <c r="L3370" s="210">
        <v>19.11</v>
      </c>
      <c r="M3370" s="210">
        <v>19.11</v>
      </c>
      <c r="N3370" s="213"/>
      <c r="O3370" s="212">
        <v>0.2</v>
      </c>
      <c r="P3370" s="212">
        <v>0.1</v>
      </c>
      <c r="Q3370" s="213">
        <v>7253.4</v>
      </c>
      <c r="R3370" s="205" t="s">
        <v>73</v>
      </c>
      <c r="S3370" s="214" t="s">
        <v>74</v>
      </c>
      <c r="T3370" s="214">
        <v>31</v>
      </c>
      <c r="U3370" s="215" t="s">
        <v>164</v>
      </c>
      <c r="V3370" s="438"/>
      <c r="X3370" s="213">
        <v>7253.4</v>
      </c>
      <c r="Y3370" s="213"/>
      <c r="AF3370" s="230">
        <f>X3370</f>
        <v>7253.4</v>
      </c>
      <c r="AJ3370" s="216"/>
    </row>
    <row r="3371" spans="1:77" s="205" customFormat="1" ht="11.25" customHeight="1">
      <c r="B3371" s="229" t="s">
        <v>291</v>
      </c>
      <c r="C3371" s="207"/>
      <c r="D3371" s="207"/>
      <c r="E3371" s="208" t="s">
        <v>2530</v>
      </c>
      <c r="F3371" s="205" t="s">
        <v>1946</v>
      </c>
      <c r="G3371" s="209">
        <v>4065</v>
      </c>
      <c r="H3371" s="205" t="s">
        <v>510</v>
      </c>
      <c r="I3371" s="219" t="s">
        <v>156</v>
      </c>
      <c r="J3371" s="210">
        <v>44296</v>
      </c>
      <c r="K3371" s="219"/>
      <c r="L3371" s="210">
        <v>39.549999999999997</v>
      </c>
      <c r="M3371" s="210">
        <v>39.549999999999997</v>
      </c>
      <c r="N3371" s="213"/>
      <c r="O3371" s="212">
        <v>0.2</v>
      </c>
      <c r="P3371" s="212">
        <v>0.1</v>
      </c>
      <c r="Q3371" s="213">
        <v>5266.8</v>
      </c>
      <c r="R3371" s="205" t="s">
        <v>73</v>
      </c>
      <c r="S3371" s="214" t="s">
        <v>74</v>
      </c>
      <c r="T3371" s="214">
        <v>31</v>
      </c>
      <c r="U3371" s="215" t="s">
        <v>164</v>
      </c>
      <c r="V3371" s="438"/>
      <c r="X3371" s="213">
        <v>5266.8</v>
      </c>
      <c r="Y3371" s="213"/>
      <c r="AF3371" s="230">
        <f>X3371</f>
        <v>5266.8</v>
      </c>
      <c r="AJ3371" s="216"/>
    </row>
    <row r="3372" spans="1:77" s="205" customFormat="1" ht="11.25" customHeight="1">
      <c r="B3372" s="229" t="s">
        <v>291</v>
      </c>
      <c r="C3372" s="207"/>
      <c r="D3372" s="207"/>
      <c r="E3372" s="208" t="s">
        <v>2530</v>
      </c>
      <c r="F3372" s="205" t="s">
        <v>1946</v>
      </c>
      <c r="G3372" s="209">
        <v>4065</v>
      </c>
      <c r="H3372" s="205" t="s">
        <v>137</v>
      </c>
      <c r="I3372" s="219" t="s">
        <v>156</v>
      </c>
      <c r="J3372" s="210">
        <v>8966.4</v>
      </c>
      <c r="K3372" s="219"/>
      <c r="L3372" s="210">
        <v>9.34</v>
      </c>
      <c r="M3372" s="210">
        <v>9.34</v>
      </c>
      <c r="N3372" s="213"/>
      <c r="O3372" s="212">
        <v>0.2</v>
      </c>
      <c r="P3372" s="212">
        <v>0.1</v>
      </c>
      <c r="Q3372" s="213">
        <v>0</v>
      </c>
      <c r="R3372" s="205" t="s">
        <v>73</v>
      </c>
      <c r="S3372" s="214" t="s">
        <v>74</v>
      </c>
      <c r="T3372" s="214">
        <v>31</v>
      </c>
      <c r="U3372" s="215" t="s">
        <v>164</v>
      </c>
      <c r="V3372" s="438"/>
      <c r="X3372" s="213">
        <v>0</v>
      </c>
      <c r="Y3372" s="213"/>
      <c r="AF3372" s="230">
        <f>X3372</f>
        <v>0</v>
      </c>
      <c r="AJ3372" s="216"/>
    </row>
    <row r="3373" spans="1:77" s="205" customFormat="1" ht="11.25" customHeight="1">
      <c r="B3373" s="229" t="s">
        <v>291</v>
      </c>
      <c r="C3373" s="207"/>
      <c r="D3373" s="207"/>
      <c r="E3373" s="208" t="s">
        <v>2530</v>
      </c>
      <c r="F3373" s="205" t="s">
        <v>1946</v>
      </c>
      <c r="G3373" s="209">
        <v>4065</v>
      </c>
      <c r="H3373" s="205" t="s">
        <v>138</v>
      </c>
      <c r="I3373" s="219" t="s">
        <v>156</v>
      </c>
      <c r="J3373" s="210">
        <v>11887.92</v>
      </c>
      <c r="K3373" s="219"/>
      <c r="L3373" s="210">
        <v>9.48</v>
      </c>
      <c r="M3373" s="210">
        <v>9.48</v>
      </c>
      <c r="N3373" s="213"/>
      <c r="O3373" s="212">
        <v>0.2</v>
      </c>
      <c r="P3373" s="212">
        <v>0.1</v>
      </c>
      <c r="Q3373" s="213">
        <v>0</v>
      </c>
      <c r="R3373" s="205" t="s">
        <v>73</v>
      </c>
      <c r="S3373" s="214" t="s">
        <v>74</v>
      </c>
      <c r="T3373" s="214">
        <v>32</v>
      </c>
      <c r="U3373" s="215" t="s">
        <v>164</v>
      </c>
      <c r="V3373" s="438"/>
      <c r="X3373" s="213">
        <v>0</v>
      </c>
      <c r="Y3373" s="213"/>
      <c r="AF3373" s="230">
        <f>X3373</f>
        <v>0</v>
      </c>
      <c r="AJ3373" s="216"/>
    </row>
    <row r="3374" spans="1:77" s="379" customFormat="1" ht="11.25" customHeight="1">
      <c r="B3374" s="406" t="s">
        <v>291</v>
      </c>
      <c r="C3374" s="381">
        <v>44735</v>
      </c>
      <c r="D3374" s="381">
        <v>44736</v>
      </c>
      <c r="E3374" s="382" t="s">
        <v>2528</v>
      </c>
      <c r="F3374" s="379" t="s">
        <v>185</v>
      </c>
      <c r="G3374" s="400">
        <v>3951</v>
      </c>
      <c r="H3374" s="379" t="s">
        <v>910</v>
      </c>
      <c r="I3374" s="384" t="s">
        <v>156</v>
      </c>
      <c r="J3374" s="385">
        <v>65331.199999999997</v>
      </c>
      <c r="K3374" s="384"/>
      <c r="L3374" s="385">
        <v>37.119999999999997</v>
      </c>
      <c r="M3374" s="385">
        <v>20.18</v>
      </c>
      <c r="N3374" s="386"/>
      <c r="O3374" s="387">
        <v>0.2</v>
      </c>
      <c r="P3374" s="387">
        <v>0.1</v>
      </c>
      <c r="Q3374" s="386">
        <v>0</v>
      </c>
      <c r="R3374" s="379" t="s">
        <v>146</v>
      </c>
      <c r="S3374" s="388" t="s">
        <v>74</v>
      </c>
      <c r="T3374" s="388">
        <v>32</v>
      </c>
      <c r="U3374" s="389" t="s">
        <v>164</v>
      </c>
      <c r="V3374" s="433"/>
      <c r="X3374" s="386">
        <v>0</v>
      </c>
      <c r="Y3374" s="386"/>
      <c r="AJ3374" s="390">
        <v>0</v>
      </c>
    </row>
    <row r="3375" spans="1:77" s="379" customFormat="1" ht="11.25" customHeight="1">
      <c r="B3375" s="406" t="s">
        <v>291</v>
      </c>
      <c r="C3375" s="381"/>
      <c r="D3375" s="381"/>
      <c r="E3375" s="382" t="s">
        <v>2528</v>
      </c>
      <c r="F3375" s="379" t="s">
        <v>185</v>
      </c>
      <c r="G3375" s="400">
        <v>3951</v>
      </c>
      <c r="H3375" s="379" t="s">
        <v>814</v>
      </c>
      <c r="I3375" s="384" t="s">
        <v>156</v>
      </c>
      <c r="J3375" s="385">
        <v>15384.6</v>
      </c>
      <c r="K3375" s="384"/>
      <c r="L3375" s="385">
        <v>12.95</v>
      </c>
      <c r="M3375" s="385">
        <v>12.95</v>
      </c>
      <c r="N3375" s="386"/>
      <c r="O3375" s="387">
        <v>0.2</v>
      </c>
      <c r="P3375" s="387">
        <v>0.1</v>
      </c>
      <c r="Q3375" s="386">
        <v>0</v>
      </c>
      <c r="R3375" s="379" t="s">
        <v>146</v>
      </c>
      <c r="S3375" s="388" t="s">
        <v>74</v>
      </c>
      <c r="T3375" s="388">
        <v>32</v>
      </c>
      <c r="U3375" s="389" t="s">
        <v>164</v>
      </c>
      <c r="V3375" s="433"/>
      <c r="X3375" s="386">
        <v>0</v>
      </c>
      <c r="Y3375" s="386"/>
      <c r="AJ3375" s="390">
        <v>0</v>
      </c>
    </row>
    <row r="3376" spans="1:77" s="379" customFormat="1" ht="11.25" customHeight="1">
      <c r="B3376" s="406" t="s">
        <v>291</v>
      </c>
      <c r="C3376" s="381"/>
      <c r="D3376" s="381"/>
      <c r="E3376" s="382" t="s">
        <v>2528</v>
      </c>
      <c r="F3376" s="379" t="s">
        <v>185</v>
      </c>
      <c r="G3376" s="400">
        <v>3951</v>
      </c>
      <c r="H3376" s="379" t="s">
        <v>765</v>
      </c>
      <c r="I3376" s="384" t="s">
        <v>156</v>
      </c>
      <c r="J3376" s="385">
        <v>28371.200000000001</v>
      </c>
      <c r="K3376" s="384"/>
      <c r="L3376" s="385">
        <v>32.24</v>
      </c>
      <c r="M3376" s="385">
        <v>18.28</v>
      </c>
      <c r="N3376" s="386"/>
      <c r="O3376" s="387">
        <v>0.2</v>
      </c>
      <c r="P3376" s="387">
        <v>0.1</v>
      </c>
      <c r="Q3376" s="386">
        <v>0</v>
      </c>
      <c r="R3376" s="379" t="s">
        <v>146</v>
      </c>
      <c r="S3376" s="388" t="s">
        <v>74</v>
      </c>
      <c r="T3376" s="388">
        <v>32</v>
      </c>
      <c r="U3376" s="389" t="s">
        <v>164</v>
      </c>
      <c r="V3376" s="433"/>
      <c r="X3376" s="386">
        <v>0</v>
      </c>
      <c r="Y3376" s="386"/>
      <c r="AJ3376" s="390">
        <v>0</v>
      </c>
    </row>
    <row r="3377" spans="1:77" s="261" customFormat="1" ht="11.25" customHeight="1">
      <c r="B3377" s="258" t="s">
        <v>291</v>
      </c>
      <c r="C3377" s="259">
        <v>44735</v>
      </c>
      <c r="D3377" s="259">
        <v>44736</v>
      </c>
      <c r="E3377" s="260" t="s">
        <v>2529</v>
      </c>
      <c r="F3377" s="261" t="s">
        <v>1813</v>
      </c>
      <c r="G3377" s="262" t="s">
        <v>1814</v>
      </c>
      <c r="H3377" s="261" t="s">
        <v>27</v>
      </c>
      <c r="I3377" s="264" t="s">
        <v>156</v>
      </c>
      <c r="J3377" s="263">
        <v>58423.95</v>
      </c>
      <c r="K3377" s="264"/>
      <c r="L3377" s="263">
        <v>33.29</v>
      </c>
      <c r="M3377" s="263">
        <v>33.29</v>
      </c>
      <c r="N3377" s="265"/>
      <c r="O3377" s="266">
        <v>0.2</v>
      </c>
      <c r="P3377" s="266">
        <v>0.1</v>
      </c>
      <c r="Q3377" s="265">
        <v>0</v>
      </c>
      <c r="R3377" s="261" t="s">
        <v>73</v>
      </c>
      <c r="S3377" s="267" t="s">
        <v>74</v>
      </c>
      <c r="T3377" s="267">
        <v>31</v>
      </c>
      <c r="U3377" s="268" t="s">
        <v>164</v>
      </c>
      <c r="V3377" s="427"/>
      <c r="X3377" s="265">
        <v>0</v>
      </c>
      <c r="Y3377" s="265"/>
      <c r="AG3377" s="261">
        <f>X3377</f>
        <v>0</v>
      </c>
      <c r="AJ3377" s="642"/>
    </row>
    <row r="3378" spans="1:77" s="261" customFormat="1" ht="11.25" customHeight="1">
      <c r="B3378" s="258" t="s">
        <v>291</v>
      </c>
      <c r="C3378" s="259"/>
      <c r="D3378" s="259"/>
      <c r="E3378" s="260" t="s">
        <v>2529</v>
      </c>
      <c r="F3378" s="261" t="s">
        <v>1813</v>
      </c>
      <c r="G3378" s="262" t="s">
        <v>1814</v>
      </c>
      <c r="H3378" s="261" t="s">
        <v>138</v>
      </c>
      <c r="I3378" s="264" t="s">
        <v>156</v>
      </c>
      <c r="J3378" s="263">
        <v>37508.129999999997</v>
      </c>
      <c r="K3378" s="264"/>
      <c r="L3378" s="263">
        <v>25.95</v>
      </c>
      <c r="M3378" s="263">
        <v>25.95</v>
      </c>
      <c r="N3378" s="265"/>
      <c r="O3378" s="266">
        <v>0.2</v>
      </c>
      <c r="P3378" s="266">
        <v>0.1</v>
      </c>
      <c r="Q3378" s="265">
        <v>0</v>
      </c>
      <c r="R3378" s="261" t="s">
        <v>73</v>
      </c>
      <c r="S3378" s="267" t="s">
        <v>74</v>
      </c>
      <c r="T3378" s="267">
        <v>31</v>
      </c>
      <c r="U3378" s="268" t="s">
        <v>164</v>
      </c>
      <c r="V3378" s="427"/>
      <c r="X3378" s="265">
        <v>0</v>
      </c>
      <c r="Y3378" s="265"/>
      <c r="AG3378" s="261">
        <f>X3378</f>
        <v>0</v>
      </c>
      <c r="AJ3378" s="642"/>
    </row>
    <row r="3379" spans="1:77" s="261" customFormat="1" ht="11.25" customHeight="1">
      <c r="B3379" s="258" t="s">
        <v>291</v>
      </c>
      <c r="C3379" s="259"/>
      <c r="D3379" s="259"/>
      <c r="E3379" s="260" t="s">
        <v>2529</v>
      </c>
      <c r="F3379" s="261" t="s">
        <v>1813</v>
      </c>
      <c r="G3379" s="262" t="s">
        <v>1814</v>
      </c>
      <c r="H3379" s="261" t="s">
        <v>140</v>
      </c>
      <c r="I3379" s="264" t="s">
        <v>156</v>
      </c>
      <c r="J3379" s="263">
        <v>11575.95</v>
      </c>
      <c r="K3379" s="264"/>
      <c r="L3379" s="263">
        <v>6.74</v>
      </c>
      <c r="M3379" s="263">
        <v>6.74</v>
      </c>
      <c r="N3379" s="265"/>
      <c r="O3379" s="266">
        <v>0.2</v>
      </c>
      <c r="P3379" s="266">
        <v>0.1</v>
      </c>
      <c r="Q3379" s="265">
        <v>0</v>
      </c>
      <c r="R3379" s="261" t="s">
        <v>73</v>
      </c>
      <c r="S3379" s="267" t="s">
        <v>74</v>
      </c>
      <c r="T3379" s="267">
        <v>31</v>
      </c>
      <c r="U3379" s="268" t="s">
        <v>164</v>
      </c>
      <c r="V3379" s="427"/>
      <c r="X3379" s="265">
        <v>0</v>
      </c>
      <c r="Y3379" s="265"/>
      <c r="AG3379" s="261">
        <f>X3379</f>
        <v>0</v>
      </c>
      <c r="AJ3379" s="642"/>
    </row>
    <row r="3380" spans="1:77" s="261" customFormat="1" ht="11.25" customHeight="1">
      <c r="B3380" s="258" t="s">
        <v>291</v>
      </c>
      <c r="C3380" s="259"/>
      <c r="D3380" s="259"/>
      <c r="E3380" s="260" t="s">
        <v>2529</v>
      </c>
      <c r="F3380" s="261" t="s">
        <v>1813</v>
      </c>
      <c r="G3380" s="262" t="s">
        <v>1814</v>
      </c>
      <c r="H3380" s="261" t="s">
        <v>99</v>
      </c>
      <c r="I3380" s="264" t="s">
        <v>156</v>
      </c>
      <c r="J3380" s="263">
        <v>118900.8</v>
      </c>
      <c r="K3380" s="264"/>
      <c r="L3380" s="263">
        <v>86.16</v>
      </c>
      <c r="M3380" s="263">
        <v>86.16</v>
      </c>
      <c r="N3380" s="265"/>
      <c r="O3380" s="266">
        <v>0.2</v>
      </c>
      <c r="P3380" s="266">
        <v>0.1</v>
      </c>
      <c r="Q3380" s="265">
        <v>0</v>
      </c>
      <c r="R3380" s="261" t="s">
        <v>73</v>
      </c>
      <c r="S3380" s="267" t="s">
        <v>74</v>
      </c>
      <c r="T3380" s="267">
        <v>31</v>
      </c>
      <c r="U3380" s="268" t="s">
        <v>164</v>
      </c>
      <c r="V3380" s="427"/>
      <c r="X3380" s="265">
        <v>0</v>
      </c>
      <c r="Y3380" s="265"/>
      <c r="AG3380" s="261">
        <f>X3380</f>
        <v>0</v>
      </c>
      <c r="AJ3380" s="642"/>
    </row>
    <row r="3381" spans="1:77" s="205" customFormat="1" ht="11.25" customHeight="1">
      <c r="B3381" s="206" t="s">
        <v>291</v>
      </c>
      <c r="C3381" s="207">
        <v>44736</v>
      </c>
      <c r="D3381" s="207">
        <v>44736</v>
      </c>
      <c r="E3381" s="208" t="s">
        <v>2531</v>
      </c>
      <c r="F3381" s="205" t="s">
        <v>718</v>
      </c>
      <c r="G3381" s="209">
        <v>4142</v>
      </c>
      <c r="H3381" s="205" t="s">
        <v>27</v>
      </c>
      <c r="I3381" s="219" t="s">
        <v>156</v>
      </c>
      <c r="J3381" s="210">
        <v>49547.55</v>
      </c>
      <c r="K3381" s="219"/>
      <c r="L3381" s="210">
        <v>49.33</v>
      </c>
      <c r="M3381" s="210">
        <v>49.33</v>
      </c>
      <c r="N3381" s="213"/>
      <c r="O3381" s="212">
        <v>0.3</v>
      </c>
      <c r="P3381" s="212">
        <v>0.1</v>
      </c>
      <c r="Q3381" s="213">
        <v>0</v>
      </c>
      <c r="R3381" s="218" t="s">
        <v>73</v>
      </c>
      <c r="S3381" s="221" t="s">
        <v>74</v>
      </c>
      <c r="T3381" s="221">
        <v>81</v>
      </c>
      <c r="U3381" s="215" t="s">
        <v>164</v>
      </c>
      <c r="V3381" s="438"/>
      <c r="X3381" s="213">
        <v>0</v>
      </c>
      <c r="Y3381" s="213"/>
      <c r="AF3381" s="230">
        <f>X3381</f>
        <v>0</v>
      </c>
      <c r="AJ3381" s="216"/>
    </row>
    <row r="3382" spans="1:77" s="337" customFormat="1" ht="11.25" customHeight="1">
      <c r="B3382" s="337" t="s">
        <v>291</v>
      </c>
      <c r="C3382" s="349"/>
      <c r="D3382" s="349"/>
      <c r="E3382" s="350" t="s">
        <v>2532</v>
      </c>
      <c r="F3382" s="337" t="s">
        <v>419</v>
      </c>
      <c r="G3382" s="351" t="s">
        <v>420</v>
      </c>
      <c r="H3382" s="337" t="s">
        <v>1018</v>
      </c>
      <c r="I3382" s="353" t="s">
        <v>156</v>
      </c>
      <c r="J3382" s="352">
        <v>12342</v>
      </c>
      <c r="K3382" s="353"/>
      <c r="L3382" s="352">
        <v>11</v>
      </c>
      <c r="M3382" s="352">
        <v>11</v>
      </c>
      <c r="N3382" s="354"/>
      <c r="O3382" s="355">
        <v>0.2</v>
      </c>
      <c r="P3382" s="355">
        <v>0.1</v>
      </c>
      <c r="Q3382" s="354">
        <v>0</v>
      </c>
      <c r="R3382" s="337" t="s">
        <v>257</v>
      </c>
      <c r="S3382" s="356" t="s">
        <v>3078</v>
      </c>
      <c r="T3382" s="356">
        <v>47</v>
      </c>
      <c r="U3382" s="357" t="s">
        <v>164</v>
      </c>
      <c r="V3382" s="434"/>
      <c r="X3382" s="354">
        <v>0</v>
      </c>
      <c r="Y3382" s="354"/>
      <c r="AI3382" s="337">
        <f>X3382</f>
        <v>0</v>
      </c>
      <c r="AJ3382" s="358"/>
      <c r="AK3382" s="369"/>
    </row>
    <row r="3383" spans="1:77" s="337" customFormat="1" ht="11.25" customHeight="1">
      <c r="B3383" s="337" t="s">
        <v>291</v>
      </c>
      <c r="C3383" s="349"/>
      <c r="D3383" s="349"/>
      <c r="E3383" s="350" t="s">
        <v>2532</v>
      </c>
      <c r="F3383" s="337" t="s">
        <v>419</v>
      </c>
      <c r="G3383" s="351" t="s">
        <v>420</v>
      </c>
      <c r="H3383" s="337" t="s">
        <v>1138</v>
      </c>
      <c r="I3383" s="353" t="s">
        <v>156</v>
      </c>
      <c r="J3383" s="352">
        <v>16562</v>
      </c>
      <c r="K3383" s="353"/>
      <c r="L3383" s="352">
        <v>13</v>
      </c>
      <c r="M3383" s="352">
        <v>7.2</v>
      </c>
      <c r="N3383" s="354"/>
      <c r="O3383" s="355">
        <v>0.2</v>
      </c>
      <c r="P3383" s="355">
        <v>0.1</v>
      </c>
      <c r="Q3383" s="354">
        <v>0</v>
      </c>
      <c r="R3383" s="337" t="s">
        <v>257</v>
      </c>
      <c r="S3383" s="356" t="s">
        <v>3078</v>
      </c>
      <c r="T3383" s="356">
        <v>47</v>
      </c>
      <c r="U3383" s="357" t="s">
        <v>164</v>
      </c>
      <c r="V3383" s="434"/>
      <c r="X3383" s="354">
        <v>0</v>
      </c>
      <c r="Y3383" s="354"/>
      <c r="AI3383" s="337">
        <v>0</v>
      </c>
      <c r="AJ3383" s="358"/>
      <c r="AK3383" s="369"/>
    </row>
    <row r="3384" spans="1:77" s="291" customFormat="1" ht="11.25" customHeight="1">
      <c r="B3384" s="291" t="s">
        <v>291</v>
      </c>
      <c r="C3384" s="292">
        <v>44733</v>
      </c>
      <c r="D3384" s="292">
        <v>44736</v>
      </c>
      <c r="E3384" s="293" t="s">
        <v>2532</v>
      </c>
      <c r="F3384" s="291" t="s">
        <v>419</v>
      </c>
      <c r="G3384" s="294" t="s">
        <v>420</v>
      </c>
      <c r="H3384" s="291" t="s">
        <v>192</v>
      </c>
      <c r="I3384" s="295" t="s">
        <v>156</v>
      </c>
      <c r="J3384" s="296">
        <v>4860</v>
      </c>
      <c r="K3384" s="295"/>
      <c r="L3384" s="296">
        <v>7.2</v>
      </c>
      <c r="M3384" s="296">
        <v>1.75</v>
      </c>
      <c r="N3384" s="297"/>
      <c r="O3384" s="298">
        <v>0.2</v>
      </c>
      <c r="P3384" s="298">
        <v>0.1</v>
      </c>
      <c r="Q3384" s="297">
        <v>486</v>
      </c>
      <c r="R3384" s="291" t="s">
        <v>257</v>
      </c>
      <c r="S3384" s="299" t="s">
        <v>3078</v>
      </c>
      <c r="T3384" s="299">
        <v>47</v>
      </c>
      <c r="U3384" s="300" t="s">
        <v>164</v>
      </c>
      <c r="V3384" s="333"/>
      <c r="X3384" s="297">
        <v>486</v>
      </c>
      <c r="Y3384" s="297"/>
      <c r="AH3384" s="291">
        <f>X3384</f>
        <v>486</v>
      </c>
      <c r="AI3384" s="311"/>
      <c r="AJ3384" s="468"/>
    </row>
    <row r="3385" spans="1:77" s="291" customFormat="1" ht="11.25" customHeight="1">
      <c r="B3385" s="291" t="s">
        <v>291</v>
      </c>
      <c r="C3385" s="292"/>
      <c r="D3385" s="292"/>
      <c r="E3385" s="293" t="s">
        <v>2532</v>
      </c>
      <c r="F3385" s="291" t="s">
        <v>419</v>
      </c>
      <c r="G3385" s="294" t="s">
        <v>420</v>
      </c>
      <c r="H3385" s="291" t="s">
        <v>386</v>
      </c>
      <c r="I3385" s="295" t="s">
        <v>156</v>
      </c>
      <c r="J3385" s="296">
        <v>50625</v>
      </c>
      <c r="K3385" s="295"/>
      <c r="L3385" s="296">
        <v>27</v>
      </c>
      <c r="M3385" s="296">
        <v>17</v>
      </c>
      <c r="N3385" s="297"/>
      <c r="O3385" s="298">
        <v>0.2</v>
      </c>
      <c r="P3385" s="298">
        <v>0.1</v>
      </c>
      <c r="Q3385" s="297">
        <v>22761</v>
      </c>
      <c r="R3385" s="291" t="s">
        <v>257</v>
      </c>
      <c r="S3385" s="299" t="s">
        <v>3078</v>
      </c>
      <c r="T3385" s="299">
        <v>47</v>
      </c>
      <c r="U3385" s="300" t="s">
        <v>164</v>
      </c>
      <c r="V3385" s="333"/>
      <c r="X3385" s="297">
        <v>22761</v>
      </c>
      <c r="Y3385" s="297"/>
      <c r="AH3385" s="291">
        <f>X3385</f>
        <v>22761</v>
      </c>
      <c r="AI3385" s="311"/>
      <c r="AJ3385" s="468"/>
    </row>
    <row r="3386" spans="1:77" s="291" customFormat="1" ht="11.25" customHeight="1">
      <c r="B3386" s="291" t="s">
        <v>291</v>
      </c>
      <c r="C3386" s="292"/>
      <c r="D3386" s="292"/>
      <c r="E3386" s="293" t="s">
        <v>2532</v>
      </c>
      <c r="F3386" s="291" t="s">
        <v>419</v>
      </c>
      <c r="G3386" s="294" t="s">
        <v>420</v>
      </c>
      <c r="H3386" s="291" t="s">
        <v>684</v>
      </c>
      <c r="I3386" s="295" t="s">
        <v>156</v>
      </c>
      <c r="J3386" s="296">
        <v>9517.5</v>
      </c>
      <c r="K3386" s="295"/>
      <c r="L3386" s="296">
        <v>9.4</v>
      </c>
      <c r="M3386" s="296">
        <v>9.4</v>
      </c>
      <c r="N3386" s="297"/>
      <c r="O3386" s="298">
        <v>0.2</v>
      </c>
      <c r="P3386" s="298">
        <v>0.1</v>
      </c>
      <c r="Q3386" s="297">
        <v>1776.6</v>
      </c>
      <c r="R3386" s="291" t="s">
        <v>257</v>
      </c>
      <c r="S3386" s="299" t="s">
        <v>3078</v>
      </c>
      <c r="T3386" s="299">
        <v>47</v>
      </c>
      <c r="U3386" s="300" t="s">
        <v>164</v>
      </c>
      <c r="V3386" s="333"/>
      <c r="X3386" s="297">
        <v>1776.6</v>
      </c>
      <c r="Y3386" s="297"/>
      <c r="AH3386" s="291">
        <f>X3386</f>
        <v>1776.6</v>
      </c>
      <c r="AI3386" s="311"/>
      <c r="AJ3386" s="468"/>
    </row>
    <row r="3387" spans="1:77" s="379" customFormat="1" ht="11.25" customHeight="1">
      <c r="B3387" s="379" t="s">
        <v>291</v>
      </c>
      <c r="C3387" s="381">
        <v>44733</v>
      </c>
      <c r="D3387" s="381">
        <v>44736</v>
      </c>
      <c r="E3387" s="382" t="s">
        <v>2533</v>
      </c>
      <c r="F3387" s="379" t="s">
        <v>283</v>
      </c>
      <c r="G3387" s="383" t="s">
        <v>284</v>
      </c>
      <c r="H3387" s="379" t="s">
        <v>183</v>
      </c>
      <c r="I3387" s="384" t="s">
        <v>961</v>
      </c>
      <c r="J3387" s="385">
        <v>6514.33</v>
      </c>
      <c r="K3387" s="384"/>
      <c r="L3387" s="385">
        <v>6.79</v>
      </c>
      <c r="M3387" s="385">
        <v>6.78</v>
      </c>
      <c r="N3387" s="386"/>
      <c r="O3387" s="387">
        <v>0.2</v>
      </c>
      <c r="P3387" s="387"/>
      <c r="Q3387" s="386">
        <v>1664.63</v>
      </c>
      <c r="R3387" s="379" t="s">
        <v>285</v>
      </c>
      <c r="S3387" s="388" t="s">
        <v>275</v>
      </c>
      <c r="T3387" s="388">
        <v>21</v>
      </c>
      <c r="U3387" s="389" t="s">
        <v>164</v>
      </c>
      <c r="V3387" s="433"/>
      <c r="X3387" s="386">
        <v>1664.63</v>
      </c>
      <c r="Y3387" s="386"/>
      <c r="AJ3387" s="416">
        <v>1664.63</v>
      </c>
    </row>
    <row r="3388" spans="1:77" s="473" customFormat="1" ht="11.25" customHeight="1">
      <c r="B3388" s="486" t="s">
        <v>390</v>
      </c>
      <c r="C3388" s="487">
        <v>44733</v>
      </c>
      <c r="D3388" s="487">
        <v>44736</v>
      </c>
      <c r="E3388" s="488" t="s">
        <v>2534</v>
      </c>
      <c r="F3388" s="473" t="s">
        <v>2535</v>
      </c>
      <c r="G3388" s="489">
        <v>1022</v>
      </c>
      <c r="H3388" s="473" t="s">
        <v>393</v>
      </c>
      <c r="I3388" s="491" t="s">
        <v>156</v>
      </c>
      <c r="J3388" s="490">
        <v>661733.85</v>
      </c>
      <c r="K3388" s="491"/>
      <c r="L3388" s="490">
        <v>15.01</v>
      </c>
      <c r="M3388" s="490">
        <v>15.01</v>
      </c>
      <c r="N3388" s="492">
        <f>0.2*(4.136*867*50.88)</f>
        <v>36490.240512000011</v>
      </c>
      <c r="O3388" s="493">
        <v>0.25</v>
      </c>
      <c r="P3388" s="493"/>
      <c r="Q3388" s="492">
        <v>0</v>
      </c>
      <c r="R3388" s="473" t="s">
        <v>782</v>
      </c>
      <c r="S3388" s="481" t="s">
        <v>65</v>
      </c>
      <c r="T3388" s="481">
        <v>71</v>
      </c>
      <c r="U3388" s="494" t="s">
        <v>164</v>
      </c>
      <c r="V3388" s="495"/>
      <c r="X3388" s="492">
        <v>0</v>
      </c>
      <c r="Y3388" s="492"/>
      <c r="AJ3388" s="485"/>
      <c r="AK3388" s="473">
        <v>0</v>
      </c>
    </row>
    <row r="3389" spans="1:77" s="205" customFormat="1" ht="11.25" customHeight="1">
      <c r="A3389" s="379"/>
      <c r="B3389" s="380" t="s">
        <v>291</v>
      </c>
      <c r="C3389" s="381"/>
      <c r="D3389" s="381"/>
      <c r="E3389" s="382" t="s">
        <v>2536</v>
      </c>
      <c r="F3389" s="379" t="s">
        <v>1625</v>
      </c>
      <c r="G3389" s="388">
        <v>4122</v>
      </c>
      <c r="H3389" s="379" t="s">
        <v>814</v>
      </c>
      <c r="I3389" s="384" t="s">
        <v>156</v>
      </c>
      <c r="J3389" s="385">
        <v>19787.16</v>
      </c>
      <c r="K3389" s="384"/>
      <c r="L3389" s="385">
        <v>12.91</v>
      </c>
      <c r="M3389" s="385">
        <v>3.8</v>
      </c>
      <c r="N3389" s="386"/>
      <c r="O3389" s="387">
        <v>0.15</v>
      </c>
      <c r="P3389" s="387">
        <v>0.1</v>
      </c>
      <c r="Q3389" s="386">
        <v>0</v>
      </c>
      <c r="R3389" s="379" t="s">
        <v>73</v>
      </c>
      <c r="S3389" s="388" t="s">
        <v>74</v>
      </c>
      <c r="T3389" s="388">
        <v>31</v>
      </c>
      <c r="U3389" s="389" t="s">
        <v>164</v>
      </c>
      <c r="V3389" s="433"/>
      <c r="W3389" s="379"/>
      <c r="X3389" s="386">
        <v>0</v>
      </c>
      <c r="Y3389" s="386"/>
      <c r="Z3389" s="379"/>
      <c r="AA3389" s="379"/>
      <c r="AB3389" s="379"/>
      <c r="AC3389" s="379"/>
      <c r="AD3389" s="379"/>
      <c r="AE3389" s="379"/>
      <c r="AF3389" s="379"/>
      <c r="AG3389" s="379"/>
      <c r="AH3389" s="379"/>
      <c r="AI3389" s="379"/>
      <c r="AJ3389" s="390">
        <v>0</v>
      </c>
      <c r="AK3389" s="379"/>
      <c r="AL3389" s="379"/>
      <c r="AM3389" s="379"/>
      <c r="AN3389" s="379"/>
      <c r="AO3389" s="379"/>
      <c r="AP3389" s="379"/>
      <c r="AQ3389" s="379"/>
      <c r="AR3389" s="379"/>
      <c r="AS3389" s="379"/>
      <c r="AT3389" s="379"/>
      <c r="AU3389" s="379"/>
      <c r="AV3389" s="379"/>
      <c r="AW3389" s="379"/>
      <c r="AX3389" s="379"/>
      <c r="AY3389" s="379"/>
      <c r="AZ3389" s="379"/>
      <c r="BA3389" s="379"/>
      <c r="BB3389" s="379"/>
      <c r="BC3389" s="379"/>
      <c r="BD3389" s="379"/>
      <c r="BE3389" s="379"/>
      <c r="BF3389" s="379"/>
      <c r="BG3389" s="379"/>
      <c r="BH3389" s="379"/>
      <c r="BI3389" s="379"/>
      <c r="BJ3389" s="379"/>
      <c r="BK3389" s="379"/>
      <c r="BL3389" s="379"/>
      <c r="BM3389" s="379"/>
      <c r="BN3389" s="379"/>
      <c r="BO3389" s="379"/>
      <c r="BP3389" s="379"/>
      <c r="BQ3389" s="379"/>
      <c r="BR3389" s="379"/>
      <c r="BS3389" s="379"/>
      <c r="BT3389" s="379"/>
      <c r="BU3389" s="379"/>
      <c r="BV3389" s="379"/>
      <c r="BW3389" s="379"/>
      <c r="BX3389" s="379"/>
      <c r="BY3389" s="379"/>
    </row>
    <row r="3390" spans="1:77" s="6" customFormat="1" ht="11.25" customHeight="1">
      <c r="A3390" s="379"/>
      <c r="B3390" s="380" t="s">
        <v>291</v>
      </c>
      <c r="C3390" s="381"/>
      <c r="D3390" s="381"/>
      <c r="E3390" s="382" t="s">
        <v>2536</v>
      </c>
      <c r="F3390" s="379" t="s">
        <v>1625</v>
      </c>
      <c r="G3390" s="388">
        <v>4122</v>
      </c>
      <c r="H3390" s="379" t="s">
        <v>866</v>
      </c>
      <c r="I3390" s="384" t="s">
        <v>156</v>
      </c>
      <c r="J3390" s="385">
        <v>23443.200000000001</v>
      </c>
      <c r="K3390" s="384"/>
      <c r="L3390" s="385">
        <v>29.98</v>
      </c>
      <c r="M3390" s="385">
        <v>16.25</v>
      </c>
      <c r="N3390" s="386"/>
      <c r="O3390" s="387">
        <v>0.15</v>
      </c>
      <c r="P3390" s="387">
        <v>0.1</v>
      </c>
      <c r="Q3390" s="386">
        <v>10879.02</v>
      </c>
      <c r="R3390" s="379" t="s">
        <v>73</v>
      </c>
      <c r="S3390" s="388" t="s">
        <v>74</v>
      </c>
      <c r="T3390" s="388">
        <v>31</v>
      </c>
      <c r="U3390" s="389" t="s">
        <v>164</v>
      </c>
      <c r="V3390" s="433"/>
      <c r="W3390" s="379"/>
      <c r="X3390" s="386">
        <v>10879.02</v>
      </c>
      <c r="Y3390" s="386"/>
      <c r="Z3390" s="379"/>
      <c r="AA3390" s="379"/>
      <c r="AB3390" s="379"/>
      <c r="AC3390" s="379"/>
      <c r="AD3390" s="379"/>
      <c r="AE3390" s="379"/>
      <c r="AF3390" s="379"/>
      <c r="AG3390" s="379"/>
      <c r="AH3390" s="379"/>
      <c r="AI3390" s="379"/>
      <c r="AJ3390" s="416">
        <v>10879.02</v>
      </c>
      <c r="AK3390" s="379"/>
      <c r="AL3390" s="379"/>
      <c r="AM3390" s="379"/>
      <c r="AN3390" s="379"/>
      <c r="AO3390" s="379"/>
      <c r="AP3390" s="379"/>
      <c r="AQ3390" s="379"/>
      <c r="AR3390" s="379"/>
      <c r="AS3390" s="379"/>
      <c r="AT3390" s="379"/>
      <c r="AU3390" s="379"/>
      <c r="AV3390" s="379"/>
      <c r="AW3390" s="379"/>
      <c r="AX3390" s="379"/>
      <c r="AY3390" s="379"/>
      <c r="AZ3390" s="379"/>
      <c r="BA3390" s="379"/>
      <c r="BB3390" s="379"/>
      <c r="BC3390" s="379"/>
      <c r="BD3390" s="379"/>
      <c r="BE3390" s="379"/>
      <c r="BF3390" s="379"/>
      <c r="BG3390" s="379"/>
      <c r="BH3390" s="379"/>
      <c r="BI3390" s="379"/>
      <c r="BJ3390" s="379"/>
      <c r="BK3390" s="379"/>
      <c r="BL3390" s="379"/>
      <c r="BM3390" s="379"/>
      <c r="BN3390" s="379"/>
      <c r="BO3390" s="379"/>
      <c r="BP3390" s="379"/>
      <c r="BQ3390" s="379"/>
      <c r="BR3390" s="379"/>
      <c r="BS3390" s="379"/>
      <c r="BT3390" s="379"/>
      <c r="BU3390" s="379"/>
      <c r="BV3390" s="379"/>
      <c r="BW3390" s="379"/>
      <c r="BX3390" s="379"/>
      <c r="BY3390" s="379"/>
    </row>
    <row r="3391" spans="1:77" s="205" customFormat="1" ht="11.25" customHeight="1">
      <c r="B3391" s="206" t="s">
        <v>291</v>
      </c>
      <c r="C3391" s="207">
        <v>44735</v>
      </c>
      <c r="D3391" s="207">
        <v>44737</v>
      </c>
      <c r="E3391" s="208" t="s">
        <v>2536</v>
      </c>
      <c r="F3391" s="205" t="s">
        <v>1625</v>
      </c>
      <c r="G3391" s="214">
        <v>4122</v>
      </c>
      <c r="H3391" s="205" t="s">
        <v>99</v>
      </c>
      <c r="I3391" s="219" t="s">
        <v>156</v>
      </c>
      <c r="J3391" s="210">
        <v>60153.599999999999</v>
      </c>
      <c r="K3391" s="219"/>
      <c r="L3391" s="210">
        <v>41.6</v>
      </c>
      <c r="M3391" s="210">
        <v>5.64</v>
      </c>
      <c r="N3391" s="213"/>
      <c r="O3391" s="212">
        <v>0.15</v>
      </c>
      <c r="P3391" s="212">
        <v>0.1</v>
      </c>
      <c r="Q3391" s="213">
        <v>0</v>
      </c>
      <c r="R3391" s="205" t="s">
        <v>73</v>
      </c>
      <c r="S3391" s="214" t="s">
        <v>74</v>
      </c>
      <c r="T3391" s="214">
        <v>31</v>
      </c>
      <c r="U3391" s="215" t="s">
        <v>164</v>
      </c>
      <c r="V3391" s="438"/>
      <c r="X3391" s="213">
        <v>0</v>
      </c>
      <c r="Y3391" s="213"/>
      <c r="AF3391" s="230">
        <f>X3391</f>
        <v>0</v>
      </c>
      <c r="AJ3391" s="216"/>
    </row>
    <row r="3392" spans="1:77" s="261" customFormat="1" ht="11.25" customHeight="1">
      <c r="B3392" s="258" t="s">
        <v>291</v>
      </c>
      <c r="C3392" s="259"/>
      <c r="D3392" s="259"/>
      <c r="E3392" s="260" t="s">
        <v>2536</v>
      </c>
      <c r="F3392" s="261" t="s">
        <v>1625</v>
      </c>
      <c r="G3392" s="267">
        <v>4122</v>
      </c>
      <c r="H3392" s="261" t="s">
        <v>162</v>
      </c>
      <c r="I3392" s="264" t="s">
        <v>156</v>
      </c>
      <c r="J3392" s="263">
        <v>1221.44</v>
      </c>
      <c r="K3392" s="264"/>
      <c r="L3392" s="263">
        <v>3.47</v>
      </c>
      <c r="M3392" s="263">
        <v>3.45</v>
      </c>
      <c r="N3392" s="265"/>
      <c r="O3392" s="266">
        <v>0.15</v>
      </c>
      <c r="P3392" s="266">
        <v>0.1</v>
      </c>
      <c r="Q3392" s="265">
        <v>65.239999999999995</v>
      </c>
      <c r="R3392" s="261" t="s">
        <v>73</v>
      </c>
      <c r="S3392" s="267" t="s">
        <v>74</v>
      </c>
      <c r="T3392" s="267">
        <v>31</v>
      </c>
      <c r="U3392" s="268" t="s">
        <v>164</v>
      </c>
      <c r="V3392" s="427"/>
      <c r="X3392" s="265">
        <v>65.239999999999995</v>
      </c>
      <c r="Y3392" s="265"/>
      <c r="AG3392" s="261">
        <f>X3392</f>
        <v>65.239999999999995</v>
      </c>
      <c r="AJ3392" s="642"/>
    </row>
    <row r="3393" spans="1:77" s="261" customFormat="1" ht="11.25" customHeight="1">
      <c r="B3393" s="261" t="s">
        <v>291</v>
      </c>
      <c r="C3393" s="259">
        <v>44736</v>
      </c>
      <c r="D3393" s="259">
        <v>44738</v>
      </c>
      <c r="E3393" s="260" t="s">
        <v>2537</v>
      </c>
      <c r="F3393" s="261" t="s">
        <v>908</v>
      </c>
      <c r="G3393" s="262">
        <v>3673</v>
      </c>
      <c r="H3393" s="261" t="s">
        <v>99</v>
      </c>
      <c r="I3393" s="264" t="s">
        <v>33</v>
      </c>
      <c r="J3393" s="263">
        <v>114328.5</v>
      </c>
      <c r="K3393" s="264"/>
      <c r="L3393" s="263">
        <v>106.6</v>
      </c>
      <c r="M3393" s="263">
        <v>106.6</v>
      </c>
      <c r="N3393" s="265">
        <v>11432.85</v>
      </c>
      <c r="O3393" s="266">
        <v>0.2</v>
      </c>
      <c r="P3393" s="266"/>
      <c r="Q3393" s="265">
        <v>0</v>
      </c>
      <c r="R3393" s="261" t="s">
        <v>50</v>
      </c>
      <c r="S3393" s="267" t="s">
        <v>51</v>
      </c>
      <c r="T3393" s="267">
        <v>55</v>
      </c>
      <c r="U3393" s="268" t="s">
        <v>164</v>
      </c>
      <c r="V3393" s="427"/>
      <c r="X3393" s="265">
        <v>0</v>
      </c>
      <c r="Y3393" s="265"/>
      <c r="AG3393" s="261">
        <f>X3393</f>
        <v>0</v>
      </c>
      <c r="AJ3393" s="642"/>
    </row>
    <row r="3394" spans="1:77" s="261" customFormat="1" ht="11.25" customHeight="1">
      <c r="B3394" s="261" t="s">
        <v>291</v>
      </c>
      <c r="C3394" s="259"/>
      <c r="D3394" s="259"/>
      <c r="E3394" s="260" t="s">
        <v>2537</v>
      </c>
      <c r="F3394" s="261" t="s">
        <v>908</v>
      </c>
      <c r="G3394" s="262">
        <v>3673</v>
      </c>
      <c r="H3394" s="261" t="s">
        <v>137</v>
      </c>
      <c r="I3394" s="264" t="s">
        <v>33</v>
      </c>
      <c r="J3394" s="263">
        <v>27253.78</v>
      </c>
      <c r="K3394" s="264"/>
      <c r="L3394" s="263">
        <v>30.16</v>
      </c>
      <c r="M3394" s="263">
        <v>30</v>
      </c>
      <c r="N3394" s="265">
        <v>6813.4456</v>
      </c>
      <c r="O3394" s="266">
        <v>0.2</v>
      </c>
      <c r="P3394" s="266"/>
      <c r="Q3394" s="265">
        <v>0</v>
      </c>
      <c r="R3394" s="261" t="s">
        <v>50</v>
      </c>
      <c r="S3394" s="267" t="s">
        <v>51</v>
      </c>
      <c r="T3394" s="267">
        <v>55</v>
      </c>
      <c r="U3394" s="268" t="s">
        <v>164</v>
      </c>
      <c r="V3394" s="427"/>
      <c r="X3394" s="265">
        <v>0</v>
      </c>
      <c r="Y3394" s="265"/>
      <c r="AG3394" s="261">
        <f>X3394</f>
        <v>0</v>
      </c>
      <c r="AJ3394" s="642"/>
    </row>
    <row r="3395" spans="1:77" s="261" customFormat="1" ht="11.25" customHeight="1">
      <c r="B3395" s="261" t="s">
        <v>291</v>
      </c>
      <c r="C3395" s="259"/>
      <c r="D3395" s="259"/>
      <c r="E3395" s="260" t="s">
        <v>2537</v>
      </c>
      <c r="F3395" s="261" t="s">
        <v>908</v>
      </c>
      <c r="G3395" s="262">
        <v>3673</v>
      </c>
      <c r="H3395" s="261" t="s">
        <v>27</v>
      </c>
      <c r="I3395" s="264" t="s">
        <v>33</v>
      </c>
      <c r="J3395" s="263">
        <v>38734.089999999997</v>
      </c>
      <c r="K3395" s="264"/>
      <c r="L3395" s="263">
        <v>37.229999999999997</v>
      </c>
      <c r="M3395" s="263">
        <v>37.229999999999997</v>
      </c>
      <c r="N3395" s="265">
        <v>5707.5823799999998</v>
      </c>
      <c r="O3395" s="266">
        <v>0.2</v>
      </c>
      <c r="P3395" s="266"/>
      <c r="Q3395" s="265">
        <v>0</v>
      </c>
      <c r="R3395" s="261" t="s">
        <v>50</v>
      </c>
      <c r="S3395" s="267" t="s">
        <v>51</v>
      </c>
      <c r="T3395" s="267">
        <v>55</v>
      </c>
      <c r="U3395" s="268" t="s">
        <v>164</v>
      </c>
      <c r="V3395" s="427"/>
      <c r="X3395" s="265">
        <v>0</v>
      </c>
      <c r="Y3395" s="265"/>
      <c r="AG3395" s="261">
        <f>X3395</f>
        <v>0</v>
      </c>
      <c r="AJ3395" s="642"/>
    </row>
    <row r="3396" spans="1:77" s="205" customFormat="1" ht="11.25" customHeight="1">
      <c r="B3396" s="205" t="s">
        <v>291</v>
      </c>
      <c r="C3396" s="207">
        <v>44737</v>
      </c>
      <c r="D3396" s="207">
        <v>44738</v>
      </c>
      <c r="E3396" s="208" t="s">
        <v>2538</v>
      </c>
      <c r="F3396" s="205" t="s">
        <v>98</v>
      </c>
      <c r="G3396" s="209" t="s">
        <v>100</v>
      </c>
      <c r="H3396" s="205" t="s">
        <v>99</v>
      </c>
      <c r="I3396" s="219" t="s">
        <v>156</v>
      </c>
      <c r="J3396" s="210">
        <v>41117.620000000003</v>
      </c>
      <c r="K3396" s="219"/>
      <c r="L3396" s="210">
        <v>27.74</v>
      </c>
      <c r="M3396" s="210">
        <v>12.79</v>
      </c>
      <c r="N3396" s="213"/>
      <c r="O3396" s="212">
        <v>0.25</v>
      </c>
      <c r="P3396" s="212">
        <v>0.1</v>
      </c>
      <c r="Q3396" s="213">
        <v>828.8</v>
      </c>
      <c r="R3396" s="205" t="s">
        <v>50</v>
      </c>
      <c r="S3396" s="214" t="s">
        <v>51</v>
      </c>
      <c r="T3396" s="214">
        <v>55</v>
      </c>
      <c r="U3396" s="215" t="s">
        <v>164</v>
      </c>
      <c r="V3396" s="438"/>
      <c r="X3396" s="213">
        <v>828.8</v>
      </c>
      <c r="Y3396" s="213"/>
      <c r="AF3396" s="230">
        <f>X3396</f>
        <v>828.8</v>
      </c>
      <c r="AJ3396" s="216"/>
    </row>
    <row r="3397" spans="1:77" s="205" customFormat="1" ht="11.25" customHeight="1">
      <c r="B3397" s="205" t="s">
        <v>291</v>
      </c>
      <c r="C3397" s="207"/>
      <c r="D3397" s="207"/>
      <c r="E3397" s="208" t="s">
        <v>2538</v>
      </c>
      <c r="F3397" s="205" t="s">
        <v>98</v>
      </c>
      <c r="G3397" s="209" t="s">
        <v>100</v>
      </c>
      <c r="H3397" s="205" t="s">
        <v>27</v>
      </c>
      <c r="I3397" s="219" t="s">
        <v>156</v>
      </c>
      <c r="J3397" s="210">
        <v>10756.76</v>
      </c>
      <c r="K3397" s="219"/>
      <c r="L3397" s="210">
        <v>9.3699999999999992</v>
      </c>
      <c r="M3397" s="210">
        <v>9.3699999999999992</v>
      </c>
      <c r="N3397" s="213"/>
      <c r="O3397" s="212">
        <v>0.25</v>
      </c>
      <c r="P3397" s="212">
        <v>0.1</v>
      </c>
      <c r="Q3397" s="213">
        <v>0</v>
      </c>
      <c r="R3397" s="205" t="s">
        <v>50</v>
      </c>
      <c r="S3397" s="214" t="s">
        <v>51</v>
      </c>
      <c r="T3397" s="214">
        <v>55</v>
      </c>
      <c r="U3397" s="215" t="s">
        <v>164</v>
      </c>
      <c r="V3397" s="438"/>
      <c r="X3397" s="213">
        <v>0</v>
      </c>
      <c r="Y3397" s="213"/>
      <c r="AF3397" s="230">
        <f>X3397</f>
        <v>0</v>
      </c>
      <c r="AJ3397" s="216"/>
    </row>
    <row r="3398" spans="1:77" s="205" customFormat="1" ht="11.25" customHeight="1">
      <c r="B3398" s="205" t="s">
        <v>291</v>
      </c>
      <c r="C3398" s="207"/>
      <c r="D3398" s="207"/>
      <c r="E3398" s="208" t="s">
        <v>2538</v>
      </c>
      <c r="F3398" s="205" t="s">
        <v>98</v>
      </c>
      <c r="G3398" s="209" t="s">
        <v>100</v>
      </c>
      <c r="H3398" s="205" t="s">
        <v>137</v>
      </c>
      <c r="I3398" s="219" t="s">
        <v>156</v>
      </c>
      <c r="J3398" s="210">
        <v>45066.86</v>
      </c>
      <c r="K3398" s="219"/>
      <c r="L3398" s="210">
        <v>30.53</v>
      </c>
      <c r="M3398" s="210">
        <v>4.34</v>
      </c>
      <c r="N3398" s="213"/>
      <c r="O3398" s="212">
        <v>0.25</v>
      </c>
      <c r="P3398" s="212">
        <v>0.1</v>
      </c>
      <c r="Q3398" s="213">
        <v>1752.67</v>
      </c>
      <c r="R3398" s="205" t="s">
        <v>50</v>
      </c>
      <c r="S3398" s="214" t="s">
        <v>51</v>
      </c>
      <c r="T3398" s="214">
        <v>55</v>
      </c>
      <c r="U3398" s="215" t="s">
        <v>164</v>
      </c>
      <c r="V3398" s="438"/>
      <c r="X3398" s="213">
        <v>1752.67</v>
      </c>
      <c r="Y3398" s="213"/>
      <c r="AF3398" s="230">
        <f>X3398</f>
        <v>1752.67</v>
      </c>
      <c r="AJ3398" s="216"/>
    </row>
    <row r="3399" spans="1:77" s="205" customFormat="1" ht="11.25" customHeight="1">
      <c r="B3399" s="205" t="s">
        <v>291</v>
      </c>
      <c r="C3399" s="207">
        <v>44735</v>
      </c>
      <c r="D3399" s="207">
        <v>44738</v>
      </c>
      <c r="E3399" s="208" t="s">
        <v>2539</v>
      </c>
      <c r="F3399" s="205" t="s">
        <v>1829</v>
      </c>
      <c r="G3399" s="209" t="s">
        <v>1830</v>
      </c>
      <c r="H3399" s="205" t="s">
        <v>27</v>
      </c>
      <c r="I3399" s="219" t="s">
        <v>156</v>
      </c>
      <c r="J3399" s="210">
        <v>18268.169999999998</v>
      </c>
      <c r="K3399" s="219"/>
      <c r="L3399" s="210">
        <v>12.18</v>
      </c>
      <c r="M3399" s="210">
        <v>12.18</v>
      </c>
      <c r="N3399" s="213"/>
      <c r="O3399" s="212">
        <v>0.25</v>
      </c>
      <c r="P3399" s="212">
        <v>0.1</v>
      </c>
      <c r="Q3399" s="213">
        <v>490.86</v>
      </c>
      <c r="R3399" s="205" t="s">
        <v>50</v>
      </c>
      <c r="S3399" s="214" t="s">
        <v>51</v>
      </c>
      <c r="T3399" s="214">
        <v>54</v>
      </c>
      <c r="U3399" s="215" t="s">
        <v>164</v>
      </c>
      <c r="V3399" s="438"/>
      <c r="X3399" s="213">
        <v>490.86</v>
      </c>
      <c r="Y3399" s="213"/>
      <c r="AF3399" s="230">
        <f>X3399</f>
        <v>490.86</v>
      </c>
      <c r="AJ3399" s="216"/>
    </row>
    <row r="3400" spans="1:77" s="181" customFormat="1" ht="11.25" customHeight="1">
      <c r="B3400" s="181" t="s">
        <v>291</v>
      </c>
      <c r="C3400" s="179">
        <v>44731</v>
      </c>
      <c r="D3400" s="179">
        <v>44738</v>
      </c>
      <c r="E3400" s="180" t="s">
        <v>2540</v>
      </c>
      <c r="F3400" s="181" t="s">
        <v>2541</v>
      </c>
      <c r="G3400" s="182" t="s">
        <v>2542</v>
      </c>
      <c r="H3400" s="181" t="s">
        <v>99</v>
      </c>
      <c r="I3400" s="190" t="s">
        <v>1296</v>
      </c>
      <c r="J3400" s="183">
        <v>9800.34</v>
      </c>
      <c r="K3400" s="190"/>
      <c r="L3400" s="183">
        <v>6.35</v>
      </c>
      <c r="M3400" s="183">
        <v>6.35</v>
      </c>
      <c r="N3400" s="185"/>
      <c r="O3400" s="186">
        <v>0.25</v>
      </c>
      <c r="P3400" s="186"/>
      <c r="Q3400" s="185">
        <v>0</v>
      </c>
      <c r="R3400" s="181" t="s">
        <v>112</v>
      </c>
      <c r="S3400" s="187" t="s">
        <v>113</v>
      </c>
      <c r="T3400" s="187">
        <v>64</v>
      </c>
      <c r="U3400" s="188" t="s">
        <v>164</v>
      </c>
      <c r="V3400" s="441"/>
      <c r="W3400" s="181" t="s">
        <v>2677</v>
      </c>
      <c r="X3400" s="185">
        <v>0</v>
      </c>
      <c r="Y3400" s="185"/>
      <c r="AE3400" s="204">
        <f>X3400</f>
        <v>0</v>
      </c>
      <c r="AJ3400" s="189"/>
    </row>
    <row r="3401" spans="1:77" s="6" customFormat="1" ht="11.25" customHeight="1">
      <c r="A3401" s="379"/>
      <c r="B3401" s="379" t="s">
        <v>291</v>
      </c>
      <c r="C3401" s="381">
        <v>44734</v>
      </c>
      <c r="D3401" s="381">
        <v>44738</v>
      </c>
      <c r="E3401" s="382" t="s">
        <v>2543</v>
      </c>
      <c r="F3401" s="379" t="s">
        <v>342</v>
      </c>
      <c r="G3401" s="383" t="s">
        <v>530</v>
      </c>
      <c r="H3401" s="394" t="s">
        <v>27</v>
      </c>
      <c r="I3401" s="384" t="s">
        <v>732</v>
      </c>
      <c r="J3401" s="395">
        <v>21887.88</v>
      </c>
      <c r="K3401" s="394"/>
      <c r="L3401" s="395">
        <v>16.36</v>
      </c>
      <c r="M3401" s="395">
        <v>16.36</v>
      </c>
      <c r="N3401" s="386"/>
      <c r="O3401" s="387">
        <v>0.2</v>
      </c>
      <c r="P3401" s="387"/>
      <c r="Q3401" s="386">
        <v>0</v>
      </c>
      <c r="R3401" s="379" t="s">
        <v>35</v>
      </c>
      <c r="S3401" s="388" t="s">
        <v>41</v>
      </c>
      <c r="T3401" s="388">
        <v>86</v>
      </c>
      <c r="U3401" s="389" t="s">
        <v>164</v>
      </c>
      <c r="V3401" s="433"/>
      <c r="W3401" s="379"/>
      <c r="X3401" s="386">
        <v>0</v>
      </c>
      <c r="Y3401" s="386"/>
      <c r="Z3401" s="379"/>
      <c r="AA3401" s="379"/>
      <c r="AB3401" s="379"/>
      <c r="AC3401" s="379"/>
      <c r="AD3401" s="379"/>
      <c r="AE3401" s="379"/>
      <c r="AF3401" s="379"/>
      <c r="AG3401" s="379"/>
      <c r="AH3401" s="379"/>
      <c r="AI3401" s="379"/>
      <c r="AJ3401" s="390">
        <v>0</v>
      </c>
      <c r="AK3401" s="379"/>
      <c r="AL3401" s="379"/>
      <c r="AM3401" s="379"/>
      <c r="AN3401" s="379"/>
      <c r="AO3401" s="379"/>
      <c r="AP3401" s="379"/>
      <c r="AQ3401" s="379"/>
      <c r="AR3401" s="379"/>
      <c r="AS3401" s="379"/>
      <c r="AT3401" s="379"/>
      <c r="AU3401" s="379"/>
      <c r="AV3401" s="379"/>
      <c r="AW3401" s="379"/>
      <c r="AX3401" s="379"/>
      <c r="AY3401" s="379"/>
      <c r="AZ3401" s="379"/>
      <c r="BA3401" s="379"/>
      <c r="BB3401" s="379"/>
      <c r="BC3401" s="379"/>
      <c r="BD3401" s="379"/>
      <c r="BE3401" s="379"/>
      <c r="BF3401" s="379"/>
      <c r="BG3401" s="379"/>
      <c r="BH3401" s="379"/>
      <c r="BI3401" s="379"/>
      <c r="BJ3401" s="379"/>
      <c r="BK3401" s="379"/>
      <c r="BL3401" s="379"/>
      <c r="BM3401" s="379"/>
      <c r="BN3401" s="379"/>
      <c r="BO3401" s="379"/>
      <c r="BP3401" s="379"/>
      <c r="BQ3401" s="379"/>
      <c r="BR3401" s="379"/>
      <c r="BS3401" s="379"/>
      <c r="BT3401" s="379"/>
      <c r="BU3401" s="379"/>
      <c r="BV3401" s="379"/>
      <c r="BW3401" s="379"/>
      <c r="BX3401" s="379"/>
      <c r="BY3401" s="379"/>
    </row>
    <row r="3402" spans="1:77" s="6" customFormat="1" ht="11.25" customHeight="1">
      <c r="A3402" s="379"/>
      <c r="B3402" s="379" t="s">
        <v>291</v>
      </c>
      <c r="C3402" s="381"/>
      <c r="D3402" s="381"/>
      <c r="E3402" s="382" t="s">
        <v>2543</v>
      </c>
      <c r="F3402" s="379" t="s">
        <v>342</v>
      </c>
      <c r="G3402" s="383" t="s">
        <v>530</v>
      </c>
      <c r="H3402" s="394" t="s">
        <v>310</v>
      </c>
      <c r="I3402" s="384" t="s">
        <v>732</v>
      </c>
      <c r="J3402" s="395">
        <v>5932.21</v>
      </c>
      <c r="K3402" s="394"/>
      <c r="L3402" s="395">
        <v>8.01</v>
      </c>
      <c r="M3402" s="395">
        <v>8.01</v>
      </c>
      <c r="N3402" s="386"/>
      <c r="O3402" s="387">
        <v>0.2</v>
      </c>
      <c r="P3402" s="387"/>
      <c r="Q3402" s="386">
        <v>0</v>
      </c>
      <c r="R3402" s="379" t="s">
        <v>35</v>
      </c>
      <c r="S3402" s="388" t="s">
        <v>41</v>
      </c>
      <c r="T3402" s="388">
        <v>86</v>
      </c>
      <c r="U3402" s="389" t="s">
        <v>164</v>
      </c>
      <c r="V3402" s="433"/>
      <c r="W3402" s="379"/>
      <c r="X3402" s="386">
        <v>0</v>
      </c>
      <c r="Y3402" s="386"/>
      <c r="Z3402" s="379"/>
      <c r="AA3402" s="379"/>
      <c r="AB3402" s="379"/>
      <c r="AC3402" s="379"/>
      <c r="AD3402" s="379"/>
      <c r="AE3402" s="379"/>
      <c r="AF3402" s="379"/>
      <c r="AG3402" s="379"/>
      <c r="AH3402" s="379"/>
      <c r="AI3402" s="379"/>
      <c r="AJ3402" s="390">
        <v>0</v>
      </c>
      <c r="AK3402" s="379"/>
      <c r="AL3402" s="379"/>
      <c r="AM3402" s="379"/>
      <c r="AN3402" s="379"/>
      <c r="AO3402" s="379"/>
      <c r="AP3402" s="379"/>
      <c r="AQ3402" s="379"/>
      <c r="AR3402" s="379"/>
      <c r="AS3402" s="379"/>
      <c r="AT3402" s="379"/>
      <c r="AU3402" s="379"/>
      <c r="AV3402" s="379"/>
      <c r="AW3402" s="379"/>
      <c r="AX3402" s="379"/>
      <c r="AY3402" s="379"/>
      <c r="AZ3402" s="379"/>
      <c r="BA3402" s="379"/>
      <c r="BB3402" s="379"/>
      <c r="BC3402" s="379"/>
      <c r="BD3402" s="379"/>
      <c r="BE3402" s="379"/>
      <c r="BF3402" s="379"/>
      <c r="BG3402" s="379"/>
      <c r="BH3402" s="379"/>
      <c r="BI3402" s="379"/>
      <c r="BJ3402" s="379"/>
      <c r="BK3402" s="379"/>
      <c r="BL3402" s="379"/>
      <c r="BM3402" s="379"/>
      <c r="BN3402" s="379"/>
      <c r="BO3402" s="379"/>
      <c r="BP3402" s="379"/>
      <c r="BQ3402" s="379"/>
      <c r="BR3402" s="379"/>
      <c r="BS3402" s="379"/>
      <c r="BT3402" s="379"/>
      <c r="BU3402" s="379"/>
      <c r="BV3402" s="379"/>
      <c r="BW3402" s="379"/>
      <c r="BX3402" s="379"/>
      <c r="BY3402" s="379"/>
    </row>
    <row r="3403" spans="1:77" s="6" customFormat="1" ht="11.25" customHeight="1">
      <c r="A3403" s="379"/>
      <c r="B3403" s="379" t="s">
        <v>291</v>
      </c>
      <c r="C3403" s="381"/>
      <c r="D3403" s="381"/>
      <c r="E3403" s="382" t="s">
        <v>2543</v>
      </c>
      <c r="F3403" s="379" t="s">
        <v>342</v>
      </c>
      <c r="G3403" s="383" t="s">
        <v>530</v>
      </c>
      <c r="H3403" s="394" t="s">
        <v>765</v>
      </c>
      <c r="I3403" s="384" t="s">
        <v>732</v>
      </c>
      <c r="J3403" s="395">
        <v>18925.43</v>
      </c>
      <c r="K3403" s="394"/>
      <c r="L3403" s="395">
        <v>18.05</v>
      </c>
      <c r="M3403" s="395">
        <v>18.05</v>
      </c>
      <c r="N3403" s="386"/>
      <c r="O3403" s="387">
        <v>0.2</v>
      </c>
      <c r="P3403" s="387"/>
      <c r="Q3403" s="386">
        <v>0</v>
      </c>
      <c r="R3403" s="379" t="s">
        <v>35</v>
      </c>
      <c r="S3403" s="388" t="s">
        <v>41</v>
      </c>
      <c r="T3403" s="388">
        <v>86</v>
      </c>
      <c r="U3403" s="389" t="s">
        <v>164</v>
      </c>
      <c r="V3403" s="433"/>
      <c r="W3403" s="379"/>
      <c r="X3403" s="386">
        <v>0</v>
      </c>
      <c r="Y3403" s="386"/>
      <c r="Z3403" s="379"/>
      <c r="AA3403" s="379"/>
      <c r="AB3403" s="379"/>
      <c r="AC3403" s="379"/>
      <c r="AD3403" s="379"/>
      <c r="AE3403" s="379"/>
      <c r="AF3403" s="379"/>
      <c r="AG3403" s="379"/>
      <c r="AH3403" s="379"/>
      <c r="AI3403" s="379"/>
      <c r="AJ3403" s="390">
        <v>0</v>
      </c>
      <c r="AK3403" s="379"/>
      <c r="AL3403" s="379"/>
      <c r="AM3403" s="379"/>
      <c r="AN3403" s="379"/>
      <c r="AO3403" s="379"/>
      <c r="AP3403" s="379"/>
      <c r="AQ3403" s="379"/>
      <c r="AR3403" s="379"/>
      <c r="AS3403" s="379"/>
      <c r="AT3403" s="379"/>
      <c r="AU3403" s="379"/>
      <c r="AV3403" s="379"/>
      <c r="AW3403" s="379"/>
      <c r="AX3403" s="379"/>
      <c r="AY3403" s="379"/>
      <c r="AZ3403" s="379"/>
      <c r="BA3403" s="379"/>
      <c r="BB3403" s="379"/>
      <c r="BC3403" s="379"/>
      <c r="BD3403" s="379"/>
      <c r="BE3403" s="379"/>
      <c r="BF3403" s="379"/>
      <c r="BG3403" s="379"/>
      <c r="BH3403" s="379"/>
      <c r="BI3403" s="379"/>
      <c r="BJ3403" s="379"/>
      <c r="BK3403" s="379"/>
      <c r="BL3403" s="379"/>
      <c r="BM3403" s="379"/>
      <c r="BN3403" s="379"/>
      <c r="BO3403" s="379"/>
      <c r="BP3403" s="379"/>
      <c r="BQ3403" s="379"/>
      <c r="BR3403" s="379"/>
      <c r="BS3403" s="379"/>
      <c r="BT3403" s="379"/>
      <c r="BU3403" s="379"/>
      <c r="BV3403" s="379"/>
      <c r="BW3403" s="379"/>
      <c r="BX3403" s="379"/>
      <c r="BY3403" s="379"/>
    </row>
    <row r="3404" spans="1:77" s="6" customFormat="1" ht="11.25" customHeight="1">
      <c r="A3404" s="379"/>
      <c r="B3404" s="379" t="s">
        <v>291</v>
      </c>
      <c r="C3404" s="381"/>
      <c r="D3404" s="381"/>
      <c r="E3404" s="382" t="s">
        <v>2543</v>
      </c>
      <c r="F3404" s="379" t="s">
        <v>342</v>
      </c>
      <c r="G3404" s="383" t="s">
        <v>530</v>
      </c>
      <c r="H3404" s="394" t="s">
        <v>99</v>
      </c>
      <c r="I3404" s="384" t="s">
        <v>732</v>
      </c>
      <c r="J3404" s="395">
        <v>33143.370000000003</v>
      </c>
      <c r="K3404" s="394"/>
      <c r="L3404" s="395">
        <v>24.22</v>
      </c>
      <c r="M3404" s="395">
        <v>24.22</v>
      </c>
      <c r="N3404" s="386"/>
      <c r="O3404" s="387">
        <v>0.2</v>
      </c>
      <c r="P3404" s="387"/>
      <c r="Q3404" s="386">
        <v>0</v>
      </c>
      <c r="R3404" s="379" t="s">
        <v>35</v>
      </c>
      <c r="S3404" s="388" t="s">
        <v>41</v>
      </c>
      <c r="T3404" s="388">
        <v>86</v>
      </c>
      <c r="U3404" s="389" t="s">
        <v>164</v>
      </c>
      <c r="V3404" s="433"/>
      <c r="W3404" s="379"/>
      <c r="X3404" s="386">
        <v>0</v>
      </c>
      <c r="Y3404" s="386"/>
      <c r="Z3404" s="379"/>
      <c r="AA3404" s="379"/>
      <c r="AB3404" s="379"/>
      <c r="AC3404" s="379"/>
      <c r="AD3404" s="379"/>
      <c r="AE3404" s="379"/>
      <c r="AF3404" s="379"/>
      <c r="AG3404" s="379"/>
      <c r="AH3404" s="379"/>
      <c r="AI3404" s="379"/>
      <c r="AJ3404" s="390">
        <v>0</v>
      </c>
      <c r="AK3404" s="379"/>
      <c r="AL3404" s="379"/>
      <c r="AM3404" s="379"/>
      <c r="AN3404" s="379"/>
      <c r="AO3404" s="379"/>
      <c r="AP3404" s="379"/>
      <c r="AQ3404" s="379"/>
      <c r="AR3404" s="379"/>
      <c r="AS3404" s="379"/>
      <c r="AT3404" s="379"/>
      <c r="AU3404" s="379"/>
      <c r="AV3404" s="379"/>
      <c r="AW3404" s="379"/>
      <c r="AX3404" s="379"/>
      <c r="AY3404" s="379"/>
      <c r="AZ3404" s="379"/>
      <c r="BA3404" s="379"/>
      <c r="BB3404" s="379"/>
      <c r="BC3404" s="379"/>
      <c r="BD3404" s="379"/>
      <c r="BE3404" s="379"/>
      <c r="BF3404" s="379"/>
      <c r="BG3404" s="379"/>
      <c r="BH3404" s="379"/>
      <c r="BI3404" s="379"/>
      <c r="BJ3404" s="379"/>
      <c r="BK3404" s="379"/>
      <c r="BL3404" s="379"/>
      <c r="BM3404" s="379"/>
      <c r="BN3404" s="379"/>
      <c r="BO3404" s="379"/>
      <c r="BP3404" s="379"/>
      <c r="BQ3404" s="379"/>
      <c r="BR3404" s="379"/>
      <c r="BS3404" s="379"/>
      <c r="BT3404" s="379"/>
      <c r="BU3404" s="379"/>
      <c r="BV3404" s="379"/>
      <c r="BW3404" s="379"/>
      <c r="BX3404" s="379"/>
      <c r="BY3404" s="379"/>
    </row>
    <row r="3405" spans="1:77" s="6" customFormat="1" ht="11.25" customHeight="1">
      <c r="A3405" s="379"/>
      <c r="B3405" s="379" t="s">
        <v>291</v>
      </c>
      <c r="C3405" s="381"/>
      <c r="D3405" s="381"/>
      <c r="E3405" s="382" t="s">
        <v>2543</v>
      </c>
      <c r="F3405" s="379" t="s">
        <v>342</v>
      </c>
      <c r="G3405" s="383" t="s">
        <v>530</v>
      </c>
      <c r="H3405" s="394" t="s">
        <v>163</v>
      </c>
      <c r="I3405" s="384" t="s">
        <v>732</v>
      </c>
      <c r="J3405" s="395">
        <v>15523.06</v>
      </c>
      <c r="K3405" s="394"/>
      <c r="L3405" s="395">
        <v>21.2</v>
      </c>
      <c r="M3405" s="395">
        <v>21.2</v>
      </c>
      <c r="N3405" s="386"/>
      <c r="O3405" s="387">
        <v>0.2</v>
      </c>
      <c r="P3405" s="387"/>
      <c r="Q3405" s="386">
        <v>0</v>
      </c>
      <c r="R3405" s="379" t="s">
        <v>35</v>
      </c>
      <c r="S3405" s="388" t="s">
        <v>41</v>
      </c>
      <c r="T3405" s="388">
        <v>86</v>
      </c>
      <c r="U3405" s="389" t="s">
        <v>164</v>
      </c>
      <c r="V3405" s="433"/>
      <c r="W3405" s="379"/>
      <c r="X3405" s="386">
        <v>0</v>
      </c>
      <c r="Y3405" s="386"/>
      <c r="Z3405" s="379"/>
      <c r="AA3405" s="379"/>
      <c r="AB3405" s="379"/>
      <c r="AC3405" s="379"/>
      <c r="AD3405" s="379"/>
      <c r="AE3405" s="379"/>
      <c r="AF3405" s="379"/>
      <c r="AG3405" s="379"/>
      <c r="AH3405" s="379"/>
      <c r="AI3405" s="379"/>
      <c r="AJ3405" s="390">
        <v>0</v>
      </c>
      <c r="AK3405" s="379"/>
      <c r="AL3405" s="379"/>
      <c r="AM3405" s="379"/>
      <c r="AN3405" s="379"/>
      <c r="AO3405" s="379"/>
      <c r="AP3405" s="379"/>
      <c r="AQ3405" s="379"/>
      <c r="AR3405" s="379"/>
      <c r="AS3405" s="379"/>
      <c r="AT3405" s="379"/>
      <c r="AU3405" s="379"/>
      <c r="AV3405" s="379"/>
      <c r="AW3405" s="379"/>
      <c r="AX3405" s="379"/>
      <c r="AY3405" s="379"/>
      <c r="AZ3405" s="379"/>
      <c r="BA3405" s="379"/>
      <c r="BB3405" s="379"/>
      <c r="BC3405" s="379"/>
      <c r="BD3405" s="379"/>
      <c r="BE3405" s="379"/>
      <c r="BF3405" s="379"/>
      <c r="BG3405" s="379"/>
      <c r="BH3405" s="379"/>
      <c r="BI3405" s="379"/>
      <c r="BJ3405" s="379"/>
      <c r="BK3405" s="379"/>
      <c r="BL3405" s="379"/>
      <c r="BM3405" s="379"/>
      <c r="BN3405" s="379"/>
      <c r="BO3405" s="379"/>
      <c r="BP3405" s="379"/>
      <c r="BQ3405" s="379"/>
      <c r="BR3405" s="379"/>
      <c r="BS3405" s="379"/>
      <c r="BT3405" s="379"/>
      <c r="BU3405" s="379"/>
      <c r="BV3405" s="379"/>
      <c r="BW3405" s="379"/>
      <c r="BX3405" s="379"/>
      <c r="BY3405" s="379"/>
    </row>
    <row r="3406" spans="1:77" s="181" customFormat="1" ht="11.25" customHeight="1">
      <c r="B3406" s="178" t="s">
        <v>291</v>
      </c>
      <c r="C3406" s="179">
        <v>44735</v>
      </c>
      <c r="D3406" s="179">
        <v>44738</v>
      </c>
      <c r="E3406" s="180" t="s">
        <v>2544</v>
      </c>
      <c r="F3406" s="181" t="s">
        <v>448</v>
      </c>
      <c r="G3406" s="182">
        <v>3652</v>
      </c>
      <c r="H3406" s="181" t="s">
        <v>27</v>
      </c>
      <c r="I3406" s="190" t="s">
        <v>156</v>
      </c>
      <c r="J3406" s="183">
        <v>3231.62</v>
      </c>
      <c r="K3406" s="190"/>
      <c r="L3406" s="183">
        <v>3.23</v>
      </c>
      <c r="M3406" s="183">
        <v>3.23</v>
      </c>
      <c r="N3406" s="185"/>
      <c r="O3406" s="186">
        <v>0.15</v>
      </c>
      <c r="P3406" s="186">
        <v>0.1</v>
      </c>
      <c r="Q3406" s="185">
        <v>0</v>
      </c>
      <c r="R3406" s="181" t="s">
        <v>42</v>
      </c>
      <c r="S3406" s="187" t="s">
        <v>41</v>
      </c>
      <c r="T3406" s="187">
        <v>17</v>
      </c>
      <c r="U3406" s="188" t="s">
        <v>164</v>
      </c>
      <c r="V3406" s="441"/>
      <c r="X3406" s="185">
        <v>0</v>
      </c>
      <c r="Y3406" s="185"/>
      <c r="AE3406" s="204">
        <f>X3406</f>
        <v>0</v>
      </c>
      <c r="AJ3406" s="189"/>
    </row>
    <row r="3407" spans="1:77" s="205" customFormat="1" ht="11.25" customHeight="1">
      <c r="B3407" s="205" t="s">
        <v>291</v>
      </c>
      <c r="C3407" s="207">
        <v>44735</v>
      </c>
      <c r="D3407" s="207">
        <v>44738</v>
      </c>
      <c r="E3407" s="208" t="s">
        <v>2545</v>
      </c>
      <c r="F3407" s="205" t="s">
        <v>2282</v>
      </c>
      <c r="G3407" s="209" t="s">
        <v>2094</v>
      </c>
      <c r="H3407" s="205" t="s">
        <v>99</v>
      </c>
      <c r="I3407" s="219" t="s">
        <v>156</v>
      </c>
      <c r="J3407" s="210">
        <v>8873.5400000000009</v>
      </c>
      <c r="K3407" s="219"/>
      <c r="L3407" s="210">
        <v>5.8</v>
      </c>
      <c r="M3407" s="210">
        <v>5.8</v>
      </c>
      <c r="N3407" s="213">
        <f>2484.5</f>
        <v>2484.5</v>
      </c>
      <c r="O3407" s="212">
        <v>0.15</v>
      </c>
      <c r="P3407" s="212">
        <v>0.1</v>
      </c>
      <c r="Q3407" s="213">
        <v>2919.3</v>
      </c>
      <c r="R3407" s="205" t="s">
        <v>112</v>
      </c>
      <c r="S3407" s="214" t="s">
        <v>113</v>
      </c>
      <c r="T3407" s="214">
        <v>64</v>
      </c>
      <c r="U3407" s="215" t="s">
        <v>164</v>
      </c>
      <c r="V3407" s="438"/>
      <c r="X3407" s="213">
        <v>2919.3</v>
      </c>
      <c r="Y3407" s="213"/>
      <c r="AF3407" s="230">
        <f>X3407</f>
        <v>2919.3</v>
      </c>
      <c r="AJ3407" s="216"/>
    </row>
    <row r="3408" spans="1:77" s="379" customFormat="1" ht="11.25" customHeight="1">
      <c r="B3408" s="380" t="s">
        <v>291</v>
      </c>
      <c r="C3408" s="381">
        <v>44737</v>
      </c>
      <c r="D3408" s="381">
        <v>44739</v>
      </c>
      <c r="E3408" s="382" t="s">
        <v>2546</v>
      </c>
      <c r="F3408" s="379" t="s">
        <v>1130</v>
      </c>
      <c r="G3408" s="383">
        <v>3683</v>
      </c>
      <c r="H3408" s="379" t="s">
        <v>27</v>
      </c>
      <c r="I3408" s="384" t="s">
        <v>156</v>
      </c>
      <c r="J3408" s="385">
        <v>35822.660000000003</v>
      </c>
      <c r="K3408" s="384"/>
      <c r="L3408" s="385">
        <v>29.78</v>
      </c>
      <c r="M3408" s="385">
        <v>20</v>
      </c>
      <c r="N3408" s="386"/>
      <c r="O3408" s="387">
        <v>0.25</v>
      </c>
      <c r="P3408" s="387">
        <v>0.1</v>
      </c>
      <c r="Q3408" s="386">
        <v>0</v>
      </c>
      <c r="R3408" s="379" t="s">
        <v>54</v>
      </c>
      <c r="S3408" s="388" t="s">
        <v>51</v>
      </c>
      <c r="T3408" s="388">
        <v>55</v>
      </c>
      <c r="U3408" s="389" t="s">
        <v>164</v>
      </c>
      <c r="V3408" s="433"/>
      <c r="X3408" s="386">
        <v>0</v>
      </c>
      <c r="Y3408" s="386"/>
      <c r="AJ3408" s="390">
        <v>0</v>
      </c>
    </row>
    <row r="3409" spans="1:77" s="337" customFormat="1" ht="11.25" customHeight="1">
      <c r="B3409" s="338" t="s">
        <v>291</v>
      </c>
      <c r="C3409" s="349">
        <v>44738</v>
      </c>
      <c r="D3409" s="349">
        <v>44739</v>
      </c>
      <c r="E3409" s="350" t="s">
        <v>2547</v>
      </c>
      <c r="F3409" s="337" t="s">
        <v>1495</v>
      </c>
      <c r="G3409" s="351">
        <v>4113</v>
      </c>
      <c r="H3409" s="337" t="s">
        <v>27</v>
      </c>
      <c r="I3409" s="353" t="s">
        <v>1168</v>
      </c>
      <c r="J3409" s="352">
        <v>35817.599999999999</v>
      </c>
      <c r="K3409" s="353"/>
      <c r="L3409" s="352">
        <v>20.5</v>
      </c>
      <c r="M3409" s="352">
        <v>20.5</v>
      </c>
      <c r="N3409" s="354"/>
      <c r="O3409" s="355">
        <v>0.15</v>
      </c>
      <c r="P3409" s="355">
        <v>0.1</v>
      </c>
      <c r="Q3409" s="354">
        <v>13441.44</v>
      </c>
      <c r="R3409" s="337" t="s">
        <v>105</v>
      </c>
      <c r="S3409" s="356" t="s">
        <v>30</v>
      </c>
      <c r="T3409" s="356">
        <v>39</v>
      </c>
      <c r="U3409" s="357" t="s">
        <v>164</v>
      </c>
      <c r="V3409" s="434"/>
      <c r="X3409" s="354">
        <v>13441.44</v>
      </c>
      <c r="Y3409" s="354"/>
      <c r="AI3409" s="354">
        <v>13441.44</v>
      </c>
      <c r="AJ3409" s="358"/>
      <c r="AK3409" s="369"/>
    </row>
    <row r="3410" spans="1:77" s="261" customFormat="1" ht="11.25" customHeight="1">
      <c r="B3410" s="258" t="s">
        <v>291</v>
      </c>
      <c r="C3410" s="259">
        <v>44738</v>
      </c>
      <c r="D3410" s="259">
        <v>44739</v>
      </c>
      <c r="E3410" s="260" t="s">
        <v>2548</v>
      </c>
      <c r="F3410" s="261" t="s">
        <v>2679</v>
      </c>
      <c r="G3410" s="262">
        <v>3535</v>
      </c>
      <c r="H3410" s="261" t="s">
        <v>99</v>
      </c>
      <c r="I3410" s="264" t="s">
        <v>156</v>
      </c>
      <c r="J3410" s="263">
        <v>26327.77</v>
      </c>
      <c r="K3410" s="264"/>
      <c r="L3410" s="263">
        <v>22.85</v>
      </c>
      <c r="M3410" s="263">
        <v>22.85</v>
      </c>
      <c r="N3410" s="265"/>
      <c r="O3410" s="266">
        <v>0.2</v>
      </c>
      <c r="P3410" s="266">
        <v>0.1</v>
      </c>
      <c r="Q3410" s="265">
        <v>6272.14</v>
      </c>
      <c r="R3410" s="261" t="s">
        <v>105</v>
      </c>
      <c r="S3410" s="267" t="s">
        <v>30</v>
      </c>
      <c r="T3410" s="267">
        <v>39</v>
      </c>
      <c r="U3410" s="268" t="s">
        <v>164</v>
      </c>
      <c r="V3410" s="427"/>
      <c r="X3410" s="265">
        <v>6272.14</v>
      </c>
      <c r="Y3410" s="265"/>
      <c r="AG3410" s="261">
        <f>X3410</f>
        <v>6272.14</v>
      </c>
      <c r="AJ3410" s="642"/>
    </row>
    <row r="3411" spans="1:77" s="261" customFormat="1" ht="11.25" customHeight="1">
      <c r="B3411" s="258" t="s">
        <v>291</v>
      </c>
      <c r="C3411" s="259"/>
      <c r="D3411" s="259"/>
      <c r="E3411" s="260" t="s">
        <v>2548</v>
      </c>
      <c r="F3411" s="261" t="s">
        <v>2679</v>
      </c>
      <c r="G3411" s="262">
        <v>3535</v>
      </c>
      <c r="H3411" s="261" t="s">
        <v>27</v>
      </c>
      <c r="I3411" s="264" t="s">
        <v>156</v>
      </c>
      <c r="J3411" s="263">
        <v>8403.2199999999993</v>
      </c>
      <c r="K3411" s="264"/>
      <c r="L3411" s="263">
        <v>6.22</v>
      </c>
      <c r="M3411" s="263">
        <v>6.22</v>
      </c>
      <c r="N3411" s="265">
        <v>5877</v>
      </c>
      <c r="O3411" s="266">
        <v>0.2</v>
      </c>
      <c r="P3411" s="266">
        <v>0.1</v>
      </c>
      <c r="Q3411" s="265">
        <v>3622.53</v>
      </c>
      <c r="R3411" s="261" t="s">
        <v>105</v>
      </c>
      <c r="S3411" s="267" t="s">
        <v>30</v>
      </c>
      <c r="T3411" s="267">
        <v>39</v>
      </c>
      <c r="U3411" s="268" t="s">
        <v>164</v>
      </c>
      <c r="V3411" s="427"/>
      <c r="X3411" s="265">
        <v>3622.53</v>
      </c>
      <c r="Y3411" s="265"/>
      <c r="AG3411" s="261">
        <f>X3411</f>
        <v>3622.53</v>
      </c>
      <c r="AJ3411" s="642"/>
    </row>
    <row r="3412" spans="1:77" s="261" customFormat="1" ht="11.25" customHeight="1">
      <c r="B3412" s="258" t="s">
        <v>291</v>
      </c>
      <c r="C3412" s="259"/>
      <c r="D3412" s="259"/>
      <c r="E3412" s="260" t="s">
        <v>2548</v>
      </c>
      <c r="F3412" s="261" t="s">
        <v>2679</v>
      </c>
      <c r="G3412" s="262">
        <v>3535</v>
      </c>
      <c r="H3412" s="261" t="s">
        <v>910</v>
      </c>
      <c r="I3412" s="264" t="s">
        <v>156</v>
      </c>
      <c r="J3412" s="263">
        <v>23149.61</v>
      </c>
      <c r="K3412" s="264"/>
      <c r="L3412" s="263">
        <v>19.329999999999998</v>
      </c>
      <c r="M3412" s="263">
        <v>19.329999999999998</v>
      </c>
      <c r="N3412" s="265">
        <v>3252</v>
      </c>
      <c r="O3412" s="266">
        <v>0.2</v>
      </c>
      <c r="P3412" s="266">
        <v>0.1</v>
      </c>
      <c r="Q3412" s="265">
        <v>2436.89</v>
      </c>
      <c r="R3412" s="261" t="s">
        <v>105</v>
      </c>
      <c r="S3412" s="267" t="s">
        <v>30</v>
      </c>
      <c r="T3412" s="267">
        <v>39</v>
      </c>
      <c r="U3412" s="268" t="s">
        <v>164</v>
      </c>
      <c r="V3412" s="427"/>
      <c r="X3412" s="265">
        <v>2436.89</v>
      </c>
      <c r="Y3412" s="265"/>
      <c r="AG3412" s="261">
        <f>X3412</f>
        <v>2436.89</v>
      </c>
      <c r="AJ3412" s="642"/>
    </row>
    <row r="3413" spans="1:77" s="261" customFormat="1" ht="11.25" customHeight="1">
      <c r="B3413" s="258" t="s">
        <v>291</v>
      </c>
      <c r="C3413" s="259"/>
      <c r="D3413" s="259"/>
      <c r="E3413" s="260" t="s">
        <v>2548</v>
      </c>
      <c r="F3413" s="261" t="s">
        <v>2679</v>
      </c>
      <c r="G3413" s="262">
        <v>3535</v>
      </c>
      <c r="H3413" s="261" t="s">
        <v>1141</v>
      </c>
      <c r="I3413" s="264" t="s">
        <v>156</v>
      </c>
      <c r="J3413" s="263">
        <v>7440</v>
      </c>
      <c r="K3413" s="264"/>
      <c r="L3413" s="263">
        <v>7.44</v>
      </c>
      <c r="M3413" s="263">
        <v>7.44</v>
      </c>
      <c r="N3413" s="265">
        <v>2229</v>
      </c>
      <c r="O3413" s="266">
        <v>0.2</v>
      </c>
      <c r="P3413" s="266">
        <v>0.1</v>
      </c>
      <c r="Q3413" s="265">
        <v>0</v>
      </c>
      <c r="R3413" s="261" t="s">
        <v>105</v>
      </c>
      <c r="S3413" s="267" t="s">
        <v>30</v>
      </c>
      <c r="T3413" s="267">
        <v>39</v>
      </c>
      <c r="U3413" s="268" t="s">
        <v>164</v>
      </c>
      <c r="V3413" s="427"/>
      <c r="W3413" s="261" t="s">
        <v>3810</v>
      </c>
      <c r="X3413" s="265">
        <v>0</v>
      </c>
      <c r="Y3413" s="265"/>
      <c r="AG3413" s="261">
        <f>X3413</f>
        <v>0</v>
      </c>
      <c r="AJ3413" s="642"/>
    </row>
    <row r="3414" spans="1:77" s="291" customFormat="1" ht="11.25" customHeight="1">
      <c r="B3414" s="291" t="s">
        <v>291</v>
      </c>
      <c r="C3414" s="292">
        <v>44738</v>
      </c>
      <c r="D3414" s="292">
        <v>44739</v>
      </c>
      <c r="E3414" s="293" t="s">
        <v>2549</v>
      </c>
      <c r="F3414" s="291" t="s">
        <v>104</v>
      </c>
      <c r="G3414" s="314">
        <v>3553</v>
      </c>
      <c r="H3414" s="291" t="s">
        <v>137</v>
      </c>
      <c r="I3414" s="295" t="s">
        <v>156</v>
      </c>
      <c r="J3414" s="296">
        <v>10721.7</v>
      </c>
      <c r="K3414" s="295"/>
      <c r="L3414" s="296">
        <v>8.5500000000000007</v>
      </c>
      <c r="M3414" s="296">
        <v>8.5500000000000007</v>
      </c>
      <c r="N3414" s="297"/>
      <c r="O3414" s="298">
        <v>0.3</v>
      </c>
      <c r="P3414" s="298">
        <v>0.1</v>
      </c>
      <c r="Q3414" s="297">
        <v>1407.33</v>
      </c>
      <c r="R3414" s="291" t="s">
        <v>105</v>
      </c>
      <c r="S3414" s="299" t="s">
        <v>30</v>
      </c>
      <c r="T3414" s="299">
        <v>39</v>
      </c>
      <c r="U3414" s="300" t="s">
        <v>164</v>
      </c>
      <c r="V3414" s="333"/>
      <c r="X3414" s="297">
        <v>1407.33</v>
      </c>
      <c r="Y3414" s="297"/>
      <c r="AH3414" s="291">
        <f>X3414</f>
        <v>1407.33</v>
      </c>
      <c r="AI3414" s="311"/>
      <c r="AJ3414" s="468"/>
    </row>
    <row r="3415" spans="1:77" s="291" customFormat="1" ht="11.25" customHeight="1">
      <c r="B3415" s="291" t="s">
        <v>291</v>
      </c>
      <c r="C3415" s="292"/>
      <c r="D3415" s="292"/>
      <c r="E3415" s="293" t="s">
        <v>2549</v>
      </c>
      <c r="F3415" s="291" t="s">
        <v>104</v>
      </c>
      <c r="G3415" s="314">
        <v>3553</v>
      </c>
      <c r="H3415" s="291" t="s">
        <v>99</v>
      </c>
      <c r="I3415" s="295" t="s">
        <v>156</v>
      </c>
      <c r="J3415" s="296">
        <v>51108.480000000003</v>
      </c>
      <c r="K3415" s="295"/>
      <c r="L3415" s="296">
        <v>42.03</v>
      </c>
      <c r="M3415" s="296">
        <v>42.03</v>
      </c>
      <c r="N3415" s="297"/>
      <c r="O3415" s="298">
        <v>0.3</v>
      </c>
      <c r="P3415" s="298">
        <v>0.1</v>
      </c>
      <c r="Q3415" s="297">
        <v>747.33</v>
      </c>
      <c r="R3415" s="291" t="s">
        <v>105</v>
      </c>
      <c r="S3415" s="299" t="s">
        <v>30</v>
      </c>
      <c r="T3415" s="299">
        <v>39</v>
      </c>
      <c r="U3415" s="300" t="s">
        <v>164</v>
      </c>
      <c r="V3415" s="333"/>
      <c r="X3415" s="297">
        <v>747.33</v>
      </c>
      <c r="Y3415" s="297"/>
      <c r="AH3415" s="291">
        <f>X3415</f>
        <v>747.33</v>
      </c>
      <c r="AI3415" s="311"/>
      <c r="AJ3415" s="468"/>
    </row>
    <row r="3416" spans="1:77" s="291" customFormat="1" ht="11.25" customHeight="1">
      <c r="B3416" s="291" t="s">
        <v>291</v>
      </c>
      <c r="C3416" s="292"/>
      <c r="D3416" s="292"/>
      <c r="E3416" s="293" t="s">
        <v>2549</v>
      </c>
      <c r="F3416" s="291" t="s">
        <v>104</v>
      </c>
      <c r="G3416" s="314">
        <v>3553</v>
      </c>
      <c r="H3416" s="291" t="s">
        <v>27</v>
      </c>
      <c r="I3416" s="295" t="s">
        <v>156</v>
      </c>
      <c r="J3416" s="296">
        <v>60997.22</v>
      </c>
      <c r="K3416" s="295"/>
      <c r="L3416" s="296">
        <v>35.479999999999997</v>
      </c>
      <c r="M3416" s="296">
        <v>35.479999999999997</v>
      </c>
      <c r="N3416" s="297">
        <f>8618</f>
        <v>8618</v>
      </c>
      <c r="O3416" s="298">
        <v>0.3</v>
      </c>
      <c r="P3416" s="298">
        <v>0.1</v>
      </c>
      <c r="Q3416" s="297">
        <v>655.67</v>
      </c>
      <c r="R3416" s="291" t="s">
        <v>105</v>
      </c>
      <c r="S3416" s="299" t="s">
        <v>30</v>
      </c>
      <c r="T3416" s="299">
        <v>39</v>
      </c>
      <c r="U3416" s="300" t="s">
        <v>164</v>
      </c>
      <c r="V3416" s="333"/>
      <c r="X3416" s="297">
        <v>655.67</v>
      </c>
      <c r="Y3416" s="297"/>
      <c r="AH3416" s="291">
        <f>X3416</f>
        <v>655.67</v>
      </c>
      <c r="AI3416" s="311"/>
      <c r="AJ3416" s="468"/>
    </row>
    <row r="3417" spans="1:77" s="291" customFormat="1" ht="11.25" customHeight="1">
      <c r="B3417" s="291" t="s">
        <v>291</v>
      </c>
      <c r="C3417" s="292"/>
      <c r="D3417" s="292"/>
      <c r="E3417" s="293" t="s">
        <v>2549</v>
      </c>
      <c r="F3417" s="291" t="s">
        <v>104</v>
      </c>
      <c r="G3417" s="314">
        <v>3553</v>
      </c>
      <c r="H3417" s="291" t="s">
        <v>183</v>
      </c>
      <c r="I3417" s="295" t="s">
        <v>156</v>
      </c>
      <c r="J3417" s="296">
        <v>42332.13</v>
      </c>
      <c r="K3417" s="295"/>
      <c r="L3417" s="296">
        <v>32.909999999999997</v>
      </c>
      <c r="M3417" s="296">
        <v>7</v>
      </c>
      <c r="N3417" s="297">
        <v>1064</v>
      </c>
      <c r="O3417" s="298">
        <v>0.3</v>
      </c>
      <c r="P3417" s="298">
        <v>0.1</v>
      </c>
      <c r="Q3417" s="297">
        <v>1639.89</v>
      </c>
      <c r="R3417" s="291" t="s">
        <v>105</v>
      </c>
      <c r="S3417" s="299" t="s">
        <v>30</v>
      </c>
      <c r="T3417" s="299">
        <v>39</v>
      </c>
      <c r="U3417" s="300" t="s">
        <v>164</v>
      </c>
      <c r="V3417" s="333"/>
      <c r="X3417" s="297">
        <v>1639.89</v>
      </c>
      <c r="Y3417" s="297"/>
      <c r="AH3417" s="291">
        <f>X3417</f>
        <v>1639.89</v>
      </c>
      <c r="AI3417" s="311"/>
      <c r="AJ3417" s="468"/>
    </row>
    <row r="3418" spans="1:77" s="261" customFormat="1" ht="11.25" customHeight="1">
      <c r="A3418" s="473"/>
      <c r="B3418" s="473" t="s">
        <v>291</v>
      </c>
      <c r="C3418" s="487"/>
      <c r="D3418" s="487"/>
      <c r="E3418" s="488" t="s">
        <v>2550</v>
      </c>
      <c r="F3418" s="473" t="s">
        <v>2551</v>
      </c>
      <c r="G3418" s="489" t="s">
        <v>2552</v>
      </c>
      <c r="H3418" s="473" t="s">
        <v>183</v>
      </c>
      <c r="I3418" s="491" t="s">
        <v>156</v>
      </c>
      <c r="J3418" s="490">
        <v>7312.68</v>
      </c>
      <c r="K3418" s="491"/>
      <c r="L3418" s="490">
        <v>6.66</v>
      </c>
      <c r="M3418" s="490">
        <v>6.66</v>
      </c>
      <c r="N3418" s="492"/>
      <c r="O3418" s="493">
        <v>0.2</v>
      </c>
      <c r="P3418" s="493">
        <v>0.1</v>
      </c>
      <c r="Q3418" s="492">
        <v>0</v>
      </c>
      <c r="R3418" s="473" t="s">
        <v>105</v>
      </c>
      <c r="S3418" s="481" t="s">
        <v>30</v>
      </c>
      <c r="T3418" s="481">
        <v>39</v>
      </c>
      <c r="U3418" s="494" t="s">
        <v>164</v>
      </c>
      <c r="V3418" s="495"/>
      <c r="W3418" s="473"/>
      <c r="X3418" s="492">
        <v>0</v>
      </c>
      <c r="Y3418" s="492"/>
      <c r="Z3418" s="473"/>
      <c r="AA3418" s="473"/>
      <c r="AB3418" s="473"/>
      <c r="AC3418" s="473"/>
      <c r="AD3418" s="473"/>
      <c r="AE3418" s="473"/>
      <c r="AF3418" s="473"/>
      <c r="AG3418" s="473"/>
      <c r="AH3418" s="473"/>
      <c r="AI3418" s="473"/>
      <c r="AJ3418" s="485"/>
      <c r="AK3418" s="473">
        <v>0</v>
      </c>
      <c r="AL3418" s="473"/>
      <c r="AM3418" s="473"/>
      <c r="AN3418" s="473"/>
      <c r="AO3418" s="473"/>
      <c r="AP3418" s="473"/>
      <c r="AQ3418" s="473"/>
      <c r="AR3418" s="473"/>
      <c r="AS3418" s="473"/>
      <c r="AT3418" s="473"/>
      <c r="AU3418" s="473"/>
      <c r="AV3418" s="473"/>
      <c r="AW3418" s="473"/>
      <c r="AX3418" s="473"/>
      <c r="AY3418" s="473"/>
      <c r="AZ3418" s="473"/>
      <c r="BA3418" s="473"/>
      <c r="BB3418" s="473"/>
      <c r="BC3418" s="473"/>
      <c r="BD3418" s="473"/>
      <c r="BE3418" s="473"/>
      <c r="BF3418" s="473"/>
      <c r="BG3418" s="473"/>
      <c r="BH3418" s="473"/>
      <c r="BI3418" s="473"/>
      <c r="BJ3418" s="473"/>
      <c r="BK3418" s="473"/>
      <c r="BL3418" s="473"/>
      <c r="BM3418" s="473"/>
      <c r="BN3418" s="473"/>
      <c r="BO3418" s="473"/>
      <c r="BP3418" s="473"/>
      <c r="BQ3418" s="473"/>
      <c r="BR3418" s="473"/>
      <c r="BS3418" s="473"/>
      <c r="BT3418" s="473"/>
      <c r="BU3418" s="473"/>
      <c r="BV3418" s="473"/>
      <c r="BW3418" s="473"/>
      <c r="BX3418" s="473"/>
      <c r="BY3418" s="473"/>
    </row>
    <row r="3419" spans="1:77" s="337" customFormat="1" ht="11.25" customHeight="1">
      <c r="B3419" s="337" t="s">
        <v>291</v>
      </c>
      <c r="C3419" s="349"/>
      <c r="D3419" s="349"/>
      <c r="E3419" s="350" t="s">
        <v>2550</v>
      </c>
      <c r="F3419" s="337" t="s">
        <v>2551</v>
      </c>
      <c r="G3419" s="351" t="s">
        <v>2552</v>
      </c>
      <c r="H3419" s="337" t="s">
        <v>866</v>
      </c>
      <c r="I3419" s="337" t="s">
        <v>156</v>
      </c>
      <c r="J3419" s="352">
        <v>32433.279999999999</v>
      </c>
      <c r="K3419" s="353"/>
      <c r="L3419" s="352">
        <v>21.68</v>
      </c>
      <c r="M3419" s="352">
        <v>21.68</v>
      </c>
      <c r="N3419" s="354">
        <v>6246</v>
      </c>
      <c r="O3419" s="355">
        <v>0.2</v>
      </c>
      <c r="P3419" s="355">
        <v>0.1</v>
      </c>
      <c r="Q3419" s="354">
        <v>0</v>
      </c>
      <c r="R3419" s="337" t="s">
        <v>105</v>
      </c>
      <c r="S3419" s="356" t="s">
        <v>30</v>
      </c>
      <c r="T3419" s="356">
        <v>39</v>
      </c>
      <c r="U3419" s="357" t="s">
        <v>164</v>
      </c>
      <c r="V3419" s="434"/>
      <c r="X3419" s="354">
        <v>0</v>
      </c>
      <c r="Y3419" s="354"/>
      <c r="AI3419" s="337">
        <v>0</v>
      </c>
      <c r="AJ3419" s="358"/>
      <c r="AK3419" s="369"/>
    </row>
    <row r="3420" spans="1:77" s="261" customFormat="1" ht="11.25" customHeight="1">
      <c r="B3420" s="258" t="s">
        <v>291</v>
      </c>
      <c r="C3420" s="259">
        <v>44738</v>
      </c>
      <c r="D3420" s="259">
        <v>44739</v>
      </c>
      <c r="E3420" s="260" t="s">
        <v>2550</v>
      </c>
      <c r="F3420" s="261" t="s">
        <v>2551</v>
      </c>
      <c r="G3420" s="262" t="s">
        <v>2552</v>
      </c>
      <c r="H3420" s="261" t="s">
        <v>99</v>
      </c>
      <c r="I3420" s="264" t="s">
        <v>156</v>
      </c>
      <c r="J3420" s="263">
        <v>68884.34</v>
      </c>
      <c r="K3420" s="264"/>
      <c r="L3420" s="263">
        <v>47.7</v>
      </c>
      <c r="M3420" s="263">
        <v>47.7</v>
      </c>
      <c r="N3420" s="265"/>
      <c r="O3420" s="266">
        <v>0.2</v>
      </c>
      <c r="P3420" s="266">
        <v>0.1</v>
      </c>
      <c r="Q3420" s="265">
        <v>464.07</v>
      </c>
      <c r="R3420" s="261" t="s">
        <v>105</v>
      </c>
      <c r="S3420" s="267" t="s">
        <v>30</v>
      </c>
      <c r="T3420" s="267">
        <v>39</v>
      </c>
      <c r="U3420" s="268" t="s">
        <v>164</v>
      </c>
      <c r="V3420" s="427"/>
      <c r="X3420" s="265">
        <v>464.07</v>
      </c>
      <c r="Y3420" s="265"/>
      <c r="AG3420" s="261">
        <f>X3420</f>
        <v>464.07</v>
      </c>
      <c r="AJ3420" s="642"/>
    </row>
    <row r="3421" spans="1:77" s="261" customFormat="1" ht="11.25" customHeight="1">
      <c r="B3421" s="258" t="s">
        <v>291</v>
      </c>
      <c r="C3421" s="259"/>
      <c r="D3421" s="259"/>
      <c r="E3421" s="260" t="s">
        <v>2550</v>
      </c>
      <c r="F3421" s="261" t="s">
        <v>2551</v>
      </c>
      <c r="G3421" s="262" t="s">
        <v>2552</v>
      </c>
      <c r="H3421" s="261" t="s">
        <v>27</v>
      </c>
      <c r="I3421" s="264" t="s">
        <v>156</v>
      </c>
      <c r="J3421" s="263">
        <v>18337.400000000001</v>
      </c>
      <c r="K3421" s="264"/>
      <c r="L3421" s="263">
        <v>11.08</v>
      </c>
      <c r="M3421" s="263">
        <v>11.08</v>
      </c>
      <c r="N3421" s="265">
        <f>1092+2558</f>
        <v>3650</v>
      </c>
      <c r="O3421" s="266">
        <v>0.2</v>
      </c>
      <c r="P3421" s="266">
        <v>0.1</v>
      </c>
      <c r="Q3421" s="265">
        <v>1791.01</v>
      </c>
      <c r="R3421" s="261" t="s">
        <v>105</v>
      </c>
      <c r="S3421" s="267" t="s">
        <v>30</v>
      </c>
      <c r="T3421" s="267">
        <v>39</v>
      </c>
      <c r="U3421" s="268" t="s">
        <v>164</v>
      </c>
      <c r="V3421" s="427"/>
      <c r="X3421" s="265">
        <v>1791.01</v>
      </c>
      <c r="Y3421" s="265"/>
      <c r="AG3421" s="261">
        <f>X3421</f>
        <v>1791.01</v>
      </c>
      <c r="AJ3421" s="642"/>
    </row>
    <row r="3422" spans="1:77" s="261" customFormat="1" ht="11.25" customHeight="1">
      <c r="B3422" s="261" t="s">
        <v>291</v>
      </c>
      <c r="C3422" s="259"/>
      <c r="D3422" s="259"/>
      <c r="E3422" s="260" t="s">
        <v>2550</v>
      </c>
      <c r="F3422" s="261" t="s">
        <v>2551</v>
      </c>
      <c r="G3422" s="262" t="s">
        <v>2552</v>
      </c>
      <c r="H3422" s="261" t="s">
        <v>814</v>
      </c>
      <c r="I3422" s="264" t="s">
        <v>156</v>
      </c>
      <c r="J3422" s="263">
        <v>38061.75</v>
      </c>
      <c r="K3422" s="264"/>
      <c r="L3422" s="263">
        <v>36.86</v>
      </c>
      <c r="M3422" s="263">
        <v>36.86</v>
      </c>
      <c r="N3422" s="265"/>
      <c r="O3422" s="266">
        <v>0.2</v>
      </c>
      <c r="P3422" s="266">
        <v>0.1</v>
      </c>
      <c r="Q3422" s="265">
        <v>0</v>
      </c>
      <c r="R3422" s="261" t="s">
        <v>105</v>
      </c>
      <c r="S3422" s="267" t="s">
        <v>30</v>
      </c>
      <c r="T3422" s="267">
        <v>39</v>
      </c>
      <c r="U3422" s="268" t="s">
        <v>164</v>
      </c>
      <c r="V3422" s="427"/>
      <c r="W3422" s="261" t="s">
        <v>3607</v>
      </c>
      <c r="X3422" s="265">
        <v>0</v>
      </c>
      <c r="Y3422" s="265"/>
      <c r="AG3422" s="261">
        <f>X3422</f>
        <v>0</v>
      </c>
      <c r="AJ3422" s="642"/>
    </row>
    <row r="3423" spans="1:77" s="261" customFormat="1" ht="11.25" customHeight="1">
      <c r="B3423" s="261" t="s">
        <v>291</v>
      </c>
      <c r="C3423" s="259"/>
      <c r="D3423" s="259"/>
      <c r="E3423" s="260" t="s">
        <v>2550</v>
      </c>
      <c r="F3423" s="261" t="s">
        <v>2551</v>
      </c>
      <c r="G3423" s="262" t="s">
        <v>2552</v>
      </c>
      <c r="H3423" s="261" t="s">
        <v>765</v>
      </c>
      <c r="I3423" s="264" t="s">
        <v>156</v>
      </c>
      <c r="J3423" s="263">
        <v>15190.46</v>
      </c>
      <c r="K3423" s="264"/>
      <c r="L3423" s="263">
        <v>12.07</v>
      </c>
      <c r="M3423" s="263">
        <v>12.07</v>
      </c>
      <c r="N3423" s="265">
        <v>3161</v>
      </c>
      <c r="O3423" s="266">
        <v>0.2</v>
      </c>
      <c r="P3423" s="266">
        <v>0.1</v>
      </c>
      <c r="Q3423" s="265">
        <v>0</v>
      </c>
      <c r="R3423" s="261" t="s">
        <v>105</v>
      </c>
      <c r="S3423" s="267" t="s">
        <v>30</v>
      </c>
      <c r="T3423" s="267">
        <v>39</v>
      </c>
      <c r="U3423" s="268" t="s">
        <v>164</v>
      </c>
      <c r="V3423" s="427"/>
      <c r="W3423" s="261" t="s">
        <v>3607</v>
      </c>
      <c r="X3423" s="265">
        <v>0</v>
      </c>
      <c r="Y3423" s="265"/>
      <c r="AG3423" s="261">
        <f>X3423</f>
        <v>0</v>
      </c>
      <c r="AJ3423" s="642"/>
    </row>
    <row r="3424" spans="1:77" s="291" customFormat="1" ht="11.25" customHeight="1">
      <c r="B3424" s="310" t="s">
        <v>291</v>
      </c>
      <c r="C3424" s="292"/>
      <c r="D3424" s="292"/>
      <c r="E3424" s="293" t="s">
        <v>2553</v>
      </c>
      <c r="F3424" s="291" t="s">
        <v>593</v>
      </c>
      <c r="G3424" s="294">
        <v>3917</v>
      </c>
      <c r="H3424" s="291" t="s">
        <v>866</v>
      </c>
      <c r="I3424" s="295" t="s">
        <v>156</v>
      </c>
      <c r="J3424" s="296">
        <v>2713.2</v>
      </c>
      <c r="K3424" s="295"/>
      <c r="L3424" s="296">
        <v>3.23</v>
      </c>
      <c r="M3424" s="296">
        <v>3.23</v>
      </c>
      <c r="N3424" s="297"/>
      <c r="O3424" s="298">
        <v>0.15</v>
      </c>
      <c r="P3424" s="298">
        <v>0.1</v>
      </c>
      <c r="Q3424" s="297">
        <v>0</v>
      </c>
      <c r="R3424" s="291" t="s">
        <v>146</v>
      </c>
      <c r="S3424" s="299" t="s">
        <v>74</v>
      </c>
      <c r="T3424" s="299">
        <v>31</v>
      </c>
      <c r="U3424" s="300" t="s">
        <v>164</v>
      </c>
      <c r="V3424" s="333"/>
      <c r="W3424" s="291" t="s">
        <v>3896</v>
      </c>
      <c r="X3424" s="297">
        <v>0</v>
      </c>
      <c r="Y3424" s="297"/>
      <c r="AH3424" s="291">
        <f>X3424</f>
        <v>0</v>
      </c>
      <c r="AI3424" s="311"/>
      <c r="AJ3424" s="468"/>
    </row>
    <row r="3425" spans="1:77" s="291" customFormat="1" ht="11.25" customHeight="1">
      <c r="B3425" s="310" t="s">
        <v>291</v>
      </c>
      <c r="C3425" s="292"/>
      <c r="D3425" s="292"/>
      <c r="E3425" s="293" t="s">
        <v>2553</v>
      </c>
      <c r="F3425" s="291" t="s">
        <v>593</v>
      </c>
      <c r="G3425" s="294">
        <v>3917</v>
      </c>
      <c r="H3425" s="291" t="s">
        <v>765</v>
      </c>
      <c r="I3425" s="295" t="s">
        <v>156</v>
      </c>
      <c r="J3425" s="296">
        <v>31865.279999999999</v>
      </c>
      <c r="K3425" s="295"/>
      <c r="L3425" s="296">
        <v>34.94</v>
      </c>
      <c r="M3425" s="296">
        <v>34.94</v>
      </c>
      <c r="N3425" s="297"/>
      <c r="O3425" s="298">
        <v>0.15</v>
      </c>
      <c r="P3425" s="298">
        <v>0.1</v>
      </c>
      <c r="Q3425" s="297">
        <v>0</v>
      </c>
      <c r="R3425" s="291" t="s">
        <v>146</v>
      </c>
      <c r="S3425" s="299" t="s">
        <v>74</v>
      </c>
      <c r="T3425" s="299">
        <v>31</v>
      </c>
      <c r="U3425" s="300" t="s">
        <v>164</v>
      </c>
      <c r="V3425" s="333"/>
      <c r="W3425" s="291" t="s">
        <v>3896</v>
      </c>
      <c r="X3425" s="297">
        <v>0</v>
      </c>
      <c r="Y3425" s="297"/>
      <c r="AH3425" s="291">
        <f>X3425</f>
        <v>0</v>
      </c>
      <c r="AI3425" s="311"/>
      <c r="AJ3425" s="468"/>
    </row>
    <row r="3426" spans="1:77" s="379" customFormat="1" ht="11.25" customHeight="1">
      <c r="B3426" s="380" t="s">
        <v>291</v>
      </c>
      <c r="C3426" s="381">
        <v>44735</v>
      </c>
      <c r="D3426" s="381">
        <v>44739</v>
      </c>
      <c r="E3426" s="382" t="s">
        <v>2553</v>
      </c>
      <c r="F3426" s="379" t="s">
        <v>593</v>
      </c>
      <c r="G3426" s="383">
        <v>3917</v>
      </c>
      <c r="H3426" s="379" t="s">
        <v>99</v>
      </c>
      <c r="I3426" s="384" t="s">
        <v>156</v>
      </c>
      <c r="J3426" s="385">
        <v>24372</v>
      </c>
      <c r="K3426" s="384"/>
      <c r="L3426" s="385">
        <v>18</v>
      </c>
      <c r="M3426" s="385">
        <v>18</v>
      </c>
      <c r="N3426" s="386"/>
      <c r="O3426" s="387">
        <v>0.15</v>
      </c>
      <c r="P3426" s="387">
        <v>0.1</v>
      </c>
      <c r="Q3426" s="386">
        <v>0</v>
      </c>
      <c r="R3426" s="379" t="s">
        <v>146</v>
      </c>
      <c r="S3426" s="388" t="s">
        <v>74</v>
      </c>
      <c r="T3426" s="388">
        <v>31</v>
      </c>
      <c r="U3426" s="389" t="s">
        <v>164</v>
      </c>
      <c r="V3426" s="433"/>
      <c r="X3426" s="386">
        <v>0</v>
      </c>
      <c r="Y3426" s="386"/>
      <c r="AJ3426" s="390">
        <v>0</v>
      </c>
    </row>
    <row r="3427" spans="1:77" s="205" customFormat="1" ht="11.25" customHeight="1">
      <c r="A3427" s="473"/>
      <c r="B3427" s="486" t="s">
        <v>291</v>
      </c>
      <c r="C3427" s="487"/>
      <c r="D3427" s="487"/>
      <c r="E3427" s="488" t="s">
        <v>2554</v>
      </c>
      <c r="F3427" s="473" t="s">
        <v>2678</v>
      </c>
      <c r="G3427" s="496">
        <v>3536</v>
      </c>
      <c r="H3427" s="473" t="s">
        <v>866</v>
      </c>
      <c r="I3427" s="491" t="s">
        <v>156</v>
      </c>
      <c r="J3427" s="490">
        <v>80291</v>
      </c>
      <c r="K3427" s="491"/>
      <c r="L3427" s="490">
        <v>47.23</v>
      </c>
      <c r="M3427" s="490">
        <v>30</v>
      </c>
      <c r="N3427" s="492"/>
      <c r="O3427" s="493">
        <v>0.25</v>
      </c>
      <c r="P3427" s="493">
        <v>0.1</v>
      </c>
      <c r="Q3427" s="492">
        <v>0</v>
      </c>
      <c r="R3427" s="473" t="s">
        <v>105</v>
      </c>
      <c r="S3427" s="481" t="s">
        <v>30</v>
      </c>
      <c r="T3427" s="481">
        <v>39</v>
      </c>
      <c r="U3427" s="494" t="s">
        <v>164</v>
      </c>
      <c r="V3427" s="495"/>
      <c r="W3427" s="473"/>
      <c r="X3427" s="492">
        <v>0</v>
      </c>
      <c r="Y3427" s="492"/>
      <c r="Z3427" s="473"/>
      <c r="AA3427" s="473"/>
      <c r="AB3427" s="473"/>
      <c r="AC3427" s="473"/>
      <c r="AD3427" s="473"/>
      <c r="AE3427" s="473"/>
      <c r="AF3427" s="473"/>
      <c r="AG3427" s="473"/>
      <c r="AH3427" s="473"/>
      <c r="AI3427" s="473"/>
      <c r="AJ3427" s="485"/>
      <c r="AK3427" s="473">
        <v>0</v>
      </c>
      <c r="AL3427" s="473"/>
      <c r="AM3427" s="473"/>
      <c r="AN3427" s="473"/>
      <c r="AO3427" s="473"/>
      <c r="AP3427" s="473"/>
      <c r="AQ3427" s="473"/>
      <c r="AR3427" s="473"/>
      <c r="AS3427" s="473"/>
      <c r="AT3427" s="473"/>
      <c r="AU3427" s="473"/>
      <c r="AV3427" s="473"/>
      <c r="AW3427" s="473"/>
      <c r="AX3427" s="473"/>
      <c r="AY3427" s="473"/>
      <c r="AZ3427" s="473"/>
      <c r="BA3427" s="473"/>
      <c r="BB3427" s="473"/>
      <c r="BC3427" s="473"/>
      <c r="BD3427" s="473"/>
      <c r="BE3427" s="473"/>
      <c r="BF3427" s="473"/>
      <c r="BG3427" s="473"/>
      <c r="BH3427" s="473"/>
      <c r="BI3427" s="473"/>
      <c r="BJ3427" s="473"/>
      <c r="BK3427" s="473"/>
      <c r="BL3427" s="473"/>
      <c r="BM3427" s="473"/>
      <c r="BN3427" s="473"/>
      <c r="BO3427" s="473"/>
      <c r="BP3427" s="473"/>
      <c r="BQ3427" s="473"/>
      <c r="BR3427" s="473"/>
      <c r="BS3427" s="473"/>
      <c r="BT3427" s="473"/>
      <c r="BU3427" s="473"/>
      <c r="BV3427" s="473"/>
      <c r="BW3427" s="473"/>
      <c r="BX3427" s="473"/>
      <c r="BY3427" s="473"/>
    </row>
    <row r="3428" spans="1:77" s="205" customFormat="1" ht="11.25" customHeight="1">
      <c r="B3428" s="206" t="s">
        <v>291</v>
      </c>
      <c r="C3428" s="207"/>
      <c r="D3428" s="207"/>
      <c r="E3428" s="208" t="s">
        <v>2554</v>
      </c>
      <c r="F3428" s="205" t="s">
        <v>2678</v>
      </c>
      <c r="G3428" s="217">
        <v>3536</v>
      </c>
      <c r="H3428" s="205" t="s">
        <v>27</v>
      </c>
      <c r="I3428" s="219" t="s">
        <v>156</v>
      </c>
      <c r="J3428" s="210">
        <v>16409.25</v>
      </c>
      <c r="K3428" s="219"/>
      <c r="L3428" s="210">
        <v>9.35</v>
      </c>
      <c r="M3428" s="210">
        <v>9.35</v>
      </c>
      <c r="N3428" s="213">
        <f>4520+6941</f>
        <v>11461</v>
      </c>
      <c r="O3428" s="212">
        <v>0.25</v>
      </c>
      <c r="P3428" s="212">
        <v>0.1</v>
      </c>
      <c r="Q3428" s="213">
        <f>3568.73+5961.87</f>
        <v>9530.6</v>
      </c>
      <c r="R3428" s="205" t="s">
        <v>105</v>
      </c>
      <c r="S3428" s="214" t="s">
        <v>30</v>
      </c>
      <c r="T3428" s="214">
        <v>39</v>
      </c>
      <c r="U3428" s="215" t="s">
        <v>164</v>
      </c>
      <c r="V3428" s="438"/>
      <c r="W3428" s="205" t="s">
        <v>3862</v>
      </c>
      <c r="X3428" s="213">
        <f>3568.73+5961.87</f>
        <v>9530.6</v>
      </c>
      <c r="Y3428" s="213"/>
      <c r="AF3428" s="230">
        <v>3568.73</v>
      </c>
      <c r="AH3428" s="213">
        <v>5961.87</v>
      </c>
      <c r="AI3428" s="230"/>
      <c r="AJ3428" s="216"/>
    </row>
    <row r="3429" spans="1:77" s="205" customFormat="1" ht="11.25" customHeight="1">
      <c r="B3429" s="206" t="s">
        <v>291</v>
      </c>
      <c r="C3429" s="207">
        <v>44738</v>
      </c>
      <c r="D3429" s="207">
        <v>44739</v>
      </c>
      <c r="E3429" s="208" t="s">
        <v>2554</v>
      </c>
      <c r="F3429" s="205" t="s">
        <v>2678</v>
      </c>
      <c r="G3429" s="217">
        <v>3536</v>
      </c>
      <c r="H3429" s="205" t="s">
        <v>99</v>
      </c>
      <c r="I3429" s="219" t="s">
        <v>156</v>
      </c>
      <c r="J3429" s="210">
        <v>35475.160000000003</v>
      </c>
      <c r="K3429" s="219"/>
      <c r="L3429" s="210">
        <v>25.41</v>
      </c>
      <c r="M3429" s="210">
        <v>25.41</v>
      </c>
      <c r="N3429" s="213">
        <f>4654+3509</f>
        <v>8163</v>
      </c>
      <c r="O3429" s="212">
        <v>0.25</v>
      </c>
      <c r="P3429" s="212">
        <v>0.1</v>
      </c>
      <c r="Q3429" s="213">
        <v>7282.92</v>
      </c>
      <c r="R3429" s="205" t="s">
        <v>105</v>
      </c>
      <c r="S3429" s="214" t="s">
        <v>30</v>
      </c>
      <c r="T3429" s="214">
        <v>39</v>
      </c>
      <c r="U3429" s="215" t="s">
        <v>164</v>
      </c>
      <c r="V3429" s="438"/>
      <c r="X3429" s="213">
        <v>7282.92</v>
      </c>
      <c r="Y3429" s="213"/>
      <c r="AF3429" s="230">
        <f>X3429</f>
        <v>7282.92</v>
      </c>
      <c r="AJ3429" s="216"/>
    </row>
    <row r="3430" spans="1:77" s="582" customFormat="1" ht="11.25" customHeight="1">
      <c r="B3430" s="611" t="s">
        <v>291</v>
      </c>
      <c r="C3430" s="583">
        <v>44739</v>
      </c>
      <c r="D3430" s="583">
        <v>44739</v>
      </c>
      <c r="E3430" s="584" t="s">
        <v>2555</v>
      </c>
      <c r="F3430" s="582" t="s">
        <v>2556</v>
      </c>
      <c r="G3430" s="610" t="s">
        <v>2557</v>
      </c>
      <c r="H3430" s="582" t="s">
        <v>192</v>
      </c>
      <c r="I3430" s="586" t="s">
        <v>1336</v>
      </c>
      <c r="J3430" s="587">
        <v>20638.8</v>
      </c>
      <c r="K3430" s="586"/>
      <c r="L3430" s="587">
        <v>63</v>
      </c>
      <c r="M3430" s="587">
        <v>63</v>
      </c>
      <c r="N3430" s="588"/>
      <c r="O3430" s="589">
        <v>0.25</v>
      </c>
      <c r="P3430" s="589">
        <v>0.1</v>
      </c>
      <c r="Q3430" s="588">
        <v>1349.46</v>
      </c>
      <c r="R3430" s="582" t="s">
        <v>285</v>
      </c>
      <c r="S3430" s="590" t="s">
        <v>275</v>
      </c>
      <c r="T3430" s="590">
        <v>21</v>
      </c>
      <c r="U3430" s="592" t="s">
        <v>164</v>
      </c>
      <c r="V3430" s="593"/>
      <c r="X3430" s="588">
        <v>1349.46</v>
      </c>
      <c r="Y3430" s="588"/>
      <c r="AJ3430" s="594"/>
      <c r="AN3430" s="588">
        <v>1349.46</v>
      </c>
    </row>
    <row r="3431" spans="1:77" s="582" customFormat="1" ht="11.25" customHeight="1">
      <c r="B3431" s="611" t="s">
        <v>291</v>
      </c>
      <c r="C3431" s="583"/>
      <c r="D3431" s="583"/>
      <c r="E3431" s="584" t="s">
        <v>2555</v>
      </c>
      <c r="F3431" s="582" t="s">
        <v>2556</v>
      </c>
      <c r="G3431" s="610" t="s">
        <v>2557</v>
      </c>
      <c r="H3431" s="582" t="s">
        <v>684</v>
      </c>
      <c r="I3431" s="586" t="s">
        <v>1336</v>
      </c>
      <c r="J3431" s="587">
        <v>5010.72</v>
      </c>
      <c r="K3431" s="586"/>
      <c r="L3431" s="587">
        <v>4</v>
      </c>
      <c r="M3431" s="587">
        <v>4</v>
      </c>
      <c r="N3431" s="588"/>
      <c r="O3431" s="589">
        <v>0.25</v>
      </c>
      <c r="P3431" s="589">
        <v>0.1</v>
      </c>
      <c r="Q3431" s="588">
        <v>0</v>
      </c>
      <c r="R3431" s="582" t="s">
        <v>285</v>
      </c>
      <c r="S3431" s="590" t="s">
        <v>275</v>
      </c>
      <c r="T3431" s="590">
        <v>21</v>
      </c>
      <c r="U3431" s="592" t="s">
        <v>164</v>
      </c>
      <c r="V3431" s="593"/>
      <c r="X3431" s="588">
        <v>0</v>
      </c>
      <c r="Y3431" s="588"/>
      <c r="AJ3431" s="594"/>
      <c r="AN3431" s="582">
        <v>0</v>
      </c>
    </row>
    <row r="3432" spans="1:77" s="6" customFormat="1" ht="11.25" customHeight="1">
      <c r="A3432" s="473"/>
      <c r="B3432" s="473" t="s">
        <v>291</v>
      </c>
      <c r="C3432" s="487"/>
      <c r="D3432" s="487"/>
      <c r="E3432" s="488" t="s">
        <v>2558</v>
      </c>
      <c r="F3432" s="473" t="s">
        <v>236</v>
      </c>
      <c r="G3432" s="489" t="s">
        <v>235</v>
      </c>
      <c r="H3432" s="473" t="s">
        <v>99</v>
      </c>
      <c r="I3432" s="491" t="s">
        <v>156</v>
      </c>
      <c r="J3432" s="490">
        <v>12085.2</v>
      </c>
      <c r="K3432" s="491"/>
      <c r="L3432" s="490">
        <v>11.19</v>
      </c>
      <c r="M3432" s="490">
        <v>11.19</v>
      </c>
      <c r="N3432" s="492"/>
      <c r="O3432" s="493">
        <v>0.2</v>
      </c>
      <c r="P3432" s="493">
        <v>0.1</v>
      </c>
      <c r="Q3432" s="492">
        <v>0</v>
      </c>
      <c r="R3432" s="473" t="s">
        <v>146</v>
      </c>
      <c r="S3432" s="481" t="s">
        <v>74</v>
      </c>
      <c r="T3432" s="481">
        <v>31</v>
      </c>
      <c r="U3432" s="494" t="s">
        <v>164</v>
      </c>
      <c r="V3432" s="495"/>
      <c r="W3432" s="473"/>
      <c r="X3432" s="492">
        <v>0</v>
      </c>
      <c r="Y3432" s="492"/>
      <c r="Z3432" s="473"/>
      <c r="AA3432" s="473"/>
      <c r="AB3432" s="473"/>
      <c r="AC3432" s="473"/>
      <c r="AD3432" s="473"/>
      <c r="AE3432" s="473"/>
      <c r="AF3432" s="473"/>
      <c r="AG3432" s="473"/>
      <c r="AH3432" s="473"/>
      <c r="AI3432" s="473"/>
      <c r="AJ3432" s="485"/>
      <c r="AK3432" s="473">
        <v>0</v>
      </c>
      <c r="AL3432" s="473"/>
      <c r="AM3432" s="473"/>
      <c r="AN3432" s="473"/>
      <c r="AO3432" s="473"/>
      <c r="AP3432" s="473"/>
      <c r="AQ3432" s="473"/>
      <c r="AR3432" s="473"/>
      <c r="AS3432" s="473"/>
      <c r="AT3432" s="473"/>
      <c r="AU3432" s="473"/>
      <c r="AV3432" s="473"/>
      <c r="AW3432" s="473"/>
      <c r="AX3432" s="473"/>
      <c r="AY3432" s="473"/>
      <c r="AZ3432" s="473"/>
      <c r="BA3432" s="473"/>
      <c r="BB3432" s="473"/>
      <c r="BC3432" s="473"/>
      <c r="BD3432" s="473"/>
      <c r="BE3432" s="473"/>
      <c r="BF3432" s="473"/>
      <c r="BG3432" s="473"/>
      <c r="BH3432" s="473"/>
      <c r="BI3432" s="473"/>
      <c r="BJ3432" s="473"/>
      <c r="BK3432" s="473"/>
      <c r="BL3432" s="473"/>
      <c r="BM3432" s="473"/>
      <c r="BN3432" s="473"/>
      <c r="BO3432" s="473"/>
      <c r="BP3432" s="473"/>
      <c r="BQ3432" s="473"/>
      <c r="BR3432" s="473"/>
      <c r="BS3432" s="473"/>
      <c r="BT3432" s="473"/>
      <c r="BU3432" s="473"/>
      <c r="BV3432" s="473"/>
      <c r="BW3432" s="473"/>
      <c r="BX3432" s="473"/>
      <c r="BY3432" s="473"/>
    </row>
    <row r="3433" spans="1:77" s="473" customFormat="1" ht="11.25" customHeight="1">
      <c r="B3433" s="473" t="s">
        <v>291</v>
      </c>
      <c r="C3433" s="487"/>
      <c r="D3433" s="487"/>
      <c r="E3433" s="488" t="s">
        <v>2558</v>
      </c>
      <c r="F3433" s="473" t="s">
        <v>236</v>
      </c>
      <c r="G3433" s="489" t="s">
        <v>235</v>
      </c>
      <c r="H3433" s="473" t="s">
        <v>138</v>
      </c>
      <c r="I3433" s="491" t="s">
        <v>156</v>
      </c>
      <c r="J3433" s="490">
        <v>10620</v>
      </c>
      <c r="K3433" s="491"/>
      <c r="L3433" s="490">
        <v>8.85</v>
      </c>
      <c r="M3433" s="490">
        <v>8.85</v>
      </c>
      <c r="N3433" s="492"/>
      <c r="O3433" s="493">
        <v>0.2</v>
      </c>
      <c r="P3433" s="493">
        <v>0.1</v>
      </c>
      <c r="Q3433" s="492">
        <v>0</v>
      </c>
      <c r="R3433" s="473" t="s">
        <v>146</v>
      </c>
      <c r="S3433" s="481" t="s">
        <v>74</v>
      </c>
      <c r="T3433" s="481">
        <v>31</v>
      </c>
      <c r="U3433" s="494" t="s">
        <v>164</v>
      </c>
      <c r="V3433" s="495"/>
      <c r="X3433" s="492">
        <v>0</v>
      </c>
      <c r="Y3433" s="492"/>
      <c r="AJ3433" s="485"/>
      <c r="AK3433" s="473">
        <v>0</v>
      </c>
    </row>
    <row r="3434" spans="1:77" s="473" customFormat="1" ht="11.25" customHeight="1">
      <c r="B3434" s="473" t="s">
        <v>291</v>
      </c>
      <c r="C3434" s="487"/>
      <c r="D3434" s="487"/>
      <c r="E3434" s="488" t="s">
        <v>2558</v>
      </c>
      <c r="F3434" s="473" t="s">
        <v>236</v>
      </c>
      <c r="G3434" s="489" t="s">
        <v>235</v>
      </c>
      <c r="H3434" s="473" t="s">
        <v>183</v>
      </c>
      <c r="I3434" s="491" t="s">
        <v>156</v>
      </c>
      <c r="J3434" s="490">
        <v>5112</v>
      </c>
      <c r="K3434" s="491"/>
      <c r="L3434" s="490">
        <v>5.68</v>
      </c>
      <c r="M3434" s="490">
        <v>5.68</v>
      </c>
      <c r="N3434" s="492"/>
      <c r="O3434" s="493">
        <v>0.2</v>
      </c>
      <c r="P3434" s="493">
        <v>0.1</v>
      </c>
      <c r="Q3434" s="492">
        <v>0</v>
      </c>
      <c r="R3434" s="473" t="s">
        <v>146</v>
      </c>
      <c r="S3434" s="481" t="s">
        <v>74</v>
      </c>
      <c r="T3434" s="481">
        <v>31</v>
      </c>
      <c r="U3434" s="494" t="s">
        <v>164</v>
      </c>
      <c r="V3434" s="495"/>
      <c r="X3434" s="492">
        <v>0</v>
      </c>
      <c r="Y3434" s="492"/>
      <c r="AJ3434" s="485"/>
      <c r="AK3434" s="473">
        <v>0</v>
      </c>
    </row>
    <row r="3435" spans="1:77" s="473" customFormat="1" ht="11.25" customHeight="1">
      <c r="A3435" s="379"/>
      <c r="B3435" s="379" t="s">
        <v>291</v>
      </c>
      <c r="C3435" s="381">
        <v>44735</v>
      </c>
      <c r="D3435" s="381">
        <v>44739</v>
      </c>
      <c r="E3435" s="382" t="s">
        <v>2558</v>
      </c>
      <c r="F3435" s="379" t="s">
        <v>236</v>
      </c>
      <c r="G3435" s="383" t="s">
        <v>235</v>
      </c>
      <c r="H3435" s="379" t="s">
        <v>765</v>
      </c>
      <c r="I3435" s="384" t="s">
        <v>156</v>
      </c>
      <c r="J3435" s="385">
        <v>8616.2999999999993</v>
      </c>
      <c r="K3435" s="384"/>
      <c r="L3435" s="385">
        <v>7.46</v>
      </c>
      <c r="M3435" s="385">
        <v>7.46</v>
      </c>
      <c r="N3435" s="386"/>
      <c r="O3435" s="387">
        <v>0.2</v>
      </c>
      <c r="P3435" s="387">
        <v>0.1</v>
      </c>
      <c r="Q3435" s="386">
        <v>0</v>
      </c>
      <c r="R3435" s="379" t="s">
        <v>146</v>
      </c>
      <c r="S3435" s="388" t="s">
        <v>74</v>
      </c>
      <c r="T3435" s="388">
        <v>31</v>
      </c>
      <c r="U3435" s="389" t="s">
        <v>164</v>
      </c>
      <c r="V3435" s="433"/>
      <c r="W3435" s="379"/>
      <c r="X3435" s="386">
        <v>0</v>
      </c>
      <c r="Y3435" s="386"/>
      <c r="Z3435" s="379"/>
      <c r="AA3435" s="379"/>
      <c r="AB3435" s="379"/>
      <c r="AC3435" s="379"/>
      <c r="AD3435" s="379"/>
      <c r="AE3435" s="379"/>
      <c r="AF3435" s="379"/>
      <c r="AG3435" s="379"/>
      <c r="AH3435" s="379"/>
      <c r="AI3435" s="379"/>
      <c r="AJ3435" s="390">
        <v>0</v>
      </c>
      <c r="AK3435" s="379"/>
      <c r="AL3435" s="379"/>
      <c r="AM3435" s="379"/>
      <c r="AN3435" s="379"/>
      <c r="AO3435" s="379"/>
      <c r="AP3435" s="379"/>
      <c r="AQ3435" s="379"/>
      <c r="AR3435" s="379"/>
      <c r="AS3435" s="379"/>
      <c r="AT3435" s="379"/>
      <c r="AU3435" s="379"/>
      <c r="AV3435" s="379"/>
      <c r="AW3435" s="379"/>
      <c r="AX3435" s="379"/>
      <c r="AY3435" s="379"/>
      <c r="AZ3435" s="379"/>
      <c r="BA3435" s="379"/>
      <c r="BB3435" s="379"/>
      <c r="BC3435" s="379"/>
      <c r="BD3435" s="379"/>
      <c r="BE3435" s="379"/>
      <c r="BF3435" s="379"/>
      <c r="BG3435" s="379"/>
      <c r="BH3435" s="379"/>
      <c r="BI3435" s="379"/>
      <c r="BJ3435" s="379"/>
      <c r="BK3435" s="379"/>
      <c r="BL3435" s="379"/>
      <c r="BM3435" s="379"/>
      <c r="BN3435" s="379"/>
      <c r="BO3435" s="379"/>
      <c r="BP3435" s="379"/>
      <c r="BQ3435" s="379"/>
      <c r="BR3435" s="379"/>
      <c r="BS3435" s="379"/>
      <c r="BT3435" s="379"/>
      <c r="BU3435" s="379"/>
      <c r="BV3435" s="379"/>
      <c r="BW3435" s="379"/>
      <c r="BX3435" s="379"/>
      <c r="BY3435" s="379"/>
    </row>
    <row r="3436" spans="1:77" s="236" customFormat="1" ht="11.25" customHeight="1">
      <c r="A3436" s="473"/>
      <c r="B3436" s="473" t="s">
        <v>291</v>
      </c>
      <c r="C3436" s="487"/>
      <c r="D3436" s="487"/>
      <c r="E3436" s="488" t="s">
        <v>2559</v>
      </c>
      <c r="F3436" s="473" t="s">
        <v>2560</v>
      </c>
      <c r="G3436" s="496">
        <v>3562</v>
      </c>
      <c r="H3436" s="473" t="s">
        <v>866</v>
      </c>
      <c r="I3436" s="491" t="s">
        <v>156</v>
      </c>
      <c r="J3436" s="490">
        <v>26732.16</v>
      </c>
      <c r="K3436" s="491"/>
      <c r="L3436" s="490">
        <v>28.8</v>
      </c>
      <c r="M3436" s="490">
        <v>28.8</v>
      </c>
      <c r="N3436" s="500">
        <f>169.3+74.63+261.2</f>
        <v>505.13</v>
      </c>
      <c r="O3436" s="493">
        <v>0.2</v>
      </c>
      <c r="P3436" s="493">
        <v>0.1</v>
      </c>
      <c r="Q3436" s="492">
        <v>0</v>
      </c>
      <c r="R3436" s="473" t="s">
        <v>29</v>
      </c>
      <c r="S3436" s="481" t="s">
        <v>30</v>
      </c>
      <c r="T3436" s="481">
        <v>70</v>
      </c>
      <c r="U3436" s="494" t="s">
        <v>164</v>
      </c>
      <c r="V3436" s="495"/>
      <c r="W3436" s="473"/>
      <c r="X3436" s="492">
        <v>0</v>
      </c>
      <c r="Y3436" s="492"/>
      <c r="Z3436" s="473"/>
      <c r="AA3436" s="473"/>
      <c r="AB3436" s="473"/>
      <c r="AC3436" s="473"/>
      <c r="AD3436" s="473"/>
      <c r="AE3436" s="473"/>
      <c r="AF3436" s="473"/>
      <c r="AG3436" s="473"/>
      <c r="AH3436" s="473"/>
      <c r="AI3436" s="473"/>
      <c r="AJ3436" s="485"/>
      <c r="AK3436" s="473">
        <v>0</v>
      </c>
      <c r="AL3436" s="473"/>
      <c r="AM3436" s="473"/>
      <c r="AN3436" s="473"/>
      <c r="AO3436" s="473"/>
      <c r="AP3436" s="473"/>
      <c r="AQ3436" s="473"/>
      <c r="AR3436" s="473"/>
      <c r="AS3436" s="473"/>
      <c r="AT3436" s="473"/>
      <c r="AU3436" s="473"/>
      <c r="AV3436" s="473"/>
      <c r="AW3436" s="473"/>
      <c r="AX3436" s="473"/>
      <c r="AY3436" s="473"/>
      <c r="AZ3436" s="473"/>
      <c r="BA3436" s="473"/>
      <c r="BB3436" s="473"/>
      <c r="BC3436" s="473"/>
      <c r="BD3436" s="473"/>
      <c r="BE3436" s="473"/>
      <c r="BF3436" s="473"/>
      <c r="BG3436" s="473"/>
      <c r="BH3436" s="473"/>
      <c r="BI3436" s="473"/>
      <c r="BJ3436" s="473"/>
      <c r="BK3436" s="473"/>
      <c r="BL3436" s="473"/>
      <c r="BM3436" s="473"/>
      <c r="BN3436" s="473"/>
      <c r="BO3436" s="473"/>
      <c r="BP3436" s="473"/>
      <c r="BQ3436" s="473"/>
      <c r="BR3436" s="473"/>
      <c r="BS3436" s="473"/>
      <c r="BT3436" s="473"/>
      <c r="BU3436" s="473"/>
      <c r="BV3436" s="473"/>
      <c r="BW3436" s="473"/>
      <c r="BX3436" s="473"/>
      <c r="BY3436" s="473"/>
    </row>
    <row r="3437" spans="1:77" s="261" customFormat="1" ht="11.25" customHeight="1">
      <c r="B3437" s="261" t="s">
        <v>291</v>
      </c>
      <c r="C3437" s="259">
        <v>44734</v>
      </c>
      <c r="D3437" s="259">
        <v>44739</v>
      </c>
      <c r="E3437" s="260" t="s">
        <v>2559</v>
      </c>
      <c r="F3437" s="261" t="s">
        <v>2560</v>
      </c>
      <c r="G3437" s="280">
        <v>3562</v>
      </c>
      <c r="H3437" s="261" t="s">
        <v>99</v>
      </c>
      <c r="I3437" s="264" t="s">
        <v>156</v>
      </c>
      <c r="J3437" s="263">
        <v>61062.3</v>
      </c>
      <c r="K3437" s="264"/>
      <c r="L3437" s="263">
        <v>61.4</v>
      </c>
      <c r="M3437" s="263">
        <v>61.4</v>
      </c>
      <c r="N3437" s="281">
        <v>1705.07</v>
      </c>
      <c r="O3437" s="266">
        <v>0.2</v>
      </c>
      <c r="P3437" s="266">
        <v>0.1</v>
      </c>
      <c r="Q3437" s="265">
        <v>406.34</v>
      </c>
      <c r="R3437" s="261" t="s">
        <v>29</v>
      </c>
      <c r="S3437" s="267" t="s">
        <v>30</v>
      </c>
      <c r="T3437" s="267">
        <v>70</v>
      </c>
      <c r="U3437" s="268" t="s">
        <v>164</v>
      </c>
      <c r="V3437" s="427"/>
      <c r="X3437" s="265">
        <v>406.34</v>
      </c>
      <c r="Y3437" s="265"/>
      <c r="AG3437" s="261">
        <f>X3437</f>
        <v>406.34</v>
      </c>
      <c r="AJ3437" s="642"/>
    </row>
    <row r="3438" spans="1:77" s="261" customFormat="1" ht="11.25" customHeight="1">
      <c r="B3438" s="261" t="s">
        <v>291</v>
      </c>
      <c r="C3438" s="259"/>
      <c r="D3438" s="259"/>
      <c r="E3438" s="260" t="s">
        <v>2559</v>
      </c>
      <c r="F3438" s="261" t="s">
        <v>2560</v>
      </c>
      <c r="G3438" s="280">
        <v>3562</v>
      </c>
      <c r="H3438" s="261" t="s">
        <v>27</v>
      </c>
      <c r="I3438" s="264" t="s">
        <v>156</v>
      </c>
      <c r="J3438" s="263">
        <v>40470.5</v>
      </c>
      <c r="K3438" s="264"/>
      <c r="L3438" s="263">
        <v>37.299999999999997</v>
      </c>
      <c r="M3438" s="263">
        <v>37.4</v>
      </c>
      <c r="N3438" s="281">
        <f>3812.26+442.68+396.78+699.17</f>
        <v>5350.89</v>
      </c>
      <c r="O3438" s="266">
        <v>0.2</v>
      </c>
      <c r="P3438" s="266">
        <v>0.1</v>
      </c>
      <c r="Q3438" s="265">
        <v>2551.73</v>
      </c>
      <c r="R3438" s="261" t="s">
        <v>29</v>
      </c>
      <c r="S3438" s="267" t="s">
        <v>30</v>
      </c>
      <c r="T3438" s="267">
        <v>70</v>
      </c>
      <c r="U3438" s="268" t="s">
        <v>164</v>
      </c>
      <c r="V3438" s="427"/>
      <c r="X3438" s="265">
        <v>2551.73</v>
      </c>
      <c r="Y3438" s="265"/>
      <c r="AG3438" s="261">
        <f>X3438</f>
        <v>2551.73</v>
      </c>
      <c r="AJ3438" s="642"/>
    </row>
    <row r="3439" spans="1:77" s="205" customFormat="1" ht="11.25" customHeight="1">
      <c r="B3439" s="205" t="s">
        <v>291</v>
      </c>
      <c r="C3439" s="207"/>
      <c r="D3439" s="207"/>
      <c r="E3439" s="208" t="s">
        <v>2559</v>
      </c>
      <c r="F3439" s="205" t="s">
        <v>2560</v>
      </c>
      <c r="G3439" s="217">
        <v>3562</v>
      </c>
      <c r="H3439" s="205" t="s">
        <v>898</v>
      </c>
      <c r="I3439" s="219" t="s">
        <v>156</v>
      </c>
      <c r="J3439" s="210">
        <v>41830.199999999997</v>
      </c>
      <c r="K3439" s="219"/>
      <c r="L3439" s="210">
        <v>34</v>
      </c>
      <c r="M3439" s="210">
        <v>34</v>
      </c>
      <c r="N3439" s="211"/>
      <c r="O3439" s="212">
        <v>0.2</v>
      </c>
      <c r="P3439" s="212">
        <v>0.1</v>
      </c>
      <c r="Q3439" s="213">
        <v>0</v>
      </c>
      <c r="R3439" s="205" t="s">
        <v>29</v>
      </c>
      <c r="S3439" s="214" t="s">
        <v>30</v>
      </c>
      <c r="T3439" s="214">
        <v>70</v>
      </c>
      <c r="U3439" s="215" t="s">
        <v>164</v>
      </c>
      <c r="V3439" s="438"/>
      <c r="X3439" s="213">
        <v>0</v>
      </c>
      <c r="Y3439" s="213"/>
      <c r="AF3439" s="230">
        <f>X3439</f>
        <v>0</v>
      </c>
      <c r="AJ3439" s="216"/>
    </row>
    <row r="3440" spans="1:77" s="379" customFormat="1" ht="11.25" customHeight="1">
      <c r="A3440" s="473"/>
      <c r="B3440" s="473" t="s">
        <v>291</v>
      </c>
      <c r="C3440" s="487"/>
      <c r="D3440" s="487"/>
      <c r="E3440" s="488" t="s">
        <v>2561</v>
      </c>
      <c r="F3440" s="473" t="s">
        <v>2562</v>
      </c>
      <c r="G3440" s="496">
        <v>3723</v>
      </c>
      <c r="H3440" s="473" t="s">
        <v>866</v>
      </c>
      <c r="I3440" s="491" t="s">
        <v>156</v>
      </c>
      <c r="J3440" s="490">
        <v>25142.400000000001</v>
      </c>
      <c r="K3440" s="491"/>
      <c r="L3440" s="490">
        <v>16</v>
      </c>
      <c r="M3440" s="490">
        <v>16</v>
      </c>
      <c r="N3440" s="492">
        <v>8879</v>
      </c>
      <c r="O3440" s="493">
        <v>0.3</v>
      </c>
      <c r="P3440" s="493">
        <v>0.1</v>
      </c>
      <c r="Q3440" s="492">
        <v>1688.98</v>
      </c>
      <c r="R3440" s="473" t="s">
        <v>29</v>
      </c>
      <c r="S3440" s="481" t="s">
        <v>30</v>
      </c>
      <c r="T3440" s="481">
        <v>70</v>
      </c>
      <c r="U3440" s="494" t="s">
        <v>164</v>
      </c>
      <c r="V3440" s="495"/>
      <c r="W3440" s="473"/>
      <c r="X3440" s="492">
        <v>1688.98</v>
      </c>
      <c r="Y3440" s="492"/>
      <c r="Z3440" s="473"/>
      <c r="AA3440" s="473"/>
      <c r="AB3440" s="473"/>
      <c r="AC3440" s="473"/>
      <c r="AD3440" s="473"/>
      <c r="AE3440" s="473"/>
      <c r="AF3440" s="473"/>
      <c r="AG3440" s="473"/>
      <c r="AH3440" s="473"/>
      <c r="AI3440" s="473"/>
      <c r="AJ3440" s="485"/>
      <c r="AK3440" s="505">
        <v>1688.98</v>
      </c>
      <c r="AL3440" s="473"/>
      <c r="AM3440" s="473"/>
      <c r="AN3440" s="473"/>
      <c r="AO3440" s="473"/>
      <c r="AP3440" s="473"/>
      <c r="AQ3440" s="473"/>
      <c r="AR3440" s="473"/>
      <c r="AS3440" s="473"/>
      <c r="AT3440" s="473"/>
      <c r="AU3440" s="473"/>
      <c r="AV3440" s="473"/>
      <c r="AW3440" s="473"/>
      <c r="AX3440" s="473"/>
      <c r="AY3440" s="473"/>
      <c r="AZ3440" s="473"/>
      <c r="BA3440" s="473"/>
      <c r="BB3440" s="473"/>
      <c r="BC3440" s="473"/>
      <c r="BD3440" s="473"/>
      <c r="BE3440" s="473"/>
      <c r="BF3440" s="473"/>
      <c r="BG3440" s="473"/>
      <c r="BH3440" s="473"/>
      <c r="BI3440" s="473"/>
      <c r="BJ3440" s="473"/>
      <c r="BK3440" s="473"/>
      <c r="BL3440" s="473"/>
      <c r="BM3440" s="473"/>
      <c r="BN3440" s="473"/>
      <c r="BO3440" s="473"/>
      <c r="BP3440" s="473"/>
      <c r="BQ3440" s="473"/>
      <c r="BR3440" s="473"/>
      <c r="BS3440" s="473"/>
      <c r="BT3440" s="473"/>
      <c r="BU3440" s="473"/>
      <c r="BV3440" s="473"/>
      <c r="BW3440" s="473"/>
      <c r="BX3440" s="473"/>
      <c r="BY3440" s="473"/>
    </row>
    <row r="3441" spans="2:36" s="261" customFormat="1" ht="11.25" customHeight="1">
      <c r="B3441" s="261" t="s">
        <v>291</v>
      </c>
      <c r="C3441" s="259">
        <v>44738</v>
      </c>
      <c r="D3441" s="259">
        <v>44739</v>
      </c>
      <c r="E3441" s="260" t="s">
        <v>2561</v>
      </c>
      <c r="F3441" s="261" t="s">
        <v>2562</v>
      </c>
      <c r="G3441" s="280">
        <v>3723</v>
      </c>
      <c r="H3441" s="261" t="s">
        <v>99</v>
      </c>
      <c r="I3441" s="264" t="s">
        <v>156</v>
      </c>
      <c r="J3441" s="263">
        <v>20139.05</v>
      </c>
      <c r="K3441" s="264"/>
      <c r="L3441" s="263">
        <v>14.5</v>
      </c>
      <c r="M3441" s="263">
        <v>14.5</v>
      </c>
      <c r="N3441" s="265">
        <f>3225</f>
        <v>3225</v>
      </c>
      <c r="O3441" s="266">
        <v>0.3</v>
      </c>
      <c r="P3441" s="266">
        <v>0.1</v>
      </c>
      <c r="Q3441" s="265">
        <v>3674.11</v>
      </c>
      <c r="R3441" s="261" t="s">
        <v>29</v>
      </c>
      <c r="S3441" s="267" t="s">
        <v>30</v>
      </c>
      <c r="T3441" s="267">
        <v>70</v>
      </c>
      <c r="U3441" s="268" t="s">
        <v>164</v>
      </c>
      <c r="V3441" s="427"/>
      <c r="X3441" s="265">
        <v>3674.11</v>
      </c>
      <c r="Y3441" s="265"/>
      <c r="AG3441" s="261">
        <f>X3441</f>
        <v>3674.11</v>
      </c>
      <c r="AJ3441" s="642"/>
    </row>
    <row r="3442" spans="2:36" s="379" customFormat="1" ht="11.25" customHeight="1">
      <c r="B3442" s="379" t="s">
        <v>291</v>
      </c>
      <c r="C3442" s="381"/>
      <c r="D3442" s="381"/>
      <c r="E3442" s="382" t="s">
        <v>2563</v>
      </c>
      <c r="F3442" s="379" t="s">
        <v>2564</v>
      </c>
      <c r="G3442" s="383">
        <v>4471</v>
      </c>
      <c r="H3442" s="379" t="s">
        <v>137</v>
      </c>
      <c r="I3442" s="384" t="s">
        <v>156</v>
      </c>
      <c r="J3442" s="385">
        <v>60982.720000000001</v>
      </c>
      <c r="K3442" s="384"/>
      <c r="L3442" s="385">
        <v>25.58</v>
      </c>
      <c r="M3442" s="385">
        <v>25.58</v>
      </c>
      <c r="N3442" s="386">
        <f>10775+4940+3547</f>
        <v>19262</v>
      </c>
      <c r="O3442" s="387">
        <v>0.3</v>
      </c>
      <c r="P3442" s="387">
        <v>0.1</v>
      </c>
      <c r="Q3442" s="386">
        <v>10828.74</v>
      </c>
      <c r="R3442" s="379" t="s">
        <v>105</v>
      </c>
      <c r="S3442" s="388" t="s">
        <v>30</v>
      </c>
      <c r="T3442" s="388">
        <v>39</v>
      </c>
      <c r="U3442" s="389" t="s">
        <v>164</v>
      </c>
      <c r="V3442" s="433"/>
      <c r="X3442" s="386">
        <v>10828.74</v>
      </c>
      <c r="Y3442" s="386"/>
      <c r="AH3442" s="386"/>
      <c r="AJ3442" s="416">
        <v>10828.74</v>
      </c>
    </row>
    <row r="3443" spans="2:36" s="379" customFormat="1" ht="11.25" customHeight="1">
      <c r="B3443" s="379" t="s">
        <v>291</v>
      </c>
      <c r="C3443" s="381"/>
      <c r="D3443" s="381"/>
      <c r="E3443" s="382" t="s">
        <v>2563</v>
      </c>
      <c r="F3443" s="379" t="s">
        <v>2564</v>
      </c>
      <c r="G3443" s="383">
        <v>4471</v>
      </c>
      <c r="H3443" s="379" t="s">
        <v>814</v>
      </c>
      <c r="I3443" s="384" t="s">
        <v>156</v>
      </c>
      <c r="J3443" s="385">
        <v>30564.240000000002</v>
      </c>
      <c r="K3443" s="384"/>
      <c r="L3443" s="385">
        <v>15.82</v>
      </c>
      <c r="M3443" s="385">
        <v>5</v>
      </c>
      <c r="N3443" s="386">
        <f>+J3443*0.28</f>
        <v>8557.9872000000014</v>
      </c>
      <c r="O3443" s="387">
        <v>0.3</v>
      </c>
      <c r="P3443" s="387">
        <v>0.1</v>
      </c>
      <c r="Q3443" s="386">
        <v>1021.02</v>
      </c>
      <c r="R3443" s="379" t="s">
        <v>105</v>
      </c>
      <c r="S3443" s="388" t="s">
        <v>30</v>
      </c>
      <c r="T3443" s="388">
        <v>39</v>
      </c>
      <c r="U3443" s="389" t="s">
        <v>164</v>
      </c>
      <c r="V3443" s="433"/>
      <c r="X3443" s="386">
        <v>1021.02</v>
      </c>
      <c r="Y3443" s="386"/>
      <c r="AH3443" s="386"/>
      <c r="AJ3443" s="390">
        <v>1021.02</v>
      </c>
    </row>
    <row r="3444" spans="2:36" s="379" customFormat="1" ht="11.25" customHeight="1">
      <c r="B3444" s="379" t="s">
        <v>291</v>
      </c>
      <c r="C3444" s="381"/>
      <c r="D3444" s="381"/>
      <c r="E3444" s="382" t="s">
        <v>2563</v>
      </c>
      <c r="F3444" s="379" t="s">
        <v>2564</v>
      </c>
      <c r="G3444" s="383">
        <v>4471</v>
      </c>
      <c r="H3444" s="379" t="s">
        <v>2001</v>
      </c>
      <c r="I3444" s="384" t="s">
        <v>156</v>
      </c>
      <c r="J3444" s="385">
        <v>56085.96</v>
      </c>
      <c r="K3444" s="384"/>
      <c r="L3444" s="385">
        <v>29.03</v>
      </c>
      <c r="M3444" s="385">
        <v>29.03</v>
      </c>
      <c r="N3444" s="386">
        <f>+J3444*0.28</f>
        <v>15704.068800000001</v>
      </c>
      <c r="O3444" s="387">
        <v>0.3</v>
      </c>
      <c r="P3444" s="387">
        <v>0.1</v>
      </c>
      <c r="Q3444" s="386">
        <v>11786.24</v>
      </c>
      <c r="R3444" s="379" t="s">
        <v>105</v>
      </c>
      <c r="S3444" s="388" t="s">
        <v>30</v>
      </c>
      <c r="T3444" s="388">
        <v>39</v>
      </c>
      <c r="U3444" s="389" t="s">
        <v>164</v>
      </c>
      <c r="V3444" s="433"/>
      <c r="X3444" s="386">
        <v>11786.24</v>
      </c>
      <c r="Y3444" s="386"/>
      <c r="AH3444" s="386"/>
      <c r="AJ3444" s="390">
        <v>11786.24</v>
      </c>
    </row>
    <row r="3445" spans="2:36" s="291" customFormat="1" ht="11.25" customHeight="1">
      <c r="B3445" s="291" t="s">
        <v>291</v>
      </c>
      <c r="C3445" s="292">
        <v>44738</v>
      </c>
      <c r="D3445" s="292">
        <v>44739</v>
      </c>
      <c r="E3445" s="293" t="s">
        <v>2563</v>
      </c>
      <c r="F3445" s="291" t="s">
        <v>2564</v>
      </c>
      <c r="G3445" s="294">
        <v>4471</v>
      </c>
      <c r="H3445" s="291" t="s">
        <v>99</v>
      </c>
      <c r="I3445" s="295" t="s">
        <v>156</v>
      </c>
      <c r="J3445" s="296">
        <v>227485.44</v>
      </c>
      <c r="K3445" s="295"/>
      <c r="L3445" s="296">
        <v>101.92</v>
      </c>
      <c r="M3445" s="296">
        <v>70</v>
      </c>
      <c r="N3445" s="297">
        <f>18103+1096</f>
        <v>19199</v>
      </c>
      <c r="O3445" s="298">
        <v>0.3</v>
      </c>
      <c r="P3445" s="298">
        <v>0.1</v>
      </c>
      <c r="Q3445" s="297">
        <v>6494.03</v>
      </c>
      <c r="R3445" s="291" t="s">
        <v>105</v>
      </c>
      <c r="S3445" s="299" t="s">
        <v>30</v>
      </c>
      <c r="T3445" s="299">
        <v>39</v>
      </c>
      <c r="U3445" s="300" t="s">
        <v>164</v>
      </c>
      <c r="V3445" s="333"/>
      <c r="X3445" s="297">
        <v>6494.03</v>
      </c>
      <c r="Y3445" s="297"/>
      <c r="AH3445" s="291">
        <f>X3445</f>
        <v>6494.03</v>
      </c>
      <c r="AI3445" s="311"/>
      <c r="AJ3445" s="468"/>
    </row>
    <row r="3446" spans="2:36" s="291" customFormat="1" ht="11.25" customHeight="1">
      <c r="B3446" s="291" t="s">
        <v>291</v>
      </c>
      <c r="C3446" s="292"/>
      <c r="D3446" s="292"/>
      <c r="E3446" s="293" t="s">
        <v>2563</v>
      </c>
      <c r="F3446" s="291" t="s">
        <v>2564</v>
      </c>
      <c r="G3446" s="294">
        <v>4471</v>
      </c>
      <c r="H3446" s="291" t="s">
        <v>866</v>
      </c>
      <c r="I3446" s="295" t="s">
        <v>156</v>
      </c>
      <c r="J3446" s="296">
        <v>103125.74</v>
      </c>
      <c r="K3446" s="295"/>
      <c r="L3446" s="296">
        <v>44.62</v>
      </c>
      <c r="M3446" s="296">
        <v>30</v>
      </c>
      <c r="N3446" s="297">
        <v>23152</v>
      </c>
      <c r="O3446" s="298">
        <v>0.3</v>
      </c>
      <c r="P3446" s="298">
        <v>0.1</v>
      </c>
      <c r="Q3446" s="297">
        <v>0</v>
      </c>
      <c r="R3446" s="291" t="s">
        <v>105</v>
      </c>
      <c r="S3446" s="299" t="s">
        <v>30</v>
      </c>
      <c r="T3446" s="299">
        <v>39</v>
      </c>
      <c r="U3446" s="300" t="s">
        <v>164</v>
      </c>
      <c r="V3446" s="333"/>
      <c r="X3446" s="297">
        <v>0</v>
      </c>
      <c r="Y3446" s="297"/>
      <c r="AH3446" s="311">
        <f>X3446</f>
        <v>0</v>
      </c>
      <c r="AI3446" s="311"/>
      <c r="AJ3446" s="468"/>
    </row>
    <row r="3447" spans="2:36" s="261" customFormat="1" ht="11.25" customHeight="1">
      <c r="B3447" s="261" t="s">
        <v>291</v>
      </c>
      <c r="C3447" s="259">
        <v>44735</v>
      </c>
      <c r="D3447" s="259">
        <v>44739</v>
      </c>
      <c r="E3447" s="260" t="s">
        <v>2565</v>
      </c>
      <c r="F3447" s="261" t="s">
        <v>2566</v>
      </c>
      <c r="G3447" s="280">
        <v>3945</v>
      </c>
      <c r="H3447" s="261" t="s">
        <v>27</v>
      </c>
      <c r="I3447" s="264" t="s">
        <v>156</v>
      </c>
      <c r="J3447" s="263">
        <v>65988</v>
      </c>
      <c r="K3447" s="264"/>
      <c r="L3447" s="263">
        <v>47</v>
      </c>
      <c r="M3447" s="263">
        <v>5.9</v>
      </c>
      <c r="N3447" s="265">
        <v>1076.8699999999999</v>
      </c>
      <c r="O3447" s="266">
        <v>0.15</v>
      </c>
      <c r="P3447" s="266">
        <v>0.1</v>
      </c>
      <c r="Q3447" s="265">
        <v>106.2</v>
      </c>
      <c r="R3447" s="261" t="s">
        <v>29</v>
      </c>
      <c r="S3447" s="267" t="s">
        <v>30</v>
      </c>
      <c r="T3447" s="267">
        <v>70</v>
      </c>
      <c r="U3447" s="268" t="s">
        <v>164</v>
      </c>
      <c r="V3447" s="427"/>
      <c r="X3447" s="265">
        <v>106.2</v>
      </c>
      <c r="Y3447" s="265"/>
      <c r="AG3447" s="261">
        <f>X3447</f>
        <v>106.2</v>
      </c>
      <c r="AJ3447" s="642"/>
    </row>
    <row r="3448" spans="2:36" s="379" customFormat="1" ht="11.25" customHeight="1">
      <c r="B3448" s="379" t="s">
        <v>291</v>
      </c>
      <c r="C3448" s="381">
        <v>44738</v>
      </c>
      <c r="D3448" s="381">
        <v>44739</v>
      </c>
      <c r="E3448" s="382" t="s">
        <v>2567</v>
      </c>
      <c r="F3448" s="379" t="s">
        <v>26</v>
      </c>
      <c r="G3448" s="404">
        <v>3840</v>
      </c>
      <c r="H3448" s="379" t="s">
        <v>814</v>
      </c>
      <c r="I3448" s="384" t="s">
        <v>156</v>
      </c>
      <c r="J3448" s="385">
        <v>29025</v>
      </c>
      <c r="K3448" s="384"/>
      <c r="L3448" s="385">
        <v>25</v>
      </c>
      <c r="M3448" s="385">
        <v>25</v>
      </c>
      <c r="N3448" s="386"/>
      <c r="O3448" s="387">
        <v>0.2</v>
      </c>
      <c r="P3448" s="387">
        <v>0.1</v>
      </c>
      <c r="Q3448" s="386">
        <v>0</v>
      </c>
      <c r="R3448" s="379" t="s">
        <v>105</v>
      </c>
      <c r="S3448" s="388" t="s">
        <v>30</v>
      </c>
      <c r="T3448" s="388">
        <v>39</v>
      </c>
      <c r="U3448" s="389" t="s">
        <v>164</v>
      </c>
      <c r="V3448" s="433"/>
      <c r="X3448" s="386">
        <v>0</v>
      </c>
      <c r="Y3448" s="386"/>
      <c r="AJ3448" s="390">
        <v>0</v>
      </c>
    </row>
    <row r="3449" spans="2:36" s="379" customFormat="1" ht="11.25" customHeight="1">
      <c r="B3449" s="379" t="s">
        <v>291</v>
      </c>
      <c r="C3449" s="381"/>
      <c r="D3449" s="381"/>
      <c r="E3449" s="382" t="s">
        <v>2567</v>
      </c>
      <c r="F3449" s="379" t="s">
        <v>26</v>
      </c>
      <c r="G3449" s="404">
        <v>3840</v>
      </c>
      <c r="H3449" s="379" t="s">
        <v>866</v>
      </c>
      <c r="I3449" s="384" t="s">
        <v>156</v>
      </c>
      <c r="J3449" s="385">
        <v>50830.080000000002</v>
      </c>
      <c r="K3449" s="384"/>
      <c r="L3449" s="385">
        <v>36.6</v>
      </c>
      <c r="M3449" s="385">
        <v>30</v>
      </c>
      <c r="N3449" s="386"/>
      <c r="O3449" s="387">
        <v>0.2</v>
      </c>
      <c r="P3449" s="387">
        <v>0.1</v>
      </c>
      <c r="Q3449" s="386">
        <v>0</v>
      </c>
      <c r="R3449" s="379" t="s">
        <v>105</v>
      </c>
      <c r="S3449" s="388" t="s">
        <v>30</v>
      </c>
      <c r="T3449" s="388">
        <v>39</v>
      </c>
      <c r="U3449" s="389" t="s">
        <v>164</v>
      </c>
      <c r="V3449" s="433"/>
      <c r="X3449" s="386">
        <v>0</v>
      </c>
      <c r="Y3449" s="386"/>
      <c r="AJ3449" s="390">
        <v>0</v>
      </c>
    </row>
    <row r="3450" spans="2:36" s="205" customFormat="1" ht="11.25" customHeight="1">
      <c r="B3450" s="205" t="s">
        <v>291</v>
      </c>
      <c r="C3450" s="207"/>
      <c r="D3450" s="207"/>
      <c r="E3450" s="208" t="s">
        <v>2567</v>
      </c>
      <c r="F3450" s="205" t="s">
        <v>26</v>
      </c>
      <c r="G3450" s="217">
        <v>3840</v>
      </c>
      <c r="H3450" s="205" t="s">
        <v>99</v>
      </c>
      <c r="I3450" s="219" t="s">
        <v>156</v>
      </c>
      <c r="J3450" s="210">
        <v>106466.42</v>
      </c>
      <c r="K3450" s="219"/>
      <c r="L3450" s="210">
        <v>72.209999999999994</v>
      </c>
      <c r="M3450" s="210">
        <v>72.209999999999994</v>
      </c>
      <c r="N3450" s="213"/>
      <c r="O3450" s="212">
        <v>0.2</v>
      </c>
      <c r="P3450" s="212">
        <v>0.1</v>
      </c>
      <c r="Q3450" s="213">
        <v>0</v>
      </c>
      <c r="R3450" s="205" t="s">
        <v>105</v>
      </c>
      <c r="S3450" s="214" t="s">
        <v>30</v>
      </c>
      <c r="T3450" s="214">
        <v>39</v>
      </c>
      <c r="U3450" s="215" t="s">
        <v>164</v>
      </c>
      <c r="V3450" s="438"/>
      <c r="X3450" s="213">
        <v>0</v>
      </c>
      <c r="Y3450" s="213"/>
      <c r="AF3450" s="230">
        <f t="shared" ref="AF3450:AF3455" si="41">X3450</f>
        <v>0</v>
      </c>
      <c r="AJ3450" s="216"/>
    </row>
    <row r="3451" spans="2:36" s="205" customFormat="1" ht="11.25" customHeight="1">
      <c r="B3451" s="205" t="s">
        <v>291</v>
      </c>
      <c r="C3451" s="207"/>
      <c r="D3451" s="207"/>
      <c r="E3451" s="208" t="s">
        <v>2567</v>
      </c>
      <c r="F3451" s="205" t="s">
        <v>26</v>
      </c>
      <c r="G3451" s="217">
        <v>3840</v>
      </c>
      <c r="H3451" s="205" t="s">
        <v>27</v>
      </c>
      <c r="I3451" s="219" t="s">
        <v>156</v>
      </c>
      <c r="J3451" s="210">
        <v>69171.12</v>
      </c>
      <c r="K3451" s="219"/>
      <c r="L3451" s="210">
        <v>41.77</v>
      </c>
      <c r="M3451" s="210">
        <v>15</v>
      </c>
      <c r="N3451" s="213"/>
      <c r="O3451" s="212">
        <v>0.2</v>
      </c>
      <c r="P3451" s="212">
        <v>0.1</v>
      </c>
      <c r="Q3451" s="213">
        <v>0</v>
      </c>
      <c r="R3451" s="205" t="s">
        <v>105</v>
      </c>
      <c r="S3451" s="214" t="s">
        <v>30</v>
      </c>
      <c r="T3451" s="214">
        <v>39</v>
      </c>
      <c r="U3451" s="215" t="s">
        <v>164</v>
      </c>
      <c r="V3451" s="438"/>
      <c r="X3451" s="213">
        <v>0</v>
      </c>
      <c r="Y3451" s="213"/>
      <c r="AF3451" s="230">
        <f t="shared" si="41"/>
        <v>0</v>
      </c>
      <c r="AJ3451" s="216"/>
    </row>
    <row r="3452" spans="2:36" s="205" customFormat="1" ht="11.25" customHeight="1">
      <c r="B3452" s="205" t="s">
        <v>291</v>
      </c>
      <c r="C3452" s="207"/>
      <c r="D3452" s="207"/>
      <c r="E3452" s="208" t="s">
        <v>2567</v>
      </c>
      <c r="F3452" s="205" t="s">
        <v>26</v>
      </c>
      <c r="G3452" s="217">
        <v>3840</v>
      </c>
      <c r="H3452" s="205" t="s">
        <v>2568</v>
      </c>
      <c r="I3452" s="219" t="s">
        <v>156</v>
      </c>
      <c r="J3452" s="210">
        <v>24412.959999999999</v>
      </c>
      <c r="K3452" s="219"/>
      <c r="L3452" s="210">
        <v>15.73</v>
      </c>
      <c r="M3452" s="210">
        <v>15.73</v>
      </c>
      <c r="N3452" s="213"/>
      <c r="O3452" s="212">
        <v>0.2</v>
      </c>
      <c r="P3452" s="212">
        <v>0.1</v>
      </c>
      <c r="Q3452" s="213">
        <v>0</v>
      </c>
      <c r="R3452" s="205" t="s">
        <v>105</v>
      </c>
      <c r="S3452" s="214" t="s">
        <v>30</v>
      </c>
      <c r="T3452" s="214">
        <v>39</v>
      </c>
      <c r="U3452" s="215" t="s">
        <v>164</v>
      </c>
      <c r="V3452" s="438"/>
      <c r="X3452" s="213">
        <v>0</v>
      </c>
      <c r="Y3452" s="213"/>
      <c r="AF3452" s="230">
        <f t="shared" si="41"/>
        <v>0</v>
      </c>
      <c r="AJ3452" s="216"/>
    </row>
    <row r="3453" spans="2:36" s="205" customFormat="1" ht="11.25" customHeight="1">
      <c r="B3453" s="206" t="s">
        <v>291</v>
      </c>
      <c r="C3453" s="207">
        <v>44738</v>
      </c>
      <c r="D3453" s="207">
        <v>44739</v>
      </c>
      <c r="E3453" s="208" t="s">
        <v>2569</v>
      </c>
      <c r="F3453" s="205" t="s">
        <v>1681</v>
      </c>
      <c r="G3453" s="209" t="s">
        <v>1682</v>
      </c>
      <c r="H3453" s="205" t="s">
        <v>99</v>
      </c>
      <c r="I3453" s="205" t="s">
        <v>156</v>
      </c>
      <c r="J3453" s="210">
        <v>83952.26</v>
      </c>
      <c r="K3453" s="219"/>
      <c r="L3453" s="210">
        <v>53.2</v>
      </c>
      <c r="M3453" s="210">
        <v>24.53</v>
      </c>
      <c r="N3453" s="213"/>
      <c r="O3453" s="212">
        <v>0.25</v>
      </c>
      <c r="P3453" s="212">
        <v>0.1</v>
      </c>
      <c r="Q3453" s="213">
        <v>0</v>
      </c>
      <c r="R3453" s="205" t="s">
        <v>285</v>
      </c>
      <c r="S3453" s="214" t="s">
        <v>275</v>
      </c>
      <c r="T3453" s="214">
        <v>21</v>
      </c>
      <c r="U3453" s="215" t="s">
        <v>164</v>
      </c>
      <c r="V3453" s="438"/>
      <c r="X3453" s="213">
        <v>0</v>
      </c>
      <c r="Y3453" s="213"/>
      <c r="AF3453" s="230">
        <f t="shared" si="41"/>
        <v>0</v>
      </c>
      <c r="AJ3453" s="216"/>
    </row>
    <row r="3454" spans="2:36" s="205" customFormat="1" ht="11.25" customHeight="1">
      <c r="B3454" s="206" t="s">
        <v>291</v>
      </c>
      <c r="C3454" s="207"/>
      <c r="D3454" s="207"/>
      <c r="E3454" s="208" t="s">
        <v>2569</v>
      </c>
      <c r="F3454" s="205" t="s">
        <v>1681</v>
      </c>
      <c r="G3454" s="209" t="s">
        <v>1682</v>
      </c>
      <c r="H3454" s="205" t="s">
        <v>27</v>
      </c>
      <c r="I3454" s="205" t="s">
        <v>156</v>
      </c>
      <c r="J3454" s="210">
        <v>59867.14</v>
      </c>
      <c r="K3454" s="219"/>
      <c r="L3454" s="210">
        <v>40.96</v>
      </c>
      <c r="M3454" s="210">
        <v>9.18</v>
      </c>
      <c r="N3454" s="213"/>
      <c r="O3454" s="212">
        <v>0.25</v>
      </c>
      <c r="P3454" s="212">
        <v>0.1</v>
      </c>
      <c r="Q3454" s="213">
        <v>8065.92</v>
      </c>
      <c r="R3454" s="205" t="s">
        <v>285</v>
      </c>
      <c r="S3454" s="214" t="s">
        <v>275</v>
      </c>
      <c r="T3454" s="214">
        <v>21</v>
      </c>
      <c r="U3454" s="215" t="s">
        <v>164</v>
      </c>
      <c r="V3454" s="438"/>
      <c r="X3454" s="213">
        <v>8065.92</v>
      </c>
      <c r="Y3454" s="213"/>
      <c r="AF3454" s="230">
        <f t="shared" si="41"/>
        <v>8065.92</v>
      </c>
      <c r="AJ3454" s="216"/>
    </row>
    <row r="3455" spans="2:36" s="205" customFormat="1" ht="11.25" customHeight="1">
      <c r="B3455" s="206" t="s">
        <v>291</v>
      </c>
      <c r="C3455" s="207">
        <v>44733</v>
      </c>
      <c r="D3455" s="207">
        <v>44739</v>
      </c>
      <c r="E3455" s="208" t="s">
        <v>2570</v>
      </c>
      <c r="F3455" s="205" t="s">
        <v>2572</v>
      </c>
      <c r="G3455" s="209" t="s">
        <v>2573</v>
      </c>
      <c r="H3455" s="205" t="s">
        <v>99</v>
      </c>
      <c r="I3455" s="205" t="s">
        <v>156</v>
      </c>
      <c r="J3455" s="210">
        <v>3853.2</v>
      </c>
      <c r="K3455" s="219"/>
      <c r="L3455" s="210">
        <v>3.8</v>
      </c>
      <c r="M3455" s="210">
        <v>3</v>
      </c>
      <c r="N3455" s="213"/>
      <c r="O3455" s="212">
        <v>0.2</v>
      </c>
      <c r="P3455" s="212">
        <v>0.1</v>
      </c>
      <c r="Q3455" s="213">
        <v>3277.88</v>
      </c>
      <c r="R3455" s="205" t="s">
        <v>285</v>
      </c>
      <c r="S3455" s="214" t="s">
        <v>275</v>
      </c>
      <c r="T3455" s="214">
        <v>21</v>
      </c>
      <c r="U3455" s="215" t="s">
        <v>164</v>
      </c>
      <c r="V3455" s="438"/>
      <c r="X3455" s="213">
        <v>3277.88</v>
      </c>
      <c r="Y3455" s="213"/>
      <c r="AF3455" s="230">
        <f t="shared" si="41"/>
        <v>3277.88</v>
      </c>
      <c r="AJ3455" s="216"/>
    </row>
    <row r="3456" spans="2:36" s="181" customFormat="1" ht="11.25" customHeight="1">
      <c r="B3456" s="178" t="s">
        <v>291</v>
      </c>
      <c r="C3456" s="179"/>
      <c r="D3456" s="179"/>
      <c r="E3456" s="180" t="s">
        <v>2570</v>
      </c>
      <c r="F3456" s="181" t="s">
        <v>2572</v>
      </c>
      <c r="G3456" s="182" t="s">
        <v>2573</v>
      </c>
      <c r="H3456" s="181" t="s">
        <v>163</v>
      </c>
      <c r="I3456" s="181" t="s">
        <v>156</v>
      </c>
      <c r="J3456" s="183">
        <v>29880</v>
      </c>
      <c r="K3456" s="190"/>
      <c r="L3456" s="183">
        <v>41.5</v>
      </c>
      <c r="M3456" s="183">
        <v>10</v>
      </c>
      <c r="N3456" s="185"/>
      <c r="O3456" s="186">
        <v>0.2</v>
      </c>
      <c r="P3456" s="186">
        <v>0.1</v>
      </c>
      <c r="Q3456" s="185">
        <v>0</v>
      </c>
      <c r="R3456" s="181" t="s">
        <v>285</v>
      </c>
      <c r="S3456" s="187" t="s">
        <v>275</v>
      </c>
      <c r="T3456" s="187">
        <v>21</v>
      </c>
      <c r="U3456" s="188" t="s">
        <v>164</v>
      </c>
      <c r="V3456" s="441"/>
      <c r="X3456" s="185">
        <v>0</v>
      </c>
      <c r="Y3456" s="185"/>
      <c r="AE3456" s="204">
        <f>X3456</f>
        <v>0</v>
      </c>
      <c r="AJ3456" s="189"/>
    </row>
    <row r="3457" spans="1:77" s="205" customFormat="1" ht="11.25" customHeight="1">
      <c r="B3457" s="206" t="s">
        <v>291</v>
      </c>
      <c r="C3457" s="207">
        <v>44739</v>
      </c>
      <c r="D3457" s="207">
        <v>44739</v>
      </c>
      <c r="E3457" s="208" t="s">
        <v>2571</v>
      </c>
      <c r="F3457" s="205" t="s">
        <v>2574</v>
      </c>
      <c r="G3457" s="217">
        <v>3548</v>
      </c>
      <c r="H3457" s="205" t="s">
        <v>27</v>
      </c>
      <c r="I3457" s="219" t="s">
        <v>156</v>
      </c>
      <c r="J3457" s="210">
        <v>34307</v>
      </c>
      <c r="K3457" s="219"/>
      <c r="L3457" s="210">
        <v>26</v>
      </c>
      <c r="M3457" s="210">
        <v>26</v>
      </c>
      <c r="N3457" s="213">
        <v>10283</v>
      </c>
      <c r="O3457" s="212">
        <v>0.2</v>
      </c>
      <c r="P3457" s="212">
        <v>0.1</v>
      </c>
      <c r="Q3457" s="213">
        <v>0</v>
      </c>
      <c r="R3457" s="205" t="s">
        <v>105</v>
      </c>
      <c r="S3457" s="214" t="s">
        <v>30</v>
      </c>
      <c r="T3457" s="214">
        <v>39</v>
      </c>
      <c r="U3457" s="215" t="s">
        <v>164</v>
      </c>
      <c r="V3457" s="438"/>
      <c r="X3457" s="213">
        <v>0</v>
      </c>
      <c r="Y3457" s="213"/>
      <c r="AF3457" s="230">
        <f>X3457</f>
        <v>0</v>
      </c>
      <c r="AJ3457" s="216"/>
    </row>
    <row r="3458" spans="1:77" s="291" customFormat="1" ht="11.25" customHeight="1">
      <c r="B3458" s="310" t="s">
        <v>291</v>
      </c>
      <c r="C3458" s="292">
        <v>44738</v>
      </c>
      <c r="D3458" s="292">
        <v>44739</v>
      </c>
      <c r="E3458" s="293" t="s">
        <v>2575</v>
      </c>
      <c r="F3458" s="291" t="s">
        <v>2576</v>
      </c>
      <c r="G3458" s="314">
        <v>3539</v>
      </c>
      <c r="H3458" s="291" t="s">
        <v>99</v>
      </c>
      <c r="I3458" s="291" t="s">
        <v>156</v>
      </c>
      <c r="J3458" s="296">
        <v>23106.38</v>
      </c>
      <c r="K3458" s="295"/>
      <c r="L3458" s="296">
        <v>21.85</v>
      </c>
      <c r="M3458" s="296">
        <v>21.85</v>
      </c>
      <c r="N3458" s="297">
        <f>1707</f>
        <v>1707</v>
      </c>
      <c r="O3458" s="298">
        <v>0.15</v>
      </c>
      <c r="P3458" s="298">
        <v>0.1</v>
      </c>
      <c r="Q3458" s="297">
        <v>966.86</v>
      </c>
      <c r="R3458" s="291" t="s">
        <v>105</v>
      </c>
      <c r="S3458" s="299" t="s">
        <v>30</v>
      </c>
      <c r="T3458" s="299">
        <v>39</v>
      </c>
      <c r="U3458" s="300" t="s">
        <v>164</v>
      </c>
      <c r="V3458" s="333"/>
      <c r="X3458" s="297">
        <v>966.86</v>
      </c>
      <c r="Y3458" s="297"/>
      <c r="AH3458" s="291">
        <f>X3458</f>
        <v>966.86</v>
      </c>
      <c r="AI3458" s="311"/>
      <c r="AJ3458" s="468"/>
    </row>
    <row r="3459" spans="1:77" s="291" customFormat="1" ht="11.25" customHeight="1">
      <c r="B3459" s="310" t="s">
        <v>291</v>
      </c>
      <c r="C3459" s="292"/>
      <c r="D3459" s="292"/>
      <c r="E3459" s="293" t="s">
        <v>2575</v>
      </c>
      <c r="F3459" s="291" t="s">
        <v>2576</v>
      </c>
      <c r="G3459" s="314">
        <v>3539</v>
      </c>
      <c r="H3459" s="291" t="s">
        <v>27</v>
      </c>
      <c r="I3459" s="295" t="s">
        <v>156</v>
      </c>
      <c r="J3459" s="296">
        <v>19404.28</v>
      </c>
      <c r="K3459" s="295"/>
      <c r="L3459" s="296">
        <v>18.73</v>
      </c>
      <c r="M3459" s="296">
        <v>18.73</v>
      </c>
      <c r="N3459" s="297">
        <v>6278</v>
      </c>
      <c r="O3459" s="298">
        <v>0.15</v>
      </c>
      <c r="P3459" s="298">
        <v>0.1</v>
      </c>
      <c r="Q3459" s="297">
        <v>5270.62</v>
      </c>
      <c r="R3459" s="291" t="s">
        <v>105</v>
      </c>
      <c r="S3459" s="299" t="s">
        <v>30</v>
      </c>
      <c r="T3459" s="299">
        <v>39</v>
      </c>
      <c r="U3459" s="300" t="s">
        <v>164</v>
      </c>
      <c r="V3459" s="333"/>
      <c r="X3459" s="297">
        <v>5270.62</v>
      </c>
      <c r="Y3459" s="297"/>
      <c r="AH3459" s="291">
        <f>X3459</f>
        <v>5270.62</v>
      </c>
      <c r="AI3459" s="311"/>
      <c r="AJ3459" s="468"/>
    </row>
    <row r="3460" spans="1:77" s="379" customFormat="1" ht="11.25" customHeight="1">
      <c r="B3460" s="380" t="s">
        <v>290</v>
      </c>
      <c r="C3460" s="381">
        <v>44738</v>
      </c>
      <c r="D3460" s="381">
        <v>44739</v>
      </c>
      <c r="E3460" s="382" t="s">
        <v>2577</v>
      </c>
      <c r="F3460" s="379" t="s">
        <v>2578</v>
      </c>
      <c r="G3460" s="383" t="s">
        <v>2579</v>
      </c>
      <c r="H3460" s="379" t="s">
        <v>99</v>
      </c>
      <c r="I3460" s="379" t="s">
        <v>156</v>
      </c>
      <c r="J3460" s="385">
        <v>67712</v>
      </c>
      <c r="K3460" s="384"/>
      <c r="L3460" s="385">
        <v>52.9</v>
      </c>
      <c r="M3460" s="385">
        <v>52.9</v>
      </c>
      <c r="N3460" s="386">
        <f>13771.45-2673-1666.51</f>
        <v>9431.94</v>
      </c>
      <c r="O3460" s="387">
        <v>0.3</v>
      </c>
      <c r="P3460" s="387">
        <v>0.05</v>
      </c>
      <c r="Q3460" s="391">
        <v>6080.96</v>
      </c>
      <c r="R3460" s="379" t="s">
        <v>29</v>
      </c>
      <c r="S3460" s="388" t="s">
        <v>30</v>
      </c>
      <c r="T3460" s="388">
        <v>39</v>
      </c>
      <c r="U3460" s="389" t="s">
        <v>164</v>
      </c>
      <c r="V3460" s="433"/>
      <c r="X3460" s="391">
        <v>6080.96</v>
      </c>
      <c r="Y3460" s="386"/>
      <c r="AJ3460" s="390">
        <v>6080.96</v>
      </c>
    </row>
    <row r="3461" spans="1:77" s="379" customFormat="1" ht="11.25" customHeight="1">
      <c r="B3461" s="380" t="s">
        <v>290</v>
      </c>
      <c r="C3461" s="381"/>
      <c r="D3461" s="381"/>
      <c r="E3461" s="382" t="s">
        <v>2577</v>
      </c>
      <c r="F3461" s="379" t="s">
        <v>2578</v>
      </c>
      <c r="G3461" s="383" t="s">
        <v>2579</v>
      </c>
      <c r="H3461" s="379" t="s">
        <v>2568</v>
      </c>
      <c r="I3461" s="384" t="s">
        <v>156</v>
      </c>
      <c r="J3461" s="385">
        <v>17820</v>
      </c>
      <c r="K3461" s="384"/>
      <c r="L3461" s="385">
        <v>11</v>
      </c>
      <c r="M3461" s="385">
        <v>11</v>
      </c>
      <c r="N3461" s="386">
        <v>2673</v>
      </c>
      <c r="O3461" s="387">
        <v>0.3</v>
      </c>
      <c r="P3461" s="387">
        <v>0.05</v>
      </c>
      <c r="Q3461" s="391">
        <f>N3461-J3461*P3461</f>
        <v>1782</v>
      </c>
      <c r="R3461" s="379" t="s">
        <v>29</v>
      </c>
      <c r="S3461" s="388" t="s">
        <v>30</v>
      </c>
      <c r="T3461" s="388">
        <v>39</v>
      </c>
      <c r="U3461" s="389" t="s">
        <v>164</v>
      </c>
      <c r="V3461" s="433"/>
      <c r="X3461" s="391">
        <v>1782</v>
      </c>
      <c r="Y3461" s="386"/>
      <c r="AJ3461" s="390">
        <v>1782</v>
      </c>
    </row>
    <row r="3462" spans="1:77" s="379" customFormat="1" ht="11.25" customHeight="1">
      <c r="B3462" s="380" t="s">
        <v>290</v>
      </c>
      <c r="C3462" s="381"/>
      <c r="D3462" s="381"/>
      <c r="E3462" s="382" t="s">
        <v>2577</v>
      </c>
      <c r="F3462" s="379" t="s">
        <v>2578</v>
      </c>
      <c r="G3462" s="383" t="s">
        <v>2579</v>
      </c>
      <c r="H3462" s="379" t="s">
        <v>910</v>
      </c>
      <c r="I3462" s="379" t="s">
        <v>156</v>
      </c>
      <c r="J3462" s="385">
        <v>16611.98</v>
      </c>
      <c r="K3462" s="384"/>
      <c r="L3462" s="385">
        <v>9.3800000000000008</v>
      </c>
      <c r="M3462" s="385">
        <v>9.3800000000000008</v>
      </c>
      <c r="N3462" s="386">
        <v>1666.51</v>
      </c>
      <c r="O3462" s="387">
        <v>0.3</v>
      </c>
      <c r="P3462" s="387">
        <v>0.05</v>
      </c>
      <c r="Q3462" s="391">
        <v>830.6</v>
      </c>
      <c r="R3462" s="379" t="s">
        <v>29</v>
      </c>
      <c r="S3462" s="388" t="s">
        <v>30</v>
      </c>
      <c r="T3462" s="388">
        <v>39</v>
      </c>
      <c r="U3462" s="389" t="s">
        <v>164</v>
      </c>
      <c r="V3462" s="433"/>
      <c r="X3462" s="391">
        <v>830.6</v>
      </c>
      <c r="Y3462" s="386"/>
      <c r="AJ3462" s="390">
        <v>830.6</v>
      </c>
    </row>
    <row r="3463" spans="1:77" s="379" customFormat="1" ht="11.25" customHeight="1">
      <c r="B3463" s="380" t="s">
        <v>290</v>
      </c>
      <c r="C3463" s="381"/>
      <c r="D3463" s="381"/>
      <c r="E3463" s="382" t="s">
        <v>2577</v>
      </c>
      <c r="F3463" s="379" t="s">
        <v>2578</v>
      </c>
      <c r="G3463" s="383" t="s">
        <v>2579</v>
      </c>
      <c r="H3463" s="379" t="s">
        <v>2001</v>
      </c>
      <c r="I3463" s="384" t="s">
        <v>156</v>
      </c>
      <c r="J3463" s="385">
        <v>38500</v>
      </c>
      <c r="K3463" s="384"/>
      <c r="L3463" s="385">
        <v>27.5</v>
      </c>
      <c r="M3463" s="385">
        <v>27.5</v>
      </c>
      <c r="N3463" s="386">
        <f>3276+1677.9+356.3</f>
        <v>5310.2</v>
      </c>
      <c r="O3463" s="387">
        <v>0.3</v>
      </c>
      <c r="P3463" s="387">
        <v>0.05</v>
      </c>
      <c r="Q3463" s="386">
        <v>3384.15</v>
      </c>
      <c r="R3463" s="379" t="s">
        <v>29</v>
      </c>
      <c r="S3463" s="388" t="s">
        <v>30</v>
      </c>
      <c r="T3463" s="388">
        <v>39</v>
      </c>
      <c r="U3463" s="389" t="s">
        <v>164</v>
      </c>
      <c r="V3463" s="433"/>
      <c r="X3463" s="386">
        <v>3384.15</v>
      </c>
      <c r="Y3463" s="386"/>
      <c r="AJ3463" s="416">
        <v>3384.15</v>
      </c>
    </row>
    <row r="3464" spans="1:77" s="337" customFormat="1" ht="11.25" customHeight="1">
      <c r="B3464" s="338" t="s">
        <v>291</v>
      </c>
      <c r="C3464" s="349">
        <v>44738</v>
      </c>
      <c r="D3464" s="349">
        <v>44739</v>
      </c>
      <c r="E3464" s="350" t="s">
        <v>2580</v>
      </c>
      <c r="F3464" s="337" t="s">
        <v>2581</v>
      </c>
      <c r="G3464" s="368">
        <v>4255</v>
      </c>
      <c r="H3464" s="337" t="s">
        <v>99</v>
      </c>
      <c r="I3464" s="353" t="s">
        <v>1351</v>
      </c>
      <c r="J3464" s="352">
        <v>60680</v>
      </c>
      <c r="K3464" s="353"/>
      <c r="L3464" s="352">
        <v>41</v>
      </c>
      <c r="M3464" s="352">
        <v>41</v>
      </c>
      <c r="N3464" s="354">
        <f>1145.52+1318.68+1050.8+811.04+113.96+426.24+106.56+76.96+257.52+189.44+136.16+216.08+122.84</f>
        <v>5971.8</v>
      </c>
      <c r="O3464" s="355">
        <v>0.2</v>
      </c>
      <c r="P3464" s="355">
        <v>0.1</v>
      </c>
      <c r="Q3464" s="354">
        <v>0</v>
      </c>
      <c r="R3464" s="337" t="s">
        <v>29</v>
      </c>
      <c r="S3464" s="356" t="s">
        <v>30</v>
      </c>
      <c r="T3464" s="356">
        <v>90</v>
      </c>
      <c r="U3464" s="357" t="s">
        <v>164</v>
      </c>
      <c r="V3464" s="434"/>
      <c r="X3464" s="354">
        <v>0</v>
      </c>
      <c r="Y3464" s="354"/>
      <c r="AI3464" s="337">
        <v>0</v>
      </c>
      <c r="AJ3464" s="358"/>
      <c r="AK3464" s="369"/>
    </row>
    <row r="3465" spans="1:77" s="205" customFormat="1" ht="11.25" customHeight="1">
      <c r="B3465" s="206" t="s">
        <v>291</v>
      </c>
      <c r="C3465" s="207"/>
      <c r="D3465" s="207"/>
      <c r="E3465" s="208" t="s">
        <v>2580</v>
      </c>
      <c r="F3465" s="205" t="s">
        <v>2581</v>
      </c>
      <c r="G3465" s="217">
        <v>4255</v>
      </c>
      <c r="H3465" s="205" t="s">
        <v>898</v>
      </c>
      <c r="I3465" s="219" t="s">
        <v>1351</v>
      </c>
      <c r="J3465" s="210">
        <v>39307.199999999997</v>
      </c>
      <c r="K3465" s="219"/>
      <c r="L3465" s="210">
        <v>32</v>
      </c>
      <c r="M3465" s="210">
        <v>32</v>
      </c>
      <c r="N3465" s="213"/>
      <c r="O3465" s="212">
        <v>0.2</v>
      </c>
      <c r="P3465" s="212">
        <v>0.1</v>
      </c>
      <c r="Q3465" s="213">
        <v>0</v>
      </c>
      <c r="R3465" s="205" t="s">
        <v>29</v>
      </c>
      <c r="S3465" s="214" t="s">
        <v>30</v>
      </c>
      <c r="T3465" s="214">
        <v>90</v>
      </c>
      <c r="U3465" s="215" t="s">
        <v>164</v>
      </c>
      <c r="V3465" s="438"/>
      <c r="X3465" s="213">
        <v>0</v>
      </c>
      <c r="Y3465" s="213"/>
      <c r="AF3465" s="230">
        <f>X3465</f>
        <v>0</v>
      </c>
      <c r="AJ3465" s="216"/>
    </row>
    <row r="3466" spans="1:77" s="205" customFormat="1" ht="11.25" customHeight="1">
      <c r="B3466" s="206" t="s">
        <v>291</v>
      </c>
      <c r="C3466" s="207"/>
      <c r="D3466" s="207"/>
      <c r="E3466" s="208" t="s">
        <v>2580</v>
      </c>
      <c r="F3466" s="205" t="s">
        <v>2581</v>
      </c>
      <c r="G3466" s="217">
        <v>4255</v>
      </c>
      <c r="H3466" s="205" t="s">
        <v>866</v>
      </c>
      <c r="I3466" s="219" t="s">
        <v>1351</v>
      </c>
      <c r="J3466" s="210">
        <v>6442.8</v>
      </c>
      <c r="K3466" s="219"/>
      <c r="L3466" s="210">
        <v>5</v>
      </c>
      <c r="M3466" s="210">
        <v>5</v>
      </c>
      <c r="N3466" s="213"/>
      <c r="O3466" s="212">
        <v>0.2</v>
      </c>
      <c r="P3466" s="212">
        <v>0.1</v>
      </c>
      <c r="Q3466" s="213">
        <v>0</v>
      </c>
      <c r="R3466" s="205" t="s">
        <v>29</v>
      </c>
      <c r="S3466" s="214" t="s">
        <v>30</v>
      </c>
      <c r="T3466" s="214">
        <v>90</v>
      </c>
      <c r="U3466" s="215" t="s">
        <v>164</v>
      </c>
      <c r="V3466" s="438"/>
      <c r="X3466" s="213">
        <v>0</v>
      </c>
      <c r="Y3466" s="213"/>
      <c r="AF3466" s="230">
        <f>X3466</f>
        <v>0</v>
      </c>
      <c r="AJ3466" s="216"/>
    </row>
    <row r="3467" spans="1:77" s="205" customFormat="1" ht="11.25" customHeight="1">
      <c r="B3467" s="206" t="s">
        <v>291</v>
      </c>
      <c r="C3467" s="207"/>
      <c r="D3467" s="207"/>
      <c r="E3467" s="208" t="s">
        <v>2580</v>
      </c>
      <c r="F3467" s="205" t="s">
        <v>2581</v>
      </c>
      <c r="G3467" s="217">
        <v>4255</v>
      </c>
      <c r="H3467" s="205" t="s">
        <v>183</v>
      </c>
      <c r="I3467" s="219" t="s">
        <v>1351</v>
      </c>
      <c r="J3467" s="210">
        <v>19843.25</v>
      </c>
      <c r="K3467" s="219"/>
      <c r="L3467" s="210">
        <v>17</v>
      </c>
      <c r="M3467" s="210">
        <v>17</v>
      </c>
      <c r="N3467" s="213">
        <f>8105.33-N3464</f>
        <v>2133.5299999999997</v>
      </c>
      <c r="O3467" s="212">
        <v>0.2</v>
      </c>
      <c r="P3467" s="212">
        <v>0.1</v>
      </c>
      <c r="Q3467" s="213">
        <v>0</v>
      </c>
      <c r="R3467" s="205" t="s">
        <v>29</v>
      </c>
      <c r="S3467" s="214" t="s">
        <v>30</v>
      </c>
      <c r="T3467" s="214">
        <v>90</v>
      </c>
      <c r="U3467" s="215" t="s">
        <v>164</v>
      </c>
      <c r="V3467" s="438"/>
      <c r="X3467" s="213">
        <v>0</v>
      </c>
      <c r="Y3467" s="213"/>
      <c r="AF3467" s="230">
        <f>X3467</f>
        <v>0</v>
      </c>
      <c r="AJ3467" s="216"/>
    </row>
    <row r="3468" spans="1:77" s="337" customFormat="1" ht="11.25" customHeight="1">
      <c r="B3468" s="338" t="s">
        <v>291</v>
      </c>
      <c r="C3468" s="349"/>
      <c r="D3468" s="349"/>
      <c r="E3468" s="350" t="s">
        <v>2582</v>
      </c>
      <c r="F3468" s="337" t="s">
        <v>2583</v>
      </c>
      <c r="G3468" s="368">
        <v>3561</v>
      </c>
      <c r="H3468" s="337" t="s">
        <v>27</v>
      </c>
      <c r="I3468" s="337" t="s">
        <v>156</v>
      </c>
      <c r="J3468" s="352">
        <v>14740.61</v>
      </c>
      <c r="K3468" s="353"/>
      <c r="L3468" s="352">
        <v>9.4</v>
      </c>
      <c r="M3468" s="352">
        <v>3.75</v>
      </c>
      <c r="N3468" s="354">
        <v>882.08</v>
      </c>
      <c r="O3468" s="355">
        <v>0.25</v>
      </c>
      <c r="P3468" s="355">
        <v>0.1</v>
      </c>
      <c r="Q3468" s="354">
        <v>290.31</v>
      </c>
      <c r="R3468" s="337" t="s">
        <v>29</v>
      </c>
      <c r="S3468" s="356" t="s">
        <v>30</v>
      </c>
      <c r="T3468" s="356">
        <v>25</v>
      </c>
      <c r="U3468" s="357" t="s">
        <v>164</v>
      </c>
      <c r="V3468" s="434"/>
      <c r="X3468" s="354">
        <v>290.31</v>
      </c>
      <c r="Y3468" s="354"/>
      <c r="AI3468" s="337">
        <v>290.31</v>
      </c>
      <c r="AJ3468" s="358"/>
      <c r="AK3468" s="369"/>
    </row>
    <row r="3469" spans="1:77" s="205" customFormat="1" ht="11.25" customHeight="1">
      <c r="B3469" s="206" t="s">
        <v>291</v>
      </c>
      <c r="C3469" s="207">
        <v>44738</v>
      </c>
      <c r="D3469" s="207">
        <v>44739</v>
      </c>
      <c r="E3469" s="208" t="s">
        <v>2582</v>
      </c>
      <c r="F3469" s="205" t="s">
        <v>2583</v>
      </c>
      <c r="G3469" s="217">
        <v>3561</v>
      </c>
      <c r="H3469" s="205" t="s">
        <v>99</v>
      </c>
      <c r="I3469" s="205" t="s">
        <v>156</v>
      </c>
      <c r="J3469" s="210">
        <v>7905.15</v>
      </c>
      <c r="K3469" s="219"/>
      <c r="L3469" s="210">
        <v>6.15</v>
      </c>
      <c r="M3469" s="210">
        <v>6.15</v>
      </c>
      <c r="N3469" s="213"/>
      <c r="O3469" s="212">
        <v>0.25</v>
      </c>
      <c r="P3469" s="212">
        <v>0.1</v>
      </c>
      <c r="Q3469" s="213">
        <v>0</v>
      </c>
      <c r="R3469" s="205" t="s">
        <v>29</v>
      </c>
      <c r="S3469" s="214" t="s">
        <v>30</v>
      </c>
      <c r="T3469" s="214">
        <v>25</v>
      </c>
      <c r="U3469" s="215" t="s">
        <v>164</v>
      </c>
      <c r="V3469" s="438"/>
      <c r="X3469" s="213">
        <v>0</v>
      </c>
      <c r="Y3469" s="213"/>
      <c r="AF3469" s="230">
        <f>X3469</f>
        <v>0</v>
      </c>
      <c r="AJ3469" s="216"/>
    </row>
    <row r="3470" spans="1:77" s="205" customFormat="1" ht="11.25" customHeight="1">
      <c r="B3470" s="206" t="s">
        <v>291</v>
      </c>
      <c r="C3470" s="207"/>
      <c r="D3470" s="207"/>
      <c r="E3470" s="208" t="s">
        <v>2582</v>
      </c>
      <c r="F3470" s="205" t="s">
        <v>2583</v>
      </c>
      <c r="G3470" s="217">
        <v>3561</v>
      </c>
      <c r="H3470" s="205" t="s">
        <v>99</v>
      </c>
      <c r="I3470" s="205" t="s">
        <v>156</v>
      </c>
      <c r="J3470" s="210">
        <v>4344.62</v>
      </c>
      <c r="K3470" s="219"/>
      <c r="L3470" s="210">
        <v>3.38</v>
      </c>
      <c r="M3470" s="210">
        <v>3.38</v>
      </c>
      <c r="N3470" s="213"/>
      <c r="O3470" s="212">
        <v>0.25</v>
      </c>
      <c r="P3470" s="212">
        <v>0.1</v>
      </c>
      <c r="Q3470" s="213">
        <v>0</v>
      </c>
      <c r="R3470" s="205" t="s">
        <v>29</v>
      </c>
      <c r="S3470" s="214" t="s">
        <v>30</v>
      </c>
      <c r="T3470" s="214">
        <v>70</v>
      </c>
      <c r="U3470" s="215" t="s">
        <v>164</v>
      </c>
      <c r="V3470" s="438"/>
      <c r="X3470" s="213">
        <v>0</v>
      </c>
      <c r="Y3470" s="213"/>
      <c r="AF3470" s="230">
        <f>X3470</f>
        <v>0</v>
      </c>
      <c r="AJ3470" s="216"/>
    </row>
    <row r="3471" spans="1:77" s="205" customFormat="1" ht="11.25" customHeight="1">
      <c r="B3471" s="206" t="s">
        <v>291</v>
      </c>
      <c r="C3471" s="207"/>
      <c r="D3471" s="207"/>
      <c r="E3471" s="208" t="s">
        <v>2582</v>
      </c>
      <c r="F3471" s="205" t="s">
        <v>2583</v>
      </c>
      <c r="G3471" s="217">
        <v>3561</v>
      </c>
      <c r="H3471" s="205" t="s">
        <v>183</v>
      </c>
      <c r="I3471" s="205" t="s">
        <v>156</v>
      </c>
      <c r="J3471" s="210">
        <v>10758.57</v>
      </c>
      <c r="K3471" s="219"/>
      <c r="L3471" s="210">
        <v>9.4600000000000009</v>
      </c>
      <c r="M3471" s="210">
        <v>9.4600000000000009</v>
      </c>
      <c r="N3471" s="213"/>
      <c r="O3471" s="212">
        <v>0.25</v>
      </c>
      <c r="P3471" s="212">
        <v>0.1</v>
      </c>
      <c r="Q3471" s="213">
        <v>0</v>
      </c>
      <c r="R3471" s="205" t="s">
        <v>29</v>
      </c>
      <c r="S3471" s="214" t="s">
        <v>30</v>
      </c>
      <c r="T3471" s="214">
        <v>25</v>
      </c>
      <c r="U3471" s="215" t="s">
        <v>164</v>
      </c>
      <c r="V3471" s="438"/>
      <c r="X3471" s="213">
        <v>0</v>
      </c>
      <c r="Y3471" s="213"/>
      <c r="AF3471" s="230">
        <f>X3471</f>
        <v>0</v>
      </c>
      <c r="AJ3471" s="216"/>
    </row>
    <row r="3472" spans="1:77" s="205" customFormat="1" ht="11.25" customHeight="1">
      <c r="A3472" s="473"/>
      <c r="B3472" s="486" t="s">
        <v>290</v>
      </c>
      <c r="C3472" s="487"/>
      <c r="D3472" s="487"/>
      <c r="E3472" s="488" t="s">
        <v>2584</v>
      </c>
      <c r="F3472" s="473" t="s">
        <v>2585</v>
      </c>
      <c r="G3472" s="489" t="s">
        <v>2586</v>
      </c>
      <c r="H3472" s="473" t="s">
        <v>765</v>
      </c>
      <c r="I3472" s="473" t="s">
        <v>156</v>
      </c>
      <c r="J3472" s="490">
        <v>9750.4</v>
      </c>
      <c r="K3472" s="491"/>
      <c r="L3472" s="490">
        <v>11.08</v>
      </c>
      <c r="M3472" s="490">
        <v>11.08</v>
      </c>
      <c r="N3472" s="492"/>
      <c r="O3472" s="493">
        <v>0.3</v>
      </c>
      <c r="P3472" s="493">
        <v>0.1</v>
      </c>
      <c r="Q3472" s="492">
        <v>4072.48</v>
      </c>
      <c r="R3472" s="473" t="s">
        <v>73</v>
      </c>
      <c r="S3472" s="481" t="s">
        <v>74</v>
      </c>
      <c r="T3472" s="481">
        <v>31</v>
      </c>
      <c r="U3472" s="494" t="s">
        <v>164</v>
      </c>
      <c r="V3472" s="495"/>
      <c r="W3472" s="473"/>
      <c r="X3472" s="492">
        <v>4072.48</v>
      </c>
      <c r="Y3472" s="492"/>
      <c r="Z3472" s="473"/>
      <c r="AA3472" s="473"/>
      <c r="AB3472" s="473"/>
      <c r="AC3472" s="473"/>
      <c r="AD3472" s="473"/>
      <c r="AE3472" s="473"/>
      <c r="AF3472" s="473"/>
      <c r="AG3472" s="473"/>
      <c r="AH3472" s="473"/>
      <c r="AI3472" s="473"/>
      <c r="AJ3472" s="485"/>
      <c r="AK3472" s="505">
        <v>4072.48</v>
      </c>
      <c r="AL3472" s="473"/>
      <c r="AM3472" s="473"/>
      <c r="AN3472" s="473"/>
      <c r="AO3472" s="473"/>
      <c r="AP3472" s="473"/>
      <c r="AQ3472" s="473"/>
      <c r="AR3472" s="473"/>
      <c r="AS3472" s="473"/>
      <c r="AT3472" s="473"/>
      <c r="AU3472" s="473"/>
      <c r="AV3472" s="473"/>
      <c r="AW3472" s="473"/>
      <c r="AX3472" s="473"/>
      <c r="AY3472" s="473"/>
      <c r="AZ3472" s="473"/>
      <c r="BA3472" s="473"/>
      <c r="BB3472" s="473"/>
      <c r="BC3472" s="473"/>
      <c r="BD3472" s="473"/>
      <c r="BE3472" s="473"/>
      <c r="BF3472" s="473"/>
      <c r="BG3472" s="473"/>
      <c r="BH3472" s="473"/>
      <c r="BI3472" s="473"/>
      <c r="BJ3472" s="473"/>
      <c r="BK3472" s="473"/>
      <c r="BL3472" s="473"/>
      <c r="BM3472" s="473"/>
      <c r="BN3472" s="473"/>
      <c r="BO3472" s="473"/>
      <c r="BP3472" s="473"/>
      <c r="BQ3472" s="473"/>
      <c r="BR3472" s="473"/>
      <c r="BS3472" s="473"/>
      <c r="BT3472" s="473"/>
      <c r="BU3472" s="473"/>
      <c r="BV3472" s="473"/>
      <c r="BW3472" s="473"/>
      <c r="BX3472" s="473"/>
      <c r="BY3472" s="473"/>
    </row>
    <row r="3473" spans="1:77" s="205" customFormat="1" ht="11.25" customHeight="1">
      <c r="B3473" s="206" t="s">
        <v>290</v>
      </c>
      <c r="C3473" s="207">
        <v>44735</v>
      </c>
      <c r="D3473" s="207">
        <v>44739</v>
      </c>
      <c r="E3473" s="208" t="s">
        <v>2584</v>
      </c>
      <c r="F3473" s="205" t="s">
        <v>2585</v>
      </c>
      <c r="G3473" s="209" t="s">
        <v>2586</v>
      </c>
      <c r="H3473" s="205" t="s">
        <v>99</v>
      </c>
      <c r="I3473" s="205" t="s">
        <v>156</v>
      </c>
      <c r="J3473" s="210">
        <v>12452.4</v>
      </c>
      <c r="K3473" s="219"/>
      <c r="L3473" s="210">
        <v>11.53</v>
      </c>
      <c r="M3473" s="210">
        <v>11.53</v>
      </c>
      <c r="N3473" s="213"/>
      <c r="O3473" s="212">
        <v>0.3</v>
      </c>
      <c r="P3473" s="212">
        <v>0.1</v>
      </c>
      <c r="Q3473" s="213">
        <v>6927.66</v>
      </c>
      <c r="R3473" s="205" t="s">
        <v>73</v>
      </c>
      <c r="S3473" s="214" t="s">
        <v>74</v>
      </c>
      <c r="T3473" s="214">
        <v>31</v>
      </c>
      <c r="U3473" s="215" t="s">
        <v>164</v>
      </c>
      <c r="V3473" s="438"/>
      <c r="X3473" s="213">
        <v>6927.66</v>
      </c>
      <c r="Y3473" s="213"/>
      <c r="AF3473" s="230">
        <f>X3473</f>
        <v>6927.66</v>
      </c>
      <c r="AJ3473" s="216"/>
    </row>
    <row r="3474" spans="1:77" s="571" customFormat="1" ht="11.25" customHeight="1">
      <c r="A3474" s="546"/>
      <c r="B3474" s="559" t="s">
        <v>291</v>
      </c>
      <c r="C3474" s="547">
        <v>44738</v>
      </c>
      <c r="D3474" s="547">
        <v>44739</v>
      </c>
      <c r="E3474" s="548" t="s">
        <v>2587</v>
      </c>
      <c r="F3474" s="546" t="s">
        <v>2588</v>
      </c>
      <c r="G3474" s="570">
        <v>3932</v>
      </c>
      <c r="H3474" s="546" t="s">
        <v>99</v>
      </c>
      <c r="I3474" s="546" t="s">
        <v>156</v>
      </c>
      <c r="J3474" s="550">
        <v>39004.239999999998</v>
      </c>
      <c r="K3474" s="551"/>
      <c r="L3474" s="550">
        <v>27.94</v>
      </c>
      <c r="M3474" s="550">
        <v>27.94</v>
      </c>
      <c r="N3474" s="552">
        <f>4769+2671+896</f>
        <v>8336</v>
      </c>
      <c r="O3474" s="553">
        <v>0.2</v>
      </c>
      <c r="P3474" s="553">
        <v>0.1</v>
      </c>
      <c r="Q3474" s="552">
        <v>4926.8500000000004</v>
      </c>
      <c r="R3474" s="546" t="s">
        <v>105</v>
      </c>
      <c r="S3474" s="554" t="s">
        <v>30</v>
      </c>
      <c r="T3474" s="554">
        <v>39</v>
      </c>
      <c r="U3474" s="555" t="s">
        <v>164</v>
      </c>
      <c r="V3474" s="556"/>
      <c r="W3474" s="546"/>
      <c r="X3474" s="552">
        <v>4926.8500000000004</v>
      </c>
      <c r="Y3474" s="552"/>
      <c r="Z3474" s="546"/>
      <c r="AA3474" s="546"/>
      <c r="AB3474" s="546"/>
      <c r="AC3474" s="546"/>
      <c r="AD3474" s="546"/>
      <c r="AE3474" s="546"/>
      <c r="AF3474" s="546"/>
      <c r="AG3474" s="546"/>
      <c r="AH3474" s="546"/>
      <c r="AI3474" s="546"/>
      <c r="AJ3474" s="557"/>
      <c r="AK3474" s="546"/>
      <c r="AL3474" s="546"/>
      <c r="AM3474" s="577">
        <v>4926.8500000000004</v>
      </c>
      <c r="AN3474" s="546"/>
      <c r="AO3474" s="546"/>
      <c r="AP3474" s="546"/>
      <c r="AQ3474" s="546"/>
      <c r="AR3474" s="546"/>
      <c r="AS3474" s="546"/>
      <c r="AT3474" s="546"/>
      <c r="AU3474" s="546"/>
      <c r="AV3474" s="546"/>
      <c r="AW3474" s="546"/>
      <c r="AX3474" s="546"/>
      <c r="AY3474" s="546"/>
      <c r="AZ3474" s="546"/>
      <c r="BA3474" s="546"/>
      <c r="BB3474" s="546"/>
      <c r="BC3474" s="546"/>
      <c r="BD3474" s="546"/>
      <c r="BE3474" s="546"/>
      <c r="BF3474" s="546"/>
      <c r="BG3474" s="546"/>
      <c r="BH3474" s="546"/>
      <c r="BI3474" s="546"/>
      <c r="BJ3474" s="546"/>
      <c r="BK3474" s="546"/>
      <c r="BL3474" s="546"/>
      <c r="BM3474" s="546"/>
      <c r="BN3474" s="546"/>
      <c r="BO3474" s="546"/>
      <c r="BP3474" s="546"/>
      <c r="BQ3474" s="546"/>
      <c r="BR3474" s="546"/>
      <c r="BS3474" s="546"/>
      <c r="BT3474" s="546"/>
      <c r="BU3474" s="546"/>
      <c r="BV3474" s="546"/>
      <c r="BW3474" s="546"/>
      <c r="BX3474" s="546"/>
      <c r="BY3474" s="546"/>
    </row>
    <row r="3475" spans="1:77" s="6" customFormat="1" ht="11.25" customHeight="1">
      <c r="A3475" s="379"/>
      <c r="B3475" s="380" t="s">
        <v>291</v>
      </c>
      <c r="C3475" s="381"/>
      <c r="D3475" s="381"/>
      <c r="E3475" s="382" t="s">
        <v>2587</v>
      </c>
      <c r="F3475" s="379" t="s">
        <v>2588</v>
      </c>
      <c r="G3475" s="404">
        <v>3932</v>
      </c>
      <c r="H3475" s="379" t="s">
        <v>866</v>
      </c>
      <c r="I3475" s="379" t="s">
        <v>156</v>
      </c>
      <c r="J3475" s="385">
        <v>30421.64</v>
      </c>
      <c r="K3475" s="384"/>
      <c r="L3475" s="385">
        <v>15.38</v>
      </c>
      <c r="M3475" s="385">
        <v>15.38</v>
      </c>
      <c r="N3475" s="386">
        <v>0</v>
      </c>
      <c r="O3475" s="387">
        <v>0.2</v>
      </c>
      <c r="P3475" s="387">
        <v>0.1</v>
      </c>
      <c r="Q3475" s="386">
        <v>0</v>
      </c>
      <c r="R3475" s="379" t="s">
        <v>105</v>
      </c>
      <c r="S3475" s="388" t="s">
        <v>30</v>
      </c>
      <c r="T3475" s="388">
        <v>39</v>
      </c>
      <c r="U3475" s="389" t="s">
        <v>164</v>
      </c>
      <c r="V3475" s="433"/>
      <c r="W3475" s="379"/>
      <c r="X3475" s="386">
        <v>0</v>
      </c>
      <c r="Y3475" s="386"/>
      <c r="Z3475" s="379"/>
      <c r="AA3475" s="379"/>
      <c r="AB3475" s="379"/>
      <c r="AC3475" s="379"/>
      <c r="AD3475" s="379"/>
      <c r="AE3475" s="379"/>
      <c r="AF3475" s="379"/>
      <c r="AG3475" s="379"/>
      <c r="AH3475" s="379"/>
      <c r="AI3475" s="379"/>
      <c r="AJ3475" s="390">
        <v>0</v>
      </c>
      <c r="AK3475" s="379"/>
      <c r="AL3475" s="379"/>
      <c r="AM3475" s="379"/>
      <c r="AN3475" s="379"/>
      <c r="AO3475" s="379"/>
      <c r="AP3475" s="379"/>
      <c r="AQ3475" s="379"/>
      <c r="AR3475" s="379"/>
      <c r="AS3475" s="379"/>
      <c r="AT3475" s="379"/>
      <c r="AU3475" s="379"/>
      <c r="AV3475" s="379"/>
      <c r="AW3475" s="379"/>
      <c r="AX3475" s="379"/>
      <c r="AY3475" s="379"/>
      <c r="AZ3475" s="379"/>
      <c r="BA3475" s="379"/>
      <c r="BB3475" s="379"/>
      <c r="BC3475" s="379"/>
      <c r="BD3475" s="379"/>
      <c r="BE3475" s="379"/>
      <c r="BF3475" s="379"/>
      <c r="BG3475" s="379"/>
      <c r="BH3475" s="379"/>
      <c r="BI3475" s="379"/>
      <c r="BJ3475" s="379"/>
      <c r="BK3475" s="379"/>
      <c r="BL3475" s="379"/>
      <c r="BM3475" s="379"/>
      <c r="BN3475" s="379"/>
      <c r="BO3475" s="379"/>
      <c r="BP3475" s="379"/>
      <c r="BQ3475" s="379"/>
      <c r="BR3475" s="379"/>
      <c r="BS3475" s="379"/>
      <c r="BT3475" s="379"/>
      <c r="BU3475" s="379"/>
      <c r="BV3475" s="379"/>
      <c r="BW3475" s="379"/>
      <c r="BX3475" s="379"/>
      <c r="BY3475" s="379"/>
    </row>
    <row r="3476" spans="1:77" s="6" customFormat="1" ht="11.25" customHeight="1">
      <c r="A3476" s="379"/>
      <c r="B3476" s="380" t="s">
        <v>291</v>
      </c>
      <c r="C3476" s="381"/>
      <c r="D3476" s="381"/>
      <c r="E3476" s="382" t="s">
        <v>2587</v>
      </c>
      <c r="F3476" s="379" t="s">
        <v>2588</v>
      </c>
      <c r="G3476" s="404">
        <v>3932</v>
      </c>
      <c r="H3476" s="379" t="s">
        <v>814</v>
      </c>
      <c r="I3476" s="379" t="s">
        <v>156</v>
      </c>
      <c r="J3476" s="385">
        <v>16906.96</v>
      </c>
      <c r="K3476" s="384"/>
      <c r="L3476" s="385">
        <v>18.16</v>
      </c>
      <c r="M3476" s="385">
        <v>18.16</v>
      </c>
      <c r="N3476" s="386">
        <v>0</v>
      </c>
      <c r="O3476" s="387">
        <v>0.2</v>
      </c>
      <c r="P3476" s="387">
        <v>0.1</v>
      </c>
      <c r="Q3476" s="386">
        <v>0</v>
      </c>
      <c r="R3476" s="379" t="s">
        <v>105</v>
      </c>
      <c r="S3476" s="388" t="s">
        <v>30</v>
      </c>
      <c r="T3476" s="388">
        <v>39</v>
      </c>
      <c r="U3476" s="389" t="s">
        <v>164</v>
      </c>
      <c r="V3476" s="433"/>
      <c r="W3476" s="379"/>
      <c r="X3476" s="386">
        <v>0</v>
      </c>
      <c r="Y3476" s="386"/>
      <c r="Z3476" s="379"/>
      <c r="AA3476" s="379"/>
      <c r="AB3476" s="379"/>
      <c r="AC3476" s="379"/>
      <c r="AD3476" s="379"/>
      <c r="AE3476" s="379"/>
      <c r="AF3476" s="379"/>
      <c r="AG3476" s="379"/>
      <c r="AH3476" s="379"/>
      <c r="AI3476" s="379"/>
      <c r="AJ3476" s="390">
        <v>0</v>
      </c>
      <c r="AK3476" s="379"/>
      <c r="AL3476" s="379"/>
      <c r="AM3476" s="379"/>
      <c r="AN3476" s="379"/>
      <c r="AO3476" s="379"/>
      <c r="AP3476" s="379"/>
      <c r="AQ3476" s="379"/>
      <c r="AR3476" s="379"/>
      <c r="AS3476" s="379"/>
      <c r="AT3476" s="379"/>
      <c r="AU3476" s="379"/>
      <c r="AV3476" s="379"/>
      <c r="AW3476" s="379"/>
      <c r="AX3476" s="379"/>
      <c r="AY3476" s="379"/>
      <c r="AZ3476" s="379"/>
      <c r="BA3476" s="379"/>
      <c r="BB3476" s="379"/>
      <c r="BC3476" s="379"/>
      <c r="BD3476" s="379"/>
      <c r="BE3476" s="379"/>
      <c r="BF3476" s="379"/>
      <c r="BG3476" s="379"/>
      <c r="BH3476" s="379"/>
      <c r="BI3476" s="379"/>
      <c r="BJ3476" s="379"/>
      <c r="BK3476" s="379"/>
      <c r="BL3476" s="379"/>
      <c r="BM3476" s="379"/>
      <c r="BN3476" s="379"/>
      <c r="BO3476" s="379"/>
      <c r="BP3476" s="379"/>
      <c r="BQ3476" s="379"/>
      <c r="BR3476" s="379"/>
      <c r="BS3476" s="379"/>
      <c r="BT3476" s="379"/>
      <c r="BU3476" s="379"/>
      <c r="BV3476" s="379"/>
      <c r="BW3476" s="379"/>
      <c r="BX3476" s="379"/>
      <c r="BY3476" s="379"/>
    </row>
    <row r="3477" spans="1:77" s="181" customFormat="1" ht="11.25" customHeight="1">
      <c r="B3477" s="181" t="s">
        <v>291</v>
      </c>
      <c r="C3477" s="179">
        <v>44737</v>
      </c>
      <c r="D3477" s="179">
        <v>44739</v>
      </c>
      <c r="E3477" s="180" t="s">
        <v>2589</v>
      </c>
      <c r="F3477" s="181" t="s">
        <v>98</v>
      </c>
      <c r="G3477" s="182" t="s">
        <v>100</v>
      </c>
      <c r="H3477" s="181" t="s">
        <v>137</v>
      </c>
      <c r="I3477" s="190" t="s">
        <v>156</v>
      </c>
      <c r="J3477" s="183">
        <v>45066.86</v>
      </c>
      <c r="K3477" s="190"/>
      <c r="L3477" s="183">
        <v>30.53</v>
      </c>
      <c r="M3477" s="183">
        <v>14.45</v>
      </c>
      <c r="N3477" s="185"/>
      <c r="O3477" s="186">
        <v>0.25</v>
      </c>
      <c r="P3477" s="186">
        <v>0.1</v>
      </c>
      <c r="Q3477" s="185">
        <v>0</v>
      </c>
      <c r="R3477" s="181" t="s">
        <v>50</v>
      </c>
      <c r="S3477" s="187" t="s">
        <v>51</v>
      </c>
      <c r="T3477" s="187">
        <v>55</v>
      </c>
      <c r="U3477" s="188" t="s">
        <v>164</v>
      </c>
      <c r="V3477" s="441"/>
      <c r="W3477" s="181" t="s">
        <v>2590</v>
      </c>
      <c r="X3477" s="185">
        <v>0</v>
      </c>
      <c r="Y3477" s="185"/>
      <c r="AE3477" s="204">
        <f>X3477</f>
        <v>0</v>
      </c>
      <c r="AJ3477" s="189"/>
    </row>
    <row r="3478" spans="1:77" s="291" customFormat="1" ht="11.25" customHeight="1">
      <c r="B3478" s="310" t="s">
        <v>291</v>
      </c>
      <c r="C3478" s="292">
        <v>44731</v>
      </c>
      <c r="D3478" s="292">
        <v>44739</v>
      </c>
      <c r="E3478" s="293" t="s">
        <v>2591</v>
      </c>
      <c r="F3478" s="291" t="s">
        <v>573</v>
      </c>
      <c r="G3478" s="294">
        <v>4590</v>
      </c>
      <c r="H3478" s="291" t="s">
        <v>27</v>
      </c>
      <c r="I3478" s="295" t="s">
        <v>156</v>
      </c>
      <c r="J3478" s="296">
        <v>50635.199999999997</v>
      </c>
      <c r="K3478" s="295"/>
      <c r="L3478" s="296">
        <v>28.77</v>
      </c>
      <c r="M3478" s="296">
        <v>11</v>
      </c>
      <c r="N3478" s="297"/>
      <c r="O3478" s="298">
        <v>0.3</v>
      </c>
      <c r="P3478" s="298">
        <v>0.1</v>
      </c>
      <c r="Q3478" s="297">
        <v>2181.04</v>
      </c>
      <c r="R3478" s="291" t="s">
        <v>42</v>
      </c>
      <c r="S3478" s="299" t="s">
        <v>41</v>
      </c>
      <c r="T3478" s="299">
        <v>17</v>
      </c>
      <c r="U3478" s="300" t="s">
        <v>164</v>
      </c>
      <c r="V3478" s="333"/>
      <c r="X3478" s="297">
        <v>2181.04</v>
      </c>
      <c r="Y3478" s="297"/>
      <c r="AH3478" s="291">
        <f>X3478</f>
        <v>2181.04</v>
      </c>
      <c r="AI3478" s="311"/>
      <c r="AJ3478" s="468"/>
    </row>
    <row r="3479" spans="1:77" s="291" customFormat="1" ht="11.25" customHeight="1">
      <c r="B3479" s="291" t="s">
        <v>291</v>
      </c>
      <c r="C3479" s="292">
        <v>44739</v>
      </c>
      <c r="D3479" s="292">
        <v>44739</v>
      </c>
      <c r="E3479" s="293" t="s">
        <v>2592</v>
      </c>
      <c r="F3479" s="291" t="s">
        <v>318</v>
      </c>
      <c r="G3479" s="294" t="s">
        <v>319</v>
      </c>
      <c r="H3479" s="291" t="s">
        <v>99</v>
      </c>
      <c r="I3479" s="295" t="s">
        <v>28</v>
      </c>
      <c r="J3479" s="296">
        <v>71104.77</v>
      </c>
      <c r="K3479" s="295"/>
      <c r="L3479" s="296">
        <v>59.18</v>
      </c>
      <c r="M3479" s="296">
        <v>59.18</v>
      </c>
      <c r="N3479" s="297"/>
      <c r="O3479" s="298">
        <v>0.2</v>
      </c>
      <c r="P3479" s="298"/>
      <c r="Q3479" s="297">
        <v>0</v>
      </c>
      <c r="R3479" s="291" t="s">
        <v>285</v>
      </c>
      <c r="S3479" s="299" t="s">
        <v>275</v>
      </c>
      <c r="T3479" s="299">
        <v>21</v>
      </c>
      <c r="U3479" s="300" t="s">
        <v>164</v>
      </c>
      <c r="V3479" s="333"/>
      <c r="X3479" s="297">
        <v>0</v>
      </c>
      <c r="Y3479" s="297"/>
      <c r="AH3479" s="291">
        <f>X3479</f>
        <v>0</v>
      </c>
      <c r="AI3479" s="311"/>
      <c r="AJ3479" s="468"/>
    </row>
    <row r="3480" spans="1:77" s="291" customFormat="1" ht="11.25" customHeight="1">
      <c r="B3480" s="291" t="s">
        <v>291</v>
      </c>
      <c r="C3480" s="292"/>
      <c r="D3480" s="292"/>
      <c r="E3480" s="293" t="s">
        <v>2592</v>
      </c>
      <c r="F3480" s="291" t="s">
        <v>318</v>
      </c>
      <c r="G3480" s="294" t="s">
        <v>319</v>
      </c>
      <c r="H3480" s="291" t="s">
        <v>183</v>
      </c>
      <c r="I3480" s="295" t="s">
        <v>28</v>
      </c>
      <c r="J3480" s="296">
        <v>42958.080000000002</v>
      </c>
      <c r="K3480" s="295"/>
      <c r="L3480" s="296">
        <v>37.29</v>
      </c>
      <c r="M3480" s="296">
        <v>14</v>
      </c>
      <c r="N3480" s="297"/>
      <c r="O3480" s="298">
        <v>0.2</v>
      </c>
      <c r="P3480" s="298"/>
      <c r="Q3480" s="297">
        <v>0</v>
      </c>
      <c r="R3480" s="291" t="s">
        <v>285</v>
      </c>
      <c r="S3480" s="299" t="s">
        <v>275</v>
      </c>
      <c r="T3480" s="299">
        <v>21</v>
      </c>
      <c r="U3480" s="300" t="s">
        <v>164</v>
      </c>
      <c r="V3480" s="333"/>
      <c r="X3480" s="297">
        <v>0</v>
      </c>
      <c r="Y3480" s="297"/>
      <c r="AH3480" s="291">
        <f>X3480</f>
        <v>0</v>
      </c>
      <c r="AI3480" s="311"/>
      <c r="AJ3480" s="468"/>
    </row>
    <row r="3481" spans="1:77" s="261" customFormat="1" ht="11.25" customHeight="1">
      <c r="B3481" s="261" t="s">
        <v>291</v>
      </c>
      <c r="C3481" s="259"/>
      <c r="D3481" s="259"/>
      <c r="E3481" s="260" t="s">
        <v>2592</v>
      </c>
      <c r="F3481" s="261" t="s">
        <v>318</v>
      </c>
      <c r="G3481" s="262" t="s">
        <v>319</v>
      </c>
      <c r="H3481" s="261" t="s">
        <v>27</v>
      </c>
      <c r="I3481" s="264" t="s">
        <v>28</v>
      </c>
      <c r="J3481" s="263">
        <v>93870.25</v>
      </c>
      <c r="K3481" s="264"/>
      <c r="L3481" s="263">
        <v>80.42</v>
      </c>
      <c r="M3481" s="263">
        <v>80.42</v>
      </c>
      <c r="N3481" s="265"/>
      <c r="O3481" s="266">
        <v>0.2</v>
      </c>
      <c r="P3481" s="266"/>
      <c r="Q3481" s="265">
        <v>29500.62</v>
      </c>
      <c r="R3481" s="261" t="s">
        <v>285</v>
      </c>
      <c r="S3481" s="267" t="s">
        <v>275</v>
      </c>
      <c r="T3481" s="267">
        <v>21</v>
      </c>
      <c r="U3481" s="268" t="s">
        <v>164</v>
      </c>
      <c r="V3481" s="427"/>
      <c r="X3481" s="265">
        <v>29500.62</v>
      </c>
      <c r="Y3481" s="265"/>
      <c r="AG3481" s="261">
        <f>X3481</f>
        <v>29500.62</v>
      </c>
      <c r="AJ3481" s="642"/>
    </row>
    <row r="3482" spans="1:77" s="379" customFormat="1" ht="11.25" customHeight="1">
      <c r="B3482" s="379" t="s">
        <v>291</v>
      </c>
      <c r="C3482" s="381">
        <v>44735</v>
      </c>
      <c r="D3482" s="381">
        <v>44736</v>
      </c>
      <c r="E3482" s="382" t="s">
        <v>2593</v>
      </c>
      <c r="F3482" s="379" t="s">
        <v>1963</v>
      </c>
      <c r="G3482" s="383">
        <v>4075</v>
      </c>
      <c r="H3482" s="379" t="s">
        <v>814</v>
      </c>
      <c r="I3482" s="384" t="s">
        <v>156</v>
      </c>
      <c r="J3482" s="385">
        <v>1856.8</v>
      </c>
      <c r="K3482" s="384"/>
      <c r="L3482" s="385">
        <v>2.2000000000000002</v>
      </c>
      <c r="M3482" s="385">
        <v>2.2000000000000002</v>
      </c>
      <c r="N3482" s="386"/>
      <c r="O3482" s="387">
        <v>0.15</v>
      </c>
      <c r="P3482" s="387">
        <v>0.1</v>
      </c>
      <c r="Q3482" s="386">
        <v>5523.1</v>
      </c>
      <c r="R3482" s="379" t="s">
        <v>73</v>
      </c>
      <c r="S3482" s="388" t="s">
        <v>74</v>
      </c>
      <c r="T3482" s="388">
        <v>31</v>
      </c>
      <c r="U3482" s="389" t="s">
        <v>164</v>
      </c>
      <c r="V3482" s="433"/>
      <c r="X3482" s="386">
        <v>5523.1</v>
      </c>
      <c r="Y3482" s="386"/>
      <c r="AJ3482" s="390">
        <v>5523.1</v>
      </c>
    </row>
    <row r="3483" spans="1:77" s="379" customFormat="1" ht="11.25" customHeight="1">
      <c r="B3483" s="379" t="s">
        <v>291</v>
      </c>
      <c r="C3483" s="381"/>
      <c r="D3483" s="381"/>
      <c r="E3483" s="382" t="s">
        <v>2593</v>
      </c>
      <c r="F3483" s="379" t="s">
        <v>1963</v>
      </c>
      <c r="G3483" s="383">
        <v>4075</v>
      </c>
      <c r="H3483" s="379" t="s">
        <v>814</v>
      </c>
      <c r="I3483" s="384" t="s">
        <v>156</v>
      </c>
      <c r="J3483" s="385">
        <v>8819.7999999999993</v>
      </c>
      <c r="K3483" s="384"/>
      <c r="L3483" s="385">
        <v>10.45</v>
      </c>
      <c r="M3483" s="385">
        <v>10.45</v>
      </c>
      <c r="N3483" s="386"/>
      <c r="O3483" s="387">
        <v>0.15</v>
      </c>
      <c r="P3483" s="387">
        <v>0.1</v>
      </c>
      <c r="Q3483" s="386">
        <v>0</v>
      </c>
      <c r="R3483" s="379" t="s">
        <v>73</v>
      </c>
      <c r="S3483" s="388" t="s">
        <v>74</v>
      </c>
      <c r="T3483" s="388">
        <v>32</v>
      </c>
      <c r="U3483" s="389" t="s">
        <v>164</v>
      </c>
      <c r="V3483" s="433"/>
      <c r="X3483" s="386">
        <v>0</v>
      </c>
      <c r="Y3483" s="386"/>
      <c r="AJ3483" s="390">
        <v>0</v>
      </c>
    </row>
    <row r="3484" spans="1:77" s="379" customFormat="1" ht="11.25" customHeight="1">
      <c r="B3484" s="379" t="s">
        <v>291</v>
      </c>
      <c r="C3484" s="381"/>
      <c r="D3484" s="381"/>
      <c r="E3484" s="382" t="s">
        <v>2593</v>
      </c>
      <c r="F3484" s="379" t="s">
        <v>1963</v>
      </c>
      <c r="G3484" s="383">
        <v>4075</v>
      </c>
      <c r="H3484" s="379" t="s">
        <v>765</v>
      </c>
      <c r="I3484" s="384" t="s">
        <v>156</v>
      </c>
      <c r="J3484" s="385">
        <v>23006.799999999999</v>
      </c>
      <c r="K3484" s="384"/>
      <c r="L3484" s="385">
        <v>25.45</v>
      </c>
      <c r="M3484" s="385">
        <v>25.45</v>
      </c>
      <c r="N3484" s="386"/>
      <c r="O3484" s="387">
        <v>0.15</v>
      </c>
      <c r="P3484" s="387">
        <v>0.1</v>
      </c>
      <c r="Q3484" s="386">
        <v>2555.1799999999998</v>
      </c>
      <c r="R3484" s="379" t="s">
        <v>73</v>
      </c>
      <c r="S3484" s="388" t="s">
        <v>74</v>
      </c>
      <c r="T3484" s="388">
        <v>32</v>
      </c>
      <c r="U3484" s="389" t="s">
        <v>164</v>
      </c>
      <c r="V3484" s="433"/>
      <c r="X3484" s="386">
        <v>2555.1799999999998</v>
      </c>
      <c r="Y3484" s="386"/>
      <c r="AJ3484" s="390">
        <v>2555.1799999999998</v>
      </c>
    </row>
    <row r="3485" spans="1:77" s="379" customFormat="1" ht="11.25" customHeight="1">
      <c r="B3485" s="379" t="s">
        <v>291</v>
      </c>
      <c r="C3485" s="381"/>
      <c r="D3485" s="381"/>
      <c r="E3485" s="382" t="s">
        <v>2593</v>
      </c>
      <c r="F3485" s="379" t="s">
        <v>1963</v>
      </c>
      <c r="G3485" s="383">
        <v>4075</v>
      </c>
      <c r="H3485" s="379" t="s">
        <v>765</v>
      </c>
      <c r="I3485" s="384" t="s">
        <v>156</v>
      </c>
      <c r="J3485" s="385">
        <v>12732.66</v>
      </c>
      <c r="K3485" s="384"/>
      <c r="L3485" s="385">
        <v>16.149999999999999</v>
      </c>
      <c r="M3485" s="385">
        <v>16.149999999999999</v>
      </c>
      <c r="N3485" s="386"/>
      <c r="O3485" s="387">
        <v>0.15</v>
      </c>
      <c r="P3485" s="387">
        <v>0.1</v>
      </c>
      <c r="Q3485" s="386">
        <v>3182.12</v>
      </c>
      <c r="R3485" s="379" t="s">
        <v>73</v>
      </c>
      <c r="S3485" s="388" t="s">
        <v>74</v>
      </c>
      <c r="T3485" s="388">
        <v>31</v>
      </c>
      <c r="U3485" s="389" t="s">
        <v>164</v>
      </c>
      <c r="V3485" s="433"/>
      <c r="X3485" s="386">
        <v>3182.12</v>
      </c>
      <c r="Y3485" s="386"/>
      <c r="AJ3485" s="390">
        <v>3182.12</v>
      </c>
    </row>
    <row r="3486" spans="1:77" s="473" customFormat="1" ht="11.25" customHeight="1">
      <c r="B3486" s="473" t="s">
        <v>291</v>
      </c>
      <c r="C3486" s="487">
        <v>44732</v>
      </c>
      <c r="D3486" s="487">
        <v>44737</v>
      </c>
      <c r="E3486" s="488" t="s">
        <v>2594</v>
      </c>
      <c r="F3486" s="473" t="s">
        <v>647</v>
      </c>
      <c r="G3486" s="496">
        <v>4280</v>
      </c>
      <c r="H3486" s="473" t="s">
        <v>1009</v>
      </c>
      <c r="I3486" s="491" t="s">
        <v>156</v>
      </c>
      <c r="J3486" s="490">
        <v>62959.64</v>
      </c>
      <c r="K3486" s="491"/>
      <c r="L3486" s="490">
        <v>38.840000000000003</v>
      </c>
      <c r="M3486" s="490">
        <v>38</v>
      </c>
      <c r="N3486" s="492">
        <v>0</v>
      </c>
      <c r="O3486" s="493">
        <v>0.25</v>
      </c>
      <c r="P3486" s="493">
        <v>0.1</v>
      </c>
      <c r="Q3486" s="492">
        <v>2446.92</v>
      </c>
      <c r="R3486" s="473" t="s">
        <v>35</v>
      </c>
      <c r="S3486" s="481" t="s">
        <v>41</v>
      </c>
      <c r="T3486" s="481">
        <v>16</v>
      </c>
      <c r="U3486" s="494" t="s">
        <v>164</v>
      </c>
      <c r="V3486" s="495"/>
      <c r="X3486" s="492">
        <v>2446.92</v>
      </c>
      <c r="Y3486" s="492"/>
      <c r="AJ3486" s="485"/>
      <c r="AK3486" s="505">
        <v>2446.92</v>
      </c>
    </row>
    <row r="3487" spans="1:77" s="337" customFormat="1" ht="11.25" customHeight="1">
      <c r="B3487" s="337" t="s">
        <v>291</v>
      </c>
      <c r="C3487" s="349">
        <v>44735</v>
      </c>
      <c r="D3487" s="349">
        <v>44737</v>
      </c>
      <c r="E3487" s="350" t="s">
        <v>2595</v>
      </c>
      <c r="F3487" s="337" t="s">
        <v>297</v>
      </c>
      <c r="G3487" s="351" t="s">
        <v>299</v>
      </c>
      <c r="H3487" s="337" t="s">
        <v>765</v>
      </c>
      <c r="I3487" s="353" t="s">
        <v>156</v>
      </c>
      <c r="J3487" s="352">
        <v>4148.4799999999996</v>
      </c>
      <c r="K3487" s="353"/>
      <c r="L3487" s="352">
        <v>4.63</v>
      </c>
      <c r="M3487" s="352">
        <v>4</v>
      </c>
      <c r="N3487" s="354">
        <f>537.6</f>
        <v>537.6</v>
      </c>
      <c r="O3487" s="355">
        <v>0.2</v>
      </c>
      <c r="P3487" s="355">
        <v>0.1</v>
      </c>
      <c r="Q3487" s="354">
        <v>0</v>
      </c>
      <c r="R3487" s="337" t="s">
        <v>112</v>
      </c>
      <c r="S3487" s="356" t="s">
        <v>113</v>
      </c>
      <c r="T3487" s="356">
        <v>64</v>
      </c>
      <c r="U3487" s="357" t="s">
        <v>164</v>
      </c>
      <c r="V3487" s="434"/>
      <c r="X3487" s="354">
        <v>0</v>
      </c>
      <c r="Y3487" s="354"/>
      <c r="AI3487" s="337">
        <v>0</v>
      </c>
      <c r="AJ3487" s="358"/>
      <c r="AK3487" s="369"/>
    </row>
    <row r="3488" spans="1:77" s="379" customFormat="1" ht="11.25" customHeight="1">
      <c r="B3488" s="380" t="s">
        <v>390</v>
      </c>
      <c r="C3488" s="381">
        <v>44733</v>
      </c>
      <c r="D3488" s="381">
        <v>44739</v>
      </c>
      <c r="E3488" s="382" t="s">
        <v>2596</v>
      </c>
      <c r="F3488" s="379" t="s">
        <v>2206</v>
      </c>
      <c r="G3488" s="383" t="s">
        <v>2207</v>
      </c>
      <c r="H3488" s="379" t="s">
        <v>393</v>
      </c>
      <c r="I3488" s="384" t="s">
        <v>819</v>
      </c>
      <c r="J3488" s="385">
        <v>527391.15</v>
      </c>
      <c r="K3488" s="384"/>
      <c r="L3488" s="385">
        <v>57.18</v>
      </c>
      <c r="M3488" s="385">
        <v>39.65</v>
      </c>
      <c r="N3488" s="386">
        <v>33764.839679999997</v>
      </c>
      <c r="O3488" s="387">
        <v>0.25</v>
      </c>
      <c r="P3488" s="387">
        <v>0.1</v>
      </c>
      <c r="Q3488" s="386">
        <v>0</v>
      </c>
      <c r="R3488" s="379" t="s">
        <v>42</v>
      </c>
      <c r="S3488" s="388" t="s">
        <v>41</v>
      </c>
      <c r="T3488" s="388">
        <v>17</v>
      </c>
      <c r="U3488" s="389" t="s">
        <v>164</v>
      </c>
      <c r="V3488" s="433"/>
      <c r="X3488" s="386">
        <v>0</v>
      </c>
      <c r="Y3488" s="386"/>
      <c r="AJ3488" s="390">
        <v>0</v>
      </c>
    </row>
    <row r="3489" spans="1:77" s="337" customFormat="1" ht="11.25" customHeight="1">
      <c r="B3489" s="337" t="s">
        <v>291</v>
      </c>
      <c r="C3489" s="349">
        <v>44735</v>
      </c>
      <c r="D3489" s="349">
        <v>44739</v>
      </c>
      <c r="E3489" s="350" t="s">
        <v>2597</v>
      </c>
      <c r="F3489" s="337" t="s">
        <v>2008</v>
      </c>
      <c r="G3489" s="351" t="s">
        <v>2009</v>
      </c>
      <c r="H3489" s="337" t="s">
        <v>765</v>
      </c>
      <c r="I3489" s="353" t="s">
        <v>156</v>
      </c>
      <c r="J3489" s="352">
        <v>30680.33</v>
      </c>
      <c r="K3489" s="353"/>
      <c r="L3489" s="352">
        <v>32.880000000000003</v>
      </c>
      <c r="M3489" s="352">
        <v>32.880000000000003</v>
      </c>
      <c r="N3489" s="354"/>
      <c r="O3489" s="355">
        <v>0.2</v>
      </c>
      <c r="P3489" s="355">
        <v>0.1</v>
      </c>
      <c r="Q3489" s="354">
        <v>9404.3799999999992</v>
      </c>
      <c r="R3489" s="337" t="s">
        <v>73</v>
      </c>
      <c r="S3489" s="356" t="s">
        <v>74</v>
      </c>
      <c r="T3489" s="356">
        <v>31</v>
      </c>
      <c r="U3489" s="357" t="s">
        <v>164</v>
      </c>
      <c r="V3489" s="434"/>
      <c r="X3489" s="354">
        <v>9404.3799999999992</v>
      </c>
      <c r="Y3489" s="354"/>
      <c r="AI3489" s="354">
        <v>9404.3799999999992</v>
      </c>
      <c r="AJ3489" s="358"/>
      <c r="AK3489" s="369"/>
    </row>
    <row r="3490" spans="1:77" s="337" customFormat="1" ht="11.25" customHeight="1">
      <c r="B3490" s="337" t="s">
        <v>291</v>
      </c>
      <c r="C3490" s="349"/>
      <c r="D3490" s="349"/>
      <c r="E3490" s="350" t="s">
        <v>2597</v>
      </c>
      <c r="F3490" s="337" t="s">
        <v>2008</v>
      </c>
      <c r="G3490" s="351" t="s">
        <v>2009</v>
      </c>
      <c r="H3490" s="337" t="s">
        <v>814</v>
      </c>
      <c r="I3490" s="353" t="s">
        <v>156</v>
      </c>
      <c r="J3490" s="352">
        <v>3933.04</v>
      </c>
      <c r="K3490" s="353"/>
      <c r="L3490" s="352">
        <v>4.22</v>
      </c>
      <c r="M3490" s="352">
        <v>4.22</v>
      </c>
      <c r="N3490" s="354"/>
      <c r="O3490" s="355">
        <v>0.2</v>
      </c>
      <c r="P3490" s="355">
        <v>0.1</v>
      </c>
      <c r="Q3490" s="354">
        <v>2088.06</v>
      </c>
      <c r="R3490" s="337" t="s">
        <v>73</v>
      </c>
      <c r="S3490" s="356" t="s">
        <v>74</v>
      </c>
      <c r="T3490" s="356">
        <v>31</v>
      </c>
      <c r="U3490" s="357" t="s">
        <v>164</v>
      </c>
      <c r="V3490" s="434"/>
      <c r="X3490" s="354">
        <v>2088.06</v>
      </c>
      <c r="Y3490" s="354"/>
      <c r="AI3490" s="354">
        <v>2088.06</v>
      </c>
      <c r="AJ3490" s="358"/>
      <c r="AK3490" s="369"/>
    </row>
    <row r="3491" spans="1:77" s="205" customFormat="1" ht="11.25" customHeight="1">
      <c r="B3491" s="205" t="s">
        <v>291</v>
      </c>
      <c r="C3491" s="207">
        <v>44735</v>
      </c>
      <c r="D3491" s="207">
        <v>44739</v>
      </c>
      <c r="E3491" s="208" t="s">
        <v>2598</v>
      </c>
      <c r="F3491" s="205" t="s">
        <v>1922</v>
      </c>
      <c r="G3491" s="209">
        <v>4629</v>
      </c>
      <c r="H3491" s="205" t="s">
        <v>765</v>
      </c>
      <c r="I3491" s="219" t="s">
        <v>33</v>
      </c>
      <c r="J3491" s="210">
        <v>33680.92</v>
      </c>
      <c r="K3491" s="219"/>
      <c r="L3491" s="210">
        <v>38.96</v>
      </c>
      <c r="M3491" s="210">
        <v>38.96</v>
      </c>
      <c r="N3491" s="213"/>
      <c r="O3491" s="212">
        <v>0.25</v>
      </c>
      <c r="P3491" s="212"/>
      <c r="Q3491" s="213">
        <v>0</v>
      </c>
      <c r="R3491" s="205" t="s">
        <v>251</v>
      </c>
      <c r="S3491" s="214" t="s">
        <v>74</v>
      </c>
      <c r="T3491" s="214">
        <v>32</v>
      </c>
      <c r="U3491" s="215" t="s">
        <v>164</v>
      </c>
      <c r="V3491" s="438"/>
      <c r="W3491" s="205" t="s">
        <v>3257</v>
      </c>
      <c r="X3491" s="213">
        <v>0</v>
      </c>
      <c r="Y3491" s="213"/>
      <c r="AF3491" s="230">
        <f>X3491</f>
        <v>0</v>
      </c>
      <c r="AJ3491" s="216"/>
    </row>
    <row r="3492" spans="1:77" s="291" customFormat="1" ht="11.25" customHeight="1">
      <c r="B3492" s="291" t="s">
        <v>291</v>
      </c>
      <c r="C3492" s="292">
        <v>44738</v>
      </c>
      <c r="D3492" s="292">
        <v>44739</v>
      </c>
      <c r="E3492" s="293" t="s">
        <v>2599</v>
      </c>
      <c r="F3492" s="291" t="s">
        <v>2600</v>
      </c>
      <c r="G3492" s="314">
        <v>3750</v>
      </c>
      <c r="H3492" s="291" t="s">
        <v>99</v>
      </c>
      <c r="I3492" s="295" t="s">
        <v>156</v>
      </c>
      <c r="J3492" s="296">
        <v>41252.25</v>
      </c>
      <c r="K3492" s="295"/>
      <c r="L3492" s="296">
        <v>42.31</v>
      </c>
      <c r="M3492" s="296">
        <v>42.31</v>
      </c>
      <c r="N3492" s="312">
        <f>485.55+1538.55+152.39</f>
        <v>2176.4899999999998</v>
      </c>
      <c r="O3492" s="298">
        <v>0.25</v>
      </c>
      <c r="P3492" s="298">
        <v>0.1</v>
      </c>
      <c r="Q3492" s="297">
        <v>0</v>
      </c>
      <c r="R3492" s="291" t="s">
        <v>29</v>
      </c>
      <c r="S3492" s="299" t="s">
        <v>30</v>
      </c>
      <c r="T3492" s="299">
        <v>25</v>
      </c>
      <c r="U3492" s="300" t="s">
        <v>164</v>
      </c>
      <c r="V3492" s="333"/>
      <c r="X3492" s="297">
        <v>0</v>
      </c>
      <c r="Y3492" s="297"/>
      <c r="AH3492" s="291">
        <f>X3492</f>
        <v>0</v>
      </c>
      <c r="AI3492" s="311"/>
      <c r="AJ3492" s="468"/>
    </row>
    <row r="3493" spans="1:77" s="291" customFormat="1" ht="11.25" customHeight="1">
      <c r="B3493" s="291" t="s">
        <v>291</v>
      </c>
      <c r="C3493" s="292"/>
      <c r="D3493" s="292"/>
      <c r="E3493" s="293" t="s">
        <v>2599</v>
      </c>
      <c r="F3493" s="291" t="s">
        <v>2600</v>
      </c>
      <c r="G3493" s="314">
        <v>3750</v>
      </c>
      <c r="H3493" s="291" t="s">
        <v>27</v>
      </c>
      <c r="I3493" s="295" t="s">
        <v>156</v>
      </c>
      <c r="J3493" s="296">
        <v>26864.25</v>
      </c>
      <c r="K3493" s="295"/>
      <c r="L3493" s="296">
        <v>21.93</v>
      </c>
      <c r="M3493" s="296">
        <v>21.93</v>
      </c>
      <c r="N3493" s="312">
        <f>7776.3+624.75+543.53+189.63</f>
        <v>9134.2099999999991</v>
      </c>
      <c r="O3493" s="298">
        <v>0.25</v>
      </c>
      <c r="P3493" s="298">
        <v>0.1</v>
      </c>
      <c r="Q3493" s="297">
        <v>1381.59</v>
      </c>
      <c r="R3493" s="291" t="s">
        <v>29</v>
      </c>
      <c r="S3493" s="299" t="s">
        <v>30</v>
      </c>
      <c r="T3493" s="299">
        <v>25</v>
      </c>
      <c r="U3493" s="300" t="s">
        <v>164</v>
      </c>
      <c r="V3493" s="333"/>
      <c r="X3493" s="297">
        <v>1381.59</v>
      </c>
      <c r="Y3493" s="297"/>
      <c r="AH3493" s="291">
        <f>X3493</f>
        <v>1381.59</v>
      </c>
      <c r="AI3493" s="311"/>
      <c r="AJ3493" s="468"/>
    </row>
    <row r="3494" spans="1:77" s="205" customFormat="1" ht="11.25" customHeight="1">
      <c r="B3494" s="205" t="s">
        <v>291</v>
      </c>
      <c r="C3494" s="207"/>
      <c r="D3494" s="207"/>
      <c r="E3494" s="208" t="s">
        <v>2599</v>
      </c>
      <c r="F3494" s="205" t="s">
        <v>2600</v>
      </c>
      <c r="G3494" s="217">
        <v>3750</v>
      </c>
      <c r="H3494" s="205" t="s">
        <v>898</v>
      </c>
      <c r="I3494" s="219" t="s">
        <v>156</v>
      </c>
      <c r="J3494" s="210">
        <v>28125</v>
      </c>
      <c r="K3494" s="219"/>
      <c r="L3494" s="210">
        <v>25</v>
      </c>
      <c r="M3494" s="210">
        <v>25</v>
      </c>
      <c r="N3494" s="211"/>
      <c r="O3494" s="212">
        <v>0.25</v>
      </c>
      <c r="P3494" s="212">
        <v>0.1</v>
      </c>
      <c r="Q3494" s="213">
        <v>0</v>
      </c>
      <c r="R3494" s="205" t="s">
        <v>29</v>
      </c>
      <c r="S3494" s="214" t="s">
        <v>30</v>
      </c>
      <c r="T3494" s="214">
        <v>25</v>
      </c>
      <c r="U3494" s="215" t="s">
        <v>164</v>
      </c>
      <c r="V3494" s="438"/>
      <c r="W3494" s="205" t="s">
        <v>3286</v>
      </c>
      <c r="X3494" s="213">
        <v>0</v>
      </c>
      <c r="Y3494" s="213"/>
      <c r="AF3494" s="230">
        <f>X3494</f>
        <v>0</v>
      </c>
      <c r="AJ3494" s="216"/>
    </row>
    <row r="3495" spans="1:77" s="181" customFormat="1" ht="11.25" customHeight="1">
      <c r="A3495" s="379"/>
      <c r="B3495" s="379" t="s">
        <v>291</v>
      </c>
      <c r="C3495" s="381"/>
      <c r="D3495" s="381"/>
      <c r="E3495" s="382" t="s">
        <v>2601</v>
      </c>
      <c r="F3495" s="379" t="s">
        <v>2043</v>
      </c>
      <c r="G3495" s="404">
        <v>3748</v>
      </c>
      <c r="H3495" s="379" t="s">
        <v>866</v>
      </c>
      <c r="I3495" s="384" t="s">
        <v>156</v>
      </c>
      <c r="J3495" s="385">
        <v>28761.59</v>
      </c>
      <c r="K3495" s="384"/>
      <c r="L3495" s="385">
        <v>21.22</v>
      </c>
      <c r="M3495" s="385">
        <v>8.77</v>
      </c>
      <c r="N3495" s="386"/>
      <c r="O3495" s="387">
        <v>0.3</v>
      </c>
      <c r="P3495" s="387">
        <v>0.1</v>
      </c>
      <c r="Q3495" s="386">
        <v>0</v>
      </c>
      <c r="R3495" s="379" t="s">
        <v>105</v>
      </c>
      <c r="S3495" s="388" t="s">
        <v>30</v>
      </c>
      <c r="T3495" s="388">
        <v>39</v>
      </c>
      <c r="U3495" s="389" t="s">
        <v>164</v>
      </c>
      <c r="V3495" s="433"/>
      <c r="W3495" s="379"/>
      <c r="X3495" s="386">
        <v>0</v>
      </c>
      <c r="Y3495" s="386"/>
      <c r="Z3495" s="379"/>
      <c r="AA3495" s="379"/>
      <c r="AB3495" s="379"/>
      <c r="AC3495" s="379"/>
      <c r="AD3495" s="379"/>
      <c r="AE3495" s="379"/>
      <c r="AF3495" s="379"/>
      <c r="AG3495" s="379"/>
      <c r="AH3495" s="379"/>
      <c r="AI3495" s="379"/>
      <c r="AJ3495" s="390">
        <v>0</v>
      </c>
      <c r="AK3495" s="379"/>
      <c r="AL3495" s="379"/>
      <c r="AM3495" s="379"/>
      <c r="AN3495" s="379"/>
      <c r="AO3495" s="379"/>
      <c r="AP3495" s="379"/>
      <c r="AQ3495" s="379"/>
      <c r="AR3495" s="379"/>
      <c r="AS3495" s="379"/>
      <c r="AT3495" s="379"/>
      <c r="AU3495" s="379"/>
      <c r="AV3495" s="379"/>
      <c r="AW3495" s="379"/>
      <c r="AX3495" s="379"/>
      <c r="AY3495" s="379"/>
      <c r="AZ3495" s="379"/>
      <c r="BA3495" s="379"/>
      <c r="BB3495" s="379"/>
      <c r="BC3495" s="379"/>
      <c r="BD3495" s="379"/>
      <c r="BE3495" s="379"/>
      <c r="BF3495" s="379"/>
      <c r="BG3495" s="379"/>
      <c r="BH3495" s="379"/>
      <c r="BI3495" s="379"/>
      <c r="BJ3495" s="379"/>
      <c r="BK3495" s="379"/>
      <c r="BL3495" s="379"/>
      <c r="BM3495" s="379"/>
      <c r="BN3495" s="379"/>
      <c r="BO3495" s="379"/>
      <c r="BP3495" s="379"/>
      <c r="BQ3495" s="379"/>
      <c r="BR3495" s="379"/>
      <c r="BS3495" s="379"/>
      <c r="BT3495" s="379"/>
      <c r="BU3495" s="379"/>
      <c r="BV3495" s="379"/>
      <c r="BW3495" s="379"/>
      <c r="BX3495" s="379"/>
      <c r="BY3495" s="379"/>
    </row>
    <row r="3496" spans="1:77" s="379" customFormat="1" ht="11.25" customHeight="1">
      <c r="B3496" s="379" t="s">
        <v>291</v>
      </c>
      <c r="C3496" s="381"/>
      <c r="D3496" s="381"/>
      <c r="E3496" s="382" t="s">
        <v>2601</v>
      </c>
      <c r="F3496" s="379" t="s">
        <v>2043</v>
      </c>
      <c r="G3496" s="404">
        <v>3748</v>
      </c>
      <c r="H3496" s="379" t="s">
        <v>814</v>
      </c>
      <c r="I3496" s="384" t="s">
        <v>156</v>
      </c>
      <c r="J3496" s="385">
        <v>19093.91</v>
      </c>
      <c r="K3496" s="384"/>
      <c r="L3496" s="385">
        <v>19.649999999999999</v>
      </c>
      <c r="M3496" s="385">
        <v>3.62</v>
      </c>
      <c r="N3496" s="386"/>
      <c r="O3496" s="387">
        <v>0.3</v>
      </c>
      <c r="P3496" s="387">
        <v>0.1</v>
      </c>
      <c r="Q3496" s="386">
        <v>0</v>
      </c>
      <c r="R3496" s="379" t="s">
        <v>105</v>
      </c>
      <c r="S3496" s="388" t="s">
        <v>30</v>
      </c>
      <c r="T3496" s="388">
        <v>39</v>
      </c>
      <c r="U3496" s="389" t="s">
        <v>164</v>
      </c>
      <c r="V3496" s="433"/>
      <c r="X3496" s="386">
        <v>0</v>
      </c>
      <c r="Y3496" s="386"/>
      <c r="AJ3496" s="390">
        <v>0</v>
      </c>
    </row>
    <row r="3497" spans="1:77" s="181" customFormat="1" ht="11.25" customHeight="1">
      <c r="B3497" s="181" t="s">
        <v>291</v>
      </c>
      <c r="C3497" s="179">
        <v>44738</v>
      </c>
      <c r="D3497" s="179">
        <v>44739</v>
      </c>
      <c r="E3497" s="180" t="s">
        <v>2601</v>
      </c>
      <c r="F3497" s="181" t="s">
        <v>2043</v>
      </c>
      <c r="G3497" s="201">
        <v>3748</v>
      </c>
      <c r="H3497" s="181" t="s">
        <v>99</v>
      </c>
      <c r="I3497" s="190" t="s">
        <v>156</v>
      </c>
      <c r="J3497" s="183">
        <v>73906.080000000002</v>
      </c>
      <c r="K3497" s="190"/>
      <c r="L3497" s="183">
        <v>58.47</v>
      </c>
      <c r="M3497" s="183">
        <v>37.78</v>
      </c>
      <c r="N3497" s="185">
        <v>415</v>
      </c>
      <c r="O3497" s="186">
        <v>0.3</v>
      </c>
      <c r="P3497" s="186">
        <v>0.1</v>
      </c>
      <c r="Q3497" s="185">
        <v>0</v>
      </c>
      <c r="R3497" s="181" t="s">
        <v>105</v>
      </c>
      <c r="S3497" s="187" t="s">
        <v>30</v>
      </c>
      <c r="T3497" s="187">
        <v>39</v>
      </c>
      <c r="U3497" s="188" t="s">
        <v>164</v>
      </c>
      <c r="V3497" s="441"/>
      <c r="W3497" s="181" t="s">
        <v>2699</v>
      </c>
      <c r="X3497" s="185">
        <v>0</v>
      </c>
      <c r="Y3497" s="185"/>
      <c r="AE3497" s="204">
        <f>X3497</f>
        <v>0</v>
      </c>
      <c r="AJ3497" s="189"/>
    </row>
    <row r="3498" spans="1:77" s="181" customFormat="1" ht="11.25" customHeight="1">
      <c r="B3498" s="181" t="s">
        <v>291</v>
      </c>
      <c r="C3498" s="179"/>
      <c r="D3498" s="179"/>
      <c r="E3498" s="180" t="s">
        <v>2601</v>
      </c>
      <c r="F3498" s="181" t="s">
        <v>2043</v>
      </c>
      <c r="G3498" s="201">
        <v>3748</v>
      </c>
      <c r="H3498" s="181" t="s">
        <v>2568</v>
      </c>
      <c r="I3498" s="190" t="s">
        <v>156</v>
      </c>
      <c r="J3498" s="183">
        <v>13328</v>
      </c>
      <c r="K3498" s="190"/>
      <c r="L3498" s="183">
        <v>10</v>
      </c>
      <c r="M3498" s="183">
        <v>10</v>
      </c>
      <c r="N3498" s="185"/>
      <c r="O3498" s="186">
        <v>0.3</v>
      </c>
      <c r="P3498" s="186">
        <v>0.1</v>
      </c>
      <c r="Q3498" s="185">
        <v>0</v>
      </c>
      <c r="R3498" s="181" t="s">
        <v>105</v>
      </c>
      <c r="S3498" s="187" t="s">
        <v>30</v>
      </c>
      <c r="T3498" s="187">
        <v>39</v>
      </c>
      <c r="U3498" s="188" t="s">
        <v>164</v>
      </c>
      <c r="V3498" s="441"/>
      <c r="X3498" s="185">
        <v>0</v>
      </c>
      <c r="Y3498" s="185"/>
      <c r="AE3498" s="204">
        <f>X3498</f>
        <v>0</v>
      </c>
      <c r="AJ3498" s="189"/>
    </row>
    <row r="3499" spans="1:77" s="379" customFormat="1" ht="11.25" customHeight="1">
      <c r="B3499" s="379" t="s">
        <v>291</v>
      </c>
      <c r="C3499" s="381">
        <v>44738</v>
      </c>
      <c r="D3499" s="381">
        <v>44740</v>
      </c>
      <c r="E3499" s="382" t="s">
        <v>2602</v>
      </c>
      <c r="F3499" s="379" t="s">
        <v>2603</v>
      </c>
      <c r="G3499" s="404">
        <v>3541</v>
      </c>
      <c r="H3499" s="379" t="s">
        <v>99</v>
      </c>
      <c r="I3499" s="384" t="s">
        <v>156</v>
      </c>
      <c r="J3499" s="385">
        <v>30046.799999999999</v>
      </c>
      <c r="K3499" s="384"/>
      <c r="L3499" s="385">
        <v>30.66</v>
      </c>
      <c r="M3499" s="385">
        <v>30.66</v>
      </c>
      <c r="N3499" s="386">
        <f>8010.6-624.75</f>
        <v>7385.85</v>
      </c>
      <c r="O3499" s="387">
        <v>0.15</v>
      </c>
      <c r="P3499" s="387">
        <v>0.1</v>
      </c>
      <c r="Q3499" s="386">
        <v>0</v>
      </c>
      <c r="R3499" s="379" t="s">
        <v>29</v>
      </c>
      <c r="S3499" s="388" t="s">
        <v>30</v>
      </c>
      <c r="T3499" s="388">
        <v>39</v>
      </c>
      <c r="U3499" s="389" t="s">
        <v>164</v>
      </c>
      <c r="V3499" s="433"/>
      <c r="X3499" s="386">
        <v>0</v>
      </c>
      <c r="Y3499" s="386"/>
      <c r="AJ3499" s="390">
        <v>0</v>
      </c>
      <c r="AK3499" s="384"/>
      <c r="AL3499" s="384"/>
      <c r="AM3499" s="384"/>
      <c r="AN3499" s="384"/>
      <c r="AO3499" s="384"/>
      <c r="AP3499" s="384"/>
      <c r="AQ3499" s="384"/>
      <c r="AR3499" s="384"/>
      <c r="AS3499" s="384"/>
      <c r="AT3499" s="384"/>
      <c r="AU3499" s="384"/>
      <c r="AV3499" s="384"/>
      <c r="AW3499" s="384"/>
      <c r="AX3499" s="384"/>
      <c r="AY3499" s="384"/>
      <c r="AZ3499" s="384"/>
      <c r="BA3499" s="384"/>
      <c r="BB3499" s="384"/>
      <c r="BC3499" s="384"/>
      <c r="BD3499" s="384"/>
      <c r="BE3499" s="384"/>
      <c r="BF3499" s="384"/>
      <c r="BG3499" s="384"/>
      <c r="BH3499" s="384"/>
      <c r="BI3499" s="384"/>
      <c r="BJ3499" s="384"/>
      <c r="BK3499" s="384"/>
      <c r="BL3499" s="384"/>
      <c r="BM3499" s="384"/>
      <c r="BN3499" s="384"/>
      <c r="BO3499" s="384"/>
      <c r="BP3499" s="384"/>
      <c r="BQ3499" s="384"/>
      <c r="BR3499" s="384"/>
      <c r="BS3499" s="384"/>
      <c r="BT3499" s="384"/>
      <c r="BU3499" s="384"/>
      <c r="BV3499" s="384"/>
      <c r="BW3499" s="384"/>
      <c r="BX3499" s="384"/>
      <c r="BY3499" s="384"/>
    </row>
    <row r="3500" spans="1:77" s="261" customFormat="1" ht="11.25" customHeight="1">
      <c r="B3500" s="261" t="s">
        <v>291</v>
      </c>
      <c r="C3500" s="259"/>
      <c r="D3500" s="259"/>
      <c r="E3500" s="260" t="s">
        <v>2602</v>
      </c>
      <c r="F3500" s="261" t="s">
        <v>2603</v>
      </c>
      <c r="G3500" s="280">
        <v>3541</v>
      </c>
      <c r="H3500" s="261" t="s">
        <v>27</v>
      </c>
      <c r="I3500" s="264" t="s">
        <v>156</v>
      </c>
      <c r="J3500" s="263">
        <v>13244.7</v>
      </c>
      <c r="K3500" s="264"/>
      <c r="L3500" s="263">
        <v>11.13</v>
      </c>
      <c r="M3500" s="263">
        <v>11.13</v>
      </c>
      <c r="N3500" s="265">
        <v>624.75</v>
      </c>
      <c r="O3500" s="266">
        <v>0.15</v>
      </c>
      <c r="P3500" s="266">
        <v>0.1</v>
      </c>
      <c r="Q3500" s="265">
        <v>399</v>
      </c>
      <c r="R3500" s="261" t="s">
        <v>29</v>
      </c>
      <c r="S3500" s="267" t="s">
        <v>30</v>
      </c>
      <c r="T3500" s="267">
        <v>39</v>
      </c>
      <c r="U3500" s="268" t="s">
        <v>164</v>
      </c>
      <c r="V3500" s="427"/>
      <c r="X3500" s="265">
        <v>399</v>
      </c>
      <c r="Y3500" s="265"/>
      <c r="AG3500" s="261">
        <f>X3500</f>
        <v>399</v>
      </c>
      <c r="AJ3500" s="642"/>
    </row>
    <row r="3501" spans="1:77" s="205" customFormat="1" ht="11.25" customHeight="1">
      <c r="B3501" s="205" t="s">
        <v>291</v>
      </c>
      <c r="C3501" s="207"/>
      <c r="D3501" s="207"/>
      <c r="E3501" s="208" t="s">
        <v>2602</v>
      </c>
      <c r="F3501" s="205" t="s">
        <v>2603</v>
      </c>
      <c r="G3501" s="217">
        <v>3541</v>
      </c>
      <c r="H3501" s="205" t="s">
        <v>866</v>
      </c>
      <c r="I3501" s="219" t="s">
        <v>156</v>
      </c>
      <c r="J3501" s="210">
        <v>18401.8</v>
      </c>
      <c r="K3501" s="219"/>
      <c r="L3501" s="210">
        <v>14.46</v>
      </c>
      <c r="M3501" s="210">
        <v>14.46</v>
      </c>
      <c r="N3501" s="213"/>
      <c r="O3501" s="212">
        <v>0.15</v>
      </c>
      <c r="P3501" s="212">
        <v>0.1</v>
      </c>
      <c r="Q3501" s="213">
        <v>0</v>
      </c>
      <c r="R3501" s="205" t="s">
        <v>29</v>
      </c>
      <c r="S3501" s="214" t="s">
        <v>30</v>
      </c>
      <c r="T3501" s="214">
        <v>39</v>
      </c>
      <c r="U3501" s="215" t="s">
        <v>164</v>
      </c>
      <c r="V3501" s="438"/>
      <c r="X3501" s="213">
        <v>0</v>
      </c>
      <c r="Y3501" s="213"/>
      <c r="AF3501" s="230">
        <f>X3501</f>
        <v>0</v>
      </c>
      <c r="AJ3501" s="216"/>
      <c r="AK3501" s="219"/>
      <c r="AL3501" s="219"/>
      <c r="AM3501" s="219"/>
      <c r="AN3501" s="219"/>
      <c r="AO3501" s="219"/>
      <c r="AP3501" s="219"/>
      <c r="AQ3501" s="219"/>
      <c r="AR3501" s="219"/>
      <c r="AS3501" s="219"/>
      <c r="AT3501" s="219"/>
      <c r="AU3501" s="219"/>
      <c r="AV3501" s="219"/>
      <c r="AW3501" s="219"/>
      <c r="AX3501" s="219"/>
      <c r="AY3501" s="219"/>
      <c r="AZ3501" s="219"/>
      <c r="BA3501" s="219"/>
      <c r="BB3501" s="219"/>
      <c r="BC3501" s="219"/>
      <c r="BD3501" s="219"/>
      <c r="BE3501" s="219"/>
      <c r="BF3501" s="219"/>
      <c r="BG3501" s="219"/>
      <c r="BH3501" s="219"/>
      <c r="BI3501" s="219"/>
      <c r="BJ3501" s="219"/>
      <c r="BK3501" s="219"/>
      <c r="BL3501" s="219"/>
      <c r="BM3501" s="219"/>
      <c r="BN3501" s="219"/>
      <c r="BO3501" s="219"/>
      <c r="BP3501" s="219"/>
      <c r="BQ3501" s="219"/>
      <c r="BR3501" s="219"/>
      <c r="BS3501" s="219"/>
      <c r="BT3501" s="219"/>
      <c r="BU3501" s="219"/>
      <c r="BV3501" s="219"/>
      <c r="BW3501" s="219"/>
      <c r="BX3501" s="219"/>
      <c r="BY3501" s="219"/>
    </row>
    <row r="3502" spans="1:77" s="205" customFormat="1" ht="11.25" customHeight="1">
      <c r="B3502" s="205" t="s">
        <v>291</v>
      </c>
      <c r="C3502" s="207">
        <v>44735</v>
      </c>
      <c r="D3502" s="207">
        <v>44740</v>
      </c>
      <c r="E3502" s="208" t="s">
        <v>2604</v>
      </c>
      <c r="F3502" s="218" t="s">
        <v>1592</v>
      </c>
      <c r="G3502" s="217">
        <v>4088</v>
      </c>
      <c r="H3502" s="205" t="s">
        <v>99</v>
      </c>
      <c r="I3502" s="219" t="s">
        <v>156</v>
      </c>
      <c r="J3502" s="210">
        <v>118350.16</v>
      </c>
      <c r="K3502" s="219"/>
      <c r="L3502" s="210">
        <v>106.43</v>
      </c>
      <c r="M3502" s="210">
        <v>106.43</v>
      </c>
      <c r="N3502" s="213"/>
      <c r="O3502" s="212">
        <v>0.2</v>
      </c>
      <c r="P3502" s="212">
        <v>0.1</v>
      </c>
      <c r="Q3502" s="213">
        <v>48780.94</v>
      </c>
      <c r="R3502" s="205" t="s">
        <v>146</v>
      </c>
      <c r="S3502" s="214" t="s">
        <v>74</v>
      </c>
      <c r="T3502" s="214">
        <v>31</v>
      </c>
      <c r="U3502" s="215" t="s">
        <v>164</v>
      </c>
      <c r="V3502" s="438"/>
      <c r="X3502" s="213">
        <v>48780.94</v>
      </c>
      <c r="Y3502" s="213"/>
      <c r="AF3502" s="230">
        <f>X3502</f>
        <v>48780.94</v>
      </c>
      <c r="AJ3502" s="216"/>
    </row>
    <row r="3503" spans="1:77" s="379" customFormat="1" ht="11.25" customHeight="1">
      <c r="B3503" s="379" t="s">
        <v>291</v>
      </c>
      <c r="C3503" s="381"/>
      <c r="D3503" s="381"/>
      <c r="E3503" s="382" t="s">
        <v>2604</v>
      </c>
      <c r="F3503" s="394" t="s">
        <v>1592</v>
      </c>
      <c r="G3503" s="404">
        <v>4088</v>
      </c>
      <c r="H3503" s="379" t="s">
        <v>765</v>
      </c>
      <c r="I3503" s="384" t="s">
        <v>156</v>
      </c>
      <c r="J3503" s="385">
        <v>51525.72</v>
      </c>
      <c r="K3503" s="384"/>
      <c r="L3503" s="385">
        <v>53.01</v>
      </c>
      <c r="M3503" s="385">
        <v>53.01</v>
      </c>
      <c r="N3503" s="386">
        <f>J3503*0.8</f>
        <v>41220.576000000001</v>
      </c>
      <c r="O3503" s="387">
        <v>0.2</v>
      </c>
      <c r="P3503" s="387">
        <v>0.1</v>
      </c>
      <c r="Q3503" s="386">
        <v>20467.16</v>
      </c>
      <c r="R3503" s="379" t="s">
        <v>146</v>
      </c>
      <c r="S3503" s="388" t="s">
        <v>74</v>
      </c>
      <c r="T3503" s="388">
        <v>31</v>
      </c>
      <c r="U3503" s="389" t="s">
        <v>164</v>
      </c>
      <c r="V3503" s="433"/>
      <c r="X3503" s="386">
        <v>20467.16</v>
      </c>
      <c r="Y3503" s="386"/>
      <c r="AJ3503" s="416">
        <v>20467.16</v>
      </c>
    </row>
    <row r="3504" spans="1:77" s="379" customFormat="1" ht="11.25" customHeight="1">
      <c r="B3504" s="379" t="s">
        <v>291</v>
      </c>
      <c r="C3504" s="381"/>
      <c r="D3504" s="381"/>
      <c r="E3504" s="382" t="s">
        <v>2604</v>
      </c>
      <c r="F3504" s="394" t="s">
        <v>1592</v>
      </c>
      <c r="G3504" s="404">
        <v>4088</v>
      </c>
      <c r="H3504" s="379" t="s">
        <v>866</v>
      </c>
      <c r="I3504" s="384" t="s">
        <v>156</v>
      </c>
      <c r="J3504" s="385">
        <v>4362.72</v>
      </c>
      <c r="K3504" s="384"/>
      <c r="L3504" s="385">
        <v>3.66</v>
      </c>
      <c r="M3504" s="385">
        <v>3.66</v>
      </c>
      <c r="N3504" s="386"/>
      <c r="O3504" s="387">
        <v>0.2</v>
      </c>
      <c r="P3504" s="387">
        <v>0.1</v>
      </c>
      <c r="Q3504" s="386">
        <v>964.78</v>
      </c>
      <c r="R3504" s="379" t="s">
        <v>146</v>
      </c>
      <c r="S3504" s="388" t="s">
        <v>74</v>
      </c>
      <c r="T3504" s="388">
        <v>31</v>
      </c>
      <c r="U3504" s="389" t="s">
        <v>164</v>
      </c>
      <c r="V3504" s="433"/>
      <c r="X3504" s="386">
        <v>964.78</v>
      </c>
      <c r="Y3504" s="386"/>
      <c r="AJ3504" s="416">
        <v>964.78</v>
      </c>
    </row>
    <row r="3505" spans="1:77" s="205" customFormat="1" ht="11.25" customHeight="1">
      <c r="B3505" s="205" t="s">
        <v>291</v>
      </c>
      <c r="C3505" s="207">
        <v>44738</v>
      </c>
      <c r="D3505" s="207">
        <v>44740</v>
      </c>
      <c r="E3505" s="208" t="s">
        <v>2605</v>
      </c>
      <c r="F3505" s="205" t="s">
        <v>2606</v>
      </c>
      <c r="G3505" s="217">
        <v>3898</v>
      </c>
      <c r="H3505" s="218" t="s">
        <v>27</v>
      </c>
      <c r="I3505" s="219" t="s">
        <v>732</v>
      </c>
      <c r="J3505" s="210">
        <v>28710</v>
      </c>
      <c r="K3505" s="219"/>
      <c r="L3505" s="210">
        <v>14.5</v>
      </c>
      <c r="M3505" s="210">
        <v>14.5</v>
      </c>
      <c r="N3505" s="213"/>
      <c r="O3505" s="212">
        <v>0.15</v>
      </c>
      <c r="P3505" s="212"/>
      <c r="Q3505" s="213">
        <v>0</v>
      </c>
      <c r="R3505" s="205" t="s">
        <v>29</v>
      </c>
      <c r="S3505" s="214" t="s">
        <v>30</v>
      </c>
      <c r="T3505" s="214">
        <v>39</v>
      </c>
      <c r="U3505" s="215" t="s">
        <v>164</v>
      </c>
      <c r="V3505" s="438"/>
      <c r="X3505" s="213">
        <v>0</v>
      </c>
      <c r="Y3505" s="213"/>
      <c r="AF3505" s="230">
        <f>X3505</f>
        <v>0</v>
      </c>
      <c r="AJ3505" s="216"/>
    </row>
    <row r="3506" spans="1:77" s="261" customFormat="1" ht="11.25" customHeight="1">
      <c r="A3506" s="379"/>
      <c r="B3506" s="379" t="s">
        <v>291</v>
      </c>
      <c r="C3506" s="381"/>
      <c r="D3506" s="381"/>
      <c r="E3506" s="382" t="s">
        <v>2607</v>
      </c>
      <c r="F3506" s="379" t="s">
        <v>2608</v>
      </c>
      <c r="G3506" s="383" t="s">
        <v>2609</v>
      </c>
      <c r="H3506" s="379" t="s">
        <v>910</v>
      </c>
      <c r="I3506" s="384" t="s">
        <v>156</v>
      </c>
      <c r="J3506" s="385">
        <v>22518</v>
      </c>
      <c r="K3506" s="384"/>
      <c r="L3506" s="385">
        <v>13.9</v>
      </c>
      <c r="M3506" s="385">
        <v>13.9</v>
      </c>
      <c r="N3506" s="386"/>
      <c r="O3506" s="387">
        <v>0.25</v>
      </c>
      <c r="P3506" s="387">
        <v>0.1</v>
      </c>
      <c r="Q3506" s="386">
        <v>925.74</v>
      </c>
      <c r="R3506" s="379" t="s">
        <v>73</v>
      </c>
      <c r="S3506" s="388" t="s">
        <v>74</v>
      </c>
      <c r="T3506" s="388">
        <v>31</v>
      </c>
      <c r="U3506" s="389" t="s">
        <v>164</v>
      </c>
      <c r="V3506" s="433"/>
      <c r="W3506" s="379"/>
      <c r="X3506" s="386">
        <v>925.74</v>
      </c>
      <c r="Y3506" s="386"/>
      <c r="Z3506" s="379"/>
      <c r="AA3506" s="379"/>
      <c r="AB3506" s="379"/>
      <c r="AC3506" s="379"/>
      <c r="AD3506" s="379"/>
      <c r="AE3506" s="379"/>
      <c r="AF3506" s="379"/>
      <c r="AG3506" s="379"/>
      <c r="AH3506" s="379"/>
      <c r="AI3506" s="379"/>
      <c r="AJ3506" s="416">
        <v>925.74</v>
      </c>
      <c r="AK3506" s="379"/>
      <c r="AL3506" s="379"/>
      <c r="AM3506" s="379"/>
      <c r="AN3506" s="379"/>
      <c r="AO3506" s="379"/>
      <c r="AP3506" s="379"/>
      <c r="AQ3506" s="379"/>
      <c r="AR3506" s="379"/>
      <c r="AS3506" s="379"/>
      <c r="AT3506" s="379"/>
      <c r="AU3506" s="379"/>
      <c r="AV3506" s="379"/>
      <c r="AW3506" s="379"/>
      <c r="AX3506" s="379"/>
      <c r="AY3506" s="379"/>
      <c r="AZ3506" s="379"/>
      <c r="BA3506" s="379"/>
      <c r="BB3506" s="379"/>
      <c r="BC3506" s="379"/>
      <c r="BD3506" s="379"/>
      <c r="BE3506" s="379"/>
      <c r="BF3506" s="379"/>
      <c r="BG3506" s="379"/>
      <c r="BH3506" s="379"/>
      <c r="BI3506" s="379"/>
      <c r="BJ3506" s="379"/>
      <c r="BK3506" s="379"/>
      <c r="BL3506" s="379"/>
      <c r="BM3506" s="379"/>
      <c r="BN3506" s="379"/>
      <c r="BO3506" s="379"/>
      <c r="BP3506" s="379"/>
      <c r="BQ3506" s="379"/>
      <c r="BR3506" s="379"/>
      <c r="BS3506" s="379"/>
      <c r="BT3506" s="379"/>
      <c r="BU3506" s="379"/>
      <c r="BV3506" s="379"/>
      <c r="BW3506" s="379"/>
      <c r="BX3506" s="379"/>
      <c r="BY3506" s="379"/>
    </row>
    <row r="3507" spans="1:77" s="261" customFormat="1" ht="11.25" customHeight="1">
      <c r="A3507" s="379"/>
      <c r="B3507" s="379" t="s">
        <v>291</v>
      </c>
      <c r="C3507" s="381"/>
      <c r="D3507" s="381"/>
      <c r="E3507" s="382" t="s">
        <v>2607</v>
      </c>
      <c r="F3507" s="379" t="s">
        <v>2608</v>
      </c>
      <c r="G3507" s="383" t="s">
        <v>2609</v>
      </c>
      <c r="H3507" s="379" t="s">
        <v>1138</v>
      </c>
      <c r="I3507" s="384" t="s">
        <v>156</v>
      </c>
      <c r="J3507" s="385">
        <v>15873</v>
      </c>
      <c r="K3507" s="384"/>
      <c r="L3507" s="385">
        <v>28.6</v>
      </c>
      <c r="M3507" s="385">
        <v>28.6</v>
      </c>
      <c r="N3507" s="386"/>
      <c r="O3507" s="387">
        <v>0.25</v>
      </c>
      <c r="P3507" s="387">
        <v>0.1</v>
      </c>
      <c r="Q3507" s="386">
        <v>0</v>
      </c>
      <c r="R3507" s="379" t="s">
        <v>73</v>
      </c>
      <c r="S3507" s="388" t="s">
        <v>74</v>
      </c>
      <c r="T3507" s="388">
        <v>31</v>
      </c>
      <c r="U3507" s="389" t="s">
        <v>164</v>
      </c>
      <c r="V3507" s="433"/>
      <c r="W3507" s="379"/>
      <c r="X3507" s="386">
        <v>0</v>
      </c>
      <c r="Y3507" s="386"/>
      <c r="Z3507" s="379"/>
      <c r="AA3507" s="379"/>
      <c r="AB3507" s="379"/>
      <c r="AC3507" s="379"/>
      <c r="AD3507" s="379"/>
      <c r="AE3507" s="379"/>
      <c r="AF3507" s="379"/>
      <c r="AG3507" s="379"/>
      <c r="AH3507" s="379"/>
      <c r="AI3507" s="379"/>
      <c r="AJ3507" s="390">
        <v>0</v>
      </c>
      <c r="AK3507" s="379"/>
      <c r="AL3507" s="379"/>
      <c r="AM3507" s="379"/>
      <c r="AN3507" s="379"/>
      <c r="AO3507" s="379"/>
      <c r="AP3507" s="379"/>
      <c r="AQ3507" s="379"/>
      <c r="AR3507" s="379"/>
      <c r="AS3507" s="379"/>
      <c r="AT3507" s="379"/>
      <c r="AU3507" s="379"/>
      <c r="AV3507" s="379"/>
      <c r="AW3507" s="379"/>
      <c r="AX3507" s="379"/>
      <c r="AY3507" s="379"/>
      <c r="AZ3507" s="379"/>
      <c r="BA3507" s="379"/>
      <c r="BB3507" s="379"/>
      <c r="BC3507" s="379"/>
      <c r="BD3507" s="379"/>
      <c r="BE3507" s="379"/>
      <c r="BF3507" s="379"/>
      <c r="BG3507" s="379"/>
      <c r="BH3507" s="379"/>
      <c r="BI3507" s="379"/>
      <c r="BJ3507" s="379"/>
      <c r="BK3507" s="379"/>
      <c r="BL3507" s="379"/>
      <c r="BM3507" s="379"/>
      <c r="BN3507" s="379"/>
      <c r="BO3507" s="379"/>
      <c r="BP3507" s="379"/>
      <c r="BQ3507" s="379"/>
      <c r="BR3507" s="379"/>
      <c r="BS3507" s="379"/>
      <c r="BT3507" s="379"/>
      <c r="BU3507" s="379"/>
      <c r="BV3507" s="379"/>
      <c r="BW3507" s="379"/>
      <c r="BX3507" s="379"/>
      <c r="BY3507" s="379"/>
    </row>
    <row r="3508" spans="1:77" s="261" customFormat="1" ht="11.25" customHeight="1">
      <c r="B3508" s="261" t="s">
        <v>291</v>
      </c>
      <c r="C3508" s="259">
        <v>44735</v>
      </c>
      <c r="D3508" s="259">
        <v>44740</v>
      </c>
      <c r="E3508" s="260" t="s">
        <v>2607</v>
      </c>
      <c r="F3508" s="261" t="s">
        <v>2608</v>
      </c>
      <c r="G3508" s="262" t="s">
        <v>2609</v>
      </c>
      <c r="H3508" s="261" t="s">
        <v>138</v>
      </c>
      <c r="I3508" s="264" t="s">
        <v>156</v>
      </c>
      <c r="J3508" s="263">
        <v>28374.5</v>
      </c>
      <c r="K3508" s="264"/>
      <c r="L3508" s="263">
        <v>23.45</v>
      </c>
      <c r="M3508" s="263">
        <v>23.45</v>
      </c>
      <c r="N3508" s="265"/>
      <c r="O3508" s="266">
        <v>0.25</v>
      </c>
      <c r="P3508" s="266">
        <v>0.1</v>
      </c>
      <c r="Q3508" s="265">
        <v>855.36</v>
      </c>
      <c r="R3508" s="261" t="s">
        <v>73</v>
      </c>
      <c r="S3508" s="267" t="s">
        <v>74</v>
      </c>
      <c r="T3508" s="267">
        <v>31</v>
      </c>
      <c r="U3508" s="268" t="s">
        <v>164</v>
      </c>
      <c r="V3508" s="427"/>
      <c r="X3508" s="265">
        <v>855.36</v>
      </c>
      <c r="Y3508" s="265"/>
      <c r="AG3508" s="261">
        <f>X3508</f>
        <v>855.36</v>
      </c>
      <c r="AJ3508" s="642"/>
    </row>
    <row r="3509" spans="1:77" s="261" customFormat="1" ht="11.25" customHeight="1">
      <c r="B3509" s="261" t="s">
        <v>291</v>
      </c>
      <c r="C3509" s="259"/>
      <c r="D3509" s="259"/>
      <c r="E3509" s="260" t="s">
        <v>2607</v>
      </c>
      <c r="F3509" s="261" t="s">
        <v>2608</v>
      </c>
      <c r="G3509" s="262" t="s">
        <v>2609</v>
      </c>
      <c r="H3509" s="261" t="s">
        <v>140</v>
      </c>
      <c r="I3509" s="264" t="s">
        <v>156</v>
      </c>
      <c r="J3509" s="263">
        <v>40800</v>
      </c>
      <c r="K3509" s="264"/>
      <c r="L3509" s="263">
        <v>27.2</v>
      </c>
      <c r="M3509" s="263">
        <v>27.2</v>
      </c>
      <c r="N3509" s="265"/>
      <c r="O3509" s="266">
        <v>0.25</v>
      </c>
      <c r="P3509" s="266">
        <v>0.1</v>
      </c>
      <c r="Q3509" s="265">
        <v>1200</v>
      </c>
      <c r="R3509" s="261" t="s">
        <v>73</v>
      </c>
      <c r="S3509" s="267" t="s">
        <v>74</v>
      </c>
      <c r="T3509" s="267">
        <v>31</v>
      </c>
      <c r="U3509" s="268" t="s">
        <v>164</v>
      </c>
      <c r="V3509" s="427"/>
      <c r="X3509" s="265">
        <v>1200</v>
      </c>
      <c r="Y3509" s="265"/>
      <c r="AG3509" s="261">
        <f>X3509</f>
        <v>1200</v>
      </c>
      <c r="AJ3509" s="642"/>
    </row>
    <row r="3510" spans="1:77" s="337" customFormat="1" ht="11.25" customHeight="1">
      <c r="B3510" s="337" t="s">
        <v>291</v>
      </c>
      <c r="C3510" s="349">
        <v>44732</v>
      </c>
      <c r="D3510" s="349">
        <v>44740</v>
      </c>
      <c r="E3510" s="350" t="s">
        <v>2610</v>
      </c>
      <c r="F3510" s="337" t="s">
        <v>2611</v>
      </c>
      <c r="G3510" s="351" t="s">
        <v>2612</v>
      </c>
      <c r="H3510" s="337" t="s">
        <v>814</v>
      </c>
      <c r="I3510" s="353" t="s">
        <v>156</v>
      </c>
      <c r="J3510" s="352">
        <v>16604.560000000001</v>
      </c>
      <c r="K3510" s="353"/>
      <c r="L3510" s="352">
        <v>16.63</v>
      </c>
      <c r="M3510" s="352">
        <v>12</v>
      </c>
      <c r="N3510" s="354"/>
      <c r="O3510" s="355">
        <v>0.15</v>
      </c>
      <c r="P3510" s="355">
        <v>0.1</v>
      </c>
      <c r="Q3510" s="369">
        <v>0</v>
      </c>
      <c r="R3510" s="337" t="s">
        <v>112</v>
      </c>
      <c r="S3510" s="356" t="s">
        <v>113</v>
      </c>
      <c r="T3510" s="356">
        <v>64</v>
      </c>
      <c r="U3510" s="357" t="s">
        <v>164</v>
      </c>
      <c r="V3510" s="434"/>
      <c r="X3510" s="354">
        <v>0</v>
      </c>
      <c r="Y3510" s="354"/>
      <c r="AI3510" s="337">
        <v>0</v>
      </c>
      <c r="AJ3510" s="358"/>
      <c r="AK3510" s="369"/>
    </row>
    <row r="3511" spans="1:77" s="337" customFormat="1" ht="11.25" customHeight="1">
      <c r="B3511" s="337" t="s">
        <v>291</v>
      </c>
      <c r="C3511" s="349"/>
      <c r="D3511" s="349"/>
      <c r="E3511" s="350" t="s">
        <v>2610</v>
      </c>
      <c r="F3511" s="337" t="s">
        <v>2611</v>
      </c>
      <c r="G3511" s="351" t="s">
        <v>2612</v>
      </c>
      <c r="H3511" s="337" t="s">
        <v>866</v>
      </c>
      <c r="I3511" s="353" t="s">
        <v>156</v>
      </c>
      <c r="J3511" s="352">
        <v>25013.48</v>
      </c>
      <c r="K3511" s="353"/>
      <c r="L3511" s="352">
        <v>15.04</v>
      </c>
      <c r="M3511" s="352">
        <v>12</v>
      </c>
      <c r="N3511" s="354"/>
      <c r="O3511" s="355">
        <v>0.15</v>
      </c>
      <c r="P3511" s="355">
        <v>0.1</v>
      </c>
      <c r="Q3511" s="369">
        <v>0</v>
      </c>
      <c r="R3511" s="337" t="s">
        <v>112</v>
      </c>
      <c r="S3511" s="356" t="s">
        <v>113</v>
      </c>
      <c r="T3511" s="356">
        <v>64</v>
      </c>
      <c r="U3511" s="357" t="s">
        <v>164</v>
      </c>
      <c r="V3511" s="434"/>
      <c r="X3511" s="354">
        <v>0</v>
      </c>
      <c r="Y3511" s="354"/>
      <c r="AI3511" s="337">
        <v>0</v>
      </c>
      <c r="AJ3511" s="358"/>
      <c r="AK3511" s="369"/>
    </row>
    <row r="3512" spans="1:77" s="379" customFormat="1" ht="11.25" customHeight="1">
      <c r="A3512" s="473"/>
      <c r="B3512" s="473" t="s">
        <v>291</v>
      </c>
      <c r="C3512" s="487"/>
      <c r="D3512" s="487"/>
      <c r="E3512" s="488" t="s">
        <v>2613</v>
      </c>
      <c r="F3512" s="473" t="s">
        <v>2541</v>
      </c>
      <c r="G3512" s="489" t="s">
        <v>2542</v>
      </c>
      <c r="H3512" s="473" t="s">
        <v>814</v>
      </c>
      <c r="I3512" s="491" t="s">
        <v>961</v>
      </c>
      <c r="J3512" s="490">
        <v>12890.8</v>
      </c>
      <c r="K3512" s="491"/>
      <c r="L3512" s="490">
        <v>9.64</v>
      </c>
      <c r="M3512" s="490">
        <v>9.64</v>
      </c>
      <c r="N3512" s="492">
        <f>J3512*0.1</f>
        <v>1289.08</v>
      </c>
      <c r="O3512" s="493">
        <v>0.25</v>
      </c>
      <c r="P3512" s="493"/>
      <c r="Q3512" s="492">
        <v>0</v>
      </c>
      <c r="R3512" s="473" t="s">
        <v>112</v>
      </c>
      <c r="S3512" s="481" t="s">
        <v>113</v>
      </c>
      <c r="T3512" s="481">
        <v>64</v>
      </c>
      <c r="U3512" s="494" t="s">
        <v>164</v>
      </c>
      <c r="V3512" s="495"/>
      <c r="W3512" s="473"/>
      <c r="X3512" s="492">
        <v>0</v>
      </c>
      <c r="Y3512" s="492"/>
      <c r="Z3512" s="473"/>
      <c r="AA3512" s="473"/>
      <c r="AB3512" s="473"/>
      <c r="AC3512" s="473"/>
      <c r="AD3512" s="473"/>
      <c r="AE3512" s="473"/>
      <c r="AF3512" s="473"/>
      <c r="AG3512" s="473"/>
      <c r="AH3512" s="473"/>
      <c r="AI3512" s="473"/>
      <c r="AJ3512" s="485"/>
      <c r="AK3512" s="473">
        <v>0</v>
      </c>
      <c r="AL3512" s="473"/>
      <c r="AM3512" s="473"/>
      <c r="AN3512" s="473"/>
      <c r="AO3512" s="473"/>
      <c r="AP3512" s="473"/>
      <c r="AQ3512" s="473"/>
      <c r="AR3512" s="473"/>
      <c r="AS3512" s="473"/>
      <c r="AT3512" s="473"/>
      <c r="AU3512" s="473"/>
      <c r="AV3512" s="473"/>
      <c r="AW3512" s="473"/>
      <c r="AX3512" s="473"/>
      <c r="AY3512" s="473"/>
      <c r="AZ3512" s="473"/>
      <c r="BA3512" s="473"/>
      <c r="BB3512" s="473"/>
      <c r="BC3512" s="473"/>
      <c r="BD3512" s="473"/>
      <c r="BE3512" s="473"/>
      <c r="BF3512" s="473"/>
      <c r="BG3512" s="473"/>
      <c r="BH3512" s="473"/>
      <c r="BI3512" s="473"/>
      <c r="BJ3512" s="473"/>
      <c r="BK3512" s="473"/>
      <c r="BL3512" s="473"/>
      <c r="BM3512" s="473"/>
      <c r="BN3512" s="473"/>
      <c r="BO3512" s="473"/>
      <c r="BP3512" s="473"/>
      <c r="BQ3512" s="473"/>
      <c r="BR3512" s="473"/>
      <c r="BS3512" s="473"/>
      <c r="BT3512" s="473"/>
      <c r="BU3512" s="473"/>
      <c r="BV3512" s="473"/>
      <c r="BW3512" s="473"/>
      <c r="BX3512" s="473"/>
      <c r="BY3512" s="473"/>
    </row>
    <row r="3513" spans="1:77" s="261" customFormat="1" ht="11.25" customHeight="1">
      <c r="B3513" s="261" t="s">
        <v>291</v>
      </c>
      <c r="C3513" s="259">
        <v>44731</v>
      </c>
      <c r="D3513" s="259">
        <v>44738</v>
      </c>
      <c r="E3513" s="260" t="s">
        <v>2613</v>
      </c>
      <c r="F3513" s="261" t="s">
        <v>2541</v>
      </c>
      <c r="G3513" s="262" t="s">
        <v>2542</v>
      </c>
      <c r="H3513" s="261" t="s">
        <v>99</v>
      </c>
      <c r="I3513" s="264" t="s">
        <v>961</v>
      </c>
      <c r="J3513" s="263">
        <v>9800.34</v>
      </c>
      <c r="K3513" s="264"/>
      <c r="L3513" s="263">
        <v>6.35</v>
      </c>
      <c r="M3513" s="263">
        <v>6.35</v>
      </c>
      <c r="N3513" s="265">
        <f>J3513*0.3</f>
        <v>2940.1019999999999</v>
      </c>
      <c r="O3513" s="266">
        <v>0.25</v>
      </c>
      <c r="P3513" s="266"/>
      <c r="Q3513" s="265">
        <v>0</v>
      </c>
      <c r="R3513" s="261" t="s">
        <v>112</v>
      </c>
      <c r="S3513" s="267" t="s">
        <v>113</v>
      </c>
      <c r="T3513" s="267">
        <v>64</v>
      </c>
      <c r="U3513" s="268" t="s">
        <v>164</v>
      </c>
      <c r="V3513" s="427"/>
      <c r="X3513" s="265">
        <v>0</v>
      </c>
      <c r="Y3513" s="265"/>
      <c r="AG3513" s="261">
        <f>X3513</f>
        <v>0</v>
      </c>
      <c r="AJ3513" s="642"/>
    </row>
    <row r="3514" spans="1:77" s="473" customFormat="1" ht="11.25" customHeight="1">
      <c r="B3514" s="473" t="s">
        <v>390</v>
      </c>
      <c r="C3514" s="487">
        <v>44736</v>
      </c>
      <c r="D3514" s="487">
        <v>44740</v>
      </c>
      <c r="E3514" s="488" t="s">
        <v>2614</v>
      </c>
      <c r="F3514" s="473" t="s">
        <v>2615</v>
      </c>
      <c r="G3514" s="489" t="s">
        <v>2616</v>
      </c>
      <c r="H3514" s="473" t="s">
        <v>393</v>
      </c>
      <c r="I3514" s="491" t="s">
        <v>1168</v>
      </c>
      <c r="J3514" s="490">
        <v>60977.96</v>
      </c>
      <c r="K3514" s="491"/>
      <c r="L3514" s="490">
        <v>15.35</v>
      </c>
      <c r="M3514" s="490">
        <v>15.35</v>
      </c>
      <c r="N3514" s="492"/>
      <c r="O3514" s="493">
        <v>0.25</v>
      </c>
      <c r="P3514" s="493">
        <v>0.1</v>
      </c>
      <c r="Q3514" s="492">
        <v>0</v>
      </c>
      <c r="R3514" s="473" t="s">
        <v>369</v>
      </c>
      <c r="S3514" s="481" t="s">
        <v>2617</v>
      </c>
      <c r="T3514" s="481">
        <v>30</v>
      </c>
      <c r="U3514" s="494" t="s">
        <v>164</v>
      </c>
      <c r="V3514" s="495"/>
      <c r="X3514" s="492">
        <v>0</v>
      </c>
      <c r="Y3514" s="492"/>
      <c r="AJ3514" s="485"/>
      <c r="AK3514" s="473">
        <v>0</v>
      </c>
    </row>
    <row r="3515" spans="1:77" s="473" customFormat="1" ht="11.25" customHeight="1">
      <c r="B3515" s="486" t="s">
        <v>390</v>
      </c>
      <c r="C3515" s="487">
        <v>44737</v>
      </c>
      <c r="D3515" s="487">
        <v>44740</v>
      </c>
      <c r="E3515" s="488" t="s">
        <v>2618</v>
      </c>
      <c r="F3515" s="473" t="s">
        <v>780</v>
      </c>
      <c r="G3515" s="489" t="s">
        <v>781</v>
      </c>
      <c r="H3515" s="473" t="s">
        <v>393</v>
      </c>
      <c r="I3515" s="491" t="s">
        <v>156</v>
      </c>
      <c r="J3515" s="490">
        <v>87377.279999999999</v>
      </c>
      <c r="K3515" s="491"/>
      <c r="L3515" s="490">
        <v>3.4</v>
      </c>
      <c r="M3515" s="490">
        <v>0.38</v>
      </c>
      <c r="N3515" s="492">
        <f>0.3746/3.49*0.18*J3515</f>
        <v>1688.1590933638965</v>
      </c>
      <c r="O3515" s="493">
        <v>0.25</v>
      </c>
      <c r="P3515" s="493">
        <v>0.1</v>
      </c>
      <c r="Q3515" s="492">
        <v>0</v>
      </c>
      <c r="R3515" s="473" t="s">
        <v>782</v>
      </c>
      <c r="S3515" s="481" t="s">
        <v>65</v>
      </c>
      <c r="T3515" s="481">
        <v>51</v>
      </c>
      <c r="U3515" s="494" t="s">
        <v>164</v>
      </c>
      <c r="V3515" s="495"/>
      <c r="X3515" s="492">
        <v>0</v>
      </c>
      <c r="Y3515" s="492"/>
      <c r="AJ3515" s="485"/>
      <c r="AK3515" s="473">
        <v>0</v>
      </c>
    </row>
    <row r="3516" spans="1:77" s="473" customFormat="1" ht="11.25" customHeight="1">
      <c r="B3516" s="473" t="s">
        <v>291</v>
      </c>
      <c r="C3516" s="487">
        <v>44735</v>
      </c>
      <c r="D3516" s="487">
        <v>44740</v>
      </c>
      <c r="E3516" s="488" t="s">
        <v>2619</v>
      </c>
      <c r="F3516" s="473" t="s">
        <v>2620</v>
      </c>
      <c r="G3516" s="496">
        <v>3880</v>
      </c>
      <c r="H3516" s="473" t="s">
        <v>140</v>
      </c>
      <c r="I3516" s="491" t="s">
        <v>156</v>
      </c>
      <c r="J3516" s="490">
        <v>26863.200000000001</v>
      </c>
      <c r="K3516" s="491"/>
      <c r="L3516" s="490">
        <v>19.68</v>
      </c>
      <c r="M3516" s="490">
        <v>19.68</v>
      </c>
      <c r="N3516" s="492"/>
      <c r="O3516" s="493">
        <v>0.25</v>
      </c>
      <c r="P3516" s="493">
        <v>0.1</v>
      </c>
      <c r="Q3516" s="492">
        <v>2359.69</v>
      </c>
      <c r="R3516" s="473" t="s">
        <v>73</v>
      </c>
      <c r="S3516" s="481" t="s">
        <v>74</v>
      </c>
      <c r="T3516" s="481">
        <v>31</v>
      </c>
      <c r="U3516" s="494" t="s">
        <v>164</v>
      </c>
      <c r="V3516" s="495"/>
      <c r="X3516" s="492">
        <v>2359.69</v>
      </c>
      <c r="Y3516" s="492"/>
      <c r="AJ3516" s="485"/>
      <c r="AK3516" s="505">
        <v>2359.69</v>
      </c>
    </row>
    <row r="3517" spans="1:77" s="473" customFormat="1" ht="11.25" customHeight="1">
      <c r="B3517" s="473" t="s">
        <v>291</v>
      </c>
      <c r="C3517" s="487"/>
      <c r="D3517" s="487"/>
      <c r="E3517" s="488" t="s">
        <v>2619</v>
      </c>
      <c r="F3517" s="473" t="s">
        <v>2620</v>
      </c>
      <c r="G3517" s="496">
        <v>3880</v>
      </c>
      <c r="H3517" s="473" t="s">
        <v>99</v>
      </c>
      <c r="I3517" s="491" t="s">
        <v>156</v>
      </c>
      <c r="J3517" s="490">
        <v>20477.84</v>
      </c>
      <c r="K3517" s="491"/>
      <c r="L3517" s="490">
        <v>19.09</v>
      </c>
      <c r="M3517" s="490">
        <v>19.09</v>
      </c>
      <c r="N3517" s="492"/>
      <c r="O3517" s="493">
        <v>0.25</v>
      </c>
      <c r="P3517" s="493">
        <v>0.1</v>
      </c>
      <c r="Q3517" s="492">
        <v>1494.3</v>
      </c>
      <c r="R3517" s="473" t="s">
        <v>73</v>
      </c>
      <c r="S3517" s="481" t="s">
        <v>74</v>
      </c>
      <c r="T3517" s="481">
        <v>31</v>
      </c>
      <c r="U3517" s="494" t="s">
        <v>164</v>
      </c>
      <c r="V3517" s="495"/>
      <c r="X3517" s="492">
        <v>1494.3</v>
      </c>
      <c r="Y3517" s="492"/>
      <c r="AJ3517" s="485"/>
      <c r="AK3517" s="505">
        <v>1494.3</v>
      </c>
    </row>
    <row r="3518" spans="1:77" s="473" customFormat="1" ht="11.25" customHeight="1">
      <c r="B3518" s="473" t="s">
        <v>291</v>
      </c>
      <c r="C3518" s="487"/>
      <c r="D3518" s="487"/>
      <c r="E3518" s="488" t="s">
        <v>2619</v>
      </c>
      <c r="F3518" s="473" t="s">
        <v>2620</v>
      </c>
      <c r="G3518" s="496">
        <v>3880</v>
      </c>
      <c r="H3518" s="473" t="s">
        <v>137</v>
      </c>
      <c r="I3518" s="491" t="s">
        <v>156</v>
      </c>
      <c r="J3518" s="490">
        <v>11681.28</v>
      </c>
      <c r="K3518" s="491"/>
      <c r="L3518" s="490">
        <v>14.04</v>
      </c>
      <c r="M3518" s="490">
        <v>14.04</v>
      </c>
      <c r="N3518" s="492"/>
      <c r="O3518" s="493">
        <v>0.25</v>
      </c>
      <c r="P3518" s="493">
        <v>0.1</v>
      </c>
      <c r="Q3518" s="492">
        <v>0</v>
      </c>
      <c r="R3518" s="473" t="s">
        <v>73</v>
      </c>
      <c r="S3518" s="481" t="s">
        <v>74</v>
      </c>
      <c r="T3518" s="481">
        <v>31</v>
      </c>
      <c r="U3518" s="494" t="s">
        <v>164</v>
      </c>
      <c r="V3518" s="495"/>
      <c r="X3518" s="492">
        <v>0</v>
      </c>
      <c r="Y3518" s="492"/>
      <c r="AJ3518" s="485"/>
      <c r="AK3518" s="473">
        <v>0</v>
      </c>
    </row>
    <row r="3519" spans="1:77" s="473" customFormat="1" ht="11.25" customHeight="1">
      <c r="B3519" s="473" t="s">
        <v>291</v>
      </c>
      <c r="C3519" s="487"/>
      <c r="D3519" s="487"/>
      <c r="E3519" s="488" t="s">
        <v>2619</v>
      </c>
      <c r="F3519" s="473" t="s">
        <v>2620</v>
      </c>
      <c r="G3519" s="496">
        <v>3880</v>
      </c>
      <c r="H3519" s="473" t="s">
        <v>814</v>
      </c>
      <c r="I3519" s="491" t="s">
        <v>156</v>
      </c>
      <c r="J3519" s="490">
        <v>12383.81</v>
      </c>
      <c r="K3519" s="491"/>
      <c r="L3519" s="490">
        <v>18.670000000000002</v>
      </c>
      <c r="M3519" s="490">
        <v>18.670000000000002</v>
      </c>
      <c r="N3519" s="492"/>
      <c r="O3519" s="493">
        <v>0.25</v>
      </c>
      <c r="P3519" s="493">
        <v>0.1</v>
      </c>
      <c r="Q3519" s="492">
        <v>6194.44</v>
      </c>
      <c r="R3519" s="473" t="s">
        <v>73</v>
      </c>
      <c r="S3519" s="481" t="s">
        <v>74</v>
      </c>
      <c r="T3519" s="481">
        <v>31</v>
      </c>
      <c r="U3519" s="494" t="s">
        <v>164</v>
      </c>
      <c r="V3519" s="495"/>
      <c r="X3519" s="492">
        <v>6194.44</v>
      </c>
      <c r="Y3519" s="492"/>
      <c r="AJ3519" s="485"/>
      <c r="AK3519" s="505">
        <v>6194.44</v>
      </c>
    </row>
    <row r="3520" spans="1:77" s="473" customFormat="1" ht="11.25" customHeight="1">
      <c r="B3520" s="473" t="s">
        <v>291</v>
      </c>
      <c r="C3520" s="487"/>
      <c r="D3520" s="487"/>
      <c r="E3520" s="488" t="s">
        <v>2619</v>
      </c>
      <c r="F3520" s="473" t="s">
        <v>2620</v>
      </c>
      <c r="G3520" s="496">
        <v>3880</v>
      </c>
      <c r="H3520" s="473" t="s">
        <v>765</v>
      </c>
      <c r="I3520" s="491" t="s">
        <v>156</v>
      </c>
      <c r="J3520" s="490">
        <v>17146.36</v>
      </c>
      <c r="K3520" s="491"/>
      <c r="L3520" s="490">
        <v>20.51</v>
      </c>
      <c r="M3520" s="490">
        <v>20.51</v>
      </c>
      <c r="N3520" s="492"/>
      <c r="O3520" s="493">
        <v>0.25</v>
      </c>
      <c r="P3520" s="493">
        <v>0.1</v>
      </c>
      <c r="Q3520" s="492">
        <v>2387.36</v>
      </c>
      <c r="R3520" s="473" t="s">
        <v>73</v>
      </c>
      <c r="S3520" s="481" t="s">
        <v>74</v>
      </c>
      <c r="T3520" s="481">
        <v>31</v>
      </c>
      <c r="U3520" s="494" t="s">
        <v>164</v>
      </c>
      <c r="V3520" s="495"/>
      <c r="X3520" s="492">
        <v>2387.36</v>
      </c>
      <c r="Y3520" s="492"/>
      <c r="AJ3520" s="485"/>
      <c r="AK3520" s="505">
        <v>2387.36</v>
      </c>
    </row>
    <row r="3521" spans="1:77" s="507" customFormat="1" ht="11.25" customHeight="1">
      <c r="B3521" s="507" t="s">
        <v>291</v>
      </c>
      <c r="C3521" s="509">
        <v>44735</v>
      </c>
      <c r="D3521" s="509">
        <v>44740</v>
      </c>
      <c r="E3521" s="510" t="s">
        <v>2621</v>
      </c>
      <c r="F3521" s="507" t="s">
        <v>145</v>
      </c>
      <c r="G3521" s="521">
        <v>4455</v>
      </c>
      <c r="H3521" s="507" t="s">
        <v>99</v>
      </c>
      <c r="I3521" s="512" t="s">
        <v>156</v>
      </c>
      <c r="J3521" s="513">
        <v>44225.5</v>
      </c>
      <c r="K3521" s="512"/>
      <c r="L3521" s="513">
        <v>55</v>
      </c>
      <c r="M3521" s="513">
        <v>55</v>
      </c>
      <c r="N3521" s="514"/>
      <c r="O3521" s="515">
        <v>0.15</v>
      </c>
      <c r="P3521" s="515">
        <v>0.1</v>
      </c>
      <c r="Q3521" s="514">
        <v>0</v>
      </c>
      <c r="R3521" s="507" t="s">
        <v>146</v>
      </c>
      <c r="S3521" s="516" t="s">
        <v>74</v>
      </c>
      <c r="T3521" s="516">
        <v>31</v>
      </c>
      <c r="U3521" s="517" t="s">
        <v>164</v>
      </c>
      <c r="V3521" s="518"/>
      <c r="X3521" s="514">
        <v>0</v>
      </c>
      <c r="Y3521" s="514"/>
      <c r="AJ3521" s="522"/>
      <c r="AL3521" s="507">
        <v>0</v>
      </c>
    </row>
    <row r="3522" spans="1:77" s="507" customFormat="1" ht="11.25" customHeight="1">
      <c r="B3522" s="507" t="s">
        <v>291</v>
      </c>
      <c r="C3522" s="509"/>
      <c r="D3522" s="509"/>
      <c r="E3522" s="510" t="s">
        <v>2621</v>
      </c>
      <c r="F3522" s="507" t="s">
        <v>145</v>
      </c>
      <c r="G3522" s="521">
        <v>4455</v>
      </c>
      <c r="H3522" s="507" t="s">
        <v>140</v>
      </c>
      <c r="I3522" s="512" t="s">
        <v>156</v>
      </c>
      <c r="J3522" s="513">
        <v>5450</v>
      </c>
      <c r="K3522" s="512"/>
      <c r="L3522" s="513">
        <v>5</v>
      </c>
      <c r="M3522" s="513">
        <v>5</v>
      </c>
      <c r="N3522" s="514"/>
      <c r="O3522" s="515">
        <v>0.15</v>
      </c>
      <c r="P3522" s="515">
        <v>0.1</v>
      </c>
      <c r="Q3522" s="514">
        <v>0</v>
      </c>
      <c r="R3522" s="507" t="s">
        <v>146</v>
      </c>
      <c r="S3522" s="516" t="s">
        <v>74</v>
      </c>
      <c r="T3522" s="516">
        <v>31</v>
      </c>
      <c r="U3522" s="517" t="s">
        <v>164</v>
      </c>
      <c r="V3522" s="518"/>
      <c r="X3522" s="514">
        <v>0</v>
      </c>
      <c r="Y3522" s="514"/>
      <c r="AJ3522" s="522"/>
      <c r="AL3522" s="507">
        <v>0</v>
      </c>
    </row>
    <row r="3523" spans="1:77" s="507" customFormat="1" ht="11.25" customHeight="1">
      <c r="B3523" s="507" t="s">
        <v>291</v>
      </c>
      <c r="C3523" s="509"/>
      <c r="D3523" s="509"/>
      <c r="E3523" s="510" t="s">
        <v>2621</v>
      </c>
      <c r="F3523" s="507" t="s">
        <v>145</v>
      </c>
      <c r="G3523" s="521">
        <v>4455</v>
      </c>
      <c r="H3523" s="507" t="s">
        <v>910</v>
      </c>
      <c r="I3523" s="512" t="s">
        <v>156</v>
      </c>
      <c r="J3523" s="513">
        <v>9630</v>
      </c>
      <c r="K3523" s="512"/>
      <c r="L3523" s="513">
        <v>5</v>
      </c>
      <c r="M3523" s="513">
        <v>5</v>
      </c>
      <c r="N3523" s="514"/>
      <c r="O3523" s="515">
        <v>0.15</v>
      </c>
      <c r="P3523" s="515">
        <v>0.1</v>
      </c>
      <c r="Q3523" s="514">
        <v>0</v>
      </c>
      <c r="R3523" s="507" t="s">
        <v>146</v>
      </c>
      <c r="S3523" s="516" t="s">
        <v>74</v>
      </c>
      <c r="T3523" s="516">
        <v>31</v>
      </c>
      <c r="U3523" s="517" t="s">
        <v>164</v>
      </c>
      <c r="V3523" s="518"/>
      <c r="X3523" s="514">
        <v>0</v>
      </c>
      <c r="Y3523" s="514"/>
      <c r="AJ3523" s="522"/>
      <c r="AL3523" s="507">
        <v>0</v>
      </c>
    </row>
    <row r="3524" spans="1:77" s="507" customFormat="1" ht="11.25" customHeight="1">
      <c r="B3524" s="507" t="s">
        <v>291</v>
      </c>
      <c r="C3524" s="509"/>
      <c r="D3524" s="509"/>
      <c r="E3524" s="510" t="s">
        <v>2621</v>
      </c>
      <c r="F3524" s="507" t="s">
        <v>145</v>
      </c>
      <c r="G3524" s="521">
        <v>4455</v>
      </c>
      <c r="H3524" s="507" t="s">
        <v>814</v>
      </c>
      <c r="I3524" s="512" t="s">
        <v>156</v>
      </c>
      <c r="J3524" s="513">
        <v>20387.5</v>
      </c>
      <c r="K3524" s="512"/>
      <c r="L3524" s="513">
        <v>25</v>
      </c>
      <c r="M3524" s="513">
        <v>25</v>
      </c>
      <c r="N3524" s="514"/>
      <c r="O3524" s="515">
        <v>0.15</v>
      </c>
      <c r="P3524" s="515">
        <v>0.1</v>
      </c>
      <c r="Q3524" s="514">
        <v>0</v>
      </c>
      <c r="R3524" s="507" t="s">
        <v>146</v>
      </c>
      <c r="S3524" s="516" t="s">
        <v>74</v>
      </c>
      <c r="T3524" s="516">
        <v>31</v>
      </c>
      <c r="U3524" s="517" t="s">
        <v>164</v>
      </c>
      <c r="V3524" s="518"/>
      <c r="X3524" s="514">
        <v>0</v>
      </c>
      <c r="Y3524" s="514"/>
      <c r="AJ3524" s="522"/>
      <c r="AL3524" s="507">
        <v>0</v>
      </c>
    </row>
    <row r="3525" spans="1:77" s="507" customFormat="1" ht="11.25" customHeight="1">
      <c r="B3525" s="507" t="s">
        <v>291</v>
      </c>
      <c r="C3525" s="509"/>
      <c r="D3525" s="509"/>
      <c r="E3525" s="510" t="s">
        <v>2621</v>
      </c>
      <c r="F3525" s="507" t="s">
        <v>145</v>
      </c>
      <c r="G3525" s="521">
        <v>4455</v>
      </c>
      <c r="H3525" s="507" t="s">
        <v>1141</v>
      </c>
      <c r="I3525" s="512" t="s">
        <v>156</v>
      </c>
      <c r="J3525" s="513">
        <v>20655</v>
      </c>
      <c r="K3525" s="512"/>
      <c r="L3525" s="513">
        <v>25</v>
      </c>
      <c r="M3525" s="513">
        <v>25</v>
      </c>
      <c r="N3525" s="514"/>
      <c r="O3525" s="515">
        <v>0.15</v>
      </c>
      <c r="P3525" s="515">
        <v>0.1</v>
      </c>
      <c r="Q3525" s="514">
        <v>0</v>
      </c>
      <c r="R3525" s="507" t="s">
        <v>146</v>
      </c>
      <c r="S3525" s="516" t="s">
        <v>74</v>
      </c>
      <c r="T3525" s="516">
        <v>31</v>
      </c>
      <c r="U3525" s="517" t="s">
        <v>164</v>
      </c>
      <c r="V3525" s="518"/>
      <c r="X3525" s="514">
        <v>0</v>
      </c>
      <c r="Y3525" s="514"/>
      <c r="AJ3525" s="522"/>
      <c r="AL3525" s="507">
        <v>0</v>
      </c>
    </row>
    <row r="3526" spans="1:77" s="507" customFormat="1" ht="11.25" customHeight="1">
      <c r="B3526" s="507" t="s">
        <v>291</v>
      </c>
      <c r="C3526" s="509"/>
      <c r="D3526" s="509"/>
      <c r="E3526" s="510" t="s">
        <v>2621</v>
      </c>
      <c r="F3526" s="507" t="s">
        <v>145</v>
      </c>
      <c r="G3526" s="521">
        <v>4455</v>
      </c>
      <c r="H3526" s="507" t="s">
        <v>765</v>
      </c>
      <c r="I3526" s="512" t="s">
        <v>156</v>
      </c>
      <c r="J3526" s="513">
        <v>17762.5</v>
      </c>
      <c r="K3526" s="512"/>
      <c r="L3526" s="513">
        <v>25</v>
      </c>
      <c r="M3526" s="513">
        <v>25</v>
      </c>
      <c r="N3526" s="514"/>
      <c r="O3526" s="515">
        <v>0.15</v>
      </c>
      <c r="P3526" s="515">
        <v>0.1</v>
      </c>
      <c r="Q3526" s="514">
        <v>0</v>
      </c>
      <c r="R3526" s="507" t="s">
        <v>146</v>
      </c>
      <c r="S3526" s="516" t="s">
        <v>74</v>
      </c>
      <c r="T3526" s="516">
        <v>31</v>
      </c>
      <c r="U3526" s="517" t="s">
        <v>164</v>
      </c>
      <c r="V3526" s="518"/>
      <c r="X3526" s="514">
        <v>0</v>
      </c>
      <c r="Y3526" s="514"/>
      <c r="AJ3526" s="522"/>
      <c r="AL3526" s="507">
        <v>0</v>
      </c>
    </row>
    <row r="3527" spans="1:77" s="291" customFormat="1" ht="11.25" customHeight="1">
      <c r="B3527" s="291" t="s">
        <v>291</v>
      </c>
      <c r="C3527" s="292">
        <v>44725</v>
      </c>
      <c r="D3527" s="292">
        <v>44740</v>
      </c>
      <c r="E3527" s="293" t="s">
        <v>2622</v>
      </c>
      <c r="F3527" s="303" t="s">
        <v>315</v>
      </c>
      <c r="G3527" s="304">
        <v>3964</v>
      </c>
      <c r="H3527" s="303" t="s">
        <v>1201</v>
      </c>
      <c r="I3527" s="303" t="s">
        <v>1547</v>
      </c>
      <c r="J3527" s="305">
        <v>50400</v>
      </c>
      <c r="K3527" s="303"/>
      <c r="L3527" s="305">
        <v>12</v>
      </c>
      <c r="M3527" s="305">
        <v>12</v>
      </c>
      <c r="N3527" s="306"/>
      <c r="O3527" s="307">
        <v>0.3</v>
      </c>
      <c r="P3527" s="298"/>
      <c r="Q3527" s="297">
        <v>5460</v>
      </c>
      <c r="R3527" s="291" t="s">
        <v>35</v>
      </c>
      <c r="S3527" s="299" t="s">
        <v>41</v>
      </c>
      <c r="T3527" s="299">
        <v>86</v>
      </c>
      <c r="U3527" s="300" t="s">
        <v>164</v>
      </c>
      <c r="V3527" s="333">
        <v>420</v>
      </c>
      <c r="X3527" s="297">
        <v>5460</v>
      </c>
      <c r="Y3527" s="297"/>
      <c r="AH3527" s="291">
        <f>X3527</f>
        <v>5460</v>
      </c>
      <c r="AI3527" s="311"/>
      <c r="AJ3527" s="468"/>
    </row>
    <row r="3528" spans="1:77" s="205" customFormat="1" ht="11.25" customHeight="1">
      <c r="A3528" s="379"/>
      <c r="B3528" s="379" t="s">
        <v>291</v>
      </c>
      <c r="C3528" s="381"/>
      <c r="D3528" s="381"/>
      <c r="E3528" s="382" t="s">
        <v>2623</v>
      </c>
      <c r="F3528" s="379" t="s">
        <v>2043</v>
      </c>
      <c r="G3528" s="404">
        <v>3748</v>
      </c>
      <c r="H3528" s="379" t="s">
        <v>814</v>
      </c>
      <c r="I3528" s="384" t="s">
        <v>156</v>
      </c>
      <c r="J3528" s="385">
        <v>19093.91</v>
      </c>
      <c r="K3528" s="394"/>
      <c r="L3528" s="385">
        <v>19.649999999999999</v>
      </c>
      <c r="M3528" s="385">
        <v>3.45</v>
      </c>
      <c r="N3528" s="396"/>
      <c r="O3528" s="387">
        <v>0.3</v>
      </c>
      <c r="P3528" s="387">
        <v>0.1</v>
      </c>
      <c r="Q3528" s="386">
        <v>0</v>
      </c>
      <c r="R3528" s="379" t="s">
        <v>105</v>
      </c>
      <c r="S3528" s="388" t="s">
        <v>30</v>
      </c>
      <c r="T3528" s="388">
        <v>39</v>
      </c>
      <c r="U3528" s="389" t="s">
        <v>164</v>
      </c>
      <c r="V3528" s="433"/>
      <c r="W3528" s="379"/>
      <c r="X3528" s="386">
        <v>0</v>
      </c>
      <c r="Y3528" s="386"/>
      <c r="Z3528" s="379"/>
      <c r="AA3528" s="379"/>
      <c r="AB3528" s="379"/>
      <c r="AC3528" s="379"/>
      <c r="AD3528" s="379"/>
      <c r="AE3528" s="379"/>
      <c r="AF3528" s="379"/>
      <c r="AG3528" s="379"/>
      <c r="AH3528" s="379"/>
      <c r="AI3528" s="379"/>
      <c r="AJ3528" s="390">
        <v>0</v>
      </c>
      <c r="AK3528" s="379"/>
      <c r="AL3528" s="379"/>
      <c r="AM3528" s="379"/>
      <c r="AN3528" s="379"/>
      <c r="AO3528" s="379"/>
      <c r="AP3528" s="379"/>
      <c r="AQ3528" s="379"/>
      <c r="AR3528" s="379"/>
      <c r="AS3528" s="379"/>
      <c r="AT3528" s="379"/>
      <c r="AU3528" s="379"/>
      <c r="AV3528" s="379"/>
      <c r="AW3528" s="379"/>
      <c r="AX3528" s="379"/>
      <c r="AY3528" s="379"/>
      <c r="AZ3528" s="379"/>
      <c r="BA3528" s="379"/>
      <c r="BB3528" s="379"/>
      <c r="BC3528" s="379"/>
      <c r="BD3528" s="379"/>
      <c r="BE3528" s="379"/>
      <c r="BF3528" s="379"/>
      <c r="BG3528" s="379"/>
      <c r="BH3528" s="379"/>
      <c r="BI3528" s="379"/>
      <c r="BJ3528" s="379"/>
      <c r="BK3528" s="379"/>
      <c r="BL3528" s="379"/>
      <c r="BM3528" s="379"/>
      <c r="BN3528" s="379"/>
      <c r="BO3528" s="379"/>
      <c r="BP3528" s="379"/>
      <c r="BQ3528" s="379"/>
      <c r="BR3528" s="379"/>
      <c r="BS3528" s="379"/>
      <c r="BT3528" s="379"/>
      <c r="BU3528" s="379"/>
      <c r="BV3528" s="379"/>
      <c r="BW3528" s="379"/>
      <c r="BX3528" s="379"/>
      <c r="BY3528" s="379"/>
    </row>
    <row r="3529" spans="1:77" s="205" customFormat="1" ht="11.25" customHeight="1">
      <c r="B3529" s="205" t="s">
        <v>291</v>
      </c>
      <c r="C3529" s="207">
        <v>44737</v>
      </c>
      <c r="D3529" s="207">
        <v>44740</v>
      </c>
      <c r="E3529" s="208" t="s">
        <v>2623</v>
      </c>
      <c r="F3529" s="205" t="s">
        <v>2043</v>
      </c>
      <c r="G3529" s="217">
        <v>3748</v>
      </c>
      <c r="H3529" s="205" t="s">
        <v>99</v>
      </c>
      <c r="I3529" s="219" t="s">
        <v>156</v>
      </c>
      <c r="J3529" s="210">
        <v>73906.080000000002</v>
      </c>
      <c r="K3529" s="218"/>
      <c r="L3529" s="210">
        <v>58.47</v>
      </c>
      <c r="M3529" s="210">
        <v>1.07</v>
      </c>
      <c r="N3529" s="223"/>
      <c r="O3529" s="212">
        <v>0.3</v>
      </c>
      <c r="P3529" s="212">
        <v>0.1</v>
      </c>
      <c r="Q3529" s="213">
        <v>0</v>
      </c>
      <c r="R3529" s="205" t="s">
        <v>105</v>
      </c>
      <c r="S3529" s="214" t="s">
        <v>30</v>
      </c>
      <c r="T3529" s="214">
        <v>39</v>
      </c>
      <c r="U3529" s="215" t="s">
        <v>164</v>
      </c>
      <c r="V3529" s="438"/>
      <c r="X3529" s="213">
        <v>0</v>
      </c>
      <c r="Y3529" s="213"/>
      <c r="AF3529" s="230">
        <f>X3529</f>
        <v>0</v>
      </c>
      <c r="AJ3529" s="216"/>
    </row>
    <row r="3530" spans="1:77" s="337" customFormat="1" ht="11.25" customHeight="1">
      <c r="B3530" s="337" t="s">
        <v>291</v>
      </c>
      <c r="C3530" s="349">
        <v>44739</v>
      </c>
      <c r="D3530" s="349">
        <v>44741</v>
      </c>
      <c r="E3530" s="350" t="s">
        <v>2624</v>
      </c>
      <c r="F3530" s="341" t="s">
        <v>601</v>
      </c>
      <c r="G3530" s="342">
        <v>3623</v>
      </c>
      <c r="H3530" s="341" t="s">
        <v>27</v>
      </c>
      <c r="I3530" s="341" t="s">
        <v>156</v>
      </c>
      <c r="J3530" s="343">
        <v>27573.29</v>
      </c>
      <c r="K3530" s="341"/>
      <c r="L3530" s="343">
        <v>22.89</v>
      </c>
      <c r="M3530" s="343">
        <v>22.89</v>
      </c>
      <c r="N3530" s="344"/>
      <c r="O3530" s="345">
        <v>0.2</v>
      </c>
      <c r="P3530" s="355">
        <v>0.1</v>
      </c>
      <c r="Q3530" s="354">
        <v>0</v>
      </c>
      <c r="R3530" s="337" t="s">
        <v>77</v>
      </c>
      <c r="S3530" s="356" t="s">
        <v>41</v>
      </c>
      <c r="T3530" s="356">
        <v>16</v>
      </c>
      <c r="U3530" s="357" t="s">
        <v>164</v>
      </c>
      <c r="V3530" s="434"/>
      <c r="X3530" s="354">
        <v>0</v>
      </c>
      <c r="Y3530" s="354"/>
      <c r="AI3530" s="337">
        <f>X3530</f>
        <v>0</v>
      </c>
      <c r="AJ3530" s="358"/>
      <c r="AK3530" s="369"/>
    </row>
    <row r="3531" spans="1:77" s="337" customFormat="1" ht="11.25" customHeight="1">
      <c r="B3531" s="337" t="s">
        <v>291</v>
      </c>
      <c r="C3531" s="349">
        <v>44733</v>
      </c>
      <c r="D3531" s="349">
        <v>44741</v>
      </c>
      <c r="E3531" s="350" t="s">
        <v>2625</v>
      </c>
      <c r="F3531" s="337" t="s">
        <v>2340</v>
      </c>
      <c r="G3531" s="342">
        <v>4440</v>
      </c>
      <c r="H3531" s="341" t="s">
        <v>99</v>
      </c>
      <c r="I3531" s="353" t="s">
        <v>156</v>
      </c>
      <c r="J3531" s="343">
        <v>18177.900000000001</v>
      </c>
      <c r="K3531" s="341"/>
      <c r="L3531" s="343">
        <v>15.8</v>
      </c>
      <c r="M3531" s="343">
        <v>15.8</v>
      </c>
      <c r="N3531" s="344"/>
      <c r="O3531" s="345">
        <v>0.25</v>
      </c>
      <c r="P3531" s="355">
        <v>0.1</v>
      </c>
      <c r="Q3531" s="354">
        <v>11999.31</v>
      </c>
      <c r="R3531" s="337" t="s">
        <v>281</v>
      </c>
      <c r="S3531" s="356" t="s">
        <v>228</v>
      </c>
      <c r="T3531" s="356">
        <v>58</v>
      </c>
      <c r="U3531" s="357" t="s">
        <v>164</v>
      </c>
      <c r="V3531" s="434"/>
      <c r="X3531" s="354">
        <v>11999.31</v>
      </c>
      <c r="Y3531" s="354"/>
      <c r="AI3531" s="337">
        <v>11999.31</v>
      </c>
      <c r="AJ3531" s="358"/>
      <c r="AK3531" s="369"/>
    </row>
    <row r="3532" spans="1:77" s="205" customFormat="1" ht="11.25" customHeight="1">
      <c r="B3532" s="206" t="s">
        <v>291</v>
      </c>
      <c r="C3532" s="207">
        <v>44738</v>
      </c>
      <c r="D3532" s="207">
        <v>44741</v>
      </c>
      <c r="E3532" s="208" t="s">
        <v>2626</v>
      </c>
      <c r="F3532" s="205" t="s">
        <v>2414</v>
      </c>
      <c r="G3532" s="209" t="s">
        <v>2415</v>
      </c>
      <c r="H3532" s="218" t="s">
        <v>183</v>
      </c>
      <c r="I3532" s="218" t="s">
        <v>2627</v>
      </c>
      <c r="J3532" s="222">
        <v>25320.65</v>
      </c>
      <c r="K3532" s="218"/>
      <c r="L3532" s="222">
        <v>19.98</v>
      </c>
      <c r="M3532" s="222">
        <v>19.98</v>
      </c>
      <c r="N3532" s="223"/>
      <c r="O3532" s="224">
        <v>0.25</v>
      </c>
      <c r="P3532" s="212"/>
      <c r="Q3532" s="213">
        <v>0</v>
      </c>
      <c r="R3532" s="205" t="s">
        <v>29</v>
      </c>
      <c r="S3532" s="214" t="s">
        <v>275</v>
      </c>
      <c r="T3532" s="214">
        <v>21</v>
      </c>
      <c r="U3532" s="215" t="s">
        <v>164</v>
      </c>
      <c r="V3532" s="438"/>
      <c r="X3532" s="213">
        <v>0</v>
      </c>
      <c r="Y3532" s="213"/>
      <c r="AF3532" s="230">
        <f>X3532</f>
        <v>0</v>
      </c>
      <c r="AJ3532" s="216"/>
    </row>
    <row r="3533" spans="1:77" s="379" customFormat="1" ht="11.25" customHeight="1">
      <c r="A3533" s="473"/>
      <c r="B3533" s="486" t="s">
        <v>291</v>
      </c>
      <c r="C3533" s="487"/>
      <c r="D3533" s="487"/>
      <c r="E3533" s="488" t="s">
        <v>2628</v>
      </c>
      <c r="F3533" s="473" t="s">
        <v>721</v>
      </c>
      <c r="G3533" s="489">
        <v>4447</v>
      </c>
      <c r="H3533" s="472" t="s">
        <v>898</v>
      </c>
      <c r="I3533" s="472" t="s">
        <v>958</v>
      </c>
      <c r="J3533" s="477">
        <v>43344</v>
      </c>
      <c r="K3533" s="472"/>
      <c r="L3533" s="477">
        <v>27.09</v>
      </c>
      <c r="M3533" s="477">
        <v>27.09</v>
      </c>
      <c r="N3533" s="478"/>
      <c r="O3533" s="480">
        <v>0.2</v>
      </c>
      <c r="P3533" s="493"/>
      <c r="Q3533" s="492">
        <v>14818.23</v>
      </c>
      <c r="R3533" s="473" t="s">
        <v>42</v>
      </c>
      <c r="S3533" s="481" t="s">
        <v>41</v>
      </c>
      <c r="T3533" s="481">
        <v>79</v>
      </c>
      <c r="U3533" s="494" t="s">
        <v>164</v>
      </c>
      <c r="V3533" s="495"/>
      <c r="W3533" s="473" t="s">
        <v>3955</v>
      </c>
      <c r="X3533" s="492">
        <v>14818.23</v>
      </c>
      <c r="Y3533" s="492"/>
      <c r="Z3533" s="473"/>
      <c r="AA3533" s="473"/>
      <c r="AB3533" s="473"/>
      <c r="AC3533" s="473"/>
      <c r="AD3533" s="473"/>
      <c r="AE3533" s="473"/>
      <c r="AF3533" s="473"/>
      <c r="AG3533" s="473"/>
      <c r="AH3533" s="473"/>
      <c r="AI3533" s="473"/>
      <c r="AJ3533" s="497">
        <v>1869.21</v>
      </c>
      <c r="AK3533" s="498">
        <f>X3533-AJ3533</f>
        <v>12949.02</v>
      </c>
      <c r="AL3533" s="473"/>
      <c r="AM3533" s="473"/>
      <c r="AN3533" s="473"/>
      <c r="AO3533" s="473"/>
      <c r="AP3533" s="473"/>
      <c r="AQ3533" s="473"/>
      <c r="AR3533" s="473"/>
      <c r="AS3533" s="473"/>
      <c r="AT3533" s="473"/>
      <c r="AU3533" s="473"/>
      <c r="AV3533" s="473"/>
      <c r="AW3533" s="473"/>
      <c r="AX3533" s="473"/>
      <c r="AY3533" s="473"/>
      <c r="AZ3533" s="473"/>
      <c r="BA3533" s="473"/>
      <c r="BB3533" s="473"/>
      <c r="BC3533" s="473"/>
      <c r="BD3533" s="473"/>
      <c r="BE3533" s="473"/>
      <c r="BF3533" s="473"/>
      <c r="BG3533" s="473"/>
      <c r="BH3533" s="473"/>
      <c r="BI3533" s="473"/>
      <c r="BJ3533" s="473"/>
      <c r="BK3533" s="473"/>
      <c r="BL3533" s="473"/>
      <c r="BM3533" s="473"/>
      <c r="BN3533" s="473"/>
      <c r="BO3533" s="473"/>
      <c r="BP3533" s="473"/>
      <c r="BQ3533" s="473"/>
      <c r="BR3533" s="473"/>
      <c r="BS3533" s="473"/>
      <c r="BT3533" s="473"/>
      <c r="BU3533" s="473"/>
      <c r="BV3533" s="473"/>
      <c r="BW3533" s="473"/>
      <c r="BX3533" s="473"/>
      <c r="BY3533" s="473"/>
    </row>
    <row r="3534" spans="1:77" s="473" customFormat="1" ht="11.25" customHeight="1">
      <c r="A3534" s="379"/>
      <c r="B3534" s="380" t="s">
        <v>291</v>
      </c>
      <c r="C3534" s="381">
        <v>44741</v>
      </c>
      <c r="D3534" s="381">
        <v>44741</v>
      </c>
      <c r="E3534" s="382" t="s">
        <v>2628</v>
      </c>
      <c r="F3534" s="379" t="s">
        <v>721</v>
      </c>
      <c r="G3534" s="383">
        <v>4447</v>
      </c>
      <c r="H3534" s="394" t="s">
        <v>866</v>
      </c>
      <c r="I3534" s="394" t="s">
        <v>958</v>
      </c>
      <c r="J3534" s="395">
        <v>23030</v>
      </c>
      <c r="K3534" s="394"/>
      <c r="L3534" s="395">
        <v>16.45</v>
      </c>
      <c r="M3534" s="395">
        <v>16.45</v>
      </c>
      <c r="N3534" s="396"/>
      <c r="O3534" s="397">
        <v>0.2</v>
      </c>
      <c r="P3534" s="387"/>
      <c r="Q3534" s="386">
        <v>8345.61</v>
      </c>
      <c r="R3534" s="379" t="s">
        <v>42</v>
      </c>
      <c r="S3534" s="388" t="s">
        <v>41</v>
      </c>
      <c r="T3534" s="388">
        <v>79</v>
      </c>
      <c r="U3534" s="389" t="s">
        <v>164</v>
      </c>
      <c r="V3534" s="433"/>
      <c r="W3534" s="379"/>
      <c r="X3534" s="386">
        <v>8345.61</v>
      </c>
      <c r="Y3534" s="386"/>
      <c r="Z3534" s="379"/>
      <c r="AA3534" s="379"/>
      <c r="AB3534" s="379"/>
      <c r="AC3534" s="379"/>
      <c r="AD3534" s="379"/>
      <c r="AE3534" s="379"/>
      <c r="AF3534" s="379"/>
      <c r="AG3534" s="379"/>
      <c r="AH3534" s="379"/>
      <c r="AI3534" s="379"/>
      <c r="AJ3534" s="416">
        <v>8345.61</v>
      </c>
      <c r="AK3534" s="379"/>
      <c r="AL3534" s="379"/>
      <c r="AM3534" s="379"/>
      <c r="AN3534" s="379"/>
      <c r="AO3534" s="379"/>
      <c r="AP3534" s="379"/>
      <c r="AQ3534" s="379"/>
      <c r="AR3534" s="379"/>
      <c r="AS3534" s="379"/>
      <c r="AT3534" s="379"/>
      <c r="AU3534" s="379"/>
      <c r="AV3534" s="379"/>
      <c r="AW3534" s="379"/>
      <c r="AX3534" s="379"/>
      <c r="AY3534" s="379"/>
      <c r="AZ3534" s="379"/>
      <c r="BA3534" s="379"/>
      <c r="BB3534" s="379"/>
      <c r="BC3534" s="379"/>
      <c r="BD3534" s="379"/>
      <c r="BE3534" s="379"/>
      <c r="BF3534" s="379"/>
      <c r="BG3534" s="379"/>
      <c r="BH3534" s="379"/>
      <c r="BI3534" s="379"/>
      <c r="BJ3534" s="379"/>
      <c r="BK3534" s="379"/>
      <c r="BL3534" s="379"/>
      <c r="BM3534" s="379"/>
      <c r="BN3534" s="379"/>
      <c r="BO3534" s="379"/>
      <c r="BP3534" s="379"/>
      <c r="BQ3534" s="379"/>
      <c r="BR3534" s="379"/>
      <c r="BS3534" s="379"/>
      <c r="BT3534" s="379"/>
      <c r="BU3534" s="379"/>
      <c r="BV3534" s="379"/>
      <c r="BW3534" s="379"/>
      <c r="BX3534" s="379"/>
      <c r="BY3534" s="379"/>
    </row>
    <row r="3535" spans="1:77" s="379" customFormat="1" ht="11.25" customHeight="1">
      <c r="B3535" s="380" t="s">
        <v>291</v>
      </c>
      <c r="C3535" s="381"/>
      <c r="D3535" s="381"/>
      <c r="E3535" s="382" t="s">
        <v>2628</v>
      </c>
      <c r="F3535" s="379" t="s">
        <v>721</v>
      </c>
      <c r="G3535" s="383">
        <v>4447</v>
      </c>
      <c r="H3535" s="394" t="s">
        <v>765</v>
      </c>
      <c r="I3535" s="394" t="s">
        <v>958</v>
      </c>
      <c r="J3535" s="395">
        <v>7370</v>
      </c>
      <c r="K3535" s="394"/>
      <c r="L3535" s="395">
        <v>7.37</v>
      </c>
      <c r="M3535" s="395">
        <v>7.37</v>
      </c>
      <c r="N3535" s="396"/>
      <c r="O3535" s="397">
        <v>0.2</v>
      </c>
      <c r="P3535" s="387"/>
      <c r="Q3535" s="386">
        <v>4350.1000000000004</v>
      </c>
      <c r="R3535" s="379" t="s">
        <v>42</v>
      </c>
      <c r="S3535" s="388" t="s">
        <v>41</v>
      </c>
      <c r="T3535" s="388">
        <v>79</v>
      </c>
      <c r="U3535" s="389" t="s">
        <v>164</v>
      </c>
      <c r="V3535" s="433">
        <v>490.45</v>
      </c>
      <c r="X3535" s="386">
        <v>4350.1000000000004</v>
      </c>
      <c r="Y3535" s="386"/>
      <c r="AJ3535" s="416">
        <v>4350.1000000000004</v>
      </c>
    </row>
    <row r="3536" spans="1:77" s="291" customFormat="1" ht="11.25" customHeight="1">
      <c r="B3536" s="310" t="s">
        <v>291</v>
      </c>
      <c r="C3536" s="292"/>
      <c r="D3536" s="292"/>
      <c r="E3536" s="293" t="s">
        <v>2629</v>
      </c>
      <c r="F3536" s="303" t="s">
        <v>2630</v>
      </c>
      <c r="G3536" s="304" t="s">
        <v>2631</v>
      </c>
      <c r="H3536" s="303" t="s">
        <v>356</v>
      </c>
      <c r="I3536" s="303" t="s">
        <v>888</v>
      </c>
      <c r="J3536" s="305">
        <v>9429.33</v>
      </c>
      <c r="K3536" s="303"/>
      <c r="L3536" s="305">
        <v>12.23</v>
      </c>
      <c r="M3536" s="305">
        <v>12.23</v>
      </c>
      <c r="N3536" s="306">
        <v>2357.3325</v>
      </c>
      <c r="O3536" s="307">
        <v>0.25</v>
      </c>
      <c r="P3536" s="298"/>
      <c r="Q3536" s="297">
        <v>2485.75</v>
      </c>
      <c r="R3536" s="291" t="s">
        <v>285</v>
      </c>
      <c r="S3536" s="299" t="s">
        <v>275</v>
      </c>
      <c r="T3536" s="299">
        <v>21</v>
      </c>
      <c r="U3536" s="300" t="s">
        <v>164</v>
      </c>
      <c r="V3536" s="333"/>
      <c r="X3536" s="297">
        <v>2485.75</v>
      </c>
      <c r="Y3536" s="297"/>
      <c r="AH3536" s="291">
        <f>X3536</f>
        <v>2485.75</v>
      </c>
      <c r="AI3536" s="311"/>
      <c r="AJ3536" s="468"/>
    </row>
    <row r="3537" spans="1:77" s="261" customFormat="1" ht="11.25" customHeight="1">
      <c r="B3537" s="258" t="s">
        <v>291</v>
      </c>
      <c r="C3537" s="259">
        <v>44734</v>
      </c>
      <c r="D3537" s="259">
        <v>44742</v>
      </c>
      <c r="E3537" s="260" t="s">
        <v>2629</v>
      </c>
      <c r="F3537" s="273" t="s">
        <v>2630</v>
      </c>
      <c r="G3537" s="276" t="s">
        <v>2631</v>
      </c>
      <c r="H3537" s="273" t="s">
        <v>192</v>
      </c>
      <c r="I3537" s="273" t="s">
        <v>888</v>
      </c>
      <c r="J3537" s="277">
        <v>27535.14</v>
      </c>
      <c r="K3537" s="273"/>
      <c r="L3537" s="277">
        <v>45.11</v>
      </c>
      <c r="M3537" s="277">
        <v>45.11</v>
      </c>
      <c r="N3537" s="275">
        <v>2753.5144</v>
      </c>
      <c r="O3537" s="278">
        <v>0.25</v>
      </c>
      <c r="P3537" s="266"/>
      <c r="Q3537" s="265">
        <v>0</v>
      </c>
      <c r="R3537" s="261" t="s">
        <v>285</v>
      </c>
      <c r="S3537" s="267" t="s">
        <v>275</v>
      </c>
      <c r="T3537" s="267">
        <v>21</v>
      </c>
      <c r="U3537" s="268" t="s">
        <v>164</v>
      </c>
      <c r="V3537" s="427"/>
      <c r="X3537" s="265">
        <v>0</v>
      </c>
      <c r="Y3537" s="265"/>
      <c r="AG3537" s="261">
        <f>X3537</f>
        <v>0</v>
      </c>
      <c r="AJ3537" s="642"/>
    </row>
    <row r="3538" spans="1:77" s="261" customFormat="1" ht="11.25" customHeight="1">
      <c r="B3538" s="258" t="s">
        <v>291</v>
      </c>
      <c r="C3538" s="259"/>
      <c r="D3538" s="259"/>
      <c r="E3538" s="260" t="s">
        <v>2629</v>
      </c>
      <c r="F3538" s="273" t="s">
        <v>2630</v>
      </c>
      <c r="G3538" s="276" t="s">
        <v>2631</v>
      </c>
      <c r="H3538" s="273" t="s">
        <v>2632</v>
      </c>
      <c r="I3538" s="273" t="s">
        <v>888</v>
      </c>
      <c r="J3538" s="277">
        <v>1738.8</v>
      </c>
      <c r="K3538" s="273"/>
      <c r="L3538" s="277">
        <v>3.36</v>
      </c>
      <c r="M3538" s="277">
        <v>3.36</v>
      </c>
      <c r="N3538" s="275">
        <v>0</v>
      </c>
      <c r="O3538" s="278">
        <v>0.25</v>
      </c>
      <c r="P3538" s="266"/>
      <c r="Q3538" s="265">
        <v>0</v>
      </c>
      <c r="R3538" s="261" t="s">
        <v>285</v>
      </c>
      <c r="S3538" s="267" t="s">
        <v>275</v>
      </c>
      <c r="T3538" s="267">
        <v>21</v>
      </c>
      <c r="U3538" s="268" t="s">
        <v>164</v>
      </c>
      <c r="V3538" s="427"/>
      <c r="X3538" s="265">
        <v>0</v>
      </c>
      <c r="Y3538" s="265"/>
      <c r="AG3538" s="261">
        <f>X3538</f>
        <v>0</v>
      </c>
      <c r="AJ3538" s="642"/>
    </row>
    <row r="3539" spans="1:77" s="618" customFormat="1" ht="11.25" customHeight="1">
      <c r="B3539" s="618" t="s">
        <v>291</v>
      </c>
      <c r="C3539" s="620">
        <v>44714</v>
      </c>
      <c r="D3539" s="620">
        <v>44743</v>
      </c>
      <c r="E3539" s="621" t="s">
        <v>2633</v>
      </c>
      <c r="F3539" s="618" t="s">
        <v>1976</v>
      </c>
      <c r="G3539" s="634" t="s">
        <v>1977</v>
      </c>
      <c r="H3539" s="624" t="s">
        <v>137</v>
      </c>
      <c r="I3539" s="624" t="s">
        <v>111</v>
      </c>
      <c r="J3539" s="625">
        <v>27182.880000000001</v>
      </c>
      <c r="K3539" s="624"/>
      <c r="L3539" s="625">
        <v>30.96</v>
      </c>
      <c r="M3539" s="625">
        <v>30.96</v>
      </c>
      <c r="N3539" s="685">
        <v>6795.72</v>
      </c>
      <c r="O3539" s="687">
        <v>0.25</v>
      </c>
      <c r="P3539" s="628"/>
      <c r="Q3539" s="627">
        <f>N3539-J3539*O3539</f>
        <v>0</v>
      </c>
      <c r="R3539" s="618" t="s">
        <v>285</v>
      </c>
      <c r="S3539" s="629" t="s">
        <v>275</v>
      </c>
      <c r="T3539" s="629">
        <v>89</v>
      </c>
      <c r="U3539" s="631" t="s">
        <v>164</v>
      </c>
      <c r="V3539" s="632"/>
      <c r="X3539" s="627">
        <v>0</v>
      </c>
      <c r="Y3539" s="627"/>
      <c r="AJ3539" s="633"/>
      <c r="AO3539" s="618">
        <v>0</v>
      </c>
    </row>
    <row r="3540" spans="1:77" s="205" customFormat="1" ht="11.25" customHeight="1">
      <c r="B3540" s="205" t="s">
        <v>291</v>
      </c>
      <c r="C3540" s="207">
        <v>44743</v>
      </c>
      <c r="D3540" s="207">
        <v>44743</v>
      </c>
      <c r="E3540" s="208" t="s">
        <v>2634</v>
      </c>
      <c r="F3540" s="218" t="s">
        <v>2635</v>
      </c>
      <c r="G3540" s="220" t="s">
        <v>2636</v>
      </c>
      <c r="H3540" s="218" t="s">
        <v>137</v>
      </c>
      <c r="I3540" s="218" t="s">
        <v>1549</v>
      </c>
      <c r="J3540" s="222">
        <v>34546.5</v>
      </c>
      <c r="K3540" s="218"/>
      <c r="L3540" s="222">
        <v>25.59</v>
      </c>
      <c r="M3540" s="222">
        <v>25.58</v>
      </c>
      <c r="N3540" s="223"/>
      <c r="O3540" s="224">
        <v>0.3</v>
      </c>
      <c r="P3540" s="212"/>
      <c r="Q3540" s="213">
        <v>0</v>
      </c>
      <c r="R3540" s="205" t="s">
        <v>54</v>
      </c>
      <c r="S3540" s="214" t="s">
        <v>51</v>
      </c>
      <c r="T3540" s="214">
        <v>55</v>
      </c>
      <c r="U3540" s="215" t="s">
        <v>164</v>
      </c>
      <c r="V3540" s="438"/>
      <c r="X3540" s="213">
        <v>0</v>
      </c>
      <c r="Y3540" s="213"/>
      <c r="AF3540" s="230">
        <f>X3540</f>
        <v>0</v>
      </c>
      <c r="AJ3540" s="216"/>
    </row>
    <row r="3541" spans="1:77" s="473" customFormat="1" ht="11.25" customHeight="1">
      <c r="B3541" s="486" t="s">
        <v>291</v>
      </c>
      <c r="C3541" s="487">
        <v>44735</v>
      </c>
      <c r="D3541" s="487">
        <v>44743</v>
      </c>
      <c r="E3541" s="488" t="s">
        <v>2637</v>
      </c>
      <c r="F3541" s="473" t="s">
        <v>2012</v>
      </c>
      <c r="G3541" s="489" t="s">
        <v>2013</v>
      </c>
      <c r="H3541" s="473" t="s">
        <v>137</v>
      </c>
      <c r="I3541" s="491" t="s">
        <v>156</v>
      </c>
      <c r="J3541" s="490">
        <v>196233.44</v>
      </c>
      <c r="K3541" s="491"/>
      <c r="L3541" s="490">
        <v>159.38999999999999</v>
      </c>
      <c r="M3541" s="490">
        <v>23.6</v>
      </c>
      <c r="N3541" s="492"/>
      <c r="O3541" s="493">
        <v>0.2</v>
      </c>
      <c r="P3541" s="493">
        <v>0.1</v>
      </c>
      <c r="Q3541" s="492">
        <v>4565.28</v>
      </c>
      <c r="R3541" s="473" t="s">
        <v>29</v>
      </c>
      <c r="S3541" s="481" t="s">
        <v>51</v>
      </c>
      <c r="T3541" s="481">
        <v>52</v>
      </c>
      <c r="U3541" s="494" t="s">
        <v>164</v>
      </c>
      <c r="V3541" s="495"/>
      <c r="X3541" s="492">
        <v>4565.28</v>
      </c>
      <c r="Y3541" s="492"/>
      <c r="AJ3541" s="485"/>
      <c r="AK3541" s="505">
        <v>4565.28</v>
      </c>
    </row>
    <row r="3542" spans="1:77" s="379" customFormat="1" ht="11.25" customHeight="1">
      <c r="B3542" s="380" t="s">
        <v>291</v>
      </c>
      <c r="C3542" s="381">
        <v>44743</v>
      </c>
      <c r="D3542" s="381">
        <v>44743</v>
      </c>
      <c r="E3542" s="382" t="s">
        <v>2638</v>
      </c>
      <c r="F3542" s="379" t="s">
        <v>2429</v>
      </c>
      <c r="G3542" s="383">
        <v>3808</v>
      </c>
      <c r="H3542" s="379" t="s">
        <v>99</v>
      </c>
      <c r="I3542" s="384" t="s">
        <v>888</v>
      </c>
      <c r="J3542" s="385">
        <v>20666.05</v>
      </c>
      <c r="K3542" s="384"/>
      <c r="L3542" s="385">
        <v>20.5</v>
      </c>
      <c r="M3542" s="385">
        <v>20.5</v>
      </c>
      <c r="N3542" s="386"/>
      <c r="O3542" s="387">
        <v>0.15</v>
      </c>
      <c r="P3542" s="387"/>
      <c r="Q3542" s="386">
        <v>0</v>
      </c>
      <c r="R3542" s="379" t="s">
        <v>128</v>
      </c>
      <c r="S3542" s="388" t="s">
        <v>41</v>
      </c>
      <c r="T3542" s="388">
        <v>86</v>
      </c>
      <c r="U3542" s="389" t="s">
        <v>164</v>
      </c>
      <c r="V3542" s="433"/>
      <c r="X3542" s="386">
        <v>0</v>
      </c>
      <c r="Y3542" s="386"/>
      <c r="AJ3542" s="390">
        <v>0</v>
      </c>
    </row>
    <row r="3543" spans="1:77" s="618" customFormat="1" ht="11.25" customHeight="1">
      <c r="B3543" s="619" t="s">
        <v>291</v>
      </c>
      <c r="C3543" s="620">
        <v>44743</v>
      </c>
      <c r="D3543" s="620">
        <v>44743</v>
      </c>
      <c r="E3543" s="621" t="s">
        <v>2639</v>
      </c>
      <c r="F3543" s="618" t="s">
        <v>2640</v>
      </c>
      <c r="G3543" s="634" t="s">
        <v>2641</v>
      </c>
      <c r="H3543" s="618" t="s">
        <v>192</v>
      </c>
      <c r="I3543" s="626" t="s">
        <v>2356</v>
      </c>
      <c r="J3543" s="635">
        <v>42024.639999999999</v>
      </c>
      <c r="K3543" s="626"/>
      <c r="L3543" s="635">
        <v>40.880000000000003</v>
      </c>
      <c r="M3543" s="635">
        <v>40.880000000000003</v>
      </c>
      <c r="N3543" s="627">
        <v>6303.6959999999999</v>
      </c>
      <c r="O3543" s="628">
        <v>0.2</v>
      </c>
      <c r="P3543" s="628"/>
      <c r="Q3543" s="627">
        <v>0</v>
      </c>
      <c r="R3543" s="618" t="s">
        <v>285</v>
      </c>
      <c r="S3543" s="629" t="s">
        <v>275</v>
      </c>
      <c r="T3543" s="629">
        <v>21</v>
      </c>
      <c r="U3543" s="631" t="s">
        <v>164</v>
      </c>
      <c r="V3543" s="632"/>
      <c r="X3543" s="627">
        <v>0</v>
      </c>
      <c r="Y3543" s="627"/>
      <c r="AJ3543" s="633"/>
      <c r="AO3543" s="618">
        <v>0</v>
      </c>
    </row>
    <row r="3544" spans="1:77" s="473" customFormat="1" ht="11.25" customHeight="1">
      <c r="B3544" s="486" t="s">
        <v>291</v>
      </c>
      <c r="C3544" s="487">
        <v>44739</v>
      </c>
      <c r="D3544" s="487">
        <v>44743</v>
      </c>
      <c r="E3544" s="488" t="s">
        <v>2642</v>
      </c>
      <c r="F3544" s="473" t="s">
        <v>2643</v>
      </c>
      <c r="G3544" s="489" t="s">
        <v>2644</v>
      </c>
      <c r="H3544" s="473" t="s">
        <v>393</v>
      </c>
      <c r="I3544" s="491" t="s">
        <v>819</v>
      </c>
      <c r="J3544" s="490">
        <v>125645.6</v>
      </c>
      <c r="K3544" s="491"/>
      <c r="L3544" s="490">
        <v>11.39</v>
      </c>
      <c r="M3544" s="490">
        <v>11.32</v>
      </c>
      <c r="N3544" s="492"/>
      <c r="O3544" s="493">
        <v>0.25</v>
      </c>
      <c r="P3544" s="493">
        <v>0.1</v>
      </c>
      <c r="Q3544" s="492">
        <v>78532.36</v>
      </c>
      <c r="R3544" s="473" t="s">
        <v>77</v>
      </c>
      <c r="S3544" s="481" t="s">
        <v>41</v>
      </c>
      <c r="T3544" s="481">
        <v>17</v>
      </c>
      <c r="U3544" s="494" t="s">
        <v>164</v>
      </c>
      <c r="V3544" s="495"/>
      <c r="X3544" s="492">
        <v>78532.36</v>
      </c>
      <c r="Y3544" s="492"/>
      <c r="AJ3544" s="485"/>
      <c r="AK3544" s="505">
        <v>78532.36</v>
      </c>
    </row>
    <row r="3545" spans="1:77" s="205" customFormat="1" ht="11.25" customHeight="1">
      <c r="A3545" s="507"/>
      <c r="B3545" s="508" t="s">
        <v>291</v>
      </c>
      <c r="C3545" s="509"/>
      <c r="D3545" s="509"/>
      <c r="E3545" s="510" t="s">
        <v>2645</v>
      </c>
      <c r="F3545" s="507" t="s">
        <v>1982</v>
      </c>
      <c r="G3545" s="521" t="s">
        <v>1983</v>
      </c>
      <c r="H3545" s="507" t="s">
        <v>941</v>
      </c>
      <c r="I3545" s="512" t="s">
        <v>33</v>
      </c>
      <c r="J3545" s="513">
        <v>1567.05</v>
      </c>
      <c r="K3545" s="512"/>
      <c r="L3545" s="513">
        <v>3</v>
      </c>
      <c r="M3545" s="513">
        <v>3</v>
      </c>
      <c r="N3545" s="514">
        <v>830.53650000000005</v>
      </c>
      <c r="O3545" s="515">
        <v>0.25</v>
      </c>
      <c r="P3545" s="515"/>
      <c r="Q3545" s="514">
        <v>431.29</v>
      </c>
      <c r="R3545" s="507" t="s">
        <v>281</v>
      </c>
      <c r="S3545" s="516" t="s">
        <v>275</v>
      </c>
      <c r="T3545" s="516">
        <v>89</v>
      </c>
      <c r="U3545" s="517" t="s">
        <v>164</v>
      </c>
      <c r="V3545" s="518"/>
      <c r="W3545" s="507"/>
      <c r="X3545" s="514">
        <v>431.29</v>
      </c>
      <c r="Y3545" s="514"/>
      <c r="Z3545" s="507"/>
      <c r="AA3545" s="507"/>
      <c r="AB3545" s="507"/>
      <c r="AC3545" s="507"/>
      <c r="AD3545" s="507"/>
      <c r="AE3545" s="507"/>
      <c r="AF3545" s="507"/>
      <c r="AG3545" s="507"/>
      <c r="AH3545" s="507"/>
      <c r="AI3545" s="507"/>
      <c r="AJ3545" s="522"/>
      <c r="AK3545" s="507"/>
      <c r="AL3545" s="514">
        <v>431.29</v>
      </c>
      <c r="AM3545" s="507"/>
      <c r="AN3545" s="507"/>
      <c r="AO3545" s="507"/>
      <c r="AP3545" s="507"/>
      <c r="AQ3545" s="507"/>
      <c r="AR3545" s="507"/>
      <c r="AS3545" s="507"/>
      <c r="AT3545" s="507"/>
      <c r="AU3545" s="507"/>
      <c r="AV3545" s="507"/>
      <c r="AW3545" s="507"/>
      <c r="AX3545" s="507"/>
      <c r="AY3545" s="507"/>
      <c r="AZ3545" s="507"/>
      <c r="BA3545" s="507"/>
      <c r="BB3545" s="507"/>
      <c r="BC3545" s="507"/>
      <c r="BD3545" s="507"/>
      <c r="BE3545" s="507"/>
      <c r="BF3545" s="507"/>
      <c r="BG3545" s="507"/>
      <c r="BH3545" s="507"/>
      <c r="BI3545" s="507"/>
      <c r="BJ3545" s="507"/>
      <c r="BK3545" s="507"/>
      <c r="BL3545" s="507"/>
      <c r="BM3545" s="507"/>
      <c r="BN3545" s="507"/>
      <c r="BO3545" s="507"/>
      <c r="BP3545" s="507"/>
      <c r="BQ3545" s="507"/>
      <c r="BR3545" s="507"/>
      <c r="BS3545" s="507"/>
      <c r="BT3545" s="507"/>
      <c r="BU3545" s="507"/>
      <c r="BV3545" s="507"/>
      <c r="BW3545" s="507"/>
      <c r="BX3545" s="507"/>
      <c r="BY3545" s="507"/>
    </row>
    <row r="3546" spans="1:77" s="205" customFormat="1" ht="11.25" customHeight="1">
      <c r="B3546" s="206" t="s">
        <v>291</v>
      </c>
      <c r="C3546" s="207">
        <v>44743</v>
      </c>
      <c r="D3546" s="207">
        <v>44743</v>
      </c>
      <c r="E3546" s="208" t="s">
        <v>2645</v>
      </c>
      <c r="F3546" s="205" t="s">
        <v>1982</v>
      </c>
      <c r="G3546" s="209" t="s">
        <v>1983</v>
      </c>
      <c r="H3546" s="205" t="s">
        <v>163</v>
      </c>
      <c r="I3546" s="219" t="s">
        <v>33</v>
      </c>
      <c r="J3546" s="210">
        <v>6765</v>
      </c>
      <c r="K3546" s="219"/>
      <c r="L3546" s="210">
        <v>10</v>
      </c>
      <c r="M3546" s="210">
        <v>10</v>
      </c>
      <c r="N3546" s="213"/>
      <c r="O3546" s="212">
        <v>0.25</v>
      </c>
      <c r="P3546" s="212"/>
      <c r="Q3546" s="213">
        <v>0</v>
      </c>
      <c r="R3546" s="205" t="s">
        <v>281</v>
      </c>
      <c r="S3546" s="214" t="s">
        <v>275</v>
      </c>
      <c r="T3546" s="214">
        <v>89</v>
      </c>
      <c r="U3546" s="215" t="s">
        <v>164</v>
      </c>
      <c r="V3546" s="438"/>
      <c r="X3546" s="213">
        <v>0</v>
      </c>
      <c r="Y3546" s="213"/>
      <c r="AF3546" s="230">
        <f>X3546</f>
        <v>0</v>
      </c>
      <c r="AJ3546" s="216"/>
    </row>
    <row r="3547" spans="1:77" s="6" customFormat="1" ht="11.25" customHeight="1">
      <c r="A3547" s="379"/>
      <c r="B3547" s="380" t="s">
        <v>291</v>
      </c>
      <c r="C3547" s="381">
        <v>44740</v>
      </c>
      <c r="D3547" s="381">
        <v>44745</v>
      </c>
      <c r="E3547" s="382" t="s">
        <v>2646</v>
      </c>
      <c r="F3547" s="379" t="s">
        <v>844</v>
      </c>
      <c r="G3547" s="383">
        <v>4449</v>
      </c>
      <c r="H3547" s="379" t="s">
        <v>866</v>
      </c>
      <c r="I3547" s="384" t="s">
        <v>888</v>
      </c>
      <c r="J3547" s="385">
        <v>44729.04</v>
      </c>
      <c r="K3547" s="384"/>
      <c r="L3547" s="385">
        <v>38.76</v>
      </c>
      <c r="M3547" s="385">
        <v>38.76</v>
      </c>
      <c r="N3547" s="386"/>
      <c r="O3547" s="387">
        <v>0.25</v>
      </c>
      <c r="P3547" s="387"/>
      <c r="Q3547" s="386">
        <v>11732.65</v>
      </c>
      <c r="R3547" s="379" t="s">
        <v>128</v>
      </c>
      <c r="S3547" s="388" t="s">
        <v>41</v>
      </c>
      <c r="T3547" s="388">
        <v>79</v>
      </c>
      <c r="U3547" s="389" t="s">
        <v>164</v>
      </c>
      <c r="V3547" s="433"/>
      <c r="W3547" s="379"/>
      <c r="X3547" s="386">
        <v>11732.65</v>
      </c>
      <c r="Y3547" s="386"/>
      <c r="Z3547" s="379"/>
      <c r="AA3547" s="379"/>
      <c r="AB3547" s="379"/>
      <c r="AC3547" s="379"/>
      <c r="AD3547" s="379"/>
      <c r="AE3547" s="379"/>
      <c r="AF3547" s="379"/>
      <c r="AG3547" s="379"/>
      <c r="AH3547" s="379"/>
      <c r="AI3547" s="379"/>
      <c r="AJ3547" s="416">
        <v>11732.65</v>
      </c>
      <c r="AK3547" s="379"/>
      <c r="AL3547" s="379"/>
      <c r="AM3547" s="379"/>
      <c r="AN3547" s="379"/>
      <c r="AO3547" s="379"/>
      <c r="AP3547" s="379"/>
      <c r="AQ3547" s="379"/>
      <c r="AR3547" s="379"/>
      <c r="AS3547" s="379"/>
      <c r="AT3547" s="379"/>
      <c r="AU3547" s="379"/>
      <c r="AV3547" s="379"/>
      <c r="AW3547" s="379"/>
      <c r="AX3547" s="379"/>
      <c r="AY3547" s="379"/>
      <c r="AZ3547" s="379"/>
      <c r="BA3547" s="379"/>
      <c r="BB3547" s="379"/>
      <c r="BC3547" s="379"/>
      <c r="BD3547" s="379"/>
      <c r="BE3547" s="379"/>
      <c r="BF3547" s="379"/>
      <c r="BG3547" s="379"/>
      <c r="BH3547" s="379"/>
      <c r="BI3547" s="379"/>
      <c r="BJ3547" s="379"/>
      <c r="BK3547" s="379"/>
      <c r="BL3547" s="379"/>
      <c r="BM3547" s="379"/>
      <c r="BN3547" s="379"/>
      <c r="BO3547" s="379"/>
      <c r="BP3547" s="379"/>
      <c r="BQ3547" s="379"/>
      <c r="BR3547" s="379"/>
      <c r="BS3547" s="379"/>
      <c r="BT3547" s="379"/>
      <c r="BU3547" s="379"/>
      <c r="BV3547" s="379"/>
      <c r="BW3547" s="379"/>
      <c r="BX3547" s="379"/>
      <c r="BY3547" s="379"/>
    </row>
    <row r="3548" spans="1:77" s="261" customFormat="1" ht="11.25" customHeight="1">
      <c r="B3548" s="258" t="s">
        <v>291</v>
      </c>
      <c r="C3548" s="259">
        <v>44745</v>
      </c>
      <c r="D3548" s="259">
        <v>44745</v>
      </c>
      <c r="E3548" s="260" t="s">
        <v>2647</v>
      </c>
      <c r="F3548" s="261" t="s">
        <v>3399</v>
      </c>
      <c r="G3548" s="280">
        <v>4083</v>
      </c>
      <c r="H3548" s="261" t="s">
        <v>898</v>
      </c>
      <c r="I3548" s="264" t="s">
        <v>33</v>
      </c>
      <c r="J3548" s="263">
        <v>6740.94</v>
      </c>
      <c r="K3548" s="264"/>
      <c r="L3548" s="263">
        <v>6.04</v>
      </c>
      <c r="M3548" s="263">
        <v>6.04</v>
      </c>
      <c r="N3548" s="265">
        <f>1513.36+345.98</f>
        <v>1859.34</v>
      </c>
      <c r="O3548" s="266">
        <v>0.15</v>
      </c>
      <c r="P3548" s="266"/>
      <c r="Q3548" s="265">
        <v>0</v>
      </c>
      <c r="R3548" s="261" t="s">
        <v>142</v>
      </c>
      <c r="S3548" s="267" t="s">
        <v>41</v>
      </c>
      <c r="T3548" s="267">
        <v>24</v>
      </c>
      <c r="U3548" s="268" t="s">
        <v>164</v>
      </c>
      <c r="V3548" s="427"/>
      <c r="W3548" s="261" t="s">
        <v>3538</v>
      </c>
      <c r="X3548" s="265">
        <v>0</v>
      </c>
      <c r="Y3548" s="265"/>
      <c r="AG3548" s="261">
        <f>X3548</f>
        <v>0</v>
      </c>
      <c r="AJ3548" s="642"/>
    </row>
    <row r="3549" spans="1:77" s="473" customFormat="1" ht="11.25" customHeight="1">
      <c r="B3549" s="486" t="s">
        <v>291</v>
      </c>
      <c r="C3549" s="487">
        <v>44713</v>
      </c>
      <c r="D3549" s="487">
        <v>44746</v>
      </c>
      <c r="E3549" s="488" t="s">
        <v>2648</v>
      </c>
      <c r="F3549" s="473" t="s">
        <v>2649</v>
      </c>
      <c r="G3549" s="489" t="s">
        <v>2650</v>
      </c>
      <c r="H3549" s="473" t="s">
        <v>192</v>
      </c>
      <c r="I3549" s="491" t="s">
        <v>961</v>
      </c>
      <c r="J3549" s="490">
        <v>65750.41</v>
      </c>
      <c r="K3549" s="491"/>
      <c r="L3549" s="490">
        <v>66.58</v>
      </c>
      <c r="M3549" s="490">
        <v>66.58</v>
      </c>
      <c r="N3549" s="492">
        <v>17095.11</v>
      </c>
      <c r="O3549" s="493">
        <v>0.25</v>
      </c>
      <c r="P3549" s="493"/>
      <c r="Q3549" s="492">
        <v>979.72</v>
      </c>
      <c r="R3549" s="473" t="s">
        <v>29</v>
      </c>
      <c r="S3549" s="481" t="s">
        <v>275</v>
      </c>
      <c r="T3549" s="481">
        <v>21</v>
      </c>
      <c r="U3549" s="494" t="s">
        <v>164</v>
      </c>
      <c r="V3549" s="495"/>
      <c r="X3549" s="492">
        <v>979.72</v>
      </c>
      <c r="Y3549" s="492"/>
      <c r="AJ3549" s="485"/>
      <c r="AK3549" s="505">
        <v>979.72</v>
      </c>
    </row>
    <row r="3550" spans="1:77" s="473" customFormat="1" ht="11.25" customHeight="1">
      <c r="B3550" s="486" t="s">
        <v>291</v>
      </c>
      <c r="C3550" s="487"/>
      <c r="D3550" s="487"/>
      <c r="E3550" s="488" t="s">
        <v>2648</v>
      </c>
      <c r="F3550" s="473" t="s">
        <v>2649</v>
      </c>
      <c r="G3550" s="489" t="s">
        <v>2650</v>
      </c>
      <c r="H3550" s="473" t="s">
        <v>684</v>
      </c>
      <c r="I3550" s="491" t="s">
        <v>961</v>
      </c>
      <c r="J3550" s="490">
        <v>22635.84</v>
      </c>
      <c r="K3550" s="491"/>
      <c r="L3550" s="490">
        <v>25.84</v>
      </c>
      <c r="M3550" s="490">
        <v>25.84</v>
      </c>
      <c r="N3550" s="492">
        <v>11913.6</v>
      </c>
      <c r="O3550" s="493">
        <v>0.25</v>
      </c>
      <c r="P3550" s="493"/>
      <c r="Q3550" s="492">
        <v>297.83999999999997</v>
      </c>
      <c r="R3550" s="473" t="s">
        <v>29</v>
      </c>
      <c r="S3550" s="481" t="s">
        <v>275</v>
      </c>
      <c r="T3550" s="481">
        <v>21</v>
      </c>
      <c r="U3550" s="494" t="s">
        <v>164</v>
      </c>
      <c r="V3550" s="495"/>
      <c r="X3550" s="492">
        <v>297.83999999999997</v>
      </c>
      <c r="Y3550" s="492"/>
      <c r="AJ3550" s="485"/>
      <c r="AK3550" s="505">
        <v>297.83999999999997</v>
      </c>
    </row>
    <row r="3551" spans="1:77" s="379" customFormat="1" ht="11.25" customHeight="1">
      <c r="B3551" s="380" t="s">
        <v>291</v>
      </c>
      <c r="C3551" s="381">
        <v>44746</v>
      </c>
      <c r="D3551" s="381">
        <v>44746</v>
      </c>
      <c r="E3551" s="382" t="s">
        <v>2651</v>
      </c>
      <c r="F3551" s="379" t="s">
        <v>2652</v>
      </c>
      <c r="G3551" s="383" t="s">
        <v>2653</v>
      </c>
      <c r="H3551" s="379" t="s">
        <v>99</v>
      </c>
      <c r="I3551" s="384" t="s">
        <v>2654</v>
      </c>
      <c r="J3551" s="385">
        <v>61055.5</v>
      </c>
      <c r="K3551" s="384"/>
      <c r="L3551" s="385">
        <v>55</v>
      </c>
      <c r="M3551" s="385">
        <v>55</v>
      </c>
      <c r="N3551" s="386">
        <v>14042.764999999999</v>
      </c>
      <c r="O3551" s="387">
        <v>0.25</v>
      </c>
      <c r="P3551" s="387"/>
      <c r="Q3551" s="386">
        <v>0</v>
      </c>
      <c r="R3551" s="379" t="s">
        <v>281</v>
      </c>
      <c r="S3551" s="388" t="s">
        <v>228</v>
      </c>
      <c r="T3551" s="388">
        <v>18</v>
      </c>
      <c r="U3551" s="389" t="s">
        <v>164</v>
      </c>
      <c r="V3551" s="433"/>
      <c r="X3551" s="386">
        <v>0</v>
      </c>
      <c r="Y3551" s="386"/>
      <c r="AJ3551" s="390">
        <v>0</v>
      </c>
    </row>
    <row r="3552" spans="1:77" s="379" customFormat="1" ht="11.25" customHeight="1">
      <c r="B3552" s="380" t="s">
        <v>291</v>
      </c>
      <c r="C3552" s="381"/>
      <c r="D3552" s="381"/>
      <c r="E3552" s="382" t="s">
        <v>2651</v>
      </c>
      <c r="F3552" s="379" t="s">
        <v>2652</v>
      </c>
      <c r="G3552" s="383" t="s">
        <v>2653</v>
      </c>
      <c r="H3552" s="379" t="s">
        <v>140</v>
      </c>
      <c r="I3552" s="384" t="s">
        <v>2654</v>
      </c>
      <c r="J3552" s="385">
        <v>18354</v>
      </c>
      <c r="K3552" s="384"/>
      <c r="L3552" s="385">
        <v>14</v>
      </c>
      <c r="M3552" s="385">
        <v>14</v>
      </c>
      <c r="N3552" s="386">
        <v>2202.48</v>
      </c>
      <c r="O3552" s="387">
        <v>0.25</v>
      </c>
      <c r="P3552" s="387"/>
      <c r="Q3552" s="386">
        <v>0</v>
      </c>
      <c r="R3552" s="379" t="s">
        <v>281</v>
      </c>
      <c r="S3552" s="388" t="s">
        <v>228</v>
      </c>
      <c r="T3552" s="388">
        <v>18</v>
      </c>
      <c r="U3552" s="389" t="s">
        <v>164</v>
      </c>
      <c r="V3552" s="433"/>
      <c r="X3552" s="386">
        <v>0</v>
      </c>
      <c r="Y3552" s="386"/>
      <c r="AJ3552" s="390">
        <v>0</v>
      </c>
    </row>
    <row r="3553" spans="1:77" s="379" customFormat="1" ht="11.25" customHeight="1">
      <c r="B3553" s="380" t="s">
        <v>291</v>
      </c>
      <c r="C3553" s="381"/>
      <c r="D3553" s="381"/>
      <c r="E3553" s="382" t="s">
        <v>2651</v>
      </c>
      <c r="F3553" s="379" t="s">
        <v>2652</v>
      </c>
      <c r="G3553" s="383" t="s">
        <v>2653</v>
      </c>
      <c r="H3553" s="379" t="s">
        <v>765</v>
      </c>
      <c r="I3553" s="384" t="s">
        <v>2654</v>
      </c>
      <c r="J3553" s="385">
        <v>18704</v>
      </c>
      <c r="K3553" s="384"/>
      <c r="L3553" s="385">
        <v>16</v>
      </c>
      <c r="M3553" s="385">
        <v>16</v>
      </c>
      <c r="N3553" s="386">
        <v>0</v>
      </c>
      <c r="O3553" s="387">
        <v>0.25</v>
      </c>
      <c r="P3553" s="387"/>
      <c r="Q3553" s="386">
        <v>0</v>
      </c>
      <c r="R3553" s="379" t="s">
        <v>281</v>
      </c>
      <c r="S3553" s="388" t="s">
        <v>228</v>
      </c>
      <c r="T3553" s="388">
        <v>18</v>
      </c>
      <c r="U3553" s="389" t="s">
        <v>164</v>
      </c>
      <c r="V3553" s="433"/>
      <c r="X3553" s="386">
        <v>0</v>
      </c>
      <c r="Y3553" s="386"/>
      <c r="AJ3553" s="390">
        <v>0</v>
      </c>
    </row>
    <row r="3554" spans="1:77" s="291" customFormat="1" ht="11.25" customHeight="1">
      <c r="B3554" s="310" t="s">
        <v>290</v>
      </c>
      <c r="C3554" s="292">
        <v>44741</v>
      </c>
      <c r="D3554" s="292">
        <v>44746</v>
      </c>
      <c r="E3554" s="293" t="s">
        <v>2655</v>
      </c>
      <c r="F3554" s="291" t="s">
        <v>2656</v>
      </c>
      <c r="G3554" s="294" t="s">
        <v>2657</v>
      </c>
      <c r="H3554" s="291" t="s">
        <v>99</v>
      </c>
      <c r="I3554" s="295" t="s">
        <v>699</v>
      </c>
      <c r="J3554" s="296">
        <v>17640</v>
      </c>
      <c r="K3554" s="295"/>
      <c r="L3554" s="296">
        <v>28.5</v>
      </c>
      <c r="M3554" s="296">
        <v>7</v>
      </c>
      <c r="N3554" s="297"/>
      <c r="O3554" s="298">
        <v>0.3</v>
      </c>
      <c r="P3554" s="298">
        <v>0.05</v>
      </c>
      <c r="Q3554" s="297">
        <v>0</v>
      </c>
      <c r="R3554" s="291" t="s">
        <v>285</v>
      </c>
      <c r="S3554" s="299" t="s">
        <v>275</v>
      </c>
      <c r="T3554" s="299">
        <v>21</v>
      </c>
      <c r="U3554" s="300" t="s">
        <v>164</v>
      </c>
      <c r="V3554" s="333"/>
      <c r="X3554" s="297">
        <v>0</v>
      </c>
      <c r="Y3554" s="297"/>
      <c r="AH3554" s="291">
        <f>X3554</f>
        <v>0</v>
      </c>
      <c r="AI3554" s="311"/>
      <c r="AJ3554" s="468"/>
    </row>
    <row r="3555" spans="1:77" s="205" customFormat="1" ht="11.25" customHeight="1">
      <c r="B3555" s="206" t="s">
        <v>291</v>
      </c>
      <c r="C3555" s="207">
        <v>44746</v>
      </c>
      <c r="D3555" s="207">
        <v>44746</v>
      </c>
      <c r="E3555" s="208" t="s">
        <v>2658</v>
      </c>
      <c r="F3555" s="205" t="s">
        <v>2659</v>
      </c>
      <c r="G3555" s="209">
        <v>4559</v>
      </c>
      <c r="H3555" s="205" t="s">
        <v>99</v>
      </c>
      <c r="I3555" s="219" t="s">
        <v>33</v>
      </c>
      <c r="J3555" s="210">
        <v>64606.5</v>
      </c>
      <c r="K3555" s="219"/>
      <c r="L3555" s="210">
        <v>61.53</v>
      </c>
      <c r="M3555" s="210">
        <v>61.53</v>
      </c>
      <c r="N3555" s="213"/>
      <c r="O3555" s="212">
        <v>0.25</v>
      </c>
      <c r="P3555" s="212"/>
      <c r="Q3555" s="213">
        <v>0</v>
      </c>
      <c r="R3555" s="205" t="s">
        <v>281</v>
      </c>
      <c r="S3555" s="214" t="s">
        <v>228</v>
      </c>
      <c r="T3555" s="214">
        <v>58</v>
      </c>
      <c r="U3555" s="215" t="s">
        <v>164</v>
      </c>
      <c r="V3555" s="438"/>
      <c r="X3555" s="213">
        <v>0</v>
      </c>
      <c r="Y3555" s="213"/>
      <c r="AF3555" s="230">
        <f>X3555</f>
        <v>0</v>
      </c>
      <c r="AJ3555" s="216"/>
    </row>
    <row r="3556" spans="1:77" s="205" customFormat="1" ht="11.25" customHeight="1">
      <c r="B3556" s="206" t="s">
        <v>291</v>
      </c>
      <c r="C3556" s="207"/>
      <c r="D3556" s="207"/>
      <c r="E3556" s="208" t="s">
        <v>2658</v>
      </c>
      <c r="F3556" s="205" t="s">
        <v>2659</v>
      </c>
      <c r="G3556" s="209">
        <v>4559</v>
      </c>
      <c r="H3556" s="205" t="s">
        <v>27</v>
      </c>
      <c r="I3556" s="219" t="s">
        <v>33</v>
      </c>
      <c r="J3556" s="210">
        <v>22733.040000000001</v>
      </c>
      <c r="K3556" s="219"/>
      <c r="L3556" s="210">
        <v>23.98</v>
      </c>
      <c r="M3556" s="210">
        <v>23.98</v>
      </c>
      <c r="N3556" s="213"/>
      <c r="O3556" s="212">
        <v>0.25</v>
      </c>
      <c r="P3556" s="212"/>
      <c r="Q3556" s="213">
        <v>0</v>
      </c>
      <c r="R3556" s="205" t="s">
        <v>281</v>
      </c>
      <c r="S3556" s="214" t="s">
        <v>228</v>
      </c>
      <c r="T3556" s="214">
        <v>58</v>
      </c>
      <c r="U3556" s="215" t="s">
        <v>164</v>
      </c>
      <c r="V3556" s="438"/>
      <c r="X3556" s="213">
        <v>0</v>
      </c>
      <c r="Y3556" s="213"/>
      <c r="AF3556" s="230">
        <f>X3556</f>
        <v>0</v>
      </c>
      <c r="AJ3556" s="216"/>
    </row>
    <row r="3557" spans="1:77" s="337" customFormat="1" ht="11.25" customHeight="1">
      <c r="B3557" s="338" t="s">
        <v>291</v>
      </c>
      <c r="C3557" s="349"/>
      <c r="D3557" s="349"/>
      <c r="E3557" s="350" t="s">
        <v>2658</v>
      </c>
      <c r="F3557" s="337" t="s">
        <v>2659</v>
      </c>
      <c r="G3557" s="351">
        <v>4559</v>
      </c>
      <c r="H3557" s="337" t="s">
        <v>765</v>
      </c>
      <c r="I3557" s="353" t="s">
        <v>33</v>
      </c>
      <c r="J3557" s="352">
        <v>69784.740000000005</v>
      </c>
      <c r="K3557" s="353"/>
      <c r="L3557" s="352">
        <v>62.28</v>
      </c>
      <c r="M3557" s="352">
        <v>62.28</v>
      </c>
      <c r="N3557" s="354">
        <v>27913.896000000001</v>
      </c>
      <c r="O3557" s="355">
        <v>0.25</v>
      </c>
      <c r="P3557" s="355"/>
      <c r="Q3557" s="354">
        <v>0</v>
      </c>
      <c r="R3557" s="337" t="s">
        <v>281</v>
      </c>
      <c r="S3557" s="356" t="s">
        <v>228</v>
      </c>
      <c r="T3557" s="356">
        <v>58</v>
      </c>
      <c r="U3557" s="357" t="s">
        <v>164</v>
      </c>
      <c r="V3557" s="434"/>
      <c r="X3557" s="354">
        <v>0</v>
      </c>
      <c r="Y3557" s="354"/>
      <c r="AI3557" s="337">
        <v>0</v>
      </c>
      <c r="AJ3557" s="358"/>
      <c r="AK3557" s="369"/>
    </row>
    <row r="3558" spans="1:77" s="473" customFormat="1" ht="11.25" customHeight="1">
      <c r="A3558" s="546"/>
      <c r="B3558" s="559" t="s">
        <v>291</v>
      </c>
      <c r="C3558" s="547"/>
      <c r="D3558" s="547"/>
      <c r="E3558" s="548" t="s">
        <v>2660</v>
      </c>
      <c r="F3558" s="546" t="s">
        <v>2661</v>
      </c>
      <c r="G3558" s="549" t="s">
        <v>2662</v>
      </c>
      <c r="H3558" s="546" t="s">
        <v>137</v>
      </c>
      <c r="I3558" s="551" t="s">
        <v>961</v>
      </c>
      <c r="J3558" s="550">
        <v>4487.59</v>
      </c>
      <c r="K3558" s="551"/>
      <c r="L3558" s="550">
        <v>5.89</v>
      </c>
      <c r="M3558" s="550">
        <v>5.89</v>
      </c>
      <c r="N3558" s="552">
        <v>1705.2840000000001</v>
      </c>
      <c r="O3558" s="553">
        <v>0.25</v>
      </c>
      <c r="P3558" s="553"/>
      <c r="Q3558" s="552">
        <v>780.57</v>
      </c>
      <c r="R3558" s="546" t="s">
        <v>281</v>
      </c>
      <c r="S3558" s="554" t="s">
        <v>275</v>
      </c>
      <c r="T3558" s="554">
        <v>89</v>
      </c>
      <c r="U3558" s="555" t="s">
        <v>164</v>
      </c>
      <c r="V3558" s="556"/>
      <c r="W3558" s="546"/>
      <c r="X3558" s="552">
        <v>780.57</v>
      </c>
      <c r="Y3558" s="552"/>
      <c r="Z3558" s="546"/>
      <c r="AA3558" s="546"/>
      <c r="AB3558" s="546"/>
      <c r="AC3558" s="546"/>
      <c r="AD3558" s="546"/>
      <c r="AE3558" s="546"/>
      <c r="AF3558" s="546"/>
      <c r="AG3558" s="546"/>
      <c r="AH3558" s="546"/>
      <c r="AI3558" s="546"/>
      <c r="AJ3558" s="557"/>
      <c r="AK3558" s="546"/>
      <c r="AL3558" s="546"/>
      <c r="AM3558" s="577">
        <v>780.57</v>
      </c>
      <c r="AN3558" s="546"/>
      <c r="AO3558" s="546"/>
      <c r="AP3558" s="546"/>
      <c r="AQ3558" s="546"/>
      <c r="AR3558" s="546"/>
      <c r="AS3558" s="546"/>
      <c r="AT3558" s="546"/>
      <c r="AU3558" s="546"/>
      <c r="AV3558" s="546"/>
      <c r="AW3558" s="546"/>
      <c r="AX3558" s="546"/>
      <c r="AY3558" s="546"/>
      <c r="AZ3558" s="546"/>
      <c r="BA3558" s="546"/>
      <c r="BB3558" s="546"/>
      <c r="BC3558" s="546"/>
      <c r="BD3558" s="546"/>
      <c r="BE3558" s="546"/>
      <c r="BF3558" s="546"/>
      <c r="BG3558" s="546"/>
      <c r="BH3558" s="546"/>
      <c r="BI3558" s="546"/>
      <c r="BJ3558" s="546"/>
      <c r="BK3558" s="546"/>
      <c r="BL3558" s="546"/>
      <c r="BM3558" s="546"/>
      <c r="BN3558" s="546"/>
      <c r="BO3558" s="546"/>
      <c r="BP3558" s="546"/>
      <c r="BQ3558" s="546"/>
      <c r="BR3558" s="546"/>
      <c r="BS3558" s="546"/>
      <c r="BT3558" s="546"/>
      <c r="BU3558" s="546"/>
      <c r="BV3558" s="546"/>
      <c r="BW3558" s="546"/>
      <c r="BX3558" s="546"/>
      <c r="BY3558" s="546"/>
    </row>
    <row r="3559" spans="1:77" s="546" customFormat="1" ht="11.25" customHeight="1">
      <c r="B3559" s="559" t="s">
        <v>291</v>
      </c>
      <c r="C3559" s="547"/>
      <c r="D3559" s="547"/>
      <c r="E3559" s="548" t="s">
        <v>2660</v>
      </c>
      <c r="F3559" s="546" t="s">
        <v>2661</v>
      </c>
      <c r="G3559" s="549" t="s">
        <v>2662</v>
      </c>
      <c r="H3559" s="546" t="s">
        <v>310</v>
      </c>
      <c r="I3559" s="551" t="s">
        <v>961</v>
      </c>
      <c r="J3559" s="550">
        <v>8995.4699999999993</v>
      </c>
      <c r="K3559" s="551"/>
      <c r="L3559" s="550">
        <v>5.89</v>
      </c>
      <c r="M3559" s="550">
        <v>5.89</v>
      </c>
      <c r="N3559" s="552">
        <v>6926.51</v>
      </c>
      <c r="O3559" s="553">
        <v>0.25</v>
      </c>
      <c r="P3559" s="553"/>
      <c r="Q3559" s="552">
        <v>4549.01</v>
      </c>
      <c r="R3559" s="546" t="s">
        <v>281</v>
      </c>
      <c r="S3559" s="554" t="s">
        <v>275</v>
      </c>
      <c r="T3559" s="554">
        <v>89</v>
      </c>
      <c r="U3559" s="555" t="s">
        <v>164</v>
      </c>
      <c r="V3559" s="556"/>
      <c r="X3559" s="552">
        <v>4549.01</v>
      </c>
      <c r="Y3559" s="552"/>
      <c r="AJ3559" s="557"/>
      <c r="AM3559" s="577">
        <v>4549.01</v>
      </c>
    </row>
    <row r="3560" spans="1:77" s="546" customFormat="1" ht="11.25" customHeight="1">
      <c r="B3560" s="559" t="s">
        <v>291</v>
      </c>
      <c r="C3560" s="547"/>
      <c r="D3560" s="547"/>
      <c r="E3560" s="548" t="s">
        <v>2660</v>
      </c>
      <c r="F3560" s="546" t="s">
        <v>2661</v>
      </c>
      <c r="G3560" s="549" t="s">
        <v>2662</v>
      </c>
      <c r="H3560" s="546" t="s">
        <v>765</v>
      </c>
      <c r="I3560" s="551" t="s">
        <v>961</v>
      </c>
      <c r="J3560" s="550">
        <v>25839.97</v>
      </c>
      <c r="K3560" s="551"/>
      <c r="L3560" s="550">
        <v>31.14</v>
      </c>
      <c r="M3560" s="550">
        <v>31.14</v>
      </c>
      <c r="N3560" s="552">
        <v>15762.382900000001</v>
      </c>
      <c r="O3560" s="553">
        <v>0.25</v>
      </c>
      <c r="P3560" s="553"/>
      <c r="Q3560" s="552">
        <v>8469.77</v>
      </c>
      <c r="R3560" s="546" t="s">
        <v>281</v>
      </c>
      <c r="S3560" s="554" t="s">
        <v>275</v>
      </c>
      <c r="T3560" s="554">
        <v>89</v>
      </c>
      <c r="U3560" s="555" t="s">
        <v>164</v>
      </c>
      <c r="V3560" s="556"/>
      <c r="X3560" s="552">
        <v>8469.77</v>
      </c>
      <c r="Y3560" s="552"/>
      <c r="AJ3560" s="557"/>
      <c r="AM3560" s="577">
        <v>8469.77</v>
      </c>
    </row>
    <row r="3561" spans="1:77" s="546" customFormat="1" ht="11.25" customHeight="1">
      <c r="A3561" s="473"/>
      <c r="B3561" s="486" t="s">
        <v>291</v>
      </c>
      <c r="C3561" s="487">
        <v>44746</v>
      </c>
      <c r="D3561" s="487">
        <v>44746</v>
      </c>
      <c r="E3561" s="488" t="s">
        <v>2660</v>
      </c>
      <c r="F3561" s="473" t="s">
        <v>2661</v>
      </c>
      <c r="G3561" s="489" t="s">
        <v>2662</v>
      </c>
      <c r="H3561" s="473" t="s">
        <v>99</v>
      </c>
      <c r="I3561" s="491" t="s">
        <v>961</v>
      </c>
      <c r="J3561" s="490">
        <v>57945.96</v>
      </c>
      <c r="K3561" s="491"/>
      <c r="L3561" s="490">
        <v>60.74</v>
      </c>
      <c r="M3561" s="490">
        <v>60.74</v>
      </c>
      <c r="N3561" s="492">
        <v>3476.7570000000001</v>
      </c>
      <c r="O3561" s="493">
        <v>0.25</v>
      </c>
      <c r="P3561" s="493"/>
      <c r="Q3561" s="492">
        <v>0</v>
      </c>
      <c r="R3561" s="473" t="s">
        <v>281</v>
      </c>
      <c r="S3561" s="481" t="s">
        <v>275</v>
      </c>
      <c r="T3561" s="481">
        <v>89</v>
      </c>
      <c r="U3561" s="494" t="s">
        <v>164</v>
      </c>
      <c r="V3561" s="495"/>
      <c r="W3561" s="473"/>
      <c r="X3561" s="492">
        <v>0</v>
      </c>
      <c r="Y3561" s="492"/>
      <c r="Z3561" s="473"/>
      <c r="AA3561" s="473"/>
      <c r="AB3561" s="473"/>
      <c r="AC3561" s="473"/>
      <c r="AD3561" s="473"/>
      <c r="AE3561" s="473"/>
      <c r="AF3561" s="473"/>
      <c r="AG3561" s="473"/>
      <c r="AH3561" s="473"/>
      <c r="AI3561" s="473"/>
      <c r="AJ3561" s="485"/>
      <c r="AK3561" s="473">
        <v>0</v>
      </c>
      <c r="AL3561" s="473"/>
      <c r="AM3561" s="473"/>
      <c r="AN3561" s="473"/>
      <c r="AO3561" s="473"/>
      <c r="AP3561" s="473"/>
      <c r="AQ3561" s="473"/>
      <c r="AR3561" s="473"/>
      <c r="AS3561" s="473"/>
      <c r="AT3561" s="473"/>
      <c r="AU3561" s="473"/>
      <c r="AV3561" s="473"/>
      <c r="AW3561" s="473"/>
      <c r="AX3561" s="473"/>
      <c r="AY3561" s="473"/>
      <c r="AZ3561" s="473"/>
      <c r="BA3561" s="473"/>
      <c r="BB3561" s="473"/>
      <c r="BC3561" s="473"/>
      <c r="BD3561" s="473"/>
      <c r="BE3561" s="473"/>
      <c r="BF3561" s="473"/>
      <c r="BG3561" s="473"/>
      <c r="BH3561" s="473"/>
      <c r="BI3561" s="473"/>
      <c r="BJ3561" s="473"/>
      <c r="BK3561" s="473"/>
      <c r="BL3561" s="473"/>
      <c r="BM3561" s="473"/>
      <c r="BN3561" s="473"/>
      <c r="BO3561" s="473"/>
      <c r="BP3561" s="473"/>
      <c r="BQ3561" s="473"/>
      <c r="BR3561" s="473"/>
      <c r="BS3561" s="473"/>
      <c r="BT3561" s="473"/>
      <c r="BU3561" s="473"/>
      <c r="BV3561" s="473"/>
      <c r="BW3561" s="473"/>
      <c r="BX3561" s="473"/>
      <c r="BY3561" s="473"/>
    </row>
    <row r="3562" spans="1:77" s="379" customFormat="1" ht="11.25" customHeight="1">
      <c r="B3562" s="380" t="s">
        <v>291</v>
      </c>
      <c r="C3562" s="381">
        <v>44729</v>
      </c>
      <c r="D3562" s="381">
        <v>44747</v>
      </c>
      <c r="E3562" s="382" t="s">
        <v>2663</v>
      </c>
      <c r="F3562" s="379" t="s">
        <v>2664</v>
      </c>
      <c r="G3562" s="383">
        <v>4595</v>
      </c>
      <c r="H3562" s="379" t="s">
        <v>99</v>
      </c>
      <c r="I3562" s="384" t="s">
        <v>1022</v>
      </c>
      <c r="J3562" s="385">
        <v>20393.97</v>
      </c>
      <c r="K3562" s="384"/>
      <c r="L3562" s="385">
        <v>13.52</v>
      </c>
      <c r="M3562" s="385">
        <v>13.52</v>
      </c>
      <c r="N3562" s="386">
        <v>8565.4689120000003</v>
      </c>
      <c r="O3562" s="387">
        <v>0.25</v>
      </c>
      <c r="P3562" s="387"/>
      <c r="Q3562" s="386">
        <v>3427.62</v>
      </c>
      <c r="R3562" s="379" t="s">
        <v>281</v>
      </c>
      <c r="S3562" s="388" t="s">
        <v>228</v>
      </c>
      <c r="T3562" s="388">
        <v>89</v>
      </c>
      <c r="U3562" s="389" t="s">
        <v>164</v>
      </c>
      <c r="V3562" s="433"/>
      <c r="X3562" s="386">
        <v>3427.62</v>
      </c>
      <c r="Y3562" s="386"/>
      <c r="AJ3562" s="416">
        <v>3427.62</v>
      </c>
    </row>
    <row r="3563" spans="1:77" s="6" customFormat="1" ht="11.25" customHeight="1">
      <c r="A3563" s="6" t="s">
        <v>3893</v>
      </c>
      <c r="B3563" s="145" t="s">
        <v>291</v>
      </c>
      <c r="C3563" s="4">
        <v>44747</v>
      </c>
      <c r="D3563" s="4">
        <v>44747</v>
      </c>
      <c r="E3563" s="5" t="s">
        <v>2672</v>
      </c>
      <c r="F3563" s="6" t="s">
        <v>1944</v>
      </c>
      <c r="G3563" s="79">
        <v>3959</v>
      </c>
      <c r="H3563" s="6" t="s">
        <v>163</v>
      </c>
      <c r="I3563" s="9" t="s">
        <v>33</v>
      </c>
      <c r="J3563" s="24">
        <v>14785.77</v>
      </c>
      <c r="K3563" s="9"/>
      <c r="L3563" s="24">
        <v>10.83</v>
      </c>
      <c r="M3563" s="24">
        <v>10.83</v>
      </c>
      <c r="N3563" s="8">
        <v>1119</v>
      </c>
      <c r="O3563" s="11">
        <v>0.15</v>
      </c>
      <c r="P3563" s="11"/>
      <c r="Q3563" s="142">
        <v>4278.62</v>
      </c>
      <c r="R3563" s="6" t="s">
        <v>105</v>
      </c>
      <c r="S3563" s="3" t="s">
        <v>30</v>
      </c>
      <c r="T3563" s="3">
        <v>39</v>
      </c>
      <c r="U3563" s="7"/>
      <c r="V3563" s="436"/>
      <c r="X3563" s="8"/>
      <c r="Y3563" s="8"/>
      <c r="AJ3563" s="80"/>
    </row>
    <row r="3564" spans="1:77" s="618" customFormat="1" ht="11.25" customHeight="1">
      <c r="B3564" s="619" t="s">
        <v>291</v>
      </c>
      <c r="C3564" s="620">
        <v>44746</v>
      </c>
      <c r="D3564" s="620">
        <v>44747</v>
      </c>
      <c r="E3564" s="621" t="s">
        <v>2673</v>
      </c>
      <c r="F3564" s="624" t="s">
        <v>1478</v>
      </c>
      <c r="G3564" s="623">
        <v>3656</v>
      </c>
      <c r="H3564" s="618" t="s">
        <v>99</v>
      </c>
      <c r="I3564" s="626" t="s">
        <v>888</v>
      </c>
      <c r="J3564" s="635">
        <v>357749.53</v>
      </c>
      <c r="K3564" s="626"/>
      <c r="L3564" s="635">
        <v>180.91</v>
      </c>
      <c r="M3564" s="635">
        <v>180.91</v>
      </c>
      <c r="N3564" s="627">
        <f>8807.38+164.13+9714.46+1710.53+10134.68+9778.73+1493.01+8023.7+22057.03</f>
        <v>71883.649999999994</v>
      </c>
      <c r="O3564" s="628">
        <v>0.2</v>
      </c>
      <c r="P3564" s="628"/>
      <c r="Q3564" s="627">
        <v>0</v>
      </c>
      <c r="R3564" s="624" t="s">
        <v>54</v>
      </c>
      <c r="S3564" s="630" t="s">
        <v>715</v>
      </c>
      <c r="T3564" s="630">
        <v>55</v>
      </c>
      <c r="U3564" s="631" t="s">
        <v>164</v>
      </c>
      <c r="V3564" s="632"/>
      <c r="X3564" s="627">
        <v>0</v>
      </c>
      <c r="Y3564" s="627"/>
      <c r="AJ3564" s="633"/>
      <c r="AO3564" s="618">
        <v>0</v>
      </c>
    </row>
    <row r="3565" spans="1:77" s="205" customFormat="1" ht="11.25" customHeight="1">
      <c r="B3565" s="206" t="s">
        <v>291</v>
      </c>
      <c r="C3565" s="207">
        <v>44747</v>
      </c>
      <c r="D3565" s="207">
        <v>44747</v>
      </c>
      <c r="E3565" s="208" t="s">
        <v>2674</v>
      </c>
      <c r="F3565" s="205" t="s">
        <v>107</v>
      </c>
      <c r="G3565" s="209">
        <v>3657</v>
      </c>
      <c r="H3565" s="205" t="s">
        <v>137</v>
      </c>
      <c r="I3565" s="219" t="s">
        <v>111</v>
      </c>
      <c r="J3565" s="210">
        <v>21669.9</v>
      </c>
      <c r="K3565" s="219"/>
      <c r="L3565" s="210">
        <v>21</v>
      </c>
      <c r="M3565" s="210">
        <v>21</v>
      </c>
      <c r="N3565" s="213">
        <v>11918.44</v>
      </c>
      <c r="O3565" s="212">
        <v>0.15</v>
      </c>
      <c r="P3565" s="212"/>
      <c r="Q3565" s="213">
        <v>0</v>
      </c>
      <c r="R3565" s="205" t="s">
        <v>54</v>
      </c>
      <c r="S3565" s="214" t="s">
        <v>51</v>
      </c>
      <c r="T3565" s="214">
        <v>55</v>
      </c>
      <c r="U3565" s="215" t="s">
        <v>164</v>
      </c>
      <c r="V3565" s="438"/>
      <c r="X3565" s="213">
        <v>0</v>
      </c>
      <c r="Y3565" s="213"/>
      <c r="AF3565" s="230">
        <f>X3565</f>
        <v>0</v>
      </c>
      <c r="AJ3565" s="216"/>
    </row>
    <row r="3566" spans="1:77" s="618" customFormat="1" ht="11.25" customHeight="1">
      <c r="B3566" s="619" t="s">
        <v>291</v>
      </c>
      <c r="C3566" s="620">
        <v>44738</v>
      </c>
      <c r="D3566" s="620">
        <v>44739</v>
      </c>
      <c r="E3566" s="621" t="s">
        <v>2675</v>
      </c>
      <c r="F3566" s="618" t="s">
        <v>2676</v>
      </c>
      <c r="G3566" s="634">
        <v>1010</v>
      </c>
      <c r="H3566" s="618" t="s">
        <v>866</v>
      </c>
      <c r="I3566" s="626" t="s">
        <v>156</v>
      </c>
      <c r="J3566" s="635">
        <v>18023.400000000001</v>
      </c>
      <c r="K3566" s="626"/>
      <c r="L3566" s="635">
        <v>11.78</v>
      </c>
      <c r="M3566" s="635">
        <v>3</v>
      </c>
      <c r="N3566" s="627">
        <v>3183</v>
      </c>
      <c r="O3566" s="628">
        <v>0.25</v>
      </c>
      <c r="P3566" s="628">
        <v>0.1</v>
      </c>
      <c r="Q3566" s="627">
        <v>0</v>
      </c>
      <c r="R3566" s="618" t="s">
        <v>105</v>
      </c>
      <c r="S3566" s="629" t="s">
        <v>275</v>
      </c>
      <c r="T3566" s="629">
        <v>39</v>
      </c>
      <c r="U3566" s="631" t="s">
        <v>164</v>
      </c>
      <c r="V3566" s="632"/>
      <c r="X3566" s="627">
        <v>0</v>
      </c>
      <c r="Y3566" s="627"/>
      <c r="AJ3566" s="633"/>
      <c r="AO3566" s="618">
        <v>0</v>
      </c>
    </row>
    <row r="3567" spans="1:77" s="291" customFormat="1" ht="11.25" customHeight="1">
      <c r="B3567" s="310" t="s">
        <v>291</v>
      </c>
      <c r="C3567" s="292">
        <v>44732</v>
      </c>
      <c r="D3567" s="292">
        <v>44748</v>
      </c>
      <c r="E3567" s="293" t="s">
        <v>2687</v>
      </c>
      <c r="F3567" s="291" t="s">
        <v>812</v>
      </c>
      <c r="G3567" s="294" t="s">
        <v>813</v>
      </c>
      <c r="H3567" s="291" t="s">
        <v>814</v>
      </c>
      <c r="I3567" s="295" t="s">
        <v>156</v>
      </c>
      <c r="J3567" s="296">
        <v>21910</v>
      </c>
      <c r="K3567" s="295"/>
      <c r="L3567" s="296">
        <v>20</v>
      </c>
      <c r="M3567" s="296">
        <v>19.75</v>
      </c>
      <c r="N3567" s="297">
        <f>3237.2</f>
        <v>3237.2</v>
      </c>
      <c r="O3567" s="298">
        <v>0.15</v>
      </c>
      <c r="P3567" s="298">
        <v>0.1</v>
      </c>
      <c r="Q3567" s="297">
        <v>0</v>
      </c>
      <c r="R3567" s="291" t="s">
        <v>112</v>
      </c>
      <c r="S3567" s="299" t="s">
        <v>113</v>
      </c>
      <c r="T3567" s="299">
        <v>64</v>
      </c>
      <c r="U3567" s="300" t="s">
        <v>164</v>
      </c>
      <c r="V3567" s="333"/>
      <c r="X3567" s="297">
        <v>0</v>
      </c>
      <c r="Y3567" s="297"/>
      <c r="AH3567" s="291">
        <f>X3567</f>
        <v>0</v>
      </c>
      <c r="AI3567" s="311"/>
      <c r="AJ3567" s="468"/>
    </row>
    <row r="3568" spans="1:77" s="473" customFormat="1" ht="11.25" customHeight="1">
      <c r="B3568" s="486" t="s">
        <v>291</v>
      </c>
      <c r="C3568" s="487">
        <v>44743</v>
      </c>
      <c r="D3568" s="487">
        <v>44748</v>
      </c>
      <c r="E3568" s="488" t="s">
        <v>2688</v>
      </c>
      <c r="F3568" s="473" t="s">
        <v>2689</v>
      </c>
      <c r="G3568" s="489" t="s">
        <v>2701</v>
      </c>
      <c r="H3568" s="473" t="s">
        <v>163</v>
      </c>
      <c r="I3568" s="491" t="s">
        <v>33</v>
      </c>
      <c r="J3568" s="490">
        <v>18656</v>
      </c>
      <c r="K3568" s="491"/>
      <c r="L3568" s="490">
        <v>20</v>
      </c>
      <c r="M3568" s="490">
        <v>25</v>
      </c>
      <c r="N3568" s="492"/>
      <c r="O3568" s="493">
        <v>0.25</v>
      </c>
      <c r="P3568" s="493"/>
      <c r="Q3568" s="492">
        <v>0</v>
      </c>
      <c r="R3568" s="473" t="s">
        <v>35</v>
      </c>
      <c r="S3568" s="481" t="s">
        <v>41</v>
      </c>
      <c r="T3568" s="481">
        <v>16</v>
      </c>
      <c r="U3568" s="494" t="s">
        <v>164</v>
      </c>
      <c r="V3568" s="495"/>
      <c r="X3568" s="492">
        <v>0</v>
      </c>
      <c r="Y3568" s="492"/>
      <c r="AJ3568" s="485"/>
      <c r="AK3568" s="473">
        <v>0</v>
      </c>
    </row>
    <row r="3569" spans="2:77" s="473" customFormat="1" ht="11.25" customHeight="1">
      <c r="B3569" s="486" t="s">
        <v>291</v>
      </c>
      <c r="C3569" s="487"/>
      <c r="D3569" s="487"/>
      <c r="E3569" s="488" t="s">
        <v>2688</v>
      </c>
      <c r="F3569" s="473" t="s">
        <v>2689</v>
      </c>
      <c r="G3569" s="489" t="s">
        <v>2701</v>
      </c>
      <c r="H3569" s="473" t="s">
        <v>99</v>
      </c>
      <c r="I3569" s="491" t="s">
        <v>33</v>
      </c>
      <c r="J3569" s="490">
        <v>4104</v>
      </c>
      <c r="K3569" s="491"/>
      <c r="L3569" s="490">
        <v>4</v>
      </c>
      <c r="M3569" s="490">
        <v>4.3</v>
      </c>
      <c r="N3569" s="492"/>
      <c r="O3569" s="493">
        <v>0.25</v>
      </c>
      <c r="P3569" s="493"/>
      <c r="Q3569" s="492">
        <v>0</v>
      </c>
      <c r="R3569" s="473" t="s">
        <v>35</v>
      </c>
      <c r="S3569" s="481" t="s">
        <v>41</v>
      </c>
      <c r="T3569" s="481">
        <v>16</v>
      </c>
      <c r="U3569" s="494" t="s">
        <v>164</v>
      </c>
      <c r="V3569" s="495"/>
      <c r="X3569" s="492">
        <v>0</v>
      </c>
      <c r="Y3569" s="492"/>
      <c r="AJ3569" s="485"/>
      <c r="AK3569" s="473">
        <v>0</v>
      </c>
    </row>
    <row r="3570" spans="2:77" s="205" customFormat="1" ht="11.25" customHeight="1">
      <c r="B3570" s="206" t="s">
        <v>291</v>
      </c>
      <c r="C3570" s="207">
        <v>44744</v>
      </c>
      <c r="D3570" s="207">
        <v>44748</v>
      </c>
      <c r="E3570" s="208" t="s">
        <v>2690</v>
      </c>
      <c r="F3570" s="205" t="s">
        <v>2691</v>
      </c>
      <c r="G3570" s="209">
        <v>3559</v>
      </c>
      <c r="H3570" s="205" t="s">
        <v>99</v>
      </c>
      <c r="I3570" s="219" t="s">
        <v>33</v>
      </c>
      <c r="J3570" s="210">
        <v>82997.48</v>
      </c>
      <c r="K3570" s="219"/>
      <c r="L3570" s="210">
        <v>69.13</v>
      </c>
      <c r="M3570" s="210">
        <v>69.13</v>
      </c>
      <c r="N3570" s="213"/>
      <c r="O3570" s="212">
        <v>0.15</v>
      </c>
      <c r="P3570" s="212"/>
      <c r="Q3570" s="213">
        <v>0</v>
      </c>
      <c r="R3570" s="205" t="s">
        <v>29</v>
      </c>
      <c r="S3570" s="214" t="s">
        <v>30</v>
      </c>
      <c r="T3570" s="214">
        <v>70</v>
      </c>
      <c r="U3570" s="215" t="s">
        <v>164</v>
      </c>
      <c r="V3570" s="438"/>
      <c r="X3570" s="213">
        <v>0</v>
      </c>
      <c r="Y3570" s="213"/>
      <c r="AF3570" s="230">
        <f>X3570</f>
        <v>0</v>
      </c>
      <c r="AJ3570" s="216"/>
    </row>
    <row r="3571" spans="2:77" s="205" customFormat="1" ht="11.25" customHeight="1">
      <c r="B3571" s="206" t="s">
        <v>291</v>
      </c>
      <c r="C3571" s="207"/>
      <c r="D3571" s="207"/>
      <c r="E3571" s="208" t="s">
        <v>2690</v>
      </c>
      <c r="F3571" s="205" t="s">
        <v>2691</v>
      </c>
      <c r="G3571" s="209">
        <v>3559</v>
      </c>
      <c r="H3571" s="205" t="s">
        <v>137</v>
      </c>
      <c r="I3571" s="219" t="s">
        <v>33</v>
      </c>
      <c r="J3571" s="210">
        <v>17788.68</v>
      </c>
      <c r="K3571" s="219"/>
      <c r="L3571" s="210">
        <v>18.2</v>
      </c>
      <c r="M3571" s="210">
        <v>18.2</v>
      </c>
      <c r="N3571" s="213"/>
      <c r="O3571" s="212">
        <v>0.15</v>
      </c>
      <c r="P3571" s="212"/>
      <c r="Q3571" s="213">
        <v>0</v>
      </c>
      <c r="R3571" s="205" t="s">
        <v>29</v>
      </c>
      <c r="S3571" s="214" t="s">
        <v>30</v>
      </c>
      <c r="T3571" s="214">
        <v>70</v>
      </c>
      <c r="U3571" s="215" t="s">
        <v>164</v>
      </c>
      <c r="V3571" s="438"/>
      <c r="X3571" s="213">
        <v>0</v>
      </c>
      <c r="Y3571" s="213"/>
      <c r="AF3571" s="230">
        <f>X3571</f>
        <v>0</v>
      </c>
      <c r="AJ3571" s="216"/>
    </row>
    <row r="3572" spans="2:77" s="337" customFormat="1" ht="11.25" customHeight="1">
      <c r="B3572" s="338" t="s">
        <v>291</v>
      </c>
      <c r="C3572" s="349">
        <v>44748</v>
      </c>
      <c r="D3572" s="349">
        <v>44748</v>
      </c>
      <c r="E3572" s="350" t="s">
        <v>2692</v>
      </c>
      <c r="F3572" s="337" t="s">
        <v>2354</v>
      </c>
      <c r="G3572" s="351" t="s">
        <v>2355</v>
      </c>
      <c r="H3572" s="337" t="s">
        <v>941</v>
      </c>
      <c r="I3572" s="353" t="s">
        <v>2356</v>
      </c>
      <c r="J3572" s="352">
        <v>3522.38</v>
      </c>
      <c r="K3572" s="353"/>
      <c r="L3572" s="352">
        <v>7.75</v>
      </c>
      <c r="M3572" s="352">
        <v>7.75</v>
      </c>
      <c r="N3572" s="354">
        <v>1056.7125000000001</v>
      </c>
      <c r="O3572" s="355">
        <v>0.25</v>
      </c>
      <c r="P3572" s="355"/>
      <c r="Q3572" s="354">
        <v>1177.03</v>
      </c>
      <c r="R3572" s="337" t="s">
        <v>285</v>
      </c>
      <c r="S3572" s="356" t="s">
        <v>275</v>
      </c>
      <c r="T3572" s="356">
        <v>21</v>
      </c>
      <c r="U3572" s="357" t="s">
        <v>164</v>
      </c>
      <c r="V3572" s="434"/>
      <c r="X3572" s="354">
        <v>1177.03</v>
      </c>
      <c r="Y3572" s="354"/>
      <c r="AI3572" s="337">
        <f>X3572</f>
        <v>1177.03</v>
      </c>
      <c r="AJ3572" s="358"/>
      <c r="AK3572" s="369"/>
    </row>
    <row r="3573" spans="2:77" s="337" customFormat="1" ht="11.25" customHeight="1">
      <c r="B3573" s="338" t="s">
        <v>291</v>
      </c>
      <c r="C3573" s="349"/>
      <c r="D3573" s="349"/>
      <c r="E3573" s="350" t="s">
        <v>2692</v>
      </c>
      <c r="F3573" s="337" t="s">
        <v>2354</v>
      </c>
      <c r="G3573" s="351" t="s">
        <v>2355</v>
      </c>
      <c r="H3573" s="337" t="s">
        <v>295</v>
      </c>
      <c r="I3573" s="353" t="s">
        <v>2356</v>
      </c>
      <c r="J3573" s="352">
        <v>5129.72</v>
      </c>
      <c r="K3573" s="353"/>
      <c r="L3573" s="352">
        <v>7.79</v>
      </c>
      <c r="M3573" s="352">
        <v>7.79</v>
      </c>
      <c r="N3573" s="354">
        <v>2051.886</v>
      </c>
      <c r="O3573" s="355">
        <v>0.25</v>
      </c>
      <c r="P3573" s="355"/>
      <c r="Q3573" s="354">
        <v>750.76</v>
      </c>
      <c r="R3573" s="337" t="s">
        <v>285</v>
      </c>
      <c r="S3573" s="356" t="s">
        <v>275</v>
      </c>
      <c r="T3573" s="356">
        <v>21</v>
      </c>
      <c r="U3573" s="357" t="s">
        <v>164</v>
      </c>
      <c r="V3573" s="434"/>
      <c r="X3573" s="354">
        <v>750.76</v>
      </c>
      <c r="Y3573" s="354"/>
      <c r="AI3573" s="337">
        <f>X3573</f>
        <v>750.76</v>
      </c>
      <c r="AJ3573" s="358"/>
      <c r="AK3573" s="369"/>
    </row>
    <row r="3574" spans="2:77" s="353" customFormat="1" ht="11.25" customHeight="1">
      <c r="B3574" s="361" t="s">
        <v>291</v>
      </c>
      <c r="C3574" s="362"/>
      <c r="D3574" s="362"/>
      <c r="E3574" s="363" t="s">
        <v>2692</v>
      </c>
      <c r="F3574" s="353" t="s">
        <v>2354</v>
      </c>
      <c r="G3574" s="351" t="s">
        <v>2355</v>
      </c>
      <c r="H3574" s="353" t="s">
        <v>99</v>
      </c>
      <c r="I3574" s="353" t="s">
        <v>2356</v>
      </c>
      <c r="J3574" s="352">
        <v>10588.74</v>
      </c>
      <c r="L3574" s="352">
        <v>14.82</v>
      </c>
      <c r="M3574" s="352">
        <v>14.82</v>
      </c>
      <c r="N3574" s="360">
        <v>3706.0596300000002</v>
      </c>
      <c r="O3574" s="364">
        <v>0.25</v>
      </c>
      <c r="P3574" s="364"/>
      <c r="Q3574" s="354">
        <v>2301.06</v>
      </c>
      <c r="R3574" s="353" t="s">
        <v>285</v>
      </c>
      <c r="S3574" s="356" t="s">
        <v>275</v>
      </c>
      <c r="T3574" s="365">
        <v>21</v>
      </c>
      <c r="U3574" s="366" t="s">
        <v>164</v>
      </c>
      <c r="V3574" s="458"/>
      <c r="X3574" s="354">
        <v>2301.06</v>
      </c>
      <c r="Y3574" s="360"/>
      <c r="AI3574" s="337">
        <f>X3574</f>
        <v>2301.06</v>
      </c>
      <c r="AJ3574" s="358"/>
      <c r="AK3574" s="369"/>
      <c r="AL3574" s="337"/>
      <c r="AM3574" s="337"/>
      <c r="AN3574" s="337"/>
      <c r="AO3574" s="337"/>
      <c r="AP3574" s="337"/>
      <c r="AQ3574" s="337"/>
      <c r="AR3574" s="337"/>
      <c r="AS3574" s="337"/>
      <c r="AT3574" s="337"/>
      <c r="AU3574" s="337"/>
      <c r="AV3574" s="337"/>
      <c r="AW3574" s="337"/>
      <c r="AX3574" s="337"/>
      <c r="AY3574" s="337"/>
      <c r="AZ3574" s="337"/>
      <c r="BA3574" s="337"/>
      <c r="BB3574" s="337"/>
      <c r="BC3574" s="337"/>
      <c r="BD3574" s="337"/>
      <c r="BE3574" s="337"/>
      <c r="BF3574" s="337"/>
      <c r="BG3574" s="337"/>
      <c r="BH3574" s="337"/>
      <c r="BI3574" s="337"/>
      <c r="BJ3574" s="337"/>
      <c r="BK3574" s="337"/>
      <c r="BL3574" s="337"/>
      <c r="BM3574" s="337"/>
      <c r="BN3574" s="337"/>
      <c r="BO3574" s="337"/>
      <c r="BP3574" s="337"/>
      <c r="BQ3574" s="337"/>
      <c r="BR3574" s="337"/>
      <c r="BS3574" s="337"/>
      <c r="BT3574" s="337"/>
      <c r="BU3574" s="337"/>
      <c r="BV3574" s="337"/>
      <c r="BW3574" s="337"/>
      <c r="BX3574" s="337"/>
      <c r="BY3574" s="337"/>
    </row>
    <row r="3575" spans="2:77" s="261" customFormat="1" ht="11.25" customHeight="1">
      <c r="B3575" s="286" t="s">
        <v>291</v>
      </c>
      <c r="C3575" s="259">
        <v>44744</v>
      </c>
      <c r="D3575" s="259">
        <v>44748</v>
      </c>
      <c r="E3575" s="260" t="s">
        <v>2693</v>
      </c>
      <c r="F3575" s="261" t="s">
        <v>2694</v>
      </c>
      <c r="G3575" s="262" t="s">
        <v>880</v>
      </c>
      <c r="H3575" s="261" t="s">
        <v>99</v>
      </c>
      <c r="I3575" s="264" t="s">
        <v>33</v>
      </c>
      <c r="J3575" s="263">
        <v>91753.47</v>
      </c>
      <c r="K3575" s="264"/>
      <c r="L3575" s="263">
        <v>78.11</v>
      </c>
      <c r="M3575" s="263">
        <v>78</v>
      </c>
      <c r="N3575" s="265"/>
      <c r="O3575" s="287">
        <v>0.25</v>
      </c>
      <c r="P3575" s="266"/>
      <c r="Q3575" s="265">
        <v>0</v>
      </c>
      <c r="R3575" s="261" t="s">
        <v>54</v>
      </c>
      <c r="S3575" s="267" t="s">
        <v>882</v>
      </c>
      <c r="T3575" s="267">
        <v>77</v>
      </c>
      <c r="U3575" s="268" t="s">
        <v>164</v>
      </c>
      <c r="V3575" s="427"/>
      <c r="X3575" s="265">
        <v>0</v>
      </c>
      <c r="Y3575" s="265"/>
      <c r="AG3575" s="261">
        <f>X3575</f>
        <v>0</v>
      </c>
      <c r="AJ3575" s="642"/>
    </row>
    <row r="3576" spans="2:77" s="353" customFormat="1" ht="11.25" customHeight="1">
      <c r="B3576" s="361" t="s">
        <v>291</v>
      </c>
      <c r="C3576" s="362">
        <v>44743</v>
      </c>
      <c r="D3576" s="362">
        <v>44747</v>
      </c>
      <c r="E3576" s="363" t="s">
        <v>2695</v>
      </c>
      <c r="F3576" s="353" t="s">
        <v>1769</v>
      </c>
      <c r="G3576" s="371">
        <v>4463</v>
      </c>
      <c r="H3576" s="353" t="s">
        <v>140</v>
      </c>
      <c r="I3576" s="353" t="s">
        <v>888</v>
      </c>
      <c r="J3576" s="352">
        <v>29772.94</v>
      </c>
      <c r="L3576" s="352">
        <v>16.829999999999998</v>
      </c>
      <c r="M3576" s="352">
        <v>24.36</v>
      </c>
      <c r="N3576" s="360">
        <v>14886.47</v>
      </c>
      <c r="O3576" s="364">
        <v>0.2</v>
      </c>
      <c r="P3576" s="364"/>
      <c r="Q3576" s="354">
        <v>8987.02</v>
      </c>
      <c r="R3576" s="353" t="s">
        <v>46</v>
      </c>
      <c r="S3576" s="365" t="s">
        <v>65</v>
      </c>
      <c r="T3576" s="365">
        <v>14</v>
      </c>
      <c r="U3576" s="366" t="s">
        <v>164</v>
      </c>
      <c r="V3576" s="458"/>
      <c r="X3576" s="354">
        <v>8987.02</v>
      </c>
      <c r="Y3576" s="360"/>
      <c r="AI3576" s="354">
        <v>8987.02</v>
      </c>
      <c r="AJ3576" s="358"/>
      <c r="AK3576" s="369"/>
      <c r="AL3576" s="337"/>
      <c r="AM3576" s="337"/>
      <c r="AN3576" s="337"/>
      <c r="AO3576" s="337"/>
      <c r="AP3576" s="337"/>
      <c r="AQ3576" s="337"/>
      <c r="AR3576" s="337"/>
      <c r="AS3576" s="337"/>
      <c r="AT3576" s="337"/>
      <c r="AU3576" s="337"/>
      <c r="AV3576" s="337"/>
      <c r="AW3576" s="337"/>
      <c r="AX3576" s="337"/>
      <c r="AY3576" s="337"/>
      <c r="AZ3576" s="337"/>
      <c r="BA3576" s="337"/>
      <c r="BB3576" s="337"/>
      <c r="BC3576" s="337"/>
      <c r="BD3576" s="337"/>
      <c r="BE3576" s="337"/>
      <c r="BF3576" s="337"/>
      <c r="BG3576" s="337"/>
      <c r="BH3576" s="337"/>
      <c r="BI3576" s="337"/>
      <c r="BJ3576" s="337"/>
      <c r="BK3576" s="337"/>
      <c r="BL3576" s="337"/>
      <c r="BM3576" s="337"/>
      <c r="BN3576" s="337"/>
      <c r="BO3576" s="337"/>
      <c r="BP3576" s="337"/>
      <c r="BQ3576" s="337"/>
      <c r="BR3576" s="337"/>
      <c r="BS3576" s="337"/>
      <c r="BT3576" s="337"/>
      <c r="BU3576" s="337"/>
      <c r="BV3576" s="337"/>
      <c r="BW3576" s="337"/>
      <c r="BX3576" s="337"/>
      <c r="BY3576" s="337"/>
    </row>
    <row r="3577" spans="2:77" s="337" customFormat="1" ht="11" customHeight="1">
      <c r="B3577" s="361" t="s">
        <v>291</v>
      </c>
      <c r="C3577" s="349"/>
      <c r="D3577" s="349"/>
      <c r="E3577" s="350" t="s">
        <v>2695</v>
      </c>
      <c r="F3577" s="337" t="s">
        <v>1769</v>
      </c>
      <c r="G3577" s="351">
        <v>4463</v>
      </c>
      <c r="H3577" s="337" t="s">
        <v>295</v>
      </c>
      <c r="I3577" s="353" t="s">
        <v>888</v>
      </c>
      <c r="J3577" s="352">
        <v>26757.65</v>
      </c>
      <c r="K3577" s="353"/>
      <c r="L3577" s="352">
        <v>24.35</v>
      </c>
      <c r="M3577" s="352">
        <v>16.829999999999998</v>
      </c>
      <c r="N3577" s="354">
        <v>13378.83</v>
      </c>
      <c r="O3577" s="364">
        <v>0.2</v>
      </c>
      <c r="P3577" s="355"/>
      <c r="Q3577" s="354">
        <v>5750.51</v>
      </c>
      <c r="R3577" s="353" t="s">
        <v>46</v>
      </c>
      <c r="S3577" s="365" t="s">
        <v>65</v>
      </c>
      <c r="T3577" s="365">
        <v>14</v>
      </c>
      <c r="U3577" s="357" t="s">
        <v>164</v>
      </c>
      <c r="V3577" s="434"/>
      <c r="X3577" s="354">
        <v>5750.51</v>
      </c>
      <c r="Y3577" s="354"/>
      <c r="AI3577" s="354">
        <v>5750.51</v>
      </c>
      <c r="AJ3577" s="358"/>
      <c r="AK3577" s="369"/>
    </row>
    <row r="3578" spans="2:77" s="337" customFormat="1" ht="11.25" customHeight="1">
      <c r="B3578" s="361" t="s">
        <v>291</v>
      </c>
      <c r="C3578" s="349"/>
      <c r="D3578" s="349"/>
      <c r="E3578" s="350" t="s">
        <v>2695</v>
      </c>
      <c r="F3578" s="337" t="s">
        <v>1769</v>
      </c>
      <c r="G3578" s="351">
        <v>4463</v>
      </c>
      <c r="H3578" s="337" t="s">
        <v>99</v>
      </c>
      <c r="I3578" s="353" t="s">
        <v>888</v>
      </c>
      <c r="J3578" s="352">
        <v>120234.04</v>
      </c>
      <c r="K3578" s="353"/>
      <c r="L3578" s="352">
        <v>81.87</v>
      </c>
      <c r="M3578" s="352">
        <v>81.87</v>
      </c>
      <c r="N3578" s="354">
        <v>24046.81</v>
      </c>
      <c r="O3578" s="364">
        <v>0.2</v>
      </c>
      <c r="P3578" s="355"/>
      <c r="Q3578" s="354">
        <v>12594.19</v>
      </c>
      <c r="R3578" s="353" t="s">
        <v>46</v>
      </c>
      <c r="S3578" s="365" t="s">
        <v>65</v>
      </c>
      <c r="T3578" s="365">
        <v>14</v>
      </c>
      <c r="U3578" s="357" t="s">
        <v>164</v>
      </c>
      <c r="V3578" s="434"/>
      <c r="X3578" s="354">
        <v>12594.19</v>
      </c>
      <c r="Y3578" s="354"/>
      <c r="AI3578" s="354">
        <v>12594.19</v>
      </c>
      <c r="AJ3578" s="358"/>
      <c r="AK3578" s="369"/>
    </row>
    <row r="3579" spans="2:77" s="337" customFormat="1" ht="11.25" customHeight="1">
      <c r="B3579" s="361" t="s">
        <v>291</v>
      </c>
      <c r="C3579" s="349"/>
      <c r="D3579" s="349"/>
      <c r="E3579" s="350" t="s">
        <v>2695</v>
      </c>
      <c r="F3579" s="337" t="s">
        <v>1769</v>
      </c>
      <c r="G3579" s="351">
        <v>4463</v>
      </c>
      <c r="H3579" s="337" t="s">
        <v>137</v>
      </c>
      <c r="I3579" s="353" t="s">
        <v>888</v>
      </c>
      <c r="J3579" s="352">
        <v>15812.55</v>
      </c>
      <c r="K3579" s="353"/>
      <c r="L3579" s="352">
        <v>14.31</v>
      </c>
      <c r="M3579" s="352">
        <v>14.31</v>
      </c>
      <c r="N3579" s="354">
        <v>5407.89</v>
      </c>
      <c r="O3579" s="364">
        <v>0.2</v>
      </c>
      <c r="P3579" s="355"/>
      <c r="Q3579" s="354">
        <v>5407.89</v>
      </c>
      <c r="R3579" s="353" t="s">
        <v>46</v>
      </c>
      <c r="S3579" s="365" t="s">
        <v>65</v>
      </c>
      <c r="T3579" s="365">
        <v>14</v>
      </c>
      <c r="U3579" s="357" t="s">
        <v>164</v>
      </c>
      <c r="V3579" s="434"/>
      <c r="X3579" s="354">
        <v>5407.89</v>
      </c>
      <c r="Y3579" s="354"/>
      <c r="AI3579" s="354">
        <v>5407.89</v>
      </c>
      <c r="AJ3579" s="358"/>
      <c r="AK3579" s="369"/>
    </row>
    <row r="3580" spans="2:77" s="261" customFormat="1" ht="11.25" customHeight="1">
      <c r="B3580" s="286" t="s">
        <v>291</v>
      </c>
      <c r="C3580" s="259"/>
      <c r="D3580" s="259"/>
      <c r="E3580" s="260" t="s">
        <v>2695</v>
      </c>
      <c r="F3580" s="261" t="s">
        <v>1769</v>
      </c>
      <c r="G3580" s="262">
        <v>4463</v>
      </c>
      <c r="H3580" s="261" t="s">
        <v>27</v>
      </c>
      <c r="I3580" s="264" t="s">
        <v>888</v>
      </c>
      <c r="J3580" s="263">
        <v>29763.59</v>
      </c>
      <c r="K3580" s="264"/>
      <c r="L3580" s="263">
        <v>27.86</v>
      </c>
      <c r="M3580" s="263">
        <v>27.86</v>
      </c>
      <c r="N3580" s="265">
        <v>2976.36</v>
      </c>
      <c r="O3580" s="287">
        <v>0.2</v>
      </c>
      <c r="P3580" s="266"/>
      <c r="Q3580" s="265">
        <v>0</v>
      </c>
      <c r="R3580" s="264" t="s">
        <v>46</v>
      </c>
      <c r="S3580" s="288" t="s">
        <v>65</v>
      </c>
      <c r="T3580" s="288">
        <v>14</v>
      </c>
      <c r="U3580" s="268" t="s">
        <v>164</v>
      </c>
      <c r="V3580" s="427"/>
      <c r="X3580" s="265">
        <v>0</v>
      </c>
      <c r="Y3580" s="265"/>
      <c r="AG3580" s="261">
        <f>X3580</f>
        <v>0</v>
      </c>
      <c r="AJ3580" s="642"/>
    </row>
    <row r="3581" spans="2:77" s="507" customFormat="1" ht="11.25" customHeight="1">
      <c r="B3581" s="542" t="s">
        <v>291</v>
      </c>
      <c r="C3581" s="509"/>
      <c r="D3581" s="509"/>
      <c r="E3581" s="510" t="s">
        <v>2695</v>
      </c>
      <c r="F3581" s="507" t="s">
        <v>1769</v>
      </c>
      <c r="G3581" s="521">
        <v>4463</v>
      </c>
      <c r="H3581" s="507" t="s">
        <v>407</v>
      </c>
      <c r="I3581" s="512" t="s">
        <v>888</v>
      </c>
      <c r="J3581" s="513">
        <f>96375.87+4153.71</f>
        <v>100529.58</v>
      </c>
      <c r="K3581" s="512"/>
      <c r="L3581" s="513">
        <v>40.659999999999997</v>
      </c>
      <c r="M3581" s="513">
        <v>40.659999999999997</v>
      </c>
      <c r="N3581" s="514">
        <v>38550.35</v>
      </c>
      <c r="O3581" s="543">
        <v>0.2</v>
      </c>
      <c r="P3581" s="515"/>
      <c r="Q3581" s="514">
        <v>54335.58</v>
      </c>
      <c r="R3581" s="512" t="s">
        <v>46</v>
      </c>
      <c r="S3581" s="544" t="s">
        <v>65</v>
      </c>
      <c r="T3581" s="544">
        <v>14</v>
      </c>
      <c r="U3581" s="517" t="s">
        <v>164</v>
      </c>
      <c r="V3581" s="518"/>
      <c r="X3581" s="514">
        <v>54335.58</v>
      </c>
      <c r="Y3581" s="514"/>
      <c r="AJ3581" s="522"/>
      <c r="AL3581" s="514">
        <v>54335.58</v>
      </c>
    </row>
    <row r="3582" spans="2:77" s="720" customFormat="1" ht="11.25" customHeight="1">
      <c r="B3582" s="731" t="s">
        <v>291</v>
      </c>
      <c r="C3582" s="718"/>
      <c r="D3582" s="718"/>
      <c r="E3582" s="719" t="s">
        <v>2695</v>
      </c>
      <c r="F3582" s="720" t="s">
        <v>1769</v>
      </c>
      <c r="G3582" s="732">
        <v>4463</v>
      </c>
      <c r="H3582" s="720" t="s">
        <v>2696</v>
      </c>
      <c r="I3582" s="722" t="s">
        <v>888</v>
      </c>
      <c r="J3582" s="723">
        <v>150040.49</v>
      </c>
      <c r="K3582" s="722"/>
      <c r="L3582" s="723">
        <v>16.11</v>
      </c>
      <c r="M3582" s="723">
        <v>16.11</v>
      </c>
      <c r="N3582" s="724">
        <v>75020.240000000005</v>
      </c>
      <c r="O3582" s="733">
        <v>0.2</v>
      </c>
      <c r="P3582" s="725"/>
      <c r="Q3582" s="724">
        <v>45040.34</v>
      </c>
      <c r="R3582" s="722" t="s">
        <v>46</v>
      </c>
      <c r="S3582" s="734" t="s">
        <v>65</v>
      </c>
      <c r="T3582" s="734">
        <v>14</v>
      </c>
      <c r="U3582" s="728" t="s">
        <v>164</v>
      </c>
      <c r="V3582" s="729"/>
      <c r="X3582" s="724">
        <v>45040.34</v>
      </c>
      <c r="Y3582" s="724"/>
      <c r="AJ3582" s="730"/>
      <c r="AQ3582" s="735">
        <v>45040.34</v>
      </c>
    </row>
    <row r="3583" spans="2:77" s="291" customFormat="1" ht="11.25" customHeight="1">
      <c r="B3583" s="317" t="s">
        <v>291</v>
      </c>
      <c r="C3583" s="292">
        <v>44749</v>
      </c>
      <c r="D3583" s="292">
        <v>44749</v>
      </c>
      <c r="E3583" s="293" t="s">
        <v>2707</v>
      </c>
      <c r="F3583" s="291" t="s">
        <v>2708</v>
      </c>
      <c r="G3583" s="294" t="s">
        <v>2709</v>
      </c>
      <c r="H3583" s="291" t="s">
        <v>192</v>
      </c>
      <c r="I3583" s="295" t="s">
        <v>2356</v>
      </c>
      <c r="J3583" s="296">
        <v>11272.08</v>
      </c>
      <c r="K3583" s="295"/>
      <c r="L3583" s="296">
        <v>21.68</v>
      </c>
      <c r="M3583" s="296">
        <v>21.68</v>
      </c>
      <c r="N3583" s="297">
        <v>0</v>
      </c>
      <c r="O3583" s="298">
        <v>0.25</v>
      </c>
      <c r="P3583" s="298"/>
      <c r="Q3583" s="297">
        <v>0</v>
      </c>
      <c r="R3583" s="295" t="s">
        <v>285</v>
      </c>
      <c r="S3583" s="299" t="s">
        <v>275</v>
      </c>
      <c r="T3583" s="299">
        <v>21</v>
      </c>
      <c r="U3583" s="300" t="s">
        <v>164</v>
      </c>
      <c r="V3583" s="333"/>
      <c r="X3583" s="297">
        <v>0</v>
      </c>
      <c r="Y3583" s="297"/>
      <c r="AH3583" s="311">
        <f>X3583</f>
        <v>0</v>
      </c>
      <c r="AI3583" s="311"/>
      <c r="AJ3583" s="468"/>
    </row>
    <row r="3584" spans="2:77" s="291" customFormat="1" ht="11.25" customHeight="1">
      <c r="B3584" s="317" t="s">
        <v>291</v>
      </c>
      <c r="C3584" s="292"/>
      <c r="D3584" s="292"/>
      <c r="E3584" s="293" t="s">
        <v>2707</v>
      </c>
      <c r="F3584" s="291" t="s">
        <v>2708</v>
      </c>
      <c r="G3584" s="294" t="s">
        <v>2709</v>
      </c>
      <c r="H3584" s="291" t="s">
        <v>157</v>
      </c>
      <c r="I3584" s="295" t="s">
        <v>2356</v>
      </c>
      <c r="J3584" s="296">
        <v>15220.8</v>
      </c>
      <c r="K3584" s="295"/>
      <c r="L3584" s="296">
        <v>42.28</v>
      </c>
      <c r="M3584" s="296">
        <v>42.28</v>
      </c>
      <c r="N3584" s="297">
        <v>0</v>
      </c>
      <c r="O3584" s="298">
        <v>0.25</v>
      </c>
      <c r="P3584" s="298"/>
      <c r="Q3584" s="297">
        <v>0</v>
      </c>
      <c r="R3584" s="295" t="s">
        <v>285</v>
      </c>
      <c r="S3584" s="299" t="s">
        <v>275</v>
      </c>
      <c r="T3584" s="299">
        <v>21</v>
      </c>
      <c r="U3584" s="300" t="s">
        <v>164</v>
      </c>
      <c r="V3584" s="333"/>
      <c r="X3584" s="297">
        <v>0</v>
      </c>
      <c r="Y3584" s="297"/>
      <c r="AH3584" s="311">
        <f>X3584</f>
        <v>0</v>
      </c>
      <c r="AI3584" s="311"/>
      <c r="AJ3584" s="468"/>
    </row>
    <row r="3585" spans="1:77" s="6" customFormat="1" ht="11.25" customHeight="1">
      <c r="B3585" s="203" t="s">
        <v>291</v>
      </c>
      <c r="C3585" s="4"/>
      <c r="D3585" s="4"/>
      <c r="E3585" s="5" t="s">
        <v>2707</v>
      </c>
      <c r="F3585" s="6" t="s">
        <v>2708</v>
      </c>
      <c r="G3585" s="79" t="s">
        <v>2709</v>
      </c>
      <c r="H3585" s="6" t="s">
        <v>1376</v>
      </c>
      <c r="I3585" s="9" t="s">
        <v>2356</v>
      </c>
      <c r="J3585" s="24">
        <v>34705.33</v>
      </c>
      <c r="K3585" s="9"/>
      <c r="L3585" s="24">
        <v>40.049999999999997</v>
      </c>
      <c r="M3585" s="24">
        <v>40</v>
      </c>
      <c r="N3585" s="8">
        <v>3466.2</v>
      </c>
      <c r="O3585" s="11">
        <v>0.25</v>
      </c>
      <c r="P3585" s="11"/>
      <c r="Q3585" s="142">
        <v>5598.69</v>
      </c>
      <c r="R3585" s="9" t="s">
        <v>285</v>
      </c>
      <c r="S3585" s="3" t="s">
        <v>275</v>
      </c>
      <c r="T3585" s="3">
        <v>21</v>
      </c>
      <c r="U3585" s="7"/>
      <c r="V3585" s="436"/>
      <c r="X3585" s="8"/>
      <c r="Y3585" s="8"/>
      <c r="AJ3585" s="80"/>
    </row>
    <row r="3586" spans="1:77" s="291" customFormat="1" ht="11.25" customHeight="1">
      <c r="B3586" s="317" t="s">
        <v>291</v>
      </c>
      <c r="C3586" s="292"/>
      <c r="D3586" s="292"/>
      <c r="E3586" s="293" t="s">
        <v>2707</v>
      </c>
      <c r="F3586" s="291" t="s">
        <v>2708</v>
      </c>
      <c r="G3586" s="294" t="s">
        <v>2709</v>
      </c>
      <c r="H3586" s="291" t="s">
        <v>1052</v>
      </c>
      <c r="I3586" s="295" t="s">
        <v>2356</v>
      </c>
      <c r="J3586" s="296">
        <v>7075.12</v>
      </c>
      <c r="K3586" s="295"/>
      <c r="L3586" s="296">
        <v>8.5299999999999994</v>
      </c>
      <c r="M3586" s="296">
        <v>8.5299999999999994</v>
      </c>
      <c r="N3586" s="297">
        <v>1415.0246400000001</v>
      </c>
      <c r="O3586" s="298">
        <v>0.25</v>
      </c>
      <c r="P3586" s="298"/>
      <c r="Q3586" s="297">
        <v>0</v>
      </c>
      <c r="R3586" s="295" t="s">
        <v>285</v>
      </c>
      <c r="S3586" s="299" t="s">
        <v>275</v>
      </c>
      <c r="T3586" s="299">
        <v>21</v>
      </c>
      <c r="U3586" s="300" t="s">
        <v>164</v>
      </c>
      <c r="V3586" s="333"/>
      <c r="X3586" s="297">
        <v>0</v>
      </c>
      <c r="Y3586" s="297"/>
      <c r="AH3586" s="311">
        <f>X3586</f>
        <v>0</v>
      </c>
      <c r="AI3586" s="311"/>
      <c r="AJ3586" s="468"/>
    </row>
    <row r="3587" spans="1:77" s="291" customFormat="1" ht="11.25" customHeight="1">
      <c r="B3587" s="317" t="s">
        <v>291</v>
      </c>
      <c r="C3587" s="292">
        <v>44750</v>
      </c>
      <c r="D3587" s="292">
        <v>44750</v>
      </c>
      <c r="E3587" s="293" t="s">
        <v>2710</v>
      </c>
      <c r="F3587" s="291" t="s">
        <v>2714</v>
      </c>
      <c r="G3587" s="294" t="s">
        <v>2711</v>
      </c>
      <c r="H3587" s="291" t="s">
        <v>99</v>
      </c>
      <c r="I3587" s="295" t="s">
        <v>888</v>
      </c>
      <c r="J3587" s="296">
        <v>17346.39</v>
      </c>
      <c r="K3587" s="295"/>
      <c r="L3587" s="296">
        <v>16.66</v>
      </c>
      <c r="M3587" s="296">
        <v>16.66</v>
      </c>
      <c r="N3587" s="297">
        <v>6938.56</v>
      </c>
      <c r="O3587" s="298">
        <v>0.2</v>
      </c>
      <c r="P3587" s="298"/>
      <c r="Q3587" s="297">
        <v>2016.97</v>
      </c>
      <c r="R3587" s="291" t="s">
        <v>29</v>
      </c>
      <c r="S3587" s="299" t="s">
        <v>275</v>
      </c>
      <c r="T3587" s="299">
        <v>21</v>
      </c>
      <c r="U3587" s="300" t="s">
        <v>164</v>
      </c>
      <c r="V3587" s="333"/>
      <c r="X3587" s="297">
        <v>2016.97</v>
      </c>
      <c r="Y3587" s="297"/>
      <c r="AH3587" s="297">
        <f>X3587</f>
        <v>2016.97</v>
      </c>
      <c r="AI3587" s="311"/>
      <c r="AJ3587" s="468"/>
    </row>
    <row r="3588" spans="1:77" s="291" customFormat="1" ht="11.25" customHeight="1">
      <c r="B3588" s="317" t="s">
        <v>291</v>
      </c>
      <c r="C3588" s="292"/>
      <c r="D3588" s="292"/>
      <c r="E3588" s="293" t="s">
        <v>2710</v>
      </c>
      <c r="F3588" s="291" t="s">
        <v>2714</v>
      </c>
      <c r="G3588" s="294" t="s">
        <v>2711</v>
      </c>
      <c r="H3588" s="291" t="s">
        <v>137</v>
      </c>
      <c r="I3588" s="295" t="s">
        <v>888</v>
      </c>
      <c r="J3588" s="296">
        <v>39303.72</v>
      </c>
      <c r="K3588" s="295"/>
      <c r="L3588" s="296">
        <v>50.78</v>
      </c>
      <c r="M3588" s="296">
        <v>50.78</v>
      </c>
      <c r="N3588" s="297">
        <v>18877.86</v>
      </c>
      <c r="O3588" s="298">
        <v>0.2</v>
      </c>
      <c r="P3588" s="298"/>
      <c r="Q3588" s="297">
        <v>9995.26</v>
      </c>
      <c r="R3588" s="291" t="s">
        <v>29</v>
      </c>
      <c r="S3588" s="299" t="s">
        <v>275</v>
      </c>
      <c r="T3588" s="299">
        <v>21</v>
      </c>
      <c r="U3588" s="300" t="s">
        <v>164</v>
      </c>
      <c r="V3588" s="333"/>
      <c r="X3588" s="297">
        <v>9995.26</v>
      </c>
      <c r="Y3588" s="297"/>
      <c r="AH3588" s="297">
        <f>X3588</f>
        <v>9995.26</v>
      </c>
      <c r="AI3588" s="311"/>
      <c r="AJ3588" s="468"/>
    </row>
    <row r="3589" spans="1:77" s="291" customFormat="1" ht="11.25" customHeight="1">
      <c r="B3589" s="317" t="s">
        <v>291</v>
      </c>
      <c r="C3589" s="292">
        <v>44750</v>
      </c>
      <c r="D3589" s="292">
        <v>44750</v>
      </c>
      <c r="E3589" s="293" t="s">
        <v>2715</v>
      </c>
      <c r="F3589" s="291" t="s">
        <v>2630</v>
      </c>
      <c r="G3589" s="294" t="s">
        <v>2631</v>
      </c>
      <c r="H3589" s="291" t="s">
        <v>157</v>
      </c>
      <c r="I3589" s="295" t="s">
        <v>888</v>
      </c>
      <c r="J3589" s="296">
        <v>8269.4500000000007</v>
      </c>
      <c r="K3589" s="295"/>
      <c r="L3589" s="296">
        <v>8.67</v>
      </c>
      <c r="M3589" s="296">
        <v>8</v>
      </c>
      <c r="N3589" s="297"/>
      <c r="O3589" s="298">
        <v>0.25</v>
      </c>
      <c r="P3589" s="298"/>
      <c r="Q3589" s="297">
        <v>601.26</v>
      </c>
      <c r="R3589" s="291" t="s">
        <v>285</v>
      </c>
      <c r="S3589" s="299" t="s">
        <v>275</v>
      </c>
      <c r="T3589" s="299">
        <v>21</v>
      </c>
      <c r="U3589" s="300" t="s">
        <v>164</v>
      </c>
      <c r="V3589" s="333"/>
      <c r="X3589" s="297">
        <v>601.26</v>
      </c>
      <c r="Y3589" s="297"/>
      <c r="AH3589" s="291">
        <f>X3589</f>
        <v>601.26</v>
      </c>
      <c r="AI3589" s="311"/>
      <c r="AJ3589" s="468"/>
    </row>
    <row r="3590" spans="1:77" s="261" customFormat="1" ht="11.25" customHeight="1">
      <c r="B3590" s="286" t="s">
        <v>291</v>
      </c>
      <c r="C3590" s="259">
        <v>44750</v>
      </c>
      <c r="D3590" s="259">
        <v>44750</v>
      </c>
      <c r="E3590" s="260" t="s">
        <v>2716</v>
      </c>
      <c r="F3590" s="261" t="s">
        <v>2717</v>
      </c>
      <c r="G3590" s="262" t="s">
        <v>2718</v>
      </c>
      <c r="H3590" s="261" t="s">
        <v>99</v>
      </c>
      <c r="I3590" s="264" t="s">
        <v>888</v>
      </c>
      <c r="J3590" s="263">
        <v>5359.05</v>
      </c>
      <c r="K3590" s="264"/>
      <c r="L3590" s="263">
        <v>3.91</v>
      </c>
      <c r="M3590" s="263">
        <v>3.91</v>
      </c>
      <c r="N3590" s="265">
        <f>1461.74+522.2</f>
        <v>1983.94</v>
      </c>
      <c r="O3590" s="266">
        <v>0.25</v>
      </c>
      <c r="P3590" s="266"/>
      <c r="Q3590" s="265">
        <v>405.98</v>
      </c>
      <c r="R3590" s="261" t="s">
        <v>112</v>
      </c>
      <c r="S3590" s="267" t="s">
        <v>113</v>
      </c>
      <c r="T3590" s="267">
        <v>64</v>
      </c>
      <c r="U3590" s="268" t="s">
        <v>164</v>
      </c>
      <c r="V3590" s="427"/>
      <c r="X3590" s="265">
        <v>405.98</v>
      </c>
      <c r="Y3590" s="265"/>
      <c r="AG3590" s="261">
        <f>X3590</f>
        <v>405.98</v>
      </c>
      <c r="AJ3590" s="642"/>
    </row>
    <row r="3591" spans="1:77" s="261" customFormat="1" ht="11.25" customHeight="1">
      <c r="B3591" s="286" t="s">
        <v>291</v>
      </c>
      <c r="C3591" s="259">
        <v>44751</v>
      </c>
      <c r="D3591" s="259">
        <v>44753</v>
      </c>
      <c r="E3591" s="260" t="s">
        <v>2719</v>
      </c>
      <c r="F3591" s="261" t="s">
        <v>1353</v>
      </c>
      <c r="G3591" s="262">
        <v>3753</v>
      </c>
      <c r="H3591" s="261" t="s">
        <v>137</v>
      </c>
      <c r="I3591" s="264" t="s">
        <v>961</v>
      </c>
      <c r="J3591" s="263">
        <v>21154.25</v>
      </c>
      <c r="K3591" s="264"/>
      <c r="L3591" s="263">
        <v>16.27</v>
      </c>
      <c r="M3591" s="263">
        <v>16.27</v>
      </c>
      <c r="N3591" s="265">
        <v>6773.52</v>
      </c>
      <c r="O3591" s="266">
        <v>0.3</v>
      </c>
      <c r="P3591" s="266"/>
      <c r="Q3591" s="265">
        <v>0</v>
      </c>
      <c r="R3591" s="261" t="s">
        <v>54</v>
      </c>
      <c r="S3591" s="267" t="s">
        <v>51</v>
      </c>
      <c r="T3591" s="267">
        <v>55</v>
      </c>
      <c r="U3591" s="268" t="s">
        <v>164</v>
      </c>
      <c r="V3591" s="427"/>
      <c r="X3591" s="265">
        <v>0</v>
      </c>
      <c r="Y3591" s="265"/>
      <c r="AG3591" s="261">
        <f>X3591</f>
        <v>0</v>
      </c>
      <c r="AJ3591" s="642"/>
    </row>
    <row r="3592" spans="1:77" s="337" customFormat="1" ht="11.25" customHeight="1">
      <c r="B3592" s="361" t="s">
        <v>291</v>
      </c>
      <c r="C3592" s="349"/>
      <c r="D3592" s="349"/>
      <c r="E3592" s="350" t="s">
        <v>2720</v>
      </c>
      <c r="F3592" s="337" t="s">
        <v>2721</v>
      </c>
      <c r="G3592" s="351">
        <v>3684</v>
      </c>
      <c r="H3592" s="337" t="s">
        <v>866</v>
      </c>
      <c r="I3592" s="353" t="s">
        <v>961</v>
      </c>
      <c r="J3592" s="352">
        <v>7449</v>
      </c>
      <c r="K3592" s="353"/>
      <c r="L3592" s="352">
        <v>7.64</v>
      </c>
      <c r="M3592" s="352">
        <v>7.62</v>
      </c>
      <c r="N3592" s="354">
        <v>2757.2759999999998</v>
      </c>
      <c r="O3592" s="355">
        <v>0.15</v>
      </c>
      <c r="P3592" s="355"/>
      <c r="Q3592" s="354">
        <v>2206.0500000000002</v>
      </c>
      <c r="R3592" s="337" t="s">
        <v>50</v>
      </c>
      <c r="S3592" s="356" t="s">
        <v>51</v>
      </c>
      <c r="T3592" s="356">
        <v>54</v>
      </c>
      <c r="U3592" s="357" t="s">
        <v>164</v>
      </c>
      <c r="V3592" s="434"/>
      <c r="X3592" s="354">
        <v>2206.0500000000002</v>
      </c>
      <c r="Y3592" s="354"/>
      <c r="AI3592" s="337">
        <f>X3592</f>
        <v>2206.0500000000002</v>
      </c>
      <c r="AJ3592" s="358"/>
      <c r="AK3592" s="369"/>
    </row>
    <row r="3593" spans="1:77" s="291" customFormat="1" ht="11.25" customHeight="1">
      <c r="B3593" s="317" t="s">
        <v>291</v>
      </c>
      <c r="C3593" s="292">
        <v>44753</v>
      </c>
      <c r="D3593" s="292">
        <v>44753</v>
      </c>
      <c r="E3593" s="293" t="s">
        <v>2720</v>
      </c>
      <c r="F3593" s="291" t="s">
        <v>2721</v>
      </c>
      <c r="G3593" s="294">
        <v>3684</v>
      </c>
      <c r="H3593" s="291" t="s">
        <v>137</v>
      </c>
      <c r="I3593" s="295" t="s">
        <v>961</v>
      </c>
      <c r="J3593" s="296">
        <v>6003.72</v>
      </c>
      <c r="K3593" s="295"/>
      <c r="L3593" s="296">
        <v>6.54</v>
      </c>
      <c r="M3593" s="296">
        <v>6.53</v>
      </c>
      <c r="N3593" s="297">
        <v>1801.116</v>
      </c>
      <c r="O3593" s="298">
        <v>0.15</v>
      </c>
      <c r="P3593" s="298"/>
      <c r="Q3593" s="297">
        <v>0</v>
      </c>
      <c r="R3593" s="291" t="s">
        <v>50</v>
      </c>
      <c r="S3593" s="299" t="s">
        <v>51</v>
      </c>
      <c r="T3593" s="299">
        <v>54</v>
      </c>
      <c r="U3593" s="300" t="s">
        <v>164</v>
      </c>
      <c r="V3593" s="333"/>
      <c r="X3593" s="297">
        <v>0</v>
      </c>
      <c r="Y3593" s="297"/>
      <c r="AH3593" s="291">
        <f>X3593</f>
        <v>0</v>
      </c>
      <c r="AI3593" s="311"/>
      <c r="AJ3593" s="468"/>
    </row>
    <row r="3594" spans="1:77" s="379" customFormat="1" ht="11.25" customHeight="1">
      <c r="B3594" s="403" t="s">
        <v>291</v>
      </c>
      <c r="C3594" s="381">
        <v>44753</v>
      </c>
      <c r="D3594" s="381">
        <v>44753</v>
      </c>
      <c r="E3594" s="382" t="s">
        <v>2722</v>
      </c>
      <c r="F3594" s="379" t="s">
        <v>1097</v>
      </c>
      <c r="G3594" s="383" t="s">
        <v>1098</v>
      </c>
      <c r="H3594" s="379" t="s">
        <v>2001</v>
      </c>
      <c r="I3594" s="384" t="s">
        <v>3337</v>
      </c>
      <c r="J3594" s="385">
        <v>20478.599999999999</v>
      </c>
      <c r="K3594" s="384"/>
      <c r="L3594" s="385">
        <v>13.95</v>
      </c>
      <c r="M3594" s="385">
        <v>13.95</v>
      </c>
      <c r="N3594" s="386"/>
      <c r="O3594" s="387">
        <v>0.25</v>
      </c>
      <c r="P3594" s="387"/>
      <c r="Q3594" s="386">
        <v>5538.15</v>
      </c>
      <c r="R3594" s="379" t="s">
        <v>128</v>
      </c>
      <c r="S3594" s="388" t="s">
        <v>118</v>
      </c>
      <c r="T3594" s="388">
        <v>79</v>
      </c>
      <c r="U3594" s="389" t="s">
        <v>164</v>
      </c>
      <c r="V3594" s="433"/>
      <c r="X3594" s="386">
        <v>5538.15</v>
      </c>
      <c r="Y3594" s="386"/>
      <c r="AJ3594" s="416">
        <v>5538.15</v>
      </c>
    </row>
    <row r="3595" spans="1:77" s="379" customFormat="1" ht="11.25" customHeight="1">
      <c r="B3595" s="403" t="s">
        <v>291</v>
      </c>
      <c r="C3595" s="381"/>
      <c r="D3595" s="381"/>
      <c r="E3595" s="382" t="s">
        <v>2722</v>
      </c>
      <c r="F3595" s="379" t="s">
        <v>1097</v>
      </c>
      <c r="G3595" s="383" t="s">
        <v>1098</v>
      </c>
      <c r="H3595" s="379" t="s">
        <v>910</v>
      </c>
      <c r="I3595" s="384" t="s">
        <v>3337</v>
      </c>
      <c r="J3595" s="385">
        <v>22155.360000000001</v>
      </c>
      <c r="K3595" s="384"/>
      <c r="L3595" s="385">
        <v>13.71</v>
      </c>
      <c r="M3595" s="385">
        <v>13.71</v>
      </c>
      <c r="N3595" s="386"/>
      <c r="O3595" s="387">
        <v>0.25</v>
      </c>
      <c r="P3595" s="387"/>
      <c r="Q3595" s="386">
        <v>3650.15</v>
      </c>
      <c r="R3595" s="379" t="s">
        <v>128</v>
      </c>
      <c r="S3595" s="388" t="s">
        <v>118</v>
      </c>
      <c r="T3595" s="388">
        <v>79</v>
      </c>
      <c r="U3595" s="389" t="s">
        <v>164</v>
      </c>
      <c r="V3595" s="433"/>
      <c r="X3595" s="386">
        <v>3650.15</v>
      </c>
      <c r="Y3595" s="386"/>
      <c r="AJ3595" s="416">
        <v>3650.15</v>
      </c>
    </row>
    <row r="3596" spans="1:77" s="205" customFormat="1" ht="11.25" customHeight="1">
      <c r="B3596" s="233" t="s">
        <v>291</v>
      </c>
      <c r="C3596" s="207">
        <v>44753</v>
      </c>
      <c r="D3596" s="207">
        <v>44753</v>
      </c>
      <c r="E3596" s="208" t="s">
        <v>2723</v>
      </c>
      <c r="F3596" s="205" t="s">
        <v>102</v>
      </c>
      <c r="G3596" s="209">
        <v>3682</v>
      </c>
      <c r="H3596" s="205" t="s">
        <v>99</v>
      </c>
      <c r="I3596" s="219" t="s">
        <v>961</v>
      </c>
      <c r="J3596" s="210">
        <v>55505.49</v>
      </c>
      <c r="K3596" s="219"/>
      <c r="L3596" s="210">
        <v>39.61</v>
      </c>
      <c r="M3596" s="210">
        <v>39.61</v>
      </c>
      <c r="N3596" s="213">
        <f>7679.18+1710.98</f>
        <v>9390.16</v>
      </c>
      <c r="O3596" s="212">
        <v>0.15</v>
      </c>
      <c r="P3596" s="212"/>
      <c r="Q3596" s="213">
        <v>0</v>
      </c>
      <c r="R3596" s="205" t="s">
        <v>54</v>
      </c>
      <c r="S3596" s="214" t="s">
        <v>51</v>
      </c>
      <c r="T3596" s="214">
        <v>55</v>
      </c>
      <c r="U3596" s="215" t="s">
        <v>164</v>
      </c>
      <c r="V3596" s="438"/>
      <c r="X3596" s="213">
        <v>0</v>
      </c>
      <c r="Y3596" s="213"/>
      <c r="AF3596" s="230">
        <f>X3596</f>
        <v>0</v>
      </c>
      <c r="AJ3596" s="216"/>
    </row>
    <row r="3597" spans="1:77" s="205" customFormat="1" ht="11.25" customHeight="1">
      <c r="B3597" s="233" t="s">
        <v>291</v>
      </c>
      <c r="C3597" s="207"/>
      <c r="D3597" s="207"/>
      <c r="E3597" s="208" t="s">
        <v>2723</v>
      </c>
      <c r="F3597" s="205" t="s">
        <v>102</v>
      </c>
      <c r="G3597" s="209">
        <v>3682</v>
      </c>
      <c r="H3597" s="205" t="s">
        <v>137</v>
      </c>
      <c r="I3597" s="219" t="s">
        <v>961</v>
      </c>
      <c r="J3597" s="210">
        <v>8671</v>
      </c>
      <c r="K3597" s="219"/>
      <c r="L3597" s="210">
        <v>6.67</v>
      </c>
      <c r="M3597" s="210">
        <v>6.67</v>
      </c>
      <c r="N3597" s="213">
        <v>3468.4</v>
      </c>
      <c r="O3597" s="212">
        <v>0.15</v>
      </c>
      <c r="P3597" s="212"/>
      <c r="Q3597" s="213">
        <v>0</v>
      </c>
      <c r="R3597" s="205" t="s">
        <v>54</v>
      </c>
      <c r="S3597" s="214" t="s">
        <v>51</v>
      </c>
      <c r="T3597" s="214">
        <v>55</v>
      </c>
      <c r="U3597" s="215" t="s">
        <v>164</v>
      </c>
      <c r="V3597" s="438"/>
      <c r="X3597" s="213">
        <v>0</v>
      </c>
      <c r="Y3597" s="213"/>
      <c r="AF3597" s="230">
        <f>X3597</f>
        <v>0</v>
      </c>
      <c r="AJ3597" s="216"/>
    </row>
    <row r="3598" spans="1:77" s="337" customFormat="1" ht="11.25" customHeight="1">
      <c r="B3598" s="361" t="s">
        <v>291</v>
      </c>
      <c r="C3598" s="349">
        <v>44753</v>
      </c>
      <c r="D3598" s="349">
        <v>44753</v>
      </c>
      <c r="E3598" s="350" t="s">
        <v>2724</v>
      </c>
      <c r="F3598" s="337" t="s">
        <v>2016</v>
      </c>
      <c r="G3598" s="351">
        <v>3701</v>
      </c>
      <c r="H3598" s="337" t="s">
        <v>898</v>
      </c>
      <c r="I3598" s="353" t="s">
        <v>33</v>
      </c>
      <c r="J3598" s="352">
        <v>39609</v>
      </c>
      <c r="K3598" s="353"/>
      <c r="L3598" s="352">
        <v>27</v>
      </c>
      <c r="M3598" s="352">
        <v>27</v>
      </c>
      <c r="N3598" s="354">
        <v>22181.040000000001</v>
      </c>
      <c r="O3598" s="355">
        <v>0.2</v>
      </c>
      <c r="P3598" s="355"/>
      <c r="Q3598" s="354">
        <v>13705.2</v>
      </c>
      <c r="R3598" s="337" t="s">
        <v>29</v>
      </c>
      <c r="S3598" s="356" t="s">
        <v>51</v>
      </c>
      <c r="T3598" s="356">
        <v>52</v>
      </c>
      <c r="U3598" s="357" t="s">
        <v>164</v>
      </c>
      <c r="V3598" s="434"/>
      <c r="X3598" s="354">
        <v>13705.2</v>
      </c>
      <c r="Y3598" s="354"/>
      <c r="AI3598" s="354">
        <v>13705.2</v>
      </c>
      <c r="AJ3598" s="358"/>
      <c r="AK3598" s="369"/>
    </row>
    <row r="3599" spans="1:77" s="6" customFormat="1" ht="11.25" customHeight="1">
      <c r="A3599" s="379"/>
      <c r="B3599" s="403" t="s">
        <v>291</v>
      </c>
      <c r="C3599" s="381"/>
      <c r="D3599" s="381"/>
      <c r="E3599" s="382" t="s">
        <v>2725</v>
      </c>
      <c r="F3599" s="379" t="s">
        <v>410</v>
      </c>
      <c r="G3599" s="383" t="s">
        <v>411</v>
      </c>
      <c r="H3599" s="379" t="s">
        <v>814</v>
      </c>
      <c r="I3599" s="384" t="s">
        <v>961</v>
      </c>
      <c r="J3599" s="385">
        <v>25179</v>
      </c>
      <c r="K3599" s="384"/>
      <c r="L3599" s="385">
        <v>14</v>
      </c>
      <c r="M3599" s="385">
        <v>14</v>
      </c>
      <c r="N3599" s="386"/>
      <c r="O3599" s="387">
        <v>0.2</v>
      </c>
      <c r="P3599" s="387"/>
      <c r="Q3599" s="386">
        <v>0</v>
      </c>
      <c r="R3599" s="379" t="s">
        <v>149</v>
      </c>
      <c r="S3599" s="388" t="s">
        <v>113</v>
      </c>
      <c r="T3599" s="388">
        <v>40</v>
      </c>
      <c r="U3599" s="389" t="s">
        <v>164</v>
      </c>
      <c r="V3599" s="433"/>
      <c r="W3599" s="379"/>
      <c r="X3599" s="386">
        <v>0</v>
      </c>
      <c r="Y3599" s="386"/>
      <c r="Z3599" s="379"/>
      <c r="AA3599" s="379"/>
      <c r="AB3599" s="379"/>
      <c r="AC3599" s="379"/>
      <c r="AD3599" s="379"/>
      <c r="AE3599" s="379"/>
      <c r="AF3599" s="379"/>
      <c r="AG3599" s="379"/>
      <c r="AH3599" s="379"/>
      <c r="AI3599" s="379"/>
      <c r="AJ3599" s="390">
        <v>0</v>
      </c>
      <c r="AK3599" s="379"/>
      <c r="AL3599" s="379"/>
      <c r="AM3599" s="379"/>
      <c r="AN3599" s="379"/>
      <c r="AO3599" s="379"/>
      <c r="AP3599" s="379"/>
      <c r="AQ3599" s="379"/>
      <c r="AR3599" s="379"/>
      <c r="AS3599" s="379"/>
      <c r="AT3599" s="379"/>
      <c r="AU3599" s="379"/>
      <c r="AV3599" s="379"/>
      <c r="AW3599" s="379"/>
      <c r="AX3599" s="379"/>
      <c r="AY3599" s="379"/>
      <c r="AZ3599" s="379"/>
      <c r="BA3599" s="379"/>
      <c r="BB3599" s="379"/>
      <c r="BC3599" s="379"/>
      <c r="BD3599" s="379"/>
      <c r="BE3599" s="379"/>
      <c r="BF3599" s="379"/>
      <c r="BG3599" s="379"/>
      <c r="BH3599" s="379"/>
      <c r="BI3599" s="379"/>
      <c r="BJ3599" s="379"/>
      <c r="BK3599" s="379"/>
      <c r="BL3599" s="379"/>
      <c r="BM3599" s="379"/>
      <c r="BN3599" s="379"/>
      <c r="BO3599" s="379"/>
      <c r="BP3599" s="379"/>
      <c r="BQ3599" s="379"/>
      <c r="BR3599" s="379"/>
      <c r="BS3599" s="379"/>
      <c r="BT3599" s="379"/>
      <c r="BU3599" s="379"/>
      <c r="BV3599" s="379"/>
      <c r="BW3599" s="379"/>
      <c r="BX3599" s="379"/>
      <c r="BY3599" s="379"/>
    </row>
    <row r="3600" spans="1:77" s="379" customFormat="1" ht="11.25" customHeight="1">
      <c r="B3600" s="403" t="s">
        <v>291</v>
      </c>
      <c r="C3600" s="381">
        <v>44753</v>
      </c>
      <c r="D3600" s="381">
        <v>44753</v>
      </c>
      <c r="E3600" s="382" t="s">
        <v>2725</v>
      </c>
      <c r="F3600" s="379" t="s">
        <v>410</v>
      </c>
      <c r="G3600" s="383" t="s">
        <v>411</v>
      </c>
      <c r="H3600" s="379" t="s">
        <v>910</v>
      </c>
      <c r="I3600" s="384" t="s">
        <v>961</v>
      </c>
      <c r="J3600" s="385">
        <v>74141.460000000006</v>
      </c>
      <c r="K3600" s="384"/>
      <c r="L3600" s="385">
        <v>30.9</v>
      </c>
      <c r="M3600" s="385">
        <v>30.9</v>
      </c>
      <c r="N3600" s="386"/>
      <c r="O3600" s="387">
        <v>0.2</v>
      </c>
      <c r="P3600" s="387"/>
      <c r="Q3600" s="386">
        <v>0</v>
      </c>
      <c r="R3600" s="379" t="s">
        <v>149</v>
      </c>
      <c r="S3600" s="388" t="s">
        <v>113</v>
      </c>
      <c r="T3600" s="388">
        <v>40</v>
      </c>
      <c r="U3600" s="389" t="s">
        <v>164</v>
      </c>
      <c r="V3600" s="433"/>
      <c r="X3600" s="386">
        <v>0</v>
      </c>
      <c r="Y3600" s="386"/>
      <c r="AJ3600" s="390">
        <v>0</v>
      </c>
    </row>
    <row r="3601" spans="1:77" s="6" customFormat="1" ht="11.25" customHeight="1">
      <c r="A3601" s="618"/>
      <c r="B3601" s="637" t="s">
        <v>291</v>
      </c>
      <c r="C3601" s="620"/>
      <c r="D3601" s="620"/>
      <c r="E3601" s="621" t="s">
        <v>2726</v>
      </c>
      <c r="F3601" s="618" t="s">
        <v>2479</v>
      </c>
      <c r="G3601" s="634" t="s">
        <v>2480</v>
      </c>
      <c r="H3601" s="618" t="s">
        <v>1376</v>
      </c>
      <c r="I3601" s="626" t="s">
        <v>961</v>
      </c>
      <c r="J3601" s="635">
        <v>42564.38</v>
      </c>
      <c r="K3601" s="626"/>
      <c r="L3601" s="635">
        <v>40.25</v>
      </c>
      <c r="M3601" s="635">
        <v>40.25</v>
      </c>
      <c r="N3601" s="627">
        <v>8512.875</v>
      </c>
      <c r="O3601" s="628">
        <v>0.2</v>
      </c>
      <c r="P3601" s="628"/>
      <c r="Q3601" s="627">
        <v>0</v>
      </c>
      <c r="R3601" s="618" t="s">
        <v>285</v>
      </c>
      <c r="S3601" s="629" t="s">
        <v>275</v>
      </c>
      <c r="T3601" s="629">
        <v>21</v>
      </c>
      <c r="U3601" s="631" t="s">
        <v>164</v>
      </c>
      <c r="V3601" s="632"/>
      <c r="W3601" s="618"/>
      <c r="X3601" s="627">
        <v>0</v>
      </c>
      <c r="Y3601" s="627"/>
      <c r="Z3601" s="618"/>
      <c r="AA3601" s="618"/>
      <c r="AB3601" s="618"/>
      <c r="AC3601" s="618"/>
      <c r="AD3601" s="618"/>
      <c r="AE3601" s="618"/>
      <c r="AF3601" s="618"/>
      <c r="AG3601" s="618"/>
      <c r="AH3601" s="618"/>
      <c r="AI3601" s="618"/>
      <c r="AJ3601" s="633"/>
      <c r="AK3601" s="618"/>
      <c r="AL3601" s="618"/>
      <c r="AM3601" s="618"/>
      <c r="AN3601" s="618"/>
      <c r="AO3601" s="618">
        <v>0</v>
      </c>
      <c r="AP3601" s="618"/>
      <c r="AQ3601" s="618"/>
      <c r="AR3601" s="618"/>
      <c r="AS3601" s="618"/>
      <c r="AT3601" s="618"/>
      <c r="AU3601" s="618"/>
      <c r="AV3601" s="618"/>
      <c r="AW3601" s="618"/>
      <c r="AX3601" s="618"/>
      <c r="AY3601" s="618"/>
      <c r="AZ3601" s="618"/>
      <c r="BA3601" s="618"/>
      <c r="BB3601" s="618"/>
      <c r="BC3601" s="618"/>
      <c r="BD3601" s="618"/>
      <c r="BE3601" s="618"/>
      <c r="BF3601" s="618"/>
      <c r="BG3601" s="618"/>
      <c r="BH3601" s="618"/>
      <c r="BI3601" s="618"/>
      <c r="BJ3601" s="618"/>
      <c r="BK3601" s="618"/>
      <c r="BL3601" s="618"/>
      <c r="BM3601" s="618"/>
      <c r="BN3601" s="618"/>
      <c r="BO3601" s="618"/>
      <c r="BP3601" s="618"/>
      <c r="BQ3601" s="618"/>
      <c r="BR3601" s="618"/>
      <c r="BS3601" s="618"/>
      <c r="BT3601" s="618"/>
      <c r="BU3601" s="618"/>
      <c r="BV3601" s="618"/>
      <c r="BW3601" s="618"/>
      <c r="BX3601" s="618"/>
      <c r="BY3601" s="618"/>
    </row>
    <row r="3602" spans="1:77" s="618" customFormat="1" ht="11.25" customHeight="1">
      <c r="B3602" s="637" t="s">
        <v>291</v>
      </c>
      <c r="C3602" s="620">
        <v>44753</v>
      </c>
      <c r="D3602" s="620">
        <v>44753</v>
      </c>
      <c r="E3602" s="621" t="s">
        <v>2726</v>
      </c>
      <c r="F3602" s="618" t="s">
        <v>2479</v>
      </c>
      <c r="G3602" s="634" t="s">
        <v>2480</v>
      </c>
      <c r="H3602" s="618" t="s">
        <v>192</v>
      </c>
      <c r="I3602" s="626" t="s">
        <v>961</v>
      </c>
      <c r="J3602" s="635">
        <v>65472.3</v>
      </c>
      <c r="K3602" s="626"/>
      <c r="L3602" s="635">
        <v>53.1</v>
      </c>
      <c r="M3602" s="635">
        <v>53.1</v>
      </c>
      <c r="N3602" s="627">
        <v>13094.46</v>
      </c>
      <c r="O3602" s="628">
        <v>0.2</v>
      </c>
      <c r="P3602" s="628"/>
      <c r="Q3602" s="627">
        <f>N3602-J3602*O3602</f>
        <v>0</v>
      </c>
      <c r="R3602" s="618" t="s">
        <v>285</v>
      </c>
      <c r="S3602" s="629" t="s">
        <v>275</v>
      </c>
      <c r="T3602" s="629">
        <v>21</v>
      </c>
      <c r="U3602" s="631" t="s">
        <v>164</v>
      </c>
      <c r="V3602" s="632"/>
      <c r="W3602" s="618" t="s">
        <v>3960</v>
      </c>
      <c r="X3602" s="627">
        <v>0</v>
      </c>
      <c r="Y3602" s="627"/>
      <c r="AJ3602" s="633"/>
      <c r="AO3602" s="618">
        <v>0</v>
      </c>
    </row>
    <row r="3603" spans="1:77" s="473" customFormat="1" ht="11.25" customHeight="1">
      <c r="B3603" s="473" t="s">
        <v>291</v>
      </c>
      <c r="C3603" s="487">
        <v>44716</v>
      </c>
      <c r="D3603" s="487">
        <v>44732</v>
      </c>
      <c r="E3603" s="488" t="s">
        <v>2727</v>
      </c>
      <c r="F3603" s="473" t="s">
        <v>2728</v>
      </c>
      <c r="G3603" s="489">
        <v>3882</v>
      </c>
      <c r="H3603" s="473" t="s">
        <v>2090</v>
      </c>
      <c r="I3603" s="491" t="s">
        <v>1426</v>
      </c>
      <c r="J3603" s="490">
        <v>76931.199999999997</v>
      </c>
      <c r="K3603" s="491"/>
      <c r="L3603" s="490">
        <v>8.2899999999999991</v>
      </c>
      <c r="M3603" s="490">
        <v>8.2899999999999991</v>
      </c>
      <c r="N3603" s="492">
        <v>11540</v>
      </c>
      <c r="O3603" s="493">
        <v>0.2</v>
      </c>
      <c r="P3603" s="493"/>
      <c r="Q3603" s="492">
        <v>0</v>
      </c>
      <c r="R3603" s="473" t="s">
        <v>46</v>
      </c>
      <c r="S3603" s="481" t="s">
        <v>47</v>
      </c>
      <c r="T3603" s="481">
        <v>27</v>
      </c>
      <c r="U3603" s="494" t="s">
        <v>164</v>
      </c>
      <c r="V3603" s="495"/>
      <c r="X3603" s="492">
        <v>0</v>
      </c>
      <c r="Y3603" s="492"/>
      <c r="AJ3603" s="485"/>
      <c r="AK3603" s="473">
        <v>0</v>
      </c>
    </row>
    <row r="3604" spans="1:77" s="473" customFormat="1" ht="11.25" customHeight="1">
      <c r="B3604" s="473" t="s">
        <v>291</v>
      </c>
      <c r="C3604" s="487"/>
      <c r="D3604" s="487"/>
      <c r="E3604" s="488" t="s">
        <v>2727</v>
      </c>
      <c r="F3604" s="473" t="s">
        <v>2728</v>
      </c>
      <c r="G3604" s="489">
        <v>3882</v>
      </c>
      <c r="H3604" s="473" t="s">
        <v>2696</v>
      </c>
      <c r="I3604" s="491" t="s">
        <v>1426</v>
      </c>
      <c r="J3604" s="490">
        <v>38954.230000000003</v>
      </c>
      <c r="K3604" s="491"/>
      <c r="L3604" s="490">
        <v>6.07</v>
      </c>
      <c r="M3604" s="490">
        <v>6.07</v>
      </c>
      <c r="N3604" s="492">
        <v>11686</v>
      </c>
      <c r="O3604" s="493">
        <v>0.2</v>
      </c>
      <c r="P3604" s="493"/>
      <c r="Q3604" s="492">
        <v>0</v>
      </c>
      <c r="R3604" s="473" t="s">
        <v>46</v>
      </c>
      <c r="S3604" s="481" t="s">
        <v>47</v>
      </c>
      <c r="T3604" s="481">
        <v>27</v>
      </c>
      <c r="U3604" s="494" t="s">
        <v>164</v>
      </c>
      <c r="V3604" s="495"/>
      <c r="X3604" s="492">
        <v>0</v>
      </c>
      <c r="Y3604" s="492"/>
      <c r="AJ3604" s="485"/>
      <c r="AK3604" s="473">
        <v>0</v>
      </c>
    </row>
    <row r="3605" spans="1:77" s="291" customFormat="1" ht="11.25" customHeight="1">
      <c r="B3605" s="310" t="s">
        <v>291</v>
      </c>
      <c r="C3605" s="292">
        <v>44750</v>
      </c>
      <c r="D3605" s="292">
        <v>44753</v>
      </c>
      <c r="E3605" s="293" t="s">
        <v>3663</v>
      </c>
      <c r="F3605" s="291" t="s">
        <v>2729</v>
      </c>
      <c r="G3605" s="294">
        <v>4117</v>
      </c>
      <c r="H3605" s="291" t="s">
        <v>310</v>
      </c>
      <c r="I3605" s="295" t="s">
        <v>33</v>
      </c>
      <c r="J3605" s="296">
        <v>11096.25</v>
      </c>
      <c r="K3605" s="295"/>
      <c r="L3605" s="296">
        <v>13.45</v>
      </c>
      <c r="M3605" s="296">
        <v>13.45</v>
      </c>
      <c r="N3605" s="297">
        <v>3884</v>
      </c>
      <c r="O3605" s="298">
        <v>0.15</v>
      </c>
      <c r="P3605" s="298"/>
      <c r="Q3605" s="297">
        <v>1092.81</v>
      </c>
      <c r="R3605" s="303" t="s">
        <v>46</v>
      </c>
      <c r="S3605" s="308" t="s">
        <v>47</v>
      </c>
      <c r="T3605" s="308">
        <v>76</v>
      </c>
      <c r="U3605" s="300" t="s">
        <v>164</v>
      </c>
      <c r="V3605" s="333"/>
      <c r="X3605" s="297">
        <v>1092.81</v>
      </c>
      <c r="Y3605" s="297"/>
      <c r="AH3605" s="297">
        <f>X3605</f>
        <v>1092.81</v>
      </c>
      <c r="AI3605" s="311"/>
      <c r="AJ3605" s="468"/>
    </row>
    <row r="3606" spans="1:77" s="291" customFormat="1" ht="11.25" customHeight="1">
      <c r="B3606" s="310" t="s">
        <v>291</v>
      </c>
      <c r="C3606" s="292"/>
      <c r="D3606" s="292"/>
      <c r="E3606" s="293" t="s">
        <v>3663</v>
      </c>
      <c r="F3606" s="291" t="s">
        <v>2729</v>
      </c>
      <c r="G3606" s="294">
        <v>4117</v>
      </c>
      <c r="H3606" s="291" t="s">
        <v>162</v>
      </c>
      <c r="I3606" s="295" t="s">
        <v>33</v>
      </c>
      <c r="J3606" s="296">
        <v>9582.86</v>
      </c>
      <c r="K3606" s="295"/>
      <c r="L3606" s="296">
        <v>18.170000000000002</v>
      </c>
      <c r="M3606" s="296">
        <v>18.170000000000002</v>
      </c>
      <c r="N3606" s="297">
        <v>8979.43</v>
      </c>
      <c r="O3606" s="298">
        <v>0.15</v>
      </c>
      <c r="P3606" s="298"/>
      <c r="Q3606" s="297">
        <v>8979.43</v>
      </c>
      <c r="R3606" s="303" t="s">
        <v>46</v>
      </c>
      <c r="S3606" s="308" t="s">
        <v>47</v>
      </c>
      <c r="T3606" s="308">
        <v>76</v>
      </c>
      <c r="U3606" s="300" t="s">
        <v>164</v>
      </c>
      <c r="V3606" s="333"/>
      <c r="X3606" s="297">
        <v>8979.43</v>
      </c>
      <c r="Y3606" s="297"/>
      <c r="AH3606" s="297">
        <f>X3606</f>
        <v>8979.43</v>
      </c>
      <c r="AI3606" s="311"/>
      <c r="AJ3606" s="468"/>
    </row>
    <row r="3607" spans="1:77" s="291" customFormat="1" ht="11.25" customHeight="1">
      <c r="B3607" s="291" t="s">
        <v>291</v>
      </c>
      <c r="C3607" s="292">
        <v>44753</v>
      </c>
      <c r="D3607" s="292">
        <v>44753</v>
      </c>
      <c r="E3607" s="293" t="s">
        <v>2730</v>
      </c>
      <c r="F3607" s="291" t="s">
        <v>2731</v>
      </c>
      <c r="G3607" s="294" t="s">
        <v>2732</v>
      </c>
      <c r="H3607" s="291" t="s">
        <v>910</v>
      </c>
      <c r="I3607" s="295" t="s">
        <v>888</v>
      </c>
      <c r="J3607" s="296">
        <v>29260</v>
      </c>
      <c r="K3607" s="295"/>
      <c r="L3607" s="296">
        <v>14</v>
      </c>
      <c r="M3607" s="296">
        <v>14</v>
      </c>
      <c r="N3607" s="297"/>
      <c r="O3607" s="298">
        <v>0.15</v>
      </c>
      <c r="P3607" s="298"/>
      <c r="Q3607" s="297">
        <v>0</v>
      </c>
      <c r="R3607" s="291" t="s">
        <v>112</v>
      </c>
      <c r="S3607" s="299" t="s">
        <v>113</v>
      </c>
      <c r="T3607" s="299">
        <v>64</v>
      </c>
      <c r="U3607" s="300" t="s">
        <v>164</v>
      </c>
      <c r="V3607" s="333"/>
      <c r="W3607" s="291" t="s">
        <v>3847</v>
      </c>
      <c r="X3607" s="297">
        <v>0</v>
      </c>
      <c r="Y3607" s="297"/>
      <c r="AH3607" s="291">
        <f>X3607</f>
        <v>0</v>
      </c>
      <c r="AI3607" s="311"/>
      <c r="AJ3607" s="468"/>
    </row>
    <row r="3608" spans="1:77" s="291" customFormat="1" ht="11.25" customHeight="1">
      <c r="B3608" s="310" t="s">
        <v>291</v>
      </c>
      <c r="C3608" s="292"/>
      <c r="D3608" s="292"/>
      <c r="E3608" s="293" t="s">
        <v>2730</v>
      </c>
      <c r="F3608" s="291" t="s">
        <v>2731</v>
      </c>
      <c r="G3608" s="294" t="s">
        <v>2732</v>
      </c>
      <c r="H3608" s="291" t="s">
        <v>866</v>
      </c>
      <c r="I3608" s="295" t="s">
        <v>888</v>
      </c>
      <c r="J3608" s="296">
        <v>88918.1</v>
      </c>
      <c r="K3608" s="295"/>
      <c r="L3608" s="296">
        <v>53</v>
      </c>
      <c r="M3608" s="296">
        <v>53</v>
      </c>
      <c r="N3608" s="297">
        <f>12918.29+7801.31</f>
        <v>20719.600000000002</v>
      </c>
      <c r="O3608" s="298">
        <v>0.15</v>
      </c>
      <c r="P3608" s="298"/>
      <c r="Q3608" s="297">
        <v>0</v>
      </c>
      <c r="R3608" s="291" t="s">
        <v>112</v>
      </c>
      <c r="S3608" s="299" t="s">
        <v>113</v>
      </c>
      <c r="T3608" s="299">
        <v>64</v>
      </c>
      <c r="U3608" s="300" t="s">
        <v>164</v>
      </c>
      <c r="V3608" s="333"/>
      <c r="W3608" s="291" t="s">
        <v>3847</v>
      </c>
      <c r="X3608" s="297">
        <v>0</v>
      </c>
      <c r="Y3608" s="297"/>
      <c r="AH3608" s="291">
        <f>X3608</f>
        <v>0</v>
      </c>
      <c r="AI3608" s="311"/>
      <c r="AJ3608" s="468"/>
    </row>
    <row r="3609" spans="1:77" s="379" customFormat="1" ht="11.25" customHeight="1">
      <c r="B3609" s="380" t="s">
        <v>291</v>
      </c>
      <c r="C3609" s="381"/>
      <c r="D3609" s="381"/>
      <c r="E3609" s="382" t="s">
        <v>2730</v>
      </c>
      <c r="F3609" s="379" t="s">
        <v>2731</v>
      </c>
      <c r="G3609" s="383" t="s">
        <v>2732</v>
      </c>
      <c r="H3609" s="379" t="s">
        <v>765</v>
      </c>
      <c r="I3609" s="384" t="s">
        <v>888</v>
      </c>
      <c r="J3609" s="385">
        <v>8374.02</v>
      </c>
      <c r="K3609" s="384"/>
      <c r="L3609" s="385">
        <v>6</v>
      </c>
      <c r="M3609" s="385">
        <v>6</v>
      </c>
      <c r="N3609" s="386">
        <v>6113.03</v>
      </c>
      <c r="O3609" s="387">
        <v>0.15</v>
      </c>
      <c r="P3609" s="387"/>
      <c r="Q3609" s="386">
        <v>4853.7</v>
      </c>
      <c r="R3609" s="379" t="s">
        <v>112</v>
      </c>
      <c r="S3609" s="388" t="s">
        <v>113</v>
      </c>
      <c r="T3609" s="388">
        <v>64</v>
      </c>
      <c r="U3609" s="389" t="s">
        <v>164</v>
      </c>
      <c r="V3609" s="433"/>
      <c r="X3609" s="386">
        <v>4853.7</v>
      </c>
      <c r="Y3609" s="386"/>
      <c r="AJ3609" s="416">
        <v>4853.7</v>
      </c>
    </row>
    <row r="3610" spans="1:77" s="618" customFormat="1" ht="11.25" customHeight="1">
      <c r="B3610" s="619" t="s">
        <v>291</v>
      </c>
      <c r="C3610" s="620">
        <v>44750</v>
      </c>
      <c r="D3610" s="620">
        <v>44753</v>
      </c>
      <c r="E3610" s="621" t="s">
        <v>2733</v>
      </c>
      <c r="F3610" s="618" t="s">
        <v>2831</v>
      </c>
      <c r="G3610" s="634" t="s">
        <v>2734</v>
      </c>
      <c r="H3610" s="618" t="s">
        <v>192</v>
      </c>
      <c r="I3610" s="626" t="s">
        <v>33</v>
      </c>
      <c r="J3610" s="635">
        <v>24324.42</v>
      </c>
      <c r="K3610" s="626"/>
      <c r="L3610" s="635">
        <v>36.11</v>
      </c>
      <c r="M3610" s="635">
        <v>36.11</v>
      </c>
      <c r="N3610" s="627">
        <v>6081.10455</v>
      </c>
      <c r="O3610" s="628">
        <v>0.25</v>
      </c>
      <c r="P3610" s="628"/>
      <c r="Q3610" s="627">
        <v>5490.71</v>
      </c>
      <c r="R3610" s="618" t="s">
        <v>285</v>
      </c>
      <c r="S3610" s="629" t="s">
        <v>275</v>
      </c>
      <c r="T3610" s="629">
        <v>89</v>
      </c>
      <c r="U3610" s="631" t="s">
        <v>164</v>
      </c>
      <c r="V3610" s="632"/>
      <c r="X3610" s="627">
        <v>5490.71</v>
      </c>
      <c r="Y3610" s="627"/>
      <c r="AJ3610" s="633"/>
      <c r="AO3610" s="627">
        <v>5490.71</v>
      </c>
    </row>
    <row r="3611" spans="1:77" s="205" customFormat="1" ht="11.25" customHeight="1">
      <c r="B3611" s="206" t="s">
        <v>291</v>
      </c>
      <c r="C3611" s="207"/>
      <c r="D3611" s="207"/>
      <c r="E3611" s="208" t="s">
        <v>2733</v>
      </c>
      <c r="F3611" s="205" t="s">
        <v>2831</v>
      </c>
      <c r="G3611" s="209" t="s">
        <v>2734</v>
      </c>
      <c r="H3611" s="205" t="s">
        <v>157</v>
      </c>
      <c r="I3611" s="219" t="s">
        <v>33</v>
      </c>
      <c r="J3611" s="210">
        <v>9967.24</v>
      </c>
      <c r="K3611" s="219"/>
      <c r="L3611" s="210">
        <v>15.71</v>
      </c>
      <c r="M3611" s="210">
        <v>15.71</v>
      </c>
      <c r="N3611" s="213"/>
      <c r="O3611" s="212">
        <v>0.25</v>
      </c>
      <c r="P3611" s="212"/>
      <c r="Q3611" s="213">
        <v>0</v>
      </c>
      <c r="R3611" s="205" t="s">
        <v>285</v>
      </c>
      <c r="S3611" s="214" t="s">
        <v>275</v>
      </c>
      <c r="T3611" s="214">
        <v>89</v>
      </c>
      <c r="U3611" s="215" t="s">
        <v>164</v>
      </c>
      <c r="V3611" s="438"/>
      <c r="X3611" s="213">
        <v>0</v>
      </c>
      <c r="Y3611" s="213"/>
      <c r="AF3611" s="230">
        <f>X3611</f>
        <v>0</v>
      </c>
      <c r="AJ3611" s="216"/>
    </row>
    <row r="3612" spans="1:77" s="379" customFormat="1" ht="11.25" customHeight="1">
      <c r="B3612" s="380" t="s">
        <v>291</v>
      </c>
      <c r="C3612" s="381">
        <v>44746</v>
      </c>
      <c r="D3612" s="381">
        <v>44754</v>
      </c>
      <c r="E3612" s="382" t="s">
        <v>2735</v>
      </c>
      <c r="F3612" s="379" t="s">
        <v>2736</v>
      </c>
      <c r="G3612" s="383">
        <v>4211</v>
      </c>
      <c r="H3612" s="379" t="s">
        <v>1141</v>
      </c>
      <c r="I3612" s="384" t="s">
        <v>33</v>
      </c>
      <c r="J3612" s="385">
        <v>17322.5</v>
      </c>
      <c r="K3612" s="384"/>
      <c r="L3612" s="385">
        <v>25</v>
      </c>
      <c r="M3612" s="385">
        <v>25</v>
      </c>
      <c r="N3612" s="386">
        <v>12734.29</v>
      </c>
      <c r="O3612" s="387">
        <v>0.2</v>
      </c>
      <c r="P3612" s="387"/>
      <c r="Q3612" s="386">
        <v>2301.83</v>
      </c>
      <c r="R3612" s="379" t="s">
        <v>142</v>
      </c>
      <c r="S3612" s="388" t="s">
        <v>41</v>
      </c>
      <c r="T3612" s="388">
        <v>24</v>
      </c>
      <c r="U3612" s="389" t="s">
        <v>164</v>
      </c>
      <c r="V3612" s="433"/>
      <c r="X3612" s="386">
        <v>2301.83</v>
      </c>
      <c r="Y3612" s="386"/>
      <c r="AJ3612" s="416">
        <v>2301.83</v>
      </c>
    </row>
    <row r="3613" spans="1:77" s="546" customFormat="1" ht="11.25" customHeight="1">
      <c r="B3613" s="559" t="s">
        <v>291</v>
      </c>
      <c r="C3613" s="547">
        <v>44754</v>
      </c>
      <c r="D3613" s="547">
        <v>44754</v>
      </c>
      <c r="E3613" s="548" t="s">
        <v>2737</v>
      </c>
      <c r="F3613" s="559" t="s">
        <v>2661</v>
      </c>
      <c r="G3613" s="549" t="s">
        <v>2662</v>
      </c>
      <c r="H3613" s="546" t="s">
        <v>207</v>
      </c>
      <c r="I3613" s="551" t="s">
        <v>961</v>
      </c>
      <c r="J3613" s="550">
        <v>10403.61</v>
      </c>
      <c r="K3613" s="551"/>
      <c r="L3613" s="550">
        <v>14.98</v>
      </c>
      <c r="M3613" s="550">
        <v>14.98</v>
      </c>
      <c r="N3613" s="552">
        <v>9259.2189999999991</v>
      </c>
      <c r="O3613" s="553">
        <v>0.25</v>
      </c>
      <c r="P3613" s="553"/>
      <c r="Q3613" s="552">
        <v>6454.51</v>
      </c>
      <c r="R3613" s="546" t="s">
        <v>281</v>
      </c>
      <c r="S3613" s="554" t="s">
        <v>275</v>
      </c>
      <c r="T3613" s="554">
        <v>89</v>
      </c>
      <c r="U3613" s="555" t="s">
        <v>164</v>
      </c>
      <c r="V3613" s="556"/>
      <c r="X3613" s="552">
        <v>6454.51</v>
      </c>
      <c r="Y3613" s="552"/>
      <c r="AJ3613" s="557"/>
      <c r="AM3613" s="577">
        <v>6454.51</v>
      </c>
    </row>
    <row r="3614" spans="1:77" s="618" customFormat="1" ht="11.25" customHeight="1">
      <c r="B3614" s="619" t="s">
        <v>291</v>
      </c>
      <c r="C3614" s="620">
        <v>44746</v>
      </c>
      <c r="D3614" s="620">
        <v>44754</v>
      </c>
      <c r="E3614" s="621" t="s">
        <v>2738</v>
      </c>
      <c r="F3614" s="618" t="s">
        <v>2831</v>
      </c>
      <c r="G3614" s="634" t="s">
        <v>2734</v>
      </c>
      <c r="H3614" s="618" t="s">
        <v>2632</v>
      </c>
      <c r="I3614" s="624" t="s">
        <v>888</v>
      </c>
      <c r="J3614" s="635">
        <v>3442.16</v>
      </c>
      <c r="K3614" s="626"/>
      <c r="L3614" s="635">
        <v>10.85</v>
      </c>
      <c r="M3614" s="635">
        <v>10.85</v>
      </c>
      <c r="N3614" s="627">
        <v>688.4325</v>
      </c>
      <c r="O3614" s="628">
        <v>0.25</v>
      </c>
      <c r="P3614" s="628"/>
      <c r="Q3614" s="627">
        <v>1036.47</v>
      </c>
      <c r="R3614" s="618" t="s">
        <v>285</v>
      </c>
      <c r="S3614" s="629" t="s">
        <v>275</v>
      </c>
      <c r="T3614" s="629">
        <v>89</v>
      </c>
      <c r="U3614" s="631" t="s">
        <v>164</v>
      </c>
      <c r="V3614" s="632"/>
      <c r="X3614" s="627">
        <v>1036.47</v>
      </c>
      <c r="Y3614" s="627"/>
      <c r="AJ3614" s="633"/>
      <c r="AO3614" s="627">
        <v>1036.47</v>
      </c>
    </row>
    <row r="3615" spans="1:77" s="618" customFormat="1" ht="11.25" customHeight="1">
      <c r="B3615" s="619" t="s">
        <v>291</v>
      </c>
      <c r="C3615" s="620"/>
      <c r="D3615" s="620"/>
      <c r="E3615" s="621" t="s">
        <v>2738</v>
      </c>
      <c r="F3615" s="618" t="s">
        <v>2831</v>
      </c>
      <c r="G3615" s="634" t="s">
        <v>2734</v>
      </c>
      <c r="H3615" s="618" t="s">
        <v>137</v>
      </c>
      <c r="I3615" s="624" t="s">
        <v>888</v>
      </c>
      <c r="J3615" s="635">
        <v>14911.02</v>
      </c>
      <c r="K3615" s="626"/>
      <c r="L3615" s="635">
        <v>15.63</v>
      </c>
      <c r="M3615" s="635">
        <v>15.63</v>
      </c>
      <c r="N3615" s="627">
        <v>5218.857</v>
      </c>
      <c r="O3615" s="628">
        <v>0.25</v>
      </c>
      <c r="P3615" s="628"/>
      <c r="Q3615" s="627">
        <v>689.28</v>
      </c>
      <c r="R3615" s="618" t="s">
        <v>285</v>
      </c>
      <c r="S3615" s="629" t="s">
        <v>275</v>
      </c>
      <c r="T3615" s="629">
        <v>89</v>
      </c>
      <c r="U3615" s="631" t="s">
        <v>164</v>
      </c>
      <c r="V3615" s="632"/>
      <c r="X3615" s="627">
        <v>689.28</v>
      </c>
      <c r="Y3615" s="627"/>
      <c r="AJ3615" s="633"/>
      <c r="AO3615" s="627">
        <v>689.28</v>
      </c>
    </row>
    <row r="3616" spans="1:77" s="618" customFormat="1" ht="11.25" customHeight="1">
      <c r="B3616" s="619" t="s">
        <v>291</v>
      </c>
      <c r="C3616" s="620"/>
      <c r="D3616" s="620"/>
      <c r="E3616" s="621" t="s">
        <v>2738</v>
      </c>
      <c r="F3616" s="618" t="s">
        <v>2831</v>
      </c>
      <c r="G3616" s="634" t="s">
        <v>2734</v>
      </c>
      <c r="H3616" s="618" t="s">
        <v>765</v>
      </c>
      <c r="I3616" s="624" t="s">
        <v>888</v>
      </c>
      <c r="J3616" s="635">
        <v>23545.58</v>
      </c>
      <c r="K3616" s="626"/>
      <c r="L3616" s="635">
        <v>22.5</v>
      </c>
      <c r="M3616" s="635">
        <v>22.5</v>
      </c>
      <c r="N3616" s="627">
        <v>0</v>
      </c>
      <c r="O3616" s="628">
        <v>0.25</v>
      </c>
      <c r="P3616" s="628"/>
      <c r="Q3616" s="627">
        <v>5212.18</v>
      </c>
      <c r="R3616" s="618" t="s">
        <v>285</v>
      </c>
      <c r="S3616" s="629" t="s">
        <v>275</v>
      </c>
      <c r="T3616" s="629">
        <v>89</v>
      </c>
      <c r="U3616" s="631" t="s">
        <v>164</v>
      </c>
      <c r="V3616" s="632"/>
      <c r="X3616" s="627">
        <v>5212.18</v>
      </c>
      <c r="Y3616" s="627"/>
      <c r="AJ3616" s="633"/>
      <c r="AO3616" s="627">
        <v>5212.18</v>
      </c>
    </row>
    <row r="3617" spans="1:77" s="6" customFormat="1" ht="11.25" customHeight="1">
      <c r="A3617" s="473"/>
      <c r="B3617" s="473" t="s">
        <v>291</v>
      </c>
      <c r="C3617" s="487">
        <v>44754</v>
      </c>
      <c r="D3617" s="487">
        <v>44754</v>
      </c>
      <c r="E3617" s="488" t="s">
        <v>2739</v>
      </c>
      <c r="F3617" s="473" t="s">
        <v>956</v>
      </c>
      <c r="G3617" s="489">
        <v>3646</v>
      </c>
      <c r="H3617" s="473" t="s">
        <v>140</v>
      </c>
      <c r="I3617" s="472" t="s">
        <v>888</v>
      </c>
      <c r="J3617" s="490">
        <v>13233.74</v>
      </c>
      <c r="K3617" s="491"/>
      <c r="L3617" s="490">
        <v>9.74</v>
      </c>
      <c r="M3617" s="490">
        <v>9.74</v>
      </c>
      <c r="N3617" s="492"/>
      <c r="O3617" s="493">
        <v>0.3</v>
      </c>
      <c r="P3617" s="493"/>
      <c r="Q3617" s="492">
        <v>0</v>
      </c>
      <c r="R3617" s="473" t="s">
        <v>42</v>
      </c>
      <c r="S3617" s="481" t="s">
        <v>41</v>
      </c>
      <c r="T3617" s="481">
        <v>17</v>
      </c>
      <c r="U3617" s="494" t="s">
        <v>164</v>
      </c>
      <c r="V3617" s="495"/>
      <c r="W3617" s="473"/>
      <c r="X3617" s="492">
        <v>0</v>
      </c>
      <c r="Y3617" s="492"/>
      <c r="Z3617" s="473"/>
      <c r="AA3617" s="473"/>
      <c r="AB3617" s="473"/>
      <c r="AC3617" s="473"/>
      <c r="AD3617" s="473"/>
      <c r="AE3617" s="473"/>
      <c r="AF3617" s="473"/>
      <c r="AG3617" s="473"/>
      <c r="AH3617" s="473"/>
      <c r="AI3617" s="473"/>
      <c r="AJ3617" s="485"/>
      <c r="AK3617" s="473">
        <v>0</v>
      </c>
      <c r="AL3617" s="473"/>
      <c r="AM3617" s="473"/>
      <c r="AN3617" s="473"/>
      <c r="AO3617" s="473"/>
      <c r="AP3617" s="473"/>
      <c r="AQ3617" s="473"/>
      <c r="AR3617" s="473"/>
      <c r="AS3617" s="473"/>
      <c r="AT3617" s="473"/>
      <c r="AU3617" s="473"/>
      <c r="AV3617" s="473"/>
      <c r="AW3617" s="473"/>
      <c r="AX3617" s="473"/>
      <c r="AY3617" s="473"/>
      <c r="AZ3617" s="473"/>
      <c r="BA3617" s="473"/>
      <c r="BB3617" s="473"/>
      <c r="BC3617" s="473"/>
      <c r="BD3617" s="473"/>
      <c r="BE3617" s="473"/>
      <c r="BF3617" s="473"/>
      <c r="BG3617" s="473"/>
      <c r="BH3617" s="473"/>
      <c r="BI3617" s="473"/>
      <c r="BJ3617" s="473"/>
      <c r="BK3617" s="473"/>
      <c r="BL3617" s="473"/>
      <c r="BM3617" s="473"/>
      <c r="BN3617" s="473"/>
      <c r="BO3617" s="473"/>
      <c r="BP3617" s="473"/>
      <c r="BQ3617" s="473"/>
      <c r="BR3617" s="473"/>
      <c r="BS3617" s="473"/>
      <c r="BT3617" s="473"/>
      <c r="BU3617" s="473"/>
      <c r="BV3617" s="473"/>
      <c r="BW3617" s="473"/>
      <c r="BX3617" s="473"/>
      <c r="BY3617" s="473"/>
    </row>
    <row r="3618" spans="1:77" s="473" customFormat="1" ht="11.25" customHeight="1">
      <c r="B3618" s="473" t="s">
        <v>291</v>
      </c>
      <c r="C3618" s="487"/>
      <c r="D3618" s="487"/>
      <c r="E3618" s="488" t="s">
        <v>2739</v>
      </c>
      <c r="F3618" s="473" t="s">
        <v>956</v>
      </c>
      <c r="G3618" s="489">
        <v>3646</v>
      </c>
      <c r="H3618" s="473" t="s">
        <v>99</v>
      </c>
      <c r="I3618" s="472" t="s">
        <v>888</v>
      </c>
      <c r="J3618" s="490">
        <v>32452.560000000001</v>
      </c>
      <c r="K3618" s="491"/>
      <c r="L3618" s="490">
        <v>28.77</v>
      </c>
      <c r="M3618" s="490">
        <v>28.77</v>
      </c>
      <c r="N3618" s="492"/>
      <c r="O3618" s="493">
        <v>0.3</v>
      </c>
      <c r="P3618" s="493"/>
      <c r="Q3618" s="492">
        <v>0</v>
      </c>
      <c r="R3618" s="473" t="s">
        <v>42</v>
      </c>
      <c r="S3618" s="481" t="s">
        <v>41</v>
      </c>
      <c r="T3618" s="481">
        <v>17</v>
      </c>
      <c r="U3618" s="494" t="s">
        <v>164</v>
      </c>
      <c r="V3618" s="495"/>
      <c r="X3618" s="492">
        <v>0</v>
      </c>
      <c r="Y3618" s="492"/>
      <c r="AJ3618" s="485"/>
      <c r="AK3618" s="491">
        <v>0</v>
      </c>
      <c r="AL3618" s="491"/>
      <c r="AM3618" s="491"/>
      <c r="AN3618" s="491"/>
      <c r="AO3618" s="491"/>
      <c r="AP3618" s="491"/>
      <c r="AQ3618" s="491"/>
      <c r="AR3618" s="491"/>
      <c r="AS3618" s="491"/>
      <c r="AT3618" s="491"/>
      <c r="AU3618" s="491"/>
      <c r="AV3618" s="491"/>
      <c r="AW3618" s="491"/>
      <c r="AX3618" s="491"/>
      <c r="AY3618" s="491"/>
      <c r="AZ3618" s="491"/>
      <c r="BA3618" s="491"/>
      <c r="BB3618" s="491"/>
      <c r="BC3618" s="491"/>
      <c r="BD3618" s="491"/>
      <c r="BE3618" s="491"/>
      <c r="BF3618" s="491"/>
      <c r="BG3618" s="491"/>
      <c r="BH3618" s="491"/>
      <c r="BI3618" s="491"/>
      <c r="BJ3618" s="491"/>
      <c r="BK3618" s="491"/>
      <c r="BL3618" s="491"/>
      <c r="BM3618" s="491"/>
      <c r="BN3618" s="491"/>
      <c r="BO3618" s="491"/>
      <c r="BP3618" s="491"/>
      <c r="BQ3618" s="491"/>
      <c r="BR3618" s="491"/>
      <c r="BS3618" s="491"/>
      <c r="BT3618" s="491"/>
      <c r="BU3618" s="491"/>
      <c r="BV3618" s="491"/>
      <c r="BW3618" s="491"/>
      <c r="BX3618" s="491"/>
      <c r="BY3618" s="491"/>
    </row>
    <row r="3619" spans="1:77" s="473" customFormat="1" ht="11.25" customHeight="1">
      <c r="B3619" s="473" t="s">
        <v>291</v>
      </c>
      <c r="C3619" s="487"/>
      <c r="D3619" s="487"/>
      <c r="E3619" s="488" t="s">
        <v>2739</v>
      </c>
      <c r="F3619" s="473" t="s">
        <v>956</v>
      </c>
      <c r="G3619" s="489">
        <v>3646</v>
      </c>
      <c r="H3619" s="473" t="s">
        <v>137</v>
      </c>
      <c r="I3619" s="472" t="s">
        <v>888</v>
      </c>
      <c r="J3619" s="490">
        <v>12267.2</v>
      </c>
      <c r="K3619" s="491"/>
      <c r="L3619" s="490">
        <v>13.94</v>
      </c>
      <c r="M3619" s="490">
        <v>13.93</v>
      </c>
      <c r="N3619" s="492"/>
      <c r="O3619" s="493">
        <v>0.3</v>
      </c>
      <c r="P3619" s="493"/>
      <c r="Q3619" s="492">
        <v>0</v>
      </c>
      <c r="R3619" s="473" t="s">
        <v>42</v>
      </c>
      <c r="S3619" s="481" t="s">
        <v>41</v>
      </c>
      <c r="T3619" s="481">
        <v>17</v>
      </c>
      <c r="U3619" s="494" t="s">
        <v>164</v>
      </c>
      <c r="V3619" s="495"/>
      <c r="X3619" s="492">
        <v>0</v>
      </c>
      <c r="Y3619" s="492"/>
      <c r="AJ3619" s="485"/>
      <c r="AK3619" s="473">
        <v>0</v>
      </c>
    </row>
    <row r="3620" spans="1:77" s="473" customFormat="1" ht="11.25" customHeight="1">
      <c r="B3620" s="473" t="s">
        <v>291</v>
      </c>
      <c r="C3620" s="487"/>
      <c r="D3620" s="487"/>
      <c r="E3620" s="488" t="s">
        <v>2739</v>
      </c>
      <c r="F3620" s="473" t="s">
        <v>956</v>
      </c>
      <c r="G3620" s="489">
        <v>3646</v>
      </c>
      <c r="H3620" s="473" t="s">
        <v>27</v>
      </c>
      <c r="I3620" s="472" t="s">
        <v>888</v>
      </c>
      <c r="J3620" s="490">
        <v>16594.2</v>
      </c>
      <c r="K3620" s="491"/>
      <c r="L3620" s="490">
        <v>13.17</v>
      </c>
      <c r="M3620" s="490">
        <v>13.17</v>
      </c>
      <c r="N3620" s="492"/>
      <c r="O3620" s="493">
        <v>0.3</v>
      </c>
      <c r="P3620" s="493"/>
      <c r="Q3620" s="492">
        <v>0</v>
      </c>
      <c r="R3620" s="473" t="s">
        <v>42</v>
      </c>
      <c r="S3620" s="481" t="s">
        <v>41</v>
      </c>
      <c r="T3620" s="481">
        <v>17</v>
      </c>
      <c r="U3620" s="494" t="s">
        <v>164</v>
      </c>
      <c r="V3620" s="495"/>
      <c r="X3620" s="492">
        <v>0</v>
      </c>
      <c r="Y3620" s="492"/>
      <c r="AJ3620" s="485"/>
      <c r="AK3620" s="473">
        <v>0</v>
      </c>
    </row>
    <row r="3621" spans="1:77" s="291" customFormat="1" ht="11.25" customHeight="1">
      <c r="B3621" s="291" t="s">
        <v>291</v>
      </c>
      <c r="C3621" s="292"/>
      <c r="D3621" s="292"/>
      <c r="E3621" s="293" t="s">
        <v>2739</v>
      </c>
      <c r="F3621" s="291" t="s">
        <v>956</v>
      </c>
      <c r="G3621" s="294">
        <v>3646</v>
      </c>
      <c r="H3621" s="291" t="s">
        <v>866</v>
      </c>
      <c r="I3621" s="303" t="s">
        <v>888</v>
      </c>
      <c r="J3621" s="296">
        <v>14130.7</v>
      </c>
      <c r="K3621" s="295"/>
      <c r="L3621" s="296">
        <v>12.54</v>
      </c>
      <c r="M3621" s="296">
        <v>12.54</v>
      </c>
      <c r="N3621" s="297">
        <v>3718.605</v>
      </c>
      <c r="O3621" s="298">
        <v>0.3</v>
      </c>
      <c r="P3621" s="298"/>
      <c r="Q3621" s="297">
        <v>0</v>
      </c>
      <c r="R3621" s="291" t="s">
        <v>42</v>
      </c>
      <c r="S3621" s="299" t="s">
        <v>41</v>
      </c>
      <c r="T3621" s="299">
        <v>17</v>
      </c>
      <c r="U3621" s="300" t="s">
        <v>164</v>
      </c>
      <c r="V3621" s="333"/>
      <c r="X3621" s="297">
        <v>0</v>
      </c>
      <c r="Y3621" s="297"/>
      <c r="AH3621" s="291">
        <f>X3621</f>
        <v>0</v>
      </c>
      <c r="AI3621" s="311"/>
      <c r="AJ3621" s="468"/>
    </row>
    <row r="3622" spans="1:77" s="261" customFormat="1" ht="11.25" customHeight="1">
      <c r="B3622" s="258" t="s">
        <v>291</v>
      </c>
      <c r="C3622" s="259">
        <v>44755</v>
      </c>
      <c r="D3622" s="259">
        <v>44755</v>
      </c>
      <c r="E3622" s="260" t="s">
        <v>2742</v>
      </c>
      <c r="F3622" s="261" t="s">
        <v>977</v>
      </c>
      <c r="G3622" s="276">
        <v>3881</v>
      </c>
      <c r="H3622" s="261" t="s">
        <v>765</v>
      </c>
      <c r="I3622" s="264" t="s">
        <v>111</v>
      </c>
      <c r="J3622" s="263">
        <v>13331.25</v>
      </c>
      <c r="K3622" s="264"/>
      <c r="L3622" s="263">
        <v>11.25</v>
      </c>
      <c r="M3622" s="263">
        <v>11.25</v>
      </c>
      <c r="N3622" s="265">
        <v>3768.74</v>
      </c>
      <c r="O3622" s="266">
        <v>0.15</v>
      </c>
      <c r="P3622" s="266"/>
      <c r="Q3622" s="257">
        <v>0</v>
      </c>
      <c r="R3622" s="261" t="s">
        <v>142</v>
      </c>
      <c r="S3622" s="267" t="s">
        <v>41</v>
      </c>
      <c r="T3622" s="267">
        <v>16</v>
      </c>
      <c r="U3622" s="268" t="s">
        <v>164</v>
      </c>
      <c r="V3622" s="427"/>
      <c r="X3622" s="265">
        <v>0</v>
      </c>
      <c r="Y3622" s="265"/>
      <c r="AG3622" s="261">
        <f>X3622</f>
        <v>0</v>
      </c>
      <c r="AJ3622" s="642"/>
    </row>
    <row r="3623" spans="1:77" s="6" customFormat="1" ht="11.25" customHeight="1">
      <c r="A3623" s="379"/>
      <c r="B3623" s="403" t="s">
        <v>291</v>
      </c>
      <c r="C3623" s="381">
        <v>44755</v>
      </c>
      <c r="D3623" s="381">
        <v>44755</v>
      </c>
      <c r="E3623" s="382" t="s">
        <v>2743</v>
      </c>
      <c r="F3623" s="379" t="s">
        <v>2744</v>
      </c>
      <c r="G3623" s="383" t="s">
        <v>2745</v>
      </c>
      <c r="H3623" s="379" t="s">
        <v>910</v>
      </c>
      <c r="I3623" s="384" t="s">
        <v>888</v>
      </c>
      <c r="J3623" s="385">
        <v>34668</v>
      </c>
      <c r="K3623" s="384"/>
      <c r="L3623" s="385">
        <v>20</v>
      </c>
      <c r="M3623" s="385">
        <v>20</v>
      </c>
      <c r="N3623" s="386"/>
      <c r="O3623" s="387">
        <v>0.25</v>
      </c>
      <c r="P3623" s="387"/>
      <c r="Q3623" s="386">
        <v>837</v>
      </c>
      <c r="R3623" s="379" t="s">
        <v>73</v>
      </c>
      <c r="S3623" s="388" t="s">
        <v>74</v>
      </c>
      <c r="T3623" s="388">
        <v>32</v>
      </c>
      <c r="U3623" s="389" t="s">
        <v>164</v>
      </c>
      <c r="V3623" s="433"/>
      <c r="W3623" s="379"/>
      <c r="X3623" s="386">
        <v>837</v>
      </c>
      <c r="Y3623" s="386"/>
      <c r="Z3623" s="379"/>
      <c r="AA3623" s="379"/>
      <c r="AB3623" s="379"/>
      <c r="AC3623" s="379"/>
      <c r="AD3623" s="379"/>
      <c r="AE3623" s="379"/>
      <c r="AF3623" s="379"/>
      <c r="AG3623" s="379"/>
      <c r="AH3623" s="379"/>
      <c r="AI3623" s="379"/>
      <c r="AJ3623" s="390">
        <v>837</v>
      </c>
      <c r="AK3623" s="379"/>
      <c r="AL3623" s="379"/>
      <c r="AM3623" s="379"/>
      <c r="AN3623" s="379"/>
      <c r="AO3623" s="379"/>
      <c r="AP3623" s="379"/>
      <c r="AQ3623" s="379"/>
      <c r="AR3623" s="379"/>
      <c r="AS3623" s="379"/>
      <c r="AT3623" s="379"/>
      <c r="AU3623" s="379"/>
      <c r="AV3623" s="379"/>
      <c r="AW3623" s="379"/>
      <c r="AX3623" s="379"/>
      <c r="AY3623" s="379"/>
      <c r="AZ3623" s="379"/>
      <c r="BA3623" s="379"/>
      <c r="BB3623" s="379"/>
      <c r="BC3623" s="379"/>
      <c r="BD3623" s="379"/>
      <c r="BE3623" s="379"/>
      <c r="BF3623" s="379"/>
      <c r="BG3623" s="379"/>
      <c r="BH3623" s="379"/>
      <c r="BI3623" s="379"/>
      <c r="BJ3623" s="379"/>
      <c r="BK3623" s="379"/>
      <c r="BL3623" s="379"/>
      <c r="BM3623" s="379"/>
      <c r="BN3623" s="379"/>
      <c r="BO3623" s="379"/>
      <c r="BP3623" s="379"/>
      <c r="BQ3623" s="379"/>
      <c r="BR3623" s="379"/>
      <c r="BS3623" s="379"/>
      <c r="BT3623" s="379"/>
      <c r="BU3623" s="379"/>
      <c r="BV3623" s="379"/>
      <c r="BW3623" s="379"/>
      <c r="BX3623" s="379"/>
      <c r="BY3623" s="379"/>
    </row>
    <row r="3624" spans="1:77" s="6" customFormat="1" ht="11" customHeight="1">
      <c r="A3624" s="379"/>
      <c r="B3624" s="403" t="s">
        <v>291</v>
      </c>
      <c r="C3624" s="381"/>
      <c r="D3624" s="381"/>
      <c r="E3624" s="382" t="s">
        <v>2743</v>
      </c>
      <c r="F3624" s="379" t="s">
        <v>2744</v>
      </c>
      <c r="G3624" s="383" t="s">
        <v>2745</v>
      </c>
      <c r="H3624" s="379" t="s">
        <v>765</v>
      </c>
      <c r="I3624" s="384" t="s">
        <v>888</v>
      </c>
      <c r="J3624" s="385">
        <v>36500</v>
      </c>
      <c r="K3624" s="384"/>
      <c r="L3624" s="385">
        <v>36.5</v>
      </c>
      <c r="M3624" s="385">
        <v>36.5</v>
      </c>
      <c r="N3624" s="386">
        <v>0</v>
      </c>
      <c r="O3624" s="387">
        <v>0.25</v>
      </c>
      <c r="P3624" s="387"/>
      <c r="Q3624" s="386">
        <v>0</v>
      </c>
      <c r="R3624" s="379" t="s">
        <v>73</v>
      </c>
      <c r="S3624" s="388" t="s">
        <v>74</v>
      </c>
      <c r="T3624" s="388">
        <v>32</v>
      </c>
      <c r="U3624" s="389" t="s">
        <v>164</v>
      </c>
      <c r="V3624" s="433"/>
      <c r="W3624" s="379"/>
      <c r="X3624" s="386">
        <v>0</v>
      </c>
      <c r="Y3624" s="386"/>
      <c r="Z3624" s="379"/>
      <c r="AA3624" s="379"/>
      <c r="AB3624" s="379"/>
      <c r="AC3624" s="379"/>
      <c r="AD3624" s="379"/>
      <c r="AE3624" s="379"/>
      <c r="AF3624" s="379"/>
      <c r="AG3624" s="379"/>
      <c r="AH3624" s="379"/>
      <c r="AI3624" s="379"/>
      <c r="AJ3624" s="390">
        <v>0</v>
      </c>
      <c r="AK3624" s="379"/>
      <c r="AL3624" s="379"/>
      <c r="AM3624" s="379"/>
      <c r="AN3624" s="379"/>
      <c r="AO3624" s="379"/>
      <c r="AP3624" s="379"/>
      <c r="AQ3624" s="379"/>
      <c r="AR3624" s="379"/>
      <c r="AS3624" s="379"/>
      <c r="AT3624" s="379"/>
      <c r="AU3624" s="379"/>
      <c r="AV3624" s="379"/>
      <c r="AW3624" s="379"/>
      <c r="AX3624" s="379"/>
      <c r="AY3624" s="379"/>
      <c r="AZ3624" s="379"/>
      <c r="BA3624" s="379"/>
      <c r="BB3624" s="379"/>
      <c r="BC3624" s="379"/>
      <c r="BD3624" s="379"/>
      <c r="BE3624" s="379"/>
      <c r="BF3624" s="379"/>
      <c r="BG3624" s="379"/>
      <c r="BH3624" s="379"/>
      <c r="BI3624" s="379"/>
      <c r="BJ3624" s="379"/>
      <c r="BK3624" s="379"/>
      <c r="BL3624" s="379"/>
      <c r="BM3624" s="379"/>
      <c r="BN3624" s="379"/>
      <c r="BO3624" s="379"/>
      <c r="BP3624" s="379"/>
      <c r="BQ3624" s="379"/>
      <c r="BR3624" s="379"/>
      <c r="BS3624" s="379"/>
      <c r="BT3624" s="379"/>
      <c r="BU3624" s="379"/>
      <c r="BV3624" s="379"/>
      <c r="BW3624" s="379"/>
      <c r="BX3624" s="379"/>
      <c r="BY3624" s="379"/>
    </row>
    <row r="3625" spans="1:77" s="337" customFormat="1" ht="11.25" customHeight="1">
      <c r="A3625" s="379"/>
      <c r="B3625" s="380" t="s">
        <v>291</v>
      </c>
      <c r="C3625" s="381"/>
      <c r="D3625" s="381"/>
      <c r="E3625" s="382" t="s">
        <v>2746</v>
      </c>
      <c r="F3625" s="379" t="s">
        <v>747</v>
      </c>
      <c r="G3625" s="383" t="s">
        <v>748</v>
      </c>
      <c r="H3625" s="379" t="s">
        <v>1138</v>
      </c>
      <c r="I3625" s="384" t="s">
        <v>888</v>
      </c>
      <c r="J3625" s="385">
        <v>37240</v>
      </c>
      <c r="K3625" s="384"/>
      <c r="L3625" s="385">
        <v>21.28</v>
      </c>
      <c r="M3625" s="385">
        <v>21.28</v>
      </c>
      <c r="N3625" s="386"/>
      <c r="O3625" s="387">
        <v>0.2</v>
      </c>
      <c r="P3625" s="387"/>
      <c r="Q3625" s="386">
        <v>22254.62</v>
      </c>
      <c r="R3625" s="379" t="s">
        <v>257</v>
      </c>
      <c r="S3625" s="388" t="s">
        <v>65</v>
      </c>
      <c r="T3625" s="388">
        <v>82</v>
      </c>
      <c r="U3625" s="389" t="s">
        <v>164</v>
      </c>
      <c r="V3625" s="433"/>
      <c r="W3625" s="379"/>
      <c r="X3625" s="386">
        <v>22254.62</v>
      </c>
      <c r="Y3625" s="386"/>
      <c r="Z3625" s="379"/>
      <c r="AA3625" s="379"/>
      <c r="AB3625" s="379"/>
      <c r="AC3625" s="379"/>
      <c r="AD3625" s="379"/>
      <c r="AE3625" s="379"/>
      <c r="AF3625" s="379"/>
      <c r="AG3625" s="379"/>
      <c r="AH3625" s="379"/>
      <c r="AI3625" s="379"/>
      <c r="AJ3625" s="416">
        <v>22254.62</v>
      </c>
      <c r="AK3625" s="379"/>
      <c r="AL3625" s="379"/>
      <c r="AM3625" s="379"/>
      <c r="AN3625" s="379"/>
      <c r="AO3625" s="379"/>
      <c r="AP3625" s="379"/>
      <c r="AQ3625" s="379"/>
      <c r="AR3625" s="379"/>
      <c r="AS3625" s="379"/>
      <c r="AT3625" s="379"/>
      <c r="AU3625" s="379"/>
      <c r="AV3625" s="379"/>
      <c r="AW3625" s="379"/>
      <c r="AX3625" s="379"/>
      <c r="AY3625" s="379"/>
      <c r="AZ3625" s="379"/>
      <c r="BA3625" s="379"/>
      <c r="BB3625" s="379"/>
      <c r="BC3625" s="379"/>
      <c r="BD3625" s="379"/>
      <c r="BE3625" s="379"/>
      <c r="BF3625" s="379"/>
      <c r="BG3625" s="379"/>
      <c r="BH3625" s="379"/>
      <c r="BI3625" s="379"/>
      <c r="BJ3625" s="379"/>
      <c r="BK3625" s="379"/>
      <c r="BL3625" s="379"/>
      <c r="BM3625" s="379"/>
      <c r="BN3625" s="379"/>
      <c r="BO3625" s="379"/>
      <c r="BP3625" s="379"/>
      <c r="BQ3625" s="379"/>
      <c r="BR3625" s="379"/>
      <c r="BS3625" s="379"/>
      <c r="BT3625" s="379"/>
      <c r="BU3625" s="379"/>
      <c r="BV3625" s="379"/>
      <c r="BW3625" s="379"/>
      <c r="BX3625" s="379"/>
      <c r="BY3625" s="379"/>
    </row>
    <row r="3626" spans="1:77" s="6" customFormat="1" ht="11.25" customHeight="1">
      <c r="A3626" s="379"/>
      <c r="B3626" s="380" t="s">
        <v>291</v>
      </c>
      <c r="C3626" s="381"/>
      <c r="D3626" s="381"/>
      <c r="E3626" s="382" t="s">
        <v>2746</v>
      </c>
      <c r="F3626" s="379" t="s">
        <v>747</v>
      </c>
      <c r="G3626" s="383" t="s">
        <v>748</v>
      </c>
      <c r="H3626" s="379" t="s">
        <v>1018</v>
      </c>
      <c r="I3626" s="384" t="s">
        <v>888</v>
      </c>
      <c r="J3626" s="385">
        <v>18042</v>
      </c>
      <c r="K3626" s="384"/>
      <c r="L3626" s="385">
        <v>24.25</v>
      </c>
      <c r="M3626" s="385">
        <v>24.25</v>
      </c>
      <c r="N3626" s="386"/>
      <c r="O3626" s="387">
        <v>0.2</v>
      </c>
      <c r="P3626" s="387"/>
      <c r="Q3626" s="386">
        <v>7036.38</v>
      </c>
      <c r="R3626" s="379" t="s">
        <v>257</v>
      </c>
      <c r="S3626" s="388" t="s">
        <v>65</v>
      </c>
      <c r="T3626" s="388">
        <v>82</v>
      </c>
      <c r="U3626" s="389" t="s">
        <v>164</v>
      </c>
      <c r="V3626" s="433"/>
      <c r="W3626" s="379"/>
      <c r="X3626" s="386">
        <v>7036.38</v>
      </c>
      <c r="Y3626" s="386"/>
      <c r="Z3626" s="379"/>
      <c r="AA3626" s="379"/>
      <c r="AB3626" s="379"/>
      <c r="AC3626" s="379"/>
      <c r="AD3626" s="379"/>
      <c r="AE3626" s="379"/>
      <c r="AF3626" s="379"/>
      <c r="AG3626" s="379"/>
      <c r="AH3626" s="379"/>
      <c r="AI3626" s="379"/>
      <c r="AJ3626" s="416">
        <v>7036.38</v>
      </c>
      <c r="AK3626" s="379"/>
      <c r="AL3626" s="379"/>
      <c r="AM3626" s="379"/>
      <c r="AN3626" s="379"/>
      <c r="AO3626" s="379"/>
      <c r="AP3626" s="379"/>
      <c r="AQ3626" s="379"/>
      <c r="AR3626" s="379"/>
      <c r="AS3626" s="379"/>
      <c r="AT3626" s="379"/>
      <c r="AU3626" s="379"/>
      <c r="AV3626" s="379"/>
      <c r="AW3626" s="379"/>
      <c r="AX3626" s="379"/>
      <c r="AY3626" s="379"/>
      <c r="AZ3626" s="379"/>
      <c r="BA3626" s="379"/>
      <c r="BB3626" s="379"/>
      <c r="BC3626" s="379"/>
      <c r="BD3626" s="379"/>
      <c r="BE3626" s="379"/>
      <c r="BF3626" s="379"/>
      <c r="BG3626" s="379"/>
      <c r="BH3626" s="379"/>
      <c r="BI3626" s="379"/>
      <c r="BJ3626" s="379"/>
      <c r="BK3626" s="379"/>
      <c r="BL3626" s="379"/>
      <c r="BM3626" s="379"/>
      <c r="BN3626" s="379"/>
      <c r="BO3626" s="379"/>
      <c r="BP3626" s="379"/>
      <c r="BQ3626" s="379"/>
      <c r="BR3626" s="379"/>
      <c r="BS3626" s="379"/>
      <c r="BT3626" s="379"/>
      <c r="BU3626" s="379"/>
      <c r="BV3626" s="379"/>
      <c r="BW3626" s="379"/>
      <c r="BX3626" s="379"/>
      <c r="BY3626" s="379"/>
    </row>
    <row r="3627" spans="1:77" s="337" customFormat="1" ht="11.25" customHeight="1">
      <c r="B3627" s="338" t="s">
        <v>291</v>
      </c>
      <c r="C3627" s="349">
        <v>44754</v>
      </c>
      <c r="D3627" s="349">
        <v>44755</v>
      </c>
      <c r="E3627" s="350" t="s">
        <v>2746</v>
      </c>
      <c r="F3627" s="337" t="s">
        <v>747</v>
      </c>
      <c r="G3627" s="351" t="s">
        <v>748</v>
      </c>
      <c r="H3627" s="337" t="s">
        <v>685</v>
      </c>
      <c r="I3627" s="353" t="s">
        <v>888</v>
      </c>
      <c r="J3627" s="352">
        <v>14868</v>
      </c>
      <c r="K3627" s="353"/>
      <c r="L3627" s="352">
        <v>8.26</v>
      </c>
      <c r="M3627" s="352">
        <v>8.26</v>
      </c>
      <c r="N3627" s="354"/>
      <c r="O3627" s="355">
        <v>0.2</v>
      </c>
      <c r="P3627" s="355"/>
      <c r="Q3627" s="354">
        <v>8932</v>
      </c>
      <c r="R3627" s="337" t="s">
        <v>257</v>
      </c>
      <c r="S3627" s="356" t="s">
        <v>65</v>
      </c>
      <c r="T3627" s="356">
        <v>82</v>
      </c>
      <c r="U3627" s="357" t="s">
        <v>164</v>
      </c>
      <c r="V3627" s="434">
        <v>1085</v>
      </c>
      <c r="X3627" s="354">
        <v>8932</v>
      </c>
      <c r="Y3627" s="354"/>
      <c r="AI3627" s="337">
        <v>8932</v>
      </c>
      <c r="AJ3627" s="358"/>
      <c r="AK3627" s="369"/>
    </row>
    <row r="3628" spans="1:77" s="205" customFormat="1" ht="11.25" customHeight="1">
      <c r="B3628" s="206" t="s">
        <v>291</v>
      </c>
      <c r="C3628" s="207">
        <v>44755</v>
      </c>
      <c r="D3628" s="207">
        <v>44755</v>
      </c>
      <c r="E3628" s="208" t="s">
        <v>2749</v>
      </c>
      <c r="F3628" s="205" t="s">
        <v>2572</v>
      </c>
      <c r="G3628" s="209" t="s">
        <v>2573</v>
      </c>
      <c r="H3628" s="205" t="s">
        <v>163</v>
      </c>
      <c r="I3628" s="219" t="s">
        <v>888</v>
      </c>
      <c r="J3628" s="210">
        <v>29880</v>
      </c>
      <c r="K3628" s="219"/>
      <c r="L3628" s="210">
        <v>41.5</v>
      </c>
      <c r="M3628" s="210">
        <v>20</v>
      </c>
      <c r="N3628" s="213"/>
      <c r="O3628" s="212">
        <v>0.2</v>
      </c>
      <c r="P3628" s="212"/>
      <c r="Q3628" s="213">
        <v>10209</v>
      </c>
      <c r="R3628" s="205" t="s">
        <v>285</v>
      </c>
      <c r="S3628" s="214" t="s">
        <v>275</v>
      </c>
      <c r="T3628" s="214">
        <v>21</v>
      </c>
      <c r="U3628" s="215" t="s">
        <v>164</v>
      </c>
      <c r="V3628" s="438"/>
      <c r="X3628" s="213">
        <v>10209</v>
      </c>
      <c r="Y3628" s="213"/>
      <c r="AF3628" s="230">
        <f>X3628</f>
        <v>10209</v>
      </c>
      <c r="AJ3628" s="216"/>
    </row>
    <row r="3629" spans="1:77" s="291" customFormat="1" ht="11.25" customHeight="1">
      <c r="B3629" s="313" t="s">
        <v>291</v>
      </c>
      <c r="C3629" s="292">
        <v>44755</v>
      </c>
      <c r="D3629" s="292">
        <v>44755</v>
      </c>
      <c r="E3629" s="293" t="s">
        <v>2752</v>
      </c>
      <c r="F3629" s="303" t="s">
        <v>863</v>
      </c>
      <c r="G3629" s="304" t="s">
        <v>864</v>
      </c>
      <c r="H3629" s="291" t="s">
        <v>910</v>
      </c>
      <c r="I3629" s="295" t="s">
        <v>961</v>
      </c>
      <c r="J3629" s="305">
        <v>30625</v>
      </c>
      <c r="K3629" s="295"/>
      <c r="L3629" s="305">
        <v>14</v>
      </c>
      <c r="M3629" s="305">
        <v>14</v>
      </c>
      <c r="N3629" s="297">
        <v>3062.5</v>
      </c>
      <c r="O3629" s="307">
        <v>0.25</v>
      </c>
      <c r="P3629" s="298"/>
      <c r="Q3629" s="297">
        <v>0</v>
      </c>
      <c r="R3629" s="291" t="s">
        <v>112</v>
      </c>
      <c r="S3629" s="299" t="s">
        <v>113</v>
      </c>
      <c r="T3629" s="299">
        <v>64</v>
      </c>
      <c r="U3629" s="300" t="s">
        <v>164</v>
      </c>
      <c r="V3629" s="333"/>
      <c r="X3629" s="297">
        <v>0</v>
      </c>
      <c r="Y3629" s="297"/>
      <c r="AH3629" s="291">
        <f>X3629</f>
        <v>0</v>
      </c>
      <c r="AI3629" s="311"/>
      <c r="AJ3629" s="468"/>
    </row>
    <row r="3630" spans="1:77" s="337" customFormat="1" ht="11.25" customHeight="1">
      <c r="B3630" s="367" t="s">
        <v>291</v>
      </c>
      <c r="C3630" s="349"/>
      <c r="D3630" s="349"/>
      <c r="E3630" s="350" t="s">
        <v>2752</v>
      </c>
      <c r="F3630" s="341" t="s">
        <v>863</v>
      </c>
      <c r="G3630" s="342" t="s">
        <v>864</v>
      </c>
      <c r="H3630" s="337" t="s">
        <v>866</v>
      </c>
      <c r="I3630" s="353" t="s">
        <v>961</v>
      </c>
      <c r="J3630" s="352">
        <v>57750</v>
      </c>
      <c r="K3630" s="353"/>
      <c r="L3630" s="352">
        <v>30</v>
      </c>
      <c r="M3630" s="352">
        <v>30</v>
      </c>
      <c r="N3630" s="354">
        <v>35949.379999999997</v>
      </c>
      <c r="O3630" s="345">
        <v>0.25</v>
      </c>
      <c r="P3630" s="355"/>
      <c r="Q3630" s="354">
        <v>19105.63</v>
      </c>
      <c r="R3630" s="337" t="s">
        <v>112</v>
      </c>
      <c r="S3630" s="356" t="s">
        <v>113</v>
      </c>
      <c r="T3630" s="356">
        <v>64</v>
      </c>
      <c r="U3630" s="357" t="s">
        <v>164</v>
      </c>
      <c r="V3630" s="434"/>
      <c r="X3630" s="354">
        <v>19105.63</v>
      </c>
      <c r="Y3630" s="354"/>
      <c r="AI3630" s="354">
        <v>19105.63</v>
      </c>
      <c r="AJ3630" s="358"/>
      <c r="AK3630" s="369"/>
    </row>
    <row r="3631" spans="1:77" s="337" customFormat="1" ht="11.25" customHeight="1">
      <c r="B3631" s="367" t="s">
        <v>291</v>
      </c>
      <c r="C3631" s="349"/>
      <c r="D3631" s="349"/>
      <c r="E3631" s="350" t="s">
        <v>2752</v>
      </c>
      <c r="F3631" s="341" t="s">
        <v>863</v>
      </c>
      <c r="G3631" s="342" t="s">
        <v>864</v>
      </c>
      <c r="H3631" s="337" t="s">
        <v>2171</v>
      </c>
      <c r="I3631" s="353" t="s">
        <v>961</v>
      </c>
      <c r="J3631" s="343">
        <v>7700</v>
      </c>
      <c r="K3631" s="353"/>
      <c r="L3631" s="343">
        <v>4</v>
      </c>
      <c r="M3631" s="343">
        <v>4</v>
      </c>
      <c r="N3631" s="354">
        <v>6545</v>
      </c>
      <c r="O3631" s="345">
        <v>0.25</v>
      </c>
      <c r="P3631" s="355"/>
      <c r="Q3631" s="354">
        <v>4389</v>
      </c>
      <c r="R3631" s="337" t="s">
        <v>112</v>
      </c>
      <c r="S3631" s="356" t="s">
        <v>113</v>
      </c>
      <c r="T3631" s="356">
        <v>64</v>
      </c>
      <c r="U3631" s="357" t="s">
        <v>164</v>
      </c>
      <c r="V3631" s="434"/>
      <c r="X3631" s="354">
        <v>4389</v>
      </c>
      <c r="Y3631" s="354"/>
      <c r="AI3631" s="337">
        <v>4389</v>
      </c>
      <c r="AJ3631" s="358"/>
      <c r="AK3631" s="369"/>
      <c r="AL3631" s="353"/>
      <c r="AM3631" s="353"/>
      <c r="AN3631" s="353"/>
      <c r="AO3631" s="353"/>
      <c r="AP3631" s="353"/>
      <c r="AQ3631" s="353"/>
      <c r="AR3631" s="353"/>
      <c r="AS3631" s="353"/>
      <c r="AT3631" s="353"/>
      <c r="AU3631" s="353"/>
      <c r="AV3631" s="353"/>
      <c r="AW3631" s="353"/>
      <c r="AX3631" s="353"/>
      <c r="AY3631" s="353"/>
      <c r="AZ3631" s="353"/>
      <c r="BA3631" s="353"/>
      <c r="BB3631" s="353"/>
      <c r="BC3631" s="353"/>
      <c r="BD3631" s="353"/>
      <c r="BE3631" s="353"/>
      <c r="BF3631" s="353"/>
      <c r="BG3631" s="353"/>
      <c r="BH3631" s="353"/>
      <c r="BI3631" s="353"/>
      <c r="BJ3631" s="353"/>
      <c r="BK3631" s="353"/>
      <c r="BL3631" s="353"/>
      <c r="BM3631" s="353"/>
      <c r="BN3631" s="353"/>
      <c r="BO3631" s="353"/>
      <c r="BP3631" s="353"/>
      <c r="BQ3631" s="353"/>
      <c r="BR3631" s="353"/>
      <c r="BS3631" s="353"/>
      <c r="BT3631" s="353"/>
      <c r="BU3631" s="353"/>
      <c r="BV3631" s="353"/>
      <c r="BW3631" s="353"/>
      <c r="BX3631" s="353"/>
      <c r="BY3631" s="353"/>
    </row>
    <row r="3632" spans="1:77" s="291" customFormat="1" ht="11.25" customHeight="1">
      <c r="B3632" s="313" t="s">
        <v>291</v>
      </c>
      <c r="C3632" s="292"/>
      <c r="D3632" s="292"/>
      <c r="E3632" s="293" t="s">
        <v>2752</v>
      </c>
      <c r="F3632" s="303" t="s">
        <v>863</v>
      </c>
      <c r="G3632" s="304" t="s">
        <v>864</v>
      </c>
      <c r="H3632" s="291" t="s">
        <v>814</v>
      </c>
      <c r="I3632" s="295" t="s">
        <v>961</v>
      </c>
      <c r="J3632" s="296">
        <v>11900</v>
      </c>
      <c r="K3632" s="295"/>
      <c r="L3632" s="296">
        <v>8.5</v>
      </c>
      <c r="M3632" s="296">
        <v>8.5</v>
      </c>
      <c r="N3632" s="297">
        <v>2381.6</v>
      </c>
      <c r="O3632" s="307">
        <v>0.25</v>
      </c>
      <c r="P3632" s="298"/>
      <c r="Q3632" s="297">
        <v>0</v>
      </c>
      <c r="R3632" s="291" t="s">
        <v>112</v>
      </c>
      <c r="S3632" s="299" t="s">
        <v>113</v>
      </c>
      <c r="T3632" s="299">
        <v>64</v>
      </c>
      <c r="U3632" s="300" t="s">
        <v>164</v>
      </c>
      <c r="V3632" s="333"/>
      <c r="X3632" s="297">
        <v>0</v>
      </c>
      <c r="Y3632" s="297"/>
      <c r="AH3632" s="291">
        <f>X3632</f>
        <v>0</v>
      </c>
      <c r="AI3632" s="311"/>
      <c r="AJ3632" s="468"/>
      <c r="AK3632" s="295"/>
      <c r="AL3632" s="295"/>
      <c r="AM3632" s="295"/>
      <c r="AN3632" s="295"/>
      <c r="AO3632" s="295"/>
      <c r="AP3632" s="295"/>
      <c r="AQ3632" s="295"/>
      <c r="AR3632" s="295"/>
      <c r="AS3632" s="295"/>
      <c r="AT3632" s="295"/>
      <c r="AU3632" s="295"/>
      <c r="AV3632" s="295"/>
      <c r="AW3632" s="295"/>
      <c r="AX3632" s="295"/>
      <c r="AY3632" s="295"/>
      <c r="AZ3632" s="295"/>
      <c r="BA3632" s="295"/>
      <c r="BB3632" s="295"/>
      <c r="BC3632" s="295"/>
      <c r="BD3632" s="295"/>
      <c r="BE3632" s="295"/>
      <c r="BF3632" s="295"/>
      <c r="BG3632" s="295"/>
      <c r="BH3632" s="295"/>
      <c r="BI3632" s="295"/>
      <c r="BJ3632" s="295"/>
      <c r="BK3632" s="295"/>
      <c r="BL3632" s="295"/>
      <c r="BM3632" s="295"/>
      <c r="BN3632" s="295"/>
      <c r="BO3632" s="295"/>
      <c r="BP3632" s="295"/>
      <c r="BQ3632" s="295"/>
      <c r="BR3632" s="295"/>
      <c r="BS3632" s="295"/>
      <c r="BT3632" s="295"/>
      <c r="BU3632" s="295"/>
      <c r="BV3632" s="295"/>
      <c r="BW3632" s="295"/>
      <c r="BX3632" s="295"/>
      <c r="BY3632" s="295"/>
    </row>
    <row r="3633" spans="2:41" s="379" customFormat="1" ht="11.25" customHeight="1">
      <c r="B3633" s="380" t="s">
        <v>291</v>
      </c>
      <c r="C3633" s="381">
        <v>44756</v>
      </c>
      <c r="D3633" s="381">
        <v>44756</v>
      </c>
      <c r="E3633" s="382" t="s">
        <v>2754</v>
      </c>
      <c r="F3633" s="379" t="s">
        <v>1628</v>
      </c>
      <c r="G3633" s="383" t="s">
        <v>1629</v>
      </c>
      <c r="H3633" s="379" t="s">
        <v>1742</v>
      </c>
      <c r="I3633" s="384" t="s">
        <v>111</v>
      </c>
      <c r="J3633" s="385">
        <v>18143.28</v>
      </c>
      <c r="K3633" s="384"/>
      <c r="L3633" s="385">
        <v>12</v>
      </c>
      <c r="M3633" s="385">
        <v>12</v>
      </c>
      <c r="N3633" s="386"/>
      <c r="O3633" s="387">
        <v>0.25</v>
      </c>
      <c r="P3633" s="387"/>
      <c r="Q3633" s="386">
        <v>0</v>
      </c>
      <c r="R3633" s="379" t="s">
        <v>149</v>
      </c>
      <c r="S3633" s="388" t="s">
        <v>113</v>
      </c>
      <c r="T3633" s="388">
        <v>40</v>
      </c>
      <c r="U3633" s="389" t="s">
        <v>164</v>
      </c>
      <c r="V3633" s="433"/>
      <c r="X3633" s="386">
        <v>0</v>
      </c>
      <c r="Y3633" s="386"/>
      <c r="AJ3633" s="390">
        <v>0</v>
      </c>
    </row>
    <row r="3634" spans="2:41" s="379" customFormat="1" ht="11.25" customHeight="1">
      <c r="B3634" s="380" t="s">
        <v>291</v>
      </c>
      <c r="C3634" s="381"/>
      <c r="D3634" s="381"/>
      <c r="E3634" s="382" t="s">
        <v>2754</v>
      </c>
      <c r="F3634" s="379" t="s">
        <v>1628</v>
      </c>
      <c r="G3634" s="383" t="s">
        <v>1629</v>
      </c>
      <c r="H3634" s="379" t="s">
        <v>910</v>
      </c>
      <c r="I3634" s="384" t="s">
        <v>111</v>
      </c>
      <c r="J3634" s="416">
        <v>54411.56</v>
      </c>
      <c r="K3634" s="384"/>
      <c r="L3634" s="416">
        <v>28</v>
      </c>
      <c r="M3634" s="416">
        <v>28</v>
      </c>
      <c r="N3634" s="386"/>
      <c r="O3634" s="387">
        <v>0.25</v>
      </c>
      <c r="P3634" s="387"/>
      <c r="Q3634" s="386">
        <v>0</v>
      </c>
      <c r="R3634" s="379" t="s">
        <v>149</v>
      </c>
      <c r="S3634" s="388" t="s">
        <v>113</v>
      </c>
      <c r="T3634" s="388">
        <v>40</v>
      </c>
      <c r="U3634" s="389" t="s">
        <v>164</v>
      </c>
      <c r="V3634" s="433"/>
      <c r="X3634" s="386">
        <v>0</v>
      </c>
      <c r="Y3634" s="386"/>
      <c r="AJ3634" s="390">
        <v>0</v>
      </c>
    </row>
    <row r="3635" spans="2:41" s="379" customFormat="1" ht="11.25" customHeight="1">
      <c r="B3635" s="406" t="s">
        <v>291</v>
      </c>
      <c r="C3635" s="381">
        <v>44757</v>
      </c>
      <c r="D3635" s="381">
        <v>44757</v>
      </c>
      <c r="E3635" s="382" t="s">
        <v>2756</v>
      </c>
      <c r="F3635" s="379" t="s">
        <v>185</v>
      </c>
      <c r="G3635" s="400">
        <v>3951</v>
      </c>
      <c r="H3635" s="379" t="s">
        <v>910</v>
      </c>
      <c r="I3635" s="384" t="s">
        <v>111</v>
      </c>
      <c r="J3635" s="385">
        <v>65331.199999999997</v>
      </c>
      <c r="K3635" s="384"/>
      <c r="L3635" s="385">
        <v>37.119999999999997</v>
      </c>
      <c r="M3635" s="385">
        <v>20</v>
      </c>
      <c r="N3635" s="386"/>
      <c r="O3635" s="387">
        <v>0.2</v>
      </c>
      <c r="P3635" s="387"/>
      <c r="Q3635" s="386">
        <v>0</v>
      </c>
      <c r="R3635" s="379" t="s">
        <v>146</v>
      </c>
      <c r="S3635" s="388" t="s">
        <v>74</v>
      </c>
      <c r="T3635" s="388">
        <v>32</v>
      </c>
      <c r="U3635" s="389" t="s">
        <v>164</v>
      </c>
      <c r="V3635" s="433"/>
      <c r="X3635" s="386">
        <v>0</v>
      </c>
      <c r="Y3635" s="386"/>
      <c r="AJ3635" s="390">
        <v>0</v>
      </c>
    </row>
    <row r="3636" spans="2:41" s="379" customFormat="1" ht="11.25" customHeight="1">
      <c r="B3636" s="406" t="s">
        <v>291</v>
      </c>
      <c r="C3636" s="381"/>
      <c r="D3636" s="381"/>
      <c r="E3636" s="382" t="s">
        <v>2756</v>
      </c>
      <c r="F3636" s="379" t="s">
        <v>185</v>
      </c>
      <c r="G3636" s="400">
        <v>3951</v>
      </c>
      <c r="H3636" s="379" t="s">
        <v>814</v>
      </c>
      <c r="I3636" s="384" t="s">
        <v>111</v>
      </c>
      <c r="J3636" s="385">
        <v>15384.6</v>
      </c>
      <c r="K3636" s="384"/>
      <c r="L3636" s="385">
        <v>12.95</v>
      </c>
      <c r="M3636" s="385">
        <v>12.95</v>
      </c>
      <c r="N3636" s="386"/>
      <c r="O3636" s="387">
        <v>0.2</v>
      </c>
      <c r="P3636" s="387"/>
      <c r="Q3636" s="386">
        <v>0</v>
      </c>
      <c r="R3636" s="379" t="s">
        <v>146</v>
      </c>
      <c r="S3636" s="388" t="s">
        <v>74</v>
      </c>
      <c r="T3636" s="388">
        <v>32</v>
      </c>
      <c r="U3636" s="389" t="s">
        <v>164</v>
      </c>
      <c r="V3636" s="433"/>
      <c r="X3636" s="386">
        <v>0</v>
      </c>
      <c r="Y3636" s="386"/>
      <c r="AJ3636" s="390">
        <v>0</v>
      </c>
    </row>
    <row r="3637" spans="2:41" s="379" customFormat="1" ht="11.25" customHeight="1">
      <c r="B3637" s="406" t="s">
        <v>291</v>
      </c>
      <c r="C3637" s="381"/>
      <c r="D3637" s="381"/>
      <c r="E3637" s="382" t="s">
        <v>2756</v>
      </c>
      <c r="F3637" s="379" t="s">
        <v>185</v>
      </c>
      <c r="G3637" s="400">
        <v>3951</v>
      </c>
      <c r="H3637" s="379" t="s">
        <v>765</v>
      </c>
      <c r="I3637" s="384" t="s">
        <v>111</v>
      </c>
      <c r="J3637" s="385">
        <v>28371.200000000001</v>
      </c>
      <c r="K3637" s="384"/>
      <c r="L3637" s="385">
        <v>32.24</v>
      </c>
      <c r="M3637" s="385">
        <v>32.24</v>
      </c>
      <c r="N3637" s="386"/>
      <c r="O3637" s="387">
        <v>0.2</v>
      </c>
      <c r="P3637" s="387"/>
      <c r="Q3637" s="386">
        <v>0</v>
      </c>
      <c r="R3637" s="379" t="s">
        <v>146</v>
      </c>
      <c r="S3637" s="388" t="s">
        <v>74</v>
      </c>
      <c r="T3637" s="388">
        <v>32</v>
      </c>
      <c r="U3637" s="389" t="s">
        <v>164</v>
      </c>
      <c r="V3637" s="433"/>
      <c r="X3637" s="386">
        <v>0</v>
      </c>
      <c r="Y3637" s="386"/>
      <c r="AJ3637" s="390">
        <v>0</v>
      </c>
    </row>
    <row r="3638" spans="2:41" s="473" customFormat="1" ht="11.25" customHeight="1">
      <c r="B3638" s="501" t="s">
        <v>291</v>
      </c>
      <c r="C3638" s="487">
        <v>44757</v>
      </c>
      <c r="D3638" s="487">
        <v>44757</v>
      </c>
      <c r="E3638" s="488" t="s">
        <v>2757</v>
      </c>
      <c r="F3638" s="501" t="s">
        <v>2759</v>
      </c>
      <c r="G3638" s="476" t="s">
        <v>2758</v>
      </c>
      <c r="H3638" s="473" t="s">
        <v>1376</v>
      </c>
      <c r="I3638" s="491" t="s">
        <v>33</v>
      </c>
      <c r="J3638" s="490">
        <f>1.52*327*L3638</f>
        <v>13966.824000000001</v>
      </c>
      <c r="K3638" s="491"/>
      <c r="L3638" s="490">
        <v>28.1</v>
      </c>
      <c r="M3638" s="490">
        <f>8.14+19.96</f>
        <v>28.1</v>
      </c>
      <c r="N3638" s="492">
        <v>4190.0472</v>
      </c>
      <c r="O3638" s="480">
        <v>0.25</v>
      </c>
      <c r="P3638" s="493"/>
      <c r="Q3638" s="492">
        <v>186.32</v>
      </c>
      <c r="R3638" s="473" t="s">
        <v>285</v>
      </c>
      <c r="S3638" s="481" t="s">
        <v>275</v>
      </c>
      <c r="T3638" s="481">
        <v>21</v>
      </c>
      <c r="U3638" s="494" t="s">
        <v>164</v>
      </c>
      <c r="V3638" s="495"/>
      <c r="X3638" s="492">
        <v>186.32</v>
      </c>
      <c r="Y3638" s="492"/>
      <c r="AJ3638" s="485"/>
      <c r="AK3638" s="505">
        <v>186.32</v>
      </c>
    </row>
    <row r="3639" spans="2:41" s="337" customFormat="1" ht="11.25" customHeight="1">
      <c r="B3639" s="338" t="s">
        <v>291</v>
      </c>
      <c r="C3639" s="349">
        <v>44727</v>
      </c>
      <c r="D3639" s="349">
        <v>44758</v>
      </c>
      <c r="E3639" s="350" t="s">
        <v>2760</v>
      </c>
      <c r="F3639" s="337" t="s">
        <v>1708</v>
      </c>
      <c r="G3639" s="351" t="s">
        <v>1643</v>
      </c>
      <c r="H3639" s="337" t="s">
        <v>765</v>
      </c>
      <c r="I3639" s="353" t="s">
        <v>888</v>
      </c>
      <c r="J3639" s="352">
        <v>29545.43</v>
      </c>
      <c r="K3639" s="353"/>
      <c r="L3639" s="352">
        <v>24.05</v>
      </c>
      <c r="M3639" s="352">
        <v>24.05</v>
      </c>
      <c r="N3639" s="354">
        <v>9749.9902500000007</v>
      </c>
      <c r="O3639" s="345">
        <v>0.2</v>
      </c>
      <c r="P3639" s="355"/>
      <c r="Q3639" s="354">
        <v>4898.93</v>
      </c>
      <c r="R3639" s="337" t="s">
        <v>251</v>
      </c>
      <c r="S3639" s="356" t="s">
        <v>74</v>
      </c>
      <c r="T3639" s="356">
        <v>47</v>
      </c>
      <c r="U3639" s="357" t="s">
        <v>164</v>
      </c>
      <c r="V3639" s="434"/>
      <c r="X3639" s="354">
        <v>4898.93</v>
      </c>
      <c r="Y3639" s="354"/>
      <c r="AI3639" s="337">
        <f>X3639</f>
        <v>4898.93</v>
      </c>
      <c r="AJ3639" s="358"/>
      <c r="AK3639" s="369"/>
    </row>
    <row r="3640" spans="2:41" s="337" customFormat="1" ht="11.25" customHeight="1">
      <c r="B3640" s="338" t="s">
        <v>291</v>
      </c>
      <c r="C3640" s="349">
        <v>44758</v>
      </c>
      <c r="D3640" s="349">
        <v>44758</v>
      </c>
      <c r="E3640" s="350" t="s">
        <v>2761</v>
      </c>
      <c r="F3640" s="341" t="s">
        <v>2766</v>
      </c>
      <c r="G3640" s="342" t="s">
        <v>2762</v>
      </c>
      <c r="H3640" s="337" t="s">
        <v>910</v>
      </c>
      <c r="I3640" s="353" t="s">
        <v>958</v>
      </c>
      <c r="J3640" s="352">
        <v>46674.42</v>
      </c>
      <c r="K3640" s="353"/>
      <c r="L3640" s="352">
        <v>24.28</v>
      </c>
      <c r="M3640" s="352">
        <v>8.19</v>
      </c>
      <c r="N3640" s="354">
        <v>9334.8799999999992</v>
      </c>
      <c r="O3640" s="345">
        <v>0.25</v>
      </c>
      <c r="P3640" s="355"/>
      <c r="Q3640" s="354">
        <v>0</v>
      </c>
      <c r="R3640" s="337" t="s">
        <v>112</v>
      </c>
      <c r="S3640" s="356" t="s">
        <v>113</v>
      </c>
      <c r="T3640" s="356">
        <v>64</v>
      </c>
      <c r="U3640" s="357" t="s">
        <v>164</v>
      </c>
      <c r="V3640" s="434"/>
      <c r="X3640" s="354">
        <v>0</v>
      </c>
      <c r="Y3640" s="354"/>
      <c r="AI3640" s="337">
        <f>X3640</f>
        <v>0</v>
      </c>
      <c r="AJ3640" s="358"/>
      <c r="AK3640" s="369"/>
    </row>
    <row r="3641" spans="2:41" s="337" customFormat="1" ht="11.25" customHeight="1">
      <c r="B3641" s="338" t="s">
        <v>291</v>
      </c>
      <c r="C3641" s="349"/>
      <c r="D3641" s="349"/>
      <c r="E3641" s="350" t="s">
        <v>2761</v>
      </c>
      <c r="F3641" s="341" t="s">
        <v>2766</v>
      </c>
      <c r="G3641" s="342" t="s">
        <v>2762</v>
      </c>
      <c r="H3641" s="337" t="s">
        <v>866</v>
      </c>
      <c r="I3641" s="353" t="s">
        <v>958</v>
      </c>
      <c r="J3641" s="352">
        <v>52872.5</v>
      </c>
      <c r="K3641" s="353"/>
      <c r="L3641" s="352">
        <v>26.42</v>
      </c>
      <c r="M3641" s="352">
        <v>26.42</v>
      </c>
      <c r="N3641" s="354">
        <f>13895.54+5498.38</f>
        <v>19393.920000000002</v>
      </c>
      <c r="O3641" s="345">
        <v>0.25</v>
      </c>
      <c r="P3641" s="355"/>
      <c r="Q3641" s="354">
        <v>15706.49</v>
      </c>
      <c r="R3641" s="337" t="s">
        <v>112</v>
      </c>
      <c r="S3641" s="356" t="s">
        <v>113</v>
      </c>
      <c r="T3641" s="356">
        <v>64</v>
      </c>
      <c r="U3641" s="357" t="s">
        <v>164</v>
      </c>
      <c r="V3641" s="434"/>
      <c r="X3641" s="354">
        <v>15706.49</v>
      </c>
      <c r="Y3641" s="354"/>
      <c r="AI3641" s="354">
        <v>15706.49</v>
      </c>
      <c r="AJ3641" s="358"/>
      <c r="AK3641" s="369"/>
    </row>
    <row r="3642" spans="2:41" s="379" customFormat="1" ht="11.25" customHeight="1">
      <c r="B3642" s="406" t="s">
        <v>291</v>
      </c>
      <c r="C3642" s="381">
        <v>44758</v>
      </c>
      <c r="D3642" s="381">
        <v>44758</v>
      </c>
      <c r="E3642" s="382" t="s">
        <v>2763</v>
      </c>
      <c r="F3642" s="394" t="s">
        <v>2832</v>
      </c>
      <c r="G3642" s="400" t="s">
        <v>1452</v>
      </c>
      <c r="H3642" s="394" t="s">
        <v>865</v>
      </c>
      <c r="I3642" s="384" t="s">
        <v>33</v>
      </c>
      <c r="J3642" s="395">
        <v>48020</v>
      </c>
      <c r="K3642" s="384"/>
      <c r="L3642" s="395">
        <v>24.5</v>
      </c>
      <c r="M3642" s="395">
        <v>24.5</v>
      </c>
      <c r="N3642" s="386">
        <f>1372+6860</f>
        <v>8232</v>
      </c>
      <c r="O3642" s="397">
        <v>0.15</v>
      </c>
      <c r="P3642" s="387"/>
      <c r="Q3642" s="386">
        <v>0</v>
      </c>
      <c r="R3642" s="394" t="s">
        <v>112</v>
      </c>
      <c r="S3642" s="399" t="s">
        <v>113</v>
      </c>
      <c r="T3642" s="399">
        <v>64</v>
      </c>
      <c r="U3642" s="389" t="s">
        <v>164</v>
      </c>
      <c r="V3642" s="433"/>
      <c r="X3642" s="386">
        <v>0</v>
      </c>
      <c r="Y3642" s="386"/>
      <c r="AJ3642" s="390">
        <v>0</v>
      </c>
    </row>
    <row r="3643" spans="2:41" s="337" customFormat="1" ht="11.25" customHeight="1">
      <c r="B3643" s="367" t="s">
        <v>291</v>
      </c>
      <c r="C3643" s="349"/>
      <c r="D3643" s="349"/>
      <c r="E3643" s="350" t="s">
        <v>2763</v>
      </c>
      <c r="F3643" s="341" t="s">
        <v>2832</v>
      </c>
      <c r="G3643" s="342" t="s">
        <v>1452</v>
      </c>
      <c r="H3643" s="341" t="s">
        <v>814</v>
      </c>
      <c r="I3643" s="353" t="s">
        <v>33</v>
      </c>
      <c r="J3643" s="343">
        <v>20054.89</v>
      </c>
      <c r="K3643" s="353"/>
      <c r="L3643" s="343">
        <v>12</v>
      </c>
      <c r="M3643" s="343">
        <v>12</v>
      </c>
      <c r="N3643" s="354">
        <v>3008.23</v>
      </c>
      <c r="O3643" s="345">
        <v>0.15</v>
      </c>
      <c r="P3643" s="355"/>
      <c r="Q3643" s="354">
        <v>0</v>
      </c>
      <c r="R3643" s="341" t="s">
        <v>112</v>
      </c>
      <c r="S3643" s="346" t="s">
        <v>113</v>
      </c>
      <c r="T3643" s="346">
        <v>64</v>
      </c>
      <c r="U3643" s="357" t="s">
        <v>164</v>
      </c>
      <c r="V3643" s="434"/>
      <c r="X3643" s="354">
        <v>0</v>
      </c>
      <c r="Y3643" s="354"/>
      <c r="AI3643" s="337">
        <v>0</v>
      </c>
      <c r="AJ3643" s="358"/>
      <c r="AK3643" s="369"/>
    </row>
    <row r="3644" spans="2:41" s="379" customFormat="1" ht="11.25" customHeight="1">
      <c r="B3644" s="406" t="s">
        <v>291</v>
      </c>
      <c r="C3644" s="381">
        <v>44743</v>
      </c>
      <c r="D3644" s="381">
        <v>44758</v>
      </c>
      <c r="E3644" s="382" t="s">
        <v>2764</v>
      </c>
      <c r="F3644" s="379" t="s">
        <v>3489</v>
      </c>
      <c r="G3644" s="383">
        <v>4466</v>
      </c>
      <c r="H3644" s="379" t="s">
        <v>866</v>
      </c>
      <c r="I3644" s="384" t="s">
        <v>111</v>
      </c>
      <c r="J3644" s="385">
        <v>50752</v>
      </c>
      <c r="K3644" s="384"/>
      <c r="L3644" s="385">
        <v>40</v>
      </c>
      <c r="M3644" s="385">
        <v>40</v>
      </c>
      <c r="N3644" s="386">
        <v>50752</v>
      </c>
      <c r="O3644" s="397">
        <v>0.15</v>
      </c>
      <c r="P3644" s="387"/>
      <c r="Q3644" s="386">
        <v>3824</v>
      </c>
      <c r="R3644" s="379" t="s">
        <v>142</v>
      </c>
      <c r="S3644" s="388" t="s">
        <v>41</v>
      </c>
      <c r="T3644" s="388">
        <v>17</v>
      </c>
      <c r="U3644" s="389" t="s">
        <v>164</v>
      </c>
      <c r="V3644" s="433"/>
      <c r="X3644" s="386">
        <v>3824</v>
      </c>
      <c r="Y3644" s="386"/>
      <c r="AJ3644" s="416">
        <v>3824</v>
      </c>
    </row>
    <row r="3645" spans="2:41" s="379" customFormat="1" ht="11.25" customHeight="1">
      <c r="B3645" s="406" t="s">
        <v>291</v>
      </c>
      <c r="C3645" s="381"/>
      <c r="D3645" s="381"/>
      <c r="E3645" s="382" t="s">
        <v>2764</v>
      </c>
      <c r="F3645" s="379" t="s">
        <v>3489</v>
      </c>
      <c r="G3645" s="383">
        <v>4466</v>
      </c>
      <c r="H3645" s="379" t="s">
        <v>765</v>
      </c>
      <c r="I3645" s="384" t="s">
        <v>111</v>
      </c>
      <c r="J3645" s="385">
        <v>14613.41</v>
      </c>
      <c r="K3645" s="384"/>
      <c r="L3645" s="385">
        <v>13.77</v>
      </c>
      <c r="M3645" s="385">
        <v>13.77</v>
      </c>
      <c r="N3645" s="386">
        <v>14613.41</v>
      </c>
      <c r="O3645" s="397">
        <v>0.15</v>
      </c>
      <c r="P3645" s="387"/>
      <c r="Q3645" s="386">
        <v>1179.92</v>
      </c>
      <c r="R3645" s="379" t="s">
        <v>142</v>
      </c>
      <c r="S3645" s="388" t="s">
        <v>41</v>
      </c>
      <c r="T3645" s="388">
        <v>17</v>
      </c>
      <c r="U3645" s="389" t="s">
        <v>164</v>
      </c>
      <c r="V3645" s="433"/>
      <c r="X3645" s="386">
        <v>1179.92</v>
      </c>
      <c r="Y3645" s="386"/>
      <c r="AJ3645" s="416">
        <v>1179.92</v>
      </c>
    </row>
    <row r="3646" spans="2:41" s="618" customFormat="1" ht="11.25" customHeight="1">
      <c r="B3646" s="619" t="s">
        <v>291</v>
      </c>
      <c r="C3646" s="620">
        <v>44760</v>
      </c>
      <c r="D3646" s="620">
        <v>44760</v>
      </c>
      <c r="E3646" s="621" t="s">
        <v>2765</v>
      </c>
      <c r="F3646" s="618" t="s">
        <v>2831</v>
      </c>
      <c r="G3646" s="634" t="s">
        <v>2734</v>
      </c>
      <c r="H3646" s="618" t="s">
        <v>157</v>
      </c>
      <c r="I3646" s="624" t="s">
        <v>888</v>
      </c>
      <c r="J3646" s="635">
        <v>9967.24</v>
      </c>
      <c r="K3646" s="626"/>
      <c r="L3646" s="635">
        <v>15.71</v>
      </c>
      <c r="M3646" s="635">
        <v>15.71</v>
      </c>
      <c r="N3646" s="627">
        <v>3986.8963680000002</v>
      </c>
      <c r="O3646" s="628">
        <v>0.25</v>
      </c>
      <c r="P3646" s="628"/>
      <c r="Q3646" s="627">
        <v>2593.52</v>
      </c>
      <c r="R3646" s="618" t="s">
        <v>285</v>
      </c>
      <c r="S3646" s="629" t="s">
        <v>275</v>
      </c>
      <c r="T3646" s="629">
        <v>89</v>
      </c>
      <c r="U3646" s="631" t="s">
        <v>164</v>
      </c>
      <c r="V3646" s="632"/>
      <c r="X3646" s="627">
        <v>2593.52</v>
      </c>
      <c r="Y3646" s="627"/>
      <c r="AJ3646" s="633"/>
      <c r="AO3646" s="627">
        <v>2593.52</v>
      </c>
    </row>
    <row r="3647" spans="2:41" s="291" customFormat="1" ht="11.25" customHeight="1">
      <c r="B3647" s="310" t="s">
        <v>291</v>
      </c>
      <c r="C3647" s="292">
        <v>44760</v>
      </c>
      <c r="D3647" s="292">
        <v>44760</v>
      </c>
      <c r="E3647" s="293" t="s">
        <v>2767</v>
      </c>
      <c r="F3647" s="291" t="s">
        <v>2768</v>
      </c>
      <c r="G3647" s="294" t="s">
        <v>2769</v>
      </c>
      <c r="H3647" s="291" t="s">
        <v>157</v>
      </c>
      <c r="I3647" s="303" t="s">
        <v>888</v>
      </c>
      <c r="J3647" s="296">
        <v>7541.1</v>
      </c>
      <c r="K3647" s="295"/>
      <c r="L3647" s="296">
        <v>15</v>
      </c>
      <c r="M3647" s="296">
        <v>15</v>
      </c>
      <c r="N3647" s="297">
        <v>3016.44</v>
      </c>
      <c r="O3647" s="307">
        <v>0.2</v>
      </c>
      <c r="P3647" s="298"/>
      <c r="Q3647" s="297">
        <v>2493.1799999999998</v>
      </c>
      <c r="R3647" s="291" t="s">
        <v>285</v>
      </c>
      <c r="S3647" s="299" t="s">
        <v>275</v>
      </c>
      <c r="T3647" s="299">
        <v>89</v>
      </c>
      <c r="U3647" s="300" t="s">
        <v>164</v>
      </c>
      <c r="V3647" s="333"/>
      <c r="X3647" s="297">
        <v>2493.1799999999998</v>
      </c>
      <c r="Y3647" s="297"/>
      <c r="AH3647" s="291">
        <f>X3647</f>
        <v>2493.1799999999998</v>
      </c>
      <c r="AI3647" s="311"/>
      <c r="AJ3647" s="468"/>
    </row>
    <row r="3648" spans="2:41" s="379" customFormat="1" ht="11.25" customHeight="1">
      <c r="B3648" s="406" t="s">
        <v>291</v>
      </c>
      <c r="C3648" s="381">
        <v>44760</v>
      </c>
      <c r="D3648" s="381">
        <v>44760</v>
      </c>
      <c r="E3648" s="382" t="s">
        <v>2770</v>
      </c>
      <c r="F3648" s="394" t="s">
        <v>2526</v>
      </c>
      <c r="G3648" s="383" t="s">
        <v>2527</v>
      </c>
      <c r="H3648" s="379" t="s">
        <v>866</v>
      </c>
      <c r="I3648" s="394" t="s">
        <v>888</v>
      </c>
      <c r="J3648" s="385">
        <v>4030.88</v>
      </c>
      <c r="K3648" s="384"/>
      <c r="L3648" s="385">
        <v>4.29</v>
      </c>
      <c r="M3648" s="385">
        <v>4.29</v>
      </c>
      <c r="N3648" s="386">
        <f>J3648*0.32</f>
        <v>1289.8816000000002</v>
      </c>
      <c r="O3648" s="387">
        <v>0.25</v>
      </c>
      <c r="P3648" s="387"/>
      <c r="Q3648" s="386">
        <v>1463.32</v>
      </c>
      <c r="R3648" s="379" t="s">
        <v>146</v>
      </c>
      <c r="S3648" s="388" t="s">
        <v>74</v>
      </c>
      <c r="T3648" s="388">
        <v>31</v>
      </c>
      <c r="U3648" s="389" t="s">
        <v>164</v>
      </c>
      <c r="V3648" s="433"/>
      <c r="X3648" s="386">
        <v>1463.32</v>
      </c>
      <c r="Y3648" s="386"/>
      <c r="AJ3648" s="416">
        <v>1463.32</v>
      </c>
    </row>
    <row r="3649" spans="1:77" s="379" customFormat="1" ht="11.25" customHeight="1">
      <c r="B3649" s="406" t="s">
        <v>291</v>
      </c>
      <c r="C3649" s="381"/>
      <c r="D3649" s="381"/>
      <c r="E3649" s="382" t="s">
        <v>2770</v>
      </c>
      <c r="F3649" s="394" t="s">
        <v>2526</v>
      </c>
      <c r="G3649" s="383" t="s">
        <v>2527</v>
      </c>
      <c r="H3649" s="379" t="s">
        <v>765</v>
      </c>
      <c r="I3649" s="394" t="s">
        <v>888</v>
      </c>
      <c r="J3649" s="385">
        <v>16576.560000000001</v>
      </c>
      <c r="K3649" s="384"/>
      <c r="L3649" s="385">
        <v>17.71</v>
      </c>
      <c r="M3649" s="385">
        <v>17.71</v>
      </c>
      <c r="N3649" s="386"/>
      <c r="O3649" s="387">
        <v>0.25</v>
      </c>
      <c r="P3649" s="387"/>
      <c r="Q3649" s="386">
        <v>0</v>
      </c>
      <c r="R3649" s="379" t="s">
        <v>146</v>
      </c>
      <c r="S3649" s="388" t="s">
        <v>74</v>
      </c>
      <c r="T3649" s="388">
        <v>31</v>
      </c>
      <c r="U3649" s="389" t="s">
        <v>164</v>
      </c>
      <c r="V3649" s="433"/>
      <c r="X3649" s="386">
        <v>0</v>
      </c>
      <c r="Y3649" s="386"/>
      <c r="AI3649" s="384"/>
      <c r="AJ3649" s="390">
        <v>0</v>
      </c>
    </row>
    <row r="3650" spans="1:77" s="337" customFormat="1" ht="11.25" customHeight="1">
      <c r="A3650" s="379"/>
      <c r="B3650" s="406" t="s">
        <v>291</v>
      </c>
      <c r="C3650" s="381"/>
      <c r="D3650" s="381"/>
      <c r="E3650" s="382" t="s">
        <v>2771</v>
      </c>
      <c r="F3650" s="379" t="s">
        <v>2834</v>
      </c>
      <c r="G3650" s="383" t="s">
        <v>2375</v>
      </c>
      <c r="H3650" s="379" t="s">
        <v>866</v>
      </c>
      <c r="I3650" s="384" t="s">
        <v>888</v>
      </c>
      <c r="J3650" s="385">
        <v>108834</v>
      </c>
      <c r="K3650" s="384"/>
      <c r="L3650" s="385">
        <v>51</v>
      </c>
      <c r="M3650" s="385">
        <v>51</v>
      </c>
      <c r="N3650" s="386">
        <f>7042.2+12377.2</f>
        <v>19419.400000000001</v>
      </c>
      <c r="O3650" s="397">
        <v>0.15</v>
      </c>
      <c r="P3650" s="387"/>
      <c r="Q3650" s="386">
        <v>0</v>
      </c>
      <c r="R3650" s="394" t="s">
        <v>112</v>
      </c>
      <c r="S3650" s="399" t="s">
        <v>113</v>
      </c>
      <c r="T3650" s="399">
        <v>64</v>
      </c>
      <c r="U3650" s="389" t="s">
        <v>164</v>
      </c>
      <c r="V3650" s="433"/>
      <c r="W3650" s="379"/>
      <c r="X3650" s="386">
        <v>0</v>
      </c>
      <c r="Y3650" s="386"/>
      <c r="Z3650" s="379"/>
      <c r="AA3650" s="379"/>
      <c r="AB3650" s="379"/>
      <c r="AC3650" s="379"/>
      <c r="AD3650" s="379"/>
      <c r="AE3650" s="379"/>
      <c r="AF3650" s="379"/>
      <c r="AG3650" s="379"/>
      <c r="AH3650" s="379"/>
      <c r="AI3650" s="384"/>
      <c r="AJ3650" s="390">
        <v>0</v>
      </c>
      <c r="AK3650" s="379"/>
      <c r="AL3650" s="379"/>
      <c r="AM3650" s="379"/>
      <c r="AN3650" s="379"/>
      <c r="AO3650" s="379"/>
      <c r="AP3650" s="379"/>
      <c r="AQ3650" s="379"/>
      <c r="AR3650" s="379"/>
      <c r="AS3650" s="379"/>
      <c r="AT3650" s="379"/>
      <c r="AU3650" s="379"/>
      <c r="AV3650" s="379"/>
      <c r="AW3650" s="379"/>
      <c r="AX3650" s="379"/>
      <c r="AY3650" s="379"/>
      <c r="AZ3650" s="379"/>
      <c r="BA3650" s="379"/>
      <c r="BB3650" s="379"/>
      <c r="BC3650" s="379"/>
      <c r="BD3650" s="379"/>
      <c r="BE3650" s="379"/>
      <c r="BF3650" s="379"/>
      <c r="BG3650" s="379"/>
      <c r="BH3650" s="379"/>
      <c r="BI3650" s="379"/>
      <c r="BJ3650" s="379"/>
      <c r="BK3650" s="379"/>
      <c r="BL3650" s="379"/>
      <c r="BM3650" s="379"/>
      <c r="BN3650" s="379"/>
      <c r="BO3650" s="379"/>
      <c r="BP3650" s="379"/>
      <c r="BQ3650" s="379"/>
      <c r="BR3650" s="379"/>
      <c r="BS3650" s="379"/>
      <c r="BT3650" s="379"/>
      <c r="BU3650" s="379"/>
      <c r="BV3650" s="379"/>
      <c r="BW3650" s="379"/>
      <c r="BX3650" s="379"/>
      <c r="BY3650" s="379"/>
    </row>
    <row r="3651" spans="1:77" s="337" customFormat="1" ht="11.25" customHeight="1">
      <c r="B3651" s="367" t="s">
        <v>291</v>
      </c>
      <c r="C3651" s="349">
        <v>44757</v>
      </c>
      <c r="D3651" s="349">
        <v>44760</v>
      </c>
      <c r="E3651" s="350" t="s">
        <v>2771</v>
      </c>
      <c r="F3651" s="337" t="s">
        <v>2834</v>
      </c>
      <c r="G3651" s="351" t="s">
        <v>2375</v>
      </c>
      <c r="H3651" s="337" t="s">
        <v>910</v>
      </c>
      <c r="I3651" s="353" t="s">
        <v>888</v>
      </c>
      <c r="J3651" s="352">
        <v>25300</v>
      </c>
      <c r="K3651" s="353"/>
      <c r="L3651" s="352">
        <v>11</v>
      </c>
      <c r="M3651" s="352">
        <v>11</v>
      </c>
      <c r="N3651" s="354">
        <v>5060</v>
      </c>
      <c r="O3651" s="345">
        <v>0.15</v>
      </c>
      <c r="P3651" s="355"/>
      <c r="Q3651" s="354">
        <v>0</v>
      </c>
      <c r="R3651" s="341" t="s">
        <v>112</v>
      </c>
      <c r="S3651" s="346" t="s">
        <v>113</v>
      </c>
      <c r="T3651" s="346">
        <v>64</v>
      </c>
      <c r="U3651" s="357" t="s">
        <v>164</v>
      </c>
      <c r="V3651" s="434"/>
      <c r="X3651" s="354">
        <v>0</v>
      </c>
      <c r="Y3651" s="354"/>
      <c r="AI3651" s="337">
        <v>0</v>
      </c>
      <c r="AJ3651" s="358"/>
      <c r="AK3651" s="369"/>
    </row>
    <row r="3652" spans="1:77" s="379" customFormat="1" ht="11.25" customHeight="1">
      <c r="B3652" s="379" t="s">
        <v>291</v>
      </c>
      <c r="C3652" s="381">
        <v>44757</v>
      </c>
      <c r="D3652" s="381">
        <v>44760</v>
      </c>
      <c r="E3652" s="382" t="s">
        <v>2772</v>
      </c>
      <c r="F3652" s="379" t="s">
        <v>2372</v>
      </c>
      <c r="G3652" s="383" t="s">
        <v>2373</v>
      </c>
      <c r="H3652" s="379" t="s">
        <v>866</v>
      </c>
      <c r="I3652" s="384" t="s">
        <v>888</v>
      </c>
      <c r="J3652" s="385">
        <v>47388</v>
      </c>
      <c r="K3652" s="384"/>
      <c r="L3652" s="385">
        <v>22</v>
      </c>
      <c r="M3652" s="385">
        <v>22</v>
      </c>
      <c r="N3652" s="386">
        <v>4738.8</v>
      </c>
      <c r="O3652" s="387">
        <v>0.15</v>
      </c>
      <c r="P3652" s="387"/>
      <c r="Q3652" s="386">
        <v>0</v>
      </c>
      <c r="R3652" s="379" t="s">
        <v>112</v>
      </c>
      <c r="S3652" s="388" t="s">
        <v>113</v>
      </c>
      <c r="T3652" s="388">
        <v>64</v>
      </c>
      <c r="U3652" s="389" t="s">
        <v>164</v>
      </c>
      <c r="V3652" s="433"/>
      <c r="X3652" s="386">
        <v>0</v>
      </c>
      <c r="Y3652" s="386"/>
      <c r="AJ3652" s="390">
        <v>0</v>
      </c>
    </row>
    <row r="3653" spans="1:77" s="379" customFormat="1" ht="11.25" customHeight="1">
      <c r="B3653" s="379" t="s">
        <v>291</v>
      </c>
      <c r="C3653" s="381">
        <v>44760</v>
      </c>
      <c r="D3653" s="381">
        <v>44760</v>
      </c>
      <c r="E3653" s="382" t="s">
        <v>2773</v>
      </c>
      <c r="F3653" s="379" t="s">
        <v>1523</v>
      </c>
      <c r="G3653" s="383">
        <v>4494</v>
      </c>
      <c r="H3653" s="379" t="s">
        <v>866</v>
      </c>
      <c r="I3653" s="384" t="s">
        <v>888</v>
      </c>
      <c r="J3653" s="385">
        <v>109315.36</v>
      </c>
      <c r="K3653" s="384"/>
      <c r="L3653" s="385">
        <v>106.4</v>
      </c>
      <c r="M3653" s="385">
        <v>106.4</v>
      </c>
      <c r="N3653" s="386">
        <v>30608.300800000001</v>
      </c>
      <c r="O3653" s="397">
        <v>0.15</v>
      </c>
      <c r="P3653" s="387"/>
      <c r="Q3653" s="405">
        <v>54294.86</v>
      </c>
      <c r="R3653" s="394" t="s">
        <v>251</v>
      </c>
      <c r="S3653" s="387" t="s">
        <v>150</v>
      </c>
      <c r="T3653" s="388">
        <v>32</v>
      </c>
      <c r="U3653" s="389" t="s">
        <v>164</v>
      </c>
      <c r="V3653" s="433"/>
      <c r="X3653" s="405">
        <v>54294.86</v>
      </c>
      <c r="Y3653" s="386"/>
      <c r="AJ3653" s="385">
        <v>54294.86</v>
      </c>
    </row>
    <row r="3654" spans="1:77" s="291" customFormat="1" ht="11.25" customHeight="1">
      <c r="B3654" s="313" t="s">
        <v>291</v>
      </c>
      <c r="C3654" s="292">
        <v>44757</v>
      </c>
      <c r="D3654" s="292">
        <v>44760</v>
      </c>
      <c r="E3654" s="293" t="s">
        <v>2774</v>
      </c>
      <c r="F3654" s="303" t="s">
        <v>1156</v>
      </c>
      <c r="G3654" s="294" t="s">
        <v>556</v>
      </c>
      <c r="H3654" s="291" t="s">
        <v>898</v>
      </c>
      <c r="I3654" s="303" t="s">
        <v>33</v>
      </c>
      <c r="J3654" s="296">
        <v>43462.99</v>
      </c>
      <c r="K3654" s="295"/>
      <c r="L3654" s="296">
        <v>34.619999999999997</v>
      </c>
      <c r="M3654" s="296">
        <v>34.619999999999997</v>
      </c>
      <c r="N3654" s="297">
        <v>26077.791959999999</v>
      </c>
      <c r="O3654" s="307">
        <v>0.2</v>
      </c>
      <c r="P3654" s="298"/>
      <c r="Q3654" s="306">
        <v>14489.99</v>
      </c>
      <c r="R3654" s="291" t="s">
        <v>42</v>
      </c>
      <c r="S3654" s="308" t="s">
        <v>41</v>
      </c>
      <c r="T3654" s="308">
        <v>79</v>
      </c>
      <c r="U3654" s="300" t="s">
        <v>164</v>
      </c>
      <c r="V3654" s="333"/>
      <c r="X3654" s="306">
        <v>14489.99</v>
      </c>
      <c r="Y3654" s="297"/>
      <c r="AH3654" s="306">
        <f>X3654</f>
        <v>14489.99</v>
      </c>
      <c r="AI3654" s="311"/>
      <c r="AJ3654" s="468"/>
    </row>
    <row r="3655" spans="1:77" s="337" customFormat="1" ht="11.25" customHeight="1">
      <c r="B3655" s="338" t="s">
        <v>291</v>
      </c>
      <c r="C3655" s="349">
        <v>44760</v>
      </c>
      <c r="D3655" s="349">
        <v>44760</v>
      </c>
      <c r="E3655" s="350" t="s">
        <v>2775</v>
      </c>
      <c r="F3655" s="341" t="s">
        <v>737</v>
      </c>
      <c r="G3655" s="351">
        <v>3637</v>
      </c>
      <c r="H3655" s="337" t="s">
        <v>866</v>
      </c>
      <c r="I3655" s="341" t="s">
        <v>888</v>
      </c>
      <c r="J3655" s="352">
        <v>37386.68</v>
      </c>
      <c r="K3655" s="353"/>
      <c r="L3655" s="352">
        <v>31.14</v>
      </c>
      <c r="M3655" s="352">
        <v>31.14</v>
      </c>
      <c r="N3655" s="354">
        <v>17738.865000000002</v>
      </c>
      <c r="O3655" s="345">
        <v>0.2</v>
      </c>
      <c r="P3655" s="355"/>
      <c r="Q3655" s="344">
        <v>16456.87</v>
      </c>
      <c r="R3655" s="341" t="s">
        <v>42</v>
      </c>
      <c r="S3655" s="346" t="s">
        <v>41</v>
      </c>
      <c r="T3655" s="346">
        <v>79</v>
      </c>
      <c r="U3655" s="357" t="s">
        <v>164</v>
      </c>
      <c r="V3655" s="434"/>
      <c r="X3655" s="344">
        <v>16456.87</v>
      </c>
      <c r="Y3655" s="354"/>
      <c r="AH3655" s="354"/>
      <c r="AI3655" s="344">
        <v>16456.87</v>
      </c>
      <c r="AJ3655" s="358"/>
      <c r="AK3655" s="369"/>
    </row>
    <row r="3656" spans="1:77" s="337" customFormat="1" ht="11.25" customHeight="1">
      <c r="B3656" s="338" t="s">
        <v>291</v>
      </c>
      <c r="C3656" s="349"/>
      <c r="D3656" s="349"/>
      <c r="E3656" s="350" t="s">
        <v>2775</v>
      </c>
      <c r="F3656" s="367" t="s">
        <v>737</v>
      </c>
      <c r="G3656" s="351">
        <v>3637</v>
      </c>
      <c r="H3656" s="337" t="s">
        <v>765</v>
      </c>
      <c r="I3656" s="341" t="s">
        <v>888</v>
      </c>
      <c r="J3656" s="352">
        <v>34904.400000000001</v>
      </c>
      <c r="K3656" s="353"/>
      <c r="L3656" s="352">
        <v>51.33</v>
      </c>
      <c r="M3656" s="352">
        <v>51.33</v>
      </c>
      <c r="N3656" s="354">
        <v>5217.3</v>
      </c>
      <c r="O3656" s="345">
        <v>0.2</v>
      </c>
      <c r="P3656" s="355"/>
      <c r="Q3656" s="344">
        <v>11126.22</v>
      </c>
      <c r="R3656" s="341" t="s">
        <v>42</v>
      </c>
      <c r="S3656" s="346" t="s">
        <v>41</v>
      </c>
      <c r="T3656" s="346">
        <v>79</v>
      </c>
      <c r="U3656" s="357" t="s">
        <v>164</v>
      </c>
      <c r="V3656" s="434"/>
      <c r="X3656" s="344">
        <v>11126.22</v>
      </c>
      <c r="Y3656" s="354"/>
      <c r="AI3656" s="344">
        <v>11126.22</v>
      </c>
      <c r="AJ3656" s="358"/>
      <c r="AK3656" s="369"/>
    </row>
    <row r="3657" spans="1:77" s="337" customFormat="1" ht="11.25" customHeight="1">
      <c r="B3657" s="338" t="s">
        <v>291</v>
      </c>
      <c r="C3657" s="349">
        <v>44760</v>
      </c>
      <c r="D3657" s="349">
        <v>44760</v>
      </c>
      <c r="E3657" s="350" t="s">
        <v>2776</v>
      </c>
      <c r="F3657" s="367" t="s">
        <v>446</v>
      </c>
      <c r="G3657" s="351">
        <v>4220</v>
      </c>
      <c r="H3657" s="337" t="s">
        <v>866</v>
      </c>
      <c r="I3657" s="341" t="s">
        <v>888</v>
      </c>
      <c r="J3657" s="352">
        <v>11077.6</v>
      </c>
      <c r="K3657" s="353"/>
      <c r="L3657" s="352">
        <v>6.1</v>
      </c>
      <c r="M3657" s="352">
        <v>6.1</v>
      </c>
      <c r="N3657" s="354">
        <v>332.33</v>
      </c>
      <c r="O3657" s="345">
        <v>0.3</v>
      </c>
      <c r="P3657" s="355"/>
      <c r="Q3657" s="356">
        <v>0</v>
      </c>
      <c r="R3657" s="377" t="s">
        <v>29</v>
      </c>
      <c r="S3657" s="355" t="s">
        <v>30</v>
      </c>
      <c r="T3657" s="356">
        <v>21</v>
      </c>
      <c r="U3657" s="357" t="s">
        <v>164</v>
      </c>
      <c r="V3657" s="434"/>
      <c r="X3657" s="354">
        <v>0</v>
      </c>
      <c r="Y3657" s="354"/>
      <c r="AI3657" s="337">
        <v>0</v>
      </c>
      <c r="AJ3657" s="358"/>
      <c r="AK3657" s="369"/>
    </row>
    <row r="3658" spans="1:77" s="337" customFormat="1" ht="11.25" customHeight="1">
      <c r="B3658" s="338" t="s">
        <v>291</v>
      </c>
      <c r="C3658" s="349"/>
      <c r="D3658" s="349"/>
      <c r="E3658" s="350" t="s">
        <v>2776</v>
      </c>
      <c r="F3658" s="367" t="s">
        <v>446</v>
      </c>
      <c r="G3658" s="351">
        <v>4220</v>
      </c>
      <c r="H3658" s="337" t="s">
        <v>814</v>
      </c>
      <c r="I3658" s="341" t="s">
        <v>888</v>
      </c>
      <c r="J3658" s="352">
        <v>4772.2</v>
      </c>
      <c r="K3658" s="353"/>
      <c r="L3658" s="352">
        <v>5.35</v>
      </c>
      <c r="M3658" s="352">
        <v>5.35</v>
      </c>
      <c r="N3658" s="354">
        <f>1344.69+802.8</f>
        <v>2147.4899999999998</v>
      </c>
      <c r="O3658" s="345">
        <v>0.3</v>
      </c>
      <c r="P3658" s="355"/>
      <c r="Q3658" s="358">
        <v>0</v>
      </c>
      <c r="R3658" s="377" t="s">
        <v>29</v>
      </c>
      <c r="S3658" s="355" t="s">
        <v>30</v>
      </c>
      <c r="T3658" s="356">
        <v>21</v>
      </c>
      <c r="U3658" s="357" t="s">
        <v>164</v>
      </c>
      <c r="V3658" s="434"/>
      <c r="X3658" s="354">
        <v>0</v>
      </c>
      <c r="Y3658" s="354"/>
      <c r="AI3658" s="337">
        <v>0</v>
      </c>
      <c r="AJ3658" s="358"/>
      <c r="AK3658" s="369"/>
    </row>
    <row r="3659" spans="1:77" s="6" customFormat="1" ht="11.25" customHeight="1">
      <c r="A3659" s="379"/>
      <c r="B3659" s="380" t="s">
        <v>291</v>
      </c>
      <c r="C3659" s="381">
        <v>44758</v>
      </c>
      <c r="D3659" s="381">
        <v>44760</v>
      </c>
      <c r="E3659" s="382" t="s">
        <v>2777</v>
      </c>
      <c r="F3659" s="379" t="s">
        <v>718</v>
      </c>
      <c r="G3659" s="383">
        <v>4121</v>
      </c>
      <c r="H3659" s="379" t="s">
        <v>1018</v>
      </c>
      <c r="I3659" s="384" t="s">
        <v>961</v>
      </c>
      <c r="J3659" s="385">
        <v>42863.86</v>
      </c>
      <c r="K3659" s="384"/>
      <c r="L3659" s="385">
        <v>74.2</v>
      </c>
      <c r="M3659" s="385">
        <v>74.2</v>
      </c>
      <c r="N3659" s="386"/>
      <c r="O3659" s="397">
        <v>0.3</v>
      </c>
      <c r="P3659" s="387"/>
      <c r="Q3659" s="386">
        <v>0</v>
      </c>
      <c r="R3659" s="402" t="s">
        <v>73</v>
      </c>
      <c r="S3659" s="388" t="s">
        <v>74</v>
      </c>
      <c r="T3659" s="388">
        <v>81</v>
      </c>
      <c r="U3659" s="389" t="s">
        <v>164</v>
      </c>
      <c r="V3659" s="433"/>
      <c r="W3659" s="379"/>
      <c r="X3659" s="386">
        <v>0</v>
      </c>
      <c r="Y3659" s="386"/>
      <c r="Z3659" s="379"/>
      <c r="AA3659" s="379"/>
      <c r="AB3659" s="379"/>
      <c r="AC3659" s="379"/>
      <c r="AD3659" s="379"/>
      <c r="AE3659" s="379"/>
      <c r="AF3659" s="379"/>
      <c r="AG3659" s="379"/>
      <c r="AH3659" s="379"/>
      <c r="AI3659" s="379"/>
      <c r="AJ3659" s="390">
        <v>0</v>
      </c>
      <c r="AK3659" s="379"/>
      <c r="AL3659" s="379"/>
      <c r="AM3659" s="379"/>
      <c r="AN3659" s="379"/>
      <c r="AO3659" s="379"/>
      <c r="AP3659" s="379"/>
      <c r="AQ3659" s="379"/>
      <c r="AR3659" s="379"/>
      <c r="AS3659" s="379"/>
      <c r="AT3659" s="379"/>
      <c r="AU3659" s="379"/>
      <c r="AV3659" s="379"/>
      <c r="AW3659" s="379"/>
      <c r="AX3659" s="379"/>
      <c r="AY3659" s="379"/>
      <c r="AZ3659" s="379"/>
      <c r="BA3659" s="379"/>
      <c r="BB3659" s="379"/>
      <c r="BC3659" s="379"/>
      <c r="BD3659" s="379"/>
      <c r="BE3659" s="379"/>
      <c r="BF3659" s="379"/>
      <c r="BG3659" s="379"/>
      <c r="BH3659" s="379"/>
      <c r="BI3659" s="379"/>
      <c r="BJ3659" s="379"/>
      <c r="BK3659" s="379"/>
      <c r="BL3659" s="379"/>
      <c r="BM3659" s="379"/>
      <c r="BN3659" s="379"/>
      <c r="BO3659" s="379"/>
      <c r="BP3659" s="379"/>
      <c r="BQ3659" s="379"/>
      <c r="BR3659" s="379"/>
      <c r="BS3659" s="379"/>
      <c r="BT3659" s="379"/>
      <c r="BU3659" s="379"/>
      <c r="BV3659" s="379"/>
      <c r="BW3659" s="379"/>
      <c r="BX3659" s="379"/>
      <c r="BY3659" s="379"/>
    </row>
    <row r="3660" spans="1:77" s="379" customFormat="1" ht="11.25" customHeight="1">
      <c r="B3660" s="380" t="s">
        <v>291</v>
      </c>
      <c r="C3660" s="381"/>
      <c r="D3660" s="381"/>
      <c r="E3660" s="382" t="s">
        <v>2777</v>
      </c>
      <c r="F3660" s="379" t="s">
        <v>718</v>
      </c>
      <c r="G3660" s="383">
        <v>4121</v>
      </c>
      <c r="H3660" s="379" t="s">
        <v>1138</v>
      </c>
      <c r="I3660" s="384" t="s">
        <v>961</v>
      </c>
      <c r="J3660" s="385">
        <v>28332</v>
      </c>
      <c r="K3660" s="384"/>
      <c r="L3660" s="385">
        <v>39.35</v>
      </c>
      <c r="M3660" s="385">
        <v>39.35</v>
      </c>
      <c r="N3660" s="386"/>
      <c r="O3660" s="397">
        <v>0.3</v>
      </c>
      <c r="P3660" s="387"/>
      <c r="Q3660" s="386">
        <v>10978.65</v>
      </c>
      <c r="R3660" s="402" t="s">
        <v>73</v>
      </c>
      <c r="S3660" s="388" t="s">
        <v>74</v>
      </c>
      <c r="T3660" s="388">
        <v>81</v>
      </c>
      <c r="U3660" s="389" t="s">
        <v>164</v>
      </c>
      <c r="V3660" s="433"/>
      <c r="X3660" s="386">
        <v>10978.65</v>
      </c>
      <c r="Y3660" s="386"/>
      <c r="AJ3660" s="416">
        <v>10978.65</v>
      </c>
    </row>
    <row r="3661" spans="1:77" s="261" customFormat="1" ht="11.25" customHeight="1">
      <c r="B3661" s="258" t="s">
        <v>291</v>
      </c>
      <c r="C3661" s="259">
        <v>44757</v>
      </c>
      <c r="D3661" s="259">
        <v>44760</v>
      </c>
      <c r="E3661" s="260" t="s">
        <v>2778</v>
      </c>
      <c r="F3661" s="261" t="s">
        <v>1003</v>
      </c>
      <c r="G3661" s="262">
        <v>4277</v>
      </c>
      <c r="H3661" s="261" t="s">
        <v>310</v>
      </c>
      <c r="I3661" s="261" t="s">
        <v>2627</v>
      </c>
      <c r="J3661" s="283">
        <v>5163.16</v>
      </c>
      <c r="K3661" s="264"/>
      <c r="L3661" s="283">
        <v>5.75</v>
      </c>
      <c r="M3661" s="283">
        <v>5.75</v>
      </c>
      <c r="N3661" s="284">
        <v>2736.47</v>
      </c>
      <c r="O3661" s="278">
        <v>0.15</v>
      </c>
      <c r="P3661" s="266"/>
      <c r="Q3661" s="284">
        <v>2166.77</v>
      </c>
      <c r="R3661" s="261" t="s">
        <v>54</v>
      </c>
      <c r="S3661" s="267" t="s">
        <v>51</v>
      </c>
      <c r="T3661" s="267">
        <v>55</v>
      </c>
      <c r="U3661" s="268" t="s">
        <v>164</v>
      </c>
      <c r="V3661" s="427"/>
      <c r="X3661" s="284">
        <v>2166.77</v>
      </c>
      <c r="Y3661" s="284"/>
      <c r="AG3661" s="261">
        <f>X3661</f>
        <v>2166.77</v>
      </c>
      <c r="AJ3661" s="642"/>
    </row>
    <row r="3662" spans="1:77" s="261" customFormat="1" ht="11.25" customHeight="1">
      <c r="B3662" s="258" t="s">
        <v>291</v>
      </c>
      <c r="C3662" s="259"/>
      <c r="D3662" s="259"/>
      <c r="E3662" s="260" t="s">
        <v>2778</v>
      </c>
      <c r="F3662" s="261" t="s">
        <v>1003</v>
      </c>
      <c r="G3662" s="262">
        <v>4277</v>
      </c>
      <c r="H3662" s="261" t="s">
        <v>137</v>
      </c>
      <c r="I3662" s="261" t="s">
        <v>2627</v>
      </c>
      <c r="J3662" s="283">
        <v>44448</v>
      </c>
      <c r="K3662" s="264"/>
      <c r="L3662" s="283">
        <v>46.3</v>
      </c>
      <c r="M3662" s="283">
        <v>46.3</v>
      </c>
      <c r="N3662" s="284">
        <v>15112.32</v>
      </c>
      <c r="O3662" s="278">
        <v>0.15</v>
      </c>
      <c r="P3662" s="266"/>
      <c r="Q3662" s="284">
        <v>0</v>
      </c>
      <c r="R3662" s="285" t="s">
        <v>54</v>
      </c>
      <c r="S3662" s="267" t="s">
        <v>51</v>
      </c>
      <c r="T3662" s="267">
        <v>55</v>
      </c>
      <c r="U3662" s="268" t="s">
        <v>164</v>
      </c>
      <c r="V3662" s="427"/>
      <c r="X3662" s="284">
        <v>0</v>
      </c>
      <c r="Y3662" s="284"/>
      <c r="AG3662" s="261">
        <f>X3662</f>
        <v>0</v>
      </c>
      <c r="AJ3662" s="642"/>
    </row>
    <row r="3663" spans="1:77" s="379" customFormat="1" ht="11.25" customHeight="1">
      <c r="B3663" s="379" t="s">
        <v>291</v>
      </c>
      <c r="C3663" s="381">
        <v>44759</v>
      </c>
      <c r="D3663" s="381">
        <v>44760</v>
      </c>
      <c r="E3663" s="382" t="s">
        <v>2779</v>
      </c>
      <c r="F3663" s="379" t="s">
        <v>204</v>
      </c>
      <c r="G3663" s="383">
        <v>4081</v>
      </c>
      <c r="H3663" s="379" t="s">
        <v>866</v>
      </c>
      <c r="I3663" s="384" t="s">
        <v>888</v>
      </c>
      <c r="J3663" s="466">
        <v>92712.68</v>
      </c>
      <c r="K3663" s="384"/>
      <c r="L3663" s="466">
        <v>64.11</v>
      </c>
      <c r="M3663" s="466">
        <v>64.11</v>
      </c>
      <c r="N3663" s="467"/>
      <c r="O3663" s="397">
        <v>0.15</v>
      </c>
      <c r="P3663" s="387"/>
      <c r="Q3663" s="467">
        <v>44721.69</v>
      </c>
      <c r="R3663" s="379" t="s">
        <v>146</v>
      </c>
      <c r="S3663" s="388" t="s">
        <v>74</v>
      </c>
      <c r="T3663" s="388">
        <v>31</v>
      </c>
      <c r="U3663" s="389" t="s">
        <v>164</v>
      </c>
      <c r="V3663" s="433"/>
      <c r="X3663" s="467">
        <v>44721.69</v>
      </c>
      <c r="Y3663" s="467"/>
      <c r="AJ3663" s="470">
        <v>44721.69</v>
      </c>
    </row>
    <row r="3664" spans="1:77" s="291" customFormat="1" ht="11.25" customHeight="1">
      <c r="B3664" s="291" t="s">
        <v>291</v>
      </c>
      <c r="C3664" s="292">
        <v>44760</v>
      </c>
      <c r="D3664" s="292">
        <v>44760</v>
      </c>
      <c r="E3664" s="293" t="s">
        <v>2780</v>
      </c>
      <c r="F3664" s="291" t="s">
        <v>2781</v>
      </c>
      <c r="G3664" s="294" t="s">
        <v>2782</v>
      </c>
      <c r="H3664" s="291" t="s">
        <v>866</v>
      </c>
      <c r="I3664" s="295" t="s">
        <v>1296</v>
      </c>
      <c r="J3664" s="334">
        <v>39795.15</v>
      </c>
      <c r="K3664" s="295"/>
      <c r="L3664" s="334">
        <v>14.78</v>
      </c>
      <c r="M3664" s="334">
        <v>14.78</v>
      </c>
      <c r="N3664" s="335">
        <v>13918.88</v>
      </c>
      <c r="O3664" s="307">
        <v>0.2</v>
      </c>
      <c r="P3664" s="298"/>
      <c r="Q3664" s="335">
        <v>11365.82</v>
      </c>
      <c r="R3664" s="336" t="s">
        <v>112</v>
      </c>
      <c r="S3664" s="299" t="s">
        <v>113</v>
      </c>
      <c r="T3664" s="299">
        <v>64</v>
      </c>
      <c r="U3664" s="300" t="s">
        <v>164</v>
      </c>
      <c r="V3664" s="333"/>
      <c r="X3664" s="335">
        <v>11365.82</v>
      </c>
      <c r="Y3664" s="335"/>
      <c r="AH3664" s="311">
        <f>X3664</f>
        <v>11365.82</v>
      </c>
      <c r="AI3664" s="311"/>
      <c r="AJ3664" s="468"/>
    </row>
    <row r="3665" spans="1:77" s="261" customFormat="1" ht="11.25" customHeight="1">
      <c r="B3665" s="261" t="s">
        <v>291</v>
      </c>
      <c r="C3665" s="259"/>
      <c r="D3665" s="259"/>
      <c r="E3665" s="260" t="s">
        <v>2780</v>
      </c>
      <c r="F3665" s="261" t="s">
        <v>2781</v>
      </c>
      <c r="G3665" s="262" t="s">
        <v>2782</v>
      </c>
      <c r="H3665" s="261" t="s">
        <v>898</v>
      </c>
      <c r="I3665" s="264" t="s">
        <v>1296</v>
      </c>
      <c r="J3665" s="283">
        <v>24215.4</v>
      </c>
      <c r="K3665" s="264"/>
      <c r="L3665" s="283">
        <v>9</v>
      </c>
      <c r="M3665" s="283">
        <v>9</v>
      </c>
      <c r="N3665" s="284">
        <v>7264.62</v>
      </c>
      <c r="O3665" s="278">
        <v>0.2</v>
      </c>
      <c r="P3665" s="266"/>
      <c r="Q3665" s="284">
        <v>10594.76</v>
      </c>
      <c r="R3665" s="285" t="s">
        <v>112</v>
      </c>
      <c r="S3665" s="267" t="s">
        <v>113</v>
      </c>
      <c r="T3665" s="267">
        <v>64</v>
      </c>
      <c r="U3665" s="268" t="s">
        <v>164</v>
      </c>
      <c r="V3665" s="427"/>
      <c r="X3665" s="284">
        <v>10594.76</v>
      </c>
      <c r="Y3665" s="284"/>
      <c r="AG3665" s="261">
        <f>X3665</f>
        <v>10594.76</v>
      </c>
      <c r="AJ3665" s="642"/>
      <c r="AK3665" s="258"/>
      <c r="AL3665" s="258"/>
      <c r="AM3665" s="258"/>
      <c r="AN3665" s="258"/>
      <c r="AO3665" s="258"/>
      <c r="AP3665" s="258"/>
      <c r="AQ3665" s="258"/>
      <c r="AR3665" s="258"/>
      <c r="AS3665" s="258"/>
      <c r="AT3665" s="258"/>
      <c r="AU3665" s="258"/>
      <c r="AV3665" s="258"/>
      <c r="AW3665" s="258"/>
      <c r="AX3665" s="258"/>
      <c r="AY3665" s="258"/>
      <c r="AZ3665" s="258"/>
      <c r="BA3665" s="258"/>
      <c r="BB3665" s="258"/>
      <c r="BC3665" s="258"/>
      <c r="BD3665" s="258"/>
      <c r="BE3665" s="258"/>
      <c r="BF3665" s="258"/>
      <c r="BG3665" s="258"/>
      <c r="BH3665" s="258"/>
      <c r="BI3665" s="258"/>
      <c r="BJ3665" s="258"/>
      <c r="BK3665" s="258"/>
      <c r="BL3665" s="258"/>
      <c r="BM3665" s="258"/>
      <c r="BN3665" s="258"/>
      <c r="BO3665" s="258"/>
      <c r="BP3665" s="258"/>
      <c r="BQ3665" s="258"/>
      <c r="BR3665" s="258"/>
      <c r="BS3665" s="258"/>
      <c r="BT3665" s="258"/>
      <c r="BU3665" s="258"/>
      <c r="BV3665" s="258"/>
      <c r="BW3665" s="258"/>
      <c r="BX3665" s="258"/>
      <c r="BY3665" s="258"/>
    </row>
    <row r="3666" spans="1:77" s="337" customFormat="1" ht="11.25" customHeight="1">
      <c r="B3666" s="337" t="s">
        <v>291</v>
      </c>
      <c r="C3666" s="349">
        <v>44760</v>
      </c>
      <c r="D3666" s="349">
        <v>44760</v>
      </c>
      <c r="E3666" s="350" t="s">
        <v>2787</v>
      </c>
      <c r="F3666" s="337" t="s">
        <v>2788</v>
      </c>
      <c r="G3666" s="351">
        <v>3634</v>
      </c>
      <c r="H3666" s="337" t="s">
        <v>765</v>
      </c>
      <c r="I3666" s="353" t="s">
        <v>33</v>
      </c>
      <c r="J3666" s="373">
        <v>6321.69</v>
      </c>
      <c r="K3666" s="353"/>
      <c r="L3666" s="373">
        <v>6.53</v>
      </c>
      <c r="M3666" s="373">
        <v>6.53</v>
      </c>
      <c r="N3666" s="374"/>
      <c r="O3666" s="345">
        <v>0.25</v>
      </c>
      <c r="P3666" s="355"/>
      <c r="Q3666" s="374">
        <v>713.45</v>
      </c>
      <c r="R3666" s="375" t="s">
        <v>128</v>
      </c>
      <c r="S3666" s="356" t="s">
        <v>41</v>
      </c>
      <c r="T3666" s="356">
        <v>79</v>
      </c>
      <c r="U3666" s="357" t="s">
        <v>164</v>
      </c>
      <c r="V3666" s="434"/>
      <c r="X3666" s="374">
        <v>713.45</v>
      </c>
      <c r="Y3666" s="374"/>
      <c r="AI3666" s="374">
        <v>713.45</v>
      </c>
      <c r="AJ3666" s="358"/>
      <c r="AK3666" s="369"/>
    </row>
    <row r="3667" spans="1:77" s="337" customFormat="1" ht="11.25" customHeight="1">
      <c r="B3667" s="337" t="s">
        <v>291</v>
      </c>
      <c r="C3667" s="349"/>
      <c r="D3667" s="349"/>
      <c r="E3667" s="350" t="s">
        <v>2787</v>
      </c>
      <c r="F3667" s="337" t="s">
        <v>2788</v>
      </c>
      <c r="G3667" s="351">
        <v>3634</v>
      </c>
      <c r="H3667" s="337" t="s">
        <v>866</v>
      </c>
      <c r="I3667" s="353" t="s">
        <v>33</v>
      </c>
      <c r="J3667" s="352">
        <v>11757.31</v>
      </c>
      <c r="K3667" s="353"/>
      <c r="L3667" s="352">
        <v>11.52</v>
      </c>
      <c r="M3667" s="352">
        <v>11.52</v>
      </c>
      <c r="N3667" s="354"/>
      <c r="O3667" s="345">
        <v>0.25</v>
      </c>
      <c r="P3667" s="355"/>
      <c r="Q3667" s="354">
        <v>915.49</v>
      </c>
      <c r="R3667" s="375" t="s">
        <v>128</v>
      </c>
      <c r="S3667" s="356" t="s">
        <v>41</v>
      </c>
      <c r="T3667" s="356">
        <v>79</v>
      </c>
      <c r="U3667" s="357" t="s">
        <v>164</v>
      </c>
      <c r="V3667" s="434"/>
      <c r="X3667" s="354">
        <v>915.49</v>
      </c>
      <c r="Y3667" s="354"/>
      <c r="AI3667" s="354">
        <v>915.49</v>
      </c>
      <c r="AJ3667" s="358"/>
      <c r="AK3667" s="369"/>
    </row>
    <row r="3668" spans="1:77" s="507" customFormat="1" ht="11.25" customHeight="1">
      <c r="B3668" s="535" t="s">
        <v>291</v>
      </c>
      <c r="C3668" s="509">
        <v>44760</v>
      </c>
      <c r="D3668" s="509">
        <v>44760</v>
      </c>
      <c r="E3668" s="510" t="s">
        <v>2789</v>
      </c>
      <c r="F3668" s="523" t="s">
        <v>1159</v>
      </c>
      <c r="G3668" s="521">
        <v>4472</v>
      </c>
      <c r="H3668" s="507" t="s">
        <v>1015</v>
      </c>
      <c r="I3668" s="512" t="s">
        <v>888</v>
      </c>
      <c r="J3668" s="513">
        <v>28489.62</v>
      </c>
      <c r="K3668" s="512"/>
      <c r="L3668" s="513">
        <v>18.02</v>
      </c>
      <c r="M3668" s="513">
        <v>18.02</v>
      </c>
      <c r="N3668" s="514">
        <v>9971</v>
      </c>
      <c r="O3668" s="530">
        <v>0.2</v>
      </c>
      <c r="P3668" s="515"/>
      <c r="Q3668" s="514">
        <v>7600.84</v>
      </c>
      <c r="R3668" s="523" t="s">
        <v>46</v>
      </c>
      <c r="S3668" s="531" t="s">
        <v>47</v>
      </c>
      <c r="T3668" s="531">
        <v>27</v>
      </c>
      <c r="U3668" s="517" t="s">
        <v>164</v>
      </c>
      <c r="V3668" s="518"/>
      <c r="X3668" s="514">
        <v>7600.84</v>
      </c>
      <c r="Y3668" s="514"/>
      <c r="AJ3668" s="522"/>
      <c r="AL3668" s="514">
        <v>7600.84</v>
      </c>
    </row>
    <row r="3669" spans="1:77" s="507" customFormat="1" ht="11.25" customHeight="1">
      <c r="B3669" s="535" t="s">
        <v>291</v>
      </c>
      <c r="C3669" s="509"/>
      <c r="D3669" s="509"/>
      <c r="E3669" s="510" t="s">
        <v>2789</v>
      </c>
      <c r="F3669" s="523" t="s">
        <v>1159</v>
      </c>
      <c r="G3669" s="521">
        <v>4472</v>
      </c>
      <c r="H3669" s="507" t="s">
        <v>1018</v>
      </c>
      <c r="I3669" s="512" t="s">
        <v>888</v>
      </c>
      <c r="J3669" s="513">
        <v>13870.13</v>
      </c>
      <c r="K3669" s="512"/>
      <c r="L3669" s="513">
        <v>16.88</v>
      </c>
      <c r="M3669" s="513">
        <v>16.88</v>
      </c>
      <c r="N3669" s="514">
        <v>4855</v>
      </c>
      <c r="O3669" s="530">
        <v>0.2</v>
      </c>
      <c r="P3669" s="515"/>
      <c r="Q3669" s="514">
        <v>7273.63</v>
      </c>
      <c r="R3669" s="523" t="s">
        <v>46</v>
      </c>
      <c r="S3669" s="531" t="s">
        <v>47</v>
      </c>
      <c r="T3669" s="531">
        <v>27</v>
      </c>
      <c r="U3669" s="517" t="s">
        <v>164</v>
      </c>
      <c r="V3669" s="518"/>
      <c r="X3669" s="514">
        <v>7273.63</v>
      </c>
      <c r="Y3669" s="514"/>
      <c r="AJ3669" s="522"/>
      <c r="AL3669" s="514">
        <v>7273.63</v>
      </c>
    </row>
    <row r="3670" spans="1:77" s="507" customFormat="1" ht="11.25" customHeight="1">
      <c r="B3670" s="535" t="s">
        <v>291</v>
      </c>
      <c r="C3670" s="509"/>
      <c r="D3670" s="509"/>
      <c r="E3670" s="510" t="s">
        <v>2789</v>
      </c>
      <c r="F3670" s="523" t="s">
        <v>1159</v>
      </c>
      <c r="G3670" s="521">
        <v>4472</v>
      </c>
      <c r="H3670" s="523" t="s">
        <v>1138</v>
      </c>
      <c r="I3670" s="512" t="s">
        <v>888</v>
      </c>
      <c r="J3670" s="527">
        <v>7770</v>
      </c>
      <c r="K3670" s="512"/>
      <c r="L3670" s="527">
        <v>5.55</v>
      </c>
      <c r="M3670" s="527">
        <v>5.55</v>
      </c>
      <c r="N3670" s="514">
        <v>4274</v>
      </c>
      <c r="O3670" s="530">
        <v>0.2</v>
      </c>
      <c r="P3670" s="515"/>
      <c r="Q3670" s="514">
        <v>2097.9</v>
      </c>
      <c r="R3670" s="523" t="s">
        <v>46</v>
      </c>
      <c r="S3670" s="531" t="s">
        <v>47</v>
      </c>
      <c r="T3670" s="531">
        <v>27</v>
      </c>
      <c r="U3670" s="517" t="s">
        <v>164</v>
      </c>
      <c r="V3670" s="518"/>
      <c r="X3670" s="514">
        <v>2097.9</v>
      </c>
      <c r="Y3670" s="514"/>
      <c r="AJ3670" s="522"/>
      <c r="AL3670" s="514">
        <v>2097.9</v>
      </c>
    </row>
    <row r="3671" spans="1:77" s="337" customFormat="1" ht="11.25" customHeight="1">
      <c r="A3671" s="379"/>
      <c r="B3671" s="406" t="s">
        <v>291</v>
      </c>
      <c r="C3671" s="381"/>
      <c r="D3671" s="381"/>
      <c r="E3671" s="382" t="s">
        <v>2790</v>
      </c>
      <c r="F3671" s="379" t="s">
        <v>1581</v>
      </c>
      <c r="G3671" s="383">
        <v>3529</v>
      </c>
      <c r="H3671" s="379" t="s">
        <v>898</v>
      </c>
      <c r="I3671" s="384" t="s">
        <v>961</v>
      </c>
      <c r="J3671" s="385">
        <v>22593.119999999999</v>
      </c>
      <c r="K3671" s="384"/>
      <c r="L3671" s="385">
        <v>17.600000000000001</v>
      </c>
      <c r="M3671" s="385">
        <v>17</v>
      </c>
      <c r="N3671" s="386"/>
      <c r="O3671" s="397">
        <v>0.15</v>
      </c>
      <c r="P3671" s="387"/>
      <c r="Q3671" s="386">
        <v>8149.59</v>
      </c>
      <c r="R3671" s="379" t="s">
        <v>69</v>
      </c>
      <c r="S3671" s="388" t="s">
        <v>118</v>
      </c>
      <c r="T3671" s="388">
        <v>79</v>
      </c>
      <c r="U3671" s="389" t="s">
        <v>164</v>
      </c>
      <c r="V3671" s="433"/>
      <c r="W3671" s="379"/>
      <c r="X3671" s="386">
        <v>8149.59</v>
      </c>
      <c r="Y3671" s="386"/>
      <c r="Z3671" s="379"/>
      <c r="AA3671" s="379"/>
      <c r="AB3671" s="379"/>
      <c r="AC3671" s="379"/>
      <c r="AD3671" s="379"/>
      <c r="AE3671" s="379"/>
      <c r="AF3671" s="379"/>
      <c r="AG3671" s="379"/>
      <c r="AH3671" s="379"/>
      <c r="AI3671" s="379"/>
      <c r="AJ3671" s="416">
        <v>8149.59</v>
      </c>
      <c r="AK3671" s="379"/>
      <c r="AL3671" s="379"/>
      <c r="AM3671" s="379"/>
      <c r="AN3671" s="379"/>
      <c r="AO3671" s="379"/>
      <c r="AP3671" s="379"/>
      <c r="AQ3671" s="379"/>
      <c r="AR3671" s="379"/>
      <c r="AS3671" s="379"/>
      <c r="AT3671" s="379"/>
      <c r="AU3671" s="379"/>
      <c r="AV3671" s="379"/>
      <c r="AW3671" s="379"/>
      <c r="AX3671" s="379"/>
      <c r="AY3671" s="379"/>
      <c r="AZ3671" s="379"/>
      <c r="BA3671" s="379"/>
      <c r="BB3671" s="379"/>
      <c r="BC3671" s="379"/>
      <c r="BD3671" s="379"/>
      <c r="BE3671" s="379"/>
      <c r="BF3671" s="379"/>
      <c r="BG3671" s="379"/>
      <c r="BH3671" s="379"/>
      <c r="BI3671" s="379"/>
      <c r="BJ3671" s="379"/>
      <c r="BK3671" s="379"/>
      <c r="BL3671" s="379"/>
      <c r="BM3671" s="379"/>
      <c r="BN3671" s="379"/>
      <c r="BO3671" s="379"/>
      <c r="BP3671" s="379"/>
      <c r="BQ3671" s="379"/>
      <c r="BR3671" s="379"/>
      <c r="BS3671" s="379"/>
      <c r="BT3671" s="379"/>
      <c r="BU3671" s="379"/>
      <c r="BV3671" s="379"/>
      <c r="BW3671" s="379"/>
      <c r="BX3671" s="379"/>
      <c r="BY3671" s="379"/>
    </row>
    <row r="3672" spans="1:77" s="379" customFormat="1" ht="11.25" customHeight="1">
      <c r="B3672" s="406" t="s">
        <v>291</v>
      </c>
      <c r="C3672" s="381"/>
      <c r="D3672" s="381"/>
      <c r="E3672" s="382" t="s">
        <v>2790</v>
      </c>
      <c r="F3672" s="379" t="s">
        <v>1581</v>
      </c>
      <c r="G3672" s="383">
        <v>3529</v>
      </c>
      <c r="H3672" s="379" t="s">
        <v>765</v>
      </c>
      <c r="I3672" s="384" t="s">
        <v>961</v>
      </c>
      <c r="J3672" s="385">
        <v>28454.400000000001</v>
      </c>
      <c r="K3672" s="384"/>
      <c r="L3672" s="385">
        <v>23.04</v>
      </c>
      <c r="M3672" s="385">
        <v>22</v>
      </c>
      <c r="N3672" s="386"/>
      <c r="O3672" s="397">
        <v>0.15</v>
      </c>
      <c r="P3672" s="387"/>
      <c r="Q3672" s="386">
        <v>0</v>
      </c>
      <c r="R3672" s="379" t="s">
        <v>69</v>
      </c>
      <c r="S3672" s="388" t="s">
        <v>118</v>
      </c>
      <c r="T3672" s="388">
        <v>79</v>
      </c>
      <c r="U3672" s="389" t="s">
        <v>164</v>
      </c>
      <c r="V3672" s="433"/>
      <c r="X3672" s="386">
        <v>0</v>
      </c>
      <c r="Y3672" s="386"/>
      <c r="AJ3672" s="390">
        <v>0</v>
      </c>
    </row>
    <row r="3673" spans="1:77" s="337" customFormat="1" ht="11.25" customHeight="1">
      <c r="B3673" s="367" t="s">
        <v>291</v>
      </c>
      <c r="C3673" s="349">
        <v>44760</v>
      </c>
      <c r="D3673" s="349">
        <v>44760</v>
      </c>
      <c r="E3673" s="350" t="s">
        <v>2790</v>
      </c>
      <c r="F3673" s="337" t="s">
        <v>1581</v>
      </c>
      <c r="G3673" s="351">
        <v>3529</v>
      </c>
      <c r="H3673" s="337" t="s">
        <v>1009</v>
      </c>
      <c r="I3673" s="353" t="s">
        <v>961</v>
      </c>
      <c r="J3673" s="352">
        <v>22176</v>
      </c>
      <c r="K3673" s="353"/>
      <c r="L3673" s="352">
        <v>15.4</v>
      </c>
      <c r="M3673" s="352">
        <v>15.3</v>
      </c>
      <c r="N3673" s="354"/>
      <c r="O3673" s="345">
        <v>0.15</v>
      </c>
      <c r="P3673" s="355"/>
      <c r="Q3673" s="354">
        <v>0</v>
      </c>
      <c r="R3673" s="337" t="s">
        <v>69</v>
      </c>
      <c r="S3673" s="356" t="s">
        <v>118</v>
      </c>
      <c r="T3673" s="356">
        <v>79</v>
      </c>
      <c r="U3673" s="357" t="s">
        <v>164</v>
      </c>
      <c r="V3673" s="434"/>
      <c r="X3673" s="354">
        <v>0</v>
      </c>
      <c r="Y3673" s="354"/>
      <c r="AI3673" s="337">
        <v>0</v>
      </c>
      <c r="AJ3673" s="358"/>
      <c r="AK3673" s="369"/>
    </row>
    <row r="3674" spans="1:77" s="337" customFormat="1" ht="11.25" customHeight="1">
      <c r="B3674" s="367" t="s">
        <v>291</v>
      </c>
      <c r="C3674" s="349">
        <v>44760</v>
      </c>
      <c r="D3674" s="349">
        <v>44760</v>
      </c>
      <c r="E3674" s="350" t="s">
        <v>2791</v>
      </c>
      <c r="F3674" s="337" t="s">
        <v>2792</v>
      </c>
      <c r="G3674" s="351" t="s">
        <v>2793</v>
      </c>
      <c r="H3674" s="337" t="s">
        <v>765</v>
      </c>
      <c r="I3674" s="353" t="s">
        <v>888</v>
      </c>
      <c r="J3674" s="352">
        <v>10813.5</v>
      </c>
      <c r="K3674" s="353"/>
      <c r="L3674" s="352">
        <v>8.9</v>
      </c>
      <c r="M3674" s="352">
        <v>8.9</v>
      </c>
      <c r="N3674" s="354"/>
      <c r="O3674" s="345">
        <v>0.25</v>
      </c>
      <c r="P3674" s="355"/>
      <c r="Q3674" s="354">
        <v>500.62</v>
      </c>
      <c r="R3674" s="337" t="s">
        <v>146</v>
      </c>
      <c r="S3674" s="356" t="s">
        <v>74</v>
      </c>
      <c r="T3674" s="356">
        <v>32</v>
      </c>
      <c r="U3674" s="357" t="s">
        <v>164</v>
      </c>
      <c r="V3674" s="434"/>
      <c r="X3674" s="354">
        <v>500.62</v>
      </c>
      <c r="Y3674" s="354"/>
      <c r="AI3674" s="337">
        <v>500.62</v>
      </c>
      <c r="AJ3674" s="358"/>
      <c r="AK3674" s="369"/>
    </row>
    <row r="3675" spans="1:77" s="337" customFormat="1" ht="11.25" customHeight="1">
      <c r="B3675" s="337" t="s">
        <v>291</v>
      </c>
      <c r="C3675" s="349">
        <v>44760</v>
      </c>
      <c r="D3675" s="349">
        <v>44760</v>
      </c>
      <c r="E3675" s="350" t="s">
        <v>2794</v>
      </c>
      <c r="F3675" s="337" t="s">
        <v>1272</v>
      </c>
      <c r="G3675" s="351" t="s">
        <v>1273</v>
      </c>
      <c r="H3675" s="337" t="s">
        <v>765</v>
      </c>
      <c r="I3675" s="353" t="s">
        <v>888</v>
      </c>
      <c r="J3675" s="352">
        <v>38657.25</v>
      </c>
      <c r="K3675" s="353"/>
      <c r="L3675" s="352">
        <v>34.5</v>
      </c>
      <c r="M3675" s="352">
        <v>34.5</v>
      </c>
      <c r="N3675" s="354"/>
      <c r="O3675" s="345">
        <v>0.25</v>
      </c>
      <c r="P3675" s="355"/>
      <c r="Q3675" s="354">
        <v>5550.19</v>
      </c>
      <c r="R3675" s="337" t="s">
        <v>128</v>
      </c>
      <c r="S3675" s="356" t="s">
        <v>1274</v>
      </c>
      <c r="T3675" s="356">
        <v>79</v>
      </c>
      <c r="U3675" s="357" t="s">
        <v>164</v>
      </c>
      <c r="V3675" s="434"/>
      <c r="X3675" s="354">
        <v>5550.19</v>
      </c>
      <c r="Y3675" s="354"/>
      <c r="AI3675" s="354">
        <v>5550.19</v>
      </c>
      <c r="AJ3675" s="358"/>
      <c r="AK3675" s="369"/>
    </row>
    <row r="3676" spans="1:77" s="337" customFormat="1" ht="11.25" customHeight="1">
      <c r="B3676" s="337" t="s">
        <v>291</v>
      </c>
      <c r="C3676" s="349"/>
      <c r="D3676" s="349"/>
      <c r="E3676" s="350" t="s">
        <v>2794</v>
      </c>
      <c r="F3676" s="337" t="s">
        <v>1272</v>
      </c>
      <c r="G3676" s="351" t="s">
        <v>1273</v>
      </c>
      <c r="H3676" s="337" t="s">
        <v>866</v>
      </c>
      <c r="I3676" s="353" t="s">
        <v>888</v>
      </c>
      <c r="J3676" s="352">
        <v>12287.16</v>
      </c>
      <c r="K3676" s="353"/>
      <c r="L3676" s="352">
        <v>9.3000000000000007</v>
      </c>
      <c r="M3676" s="352">
        <v>9.3000000000000007</v>
      </c>
      <c r="N3676" s="354"/>
      <c r="O3676" s="345">
        <v>0.25</v>
      </c>
      <c r="P3676" s="355"/>
      <c r="Q3676" s="354">
        <v>5684.9</v>
      </c>
      <c r="R3676" s="337" t="s">
        <v>128</v>
      </c>
      <c r="S3676" s="356" t="s">
        <v>1274</v>
      </c>
      <c r="T3676" s="356">
        <v>79</v>
      </c>
      <c r="U3676" s="357" t="s">
        <v>164</v>
      </c>
      <c r="V3676" s="434"/>
      <c r="X3676" s="354">
        <v>5684.9</v>
      </c>
      <c r="Y3676" s="354"/>
      <c r="AI3676" s="354">
        <v>5684.9</v>
      </c>
      <c r="AJ3676" s="358"/>
      <c r="AK3676" s="369"/>
    </row>
    <row r="3677" spans="1:77" s="337" customFormat="1" ht="11.25" customHeight="1">
      <c r="A3677" s="473"/>
      <c r="B3677" s="473" t="s">
        <v>291</v>
      </c>
      <c r="C3677" s="487"/>
      <c r="D3677" s="487"/>
      <c r="E3677" s="488" t="s">
        <v>2796</v>
      </c>
      <c r="F3677" s="473" t="s">
        <v>1032</v>
      </c>
      <c r="G3677" s="489">
        <v>3744</v>
      </c>
      <c r="H3677" s="473" t="s">
        <v>866</v>
      </c>
      <c r="I3677" s="473" t="s">
        <v>888</v>
      </c>
      <c r="J3677" s="490">
        <v>1868.4</v>
      </c>
      <c r="K3677" s="491"/>
      <c r="L3677" s="490">
        <v>1.73</v>
      </c>
      <c r="M3677" s="490">
        <v>1.73</v>
      </c>
      <c r="N3677" s="492"/>
      <c r="O3677" s="480">
        <v>0.15</v>
      </c>
      <c r="P3677" s="493"/>
      <c r="Q3677" s="492">
        <v>0</v>
      </c>
      <c r="R3677" s="473" t="s">
        <v>1030</v>
      </c>
      <c r="S3677" s="481" t="s">
        <v>3078</v>
      </c>
      <c r="T3677" s="481">
        <v>47</v>
      </c>
      <c r="U3677" s="494" t="s">
        <v>164</v>
      </c>
      <c r="V3677" s="495"/>
      <c r="W3677" s="473"/>
      <c r="X3677" s="492">
        <v>0</v>
      </c>
      <c r="Y3677" s="492"/>
      <c r="Z3677" s="473"/>
      <c r="AA3677" s="473"/>
      <c r="AB3677" s="473"/>
      <c r="AC3677" s="473"/>
      <c r="AD3677" s="473"/>
      <c r="AE3677" s="473"/>
      <c r="AF3677" s="473"/>
      <c r="AG3677" s="473"/>
      <c r="AH3677" s="473"/>
      <c r="AI3677" s="473"/>
      <c r="AJ3677" s="485"/>
      <c r="AK3677" s="473">
        <v>0</v>
      </c>
      <c r="AL3677" s="473"/>
      <c r="AM3677" s="473"/>
      <c r="AN3677" s="473"/>
      <c r="AO3677" s="473"/>
      <c r="AP3677" s="473"/>
      <c r="AQ3677" s="473"/>
      <c r="AR3677" s="473"/>
      <c r="AS3677" s="473"/>
      <c r="AT3677" s="473"/>
      <c r="AU3677" s="473"/>
      <c r="AV3677" s="473"/>
      <c r="AW3677" s="473"/>
      <c r="AX3677" s="473"/>
      <c r="AY3677" s="473"/>
      <c r="AZ3677" s="473"/>
      <c r="BA3677" s="473"/>
      <c r="BB3677" s="473"/>
      <c r="BC3677" s="473"/>
      <c r="BD3677" s="473"/>
      <c r="BE3677" s="473"/>
      <c r="BF3677" s="473"/>
      <c r="BG3677" s="473"/>
      <c r="BH3677" s="473"/>
      <c r="BI3677" s="473"/>
      <c r="BJ3677" s="473"/>
      <c r="BK3677" s="473"/>
      <c r="BL3677" s="473"/>
      <c r="BM3677" s="473"/>
      <c r="BN3677" s="473"/>
      <c r="BO3677" s="473"/>
      <c r="BP3677" s="473"/>
      <c r="BQ3677" s="473"/>
      <c r="BR3677" s="473"/>
      <c r="BS3677" s="473"/>
      <c r="BT3677" s="473"/>
      <c r="BU3677" s="473"/>
      <c r="BV3677" s="473"/>
      <c r="BW3677" s="473"/>
      <c r="BX3677" s="473"/>
      <c r="BY3677" s="473"/>
    </row>
    <row r="3678" spans="1:77" s="337" customFormat="1" ht="11.25" customHeight="1">
      <c r="B3678" s="337" t="s">
        <v>291</v>
      </c>
      <c r="C3678" s="349">
        <v>44760</v>
      </c>
      <c r="D3678" s="349">
        <v>44760</v>
      </c>
      <c r="E3678" s="350" t="s">
        <v>2796</v>
      </c>
      <c r="F3678" s="337" t="s">
        <v>1032</v>
      </c>
      <c r="G3678" s="351">
        <v>3744</v>
      </c>
      <c r="H3678" s="337" t="s">
        <v>765</v>
      </c>
      <c r="I3678" s="337" t="s">
        <v>888</v>
      </c>
      <c r="J3678" s="352">
        <v>21165.84</v>
      </c>
      <c r="K3678" s="353"/>
      <c r="L3678" s="352">
        <v>19.12</v>
      </c>
      <c r="M3678" s="352">
        <v>19.12</v>
      </c>
      <c r="N3678" s="354"/>
      <c r="O3678" s="345">
        <v>0.15</v>
      </c>
      <c r="P3678" s="355"/>
      <c r="Q3678" s="354">
        <v>1213.1600000000001</v>
      </c>
      <c r="R3678" s="337" t="s">
        <v>1030</v>
      </c>
      <c r="S3678" s="356" t="s">
        <v>3078</v>
      </c>
      <c r="T3678" s="356">
        <v>47</v>
      </c>
      <c r="U3678" s="357" t="s">
        <v>164</v>
      </c>
      <c r="V3678" s="434"/>
      <c r="X3678" s="354">
        <v>1213.1600000000001</v>
      </c>
      <c r="Y3678" s="354"/>
      <c r="AI3678" s="354">
        <v>1213.1600000000001</v>
      </c>
      <c r="AJ3678" s="358"/>
      <c r="AK3678" s="369"/>
    </row>
    <row r="3679" spans="1:77" s="379" customFormat="1" ht="11.25" customHeight="1">
      <c r="B3679" s="380" t="s">
        <v>291</v>
      </c>
      <c r="C3679" s="381">
        <v>44760</v>
      </c>
      <c r="D3679" s="381">
        <v>44760</v>
      </c>
      <c r="E3679" s="382" t="s">
        <v>2797</v>
      </c>
      <c r="F3679" s="379" t="s">
        <v>1825</v>
      </c>
      <c r="G3679" s="383" t="s">
        <v>1826</v>
      </c>
      <c r="H3679" s="379" t="s">
        <v>765</v>
      </c>
      <c r="I3679" s="384" t="s">
        <v>961</v>
      </c>
      <c r="J3679" s="385">
        <v>6682.27</v>
      </c>
      <c r="K3679" s="384"/>
      <c r="L3679" s="385">
        <v>12.37</v>
      </c>
      <c r="M3679" s="385">
        <v>12.37</v>
      </c>
      <c r="N3679" s="386"/>
      <c r="O3679" s="397">
        <v>0.25</v>
      </c>
      <c r="P3679" s="387"/>
      <c r="Q3679" s="386">
        <v>434.81</v>
      </c>
      <c r="R3679" s="379" t="s">
        <v>146</v>
      </c>
      <c r="S3679" s="388" t="s">
        <v>74</v>
      </c>
      <c r="T3679" s="388">
        <v>31</v>
      </c>
      <c r="U3679" s="389" t="s">
        <v>164</v>
      </c>
      <c r="V3679" s="433"/>
      <c r="X3679" s="386">
        <v>434.81</v>
      </c>
      <c r="Y3679" s="386"/>
      <c r="AJ3679" s="416">
        <v>434.81</v>
      </c>
    </row>
    <row r="3680" spans="1:77" s="337" customFormat="1" ht="11.25" customHeight="1">
      <c r="B3680" s="337" t="s">
        <v>291</v>
      </c>
      <c r="C3680" s="349">
        <v>44760</v>
      </c>
      <c r="D3680" s="349">
        <v>44760</v>
      </c>
      <c r="E3680" s="350" t="s">
        <v>2798</v>
      </c>
      <c r="F3680" s="337" t="s">
        <v>1029</v>
      </c>
      <c r="G3680" s="351">
        <v>3743</v>
      </c>
      <c r="H3680" s="337" t="s">
        <v>866</v>
      </c>
      <c r="I3680" s="337" t="s">
        <v>888</v>
      </c>
      <c r="J3680" s="352">
        <v>3616.2</v>
      </c>
      <c r="K3680" s="353"/>
      <c r="L3680" s="352">
        <v>2.87</v>
      </c>
      <c r="M3680" s="352">
        <v>2.87</v>
      </c>
      <c r="N3680" s="354"/>
      <c r="O3680" s="345">
        <v>0.15</v>
      </c>
      <c r="P3680" s="355"/>
      <c r="Q3680" s="354">
        <v>0</v>
      </c>
      <c r="R3680" s="337" t="s">
        <v>1030</v>
      </c>
      <c r="S3680" s="356" t="s">
        <v>3078</v>
      </c>
      <c r="T3680" s="356">
        <v>47</v>
      </c>
      <c r="U3680" s="357" t="s">
        <v>164</v>
      </c>
      <c r="V3680" s="434"/>
      <c r="X3680" s="354">
        <v>0</v>
      </c>
      <c r="Y3680" s="354"/>
      <c r="AI3680" s="337">
        <v>0</v>
      </c>
      <c r="AJ3680" s="358"/>
      <c r="AK3680" s="369"/>
      <c r="AL3680" s="353"/>
      <c r="AM3680" s="353"/>
      <c r="AN3680" s="353"/>
      <c r="AO3680" s="353"/>
      <c r="AP3680" s="353"/>
      <c r="AQ3680" s="353"/>
      <c r="AR3680" s="353"/>
      <c r="AS3680" s="353"/>
      <c r="AT3680" s="353"/>
      <c r="AU3680" s="353"/>
      <c r="AV3680" s="353"/>
      <c r="AW3680" s="353"/>
      <c r="AX3680" s="353"/>
      <c r="AY3680" s="353"/>
      <c r="AZ3680" s="353"/>
      <c r="BA3680" s="353"/>
      <c r="BB3680" s="353"/>
      <c r="BC3680" s="353"/>
      <c r="BD3680" s="353"/>
      <c r="BE3680" s="353"/>
      <c r="BF3680" s="353"/>
      <c r="BG3680" s="353"/>
      <c r="BH3680" s="353"/>
      <c r="BI3680" s="353"/>
      <c r="BJ3680" s="353"/>
      <c r="BK3680" s="353"/>
      <c r="BL3680" s="353"/>
      <c r="BM3680" s="353"/>
      <c r="BN3680" s="353"/>
      <c r="BO3680" s="353"/>
      <c r="BP3680" s="353"/>
      <c r="BQ3680" s="353"/>
      <c r="BR3680" s="353"/>
      <c r="BS3680" s="353"/>
      <c r="BT3680" s="353"/>
      <c r="BU3680" s="353"/>
      <c r="BV3680" s="353"/>
      <c r="BW3680" s="353"/>
      <c r="BX3680" s="353"/>
      <c r="BY3680" s="353"/>
    </row>
    <row r="3681" spans="1:77" s="337" customFormat="1" ht="11.25" customHeight="1">
      <c r="B3681" s="337" t="s">
        <v>291</v>
      </c>
      <c r="C3681" s="349"/>
      <c r="D3681" s="349"/>
      <c r="E3681" s="350" t="s">
        <v>2798</v>
      </c>
      <c r="F3681" s="337" t="s">
        <v>1029</v>
      </c>
      <c r="G3681" s="351">
        <v>3743</v>
      </c>
      <c r="H3681" s="337" t="s">
        <v>765</v>
      </c>
      <c r="I3681" s="337" t="s">
        <v>888</v>
      </c>
      <c r="J3681" s="352">
        <v>26468.37</v>
      </c>
      <c r="K3681" s="353"/>
      <c r="L3681" s="352">
        <v>23.91</v>
      </c>
      <c r="M3681" s="352">
        <v>23.95</v>
      </c>
      <c r="N3681" s="354"/>
      <c r="O3681" s="345">
        <v>0.15</v>
      </c>
      <c r="P3681" s="355"/>
      <c r="Q3681" s="354">
        <v>1194.3</v>
      </c>
      <c r="R3681" s="337" t="s">
        <v>1030</v>
      </c>
      <c r="S3681" s="356" t="s">
        <v>3078</v>
      </c>
      <c r="T3681" s="356">
        <v>47</v>
      </c>
      <c r="U3681" s="357" t="s">
        <v>164</v>
      </c>
      <c r="V3681" s="434"/>
      <c r="X3681" s="354">
        <v>1194.3</v>
      </c>
      <c r="Y3681" s="354"/>
      <c r="AI3681" s="354">
        <v>1194.3</v>
      </c>
      <c r="AJ3681" s="358"/>
      <c r="AK3681" s="369"/>
      <c r="AL3681" s="353"/>
      <c r="AM3681" s="353"/>
      <c r="AN3681" s="353"/>
      <c r="AO3681" s="353"/>
      <c r="AP3681" s="353"/>
      <c r="AQ3681" s="353"/>
      <c r="AR3681" s="353"/>
      <c r="AS3681" s="353"/>
      <c r="AT3681" s="353"/>
      <c r="AU3681" s="353"/>
      <c r="AV3681" s="353"/>
      <c r="AW3681" s="353"/>
      <c r="AX3681" s="353"/>
      <c r="AY3681" s="353"/>
      <c r="AZ3681" s="353"/>
      <c r="BA3681" s="353"/>
      <c r="BB3681" s="353"/>
      <c r="BC3681" s="353"/>
      <c r="BD3681" s="353"/>
      <c r="BE3681" s="353"/>
      <c r="BF3681" s="353"/>
      <c r="BG3681" s="353"/>
      <c r="BH3681" s="353"/>
      <c r="BI3681" s="353"/>
      <c r="BJ3681" s="353"/>
      <c r="BK3681" s="353"/>
      <c r="BL3681" s="353"/>
      <c r="BM3681" s="353"/>
      <c r="BN3681" s="353"/>
      <c r="BO3681" s="353"/>
      <c r="BP3681" s="353"/>
      <c r="BQ3681" s="353"/>
      <c r="BR3681" s="353"/>
      <c r="BS3681" s="353"/>
      <c r="BT3681" s="353"/>
      <c r="BU3681" s="353"/>
      <c r="BV3681" s="353"/>
      <c r="BW3681" s="353"/>
      <c r="BX3681" s="353"/>
      <c r="BY3681" s="353"/>
    </row>
    <row r="3682" spans="1:77" s="337" customFormat="1" ht="11.25" customHeight="1">
      <c r="B3682" s="337" t="s">
        <v>291</v>
      </c>
      <c r="C3682" s="349">
        <v>44760</v>
      </c>
      <c r="D3682" s="349">
        <v>44760</v>
      </c>
      <c r="E3682" s="350" t="s">
        <v>2799</v>
      </c>
      <c r="F3682" s="337" t="s">
        <v>2164</v>
      </c>
      <c r="G3682" s="351" t="s">
        <v>2165</v>
      </c>
      <c r="H3682" s="337" t="s">
        <v>866</v>
      </c>
      <c r="I3682" s="353" t="s">
        <v>1022</v>
      </c>
      <c r="J3682" s="352">
        <v>31202.81</v>
      </c>
      <c r="K3682" s="353"/>
      <c r="L3682" s="352">
        <v>23.66</v>
      </c>
      <c r="M3682" s="352">
        <v>23.66</v>
      </c>
      <c r="N3682" s="354"/>
      <c r="O3682" s="345">
        <v>0.25</v>
      </c>
      <c r="P3682" s="355"/>
      <c r="Q3682" s="354">
        <v>0</v>
      </c>
      <c r="R3682" s="337" t="s">
        <v>149</v>
      </c>
      <c r="S3682" s="356" t="s">
        <v>113</v>
      </c>
      <c r="T3682" s="356">
        <v>40</v>
      </c>
      <c r="U3682" s="357" t="s">
        <v>164</v>
      </c>
      <c r="V3682" s="434"/>
      <c r="X3682" s="354">
        <v>0</v>
      </c>
      <c r="Y3682" s="354"/>
      <c r="AI3682" s="337">
        <v>0</v>
      </c>
      <c r="AJ3682" s="358"/>
      <c r="AK3682" s="369"/>
    </row>
    <row r="3683" spans="1:77" s="337" customFormat="1" ht="11.25" customHeight="1">
      <c r="B3683" s="337" t="s">
        <v>291</v>
      </c>
      <c r="E3683" s="350" t="s">
        <v>2799</v>
      </c>
      <c r="F3683" s="337" t="s">
        <v>2164</v>
      </c>
      <c r="G3683" s="351" t="s">
        <v>2165</v>
      </c>
      <c r="H3683" s="337" t="s">
        <v>765</v>
      </c>
      <c r="I3683" s="353" t="s">
        <v>1022</v>
      </c>
      <c r="J3683" s="352">
        <v>21967.8</v>
      </c>
      <c r="K3683" s="353"/>
      <c r="L3683" s="352">
        <v>19.27</v>
      </c>
      <c r="M3683" s="352">
        <v>19.27</v>
      </c>
      <c r="N3683" s="354"/>
      <c r="O3683" s="345">
        <v>0.25</v>
      </c>
      <c r="P3683" s="355"/>
      <c r="Q3683" s="354">
        <v>0</v>
      </c>
      <c r="R3683" s="337" t="s">
        <v>149</v>
      </c>
      <c r="S3683" s="356" t="s">
        <v>113</v>
      </c>
      <c r="T3683" s="356">
        <v>40</v>
      </c>
      <c r="U3683" s="357" t="s">
        <v>164</v>
      </c>
      <c r="V3683" s="434"/>
      <c r="X3683" s="354">
        <v>0</v>
      </c>
      <c r="Y3683" s="354"/>
      <c r="AI3683" s="337">
        <v>0</v>
      </c>
      <c r="AJ3683" s="358"/>
      <c r="AK3683" s="369"/>
    </row>
    <row r="3684" spans="1:77" s="379" customFormat="1" ht="11.25" customHeight="1">
      <c r="B3684" s="379" t="s">
        <v>291</v>
      </c>
      <c r="C3684" s="381">
        <v>44760</v>
      </c>
      <c r="D3684" s="381">
        <v>44760</v>
      </c>
      <c r="E3684" s="382" t="s">
        <v>2800</v>
      </c>
      <c r="F3684" s="394" t="s">
        <v>1206</v>
      </c>
      <c r="G3684" s="383" t="s">
        <v>1207</v>
      </c>
      <c r="H3684" s="379" t="s">
        <v>910</v>
      </c>
      <c r="I3684" s="384" t="s">
        <v>2801</v>
      </c>
      <c r="J3684" s="385">
        <v>73783.14</v>
      </c>
      <c r="K3684" s="384"/>
      <c r="L3684" s="385">
        <v>37.090000000000003</v>
      </c>
      <c r="M3684" s="385">
        <v>37.090000000000003</v>
      </c>
      <c r="N3684" s="386"/>
      <c r="O3684" s="397">
        <v>0.2</v>
      </c>
      <c r="P3684" s="387"/>
      <c r="Q3684" s="386">
        <v>0</v>
      </c>
      <c r="R3684" s="394" t="s">
        <v>257</v>
      </c>
      <c r="S3684" s="399" t="s">
        <v>624</v>
      </c>
      <c r="T3684" s="399">
        <v>32</v>
      </c>
      <c r="U3684" s="389" t="s">
        <v>164</v>
      </c>
      <c r="V3684" s="433"/>
      <c r="X3684" s="386">
        <v>0</v>
      </c>
      <c r="Y3684" s="386"/>
      <c r="AJ3684" s="390">
        <v>0</v>
      </c>
    </row>
    <row r="3685" spans="1:77" s="379" customFormat="1" ht="11.25" customHeight="1">
      <c r="B3685" s="379" t="s">
        <v>291</v>
      </c>
      <c r="C3685" s="381"/>
      <c r="D3685" s="381"/>
      <c r="E3685" s="382" t="s">
        <v>2800</v>
      </c>
      <c r="F3685" s="394" t="s">
        <v>1206</v>
      </c>
      <c r="G3685" s="383" t="s">
        <v>1207</v>
      </c>
      <c r="H3685" s="379" t="s">
        <v>765</v>
      </c>
      <c r="I3685" s="384" t="s">
        <v>888</v>
      </c>
      <c r="J3685" s="385">
        <v>17633</v>
      </c>
      <c r="K3685" s="384"/>
      <c r="L3685" s="385">
        <v>16.03</v>
      </c>
      <c r="M3685" s="385">
        <v>16.03</v>
      </c>
      <c r="N3685" s="386"/>
      <c r="O3685" s="397">
        <v>0.2</v>
      </c>
      <c r="P3685" s="387"/>
      <c r="Q3685" s="386">
        <v>5009.38</v>
      </c>
      <c r="R3685" s="394" t="s">
        <v>257</v>
      </c>
      <c r="S3685" s="399" t="s">
        <v>624</v>
      </c>
      <c r="T3685" s="399">
        <v>32</v>
      </c>
      <c r="U3685" s="389" t="s">
        <v>164</v>
      </c>
      <c r="V3685" s="433"/>
      <c r="X3685" s="386">
        <v>5009.38</v>
      </c>
      <c r="Y3685" s="386"/>
      <c r="AJ3685" s="416">
        <v>5009.38</v>
      </c>
    </row>
    <row r="3686" spans="1:77" s="379" customFormat="1" ht="11.25" customHeight="1">
      <c r="B3686" s="406" t="s">
        <v>291</v>
      </c>
      <c r="C3686" s="381">
        <v>44760</v>
      </c>
      <c r="D3686" s="381">
        <v>44760</v>
      </c>
      <c r="E3686" s="382" t="s">
        <v>2802</v>
      </c>
      <c r="F3686" s="379" t="s">
        <v>1198</v>
      </c>
      <c r="G3686" s="383" t="s">
        <v>1199</v>
      </c>
      <c r="H3686" s="379" t="s">
        <v>765</v>
      </c>
      <c r="I3686" s="394" t="s">
        <v>888</v>
      </c>
      <c r="J3686" s="385">
        <v>23936</v>
      </c>
      <c r="K3686" s="384"/>
      <c r="L3686" s="385">
        <v>21.76</v>
      </c>
      <c r="M3686" s="385">
        <v>21.76</v>
      </c>
      <c r="N3686" s="386"/>
      <c r="O3686" s="397">
        <v>0.2</v>
      </c>
      <c r="P3686" s="387"/>
      <c r="Q3686" s="391">
        <v>6800</v>
      </c>
      <c r="R3686" s="379" t="s">
        <v>257</v>
      </c>
      <c r="S3686" s="388" t="s">
        <v>624</v>
      </c>
      <c r="T3686" s="388">
        <v>32</v>
      </c>
      <c r="U3686" s="389" t="s">
        <v>164</v>
      </c>
      <c r="V3686" s="433"/>
      <c r="X3686" s="391">
        <v>6800</v>
      </c>
      <c r="Y3686" s="386"/>
      <c r="AJ3686" s="390">
        <v>6800</v>
      </c>
    </row>
    <row r="3687" spans="1:77" s="379" customFormat="1" ht="11.25" customHeight="1">
      <c r="B3687" s="406" t="s">
        <v>291</v>
      </c>
      <c r="C3687" s="381"/>
      <c r="D3687" s="381"/>
      <c r="E3687" s="382" t="s">
        <v>2802</v>
      </c>
      <c r="F3687" s="379" t="s">
        <v>1198</v>
      </c>
      <c r="G3687" s="383" t="s">
        <v>1199</v>
      </c>
      <c r="H3687" s="379" t="s">
        <v>910</v>
      </c>
      <c r="I3687" s="394" t="s">
        <v>2006</v>
      </c>
      <c r="J3687" s="385">
        <v>42909.2</v>
      </c>
      <c r="K3687" s="384"/>
      <c r="L3687" s="385">
        <v>21.57</v>
      </c>
      <c r="M3687" s="385">
        <v>21.57</v>
      </c>
      <c r="N3687" s="386"/>
      <c r="O3687" s="397">
        <v>0.2</v>
      </c>
      <c r="P3687" s="387"/>
      <c r="Q3687" s="386">
        <v>0</v>
      </c>
      <c r="R3687" s="379" t="s">
        <v>257</v>
      </c>
      <c r="S3687" s="388" t="s">
        <v>624</v>
      </c>
      <c r="T3687" s="388">
        <v>32</v>
      </c>
      <c r="U3687" s="389" t="s">
        <v>164</v>
      </c>
      <c r="V3687" s="433"/>
      <c r="X3687" s="386">
        <v>0</v>
      </c>
      <c r="Y3687" s="386"/>
      <c r="AJ3687" s="390">
        <v>0</v>
      </c>
    </row>
    <row r="3688" spans="1:77" s="337" customFormat="1" ht="11.25" customHeight="1">
      <c r="B3688" s="338" t="s">
        <v>291</v>
      </c>
      <c r="C3688" s="349">
        <v>44760</v>
      </c>
      <c r="D3688" s="349">
        <v>44760</v>
      </c>
      <c r="E3688" s="350" t="s">
        <v>2803</v>
      </c>
      <c r="F3688" s="337" t="s">
        <v>431</v>
      </c>
      <c r="G3688" s="351">
        <v>4114</v>
      </c>
      <c r="H3688" s="337" t="s">
        <v>765</v>
      </c>
      <c r="I3688" s="341" t="s">
        <v>888</v>
      </c>
      <c r="J3688" s="352">
        <v>23195.67</v>
      </c>
      <c r="K3688" s="353"/>
      <c r="L3688" s="352">
        <v>16.059999999999999</v>
      </c>
      <c r="M3688" s="352">
        <v>16.059999999999999</v>
      </c>
      <c r="N3688" s="354"/>
      <c r="O3688" s="345">
        <v>0.15</v>
      </c>
      <c r="P3688" s="355"/>
      <c r="Q3688" s="354">
        <v>6039.54</v>
      </c>
      <c r="R3688" s="337" t="s">
        <v>35</v>
      </c>
      <c r="S3688" s="356" t="s">
        <v>41</v>
      </c>
      <c r="T3688" s="356">
        <v>79</v>
      </c>
      <c r="U3688" s="357" t="s">
        <v>164</v>
      </c>
      <c r="V3688" s="434"/>
      <c r="X3688" s="354">
        <v>6039.54</v>
      </c>
      <c r="Y3688" s="354"/>
      <c r="AI3688" s="354">
        <v>6039.54</v>
      </c>
      <c r="AJ3688" s="358"/>
      <c r="AK3688" s="369"/>
    </row>
    <row r="3689" spans="1:77" s="379" customFormat="1" ht="11.25" customHeight="1">
      <c r="B3689" s="380" t="s">
        <v>291</v>
      </c>
      <c r="C3689" s="381">
        <v>44760</v>
      </c>
      <c r="D3689" s="381">
        <v>44760</v>
      </c>
      <c r="E3689" s="382" t="s">
        <v>2804</v>
      </c>
      <c r="F3689" s="379" t="s">
        <v>2805</v>
      </c>
      <c r="G3689" s="383">
        <v>4376</v>
      </c>
      <c r="H3689" s="379" t="s">
        <v>866</v>
      </c>
      <c r="I3689" s="394" t="s">
        <v>888</v>
      </c>
      <c r="J3689" s="385">
        <v>36430.559999999998</v>
      </c>
      <c r="K3689" s="384"/>
      <c r="L3689" s="385">
        <v>28.11</v>
      </c>
      <c r="M3689" s="385">
        <v>28.11</v>
      </c>
      <c r="N3689" s="386"/>
      <c r="O3689" s="397">
        <v>0.15</v>
      </c>
      <c r="P3689" s="387"/>
      <c r="Q3689" s="386">
        <v>6139.22</v>
      </c>
      <c r="R3689" s="379" t="s">
        <v>146</v>
      </c>
      <c r="S3689" s="388" t="s">
        <v>74</v>
      </c>
      <c r="T3689" s="388">
        <v>31</v>
      </c>
      <c r="U3689" s="389" t="s">
        <v>164</v>
      </c>
      <c r="V3689" s="433"/>
      <c r="X3689" s="386">
        <v>6139.22</v>
      </c>
      <c r="Y3689" s="386"/>
      <c r="AJ3689" s="416">
        <v>6139.22</v>
      </c>
    </row>
    <row r="3690" spans="1:77" s="379" customFormat="1" ht="11.25" customHeight="1">
      <c r="B3690" s="380" t="s">
        <v>291</v>
      </c>
      <c r="C3690" s="388"/>
      <c r="D3690" s="388"/>
      <c r="E3690" s="382" t="s">
        <v>2804</v>
      </c>
      <c r="F3690" s="379" t="s">
        <v>2805</v>
      </c>
      <c r="G3690" s="383">
        <v>4376</v>
      </c>
      <c r="H3690" s="379" t="s">
        <v>1141</v>
      </c>
      <c r="I3690" s="394" t="s">
        <v>888</v>
      </c>
      <c r="J3690" s="385">
        <v>10276.42</v>
      </c>
      <c r="K3690" s="384"/>
      <c r="L3690" s="385">
        <v>12.52</v>
      </c>
      <c r="M3690" s="385">
        <v>12.51</v>
      </c>
      <c r="N3690" s="386"/>
      <c r="O3690" s="397">
        <v>0.15</v>
      </c>
      <c r="P3690" s="387"/>
      <c r="Q3690" s="386">
        <v>5569.9</v>
      </c>
      <c r="R3690" s="379" t="s">
        <v>146</v>
      </c>
      <c r="S3690" s="388" t="s">
        <v>74</v>
      </c>
      <c r="T3690" s="388">
        <v>31</v>
      </c>
      <c r="U3690" s="389" t="s">
        <v>164</v>
      </c>
      <c r="V3690" s="433"/>
      <c r="X3690" s="386">
        <v>5569.9</v>
      </c>
      <c r="Y3690" s="386"/>
      <c r="AJ3690" s="416">
        <v>5569.9</v>
      </c>
    </row>
    <row r="3691" spans="1:77" s="291" customFormat="1" ht="11.25" customHeight="1">
      <c r="B3691" s="310" t="s">
        <v>291</v>
      </c>
      <c r="C3691" s="292">
        <v>44760</v>
      </c>
      <c r="D3691" s="292">
        <v>44760</v>
      </c>
      <c r="E3691" s="293" t="s">
        <v>2806</v>
      </c>
      <c r="F3691" s="291" t="s">
        <v>261</v>
      </c>
      <c r="G3691" s="294" t="s">
        <v>262</v>
      </c>
      <c r="H3691" s="291" t="s">
        <v>765</v>
      </c>
      <c r="I3691" s="291" t="s">
        <v>888</v>
      </c>
      <c r="J3691" s="296">
        <v>3632.86</v>
      </c>
      <c r="K3691" s="295"/>
      <c r="L3691" s="296">
        <v>6.74</v>
      </c>
      <c r="M3691" s="296">
        <v>6.74</v>
      </c>
      <c r="N3691" s="297"/>
      <c r="O3691" s="307">
        <v>0.15</v>
      </c>
      <c r="P3691" s="298"/>
      <c r="Q3691" s="297">
        <v>2333.0500000000002</v>
      </c>
      <c r="R3691" s="291" t="s">
        <v>128</v>
      </c>
      <c r="S3691" s="299" t="s">
        <v>41</v>
      </c>
      <c r="T3691" s="299">
        <v>79</v>
      </c>
      <c r="U3691" s="300" t="s">
        <v>164</v>
      </c>
      <c r="V3691" s="333"/>
      <c r="X3691" s="297">
        <v>2333.0500000000002</v>
      </c>
      <c r="Y3691" s="297"/>
      <c r="AH3691" s="297">
        <f>X3691</f>
        <v>2333.0500000000002</v>
      </c>
      <c r="AI3691" s="311"/>
      <c r="AJ3691" s="468"/>
    </row>
    <row r="3692" spans="1:77" s="291" customFormat="1" ht="11.25" customHeight="1">
      <c r="B3692" s="310" t="s">
        <v>291</v>
      </c>
      <c r="C3692" s="299"/>
      <c r="D3692" s="299"/>
      <c r="E3692" s="293" t="s">
        <v>2806</v>
      </c>
      <c r="F3692" s="291" t="s">
        <v>261</v>
      </c>
      <c r="G3692" s="294" t="s">
        <v>262</v>
      </c>
      <c r="H3692" s="291" t="s">
        <v>866</v>
      </c>
      <c r="I3692" s="291" t="s">
        <v>888</v>
      </c>
      <c r="J3692" s="296">
        <v>9213.7000000000007</v>
      </c>
      <c r="K3692" s="295"/>
      <c r="L3692" s="296">
        <v>5.49</v>
      </c>
      <c r="M3692" s="296">
        <v>5.49</v>
      </c>
      <c r="N3692" s="297"/>
      <c r="O3692" s="307">
        <v>0.15</v>
      </c>
      <c r="P3692" s="298"/>
      <c r="Q3692" s="297">
        <v>6753.08</v>
      </c>
      <c r="R3692" s="291" t="s">
        <v>128</v>
      </c>
      <c r="S3692" s="299" t="s">
        <v>41</v>
      </c>
      <c r="T3692" s="299">
        <v>79</v>
      </c>
      <c r="U3692" s="300" t="s">
        <v>164</v>
      </c>
      <c r="V3692" s="333"/>
      <c r="X3692" s="297">
        <v>6753.08</v>
      </c>
      <c r="Y3692" s="297"/>
      <c r="AH3692" s="297">
        <f>X3692</f>
        <v>6753.08</v>
      </c>
      <c r="AI3692" s="311"/>
      <c r="AJ3692" s="468"/>
    </row>
    <row r="3693" spans="1:77" s="353" customFormat="1" ht="11.25" customHeight="1">
      <c r="B3693" s="361" t="s">
        <v>291</v>
      </c>
      <c r="C3693" s="362">
        <v>44761</v>
      </c>
      <c r="D3693" s="362">
        <v>44761</v>
      </c>
      <c r="E3693" s="363" t="s">
        <v>2816</v>
      </c>
      <c r="F3693" s="353" t="s">
        <v>2817</v>
      </c>
      <c r="G3693" s="371" t="s">
        <v>2818</v>
      </c>
      <c r="H3693" s="353" t="s">
        <v>866</v>
      </c>
      <c r="I3693" s="337" t="s">
        <v>888</v>
      </c>
      <c r="J3693" s="352">
        <v>47763.9</v>
      </c>
      <c r="L3693" s="352">
        <v>36.35</v>
      </c>
      <c r="M3693" s="352">
        <v>36.35</v>
      </c>
      <c r="N3693" s="360"/>
      <c r="O3693" s="364">
        <v>0.25</v>
      </c>
      <c r="P3693" s="364"/>
      <c r="Q3693" s="360">
        <v>28998.58</v>
      </c>
      <c r="R3693" s="337" t="s">
        <v>128</v>
      </c>
      <c r="S3693" s="356" t="s">
        <v>41</v>
      </c>
      <c r="T3693" s="356">
        <v>79</v>
      </c>
      <c r="U3693" s="366" t="s">
        <v>164</v>
      </c>
      <c r="V3693" s="458"/>
      <c r="X3693" s="360">
        <v>28998.58</v>
      </c>
      <c r="Y3693" s="360"/>
      <c r="AI3693" s="360">
        <v>28998.58</v>
      </c>
      <c r="AJ3693" s="358"/>
      <c r="AK3693" s="369"/>
      <c r="AL3693" s="337"/>
      <c r="AM3693" s="337"/>
      <c r="AN3693" s="337"/>
      <c r="AO3693" s="337"/>
      <c r="AP3693" s="337"/>
      <c r="AQ3693" s="337"/>
      <c r="AR3693" s="337"/>
      <c r="AS3693" s="337"/>
      <c r="AT3693" s="337"/>
      <c r="AU3693" s="337"/>
      <c r="AV3693" s="337"/>
      <c r="AW3693" s="337"/>
      <c r="AX3693" s="337"/>
      <c r="AY3693" s="337"/>
      <c r="AZ3693" s="337"/>
      <c r="BA3693" s="337"/>
      <c r="BB3693" s="337"/>
      <c r="BC3693" s="337"/>
      <c r="BD3693" s="337"/>
      <c r="BE3693" s="337"/>
      <c r="BF3693" s="337"/>
      <c r="BG3693" s="337"/>
      <c r="BH3693" s="337"/>
      <c r="BI3693" s="337"/>
      <c r="BJ3693" s="337"/>
      <c r="BK3693" s="337"/>
      <c r="BL3693" s="337"/>
      <c r="BM3693" s="337"/>
      <c r="BN3693" s="337"/>
      <c r="BO3693" s="337"/>
      <c r="BP3693" s="337"/>
      <c r="BQ3693" s="337"/>
      <c r="BR3693" s="337"/>
      <c r="BS3693" s="337"/>
      <c r="BT3693" s="337"/>
      <c r="BU3693" s="337"/>
      <c r="BV3693" s="337"/>
      <c r="BW3693" s="337"/>
      <c r="BX3693" s="337"/>
      <c r="BY3693" s="337"/>
    </row>
    <row r="3694" spans="1:77" s="6" customFormat="1" ht="11.25" customHeight="1">
      <c r="A3694" s="379"/>
      <c r="B3694" s="380" t="s">
        <v>291</v>
      </c>
      <c r="C3694" s="381">
        <v>44761</v>
      </c>
      <c r="D3694" s="381">
        <v>44761</v>
      </c>
      <c r="E3694" s="382" t="s">
        <v>2807</v>
      </c>
      <c r="F3694" s="379" t="s">
        <v>2808</v>
      </c>
      <c r="G3694" s="383" t="s">
        <v>2809</v>
      </c>
      <c r="H3694" s="379" t="s">
        <v>866</v>
      </c>
      <c r="I3694" s="384" t="s">
        <v>961</v>
      </c>
      <c r="J3694" s="385">
        <v>74168</v>
      </c>
      <c r="K3694" s="384"/>
      <c r="L3694" s="385">
        <v>29.2</v>
      </c>
      <c r="M3694" s="385">
        <v>29.2</v>
      </c>
      <c r="N3694" s="386"/>
      <c r="O3694" s="397">
        <v>0.15</v>
      </c>
      <c r="P3694" s="387"/>
      <c r="Q3694" s="386">
        <v>0</v>
      </c>
      <c r="R3694" s="379" t="s">
        <v>112</v>
      </c>
      <c r="S3694" s="388" t="s">
        <v>113</v>
      </c>
      <c r="T3694" s="388">
        <v>64</v>
      </c>
      <c r="U3694" s="389" t="s">
        <v>164</v>
      </c>
      <c r="V3694" s="433"/>
      <c r="W3694" s="379"/>
      <c r="X3694" s="386">
        <v>0</v>
      </c>
      <c r="Y3694" s="386"/>
      <c r="Z3694" s="379"/>
      <c r="AA3694" s="379"/>
      <c r="AB3694" s="379"/>
      <c r="AC3694" s="379"/>
      <c r="AD3694" s="379"/>
      <c r="AE3694" s="379"/>
      <c r="AF3694" s="379"/>
      <c r="AG3694" s="379"/>
      <c r="AH3694" s="379"/>
      <c r="AI3694" s="379"/>
      <c r="AJ3694" s="390">
        <v>0</v>
      </c>
      <c r="AK3694" s="379"/>
      <c r="AL3694" s="379"/>
      <c r="AM3694" s="379"/>
      <c r="AN3694" s="379"/>
      <c r="AO3694" s="379"/>
      <c r="AP3694" s="379"/>
      <c r="AQ3694" s="379"/>
      <c r="AR3694" s="379"/>
      <c r="AS3694" s="379"/>
      <c r="AT3694" s="379"/>
      <c r="AU3694" s="379"/>
      <c r="AV3694" s="379"/>
      <c r="AW3694" s="379"/>
      <c r="AX3694" s="379"/>
      <c r="AY3694" s="379"/>
      <c r="AZ3694" s="379"/>
      <c r="BA3694" s="379"/>
      <c r="BB3694" s="379"/>
      <c r="BC3694" s="379"/>
      <c r="BD3694" s="379"/>
      <c r="BE3694" s="379"/>
      <c r="BF3694" s="379"/>
      <c r="BG3694" s="379"/>
      <c r="BH3694" s="379"/>
      <c r="BI3694" s="379"/>
      <c r="BJ3694" s="379"/>
      <c r="BK3694" s="379"/>
      <c r="BL3694" s="379"/>
      <c r="BM3694" s="379"/>
      <c r="BN3694" s="379"/>
      <c r="BO3694" s="379"/>
      <c r="BP3694" s="379"/>
      <c r="BQ3694" s="379"/>
      <c r="BR3694" s="379"/>
      <c r="BS3694" s="379"/>
      <c r="BT3694" s="379"/>
      <c r="BU3694" s="379"/>
      <c r="BV3694" s="379"/>
      <c r="BW3694" s="379"/>
      <c r="BX3694" s="379"/>
      <c r="BY3694" s="379"/>
    </row>
    <row r="3695" spans="1:77" s="291" customFormat="1" ht="11.25" customHeight="1">
      <c r="A3695" s="6"/>
      <c r="B3695" s="39" t="s">
        <v>291</v>
      </c>
      <c r="C3695" s="4">
        <v>44760</v>
      </c>
      <c r="D3695" s="4">
        <v>44761</v>
      </c>
      <c r="E3695" s="5" t="s">
        <v>2810</v>
      </c>
      <c r="F3695" s="6" t="s">
        <v>2811</v>
      </c>
      <c r="G3695" s="79">
        <v>3613</v>
      </c>
      <c r="H3695" s="6" t="s">
        <v>765</v>
      </c>
      <c r="I3695" s="9" t="s">
        <v>33</v>
      </c>
      <c r="J3695" s="24">
        <v>21560</v>
      </c>
      <c r="K3695" s="9"/>
      <c r="L3695" s="24">
        <v>28</v>
      </c>
      <c r="M3695" s="24">
        <v>22</v>
      </c>
      <c r="N3695" s="8"/>
      <c r="O3695" s="151">
        <v>0.15</v>
      </c>
      <c r="P3695" s="11"/>
      <c r="Q3695" s="112">
        <v>4228.8999999999996</v>
      </c>
      <c r="R3695" s="6" t="s">
        <v>128</v>
      </c>
      <c r="S3695" s="3" t="s">
        <v>41</v>
      </c>
      <c r="T3695" s="3">
        <v>86</v>
      </c>
      <c r="U3695" s="7"/>
      <c r="V3695" s="436"/>
      <c r="W3695" s="6"/>
      <c r="X3695" s="8"/>
      <c r="Y3695" s="8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80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</row>
    <row r="3696" spans="1:77" s="337" customFormat="1" ht="11.25" customHeight="1">
      <c r="B3696" s="338" t="s">
        <v>291</v>
      </c>
      <c r="C3696" s="349">
        <v>44761</v>
      </c>
      <c r="D3696" s="349">
        <v>44761</v>
      </c>
      <c r="E3696" s="350" t="s">
        <v>2819</v>
      </c>
      <c r="F3696" s="337" t="s">
        <v>351</v>
      </c>
      <c r="G3696" s="351" t="s">
        <v>531</v>
      </c>
      <c r="H3696" s="337" t="s">
        <v>765</v>
      </c>
      <c r="I3696" s="353" t="s">
        <v>33</v>
      </c>
      <c r="J3696" s="352">
        <v>33148.5</v>
      </c>
      <c r="K3696" s="353"/>
      <c r="L3696" s="352">
        <v>20.09</v>
      </c>
      <c r="M3696" s="352">
        <v>20.09</v>
      </c>
      <c r="N3696" s="354"/>
      <c r="O3696" s="345">
        <v>0.25</v>
      </c>
      <c r="P3696" s="355"/>
      <c r="Q3696" s="354">
        <v>6386.61</v>
      </c>
      <c r="R3696" s="337" t="s">
        <v>128</v>
      </c>
      <c r="S3696" s="356" t="s">
        <v>41</v>
      </c>
      <c r="T3696" s="356">
        <v>79</v>
      </c>
      <c r="U3696" s="357" t="s">
        <v>164</v>
      </c>
      <c r="V3696" s="434"/>
      <c r="X3696" s="354">
        <v>6386.61</v>
      </c>
      <c r="Y3696" s="354"/>
      <c r="AI3696" s="369">
        <f>X3696</f>
        <v>6386.61</v>
      </c>
      <c r="AJ3696" s="358"/>
      <c r="AK3696" s="369"/>
    </row>
    <row r="3697" spans="1:77" s="337" customFormat="1" ht="11.25" customHeight="1">
      <c r="B3697" s="338" t="s">
        <v>291</v>
      </c>
      <c r="C3697" s="349">
        <v>44761</v>
      </c>
      <c r="D3697" s="349">
        <v>44761</v>
      </c>
      <c r="E3697" s="350" t="s">
        <v>2820</v>
      </c>
      <c r="F3697" s="337" t="s">
        <v>1557</v>
      </c>
      <c r="G3697" s="351" t="s">
        <v>1558</v>
      </c>
      <c r="H3697" s="337" t="s">
        <v>765</v>
      </c>
      <c r="I3697" s="353" t="s">
        <v>961</v>
      </c>
      <c r="J3697" s="352">
        <v>35059.730000000003</v>
      </c>
      <c r="K3697" s="353"/>
      <c r="L3697" s="352">
        <v>28.87</v>
      </c>
      <c r="M3697" s="352">
        <v>28.87</v>
      </c>
      <c r="N3697" s="354">
        <v>6773.94</v>
      </c>
      <c r="O3697" s="345">
        <v>0.15</v>
      </c>
      <c r="P3697" s="355"/>
      <c r="Q3697" s="354">
        <v>0</v>
      </c>
      <c r="R3697" s="337" t="s">
        <v>112</v>
      </c>
      <c r="S3697" s="356" t="s">
        <v>113</v>
      </c>
      <c r="T3697" s="356">
        <v>64</v>
      </c>
      <c r="U3697" s="357" t="s">
        <v>164</v>
      </c>
      <c r="V3697" s="434"/>
      <c r="X3697" s="354">
        <v>0</v>
      </c>
      <c r="Y3697" s="354"/>
      <c r="AI3697" s="337">
        <v>0</v>
      </c>
      <c r="AJ3697" s="358"/>
      <c r="AK3697" s="369"/>
    </row>
    <row r="3698" spans="1:77" s="337" customFormat="1" ht="11.25" customHeight="1">
      <c r="B3698" s="338" t="s">
        <v>291</v>
      </c>
      <c r="C3698" s="349"/>
      <c r="D3698" s="349"/>
      <c r="E3698" s="350" t="s">
        <v>2820</v>
      </c>
      <c r="F3698" s="337" t="s">
        <v>1557</v>
      </c>
      <c r="G3698" s="351" t="s">
        <v>1558</v>
      </c>
      <c r="H3698" s="337" t="s">
        <v>866</v>
      </c>
      <c r="I3698" s="353" t="s">
        <v>961</v>
      </c>
      <c r="J3698" s="352">
        <v>31969.13</v>
      </c>
      <c r="K3698" s="353"/>
      <c r="L3698" s="352">
        <v>20.2</v>
      </c>
      <c r="M3698" s="352">
        <v>20.2</v>
      </c>
      <c r="N3698" s="354">
        <v>16649.27</v>
      </c>
      <c r="O3698" s="345">
        <v>0.15</v>
      </c>
      <c r="P3698" s="355"/>
      <c r="Q3698" s="354">
        <v>7551.08</v>
      </c>
      <c r="R3698" s="337" t="s">
        <v>112</v>
      </c>
      <c r="S3698" s="356" t="s">
        <v>113</v>
      </c>
      <c r="T3698" s="356">
        <v>64</v>
      </c>
      <c r="U3698" s="357" t="s">
        <v>164</v>
      </c>
      <c r="V3698" s="434"/>
      <c r="X3698" s="354">
        <v>7551.08</v>
      </c>
      <c r="Y3698" s="354"/>
      <c r="AI3698" s="354">
        <v>7551.08</v>
      </c>
      <c r="AJ3698" s="358"/>
      <c r="AK3698" s="369"/>
    </row>
    <row r="3699" spans="1:77" s="337" customFormat="1" ht="11.25" customHeight="1">
      <c r="B3699" s="338" t="s">
        <v>291</v>
      </c>
      <c r="C3699" s="349">
        <v>44761</v>
      </c>
      <c r="D3699" s="349">
        <v>44761</v>
      </c>
      <c r="E3699" s="350" t="s">
        <v>2821</v>
      </c>
      <c r="F3699" s="337" t="s">
        <v>2822</v>
      </c>
      <c r="G3699" s="351" t="s">
        <v>2823</v>
      </c>
      <c r="H3699" s="337" t="s">
        <v>765</v>
      </c>
      <c r="I3699" s="337" t="s">
        <v>888</v>
      </c>
      <c r="J3699" s="352">
        <v>6517.49</v>
      </c>
      <c r="K3699" s="353"/>
      <c r="L3699" s="352">
        <v>4.7</v>
      </c>
      <c r="M3699" s="352">
        <v>4.7</v>
      </c>
      <c r="N3699" s="354">
        <v>1956</v>
      </c>
      <c r="O3699" s="345">
        <v>0.25</v>
      </c>
      <c r="P3699" s="355"/>
      <c r="Q3699" s="354">
        <v>535.45000000000005</v>
      </c>
      <c r="R3699" s="337" t="s">
        <v>2296</v>
      </c>
      <c r="S3699" s="356" t="s">
        <v>113</v>
      </c>
      <c r="T3699" s="356">
        <v>64</v>
      </c>
      <c r="U3699" s="357" t="s">
        <v>164</v>
      </c>
      <c r="V3699" s="434"/>
      <c r="X3699" s="354">
        <v>535.45000000000005</v>
      </c>
      <c r="Y3699" s="354"/>
      <c r="AI3699" s="354">
        <v>535.45000000000005</v>
      </c>
      <c r="AJ3699" s="358"/>
      <c r="AK3699" s="369"/>
    </row>
    <row r="3700" spans="1:77" s="337" customFormat="1" ht="11.25" customHeight="1">
      <c r="B3700" s="338" t="s">
        <v>291</v>
      </c>
      <c r="C3700" s="349"/>
      <c r="D3700" s="349"/>
      <c r="E3700" s="350" t="s">
        <v>2821</v>
      </c>
      <c r="F3700" s="337" t="s">
        <v>2822</v>
      </c>
      <c r="G3700" s="351" t="s">
        <v>2823</v>
      </c>
      <c r="H3700" s="337" t="s">
        <v>866</v>
      </c>
      <c r="I3700" s="337" t="s">
        <v>888</v>
      </c>
      <c r="J3700" s="352">
        <v>90033.02</v>
      </c>
      <c r="K3700" s="353"/>
      <c r="L3700" s="352">
        <v>34</v>
      </c>
      <c r="M3700" s="352">
        <v>34.340000000000003</v>
      </c>
      <c r="N3700" s="354">
        <v>34254</v>
      </c>
      <c r="O3700" s="345">
        <v>0.25</v>
      </c>
      <c r="P3700" s="355"/>
      <c r="Q3700" s="354">
        <v>44003.91</v>
      </c>
      <c r="R3700" s="337" t="s">
        <v>2296</v>
      </c>
      <c r="S3700" s="356" t="s">
        <v>113</v>
      </c>
      <c r="T3700" s="356">
        <v>64</v>
      </c>
      <c r="U3700" s="357" t="s">
        <v>164</v>
      </c>
      <c r="V3700" s="434"/>
      <c r="X3700" s="354">
        <v>44003.91</v>
      </c>
      <c r="Y3700" s="354"/>
      <c r="AI3700" s="354">
        <v>44003.91</v>
      </c>
      <c r="AJ3700" s="358"/>
      <c r="AK3700" s="369"/>
    </row>
    <row r="3701" spans="1:77" s="473" customFormat="1" ht="11.25" customHeight="1">
      <c r="A3701" s="507"/>
      <c r="B3701" s="508" t="s">
        <v>291</v>
      </c>
      <c r="C3701" s="509"/>
      <c r="D3701" s="509"/>
      <c r="E3701" s="510" t="s">
        <v>2824</v>
      </c>
      <c r="F3701" s="507" t="s">
        <v>2825</v>
      </c>
      <c r="G3701" s="521" t="s">
        <v>2826</v>
      </c>
      <c r="H3701" s="507" t="s">
        <v>866</v>
      </c>
      <c r="I3701" s="512" t="s">
        <v>961</v>
      </c>
      <c r="J3701" s="513">
        <v>41696.79</v>
      </c>
      <c r="K3701" s="512"/>
      <c r="L3701" s="513">
        <v>30.01</v>
      </c>
      <c r="M3701" s="513">
        <v>30</v>
      </c>
      <c r="N3701" s="514">
        <f>8336.58+6256.6</f>
        <v>14593.18</v>
      </c>
      <c r="O3701" s="530">
        <v>0.3</v>
      </c>
      <c r="P3701" s="515"/>
      <c r="Q3701" s="514">
        <v>3338.64</v>
      </c>
      <c r="R3701" s="507" t="s">
        <v>112</v>
      </c>
      <c r="S3701" s="516" t="s">
        <v>113</v>
      </c>
      <c r="T3701" s="516">
        <v>64</v>
      </c>
      <c r="U3701" s="517" t="s">
        <v>164</v>
      </c>
      <c r="V3701" s="518"/>
      <c r="W3701" s="507"/>
      <c r="X3701" s="514">
        <v>3338.64</v>
      </c>
      <c r="Y3701" s="514"/>
      <c r="Z3701" s="507"/>
      <c r="AA3701" s="507"/>
      <c r="AB3701" s="507"/>
      <c r="AC3701" s="507"/>
      <c r="AD3701" s="507"/>
      <c r="AE3701" s="507"/>
      <c r="AF3701" s="507"/>
      <c r="AG3701" s="507"/>
      <c r="AH3701" s="507"/>
      <c r="AI3701" s="507"/>
      <c r="AJ3701" s="522"/>
      <c r="AK3701" s="537">
        <v>338.64</v>
      </c>
      <c r="AL3701" s="507">
        <v>3000</v>
      </c>
      <c r="AM3701" s="507"/>
      <c r="AN3701" s="507"/>
      <c r="AO3701" s="507"/>
      <c r="AP3701" s="507"/>
      <c r="AQ3701" s="507"/>
      <c r="AR3701" s="507"/>
      <c r="AS3701" s="507"/>
      <c r="AT3701" s="507"/>
      <c r="AU3701" s="507"/>
      <c r="AV3701" s="507"/>
      <c r="AW3701" s="507"/>
      <c r="AX3701" s="507"/>
      <c r="AY3701" s="507"/>
      <c r="AZ3701" s="507"/>
      <c r="BA3701" s="507"/>
      <c r="BB3701" s="507"/>
      <c r="BC3701" s="507"/>
      <c r="BD3701" s="507"/>
      <c r="BE3701" s="507"/>
      <c r="BF3701" s="507"/>
      <c r="BG3701" s="507"/>
      <c r="BH3701" s="507"/>
      <c r="BI3701" s="507"/>
      <c r="BJ3701" s="507"/>
      <c r="BK3701" s="507"/>
      <c r="BL3701" s="507"/>
      <c r="BM3701" s="507"/>
      <c r="BN3701" s="507"/>
      <c r="BO3701" s="507"/>
      <c r="BP3701" s="507"/>
      <c r="BQ3701" s="507"/>
      <c r="BR3701" s="507"/>
      <c r="BS3701" s="507"/>
      <c r="BT3701" s="507"/>
      <c r="BU3701" s="507"/>
      <c r="BV3701" s="507"/>
      <c r="BW3701" s="507"/>
      <c r="BX3701" s="507"/>
      <c r="BY3701" s="507"/>
    </row>
    <row r="3702" spans="1:77" s="507" customFormat="1" ht="11.25" customHeight="1">
      <c r="A3702" s="473"/>
      <c r="B3702" s="486" t="s">
        <v>291</v>
      </c>
      <c r="C3702" s="487">
        <v>44760</v>
      </c>
      <c r="D3702" s="487">
        <v>44761</v>
      </c>
      <c r="E3702" s="488" t="s">
        <v>2824</v>
      </c>
      <c r="F3702" s="473" t="s">
        <v>2825</v>
      </c>
      <c r="G3702" s="489" t="s">
        <v>2826</v>
      </c>
      <c r="H3702" s="473" t="s">
        <v>910</v>
      </c>
      <c r="I3702" s="491" t="s">
        <v>961</v>
      </c>
      <c r="J3702" s="490">
        <v>49761.91</v>
      </c>
      <c r="K3702" s="491"/>
      <c r="L3702" s="490">
        <v>27.82</v>
      </c>
      <c r="M3702" s="490">
        <v>27.8</v>
      </c>
      <c r="N3702" s="492">
        <v>9945.23</v>
      </c>
      <c r="O3702" s="480">
        <v>0.3</v>
      </c>
      <c r="P3702" s="493"/>
      <c r="Q3702" s="492">
        <v>0</v>
      </c>
      <c r="R3702" s="473" t="s">
        <v>112</v>
      </c>
      <c r="S3702" s="481" t="s">
        <v>113</v>
      </c>
      <c r="T3702" s="481">
        <v>64</v>
      </c>
      <c r="U3702" s="494" t="s">
        <v>164</v>
      </c>
      <c r="V3702" s="495"/>
      <c r="W3702" s="473"/>
      <c r="X3702" s="492">
        <v>0</v>
      </c>
      <c r="Y3702" s="492"/>
      <c r="Z3702" s="473"/>
      <c r="AA3702" s="473"/>
      <c r="AB3702" s="473"/>
      <c r="AC3702" s="473"/>
      <c r="AD3702" s="473"/>
      <c r="AE3702" s="473"/>
      <c r="AF3702" s="473"/>
      <c r="AG3702" s="473"/>
      <c r="AH3702" s="473"/>
      <c r="AI3702" s="473"/>
      <c r="AJ3702" s="485"/>
      <c r="AK3702" s="473">
        <v>0</v>
      </c>
      <c r="AL3702" s="473"/>
      <c r="AM3702" s="473"/>
      <c r="AN3702" s="473"/>
      <c r="AO3702" s="473"/>
      <c r="AP3702" s="473"/>
      <c r="AQ3702" s="473"/>
      <c r="AR3702" s="473"/>
      <c r="AS3702" s="473"/>
      <c r="AT3702" s="473"/>
      <c r="AU3702" s="473"/>
      <c r="AV3702" s="473"/>
      <c r="AW3702" s="473"/>
      <c r="AX3702" s="473"/>
      <c r="AY3702" s="473"/>
      <c r="AZ3702" s="473"/>
      <c r="BA3702" s="473"/>
      <c r="BB3702" s="473"/>
      <c r="BC3702" s="473"/>
      <c r="BD3702" s="473"/>
      <c r="BE3702" s="473"/>
      <c r="BF3702" s="473"/>
      <c r="BG3702" s="473"/>
      <c r="BH3702" s="473"/>
      <c r="BI3702" s="473"/>
      <c r="BJ3702" s="473"/>
      <c r="BK3702" s="473"/>
      <c r="BL3702" s="473"/>
      <c r="BM3702" s="473"/>
      <c r="BN3702" s="473"/>
      <c r="BO3702" s="473"/>
      <c r="BP3702" s="473"/>
      <c r="BQ3702" s="473"/>
      <c r="BR3702" s="473"/>
      <c r="BS3702" s="473"/>
      <c r="BT3702" s="473"/>
      <c r="BU3702" s="473"/>
      <c r="BV3702" s="473"/>
      <c r="BW3702" s="473"/>
      <c r="BX3702" s="473"/>
      <c r="BY3702" s="473"/>
    </row>
    <row r="3703" spans="1:77" s="473" customFormat="1" ht="11.25" customHeight="1">
      <c r="B3703" s="486" t="s">
        <v>291</v>
      </c>
      <c r="C3703" s="487">
        <v>44760</v>
      </c>
      <c r="D3703" s="487">
        <v>44761</v>
      </c>
      <c r="E3703" s="488" t="s">
        <v>2827</v>
      </c>
      <c r="F3703" s="473" t="s">
        <v>659</v>
      </c>
      <c r="G3703" s="489" t="s">
        <v>660</v>
      </c>
      <c r="H3703" s="473" t="s">
        <v>1164</v>
      </c>
      <c r="I3703" s="491" t="s">
        <v>111</v>
      </c>
      <c r="J3703" s="490">
        <v>48360</v>
      </c>
      <c r="K3703" s="491"/>
      <c r="L3703" s="490">
        <v>12</v>
      </c>
      <c r="M3703" s="490">
        <v>12</v>
      </c>
      <c r="N3703" s="492">
        <v>9672</v>
      </c>
      <c r="O3703" s="480">
        <v>0.2</v>
      </c>
      <c r="P3703" s="493"/>
      <c r="Q3703" s="492">
        <f>N3703-J3703*O3703</f>
        <v>0</v>
      </c>
      <c r="R3703" s="473" t="s">
        <v>112</v>
      </c>
      <c r="S3703" s="481" t="s">
        <v>113</v>
      </c>
      <c r="T3703" s="481">
        <v>64</v>
      </c>
      <c r="U3703" s="494" t="s">
        <v>164</v>
      </c>
      <c r="V3703" s="495"/>
      <c r="X3703" s="492">
        <v>0</v>
      </c>
      <c r="Y3703" s="492"/>
      <c r="AJ3703" s="485"/>
      <c r="AK3703" s="473">
        <v>0</v>
      </c>
    </row>
    <row r="3704" spans="1:77" s="295" customFormat="1" ht="11.25" customHeight="1">
      <c r="B3704" s="317" t="s">
        <v>291</v>
      </c>
      <c r="C3704" s="318">
        <v>44761</v>
      </c>
      <c r="D3704" s="318">
        <v>44761</v>
      </c>
      <c r="E3704" s="319" t="s">
        <v>2828</v>
      </c>
      <c r="F3704" s="295" t="s">
        <v>129</v>
      </c>
      <c r="G3704" s="320">
        <v>3718</v>
      </c>
      <c r="H3704" s="295" t="s">
        <v>137</v>
      </c>
      <c r="I3704" s="295" t="s">
        <v>961</v>
      </c>
      <c r="J3704" s="296">
        <v>8056</v>
      </c>
      <c r="L3704" s="296">
        <v>7.6</v>
      </c>
      <c r="M3704" s="296">
        <v>7.6</v>
      </c>
      <c r="N3704" s="312">
        <v>743.33</v>
      </c>
      <c r="O3704" s="321">
        <v>0.2</v>
      </c>
      <c r="P3704" s="321"/>
      <c r="Q3704" s="312">
        <v>0</v>
      </c>
      <c r="R3704" s="295" t="s">
        <v>50</v>
      </c>
      <c r="S3704" s="322" t="s">
        <v>51</v>
      </c>
      <c r="T3704" s="322">
        <v>54</v>
      </c>
      <c r="U3704" s="323" t="s">
        <v>164</v>
      </c>
      <c r="V3704" s="459"/>
      <c r="X3704" s="312">
        <v>0</v>
      </c>
      <c r="Y3704" s="297"/>
      <c r="AH3704" s="295">
        <f>X3704</f>
        <v>0</v>
      </c>
      <c r="AI3704" s="311"/>
      <c r="AJ3704" s="468"/>
      <c r="AK3704" s="291"/>
      <c r="AL3704" s="291"/>
      <c r="AM3704" s="291"/>
      <c r="AN3704" s="291"/>
      <c r="AO3704" s="291"/>
      <c r="AP3704" s="291"/>
      <c r="AQ3704" s="291"/>
      <c r="AR3704" s="291"/>
      <c r="AS3704" s="291"/>
      <c r="AT3704" s="291"/>
      <c r="AU3704" s="291"/>
      <c r="AV3704" s="291"/>
      <c r="AW3704" s="291"/>
      <c r="AX3704" s="291"/>
      <c r="AY3704" s="291"/>
      <c r="AZ3704" s="291"/>
      <c r="BA3704" s="291"/>
      <c r="BB3704" s="291"/>
      <c r="BC3704" s="291"/>
      <c r="BD3704" s="291"/>
      <c r="BE3704" s="291"/>
      <c r="BF3704" s="291"/>
      <c r="BG3704" s="291"/>
      <c r="BH3704" s="291"/>
      <c r="BI3704" s="291"/>
      <c r="BJ3704" s="291"/>
      <c r="BK3704" s="291"/>
      <c r="BL3704" s="291"/>
      <c r="BM3704" s="291"/>
      <c r="BN3704" s="291"/>
      <c r="BO3704" s="291"/>
      <c r="BP3704" s="291"/>
      <c r="BQ3704" s="291"/>
      <c r="BR3704" s="291"/>
      <c r="BS3704" s="291"/>
      <c r="BT3704" s="291"/>
      <c r="BU3704" s="291"/>
      <c r="BV3704" s="291"/>
      <c r="BW3704" s="291"/>
      <c r="BX3704" s="291"/>
      <c r="BY3704" s="291"/>
    </row>
    <row r="3705" spans="1:77" s="295" customFormat="1" ht="11.25" customHeight="1">
      <c r="B3705" s="317" t="s">
        <v>291</v>
      </c>
      <c r="C3705" s="318"/>
      <c r="D3705" s="318"/>
      <c r="E3705" s="319" t="s">
        <v>2828</v>
      </c>
      <c r="F3705" s="295" t="s">
        <v>129</v>
      </c>
      <c r="G3705" s="320">
        <v>3718</v>
      </c>
      <c r="H3705" s="295" t="s">
        <v>162</v>
      </c>
      <c r="I3705" s="295" t="s">
        <v>961</v>
      </c>
      <c r="J3705" s="296">
        <v>2973.32</v>
      </c>
      <c r="L3705" s="296">
        <v>5.18</v>
      </c>
      <c r="M3705" s="296">
        <v>5.18</v>
      </c>
      <c r="N3705" s="312">
        <f>J3705*0.4</f>
        <v>1189.3280000000002</v>
      </c>
      <c r="O3705" s="321">
        <v>0.2</v>
      </c>
      <c r="P3705" s="321"/>
      <c r="Q3705" s="312">
        <v>0</v>
      </c>
      <c r="R3705" s="295" t="s">
        <v>50</v>
      </c>
      <c r="S3705" s="322" t="s">
        <v>51</v>
      </c>
      <c r="T3705" s="322">
        <v>54</v>
      </c>
      <c r="U3705" s="323" t="s">
        <v>164</v>
      </c>
      <c r="V3705" s="459"/>
      <c r="X3705" s="312">
        <v>0</v>
      </c>
      <c r="Y3705" s="297"/>
      <c r="AH3705" s="295">
        <f>X3705</f>
        <v>0</v>
      </c>
      <c r="AI3705" s="311"/>
      <c r="AJ3705" s="468"/>
      <c r="AK3705" s="291"/>
      <c r="AL3705" s="291"/>
      <c r="AM3705" s="291"/>
      <c r="AN3705" s="291"/>
      <c r="AO3705" s="291"/>
      <c r="AP3705" s="291"/>
      <c r="AQ3705" s="291"/>
      <c r="AR3705" s="291"/>
      <c r="AS3705" s="291"/>
      <c r="AT3705" s="291"/>
      <c r="AU3705" s="291"/>
      <c r="AV3705" s="291"/>
      <c r="AW3705" s="291"/>
      <c r="AX3705" s="291"/>
      <c r="AY3705" s="291"/>
      <c r="AZ3705" s="291"/>
      <c r="BA3705" s="291"/>
      <c r="BB3705" s="291"/>
      <c r="BC3705" s="291"/>
      <c r="BD3705" s="291"/>
      <c r="BE3705" s="291"/>
      <c r="BF3705" s="291"/>
      <c r="BG3705" s="291"/>
      <c r="BH3705" s="291"/>
      <c r="BI3705" s="291"/>
      <c r="BJ3705" s="291"/>
      <c r="BK3705" s="291"/>
      <c r="BL3705" s="291"/>
      <c r="BM3705" s="291"/>
      <c r="BN3705" s="291"/>
      <c r="BO3705" s="291"/>
      <c r="BP3705" s="291"/>
      <c r="BQ3705" s="291"/>
      <c r="BR3705" s="291"/>
      <c r="BS3705" s="291"/>
      <c r="BT3705" s="291"/>
      <c r="BU3705" s="291"/>
      <c r="BV3705" s="291"/>
      <c r="BW3705" s="291"/>
      <c r="BX3705" s="291"/>
      <c r="BY3705" s="291"/>
    </row>
    <row r="3706" spans="1:77" s="384" customFormat="1" ht="11.25" customHeight="1">
      <c r="B3706" s="380" t="s">
        <v>291</v>
      </c>
      <c r="C3706" s="420">
        <v>44760</v>
      </c>
      <c r="D3706" s="420">
        <v>44761</v>
      </c>
      <c r="E3706" s="421" t="s">
        <v>2829</v>
      </c>
      <c r="F3706" s="379" t="s">
        <v>1628</v>
      </c>
      <c r="G3706" s="422" t="s">
        <v>1629</v>
      </c>
      <c r="H3706" s="379" t="s">
        <v>1742</v>
      </c>
      <c r="I3706" s="384" t="s">
        <v>111</v>
      </c>
      <c r="J3706" s="385">
        <v>18143.28</v>
      </c>
      <c r="L3706" s="385">
        <v>12</v>
      </c>
      <c r="M3706" s="385">
        <v>12</v>
      </c>
      <c r="N3706" s="407"/>
      <c r="O3706" s="423">
        <v>0.25</v>
      </c>
      <c r="P3706" s="423"/>
      <c r="Q3706" s="407">
        <v>0</v>
      </c>
      <c r="R3706" s="379" t="s">
        <v>149</v>
      </c>
      <c r="S3706" s="388" t="s">
        <v>113</v>
      </c>
      <c r="T3706" s="388">
        <v>40</v>
      </c>
      <c r="U3706" s="424" t="s">
        <v>164</v>
      </c>
      <c r="V3706" s="460"/>
      <c r="X3706" s="407">
        <v>0</v>
      </c>
      <c r="Y3706" s="407"/>
      <c r="AI3706" s="379"/>
      <c r="AJ3706" s="390">
        <v>0</v>
      </c>
      <c r="AK3706" s="379"/>
      <c r="AL3706" s="379"/>
      <c r="AM3706" s="379"/>
      <c r="AN3706" s="379"/>
      <c r="AO3706" s="379"/>
      <c r="AP3706" s="379"/>
      <c r="AQ3706" s="379"/>
      <c r="AR3706" s="379"/>
      <c r="AS3706" s="379"/>
      <c r="AT3706" s="379"/>
      <c r="AU3706" s="379"/>
      <c r="AV3706" s="379"/>
      <c r="AW3706" s="379"/>
      <c r="AX3706" s="379"/>
      <c r="AY3706" s="379"/>
      <c r="AZ3706" s="379"/>
      <c r="BA3706" s="379"/>
      <c r="BB3706" s="379"/>
      <c r="BC3706" s="379"/>
      <c r="BD3706" s="379"/>
      <c r="BE3706" s="379"/>
      <c r="BF3706" s="379"/>
      <c r="BG3706" s="379"/>
      <c r="BH3706" s="379"/>
      <c r="BI3706" s="379"/>
      <c r="BJ3706" s="379"/>
      <c r="BK3706" s="379"/>
      <c r="BL3706" s="379"/>
      <c r="BM3706" s="379"/>
      <c r="BN3706" s="379"/>
      <c r="BO3706" s="379"/>
      <c r="BP3706" s="379"/>
      <c r="BQ3706" s="379"/>
      <c r="BR3706" s="379"/>
      <c r="BS3706" s="379"/>
      <c r="BT3706" s="379"/>
      <c r="BU3706" s="379"/>
      <c r="BV3706" s="379"/>
      <c r="BW3706" s="379"/>
      <c r="BX3706" s="379"/>
      <c r="BY3706" s="379"/>
    </row>
    <row r="3707" spans="1:77" s="384" customFormat="1" ht="11.25" customHeight="1">
      <c r="B3707" s="380" t="s">
        <v>291</v>
      </c>
      <c r="C3707" s="420"/>
      <c r="D3707" s="420"/>
      <c r="E3707" s="421" t="s">
        <v>2829</v>
      </c>
      <c r="F3707" s="379" t="s">
        <v>1628</v>
      </c>
      <c r="G3707" s="422" t="s">
        <v>1629</v>
      </c>
      <c r="H3707" s="379" t="s">
        <v>910</v>
      </c>
      <c r="I3707" s="384" t="s">
        <v>111</v>
      </c>
      <c r="J3707" s="416">
        <v>54411.56</v>
      </c>
      <c r="L3707" s="416">
        <v>28</v>
      </c>
      <c r="M3707" s="416">
        <v>28</v>
      </c>
      <c r="N3707" s="407"/>
      <c r="O3707" s="423">
        <v>0.25</v>
      </c>
      <c r="P3707" s="423"/>
      <c r="Q3707" s="407">
        <v>0</v>
      </c>
      <c r="R3707" s="379" t="s">
        <v>149</v>
      </c>
      <c r="S3707" s="388" t="s">
        <v>113</v>
      </c>
      <c r="T3707" s="388">
        <v>40</v>
      </c>
      <c r="U3707" s="424" t="s">
        <v>164</v>
      </c>
      <c r="V3707" s="460"/>
      <c r="X3707" s="407">
        <v>0</v>
      </c>
      <c r="Y3707" s="407"/>
      <c r="AI3707" s="379"/>
      <c r="AJ3707" s="390">
        <v>0</v>
      </c>
      <c r="AK3707" s="379"/>
      <c r="AL3707" s="379"/>
      <c r="AM3707" s="379"/>
      <c r="AN3707" s="379"/>
      <c r="AO3707" s="379"/>
      <c r="AP3707" s="379"/>
      <c r="AQ3707" s="379"/>
      <c r="AR3707" s="379"/>
      <c r="AS3707" s="379"/>
      <c r="AT3707" s="379"/>
      <c r="AU3707" s="379"/>
      <c r="AV3707" s="379"/>
      <c r="AW3707" s="379"/>
      <c r="AX3707" s="379"/>
      <c r="AY3707" s="379"/>
      <c r="AZ3707" s="379"/>
      <c r="BA3707" s="379"/>
      <c r="BB3707" s="379"/>
      <c r="BC3707" s="379"/>
      <c r="BD3707" s="379"/>
      <c r="BE3707" s="379"/>
      <c r="BF3707" s="379"/>
      <c r="BG3707" s="379"/>
      <c r="BH3707" s="379"/>
      <c r="BI3707" s="379"/>
      <c r="BJ3707" s="379"/>
      <c r="BK3707" s="379"/>
      <c r="BL3707" s="379"/>
      <c r="BM3707" s="379"/>
      <c r="BN3707" s="379"/>
      <c r="BO3707" s="379"/>
      <c r="BP3707" s="379"/>
      <c r="BQ3707" s="379"/>
      <c r="BR3707" s="379"/>
      <c r="BS3707" s="379"/>
      <c r="BT3707" s="379"/>
      <c r="BU3707" s="379"/>
      <c r="BV3707" s="379"/>
      <c r="BW3707" s="379"/>
      <c r="BX3707" s="379"/>
      <c r="BY3707" s="379"/>
    </row>
    <row r="3708" spans="1:77" s="379" customFormat="1" ht="11.25" customHeight="1">
      <c r="B3708" s="379" t="s">
        <v>291</v>
      </c>
      <c r="C3708" s="381">
        <v>44760</v>
      </c>
      <c r="D3708" s="381">
        <v>44761</v>
      </c>
      <c r="E3708" s="382" t="s">
        <v>2830</v>
      </c>
      <c r="F3708" s="379" t="s">
        <v>180</v>
      </c>
      <c r="G3708" s="383">
        <v>3815</v>
      </c>
      <c r="H3708" s="394" t="s">
        <v>765</v>
      </c>
      <c r="I3708" s="384" t="s">
        <v>961</v>
      </c>
      <c r="J3708" s="395">
        <v>16759.16</v>
      </c>
      <c r="K3708" s="384"/>
      <c r="L3708" s="395">
        <v>24.81</v>
      </c>
      <c r="M3708" s="395">
        <v>24.81</v>
      </c>
      <c r="N3708" s="386"/>
      <c r="O3708" s="397">
        <v>0.15</v>
      </c>
      <c r="P3708" s="387"/>
      <c r="Q3708" s="386">
        <v>0</v>
      </c>
      <c r="R3708" s="379" t="s">
        <v>73</v>
      </c>
      <c r="S3708" s="388" t="s">
        <v>113</v>
      </c>
      <c r="T3708" s="388">
        <v>31</v>
      </c>
      <c r="U3708" s="389" t="s">
        <v>164</v>
      </c>
      <c r="V3708" s="433"/>
      <c r="X3708" s="386">
        <v>0</v>
      </c>
      <c r="Y3708" s="386"/>
      <c r="AJ3708" s="390">
        <v>0</v>
      </c>
    </row>
    <row r="3709" spans="1:77" s="379" customFormat="1" ht="11.25" customHeight="1">
      <c r="A3709" s="473"/>
      <c r="B3709" s="486" t="s">
        <v>291</v>
      </c>
      <c r="C3709" s="487"/>
      <c r="D3709" s="487"/>
      <c r="E3709" s="488" t="s">
        <v>2840</v>
      </c>
      <c r="F3709" s="473" t="s">
        <v>182</v>
      </c>
      <c r="G3709" s="489">
        <v>3842</v>
      </c>
      <c r="H3709" s="473" t="s">
        <v>765</v>
      </c>
      <c r="I3709" s="491" t="s">
        <v>961</v>
      </c>
      <c r="J3709" s="490">
        <v>64908.41</v>
      </c>
      <c r="K3709" s="491"/>
      <c r="L3709" s="490">
        <v>85.07</v>
      </c>
      <c r="M3709" s="490">
        <v>85.07</v>
      </c>
      <c r="N3709" s="492"/>
      <c r="O3709" s="480">
        <v>0.15</v>
      </c>
      <c r="P3709" s="493"/>
      <c r="Q3709" s="492">
        <v>7830.69</v>
      </c>
      <c r="R3709" s="473" t="s">
        <v>73</v>
      </c>
      <c r="S3709" s="481" t="s">
        <v>113</v>
      </c>
      <c r="T3709" s="482">
        <v>31</v>
      </c>
      <c r="U3709" s="494" t="s">
        <v>164</v>
      </c>
      <c r="V3709" s="495"/>
      <c r="W3709" s="473"/>
      <c r="X3709" s="492">
        <v>7830.69</v>
      </c>
      <c r="Y3709" s="492"/>
      <c r="Z3709" s="473"/>
      <c r="AA3709" s="473"/>
      <c r="AB3709" s="473"/>
      <c r="AC3709" s="473"/>
      <c r="AD3709" s="473"/>
      <c r="AE3709" s="473"/>
      <c r="AF3709" s="473"/>
      <c r="AG3709" s="473"/>
      <c r="AH3709" s="473"/>
      <c r="AI3709" s="473"/>
      <c r="AJ3709" s="485"/>
      <c r="AK3709" s="505">
        <v>7830.69</v>
      </c>
      <c r="AL3709" s="473"/>
      <c r="AM3709" s="473"/>
      <c r="AN3709" s="473"/>
      <c r="AO3709" s="473"/>
      <c r="AP3709" s="473"/>
      <c r="AQ3709" s="473"/>
      <c r="AR3709" s="473"/>
      <c r="AS3709" s="473"/>
      <c r="AT3709" s="473"/>
      <c r="AU3709" s="473"/>
      <c r="AV3709" s="473"/>
      <c r="AW3709" s="473"/>
      <c r="AX3709" s="473"/>
      <c r="AY3709" s="473"/>
      <c r="AZ3709" s="473"/>
      <c r="BA3709" s="473"/>
      <c r="BB3709" s="473"/>
      <c r="BC3709" s="473"/>
      <c r="BD3709" s="473"/>
      <c r="BE3709" s="473"/>
      <c r="BF3709" s="473"/>
      <c r="BG3709" s="473"/>
      <c r="BH3709" s="473"/>
      <c r="BI3709" s="473"/>
      <c r="BJ3709" s="473"/>
      <c r="BK3709" s="473"/>
      <c r="BL3709" s="473"/>
      <c r="BM3709" s="473"/>
      <c r="BN3709" s="473"/>
      <c r="BO3709" s="473"/>
      <c r="BP3709" s="473"/>
      <c r="BQ3709" s="473"/>
      <c r="BR3709" s="473"/>
      <c r="BS3709" s="473"/>
      <c r="BT3709" s="473"/>
      <c r="BU3709" s="473"/>
      <c r="BV3709" s="473"/>
      <c r="BW3709" s="473"/>
      <c r="BX3709" s="473"/>
      <c r="BY3709" s="473"/>
    </row>
    <row r="3710" spans="1:77" s="473" customFormat="1" ht="11.25" customHeight="1">
      <c r="A3710" s="379"/>
      <c r="B3710" s="380" t="s">
        <v>291</v>
      </c>
      <c r="C3710" s="381">
        <v>44760</v>
      </c>
      <c r="D3710" s="381">
        <v>44761</v>
      </c>
      <c r="E3710" s="382" t="s">
        <v>2840</v>
      </c>
      <c r="F3710" s="379" t="s">
        <v>182</v>
      </c>
      <c r="G3710" s="383">
        <v>3842</v>
      </c>
      <c r="H3710" s="379" t="s">
        <v>910</v>
      </c>
      <c r="I3710" s="384" t="s">
        <v>961</v>
      </c>
      <c r="J3710" s="385">
        <v>52744.7</v>
      </c>
      <c r="K3710" s="384"/>
      <c r="L3710" s="385">
        <v>29.86</v>
      </c>
      <c r="M3710" s="385">
        <v>29.86</v>
      </c>
      <c r="N3710" s="386"/>
      <c r="O3710" s="397">
        <v>0.15</v>
      </c>
      <c r="P3710" s="387"/>
      <c r="Q3710" s="386">
        <v>0</v>
      </c>
      <c r="R3710" s="379" t="s">
        <v>73</v>
      </c>
      <c r="S3710" s="388" t="s">
        <v>113</v>
      </c>
      <c r="T3710" s="399">
        <v>31</v>
      </c>
      <c r="U3710" s="389" t="s">
        <v>164</v>
      </c>
      <c r="V3710" s="433"/>
      <c r="W3710" s="379"/>
      <c r="X3710" s="386">
        <v>0</v>
      </c>
      <c r="Y3710" s="386"/>
      <c r="Z3710" s="379"/>
      <c r="AA3710" s="379"/>
      <c r="AB3710" s="379"/>
      <c r="AC3710" s="379"/>
      <c r="AD3710" s="379"/>
      <c r="AE3710" s="379"/>
      <c r="AF3710" s="379"/>
      <c r="AG3710" s="379"/>
      <c r="AH3710" s="379"/>
      <c r="AI3710" s="379"/>
      <c r="AJ3710" s="390">
        <v>0</v>
      </c>
      <c r="AK3710" s="379"/>
      <c r="AL3710" s="379"/>
      <c r="AM3710" s="379"/>
      <c r="AN3710" s="379"/>
      <c r="AO3710" s="379"/>
      <c r="AP3710" s="379"/>
      <c r="AQ3710" s="379"/>
      <c r="AR3710" s="379"/>
      <c r="AS3710" s="379"/>
      <c r="AT3710" s="379"/>
      <c r="AU3710" s="379"/>
      <c r="AV3710" s="379"/>
      <c r="AW3710" s="379"/>
      <c r="AX3710" s="379"/>
      <c r="AY3710" s="379"/>
      <c r="AZ3710" s="379"/>
      <c r="BA3710" s="379"/>
      <c r="BB3710" s="379"/>
      <c r="BC3710" s="379"/>
      <c r="BD3710" s="379"/>
      <c r="BE3710" s="379"/>
      <c r="BF3710" s="379"/>
      <c r="BG3710" s="379"/>
      <c r="BH3710" s="379"/>
      <c r="BI3710" s="379"/>
      <c r="BJ3710" s="379"/>
      <c r="BK3710" s="379"/>
      <c r="BL3710" s="379"/>
      <c r="BM3710" s="379"/>
      <c r="BN3710" s="379"/>
      <c r="BO3710" s="379"/>
      <c r="BP3710" s="379"/>
      <c r="BQ3710" s="379"/>
      <c r="BR3710" s="379"/>
      <c r="BS3710" s="379"/>
      <c r="BT3710" s="379"/>
      <c r="BU3710" s="379"/>
      <c r="BV3710" s="379"/>
      <c r="BW3710" s="379"/>
      <c r="BX3710" s="379"/>
      <c r="BY3710" s="379"/>
    </row>
    <row r="3711" spans="1:77" s="379" customFormat="1" ht="11.25" customHeight="1">
      <c r="B3711" s="380" t="s">
        <v>291</v>
      </c>
      <c r="C3711" s="381">
        <v>44760</v>
      </c>
      <c r="D3711" s="381">
        <v>44761</v>
      </c>
      <c r="E3711" s="382" t="s">
        <v>2841</v>
      </c>
      <c r="F3711" s="379" t="s">
        <v>439</v>
      </c>
      <c r="G3711" s="383">
        <v>3851</v>
      </c>
      <c r="H3711" s="379" t="s">
        <v>765</v>
      </c>
      <c r="I3711" s="384" t="s">
        <v>111</v>
      </c>
      <c r="J3711" s="385">
        <v>14572</v>
      </c>
      <c r="K3711" s="384"/>
      <c r="L3711" s="385">
        <v>19.399999999999999</v>
      </c>
      <c r="M3711" s="385">
        <v>19.3</v>
      </c>
      <c r="N3711" s="386"/>
      <c r="O3711" s="397">
        <v>0.15</v>
      </c>
      <c r="P3711" s="387"/>
      <c r="Q3711" s="386">
        <v>0</v>
      </c>
      <c r="R3711" s="379" t="s">
        <v>35</v>
      </c>
      <c r="S3711" s="388" t="s">
        <v>41</v>
      </c>
      <c r="T3711" s="399">
        <v>16</v>
      </c>
      <c r="U3711" s="389" t="s">
        <v>164</v>
      </c>
      <c r="V3711" s="433"/>
      <c r="X3711" s="386">
        <v>0</v>
      </c>
      <c r="Y3711" s="386"/>
      <c r="AJ3711" s="390">
        <v>0</v>
      </c>
    </row>
    <row r="3712" spans="1:77" s="379" customFormat="1" ht="11.25" customHeight="1">
      <c r="B3712" s="380" t="s">
        <v>291</v>
      </c>
      <c r="C3712" s="381"/>
      <c r="D3712" s="381"/>
      <c r="E3712" s="382" t="s">
        <v>2841</v>
      </c>
      <c r="F3712" s="379" t="s">
        <v>439</v>
      </c>
      <c r="G3712" s="383">
        <v>3851</v>
      </c>
      <c r="H3712" s="379" t="s">
        <v>866</v>
      </c>
      <c r="I3712" s="384" t="s">
        <v>111</v>
      </c>
      <c r="J3712" s="385">
        <v>21941.01</v>
      </c>
      <c r="K3712" s="384"/>
      <c r="L3712" s="385">
        <v>29.25</v>
      </c>
      <c r="M3712" s="385">
        <v>29.25</v>
      </c>
      <c r="N3712" s="386"/>
      <c r="O3712" s="397">
        <v>0.15</v>
      </c>
      <c r="P3712" s="387"/>
      <c r="Q3712" s="386">
        <v>0</v>
      </c>
      <c r="R3712" s="379" t="s">
        <v>35</v>
      </c>
      <c r="S3712" s="388" t="s">
        <v>41</v>
      </c>
      <c r="T3712" s="399">
        <v>16</v>
      </c>
      <c r="U3712" s="389" t="s">
        <v>164</v>
      </c>
      <c r="V3712" s="433"/>
      <c r="X3712" s="386">
        <v>0</v>
      </c>
      <c r="Y3712" s="386"/>
      <c r="AJ3712" s="390">
        <v>0</v>
      </c>
    </row>
    <row r="3713" spans="2:37" s="337" customFormat="1" ht="11.25" customHeight="1">
      <c r="B3713" s="338" t="s">
        <v>291</v>
      </c>
      <c r="C3713" s="349">
        <v>44760</v>
      </c>
      <c r="D3713" s="349">
        <v>44761</v>
      </c>
      <c r="E3713" s="350" t="s">
        <v>2842</v>
      </c>
      <c r="F3713" s="337" t="s">
        <v>1331</v>
      </c>
      <c r="G3713" s="351" t="s">
        <v>1332</v>
      </c>
      <c r="H3713" s="337" t="s">
        <v>1009</v>
      </c>
      <c r="I3713" s="353" t="s">
        <v>1056</v>
      </c>
      <c r="J3713" s="352">
        <v>4721.75</v>
      </c>
      <c r="K3713" s="353"/>
      <c r="L3713" s="352">
        <v>2.75</v>
      </c>
      <c r="M3713" s="352">
        <v>2.75</v>
      </c>
      <c r="N3713" s="354"/>
      <c r="O3713" s="345">
        <v>0.2</v>
      </c>
      <c r="P3713" s="355"/>
      <c r="Q3713" s="354">
        <v>0</v>
      </c>
      <c r="R3713" s="337" t="s">
        <v>112</v>
      </c>
      <c r="S3713" s="356" t="s">
        <v>113</v>
      </c>
      <c r="T3713" s="346">
        <v>64</v>
      </c>
      <c r="U3713" s="357" t="s">
        <v>164</v>
      </c>
      <c r="V3713" s="434"/>
      <c r="X3713" s="354">
        <v>0</v>
      </c>
      <c r="Y3713" s="354"/>
      <c r="AF3713" s="369"/>
      <c r="AI3713" s="337">
        <v>0</v>
      </c>
      <c r="AJ3713" s="358"/>
      <c r="AK3713" s="369"/>
    </row>
    <row r="3714" spans="2:37" s="337" customFormat="1" ht="11.25" customHeight="1">
      <c r="B3714" s="338" t="s">
        <v>291</v>
      </c>
      <c r="C3714" s="349"/>
      <c r="D3714" s="349"/>
      <c r="E3714" s="350" t="s">
        <v>2842</v>
      </c>
      <c r="F3714" s="337" t="s">
        <v>1331</v>
      </c>
      <c r="G3714" s="351" t="s">
        <v>1332</v>
      </c>
      <c r="H3714" s="337" t="s">
        <v>910</v>
      </c>
      <c r="I3714" s="353" t="s">
        <v>1056</v>
      </c>
      <c r="J3714" s="352">
        <v>13772.21</v>
      </c>
      <c r="K3714" s="353"/>
      <c r="L3714" s="352">
        <v>7.32</v>
      </c>
      <c r="M3714" s="352">
        <v>7.32</v>
      </c>
      <c r="N3714" s="354">
        <v>1673.79</v>
      </c>
      <c r="O3714" s="345">
        <v>0.2</v>
      </c>
      <c r="P3714" s="355"/>
      <c r="Q3714" s="354">
        <v>1673.79</v>
      </c>
      <c r="R3714" s="337" t="s">
        <v>112</v>
      </c>
      <c r="S3714" s="356" t="s">
        <v>113</v>
      </c>
      <c r="T3714" s="346">
        <v>64</v>
      </c>
      <c r="U3714" s="357" t="s">
        <v>164</v>
      </c>
      <c r="V3714" s="434"/>
      <c r="X3714" s="354">
        <v>1673.79</v>
      </c>
      <c r="Y3714" s="354"/>
      <c r="AI3714" s="354">
        <v>1673.79</v>
      </c>
      <c r="AJ3714" s="358"/>
      <c r="AK3714" s="369"/>
    </row>
    <row r="3715" spans="2:37" s="337" customFormat="1" ht="11.25" customHeight="1">
      <c r="B3715" s="338" t="s">
        <v>291</v>
      </c>
      <c r="C3715" s="349"/>
      <c r="D3715" s="349"/>
      <c r="E3715" s="350" t="s">
        <v>2842</v>
      </c>
      <c r="F3715" s="337" t="s">
        <v>1331</v>
      </c>
      <c r="G3715" s="351" t="s">
        <v>1332</v>
      </c>
      <c r="H3715" s="337" t="s">
        <v>866</v>
      </c>
      <c r="I3715" s="353" t="s">
        <v>1056</v>
      </c>
      <c r="J3715" s="352">
        <v>10704.6</v>
      </c>
      <c r="K3715" s="353"/>
      <c r="L3715" s="352">
        <v>6.31</v>
      </c>
      <c r="M3715" s="352">
        <v>6.31</v>
      </c>
      <c r="N3715" s="354">
        <v>5352.3</v>
      </c>
      <c r="O3715" s="345">
        <v>0.2</v>
      </c>
      <c r="P3715" s="355"/>
      <c r="Q3715" s="354">
        <v>2468.11</v>
      </c>
      <c r="R3715" s="337" t="s">
        <v>112</v>
      </c>
      <c r="S3715" s="356" t="s">
        <v>113</v>
      </c>
      <c r="T3715" s="346">
        <v>64</v>
      </c>
      <c r="U3715" s="357" t="s">
        <v>164</v>
      </c>
      <c r="V3715" s="434"/>
      <c r="X3715" s="354">
        <v>2468.11</v>
      </c>
      <c r="Y3715" s="354"/>
      <c r="AI3715" s="354">
        <v>2468.11</v>
      </c>
      <c r="AJ3715" s="358"/>
      <c r="AK3715" s="369"/>
    </row>
    <row r="3716" spans="2:37" s="379" customFormat="1" ht="11.25" customHeight="1">
      <c r="B3716" s="379" t="s">
        <v>291</v>
      </c>
      <c r="C3716" s="381">
        <v>44760</v>
      </c>
      <c r="D3716" s="381">
        <v>44761</v>
      </c>
      <c r="E3716" s="382" t="s">
        <v>2843</v>
      </c>
      <c r="F3716" s="394" t="s">
        <v>189</v>
      </c>
      <c r="G3716" s="383">
        <v>3814</v>
      </c>
      <c r="H3716" s="379" t="s">
        <v>765</v>
      </c>
      <c r="I3716" s="384" t="s">
        <v>1296</v>
      </c>
      <c r="J3716" s="385">
        <v>38370.36</v>
      </c>
      <c r="K3716" s="384"/>
      <c r="L3716" s="385">
        <v>53.74</v>
      </c>
      <c r="M3716" s="385">
        <v>53.74</v>
      </c>
      <c r="N3716" s="386"/>
      <c r="O3716" s="397">
        <v>0.15</v>
      </c>
      <c r="P3716" s="387"/>
      <c r="Q3716" s="386">
        <v>639.51</v>
      </c>
      <c r="R3716" s="394" t="s">
        <v>73</v>
      </c>
      <c r="S3716" s="399" t="s">
        <v>113</v>
      </c>
      <c r="T3716" s="399">
        <v>31</v>
      </c>
      <c r="U3716" s="389" t="s">
        <v>164</v>
      </c>
      <c r="V3716" s="433"/>
      <c r="X3716" s="386">
        <v>639.51</v>
      </c>
      <c r="Y3716" s="386"/>
      <c r="AJ3716" s="416">
        <v>639.51</v>
      </c>
    </row>
    <row r="3717" spans="2:37" s="291" customFormat="1" ht="11.25" customHeight="1">
      <c r="B3717" s="291" t="s">
        <v>291</v>
      </c>
      <c r="C3717" s="292">
        <v>44757</v>
      </c>
      <c r="D3717" s="292">
        <v>44761</v>
      </c>
      <c r="E3717" s="293" t="s">
        <v>2844</v>
      </c>
      <c r="F3717" s="291" t="s">
        <v>2845</v>
      </c>
      <c r="G3717" s="294" t="s">
        <v>2846</v>
      </c>
      <c r="H3717" s="291" t="s">
        <v>866</v>
      </c>
      <c r="I3717" s="295" t="s">
        <v>1056</v>
      </c>
      <c r="J3717" s="296">
        <v>79140.91</v>
      </c>
      <c r="K3717" s="295"/>
      <c r="L3717" s="296">
        <v>28.93</v>
      </c>
      <c r="M3717" s="296">
        <v>28.93</v>
      </c>
      <c r="O3717" s="307">
        <v>0.25</v>
      </c>
      <c r="P3717" s="298"/>
      <c r="Q3717" s="291">
        <v>0</v>
      </c>
      <c r="R3717" s="291" t="s">
        <v>112</v>
      </c>
      <c r="S3717" s="308" t="s">
        <v>113</v>
      </c>
      <c r="T3717" s="308">
        <v>64</v>
      </c>
      <c r="U3717" s="300" t="s">
        <v>164</v>
      </c>
      <c r="V3717" s="333"/>
      <c r="X3717" s="297">
        <v>0</v>
      </c>
      <c r="Y3717" s="297"/>
      <c r="AH3717" s="291">
        <f>X3717</f>
        <v>0</v>
      </c>
      <c r="AI3717" s="311"/>
      <c r="AJ3717" s="468"/>
    </row>
    <row r="3718" spans="2:37" s="291" customFormat="1" ht="11.25" customHeight="1">
      <c r="B3718" s="291" t="s">
        <v>291</v>
      </c>
      <c r="C3718" s="292"/>
      <c r="D3718" s="292"/>
      <c r="E3718" s="293" t="s">
        <v>2844</v>
      </c>
      <c r="F3718" s="291" t="s">
        <v>2845</v>
      </c>
      <c r="G3718" s="294" t="s">
        <v>2846</v>
      </c>
      <c r="H3718" s="291" t="s">
        <v>814</v>
      </c>
      <c r="I3718" s="295" t="s">
        <v>1056</v>
      </c>
      <c r="J3718" s="296">
        <v>6588.24</v>
      </c>
      <c r="K3718" s="295"/>
      <c r="L3718" s="296">
        <v>5.82</v>
      </c>
      <c r="M3718" s="296">
        <v>5.82</v>
      </c>
      <c r="N3718" s="297">
        <v>4282.3599999999997</v>
      </c>
      <c r="O3718" s="307">
        <v>0.25</v>
      </c>
      <c r="P3718" s="298"/>
      <c r="Q3718" s="297">
        <v>1984.62</v>
      </c>
      <c r="R3718" s="291" t="s">
        <v>112</v>
      </c>
      <c r="S3718" s="308" t="s">
        <v>113</v>
      </c>
      <c r="T3718" s="308">
        <v>64</v>
      </c>
      <c r="U3718" s="300" t="s">
        <v>164</v>
      </c>
      <c r="V3718" s="333"/>
      <c r="X3718" s="297">
        <v>1984.62</v>
      </c>
      <c r="Y3718" s="297"/>
      <c r="AH3718" s="297">
        <f>X3718</f>
        <v>1984.62</v>
      </c>
      <c r="AI3718" s="311"/>
      <c r="AJ3718" s="468"/>
    </row>
    <row r="3719" spans="2:37" s="291" customFormat="1" ht="11.25" customHeight="1">
      <c r="B3719" s="291" t="s">
        <v>291</v>
      </c>
      <c r="C3719" s="292"/>
      <c r="D3719" s="292"/>
      <c r="E3719" s="293" t="s">
        <v>2844</v>
      </c>
      <c r="F3719" s="291" t="s">
        <v>2845</v>
      </c>
      <c r="G3719" s="294" t="s">
        <v>2846</v>
      </c>
      <c r="H3719" s="291" t="s">
        <v>765</v>
      </c>
      <c r="I3719" s="295" t="s">
        <v>1056</v>
      </c>
      <c r="J3719" s="296">
        <v>10227.36</v>
      </c>
      <c r="K3719" s="295"/>
      <c r="L3719" s="296">
        <v>5.96</v>
      </c>
      <c r="M3719" s="296">
        <v>5.96</v>
      </c>
      <c r="N3719" s="297">
        <v>0</v>
      </c>
      <c r="O3719" s="307">
        <v>0.25</v>
      </c>
      <c r="P3719" s="298"/>
      <c r="Q3719" s="311">
        <v>0</v>
      </c>
      <c r="R3719" s="291" t="s">
        <v>112</v>
      </c>
      <c r="S3719" s="308" t="s">
        <v>113</v>
      </c>
      <c r="T3719" s="308">
        <v>64</v>
      </c>
      <c r="U3719" s="300" t="s">
        <v>164</v>
      </c>
      <c r="V3719" s="333"/>
      <c r="X3719" s="297">
        <v>0</v>
      </c>
      <c r="Y3719" s="297"/>
      <c r="AH3719" s="291">
        <f>X3719</f>
        <v>0</v>
      </c>
      <c r="AI3719" s="311"/>
      <c r="AJ3719" s="468"/>
    </row>
    <row r="3720" spans="2:37" s="337" customFormat="1" ht="11.25" customHeight="1">
      <c r="B3720" s="338" t="s">
        <v>291</v>
      </c>
      <c r="C3720" s="349">
        <v>44762</v>
      </c>
      <c r="D3720" s="349">
        <v>44762</v>
      </c>
      <c r="E3720" s="350" t="s">
        <v>2847</v>
      </c>
      <c r="F3720" s="337" t="s">
        <v>1645</v>
      </c>
      <c r="G3720" s="351" t="s">
        <v>1646</v>
      </c>
      <c r="H3720" s="337" t="s">
        <v>866</v>
      </c>
      <c r="I3720" s="337" t="s">
        <v>888</v>
      </c>
      <c r="J3720" s="352">
        <v>153164.38</v>
      </c>
      <c r="K3720" s="353"/>
      <c r="L3720" s="352">
        <v>72.680000000000007</v>
      </c>
      <c r="M3720" s="352">
        <v>72.680000000000007</v>
      </c>
      <c r="N3720" s="354">
        <v>76013.03</v>
      </c>
      <c r="O3720" s="345">
        <v>0.2</v>
      </c>
      <c r="P3720" s="355"/>
      <c r="Q3720" s="354">
        <v>0</v>
      </c>
      <c r="R3720" s="337" t="s">
        <v>112</v>
      </c>
      <c r="S3720" s="356" t="s">
        <v>113</v>
      </c>
      <c r="T3720" s="346">
        <v>64</v>
      </c>
      <c r="U3720" s="357" t="s">
        <v>164</v>
      </c>
      <c r="V3720" s="434"/>
      <c r="X3720" s="354">
        <v>0</v>
      </c>
      <c r="Y3720" s="354"/>
      <c r="AI3720" s="337">
        <v>0</v>
      </c>
      <c r="AJ3720" s="358"/>
      <c r="AK3720" s="369"/>
    </row>
    <row r="3721" spans="2:37" s="337" customFormat="1" ht="11.25" customHeight="1">
      <c r="B3721" s="338" t="s">
        <v>291</v>
      </c>
      <c r="C3721" s="349"/>
      <c r="D3721" s="349"/>
      <c r="E3721" s="350" t="s">
        <v>2847</v>
      </c>
      <c r="F3721" s="337" t="s">
        <v>1645</v>
      </c>
      <c r="G3721" s="351" t="s">
        <v>1646</v>
      </c>
      <c r="H3721" s="337" t="s">
        <v>765</v>
      </c>
      <c r="I3721" s="337" t="s">
        <v>888</v>
      </c>
      <c r="J3721" s="352">
        <v>6361.52</v>
      </c>
      <c r="K3721" s="353"/>
      <c r="L3721" s="352">
        <v>4.22</v>
      </c>
      <c r="M3721" s="352">
        <v>4.22</v>
      </c>
      <c r="N3721" s="354">
        <v>1908.46</v>
      </c>
      <c r="O3721" s="345">
        <v>0.2</v>
      </c>
      <c r="P3721" s="355"/>
      <c r="Q3721" s="354">
        <v>0</v>
      </c>
      <c r="R3721" s="337" t="s">
        <v>112</v>
      </c>
      <c r="S3721" s="356" t="s">
        <v>113</v>
      </c>
      <c r="T3721" s="346">
        <v>64</v>
      </c>
      <c r="U3721" s="357" t="s">
        <v>164</v>
      </c>
      <c r="V3721" s="434"/>
      <c r="X3721" s="354">
        <v>0</v>
      </c>
      <c r="Y3721" s="354"/>
      <c r="AI3721" s="337">
        <v>0</v>
      </c>
      <c r="AJ3721" s="358"/>
      <c r="AK3721" s="369"/>
    </row>
    <row r="3722" spans="2:37" s="379" customFormat="1" ht="11.25" customHeight="1">
      <c r="B3722" s="380" t="s">
        <v>291</v>
      </c>
      <c r="C3722" s="381">
        <v>44762</v>
      </c>
      <c r="D3722" s="381">
        <v>44762</v>
      </c>
      <c r="E3722" s="382" t="s">
        <v>2848</v>
      </c>
      <c r="F3722" s="379" t="s">
        <v>2805</v>
      </c>
      <c r="G3722" s="383">
        <v>4376</v>
      </c>
      <c r="H3722" s="379" t="s">
        <v>814</v>
      </c>
      <c r="I3722" s="394" t="s">
        <v>888</v>
      </c>
      <c r="J3722" s="385">
        <v>13442.52</v>
      </c>
      <c r="K3722" s="384"/>
      <c r="L3722" s="385">
        <v>12.31</v>
      </c>
      <c r="M3722" s="385">
        <v>12.3</v>
      </c>
      <c r="N3722" s="386"/>
      <c r="O3722" s="397">
        <v>0.15</v>
      </c>
      <c r="P3722" s="387"/>
      <c r="Q3722" s="386">
        <v>5271.14</v>
      </c>
      <c r="R3722" s="379" t="s">
        <v>146</v>
      </c>
      <c r="S3722" s="388" t="s">
        <v>74</v>
      </c>
      <c r="T3722" s="399">
        <v>31</v>
      </c>
      <c r="U3722" s="389" t="s">
        <v>164</v>
      </c>
      <c r="V3722" s="433"/>
      <c r="X3722" s="386">
        <v>5271.14</v>
      </c>
      <c r="Y3722" s="386"/>
      <c r="AJ3722" s="416">
        <v>5271.14</v>
      </c>
    </row>
    <row r="3723" spans="2:37" s="291" customFormat="1" ht="11.25" customHeight="1">
      <c r="B3723" s="310" t="s">
        <v>291</v>
      </c>
      <c r="C3723" s="292">
        <v>44760</v>
      </c>
      <c r="D3723" s="292">
        <v>44762</v>
      </c>
      <c r="E3723" s="293" t="s">
        <v>2849</v>
      </c>
      <c r="F3723" s="291" t="s">
        <v>1081</v>
      </c>
      <c r="G3723" s="294">
        <v>4216</v>
      </c>
      <c r="H3723" s="291" t="s">
        <v>866</v>
      </c>
      <c r="I3723" s="295" t="s">
        <v>961</v>
      </c>
      <c r="J3723" s="296">
        <v>27474.400000000001</v>
      </c>
      <c r="K3723" s="295"/>
      <c r="L3723" s="296">
        <v>24.4</v>
      </c>
      <c r="M3723" s="296">
        <v>24.4</v>
      </c>
      <c r="N3723" s="297">
        <v>10989.76</v>
      </c>
      <c r="O3723" s="307">
        <v>0.2</v>
      </c>
      <c r="P3723" s="298"/>
      <c r="Q3723" s="297">
        <v>4870.24</v>
      </c>
      <c r="R3723" s="291" t="s">
        <v>42</v>
      </c>
      <c r="S3723" s="299" t="s">
        <v>41</v>
      </c>
      <c r="T3723" s="308">
        <v>16</v>
      </c>
      <c r="U3723" s="300" t="s">
        <v>164</v>
      </c>
      <c r="V3723" s="333"/>
      <c r="X3723" s="297">
        <v>4870.24</v>
      </c>
      <c r="Y3723" s="297"/>
      <c r="AH3723" s="297">
        <f>X3723</f>
        <v>4870.24</v>
      </c>
      <c r="AI3723" s="311"/>
      <c r="AJ3723" s="468"/>
    </row>
    <row r="3724" spans="2:37" s="291" customFormat="1" ht="11.25" customHeight="1">
      <c r="B3724" s="310" t="s">
        <v>291</v>
      </c>
      <c r="C3724" s="292"/>
      <c r="D3724" s="292"/>
      <c r="E3724" s="293" t="s">
        <v>2849</v>
      </c>
      <c r="F3724" s="291" t="s">
        <v>1081</v>
      </c>
      <c r="G3724" s="294">
        <v>4216</v>
      </c>
      <c r="H3724" s="291" t="s">
        <v>765</v>
      </c>
      <c r="I3724" s="295" t="s">
        <v>961</v>
      </c>
      <c r="J3724" s="296">
        <v>31714</v>
      </c>
      <c r="K3724" s="295"/>
      <c r="L3724" s="296">
        <v>40.4</v>
      </c>
      <c r="M3724" s="296">
        <v>40.4</v>
      </c>
      <c r="N3724" s="297">
        <v>7928.5</v>
      </c>
      <c r="O3724" s="307">
        <v>0.2</v>
      </c>
      <c r="P3724" s="298"/>
      <c r="Q3724" s="297">
        <v>0</v>
      </c>
      <c r="R3724" s="291" t="s">
        <v>42</v>
      </c>
      <c r="S3724" s="299" t="s">
        <v>41</v>
      </c>
      <c r="T3724" s="308">
        <v>16</v>
      </c>
      <c r="U3724" s="300" t="s">
        <v>164</v>
      </c>
      <c r="V3724" s="333"/>
      <c r="X3724" s="297">
        <v>0</v>
      </c>
      <c r="Y3724" s="297"/>
      <c r="AH3724" s="291">
        <f>X3724</f>
        <v>0</v>
      </c>
      <c r="AI3724" s="311"/>
      <c r="AJ3724" s="468"/>
    </row>
    <row r="3725" spans="2:37" s="379" customFormat="1" ht="11.25" customHeight="1">
      <c r="B3725" s="380" t="s">
        <v>291</v>
      </c>
      <c r="C3725" s="381">
        <v>44762</v>
      </c>
      <c r="D3725" s="381">
        <v>44762</v>
      </c>
      <c r="E3725" s="382" t="s">
        <v>2850</v>
      </c>
      <c r="F3725" s="394" t="s">
        <v>2851</v>
      </c>
      <c r="G3725" s="383" t="s">
        <v>2852</v>
      </c>
      <c r="H3725" s="379" t="s">
        <v>866</v>
      </c>
      <c r="I3725" s="394" t="s">
        <v>888</v>
      </c>
      <c r="J3725" s="385">
        <v>7953.4</v>
      </c>
      <c r="K3725" s="384"/>
      <c r="L3725" s="385">
        <v>4</v>
      </c>
      <c r="M3725" s="385">
        <v>4</v>
      </c>
      <c r="N3725" s="386">
        <v>5636.97</v>
      </c>
      <c r="O3725" s="397">
        <v>0.2</v>
      </c>
      <c r="P3725" s="387"/>
      <c r="Q3725" s="386">
        <v>4147.49</v>
      </c>
      <c r="R3725" s="394" t="s">
        <v>112</v>
      </c>
      <c r="S3725" s="399" t="s">
        <v>113</v>
      </c>
      <c r="T3725" s="399">
        <v>64</v>
      </c>
      <c r="U3725" s="389" t="s">
        <v>164</v>
      </c>
      <c r="V3725" s="433"/>
      <c r="X3725" s="386">
        <v>4147.49</v>
      </c>
      <c r="Y3725" s="386"/>
      <c r="AJ3725" s="416">
        <v>4147.49</v>
      </c>
    </row>
    <row r="3726" spans="2:37" s="379" customFormat="1" ht="11.25" customHeight="1">
      <c r="B3726" s="380" t="s">
        <v>291</v>
      </c>
      <c r="C3726" s="381"/>
      <c r="D3726" s="381"/>
      <c r="E3726" s="382" t="s">
        <v>2850</v>
      </c>
      <c r="F3726" s="394" t="s">
        <v>2851</v>
      </c>
      <c r="G3726" s="383" t="s">
        <v>2852</v>
      </c>
      <c r="H3726" s="379" t="s">
        <v>765</v>
      </c>
      <c r="I3726" s="394" t="s">
        <v>888</v>
      </c>
      <c r="J3726" s="385">
        <v>15731.63</v>
      </c>
      <c r="K3726" s="384"/>
      <c r="L3726" s="385">
        <v>10.5</v>
      </c>
      <c r="M3726" s="385">
        <v>2.5</v>
      </c>
      <c r="N3726" s="386">
        <v>6292.65</v>
      </c>
      <c r="O3726" s="397">
        <v>0.2</v>
      </c>
      <c r="P3726" s="387"/>
      <c r="Q3726" s="386">
        <v>2454.13</v>
      </c>
      <c r="R3726" s="394" t="s">
        <v>112</v>
      </c>
      <c r="S3726" s="399" t="s">
        <v>113</v>
      </c>
      <c r="T3726" s="399">
        <v>64</v>
      </c>
      <c r="U3726" s="389" t="s">
        <v>164</v>
      </c>
      <c r="V3726" s="433"/>
      <c r="X3726" s="386">
        <v>2454.13</v>
      </c>
      <c r="Y3726" s="386"/>
      <c r="AJ3726" s="416">
        <v>2454.13</v>
      </c>
    </row>
    <row r="3727" spans="2:37" s="473" customFormat="1" ht="11.25" customHeight="1">
      <c r="B3727" s="486" t="s">
        <v>291</v>
      </c>
      <c r="C3727" s="487">
        <v>44743</v>
      </c>
      <c r="D3727" s="487">
        <v>44762</v>
      </c>
      <c r="E3727" s="488" t="s">
        <v>2853</v>
      </c>
      <c r="F3727" s="472" t="s">
        <v>2854</v>
      </c>
      <c r="G3727" s="489" t="s">
        <v>2855</v>
      </c>
      <c r="H3727" s="473" t="s">
        <v>910</v>
      </c>
      <c r="I3727" s="491" t="s">
        <v>33</v>
      </c>
      <c r="J3727" s="490">
        <v>32970</v>
      </c>
      <c r="K3727" s="491"/>
      <c r="L3727" s="490">
        <v>25</v>
      </c>
      <c r="M3727" s="490">
        <v>25</v>
      </c>
      <c r="N3727" s="492"/>
      <c r="O3727" s="480">
        <v>0.25</v>
      </c>
      <c r="P3727" s="493"/>
      <c r="Q3727" s="492">
        <v>0</v>
      </c>
      <c r="R3727" s="472" t="s">
        <v>229</v>
      </c>
      <c r="S3727" s="482" t="s">
        <v>65</v>
      </c>
      <c r="T3727" s="482">
        <v>37</v>
      </c>
      <c r="U3727" s="494" t="s">
        <v>164</v>
      </c>
      <c r="V3727" s="495"/>
      <c r="X3727" s="492">
        <v>0</v>
      </c>
      <c r="Y3727" s="492"/>
      <c r="AJ3727" s="485"/>
      <c r="AK3727" s="473">
        <v>0</v>
      </c>
    </row>
    <row r="3728" spans="2:37" s="473" customFormat="1" ht="11.25" customHeight="1">
      <c r="B3728" s="486" t="s">
        <v>291</v>
      </c>
      <c r="C3728" s="487"/>
      <c r="D3728" s="487"/>
      <c r="E3728" s="488" t="s">
        <v>2853</v>
      </c>
      <c r="F3728" s="472" t="s">
        <v>2854</v>
      </c>
      <c r="G3728" s="489" t="s">
        <v>2855</v>
      </c>
      <c r="H3728" s="473" t="s">
        <v>866</v>
      </c>
      <c r="I3728" s="491" t="s">
        <v>33</v>
      </c>
      <c r="J3728" s="490">
        <v>77011.199999999997</v>
      </c>
      <c r="K3728" s="491"/>
      <c r="L3728" s="490">
        <v>72</v>
      </c>
      <c r="M3728" s="490">
        <v>72</v>
      </c>
      <c r="N3728" s="492"/>
      <c r="O3728" s="480">
        <v>0.25</v>
      </c>
      <c r="P3728" s="493"/>
      <c r="Q3728" s="492">
        <v>0</v>
      </c>
      <c r="R3728" s="472" t="s">
        <v>229</v>
      </c>
      <c r="S3728" s="482" t="s">
        <v>65</v>
      </c>
      <c r="T3728" s="482">
        <v>37</v>
      </c>
      <c r="U3728" s="494" t="s">
        <v>164</v>
      </c>
      <c r="V3728" s="495"/>
      <c r="X3728" s="492">
        <v>0</v>
      </c>
      <c r="Y3728" s="492"/>
      <c r="AJ3728" s="485"/>
      <c r="AK3728" s="473">
        <v>0</v>
      </c>
    </row>
    <row r="3729" spans="1:77" s="379" customFormat="1" ht="11.25" customHeight="1">
      <c r="B3729" s="379" t="s">
        <v>291</v>
      </c>
      <c r="C3729" s="381">
        <v>44762</v>
      </c>
      <c r="D3729" s="381">
        <v>44762</v>
      </c>
      <c r="E3729" s="382" t="s">
        <v>2856</v>
      </c>
      <c r="F3729" s="379" t="s">
        <v>180</v>
      </c>
      <c r="G3729" s="383">
        <v>3815</v>
      </c>
      <c r="H3729" s="379" t="s">
        <v>1164</v>
      </c>
      <c r="I3729" s="384" t="s">
        <v>111</v>
      </c>
      <c r="J3729" s="385">
        <v>1857.44</v>
      </c>
      <c r="K3729" s="395"/>
      <c r="L3729" s="385">
        <v>0.76</v>
      </c>
      <c r="M3729" s="385">
        <v>0.76</v>
      </c>
      <c r="N3729" s="386"/>
      <c r="O3729" s="397">
        <v>0.15</v>
      </c>
      <c r="P3729" s="387"/>
      <c r="Q3729" s="386">
        <v>0</v>
      </c>
      <c r="R3729" s="379" t="s">
        <v>73</v>
      </c>
      <c r="S3729" s="388" t="s">
        <v>113</v>
      </c>
      <c r="T3729" s="399">
        <v>31</v>
      </c>
      <c r="U3729" s="389" t="s">
        <v>164</v>
      </c>
      <c r="V3729" s="433"/>
      <c r="X3729" s="386">
        <v>0</v>
      </c>
      <c r="Y3729" s="386"/>
      <c r="AJ3729" s="390">
        <v>0</v>
      </c>
    </row>
    <row r="3730" spans="1:77" s="337" customFormat="1" ht="11.25" customHeight="1">
      <c r="A3730" s="379"/>
      <c r="B3730" s="380" t="s">
        <v>291</v>
      </c>
      <c r="C3730" s="381"/>
      <c r="D3730" s="381"/>
      <c r="E3730" s="382" t="s">
        <v>2861</v>
      </c>
      <c r="F3730" s="379" t="s">
        <v>702</v>
      </c>
      <c r="G3730" s="383">
        <v>4317</v>
      </c>
      <c r="H3730" s="379" t="s">
        <v>765</v>
      </c>
      <c r="I3730" s="384" t="s">
        <v>958</v>
      </c>
      <c r="J3730" s="385">
        <v>6408.48</v>
      </c>
      <c r="K3730" s="384"/>
      <c r="L3730" s="385">
        <v>10.27</v>
      </c>
      <c r="M3730" s="385">
        <v>10.27</v>
      </c>
      <c r="N3730" s="386"/>
      <c r="O3730" s="397">
        <v>0.15</v>
      </c>
      <c r="P3730" s="387"/>
      <c r="Q3730" s="386">
        <v>1842.44</v>
      </c>
      <c r="R3730" s="379" t="s">
        <v>128</v>
      </c>
      <c r="S3730" s="388" t="s">
        <v>41</v>
      </c>
      <c r="T3730" s="399">
        <v>79</v>
      </c>
      <c r="U3730" s="389" t="s">
        <v>164</v>
      </c>
      <c r="V3730" s="433"/>
      <c r="W3730" s="379"/>
      <c r="X3730" s="386">
        <v>1842.44</v>
      </c>
      <c r="Y3730" s="386"/>
      <c r="Z3730" s="379"/>
      <c r="AA3730" s="379"/>
      <c r="AB3730" s="379"/>
      <c r="AC3730" s="379"/>
      <c r="AD3730" s="379"/>
      <c r="AE3730" s="379"/>
      <c r="AF3730" s="379"/>
      <c r="AG3730" s="379"/>
      <c r="AH3730" s="379"/>
      <c r="AI3730" s="379"/>
      <c r="AJ3730" s="416">
        <v>1842.44</v>
      </c>
      <c r="AK3730" s="379"/>
      <c r="AL3730" s="379"/>
      <c r="AM3730" s="379"/>
      <c r="AN3730" s="379"/>
      <c r="AO3730" s="379"/>
      <c r="AP3730" s="379"/>
      <c r="AQ3730" s="379"/>
      <c r="AR3730" s="379"/>
      <c r="AS3730" s="379"/>
      <c r="AT3730" s="379"/>
      <c r="AU3730" s="379"/>
      <c r="AV3730" s="379"/>
      <c r="AW3730" s="379"/>
      <c r="AX3730" s="379"/>
      <c r="AY3730" s="379"/>
      <c r="AZ3730" s="379"/>
      <c r="BA3730" s="379"/>
      <c r="BB3730" s="379"/>
      <c r="BC3730" s="379"/>
      <c r="BD3730" s="379"/>
      <c r="BE3730" s="379"/>
      <c r="BF3730" s="379"/>
      <c r="BG3730" s="379"/>
      <c r="BH3730" s="379"/>
      <c r="BI3730" s="379"/>
      <c r="BJ3730" s="379"/>
      <c r="BK3730" s="379"/>
      <c r="BL3730" s="379"/>
      <c r="BM3730" s="379"/>
      <c r="BN3730" s="379"/>
      <c r="BO3730" s="379"/>
      <c r="BP3730" s="379"/>
      <c r="BQ3730" s="379"/>
      <c r="BR3730" s="379"/>
      <c r="BS3730" s="379"/>
      <c r="BT3730" s="379"/>
      <c r="BU3730" s="379"/>
      <c r="BV3730" s="379"/>
      <c r="BW3730" s="379"/>
      <c r="BX3730" s="379"/>
      <c r="BY3730" s="379"/>
    </row>
    <row r="3731" spans="1:77" s="337" customFormat="1" ht="11.25" customHeight="1">
      <c r="B3731" s="338" t="s">
        <v>291</v>
      </c>
      <c r="C3731" s="349">
        <v>44760</v>
      </c>
      <c r="D3731" s="349">
        <v>44762</v>
      </c>
      <c r="E3731" s="350" t="s">
        <v>2861</v>
      </c>
      <c r="F3731" s="337" t="s">
        <v>702</v>
      </c>
      <c r="G3731" s="351">
        <v>4317</v>
      </c>
      <c r="H3731" s="337" t="s">
        <v>898</v>
      </c>
      <c r="I3731" s="353" t="s">
        <v>958</v>
      </c>
      <c r="J3731" s="352">
        <v>22409.58</v>
      </c>
      <c r="K3731" s="353"/>
      <c r="L3731" s="352">
        <v>24.93</v>
      </c>
      <c r="M3731" s="352">
        <v>24.93</v>
      </c>
      <c r="N3731" s="354"/>
      <c r="O3731" s="345">
        <v>0.15</v>
      </c>
      <c r="P3731" s="355"/>
      <c r="Q3731" s="354">
        <v>5035.8599999999997</v>
      </c>
      <c r="R3731" s="337" t="s">
        <v>128</v>
      </c>
      <c r="S3731" s="356" t="s">
        <v>41</v>
      </c>
      <c r="T3731" s="346">
        <v>79</v>
      </c>
      <c r="U3731" s="357" t="s">
        <v>164</v>
      </c>
      <c r="V3731" s="434"/>
      <c r="X3731" s="354">
        <v>5035.8599999999997</v>
      </c>
      <c r="Y3731" s="354"/>
      <c r="AI3731" s="337">
        <v>5035.8599999999997</v>
      </c>
      <c r="AJ3731" s="358"/>
      <c r="AK3731" s="369"/>
    </row>
    <row r="3732" spans="1:77" s="337" customFormat="1" ht="11.25" customHeight="1">
      <c r="B3732" s="338" t="s">
        <v>291</v>
      </c>
      <c r="C3732" s="349"/>
      <c r="D3732" s="349"/>
      <c r="E3732" s="350" t="s">
        <v>2861</v>
      </c>
      <c r="F3732" s="337" t="s">
        <v>702</v>
      </c>
      <c r="G3732" s="351">
        <v>4317</v>
      </c>
      <c r="H3732" s="337" t="s">
        <v>866</v>
      </c>
      <c r="I3732" s="353" t="s">
        <v>958</v>
      </c>
      <c r="J3732" s="352">
        <v>15226.74</v>
      </c>
      <c r="K3732" s="353"/>
      <c r="L3732" s="352">
        <v>10.28</v>
      </c>
      <c r="M3732" s="352">
        <v>10.28</v>
      </c>
      <c r="N3732" s="354"/>
      <c r="O3732" s="345">
        <v>0.15</v>
      </c>
      <c r="P3732" s="355"/>
      <c r="Q3732" s="354">
        <v>2664.68</v>
      </c>
      <c r="R3732" s="337" t="s">
        <v>128</v>
      </c>
      <c r="S3732" s="356" t="s">
        <v>41</v>
      </c>
      <c r="T3732" s="346">
        <v>79</v>
      </c>
      <c r="U3732" s="357" t="s">
        <v>164</v>
      </c>
      <c r="V3732" s="434"/>
      <c r="X3732" s="354">
        <v>2664.68</v>
      </c>
      <c r="Y3732" s="354"/>
      <c r="AI3732" s="337">
        <v>2664.68</v>
      </c>
      <c r="AJ3732" s="358"/>
      <c r="AK3732" s="369"/>
    </row>
    <row r="3733" spans="1:77" s="379" customFormat="1" ht="11.25" customHeight="1">
      <c r="B3733" s="380" t="s">
        <v>291</v>
      </c>
      <c r="C3733" s="381">
        <v>44762</v>
      </c>
      <c r="D3733" s="381">
        <v>44762</v>
      </c>
      <c r="E3733" s="382" t="s">
        <v>2862</v>
      </c>
      <c r="F3733" s="379" t="s">
        <v>187</v>
      </c>
      <c r="G3733" s="383">
        <v>3841</v>
      </c>
      <c r="H3733" s="379" t="s">
        <v>765</v>
      </c>
      <c r="I3733" s="394" t="s">
        <v>888</v>
      </c>
      <c r="J3733" s="385">
        <v>27257.3</v>
      </c>
      <c r="K3733" s="384"/>
      <c r="L3733" s="385">
        <v>33.86</v>
      </c>
      <c r="M3733" s="385">
        <v>33.86</v>
      </c>
      <c r="N3733" s="386"/>
      <c r="O3733" s="397">
        <v>0.15</v>
      </c>
      <c r="P3733" s="387"/>
      <c r="Q3733" s="386">
        <v>0</v>
      </c>
      <c r="R3733" s="379" t="s">
        <v>73</v>
      </c>
      <c r="S3733" s="388" t="s">
        <v>113</v>
      </c>
      <c r="T3733" s="399">
        <v>31</v>
      </c>
      <c r="U3733" s="389" t="s">
        <v>164</v>
      </c>
      <c r="V3733" s="433"/>
      <c r="X3733" s="386">
        <v>0</v>
      </c>
      <c r="Y3733" s="386"/>
      <c r="AJ3733" s="390">
        <v>0</v>
      </c>
    </row>
    <row r="3734" spans="1:77" s="379" customFormat="1" ht="11.25" customHeight="1">
      <c r="B3734" s="380" t="s">
        <v>291</v>
      </c>
      <c r="C3734" s="381"/>
      <c r="D3734" s="381"/>
      <c r="E3734" s="382" t="s">
        <v>2862</v>
      </c>
      <c r="F3734" s="379" t="s">
        <v>187</v>
      </c>
      <c r="G3734" s="383">
        <v>3841</v>
      </c>
      <c r="H3734" s="379" t="s">
        <v>910</v>
      </c>
      <c r="I3734" s="394" t="s">
        <v>888</v>
      </c>
      <c r="J3734" s="385">
        <v>64176.77</v>
      </c>
      <c r="K3734" s="384"/>
      <c r="L3734" s="385">
        <v>39.44</v>
      </c>
      <c r="M3734" s="385">
        <v>39.44</v>
      </c>
      <c r="N3734" s="386"/>
      <c r="O3734" s="397">
        <v>0.15</v>
      </c>
      <c r="P3734" s="387"/>
      <c r="Q3734" s="386">
        <v>0</v>
      </c>
      <c r="R3734" s="379" t="s">
        <v>73</v>
      </c>
      <c r="S3734" s="388" t="s">
        <v>113</v>
      </c>
      <c r="T3734" s="399">
        <v>31</v>
      </c>
      <c r="U3734" s="389" t="s">
        <v>164</v>
      </c>
      <c r="V3734" s="433"/>
      <c r="X3734" s="386">
        <v>0</v>
      </c>
      <c r="Y3734" s="386"/>
      <c r="AJ3734" s="390">
        <v>0</v>
      </c>
    </row>
    <row r="3735" spans="1:77" s="473" customFormat="1" ht="11.25" customHeight="1">
      <c r="B3735" s="486" t="s">
        <v>291</v>
      </c>
      <c r="C3735" s="487">
        <v>44762</v>
      </c>
      <c r="D3735" s="487">
        <v>44762</v>
      </c>
      <c r="E3735" s="488" t="s">
        <v>2863</v>
      </c>
      <c r="F3735" s="473" t="s">
        <v>2864</v>
      </c>
      <c r="G3735" s="489" t="s">
        <v>2865</v>
      </c>
      <c r="H3735" s="473" t="s">
        <v>866</v>
      </c>
      <c r="I3735" s="472" t="s">
        <v>888</v>
      </c>
      <c r="J3735" s="490">
        <v>6142.03</v>
      </c>
      <c r="K3735" s="491"/>
      <c r="L3735" s="490">
        <v>3.86</v>
      </c>
      <c r="M3735" s="490">
        <v>3.86</v>
      </c>
      <c r="N3735" s="492"/>
      <c r="O3735" s="480">
        <v>0.2</v>
      </c>
      <c r="P3735" s="493"/>
      <c r="Q3735" s="492">
        <v>1925.99</v>
      </c>
      <c r="R3735" s="473" t="s">
        <v>1407</v>
      </c>
      <c r="S3735" s="481" t="s">
        <v>2866</v>
      </c>
      <c r="T3735" s="482">
        <v>24</v>
      </c>
      <c r="U3735" s="494" t="s">
        <v>164</v>
      </c>
      <c r="V3735" s="495"/>
      <c r="X3735" s="492">
        <v>1925.99</v>
      </c>
      <c r="Y3735" s="492"/>
      <c r="AJ3735" s="485"/>
      <c r="AK3735" s="505">
        <v>1925.99</v>
      </c>
    </row>
    <row r="3736" spans="1:77" s="473" customFormat="1" ht="11.25" customHeight="1">
      <c r="B3736" s="486" t="s">
        <v>291</v>
      </c>
      <c r="C3736" s="487"/>
      <c r="D3736" s="487"/>
      <c r="E3736" s="488" t="s">
        <v>2863</v>
      </c>
      <c r="F3736" s="473" t="s">
        <v>2864</v>
      </c>
      <c r="G3736" s="489" t="s">
        <v>2865</v>
      </c>
      <c r="H3736" s="473" t="s">
        <v>1138</v>
      </c>
      <c r="I3736" s="472" t="s">
        <v>888</v>
      </c>
      <c r="J3736" s="490">
        <v>18866.47</v>
      </c>
      <c r="K3736" s="491"/>
      <c r="L3736" s="490">
        <v>9.73</v>
      </c>
      <c r="M3736" s="490">
        <v>9.73</v>
      </c>
      <c r="N3736" s="492">
        <v>14149.85</v>
      </c>
      <c r="O3736" s="480">
        <v>0.2</v>
      </c>
      <c r="P3736" s="493"/>
      <c r="Q3736" s="492">
        <v>10325.48</v>
      </c>
      <c r="R3736" s="473" t="s">
        <v>1407</v>
      </c>
      <c r="S3736" s="481" t="s">
        <v>2866</v>
      </c>
      <c r="T3736" s="482">
        <v>24</v>
      </c>
      <c r="U3736" s="494" t="s">
        <v>164</v>
      </c>
      <c r="V3736" s="495"/>
      <c r="X3736" s="492">
        <v>10325.48</v>
      </c>
      <c r="Y3736" s="492"/>
      <c r="AJ3736" s="485"/>
      <c r="AK3736" s="505">
        <v>10325.48</v>
      </c>
    </row>
    <row r="3737" spans="1:77" s="6" customFormat="1" ht="11.25" customHeight="1">
      <c r="A3737" s="379"/>
      <c r="B3737" s="379" t="s">
        <v>291</v>
      </c>
      <c r="C3737" s="380">
        <v>44762</v>
      </c>
      <c r="D3737" s="380">
        <v>44762</v>
      </c>
      <c r="E3737" s="393" t="s">
        <v>2868</v>
      </c>
      <c r="F3737" s="379" t="s">
        <v>117</v>
      </c>
      <c r="G3737" s="383">
        <v>3532</v>
      </c>
      <c r="H3737" s="394" t="s">
        <v>765</v>
      </c>
      <c r="I3737" s="394" t="s">
        <v>888</v>
      </c>
      <c r="J3737" s="395">
        <v>116474.09</v>
      </c>
      <c r="K3737" s="380"/>
      <c r="L3737" s="395">
        <v>134.72999999999999</v>
      </c>
      <c r="M3737" s="395">
        <v>134.72999999999999</v>
      </c>
      <c r="N3737" s="380"/>
      <c r="O3737" s="387">
        <v>0.15</v>
      </c>
      <c r="P3737" s="380"/>
      <c r="Q3737" s="388">
        <v>0</v>
      </c>
      <c r="R3737" s="379" t="s">
        <v>35</v>
      </c>
      <c r="S3737" s="388" t="s">
        <v>118</v>
      </c>
      <c r="T3737" s="388">
        <v>79</v>
      </c>
      <c r="U3737" s="429" t="s">
        <v>164</v>
      </c>
      <c r="V3737" s="429"/>
      <c r="W3737" s="380"/>
      <c r="X3737" s="388">
        <v>0</v>
      </c>
      <c r="Y3737" s="380"/>
      <c r="Z3737" s="380"/>
      <c r="AA3737" s="380"/>
      <c r="AB3737" s="380"/>
      <c r="AC3737" s="380"/>
      <c r="AD3737" s="380"/>
      <c r="AE3737" s="380"/>
      <c r="AF3737" s="380"/>
      <c r="AG3737" s="380"/>
      <c r="AH3737" s="380"/>
      <c r="AI3737" s="379"/>
      <c r="AJ3737" s="388">
        <v>0</v>
      </c>
      <c r="AK3737" s="379"/>
      <c r="AL3737" s="379"/>
      <c r="AM3737" s="379"/>
      <c r="AN3737" s="379"/>
      <c r="AO3737" s="379"/>
      <c r="AP3737" s="379"/>
      <c r="AQ3737" s="379"/>
      <c r="AR3737" s="379"/>
      <c r="AS3737" s="379"/>
      <c r="AT3737" s="379"/>
      <c r="AU3737" s="379"/>
      <c r="AV3737" s="379"/>
      <c r="AW3737" s="379"/>
      <c r="AX3737" s="379"/>
      <c r="AY3737" s="379"/>
      <c r="AZ3737" s="379"/>
      <c r="BA3737" s="379"/>
      <c r="BB3737" s="379"/>
      <c r="BC3737" s="379"/>
      <c r="BD3737" s="379"/>
      <c r="BE3737" s="379"/>
      <c r="BF3737" s="379"/>
      <c r="BG3737" s="379"/>
      <c r="BH3737" s="379"/>
      <c r="BI3737" s="379"/>
      <c r="BJ3737" s="379"/>
      <c r="BK3737" s="379"/>
      <c r="BL3737" s="379"/>
      <c r="BM3737" s="379"/>
      <c r="BN3737" s="379"/>
      <c r="BO3737" s="379"/>
      <c r="BP3737" s="379"/>
      <c r="BQ3737" s="379"/>
      <c r="BR3737" s="379"/>
      <c r="BS3737" s="379"/>
      <c r="BT3737" s="379"/>
      <c r="BU3737" s="379"/>
      <c r="BV3737" s="379"/>
      <c r="BW3737" s="379"/>
      <c r="BX3737" s="379"/>
      <c r="BY3737" s="379"/>
    </row>
    <row r="3738" spans="1:77" s="6" customFormat="1" ht="11.25" customHeight="1">
      <c r="A3738" s="379"/>
      <c r="B3738" s="379" t="s">
        <v>291</v>
      </c>
      <c r="C3738" s="381"/>
      <c r="D3738" s="381"/>
      <c r="E3738" s="393" t="s">
        <v>2868</v>
      </c>
      <c r="F3738" s="379" t="s">
        <v>117</v>
      </c>
      <c r="G3738" s="383">
        <v>3532</v>
      </c>
      <c r="H3738" s="379" t="s">
        <v>866</v>
      </c>
      <c r="I3738" s="394" t="s">
        <v>888</v>
      </c>
      <c r="J3738" s="395">
        <v>49856.23</v>
      </c>
      <c r="K3738" s="395"/>
      <c r="L3738" s="395">
        <v>73.73</v>
      </c>
      <c r="M3738" s="395">
        <v>73.73</v>
      </c>
      <c r="N3738" s="386"/>
      <c r="O3738" s="387">
        <v>0.15</v>
      </c>
      <c r="P3738" s="387"/>
      <c r="Q3738" s="386">
        <v>2100.5700000000002</v>
      </c>
      <c r="R3738" s="379" t="s">
        <v>35</v>
      </c>
      <c r="S3738" s="388" t="s">
        <v>118</v>
      </c>
      <c r="T3738" s="399">
        <v>79</v>
      </c>
      <c r="U3738" s="389" t="s">
        <v>164</v>
      </c>
      <c r="V3738" s="433"/>
      <c r="W3738" s="379"/>
      <c r="X3738" s="386">
        <v>2100.5700000000002</v>
      </c>
      <c r="Y3738" s="386"/>
      <c r="Z3738" s="379"/>
      <c r="AA3738" s="379"/>
      <c r="AB3738" s="379"/>
      <c r="AC3738" s="379"/>
      <c r="AD3738" s="379"/>
      <c r="AE3738" s="379"/>
      <c r="AF3738" s="379"/>
      <c r="AG3738" s="379"/>
      <c r="AH3738" s="379"/>
      <c r="AI3738" s="379"/>
      <c r="AJ3738" s="416">
        <v>2100.5700000000002</v>
      </c>
      <c r="AK3738" s="379"/>
      <c r="AL3738" s="379"/>
      <c r="AM3738" s="379"/>
      <c r="AN3738" s="379"/>
      <c r="AO3738" s="379"/>
      <c r="AP3738" s="379"/>
      <c r="AQ3738" s="379"/>
      <c r="AR3738" s="379"/>
      <c r="AS3738" s="379"/>
      <c r="AT3738" s="379"/>
      <c r="AU3738" s="379"/>
      <c r="AV3738" s="379"/>
      <c r="AW3738" s="379"/>
      <c r="AX3738" s="379"/>
      <c r="AY3738" s="379"/>
      <c r="AZ3738" s="379"/>
      <c r="BA3738" s="379"/>
      <c r="BB3738" s="379"/>
      <c r="BC3738" s="379"/>
      <c r="BD3738" s="379"/>
      <c r="BE3738" s="379"/>
      <c r="BF3738" s="379"/>
      <c r="BG3738" s="379"/>
      <c r="BH3738" s="379"/>
      <c r="BI3738" s="379"/>
      <c r="BJ3738" s="379"/>
      <c r="BK3738" s="379"/>
      <c r="BL3738" s="379"/>
      <c r="BM3738" s="379"/>
      <c r="BN3738" s="379"/>
      <c r="BO3738" s="379"/>
      <c r="BP3738" s="379"/>
      <c r="BQ3738" s="379"/>
      <c r="BR3738" s="379"/>
      <c r="BS3738" s="379"/>
      <c r="BT3738" s="379"/>
      <c r="BU3738" s="379"/>
      <c r="BV3738" s="379"/>
      <c r="BW3738" s="379"/>
      <c r="BX3738" s="379"/>
      <c r="BY3738" s="379"/>
    </row>
    <row r="3739" spans="1:77" s="379" customFormat="1" ht="11.25" customHeight="1">
      <c r="B3739" s="380" t="s">
        <v>291</v>
      </c>
      <c r="C3739" s="381">
        <v>44761</v>
      </c>
      <c r="D3739" s="381">
        <v>44762</v>
      </c>
      <c r="E3739" s="382" t="s">
        <v>2869</v>
      </c>
      <c r="F3739" s="379" t="s">
        <v>328</v>
      </c>
      <c r="G3739" s="383">
        <v>4151</v>
      </c>
      <c r="H3739" s="379" t="s">
        <v>898</v>
      </c>
      <c r="I3739" s="379" t="s">
        <v>888</v>
      </c>
      <c r="J3739" s="385">
        <v>10368</v>
      </c>
      <c r="K3739" s="384"/>
      <c r="L3739" s="385">
        <v>6.48</v>
      </c>
      <c r="M3739" s="385">
        <v>6.48</v>
      </c>
      <c r="N3739" s="386">
        <v>4147</v>
      </c>
      <c r="O3739" s="387">
        <v>0.2</v>
      </c>
      <c r="P3739" s="387"/>
      <c r="Q3739" s="386">
        <v>2520.1</v>
      </c>
      <c r="R3739" s="379" t="s">
        <v>46</v>
      </c>
      <c r="S3739" s="388" t="s">
        <v>47</v>
      </c>
      <c r="T3739" s="399">
        <v>76</v>
      </c>
      <c r="U3739" s="389" t="s">
        <v>164</v>
      </c>
      <c r="V3739" s="433"/>
      <c r="X3739" s="386">
        <v>2520.1</v>
      </c>
      <c r="Y3739" s="386"/>
      <c r="AJ3739" s="416">
        <v>2520.1</v>
      </c>
    </row>
    <row r="3740" spans="1:77" s="379" customFormat="1" ht="11.25" customHeight="1">
      <c r="B3740" s="380" t="s">
        <v>291</v>
      </c>
      <c r="C3740" s="381">
        <v>44761</v>
      </c>
      <c r="D3740" s="381">
        <v>44762</v>
      </c>
      <c r="E3740" s="382" t="s">
        <v>2870</v>
      </c>
      <c r="F3740" s="380" t="s">
        <v>326</v>
      </c>
      <c r="G3740" s="383">
        <v>4153</v>
      </c>
      <c r="H3740" s="379" t="s">
        <v>2092</v>
      </c>
      <c r="I3740" s="384" t="s">
        <v>958</v>
      </c>
      <c r="J3740" s="385">
        <v>29958.06</v>
      </c>
      <c r="K3740" s="384"/>
      <c r="L3740" s="385">
        <v>10.45</v>
      </c>
      <c r="M3740" s="385">
        <v>10.45</v>
      </c>
      <c r="N3740" s="386">
        <v>14979</v>
      </c>
      <c r="O3740" s="387">
        <v>0.2</v>
      </c>
      <c r="P3740" s="387"/>
      <c r="Q3740" s="386">
        <v>0</v>
      </c>
      <c r="R3740" s="379" t="s">
        <v>46</v>
      </c>
      <c r="S3740" s="388" t="s">
        <v>47</v>
      </c>
      <c r="T3740" s="399">
        <v>76</v>
      </c>
      <c r="U3740" s="389" t="s">
        <v>164</v>
      </c>
      <c r="V3740" s="433"/>
      <c r="X3740" s="386">
        <v>0</v>
      </c>
      <c r="Y3740" s="386"/>
      <c r="AJ3740" s="390">
        <v>0</v>
      </c>
    </row>
    <row r="3741" spans="1:77" s="507" customFormat="1" ht="11.25" customHeight="1">
      <c r="B3741" s="508" t="s">
        <v>291</v>
      </c>
      <c r="C3741" s="509"/>
      <c r="D3741" s="509"/>
      <c r="E3741" s="510" t="s">
        <v>2872</v>
      </c>
      <c r="F3741" s="507" t="s">
        <v>2871</v>
      </c>
      <c r="G3741" s="521">
        <v>3660</v>
      </c>
      <c r="H3741" s="507" t="s">
        <v>442</v>
      </c>
      <c r="I3741" s="512" t="s">
        <v>961</v>
      </c>
      <c r="J3741" s="513">
        <v>17240.849999999999</v>
      </c>
      <c r="K3741" s="512"/>
      <c r="L3741" s="513">
        <v>17.82</v>
      </c>
      <c r="M3741" s="513">
        <v>17.82</v>
      </c>
      <c r="N3741" s="514">
        <f>J3741*0.2</f>
        <v>3448.17</v>
      </c>
      <c r="O3741" s="515">
        <v>0.15</v>
      </c>
      <c r="P3741" s="515"/>
      <c r="Q3741" s="514">
        <v>1824.32</v>
      </c>
      <c r="R3741" s="507" t="s">
        <v>50</v>
      </c>
      <c r="S3741" s="516" t="s">
        <v>51</v>
      </c>
      <c r="T3741" s="531">
        <v>55</v>
      </c>
      <c r="U3741" s="517" t="s">
        <v>164</v>
      </c>
      <c r="V3741" s="518"/>
      <c r="X3741" s="514">
        <v>1824.32</v>
      </c>
      <c r="Y3741" s="514"/>
      <c r="AJ3741" s="522"/>
      <c r="AL3741" s="514">
        <v>1824.32</v>
      </c>
    </row>
    <row r="3742" spans="1:77" s="507" customFormat="1" ht="11.25" customHeight="1">
      <c r="B3742" s="508" t="s">
        <v>291</v>
      </c>
      <c r="C3742" s="509">
        <v>44763</v>
      </c>
      <c r="D3742" s="509">
        <v>44763</v>
      </c>
      <c r="E3742" s="510" t="s">
        <v>2872</v>
      </c>
      <c r="F3742" s="507" t="s">
        <v>2871</v>
      </c>
      <c r="G3742" s="521">
        <v>3660</v>
      </c>
      <c r="H3742" s="507" t="s">
        <v>866</v>
      </c>
      <c r="I3742" s="512" t="s">
        <v>961</v>
      </c>
      <c r="J3742" s="513">
        <v>33558.68</v>
      </c>
      <c r="K3742" s="512"/>
      <c r="L3742" s="513">
        <v>29.03</v>
      </c>
      <c r="M3742" s="513">
        <v>29.03</v>
      </c>
      <c r="N3742" s="514">
        <v>8993.93</v>
      </c>
      <c r="O3742" s="515">
        <v>0.15</v>
      </c>
      <c r="P3742" s="515"/>
      <c r="Q3742" s="514">
        <v>3849.38</v>
      </c>
      <c r="R3742" s="507" t="s">
        <v>50</v>
      </c>
      <c r="S3742" s="516" t="s">
        <v>51</v>
      </c>
      <c r="T3742" s="531">
        <v>55</v>
      </c>
      <c r="U3742" s="517" t="s">
        <v>164</v>
      </c>
      <c r="V3742" s="518"/>
      <c r="X3742" s="514">
        <v>3849.38</v>
      </c>
      <c r="Y3742" s="514"/>
      <c r="AJ3742" s="522"/>
      <c r="AL3742" s="514">
        <v>3849.38</v>
      </c>
    </row>
    <row r="3743" spans="1:77" s="379" customFormat="1" ht="11.25" customHeight="1">
      <c r="B3743" s="380" t="s">
        <v>291</v>
      </c>
      <c r="C3743" s="381"/>
      <c r="D3743" s="381"/>
      <c r="E3743" s="382" t="s">
        <v>2872</v>
      </c>
      <c r="F3743" s="379" t="s">
        <v>2871</v>
      </c>
      <c r="G3743" s="383">
        <v>3660</v>
      </c>
      <c r="H3743" s="379" t="s">
        <v>765</v>
      </c>
      <c r="I3743" s="384" t="s">
        <v>961</v>
      </c>
      <c r="J3743" s="385">
        <v>35975.71</v>
      </c>
      <c r="K3743" s="384"/>
      <c r="L3743" s="385">
        <v>32.17</v>
      </c>
      <c r="M3743" s="385">
        <v>32.17</v>
      </c>
      <c r="N3743" s="386">
        <v>5396.36</v>
      </c>
      <c r="O3743" s="387">
        <v>0.15</v>
      </c>
      <c r="P3743" s="387"/>
      <c r="Q3743" s="534">
        <v>0</v>
      </c>
      <c r="R3743" s="379" t="s">
        <v>50</v>
      </c>
      <c r="S3743" s="388" t="s">
        <v>51</v>
      </c>
      <c r="T3743" s="399">
        <v>55</v>
      </c>
      <c r="U3743" s="389" t="s">
        <v>164</v>
      </c>
      <c r="V3743" s="433"/>
      <c r="X3743" s="386">
        <v>0</v>
      </c>
      <c r="Y3743" s="386"/>
      <c r="AJ3743" s="390">
        <v>0</v>
      </c>
    </row>
    <row r="3744" spans="1:77" s="507" customFormat="1" ht="11.25" customHeight="1">
      <c r="B3744" s="507" t="s">
        <v>291</v>
      </c>
      <c r="C3744" s="509">
        <v>44761</v>
      </c>
      <c r="D3744" s="509">
        <v>44763</v>
      </c>
      <c r="E3744" s="510" t="s">
        <v>2873</v>
      </c>
      <c r="F3744" s="507" t="s">
        <v>1389</v>
      </c>
      <c r="G3744" s="526">
        <v>3741</v>
      </c>
      <c r="H3744" s="523" t="s">
        <v>407</v>
      </c>
      <c r="I3744" s="507" t="s">
        <v>699</v>
      </c>
      <c r="J3744" s="527">
        <v>173160</v>
      </c>
      <c r="K3744" s="512"/>
      <c r="L3744" s="527">
        <v>58.5</v>
      </c>
      <c r="M3744" s="527">
        <v>2</v>
      </c>
      <c r="N3744" s="514">
        <v>6077</v>
      </c>
      <c r="O3744" s="515">
        <v>0.25</v>
      </c>
      <c r="P3744" s="515"/>
      <c r="Q3744" s="514">
        <v>0</v>
      </c>
      <c r="R3744" s="507" t="s">
        <v>46</v>
      </c>
      <c r="S3744" s="516" t="s">
        <v>65</v>
      </c>
      <c r="T3744" s="531">
        <v>76</v>
      </c>
      <c r="U3744" s="517" t="s">
        <v>164</v>
      </c>
      <c r="V3744" s="518"/>
      <c r="X3744" s="514">
        <v>0</v>
      </c>
      <c r="Y3744" s="514"/>
      <c r="AJ3744" s="522"/>
      <c r="AL3744" s="507">
        <v>0</v>
      </c>
    </row>
    <row r="3745" spans="1:77" s="337" customFormat="1" ht="11.25" customHeight="1">
      <c r="B3745" s="337" t="s">
        <v>291</v>
      </c>
      <c r="C3745" s="349">
        <v>44761</v>
      </c>
      <c r="D3745" s="349">
        <v>44763</v>
      </c>
      <c r="E3745" s="350" t="s">
        <v>2874</v>
      </c>
      <c r="F3745" s="341" t="s">
        <v>1968</v>
      </c>
      <c r="G3745" s="342" t="s">
        <v>1969</v>
      </c>
      <c r="H3745" s="337" t="s">
        <v>866</v>
      </c>
      <c r="I3745" s="337" t="s">
        <v>111</v>
      </c>
      <c r="J3745" s="352">
        <v>23553.06</v>
      </c>
      <c r="K3745" s="353"/>
      <c r="L3745" s="352">
        <v>21.11</v>
      </c>
      <c r="M3745" s="352">
        <v>21.11</v>
      </c>
      <c r="N3745" s="354"/>
      <c r="O3745" s="355">
        <v>0.25</v>
      </c>
      <c r="P3745" s="355"/>
      <c r="Q3745" s="354">
        <v>0</v>
      </c>
      <c r="R3745" s="337" t="s">
        <v>35</v>
      </c>
      <c r="S3745" s="356" t="s">
        <v>41</v>
      </c>
      <c r="T3745" s="346">
        <v>16</v>
      </c>
      <c r="U3745" s="357" t="s">
        <v>164</v>
      </c>
      <c r="V3745" s="434"/>
      <c r="X3745" s="354">
        <v>0</v>
      </c>
      <c r="Y3745" s="354"/>
      <c r="AI3745" s="337">
        <v>0</v>
      </c>
      <c r="AJ3745" s="358"/>
      <c r="AK3745" s="369"/>
    </row>
    <row r="3746" spans="1:77" s="379" customFormat="1" ht="11.25" customHeight="1">
      <c r="A3746" s="473"/>
      <c r="B3746" s="486" t="s">
        <v>291</v>
      </c>
      <c r="C3746" s="487"/>
      <c r="D3746" s="487"/>
      <c r="E3746" s="488" t="s">
        <v>2875</v>
      </c>
      <c r="F3746" s="473" t="s">
        <v>549</v>
      </c>
      <c r="G3746" s="489">
        <v>3745</v>
      </c>
      <c r="H3746" s="473" t="s">
        <v>911</v>
      </c>
      <c r="I3746" s="491" t="s">
        <v>888</v>
      </c>
      <c r="J3746" s="490">
        <v>6361.6</v>
      </c>
      <c r="K3746" s="491"/>
      <c r="L3746" s="490">
        <v>3.2</v>
      </c>
      <c r="M3746" s="490">
        <v>3.2</v>
      </c>
      <c r="N3746" s="492">
        <v>2226.56</v>
      </c>
      <c r="O3746" s="493">
        <v>0.25</v>
      </c>
      <c r="P3746" s="493"/>
      <c r="Q3746" s="492">
        <v>2778.24</v>
      </c>
      <c r="R3746" s="473" t="s">
        <v>42</v>
      </c>
      <c r="S3746" s="481" t="s">
        <v>41</v>
      </c>
      <c r="T3746" s="482">
        <v>79</v>
      </c>
      <c r="U3746" s="494" t="s">
        <v>164</v>
      </c>
      <c r="V3746" s="495"/>
      <c r="W3746" s="473"/>
      <c r="X3746" s="492">
        <v>2778.24</v>
      </c>
      <c r="Y3746" s="492"/>
      <c r="Z3746" s="473"/>
      <c r="AA3746" s="473"/>
      <c r="AB3746" s="473"/>
      <c r="AC3746" s="473"/>
      <c r="AD3746" s="473"/>
      <c r="AE3746" s="473"/>
      <c r="AF3746" s="473"/>
      <c r="AG3746" s="473"/>
      <c r="AH3746" s="473"/>
      <c r="AI3746" s="473"/>
      <c r="AJ3746" s="485"/>
      <c r="AK3746" s="505">
        <v>2778.24</v>
      </c>
      <c r="AL3746" s="473"/>
      <c r="AM3746" s="473"/>
      <c r="AN3746" s="473"/>
      <c r="AO3746" s="473"/>
      <c r="AP3746" s="473"/>
      <c r="AQ3746" s="473"/>
      <c r="AR3746" s="473"/>
      <c r="AS3746" s="473"/>
      <c r="AT3746" s="473"/>
      <c r="AU3746" s="473"/>
      <c r="AV3746" s="473"/>
      <c r="AW3746" s="473"/>
      <c r="AX3746" s="473"/>
      <c r="AY3746" s="473"/>
      <c r="AZ3746" s="473"/>
      <c r="BA3746" s="473"/>
      <c r="BB3746" s="473"/>
      <c r="BC3746" s="473"/>
      <c r="BD3746" s="473"/>
      <c r="BE3746" s="473"/>
      <c r="BF3746" s="473"/>
      <c r="BG3746" s="473"/>
      <c r="BH3746" s="473"/>
      <c r="BI3746" s="473"/>
      <c r="BJ3746" s="473"/>
      <c r="BK3746" s="473"/>
      <c r="BL3746" s="473"/>
      <c r="BM3746" s="473"/>
      <c r="BN3746" s="473"/>
      <c r="BO3746" s="473"/>
      <c r="BP3746" s="473"/>
      <c r="BQ3746" s="473"/>
      <c r="BR3746" s="473"/>
      <c r="BS3746" s="473"/>
      <c r="BT3746" s="473"/>
      <c r="BU3746" s="473"/>
      <c r="BV3746" s="473"/>
      <c r="BW3746" s="473"/>
      <c r="BX3746" s="473"/>
      <c r="BY3746" s="473"/>
    </row>
    <row r="3747" spans="1:77" s="473" customFormat="1" ht="11.25" customHeight="1">
      <c r="B3747" s="486" t="s">
        <v>291</v>
      </c>
      <c r="C3747" s="487"/>
      <c r="D3747" s="487"/>
      <c r="E3747" s="488" t="s">
        <v>2875</v>
      </c>
      <c r="F3747" s="473" t="s">
        <v>549</v>
      </c>
      <c r="G3747" s="489">
        <v>3745</v>
      </c>
      <c r="H3747" s="473" t="s">
        <v>866</v>
      </c>
      <c r="I3747" s="491" t="s">
        <v>888</v>
      </c>
      <c r="J3747" s="490">
        <v>19852.080000000002</v>
      </c>
      <c r="K3747" s="491"/>
      <c r="L3747" s="490">
        <v>13.71</v>
      </c>
      <c r="M3747" s="490">
        <v>13.71</v>
      </c>
      <c r="N3747" s="492">
        <v>6948.2280000000001</v>
      </c>
      <c r="O3747" s="493">
        <v>0.25</v>
      </c>
      <c r="P3747" s="493"/>
      <c r="Q3747" s="492">
        <v>5832.23</v>
      </c>
      <c r="R3747" s="473" t="s">
        <v>42</v>
      </c>
      <c r="S3747" s="481" t="s">
        <v>41</v>
      </c>
      <c r="T3747" s="482">
        <v>79</v>
      </c>
      <c r="U3747" s="494" t="s">
        <v>164</v>
      </c>
      <c r="V3747" s="495"/>
      <c r="X3747" s="492">
        <v>5832.23</v>
      </c>
      <c r="Y3747" s="492"/>
      <c r="AJ3747" s="485"/>
      <c r="AK3747" s="505">
        <v>5832.23</v>
      </c>
    </row>
    <row r="3748" spans="1:77" s="473" customFormat="1" ht="11.25" customHeight="1">
      <c r="B3748" s="486" t="s">
        <v>291</v>
      </c>
      <c r="C3748" s="487"/>
      <c r="D3748" s="487"/>
      <c r="E3748" s="488" t="s">
        <v>2875</v>
      </c>
      <c r="F3748" s="473" t="s">
        <v>549</v>
      </c>
      <c r="G3748" s="489">
        <v>3745</v>
      </c>
      <c r="H3748" s="473" t="s">
        <v>765</v>
      </c>
      <c r="I3748" s="491" t="s">
        <v>888</v>
      </c>
      <c r="J3748" s="490">
        <v>14401.8</v>
      </c>
      <c r="K3748" s="491"/>
      <c r="L3748" s="490">
        <v>11.43</v>
      </c>
      <c r="M3748" s="490">
        <v>11.43</v>
      </c>
      <c r="N3748" s="492">
        <v>4320.54</v>
      </c>
      <c r="O3748" s="493">
        <v>0.25</v>
      </c>
      <c r="P3748" s="493"/>
      <c r="Q3748" s="492">
        <v>194.31</v>
      </c>
      <c r="R3748" s="473" t="s">
        <v>42</v>
      </c>
      <c r="S3748" s="481" t="s">
        <v>41</v>
      </c>
      <c r="T3748" s="482">
        <v>79</v>
      </c>
      <c r="U3748" s="494" t="s">
        <v>164</v>
      </c>
      <c r="V3748" s="495"/>
      <c r="X3748" s="492">
        <v>194.31</v>
      </c>
      <c r="Y3748" s="492"/>
      <c r="AJ3748" s="485"/>
      <c r="AK3748" s="505">
        <v>194.31</v>
      </c>
    </row>
    <row r="3749" spans="1:77" s="379" customFormat="1" ht="11.25" customHeight="1">
      <c r="B3749" s="380" t="s">
        <v>291</v>
      </c>
      <c r="C3749" s="381">
        <v>44763</v>
      </c>
      <c r="D3749" s="381">
        <v>44763</v>
      </c>
      <c r="E3749" s="382" t="s">
        <v>2875</v>
      </c>
      <c r="F3749" s="379" t="s">
        <v>549</v>
      </c>
      <c r="G3749" s="383">
        <v>3745</v>
      </c>
      <c r="H3749" s="379" t="s">
        <v>910</v>
      </c>
      <c r="I3749" s="384" t="s">
        <v>888</v>
      </c>
      <c r="J3749" s="385">
        <v>42718.080000000002</v>
      </c>
      <c r="K3749" s="384"/>
      <c r="L3749" s="385">
        <v>18.239999999999998</v>
      </c>
      <c r="M3749" s="385">
        <v>18.239999999999998</v>
      </c>
      <c r="N3749" s="386">
        <v>0</v>
      </c>
      <c r="O3749" s="387">
        <v>0.25</v>
      </c>
      <c r="P3749" s="387"/>
      <c r="Q3749" s="386">
        <v>0</v>
      </c>
      <c r="R3749" s="379" t="s">
        <v>42</v>
      </c>
      <c r="S3749" s="388" t="s">
        <v>41</v>
      </c>
      <c r="T3749" s="399">
        <v>79</v>
      </c>
      <c r="U3749" s="389" t="s">
        <v>164</v>
      </c>
      <c r="V3749" s="433"/>
      <c r="X3749" s="386">
        <v>0</v>
      </c>
      <c r="Y3749" s="386"/>
      <c r="AJ3749" s="390">
        <v>0</v>
      </c>
    </row>
    <row r="3750" spans="1:77" s="473" customFormat="1" ht="11.25" customHeight="1">
      <c r="A3750" s="379"/>
      <c r="B3750" s="380" t="s">
        <v>291</v>
      </c>
      <c r="C3750" s="381"/>
      <c r="D3750" s="381"/>
      <c r="E3750" s="382" t="s">
        <v>2875</v>
      </c>
      <c r="F3750" s="379" t="s">
        <v>549</v>
      </c>
      <c r="G3750" s="383">
        <v>3745</v>
      </c>
      <c r="H3750" s="379" t="s">
        <v>2001</v>
      </c>
      <c r="I3750" s="384" t="s">
        <v>888</v>
      </c>
      <c r="J3750" s="385">
        <v>17031.810000000001</v>
      </c>
      <c r="K3750" s="384"/>
      <c r="L3750" s="385">
        <v>13.62</v>
      </c>
      <c r="M3750" s="385">
        <v>13.62</v>
      </c>
      <c r="N3750" s="386">
        <v>5109.5429999999997</v>
      </c>
      <c r="O3750" s="387">
        <v>0.25</v>
      </c>
      <c r="P3750" s="387"/>
      <c r="Q3750" s="386">
        <v>0</v>
      </c>
      <c r="R3750" s="379" t="s">
        <v>42</v>
      </c>
      <c r="S3750" s="388" t="s">
        <v>41</v>
      </c>
      <c r="T3750" s="399">
        <v>79</v>
      </c>
      <c r="U3750" s="389" t="s">
        <v>164</v>
      </c>
      <c r="V3750" s="433"/>
      <c r="W3750" s="379"/>
      <c r="X3750" s="386">
        <v>0</v>
      </c>
      <c r="Y3750" s="386"/>
      <c r="Z3750" s="379"/>
      <c r="AA3750" s="379"/>
      <c r="AB3750" s="379"/>
      <c r="AC3750" s="379"/>
      <c r="AD3750" s="379"/>
      <c r="AE3750" s="379"/>
      <c r="AF3750" s="379"/>
      <c r="AG3750" s="379"/>
      <c r="AH3750" s="379"/>
      <c r="AI3750" s="379"/>
      <c r="AJ3750" s="390">
        <v>0</v>
      </c>
      <c r="AK3750" s="379"/>
      <c r="AL3750" s="379"/>
      <c r="AM3750" s="379"/>
      <c r="AN3750" s="379"/>
      <c r="AO3750" s="379"/>
      <c r="AP3750" s="379"/>
      <c r="AQ3750" s="379"/>
      <c r="AR3750" s="379"/>
      <c r="AS3750" s="379"/>
      <c r="AT3750" s="379"/>
      <c r="AU3750" s="379"/>
      <c r="AV3750" s="379"/>
      <c r="AW3750" s="379"/>
      <c r="AX3750" s="379"/>
      <c r="AY3750" s="379"/>
      <c r="AZ3750" s="379"/>
      <c r="BA3750" s="379"/>
      <c r="BB3750" s="379"/>
      <c r="BC3750" s="379"/>
      <c r="BD3750" s="379"/>
      <c r="BE3750" s="379"/>
      <c r="BF3750" s="379"/>
      <c r="BG3750" s="379"/>
      <c r="BH3750" s="379"/>
      <c r="BI3750" s="379"/>
      <c r="BJ3750" s="379"/>
      <c r="BK3750" s="379"/>
      <c r="BL3750" s="379"/>
      <c r="BM3750" s="379"/>
      <c r="BN3750" s="379"/>
      <c r="BO3750" s="379"/>
      <c r="BP3750" s="379"/>
      <c r="BQ3750" s="379"/>
      <c r="BR3750" s="379"/>
      <c r="BS3750" s="379"/>
      <c r="BT3750" s="379"/>
      <c r="BU3750" s="379"/>
      <c r="BV3750" s="379"/>
      <c r="BW3750" s="379"/>
      <c r="BX3750" s="379"/>
      <c r="BY3750" s="379"/>
    </row>
    <row r="3751" spans="1:77" s="379" customFormat="1" ht="11.25" customHeight="1">
      <c r="B3751" s="379" t="s">
        <v>291</v>
      </c>
      <c r="C3751" s="381">
        <v>44763</v>
      </c>
      <c r="D3751" s="381">
        <v>44763</v>
      </c>
      <c r="E3751" s="382" t="s">
        <v>2876</v>
      </c>
      <c r="F3751" s="379" t="s">
        <v>2600</v>
      </c>
      <c r="G3751" s="404">
        <v>3750</v>
      </c>
      <c r="H3751" s="379" t="s">
        <v>898</v>
      </c>
      <c r="I3751" s="384" t="s">
        <v>156</v>
      </c>
      <c r="J3751" s="385">
        <v>28125</v>
      </c>
      <c r="K3751" s="384"/>
      <c r="L3751" s="385">
        <v>25</v>
      </c>
      <c r="M3751" s="385">
        <v>25</v>
      </c>
      <c r="N3751" s="386">
        <f>3375.45</f>
        <v>3375.45</v>
      </c>
      <c r="O3751" s="387">
        <v>0.25</v>
      </c>
      <c r="P3751" s="387">
        <v>0.1</v>
      </c>
      <c r="Q3751" s="386">
        <v>2968.75</v>
      </c>
      <c r="R3751" s="379" t="s">
        <v>29</v>
      </c>
      <c r="S3751" s="388" t="s">
        <v>30</v>
      </c>
      <c r="T3751" s="399">
        <v>25</v>
      </c>
      <c r="U3751" s="389" t="s">
        <v>164</v>
      </c>
      <c r="V3751" s="433"/>
      <c r="X3751" s="386">
        <v>2968.75</v>
      </c>
      <c r="Y3751" s="386"/>
      <c r="AJ3751" s="416">
        <v>2968.75</v>
      </c>
    </row>
    <row r="3752" spans="1:77" s="337" customFormat="1" ht="11.25" customHeight="1">
      <c r="A3752" s="473"/>
      <c r="B3752" s="473" t="s">
        <v>291</v>
      </c>
      <c r="C3752" s="487"/>
      <c r="D3752" s="487"/>
      <c r="E3752" s="488" t="s">
        <v>2877</v>
      </c>
      <c r="F3752" s="473" t="s">
        <v>2857</v>
      </c>
      <c r="G3752" s="489" t="s">
        <v>2858</v>
      </c>
      <c r="H3752" s="473" t="s">
        <v>765</v>
      </c>
      <c r="I3752" s="491" t="s">
        <v>888</v>
      </c>
      <c r="J3752" s="490">
        <v>9133.25</v>
      </c>
      <c r="K3752" s="491"/>
      <c r="L3752" s="490">
        <v>5</v>
      </c>
      <c r="M3752" s="490">
        <v>5</v>
      </c>
      <c r="N3752" s="492">
        <v>1021.91</v>
      </c>
      <c r="O3752" s="493">
        <v>0.15</v>
      </c>
      <c r="P3752" s="493"/>
      <c r="Q3752" s="492">
        <v>0</v>
      </c>
      <c r="R3752" s="473" t="s">
        <v>112</v>
      </c>
      <c r="S3752" s="481" t="s">
        <v>113</v>
      </c>
      <c r="T3752" s="482">
        <v>40</v>
      </c>
      <c r="U3752" s="494" t="s">
        <v>164</v>
      </c>
      <c r="V3752" s="495"/>
      <c r="W3752" s="473"/>
      <c r="X3752" s="492">
        <v>0</v>
      </c>
      <c r="Y3752" s="492"/>
      <c r="Z3752" s="473"/>
      <c r="AA3752" s="473"/>
      <c r="AB3752" s="473"/>
      <c r="AC3752" s="473"/>
      <c r="AD3752" s="473"/>
      <c r="AE3752" s="473"/>
      <c r="AF3752" s="473"/>
      <c r="AG3752" s="473"/>
      <c r="AH3752" s="473"/>
      <c r="AI3752" s="473"/>
      <c r="AJ3752" s="485"/>
      <c r="AK3752" s="473">
        <v>0</v>
      </c>
      <c r="AL3752" s="473"/>
      <c r="AM3752" s="473"/>
      <c r="AN3752" s="473"/>
      <c r="AO3752" s="473"/>
      <c r="AP3752" s="473"/>
      <c r="AQ3752" s="473"/>
      <c r="AR3752" s="473"/>
      <c r="AS3752" s="473"/>
      <c r="AT3752" s="473"/>
      <c r="AU3752" s="473"/>
      <c r="AV3752" s="473"/>
      <c r="AW3752" s="473"/>
      <c r="AX3752" s="473"/>
      <c r="AY3752" s="473"/>
      <c r="AZ3752" s="473"/>
      <c r="BA3752" s="473"/>
      <c r="BB3752" s="473"/>
      <c r="BC3752" s="473"/>
      <c r="BD3752" s="473"/>
      <c r="BE3752" s="473"/>
      <c r="BF3752" s="473"/>
      <c r="BG3752" s="473"/>
      <c r="BH3752" s="473"/>
      <c r="BI3752" s="473"/>
      <c r="BJ3752" s="473"/>
      <c r="BK3752" s="473"/>
      <c r="BL3752" s="473"/>
      <c r="BM3752" s="473"/>
      <c r="BN3752" s="473"/>
      <c r="BO3752" s="473"/>
      <c r="BP3752" s="473"/>
      <c r="BQ3752" s="473"/>
      <c r="BR3752" s="473"/>
      <c r="BS3752" s="473"/>
      <c r="BT3752" s="473"/>
      <c r="BU3752" s="473"/>
      <c r="BV3752" s="473"/>
      <c r="BW3752" s="473"/>
      <c r="BX3752" s="473"/>
      <c r="BY3752" s="473"/>
    </row>
    <row r="3753" spans="1:77" s="337" customFormat="1" ht="11.25" customHeight="1">
      <c r="B3753" s="337" t="s">
        <v>291</v>
      </c>
      <c r="C3753" s="349">
        <v>44762</v>
      </c>
      <c r="D3753" s="349">
        <v>44763</v>
      </c>
      <c r="E3753" s="350" t="s">
        <v>2877</v>
      </c>
      <c r="F3753" s="337" t="s">
        <v>2857</v>
      </c>
      <c r="G3753" s="351" t="s">
        <v>2858</v>
      </c>
      <c r="H3753" s="337" t="s">
        <v>910</v>
      </c>
      <c r="I3753" s="353" t="s">
        <v>888</v>
      </c>
      <c r="J3753" s="352">
        <v>16894.8</v>
      </c>
      <c r="K3753" s="353"/>
      <c r="L3753" s="352">
        <v>8</v>
      </c>
      <c r="M3753" s="352">
        <v>8</v>
      </c>
      <c r="N3753" s="354">
        <v>3041.06</v>
      </c>
      <c r="O3753" s="355">
        <v>0.15</v>
      </c>
      <c r="P3753" s="355"/>
      <c r="Q3753" s="354">
        <v>4548.18</v>
      </c>
      <c r="R3753" s="337" t="s">
        <v>112</v>
      </c>
      <c r="S3753" s="356" t="s">
        <v>113</v>
      </c>
      <c r="T3753" s="346">
        <v>64</v>
      </c>
      <c r="U3753" s="357" t="s">
        <v>164</v>
      </c>
      <c r="V3753" s="434"/>
      <c r="X3753" s="354">
        <v>4548.18</v>
      </c>
      <c r="Y3753" s="354"/>
      <c r="AI3753" s="354">
        <v>4548.18</v>
      </c>
      <c r="AJ3753" s="358"/>
      <c r="AK3753" s="369"/>
    </row>
    <row r="3754" spans="1:77" s="337" customFormat="1" ht="11.25" customHeight="1">
      <c r="B3754" s="337" t="s">
        <v>291</v>
      </c>
      <c r="C3754" s="349"/>
      <c r="D3754" s="349"/>
      <c r="E3754" s="350" t="s">
        <v>2877</v>
      </c>
      <c r="F3754" s="337" t="s">
        <v>2857</v>
      </c>
      <c r="G3754" s="351" t="s">
        <v>2858</v>
      </c>
      <c r="H3754" s="337" t="s">
        <v>866</v>
      </c>
      <c r="I3754" s="353" t="s">
        <v>888</v>
      </c>
      <c r="J3754" s="352">
        <v>40575.599999999999</v>
      </c>
      <c r="K3754" s="353"/>
      <c r="L3754" s="352">
        <v>24</v>
      </c>
      <c r="M3754" s="352">
        <v>24</v>
      </c>
      <c r="N3754" s="354">
        <v>17582.759999999998</v>
      </c>
      <c r="O3754" s="355">
        <v>0.15</v>
      </c>
      <c r="P3754" s="355"/>
      <c r="Q3754" s="354">
        <v>0</v>
      </c>
      <c r="R3754" s="337" t="s">
        <v>112</v>
      </c>
      <c r="S3754" s="356" t="s">
        <v>113</v>
      </c>
      <c r="T3754" s="346">
        <v>40</v>
      </c>
      <c r="U3754" s="357" t="s">
        <v>164</v>
      </c>
      <c r="V3754" s="434"/>
      <c r="X3754" s="354">
        <v>0</v>
      </c>
      <c r="Y3754" s="354"/>
      <c r="AI3754" s="337">
        <v>0</v>
      </c>
      <c r="AJ3754" s="358"/>
      <c r="AK3754" s="369"/>
    </row>
    <row r="3755" spans="1:77" s="337" customFormat="1" ht="11.25" customHeight="1">
      <c r="B3755" s="337" t="s">
        <v>291</v>
      </c>
      <c r="C3755" s="349"/>
      <c r="D3755" s="349"/>
      <c r="E3755" s="350" t="s">
        <v>2877</v>
      </c>
      <c r="F3755" s="337" t="s">
        <v>2857</v>
      </c>
      <c r="G3755" s="351" t="s">
        <v>2858</v>
      </c>
      <c r="H3755" s="337" t="s">
        <v>866</v>
      </c>
      <c r="I3755" s="353" t="s">
        <v>888</v>
      </c>
      <c r="J3755" s="352">
        <v>59172.75</v>
      </c>
      <c r="K3755" s="353"/>
      <c r="L3755" s="352">
        <v>35</v>
      </c>
      <c r="M3755" s="352">
        <v>35</v>
      </c>
      <c r="N3755" s="354">
        <v>32122.35</v>
      </c>
      <c r="O3755" s="355">
        <v>0.15</v>
      </c>
      <c r="P3755" s="355"/>
      <c r="Q3755" s="354">
        <v>0</v>
      </c>
      <c r="R3755" s="337" t="s">
        <v>112</v>
      </c>
      <c r="S3755" s="356" t="s">
        <v>113</v>
      </c>
      <c r="T3755" s="346">
        <v>64</v>
      </c>
      <c r="U3755" s="357" t="s">
        <v>164</v>
      </c>
      <c r="V3755" s="434"/>
      <c r="X3755" s="354">
        <v>0</v>
      </c>
      <c r="Y3755" s="354"/>
      <c r="AI3755" s="337">
        <v>0</v>
      </c>
      <c r="AJ3755" s="358"/>
      <c r="AK3755" s="369"/>
    </row>
    <row r="3756" spans="1:77" s="6" customFormat="1" ht="11.25" customHeight="1">
      <c r="A3756" s="473"/>
      <c r="B3756" s="473" t="s">
        <v>291</v>
      </c>
      <c r="C3756" s="487"/>
      <c r="D3756" s="487"/>
      <c r="E3756" s="488" t="s">
        <v>2878</v>
      </c>
      <c r="F3756" s="473" t="s">
        <v>2879</v>
      </c>
      <c r="G3756" s="489" t="s">
        <v>2880</v>
      </c>
      <c r="H3756" s="473" t="s">
        <v>765</v>
      </c>
      <c r="I3756" s="491" t="s">
        <v>961</v>
      </c>
      <c r="J3756" s="490">
        <v>7647.08</v>
      </c>
      <c r="K3756" s="491"/>
      <c r="L3756" s="490">
        <v>8.81</v>
      </c>
      <c r="M3756" s="490">
        <v>8.81</v>
      </c>
      <c r="N3756" s="492"/>
      <c r="O3756" s="493">
        <v>0.25</v>
      </c>
      <c r="P3756" s="493"/>
      <c r="Q3756" s="492">
        <v>2563.71</v>
      </c>
      <c r="R3756" s="473" t="s">
        <v>146</v>
      </c>
      <c r="S3756" s="481" t="s">
        <v>74</v>
      </c>
      <c r="T3756" s="482">
        <v>31</v>
      </c>
      <c r="U3756" s="494" t="s">
        <v>164</v>
      </c>
      <c r="V3756" s="495"/>
      <c r="W3756" s="473"/>
      <c r="X3756" s="492">
        <v>2563.71</v>
      </c>
      <c r="Y3756" s="492"/>
      <c r="Z3756" s="473"/>
      <c r="AA3756" s="473"/>
      <c r="AB3756" s="473"/>
      <c r="AC3756" s="473"/>
      <c r="AD3756" s="473"/>
      <c r="AE3756" s="473"/>
      <c r="AF3756" s="473"/>
      <c r="AG3756" s="473"/>
      <c r="AH3756" s="473"/>
      <c r="AI3756" s="473"/>
      <c r="AJ3756" s="485"/>
      <c r="AK3756" s="505">
        <v>2563.71</v>
      </c>
      <c r="AL3756" s="473"/>
      <c r="AM3756" s="473"/>
      <c r="AN3756" s="473"/>
      <c r="AO3756" s="473"/>
      <c r="AP3756" s="473"/>
      <c r="AQ3756" s="473"/>
      <c r="AR3756" s="473"/>
      <c r="AS3756" s="473"/>
      <c r="AT3756" s="473"/>
      <c r="AU3756" s="473"/>
      <c r="AV3756" s="473"/>
      <c r="AW3756" s="473"/>
      <c r="AX3756" s="473"/>
      <c r="AY3756" s="473"/>
      <c r="AZ3756" s="473"/>
      <c r="BA3756" s="473"/>
      <c r="BB3756" s="473"/>
      <c r="BC3756" s="473"/>
      <c r="BD3756" s="473"/>
      <c r="BE3756" s="473"/>
      <c r="BF3756" s="473"/>
      <c r="BG3756" s="473"/>
      <c r="BH3756" s="473"/>
      <c r="BI3756" s="473"/>
      <c r="BJ3756" s="473"/>
      <c r="BK3756" s="473"/>
      <c r="BL3756" s="473"/>
      <c r="BM3756" s="473"/>
      <c r="BN3756" s="473"/>
      <c r="BO3756" s="473"/>
      <c r="BP3756" s="473"/>
      <c r="BQ3756" s="473"/>
      <c r="BR3756" s="473"/>
      <c r="BS3756" s="473"/>
      <c r="BT3756" s="473"/>
      <c r="BU3756" s="473"/>
      <c r="BV3756" s="473"/>
      <c r="BW3756" s="473"/>
      <c r="BX3756" s="473"/>
      <c r="BY3756" s="473"/>
    </row>
    <row r="3757" spans="1:77" s="473" customFormat="1" ht="11.25" customHeight="1">
      <c r="A3757" s="379"/>
      <c r="B3757" s="379" t="s">
        <v>291</v>
      </c>
      <c r="C3757" s="381">
        <v>44760</v>
      </c>
      <c r="D3757" s="381">
        <v>44763</v>
      </c>
      <c r="E3757" s="382" t="s">
        <v>2878</v>
      </c>
      <c r="F3757" s="379" t="s">
        <v>2879</v>
      </c>
      <c r="G3757" s="383" t="s">
        <v>2880</v>
      </c>
      <c r="H3757" s="379" t="s">
        <v>814</v>
      </c>
      <c r="I3757" s="384" t="s">
        <v>961</v>
      </c>
      <c r="J3757" s="385">
        <v>5329.32</v>
      </c>
      <c r="K3757" s="384"/>
      <c r="L3757" s="385">
        <v>4.99</v>
      </c>
      <c r="M3757" s="385">
        <v>4.99</v>
      </c>
      <c r="N3757" s="386"/>
      <c r="O3757" s="387">
        <v>0.25</v>
      </c>
      <c r="P3757" s="387"/>
      <c r="Q3757" s="386">
        <v>0</v>
      </c>
      <c r="R3757" s="379" t="s">
        <v>146</v>
      </c>
      <c r="S3757" s="388" t="s">
        <v>74</v>
      </c>
      <c r="T3757" s="399">
        <v>31</v>
      </c>
      <c r="U3757" s="389" t="s">
        <v>164</v>
      </c>
      <c r="V3757" s="433"/>
      <c r="W3757" s="379"/>
      <c r="X3757" s="386">
        <v>0</v>
      </c>
      <c r="Y3757" s="386"/>
      <c r="Z3757" s="379"/>
      <c r="AA3757" s="379"/>
      <c r="AB3757" s="379"/>
      <c r="AC3757" s="379"/>
      <c r="AD3757" s="379"/>
      <c r="AE3757" s="379"/>
      <c r="AF3757" s="379"/>
      <c r="AG3757" s="379"/>
      <c r="AH3757" s="379"/>
      <c r="AI3757" s="384"/>
      <c r="AJ3757" s="390">
        <v>0</v>
      </c>
      <c r="AK3757" s="379"/>
      <c r="AL3757" s="379"/>
      <c r="AM3757" s="379"/>
      <c r="AN3757" s="379"/>
      <c r="AO3757" s="379"/>
      <c r="AP3757" s="379"/>
      <c r="AQ3757" s="379"/>
      <c r="AR3757" s="379"/>
      <c r="AS3757" s="379"/>
      <c r="AT3757" s="379"/>
      <c r="AU3757" s="379"/>
      <c r="AV3757" s="379"/>
      <c r="AW3757" s="379"/>
      <c r="AX3757" s="379"/>
      <c r="AY3757" s="379"/>
      <c r="AZ3757" s="379"/>
      <c r="BA3757" s="379"/>
      <c r="BB3757" s="379"/>
      <c r="BC3757" s="379"/>
      <c r="BD3757" s="379"/>
      <c r="BE3757" s="379"/>
      <c r="BF3757" s="379"/>
      <c r="BG3757" s="379"/>
      <c r="BH3757" s="379"/>
      <c r="BI3757" s="379"/>
      <c r="BJ3757" s="379"/>
      <c r="BK3757" s="379"/>
      <c r="BL3757" s="379"/>
      <c r="BM3757" s="379"/>
      <c r="BN3757" s="379"/>
      <c r="BO3757" s="379"/>
      <c r="BP3757" s="379"/>
      <c r="BQ3757" s="379"/>
      <c r="BR3757" s="379"/>
      <c r="BS3757" s="379"/>
      <c r="BT3757" s="379"/>
      <c r="BU3757" s="379"/>
      <c r="BV3757" s="379"/>
      <c r="BW3757" s="379"/>
      <c r="BX3757" s="379"/>
      <c r="BY3757" s="379"/>
    </row>
    <row r="3758" spans="1:77" s="473" customFormat="1" ht="11.25" customHeight="1">
      <c r="B3758" s="486" t="s">
        <v>291</v>
      </c>
      <c r="C3758" s="487">
        <v>44760</v>
      </c>
      <c r="D3758" s="487">
        <v>44763</v>
      </c>
      <c r="E3758" s="488" t="s">
        <v>2881</v>
      </c>
      <c r="F3758" s="472" t="s">
        <v>2334</v>
      </c>
      <c r="G3758" s="476">
        <v>1007</v>
      </c>
      <c r="H3758" s="473" t="s">
        <v>910</v>
      </c>
      <c r="I3758" s="491" t="s">
        <v>111</v>
      </c>
      <c r="J3758" s="490">
        <v>33094.04</v>
      </c>
      <c r="K3758" s="491"/>
      <c r="L3758" s="490">
        <v>13.06</v>
      </c>
      <c r="M3758" s="490">
        <v>13.06</v>
      </c>
      <c r="N3758" s="492">
        <v>1654.7</v>
      </c>
      <c r="O3758" s="493">
        <v>0.25</v>
      </c>
      <c r="P3758" s="493"/>
      <c r="Q3758" s="492">
        <v>0</v>
      </c>
      <c r="R3758" s="472" t="s">
        <v>112</v>
      </c>
      <c r="S3758" s="482" t="s">
        <v>113</v>
      </c>
      <c r="T3758" s="482">
        <v>64</v>
      </c>
      <c r="U3758" s="494" t="s">
        <v>164</v>
      </c>
      <c r="V3758" s="495"/>
      <c r="X3758" s="492">
        <v>0</v>
      </c>
      <c r="Y3758" s="492"/>
      <c r="AJ3758" s="485"/>
      <c r="AK3758" s="473">
        <v>0</v>
      </c>
    </row>
    <row r="3759" spans="1:77" s="291" customFormat="1" ht="11.25" customHeight="1">
      <c r="B3759" s="310" t="s">
        <v>291</v>
      </c>
      <c r="C3759" s="292"/>
      <c r="D3759" s="292"/>
      <c r="E3759" s="293" t="s">
        <v>2881</v>
      </c>
      <c r="F3759" s="303" t="s">
        <v>2334</v>
      </c>
      <c r="G3759" s="304">
        <v>1007</v>
      </c>
      <c r="H3759" s="291" t="s">
        <v>866</v>
      </c>
      <c r="I3759" s="295" t="s">
        <v>111</v>
      </c>
      <c r="J3759" s="296">
        <v>65340</v>
      </c>
      <c r="K3759" s="295"/>
      <c r="L3759" s="296">
        <v>29.7</v>
      </c>
      <c r="M3759" s="296">
        <v>29.7</v>
      </c>
      <c r="N3759" s="297">
        <f>9922+1573</f>
        <v>11495</v>
      </c>
      <c r="O3759" s="298">
        <v>0.25</v>
      </c>
      <c r="P3759" s="298"/>
      <c r="Q3759" s="297">
        <v>0</v>
      </c>
      <c r="R3759" s="303" t="s">
        <v>112</v>
      </c>
      <c r="S3759" s="308" t="s">
        <v>113</v>
      </c>
      <c r="T3759" s="308">
        <v>64</v>
      </c>
      <c r="U3759" s="300" t="s">
        <v>164</v>
      </c>
      <c r="V3759" s="333"/>
      <c r="X3759" s="297">
        <v>0</v>
      </c>
      <c r="Y3759" s="297"/>
      <c r="AH3759" s="311">
        <f>X3759</f>
        <v>0</v>
      </c>
      <c r="AI3759" s="311"/>
      <c r="AJ3759" s="468"/>
    </row>
    <row r="3760" spans="1:77" s="291" customFormat="1" ht="11.25" customHeight="1">
      <c r="B3760" s="310" t="s">
        <v>291</v>
      </c>
      <c r="C3760" s="292"/>
      <c r="D3760" s="292"/>
      <c r="E3760" s="293" t="s">
        <v>2881</v>
      </c>
      <c r="F3760" s="303" t="s">
        <v>2334</v>
      </c>
      <c r="G3760" s="304">
        <v>1007</v>
      </c>
      <c r="H3760" s="291" t="s">
        <v>814</v>
      </c>
      <c r="I3760" s="295" t="s">
        <v>111</v>
      </c>
      <c r="J3760" s="296">
        <v>23251.9</v>
      </c>
      <c r="K3760" s="295"/>
      <c r="L3760" s="296">
        <v>14.78</v>
      </c>
      <c r="M3760" s="296">
        <v>14.78</v>
      </c>
      <c r="N3760" s="297">
        <v>5812.97</v>
      </c>
      <c r="O3760" s="298">
        <v>0.25</v>
      </c>
      <c r="P3760" s="298"/>
      <c r="Q3760" s="297">
        <v>0</v>
      </c>
      <c r="R3760" s="303" t="s">
        <v>112</v>
      </c>
      <c r="S3760" s="308" t="s">
        <v>113</v>
      </c>
      <c r="T3760" s="308">
        <v>64</v>
      </c>
      <c r="U3760" s="300" t="s">
        <v>164</v>
      </c>
      <c r="V3760" s="333"/>
      <c r="X3760" s="297">
        <v>0</v>
      </c>
      <c r="Y3760" s="297"/>
      <c r="AH3760" s="311">
        <f>X3760</f>
        <v>0</v>
      </c>
      <c r="AI3760" s="311"/>
      <c r="AJ3760" s="468"/>
    </row>
    <row r="3761" spans="1:77" s="379" customFormat="1" ht="11.25" customHeight="1">
      <c r="B3761" s="379" t="s">
        <v>291</v>
      </c>
      <c r="C3761" s="381">
        <v>44760</v>
      </c>
      <c r="D3761" s="381">
        <v>44763</v>
      </c>
      <c r="E3761" s="382" t="s">
        <v>2882</v>
      </c>
      <c r="F3761" s="394" t="s">
        <v>1213</v>
      </c>
      <c r="G3761" s="400">
        <v>4210</v>
      </c>
      <c r="H3761" s="394" t="s">
        <v>993</v>
      </c>
      <c r="I3761" s="384" t="s">
        <v>3337</v>
      </c>
      <c r="J3761" s="385">
        <v>110490.16</v>
      </c>
      <c r="K3761" s="384"/>
      <c r="L3761" s="385">
        <v>54.13</v>
      </c>
      <c r="M3761" s="385">
        <v>54.13</v>
      </c>
      <c r="N3761" s="386"/>
      <c r="O3761" s="397">
        <v>0.25</v>
      </c>
      <c r="P3761" s="387"/>
      <c r="Q3761" s="386">
        <v>21484.2</v>
      </c>
      <c r="R3761" s="394" t="s">
        <v>128</v>
      </c>
      <c r="S3761" s="399" t="s">
        <v>41</v>
      </c>
      <c r="T3761" s="399">
        <v>86</v>
      </c>
      <c r="U3761" s="389" t="s">
        <v>164</v>
      </c>
      <c r="V3761" s="433"/>
      <c r="X3761" s="386">
        <v>21484.2</v>
      </c>
      <c r="Y3761" s="386"/>
      <c r="AJ3761" s="416">
        <v>21484.2</v>
      </c>
    </row>
    <row r="3762" spans="1:77" s="379" customFormat="1" ht="11.25" customHeight="1">
      <c r="B3762" s="379" t="s">
        <v>291</v>
      </c>
      <c r="C3762" s="381"/>
      <c r="D3762" s="381"/>
      <c r="E3762" s="382" t="s">
        <v>2882</v>
      </c>
      <c r="F3762" s="394" t="s">
        <v>1213</v>
      </c>
      <c r="G3762" s="400">
        <v>4210</v>
      </c>
      <c r="H3762" s="394" t="s">
        <v>1015</v>
      </c>
      <c r="I3762" s="384" t="s">
        <v>1426</v>
      </c>
      <c r="J3762" s="385">
        <v>5272</v>
      </c>
      <c r="K3762" s="384"/>
      <c r="L3762" s="385">
        <v>6.59</v>
      </c>
      <c r="M3762" s="385">
        <v>6.59</v>
      </c>
      <c r="N3762" s="386"/>
      <c r="O3762" s="397">
        <v>0.25</v>
      </c>
      <c r="P3762" s="387"/>
      <c r="Q3762" s="386">
        <v>0</v>
      </c>
      <c r="R3762" s="394" t="s">
        <v>128</v>
      </c>
      <c r="S3762" s="399" t="s">
        <v>41</v>
      </c>
      <c r="T3762" s="399">
        <v>86</v>
      </c>
      <c r="U3762" s="389" t="s">
        <v>164</v>
      </c>
      <c r="V3762" s="433"/>
      <c r="X3762" s="386">
        <v>0</v>
      </c>
      <c r="Y3762" s="386"/>
      <c r="AJ3762" s="390">
        <v>0</v>
      </c>
    </row>
    <row r="3763" spans="1:77" s="379" customFormat="1" ht="11.25" customHeight="1">
      <c r="B3763" s="379" t="s">
        <v>291</v>
      </c>
      <c r="C3763" s="381"/>
      <c r="D3763" s="381"/>
      <c r="E3763" s="382" t="s">
        <v>2882</v>
      </c>
      <c r="F3763" s="394" t="s">
        <v>1213</v>
      </c>
      <c r="G3763" s="400">
        <v>4210</v>
      </c>
      <c r="H3763" s="394" t="s">
        <v>765</v>
      </c>
      <c r="I3763" s="384" t="s">
        <v>1426</v>
      </c>
      <c r="J3763" s="385">
        <v>38447.4</v>
      </c>
      <c r="K3763" s="384"/>
      <c r="L3763" s="385">
        <v>34.75</v>
      </c>
      <c r="M3763" s="385">
        <v>34.75</v>
      </c>
      <c r="N3763" s="386"/>
      <c r="O3763" s="397">
        <v>0.25</v>
      </c>
      <c r="P3763" s="387"/>
      <c r="Q3763" s="386">
        <v>0</v>
      </c>
      <c r="R3763" s="394" t="s">
        <v>128</v>
      </c>
      <c r="S3763" s="399" t="s">
        <v>41</v>
      </c>
      <c r="T3763" s="399">
        <v>86</v>
      </c>
      <c r="U3763" s="389" t="s">
        <v>164</v>
      </c>
      <c r="V3763" s="433"/>
      <c r="X3763" s="386">
        <v>0</v>
      </c>
      <c r="Y3763" s="386"/>
      <c r="AJ3763" s="390">
        <v>0</v>
      </c>
    </row>
    <row r="3764" spans="1:77" s="6" customFormat="1" ht="11.25" customHeight="1">
      <c r="A3764" s="379"/>
      <c r="B3764" s="379" t="s">
        <v>291</v>
      </c>
      <c r="C3764" s="381"/>
      <c r="D3764" s="381"/>
      <c r="E3764" s="382" t="s">
        <v>2883</v>
      </c>
      <c r="F3764" s="379" t="s">
        <v>469</v>
      </c>
      <c r="G3764" s="383" t="s">
        <v>2884</v>
      </c>
      <c r="H3764" s="379" t="s">
        <v>866</v>
      </c>
      <c r="I3764" s="384" t="s">
        <v>888</v>
      </c>
      <c r="J3764" s="385">
        <v>66233.97</v>
      </c>
      <c r="K3764" s="384"/>
      <c r="L3764" s="385">
        <v>38.450000000000003</v>
      </c>
      <c r="M3764" s="385">
        <v>38.450000000000003</v>
      </c>
      <c r="N3764" s="386"/>
      <c r="O3764" s="387">
        <v>0.3</v>
      </c>
      <c r="P3764" s="387"/>
      <c r="Q3764" s="386">
        <v>0</v>
      </c>
      <c r="R3764" s="379" t="s">
        <v>112</v>
      </c>
      <c r="S3764" s="388" t="s">
        <v>113</v>
      </c>
      <c r="T3764" s="399">
        <v>64</v>
      </c>
      <c r="U3764" s="389" t="s">
        <v>164</v>
      </c>
      <c r="V3764" s="433"/>
      <c r="W3764" s="379"/>
      <c r="X3764" s="386">
        <v>0</v>
      </c>
      <c r="Y3764" s="386"/>
      <c r="Z3764" s="379"/>
      <c r="AA3764" s="379"/>
      <c r="AB3764" s="379"/>
      <c r="AC3764" s="379"/>
      <c r="AD3764" s="379"/>
      <c r="AE3764" s="379"/>
      <c r="AF3764" s="379"/>
      <c r="AG3764" s="379"/>
      <c r="AH3764" s="379"/>
      <c r="AI3764" s="379"/>
      <c r="AJ3764" s="390">
        <v>0</v>
      </c>
      <c r="AK3764" s="379"/>
      <c r="AL3764" s="379"/>
      <c r="AM3764" s="379"/>
      <c r="AN3764" s="379"/>
      <c r="AO3764" s="379"/>
      <c r="AP3764" s="379"/>
      <c r="AQ3764" s="379"/>
      <c r="AR3764" s="379"/>
      <c r="AS3764" s="379"/>
      <c r="AT3764" s="379"/>
      <c r="AU3764" s="379"/>
      <c r="AV3764" s="379"/>
      <c r="AW3764" s="379"/>
      <c r="AX3764" s="379"/>
      <c r="AY3764" s="379"/>
      <c r="AZ3764" s="379"/>
      <c r="BA3764" s="379"/>
      <c r="BB3764" s="379"/>
      <c r="BC3764" s="379"/>
      <c r="BD3764" s="379"/>
      <c r="BE3764" s="379"/>
      <c r="BF3764" s="379"/>
      <c r="BG3764" s="379"/>
      <c r="BH3764" s="379"/>
      <c r="BI3764" s="379"/>
      <c r="BJ3764" s="379"/>
      <c r="BK3764" s="379"/>
      <c r="BL3764" s="379"/>
      <c r="BM3764" s="379"/>
      <c r="BN3764" s="379"/>
      <c r="BO3764" s="379"/>
      <c r="BP3764" s="379"/>
      <c r="BQ3764" s="379"/>
      <c r="BR3764" s="379"/>
      <c r="BS3764" s="379"/>
      <c r="BT3764" s="379"/>
      <c r="BU3764" s="379"/>
      <c r="BV3764" s="379"/>
      <c r="BW3764" s="379"/>
      <c r="BX3764" s="379"/>
      <c r="BY3764" s="379"/>
    </row>
    <row r="3765" spans="1:77" s="205" customFormat="1" ht="11.25" customHeight="1">
      <c r="A3765" s="379"/>
      <c r="B3765" s="379" t="s">
        <v>291</v>
      </c>
      <c r="C3765" s="381"/>
      <c r="D3765" s="381"/>
      <c r="E3765" s="382" t="s">
        <v>2883</v>
      </c>
      <c r="F3765" s="379" t="s">
        <v>469</v>
      </c>
      <c r="G3765" s="383" t="s">
        <v>2884</v>
      </c>
      <c r="H3765" s="379" t="s">
        <v>765</v>
      </c>
      <c r="I3765" s="384" t="s">
        <v>888</v>
      </c>
      <c r="J3765" s="385">
        <v>20939.310000000001</v>
      </c>
      <c r="K3765" s="384"/>
      <c r="L3765" s="385">
        <v>16.05</v>
      </c>
      <c r="M3765" s="385">
        <v>16.05</v>
      </c>
      <c r="N3765" s="386">
        <v>4606.6499999999996</v>
      </c>
      <c r="O3765" s="387">
        <v>0.3</v>
      </c>
      <c r="P3765" s="387"/>
      <c r="Q3765" s="386">
        <v>0</v>
      </c>
      <c r="R3765" s="379" t="s">
        <v>112</v>
      </c>
      <c r="S3765" s="388" t="s">
        <v>113</v>
      </c>
      <c r="T3765" s="399">
        <v>64</v>
      </c>
      <c r="U3765" s="389" t="s">
        <v>164</v>
      </c>
      <c r="V3765" s="433"/>
      <c r="W3765" s="379"/>
      <c r="X3765" s="386">
        <v>0</v>
      </c>
      <c r="Y3765" s="386"/>
      <c r="Z3765" s="379"/>
      <c r="AA3765" s="379"/>
      <c r="AB3765" s="379"/>
      <c r="AC3765" s="379"/>
      <c r="AD3765" s="379"/>
      <c r="AE3765" s="379"/>
      <c r="AF3765" s="379"/>
      <c r="AG3765" s="379"/>
      <c r="AH3765" s="379"/>
      <c r="AI3765" s="384"/>
      <c r="AJ3765" s="390">
        <v>0</v>
      </c>
      <c r="AK3765" s="379"/>
      <c r="AL3765" s="379"/>
      <c r="AM3765" s="379"/>
      <c r="AN3765" s="379"/>
      <c r="AO3765" s="379"/>
      <c r="AP3765" s="379"/>
      <c r="AQ3765" s="379"/>
      <c r="AR3765" s="379"/>
      <c r="AS3765" s="379"/>
      <c r="AT3765" s="379"/>
      <c r="AU3765" s="379"/>
      <c r="AV3765" s="379"/>
      <c r="AW3765" s="379"/>
      <c r="AX3765" s="379"/>
      <c r="AY3765" s="379"/>
      <c r="AZ3765" s="379"/>
      <c r="BA3765" s="379"/>
      <c r="BB3765" s="379"/>
      <c r="BC3765" s="379"/>
      <c r="BD3765" s="379"/>
      <c r="BE3765" s="379"/>
      <c r="BF3765" s="379"/>
      <c r="BG3765" s="379"/>
      <c r="BH3765" s="379"/>
      <c r="BI3765" s="379"/>
      <c r="BJ3765" s="379"/>
      <c r="BK3765" s="379"/>
      <c r="BL3765" s="379"/>
      <c r="BM3765" s="379"/>
      <c r="BN3765" s="379"/>
      <c r="BO3765" s="379"/>
      <c r="BP3765" s="379"/>
      <c r="BQ3765" s="379"/>
      <c r="BR3765" s="379"/>
      <c r="BS3765" s="379"/>
      <c r="BT3765" s="379"/>
      <c r="BU3765" s="379"/>
      <c r="BV3765" s="379"/>
      <c r="BW3765" s="379"/>
      <c r="BX3765" s="379"/>
      <c r="BY3765" s="379"/>
    </row>
    <row r="3766" spans="1:77" s="379" customFormat="1" ht="11.25" customHeight="1">
      <c r="B3766" s="379" t="s">
        <v>291</v>
      </c>
      <c r="C3766" s="381">
        <v>44763</v>
      </c>
      <c r="D3766" s="381">
        <v>44763</v>
      </c>
      <c r="E3766" s="382" t="s">
        <v>2883</v>
      </c>
      <c r="F3766" s="379" t="s">
        <v>469</v>
      </c>
      <c r="G3766" s="383" t="s">
        <v>2884</v>
      </c>
      <c r="H3766" s="379" t="s">
        <v>898</v>
      </c>
      <c r="I3766" s="384" t="s">
        <v>888</v>
      </c>
      <c r="J3766" s="385">
        <v>8178.23</v>
      </c>
      <c r="K3766" s="384"/>
      <c r="L3766" s="385">
        <v>5.0199999999999996</v>
      </c>
      <c r="M3766" s="385">
        <v>5.0199999999999996</v>
      </c>
      <c r="N3766" s="386">
        <v>5642.98</v>
      </c>
      <c r="O3766" s="387">
        <v>0.3</v>
      </c>
      <c r="P3766" s="387"/>
      <c r="Q3766" s="386">
        <v>3027.42</v>
      </c>
      <c r="R3766" s="379" t="s">
        <v>112</v>
      </c>
      <c r="S3766" s="388" t="s">
        <v>113</v>
      </c>
      <c r="T3766" s="399">
        <v>64</v>
      </c>
      <c r="U3766" s="389" t="s">
        <v>164</v>
      </c>
      <c r="V3766" s="433"/>
      <c r="X3766" s="386">
        <v>3027.42</v>
      </c>
      <c r="Y3766" s="386"/>
      <c r="AJ3766" s="416">
        <v>3027.42</v>
      </c>
    </row>
    <row r="3767" spans="1:77" s="6" customFormat="1" ht="11.25" customHeight="1">
      <c r="A3767" s="379"/>
      <c r="B3767" s="379" t="s">
        <v>291</v>
      </c>
      <c r="C3767" s="381"/>
      <c r="D3767" s="381"/>
      <c r="E3767" s="382" t="s">
        <v>2883</v>
      </c>
      <c r="F3767" s="379" t="s">
        <v>469</v>
      </c>
      <c r="G3767" s="383" t="s">
        <v>2884</v>
      </c>
      <c r="H3767" s="379" t="s">
        <v>814</v>
      </c>
      <c r="I3767" s="384" t="s">
        <v>888</v>
      </c>
      <c r="J3767" s="385">
        <v>10026.24</v>
      </c>
      <c r="K3767" s="384"/>
      <c r="L3767" s="385">
        <v>8.4</v>
      </c>
      <c r="M3767" s="385">
        <v>8.4</v>
      </c>
      <c r="N3767" s="386">
        <v>6517.06</v>
      </c>
      <c r="O3767" s="387">
        <v>0.3</v>
      </c>
      <c r="P3767" s="387"/>
      <c r="Q3767" s="386">
        <v>1266.05</v>
      </c>
      <c r="R3767" s="379" t="s">
        <v>112</v>
      </c>
      <c r="S3767" s="388" t="s">
        <v>113</v>
      </c>
      <c r="T3767" s="399">
        <v>64</v>
      </c>
      <c r="U3767" s="389" t="s">
        <v>164</v>
      </c>
      <c r="V3767" s="433"/>
      <c r="W3767" s="379"/>
      <c r="X3767" s="386">
        <v>1266.05</v>
      </c>
      <c r="Y3767" s="386"/>
      <c r="Z3767" s="379"/>
      <c r="AA3767" s="379"/>
      <c r="AB3767" s="379"/>
      <c r="AC3767" s="379"/>
      <c r="AD3767" s="379"/>
      <c r="AE3767" s="379"/>
      <c r="AF3767" s="379"/>
      <c r="AG3767" s="379"/>
      <c r="AH3767" s="379"/>
      <c r="AI3767" s="384"/>
      <c r="AJ3767" s="416">
        <v>1266.05</v>
      </c>
      <c r="AK3767" s="379"/>
      <c r="AL3767" s="379"/>
      <c r="AM3767" s="379"/>
      <c r="AN3767" s="379"/>
      <c r="AO3767" s="379"/>
      <c r="AP3767" s="379"/>
      <c r="AQ3767" s="379"/>
      <c r="AR3767" s="379"/>
      <c r="AS3767" s="379"/>
      <c r="AT3767" s="379"/>
      <c r="AU3767" s="379"/>
      <c r="AV3767" s="379"/>
      <c r="AW3767" s="379"/>
      <c r="AX3767" s="379"/>
      <c r="AY3767" s="379"/>
      <c r="AZ3767" s="379"/>
      <c r="BA3767" s="379"/>
      <c r="BB3767" s="379"/>
      <c r="BC3767" s="379"/>
      <c r="BD3767" s="379"/>
      <c r="BE3767" s="379"/>
      <c r="BF3767" s="379"/>
      <c r="BG3767" s="379"/>
      <c r="BH3767" s="379"/>
      <c r="BI3767" s="379"/>
      <c r="BJ3767" s="379"/>
      <c r="BK3767" s="379"/>
      <c r="BL3767" s="379"/>
      <c r="BM3767" s="379"/>
      <c r="BN3767" s="379"/>
      <c r="BO3767" s="379"/>
      <c r="BP3767" s="379"/>
      <c r="BQ3767" s="379"/>
      <c r="BR3767" s="379"/>
      <c r="BS3767" s="379"/>
      <c r="BT3767" s="379"/>
      <c r="BU3767" s="379"/>
      <c r="BV3767" s="379"/>
      <c r="BW3767" s="379"/>
      <c r="BX3767" s="379"/>
      <c r="BY3767" s="379"/>
    </row>
    <row r="3768" spans="1:77" s="205" customFormat="1" ht="11.25" customHeight="1">
      <c r="B3768" s="205" t="s">
        <v>291</v>
      </c>
      <c r="C3768" s="207"/>
      <c r="D3768" s="207"/>
      <c r="E3768" s="208" t="s">
        <v>2883</v>
      </c>
      <c r="F3768" s="205" t="s">
        <v>469</v>
      </c>
      <c r="G3768" s="209" t="s">
        <v>2884</v>
      </c>
      <c r="H3768" s="205" t="s">
        <v>910</v>
      </c>
      <c r="I3768" s="219" t="s">
        <v>888</v>
      </c>
      <c r="J3768" s="210">
        <v>118522.44</v>
      </c>
      <c r="K3768" s="219"/>
      <c r="L3768" s="210">
        <v>46.6</v>
      </c>
      <c r="M3768" s="210">
        <v>46.5</v>
      </c>
      <c r="N3768" s="213"/>
      <c r="O3768" s="212">
        <v>0.3</v>
      </c>
      <c r="P3768" s="212"/>
      <c r="Q3768" s="213">
        <v>0</v>
      </c>
      <c r="R3768" s="205" t="s">
        <v>112</v>
      </c>
      <c r="S3768" s="214" t="s">
        <v>113</v>
      </c>
      <c r="T3768" s="221">
        <v>64</v>
      </c>
      <c r="U3768" s="215" t="s">
        <v>164</v>
      </c>
      <c r="V3768" s="438"/>
      <c r="X3768" s="213">
        <v>0</v>
      </c>
      <c r="Y3768" s="213"/>
      <c r="AF3768" s="230">
        <f>X3768</f>
        <v>0</v>
      </c>
      <c r="AJ3768" s="216"/>
    </row>
    <row r="3769" spans="1:77" s="379" customFormat="1" ht="11.25" customHeight="1">
      <c r="B3769" s="380" t="s">
        <v>291</v>
      </c>
      <c r="C3769" s="381">
        <v>44763</v>
      </c>
      <c r="D3769" s="381">
        <v>44763</v>
      </c>
      <c r="E3769" s="382" t="s">
        <v>2885</v>
      </c>
      <c r="F3769" s="379" t="s">
        <v>191</v>
      </c>
      <c r="G3769" s="383">
        <v>4079</v>
      </c>
      <c r="H3769" s="379" t="s">
        <v>1138</v>
      </c>
      <c r="I3769" s="384" t="s">
        <v>888</v>
      </c>
      <c r="J3769" s="385">
        <v>16289.91</v>
      </c>
      <c r="K3769" s="384"/>
      <c r="L3769" s="385">
        <v>8.4499999999999993</v>
      </c>
      <c r="M3769" s="385">
        <v>8.4499999999999993</v>
      </c>
      <c r="N3769" s="386"/>
      <c r="O3769" s="387">
        <v>0.2</v>
      </c>
      <c r="P3769" s="387"/>
      <c r="Q3769" s="386">
        <v>0</v>
      </c>
      <c r="R3769" s="379" t="s">
        <v>73</v>
      </c>
      <c r="S3769" s="388" t="s">
        <v>74</v>
      </c>
      <c r="T3769" s="388">
        <v>31</v>
      </c>
      <c r="U3769" s="389" t="s">
        <v>164</v>
      </c>
      <c r="V3769" s="433"/>
      <c r="X3769" s="386">
        <v>0</v>
      </c>
      <c r="Y3769" s="386"/>
      <c r="AJ3769" s="390">
        <v>0</v>
      </c>
    </row>
    <row r="3770" spans="1:77" s="6" customFormat="1" ht="11.25" customHeight="1">
      <c r="A3770" s="379"/>
      <c r="B3770" s="380" t="s">
        <v>291</v>
      </c>
      <c r="C3770" s="381"/>
      <c r="D3770" s="381"/>
      <c r="E3770" s="382" t="s">
        <v>2885</v>
      </c>
      <c r="F3770" s="379" t="s">
        <v>191</v>
      </c>
      <c r="G3770" s="383">
        <v>4079</v>
      </c>
      <c r="H3770" s="379" t="s">
        <v>1018</v>
      </c>
      <c r="I3770" s="384" t="s">
        <v>888</v>
      </c>
      <c r="J3770" s="385">
        <v>33907.5</v>
      </c>
      <c r="K3770" s="384"/>
      <c r="L3770" s="385">
        <v>34.25</v>
      </c>
      <c r="M3770" s="385">
        <v>34.25</v>
      </c>
      <c r="N3770" s="386"/>
      <c r="O3770" s="387">
        <v>0.2</v>
      </c>
      <c r="P3770" s="387"/>
      <c r="Q3770" s="386">
        <v>11319</v>
      </c>
      <c r="R3770" s="379" t="s">
        <v>73</v>
      </c>
      <c r="S3770" s="388" t="s">
        <v>74</v>
      </c>
      <c r="T3770" s="388">
        <v>31</v>
      </c>
      <c r="U3770" s="389" t="s">
        <v>164</v>
      </c>
      <c r="V3770" s="433"/>
      <c r="W3770" s="379"/>
      <c r="X3770" s="386">
        <v>11319</v>
      </c>
      <c r="Y3770" s="386"/>
      <c r="Z3770" s="379"/>
      <c r="AA3770" s="379"/>
      <c r="AB3770" s="379"/>
      <c r="AC3770" s="379"/>
      <c r="AD3770" s="379"/>
      <c r="AE3770" s="379"/>
      <c r="AF3770" s="379"/>
      <c r="AG3770" s="379"/>
      <c r="AH3770" s="379"/>
      <c r="AI3770" s="379"/>
      <c r="AJ3770" s="416">
        <v>11319</v>
      </c>
      <c r="AK3770" s="379"/>
      <c r="AL3770" s="379"/>
      <c r="AM3770" s="379"/>
      <c r="AN3770" s="379"/>
      <c r="AO3770" s="379"/>
      <c r="AP3770" s="379"/>
      <c r="AQ3770" s="379"/>
      <c r="AR3770" s="379"/>
      <c r="AS3770" s="379"/>
      <c r="AT3770" s="379"/>
      <c r="AU3770" s="379"/>
      <c r="AV3770" s="379"/>
      <c r="AW3770" s="379"/>
      <c r="AX3770" s="379"/>
      <c r="AY3770" s="379"/>
      <c r="AZ3770" s="379"/>
      <c r="BA3770" s="379"/>
      <c r="BB3770" s="379"/>
      <c r="BC3770" s="379"/>
      <c r="BD3770" s="379"/>
      <c r="BE3770" s="379"/>
      <c r="BF3770" s="379"/>
      <c r="BG3770" s="379"/>
      <c r="BH3770" s="379"/>
      <c r="BI3770" s="379"/>
      <c r="BJ3770" s="379"/>
      <c r="BK3770" s="379"/>
      <c r="BL3770" s="379"/>
      <c r="BM3770" s="379"/>
      <c r="BN3770" s="379"/>
      <c r="BO3770" s="379"/>
      <c r="BP3770" s="379"/>
      <c r="BQ3770" s="379"/>
      <c r="BR3770" s="379"/>
      <c r="BS3770" s="379"/>
      <c r="BT3770" s="379"/>
      <c r="BU3770" s="379"/>
      <c r="BV3770" s="379"/>
      <c r="BW3770" s="379"/>
      <c r="BX3770" s="379"/>
      <c r="BY3770" s="379"/>
    </row>
    <row r="3771" spans="1:77" s="379" customFormat="1" ht="11.25" customHeight="1">
      <c r="B3771" s="380" t="s">
        <v>291</v>
      </c>
      <c r="C3771" s="381"/>
      <c r="D3771" s="381"/>
      <c r="E3771" s="382" t="s">
        <v>2885</v>
      </c>
      <c r="F3771" s="379" t="s">
        <v>191</v>
      </c>
      <c r="G3771" s="383">
        <v>4079</v>
      </c>
      <c r="H3771" s="379" t="s">
        <v>1141</v>
      </c>
      <c r="I3771" s="384" t="s">
        <v>888</v>
      </c>
      <c r="J3771" s="385">
        <v>1405.9</v>
      </c>
      <c r="K3771" s="384"/>
      <c r="L3771" s="385">
        <v>2.23</v>
      </c>
      <c r="M3771" s="385">
        <v>2.23</v>
      </c>
      <c r="N3771" s="386"/>
      <c r="O3771" s="387">
        <v>0.2</v>
      </c>
      <c r="P3771" s="387"/>
      <c r="Q3771" s="386">
        <v>0</v>
      </c>
      <c r="R3771" s="379" t="s">
        <v>73</v>
      </c>
      <c r="S3771" s="388" t="s">
        <v>74</v>
      </c>
      <c r="T3771" s="388">
        <v>31</v>
      </c>
      <c r="U3771" s="389" t="s">
        <v>164</v>
      </c>
      <c r="V3771" s="433"/>
      <c r="X3771" s="386">
        <v>0</v>
      </c>
      <c r="Y3771" s="386"/>
      <c r="AJ3771" s="390">
        <v>0</v>
      </c>
    </row>
    <row r="3772" spans="1:77" s="473" customFormat="1" ht="11.25" customHeight="1">
      <c r="B3772" s="486" t="s">
        <v>291</v>
      </c>
      <c r="C3772" s="487">
        <v>44760</v>
      </c>
      <c r="D3772" s="487"/>
      <c r="E3772" s="488" t="s">
        <v>2886</v>
      </c>
      <c r="F3772" s="473" t="s">
        <v>755</v>
      </c>
      <c r="G3772" s="489" t="s">
        <v>756</v>
      </c>
      <c r="H3772" s="473" t="s">
        <v>866</v>
      </c>
      <c r="I3772" s="491" t="s">
        <v>888</v>
      </c>
      <c r="J3772" s="490">
        <v>13576.25</v>
      </c>
      <c r="K3772" s="491"/>
      <c r="L3772" s="490">
        <v>12.5</v>
      </c>
      <c r="M3772" s="490">
        <v>12.5</v>
      </c>
      <c r="N3772" s="492"/>
      <c r="O3772" s="493">
        <v>0.25</v>
      </c>
      <c r="P3772" s="493"/>
      <c r="Q3772" s="492">
        <v>0</v>
      </c>
      <c r="R3772" s="473" t="s">
        <v>42</v>
      </c>
      <c r="S3772" s="481" t="s">
        <v>41</v>
      </c>
      <c r="T3772" s="481">
        <v>16</v>
      </c>
      <c r="U3772" s="494" t="s">
        <v>164</v>
      </c>
      <c r="V3772" s="495"/>
      <c r="X3772" s="492">
        <v>0</v>
      </c>
      <c r="Y3772" s="492"/>
      <c r="AJ3772" s="485">
        <v>0</v>
      </c>
      <c r="AK3772" s="473">
        <v>0</v>
      </c>
    </row>
    <row r="3773" spans="1:77" s="473" customFormat="1" ht="11.25" customHeight="1">
      <c r="B3773" s="486" t="s">
        <v>291</v>
      </c>
      <c r="C3773" s="487"/>
      <c r="D3773" s="487"/>
      <c r="E3773" s="488" t="s">
        <v>2886</v>
      </c>
      <c r="F3773" s="473" t="s">
        <v>755</v>
      </c>
      <c r="G3773" s="489" t="s">
        <v>756</v>
      </c>
      <c r="H3773" s="473" t="s">
        <v>765</v>
      </c>
      <c r="I3773" s="491" t="s">
        <v>888</v>
      </c>
      <c r="J3773" s="490">
        <v>30972</v>
      </c>
      <c r="K3773" s="491"/>
      <c r="L3773" s="490">
        <v>29</v>
      </c>
      <c r="M3773" s="490">
        <v>29</v>
      </c>
      <c r="N3773" s="492"/>
      <c r="O3773" s="493">
        <v>0.25</v>
      </c>
      <c r="P3773" s="493"/>
      <c r="Q3773" s="492">
        <v>3161</v>
      </c>
      <c r="R3773" s="473" t="s">
        <v>42</v>
      </c>
      <c r="S3773" s="481" t="s">
        <v>41</v>
      </c>
      <c r="T3773" s="481">
        <v>16</v>
      </c>
      <c r="U3773" s="494" t="s">
        <v>164</v>
      </c>
      <c r="V3773" s="495"/>
      <c r="X3773" s="492">
        <v>3161</v>
      </c>
      <c r="Y3773" s="492"/>
      <c r="AJ3773" s="492"/>
      <c r="AK3773" s="492">
        <v>3161</v>
      </c>
    </row>
    <row r="3774" spans="1:77" s="205" customFormat="1" ht="11.25" customHeight="1">
      <c r="B3774" s="205" t="s">
        <v>291</v>
      </c>
      <c r="C3774" s="207">
        <v>44763</v>
      </c>
      <c r="D3774" s="207">
        <v>44763</v>
      </c>
      <c r="E3774" s="208" t="s">
        <v>2887</v>
      </c>
      <c r="F3774" s="218" t="s">
        <v>2269</v>
      </c>
      <c r="G3774" s="220" t="s">
        <v>2270</v>
      </c>
      <c r="H3774" s="205" t="s">
        <v>1164</v>
      </c>
      <c r="I3774" s="219" t="s">
        <v>33</v>
      </c>
      <c r="J3774" s="210">
        <v>156936</v>
      </c>
      <c r="K3774" s="219"/>
      <c r="L3774" s="210">
        <v>24</v>
      </c>
      <c r="M3774" s="210">
        <v>24</v>
      </c>
      <c r="N3774" s="213"/>
      <c r="O3774" s="212">
        <v>0.25</v>
      </c>
      <c r="P3774" s="212"/>
      <c r="Q3774" s="213">
        <v>0</v>
      </c>
      <c r="R3774" s="218" t="s">
        <v>112</v>
      </c>
      <c r="S3774" s="221" t="s">
        <v>150</v>
      </c>
      <c r="T3774" s="221">
        <v>64</v>
      </c>
      <c r="U3774" s="215" t="s">
        <v>164</v>
      </c>
      <c r="V3774" s="438"/>
      <c r="X3774" s="213">
        <v>0</v>
      </c>
      <c r="Y3774" s="213"/>
      <c r="AF3774" s="230">
        <f>X3774</f>
        <v>0</v>
      </c>
      <c r="AJ3774" s="216"/>
    </row>
    <row r="3775" spans="1:77" s="337" customFormat="1" ht="11.25" customHeight="1">
      <c r="B3775" s="337" t="s">
        <v>291</v>
      </c>
      <c r="C3775" s="349">
        <v>44763</v>
      </c>
      <c r="D3775" s="349">
        <v>44763</v>
      </c>
      <c r="E3775" s="350" t="s">
        <v>2888</v>
      </c>
      <c r="F3775" s="337" t="s">
        <v>2889</v>
      </c>
      <c r="G3775" s="351" t="s">
        <v>2890</v>
      </c>
      <c r="H3775" s="337" t="s">
        <v>2267</v>
      </c>
      <c r="I3775" s="353" t="s">
        <v>33</v>
      </c>
      <c r="J3775" s="352">
        <v>7112.78</v>
      </c>
      <c r="K3775" s="353"/>
      <c r="L3775" s="352">
        <v>3.23</v>
      </c>
      <c r="M3775" s="352">
        <v>3.23</v>
      </c>
      <c r="N3775" s="354">
        <v>1066</v>
      </c>
      <c r="O3775" s="355">
        <v>0.2</v>
      </c>
      <c r="P3775" s="355"/>
      <c r="Q3775" s="354">
        <v>0</v>
      </c>
      <c r="R3775" s="337" t="s">
        <v>2296</v>
      </c>
      <c r="S3775" s="356" t="s">
        <v>113</v>
      </c>
      <c r="T3775" s="346">
        <v>40</v>
      </c>
      <c r="U3775" s="357" t="s">
        <v>164</v>
      </c>
      <c r="V3775" s="434"/>
      <c r="X3775" s="354">
        <v>0</v>
      </c>
      <c r="Y3775" s="354"/>
      <c r="AI3775" s="337">
        <f>X3775</f>
        <v>0</v>
      </c>
      <c r="AJ3775" s="358"/>
      <c r="AK3775" s="369"/>
    </row>
    <row r="3776" spans="1:77" s="337" customFormat="1" ht="11.25" customHeight="1">
      <c r="B3776" s="337" t="s">
        <v>291</v>
      </c>
      <c r="C3776" s="349"/>
      <c r="D3776" s="349"/>
      <c r="E3776" s="350" t="s">
        <v>2888</v>
      </c>
      <c r="F3776" s="337" t="s">
        <v>2889</v>
      </c>
      <c r="G3776" s="351" t="s">
        <v>2890</v>
      </c>
      <c r="H3776" s="337" t="s">
        <v>2171</v>
      </c>
      <c r="I3776" s="353" t="s">
        <v>33</v>
      </c>
      <c r="J3776" s="352">
        <v>12041.14</v>
      </c>
      <c r="K3776" s="353"/>
      <c r="L3776" s="352">
        <v>6.52</v>
      </c>
      <c r="M3776" s="352">
        <v>6.52</v>
      </c>
      <c r="N3776" s="354">
        <f>1668+738</f>
        <v>2406</v>
      </c>
      <c r="O3776" s="355">
        <v>0.2</v>
      </c>
      <c r="P3776" s="355"/>
      <c r="Q3776" s="354">
        <v>0</v>
      </c>
      <c r="R3776" s="337" t="s">
        <v>2296</v>
      </c>
      <c r="S3776" s="356" t="s">
        <v>113</v>
      </c>
      <c r="T3776" s="346">
        <v>40</v>
      </c>
      <c r="U3776" s="357" t="s">
        <v>164</v>
      </c>
      <c r="V3776" s="434"/>
      <c r="X3776" s="354">
        <v>0</v>
      </c>
      <c r="Y3776" s="354"/>
      <c r="AI3776" s="337">
        <f>X3776</f>
        <v>0</v>
      </c>
      <c r="AJ3776" s="358"/>
      <c r="AK3776" s="369"/>
    </row>
    <row r="3777" spans="1:37" s="379" customFormat="1" ht="11.25" customHeight="1">
      <c r="B3777" s="379" t="s">
        <v>291</v>
      </c>
      <c r="C3777" s="381">
        <v>44760</v>
      </c>
      <c r="D3777" s="381">
        <v>44764</v>
      </c>
      <c r="E3777" s="382" t="s">
        <v>2891</v>
      </c>
      <c r="F3777" s="379" t="s">
        <v>172</v>
      </c>
      <c r="G3777" s="383" t="s">
        <v>173</v>
      </c>
      <c r="H3777" s="379" t="s">
        <v>765</v>
      </c>
      <c r="I3777" s="384" t="s">
        <v>888</v>
      </c>
      <c r="J3777" s="385">
        <v>25070.5</v>
      </c>
      <c r="K3777" s="384"/>
      <c r="L3777" s="385">
        <v>20.3</v>
      </c>
      <c r="M3777" s="385">
        <v>20.3</v>
      </c>
      <c r="N3777" s="386"/>
      <c r="O3777" s="387">
        <v>0.25</v>
      </c>
      <c r="P3777" s="387"/>
      <c r="Q3777" s="386">
        <v>9486.5</v>
      </c>
      <c r="R3777" s="379" t="s">
        <v>73</v>
      </c>
      <c r="S3777" s="388" t="s">
        <v>113</v>
      </c>
      <c r="T3777" s="388">
        <v>31</v>
      </c>
      <c r="U3777" s="389" t="s">
        <v>164</v>
      </c>
      <c r="V3777" s="433">
        <v>833.63</v>
      </c>
      <c r="X3777" s="386">
        <v>9486.5</v>
      </c>
      <c r="Y3777" s="386"/>
      <c r="AJ3777" s="416">
        <v>9486.5</v>
      </c>
    </row>
    <row r="3778" spans="1:37" s="379" customFormat="1" ht="11.25" customHeight="1">
      <c r="B3778" s="380" t="s">
        <v>291</v>
      </c>
      <c r="C3778" s="381"/>
      <c r="D3778" s="381"/>
      <c r="E3778" s="382" t="s">
        <v>2891</v>
      </c>
      <c r="F3778" s="379" t="s">
        <v>172</v>
      </c>
      <c r="G3778" s="383" t="s">
        <v>173</v>
      </c>
      <c r="H3778" s="379" t="s">
        <v>1141</v>
      </c>
      <c r="I3778" s="384" t="s">
        <v>888</v>
      </c>
      <c r="J3778" s="385">
        <v>11825.6</v>
      </c>
      <c r="K3778" s="384"/>
      <c r="L3778" s="385">
        <v>11.69</v>
      </c>
      <c r="M3778" s="385">
        <v>11.69</v>
      </c>
      <c r="N3778" s="386"/>
      <c r="O3778" s="387">
        <v>0.25</v>
      </c>
      <c r="P3778" s="387"/>
      <c r="Q3778" s="386">
        <v>0</v>
      </c>
      <c r="R3778" s="379" t="s">
        <v>73</v>
      </c>
      <c r="S3778" s="388" t="s">
        <v>113</v>
      </c>
      <c r="T3778" s="388">
        <v>31</v>
      </c>
      <c r="U3778" s="389" t="s">
        <v>164</v>
      </c>
      <c r="V3778" s="433"/>
      <c r="X3778" s="386">
        <v>0</v>
      </c>
      <c r="Y3778" s="386"/>
      <c r="AJ3778" s="390">
        <v>0</v>
      </c>
    </row>
    <row r="3779" spans="1:37" s="379" customFormat="1" ht="11.25" customHeight="1">
      <c r="B3779" s="380" t="s">
        <v>291</v>
      </c>
      <c r="C3779" s="381"/>
      <c r="D3779" s="381"/>
      <c r="E3779" s="382" t="s">
        <v>2891</v>
      </c>
      <c r="F3779" s="379" t="s">
        <v>172</v>
      </c>
      <c r="G3779" s="383" t="s">
        <v>173</v>
      </c>
      <c r="H3779" s="379" t="s">
        <v>910</v>
      </c>
      <c r="I3779" s="384" t="s">
        <v>111</v>
      </c>
      <c r="J3779" s="385">
        <v>68486.490000000005</v>
      </c>
      <c r="K3779" s="384"/>
      <c r="L3779" s="385">
        <v>26.96</v>
      </c>
      <c r="M3779" s="385">
        <v>26.96</v>
      </c>
      <c r="N3779" s="386"/>
      <c r="O3779" s="387">
        <v>0.25</v>
      </c>
      <c r="P3779" s="387"/>
      <c r="Q3779" s="386">
        <v>0</v>
      </c>
      <c r="R3779" s="379" t="s">
        <v>73</v>
      </c>
      <c r="S3779" s="388" t="s">
        <v>113</v>
      </c>
      <c r="T3779" s="388">
        <v>31</v>
      </c>
      <c r="U3779" s="389" t="s">
        <v>164</v>
      </c>
      <c r="V3779" s="433"/>
      <c r="X3779" s="386">
        <v>0</v>
      </c>
      <c r="Y3779" s="386"/>
      <c r="AJ3779" s="390">
        <v>0</v>
      </c>
    </row>
    <row r="3780" spans="1:37" s="379" customFormat="1" ht="11.25" customHeight="1">
      <c r="B3780" s="380" t="s">
        <v>291</v>
      </c>
      <c r="C3780" s="381"/>
      <c r="D3780" s="381"/>
      <c r="E3780" s="382" t="s">
        <v>2891</v>
      </c>
      <c r="F3780" s="379" t="s">
        <v>172</v>
      </c>
      <c r="G3780" s="383" t="s">
        <v>173</v>
      </c>
      <c r="H3780" s="379" t="s">
        <v>1164</v>
      </c>
      <c r="I3780" s="384" t="s">
        <v>111</v>
      </c>
      <c r="J3780" s="385">
        <v>12285</v>
      </c>
      <c r="K3780" s="384"/>
      <c r="L3780" s="385">
        <v>3.15</v>
      </c>
      <c r="M3780" s="385">
        <v>3.15</v>
      </c>
      <c r="N3780" s="386"/>
      <c r="O3780" s="387">
        <v>0.25</v>
      </c>
      <c r="P3780" s="387"/>
      <c r="Q3780" s="386">
        <v>0</v>
      </c>
      <c r="R3780" s="379" t="s">
        <v>73</v>
      </c>
      <c r="S3780" s="388" t="s">
        <v>113</v>
      </c>
      <c r="T3780" s="388">
        <v>31</v>
      </c>
      <c r="U3780" s="389" t="s">
        <v>164</v>
      </c>
      <c r="V3780" s="433"/>
      <c r="X3780" s="386">
        <v>0</v>
      </c>
      <c r="Y3780" s="386"/>
      <c r="AJ3780" s="390">
        <v>0</v>
      </c>
    </row>
    <row r="3781" spans="1:37" s="379" customFormat="1" ht="11.25" customHeight="1">
      <c r="B3781" s="380" t="s">
        <v>291</v>
      </c>
      <c r="C3781" s="381"/>
      <c r="D3781" s="381"/>
      <c r="E3781" s="382" t="s">
        <v>2891</v>
      </c>
      <c r="F3781" s="379" t="s">
        <v>172</v>
      </c>
      <c r="G3781" s="383" t="s">
        <v>173</v>
      </c>
      <c r="H3781" s="379" t="s">
        <v>2892</v>
      </c>
      <c r="I3781" s="384" t="s">
        <v>1995</v>
      </c>
      <c r="J3781" s="385">
        <v>17409.7</v>
      </c>
      <c r="K3781" s="384"/>
      <c r="L3781" s="385">
        <v>10.78</v>
      </c>
      <c r="M3781" s="385">
        <v>10.78</v>
      </c>
      <c r="N3781" s="386"/>
      <c r="O3781" s="387">
        <v>0.25</v>
      </c>
      <c r="P3781" s="387"/>
      <c r="Q3781" s="386">
        <v>0</v>
      </c>
      <c r="R3781" s="379" t="s">
        <v>73</v>
      </c>
      <c r="S3781" s="388" t="s">
        <v>113</v>
      </c>
      <c r="T3781" s="388">
        <v>31</v>
      </c>
      <c r="U3781" s="389" t="s">
        <v>164</v>
      </c>
      <c r="V3781" s="433"/>
      <c r="X3781" s="386">
        <v>0</v>
      </c>
      <c r="Y3781" s="386"/>
      <c r="AJ3781" s="390">
        <v>0</v>
      </c>
    </row>
    <row r="3782" spans="1:37" s="337" customFormat="1" ht="11.25" customHeight="1">
      <c r="B3782" s="337" t="s">
        <v>291</v>
      </c>
      <c r="C3782" s="349">
        <v>44763</v>
      </c>
      <c r="D3782" s="349">
        <v>44763</v>
      </c>
      <c r="E3782" s="350" t="s">
        <v>2893</v>
      </c>
      <c r="F3782" s="337" t="s">
        <v>1381</v>
      </c>
      <c r="G3782" s="342">
        <v>4542</v>
      </c>
      <c r="H3782" s="337" t="s">
        <v>866</v>
      </c>
      <c r="I3782" s="353" t="s">
        <v>888</v>
      </c>
      <c r="J3782" s="352">
        <v>19743.75</v>
      </c>
      <c r="K3782" s="353"/>
      <c r="L3782" s="352">
        <v>16.25</v>
      </c>
      <c r="M3782" s="352">
        <v>16.25</v>
      </c>
      <c r="N3782" s="354"/>
      <c r="O3782" s="355">
        <v>0.2</v>
      </c>
      <c r="P3782" s="345"/>
      <c r="Q3782" s="344">
        <v>7020</v>
      </c>
      <c r="R3782" s="337" t="s">
        <v>146</v>
      </c>
      <c r="S3782" s="356" t="s">
        <v>113</v>
      </c>
      <c r="T3782" s="356">
        <v>31</v>
      </c>
      <c r="U3782" s="357" t="s">
        <v>164</v>
      </c>
      <c r="V3782" s="434"/>
      <c r="X3782" s="344">
        <v>7020</v>
      </c>
      <c r="Y3782" s="354"/>
      <c r="AI3782" s="344">
        <v>7020</v>
      </c>
      <c r="AJ3782" s="358"/>
      <c r="AK3782" s="369"/>
    </row>
    <row r="3783" spans="1:37" s="337" customFormat="1" ht="11.25" customHeight="1">
      <c r="B3783" s="338" t="s">
        <v>291</v>
      </c>
      <c r="C3783" s="349">
        <v>44763</v>
      </c>
      <c r="D3783" s="349">
        <v>44763</v>
      </c>
      <c r="E3783" s="350" t="s">
        <v>2894</v>
      </c>
      <c r="F3783" s="337" t="s">
        <v>399</v>
      </c>
      <c r="G3783" s="351" t="s">
        <v>400</v>
      </c>
      <c r="H3783" s="337" t="s">
        <v>765</v>
      </c>
      <c r="I3783" s="353" t="s">
        <v>888</v>
      </c>
      <c r="J3783" s="352">
        <v>11919.25</v>
      </c>
      <c r="K3783" s="353"/>
      <c r="L3783" s="352">
        <v>11.34</v>
      </c>
      <c r="M3783" s="352">
        <v>11.34</v>
      </c>
      <c r="N3783" s="354"/>
      <c r="O3783" s="355">
        <v>0.2</v>
      </c>
      <c r="P3783" s="355"/>
      <c r="Q3783" s="354">
        <v>125.47</v>
      </c>
      <c r="R3783" s="337" t="s">
        <v>128</v>
      </c>
      <c r="S3783" s="356" t="s">
        <v>41</v>
      </c>
      <c r="T3783" s="356">
        <v>86</v>
      </c>
      <c r="U3783" s="357" t="s">
        <v>164</v>
      </c>
      <c r="V3783" s="434"/>
      <c r="X3783" s="354">
        <v>125.47</v>
      </c>
      <c r="Y3783" s="354"/>
      <c r="AI3783" s="354">
        <v>125.47</v>
      </c>
      <c r="AJ3783" s="358"/>
      <c r="AK3783" s="369"/>
    </row>
    <row r="3784" spans="1:37" s="291" customFormat="1" ht="11.25" customHeight="1">
      <c r="B3784" s="291" t="s">
        <v>291</v>
      </c>
      <c r="C3784" s="292">
        <v>44760</v>
      </c>
      <c r="D3784" s="292">
        <v>44763</v>
      </c>
      <c r="E3784" s="293" t="s">
        <v>2895</v>
      </c>
      <c r="F3784" s="291" t="s">
        <v>2896</v>
      </c>
      <c r="G3784" s="294" t="s">
        <v>2897</v>
      </c>
      <c r="H3784" s="291" t="s">
        <v>866</v>
      </c>
      <c r="I3784" s="295" t="s">
        <v>1296</v>
      </c>
      <c r="J3784" s="296">
        <v>120003.91</v>
      </c>
      <c r="K3784" s="295"/>
      <c r="L3784" s="296">
        <v>66.61</v>
      </c>
      <c r="M3784" s="296">
        <v>66.61</v>
      </c>
      <c r="N3784" s="297">
        <v>36036</v>
      </c>
      <c r="O3784" s="298">
        <v>0.15</v>
      </c>
      <c r="P3784" s="298"/>
      <c r="Q3784" s="297">
        <v>0</v>
      </c>
      <c r="R3784" s="291" t="s">
        <v>2296</v>
      </c>
      <c r="S3784" s="299" t="s">
        <v>113</v>
      </c>
      <c r="T3784" s="308">
        <v>64</v>
      </c>
      <c r="U3784" s="300" t="s">
        <v>164</v>
      </c>
      <c r="V3784" s="333"/>
      <c r="X3784" s="297">
        <v>0</v>
      </c>
      <c r="Y3784" s="297"/>
      <c r="AH3784" s="311">
        <f>X3784</f>
        <v>0</v>
      </c>
      <c r="AI3784" s="311"/>
      <c r="AJ3784" s="468"/>
    </row>
    <row r="3785" spans="1:37" s="291" customFormat="1" ht="11.25" customHeight="1">
      <c r="B3785" s="310" t="s">
        <v>291</v>
      </c>
      <c r="C3785" s="292"/>
      <c r="D3785" s="292"/>
      <c r="E3785" s="293" t="s">
        <v>2895</v>
      </c>
      <c r="F3785" s="291" t="s">
        <v>2896</v>
      </c>
      <c r="G3785" s="294" t="s">
        <v>2897</v>
      </c>
      <c r="H3785" s="291" t="s">
        <v>866</v>
      </c>
      <c r="I3785" s="295" t="s">
        <v>1296</v>
      </c>
      <c r="J3785" s="296">
        <v>33761.800000000003</v>
      </c>
      <c r="K3785" s="295"/>
      <c r="L3785" s="296">
        <v>18.739999999999998</v>
      </c>
      <c r="M3785" s="296">
        <v>18.739999999999998</v>
      </c>
      <c r="N3785" s="297">
        <v>10138</v>
      </c>
      <c r="O3785" s="298">
        <v>0.15</v>
      </c>
      <c r="P3785" s="298"/>
      <c r="Q3785" s="297">
        <v>0</v>
      </c>
      <c r="R3785" s="291" t="s">
        <v>2296</v>
      </c>
      <c r="S3785" s="299" t="s">
        <v>113</v>
      </c>
      <c r="T3785" s="308">
        <v>40</v>
      </c>
      <c r="U3785" s="300" t="s">
        <v>164</v>
      </c>
      <c r="V3785" s="333"/>
      <c r="X3785" s="297">
        <v>0</v>
      </c>
      <c r="Y3785" s="297"/>
      <c r="AH3785" s="311">
        <f>X3785</f>
        <v>0</v>
      </c>
      <c r="AI3785" s="311"/>
      <c r="AJ3785" s="468"/>
    </row>
    <row r="3786" spans="1:37" s="379" customFormat="1" ht="11.25" customHeight="1">
      <c r="B3786" s="379" t="s">
        <v>291</v>
      </c>
      <c r="C3786" s="381">
        <v>44760</v>
      </c>
      <c r="D3786" s="381">
        <v>44764</v>
      </c>
      <c r="E3786" s="382" t="s">
        <v>2898</v>
      </c>
      <c r="F3786" s="379" t="s">
        <v>195</v>
      </c>
      <c r="G3786" s="383" t="s">
        <v>196</v>
      </c>
      <c r="H3786" s="379" t="s">
        <v>1141</v>
      </c>
      <c r="I3786" s="384" t="s">
        <v>888</v>
      </c>
      <c r="J3786" s="385">
        <v>4994.5</v>
      </c>
      <c r="K3786" s="384"/>
      <c r="L3786" s="385">
        <v>7.36</v>
      </c>
      <c r="M3786" s="385">
        <v>7.36</v>
      </c>
      <c r="N3786" s="386"/>
      <c r="O3786" s="387">
        <v>0.25</v>
      </c>
      <c r="P3786" s="387"/>
      <c r="Q3786" s="386">
        <v>0</v>
      </c>
      <c r="R3786" s="379" t="s">
        <v>73</v>
      </c>
      <c r="S3786" s="388" t="s">
        <v>113</v>
      </c>
      <c r="T3786" s="388">
        <v>31</v>
      </c>
      <c r="U3786" s="389" t="s">
        <v>164</v>
      </c>
      <c r="V3786" s="433"/>
      <c r="X3786" s="386">
        <v>0</v>
      </c>
      <c r="Y3786" s="386"/>
      <c r="AJ3786" s="390">
        <v>0</v>
      </c>
    </row>
    <row r="3787" spans="1:37" s="379" customFormat="1" ht="11.25" customHeight="1">
      <c r="B3787" s="380" t="s">
        <v>291</v>
      </c>
      <c r="C3787" s="381"/>
      <c r="D3787" s="381"/>
      <c r="E3787" s="382" t="s">
        <v>2898</v>
      </c>
      <c r="F3787" s="379" t="s">
        <v>195</v>
      </c>
      <c r="G3787" s="383" t="s">
        <v>196</v>
      </c>
      <c r="H3787" s="379" t="s">
        <v>765</v>
      </c>
      <c r="I3787" s="384" t="s">
        <v>888</v>
      </c>
      <c r="J3787" s="385">
        <v>18722.400000000001</v>
      </c>
      <c r="K3787" s="384"/>
      <c r="L3787" s="385">
        <v>16.14</v>
      </c>
      <c r="M3787" s="385">
        <v>16.14</v>
      </c>
      <c r="N3787" s="386"/>
      <c r="O3787" s="387">
        <v>0.25</v>
      </c>
      <c r="P3787" s="387"/>
      <c r="Q3787" s="386">
        <v>0</v>
      </c>
      <c r="R3787" s="379" t="s">
        <v>73</v>
      </c>
      <c r="S3787" s="388" t="s">
        <v>113</v>
      </c>
      <c r="T3787" s="388">
        <v>31</v>
      </c>
      <c r="U3787" s="389" t="s">
        <v>164</v>
      </c>
      <c r="V3787" s="433"/>
      <c r="X3787" s="386">
        <v>0</v>
      </c>
      <c r="Y3787" s="386"/>
      <c r="AJ3787" s="390">
        <v>0</v>
      </c>
    </row>
    <row r="3788" spans="1:37" s="379" customFormat="1" ht="11.25" customHeight="1">
      <c r="B3788" s="380" t="s">
        <v>291</v>
      </c>
      <c r="C3788" s="381"/>
      <c r="D3788" s="381"/>
      <c r="E3788" s="382" t="s">
        <v>2898</v>
      </c>
      <c r="F3788" s="379" t="s">
        <v>195</v>
      </c>
      <c r="G3788" s="383" t="s">
        <v>196</v>
      </c>
      <c r="H3788" s="379" t="s">
        <v>765</v>
      </c>
      <c r="I3788" s="384" t="s">
        <v>888</v>
      </c>
      <c r="J3788" s="385">
        <v>19267.599999999999</v>
      </c>
      <c r="K3788" s="384"/>
      <c r="L3788" s="385">
        <v>16.61</v>
      </c>
      <c r="M3788" s="385">
        <v>16.61</v>
      </c>
      <c r="N3788" s="386"/>
      <c r="O3788" s="387">
        <v>0.25</v>
      </c>
      <c r="P3788" s="387"/>
      <c r="Q3788" s="386">
        <v>333</v>
      </c>
      <c r="R3788" s="379" t="s">
        <v>73</v>
      </c>
      <c r="S3788" s="388" t="s">
        <v>113</v>
      </c>
      <c r="T3788" s="388">
        <v>31</v>
      </c>
      <c r="U3788" s="389" t="s">
        <v>164</v>
      </c>
      <c r="V3788" s="433">
        <v>333</v>
      </c>
      <c r="X3788" s="386">
        <v>333</v>
      </c>
      <c r="Y3788" s="386"/>
      <c r="AJ3788" s="390">
        <v>333</v>
      </c>
    </row>
    <row r="3789" spans="1:37" s="379" customFormat="1" ht="11.25" customHeight="1">
      <c r="B3789" s="380" t="s">
        <v>291</v>
      </c>
      <c r="C3789" s="381"/>
      <c r="D3789" s="381"/>
      <c r="E3789" s="382" t="s">
        <v>2898</v>
      </c>
      <c r="F3789" s="379" t="s">
        <v>195</v>
      </c>
      <c r="G3789" s="383" t="s">
        <v>196</v>
      </c>
      <c r="H3789" s="379" t="s">
        <v>910</v>
      </c>
      <c r="I3789" s="384" t="s">
        <v>888</v>
      </c>
      <c r="J3789" s="385">
        <v>34404.44</v>
      </c>
      <c r="K3789" s="384"/>
      <c r="L3789" s="385">
        <v>15.61</v>
      </c>
      <c r="M3789" s="385">
        <v>15.61</v>
      </c>
      <c r="N3789" s="386"/>
      <c r="O3789" s="387">
        <v>0.25</v>
      </c>
      <c r="P3789" s="387"/>
      <c r="Q3789" s="386">
        <v>0</v>
      </c>
      <c r="R3789" s="379" t="s">
        <v>73</v>
      </c>
      <c r="S3789" s="388" t="s">
        <v>113</v>
      </c>
      <c r="T3789" s="388">
        <v>31</v>
      </c>
      <c r="U3789" s="389" t="s">
        <v>164</v>
      </c>
      <c r="V3789" s="433"/>
      <c r="X3789" s="386">
        <v>0</v>
      </c>
      <c r="Y3789" s="386"/>
      <c r="AJ3789" s="390">
        <v>0</v>
      </c>
    </row>
    <row r="3790" spans="1:37" s="291" customFormat="1" ht="11.25" customHeight="1">
      <c r="A3790" s="291" t="s">
        <v>3893</v>
      </c>
      <c r="B3790" s="291" t="s">
        <v>291</v>
      </c>
      <c r="C3790" s="292">
        <v>44761</v>
      </c>
      <c r="D3790" s="292">
        <v>44764</v>
      </c>
      <c r="E3790" s="293" t="s">
        <v>2899</v>
      </c>
      <c r="F3790" s="291" t="s">
        <v>500</v>
      </c>
      <c r="G3790" s="294">
        <v>4057</v>
      </c>
      <c r="H3790" s="291" t="s">
        <v>866</v>
      </c>
      <c r="I3790" s="295" t="s">
        <v>888</v>
      </c>
      <c r="J3790" s="296">
        <v>13285.63</v>
      </c>
      <c r="K3790" s="295"/>
      <c r="L3790" s="296">
        <v>12.5</v>
      </c>
      <c r="M3790" s="296">
        <v>7.89</v>
      </c>
      <c r="N3790" s="297">
        <v>5314.25</v>
      </c>
      <c r="O3790" s="298">
        <v>0.25</v>
      </c>
      <c r="P3790" s="298"/>
      <c r="Q3790" s="297">
        <v>165.66</v>
      </c>
      <c r="R3790" s="291" t="s">
        <v>42</v>
      </c>
      <c r="S3790" s="299" t="s">
        <v>41</v>
      </c>
      <c r="T3790" s="299">
        <v>17</v>
      </c>
      <c r="U3790" s="300" t="s">
        <v>164</v>
      </c>
      <c r="V3790" s="333"/>
      <c r="X3790" s="297">
        <v>165.66</v>
      </c>
      <c r="Y3790" s="297"/>
      <c r="AH3790" s="291">
        <f>X3790</f>
        <v>165.66</v>
      </c>
      <c r="AI3790" s="311"/>
      <c r="AJ3790" s="468"/>
    </row>
    <row r="3791" spans="1:37" s="291" customFormat="1" ht="11.25" customHeight="1">
      <c r="A3791" s="291" t="s">
        <v>3893</v>
      </c>
      <c r="B3791" s="291" t="s">
        <v>291</v>
      </c>
      <c r="C3791" s="292"/>
      <c r="D3791" s="292"/>
      <c r="E3791" s="293" t="s">
        <v>2899</v>
      </c>
      <c r="F3791" s="291" t="s">
        <v>500</v>
      </c>
      <c r="G3791" s="294">
        <v>4057</v>
      </c>
      <c r="H3791" s="291" t="s">
        <v>911</v>
      </c>
      <c r="I3791" s="295" t="s">
        <v>2900</v>
      </c>
      <c r="J3791" s="296">
        <v>33669.11</v>
      </c>
      <c r="K3791" s="295"/>
      <c r="L3791" s="296">
        <v>16.920000000000002</v>
      </c>
      <c r="M3791" s="296">
        <v>16.920000000000002</v>
      </c>
      <c r="N3791" s="297">
        <v>8417.277</v>
      </c>
      <c r="O3791" s="298">
        <v>0.25</v>
      </c>
      <c r="P3791" s="298"/>
      <c r="Q3791" s="297">
        <v>16234.32</v>
      </c>
      <c r="R3791" s="291" t="s">
        <v>42</v>
      </c>
      <c r="S3791" s="299" t="s">
        <v>41</v>
      </c>
      <c r="T3791" s="299">
        <v>17</v>
      </c>
      <c r="U3791" s="300" t="s">
        <v>164</v>
      </c>
      <c r="V3791" s="333"/>
      <c r="X3791" s="297">
        <v>16234.32</v>
      </c>
      <c r="Y3791" s="297"/>
      <c r="AH3791" s="297">
        <f>X3791</f>
        <v>16234.32</v>
      </c>
      <c r="AI3791" s="311"/>
      <c r="AJ3791" s="468"/>
    </row>
    <row r="3792" spans="1:37" s="291" customFormat="1" ht="11.25" customHeight="1">
      <c r="A3792" s="291" t="s">
        <v>3893</v>
      </c>
      <c r="B3792" s="291" t="s">
        <v>291</v>
      </c>
      <c r="C3792" s="292"/>
      <c r="D3792" s="292"/>
      <c r="E3792" s="293" t="s">
        <v>2899</v>
      </c>
      <c r="F3792" s="291" t="s">
        <v>500</v>
      </c>
      <c r="G3792" s="294">
        <v>4057</v>
      </c>
      <c r="H3792" s="291" t="s">
        <v>910</v>
      </c>
      <c r="I3792" s="295" t="s">
        <v>2900</v>
      </c>
      <c r="J3792" s="296">
        <v>21367.200000000001</v>
      </c>
      <c r="K3792" s="295"/>
      <c r="L3792" s="296">
        <v>12</v>
      </c>
      <c r="M3792" s="296">
        <v>12</v>
      </c>
      <c r="N3792" s="297">
        <v>5341.8</v>
      </c>
      <c r="O3792" s="298">
        <v>0.25</v>
      </c>
      <c r="P3792" s="298"/>
      <c r="Q3792" s="297">
        <v>2507.34</v>
      </c>
      <c r="R3792" s="291" t="s">
        <v>42</v>
      </c>
      <c r="S3792" s="299" t="s">
        <v>41</v>
      </c>
      <c r="T3792" s="299">
        <v>17</v>
      </c>
      <c r="U3792" s="300" t="s">
        <v>164</v>
      </c>
      <c r="V3792" s="333"/>
      <c r="X3792" s="297">
        <v>2507.34</v>
      </c>
      <c r="Y3792" s="297"/>
      <c r="AH3792" s="297">
        <f>X3792</f>
        <v>2507.34</v>
      </c>
      <c r="AI3792" s="311"/>
      <c r="AJ3792" s="468"/>
    </row>
    <row r="3793" spans="1:77" s="6" customFormat="1" ht="11.25" customHeight="1">
      <c r="A3793" s="379"/>
      <c r="B3793" s="379" t="s">
        <v>291</v>
      </c>
      <c r="C3793" s="381">
        <v>44760</v>
      </c>
      <c r="D3793" s="381">
        <v>44764</v>
      </c>
      <c r="E3793" s="382" t="s">
        <v>2901</v>
      </c>
      <c r="F3793" s="379" t="s">
        <v>2902</v>
      </c>
      <c r="G3793" s="383" t="s">
        <v>2903</v>
      </c>
      <c r="H3793" s="379" t="s">
        <v>898</v>
      </c>
      <c r="I3793" s="384" t="s">
        <v>111</v>
      </c>
      <c r="J3793" s="385">
        <v>5998.5</v>
      </c>
      <c r="K3793" s="384"/>
      <c r="L3793" s="385">
        <v>4.6500000000000004</v>
      </c>
      <c r="M3793" s="385">
        <v>4.6500000000000004</v>
      </c>
      <c r="N3793" s="386">
        <v>1799.55</v>
      </c>
      <c r="O3793" s="387">
        <v>0.25</v>
      </c>
      <c r="P3793" s="387"/>
      <c r="Q3793" s="386">
        <v>916.55</v>
      </c>
      <c r="R3793" s="379" t="s">
        <v>112</v>
      </c>
      <c r="S3793" s="388" t="s">
        <v>113</v>
      </c>
      <c r="T3793" s="388">
        <v>64</v>
      </c>
      <c r="U3793" s="389" t="s">
        <v>164</v>
      </c>
      <c r="V3793" s="433"/>
      <c r="W3793" s="379"/>
      <c r="X3793" s="386">
        <v>916.55</v>
      </c>
      <c r="Y3793" s="386"/>
      <c r="Z3793" s="379"/>
      <c r="AA3793" s="379"/>
      <c r="AB3793" s="379"/>
      <c r="AC3793" s="379"/>
      <c r="AD3793" s="379"/>
      <c r="AE3793" s="379"/>
      <c r="AF3793" s="379"/>
      <c r="AG3793" s="379"/>
      <c r="AH3793" s="379"/>
      <c r="AI3793" s="379"/>
      <c r="AJ3793" s="390">
        <v>916.55</v>
      </c>
      <c r="AK3793" s="379"/>
      <c r="AL3793" s="379"/>
      <c r="AM3793" s="379"/>
      <c r="AN3793" s="379"/>
      <c r="AO3793" s="379"/>
      <c r="AP3793" s="379"/>
      <c r="AQ3793" s="379"/>
      <c r="AR3793" s="379"/>
      <c r="AS3793" s="379"/>
      <c r="AT3793" s="379"/>
      <c r="AU3793" s="379"/>
      <c r="AV3793" s="379"/>
      <c r="AW3793" s="379"/>
      <c r="AX3793" s="379"/>
      <c r="AY3793" s="379"/>
      <c r="AZ3793" s="379"/>
      <c r="BA3793" s="379"/>
      <c r="BB3793" s="379"/>
      <c r="BC3793" s="379"/>
      <c r="BD3793" s="379"/>
      <c r="BE3793" s="379"/>
      <c r="BF3793" s="379"/>
      <c r="BG3793" s="379"/>
      <c r="BH3793" s="379"/>
      <c r="BI3793" s="379"/>
      <c r="BJ3793" s="379"/>
      <c r="BK3793" s="379"/>
      <c r="BL3793" s="379"/>
      <c r="BM3793" s="379"/>
      <c r="BN3793" s="379"/>
      <c r="BO3793" s="379"/>
      <c r="BP3793" s="379"/>
      <c r="BQ3793" s="379"/>
      <c r="BR3793" s="379"/>
      <c r="BS3793" s="379"/>
      <c r="BT3793" s="379"/>
      <c r="BU3793" s="379"/>
      <c r="BV3793" s="379"/>
      <c r="BW3793" s="379"/>
      <c r="BX3793" s="379"/>
      <c r="BY3793" s="379"/>
    </row>
    <row r="3794" spans="1:77" s="337" customFormat="1" ht="11.25" customHeight="1">
      <c r="B3794" s="337" t="s">
        <v>291</v>
      </c>
      <c r="C3794" s="349"/>
      <c r="D3794" s="349"/>
      <c r="E3794" s="350" t="s">
        <v>2901</v>
      </c>
      <c r="F3794" s="337" t="s">
        <v>2902</v>
      </c>
      <c r="G3794" s="351" t="s">
        <v>2903</v>
      </c>
      <c r="H3794" s="337" t="s">
        <v>2171</v>
      </c>
      <c r="I3794" s="353" t="s">
        <v>111</v>
      </c>
      <c r="J3794" s="352">
        <v>5460</v>
      </c>
      <c r="K3794" s="353"/>
      <c r="L3794" s="352">
        <v>4.2</v>
      </c>
      <c r="M3794" s="352">
        <v>4.2</v>
      </c>
      <c r="N3794" s="354">
        <v>546</v>
      </c>
      <c r="O3794" s="355">
        <v>0.25</v>
      </c>
      <c r="P3794" s="355"/>
      <c r="Q3794" s="354">
        <v>0</v>
      </c>
      <c r="R3794" s="337" t="s">
        <v>112</v>
      </c>
      <c r="S3794" s="356" t="s">
        <v>113</v>
      </c>
      <c r="T3794" s="356">
        <v>64</v>
      </c>
      <c r="U3794" s="357" t="s">
        <v>164</v>
      </c>
      <c r="V3794" s="434"/>
      <c r="X3794" s="354">
        <v>0</v>
      </c>
      <c r="Y3794" s="354"/>
      <c r="AI3794" s="337">
        <v>0</v>
      </c>
      <c r="AJ3794" s="358"/>
      <c r="AK3794" s="369"/>
    </row>
    <row r="3795" spans="1:77" s="337" customFormat="1" ht="11.25" customHeight="1">
      <c r="B3795" s="337" t="s">
        <v>291</v>
      </c>
      <c r="C3795" s="349"/>
      <c r="D3795" s="349"/>
      <c r="E3795" s="350" t="s">
        <v>2901</v>
      </c>
      <c r="F3795" s="337" t="s">
        <v>2902</v>
      </c>
      <c r="G3795" s="351" t="s">
        <v>2903</v>
      </c>
      <c r="H3795" s="337" t="s">
        <v>866</v>
      </c>
      <c r="I3795" s="353" t="s">
        <v>111</v>
      </c>
      <c r="J3795" s="352">
        <v>5720</v>
      </c>
      <c r="K3795" s="353"/>
      <c r="L3795" s="352">
        <v>4.4000000000000004</v>
      </c>
      <c r="M3795" s="352">
        <v>4.4000000000000004</v>
      </c>
      <c r="N3795" s="354">
        <v>858</v>
      </c>
      <c r="O3795" s="355">
        <v>0.25</v>
      </c>
      <c r="P3795" s="355"/>
      <c r="Q3795" s="354">
        <v>720.72</v>
      </c>
      <c r="R3795" s="337" t="s">
        <v>112</v>
      </c>
      <c r="S3795" s="356" t="s">
        <v>113</v>
      </c>
      <c r="T3795" s="356">
        <v>64</v>
      </c>
      <c r="U3795" s="357" t="s">
        <v>164</v>
      </c>
      <c r="V3795" s="434"/>
      <c r="X3795" s="354">
        <v>720.72</v>
      </c>
      <c r="Y3795" s="354"/>
      <c r="AI3795" s="354">
        <v>720.72</v>
      </c>
      <c r="AJ3795" s="358"/>
      <c r="AK3795" s="369"/>
    </row>
    <row r="3796" spans="1:77" s="379" customFormat="1" ht="11.25" customHeight="1">
      <c r="B3796" s="379" t="s">
        <v>291</v>
      </c>
      <c r="C3796" s="381">
        <v>44762</v>
      </c>
      <c r="D3796" s="381">
        <v>44764</v>
      </c>
      <c r="E3796" s="382" t="s">
        <v>2904</v>
      </c>
      <c r="F3796" s="379" t="s">
        <v>2905</v>
      </c>
      <c r="G3796" s="383">
        <v>4070</v>
      </c>
      <c r="H3796" s="379" t="s">
        <v>866</v>
      </c>
      <c r="I3796" s="384" t="s">
        <v>2906</v>
      </c>
      <c r="J3796" s="385">
        <v>12945</v>
      </c>
      <c r="K3796" s="384"/>
      <c r="L3796" s="385">
        <v>10</v>
      </c>
      <c r="M3796" s="385">
        <v>10</v>
      </c>
      <c r="N3796" s="386">
        <v>2459.5500000000002</v>
      </c>
      <c r="O3796" s="387">
        <v>0.15</v>
      </c>
      <c r="P3796" s="387">
        <v>0.1</v>
      </c>
      <c r="Q3796" s="386">
        <v>0</v>
      </c>
      <c r="R3796" s="379" t="s">
        <v>29</v>
      </c>
      <c r="S3796" s="388" t="s">
        <v>30</v>
      </c>
      <c r="T3796" s="388">
        <v>90</v>
      </c>
      <c r="U3796" s="389" t="s">
        <v>164</v>
      </c>
      <c r="V3796" s="433"/>
      <c r="X3796" s="386">
        <v>0</v>
      </c>
      <c r="Y3796" s="386"/>
      <c r="AJ3796" s="390">
        <v>0</v>
      </c>
    </row>
    <row r="3797" spans="1:77" s="546" customFormat="1" ht="11.25" customHeight="1">
      <c r="B3797" s="546" t="s">
        <v>291</v>
      </c>
      <c r="C3797" s="547">
        <v>44764</v>
      </c>
      <c r="D3797" s="547">
        <v>44764</v>
      </c>
      <c r="E3797" s="548" t="s">
        <v>2907</v>
      </c>
      <c r="F3797" s="546" t="s">
        <v>2908</v>
      </c>
      <c r="G3797" s="549" t="s">
        <v>2909</v>
      </c>
      <c r="H3797" s="546" t="s">
        <v>898</v>
      </c>
      <c r="I3797" s="551" t="s">
        <v>33</v>
      </c>
      <c r="J3797" s="550">
        <v>15556.62</v>
      </c>
      <c r="K3797" s="551"/>
      <c r="L3797" s="550">
        <v>15.83</v>
      </c>
      <c r="M3797" s="550">
        <v>15.83</v>
      </c>
      <c r="N3797" s="552"/>
      <c r="O3797" s="553">
        <v>0.25</v>
      </c>
      <c r="P3797" s="553"/>
      <c r="Q3797" s="552">
        <v>5959.64</v>
      </c>
      <c r="R3797" s="546" t="s">
        <v>285</v>
      </c>
      <c r="S3797" s="554" t="s">
        <v>275</v>
      </c>
      <c r="T3797" s="554">
        <v>21</v>
      </c>
      <c r="U3797" s="555" t="s">
        <v>164</v>
      </c>
      <c r="V3797" s="556"/>
      <c r="X3797" s="552">
        <v>5959.64</v>
      </c>
      <c r="Y3797" s="552"/>
      <c r="AJ3797" s="557"/>
      <c r="AM3797" s="577">
        <v>5959.64</v>
      </c>
    </row>
    <row r="3798" spans="1:77" s="379" customFormat="1" ht="11.25" customHeight="1">
      <c r="B3798" s="380" t="s">
        <v>291</v>
      </c>
      <c r="C3798" s="381">
        <v>44762</v>
      </c>
      <c r="D3798" s="381">
        <v>44764</v>
      </c>
      <c r="E3798" s="382" t="s">
        <v>2910</v>
      </c>
      <c r="F3798" s="379" t="s">
        <v>60</v>
      </c>
      <c r="G3798" s="404">
        <v>3605</v>
      </c>
      <c r="H3798" s="379" t="s">
        <v>910</v>
      </c>
      <c r="I3798" s="384" t="s">
        <v>1487</v>
      </c>
      <c r="J3798" s="385">
        <v>158590.88</v>
      </c>
      <c r="K3798" s="384"/>
      <c r="L3798" s="385">
        <v>63.64</v>
      </c>
      <c r="M3798" s="385">
        <v>63.64</v>
      </c>
      <c r="N3798" s="386"/>
      <c r="O3798" s="387">
        <v>0.15</v>
      </c>
      <c r="P3798" s="387"/>
      <c r="Q3798" s="386">
        <v>43160.65</v>
      </c>
      <c r="R3798" s="379" t="s">
        <v>69</v>
      </c>
      <c r="S3798" s="388" t="s">
        <v>41</v>
      </c>
      <c r="T3798" s="388">
        <v>79</v>
      </c>
      <c r="U3798" s="389" t="s">
        <v>164</v>
      </c>
      <c r="V3798" s="433"/>
      <c r="X3798" s="386">
        <v>43160.65</v>
      </c>
      <c r="Y3798" s="386"/>
      <c r="AI3798" s="380"/>
      <c r="AJ3798" s="416">
        <v>43160.65</v>
      </c>
    </row>
    <row r="3799" spans="1:77" s="6" customFormat="1" ht="11.25" customHeight="1">
      <c r="A3799" s="379"/>
      <c r="B3799" s="406" t="s">
        <v>291</v>
      </c>
      <c r="C3799" s="381">
        <v>44760</v>
      </c>
      <c r="D3799" s="381">
        <v>44764</v>
      </c>
      <c r="E3799" s="382" t="s">
        <v>2911</v>
      </c>
      <c r="F3799" s="379" t="s">
        <v>744</v>
      </c>
      <c r="G3799" s="383" t="s">
        <v>745</v>
      </c>
      <c r="H3799" s="379" t="s">
        <v>1138</v>
      </c>
      <c r="I3799" s="384" t="s">
        <v>888</v>
      </c>
      <c r="J3799" s="385">
        <v>19577.099999999999</v>
      </c>
      <c r="K3799" s="384"/>
      <c r="L3799" s="385">
        <v>6.92</v>
      </c>
      <c r="M3799" s="385">
        <v>6.92</v>
      </c>
      <c r="N3799" s="386"/>
      <c r="O3799" s="387">
        <v>0.2</v>
      </c>
      <c r="P3799" s="387"/>
      <c r="Q3799" s="386">
        <v>0</v>
      </c>
      <c r="R3799" s="379" t="s">
        <v>146</v>
      </c>
      <c r="S3799" s="388" t="s">
        <v>74</v>
      </c>
      <c r="T3799" s="388">
        <v>65</v>
      </c>
      <c r="U3799" s="389" t="s">
        <v>164</v>
      </c>
      <c r="V3799" s="433"/>
      <c r="W3799" s="379"/>
      <c r="X3799" s="386">
        <v>0</v>
      </c>
      <c r="Y3799" s="386"/>
      <c r="Z3799" s="379"/>
      <c r="AA3799" s="379"/>
      <c r="AB3799" s="379"/>
      <c r="AC3799" s="379"/>
      <c r="AD3799" s="379"/>
      <c r="AE3799" s="379"/>
      <c r="AF3799" s="379"/>
      <c r="AG3799" s="379"/>
      <c r="AH3799" s="379"/>
      <c r="AI3799" s="379"/>
      <c r="AJ3799" s="390">
        <v>0</v>
      </c>
      <c r="AK3799" s="379"/>
      <c r="AL3799" s="379"/>
      <c r="AM3799" s="379"/>
      <c r="AN3799" s="379"/>
      <c r="AO3799" s="379"/>
      <c r="AP3799" s="379"/>
      <c r="AQ3799" s="379"/>
      <c r="AR3799" s="379"/>
      <c r="AS3799" s="379"/>
      <c r="AT3799" s="379"/>
      <c r="AU3799" s="379"/>
      <c r="AV3799" s="379"/>
      <c r="AW3799" s="379"/>
      <c r="AX3799" s="379"/>
      <c r="AY3799" s="379"/>
      <c r="AZ3799" s="379"/>
      <c r="BA3799" s="379"/>
      <c r="BB3799" s="379"/>
      <c r="BC3799" s="379"/>
      <c r="BD3799" s="379"/>
      <c r="BE3799" s="379"/>
      <c r="BF3799" s="379"/>
      <c r="BG3799" s="379"/>
      <c r="BH3799" s="379"/>
      <c r="BI3799" s="379"/>
      <c r="BJ3799" s="379"/>
      <c r="BK3799" s="379"/>
      <c r="BL3799" s="379"/>
      <c r="BM3799" s="379"/>
      <c r="BN3799" s="379"/>
      <c r="BO3799" s="379"/>
      <c r="BP3799" s="379"/>
      <c r="BQ3799" s="379"/>
      <c r="BR3799" s="379"/>
      <c r="BS3799" s="379"/>
      <c r="BT3799" s="379"/>
      <c r="BU3799" s="379"/>
      <c r="BV3799" s="379"/>
      <c r="BW3799" s="379"/>
      <c r="BX3799" s="379"/>
      <c r="BY3799" s="379"/>
    </row>
    <row r="3800" spans="1:77" s="6" customFormat="1" ht="11.25" customHeight="1">
      <c r="A3800" s="379"/>
      <c r="B3800" s="406" t="s">
        <v>291</v>
      </c>
      <c r="C3800" s="381"/>
      <c r="D3800" s="381"/>
      <c r="E3800" s="382" t="s">
        <v>2911</v>
      </c>
      <c r="F3800" s="379" t="s">
        <v>744</v>
      </c>
      <c r="G3800" s="383" t="s">
        <v>745</v>
      </c>
      <c r="H3800" s="379" t="s">
        <v>1018</v>
      </c>
      <c r="I3800" s="384" t="s">
        <v>888</v>
      </c>
      <c r="J3800" s="385">
        <v>8568</v>
      </c>
      <c r="K3800" s="384"/>
      <c r="L3800" s="385">
        <v>7.14</v>
      </c>
      <c r="M3800" s="385">
        <v>7.14</v>
      </c>
      <c r="N3800" s="386"/>
      <c r="O3800" s="387">
        <v>0.2</v>
      </c>
      <c r="P3800" s="387"/>
      <c r="Q3800" s="386">
        <v>0</v>
      </c>
      <c r="R3800" s="379" t="s">
        <v>146</v>
      </c>
      <c r="S3800" s="388" t="s">
        <v>74</v>
      </c>
      <c r="T3800" s="388">
        <v>65</v>
      </c>
      <c r="U3800" s="389" t="s">
        <v>164</v>
      </c>
      <c r="V3800" s="433"/>
      <c r="W3800" s="379"/>
      <c r="X3800" s="386">
        <v>0</v>
      </c>
      <c r="Y3800" s="386"/>
      <c r="Z3800" s="379"/>
      <c r="AA3800" s="379"/>
      <c r="AB3800" s="379"/>
      <c r="AC3800" s="379"/>
      <c r="AD3800" s="379"/>
      <c r="AE3800" s="379"/>
      <c r="AF3800" s="379"/>
      <c r="AG3800" s="379"/>
      <c r="AH3800" s="379"/>
      <c r="AI3800" s="379"/>
      <c r="AJ3800" s="390">
        <v>0</v>
      </c>
      <c r="AK3800" s="379"/>
      <c r="AL3800" s="379"/>
      <c r="AM3800" s="379"/>
      <c r="AN3800" s="379"/>
      <c r="AO3800" s="379"/>
      <c r="AP3800" s="379"/>
      <c r="AQ3800" s="379"/>
      <c r="AR3800" s="379"/>
      <c r="AS3800" s="379"/>
      <c r="AT3800" s="379"/>
      <c r="AU3800" s="379"/>
      <c r="AV3800" s="379"/>
      <c r="AW3800" s="379"/>
      <c r="AX3800" s="379"/>
      <c r="AY3800" s="379"/>
      <c r="AZ3800" s="379"/>
      <c r="BA3800" s="379"/>
      <c r="BB3800" s="379"/>
      <c r="BC3800" s="379"/>
      <c r="BD3800" s="379"/>
      <c r="BE3800" s="379"/>
      <c r="BF3800" s="379"/>
      <c r="BG3800" s="379"/>
      <c r="BH3800" s="379"/>
      <c r="BI3800" s="379"/>
      <c r="BJ3800" s="379"/>
      <c r="BK3800" s="379"/>
      <c r="BL3800" s="379"/>
      <c r="BM3800" s="379"/>
      <c r="BN3800" s="379"/>
      <c r="BO3800" s="379"/>
      <c r="BP3800" s="379"/>
      <c r="BQ3800" s="379"/>
      <c r="BR3800" s="379"/>
      <c r="BS3800" s="379"/>
      <c r="BT3800" s="379"/>
      <c r="BU3800" s="379"/>
      <c r="BV3800" s="379"/>
      <c r="BW3800" s="379"/>
      <c r="BX3800" s="379"/>
      <c r="BY3800" s="379"/>
    </row>
    <row r="3801" spans="1:77" s="473" customFormat="1" ht="11.25" customHeight="1">
      <c r="B3801" s="486" t="s">
        <v>291</v>
      </c>
      <c r="C3801" s="487">
        <v>44763</v>
      </c>
      <c r="D3801" s="487">
        <v>44764</v>
      </c>
      <c r="E3801" s="488" t="s">
        <v>2912</v>
      </c>
      <c r="F3801" s="472" t="s">
        <v>2249</v>
      </c>
      <c r="G3801" s="476">
        <v>3727</v>
      </c>
      <c r="H3801" s="473" t="s">
        <v>866</v>
      </c>
      <c r="I3801" s="491" t="s">
        <v>888</v>
      </c>
      <c r="J3801" s="490">
        <v>17253.84</v>
      </c>
      <c r="K3801" s="491"/>
      <c r="L3801" s="490">
        <v>21.46</v>
      </c>
      <c r="M3801" s="490">
        <v>21.46</v>
      </c>
      <c r="N3801" s="492"/>
      <c r="O3801" s="493">
        <v>0.3</v>
      </c>
      <c r="P3801" s="493"/>
      <c r="Q3801" s="492">
        <v>746.81</v>
      </c>
      <c r="R3801" s="472" t="s">
        <v>35</v>
      </c>
      <c r="S3801" s="482" t="s">
        <v>41</v>
      </c>
      <c r="T3801" s="482">
        <v>16</v>
      </c>
      <c r="U3801" s="494" t="s">
        <v>164</v>
      </c>
      <c r="V3801" s="495"/>
      <c r="X3801" s="492">
        <v>746.81</v>
      </c>
      <c r="Y3801" s="492"/>
      <c r="AJ3801" s="485"/>
      <c r="AK3801" s="505">
        <v>746.81</v>
      </c>
    </row>
    <row r="3802" spans="1:77" s="473" customFormat="1" ht="11.25" customHeight="1">
      <c r="B3802" s="486" t="s">
        <v>291</v>
      </c>
      <c r="C3802" s="487"/>
      <c r="D3802" s="487"/>
      <c r="E3802" s="488" t="s">
        <v>2912</v>
      </c>
      <c r="F3802" s="472" t="s">
        <v>2249</v>
      </c>
      <c r="G3802" s="476">
        <v>3727</v>
      </c>
      <c r="H3802" s="473" t="s">
        <v>898</v>
      </c>
      <c r="I3802" s="491" t="s">
        <v>888</v>
      </c>
      <c r="J3802" s="490">
        <v>65158.94</v>
      </c>
      <c r="K3802" s="491"/>
      <c r="L3802" s="490">
        <v>55.14</v>
      </c>
      <c r="M3802" s="490">
        <v>55.14</v>
      </c>
      <c r="N3802" s="492"/>
      <c r="O3802" s="493">
        <v>0.3</v>
      </c>
      <c r="P3802" s="493"/>
      <c r="Q3802" s="492">
        <v>4065.47</v>
      </c>
      <c r="R3802" s="472" t="s">
        <v>35</v>
      </c>
      <c r="S3802" s="482" t="s">
        <v>41</v>
      </c>
      <c r="T3802" s="482">
        <v>16</v>
      </c>
      <c r="U3802" s="494" t="s">
        <v>164</v>
      </c>
      <c r="V3802" s="495"/>
      <c r="X3802" s="492">
        <v>4065.47</v>
      </c>
      <c r="Y3802" s="492"/>
      <c r="AJ3802" s="485"/>
      <c r="AK3802" s="505">
        <v>4065.47</v>
      </c>
    </row>
    <row r="3803" spans="1:77" s="337" customFormat="1" ht="11.25" customHeight="1">
      <c r="B3803" s="338" t="s">
        <v>291</v>
      </c>
      <c r="C3803" s="349"/>
      <c r="D3803" s="349"/>
      <c r="E3803" s="350" t="s">
        <v>2914</v>
      </c>
      <c r="F3803" s="337" t="s">
        <v>650</v>
      </c>
      <c r="G3803" s="342">
        <v>3819</v>
      </c>
      <c r="H3803" s="337" t="s">
        <v>910</v>
      </c>
      <c r="I3803" s="353" t="s">
        <v>1195</v>
      </c>
      <c r="J3803" s="352">
        <v>104114.82</v>
      </c>
      <c r="K3803" s="353"/>
      <c r="L3803" s="352">
        <v>46.49</v>
      </c>
      <c r="M3803" s="352">
        <v>46.48</v>
      </c>
      <c r="N3803" s="354">
        <v>10411.4</v>
      </c>
      <c r="O3803" s="355">
        <v>0.15</v>
      </c>
      <c r="P3803" s="355"/>
      <c r="Q3803" s="354">
        <v>0</v>
      </c>
      <c r="R3803" s="337" t="s">
        <v>112</v>
      </c>
      <c r="S3803" s="356" t="s">
        <v>113</v>
      </c>
      <c r="T3803" s="356">
        <v>64</v>
      </c>
      <c r="U3803" s="357" t="s">
        <v>164</v>
      </c>
      <c r="V3803" s="434"/>
      <c r="X3803" s="354">
        <v>0</v>
      </c>
      <c r="Y3803" s="354"/>
      <c r="AI3803" s="337">
        <v>0</v>
      </c>
      <c r="AJ3803" s="358"/>
      <c r="AK3803" s="369"/>
    </row>
    <row r="3804" spans="1:77" s="291" customFormat="1" ht="11.25" customHeight="1">
      <c r="B3804" s="310" t="s">
        <v>291</v>
      </c>
      <c r="C3804" s="292">
        <v>44760</v>
      </c>
      <c r="D3804" s="292">
        <v>44764</v>
      </c>
      <c r="E3804" s="293" t="s">
        <v>2914</v>
      </c>
      <c r="F3804" s="291" t="s">
        <v>650</v>
      </c>
      <c r="G3804" s="304">
        <v>3819</v>
      </c>
      <c r="H3804" s="291" t="s">
        <v>2267</v>
      </c>
      <c r="I3804" s="295" t="s">
        <v>1195</v>
      </c>
      <c r="J3804" s="296">
        <v>23474.77</v>
      </c>
      <c r="K3804" s="295"/>
      <c r="L3804" s="296">
        <v>11.4</v>
      </c>
      <c r="M3804" s="296">
        <v>11.39</v>
      </c>
      <c r="N3804" s="297">
        <v>3521.2</v>
      </c>
      <c r="O3804" s="298">
        <v>0.15</v>
      </c>
      <c r="P3804" s="298"/>
      <c r="Q3804" s="297">
        <v>0</v>
      </c>
      <c r="R3804" s="291" t="s">
        <v>112</v>
      </c>
      <c r="S3804" s="299" t="s">
        <v>113</v>
      </c>
      <c r="T3804" s="299">
        <v>64</v>
      </c>
      <c r="U3804" s="300" t="s">
        <v>164</v>
      </c>
      <c r="V3804" s="333"/>
      <c r="X3804" s="297">
        <v>0</v>
      </c>
      <c r="Y3804" s="297"/>
      <c r="AH3804" s="291">
        <f>X3804</f>
        <v>0</v>
      </c>
      <c r="AI3804" s="311"/>
      <c r="AJ3804" s="468"/>
    </row>
    <row r="3805" spans="1:77" s="291" customFormat="1" ht="11.25" customHeight="1">
      <c r="B3805" s="310" t="s">
        <v>291</v>
      </c>
      <c r="C3805" s="292"/>
      <c r="D3805" s="292"/>
      <c r="E3805" s="293" t="s">
        <v>2914</v>
      </c>
      <c r="F3805" s="291" t="s">
        <v>650</v>
      </c>
      <c r="G3805" s="304">
        <v>3819</v>
      </c>
      <c r="H3805" s="291" t="s">
        <v>2171</v>
      </c>
      <c r="I3805" s="295" t="s">
        <v>958</v>
      </c>
      <c r="J3805" s="296">
        <v>94773.29</v>
      </c>
      <c r="K3805" s="295"/>
      <c r="L3805" s="296">
        <v>59.4</v>
      </c>
      <c r="M3805" s="296">
        <v>59.38</v>
      </c>
      <c r="N3805" s="297">
        <f>5831.5+58177</f>
        <v>64008.5</v>
      </c>
      <c r="O3805" s="298">
        <v>0.15</v>
      </c>
      <c r="P3805" s="298"/>
      <c r="Q3805" s="297">
        <v>0</v>
      </c>
      <c r="R3805" s="291" t="s">
        <v>112</v>
      </c>
      <c r="S3805" s="299" t="s">
        <v>113</v>
      </c>
      <c r="T3805" s="299">
        <v>64</v>
      </c>
      <c r="U3805" s="300" t="s">
        <v>164</v>
      </c>
      <c r="V3805" s="333"/>
      <c r="X3805" s="297">
        <v>0</v>
      </c>
      <c r="Y3805" s="297"/>
      <c r="AH3805" s="291">
        <f>X3805</f>
        <v>0</v>
      </c>
      <c r="AI3805" s="311"/>
      <c r="AJ3805" s="468"/>
    </row>
    <row r="3806" spans="1:77" s="291" customFormat="1" ht="11.25" customHeight="1">
      <c r="B3806" s="310" t="s">
        <v>291</v>
      </c>
      <c r="C3806" s="292"/>
      <c r="D3806" s="292"/>
      <c r="E3806" s="293" t="s">
        <v>2914</v>
      </c>
      <c r="F3806" s="291" t="s">
        <v>650</v>
      </c>
      <c r="G3806" s="304">
        <v>3819</v>
      </c>
      <c r="H3806" s="291" t="s">
        <v>866</v>
      </c>
      <c r="I3806" s="295" t="s">
        <v>958</v>
      </c>
      <c r="J3806" s="296">
        <v>57920.59</v>
      </c>
      <c r="K3806" s="295"/>
      <c r="L3806" s="296">
        <v>36.119999999999997</v>
      </c>
      <c r="M3806" s="296">
        <v>36.11</v>
      </c>
      <c r="N3806" s="297">
        <v>40544.400000000001</v>
      </c>
      <c r="O3806" s="298">
        <v>0.15</v>
      </c>
      <c r="P3806" s="298"/>
      <c r="Q3806" s="297">
        <v>0</v>
      </c>
      <c r="R3806" s="291" t="s">
        <v>112</v>
      </c>
      <c r="S3806" s="299" t="s">
        <v>113</v>
      </c>
      <c r="T3806" s="299">
        <v>64</v>
      </c>
      <c r="U3806" s="300" t="s">
        <v>164</v>
      </c>
      <c r="V3806" s="333"/>
      <c r="X3806" s="297">
        <v>0</v>
      </c>
      <c r="Y3806" s="297"/>
      <c r="AH3806" s="311">
        <f>X3806</f>
        <v>0</v>
      </c>
      <c r="AI3806" s="311"/>
      <c r="AJ3806" s="468"/>
    </row>
    <row r="3807" spans="1:77" s="379" customFormat="1" ht="11.25" customHeight="1">
      <c r="B3807" s="380" t="s">
        <v>291</v>
      </c>
      <c r="C3807" s="381">
        <v>44764</v>
      </c>
      <c r="D3807" s="381">
        <v>44764</v>
      </c>
      <c r="E3807" s="382" t="s">
        <v>2915</v>
      </c>
      <c r="F3807" s="402" t="s">
        <v>2916</v>
      </c>
      <c r="G3807" s="383" t="s">
        <v>2917</v>
      </c>
      <c r="H3807" s="379" t="s">
        <v>866</v>
      </c>
      <c r="I3807" s="384" t="s">
        <v>888</v>
      </c>
      <c r="J3807" s="385">
        <v>15066.81</v>
      </c>
      <c r="K3807" s="384"/>
      <c r="L3807" s="385">
        <v>8.01</v>
      </c>
      <c r="M3807" s="385">
        <v>8.01</v>
      </c>
      <c r="N3807" s="386">
        <v>9547.9599999999991</v>
      </c>
      <c r="O3807" s="387">
        <v>0.2</v>
      </c>
      <c r="P3807" s="387"/>
      <c r="Q3807" s="386">
        <v>5022.2700000000004</v>
      </c>
      <c r="R3807" s="379" t="s">
        <v>112</v>
      </c>
      <c r="S3807" s="388" t="s">
        <v>113</v>
      </c>
      <c r="T3807" s="388">
        <v>40</v>
      </c>
      <c r="U3807" s="389" t="s">
        <v>164</v>
      </c>
      <c r="V3807" s="433"/>
      <c r="X3807" s="386">
        <v>5022.2700000000004</v>
      </c>
      <c r="Y3807" s="386"/>
      <c r="AJ3807" s="416">
        <v>5022.2700000000004</v>
      </c>
    </row>
    <row r="3808" spans="1:77" s="473" customFormat="1" ht="11.25" customHeight="1">
      <c r="B3808" s="486" t="s">
        <v>291</v>
      </c>
      <c r="C3808" s="487">
        <v>44761</v>
      </c>
      <c r="D3808" s="487">
        <v>44764</v>
      </c>
      <c r="E3808" s="488" t="s">
        <v>2918</v>
      </c>
      <c r="F3808" s="473" t="s">
        <v>459</v>
      </c>
      <c r="G3808" s="489">
        <v>4189</v>
      </c>
      <c r="H3808" s="473" t="s">
        <v>910</v>
      </c>
      <c r="I3808" s="473" t="s">
        <v>1211</v>
      </c>
      <c r="J3808" s="490">
        <v>146616.99</v>
      </c>
      <c r="K3808" s="491"/>
      <c r="L3808" s="490">
        <v>68.98</v>
      </c>
      <c r="M3808" s="490">
        <v>68.8</v>
      </c>
      <c r="N3808" s="492">
        <v>43870.32</v>
      </c>
      <c r="O3808" s="493">
        <v>0.3</v>
      </c>
      <c r="P3808" s="493"/>
      <c r="Q3808" s="492">
        <v>0</v>
      </c>
      <c r="R3808" s="473" t="s">
        <v>42</v>
      </c>
      <c r="S3808" s="481" t="s">
        <v>41</v>
      </c>
      <c r="T3808" s="481">
        <v>17</v>
      </c>
      <c r="U3808" s="494" t="s">
        <v>164</v>
      </c>
      <c r="V3808" s="495"/>
      <c r="X3808" s="492">
        <v>0</v>
      </c>
      <c r="Y3808" s="492"/>
      <c r="AJ3808" s="485"/>
      <c r="AK3808" s="473">
        <v>0</v>
      </c>
    </row>
    <row r="3809" spans="1:77" s="473" customFormat="1" ht="11.25" customHeight="1">
      <c r="B3809" s="486" t="s">
        <v>291</v>
      </c>
      <c r="C3809" s="487"/>
      <c r="D3809" s="487"/>
      <c r="E3809" s="488" t="s">
        <v>2918</v>
      </c>
      <c r="F3809" s="473" t="s">
        <v>459</v>
      </c>
      <c r="G3809" s="489">
        <v>4189</v>
      </c>
      <c r="H3809" s="473" t="s">
        <v>866</v>
      </c>
      <c r="I3809" s="473" t="s">
        <v>1211</v>
      </c>
      <c r="J3809" s="490">
        <v>68764.5</v>
      </c>
      <c r="K3809" s="491"/>
      <c r="L3809" s="490">
        <v>51.8</v>
      </c>
      <c r="M3809" s="490">
        <v>51.8</v>
      </c>
      <c r="N3809" s="492">
        <v>30944.025000000001</v>
      </c>
      <c r="O3809" s="493">
        <v>0.3</v>
      </c>
      <c r="P3809" s="493"/>
      <c r="Q3809" s="492">
        <v>7886.55</v>
      </c>
      <c r="R3809" s="473" t="s">
        <v>42</v>
      </c>
      <c r="S3809" s="481" t="s">
        <v>41</v>
      </c>
      <c r="T3809" s="481">
        <v>17</v>
      </c>
      <c r="U3809" s="494" t="s">
        <v>164</v>
      </c>
      <c r="V3809" s="495"/>
      <c r="X3809" s="492">
        <v>7886.55</v>
      </c>
      <c r="Y3809" s="492"/>
      <c r="AJ3809" s="485"/>
      <c r="AK3809" s="505">
        <v>7886.55</v>
      </c>
    </row>
    <row r="3810" spans="1:77" s="205" customFormat="1" ht="11.25" customHeight="1">
      <c r="B3810" s="205" t="s">
        <v>291</v>
      </c>
      <c r="C3810" s="207">
        <v>44760</v>
      </c>
      <c r="D3810" s="207">
        <v>44765</v>
      </c>
      <c r="E3810" s="208" t="s">
        <v>2919</v>
      </c>
      <c r="F3810" s="205" t="s">
        <v>297</v>
      </c>
      <c r="G3810" s="209" t="s">
        <v>299</v>
      </c>
      <c r="H3810" s="205" t="s">
        <v>866</v>
      </c>
      <c r="I3810" s="219" t="s">
        <v>1426</v>
      </c>
      <c r="J3810" s="210">
        <v>16907.599999999999</v>
      </c>
      <c r="K3810" s="219"/>
      <c r="L3810" s="210">
        <v>10.75</v>
      </c>
      <c r="M3810" s="210">
        <v>5</v>
      </c>
      <c r="N3810" s="213"/>
      <c r="O3810" s="212">
        <v>0.2</v>
      </c>
      <c r="P3810" s="212"/>
      <c r="Q3810" s="213">
        <v>0</v>
      </c>
      <c r="R3810" s="205" t="s">
        <v>112</v>
      </c>
      <c r="S3810" s="214" t="s">
        <v>113</v>
      </c>
      <c r="T3810" s="214">
        <v>64</v>
      </c>
      <c r="U3810" s="215" t="s">
        <v>164</v>
      </c>
      <c r="V3810" s="438"/>
      <c r="W3810" s="205" t="s">
        <v>3256</v>
      </c>
      <c r="X3810" s="213">
        <v>0</v>
      </c>
      <c r="Y3810" s="213"/>
      <c r="AF3810" s="230">
        <f>X3810</f>
        <v>0</v>
      </c>
      <c r="AJ3810" s="216"/>
    </row>
    <row r="3811" spans="1:77" s="337" customFormat="1" ht="11.25" customHeight="1">
      <c r="B3811" s="338" t="s">
        <v>291</v>
      </c>
      <c r="C3811" s="349">
        <v>44766</v>
      </c>
      <c r="D3811" s="349">
        <v>44766</v>
      </c>
      <c r="E3811" s="350" t="s">
        <v>2920</v>
      </c>
      <c r="F3811" s="337" t="s">
        <v>617</v>
      </c>
      <c r="G3811" s="351">
        <v>4532</v>
      </c>
      <c r="H3811" s="337" t="s">
        <v>765</v>
      </c>
      <c r="I3811" s="353" t="s">
        <v>958</v>
      </c>
      <c r="J3811" s="352">
        <v>52137.72</v>
      </c>
      <c r="K3811" s="353"/>
      <c r="L3811" s="352">
        <v>49.49</v>
      </c>
      <c r="M3811" s="352">
        <v>49.4</v>
      </c>
      <c r="N3811" s="354"/>
      <c r="O3811" s="355">
        <v>0.25</v>
      </c>
      <c r="P3811" s="355"/>
      <c r="Q3811" s="354">
        <v>0</v>
      </c>
      <c r="R3811" s="337" t="s">
        <v>257</v>
      </c>
      <c r="S3811" s="356" t="s">
        <v>74</v>
      </c>
      <c r="T3811" s="356">
        <v>32</v>
      </c>
      <c r="U3811" s="357" t="s">
        <v>164</v>
      </c>
      <c r="V3811" s="434"/>
      <c r="X3811" s="354">
        <v>0</v>
      </c>
      <c r="Y3811" s="354"/>
      <c r="AI3811" s="337">
        <f>X3811</f>
        <v>0</v>
      </c>
      <c r="AJ3811" s="358"/>
      <c r="AK3811" s="369"/>
    </row>
    <row r="3812" spans="1:77" s="291" customFormat="1" ht="11.25" customHeight="1">
      <c r="B3812" s="310" t="s">
        <v>291</v>
      </c>
      <c r="C3812" s="292">
        <v>44765</v>
      </c>
      <c r="D3812" s="292">
        <v>44766</v>
      </c>
      <c r="E3812" s="293" t="s">
        <v>2927</v>
      </c>
      <c r="F3812" s="291" t="s">
        <v>1005</v>
      </c>
      <c r="G3812" s="294" t="s">
        <v>1006</v>
      </c>
      <c r="H3812" s="291" t="s">
        <v>866</v>
      </c>
      <c r="I3812" s="295" t="s">
        <v>1296</v>
      </c>
      <c r="J3812" s="296">
        <v>76692.56</v>
      </c>
      <c r="K3812" s="295"/>
      <c r="L3812" s="296">
        <v>38.11</v>
      </c>
      <c r="M3812" s="296">
        <v>38.11</v>
      </c>
      <c r="N3812" s="297"/>
      <c r="O3812" s="298">
        <v>0.2</v>
      </c>
      <c r="P3812" s="298"/>
      <c r="Q3812" s="297">
        <v>0</v>
      </c>
      <c r="R3812" s="291" t="s">
        <v>1007</v>
      </c>
      <c r="S3812" s="299" t="s">
        <v>113</v>
      </c>
      <c r="T3812" s="299">
        <v>40</v>
      </c>
      <c r="U3812" s="300" t="s">
        <v>164</v>
      </c>
      <c r="V3812" s="333"/>
      <c r="W3812" s="291" t="s">
        <v>3904</v>
      </c>
      <c r="X3812" s="297">
        <v>0</v>
      </c>
      <c r="Y3812" s="297"/>
      <c r="AH3812" s="291">
        <f>X3812</f>
        <v>0</v>
      </c>
      <c r="AI3812" s="311"/>
      <c r="AJ3812" s="468"/>
    </row>
    <row r="3813" spans="1:77" s="291" customFormat="1" ht="11.25" customHeight="1">
      <c r="B3813" s="310" t="s">
        <v>291</v>
      </c>
      <c r="C3813" s="292"/>
      <c r="D3813" s="292"/>
      <c r="E3813" s="293" t="s">
        <v>2927</v>
      </c>
      <c r="F3813" s="291" t="s">
        <v>1005</v>
      </c>
      <c r="G3813" s="294" t="s">
        <v>1006</v>
      </c>
      <c r="H3813" s="291" t="s">
        <v>1164</v>
      </c>
      <c r="I3813" s="295" t="s">
        <v>1296</v>
      </c>
      <c r="J3813" s="296">
        <v>80316</v>
      </c>
      <c r="K3813" s="295"/>
      <c r="L3813" s="296">
        <v>19.399999999999999</v>
      </c>
      <c r="M3813" s="296">
        <v>19.399999999999999</v>
      </c>
      <c r="N3813" s="297"/>
      <c r="O3813" s="298">
        <v>0.2</v>
      </c>
      <c r="P3813" s="298"/>
      <c r="Q3813" s="297">
        <v>0</v>
      </c>
      <c r="R3813" s="291" t="s">
        <v>1007</v>
      </c>
      <c r="S3813" s="299" t="s">
        <v>113</v>
      </c>
      <c r="T3813" s="299">
        <v>40</v>
      </c>
      <c r="U3813" s="300" t="s">
        <v>164</v>
      </c>
      <c r="V3813" s="333"/>
      <c r="W3813" s="291" t="s">
        <v>3904</v>
      </c>
      <c r="X3813" s="297">
        <v>0</v>
      </c>
      <c r="Y3813" s="297"/>
      <c r="AH3813" s="291">
        <f>X3813</f>
        <v>0</v>
      </c>
      <c r="AI3813" s="311"/>
      <c r="AJ3813" s="468"/>
    </row>
    <row r="3814" spans="1:77" s="379" customFormat="1" ht="11.25" customHeight="1">
      <c r="B3814" s="379" t="s">
        <v>291</v>
      </c>
      <c r="C3814" s="381">
        <v>44766</v>
      </c>
      <c r="D3814" s="381">
        <v>44766</v>
      </c>
      <c r="E3814" s="382" t="s">
        <v>2928</v>
      </c>
      <c r="F3814" s="379" t="s">
        <v>2400</v>
      </c>
      <c r="G3814" s="383">
        <v>4228</v>
      </c>
      <c r="H3814" s="379" t="s">
        <v>765</v>
      </c>
      <c r="I3814" s="384" t="s">
        <v>888</v>
      </c>
      <c r="J3814" s="385">
        <v>43523.87</v>
      </c>
      <c r="K3814" s="384"/>
      <c r="L3814" s="385">
        <v>58.3</v>
      </c>
      <c r="M3814" s="385">
        <v>58.3</v>
      </c>
      <c r="N3814" s="386"/>
      <c r="O3814" s="387">
        <v>0.3</v>
      </c>
      <c r="P3814" s="387"/>
      <c r="Q3814" s="386">
        <v>0</v>
      </c>
      <c r="R3814" s="379" t="s">
        <v>257</v>
      </c>
      <c r="S3814" s="388" t="s">
        <v>74</v>
      </c>
      <c r="T3814" s="388">
        <v>32</v>
      </c>
      <c r="U3814" s="389" t="s">
        <v>164</v>
      </c>
      <c r="V3814" s="433"/>
      <c r="X3814" s="386">
        <v>0</v>
      </c>
      <c r="Y3814" s="386"/>
      <c r="AJ3814" s="390">
        <v>0</v>
      </c>
    </row>
    <row r="3815" spans="1:77" s="337" customFormat="1" ht="11.25" customHeight="1">
      <c r="B3815" s="337" t="s">
        <v>291</v>
      </c>
      <c r="C3815" s="349">
        <v>44763</v>
      </c>
      <c r="D3815" s="349">
        <v>44767</v>
      </c>
      <c r="E3815" s="350" t="s">
        <v>2929</v>
      </c>
      <c r="F3815" s="337" t="s">
        <v>378</v>
      </c>
      <c r="G3815" s="351" t="s">
        <v>379</v>
      </c>
      <c r="H3815" s="337" t="s">
        <v>866</v>
      </c>
      <c r="I3815" s="353" t="s">
        <v>33</v>
      </c>
      <c r="J3815" s="343">
        <v>44730</v>
      </c>
      <c r="K3815" s="353"/>
      <c r="L3815" s="343">
        <v>36</v>
      </c>
      <c r="M3815" s="343">
        <v>36</v>
      </c>
      <c r="N3815" s="354">
        <v>13821</v>
      </c>
      <c r="O3815" s="355">
        <v>0.15</v>
      </c>
      <c r="P3815" s="355"/>
      <c r="Q3815" s="354">
        <v>0</v>
      </c>
      <c r="R3815" s="337" t="s">
        <v>142</v>
      </c>
      <c r="S3815" s="356" t="s">
        <v>2866</v>
      </c>
      <c r="T3815" s="356">
        <v>24</v>
      </c>
      <c r="U3815" s="357" t="s">
        <v>164</v>
      </c>
      <c r="V3815" s="434"/>
      <c r="X3815" s="354">
        <v>0</v>
      </c>
      <c r="Y3815" s="354"/>
      <c r="AI3815" s="337">
        <f>X3815</f>
        <v>0</v>
      </c>
      <c r="AJ3815" s="358"/>
      <c r="AK3815" s="369"/>
    </row>
    <row r="3816" spans="1:77" s="261" customFormat="1" ht="11.25" customHeight="1">
      <c r="B3816" s="261" t="s">
        <v>291</v>
      </c>
      <c r="C3816" s="259"/>
      <c r="D3816" s="259"/>
      <c r="E3816" s="260" t="s">
        <v>2929</v>
      </c>
      <c r="F3816" s="261" t="s">
        <v>378</v>
      </c>
      <c r="G3816" s="262" t="s">
        <v>379</v>
      </c>
      <c r="H3816" s="261" t="s">
        <v>765</v>
      </c>
      <c r="I3816" s="264" t="s">
        <v>33</v>
      </c>
      <c r="J3816" s="263">
        <v>90097.5</v>
      </c>
      <c r="K3816" s="264"/>
      <c r="L3816" s="263">
        <v>82</v>
      </c>
      <c r="M3816" s="263">
        <v>82</v>
      </c>
      <c r="N3816" s="265"/>
      <c r="O3816" s="266">
        <v>0.15</v>
      </c>
      <c r="P3816" s="266"/>
      <c r="Q3816" s="265">
        <v>0</v>
      </c>
      <c r="R3816" s="261" t="s">
        <v>142</v>
      </c>
      <c r="S3816" s="267" t="s">
        <v>2866</v>
      </c>
      <c r="T3816" s="267">
        <v>24</v>
      </c>
      <c r="U3816" s="268" t="s">
        <v>164</v>
      </c>
      <c r="V3816" s="427"/>
      <c r="X3816" s="265">
        <v>0</v>
      </c>
      <c r="Y3816" s="265"/>
      <c r="AG3816" s="261">
        <f>X3816</f>
        <v>0</v>
      </c>
      <c r="AJ3816" s="642"/>
    </row>
    <row r="3817" spans="1:77" s="6" customFormat="1" ht="11.25" customHeight="1">
      <c r="A3817" s="379"/>
      <c r="B3817" s="380" t="s">
        <v>291</v>
      </c>
      <c r="C3817" s="381">
        <v>44762</v>
      </c>
      <c r="D3817" s="381">
        <v>44767</v>
      </c>
      <c r="E3817" s="382" t="s">
        <v>2930</v>
      </c>
      <c r="F3817" s="394" t="s">
        <v>245</v>
      </c>
      <c r="G3817" s="400">
        <v>4294</v>
      </c>
      <c r="H3817" s="379" t="s">
        <v>910</v>
      </c>
      <c r="I3817" s="379" t="s">
        <v>888</v>
      </c>
      <c r="J3817" s="385">
        <v>33516</v>
      </c>
      <c r="K3817" s="384"/>
      <c r="L3817" s="385">
        <v>14.7</v>
      </c>
      <c r="M3817" s="385">
        <v>14.7</v>
      </c>
      <c r="N3817" s="386"/>
      <c r="O3817" s="387">
        <v>0.2</v>
      </c>
      <c r="P3817" s="387"/>
      <c r="Q3817" s="386">
        <v>0</v>
      </c>
      <c r="R3817" s="379" t="s">
        <v>35</v>
      </c>
      <c r="S3817" s="388" t="s">
        <v>41</v>
      </c>
      <c r="T3817" s="388">
        <v>17</v>
      </c>
      <c r="U3817" s="389" t="s">
        <v>164</v>
      </c>
      <c r="V3817" s="433"/>
      <c r="W3817" s="379"/>
      <c r="X3817" s="386">
        <v>0</v>
      </c>
      <c r="Y3817" s="386"/>
      <c r="Z3817" s="379"/>
      <c r="AA3817" s="379"/>
      <c r="AB3817" s="379"/>
      <c r="AC3817" s="379"/>
      <c r="AD3817" s="379"/>
      <c r="AE3817" s="379"/>
      <c r="AF3817" s="379"/>
      <c r="AG3817" s="379"/>
      <c r="AH3817" s="379"/>
      <c r="AI3817" s="379"/>
      <c r="AJ3817" s="390">
        <v>0</v>
      </c>
      <c r="AK3817" s="379"/>
      <c r="AL3817" s="379"/>
      <c r="AM3817" s="379"/>
      <c r="AN3817" s="379"/>
      <c r="AO3817" s="379"/>
      <c r="AP3817" s="379"/>
      <c r="AQ3817" s="379"/>
      <c r="AR3817" s="379"/>
      <c r="AS3817" s="379"/>
      <c r="AT3817" s="379"/>
      <c r="AU3817" s="379"/>
      <c r="AV3817" s="379"/>
      <c r="AW3817" s="379"/>
      <c r="AX3817" s="379"/>
      <c r="AY3817" s="379"/>
      <c r="AZ3817" s="379"/>
      <c r="BA3817" s="379"/>
      <c r="BB3817" s="379"/>
      <c r="BC3817" s="379"/>
      <c r="BD3817" s="379"/>
      <c r="BE3817" s="379"/>
      <c r="BF3817" s="379"/>
      <c r="BG3817" s="379"/>
      <c r="BH3817" s="379"/>
      <c r="BI3817" s="379"/>
      <c r="BJ3817" s="379"/>
      <c r="BK3817" s="379"/>
      <c r="BL3817" s="379"/>
      <c r="BM3817" s="379"/>
      <c r="BN3817" s="379"/>
      <c r="BO3817" s="379"/>
      <c r="BP3817" s="379"/>
      <c r="BQ3817" s="379"/>
      <c r="BR3817" s="379"/>
      <c r="BS3817" s="379"/>
      <c r="BT3817" s="379"/>
      <c r="BU3817" s="379"/>
      <c r="BV3817" s="379"/>
      <c r="BW3817" s="379"/>
      <c r="BX3817" s="379"/>
      <c r="BY3817" s="379"/>
    </row>
    <row r="3818" spans="1:77" s="6" customFormat="1" ht="11.25" customHeight="1">
      <c r="A3818" s="379"/>
      <c r="B3818" s="380" t="s">
        <v>291</v>
      </c>
      <c r="C3818" s="381"/>
      <c r="D3818" s="381"/>
      <c r="E3818" s="382" t="s">
        <v>2930</v>
      </c>
      <c r="F3818" s="394" t="s">
        <v>245</v>
      </c>
      <c r="G3818" s="400">
        <v>4294</v>
      </c>
      <c r="H3818" s="379" t="s">
        <v>911</v>
      </c>
      <c r="I3818" s="379" t="s">
        <v>888</v>
      </c>
      <c r="J3818" s="385">
        <v>12750.1</v>
      </c>
      <c r="K3818" s="384"/>
      <c r="L3818" s="385">
        <v>6.7</v>
      </c>
      <c r="M3818" s="385">
        <v>6.7</v>
      </c>
      <c r="N3818" s="386"/>
      <c r="O3818" s="387">
        <v>0.2</v>
      </c>
      <c r="P3818" s="387"/>
      <c r="Q3818" s="386">
        <v>0</v>
      </c>
      <c r="R3818" s="379" t="s">
        <v>35</v>
      </c>
      <c r="S3818" s="388" t="s">
        <v>41</v>
      </c>
      <c r="T3818" s="388">
        <v>17</v>
      </c>
      <c r="U3818" s="389" t="s">
        <v>164</v>
      </c>
      <c r="V3818" s="433"/>
      <c r="W3818" s="379"/>
      <c r="X3818" s="386">
        <v>0</v>
      </c>
      <c r="Y3818" s="386"/>
      <c r="Z3818" s="379"/>
      <c r="AA3818" s="379"/>
      <c r="AB3818" s="379"/>
      <c r="AC3818" s="379"/>
      <c r="AD3818" s="379"/>
      <c r="AE3818" s="379"/>
      <c r="AF3818" s="379"/>
      <c r="AG3818" s="379"/>
      <c r="AH3818" s="379"/>
      <c r="AI3818" s="379"/>
      <c r="AJ3818" s="390">
        <v>0</v>
      </c>
      <c r="AK3818" s="379"/>
      <c r="AL3818" s="379"/>
      <c r="AM3818" s="379"/>
      <c r="AN3818" s="379"/>
      <c r="AO3818" s="379"/>
      <c r="AP3818" s="379"/>
      <c r="AQ3818" s="379"/>
      <c r="AR3818" s="379"/>
      <c r="AS3818" s="379"/>
      <c r="AT3818" s="379"/>
      <c r="AU3818" s="379"/>
      <c r="AV3818" s="379"/>
      <c r="AW3818" s="379"/>
      <c r="AX3818" s="379"/>
      <c r="AY3818" s="379"/>
      <c r="AZ3818" s="379"/>
      <c r="BA3818" s="379"/>
      <c r="BB3818" s="379"/>
      <c r="BC3818" s="379"/>
      <c r="BD3818" s="379"/>
      <c r="BE3818" s="379"/>
      <c r="BF3818" s="379"/>
      <c r="BG3818" s="379"/>
      <c r="BH3818" s="379"/>
      <c r="BI3818" s="379"/>
      <c r="BJ3818" s="379"/>
      <c r="BK3818" s="379"/>
      <c r="BL3818" s="379"/>
      <c r="BM3818" s="379"/>
      <c r="BN3818" s="379"/>
      <c r="BO3818" s="379"/>
      <c r="BP3818" s="379"/>
      <c r="BQ3818" s="379"/>
      <c r="BR3818" s="379"/>
      <c r="BS3818" s="379"/>
      <c r="BT3818" s="379"/>
      <c r="BU3818" s="379"/>
      <c r="BV3818" s="379"/>
      <c r="BW3818" s="379"/>
      <c r="BX3818" s="379"/>
      <c r="BY3818" s="379"/>
    </row>
    <row r="3819" spans="1:77" s="379" customFormat="1" ht="11.25" customHeight="1">
      <c r="B3819" s="380" t="s">
        <v>291</v>
      </c>
      <c r="C3819" s="381"/>
      <c r="D3819" s="381"/>
      <c r="E3819" s="382" t="s">
        <v>2930</v>
      </c>
      <c r="F3819" s="394" t="s">
        <v>245</v>
      </c>
      <c r="G3819" s="400">
        <v>4294</v>
      </c>
      <c r="H3819" s="379" t="s">
        <v>866</v>
      </c>
      <c r="I3819" s="379" t="s">
        <v>888</v>
      </c>
      <c r="J3819" s="385">
        <v>17122.919999999998</v>
      </c>
      <c r="K3819" s="384"/>
      <c r="L3819" s="385">
        <v>9.74</v>
      </c>
      <c r="M3819" s="385">
        <v>9.74</v>
      </c>
      <c r="N3819" s="386"/>
      <c r="O3819" s="387">
        <v>0.2</v>
      </c>
      <c r="P3819" s="387"/>
      <c r="Q3819" s="386">
        <v>3062.26</v>
      </c>
      <c r="R3819" s="379" t="s">
        <v>35</v>
      </c>
      <c r="S3819" s="388" t="s">
        <v>41</v>
      </c>
      <c r="T3819" s="388">
        <v>17</v>
      </c>
      <c r="U3819" s="389" t="s">
        <v>164</v>
      </c>
      <c r="V3819" s="433"/>
      <c r="X3819" s="386">
        <v>3062.26</v>
      </c>
      <c r="Y3819" s="386"/>
      <c r="AJ3819" s="416">
        <v>3062.26</v>
      </c>
    </row>
    <row r="3820" spans="1:77" s="379" customFormat="1" ht="11.25" customHeight="1">
      <c r="B3820" s="380" t="s">
        <v>291</v>
      </c>
      <c r="C3820" s="381"/>
      <c r="D3820" s="381"/>
      <c r="E3820" s="382" t="s">
        <v>2930</v>
      </c>
      <c r="F3820" s="394" t="s">
        <v>245</v>
      </c>
      <c r="G3820" s="400">
        <v>4294</v>
      </c>
      <c r="H3820" s="379" t="s">
        <v>765</v>
      </c>
      <c r="I3820" s="379" t="s">
        <v>888</v>
      </c>
      <c r="J3820" s="385">
        <v>20795.39</v>
      </c>
      <c r="K3820" s="384"/>
      <c r="L3820" s="385">
        <v>15.82</v>
      </c>
      <c r="M3820" s="385">
        <v>15.82</v>
      </c>
      <c r="N3820" s="386"/>
      <c r="O3820" s="387">
        <v>0.2</v>
      </c>
      <c r="P3820" s="387"/>
      <c r="Q3820" s="386">
        <v>1322.55</v>
      </c>
      <c r="R3820" s="379" t="s">
        <v>35</v>
      </c>
      <c r="S3820" s="388" t="s">
        <v>41</v>
      </c>
      <c r="T3820" s="388">
        <v>17</v>
      </c>
      <c r="U3820" s="389" t="s">
        <v>164</v>
      </c>
      <c r="V3820" s="433"/>
      <c r="X3820" s="386">
        <v>1322.55</v>
      </c>
      <c r="Y3820" s="386"/>
      <c r="AJ3820" s="416">
        <v>1322.55</v>
      </c>
    </row>
    <row r="3821" spans="1:77" s="546" customFormat="1" ht="11.25" customHeight="1">
      <c r="B3821" s="546" t="s">
        <v>291</v>
      </c>
      <c r="C3821" s="547">
        <v>44767</v>
      </c>
      <c r="D3821" s="547">
        <v>44767</v>
      </c>
      <c r="E3821" s="548" t="s">
        <v>2931</v>
      </c>
      <c r="F3821" s="546" t="s">
        <v>1315</v>
      </c>
      <c r="G3821" s="549">
        <v>3704</v>
      </c>
      <c r="H3821" s="546" t="s">
        <v>898</v>
      </c>
      <c r="I3821" s="551" t="s">
        <v>1336</v>
      </c>
      <c r="J3821" s="563">
        <v>42831.51</v>
      </c>
      <c r="K3821" s="551"/>
      <c r="L3821" s="563">
        <v>30.97</v>
      </c>
      <c r="M3821" s="563">
        <v>30</v>
      </c>
      <c r="N3821" s="552">
        <v>31117.5</v>
      </c>
      <c r="O3821" s="553">
        <v>0.25</v>
      </c>
      <c r="P3821" s="553">
        <v>0.1</v>
      </c>
      <c r="Q3821" s="580">
        <v>6201</v>
      </c>
      <c r="R3821" s="546" t="s">
        <v>54</v>
      </c>
      <c r="S3821" s="554" t="s">
        <v>51</v>
      </c>
      <c r="T3821" s="554">
        <v>55</v>
      </c>
      <c r="U3821" s="555" t="s">
        <v>164</v>
      </c>
      <c r="V3821" s="556"/>
      <c r="X3821" s="580">
        <v>6201</v>
      </c>
      <c r="Y3821" s="552"/>
      <c r="AJ3821" s="557"/>
      <c r="AM3821" s="580">
        <v>6201</v>
      </c>
    </row>
    <row r="3822" spans="1:77" s="473" customFormat="1" ht="11.25" customHeight="1">
      <c r="B3822" s="486" t="s">
        <v>291</v>
      </c>
      <c r="C3822" s="487">
        <v>44767</v>
      </c>
      <c r="D3822" s="487">
        <v>44767</v>
      </c>
      <c r="E3822" s="488" t="s">
        <v>2932</v>
      </c>
      <c r="F3822" s="472" t="s">
        <v>1420</v>
      </c>
      <c r="G3822" s="476" t="s">
        <v>1419</v>
      </c>
      <c r="H3822" s="472" t="s">
        <v>866</v>
      </c>
      <c r="I3822" s="472" t="s">
        <v>958</v>
      </c>
      <c r="J3822" s="477">
        <v>12645.67</v>
      </c>
      <c r="K3822" s="491"/>
      <c r="L3822" s="477">
        <v>6.71</v>
      </c>
      <c r="M3822" s="477">
        <v>6.71</v>
      </c>
      <c r="N3822" s="492">
        <v>2066.9499999999998</v>
      </c>
      <c r="O3822" s="493">
        <v>0.2</v>
      </c>
      <c r="P3822" s="493"/>
      <c r="Q3822" s="492">
        <v>0</v>
      </c>
      <c r="R3822" s="473" t="s">
        <v>112</v>
      </c>
      <c r="S3822" s="481" t="s">
        <v>113</v>
      </c>
      <c r="T3822" s="482">
        <v>64</v>
      </c>
      <c r="U3822" s="494" t="s">
        <v>164</v>
      </c>
      <c r="V3822" s="495"/>
      <c r="X3822" s="492">
        <v>0</v>
      </c>
      <c r="Y3822" s="492"/>
      <c r="AJ3822" s="485"/>
      <c r="AK3822" s="473">
        <v>0</v>
      </c>
    </row>
    <row r="3823" spans="1:77" s="618" customFormat="1" ht="11.25" customHeight="1">
      <c r="B3823" s="619" t="s">
        <v>291</v>
      </c>
      <c r="C3823" s="620">
        <v>44652</v>
      </c>
      <c r="D3823" s="620">
        <v>44767</v>
      </c>
      <c r="E3823" s="621" t="s">
        <v>2933</v>
      </c>
      <c r="F3823" s="622" t="s">
        <v>2934</v>
      </c>
      <c r="G3823" s="623">
        <v>3692</v>
      </c>
      <c r="H3823" s="624" t="s">
        <v>137</v>
      </c>
      <c r="I3823" s="624" t="s">
        <v>958</v>
      </c>
      <c r="J3823" s="625">
        <v>18403.84</v>
      </c>
      <c r="K3823" s="626"/>
      <c r="L3823" s="625">
        <v>20.8</v>
      </c>
      <c r="M3823" s="625">
        <v>20.8</v>
      </c>
      <c r="N3823" s="627">
        <v>4600.96</v>
      </c>
      <c r="O3823" s="628">
        <v>0.2</v>
      </c>
      <c r="P3823" s="628"/>
      <c r="Q3823" s="627">
        <v>0</v>
      </c>
      <c r="R3823" s="618" t="s">
        <v>50</v>
      </c>
      <c r="S3823" s="629" t="s">
        <v>51</v>
      </c>
      <c r="T3823" s="630">
        <v>54</v>
      </c>
      <c r="U3823" s="631" t="s">
        <v>164</v>
      </c>
      <c r="V3823" s="632"/>
      <c r="X3823" s="627">
        <v>0</v>
      </c>
      <c r="Y3823" s="627"/>
      <c r="AJ3823" s="633"/>
      <c r="AO3823" s="618">
        <v>0</v>
      </c>
    </row>
    <row r="3824" spans="1:77" s="473" customFormat="1" ht="11.25" customHeight="1">
      <c r="B3824" s="473" t="s">
        <v>291</v>
      </c>
      <c r="C3824" s="487">
        <v>44764</v>
      </c>
      <c r="D3824" s="487">
        <v>44767</v>
      </c>
      <c r="E3824" s="488" t="s">
        <v>2935</v>
      </c>
      <c r="F3824" s="473" t="s">
        <v>1060</v>
      </c>
      <c r="G3824" s="489">
        <v>4462</v>
      </c>
      <c r="H3824" s="472" t="s">
        <v>765</v>
      </c>
      <c r="I3824" s="472" t="s">
        <v>33</v>
      </c>
      <c r="J3824" s="477">
        <v>20014.560000000001</v>
      </c>
      <c r="K3824" s="491"/>
      <c r="L3824" s="477">
        <v>19.68</v>
      </c>
      <c r="M3824" s="477">
        <v>19.670000000000002</v>
      </c>
      <c r="N3824" s="492"/>
      <c r="O3824" s="493">
        <v>0.15</v>
      </c>
      <c r="P3824" s="493"/>
      <c r="Q3824" s="492">
        <v>3949.78</v>
      </c>
      <c r="R3824" s="473" t="s">
        <v>128</v>
      </c>
      <c r="S3824" s="481" t="s">
        <v>34</v>
      </c>
      <c r="T3824" s="482">
        <v>79</v>
      </c>
      <c r="U3824" s="494" t="s">
        <v>164</v>
      </c>
      <c r="V3824" s="495"/>
      <c r="X3824" s="492">
        <v>3949.78</v>
      </c>
      <c r="Y3824" s="492"/>
      <c r="AJ3824" s="485"/>
      <c r="AK3824" s="505">
        <v>3949.78</v>
      </c>
    </row>
    <row r="3825" spans="1:77" s="379" customFormat="1" ht="11.25" customHeight="1">
      <c r="B3825" s="379" t="s">
        <v>291</v>
      </c>
      <c r="C3825" s="381">
        <v>44767</v>
      </c>
      <c r="D3825" s="381">
        <v>44767</v>
      </c>
      <c r="E3825" s="382" t="s">
        <v>2936</v>
      </c>
      <c r="F3825" s="417" t="s">
        <v>2937</v>
      </c>
      <c r="G3825" s="400">
        <v>3901</v>
      </c>
      <c r="H3825" s="394" t="s">
        <v>866</v>
      </c>
      <c r="I3825" s="394" t="s">
        <v>33</v>
      </c>
      <c r="J3825" s="395">
        <v>9589.6299999999992</v>
      </c>
      <c r="K3825" s="384"/>
      <c r="L3825" s="395">
        <v>6.87</v>
      </c>
      <c r="M3825" s="395">
        <v>6.87</v>
      </c>
      <c r="N3825" s="386"/>
      <c r="O3825" s="387">
        <v>0.25</v>
      </c>
      <c r="P3825" s="387"/>
      <c r="Q3825" s="386">
        <v>978.6</v>
      </c>
      <c r="R3825" s="379" t="s">
        <v>128</v>
      </c>
      <c r="S3825" s="388" t="s">
        <v>41</v>
      </c>
      <c r="T3825" s="399">
        <v>79</v>
      </c>
      <c r="U3825" s="389" t="s">
        <v>164</v>
      </c>
      <c r="V3825" s="433">
        <v>978.6</v>
      </c>
      <c r="X3825" s="386">
        <v>978.6</v>
      </c>
      <c r="Y3825" s="386"/>
      <c r="AJ3825" s="416">
        <v>978.6</v>
      </c>
    </row>
    <row r="3826" spans="1:77" s="291" customFormat="1" ht="11.25" customHeight="1">
      <c r="B3826" s="291" t="s">
        <v>291</v>
      </c>
      <c r="C3826" s="292">
        <v>44767</v>
      </c>
      <c r="D3826" s="292">
        <v>44767</v>
      </c>
      <c r="E3826" s="293" t="s">
        <v>2939</v>
      </c>
      <c r="F3826" s="303" t="s">
        <v>2940</v>
      </c>
      <c r="G3826" s="304" t="s">
        <v>2941</v>
      </c>
      <c r="H3826" s="303" t="s">
        <v>866</v>
      </c>
      <c r="I3826" s="291" t="s">
        <v>888</v>
      </c>
      <c r="J3826" s="305">
        <v>10498.29</v>
      </c>
      <c r="K3826" s="295"/>
      <c r="L3826" s="305">
        <v>6.14</v>
      </c>
      <c r="M3826" s="305">
        <v>6.14</v>
      </c>
      <c r="N3826" s="297">
        <v>5774.06</v>
      </c>
      <c r="O3826" s="298">
        <v>0.2</v>
      </c>
      <c r="P3826" s="298"/>
      <c r="Q3826" s="297">
        <v>2378.4299999999998</v>
      </c>
      <c r="R3826" s="291" t="s">
        <v>112</v>
      </c>
      <c r="S3826" s="299" t="s">
        <v>113</v>
      </c>
      <c r="T3826" s="308">
        <v>40</v>
      </c>
      <c r="U3826" s="300" t="s">
        <v>164</v>
      </c>
      <c r="V3826" s="333"/>
      <c r="X3826" s="297">
        <v>2378.4299999999998</v>
      </c>
      <c r="Y3826" s="297"/>
      <c r="AH3826" s="297">
        <f>X3826</f>
        <v>2378.4299999999998</v>
      </c>
      <c r="AI3826" s="311"/>
      <c r="AJ3826" s="468"/>
    </row>
    <row r="3827" spans="1:77" s="337" customFormat="1" ht="11.25" customHeight="1">
      <c r="B3827" s="338" t="s">
        <v>291</v>
      </c>
      <c r="C3827" s="349"/>
      <c r="D3827" s="349"/>
      <c r="E3827" s="350" t="s">
        <v>2942</v>
      </c>
      <c r="F3827" s="341" t="s">
        <v>2257</v>
      </c>
      <c r="G3827" s="342" t="s">
        <v>2258</v>
      </c>
      <c r="H3827" s="337" t="s">
        <v>814</v>
      </c>
      <c r="I3827" s="341" t="s">
        <v>958</v>
      </c>
      <c r="J3827" s="343">
        <v>18795.2</v>
      </c>
      <c r="K3827" s="353"/>
      <c r="L3827" s="343">
        <v>14.48</v>
      </c>
      <c r="M3827" s="343">
        <v>14.48</v>
      </c>
      <c r="N3827" s="354">
        <f>3627.94+642.51</f>
        <v>4270.45</v>
      </c>
      <c r="O3827" s="355">
        <v>0.2</v>
      </c>
      <c r="P3827" s="355"/>
      <c r="Q3827" s="354">
        <v>0</v>
      </c>
      <c r="R3827" s="341" t="s">
        <v>112</v>
      </c>
      <c r="S3827" s="346" t="s">
        <v>150</v>
      </c>
      <c r="T3827" s="346">
        <v>64</v>
      </c>
      <c r="U3827" s="357" t="s">
        <v>164</v>
      </c>
      <c r="V3827" s="434"/>
      <c r="X3827" s="354">
        <v>0</v>
      </c>
      <c r="Y3827" s="354"/>
      <c r="AI3827" s="337">
        <v>0</v>
      </c>
      <c r="AJ3827" s="358"/>
      <c r="AK3827" s="369"/>
    </row>
    <row r="3828" spans="1:77" s="337" customFormat="1" ht="11.25" customHeight="1">
      <c r="B3828" s="338" t="s">
        <v>291</v>
      </c>
      <c r="C3828" s="349">
        <v>44767</v>
      </c>
      <c r="D3828" s="349">
        <v>44767</v>
      </c>
      <c r="E3828" s="350" t="s">
        <v>2942</v>
      </c>
      <c r="F3828" s="341" t="s">
        <v>2257</v>
      </c>
      <c r="G3828" s="342" t="s">
        <v>2258</v>
      </c>
      <c r="H3828" s="341" t="s">
        <v>866</v>
      </c>
      <c r="I3828" s="341" t="s">
        <v>958</v>
      </c>
      <c r="J3828" s="343">
        <v>43642.29</v>
      </c>
      <c r="K3828" s="353"/>
      <c r="L3828" s="343">
        <v>23.35</v>
      </c>
      <c r="M3828" s="343">
        <v>23.35</v>
      </c>
      <c r="N3828" s="354">
        <f>3270.84+6859.41</f>
        <v>10130.25</v>
      </c>
      <c r="O3828" s="355">
        <v>0.2</v>
      </c>
      <c r="P3828" s="355"/>
      <c r="Q3828" s="354">
        <v>4564.6000000000004</v>
      </c>
      <c r="R3828" s="341" t="s">
        <v>112</v>
      </c>
      <c r="S3828" s="346" t="s">
        <v>150</v>
      </c>
      <c r="T3828" s="346">
        <v>64</v>
      </c>
      <c r="U3828" s="357" t="s">
        <v>164</v>
      </c>
      <c r="V3828" s="434"/>
      <c r="X3828" s="354">
        <v>4564.6000000000004</v>
      </c>
      <c r="Y3828" s="354"/>
      <c r="AI3828" s="354">
        <v>4564.6000000000004</v>
      </c>
      <c r="AJ3828" s="358"/>
      <c r="AK3828" s="369"/>
    </row>
    <row r="3829" spans="1:77" s="291" customFormat="1" ht="11.25" customHeight="1">
      <c r="A3829" s="379"/>
      <c r="B3829" s="380" t="s">
        <v>291</v>
      </c>
      <c r="C3829" s="381"/>
      <c r="D3829" s="381"/>
      <c r="E3829" s="382" t="s">
        <v>2943</v>
      </c>
      <c r="F3829" s="417" t="s">
        <v>2944</v>
      </c>
      <c r="G3829" s="400" t="s">
        <v>2945</v>
      </c>
      <c r="H3829" s="394" t="s">
        <v>866</v>
      </c>
      <c r="I3829" s="379" t="s">
        <v>888</v>
      </c>
      <c r="J3829" s="395">
        <v>10967.57</v>
      </c>
      <c r="K3829" s="384"/>
      <c r="L3829" s="395">
        <v>5.08</v>
      </c>
      <c r="M3829" s="395">
        <v>5.08</v>
      </c>
      <c r="N3829" s="386">
        <v>3838.65</v>
      </c>
      <c r="O3829" s="387">
        <v>0.25</v>
      </c>
      <c r="P3829" s="387"/>
      <c r="Q3829" s="386">
        <v>0</v>
      </c>
      <c r="R3829" s="394" t="s">
        <v>112</v>
      </c>
      <c r="S3829" s="388" t="s">
        <v>113</v>
      </c>
      <c r="T3829" s="399">
        <v>64</v>
      </c>
      <c r="U3829" s="389" t="s">
        <v>164</v>
      </c>
      <c r="V3829" s="433"/>
      <c r="W3829" s="379"/>
      <c r="X3829" s="386">
        <v>0</v>
      </c>
      <c r="Y3829" s="386"/>
      <c r="Z3829" s="379"/>
      <c r="AA3829" s="379"/>
      <c r="AB3829" s="379"/>
      <c r="AC3829" s="379"/>
      <c r="AD3829" s="379"/>
      <c r="AE3829" s="379"/>
      <c r="AF3829" s="379"/>
      <c r="AG3829" s="379"/>
      <c r="AH3829" s="379"/>
      <c r="AI3829" s="379"/>
      <c r="AJ3829" s="390">
        <v>0</v>
      </c>
      <c r="AK3829" s="379"/>
      <c r="AL3829" s="379"/>
      <c r="AM3829" s="379"/>
      <c r="AN3829" s="379"/>
      <c r="AO3829" s="379"/>
      <c r="AP3829" s="379"/>
      <c r="AQ3829" s="379"/>
      <c r="AR3829" s="379"/>
      <c r="AS3829" s="379"/>
      <c r="AT3829" s="379"/>
      <c r="AU3829" s="379"/>
      <c r="AV3829" s="379"/>
      <c r="AW3829" s="379"/>
      <c r="AX3829" s="379"/>
      <c r="AY3829" s="379"/>
      <c r="AZ3829" s="379"/>
      <c r="BA3829" s="379"/>
      <c r="BB3829" s="379"/>
      <c r="BC3829" s="379"/>
      <c r="BD3829" s="379"/>
      <c r="BE3829" s="379"/>
      <c r="BF3829" s="379"/>
      <c r="BG3829" s="379"/>
      <c r="BH3829" s="379"/>
      <c r="BI3829" s="379"/>
      <c r="BJ3829" s="379"/>
      <c r="BK3829" s="379"/>
      <c r="BL3829" s="379"/>
      <c r="BM3829" s="379"/>
      <c r="BN3829" s="379"/>
      <c r="BO3829" s="379"/>
      <c r="BP3829" s="379"/>
      <c r="BQ3829" s="379"/>
      <c r="BR3829" s="379"/>
      <c r="BS3829" s="379"/>
      <c r="BT3829" s="379"/>
      <c r="BU3829" s="379"/>
      <c r="BV3829" s="379"/>
      <c r="BW3829" s="379"/>
      <c r="BX3829" s="379"/>
      <c r="BY3829" s="379"/>
    </row>
    <row r="3830" spans="1:77" s="379" customFormat="1" ht="11.25" customHeight="1">
      <c r="B3830" s="380" t="s">
        <v>291</v>
      </c>
      <c r="C3830" s="381"/>
      <c r="D3830" s="381"/>
      <c r="E3830" s="382" t="s">
        <v>2943</v>
      </c>
      <c r="F3830" s="417" t="s">
        <v>2944</v>
      </c>
      <c r="G3830" s="400" t="s">
        <v>2945</v>
      </c>
      <c r="H3830" s="379" t="s">
        <v>2171</v>
      </c>
      <c r="I3830" s="379" t="s">
        <v>888</v>
      </c>
      <c r="J3830" s="385">
        <v>18231.07</v>
      </c>
      <c r="K3830" s="384"/>
      <c r="L3830" s="385">
        <v>7.93</v>
      </c>
      <c r="M3830" s="385">
        <v>7.93</v>
      </c>
      <c r="N3830" s="386">
        <v>10027.09</v>
      </c>
      <c r="O3830" s="387">
        <v>0.25</v>
      </c>
      <c r="P3830" s="387"/>
      <c r="Q3830" s="386">
        <v>0</v>
      </c>
      <c r="R3830" s="394" t="s">
        <v>112</v>
      </c>
      <c r="S3830" s="388" t="s">
        <v>113</v>
      </c>
      <c r="T3830" s="399">
        <v>64</v>
      </c>
      <c r="U3830" s="389" t="s">
        <v>164</v>
      </c>
      <c r="V3830" s="433"/>
      <c r="X3830" s="386">
        <v>0</v>
      </c>
      <c r="Y3830" s="386"/>
      <c r="AJ3830" s="390">
        <v>0</v>
      </c>
    </row>
    <row r="3831" spans="1:77" s="379" customFormat="1" ht="11.25" customHeight="1">
      <c r="B3831" s="380" t="s">
        <v>291</v>
      </c>
      <c r="C3831" s="381"/>
      <c r="D3831" s="381"/>
      <c r="E3831" s="382" t="s">
        <v>2943</v>
      </c>
      <c r="F3831" s="417" t="s">
        <v>2944</v>
      </c>
      <c r="G3831" s="400" t="s">
        <v>2945</v>
      </c>
      <c r="H3831" s="379" t="s">
        <v>814</v>
      </c>
      <c r="I3831" s="379" t="s">
        <v>888</v>
      </c>
      <c r="J3831" s="385">
        <v>33994.370000000003</v>
      </c>
      <c r="K3831" s="384"/>
      <c r="L3831" s="385">
        <v>25.66</v>
      </c>
      <c r="M3831" s="385">
        <v>25.66</v>
      </c>
      <c r="N3831" s="386">
        <v>8498.59</v>
      </c>
      <c r="O3831" s="387">
        <v>0.25</v>
      </c>
      <c r="P3831" s="387"/>
      <c r="Q3831" s="386">
        <v>0</v>
      </c>
      <c r="R3831" s="394" t="s">
        <v>112</v>
      </c>
      <c r="S3831" s="388" t="s">
        <v>113</v>
      </c>
      <c r="T3831" s="399">
        <v>64</v>
      </c>
      <c r="U3831" s="389" t="s">
        <v>164</v>
      </c>
      <c r="V3831" s="433"/>
      <c r="X3831" s="386">
        <v>0</v>
      </c>
      <c r="Y3831" s="386"/>
      <c r="AJ3831" s="390">
        <v>0</v>
      </c>
    </row>
    <row r="3832" spans="1:77" s="337" customFormat="1" ht="11.25" customHeight="1">
      <c r="B3832" s="338" t="s">
        <v>291</v>
      </c>
      <c r="C3832" s="349"/>
      <c r="D3832" s="349"/>
      <c r="E3832" s="350" t="s">
        <v>2943</v>
      </c>
      <c r="F3832" s="376" t="s">
        <v>2944</v>
      </c>
      <c r="G3832" s="342" t="s">
        <v>2945</v>
      </c>
      <c r="H3832" s="337" t="s">
        <v>2267</v>
      </c>
      <c r="I3832" s="337" t="s">
        <v>888</v>
      </c>
      <c r="J3832" s="352">
        <v>81171.19</v>
      </c>
      <c r="K3832" s="353"/>
      <c r="L3832" s="352">
        <v>32.83</v>
      </c>
      <c r="M3832" s="352">
        <v>32.83</v>
      </c>
      <c r="N3832" s="354">
        <v>21916.22</v>
      </c>
      <c r="O3832" s="355">
        <v>0.25</v>
      </c>
      <c r="P3832" s="355"/>
      <c r="Q3832" s="354">
        <v>0</v>
      </c>
      <c r="R3832" s="341" t="s">
        <v>112</v>
      </c>
      <c r="S3832" s="356" t="s">
        <v>113</v>
      </c>
      <c r="T3832" s="346">
        <v>64</v>
      </c>
      <c r="U3832" s="357" t="s">
        <v>164</v>
      </c>
      <c r="V3832" s="434"/>
      <c r="X3832" s="354">
        <v>0</v>
      </c>
      <c r="Y3832" s="354"/>
      <c r="AI3832" s="337">
        <v>0</v>
      </c>
      <c r="AJ3832" s="358"/>
      <c r="AK3832" s="369"/>
    </row>
    <row r="3833" spans="1:77" s="291" customFormat="1" ht="11.25" customHeight="1">
      <c r="B3833" s="310" t="s">
        <v>291</v>
      </c>
      <c r="C3833" s="292">
        <v>44767</v>
      </c>
      <c r="D3833" s="292">
        <v>44767</v>
      </c>
      <c r="E3833" s="293" t="s">
        <v>2943</v>
      </c>
      <c r="F3833" s="315" t="s">
        <v>2944</v>
      </c>
      <c r="G3833" s="304" t="s">
        <v>2945</v>
      </c>
      <c r="H3833" s="303" t="s">
        <v>910</v>
      </c>
      <c r="I3833" s="291" t="s">
        <v>888</v>
      </c>
      <c r="J3833" s="305">
        <v>34552.300000000003</v>
      </c>
      <c r="K3833" s="295"/>
      <c r="L3833" s="305">
        <v>12.62</v>
      </c>
      <c r="M3833" s="305">
        <v>12.62</v>
      </c>
      <c r="N3833" s="297">
        <v>8638.07</v>
      </c>
      <c r="O3833" s="298">
        <v>0.25</v>
      </c>
      <c r="P3833" s="298"/>
      <c r="Q3833" s="297">
        <v>0</v>
      </c>
      <c r="R3833" s="303" t="s">
        <v>112</v>
      </c>
      <c r="S3833" s="299" t="s">
        <v>113</v>
      </c>
      <c r="T3833" s="308">
        <v>64</v>
      </c>
      <c r="U3833" s="300" t="s">
        <v>164</v>
      </c>
      <c r="V3833" s="333"/>
      <c r="X3833" s="297">
        <v>0</v>
      </c>
      <c r="Y3833" s="297"/>
      <c r="AH3833" s="291">
        <f>X3833</f>
        <v>0</v>
      </c>
      <c r="AI3833" s="311"/>
      <c r="AJ3833" s="468"/>
    </row>
    <row r="3834" spans="1:77" s="337" customFormat="1" ht="11.25" customHeight="1">
      <c r="B3834" s="338" t="s">
        <v>291</v>
      </c>
      <c r="C3834" s="349">
        <v>44767</v>
      </c>
      <c r="D3834" s="349">
        <v>44767</v>
      </c>
      <c r="E3834" s="350" t="s">
        <v>2946</v>
      </c>
      <c r="F3834" s="337" t="s">
        <v>1665</v>
      </c>
      <c r="G3834" s="351" t="s">
        <v>1666</v>
      </c>
      <c r="H3834" s="337" t="s">
        <v>910</v>
      </c>
      <c r="I3834" s="353" t="s">
        <v>961</v>
      </c>
      <c r="J3834" s="352">
        <v>51075.18</v>
      </c>
      <c r="K3834" s="353"/>
      <c r="L3834" s="352">
        <v>26.91</v>
      </c>
      <c r="M3834" s="352">
        <v>26.91</v>
      </c>
      <c r="N3834" s="354"/>
      <c r="O3834" s="355">
        <v>0.3</v>
      </c>
      <c r="P3834" s="355"/>
      <c r="Q3834" s="354">
        <v>11194.64</v>
      </c>
      <c r="R3834" s="337" t="s">
        <v>251</v>
      </c>
      <c r="S3834" s="356" t="s">
        <v>74</v>
      </c>
      <c r="T3834" s="346">
        <v>32</v>
      </c>
      <c r="U3834" s="357" t="s">
        <v>164</v>
      </c>
      <c r="V3834" s="434"/>
      <c r="X3834" s="354">
        <v>11194.64</v>
      </c>
      <c r="Y3834" s="354"/>
      <c r="AI3834" s="354">
        <v>11194.64</v>
      </c>
      <c r="AJ3834" s="358"/>
      <c r="AK3834" s="369"/>
    </row>
    <row r="3835" spans="1:77" s="337" customFormat="1" ht="10.5" customHeight="1">
      <c r="B3835" s="338" t="s">
        <v>291</v>
      </c>
      <c r="C3835" s="349"/>
      <c r="D3835" s="349"/>
      <c r="E3835" s="350" t="s">
        <v>2946</v>
      </c>
      <c r="F3835" s="337" t="s">
        <v>1665</v>
      </c>
      <c r="G3835" s="351" t="s">
        <v>1666</v>
      </c>
      <c r="H3835" s="337" t="s">
        <v>866</v>
      </c>
      <c r="I3835" s="353" t="s">
        <v>961</v>
      </c>
      <c r="J3835" s="352">
        <v>54206.400000000001</v>
      </c>
      <c r="K3835" s="353"/>
      <c r="L3835" s="352">
        <v>39.28</v>
      </c>
      <c r="M3835" s="352">
        <v>39.28</v>
      </c>
      <c r="N3835" s="354">
        <v>24392.880000000001</v>
      </c>
      <c r="O3835" s="355">
        <v>0.3</v>
      </c>
      <c r="P3835" s="355"/>
      <c r="Q3835" s="354">
        <v>14144.64</v>
      </c>
      <c r="R3835" s="337" t="s">
        <v>251</v>
      </c>
      <c r="S3835" s="356" t="s">
        <v>74</v>
      </c>
      <c r="T3835" s="346">
        <v>32</v>
      </c>
      <c r="U3835" s="357" t="s">
        <v>164</v>
      </c>
      <c r="V3835" s="434">
        <v>823.2</v>
      </c>
      <c r="X3835" s="354">
        <v>14144.64</v>
      </c>
      <c r="Y3835" s="354"/>
      <c r="AI3835" s="354">
        <v>14144.64</v>
      </c>
      <c r="AJ3835" s="358"/>
      <c r="AK3835" s="369"/>
    </row>
    <row r="3836" spans="1:77" s="337" customFormat="1" ht="11.25" customHeight="1">
      <c r="B3836" s="338" t="s">
        <v>291</v>
      </c>
      <c r="C3836" s="349"/>
      <c r="D3836" s="349"/>
      <c r="E3836" s="350" t="s">
        <v>2946</v>
      </c>
      <c r="F3836" s="337" t="s">
        <v>1665</v>
      </c>
      <c r="G3836" s="351" t="s">
        <v>1666</v>
      </c>
      <c r="H3836" s="337" t="s">
        <v>765</v>
      </c>
      <c r="I3836" s="353" t="s">
        <v>961</v>
      </c>
      <c r="J3836" s="352">
        <v>70994.28</v>
      </c>
      <c r="K3836" s="353"/>
      <c r="L3836" s="352">
        <v>56.85</v>
      </c>
      <c r="M3836" s="352">
        <v>56.85</v>
      </c>
      <c r="N3836" s="354">
        <f>4323.97+3390.492+10034.108</f>
        <v>17748.57</v>
      </c>
      <c r="O3836" s="355">
        <v>0.3</v>
      </c>
      <c r="P3836" s="355"/>
      <c r="Q3836" s="354">
        <v>7672.48</v>
      </c>
      <c r="R3836" s="337" t="s">
        <v>251</v>
      </c>
      <c r="S3836" s="356" t="s">
        <v>74</v>
      </c>
      <c r="T3836" s="346">
        <v>32</v>
      </c>
      <c r="U3836" s="357" t="s">
        <v>164</v>
      </c>
      <c r="V3836" s="434"/>
      <c r="X3836" s="354">
        <v>7672.48</v>
      </c>
      <c r="Y3836" s="354"/>
      <c r="AI3836" s="354">
        <v>7672.48</v>
      </c>
      <c r="AJ3836" s="358"/>
      <c r="AK3836" s="369"/>
    </row>
    <row r="3837" spans="1:77" s="337" customFormat="1" ht="11.25" customHeight="1">
      <c r="B3837" s="338" t="s">
        <v>291</v>
      </c>
      <c r="C3837" s="349">
        <v>44767</v>
      </c>
      <c r="D3837" s="349">
        <v>44767</v>
      </c>
      <c r="E3837" s="350" t="s">
        <v>2947</v>
      </c>
      <c r="F3837" s="337" t="s">
        <v>1712</v>
      </c>
      <c r="G3837" s="342" t="s">
        <v>1692</v>
      </c>
      <c r="H3837" s="337" t="s">
        <v>910</v>
      </c>
      <c r="I3837" s="337" t="s">
        <v>961</v>
      </c>
      <c r="J3837" s="352">
        <v>96496.92</v>
      </c>
      <c r="K3837" s="353"/>
      <c r="L3837" s="352">
        <v>45.82</v>
      </c>
      <c r="M3837" s="352">
        <v>45.82</v>
      </c>
      <c r="N3837" s="354"/>
      <c r="O3837" s="355">
        <v>0.3</v>
      </c>
      <c r="P3837" s="355"/>
      <c r="Q3837" s="354">
        <v>0</v>
      </c>
      <c r="R3837" s="337" t="s">
        <v>251</v>
      </c>
      <c r="S3837" s="356" t="s">
        <v>74</v>
      </c>
      <c r="T3837" s="346">
        <v>32</v>
      </c>
      <c r="U3837" s="357" t="s">
        <v>164</v>
      </c>
      <c r="V3837" s="434"/>
      <c r="X3837" s="354">
        <v>0</v>
      </c>
      <c r="Y3837" s="354"/>
      <c r="AI3837" s="337">
        <v>0</v>
      </c>
      <c r="AJ3837" s="358"/>
      <c r="AK3837" s="369"/>
    </row>
    <row r="3838" spans="1:77" s="379" customFormat="1" ht="11.25" customHeight="1">
      <c r="B3838" s="380" t="s">
        <v>291</v>
      </c>
      <c r="C3838" s="381">
        <v>44767</v>
      </c>
      <c r="D3838" s="381">
        <v>44767</v>
      </c>
      <c r="E3838" s="382" t="s">
        <v>2948</v>
      </c>
      <c r="F3838" s="379" t="s">
        <v>1689</v>
      </c>
      <c r="G3838" s="400" t="s">
        <v>1690</v>
      </c>
      <c r="H3838" s="379" t="s">
        <v>866</v>
      </c>
      <c r="I3838" s="379" t="s">
        <v>961</v>
      </c>
      <c r="J3838" s="385">
        <v>49623.519999999997</v>
      </c>
      <c r="K3838" s="384"/>
      <c r="L3838" s="385">
        <v>37.479999999999997</v>
      </c>
      <c r="M3838" s="385">
        <v>37.479999999999997</v>
      </c>
      <c r="N3838" s="386">
        <v>23574.92</v>
      </c>
      <c r="O3838" s="387">
        <v>0.3</v>
      </c>
      <c r="P3838" s="387"/>
      <c r="Q3838" s="386">
        <v>14872.06</v>
      </c>
      <c r="R3838" s="379" t="s">
        <v>251</v>
      </c>
      <c r="S3838" s="388" t="s">
        <v>74</v>
      </c>
      <c r="T3838" s="399">
        <v>32</v>
      </c>
      <c r="U3838" s="389" t="s">
        <v>164</v>
      </c>
      <c r="V3838" s="433"/>
      <c r="X3838" s="386">
        <v>14872.06</v>
      </c>
      <c r="Y3838" s="386"/>
      <c r="AJ3838" s="416">
        <v>14872.06</v>
      </c>
    </row>
    <row r="3839" spans="1:77" s="337" customFormat="1" ht="11.25" customHeight="1">
      <c r="B3839" s="338" t="s">
        <v>291</v>
      </c>
      <c r="C3839" s="349">
        <v>44763</v>
      </c>
      <c r="D3839" s="349">
        <v>44767</v>
      </c>
      <c r="E3839" s="350" t="s">
        <v>2949</v>
      </c>
      <c r="F3839" s="376" t="s">
        <v>2950</v>
      </c>
      <c r="G3839" s="342" t="s">
        <v>2951</v>
      </c>
      <c r="H3839" s="337" t="s">
        <v>866</v>
      </c>
      <c r="I3839" s="337" t="s">
        <v>958</v>
      </c>
      <c r="J3839" s="352">
        <v>220594.38</v>
      </c>
      <c r="K3839" s="353"/>
      <c r="L3839" s="352">
        <v>94.03</v>
      </c>
      <c r="M3839" s="352">
        <v>94.03</v>
      </c>
      <c r="N3839" s="354">
        <v>114219.23</v>
      </c>
      <c r="O3839" s="355">
        <v>0.25</v>
      </c>
      <c r="P3839" s="355"/>
      <c r="Q3839" s="354">
        <v>55916.21</v>
      </c>
      <c r="R3839" s="341" t="s">
        <v>112</v>
      </c>
      <c r="S3839" s="356" t="s">
        <v>113</v>
      </c>
      <c r="T3839" s="346">
        <v>40</v>
      </c>
      <c r="U3839" s="357" t="s">
        <v>164</v>
      </c>
      <c r="V3839" s="434"/>
      <c r="X3839" s="354">
        <v>55916.21</v>
      </c>
      <c r="Y3839" s="354"/>
      <c r="AI3839" s="354">
        <v>55916.21</v>
      </c>
      <c r="AJ3839" s="358"/>
      <c r="AK3839" s="369"/>
    </row>
    <row r="3840" spans="1:77" s="337" customFormat="1" ht="11.25" customHeight="1">
      <c r="B3840" s="338" t="s">
        <v>291</v>
      </c>
      <c r="C3840" s="349">
        <v>44768</v>
      </c>
      <c r="D3840" s="349">
        <v>44768</v>
      </c>
      <c r="E3840" s="350" t="s">
        <v>2952</v>
      </c>
      <c r="F3840" s="337" t="s">
        <v>1980</v>
      </c>
      <c r="G3840" s="351">
        <v>4124</v>
      </c>
      <c r="H3840" s="337" t="s">
        <v>866</v>
      </c>
      <c r="I3840" s="353" t="s">
        <v>33</v>
      </c>
      <c r="J3840" s="352">
        <v>26965.3</v>
      </c>
      <c r="K3840" s="353"/>
      <c r="L3840" s="352">
        <v>18.82</v>
      </c>
      <c r="M3840" s="352">
        <v>18.809999999999999</v>
      </c>
      <c r="N3840" s="354"/>
      <c r="O3840" s="355">
        <v>0.15</v>
      </c>
      <c r="P3840" s="355"/>
      <c r="Q3840" s="354">
        <v>11233.28</v>
      </c>
      <c r="R3840" s="337" t="s">
        <v>146</v>
      </c>
      <c r="S3840" s="356" t="s">
        <v>74</v>
      </c>
      <c r="T3840" s="346">
        <v>31</v>
      </c>
      <c r="U3840" s="357" t="s">
        <v>164</v>
      </c>
      <c r="V3840" s="434"/>
      <c r="X3840" s="354">
        <v>11233.28</v>
      </c>
      <c r="Y3840" s="354"/>
      <c r="AI3840" s="354">
        <v>11233.28</v>
      </c>
      <c r="AJ3840" s="358"/>
      <c r="AK3840" s="369"/>
    </row>
    <row r="3841" spans="1:77" s="473" customFormat="1" ht="11.25" customHeight="1">
      <c r="A3841" s="546"/>
      <c r="B3841" s="559" t="s">
        <v>291</v>
      </c>
      <c r="C3841" s="547"/>
      <c r="D3841" s="547"/>
      <c r="E3841" s="548" t="s">
        <v>2953</v>
      </c>
      <c r="F3841" s="576" t="s">
        <v>2954</v>
      </c>
      <c r="G3841" s="562" t="s">
        <v>2955</v>
      </c>
      <c r="H3841" s="546" t="s">
        <v>137</v>
      </c>
      <c r="I3841" s="551" t="s">
        <v>33</v>
      </c>
      <c r="J3841" s="550">
        <v>468270</v>
      </c>
      <c r="K3841" s="551"/>
      <c r="L3841" s="550">
        <v>363</v>
      </c>
      <c r="M3841" s="550">
        <v>363</v>
      </c>
      <c r="N3841" s="552"/>
      <c r="O3841" s="553">
        <v>0.2</v>
      </c>
      <c r="P3841" s="553"/>
      <c r="Q3841" s="552">
        <v>242563.86</v>
      </c>
      <c r="R3841" s="558" t="s">
        <v>35</v>
      </c>
      <c r="S3841" s="554" t="s">
        <v>34</v>
      </c>
      <c r="T3841" s="567">
        <v>86</v>
      </c>
      <c r="U3841" s="555" t="s">
        <v>164</v>
      </c>
      <c r="V3841" s="556"/>
      <c r="W3841" s="546"/>
      <c r="X3841" s="552">
        <v>242563.86</v>
      </c>
      <c r="Y3841" s="552"/>
      <c r="Z3841" s="546"/>
      <c r="AA3841" s="546"/>
      <c r="AB3841" s="546"/>
      <c r="AC3841" s="546"/>
      <c r="AD3841" s="546"/>
      <c r="AE3841" s="546"/>
      <c r="AF3841" s="546"/>
      <c r="AG3841" s="546"/>
      <c r="AH3841" s="546"/>
      <c r="AI3841" s="546"/>
      <c r="AJ3841" s="557"/>
      <c r="AK3841" s="577">
        <v>211345.86</v>
      </c>
      <c r="AL3841" s="546"/>
      <c r="AM3841" s="580">
        <v>31218</v>
      </c>
      <c r="AN3841" s="546"/>
      <c r="AO3841" s="546"/>
      <c r="AP3841" s="546"/>
      <c r="AQ3841" s="546"/>
      <c r="AR3841" s="546"/>
      <c r="AS3841" s="546"/>
      <c r="AT3841" s="546"/>
      <c r="AU3841" s="546"/>
      <c r="AV3841" s="546"/>
      <c r="AW3841" s="546"/>
      <c r="AX3841" s="546"/>
      <c r="AY3841" s="546"/>
      <c r="AZ3841" s="546"/>
      <c r="BA3841" s="546"/>
      <c r="BB3841" s="546"/>
      <c r="BC3841" s="546"/>
      <c r="BD3841" s="546"/>
      <c r="BE3841" s="546"/>
      <c r="BF3841" s="546"/>
      <c r="BG3841" s="546"/>
      <c r="BH3841" s="546"/>
      <c r="BI3841" s="546"/>
      <c r="BJ3841" s="546"/>
      <c r="BK3841" s="546"/>
      <c r="BL3841" s="546"/>
      <c r="BM3841" s="546"/>
      <c r="BN3841" s="546"/>
      <c r="BO3841" s="546"/>
      <c r="BP3841" s="546"/>
      <c r="BQ3841" s="546"/>
      <c r="BR3841" s="546"/>
      <c r="BS3841" s="546"/>
      <c r="BT3841" s="546"/>
      <c r="BU3841" s="546"/>
      <c r="BV3841" s="546"/>
      <c r="BW3841" s="546"/>
      <c r="BX3841" s="546"/>
      <c r="BY3841" s="546"/>
    </row>
    <row r="3842" spans="1:77" s="546" customFormat="1" ht="11.25" customHeight="1">
      <c r="A3842" s="473"/>
      <c r="B3842" s="486" t="s">
        <v>291</v>
      </c>
      <c r="C3842" s="487">
        <v>44767</v>
      </c>
      <c r="D3842" s="487">
        <v>44768</v>
      </c>
      <c r="E3842" s="488" t="s">
        <v>2953</v>
      </c>
      <c r="F3842" s="499" t="s">
        <v>2954</v>
      </c>
      <c r="G3842" s="476" t="s">
        <v>2955</v>
      </c>
      <c r="H3842" s="473" t="s">
        <v>1300</v>
      </c>
      <c r="I3842" s="491" t="s">
        <v>33</v>
      </c>
      <c r="J3842" s="490">
        <v>22500</v>
      </c>
      <c r="K3842" s="491"/>
      <c r="L3842" s="490">
        <v>30</v>
      </c>
      <c r="M3842" s="490">
        <v>30</v>
      </c>
      <c r="N3842" s="492"/>
      <c r="O3842" s="493">
        <v>0.2</v>
      </c>
      <c r="P3842" s="493"/>
      <c r="Q3842" s="492">
        <v>0</v>
      </c>
      <c r="R3842" s="472" t="s">
        <v>35</v>
      </c>
      <c r="S3842" s="481" t="s">
        <v>34</v>
      </c>
      <c r="T3842" s="482">
        <v>86</v>
      </c>
      <c r="U3842" s="494" t="s">
        <v>164</v>
      </c>
      <c r="V3842" s="495"/>
      <c r="W3842" s="473"/>
      <c r="X3842" s="492">
        <v>0</v>
      </c>
      <c r="Y3842" s="492"/>
      <c r="Z3842" s="473"/>
      <c r="AA3842" s="473"/>
      <c r="AB3842" s="473"/>
      <c r="AC3842" s="473"/>
      <c r="AD3842" s="473"/>
      <c r="AE3842" s="473"/>
      <c r="AF3842" s="473"/>
      <c r="AG3842" s="473"/>
      <c r="AH3842" s="473"/>
      <c r="AI3842" s="473"/>
      <c r="AJ3842" s="485"/>
      <c r="AK3842" s="473">
        <v>0</v>
      </c>
      <c r="AL3842" s="473"/>
      <c r="AM3842" s="473"/>
      <c r="AN3842" s="473"/>
      <c r="AO3842" s="473"/>
      <c r="AP3842" s="473"/>
      <c r="AQ3842" s="473"/>
      <c r="AR3842" s="473"/>
      <c r="AS3842" s="473"/>
      <c r="AT3842" s="473"/>
      <c r="AU3842" s="473"/>
      <c r="AV3842" s="473"/>
      <c r="AW3842" s="473"/>
      <c r="AX3842" s="473"/>
      <c r="AY3842" s="473"/>
      <c r="AZ3842" s="473"/>
      <c r="BA3842" s="473"/>
      <c r="BB3842" s="473"/>
      <c r="BC3842" s="473"/>
      <c r="BD3842" s="473"/>
      <c r="BE3842" s="473"/>
      <c r="BF3842" s="473"/>
      <c r="BG3842" s="473"/>
      <c r="BH3842" s="473"/>
      <c r="BI3842" s="473"/>
      <c r="BJ3842" s="473"/>
      <c r="BK3842" s="473"/>
      <c r="BL3842" s="473"/>
      <c r="BM3842" s="473"/>
      <c r="BN3842" s="473"/>
      <c r="BO3842" s="473"/>
      <c r="BP3842" s="473"/>
      <c r="BQ3842" s="473"/>
      <c r="BR3842" s="473"/>
      <c r="BS3842" s="473"/>
      <c r="BT3842" s="473"/>
      <c r="BU3842" s="473"/>
      <c r="BV3842" s="473"/>
      <c r="BW3842" s="473"/>
      <c r="BX3842" s="473"/>
      <c r="BY3842" s="473"/>
    </row>
    <row r="3843" spans="1:77" s="379" customFormat="1" ht="11.25" customHeight="1">
      <c r="B3843" s="379" t="s">
        <v>291</v>
      </c>
      <c r="C3843" s="381">
        <v>44768</v>
      </c>
      <c r="D3843" s="381">
        <v>44768</v>
      </c>
      <c r="E3843" s="382" t="s">
        <v>2956</v>
      </c>
      <c r="F3843" s="379" t="s">
        <v>2212</v>
      </c>
      <c r="G3843" s="383">
        <v>3674</v>
      </c>
      <c r="H3843" s="379" t="s">
        <v>765</v>
      </c>
      <c r="I3843" s="384" t="s">
        <v>33</v>
      </c>
      <c r="J3843" s="385">
        <v>57063.92</v>
      </c>
      <c r="K3843" s="384"/>
      <c r="L3843" s="385">
        <v>67.34</v>
      </c>
      <c r="M3843" s="385">
        <v>67.33</v>
      </c>
      <c r="N3843" s="386">
        <v>8545.52</v>
      </c>
      <c r="O3843" s="387">
        <v>0.2</v>
      </c>
      <c r="P3843" s="387"/>
      <c r="Q3843" s="386">
        <v>0</v>
      </c>
      <c r="R3843" s="379" t="s">
        <v>29</v>
      </c>
      <c r="S3843" s="388" t="s">
        <v>51</v>
      </c>
      <c r="T3843" s="399">
        <v>52</v>
      </c>
      <c r="U3843" s="389" t="s">
        <v>164</v>
      </c>
      <c r="V3843" s="433"/>
      <c r="X3843" s="386">
        <v>0</v>
      </c>
      <c r="Y3843" s="386"/>
      <c r="AJ3843" s="390">
        <v>0</v>
      </c>
    </row>
    <row r="3844" spans="1:77" s="379" customFormat="1" ht="11.25" customHeight="1">
      <c r="B3844" s="379" t="s">
        <v>291</v>
      </c>
      <c r="C3844" s="381">
        <v>44768</v>
      </c>
      <c r="D3844" s="381">
        <v>44768</v>
      </c>
      <c r="E3844" s="382" t="s">
        <v>2957</v>
      </c>
      <c r="F3844" s="417" t="s">
        <v>2958</v>
      </c>
      <c r="G3844" s="400" t="s">
        <v>2959</v>
      </c>
      <c r="H3844" s="379" t="s">
        <v>866</v>
      </c>
      <c r="I3844" s="384" t="s">
        <v>961</v>
      </c>
      <c r="J3844" s="385">
        <v>12760.38</v>
      </c>
      <c r="K3844" s="384"/>
      <c r="L3844" s="385">
        <v>9.11</v>
      </c>
      <c r="M3844" s="385">
        <v>9.11</v>
      </c>
      <c r="N3844" s="386"/>
      <c r="O3844" s="387">
        <v>0.15</v>
      </c>
      <c r="P3844" s="387"/>
      <c r="Q3844" s="386">
        <v>0</v>
      </c>
      <c r="R3844" s="394" t="s">
        <v>112</v>
      </c>
      <c r="S3844" s="388" t="s">
        <v>113</v>
      </c>
      <c r="T3844" s="399">
        <v>64</v>
      </c>
      <c r="U3844" s="389" t="s">
        <v>164</v>
      </c>
      <c r="V3844" s="433"/>
      <c r="X3844" s="386">
        <v>0</v>
      </c>
      <c r="Y3844" s="386"/>
      <c r="AJ3844" s="390">
        <v>0</v>
      </c>
    </row>
    <row r="3845" spans="1:77" s="379" customFormat="1" ht="11.25" customHeight="1">
      <c r="A3845" s="473"/>
      <c r="B3845" s="473" t="s">
        <v>291</v>
      </c>
      <c r="C3845" s="487"/>
      <c r="D3845" s="487"/>
      <c r="E3845" s="488" t="s">
        <v>2960</v>
      </c>
      <c r="F3845" s="499" t="s">
        <v>2961</v>
      </c>
      <c r="G3845" s="476" t="s">
        <v>2962</v>
      </c>
      <c r="H3845" s="473" t="s">
        <v>866</v>
      </c>
      <c r="I3845" s="491" t="s">
        <v>961</v>
      </c>
      <c r="J3845" s="490">
        <v>35884.800000000003</v>
      </c>
      <c r="K3845" s="491"/>
      <c r="L3845" s="490">
        <v>36</v>
      </c>
      <c r="M3845" s="490">
        <v>36</v>
      </c>
      <c r="N3845" s="492"/>
      <c r="O3845" s="493">
        <v>0.25</v>
      </c>
      <c r="P3845" s="493"/>
      <c r="Q3845" s="492">
        <v>5428.8</v>
      </c>
      <c r="R3845" s="472" t="s">
        <v>146</v>
      </c>
      <c r="S3845" s="481" t="s">
        <v>74</v>
      </c>
      <c r="T3845" s="482">
        <v>31</v>
      </c>
      <c r="U3845" s="494" t="s">
        <v>164</v>
      </c>
      <c r="V3845" s="495"/>
      <c r="W3845" s="473"/>
      <c r="X3845" s="492">
        <v>5428.8</v>
      </c>
      <c r="Y3845" s="492"/>
      <c r="Z3845" s="473"/>
      <c r="AA3845" s="473"/>
      <c r="AB3845" s="473"/>
      <c r="AC3845" s="473"/>
      <c r="AD3845" s="473"/>
      <c r="AE3845" s="473"/>
      <c r="AF3845" s="473"/>
      <c r="AG3845" s="473"/>
      <c r="AH3845" s="473"/>
      <c r="AI3845" s="473"/>
      <c r="AJ3845" s="492"/>
      <c r="AK3845" s="505">
        <v>5428.8</v>
      </c>
      <c r="AL3845" s="473"/>
      <c r="AM3845" s="473"/>
      <c r="AN3845" s="473"/>
      <c r="AO3845" s="473"/>
      <c r="AP3845" s="473"/>
      <c r="AQ3845" s="473"/>
      <c r="AR3845" s="473"/>
      <c r="AS3845" s="473"/>
      <c r="AT3845" s="473"/>
      <c r="AU3845" s="473"/>
      <c r="AV3845" s="473"/>
      <c r="AW3845" s="473"/>
      <c r="AX3845" s="473"/>
      <c r="AY3845" s="473"/>
      <c r="AZ3845" s="473"/>
      <c r="BA3845" s="473"/>
      <c r="BB3845" s="473"/>
      <c r="BC3845" s="473"/>
      <c r="BD3845" s="473"/>
      <c r="BE3845" s="473"/>
      <c r="BF3845" s="473"/>
      <c r="BG3845" s="473"/>
      <c r="BH3845" s="473"/>
      <c r="BI3845" s="473"/>
      <c r="BJ3845" s="473"/>
      <c r="BK3845" s="473"/>
      <c r="BL3845" s="473"/>
      <c r="BM3845" s="473"/>
      <c r="BN3845" s="473"/>
      <c r="BO3845" s="473"/>
      <c r="BP3845" s="473"/>
      <c r="BQ3845" s="473"/>
      <c r="BR3845" s="473"/>
      <c r="BS3845" s="473"/>
      <c r="BT3845" s="473"/>
      <c r="BU3845" s="473"/>
      <c r="BV3845" s="473"/>
      <c r="BW3845" s="473"/>
      <c r="BX3845" s="473"/>
      <c r="BY3845" s="473"/>
    </row>
    <row r="3846" spans="1:77" s="473" customFormat="1" ht="11.25" customHeight="1">
      <c r="A3846" s="379"/>
      <c r="B3846" s="379" t="s">
        <v>291</v>
      </c>
      <c r="C3846" s="381">
        <v>44768</v>
      </c>
      <c r="D3846" s="381">
        <v>44768</v>
      </c>
      <c r="E3846" s="382" t="s">
        <v>2960</v>
      </c>
      <c r="F3846" s="417" t="s">
        <v>2961</v>
      </c>
      <c r="G3846" s="400" t="s">
        <v>2962</v>
      </c>
      <c r="H3846" s="379" t="s">
        <v>910</v>
      </c>
      <c r="I3846" s="384" t="s">
        <v>961</v>
      </c>
      <c r="J3846" s="385">
        <v>42120</v>
      </c>
      <c r="K3846" s="384"/>
      <c r="L3846" s="385">
        <v>22.5</v>
      </c>
      <c r="M3846" s="385">
        <v>22.5</v>
      </c>
      <c r="N3846" s="386"/>
      <c r="O3846" s="387">
        <v>0.25</v>
      </c>
      <c r="P3846" s="387"/>
      <c r="Q3846" s="386">
        <v>0</v>
      </c>
      <c r="R3846" s="394" t="s">
        <v>146</v>
      </c>
      <c r="S3846" s="388" t="s">
        <v>74</v>
      </c>
      <c r="T3846" s="399">
        <v>31</v>
      </c>
      <c r="U3846" s="389" t="s">
        <v>164</v>
      </c>
      <c r="V3846" s="433"/>
      <c r="W3846" s="379"/>
      <c r="X3846" s="386">
        <v>0</v>
      </c>
      <c r="Y3846" s="386"/>
      <c r="Z3846" s="379"/>
      <c r="AA3846" s="379"/>
      <c r="AB3846" s="379"/>
      <c r="AC3846" s="379"/>
      <c r="AD3846" s="379"/>
      <c r="AE3846" s="379"/>
      <c r="AF3846" s="379"/>
      <c r="AG3846" s="379"/>
      <c r="AH3846" s="379"/>
      <c r="AI3846" s="379"/>
      <c r="AJ3846" s="390">
        <v>0</v>
      </c>
      <c r="AK3846" s="379"/>
      <c r="AL3846" s="379"/>
      <c r="AM3846" s="379"/>
      <c r="AN3846" s="379"/>
      <c r="AO3846" s="379"/>
      <c r="AP3846" s="379"/>
      <c r="AQ3846" s="379"/>
      <c r="AR3846" s="379"/>
      <c r="AS3846" s="379"/>
      <c r="AT3846" s="379"/>
      <c r="AU3846" s="379"/>
      <c r="AV3846" s="379"/>
      <c r="AW3846" s="379"/>
      <c r="AX3846" s="379"/>
      <c r="AY3846" s="379"/>
      <c r="AZ3846" s="379"/>
      <c r="BA3846" s="379"/>
      <c r="BB3846" s="379"/>
      <c r="BC3846" s="379"/>
      <c r="BD3846" s="379"/>
      <c r="BE3846" s="379"/>
      <c r="BF3846" s="379"/>
      <c r="BG3846" s="379"/>
      <c r="BH3846" s="379"/>
      <c r="BI3846" s="379"/>
      <c r="BJ3846" s="379"/>
      <c r="BK3846" s="379"/>
      <c r="BL3846" s="379"/>
      <c r="BM3846" s="379"/>
      <c r="BN3846" s="379"/>
      <c r="BO3846" s="379"/>
      <c r="BP3846" s="379"/>
      <c r="BQ3846" s="379"/>
      <c r="BR3846" s="379"/>
      <c r="BS3846" s="379"/>
      <c r="BT3846" s="379"/>
      <c r="BU3846" s="379"/>
      <c r="BV3846" s="379"/>
      <c r="BW3846" s="379"/>
      <c r="BX3846" s="379"/>
      <c r="BY3846" s="379"/>
    </row>
    <row r="3847" spans="1:77" s="379" customFormat="1" ht="11.25" customHeight="1">
      <c r="B3847" s="379" t="s">
        <v>291</v>
      </c>
      <c r="C3847" s="381"/>
      <c r="D3847" s="381"/>
      <c r="E3847" s="382" t="s">
        <v>2960</v>
      </c>
      <c r="F3847" s="417" t="s">
        <v>2961</v>
      </c>
      <c r="G3847" s="400" t="s">
        <v>2962</v>
      </c>
      <c r="H3847" s="379" t="s">
        <v>765</v>
      </c>
      <c r="I3847" s="384" t="s">
        <v>961</v>
      </c>
      <c r="J3847" s="385">
        <v>24286.5</v>
      </c>
      <c r="K3847" s="384"/>
      <c r="L3847" s="385">
        <v>27</v>
      </c>
      <c r="M3847" s="385">
        <v>27</v>
      </c>
      <c r="N3847" s="386"/>
      <c r="O3847" s="387">
        <v>0.25</v>
      </c>
      <c r="P3847" s="387"/>
      <c r="Q3847" s="386">
        <v>0</v>
      </c>
      <c r="R3847" s="394" t="s">
        <v>146</v>
      </c>
      <c r="S3847" s="388" t="s">
        <v>74</v>
      </c>
      <c r="T3847" s="399">
        <v>31</v>
      </c>
      <c r="U3847" s="389" t="s">
        <v>164</v>
      </c>
      <c r="V3847" s="433"/>
      <c r="X3847" s="386">
        <v>0</v>
      </c>
      <c r="Y3847" s="386"/>
      <c r="AJ3847" s="390">
        <v>0</v>
      </c>
    </row>
    <row r="3848" spans="1:77" s="291" customFormat="1" ht="11.25" customHeight="1">
      <c r="A3848" s="291" t="s">
        <v>3893</v>
      </c>
      <c r="B3848" s="291" t="s">
        <v>291</v>
      </c>
      <c r="C3848" s="292">
        <v>44767</v>
      </c>
      <c r="D3848" s="292">
        <v>44768</v>
      </c>
      <c r="E3848" s="293" t="s">
        <v>2964</v>
      </c>
      <c r="F3848" s="291" t="s">
        <v>908</v>
      </c>
      <c r="G3848" s="294">
        <v>3673</v>
      </c>
      <c r="H3848" s="291" t="s">
        <v>898</v>
      </c>
      <c r="I3848" s="295" t="s">
        <v>33</v>
      </c>
      <c r="J3848" s="296">
        <v>66148.289999999994</v>
      </c>
      <c r="K3848" s="295"/>
      <c r="L3848" s="296">
        <v>43.49</v>
      </c>
      <c r="M3848" s="296">
        <v>43.49</v>
      </c>
      <c r="N3848" s="297">
        <v>17566.05</v>
      </c>
      <c r="O3848" s="298">
        <v>0.2</v>
      </c>
      <c r="P3848" s="298"/>
      <c r="Q3848" s="297">
        <v>17566.05</v>
      </c>
      <c r="R3848" s="291" t="s">
        <v>50</v>
      </c>
      <c r="S3848" s="299" t="s">
        <v>51</v>
      </c>
      <c r="T3848" s="308">
        <v>55</v>
      </c>
      <c r="U3848" s="300" t="s">
        <v>164</v>
      </c>
      <c r="V3848" s="333"/>
      <c r="X3848" s="297">
        <v>17566.05</v>
      </c>
      <c r="Y3848" s="297"/>
      <c r="AH3848" s="297">
        <f>X3848</f>
        <v>17566.05</v>
      </c>
      <c r="AI3848" s="311"/>
      <c r="AJ3848" s="468"/>
    </row>
    <row r="3849" spans="1:77" s="6" customFormat="1" ht="11.25" customHeight="1">
      <c r="A3849" s="379"/>
      <c r="B3849" s="379" t="s">
        <v>291</v>
      </c>
      <c r="C3849" s="381">
        <v>44766</v>
      </c>
      <c r="D3849" s="381">
        <v>44769</v>
      </c>
      <c r="E3849" s="382" t="s">
        <v>2965</v>
      </c>
      <c r="F3849" s="379" t="s">
        <v>2966</v>
      </c>
      <c r="G3849" s="383" t="s">
        <v>2967</v>
      </c>
      <c r="H3849" s="379" t="s">
        <v>910</v>
      </c>
      <c r="I3849" s="384" t="s">
        <v>1195</v>
      </c>
      <c r="J3849" s="385">
        <v>25070.1</v>
      </c>
      <c r="K3849" s="384"/>
      <c r="L3849" s="385">
        <v>14.2</v>
      </c>
      <c r="M3849" s="385">
        <v>14.2</v>
      </c>
      <c r="N3849" s="386"/>
      <c r="O3849" s="387">
        <v>0.2</v>
      </c>
      <c r="P3849" s="387"/>
      <c r="Q3849" s="386">
        <v>0</v>
      </c>
      <c r="R3849" s="379" t="s">
        <v>112</v>
      </c>
      <c r="S3849" s="388" t="s">
        <v>113</v>
      </c>
      <c r="T3849" s="399">
        <v>64</v>
      </c>
      <c r="U3849" s="389" t="s">
        <v>164</v>
      </c>
      <c r="V3849" s="433"/>
      <c r="W3849" s="379"/>
      <c r="X3849" s="386">
        <v>0</v>
      </c>
      <c r="Y3849" s="386"/>
      <c r="Z3849" s="379"/>
      <c r="AA3849" s="379"/>
      <c r="AB3849" s="379"/>
      <c r="AC3849" s="379"/>
      <c r="AD3849" s="379"/>
      <c r="AE3849" s="379"/>
      <c r="AF3849" s="379"/>
      <c r="AG3849" s="379"/>
      <c r="AH3849" s="379"/>
      <c r="AI3849" s="379"/>
      <c r="AJ3849" s="390">
        <v>0</v>
      </c>
      <c r="AK3849" s="379"/>
      <c r="AL3849" s="379"/>
      <c r="AM3849" s="379"/>
      <c r="AN3849" s="379"/>
      <c r="AO3849" s="379"/>
      <c r="AP3849" s="379"/>
      <c r="AQ3849" s="379"/>
      <c r="AR3849" s="379"/>
      <c r="AS3849" s="379"/>
      <c r="AT3849" s="379"/>
      <c r="AU3849" s="379"/>
      <c r="AV3849" s="379"/>
      <c r="AW3849" s="379"/>
      <c r="AX3849" s="379"/>
      <c r="AY3849" s="379"/>
      <c r="AZ3849" s="379"/>
      <c r="BA3849" s="379"/>
      <c r="BB3849" s="379"/>
      <c r="BC3849" s="379"/>
      <c r="BD3849" s="379"/>
      <c r="BE3849" s="379"/>
      <c r="BF3849" s="379"/>
      <c r="BG3849" s="379"/>
      <c r="BH3849" s="379"/>
      <c r="BI3849" s="379"/>
      <c r="BJ3849" s="379"/>
      <c r="BK3849" s="379"/>
      <c r="BL3849" s="379"/>
      <c r="BM3849" s="379"/>
      <c r="BN3849" s="379"/>
      <c r="BO3849" s="379"/>
      <c r="BP3849" s="379"/>
      <c r="BQ3849" s="379"/>
      <c r="BR3849" s="379"/>
      <c r="BS3849" s="379"/>
      <c r="BT3849" s="379"/>
      <c r="BU3849" s="379"/>
      <c r="BV3849" s="379"/>
      <c r="BW3849" s="379"/>
      <c r="BX3849" s="379"/>
      <c r="BY3849" s="379"/>
    </row>
    <row r="3850" spans="1:77" s="6" customFormat="1" ht="10.5" customHeight="1">
      <c r="A3850" s="379"/>
      <c r="B3850" s="379" t="s">
        <v>291</v>
      </c>
      <c r="C3850" s="381"/>
      <c r="D3850" s="381"/>
      <c r="E3850" s="382" t="s">
        <v>2965</v>
      </c>
      <c r="F3850" s="379" t="s">
        <v>2966</v>
      </c>
      <c r="G3850" s="383" t="s">
        <v>2967</v>
      </c>
      <c r="H3850" s="379" t="s">
        <v>866</v>
      </c>
      <c r="I3850" s="384" t="s">
        <v>1195</v>
      </c>
      <c r="J3850" s="385">
        <v>25107.72</v>
      </c>
      <c r="K3850" s="384"/>
      <c r="L3850" s="385">
        <v>16.54</v>
      </c>
      <c r="M3850" s="385">
        <v>16.54</v>
      </c>
      <c r="N3850" s="386"/>
      <c r="O3850" s="387">
        <v>0.2</v>
      </c>
      <c r="P3850" s="387"/>
      <c r="Q3850" s="386">
        <v>0</v>
      </c>
      <c r="R3850" s="379" t="s">
        <v>112</v>
      </c>
      <c r="S3850" s="388" t="s">
        <v>113</v>
      </c>
      <c r="T3850" s="399">
        <v>64</v>
      </c>
      <c r="U3850" s="389" t="s">
        <v>164</v>
      </c>
      <c r="V3850" s="433"/>
      <c r="W3850" s="379"/>
      <c r="X3850" s="386">
        <v>0</v>
      </c>
      <c r="Y3850" s="386"/>
      <c r="Z3850" s="379"/>
      <c r="AA3850" s="379"/>
      <c r="AB3850" s="379"/>
      <c r="AC3850" s="379"/>
      <c r="AD3850" s="379"/>
      <c r="AE3850" s="379"/>
      <c r="AF3850" s="379"/>
      <c r="AG3850" s="379"/>
      <c r="AH3850" s="379"/>
      <c r="AI3850" s="379"/>
      <c r="AJ3850" s="390">
        <v>0</v>
      </c>
      <c r="AK3850" s="379"/>
      <c r="AL3850" s="379"/>
      <c r="AM3850" s="379"/>
      <c r="AN3850" s="379"/>
      <c r="AO3850" s="379"/>
      <c r="AP3850" s="379"/>
      <c r="AQ3850" s="379"/>
      <c r="AR3850" s="379"/>
      <c r="AS3850" s="379"/>
      <c r="AT3850" s="379"/>
      <c r="AU3850" s="379"/>
      <c r="AV3850" s="379"/>
      <c r="AW3850" s="379"/>
      <c r="AX3850" s="379"/>
      <c r="AY3850" s="379"/>
      <c r="AZ3850" s="379"/>
      <c r="BA3850" s="379"/>
      <c r="BB3850" s="379"/>
      <c r="BC3850" s="379"/>
      <c r="BD3850" s="379"/>
      <c r="BE3850" s="379"/>
      <c r="BF3850" s="379"/>
      <c r="BG3850" s="379"/>
      <c r="BH3850" s="379"/>
      <c r="BI3850" s="379"/>
      <c r="BJ3850" s="379"/>
      <c r="BK3850" s="379"/>
      <c r="BL3850" s="379"/>
      <c r="BM3850" s="379"/>
      <c r="BN3850" s="379"/>
      <c r="BO3850" s="379"/>
      <c r="BP3850" s="379"/>
      <c r="BQ3850" s="379"/>
      <c r="BR3850" s="379"/>
      <c r="BS3850" s="379"/>
      <c r="BT3850" s="379"/>
      <c r="BU3850" s="379"/>
      <c r="BV3850" s="379"/>
      <c r="BW3850" s="379"/>
      <c r="BX3850" s="379"/>
      <c r="BY3850" s="379"/>
    </row>
    <row r="3851" spans="1:77" s="205" customFormat="1" ht="11.25" customHeight="1">
      <c r="B3851" s="205" t="s">
        <v>291</v>
      </c>
      <c r="C3851" s="207"/>
      <c r="D3851" s="207"/>
      <c r="E3851" s="208" t="s">
        <v>2965</v>
      </c>
      <c r="F3851" s="205" t="s">
        <v>2966</v>
      </c>
      <c r="G3851" s="209" t="s">
        <v>2967</v>
      </c>
      <c r="H3851" s="205" t="s">
        <v>765</v>
      </c>
      <c r="I3851" s="219" t="s">
        <v>1195</v>
      </c>
      <c r="J3851" s="210">
        <v>18973.68</v>
      </c>
      <c r="K3851" s="219"/>
      <c r="L3851" s="210">
        <v>10.119999999999999</v>
      </c>
      <c r="M3851" s="210">
        <v>10.119999999999999</v>
      </c>
      <c r="N3851" s="213"/>
      <c r="O3851" s="212">
        <v>0.2</v>
      </c>
      <c r="P3851" s="212"/>
      <c r="Q3851" s="213">
        <v>0</v>
      </c>
      <c r="R3851" s="205" t="s">
        <v>112</v>
      </c>
      <c r="S3851" s="214" t="s">
        <v>113</v>
      </c>
      <c r="T3851" s="221">
        <v>64</v>
      </c>
      <c r="U3851" s="215" t="s">
        <v>164</v>
      </c>
      <c r="V3851" s="438"/>
      <c r="X3851" s="213">
        <v>0</v>
      </c>
      <c r="Y3851" s="213"/>
      <c r="AF3851" s="230">
        <f>X3851</f>
        <v>0</v>
      </c>
      <c r="AJ3851" s="216"/>
    </row>
    <row r="3852" spans="1:77" s="337" customFormat="1" ht="11.25" customHeight="1">
      <c r="B3852" s="338" t="s">
        <v>291</v>
      </c>
      <c r="C3852" s="349">
        <v>44766</v>
      </c>
      <c r="D3852" s="349">
        <v>44768</v>
      </c>
      <c r="E3852" s="350" t="s">
        <v>2968</v>
      </c>
      <c r="F3852" s="337" t="s">
        <v>1083</v>
      </c>
      <c r="G3852" s="351" t="s">
        <v>1084</v>
      </c>
      <c r="H3852" s="337" t="s">
        <v>866</v>
      </c>
      <c r="I3852" s="353" t="s">
        <v>961</v>
      </c>
      <c r="J3852" s="352">
        <v>22456.1</v>
      </c>
      <c r="K3852" s="353"/>
      <c r="L3852" s="352">
        <v>11.15</v>
      </c>
      <c r="M3852" s="352">
        <v>11.15</v>
      </c>
      <c r="N3852" s="354">
        <v>8802.19</v>
      </c>
      <c r="O3852" s="355">
        <v>0.2</v>
      </c>
      <c r="P3852" s="355"/>
      <c r="Q3852" s="354">
        <v>0</v>
      </c>
      <c r="R3852" s="375" t="s">
        <v>112</v>
      </c>
      <c r="S3852" s="356" t="s">
        <v>65</v>
      </c>
      <c r="T3852" s="346">
        <v>64</v>
      </c>
      <c r="U3852" s="357" t="s">
        <v>164</v>
      </c>
      <c r="V3852" s="434"/>
      <c r="X3852" s="354">
        <v>0</v>
      </c>
      <c r="Y3852" s="354"/>
      <c r="AI3852" s="337">
        <v>0</v>
      </c>
      <c r="AJ3852" s="358"/>
      <c r="AK3852" s="369"/>
    </row>
    <row r="3853" spans="1:77" s="337" customFormat="1" ht="11.25" customHeight="1">
      <c r="B3853" s="338" t="s">
        <v>291</v>
      </c>
      <c r="C3853" s="349"/>
      <c r="D3853" s="349"/>
      <c r="E3853" s="350" t="s">
        <v>2968</v>
      </c>
      <c r="F3853" s="337" t="s">
        <v>1083</v>
      </c>
      <c r="G3853" s="351" t="s">
        <v>1084</v>
      </c>
      <c r="H3853" s="337" t="s">
        <v>2171</v>
      </c>
      <c r="I3853" s="353" t="s">
        <v>961</v>
      </c>
      <c r="J3853" s="352">
        <v>71658.12</v>
      </c>
      <c r="K3853" s="353"/>
      <c r="L3853" s="352">
        <v>35.58</v>
      </c>
      <c r="M3853" s="352">
        <v>35.58</v>
      </c>
      <c r="N3853" s="354">
        <v>35120.129999999997</v>
      </c>
      <c r="O3853" s="345">
        <v>0.2</v>
      </c>
      <c r="P3853" s="355"/>
      <c r="Q3853" s="354">
        <v>0</v>
      </c>
      <c r="R3853" s="375" t="s">
        <v>112</v>
      </c>
      <c r="S3853" s="356" t="s">
        <v>65</v>
      </c>
      <c r="T3853" s="346">
        <v>64</v>
      </c>
      <c r="U3853" s="357" t="s">
        <v>164</v>
      </c>
      <c r="V3853" s="434"/>
      <c r="X3853" s="354">
        <v>0</v>
      </c>
      <c r="Y3853" s="354"/>
      <c r="AI3853" s="337">
        <v>0</v>
      </c>
      <c r="AJ3853" s="358"/>
      <c r="AK3853" s="369"/>
    </row>
    <row r="3854" spans="1:77" s="337" customFormat="1" ht="11.25" customHeight="1">
      <c r="B3854" s="338" t="s">
        <v>291</v>
      </c>
      <c r="C3854" s="349"/>
      <c r="D3854" s="349"/>
      <c r="E3854" s="350" t="s">
        <v>2968</v>
      </c>
      <c r="F3854" s="337" t="s">
        <v>1083</v>
      </c>
      <c r="G3854" s="351" t="s">
        <v>1084</v>
      </c>
      <c r="H3854" s="337" t="s">
        <v>814</v>
      </c>
      <c r="I3854" s="353" t="s">
        <v>961</v>
      </c>
      <c r="J3854" s="352">
        <v>16083.9</v>
      </c>
      <c r="K3854" s="353"/>
      <c r="L3854" s="352">
        <v>11.1</v>
      </c>
      <c r="M3854" s="352">
        <v>11.1</v>
      </c>
      <c r="N3854" s="354">
        <v>8846.15</v>
      </c>
      <c r="O3854" s="345">
        <v>0.2</v>
      </c>
      <c r="P3854" s="355"/>
      <c r="Q3854" s="354">
        <v>7398.59</v>
      </c>
      <c r="R3854" s="375" t="s">
        <v>112</v>
      </c>
      <c r="S3854" s="356" t="s">
        <v>65</v>
      </c>
      <c r="T3854" s="346">
        <v>64</v>
      </c>
      <c r="U3854" s="357" t="s">
        <v>164</v>
      </c>
      <c r="V3854" s="434"/>
      <c r="X3854" s="354">
        <v>7398.59</v>
      </c>
      <c r="Y3854" s="354"/>
      <c r="AI3854" s="354">
        <v>7398.59</v>
      </c>
      <c r="AJ3854" s="358"/>
      <c r="AK3854" s="369"/>
    </row>
    <row r="3855" spans="1:77" s="337" customFormat="1" ht="11.25" customHeight="1">
      <c r="B3855" s="338" t="s">
        <v>291</v>
      </c>
      <c r="C3855" s="349">
        <v>44768</v>
      </c>
      <c r="D3855" s="349">
        <v>44768</v>
      </c>
      <c r="E3855" s="350" t="s">
        <v>2969</v>
      </c>
      <c r="F3855" s="337" t="s">
        <v>1930</v>
      </c>
      <c r="G3855" s="351" t="s">
        <v>1931</v>
      </c>
      <c r="H3855" s="337" t="s">
        <v>765</v>
      </c>
      <c r="I3855" s="353" t="s">
        <v>888</v>
      </c>
      <c r="J3855" s="352">
        <v>101204.55</v>
      </c>
      <c r="K3855" s="353"/>
      <c r="L3855" s="352">
        <v>84.69</v>
      </c>
      <c r="M3855" s="352">
        <v>84.69</v>
      </c>
      <c r="N3855" s="354">
        <v>15180.682500000001</v>
      </c>
      <c r="O3855" s="345">
        <v>0.2</v>
      </c>
      <c r="P3855" s="355"/>
      <c r="Q3855" s="354">
        <v>0</v>
      </c>
      <c r="R3855" s="337" t="s">
        <v>285</v>
      </c>
      <c r="S3855" s="356" t="s">
        <v>275</v>
      </c>
      <c r="T3855" s="346">
        <v>21</v>
      </c>
      <c r="U3855" s="357" t="s">
        <v>164</v>
      </c>
      <c r="V3855" s="434"/>
      <c r="X3855" s="354">
        <v>0</v>
      </c>
      <c r="Y3855" s="354"/>
      <c r="AI3855" s="337">
        <v>0</v>
      </c>
      <c r="AJ3855" s="358"/>
      <c r="AK3855" s="369"/>
    </row>
    <row r="3856" spans="1:77" s="337" customFormat="1" ht="11.25" customHeight="1">
      <c r="B3856" s="338" t="s">
        <v>291</v>
      </c>
      <c r="C3856" s="349"/>
      <c r="D3856" s="349"/>
      <c r="E3856" s="350" t="s">
        <v>2969</v>
      </c>
      <c r="F3856" s="337" t="s">
        <v>1930</v>
      </c>
      <c r="G3856" s="351" t="s">
        <v>1931</v>
      </c>
      <c r="H3856" s="337" t="s">
        <v>27</v>
      </c>
      <c r="I3856" s="353" t="s">
        <v>888</v>
      </c>
      <c r="J3856" s="352">
        <v>5930.4</v>
      </c>
      <c r="K3856" s="353"/>
      <c r="L3856" s="352">
        <v>10.59</v>
      </c>
      <c r="M3856" s="352">
        <v>10.59</v>
      </c>
      <c r="N3856" s="354">
        <v>2965.2</v>
      </c>
      <c r="O3856" s="345">
        <v>0.2</v>
      </c>
      <c r="P3856" s="355"/>
      <c r="Q3856" s="354">
        <v>4109.32</v>
      </c>
      <c r="R3856" s="337" t="s">
        <v>285</v>
      </c>
      <c r="S3856" s="356" t="s">
        <v>275</v>
      </c>
      <c r="T3856" s="346">
        <v>21</v>
      </c>
      <c r="U3856" s="357" t="s">
        <v>164</v>
      </c>
      <c r="V3856" s="434"/>
      <c r="X3856" s="354">
        <v>4109.32</v>
      </c>
      <c r="Y3856" s="354"/>
      <c r="AI3856" s="354">
        <v>4109.32</v>
      </c>
      <c r="AJ3856" s="358"/>
      <c r="AK3856" s="369"/>
    </row>
    <row r="3857" spans="1:77" s="379" customFormat="1" ht="11.25" customHeight="1">
      <c r="B3857" s="380" t="s">
        <v>291</v>
      </c>
      <c r="C3857" s="381">
        <v>44764</v>
      </c>
      <c r="D3857" s="381">
        <v>44769</v>
      </c>
      <c r="E3857" s="382" t="s">
        <v>2970</v>
      </c>
      <c r="F3857" s="379" t="s">
        <v>44</v>
      </c>
      <c r="G3857" s="400">
        <v>3991</v>
      </c>
      <c r="H3857" s="379" t="s">
        <v>910</v>
      </c>
      <c r="I3857" s="384" t="s">
        <v>1487</v>
      </c>
      <c r="J3857" s="385">
        <v>26591.46</v>
      </c>
      <c r="K3857" s="384"/>
      <c r="L3857" s="385">
        <v>13.69</v>
      </c>
      <c r="M3857" s="385">
        <v>13.69</v>
      </c>
      <c r="N3857" s="386"/>
      <c r="O3857" s="397">
        <v>0.3</v>
      </c>
      <c r="P3857" s="387"/>
      <c r="Q3857" s="386">
        <v>1415</v>
      </c>
      <c r="R3857" s="379" t="s">
        <v>35</v>
      </c>
      <c r="S3857" s="388" t="s">
        <v>41</v>
      </c>
      <c r="T3857" s="399">
        <v>79</v>
      </c>
      <c r="U3857" s="389" t="s">
        <v>164</v>
      </c>
      <c r="V3857" s="433">
        <v>1415</v>
      </c>
      <c r="X3857" s="386">
        <v>1415</v>
      </c>
      <c r="Y3857" s="386"/>
      <c r="AJ3857" s="390">
        <v>1415</v>
      </c>
    </row>
    <row r="3858" spans="1:77" s="6" customFormat="1" ht="11.25" customHeight="1">
      <c r="A3858" s="379"/>
      <c r="B3858" s="380" t="s">
        <v>291</v>
      </c>
      <c r="C3858" s="381">
        <v>44767</v>
      </c>
      <c r="D3858" s="381">
        <v>44769</v>
      </c>
      <c r="E3858" s="382" t="s">
        <v>2973</v>
      </c>
      <c r="F3858" s="379" t="s">
        <v>2974</v>
      </c>
      <c r="G3858" s="383" t="s">
        <v>2975</v>
      </c>
      <c r="H3858" s="379" t="s">
        <v>1141</v>
      </c>
      <c r="I3858" s="384" t="s">
        <v>33</v>
      </c>
      <c r="J3858" s="385">
        <v>7791</v>
      </c>
      <c r="K3858" s="384"/>
      <c r="L3858" s="385">
        <v>8.4</v>
      </c>
      <c r="M3858" s="385">
        <v>8.4</v>
      </c>
      <c r="N3858" s="386"/>
      <c r="O3858" s="397">
        <v>0.15</v>
      </c>
      <c r="P3858" s="387"/>
      <c r="Q3858" s="386">
        <v>0</v>
      </c>
      <c r="R3858" s="402" t="s">
        <v>73</v>
      </c>
      <c r="S3858" s="388" t="s">
        <v>113</v>
      </c>
      <c r="T3858" s="399">
        <v>82</v>
      </c>
      <c r="U3858" s="389" t="s">
        <v>164</v>
      </c>
      <c r="V3858" s="433"/>
      <c r="W3858" s="379"/>
      <c r="X3858" s="386">
        <v>0</v>
      </c>
      <c r="Y3858" s="386"/>
      <c r="Z3858" s="379"/>
      <c r="AA3858" s="379"/>
      <c r="AB3858" s="379"/>
      <c r="AC3858" s="379"/>
      <c r="AD3858" s="379"/>
      <c r="AE3858" s="379"/>
      <c r="AF3858" s="379"/>
      <c r="AG3858" s="379"/>
      <c r="AH3858" s="379"/>
      <c r="AI3858" s="379"/>
      <c r="AJ3858" s="390">
        <v>0</v>
      </c>
      <c r="AK3858" s="379"/>
      <c r="AL3858" s="379"/>
      <c r="AM3858" s="379"/>
      <c r="AN3858" s="379"/>
      <c r="AO3858" s="379"/>
      <c r="AP3858" s="379"/>
      <c r="AQ3858" s="379"/>
      <c r="AR3858" s="379"/>
      <c r="AS3858" s="379"/>
      <c r="AT3858" s="379"/>
      <c r="AU3858" s="379"/>
      <c r="AV3858" s="379"/>
      <c r="AW3858" s="379"/>
      <c r="AX3858" s="379"/>
      <c r="AY3858" s="379"/>
      <c r="AZ3858" s="379"/>
      <c r="BA3858" s="379"/>
      <c r="BB3858" s="379"/>
      <c r="BC3858" s="379"/>
      <c r="BD3858" s="379"/>
      <c r="BE3858" s="379"/>
      <c r="BF3858" s="379"/>
      <c r="BG3858" s="379"/>
      <c r="BH3858" s="379"/>
      <c r="BI3858" s="379"/>
      <c r="BJ3858" s="379"/>
      <c r="BK3858" s="379"/>
      <c r="BL3858" s="379"/>
      <c r="BM3858" s="379"/>
      <c r="BN3858" s="379"/>
      <c r="BO3858" s="379"/>
      <c r="BP3858" s="379"/>
      <c r="BQ3858" s="379"/>
      <c r="BR3858" s="379"/>
      <c r="BS3858" s="379"/>
      <c r="BT3858" s="379"/>
      <c r="BU3858" s="379"/>
      <c r="BV3858" s="379"/>
      <c r="BW3858" s="379"/>
      <c r="BX3858" s="379"/>
      <c r="BY3858" s="379"/>
    </row>
    <row r="3859" spans="1:77" s="6" customFormat="1" ht="11.25" customHeight="1">
      <c r="A3859" s="379"/>
      <c r="B3859" s="380" t="s">
        <v>291</v>
      </c>
      <c r="C3859" s="381"/>
      <c r="D3859" s="381"/>
      <c r="E3859" s="382" t="s">
        <v>2973</v>
      </c>
      <c r="F3859" s="379" t="s">
        <v>2974</v>
      </c>
      <c r="G3859" s="383" t="s">
        <v>2975</v>
      </c>
      <c r="H3859" s="379" t="s">
        <v>765</v>
      </c>
      <c r="I3859" s="384" t="s">
        <v>33</v>
      </c>
      <c r="J3859" s="385">
        <v>13627.5</v>
      </c>
      <c r="K3859" s="384"/>
      <c r="L3859" s="385">
        <v>11.85</v>
      </c>
      <c r="M3859" s="385">
        <v>11.85</v>
      </c>
      <c r="N3859" s="386"/>
      <c r="O3859" s="397">
        <v>0.15</v>
      </c>
      <c r="P3859" s="387"/>
      <c r="Q3859" s="386">
        <v>0</v>
      </c>
      <c r="R3859" s="402" t="s">
        <v>73</v>
      </c>
      <c r="S3859" s="388" t="s">
        <v>113</v>
      </c>
      <c r="T3859" s="399">
        <v>82</v>
      </c>
      <c r="U3859" s="389" t="s">
        <v>164</v>
      </c>
      <c r="V3859" s="433"/>
      <c r="W3859" s="379"/>
      <c r="X3859" s="386">
        <v>0</v>
      </c>
      <c r="Y3859" s="386"/>
      <c r="Z3859" s="379"/>
      <c r="AA3859" s="379"/>
      <c r="AB3859" s="379"/>
      <c r="AC3859" s="379"/>
      <c r="AD3859" s="379"/>
      <c r="AE3859" s="379"/>
      <c r="AF3859" s="379"/>
      <c r="AG3859" s="379"/>
      <c r="AH3859" s="379"/>
      <c r="AI3859" s="379"/>
      <c r="AJ3859" s="390">
        <v>0</v>
      </c>
      <c r="AK3859" s="379"/>
      <c r="AL3859" s="379"/>
      <c r="AM3859" s="379"/>
      <c r="AN3859" s="379"/>
      <c r="AO3859" s="379"/>
      <c r="AP3859" s="379"/>
      <c r="AQ3859" s="379"/>
      <c r="AR3859" s="379"/>
      <c r="AS3859" s="379"/>
      <c r="AT3859" s="379"/>
      <c r="AU3859" s="379"/>
      <c r="AV3859" s="379"/>
      <c r="AW3859" s="379"/>
      <c r="AX3859" s="379"/>
      <c r="AY3859" s="379"/>
      <c r="AZ3859" s="379"/>
      <c r="BA3859" s="379"/>
      <c r="BB3859" s="379"/>
      <c r="BC3859" s="379"/>
      <c r="BD3859" s="379"/>
      <c r="BE3859" s="379"/>
      <c r="BF3859" s="379"/>
      <c r="BG3859" s="379"/>
      <c r="BH3859" s="379"/>
      <c r="BI3859" s="379"/>
      <c r="BJ3859" s="379"/>
      <c r="BK3859" s="379"/>
      <c r="BL3859" s="379"/>
      <c r="BM3859" s="379"/>
      <c r="BN3859" s="379"/>
      <c r="BO3859" s="379"/>
      <c r="BP3859" s="379"/>
      <c r="BQ3859" s="379"/>
      <c r="BR3859" s="379"/>
      <c r="BS3859" s="379"/>
      <c r="BT3859" s="379"/>
      <c r="BU3859" s="379"/>
      <c r="BV3859" s="379"/>
      <c r="BW3859" s="379"/>
      <c r="BX3859" s="379"/>
      <c r="BY3859" s="379"/>
    </row>
    <row r="3860" spans="1:77" s="379" customFormat="1" ht="11.25" customHeight="1">
      <c r="B3860" s="379" t="s">
        <v>291</v>
      </c>
      <c r="C3860" s="381">
        <v>44767</v>
      </c>
      <c r="D3860" s="381">
        <v>44769</v>
      </c>
      <c r="E3860" s="382" t="s">
        <v>2976</v>
      </c>
      <c r="F3860" s="379" t="s">
        <v>223</v>
      </c>
      <c r="G3860" s="383">
        <v>3628</v>
      </c>
      <c r="H3860" s="379" t="s">
        <v>1141</v>
      </c>
      <c r="I3860" s="384" t="s">
        <v>33</v>
      </c>
      <c r="J3860" s="385">
        <v>18893.25</v>
      </c>
      <c r="K3860" s="384"/>
      <c r="L3860" s="385">
        <v>12.15</v>
      </c>
      <c r="M3860" s="385">
        <v>12.15</v>
      </c>
      <c r="N3860" s="386"/>
      <c r="O3860" s="397">
        <v>0.15</v>
      </c>
      <c r="P3860" s="387"/>
      <c r="Q3860" s="386">
        <v>6658.65</v>
      </c>
      <c r="R3860" s="402" t="s">
        <v>73</v>
      </c>
      <c r="S3860" s="388" t="s">
        <v>113</v>
      </c>
      <c r="T3860" s="399">
        <v>82</v>
      </c>
      <c r="U3860" s="389" t="s">
        <v>164</v>
      </c>
      <c r="V3860" s="433"/>
      <c r="X3860" s="386">
        <v>6658.65</v>
      </c>
      <c r="Y3860" s="386"/>
      <c r="AJ3860" s="416">
        <v>6658.65</v>
      </c>
    </row>
    <row r="3861" spans="1:77" s="379" customFormat="1" ht="11.25" customHeight="1">
      <c r="B3861" s="379" t="s">
        <v>291</v>
      </c>
      <c r="C3861" s="381"/>
      <c r="D3861" s="381"/>
      <c r="E3861" s="382" t="s">
        <v>2976</v>
      </c>
      <c r="F3861" s="379" t="s">
        <v>223</v>
      </c>
      <c r="G3861" s="383">
        <v>3628</v>
      </c>
      <c r="H3861" s="379" t="s">
        <v>1141</v>
      </c>
      <c r="I3861" s="384" t="s">
        <v>33</v>
      </c>
      <c r="J3861" s="385">
        <v>16265.3</v>
      </c>
      <c r="K3861" s="384"/>
      <c r="L3861" s="385">
        <v>10.46</v>
      </c>
      <c r="M3861" s="385">
        <v>10.46</v>
      </c>
      <c r="N3861" s="386"/>
      <c r="O3861" s="397">
        <v>0.15</v>
      </c>
      <c r="P3861" s="387"/>
      <c r="Q3861" s="386">
        <v>0</v>
      </c>
      <c r="R3861" s="402" t="s">
        <v>73</v>
      </c>
      <c r="S3861" s="388" t="s">
        <v>113</v>
      </c>
      <c r="T3861" s="399">
        <v>31</v>
      </c>
      <c r="U3861" s="389" t="s">
        <v>164</v>
      </c>
      <c r="V3861" s="433"/>
      <c r="X3861" s="386">
        <v>0</v>
      </c>
      <c r="Y3861" s="386"/>
      <c r="AJ3861" s="390">
        <v>0</v>
      </c>
    </row>
    <row r="3862" spans="1:77" s="379" customFormat="1" ht="11.25" customHeight="1">
      <c r="B3862" s="379" t="s">
        <v>291</v>
      </c>
      <c r="C3862" s="381"/>
      <c r="D3862" s="381"/>
      <c r="E3862" s="382" t="s">
        <v>2976</v>
      </c>
      <c r="F3862" s="379" t="s">
        <v>223</v>
      </c>
      <c r="G3862" s="383">
        <v>3628</v>
      </c>
      <c r="H3862" s="379" t="s">
        <v>765</v>
      </c>
      <c r="I3862" s="384" t="s">
        <v>33</v>
      </c>
      <c r="J3862" s="385">
        <v>41529.599999999999</v>
      </c>
      <c r="K3862" s="384"/>
      <c r="L3862" s="385">
        <v>51.5</v>
      </c>
      <c r="M3862" s="385">
        <v>51.5</v>
      </c>
      <c r="N3862" s="386"/>
      <c r="O3862" s="397">
        <v>0.15</v>
      </c>
      <c r="P3862" s="387"/>
      <c r="Q3862" s="386">
        <v>5418.85</v>
      </c>
      <c r="R3862" s="402" t="s">
        <v>73</v>
      </c>
      <c r="S3862" s="388" t="s">
        <v>113</v>
      </c>
      <c r="T3862" s="399">
        <v>31</v>
      </c>
      <c r="U3862" s="389" t="s">
        <v>164</v>
      </c>
      <c r="V3862" s="433"/>
      <c r="X3862" s="386">
        <v>5418.85</v>
      </c>
      <c r="Y3862" s="386"/>
      <c r="AJ3862" s="416">
        <v>5418.85</v>
      </c>
    </row>
    <row r="3863" spans="1:77" s="379" customFormat="1" ht="11.25" customHeight="1">
      <c r="B3863" s="379" t="s">
        <v>291</v>
      </c>
      <c r="C3863" s="381"/>
      <c r="D3863" s="381"/>
      <c r="E3863" s="382" t="s">
        <v>2976</v>
      </c>
      <c r="F3863" s="379" t="s">
        <v>223</v>
      </c>
      <c r="G3863" s="383">
        <v>3628</v>
      </c>
      <c r="H3863" s="379" t="s">
        <v>765</v>
      </c>
      <c r="I3863" s="384" t="s">
        <v>33</v>
      </c>
      <c r="J3863" s="385">
        <v>8217.2199999999993</v>
      </c>
      <c r="K3863" s="384"/>
      <c r="L3863" s="385">
        <v>10.19</v>
      </c>
      <c r="M3863" s="385">
        <v>10.19</v>
      </c>
      <c r="N3863" s="386"/>
      <c r="O3863" s="397">
        <v>0.15</v>
      </c>
      <c r="P3863" s="387"/>
      <c r="Q3863" s="386">
        <v>0</v>
      </c>
      <c r="R3863" s="402" t="s">
        <v>73</v>
      </c>
      <c r="S3863" s="388" t="s">
        <v>113</v>
      </c>
      <c r="T3863" s="399">
        <v>82</v>
      </c>
      <c r="U3863" s="389" t="s">
        <v>164</v>
      </c>
      <c r="V3863" s="433"/>
      <c r="X3863" s="386">
        <v>0</v>
      </c>
      <c r="Y3863" s="386"/>
      <c r="AJ3863" s="390">
        <v>0</v>
      </c>
    </row>
    <row r="3864" spans="1:77" s="337" customFormat="1" ht="11.25" customHeight="1">
      <c r="B3864" s="337" t="s">
        <v>291</v>
      </c>
      <c r="C3864" s="349">
        <v>44765</v>
      </c>
      <c r="D3864" s="349">
        <v>44769</v>
      </c>
      <c r="E3864" s="350" t="s">
        <v>2978</v>
      </c>
      <c r="F3864" s="337" t="s">
        <v>2979</v>
      </c>
      <c r="G3864" s="351">
        <v>4325</v>
      </c>
      <c r="H3864" s="337" t="s">
        <v>765</v>
      </c>
      <c r="I3864" s="353" t="s">
        <v>961</v>
      </c>
      <c r="J3864" s="352">
        <v>56576.06</v>
      </c>
      <c r="K3864" s="353"/>
      <c r="L3864" s="352">
        <v>71.87</v>
      </c>
      <c r="M3864" s="352">
        <v>41.83</v>
      </c>
      <c r="N3864" s="354"/>
      <c r="O3864" s="345">
        <v>0.15</v>
      </c>
      <c r="P3864" s="355"/>
      <c r="Q3864" s="354">
        <v>6425.09</v>
      </c>
      <c r="R3864" s="375" t="s">
        <v>128</v>
      </c>
      <c r="S3864" s="356" t="s">
        <v>34</v>
      </c>
      <c r="T3864" s="346">
        <v>17</v>
      </c>
      <c r="U3864" s="357" t="s">
        <v>164</v>
      </c>
      <c r="V3864" s="434"/>
      <c r="X3864" s="354">
        <v>6425.09</v>
      </c>
      <c r="Y3864" s="354"/>
      <c r="AI3864" s="354">
        <v>6425.09</v>
      </c>
      <c r="AJ3864" s="358"/>
      <c r="AK3864" s="369"/>
    </row>
    <row r="3865" spans="1:77" s="291" customFormat="1" ht="11.25" customHeight="1">
      <c r="A3865" s="291" t="s">
        <v>3893</v>
      </c>
      <c r="B3865" s="317" t="s">
        <v>291</v>
      </c>
      <c r="C3865" s="292">
        <v>44760</v>
      </c>
      <c r="D3865" s="292">
        <v>44769</v>
      </c>
      <c r="E3865" s="293" t="s">
        <v>2980</v>
      </c>
      <c r="F3865" s="295" t="s">
        <v>129</v>
      </c>
      <c r="G3865" s="320">
        <v>3718</v>
      </c>
      <c r="H3865" s="291" t="s">
        <v>898</v>
      </c>
      <c r="I3865" s="295" t="s">
        <v>888</v>
      </c>
      <c r="J3865" s="296">
        <v>23301.05</v>
      </c>
      <c r="K3865" s="295"/>
      <c r="L3865" s="296">
        <v>17.350000000000001</v>
      </c>
      <c r="M3865" s="296">
        <v>17.350000000000001</v>
      </c>
      <c r="N3865" s="297">
        <v>9320.42</v>
      </c>
      <c r="O3865" s="307">
        <v>0.2</v>
      </c>
      <c r="P3865" s="298"/>
      <c r="Q3865" s="312">
        <v>8751.34</v>
      </c>
      <c r="R3865" s="295" t="s">
        <v>50</v>
      </c>
      <c r="S3865" s="322" t="s">
        <v>51</v>
      </c>
      <c r="T3865" s="322">
        <v>54</v>
      </c>
      <c r="U3865" s="300" t="s">
        <v>164</v>
      </c>
      <c r="V3865" s="333"/>
      <c r="X3865" s="312">
        <v>8751.34</v>
      </c>
      <c r="Y3865" s="297"/>
      <c r="AH3865" s="312">
        <f>X3865</f>
        <v>8751.34</v>
      </c>
      <c r="AI3865" s="311"/>
      <c r="AJ3865" s="468"/>
    </row>
    <row r="3866" spans="1:77" s="473" customFormat="1" ht="11.25" customHeight="1">
      <c r="B3866" s="486" t="s">
        <v>291</v>
      </c>
      <c r="C3866" s="487">
        <v>44769</v>
      </c>
      <c r="D3866" s="487">
        <v>44769</v>
      </c>
      <c r="E3866" s="488" t="s">
        <v>2981</v>
      </c>
      <c r="F3866" s="473" t="s">
        <v>1681</v>
      </c>
      <c r="G3866" s="489" t="s">
        <v>1682</v>
      </c>
      <c r="H3866" s="473" t="s">
        <v>814</v>
      </c>
      <c r="I3866" s="491" t="s">
        <v>2982</v>
      </c>
      <c r="J3866" s="490">
        <v>35796.199999999997</v>
      </c>
      <c r="K3866" s="491"/>
      <c r="L3866" s="490">
        <v>23.32</v>
      </c>
      <c r="M3866" s="490">
        <v>15</v>
      </c>
      <c r="N3866" s="492">
        <v>17898.099999999999</v>
      </c>
      <c r="O3866" s="480">
        <v>0.25</v>
      </c>
      <c r="P3866" s="493"/>
      <c r="Q3866" s="492">
        <v>8774.15</v>
      </c>
      <c r="R3866" s="473" t="s">
        <v>285</v>
      </c>
      <c r="S3866" s="481" t="s">
        <v>275</v>
      </c>
      <c r="T3866" s="481">
        <v>21</v>
      </c>
      <c r="U3866" s="494" t="s">
        <v>164</v>
      </c>
      <c r="V3866" s="495"/>
      <c r="X3866" s="492">
        <v>8774.15</v>
      </c>
      <c r="Y3866" s="492"/>
      <c r="AJ3866" s="485"/>
      <c r="AK3866" s="505">
        <v>8774.15</v>
      </c>
    </row>
    <row r="3867" spans="1:77" s="473" customFormat="1" ht="11.25" customHeight="1">
      <c r="B3867" s="473" t="s">
        <v>291</v>
      </c>
      <c r="C3867" s="487">
        <v>44769</v>
      </c>
      <c r="D3867" s="487">
        <v>44769</v>
      </c>
      <c r="E3867" s="488" t="s">
        <v>2983</v>
      </c>
      <c r="F3867" s="473" t="s">
        <v>2581</v>
      </c>
      <c r="G3867" s="489">
        <v>4255</v>
      </c>
      <c r="H3867" s="473" t="s">
        <v>898</v>
      </c>
      <c r="I3867" s="491" t="s">
        <v>33</v>
      </c>
      <c r="J3867" s="490">
        <v>39307.199999999997</v>
      </c>
      <c r="K3867" s="491"/>
      <c r="L3867" s="490">
        <v>32</v>
      </c>
      <c r="M3867" s="490">
        <v>32</v>
      </c>
      <c r="N3867" s="492">
        <f>15427.59-N3868</f>
        <v>13886.470000000001</v>
      </c>
      <c r="O3867" s="480">
        <v>0.2</v>
      </c>
      <c r="P3867" s="493"/>
      <c r="Q3867" s="492">
        <v>6517.76</v>
      </c>
      <c r="R3867" s="502" t="s">
        <v>29</v>
      </c>
      <c r="S3867" s="481" t="s">
        <v>30</v>
      </c>
      <c r="T3867" s="482">
        <v>90</v>
      </c>
      <c r="U3867" s="494" t="s">
        <v>164</v>
      </c>
      <c r="V3867" s="495"/>
      <c r="X3867" s="492">
        <v>6517.76</v>
      </c>
      <c r="Y3867" s="492"/>
      <c r="AJ3867" s="485"/>
      <c r="AK3867" s="505">
        <v>6517.76</v>
      </c>
    </row>
    <row r="3868" spans="1:77" s="473" customFormat="1" ht="11.25" customHeight="1">
      <c r="B3868" s="473" t="s">
        <v>291</v>
      </c>
      <c r="C3868" s="487"/>
      <c r="D3868" s="487"/>
      <c r="E3868" s="488" t="s">
        <v>2983</v>
      </c>
      <c r="F3868" s="473" t="s">
        <v>2581</v>
      </c>
      <c r="G3868" s="489">
        <v>4255</v>
      </c>
      <c r="H3868" s="473" t="s">
        <v>866</v>
      </c>
      <c r="I3868" s="491" t="s">
        <v>33</v>
      </c>
      <c r="J3868" s="490">
        <v>6442.8</v>
      </c>
      <c r="K3868" s="491"/>
      <c r="L3868" s="490">
        <v>5</v>
      </c>
      <c r="M3868" s="490">
        <v>5</v>
      </c>
      <c r="N3868" s="492">
        <v>1541.12</v>
      </c>
      <c r="O3868" s="480">
        <v>0.2</v>
      </c>
      <c r="P3868" s="493"/>
      <c r="Q3868" s="492">
        <v>233.86</v>
      </c>
      <c r="R3868" s="502" t="s">
        <v>29</v>
      </c>
      <c r="S3868" s="481" t="s">
        <v>30</v>
      </c>
      <c r="T3868" s="482">
        <v>90</v>
      </c>
      <c r="U3868" s="494" t="s">
        <v>164</v>
      </c>
      <c r="V3868" s="495"/>
      <c r="X3868" s="492">
        <v>233.86</v>
      </c>
      <c r="Y3868" s="492"/>
      <c r="AJ3868" s="485"/>
      <c r="AK3868" s="505">
        <v>233.86</v>
      </c>
    </row>
    <row r="3869" spans="1:77" s="337" customFormat="1" ht="11.25" customHeight="1">
      <c r="B3869" s="337" t="s">
        <v>291</v>
      </c>
      <c r="C3869" s="349">
        <v>44767</v>
      </c>
      <c r="D3869" s="349">
        <v>44769</v>
      </c>
      <c r="E3869" s="350" t="s">
        <v>2984</v>
      </c>
      <c r="F3869" s="337" t="s">
        <v>2031</v>
      </c>
      <c r="G3869" s="351" t="s">
        <v>2032</v>
      </c>
      <c r="H3869" s="337" t="s">
        <v>866</v>
      </c>
      <c r="I3869" s="353" t="s">
        <v>33</v>
      </c>
      <c r="J3869" s="352">
        <v>37935.18</v>
      </c>
      <c r="K3869" s="353"/>
      <c r="L3869" s="352">
        <v>28.87</v>
      </c>
      <c r="M3869" s="352">
        <v>28.87</v>
      </c>
      <c r="N3869" s="354"/>
      <c r="O3869" s="355">
        <v>0.2</v>
      </c>
      <c r="P3869" s="355"/>
      <c r="Q3869" s="354">
        <v>14966.21</v>
      </c>
      <c r="R3869" s="337" t="s">
        <v>128</v>
      </c>
      <c r="S3869" s="356" t="s">
        <v>41</v>
      </c>
      <c r="T3869" s="356">
        <v>16</v>
      </c>
      <c r="U3869" s="357" t="s">
        <v>164</v>
      </c>
      <c r="V3869" s="434"/>
      <c r="X3869" s="354">
        <v>14966.21</v>
      </c>
      <c r="Y3869" s="354"/>
      <c r="AI3869" s="354">
        <v>14966.21</v>
      </c>
      <c r="AJ3869" s="358"/>
      <c r="AK3869" s="369"/>
    </row>
    <row r="3870" spans="1:77" s="379" customFormat="1" ht="11.25" customHeight="1">
      <c r="B3870" s="380" t="s">
        <v>291</v>
      </c>
      <c r="C3870" s="381">
        <v>44767</v>
      </c>
      <c r="D3870" s="381">
        <v>44769</v>
      </c>
      <c r="E3870" s="382" t="s">
        <v>2985</v>
      </c>
      <c r="F3870" s="379" t="s">
        <v>484</v>
      </c>
      <c r="G3870" s="383">
        <v>4096</v>
      </c>
      <c r="H3870" s="379" t="s">
        <v>1141</v>
      </c>
      <c r="I3870" s="384" t="s">
        <v>33</v>
      </c>
      <c r="J3870" s="385">
        <v>6132.24</v>
      </c>
      <c r="K3870" s="384"/>
      <c r="L3870" s="385">
        <v>6.68</v>
      </c>
      <c r="M3870" s="385">
        <v>6.68</v>
      </c>
      <c r="N3870" s="386"/>
      <c r="O3870" s="387">
        <v>0.25</v>
      </c>
      <c r="P3870" s="387"/>
      <c r="Q3870" s="386">
        <v>635.94000000000005</v>
      </c>
      <c r="R3870" s="379" t="s">
        <v>73</v>
      </c>
      <c r="S3870" s="388" t="s">
        <v>74</v>
      </c>
      <c r="T3870" s="388">
        <v>32</v>
      </c>
      <c r="U3870" s="389" t="s">
        <v>164</v>
      </c>
      <c r="V3870" s="433"/>
      <c r="X3870" s="386">
        <v>635.94000000000005</v>
      </c>
      <c r="Y3870" s="386"/>
      <c r="AJ3870" s="416">
        <v>635.94000000000005</v>
      </c>
    </row>
    <row r="3871" spans="1:77" s="379" customFormat="1" ht="11.25" customHeight="1">
      <c r="B3871" s="380" t="s">
        <v>291</v>
      </c>
      <c r="C3871" s="381"/>
      <c r="D3871" s="381"/>
      <c r="E3871" s="382" t="s">
        <v>2985</v>
      </c>
      <c r="F3871" s="379" t="s">
        <v>484</v>
      </c>
      <c r="G3871" s="383">
        <v>4096</v>
      </c>
      <c r="H3871" s="379" t="s">
        <v>765</v>
      </c>
      <c r="I3871" s="384" t="s">
        <v>33</v>
      </c>
      <c r="J3871" s="385">
        <v>10227.879999999999</v>
      </c>
      <c r="K3871" s="384"/>
      <c r="L3871" s="385">
        <v>15.13</v>
      </c>
      <c r="M3871" s="385">
        <v>15.13</v>
      </c>
      <c r="N3871" s="386"/>
      <c r="O3871" s="387">
        <v>0.25</v>
      </c>
      <c r="P3871" s="387"/>
      <c r="Q3871" s="386">
        <v>2035.85</v>
      </c>
      <c r="R3871" s="379" t="s">
        <v>73</v>
      </c>
      <c r="S3871" s="388" t="s">
        <v>74</v>
      </c>
      <c r="T3871" s="388">
        <v>32</v>
      </c>
      <c r="U3871" s="389" t="s">
        <v>164</v>
      </c>
      <c r="V3871" s="433"/>
      <c r="X3871" s="386">
        <v>2035.85</v>
      </c>
      <c r="Y3871" s="386"/>
      <c r="AJ3871" s="416">
        <v>2035.85</v>
      </c>
    </row>
    <row r="3872" spans="1:77" s="379" customFormat="1" ht="11.25" customHeight="1">
      <c r="B3872" s="380" t="s">
        <v>291</v>
      </c>
      <c r="C3872" s="381"/>
      <c r="D3872" s="381"/>
      <c r="E3872" s="382" t="s">
        <v>2985</v>
      </c>
      <c r="F3872" s="379" t="s">
        <v>484</v>
      </c>
      <c r="G3872" s="383">
        <v>4096</v>
      </c>
      <c r="H3872" s="379" t="s">
        <v>814</v>
      </c>
      <c r="I3872" s="384" t="s">
        <v>33</v>
      </c>
      <c r="J3872" s="385">
        <v>4000.56</v>
      </c>
      <c r="K3872" s="384"/>
      <c r="L3872" s="385">
        <v>4.22</v>
      </c>
      <c r="M3872" s="385">
        <v>4.22</v>
      </c>
      <c r="N3872" s="386"/>
      <c r="O3872" s="387">
        <v>0.25</v>
      </c>
      <c r="P3872" s="387"/>
      <c r="Q3872" s="386">
        <v>2325.2199999999998</v>
      </c>
      <c r="R3872" s="379" t="s">
        <v>73</v>
      </c>
      <c r="S3872" s="388" t="s">
        <v>74</v>
      </c>
      <c r="T3872" s="388">
        <v>32</v>
      </c>
      <c r="U3872" s="389" t="s">
        <v>164</v>
      </c>
      <c r="V3872" s="433"/>
      <c r="X3872" s="386">
        <v>2325.2199999999998</v>
      </c>
      <c r="Y3872" s="386"/>
      <c r="AJ3872" s="416">
        <v>2325.2199999999998</v>
      </c>
    </row>
    <row r="3873" spans="2:37" s="379" customFormat="1" ht="11.25" customHeight="1">
      <c r="B3873" s="380" t="s">
        <v>291</v>
      </c>
      <c r="C3873" s="381">
        <v>44769</v>
      </c>
      <c r="D3873" s="381">
        <v>44769</v>
      </c>
      <c r="E3873" s="382" t="s">
        <v>3759</v>
      </c>
      <c r="F3873" s="379" t="s">
        <v>1837</v>
      </c>
      <c r="G3873" s="383" t="s">
        <v>1838</v>
      </c>
      <c r="H3873" s="379" t="s">
        <v>898</v>
      </c>
      <c r="I3873" s="384" t="s">
        <v>888</v>
      </c>
      <c r="J3873" s="385">
        <v>14418.12</v>
      </c>
      <c r="K3873" s="384"/>
      <c r="L3873" s="385">
        <v>9.11</v>
      </c>
      <c r="M3873" s="385">
        <v>9.11</v>
      </c>
      <c r="N3873" s="386"/>
      <c r="O3873" s="397">
        <v>0.2</v>
      </c>
      <c r="P3873" s="387"/>
      <c r="Q3873" s="386">
        <v>5737.81</v>
      </c>
      <c r="R3873" s="379" t="s">
        <v>576</v>
      </c>
      <c r="S3873" s="388" t="s">
        <v>41</v>
      </c>
      <c r="T3873" s="399">
        <v>79</v>
      </c>
      <c r="U3873" s="389" t="s">
        <v>164</v>
      </c>
      <c r="V3873" s="433"/>
      <c r="X3873" s="386">
        <v>5737.81</v>
      </c>
      <c r="Y3873" s="386"/>
      <c r="AJ3873" s="416">
        <v>5737.81</v>
      </c>
    </row>
    <row r="3874" spans="2:37" s="337" customFormat="1" ht="11.25" customHeight="1">
      <c r="B3874" s="338" t="s">
        <v>291</v>
      </c>
      <c r="C3874" s="349">
        <v>44768</v>
      </c>
      <c r="D3874" s="349">
        <v>44769</v>
      </c>
      <c r="E3874" s="350" t="s">
        <v>2989</v>
      </c>
      <c r="F3874" s="341" t="s">
        <v>1432</v>
      </c>
      <c r="G3874" s="342">
        <v>4613</v>
      </c>
      <c r="H3874" s="337" t="s">
        <v>814</v>
      </c>
      <c r="I3874" s="341" t="s">
        <v>888</v>
      </c>
      <c r="J3874" s="352">
        <v>13281.8</v>
      </c>
      <c r="K3874" s="353"/>
      <c r="L3874" s="352">
        <v>8.9499999999999993</v>
      </c>
      <c r="M3874" s="352">
        <v>8.9499999999999993</v>
      </c>
      <c r="N3874" s="354"/>
      <c r="O3874" s="345">
        <v>0.25</v>
      </c>
      <c r="P3874" s="355"/>
      <c r="Q3874" s="354">
        <v>0</v>
      </c>
      <c r="R3874" s="341" t="s">
        <v>257</v>
      </c>
      <c r="S3874" s="346" t="s">
        <v>74</v>
      </c>
      <c r="T3874" s="346">
        <v>32</v>
      </c>
      <c r="U3874" s="357" t="s">
        <v>164</v>
      </c>
      <c r="V3874" s="434"/>
      <c r="X3874" s="354">
        <v>0</v>
      </c>
      <c r="Y3874" s="354"/>
      <c r="AI3874" s="337">
        <v>0</v>
      </c>
      <c r="AJ3874" s="358"/>
      <c r="AK3874" s="369"/>
    </row>
    <row r="3875" spans="2:37" s="337" customFormat="1" ht="11.25" customHeight="1">
      <c r="B3875" s="338" t="s">
        <v>291</v>
      </c>
      <c r="C3875" s="349"/>
      <c r="D3875" s="349"/>
      <c r="E3875" s="350" t="s">
        <v>2989</v>
      </c>
      <c r="F3875" s="341" t="s">
        <v>1432</v>
      </c>
      <c r="G3875" s="342">
        <v>4613</v>
      </c>
      <c r="H3875" s="337" t="s">
        <v>765</v>
      </c>
      <c r="I3875" s="341" t="s">
        <v>888</v>
      </c>
      <c r="J3875" s="352">
        <v>19674.72</v>
      </c>
      <c r="K3875" s="353"/>
      <c r="L3875" s="352">
        <v>21.02</v>
      </c>
      <c r="M3875" s="352">
        <v>21.02</v>
      </c>
      <c r="N3875" s="354"/>
      <c r="O3875" s="345">
        <v>0.25</v>
      </c>
      <c r="P3875" s="355"/>
      <c r="Q3875" s="354">
        <v>0</v>
      </c>
      <c r="R3875" s="341" t="s">
        <v>257</v>
      </c>
      <c r="S3875" s="346" t="s">
        <v>74</v>
      </c>
      <c r="T3875" s="346">
        <v>32</v>
      </c>
      <c r="U3875" s="357" t="s">
        <v>164</v>
      </c>
      <c r="V3875" s="434"/>
      <c r="X3875" s="354">
        <v>0</v>
      </c>
      <c r="Y3875" s="354"/>
      <c r="AI3875" s="337">
        <v>0</v>
      </c>
      <c r="AJ3875" s="358"/>
      <c r="AK3875" s="369"/>
    </row>
    <row r="3876" spans="2:37" s="337" customFormat="1" ht="11.25" customHeight="1">
      <c r="B3876" s="338" t="s">
        <v>291</v>
      </c>
      <c r="C3876" s="349"/>
      <c r="D3876" s="349"/>
      <c r="E3876" s="350" t="s">
        <v>2989</v>
      </c>
      <c r="F3876" s="341" t="s">
        <v>1432</v>
      </c>
      <c r="G3876" s="342">
        <v>4613</v>
      </c>
      <c r="H3876" s="337" t="s">
        <v>910</v>
      </c>
      <c r="I3876" s="341" t="s">
        <v>888</v>
      </c>
      <c r="J3876" s="352">
        <v>13932.48</v>
      </c>
      <c r="K3876" s="353"/>
      <c r="L3876" s="352">
        <v>6.31</v>
      </c>
      <c r="M3876" s="352">
        <v>18.309999999999999</v>
      </c>
      <c r="N3876" s="354"/>
      <c r="O3876" s="345">
        <v>0.25</v>
      </c>
      <c r="P3876" s="355"/>
      <c r="Q3876" s="354">
        <v>0</v>
      </c>
      <c r="R3876" s="341" t="s">
        <v>257</v>
      </c>
      <c r="S3876" s="346" t="s">
        <v>74</v>
      </c>
      <c r="T3876" s="346">
        <v>32</v>
      </c>
      <c r="U3876" s="357" t="s">
        <v>164</v>
      </c>
      <c r="V3876" s="434"/>
      <c r="X3876" s="354">
        <v>0</v>
      </c>
      <c r="Y3876" s="354"/>
      <c r="AI3876" s="337">
        <v>0</v>
      </c>
      <c r="AJ3876" s="358"/>
      <c r="AK3876" s="369"/>
    </row>
    <row r="3877" spans="2:37" s="337" customFormat="1" ht="11.25" customHeight="1">
      <c r="B3877" s="337" t="s">
        <v>291</v>
      </c>
      <c r="C3877" s="349">
        <v>44769</v>
      </c>
      <c r="D3877" s="349">
        <v>44769</v>
      </c>
      <c r="E3877" s="350" t="s">
        <v>2990</v>
      </c>
      <c r="F3877" s="337" t="s">
        <v>297</v>
      </c>
      <c r="G3877" s="351" t="s">
        <v>299</v>
      </c>
      <c r="H3877" s="337" t="s">
        <v>866</v>
      </c>
      <c r="I3877" s="353" t="s">
        <v>2991</v>
      </c>
      <c r="J3877" s="352">
        <v>16907.599999999999</v>
      </c>
      <c r="K3877" s="353"/>
      <c r="L3877" s="352">
        <v>10.75</v>
      </c>
      <c r="M3877" s="352">
        <v>4</v>
      </c>
      <c r="N3877" s="354">
        <f>4513.94+3974.47</f>
        <v>8488.41</v>
      </c>
      <c r="O3877" s="345">
        <v>0.2</v>
      </c>
      <c r="P3877" s="355"/>
      <c r="Q3877" s="354">
        <v>6955.68</v>
      </c>
      <c r="R3877" s="337" t="s">
        <v>112</v>
      </c>
      <c r="S3877" s="356" t="s">
        <v>113</v>
      </c>
      <c r="T3877" s="346">
        <v>64</v>
      </c>
      <c r="U3877" s="357" t="s">
        <v>164</v>
      </c>
      <c r="V3877" s="434"/>
      <c r="X3877" s="354">
        <v>6955.68</v>
      </c>
      <c r="Y3877" s="354"/>
      <c r="AI3877" s="354">
        <v>6955.68</v>
      </c>
      <c r="AJ3877" s="358"/>
      <c r="AK3877" s="369"/>
    </row>
    <row r="3878" spans="2:37" s="337" customFormat="1" ht="11.25" customHeight="1">
      <c r="B3878" s="337" t="s">
        <v>291</v>
      </c>
      <c r="C3878" s="349"/>
      <c r="D3878" s="349"/>
      <c r="E3878" s="350" t="s">
        <v>2990</v>
      </c>
      <c r="F3878" s="337" t="s">
        <v>297</v>
      </c>
      <c r="G3878" s="351" t="s">
        <v>299</v>
      </c>
      <c r="H3878" s="337" t="s">
        <v>866</v>
      </c>
      <c r="I3878" s="353" t="s">
        <v>2991</v>
      </c>
      <c r="J3878" s="352">
        <v>27445.360000000001</v>
      </c>
      <c r="K3878" s="353"/>
      <c r="L3878" s="352">
        <v>17.45</v>
      </c>
      <c r="M3878" s="352">
        <v>10</v>
      </c>
      <c r="N3878" s="354">
        <f>8697.58+5257.08</f>
        <v>13954.66</v>
      </c>
      <c r="O3878" s="345">
        <v>0.2</v>
      </c>
      <c r="P3878" s="355"/>
      <c r="Q3878" s="354">
        <v>12351.81</v>
      </c>
      <c r="R3878" s="337" t="s">
        <v>112</v>
      </c>
      <c r="S3878" s="356" t="s">
        <v>113</v>
      </c>
      <c r="T3878" s="346">
        <v>40</v>
      </c>
      <c r="U3878" s="357" t="s">
        <v>164</v>
      </c>
      <c r="V3878" s="434"/>
      <c r="X3878" s="354">
        <v>12351.81</v>
      </c>
      <c r="Y3878" s="354"/>
      <c r="AI3878" s="354">
        <v>12351.81</v>
      </c>
      <c r="AJ3878" s="358"/>
      <c r="AK3878" s="369"/>
    </row>
    <row r="3879" spans="2:37" s="337" customFormat="1" ht="11.25" customHeight="1">
      <c r="B3879" s="337" t="s">
        <v>291</v>
      </c>
      <c r="C3879" s="349"/>
      <c r="D3879" s="349"/>
      <c r="E3879" s="350" t="s">
        <v>2990</v>
      </c>
      <c r="F3879" s="337" t="s">
        <v>297</v>
      </c>
      <c r="G3879" s="351" t="s">
        <v>299</v>
      </c>
      <c r="H3879" s="337" t="s">
        <v>765</v>
      </c>
      <c r="I3879" s="353" t="s">
        <v>2991</v>
      </c>
      <c r="J3879" s="352">
        <v>4148.4799999999996</v>
      </c>
      <c r="K3879" s="353"/>
      <c r="L3879" s="352">
        <v>4.63</v>
      </c>
      <c r="M3879" s="352">
        <v>2</v>
      </c>
      <c r="N3879" s="354">
        <f>414.85</f>
        <v>414.85</v>
      </c>
      <c r="O3879" s="345">
        <v>0.2</v>
      </c>
      <c r="P3879" s="355"/>
      <c r="Q3879" s="354">
        <v>758.39</v>
      </c>
      <c r="R3879" s="337" t="s">
        <v>112</v>
      </c>
      <c r="S3879" s="356" t="s">
        <v>113</v>
      </c>
      <c r="T3879" s="346">
        <v>64</v>
      </c>
      <c r="U3879" s="357" t="s">
        <v>164</v>
      </c>
      <c r="V3879" s="434"/>
      <c r="X3879" s="354">
        <v>758.39</v>
      </c>
      <c r="Y3879" s="354"/>
      <c r="AI3879" s="354">
        <v>758.39</v>
      </c>
      <c r="AJ3879" s="358"/>
      <c r="AK3879" s="369"/>
    </row>
    <row r="3880" spans="2:37" s="337" customFormat="1" ht="11.25" customHeight="1">
      <c r="B3880" s="337" t="s">
        <v>291</v>
      </c>
      <c r="C3880" s="349"/>
      <c r="D3880" s="349"/>
      <c r="E3880" s="350" t="s">
        <v>2990</v>
      </c>
      <c r="F3880" s="337" t="s">
        <v>297</v>
      </c>
      <c r="G3880" s="351" t="s">
        <v>299</v>
      </c>
      <c r="H3880" s="337" t="s">
        <v>765</v>
      </c>
      <c r="I3880" s="353" t="s">
        <v>2991</v>
      </c>
      <c r="J3880" s="352">
        <v>4533.76</v>
      </c>
      <c r="K3880" s="353"/>
      <c r="L3880" s="352">
        <v>5.0599999999999996</v>
      </c>
      <c r="M3880" s="352">
        <v>3</v>
      </c>
      <c r="N3880" s="354">
        <v>906.75</v>
      </c>
      <c r="O3880" s="345">
        <v>0.2</v>
      </c>
      <c r="P3880" s="355"/>
      <c r="Q3880" s="354">
        <v>332.95</v>
      </c>
      <c r="R3880" s="337" t="s">
        <v>112</v>
      </c>
      <c r="S3880" s="356" t="s">
        <v>113</v>
      </c>
      <c r="T3880" s="346">
        <v>40</v>
      </c>
      <c r="U3880" s="357" t="s">
        <v>164</v>
      </c>
      <c r="V3880" s="434"/>
      <c r="X3880" s="337">
        <v>332.95</v>
      </c>
      <c r="Y3880" s="354"/>
      <c r="AI3880" s="337">
        <v>332.95</v>
      </c>
      <c r="AJ3880" s="358"/>
      <c r="AK3880" s="369"/>
    </row>
    <row r="3881" spans="2:37" s="337" customFormat="1" ht="11.25" customHeight="1">
      <c r="B3881" s="338" t="s">
        <v>291</v>
      </c>
      <c r="C3881" s="349">
        <v>44767</v>
      </c>
      <c r="D3881" s="349">
        <v>44770</v>
      </c>
      <c r="E3881" s="350" t="s">
        <v>2992</v>
      </c>
      <c r="F3881" s="337" t="s">
        <v>1116</v>
      </c>
      <c r="G3881" s="351">
        <v>3716</v>
      </c>
      <c r="H3881" s="337" t="s">
        <v>765</v>
      </c>
      <c r="I3881" s="353" t="s">
        <v>33</v>
      </c>
      <c r="J3881" s="352">
        <v>11826.17</v>
      </c>
      <c r="K3881" s="353"/>
      <c r="L3881" s="352">
        <v>11.01</v>
      </c>
      <c r="M3881" s="352">
        <v>11.01</v>
      </c>
      <c r="N3881" s="354">
        <v>591.30999999999995</v>
      </c>
      <c r="O3881" s="345">
        <v>0.15</v>
      </c>
      <c r="P3881" s="355"/>
      <c r="Q3881" s="354">
        <v>202</v>
      </c>
      <c r="R3881" s="337" t="s">
        <v>112</v>
      </c>
      <c r="S3881" s="356" t="s">
        <v>113</v>
      </c>
      <c r="T3881" s="356">
        <v>64</v>
      </c>
      <c r="U3881" s="357" t="s">
        <v>164</v>
      </c>
      <c r="V3881" s="434">
        <v>202</v>
      </c>
      <c r="X3881" s="354">
        <v>202</v>
      </c>
      <c r="Y3881" s="354"/>
      <c r="AI3881" s="337">
        <v>202</v>
      </c>
      <c r="AJ3881" s="358"/>
      <c r="AK3881" s="369"/>
    </row>
    <row r="3882" spans="2:37" s="337" customFormat="1" ht="11.25" customHeight="1">
      <c r="B3882" s="338" t="s">
        <v>291</v>
      </c>
      <c r="C3882" s="349"/>
      <c r="D3882" s="349"/>
      <c r="E3882" s="350" t="s">
        <v>2992</v>
      </c>
      <c r="F3882" s="337" t="s">
        <v>1116</v>
      </c>
      <c r="G3882" s="351">
        <v>3716</v>
      </c>
      <c r="H3882" s="337" t="s">
        <v>866</v>
      </c>
      <c r="I3882" s="353" t="s">
        <v>33</v>
      </c>
      <c r="J3882" s="352">
        <v>21736.26</v>
      </c>
      <c r="K3882" s="353"/>
      <c r="L3882" s="352">
        <v>13.27</v>
      </c>
      <c r="M3882" s="352">
        <v>13.27</v>
      </c>
      <c r="N3882" s="354">
        <v>3260.44</v>
      </c>
      <c r="O3882" s="345">
        <v>0.15</v>
      </c>
      <c r="P3882" s="355"/>
      <c r="Q3882" s="354">
        <v>205</v>
      </c>
      <c r="R3882" s="337" t="s">
        <v>112</v>
      </c>
      <c r="S3882" s="356" t="s">
        <v>113</v>
      </c>
      <c r="T3882" s="356">
        <v>64</v>
      </c>
      <c r="U3882" s="357" t="s">
        <v>164</v>
      </c>
      <c r="V3882" s="434">
        <v>205</v>
      </c>
      <c r="X3882" s="354">
        <v>205</v>
      </c>
      <c r="Y3882" s="354"/>
      <c r="AI3882" s="354">
        <v>205</v>
      </c>
      <c r="AJ3882" s="358"/>
      <c r="AK3882" s="369"/>
    </row>
    <row r="3883" spans="2:37" s="291" customFormat="1" ht="11.25" customHeight="1">
      <c r="B3883" s="310" t="s">
        <v>291</v>
      </c>
      <c r="C3883" s="292"/>
      <c r="D3883" s="292"/>
      <c r="E3883" s="293" t="s">
        <v>2992</v>
      </c>
      <c r="F3883" s="291" t="s">
        <v>1116</v>
      </c>
      <c r="G3883" s="294">
        <v>3716</v>
      </c>
      <c r="H3883" s="291" t="s">
        <v>910</v>
      </c>
      <c r="I3883" s="295" t="s">
        <v>33</v>
      </c>
      <c r="J3883" s="296">
        <v>23059.8</v>
      </c>
      <c r="K3883" s="295"/>
      <c r="L3883" s="296">
        <v>11.14</v>
      </c>
      <c r="M3883" s="296">
        <v>11.14</v>
      </c>
      <c r="N3883" s="297">
        <v>3458.97</v>
      </c>
      <c r="O3883" s="307">
        <v>0.15</v>
      </c>
      <c r="P3883" s="298"/>
      <c r="Q3883" s="297">
        <f>N3883-J3883*O3883</f>
        <v>0</v>
      </c>
      <c r="R3883" s="291" t="s">
        <v>112</v>
      </c>
      <c r="S3883" s="299" t="s">
        <v>113</v>
      </c>
      <c r="T3883" s="299">
        <v>64</v>
      </c>
      <c r="U3883" s="300" t="s">
        <v>164</v>
      </c>
      <c r="V3883" s="333"/>
      <c r="X3883" s="297">
        <v>0</v>
      </c>
      <c r="Y3883" s="297"/>
      <c r="AH3883" s="311">
        <f>X3883</f>
        <v>0</v>
      </c>
      <c r="AI3883" s="311"/>
      <c r="AJ3883" s="468"/>
    </row>
    <row r="3884" spans="2:37" s="291" customFormat="1" ht="11.25" customHeight="1">
      <c r="B3884" s="310" t="s">
        <v>291</v>
      </c>
      <c r="C3884" s="292"/>
      <c r="D3884" s="292"/>
      <c r="E3884" s="293" t="s">
        <v>2992</v>
      </c>
      <c r="F3884" s="291" t="s">
        <v>1116</v>
      </c>
      <c r="G3884" s="294">
        <v>3716</v>
      </c>
      <c r="H3884" s="291" t="s">
        <v>814</v>
      </c>
      <c r="I3884" s="295" t="s">
        <v>33</v>
      </c>
      <c r="J3884" s="296">
        <v>13044.15</v>
      </c>
      <c r="K3884" s="295"/>
      <c r="L3884" s="296">
        <v>12.3</v>
      </c>
      <c r="M3884" s="296">
        <v>12.3</v>
      </c>
      <c r="N3884" s="297">
        <v>2608.83</v>
      </c>
      <c r="O3884" s="307">
        <v>0.15</v>
      </c>
      <c r="P3884" s="298"/>
      <c r="Q3884" s="297">
        <v>0</v>
      </c>
      <c r="R3884" s="291" t="s">
        <v>112</v>
      </c>
      <c r="S3884" s="299" t="s">
        <v>113</v>
      </c>
      <c r="T3884" s="299">
        <v>64</v>
      </c>
      <c r="U3884" s="300" t="s">
        <v>164</v>
      </c>
      <c r="V3884" s="333"/>
      <c r="X3884" s="297">
        <v>0</v>
      </c>
      <c r="Y3884" s="297"/>
      <c r="AH3884" s="311">
        <f>X3884</f>
        <v>0</v>
      </c>
      <c r="AI3884" s="311"/>
      <c r="AJ3884" s="468"/>
    </row>
    <row r="3885" spans="2:37" s="291" customFormat="1" ht="11.25" customHeight="1">
      <c r="B3885" s="310" t="s">
        <v>291</v>
      </c>
      <c r="C3885" s="292">
        <v>44770</v>
      </c>
      <c r="D3885" s="292">
        <v>44770</v>
      </c>
      <c r="E3885" s="293" t="s">
        <v>2993</v>
      </c>
      <c r="F3885" s="291" t="s">
        <v>2994</v>
      </c>
      <c r="G3885" s="294" t="s">
        <v>2995</v>
      </c>
      <c r="H3885" s="291" t="s">
        <v>866</v>
      </c>
      <c r="I3885" s="295" t="s">
        <v>33</v>
      </c>
      <c r="J3885" s="296">
        <v>50031.68</v>
      </c>
      <c r="K3885" s="295"/>
      <c r="L3885" s="296">
        <v>21.64</v>
      </c>
      <c r="M3885" s="296">
        <v>21.64</v>
      </c>
      <c r="N3885" s="297"/>
      <c r="O3885" s="307">
        <v>0.25</v>
      </c>
      <c r="P3885" s="298"/>
      <c r="Q3885" s="297">
        <v>0</v>
      </c>
      <c r="R3885" s="291" t="s">
        <v>112</v>
      </c>
      <c r="S3885" s="299" t="s">
        <v>113</v>
      </c>
      <c r="T3885" s="308">
        <v>64</v>
      </c>
      <c r="U3885" s="300" t="s">
        <v>164</v>
      </c>
      <c r="V3885" s="333"/>
      <c r="X3885" s="297">
        <v>0</v>
      </c>
      <c r="Y3885" s="297"/>
      <c r="AH3885" s="311">
        <f>X3885</f>
        <v>0</v>
      </c>
      <c r="AI3885" s="311"/>
      <c r="AJ3885" s="468"/>
    </row>
    <row r="3886" spans="2:37" s="379" customFormat="1" ht="11.25" customHeight="1">
      <c r="B3886" s="380" t="s">
        <v>291</v>
      </c>
      <c r="C3886" s="381">
        <v>44769</v>
      </c>
      <c r="D3886" s="381">
        <v>44769</v>
      </c>
      <c r="E3886" s="382" t="s">
        <v>2998</v>
      </c>
      <c r="F3886" s="394" t="s">
        <v>682</v>
      </c>
      <c r="G3886" s="400" t="s">
        <v>683</v>
      </c>
      <c r="H3886" s="379" t="s">
        <v>993</v>
      </c>
      <c r="I3886" s="384" t="s">
        <v>1487</v>
      </c>
      <c r="J3886" s="385">
        <v>4631.3999999999996</v>
      </c>
      <c r="K3886" s="384"/>
      <c r="L3886" s="385">
        <v>2.4900000000000002</v>
      </c>
      <c r="M3886" s="385">
        <v>2.4900000000000002</v>
      </c>
      <c r="N3886" s="386"/>
      <c r="O3886" s="397">
        <v>0.25</v>
      </c>
      <c r="P3886" s="387"/>
      <c r="Q3886" s="386">
        <v>1907.09</v>
      </c>
      <c r="R3886" s="379" t="s">
        <v>35</v>
      </c>
      <c r="S3886" s="388" t="s">
        <v>34</v>
      </c>
      <c r="T3886" s="399">
        <v>17</v>
      </c>
      <c r="U3886" s="389" t="s">
        <v>164</v>
      </c>
      <c r="V3886" s="433"/>
      <c r="X3886" s="386">
        <v>1907.09</v>
      </c>
      <c r="Y3886" s="386"/>
      <c r="AJ3886" s="416">
        <v>1907.09</v>
      </c>
    </row>
    <row r="3887" spans="2:37" s="379" customFormat="1" ht="11.25" customHeight="1">
      <c r="B3887" s="380" t="s">
        <v>291</v>
      </c>
      <c r="C3887" s="381"/>
      <c r="D3887" s="381"/>
      <c r="E3887" s="382" t="s">
        <v>2998</v>
      </c>
      <c r="F3887" s="394" t="s">
        <v>682</v>
      </c>
      <c r="G3887" s="400" t="s">
        <v>683</v>
      </c>
      <c r="H3887" s="379" t="s">
        <v>1018</v>
      </c>
      <c r="I3887" s="384" t="s">
        <v>1487</v>
      </c>
      <c r="J3887" s="385">
        <v>18747.3</v>
      </c>
      <c r="K3887" s="384"/>
      <c r="L3887" s="385">
        <v>17.48</v>
      </c>
      <c r="M3887" s="385">
        <v>17.48</v>
      </c>
      <c r="N3887" s="386"/>
      <c r="O3887" s="397">
        <v>0.25</v>
      </c>
      <c r="P3887" s="387"/>
      <c r="Q3887" s="386">
        <v>0</v>
      </c>
      <c r="R3887" s="379" t="s">
        <v>35</v>
      </c>
      <c r="S3887" s="388" t="s">
        <v>34</v>
      </c>
      <c r="T3887" s="399">
        <v>17</v>
      </c>
      <c r="U3887" s="389" t="s">
        <v>164</v>
      </c>
      <c r="V3887" s="433"/>
      <c r="X3887" s="386">
        <v>0</v>
      </c>
      <c r="Y3887" s="386"/>
      <c r="AJ3887" s="390">
        <v>0</v>
      </c>
    </row>
    <row r="3888" spans="2:37" s="379" customFormat="1" ht="11.25" customHeight="1">
      <c r="B3888" s="380" t="s">
        <v>291</v>
      </c>
      <c r="C3888" s="381"/>
      <c r="D3888" s="381"/>
      <c r="E3888" s="382" t="s">
        <v>2998</v>
      </c>
      <c r="F3888" s="394" t="s">
        <v>682</v>
      </c>
      <c r="G3888" s="400" t="s">
        <v>683</v>
      </c>
      <c r="H3888" s="379" t="s">
        <v>685</v>
      </c>
      <c r="I3888" s="384" t="s">
        <v>1487</v>
      </c>
      <c r="J3888" s="385">
        <v>28248.44</v>
      </c>
      <c r="K3888" s="384"/>
      <c r="L3888" s="385">
        <v>13.64</v>
      </c>
      <c r="M3888" s="385">
        <v>13.64</v>
      </c>
      <c r="N3888" s="386"/>
      <c r="O3888" s="397">
        <v>0.25</v>
      </c>
      <c r="P3888" s="387"/>
      <c r="Q3888" s="386">
        <v>0</v>
      </c>
      <c r="R3888" s="379" t="s">
        <v>35</v>
      </c>
      <c r="S3888" s="388" t="s">
        <v>34</v>
      </c>
      <c r="T3888" s="399">
        <v>17</v>
      </c>
      <c r="U3888" s="389" t="s">
        <v>164</v>
      </c>
      <c r="V3888" s="433"/>
      <c r="X3888" s="386">
        <v>0</v>
      </c>
      <c r="Y3888" s="386"/>
      <c r="AJ3888" s="390">
        <v>0</v>
      </c>
    </row>
    <row r="3889" spans="1:77" s="473" customFormat="1" ht="11.25" customHeight="1">
      <c r="B3889" s="486" t="s">
        <v>291</v>
      </c>
      <c r="C3889" s="487">
        <v>44769</v>
      </c>
      <c r="D3889" s="487">
        <v>44769</v>
      </c>
      <c r="E3889" s="488" t="s">
        <v>2999</v>
      </c>
      <c r="F3889" s="473" t="s">
        <v>3000</v>
      </c>
      <c r="G3889" s="489" t="s">
        <v>3001</v>
      </c>
      <c r="H3889" s="473" t="s">
        <v>866</v>
      </c>
      <c r="I3889" s="472" t="s">
        <v>888</v>
      </c>
      <c r="J3889" s="490">
        <v>43410.879999999997</v>
      </c>
      <c r="K3889" s="491"/>
      <c r="L3889" s="490">
        <v>30.78</v>
      </c>
      <c r="M3889" s="490">
        <v>30.78</v>
      </c>
      <c r="N3889" s="492"/>
      <c r="O3889" s="480">
        <v>0.15</v>
      </c>
      <c r="P3889" s="493"/>
      <c r="Q3889" s="492">
        <v>19306.939999999999</v>
      </c>
      <c r="R3889" s="502" t="s">
        <v>73</v>
      </c>
      <c r="S3889" s="481" t="s">
        <v>113</v>
      </c>
      <c r="T3889" s="482">
        <v>31</v>
      </c>
      <c r="U3889" s="494" t="s">
        <v>164</v>
      </c>
      <c r="V3889" s="495"/>
      <c r="X3889" s="492">
        <v>19306.939999999999</v>
      </c>
      <c r="Y3889" s="492"/>
      <c r="AJ3889" s="485"/>
      <c r="AK3889" s="505">
        <v>19306.939999999999</v>
      </c>
    </row>
    <row r="3890" spans="1:77" s="337" customFormat="1" ht="11.25" customHeight="1">
      <c r="B3890" s="338" t="s">
        <v>291</v>
      </c>
      <c r="C3890" s="349">
        <v>44765</v>
      </c>
      <c r="D3890" s="349">
        <v>44770</v>
      </c>
      <c r="E3890" s="350" t="s">
        <v>3002</v>
      </c>
      <c r="F3890" s="337" t="s">
        <v>3003</v>
      </c>
      <c r="G3890" s="351" t="s">
        <v>3004</v>
      </c>
      <c r="H3890" s="337" t="s">
        <v>765</v>
      </c>
      <c r="I3890" s="353" t="s">
        <v>3005</v>
      </c>
      <c r="J3890" s="352">
        <v>24753.68</v>
      </c>
      <c r="K3890" s="353"/>
      <c r="L3890" s="352">
        <v>30.9</v>
      </c>
      <c r="M3890" s="352">
        <v>30.9</v>
      </c>
      <c r="N3890" s="354"/>
      <c r="O3890" s="345">
        <v>0.25</v>
      </c>
      <c r="P3890" s="355"/>
      <c r="Q3890" s="354">
        <v>0</v>
      </c>
      <c r="R3890" s="375" t="s">
        <v>229</v>
      </c>
      <c r="S3890" s="356" t="s">
        <v>65</v>
      </c>
      <c r="T3890" s="346">
        <v>37</v>
      </c>
      <c r="U3890" s="357" t="s">
        <v>164</v>
      </c>
      <c r="V3890" s="434"/>
      <c r="X3890" s="354">
        <v>0</v>
      </c>
      <c r="Y3890" s="354"/>
      <c r="AI3890" s="337">
        <v>0</v>
      </c>
      <c r="AJ3890" s="358"/>
      <c r="AK3890" s="369"/>
    </row>
    <row r="3891" spans="1:77" s="291" customFormat="1" ht="11.25" customHeight="1">
      <c r="A3891" s="379"/>
      <c r="B3891" s="380" t="s">
        <v>291</v>
      </c>
      <c r="C3891" s="381"/>
      <c r="D3891" s="381"/>
      <c r="E3891" s="382" t="s">
        <v>3006</v>
      </c>
      <c r="F3891" s="379" t="s">
        <v>670</v>
      </c>
      <c r="G3891" s="383">
        <v>4185</v>
      </c>
      <c r="H3891" s="379" t="s">
        <v>910</v>
      </c>
      <c r="I3891" s="379" t="s">
        <v>1211</v>
      </c>
      <c r="J3891" s="385">
        <v>17754.12</v>
      </c>
      <c r="K3891" s="384"/>
      <c r="L3891" s="385">
        <v>10.8</v>
      </c>
      <c r="M3891" s="385">
        <v>10.8</v>
      </c>
      <c r="N3891" s="386"/>
      <c r="O3891" s="397">
        <v>0.3</v>
      </c>
      <c r="P3891" s="387"/>
      <c r="Q3891" s="386">
        <v>0</v>
      </c>
      <c r="R3891" s="379" t="s">
        <v>35</v>
      </c>
      <c r="S3891" s="388" t="s">
        <v>41</v>
      </c>
      <c r="T3891" s="399">
        <v>79</v>
      </c>
      <c r="U3891" s="389" t="s">
        <v>164</v>
      </c>
      <c r="V3891" s="433"/>
      <c r="W3891" s="379"/>
      <c r="X3891" s="386">
        <v>0</v>
      </c>
      <c r="Y3891" s="386"/>
      <c r="Z3891" s="379"/>
      <c r="AA3891" s="379"/>
      <c r="AB3891" s="379"/>
      <c r="AC3891" s="379"/>
      <c r="AD3891" s="379"/>
      <c r="AE3891" s="379"/>
      <c r="AF3891" s="379"/>
      <c r="AG3891" s="379"/>
      <c r="AH3891" s="379"/>
      <c r="AI3891" s="379"/>
      <c r="AJ3891" s="390">
        <v>0</v>
      </c>
      <c r="AK3891" s="379"/>
      <c r="AL3891" s="379"/>
      <c r="AM3891" s="379"/>
      <c r="AN3891" s="379"/>
      <c r="AO3891" s="379"/>
      <c r="AP3891" s="379"/>
      <c r="AQ3891" s="379"/>
      <c r="AR3891" s="379"/>
      <c r="AS3891" s="379"/>
      <c r="AT3891" s="379"/>
      <c r="AU3891" s="379"/>
      <c r="AV3891" s="379"/>
      <c r="AW3891" s="379"/>
      <c r="AX3891" s="379"/>
      <c r="AY3891" s="379"/>
      <c r="AZ3891" s="379"/>
      <c r="BA3891" s="379"/>
      <c r="BB3891" s="379"/>
      <c r="BC3891" s="379"/>
      <c r="BD3891" s="379"/>
      <c r="BE3891" s="379"/>
      <c r="BF3891" s="379"/>
      <c r="BG3891" s="379"/>
      <c r="BH3891" s="379"/>
      <c r="BI3891" s="379"/>
      <c r="BJ3891" s="379"/>
      <c r="BK3891" s="379"/>
      <c r="BL3891" s="379"/>
      <c r="BM3891" s="379"/>
      <c r="BN3891" s="379"/>
      <c r="BO3891" s="379"/>
      <c r="BP3891" s="379"/>
      <c r="BQ3891" s="379"/>
      <c r="BR3891" s="379"/>
      <c r="BS3891" s="379"/>
      <c r="BT3891" s="379"/>
      <c r="BU3891" s="379"/>
      <c r="BV3891" s="379"/>
      <c r="BW3891" s="379"/>
      <c r="BX3891" s="379"/>
      <c r="BY3891" s="379"/>
    </row>
    <row r="3892" spans="1:77" s="291" customFormat="1" ht="11.25" customHeight="1">
      <c r="B3892" s="310" t="s">
        <v>291</v>
      </c>
      <c r="C3892" s="292">
        <v>44770</v>
      </c>
      <c r="D3892" s="292">
        <v>44770</v>
      </c>
      <c r="E3892" s="293" t="s">
        <v>3006</v>
      </c>
      <c r="F3892" s="291" t="s">
        <v>670</v>
      </c>
      <c r="G3892" s="294">
        <v>4185</v>
      </c>
      <c r="H3892" s="291" t="s">
        <v>765</v>
      </c>
      <c r="I3892" s="291" t="s">
        <v>33</v>
      </c>
      <c r="J3892" s="296">
        <v>39175.379999999997</v>
      </c>
      <c r="K3892" s="295"/>
      <c r="L3892" s="296">
        <v>56.62</v>
      </c>
      <c r="M3892" s="296">
        <v>56.62</v>
      </c>
      <c r="N3892" s="297"/>
      <c r="O3892" s="307">
        <v>0.3</v>
      </c>
      <c r="P3892" s="298"/>
      <c r="Q3892" s="297">
        <v>0</v>
      </c>
      <c r="R3892" s="291" t="s">
        <v>35</v>
      </c>
      <c r="S3892" s="299" t="s">
        <v>41</v>
      </c>
      <c r="T3892" s="308">
        <v>79</v>
      </c>
      <c r="U3892" s="300" t="s">
        <v>164</v>
      </c>
      <c r="V3892" s="333"/>
      <c r="X3892" s="297">
        <v>0</v>
      </c>
      <c r="Y3892" s="297"/>
      <c r="AH3892" s="291">
        <f>X3892</f>
        <v>0</v>
      </c>
      <c r="AI3892" s="311"/>
      <c r="AJ3892" s="468"/>
    </row>
    <row r="3893" spans="1:77" s="379" customFormat="1" ht="11.25" customHeight="1">
      <c r="B3893" s="380" t="s">
        <v>291</v>
      </c>
      <c r="C3893" s="381"/>
      <c r="D3893" s="381"/>
      <c r="E3893" s="382" t="s">
        <v>3006</v>
      </c>
      <c r="F3893" s="379" t="s">
        <v>670</v>
      </c>
      <c r="G3893" s="383">
        <v>4185</v>
      </c>
      <c r="H3893" s="379" t="s">
        <v>866</v>
      </c>
      <c r="I3893" s="379" t="s">
        <v>33</v>
      </c>
      <c r="J3893" s="385">
        <v>32939.5</v>
      </c>
      <c r="K3893" s="384"/>
      <c r="L3893" s="385">
        <v>28.39</v>
      </c>
      <c r="M3893" s="385">
        <v>28.39</v>
      </c>
      <c r="N3893" s="386"/>
      <c r="O3893" s="397">
        <v>0.3</v>
      </c>
      <c r="P3893" s="387"/>
      <c r="Q3893" s="386">
        <v>7184.09</v>
      </c>
      <c r="R3893" s="379" t="s">
        <v>35</v>
      </c>
      <c r="S3893" s="388" t="s">
        <v>41</v>
      </c>
      <c r="T3893" s="399">
        <v>79</v>
      </c>
      <c r="U3893" s="389" t="s">
        <v>164</v>
      </c>
      <c r="V3893" s="433"/>
      <c r="X3893" s="386">
        <v>7184.09</v>
      </c>
      <c r="Y3893" s="386"/>
      <c r="AJ3893" s="416">
        <v>7184.09</v>
      </c>
    </row>
    <row r="3894" spans="1:77" s="379" customFormat="1" ht="11.25" customHeight="1">
      <c r="B3894" s="380" t="s">
        <v>291</v>
      </c>
      <c r="C3894" s="381">
        <v>44770</v>
      </c>
      <c r="D3894" s="381">
        <v>44770</v>
      </c>
      <c r="E3894" s="382" t="s">
        <v>3007</v>
      </c>
      <c r="F3894" s="379" t="s">
        <v>3008</v>
      </c>
      <c r="G3894" s="383" t="s">
        <v>3009</v>
      </c>
      <c r="H3894" s="379" t="s">
        <v>1009</v>
      </c>
      <c r="I3894" s="384" t="s">
        <v>33</v>
      </c>
      <c r="J3894" s="385">
        <v>14333</v>
      </c>
      <c r="K3894" s="384"/>
      <c r="L3894" s="385">
        <v>10</v>
      </c>
      <c r="M3894" s="385">
        <v>10</v>
      </c>
      <c r="N3894" s="386"/>
      <c r="O3894" s="397">
        <v>0.25</v>
      </c>
      <c r="P3894" s="387"/>
      <c r="Q3894" s="386">
        <v>1949.75</v>
      </c>
      <c r="R3894" s="402" t="s">
        <v>146</v>
      </c>
      <c r="S3894" s="388" t="s">
        <v>74</v>
      </c>
      <c r="T3894" s="399">
        <v>31</v>
      </c>
      <c r="U3894" s="389" t="s">
        <v>164</v>
      </c>
      <c r="V3894" s="433"/>
      <c r="X3894" s="386">
        <v>1949.75</v>
      </c>
      <c r="Y3894" s="386"/>
      <c r="AJ3894" s="416">
        <v>1949.75</v>
      </c>
    </row>
    <row r="3895" spans="1:77" s="379" customFormat="1" ht="11.25" customHeight="1">
      <c r="B3895" s="380" t="s">
        <v>291</v>
      </c>
      <c r="C3895" s="381"/>
      <c r="D3895" s="381"/>
      <c r="E3895" s="382" t="s">
        <v>3007</v>
      </c>
      <c r="F3895" s="379" t="s">
        <v>3008</v>
      </c>
      <c r="G3895" s="383" t="s">
        <v>3009</v>
      </c>
      <c r="H3895" s="379" t="s">
        <v>910</v>
      </c>
      <c r="I3895" s="384" t="s">
        <v>33</v>
      </c>
      <c r="J3895" s="385">
        <v>19349.55</v>
      </c>
      <c r="K3895" s="384"/>
      <c r="L3895" s="385">
        <v>13.5</v>
      </c>
      <c r="M3895" s="385">
        <v>13.5</v>
      </c>
      <c r="N3895" s="386"/>
      <c r="O3895" s="397">
        <v>0.25</v>
      </c>
      <c r="P3895" s="387"/>
      <c r="Q3895" s="386">
        <v>0</v>
      </c>
      <c r="R3895" s="402" t="s">
        <v>146</v>
      </c>
      <c r="S3895" s="388" t="s">
        <v>74</v>
      </c>
      <c r="T3895" s="399">
        <v>31</v>
      </c>
      <c r="U3895" s="389" t="s">
        <v>164</v>
      </c>
      <c r="V3895" s="433"/>
      <c r="X3895" s="386">
        <v>0</v>
      </c>
      <c r="Y3895" s="386"/>
      <c r="AJ3895" s="390">
        <v>0</v>
      </c>
    </row>
    <row r="3896" spans="1:77" s="379" customFormat="1" ht="11.25" customHeight="1">
      <c r="B3896" s="380" t="s">
        <v>291</v>
      </c>
      <c r="C3896" s="381"/>
      <c r="D3896" s="381"/>
      <c r="E3896" s="382" t="s">
        <v>3007</v>
      </c>
      <c r="F3896" s="379" t="s">
        <v>3008</v>
      </c>
      <c r="G3896" s="383" t="s">
        <v>3009</v>
      </c>
      <c r="H3896" s="379" t="s">
        <v>866</v>
      </c>
      <c r="I3896" s="384" t="s">
        <v>33</v>
      </c>
      <c r="J3896" s="385">
        <v>10013.85</v>
      </c>
      <c r="K3896" s="384"/>
      <c r="L3896" s="385">
        <v>8.5</v>
      </c>
      <c r="M3896" s="385">
        <v>8.5</v>
      </c>
      <c r="N3896" s="386"/>
      <c r="O3896" s="397">
        <v>0.25</v>
      </c>
      <c r="P3896" s="387"/>
      <c r="Q3896" s="386">
        <v>2048.29</v>
      </c>
      <c r="R3896" s="402" t="s">
        <v>146</v>
      </c>
      <c r="S3896" s="388" t="s">
        <v>74</v>
      </c>
      <c r="T3896" s="399">
        <v>31</v>
      </c>
      <c r="U3896" s="389" t="s">
        <v>164</v>
      </c>
      <c r="V3896" s="433"/>
      <c r="X3896" s="386">
        <v>2048.29</v>
      </c>
      <c r="Y3896" s="386"/>
      <c r="AJ3896" s="416">
        <v>2048.29</v>
      </c>
    </row>
    <row r="3897" spans="1:77" s="379" customFormat="1" ht="11.25" customHeight="1">
      <c r="B3897" s="380" t="s">
        <v>291</v>
      </c>
      <c r="C3897" s="381"/>
      <c r="D3897" s="381"/>
      <c r="E3897" s="382" t="s">
        <v>3007</v>
      </c>
      <c r="F3897" s="379" t="s">
        <v>3008</v>
      </c>
      <c r="G3897" s="383" t="s">
        <v>3009</v>
      </c>
      <c r="H3897" s="379" t="s">
        <v>814</v>
      </c>
      <c r="I3897" s="384" t="s">
        <v>33</v>
      </c>
      <c r="J3897" s="385">
        <v>8800</v>
      </c>
      <c r="K3897" s="384"/>
      <c r="L3897" s="385">
        <v>11</v>
      </c>
      <c r="M3897" s="385">
        <v>11</v>
      </c>
      <c r="N3897" s="386"/>
      <c r="O3897" s="397">
        <v>0.25</v>
      </c>
      <c r="P3897" s="387"/>
      <c r="Q3897" s="386">
        <v>924</v>
      </c>
      <c r="R3897" s="402" t="s">
        <v>146</v>
      </c>
      <c r="S3897" s="388" t="s">
        <v>74</v>
      </c>
      <c r="T3897" s="399">
        <v>31</v>
      </c>
      <c r="U3897" s="389" t="s">
        <v>164</v>
      </c>
      <c r="V3897" s="433"/>
      <c r="X3897" s="386">
        <v>924</v>
      </c>
      <c r="Y3897" s="386"/>
      <c r="AJ3897" s="416">
        <v>924</v>
      </c>
    </row>
    <row r="3898" spans="1:77" s="379" customFormat="1" ht="11.25" customHeight="1">
      <c r="B3898" s="380" t="s">
        <v>291</v>
      </c>
      <c r="C3898" s="381"/>
      <c r="D3898" s="381"/>
      <c r="E3898" s="382" t="s">
        <v>3007</v>
      </c>
      <c r="F3898" s="379" t="s">
        <v>3008</v>
      </c>
      <c r="G3898" s="383" t="s">
        <v>3009</v>
      </c>
      <c r="H3898" s="379" t="s">
        <v>1141</v>
      </c>
      <c r="I3898" s="384" t="s">
        <v>33</v>
      </c>
      <c r="J3898" s="385">
        <v>7426.79</v>
      </c>
      <c r="K3898" s="384"/>
      <c r="L3898" s="385">
        <v>8.5</v>
      </c>
      <c r="M3898" s="385">
        <v>8.5</v>
      </c>
      <c r="N3898" s="386"/>
      <c r="O3898" s="397">
        <v>0.25</v>
      </c>
      <c r="P3898" s="387"/>
      <c r="Q3898" s="386">
        <v>0</v>
      </c>
      <c r="R3898" s="402" t="s">
        <v>146</v>
      </c>
      <c r="S3898" s="388" t="s">
        <v>74</v>
      </c>
      <c r="T3898" s="399">
        <v>31</v>
      </c>
      <c r="U3898" s="389" t="s">
        <v>164</v>
      </c>
      <c r="V3898" s="433"/>
      <c r="X3898" s="386">
        <v>0</v>
      </c>
      <c r="Y3898" s="386"/>
      <c r="AJ3898" s="390">
        <v>0</v>
      </c>
    </row>
    <row r="3899" spans="1:77" s="379" customFormat="1" ht="11.25" customHeight="1">
      <c r="B3899" s="380" t="s">
        <v>291</v>
      </c>
      <c r="C3899" s="381"/>
      <c r="D3899" s="381"/>
      <c r="E3899" s="382" t="s">
        <v>3007</v>
      </c>
      <c r="F3899" s="379" t="s">
        <v>3008</v>
      </c>
      <c r="G3899" s="383" t="s">
        <v>3009</v>
      </c>
      <c r="H3899" s="379" t="s">
        <v>765</v>
      </c>
      <c r="I3899" s="384" t="s">
        <v>33</v>
      </c>
      <c r="J3899" s="385">
        <v>10650</v>
      </c>
      <c r="K3899" s="384"/>
      <c r="L3899" s="385">
        <v>6.4</v>
      </c>
      <c r="M3899" s="385">
        <v>12.5</v>
      </c>
      <c r="N3899" s="386"/>
      <c r="O3899" s="397">
        <v>0.25</v>
      </c>
      <c r="P3899" s="387"/>
      <c r="Q3899" s="386">
        <v>1187.5</v>
      </c>
      <c r="R3899" s="402" t="s">
        <v>146</v>
      </c>
      <c r="S3899" s="388" t="s">
        <v>74</v>
      </c>
      <c r="T3899" s="399">
        <v>31</v>
      </c>
      <c r="U3899" s="389" t="s">
        <v>164</v>
      </c>
      <c r="V3899" s="433"/>
      <c r="X3899" s="386">
        <v>1187.5</v>
      </c>
      <c r="Y3899" s="386"/>
      <c r="AJ3899" s="416">
        <v>1187.5</v>
      </c>
    </row>
    <row r="3900" spans="1:77" s="291" customFormat="1" ht="11.25" customHeight="1">
      <c r="B3900" s="313" t="s">
        <v>291</v>
      </c>
      <c r="C3900" s="292">
        <v>44767</v>
      </c>
      <c r="D3900" s="292">
        <v>44770</v>
      </c>
      <c r="E3900" s="293" t="s">
        <v>3010</v>
      </c>
      <c r="F3900" s="303" t="s">
        <v>1156</v>
      </c>
      <c r="G3900" s="294" t="s">
        <v>556</v>
      </c>
      <c r="H3900" s="291" t="s">
        <v>765</v>
      </c>
      <c r="I3900" s="303" t="s">
        <v>33</v>
      </c>
      <c r="J3900" s="296">
        <v>7122.45</v>
      </c>
      <c r="K3900" s="295"/>
      <c r="L3900" s="296">
        <v>6.18</v>
      </c>
      <c r="M3900" s="296">
        <v>6.18</v>
      </c>
      <c r="N3900" s="297">
        <v>2848.98</v>
      </c>
      <c r="O3900" s="307">
        <v>0.2</v>
      </c>
      <c r="P3900" s="298"/>
      <c r="Q3900" s="297">
        <v>1350.42</v>
      </c>
      <c r="R3900" s="291" t="s">
        <v>42</v>
      </c>
      <c r="S3900" s="308" t="s">
        <v>41</v>
      </c>
      <c r="T3900" s="308">
        <v>79</v>
      </c>
      <c r="U3900" s="300" t="s">
        <v>164</v>
      </c>
      <c r="V3900" s="333"/>
      <c r="X3900" s="297">
        <v>1350.42</v>
      </c>
      <c r="Y3900" s="297"/>
      <c r="AH3900" s="291">
        <f>X3900</f>
        <v>1350.42</v>
      </c>
      <c r="AI3900" s="311"/>
      <c r="AJ3900" s="468"/>
    </row>
    <row r="3901" spans="1:77" s="6" customFormat="1" ht="11.25" customHeight="1">
      <c r="A3901" s="379"/>
      <c r="B3901" s="379" t="s">
        <v>291</v>
      </c>
      <c r="C3901" s="381">
        <v>44769</v>
      </c>
      <c r="D3901" s="381">
        <v>44770</v>
      </c>
      <c r="E3901" s="382" t="s">
        <v>3011</v>
      </c>
      <c r="F3901" s="379" t="s">
        <v>309</v>
      </c>
      <c r="G3901" s="383">
        <v>4382</v>
      </c>
      <c r="H3901" s="379" t="s">
        <v>765</v>
      </c>
      <c r="I3901" s="379" t="s">
        <v>888</v>
      </c>
      <c r="J3901" s="385">
        <v>26240.76</v>
      </c>
      <c r="K3901" s="384"/>
      <c r="L3901" s="385">
        <v>34.71</v>
      </c>
      <c r="M3901" s="385">
        <v>34.71</v>
      </c>
      <c r="N3901" s="386"/>
      <c r="O3901" s="397">
        <v>0.3</v>
      </c>
      <c r="P3901" s="387"/>
      <c r="Q3901" s="386">
        <v>0</v>
      </c>
      <c r="R3901" s="379" t="s">
        <v>35</v>
      </c>
      <c r="S3901" s="388" t="s">
        <v>34</v>
      </c>
      <c r="T3901" s="399">
        <v>17</v>
      </c>
      <c r="U3901" s="389" t="s">
        <v>164</v>
      </c>
      <c r="V3901" s="433"/>
      <c r="W3901" s="379"/>
      <c r="X3901" s="386">
        <v>0</v>
      </c>
      <c r="Y3901" s="386"/>
      <c r="Z3901" s="379"/>
      <c r="AA3901" s="379"/>
      <c r="AB3901" s="379"/>
      <c r="AC3901" s="379"/>
      <c r="AD3901" s="379"/>
      <c r="AE3901" s="379"/>
      <c r="AF3901" s="379"/>
      <c r="AG3901" s="379"/>
      <c r="AH3901" s="379"/>
      <c r="AI3901" s="379"/>
      <c r="AJ3901" s="390">
        <v>0</v>
      </c>
      <c r="AK3901" s="379"/>
      <c r="AL3901" s="379"/>
      <c r="AM3901" s="379"/>
      <c r="AN3901" s="379"/>
      <c r="AO3901" s="379"/>
      <c r="AP3901" s="379"/>
      <c r="AQ3901" s="379"/>
      <c r="AR3901" s="379"/>
      <c r="AS3901" s="379"/>
      <c r="AT3901" s="379"/>
      <c r="AU3901" s="379"/>
      <c r="AV3901" s="379"/>
      <c r="AW3901" s="379"/>
      <c r="AX3901" s="379"/>
      <c r="AY3901" s="379"/>
      <c r="AZ3901" s="379"/>
      <c r="BA3901" s="379"/>
      <c r="BB3901" s="379"/>
      <c r="BC3901" s="379"/>
      <c r="BD3901" s="379"/>
      <c r="BE3901" s="379"/>
      <c r="BF3901" s="379"/>
      <c r="BG3901" s="379"/>
      <c r="BH3901" s="379"/>
      <c r="BI3901" s="379"/>
      <c r="BJ3901" s="379"/>
      <c r="BK3901" s="379"/>
      <c r="BL3901" s="379"/>
      <c r="BM3901" s="379"/>
      <c r="BN3901" s="379"/>
      <c r="BO3901" s="379"/>
      <c r="BP3901" s="379"/>
      <c r="BQ3901" s="379"/>
      <c r="BR3901" s="379"/>
      <c r="BS3901" s="379"/>
      <c r="BT3901" s="379"/>
      <c r="BU3901" s="379"/>
      <c r="BV3901" s="379"/>
      <c r="BW3901" s="379"/>
      <c r="BX3901" s="379"/>
      <c r="BY3901" s="379"/>
    </row>
    <row r="3902" spans="1:77" s="379" customFormat="1" ht="11.25" customHeight="1">
      <c r="B3902" s="379" t="s">
        <v>291</v>
      </c>
      <c r="C3902" s="381">
        <v>44770</v>
      </c>
      <c r="D3902" s="381">
        <v>44770</v>
      </c>
      <c r="E3902" s="382" t="s">
        <v>3012</v>
      </c>
      <c r="F3902" s="379" t="s">
        <v>3013</v>
      </c>
      <c r="G3902" s="383">
        <v>4582</v>
      </c>
      <c r="H3902" s="379" t="s">
        <v>407</v>
      </c>
      <c r="I3902" s="379" t="s">
        <v>888</v>
      </c>
      <c r="J3902" s="385">
        <v>42055.199999999997</v>
      </c>
      <c r="K3902" s="384"/>
      <c r="L3902" s="385">
        <v>10.62</v>
      </c>
      <c r="M3902" s="385">
        <v>10.62</v>
      </c>
      <c r="N3902" s="386">
        <v>29439</v>
      </c>
      <c r="O3902" s="397">
        <v>0.25</v>
      </c>
      <c r="P3902" s="387"/>
      <c r="Q3902" s="386">
        <v>15747.34</v>
      </c>
      <c r="R3902" s="402" t="s">
        <v>46</v>
      </c>
      <c r="S3902" s="388" t="s">
        <v>47</v>
      </c>
      <c r="T3902" s="399">
        <v>76</v>
      </c>
      <c r="U3902" s="389" t="s">
        <v>164</v>
      </c>
      <c r="V3902" s="433"/>
      <c r="X3902" s="386">
        <v>15747.34</v>
      </c>
      <c r="Y3902" s="386"/>
      <c r="AJ3902" s="416">
        <v>15747.34</v>
      </c>
    </row>
    <row r="3903" spans="1:77" s="379" customFormat="1" ht="11.25" customHeight="1">
      <c r="B3903" s="379" t="s">
        <v>291</v>
      </c>
      <c r="C3903" s="381"/>
      <c r="D3903" s="381"/>
      <c r="E3903" s="382" t="s">
        <v>3012</v>
      </c>
      <c r="F3903" s="379" t="s">
        <v>3013</v>
      </c>
      <c r="G3903" s="383">
        <v>4582</v>
      </c>
      <c r="H3903" s="379" t="s">
        <v>898</v>
      </c>
      <c r="I3903" s="379" t="s">
        <v>888</v>
      </c>
      <c r="J3903" s="385">
        <v>23704.74</v>
      </c>
      <c r="K3903" s="384"/>
      <c r="L3903" s="385">
        <v>14.22</v>
      </c>
      <c r="M3903" s="385">
        <v>14.22</v>
      </c>
      <c r="N3903" s="386">
        <v>13144</v>
      </c>
      <c r="O3903" s="397">
        <v>0.25</v>
      </c>
      <c r="P3903" s="387"/>
      <c r="Q3903" s="386">
        <v>10597.46</v>
      </c>
      <c r="R3903" s="402" t="s">
        <v>46</v>
      </c>
      <c r="S3903" s="388" t="s">
        <v>47</v>
      </c>
      <c r="T3903" s="399">
        <v>76</v>
      </c>
      <c r="U3903" s="389" t="s">
        <v>164</v>
      </c>
      <c r="V3903" s="433"/>
      <c r="X3903" s="386">
        <v>10597.46</v>
      </c>
      <c r="Y3903" s="386"/>
      <c r="AJ3903" s="416">
        <v>10597.46</v>
      </c>
    </row>
    <row r="3904" spans="1:77" s="291" customFormat="1" ht="11.25" customHeight="1">
      <c r="B3904" s="310" t="s">
        <v>291</v>
      </c>
      <c r="C3904" s="292">
        <v>44770</v>
      </c>
      <c r="D3904" s="292">
        <v>44770</v>
      </c>
      <c r="E3904" s="293" t="s">
        <v>3014</v>
      </c>
      <c r="F3904" s="291" t="s">
        <v>672</v>
      </c>
      <c r="G3904" s="294">
        <v>3601</v>
      </c>
      <c r="H3904" s="291" t="s">
        <v>765</v>
      </c>
      <c r="I3904" s="291" t="s">
        <v>888</v>
      </c>
      <c r="J3904" s="296">
        <v>9805.08</v>
      </c>
      <c r="K3904" s="295"/>
      <c r="L3904" s="296">
        <v>13.03</v>
      </c>
      <c r="M3904" s="296">
        <v>13.03</v>
      </c>
      <c r="N3904" s="297"/>
      <c r="O3904" s="307">
        <v>0.2</v>
      </c>
      <c r="P3904" s="298"/>
      <c r="Q3904" s="297">
        <v>0</v>
      </c>
      <c r="R3904" s="291" t="s">
        <v>35</v>
      </c>
      <c r="S3904" s="299" t="s">
        <v>41</v>
      </c>
      <c r="T3904" s="308">
        <v>79</v>
      </c>
      <c r="U3904" s="300" t="s">
        <v>164</v>
      </c>
      <c r="V3904" s="333"/>
      <c r="X3904" s="297">
        <v>0</v>
      </c>
      <c r="Y3904" s="297"/>
      <c r="AH3904" s="291">
        <f>X3904</f>
        <v>0</v>
      </c>
      <c r="AI3904" s="311"/>
      <c r="AJ3904" s="468"/>
    </row>
    <row r="3905" spans="1:77" s="291" customFormat="1" ht="11.25" customHeight="1">
      <c r="B3905" s="310" t="s">
        <v>291</v>
      </c>
      <c r="C3905" s="292"/>
      <c r="D3905" s="292"/>
      <c r="E3905" s="293" t="s">
        <v>3014</v>
      </c>
      <c r="F3905" s="291" t="s">
        <v>672</v>
      </c>
      <c r="G3905" s="294">
        <v>3601</v>
      </c>
      <c r="H3905" s="291" t="s">
        <v>866</v>
      </c>
      <c r="I3905" s="291" t="s">
        <v>888</v>
      </c>
      <c r="J3905" s="296">
        <v>5519.48</v>
      </c>
      <c r="K3905" s="295"/>
      <c r="L3905" s="296">
        <v>5.85</v>
      </c>
      <c r="M3905" s="296">
        <v>5.85</v>
      </c>
      <c r="N3905" s="297"/>
      <c r="O3905" s="307">
        <v>0.2</v>
      </c>
      <c r="P3905" s="298"/>
      <c r="Q3905" s="297">
        <v>0</v>
      </c>
      <c r="R3905" s="291" t="s">
        <v>35</v>
      </c>
      <c r="S3905" s="299" t="s">
        <v>41</v>
      </c>
      <c r="T3905" s="308">
        <v>79</v>
      </c>
      <c r="U3905" s="300" t="s">
        <v>164</v>
      </c>
      <c r="V3905" s="333"/>
      <c r="X3905" s="297">
        <v>0</v>
      </c>
      <c r="Y3905" s="297"/>
      <c r="AH3905" s="291">
        <f>X3905</f>
        <v>0</v>
      </c>
      <c r="AI3905" s="311"/>
      <c r="AJ3905" s="468"/>
    </row>
    <row r="3906" spans="1:77" s="379" customFormat="1" ht="11.25" customHeight="1">
      <c r="B3906" s="380" t="s">
        <v>291</v>
      </c>
      <c r="C3906" s="381">
        <v>44770</v>
      </c>
      <c r="D3906" s="381">
        <v>44770</v>
      </c>
      <c r="E3906" s="382" t="s">
        <v>3015</v>
      </c>
      <c r="F3906" s="379" t="s">
        <v>3016</v>
      </c>
      <c r="G3906" s="383" t="s">
        <v>3017</v>
      </c>
      <c r="H3906" s="379" t="s">
        <v>866</v>
      </c>
      <c r="I3906" s="379" t="s">
        <v>888</v>
      </c>
      <c r="J3906" s="385">
        <v>73018.399999999994</v>
      </c>
      <c r="K3906" s="384"/>
      <c r="L3906" s="385">
        <v>52</v>
      </c>
      <c r="M3906" s="385">
        <v>52</v>
      </c>
      <c r="N3906" s="386">
        <v>16162.33</v>
      </c>
      <c r="O3906" s="397">
        <v>0.25</v>
      </c>
      <c r="P3906" s="387"/>
      <c r="Q3906" s="386">
        <v>0</v>
      </c>
      <c r="R3906" s="402" t="s">
        <v>112</v>
      </c>
      <c r="S3906" s="388" t="s">
        <v>113</v>
      </c>
      <c r="T3906" s="399">
        <v>64</v>
      </c>
      <c r="U3906" s="389" t="s">
        <v>164</v>
      </c>
      <c r="V3906" s="433"/>
      <c r="X3906" s="386">
        <v>0</v>
      </c>
      <c r="Y3906" s="386"/>
      <c r="AJ3906" s="390">
        <v>0</v>
      </c>
    </row>
    <row r="3907" spans="1:77" s="6" customFormat="1" ht="11.25" customHeight="1">
      <c r="A3907" s="379"/>
      <c r="B3907" s="379" t="s">
        <v>291</v>
      </c>
      <c r="C3907" s="381">
        <v>44767</v>
      </c>
      <c r="D3907" s="381">
        <v>44770</v>
      </c>
      <c r="E3907" s="382" t="s">
        <v>3018</v>
      </c>
      <c r="F3907" s="379" t="s">
        <v>3835</v>
      </c>
      <c r="G3907" s="383" t="s">
        <v>470</v>
      </c>
      <c r="H3907" s="379" t="s">
        <v>898</v>
      </c>
      <c r="I3907" s="384" t="s">
        <v>1296</v>
      </c>
      <c r="J3907" s="385">
        <v>174746</v>
      </c>
      <c r="K3907" s="384"/>
      <c r="L3907" s="385">
        <v>79.430000000000007</v>
      </c>
      <c r="M3907" s="385">
        <v>79</v>
      </c>
      <c r="N3907" s="386"/>
      <c r="O3907" s="397">
        <v>0.25</v>
      </c>
      <c r="P3907" s="387"/>
      <c r="Q3907" s="386">
        <v>0</v>
      </c>
      <c r="R3907" s="379" t="s">
        <v>229</v>
      </c>
      <c r="S3907" s="388" t="s">
        <v>228</v>
      </c>
      <c r="T3907" s="399">
        <v>36</v>
      </c>
      <c r="U3907" s="389" t="s">
        <v>164</v>
      </c>
      <c r="V3907" s="433"/>
      <c r="W3907" s="379"/>
      <c r="X3907" s="386">
        <v>0</v>
      </c>
      <c r="Y3907" s="386"/>
      <c r="Z3907" s="379"/>
      <c r="AA3907" s="379"/>
      <c r="AB3907" s="379"/>
      <c r="AC3907" s="379"/>
      <c r="AD3907" s="379"/>
      <c r="AE3907" s="379"/>
      <c r="AF3907" s="379"/>
      <c r="AG3907" s="379"/>
      <c r="AH3907" s="379"/>
      <c r="AI3907" s="379"/>
      <c r="AJ3907" s="390">
        <v>0</v>
      </c>
      <c r="AK3907" s="379"/>
      <c r="AL3907" s="379"/>
      <c r="AM3907" s="379"/>
      <c r="AN3907" s="379"/>
      <c r="AO3907" s="379"/>
      <c r="AP3907" s="379"/>
      <c r="AQ3907" s="379"/>
      <c r="AR3907" s="379"/>
      <c r="AS3907" s="379"/>
      <c r="AT3907" s="379"/>
      <c r="AU3907" s="379"/>
      <c r="AV3907" s="379"/>
      <c r="AW3907" s="379"/>
      <c r="AX3907" s="379"/>
      <c r="AY3907" s="379"/>
      <c r="AZ3907" s="379"/>
      <c r="BA3907" s="379"/>
      <c r="BB3907" s="379"/>
      <c r="BC3907" s="379"/>
      <c r="BD3907" s="379"/>
      <c r="BE3907" s="379"/>
      <c r="BF3907" s="379"/>
      <c r="BG3907" s="379"/>
      <c r="BH3907" s="379"/>
      <c r="BI3907" s="379"/>
      <c r="BJ3907" s="379"/>
      <c r="BK3907" s="379"/>
      <c r="BL3907" s="379"/>
      <c r="BM3907" s="379"/>
      <c r="BN3907" s="379"/>
      <c r="BO3907" s="379"/>
      <c r="BP3907" s="379"/>
      <c r="BQ3907" s="379"/>
      <c r="BR3907" s="379"/>
      <c r="BS3907" s="379"/>
      <c r="BT3907" s="379"/>
      <c r="BU3907" s="379"/>
      <c r="BV3907" s="379"/>
      <c r="BW3907" s="379"/>
      <c r="BX3907" s="379"/>
      <c r="BY3907" s="379"/>
    </row>
    <row r="3908" spans="1:77" s="236" customFormat="1" ht="11.25" customHeight="1">
      <c r="A3908" s="507"/>
      <c r="B3908" s="508" t="s">
        <v>291</v>
      </c>
      <c r="C3908" s="509"/>
      <c r="D3908" s="509"/>
      <c r="E3908" s="510" t="s">
        <v>3019</v>
      </c>
      <c r="F3908" s="507" t="s">
        <v>1783</v>
      </c>
      <c r="G3908" s="521" t="s">
        <v>1784</v>
      </c>
      <c r="H3908" s="507" t="s">
        <v>898</v>
      </c>
      <c r="I3908" s="512" t="s">
        <v>33</v>
      </c>
      <c r="J3908" s="513">
        <v>18127.75</v>
      </c>
      <c r="K3908" s="512"/>
      <c r="L3908" s="513">
        <v>16.739999999999998</v>
      </c>
      <c r="M3908" s="513">
        <v>16.739999999999998</v>
      </c>
      <c r="N3908" s="514"/>
      <c r="O3908" s="530">
        <v>0.3</v>
      </c>
      <c r="P3908" s="515"/>
      <c r="Q3908" s="514">
        <v>6378.44</v>
      </c>
      <c r="R3908" s="507" t="s">
        <v>149</v>
      </c>
      <c r="S3908" s="516" t="s">
        <v>113</v>
      </c>
      <c r="T3908" s="531">
        <v>40</v>
      </c>
      <c r="U3908" s="517" t="s">
        <v>164</v>
      </c>
      <c r="V3908" s="518"/>
      <c r="W3908" s="507"/>
      <c r="X3908" s="514">
        <v>6378.44</v>
      </c>
      <c r="Y3908" s="514"/>
      <c r="Z3908" s="507"/>
      <c r="AA3908" s="507"/>
      <c r="AB3908" s="507"/>
      <c r="AC3908" s="507"/>
      <c r="AD3908" s="507"/>
      <c r="AE3908" s="507"/>
      <c r="AF3908" s="507"/>
      <c r="AG3908" s="507"/>
      <c r="AH3908" s="507"/>
      <c r="AI3908" s="507"/>
      <c r="AJ3908" s="522"/>
      <c r="AK3908" s="507"/>
      <c r="AL3908" s="514">
        <v>6378.44</v>
      </c>
      <c r="AM3908" s="507"/>
      <c r="AN3908" s="507"/>
      <c r="AO3908" s="507"/>
      <c r="AP3908" s="507"/>
      <c r="AQ3908" s="507"/>
      <c r="AR3908" s="507"/>
      <c r="AS3908" s="507"/>
      <c r="AT3908" s="507"/>
      <c r="AU3908" s="507"/>
      <c r="AV3908" s="507"/>
      <c r="AW3908" s="507"/>
      <c r="AX3908" s="507"/>
      <c r="AY3908" s="507"/>
      <c r="AZ3908" s="507"/>
      <c r="BA3908" s="507"/>
      <c r="BB3908" s="507"/>
      <c r="BC3908" s="507"/>
      <c r="BD3908" s="507"/>
      <c r="BE3908" s="507"/>
      <c r="BF3908" s="507"/>
      <c r="BG3908" s="507"/>
      <c r="BH3908" s="507"/>
      <c r="BI3908" s="507"/>
      <c r="BJ3908" s="507"/>
      <c r="BK3908" s="507"/>
      <c r="BL3908" s="507"/>
      <c r="BM3908" s="507"/>
      <c r="BN3908" s="507"/>
      <c r="BO3908" s="507"/>
      <c r="BP3908" s="507"/>
      <c r="BQ3908" s="507"/>
      <c r="BR3908" s="507"/>
      <c r="BS3908" s="507"/>
      <c r="BT3908" s="507"/>
      <c r="BU3908" s="507"/>
      <c r="BV3908" s="507"/>
      <c r="BW3908" s="507"/>
      <c r="BX3908" s="507"/>
      <c r="BY3908" s="507"/>
    </row>
    <row r="3909" spans="1:77" s="507" customFormat="1" ht="11.25" customHeight="1">
      <c r="B3909" s="508" t="s">
        <v>291</v>
      </c>
      <c r="C3909" s="509"/>
      <c r="D3909" s="509"/>
      <c r="E3909" s="510" t="s">
        <v>3019</v>
      </c>
      <c r="F3909" s="507" t="s">
        <v>1783</v>
      </c>
      <c r="G3909" s="521" t="s">
        <v>1784</v>
      </c>
      <c r="H3909" s="507" t="s">
        <v>765</v>
      </c>
      <c r="I3909" s="512" t="s">
        <v>33</v>
      </c>
      <c r="J3909" s="513">
        <v>6810</v>
      </c>
      <c r="K3909" s="512"/>
      <c r="L3909" s="513">
        <v>6</v>
      </c>
      <c r="M3909" s="513">
        <v>6</v>
      </c>
      <c r="O3909" s="530">
        <v>0.3</v>
      </c>
      <c r="P3909" s="515"/>
      <c r="Q3909" s="514">
        <v>749.5</v>
      </c>
      <c r="R3909" s="507" t="s">
        <v>149</v>
      </c>
      <c r="S3909" s="516" t="s">
        <v>113</v>
      </c>
      <c r="T3909" s="531">
        <v>40</v>
      </c>
      <c r="U3909" s="517" t="s">
        <v>164</v>
      </c>
      <c r="V3909" s="518"/>
      <c r="X3909" s="514">
        <v>749.5</v>
      </c>
      <c r="Y3909" s="514"/>
      <c r="AJ3909" s="522"/>
      <c r="AL3909" s="514">
        <v>749.5</v>
      </c>
    </row>
    <row r="3910" spans="1:77" s="507" customFormat="1" ht="11.25" customHeight="1">
      <c r="B3910" s="508" t="s">
        <v>291</v>
      </c>
      <c r="C3910" s="509"/>
      <c r="D3910" s="509"/>
      <c r="E3910" s="510" t="s">
        <v>3019</v>
      </c>
      <c r="F3910" s="507" t="s">
        <v>1783</v>
      </c>
      <c r="G3910" s="521" t="s">
        <v>1784</v>
      </c>
      <c r="H3910" s="507" t="s">
        <v>910</v>
      </c>
      <c r="I3910" s="512" t="s">
        <v>33</v>
      </c>
      <c r="J3910" s="513">
        <v>62912</v>
      </c>
      <c r="K3910" s="512"/>
      <c r="L3910" s="513">
        <v>32</v>
      </c>
      <c r="M3910" s="513">
        <v>32</v>
      </c>
      <c r="N3910" s="514"/>
      <c r="O3910" s="530">
        <v>0.3</v>
      </c>
      <c r="P3910" s="515"/>
      <c r="Q3910" s="514">
        <v>1744.36</v>
      </c>
      <c r="R3910" s="507" t="s">
        <v>149</v>
      </c>
      <c r="S3910" s="516" t="s">
        <v>113</v>
      </c>
      <c r="T3910" s="531">
        <v>40</v>
      </c>
      <c r="U3910" s="517" t="s">
        <v>164</v>
      </c>
      <c r="V3910" s="518"/>
      <c r="X3910" s="514">
        <v>1744.36</v>
      </c>
      <c r="Y3910" s="514"/>
      <c r="AJ3910" s="522"/>
      <c r="AL3910" s="514">
        <v>1744.36</v>
      </c>
    </row>
    <row r="3911" spans="1:77" s="507" customFormat="1" ht="11.25" customHeight="1">
      <c r="B3911" s="508" t="s">
        <v>291</v>
      </c>
      <c r="C3911" s="509"/>
      <c r="D3911" s="509"/>
      <c r="E3911" s="510" t="s">
        <v>3019</v>
      </c>
      <c r="F3911" s="507" t="s">
        <v>1783</v>
      </c>
      <c r="G3911" s="521" t="s">
        <v>1784</v>
      </c>
      <c r="H3911" s="507" t="s">
        <v>866</v>
      </c>
      <c r="I3911" s="512" t="s">
        <v>33</v>
      </c>
      <c r="J3911" s="513">
        <v>8300</v>
      </c>
      <c r="K3911" s="512"/>
      <c r="L3911" s="513">
        <v>5</v>
      </c>
      <c r="M3911" s="513">
        <v>5</v>
      </c>
      <c r="N3911" s="514"/>
      <c r="O3911" s="530">
        <v>0.3</v>
      </c>
      <c r="P3911" s="515"/>
      <c r="Q3911" s="514">
        <v>1750.2</v>
      </c>
      <c r="R3911" s="507" t="s">
        <v>149</v>
      </c>
      <c r="S3911" s="516" t="s">
        <v>113</v>
      </c>
      <c r="T3911" s="531">
        <v>40</v>
      </c>
      <c r="U3911" s="517" t="s">
        <v>164</v>
      </c>
      <c r="V3911" s="518"/>
      <c r="X3911" s="514">
        <v>1750.2</v>
      </c>
      <c r="Y3911" s="514"/>
      <c r="AJ3911" s="522"/>
      <c r="AL3911" s="514">
        <v>1750.2</v>
      </c>
    </row>
    <row r="3912" spans="1:77" s="261" customFormat="1" ht="11.25" customHeight="1">
      <c r="B3912" s="258" t="s">
        <v>291</v>
      </c>
      <c r="C3912" s="259">
        <v>44768</v>
      </c>
      <c r="D3912" s="259">
        <v>44770</v>
      </c>
      <c r="E3912" s="260" t="s">
        <v>3019</v>
      </c>
      <c r="F3912" s="261" t="s">
        <v>1783</v>
      </c>
      <c r="G3912" s="262" t="s">
        <v>1784</v>
      </c>
      <c r="H3912" s="261" t="s">
        <v>1009</v>
      </c>
      <c r="I3912" s="264" t="s">
        <v>33</v>
      </c>
      <c r="J3912" s="263">
        <v>30030</v>
      </c>
      <c r="K3912" s="264"/>
      <c r="L3912" s="263">
        <v>22</v>
      </c>
      <c r="M3912" s="263">
        <v>22</v>
      </c>
      <c r="N3912" s="265"/>
      <c r="O3912" s="278">
        <v>0.3</v>
      </c>
      <c r="P3912" s="266"/>
      <c r="Q3912" s="265">
        <v>0</v>
      </c>
      <c r="R3912" s="261" t="s">
        <v>149</v>
      </c>
      <c r="S3912" s="267" t="s">
        <v>113</v>
      </c>
      <c r="T3912" s="279">
        <v>40</v>
      </c>
      <c r="U3912" s="268" t="s">
        <v>164</v>
      </c>
      <c r="V3912" s="427"/>
      <c r="X3912" s="265">
        <v>0</v>
      </c>
      <c r="Y3912" s="265"/>
      <c r="AG3912" s="261">
        <f>X3912</f>
        <v>0</v>
      </c>
      <c r="AJ3912" s="642"/>
    </row>
    <row r="3913" spans="1:77" s="379" customFormat="1" ht="11.25" customHeight="1">
      <c r="B3913" s="380" t="s">
        <v>291</v>
      </c>
      <c r="C3913" s="381">
        <v>44758</v>
      </c>
      <c r="D3913" s="381">
        <v>44771</v>
      </c>
      <c r="E3913" s="382" t="s">
        <v>3020</v>
      </c>
      <c r="F3913" s="379" t="s">
        <v>841</v>
      </c>
      <c r="G3913" s="383">
        <v>3813</v>
      </c>
      <c r="H3913" s="379" t="s">
        <v>910</v>
      </c>
      <c r="I3913" s="384" t="s">
        <v>111</v>
      </c>
      <c r="J3913" s="385">
        <v>126316.08</v>
      </c>
      <c r="K3913" s="384"/>
      <c r="L3913" s="385">
        <v>67.650000000000006</v>
      </c>
      <c r="M3913" s="385">
        <v>67.650000000000006</v>
      </c>
      <c r="N3913" s="386"/>
      <c r="O3913" s="397">
        <v>0.15</v>
      </c>
      <c r="P3913" s="387"/>
      <c r="Q3913" s="386">
        <v>0</v>
      </c>
      <c r="R3913" s="379" t="s">
        <v>146</v>
      </c>
      <c r="S3913" s="388" t="s">
        <v>113</v>
      </c>
      <c r="T3913" s="399">
        <v>31</v>
      </c>
      <c r="U3913" s="389" t="s">
        <v>164</v>
      </c>
      <c r="V3913" s="433"/>
      <c r="X3913" s="386">
        <v>0</v>
      </c>
      <c r="Y3913" s="386"/>
      <c r="AJ3913" s="390">
        <v>0</v>
      </c>
    </row>
    <row r="3914" spans="1:77" s="473" customFormat="1" ht="11.25" customHeight="1">
      <c r="B3914" s="473" t="s">
        <v>291</v>
      </c>
      <c r="C3914" s="487">
        <v>44762</v>
      </c>
      <c r="D3914" s="487">
        <v>44771</v>
      </c>
      <c r="E3914" s="488" t="s">
        <v>3021</v>
      </c>
      <c r="F3914" s="473" t="s">
        <v>32</v>
      </c>
      <c r="G3914" s="489">
        <v>4101</v>
      </c>
      <c r="H3914" s="473" t="s">
        <v>910</v>
      </c>
      <c r="I3914" s="491" t="s">
        <v>3022</v>
      </c>
      <c r="J3914" s="490">
        <v>42129.35</v>
      </c>
      <c r="K3914" s="491"/>
      <c r="L3914" s="490">
        <v>25.01</v>
      </c>
      <c r="M3914" s="490">
        <v>25</v>
      </c>
      <c r="N3914" s="492"/>
      <c r="O3914" s="480">
        <v>0.25</v>
      </c>
      <c r="P3914" s="493"/>
      <c r="Q3914" s="492">
        <v>2466.61</v>
      </c>
      <c r="R3914" s="473" t="s">
        <v>35</v>
      </c>
      <c r="S3914" s="481" t="s">
        <v>34</v>
      </c>
      <c r="T3914" s="482">
        <v>17</v>
      </c>
      <c r="U3914" s="494" t="s">
        <v>164</v>
      </c>
      <c r="V3914" s="492"/>
      <c r="X3914" s="492">
        <v>2466.61</v>
      </c>
      <c r="Y3914" s="492"/>
      <c r="AJ3914" s="485"/>
      <c r="AK3914" s="505">
        <v>2466.61</v>
      </c>
    </row>
    <row r="3915" spans="1:77" s="379" customFormat="1" ht="11.25" customHeight="1">
      <c r="B3915" s="379" t="s">
        <v>291</v>
      </c>
      <c r="C3915" s="381"/>
      <c r="D3915" s="381"/>
      <c r="E3915" s="382" t="s">
        <v>3021</v>
      </c>
      <c r="F3915" s="379" t="s">
        <v>32</v>
      </c>
      <c r="G3915" s="383">
        <v>4101</v>
      </c>
      <c r="H3915" s="379" t="s">
        <v>765</v>
      </c>
      <c r="I3915" s="384" t="s">
        <v>3022</v>
      </c>
      <c r="J3915" s="385">
        <v>19444.32</v>
      </c>
      <c r="K3915" s="384"/>
      <c r="L3915" s="385">
        <v>19.29</v>
      </c>
      <c r="M3915" s="385">
        <v>19.28</v>
      </c>
      <c r="N3915" s="386"/>
      <c r="O3915" s="397">
        <v>0.25</v>
      </c>
      <c r="P3915" s="387"/>
      <c r="Q3915" s="386">
        <v>0</v>
      </c>
      <c r="R3915" s="379" t="s">
        <v>35</v>
      </c>
      <c r="S3915" s="388" t="s">
        <v>34</v>
      </c>
      <c r="T3915" s="399">
        <v>17</v>
      </c>
      <c r="U3915" s="389" t="s">
        <v>164</v>
      </c>
      <c r="V3915" s="433"/>
      <c r="X3915" s="386">
        <v>0</v>
      </c>
      <c r="Y3915" s="386"/>
      <c r="AJ3915" s="390">
        <v>0</v>
      </c>
    </row>
    <row r="3916" spans="1:77" s="379" customFormat="1" ht="11.25" customHeight="1">
      <c r="B3916" s="379" t="s">
        <v>291</v>
      </c>
      <c r="C3916" s="381">
        <v>44771</v>
      </c>
      <c r="D3916" s="381">
        <v>44771</v>
      </c>
      <c r="E3916" s="382" t="s">
        <v>3023</v>
      </c>
      <c r="F3916" s="379" t="s">
        <v>1926</v>
      </c>
      <c r="G3916" s="383">
        <v>3580</v>
      </c>
      <c r="H3916" s="379" t="s">
        <v>866</v>
      </c>
      <c r="I3916" s="384" t="s">
        <v>33</v>
      </c>
      <c r="J3916" s="385">
        <v>14741.3</v>
      </c>
      <c r="K3916" s="384"/>
      <c r="L3916" s="385">
        <v>22.77</v>
      </c>
      <c r="M3916" s="385">
        <v>22.77</v>
      </c>
      <c r="N3916" s="386"/>
      <c r="O3916" s="387">
        <v>0.15</v>
      </c>
      <c r="P3916" s="387"/>
      <c r="Q3916" s="386">
        <v>0</v>
      </c>
      <c r="R3916" s="379" t="s">
        <v>128</v>
      </c>
      <c r="S3916" s="388" t="s">
        <v>41</v>
      </c>
      <c r="T3916" s="399">
        <v>78</v>
      </c>
      <c r="U3916" s="389" t="s">
        <v>164</v>
      </c>
      <c r="V3916" s="433"/>
      <c r="X3916" s="386">
        <v>0</v>
      </c>
      <c r="Y3916" s="386"/>
      <c r="AJ3916" s="390">
        <v>0</v>
      </c>
    </row>
    <row r="3917" spans="1:77" s="379" customFormat="1" ht="11.25" customHeight="1">
      <c r="B3917" s="379" t="s">
        <v>291</v>
      </c>
      <c r="C3917" s="381"/>
      <c r="D3917" s="381"/>
      <c r="E3917" s="382" t="s">
        <v>3023</v>
      </c>
      <c r="F3917" s="379" t="s">
        <v>1926</v>
      </c>
      <c r="G3917" s="383">
        <v>3580</v>
      </c>
      <c r="H3917" s="379" t="s">
        <v>765</v>
      </c>
      <c r="I3917" s="384" t="s">
        <v>33</v>
      </c>
      <c r="J3917" s="385">
        <v>10526.57</v>
      </c>
      <c r="K3917" s="384"/>
      <c r="L3917" s="385">
        <v>15.87</v>
      </c>
      <c r="M3917" s="385">
        <v>15.87</v>
      </c>
      <c r="N3917" s="386"/>
      <c r="O3917" s="387">
        <v>0.15</v>
      </c>
      <c r="P3917" s="387"/>
      <c r="Q3917" s="386">
        <v>0</v>
      </c>
      <c r="R3917" s="379" t="s">
        <v>128</v>
      </c>
      <c r="S3917" s="388" t="s">
        <v>41</v>
      </c>
      <c r="T3917" s="399">
        <v>78</v>
      </c>
      <c r="U3917" s="389" t="s">
        <v>164</v>
      </c>
      <c r="V3917" s="433"/>
      <c r="X3917" s="386">
        <v>0</v>
      </c>
      <c r="Y3917" s="386"/>
      <c r="AJ3917" s="390">
        <v>0</v>
      </c>
    </row>
    <row r="3918" spans="1:77" s="337" customFormat="1" ht="11.25" customHeight="1">
      <c r="B3918" s="338" t="s">
        <v>291</v>
      </c>
      <c r="C3918" s="349">
        <v>44767</v>
      </c>
      <c r="D3918" s="349">
        <v>44771</v>
      </c>
      <c r="E3918" s="350" t="s">
        <v>3024</v>
      </c>
      <c r="F3918" s="337" t="s">
        <v>1331</v>
      </c>
      <c r="G3918" s="351" t="s">
        <v>1332</v>
      </c>
      <c r="H3918" s="337" t="s">
        <v>814</v>
      </c>
      <c r="I3918" s="353" t="s">
        <v>1426</v>
      </c>
      <c r="J3918" s="352">
        <v>3152.68</v>
      </c>
      <c r="K3918" s="353"/>
      <c r="L3918" s="352">
        <v>2.69</v>
      </c>
      <c r="M3918" s="352">
        <v>2.69</v>
      </c>
      <c r="N3918" s="354">
        <v>788.17</v>
      </c>
      <c r="O3918" s="355">
        <v>0.2</v>
      </c>
      <c r="P3918" s="355"/>
      <c r="Q3918" s="354">
        <v>0</v>
      </c>
      <c r="R3918" s="337" t="s">
        <v>112</v>
      </c>
      <c r="S3918" s="356" t="s">
        <v>113</v>
      </c>
      <c r="T3918" s="346">
        <v>64</v>
      </c>
      <c r="U3918" s="357" t="s">
        <v>164</v>
      </c>
      <c r="V3918" s="434"/>
      <c r="X3918" s="354">
        <v>0</v>
      </c>
      <c r="Y3918" s="354"/>
      <c r="AI3918" s="337">
        <f>X3918</f>
        <v>0</v>
      </c>
      <c r="AJ3918" s="358"/>
      <c r="AK3918" s="369"/>
    </row>
    <row r="3919" spans="1:77" s="6" customFormat="1" ht="11.25" customHeight="1">
      <c r="A3919" s="379"/>
      <c r="B3919" s="380" t="s">
        <v>291</v>
      </c>
      <c r="C3919" s="381">
        <v>44760</v>
      </c>
      <c r="D3919" s="381">
        <v>44770</v>
      </c>
      <c r="E3919" s="382" t="s">
        <v>3025</v>
      </c>
      <c r="F3919" s="379" t="s">
        <v>3026</v>
      </c>
      <c r="G3919" s="383" t="s">
        <v>3027</v>
      </c>
      <c r="H3919" s="379" t="s">
        <v>814</v>
      </c>
      <c r="I3919" s="384" t="s">
        <v>961</v>
      </c>
      <c r="J3919" s="385">
        <v>2249.52</v>
      </c>
      <c r="K3919" s="384"/>
      <c r="L3919" s="385">
        <v>2.06</v>
      </c>
      <c r="M3919" s="385">
        <v>2.06</v>
      </c>
      <c r="N3919" s="386"/>
      <c r="O3919" s="387">
        <v>0.25</v>
      </c>
      <c r="P3919" s="387"/>
      <c r="Q3919" s="386">
        <v>368.74</v>
      </c>
      <c r="R3919" s="379" t="s">
        <v>73</v>
      </c>
      <c r="S3919" s="388" t="s">
        <v>113</v>
      </c>
      <c r="T3919" s="399">
        <v>40</v>
      </c>
      <c r="U3919" s="389" t="s">
        <v>164</v>
      </c>
      <c r="V3919" s="433"/>
      <c r="W3919" s="379"/>
      <c r="X3919" s="386">
        <v>368.74</v>
      </c>
      <c r="Y3919" s="386"/>
      <c r="Z3919" s="379"/>
      <c r="AA3919" s="379"/>
      <c r="AB3919" s="379"/>
      <c r="AC3919" s="379"/>
      <c r="AD3919" s="379"/>
      <c r="AE3919" s="379"/>
      <c r="AF3919" s="379"/>
      <c r="AG3919" s="379"/>
      <c r="AH3919" s="379"/>
      <c r="AI3919" s="379"/>
      <c r="AJ3919" s="390">
        <v>368.74</v>
      </c>
      <c r="AK3919" s="379"/>
      <c r="AL3919" s="379"/>
      <c r="AM3919" s="379"/>
      <c r="AN3919" s="379"/>
      <c r="AO3919" s="379"/>
      <c r="AP3919" s="379"/>
      <c r="AQ3919" s="379"/>
      <c r="AR3919" s="379"/>
      <c r="AS3919" s="379"/>
      <c r="AT3919" s="379"/>
      <c r="AU3919" s="379"/>
      <c r="AV3919" s="379"/>
      <c r="AW3919" s="379"/>
      <c r="AX3919" s="379"/>
      <c r="AY3919" s="379"/>
      <c r="AZ3919" s="379"/>
      <c r="BA3919" s="379"/>
      <c r="BB3919" s="379"/>
      <c r="BC3919" s="379"/>
      <c r="BD3919" s="379"/>
      <c r="BE3919" s="379"/>
      <c r="BF3919" s="379"/>
      <c r="BG3919" s="379"/>
      <c r="BH3919" s="379"/>
      <c r="BI3919" s="379"/>
      <c r="BJ3919" s="379"/>
      <c r="BK3919" s="379"/>
      <c r="BL3919" s="379"/>
      <c r="BM3919" s="379"/>
      <c r="BN3919" s="379"/>
      <c r="BO3919" s="379"/>
      <c r="BP3919" s="379"/>
      <c r="BQ3919" s="379"/>
      <c r="BR3919" s="379"/>
      <c r="BS3919" s="379"/>
      <c r="BT3919" s="379"/>
      <c r="BU3919" s="379"/>
      <c r="BV3919" s="379"/>
      <c r="BW3919" s="379"/>
      <c r="BX3919" s="379"/>
      <c r="BY3919" s="379"/>
    </row>
    <row r="3920" spans="1:77" s="6" customFormat="1" ht="11.25" customHeight="1">
      <c r="A3920" s="379"/>
      <c r="B3920" s="380" t="s">
        <v>291</v>
      </c>
      <c r="C3920" s="381"/>
      <c r="D3920" s="381"/>
      <c r="E3920" s="382" t="s">
        <v>3025</v>
      </c>
      <c r="F3920" s="379" t="s">
        <v>3026</v>
      </c>
      <c r="G3920" s="383" t="s">
        <v>3027</v>
      </c>
      <c r="H3920" s="379" t="s">
        <v>765</v>
      </c>
      <c r="I3920" s="384" t="s">
        <v>961</v>
      </c>
      <c r="J3920" s="385">
        <v>6727.5</v>
      </c>
      <c r="K3920" s="384"/>
      <c r="L3920" s="385">
        <v>5.85</v>
      </c>
      <c r="M3920" s="385">
        <v>5.85</v>
      </c>
      <c r="N3920" s="386"/>
      <c r="O3920" s="387">
        <v>0.25</v>
      </c>
      <c r="P3920" s="387"/>
      <c r="Q3920" s="386">
        <v>0</v>
      </c>
      <c r="R3920" s="379" t="s">
        <v>73</v>
      </c>
      <c r="S3920" s="388" t="s">
        <v>113</v>
      </c>
      <c r="T3920" s="399">
        <v>40</v>
      </c>
      <c r="U3920" s="389" t="s">
        <v>164</v>
      </c>
      <c r="V3920" s="433"/>
      <c r="W3920" s="379"/>
      <c r="X3920" s="386">
        <v>0</v>
      </c>
      <c r="Y3920" s="386"/>
      <c r="Z3920" s="379"/>
      <c r="AA3920" s="379"/>
      <c r="AB3920" s="379"/>
      <c r="AC3920" s="379"/>
      <c r="AD3920" s="379"/>
      <c r="AE3920" s="379"/>
      <c r="AF3920" s="379"/>
      <c r="AG3920" s="379"/>
      <c r="AH3920" s="379"/>
      <c r="AI3920" s="379"/>
      <c r="AJ3920" s="390">
        <v>0</v>
      </c>
      <c r="AK3920" s="379"/>
      <c r="AL3920" s="379"/>
      <c r="AM3920" s="379"/>
      <c r="AN3920" s="379"/>
      <c r="AO3920" s="379"/>
      <c r="AP3920" s="379"/>
      <c r="AQ3920" s="379"/>
      <c r="AR3920" s="379"/>
      <c r="AS3920" s="379"/>
      <c r="AT3920" s="379"/>
      <c r="AU3920" s="379"/>
      <c r="AV3920" s="379"/>
      <c r="AW3920" s="379"/>
      <c r="AX3920" s="379"/>
      <c r="AY3920" s="379"/>
      <c r="AZ3920" s="379"/>
      <c r="BA3920" s="379"/>
      <c r="BB3920" s="379"/>
      <c r="BC3920" s="379"/>
      <c r="BD3920" s="379"/>
      <c r="BE3920" s="379"/>
      <c r="BF3920" s="379"/>
      <c r="BG3920" s="379"/>
      <c r="BH3920" s="379"/>
      <c r="BI3920" s="379"/>
      <c r="BJ3920" s="379"/>
      <c r="BK3920" s="379"/>
      <c r="BL3920" s="379"/>
      <c r="BM3920" s="379"/>
      <c r="BN3920" s="379"/>
      <c r="BO3920" s="379"/>
      <c r="BP3920" s="379"/>
      <c r="BQ3920" s="379"/>
      <c r="BR3920" s="379"/>
      <c r="BS3920" s="379"/>
      <c r="BT3920" s="379"/>
      <c r="BU3920" s="379"/>
      <c r="BV3920" s="379"/>
      <c r="BW3920" s="379"/>
      <c r="BX3920" s="379"/>
      <c r="BY3920" s="379"/>
    </row>
    <row r="3921" spans="1:77" s="6" customFormat="1" ht="11.25" customHeight="1">
      <c r="A3921" s="379"/>
      <c r="B3921" s="380" t="s">
        <v>291</v>
      </c>
      <c r="C3921" s="381"/>
      <c r="D3921" s="381"/>
      <c r="E3921" s="382" t="s">
        <v>3025</v>
      </c>
      <c r="F3921" s="379" t="s">
        <v>3026</v>
      </c>
      <c r="G3921" s="383" t="s">
        <v>3027</v>
      </c>
      <c r="H3921" s="379" t="s">
        <v>2171</v>
      </c>
      <c r="I3921" s="384" t="s">
        <v>961</v>
      </c>
      <c r="J3921" s="385">
        <v>50239.199999999997</v>
      </c>
      <c r="K3921" s="384"/>
      <c r="L3921" s="385">
        <v>20.76</v>
      </c>
      <c r="M3921" s="385">
        <v>20.76</v>
      </c>
      <c r="N3921" s="386"/>
      <c r="O3921" s="387">
        <v>0.25</v>
      </c>
      <c r="P3921" s="387"/>
      <c r="Q3921" s="386">
        <v>0</v>
      </c>
      <c r="R3921" s="379" t="s">
        <v>73</v>
      </c>
      <c r="S3921" s="388" t="s">
        <v>113</v>
      </c>
      <c r="T3921" s="399">
        <v>40</v>
      </c>
      <c r="U3921" s="389" t="s">
        <v>164</v>
      </c>
      <c r="V3921" s="433"/>
      <c r="W3921" s="379"/>
      <c r="X3921" s="386">
        <v>0</v>
      </c>
      <c r="Y3921" s="386"/>
      <c r="Z3921" s="379"/>
      <c r="AA3921" s="379"/>
      <c r="AB3921" s="379"/>
      <c r="AC3921" s="379"/>
      <c r="AD3921" s="379"/>
      <c r="AE3921" s="379"/>
      <c r="AF3921" s="379"/>
      <c r="AG3921" s="379"/>
      <c r="AH3921" s="379"/>
      <c r="AI3921" s="379"/>
      <c r="AJ3921" s="390">
        <v>0</v>
      </c>
      <c r="AK3921" s="379"/>
      <c r="AL3921" s="379"/>
      <c r="AM3921" s="379"/>
      <c r="AN3921" s="379"/>
      <c r="AO3921" s="379"/>
      <c r="AP3921" s="379"/>
      <c r="AQ3921" s="379"/>
      <c r="AR3921" s="379"/>
      <c r="AS3921" s="379"/>
      <c r="AT3921" s="379"/>
      <c r="AU3921" s="379"/>
      <c r="AV3921" s="379"/>
      <c r="AW3921" s="379"/>
      <c r="AX3921" s="379"/>
      <c r="AY3921" s="379"/>
      <c r="AZ3921" s="379"/>
      <c r="BA3921" s="379"/>
      <c r="BB3921" s="379"/>
      <c r="BC3921" s="379"/>
      <c r="BD3921" s="379"/>
      <c r="BE3921" s="379"/>
      <c r="BF3921" s="379"/>
      <c r="BG3921" s="379"/>
      <c r="BH3921" s="379"/>
      <c r="BI3921" s="379"/>
      <c r="BJ3921" s="379"/>
      <c r="BK3921" s="379"/>
      <c r="BL3921" s="379"/>
      <c r="BM3921" s="379"/>
      <c r="BN3921" s="379"/>
      <c r="BO3921" s="379"/>
      <c r="BP3921" s="379"/>
      <c r="BQ3921" s="379"/>
      <c r="BR3921" s="379"/>
      <c r="BS3921" s="379"/>
      <c r="BT3921" s="379"/>
      <c r="BU3921" s="379"/>
      <c r="BV3921" s="379"/>
      <c r="BW3921" s="379"/>
      <c r="BX3921" s="379"/>
      <c r="BY3921" s="379"/>
    </row>
    <row r="3922" spans="1:77" s="473" customFormat="1" ht="11.25" customHeight="1">
      <c r="B3922" s="486" t="s">
        <v>291</v>
      </c>
      <c r="C3922" s="487">
        <v>44771</v>
      </c>
      <c r="D3922" s="487">
        <v>44771</v>
      </c>
      <c r="E3922" s="488" t="s">
        <v>3028</v>
      </c>
      <c r="F3922" s="473" t="s">
        <v>3029</v>
      </c>
      <c r="G3922" s="496">
        <v>3903</v>
      </c>
      <c r="H3922" s="473" t="s">
        <v>898</v>
      </c>
      <c r="I3922" s="473" t="s">
        <v>888</v>
      </c>
      <c r="J3922" s="490">
        <v>19755.060000000001</v>
      </c>
      <c r="K3922" s="491"/>
      <c r="L3922" s="490">
        <v>14.82</v>
      </c>
      <c r="M3922" s="490">
        <v>14.82</v>
      </c>
      <c r="N3922" s="492"/>
      <c r="O3922" s="493">
        <v>0.3</v>
      </c>
      <c r="P3922" s="493"/>
      <c r="Q3922" s="492">
        <v>1720.6</v>
      </c>
      <c r="R3922" s="473" t="s">
        <v>128</v>
      </c>
      <c r="S3922" s="481" t="s">
        <v>41</v>
      </c>
      <c r="T3922" s="481">
        <v>79</v>
      </c>
      <c r="U3922" s="494" t="s">
        <v>164</v>
      </c>
      <c r="V3922" s="495"/>
      <c r="X3922" s="492">
        <v>1720.6</v>
      </c>
      <c r="Y3922" s="492"/>
      <c r="AJ3922" s="485"/>
      <c r="AK3922" s="505">
        <v>1720.6</v>
      </c>
    </row>
    <row r="3923" spans="1:77" s="473" customFormat="1" ht="11.25" customHeight="1">
      <c r="B3923" s="486" t="s">
        <v>291</v>
      </c>
      <c r="C3923" s="487"/>
      <c r="D3923" s="487"/>
      <c r="E3923" s="488" t="s">
        <v>3028</v>
      </c>
      <c r="F3923" s="473" t="s">
        <v>3029</v>
      </c>
      <c r="G3923" s="496">
        <v>3903</v>
      </c>
      <c r="H3923" s="473" t="s">
        <v>765</v>
      </c>
      <c r="I3923" s="473" t="s">
        <v>888</v>
      </c>
      <c r="J3923" s="490">
        <v>16558.52</v>
      </c>
      <c r="K3923" s="491"/>
      <c r="L3923" s="490">
        <v>16.21</v>
      </c>
      <c r="M3923" s="490">
        <v>16.21</v>
      </c>
      <c r="N3923" s="492"/>
      <c r="O3923" s="493">
        <v>0.3</v>
      </c>
      <c r="P3923" s="493"/>
      <c r="Q3923" s="492">
        <v>2086.23</v>
      </c>
      <c r="R3923" s="473" t="s">
        <v>128</v>
      </c>
      <c r="S3923" s="481" t="s">
        <v>41</v>
      </c>
      <c r="T3923" s="481">
        <v>79</v>
      </c>
      <c r="U3923" s="494" t="s">
        <v>164</v>
      </c>
      <c r="V3923" s="495"/>
      <c r="X3923" s="492">
        <v>2086.23</v>
      </c>
      <c r="Y3923" s="492"/>
      <c r="AJ3923" s="485"/>
      <c r="AK3923" s="505">
        <v>2086.23</v>
      </c>
    </row>
    <row r="3924" spans="1:77" s="291" customFormat="1" ht="11.25" customHeight="1">
      <c r="B3924" s="291" t="s">
        <v>291</v>
      </c>
      <c r="C3924" s="292">
        <v>44771</v>
      </c>
      <c r="D3924" s="292">
        <v>44771</v>
      </c>
      <c r="E3924" s="293" t="s">
        <v>3030</v>
      </c>
      <c r="F3924" s="291" t="s">
        <v>2453</v>
      </c>
      <c r="G3924" s="294" t="s">
        <v>2454</v>
      </c>
      <c r="H3924" s="291" t="s">
        <v>765</v>
      </c>
      <c r="I3924" s="295" t="s">
        <v>33</v>
      </c>
      <c r="J3924" s="296">
        <v>15056.26</v>
      </c>
      <c r="K3924" s="295"/>
      <c r="L3924" s="296">
        <v>14.2</v>
      </c>
      <c r="M3924" s="296">
        <v>14.2</v>
      </c>
      <c r="N3924" s="297"/>
      <c r="O3924" s="298">
        <v>0.15</v>
      </c>
      <c r="P3924" s="298"/>
      <c r="Q3924" s="297">
        <v>0</v>
      </c>
      <c r="R3924" s="291" t="s">
        <v>251</v>
      </c>
      <c r="S3924" s="299" t="s">
        <v>74</v>
      </c>
      <c r="T3924" s="299">
        <v>32</v>
      </c>
      <c r="U3924" s="300" t="s">
        <v>164</v>
      </c>
      <c r="V3924" s="333"/>
      <c r="X3924" s="297">
        <v>0</v>
      </c>
      <c r="Y3924" s="297"/>
      <c r="AH3924" s="291">
        <f>X3924</f>
        <v>0</v>
      </c>
      <c r="AI3924" s="311"/>
      <c r="AJ3924" s="468"/>
    </row>
    <row r="3925" spans="1:77" s="6" customFormat="1" ht="11.25" customHeight="1">
      <c r="A3925" s="379"/>
      <c r="B3925" s="403" t="s">
        <v>291</v>
      </c>
      <c r="C3925" s="381"/>
      <c r="D3925" s="381"/>
      <c r="E3925" s="382" t="s">
        <v>3031</v>
      </c>
      <c r="F3925" s="379" t="s">
        <v>410</v>
      </c>
      <c r="G3925" s="383" t="s">
        <v>411</v>
      </c>
      <c r="H3925" s="379" t="s">
        <v>814</v>
      </c>
      <c r="I3925" s="384" t="s">
        <v>1195</v>
      </c>
      <c r="J3925" s="385">
        <v>25179</v>
      </c>
      <c r="K3925" s="384"/>
      <c r="L3925" s="385">
        <v>14</v>
      </c>
      <c r="M3925" s="385">
        <v>14</v>
      </c>
      <c r="N3925" s="386"/>
      <c r="O3925" s="387">
        <v>0.2</v>
      </c>
      <c r="P3925" s="387"/>
      <c r="Q3925" s="386">
        <v>0</v>
      </c>
      <c r="R3925" s="379" t="s">
        <v>149</v>
      </c>
      <c r="S3925" s="388" t="s">
        <v>113</v>
      </c>
      <c r="T3925" s="388">
        <v>40</v>
      </c>
      <c r="U3925" s="389" t="s">
        <v>164</v>
      </c>
      <c r="V3925" s="433"/>
      <c r="W3925" s="379"/>
      <c r="X3925" s="386">
        <v>0</v>
      </c>
      <c r="Y3925" s="386"/>
      <c r="Z3925" s="379"/>
      <c r="AA3925" s="379"/>
      <c r="AB3925" s="379"/>
      <c r="AC3925" s="379"/>
      <c r="AD3925" s="379"/>
      <c r="AE3925" s="379"/>
      <c r="AF3925" s="379"/>
      <c r="AG3925" s="379"/>
      <c r="AH3925" s="379"/>
      <c r="AI3925" s="379"/>
      <c r="AJ3925" s="390">
        <v>0</v>
      </c>
      <c r="AK3925" s="379"/>
      <c r="AL3925" s="379"/>
      <c r="AM3925" s="379"/>
      <c r="AN3925" s="379"/>
      <c r="AO3925" s="379"/>
      <c r="AP3925" s="379"/>
      <c r="AQ3925" s="379"/>
      <c r="AR3925" s="379"/>
      <c r="AS3925" s="379"/>
      <c r="AT3925" s="379"/>
      <c r="AU3925" s="379"/>
      <c r="AV3925" s="379"/>
      <c r="AW3925" s="379"/>
      <c r="AX3925" s="379"/>
      <c r="AY3925" s="379"/>
      <c r="AZ3925" s="379"/>
      <c r="BA3925" s="379"/>
      <c r="BB3925" s="379"/>
      <c r="BC3925" s="379"/>
      <c r="BD3925" s="379"/>
      <c r="BE3925" s="379"/>
      <c r="BF3925" s="379"/>
      <c r="BG3925" s="379"/>
      <c r="BH3925" s="379"/>
      <c r="BI3925" s="379"/>
      <c r="BJ3925" s="379"/>
      <c r="BK3925" s="379"/>
      <c r="BL3925" s="379"/>
      <c r="BM3925" s="379"/>
      <c r="BN3925" s="379"/>
      <c r="BO3925" s="379"/>
      <c r="BP3925" s="379"/>
      <c r="BQ3925" s="379"/>
      <c r="BR3925" s="379"/>
      <c r="BS3925" s="379"/>
      <c r="BT3925" s="379"/>
      <c r="BU3925" s="379"/>
      <c r="BV3925" s="379"/>
      <c r="BW3925" s="379"/>
      <c r="BX3925" s="379"/>
      <c r="BY3925" s="379"/>
    </row>
    <row r="3926" spans="1:77" s="379" customFormat="1" ht="11.25" customHeight="1">
      <c r="B3926" s="403" t="s">
        <v>291</v>
      </c>
      <c r="C3926" s="381">
        <v>44771</v>
      </c>
      <c r="D3926" s="381">
        <v>44771</v>
      </c>
      <c r="E3926" s="382" t="s">
        <v>3031</v>
      </c>
      <c r="F3926" s="379" t="s">
        <v>410</v>
      </c>
      <c r="G3926" s="383" t="s">
        <v>411</v>
      </c>
      <c r="H3926" s="379" t="s">
        <v>910</v>
      </c>
      <c r="I3926" s="384" t="s">
        <v>1195</v>
      </c>
      <c r="J3926" s="385">
        <v>74141.460000000006</v>
      </c>
      <c r="K3926" s="384"/>
      <c r="L3926" s="385">
        <v>30.9</v>
      </c>
      <c r="M3926" s="385">
        <v>30.9</v>
      </c>
      <c r="N3926" s="386"/>
      <c r="O3926" s="387">
        <v>0.2</v>
      </c>
      <c r="P3926" s="387"/>
      <c r="Q3926" s="386">
        <v>5129.33</v>
      </c>
      <c r="R3926" s="379" t="s">
        <v>149</v>
      </c>
      <c r="S3926" s="388" t="s">
        <v>113</v>
      </c>
      <c r="T3926" s="388">
        <v>40</v>
      </c>
      <c r="U3926" s="389" t="s">
        <v>164</v>
      </c>
      <c r="V3926" s="433"/>
      <c r="X3926" s="386">
        <v>5129.33</v>
      </c>
      <c r="Y3926" s="386"/>
      <c r="AJ3926" s="416">
        <v>5129.33</v>
      </c>
    </row>
    <row r="3927" spans="1:77" s="261" customFormat="1" ht="11.25" customHeight="1">
      <c r="B3927" s="261" t="s">
        <v>291</v>
      </c>
      <c r="C3927" s="259">
        <v>44769</v>
      </c>
      <c r="D3927" s="259">
        <v>44771</v>
      </c>
      <c r="E3927" s="260" t="s">
        <v>3032</v>
      </c>
      <c r="F3927" s="261" t="s">
        <v>37</v>
      </c>
      <c r="G3927" s="280">
        <v>3538</v>
      </c>
      <c r="H3927" s="261" t="s">
        <v>898</v>
      </c>
      <c r="I3927" s="261" t="s">
        <v>33</v>
      </c>
      <c r="J3927" s="263">
        <v>3420</v>
      </c>
      <c r="K3927" s="264"/>
      <c r="L3927" s="263">
        <v>3.8</v>
      </c>
      <c r="M3927" s="263">
        <v>3.8</v>
      </c>
      <c r="N3927" s="265">
        <v>376.2</v>
      </c>
      <c r="O3927" s="266">
        <v>0.15</v>
      </c>
      <c r="P3927" s="266"/>
      <c r="Q3927" s="265">
        <v>0</v>
      </c>
      <c r="R3927" s="261" t="s">
        <v>29</v>
      </c>
      <c r="S3927" s="267" t="s">
        <v>30</v>
      </c>
      <c r="T3927" s="267">
        <v>70</v>
      </c>
      <c r="U3927" s="268" t="s">
        <v>164</v>
      </c>
      <c r="V3927" s="427"/>
      <c r="X3927" s="265">
        <v>0</v>
      </c>
      <c r="Y3927" s="265"/>
      <c r="AG3927" s="261">
        <f>X3927</f>
        <v>0</v>
      </c>
      <c r="AJ3927" s="642"/>
    </row>
    <row r="3928" spans="1:77" s="261" customFormat="1" ht="11.25" customHeight="1">
      <c r="A3928" s="618"/>
      <c r="B3928" s="618" t="s">
        <v>291</v>
      </c>
      <c r="C3928" s="620"/>
      <c r="D3928" s="620"/>
      <c r="E3928" s="621" t="s">
        <v>3033</v>
      </c>
      <c r="F3928" s="618" t="s">
        <v>2131</v>
      </c>
      <c r="G3928" s="634" t="s">
        <v>2132</v>
      </c>
      <c r="H3928" s="618" t="s">
        <v>765</v>
      </c>
      <c r="I3928" s="618" t="s">
        <v>888</v>
      </c>
      <c r="J3928" s="635">
        <v>82730.880000000005</v>
      </c>
      <c r="K3928" s="626"/>
      <c r="L3928" s="635">
        <v>50.88</v>
      </c>
      <c r="M3928" s="635">
        <v>50.88</v>
      </c>
      <c r="N3928" s="627">
        <v>20682.72</v>
      </c>
      <c r="O3928" s="628">
        <v>0.25</v>
      </c>
      <c r="P3928" s="628"/>
      <c r="Q3928" s="627">
        <f>N3928-J3928*O3928</f>
        <v>0</v>
      </c>
      <c r="R3928" s="618" t="s">
        <v>285</v>
      </c>
      <c r="S3928" s="629" t="s">
        <v>275</v>
      </c>
      <c r="T3928" s="630">
        <v>21</v>
      </c>
      <c r="U3928" s="631" t="s">
        <v>164</v>
      </c>
      <c r="V3928" s="632"/>
      <c r="W3928" s="618"/>
      <c r="X3928" s="627">
        <v>0</v>
      </c>
      <c r="Y3928" s="627"/>
      <c r="Z3928" s="618"/>
      <c r="AA3928" s="618"/>
      <c r="AB3928" s="618"/>
      <c r="AC3928" s="618"/>
      <c r="AD3928" s="618"/>
      <c r="AE3928" s="618"/>
      <c r="AF3928" s="618"/>
      <c r="AG3928" s="618"/>
      <c r="AH3928" s="618"/>
      <c r="AI3928" s="618"/>
      <c r="AJ3928" s="633"/>
      <c r="AK3928" s="618"/>
      <c r="AL3928" s="618"/>
      <c r="AM3928" s="618"/>
      <c r="AN3928" s="618"/>
      <c r="AO3928" s="618">
        <v>0</v>
      </c>
      <c r="AP3928" s="618"/>
      <c r="AQ3928" s="618"/>
      <c r="AR3928" s="618"/>
      <c r="AS3928" s="618"/>
      <c r="AT3928" s="618"/>
      <c r="AU3928" s="618"/>
      <c r="AV3928" s="618"/>
      <c r="AW3928" s="618"/>
      <c r="AX3928" s="618"/>
      <c r="AY3928" s="618"/>
      <c r="AZ3928" s="618"/>
      <c r="BA3928" s="618"/>
      <c r="BB3928" s="618"/>
      <c r="BC3928" s="618"/>
      <c r="BD3928" s="618"/>
      <c r="BE3928" s="618"/>
      <c r="BF3928" s="618"/>
      <c r="BG3928" s="618"/>
      <c r="BH3928" s="618"/>
      <c r="BI3928" s="618"/>
      <c r="BJ3928" s="618"/>
      <c r="BK3928" s="618"/>
      <c r="BL3928" s="618"/>
      <c r="BM3928" s="618"/>
      <c r="BN3928" s="618"/>
      <c r="BO3928" s="618"/>
      <c r="BP3928" s="618"/>
      <c r="BQ3928" s="618"/>
      <c r="BR3928" s="618"/>
      <c r="BS3928" s="618"/>
      <c r="BT3928" s="618"/>
      <c r="BU3928" s="618"/>
      <c r="BV3928" s="618"/>
      <c r="BW3928" s="618"/>
      <c r="BX3928" s="618"/>
      <c r="BY3928" s="618"/>
    </row>
    <row r="3929" spans="1:77" s="618" customFormat="1" ht="11.25" customHeight="1">
      <c r="B3929" s="618" t="s">
        <v>291</v>
      </c>
      <c r="C3929" s="620"/>
      <c r="D3929" s="620"/>
      <c r="E3929" s="621" t="s">
        <v>3033</v>
      </c>
      <c r="F3929" s="618" t="s">
        <v>2131</v>
      </c>
      <c r="G3929" s="634" t="s">
        <v>2132</v>
      </c>
      <c r="H3929" s="618" t="s">
        <v>442</v>
      </c>
      <c r="I3929" s="618" t="s">
        <v>888</v>
      </c>
      <c r="J3929" s="635">
        <v>7245</v>
      </c>
      <c r="K3929" s="626"/>
      <c r="L3929" s="635">
        <v>12.6</v>
      </c>
      <c r="M3929" s="635">
        <v>12.6</v>
      </c>
      <c r="N3929" s="627">
        <v>3622.5</v>
      </c>
      <c r="O3929" s="628">
        <v>0.25</v>
      </c>
      <c r="P3929" s="628"/>
      <c r="Q3929" s="627">
        <v>4425.75</v>
      </c>
      <c r="R3929" s="618" t="s">
        <v>285</v>
      </c>
      <c r="S3929" s="629" t="s">
        <v>275</v>
      </c>
      <c r="T3929" s="630">
        <v>21</v>
      </c>
      <c r="U3929" s="631" t="s">
        <v>164</v>
      </c>
      <c r="V3929" s="632"/>
      <c r="X3929" s="627">
        <v>4425.75</v>
      </c>
      <c r="Y3929" s="627"/>
      <c r="AJ3929" s="633"/>
      <c r="AO3929" s="627">
        <v>4425.75</v>
      </c>
    </row>
    <row r="3930" spans="1:77" s="261" customFormat="1" ht="11.25" customHeight="1">
      <c r="B3930" s="261" t="s">
        <v>291</v>
      </c>
      <c r="C3930" s="259">
        <v>44773</v>
      </c>
      <c r="D3930" s="259">
        <v>44773</v>
      </c>
      <c r="E3930" s="260" t="s">
        <v>3033</v>
      </c>
      <c r="F3930" s="261" t="s">
        <v>2131</v>
      </c>
      <c r="G3930" s="262" t="s">
        <v>2132</v>
      </c>
      <c r="H3930" s="261" t="s">
        <v>898</v>
      </c>
      <c r="I3930" s="261" t="s">
        <v>888</v>
      </c>
      <c r="J3930" s="263">
        <v>32162.720000000001</v>
      </c>
      <c r="K3930" s="264"/>
      <c r="L3930" s="263">
        <v>17.899999999999999</v>
      </c>
      <c r="M3930" s="263">
        <v>17.899999999999999</v>
      </c>
      <c r="N3930" s="265">
        <v>12865.088</v>
      </c>
      <c r="O3930" s="266">
        <v>0.25</v>
      </c>
      <c r="P3930" s="266"/>
      <c r="Q3930" s="265">
        <v>14814.04</v>
      </c>
      <c r="R3930" s="261" t="s">
        <v>285</v>
      </c>
      <c r="S3930" s="267" t="s">
        <v>275</v>
      </c>
      <c r="T3930" s="279">
        <v>21</v>
      </c>
      <c r="U3930" s="268" t="s">
        <v>164</v>
      </c>
      <c r="V3930" s="427"/>
      <c r="X3930" s="265">
        <v>14814.04</v>
      </c>
      <c r="Y3930" s="265"/>
      <c r="AG3930" s="261">
        <f>X3930</f>
        <v>14814.04</v>
      </c>
      <c r="AJ3930" s="642"/>
    </row>
    <row r="3931" spans="1:77" s="291" customFormat="1" ht="11.25" customHeight="1">
      <c r="B3931" s="310" t="s">
        <v>291</v>
      </c>
      <c r="C3931" s="292">
        <v>44772</v>
      </c>
      <c r="D3931" s="292">
        <v>44772</v>
      </c>
      <c r="E3931" s="293" t="s">
        <v>3034</v>
      </c>
      <c r="F3931" s="291" t="s">
        <v>1819</v>
      </c>
      <c r="G3931" s="294" t="s">
        <v>1820</v>
      </c>
      <c r="H3931" s="291" t="s">
        <v>898</v>
      </c>
      <c r="I3931" s="295" t="s">
        <v>33</v>
      </c>
      <c r="J3931" s="296">
        <v>5998.5</v>
      </c>
      <c r="K3931" s="295"/>
      <c r="L3931" s="296">
        <v>5</v>
      </c>
      <c r="M3931" s="296">
        <v>5</v>
      </c>
      <c r="N3931" s="297">
        <v>2099.4699999999998</v>
      </c>
      <c r="O3931" s="298">
        <v>0.25</v>
      </c>
      <c r="P3931" s="298"/>
      <c r="Q3931" s="297">
        <v>0</v>
      </c>
      <c r="R3931" s="291" t="s">
        <v>54</v>
      </c>
      <c r="S3931" s="299" t="s">
        <v>51</v>
      </c>
      <c r="T3931" s="308">
        <v>55</v>
      </c>
      <c r="U3931" s="300" t="s">
        <v>164</v>
      </c>
      <c r="V3931" s="333"/>
      <c r="X3931" s="297">
        <v>0</v>
      </c>
      <c r="Y3931" s="297"/>
      <c r="AH3931" s="291">
        <f>X3931</f>
        <v>0</v>
      </c>
      <c r="AI3931" s="311"/>
      <c r="AJ3931" s="468"/>
    </row>
    <row r="3932" spans="1:77" s="291" customFormat="1" ht="11.25" customHeight="1">
      <c r="B3932" s="310" t="s">
        <v>291</v>
      </c>
      <c r="C3932" s="292"/>
      <c r="D3932" s="292"/>
      <c r="E3932" s="293" t="s">
        <v>3034</v>
      </c>
      <c r="F3932" s="291" t="s">
        <v>1819</v>
      </c>
      <c r="G3932" s="294" t="s">
        <v>1820</v>
      </c>
      <c r="H3932" s="291" t="s">
        <v>765</v>
      </c>
      <c r="I3932" s="295" t="s">
        <v>888</v>
      </c>
      <c r="J3932" s="296">
        <v>22440.5</v>
      </c>
      <c r="K3932" s="295"/>
      <c r="L3932" s="296">
        <v>15.44</v>
      </c>
      <c r="M3932" s="296">
        <v>15.44</v>
      </c>
      <c r="N3932" s="297">
        <v>7854.17</v>
      </c>
      <c r="O3932" s="298">
        <v>0.25</v>
      </c>
      <c r="P3932" s="298"/>
      <c r="Q3932" s="297">
        <v>0</v>
      </c>
      <c r="R3932" s="291" t="s">
        <v>54</v>
      </c>
      <c r="S3932" s="299" t="s">
        <v>51</v>
      </c>
      <c r="T3932" s="308">
        <v>55</v>
      </c>
      <c r="U3932" s="300" t="s">
        <v>164</v>
      </c>
      <c r="V3932" s="333"/>
      <c r="X3932" s="297">
        <v>0</v>
      </c>
      <c r="Y3932" s="297"/>
      <c r="AH3932" s="291">
        <f>X3932</f>
        <v>0</v>
      </c>
      <c r="AI3932" s="311"/>
      <c r="AJ3932" s="468"/>
    </row>
    <row r="3933" spans="1:77" s="6" customFormat="1" ht="11.25" customHeight="1">
      <c r="A3933" s="473"/>
      <c r="B3933" s="486" t="s">
        <v>291</v>
      </c>
      <c r="C3933" s="487">
        <v>44771</v>
      </c>
      <c r="D3933" s="487">
        <v>44772</v>
      </c>
      <c r="E3933" s="488" t="s">
        <v>3035</v>
      </c>
      <c r="F3933" s="473" t="s">
        <v>1842</v>
      </c>
      <c r="G3933" s="489">
        <v>3911</v>
      </c>
      <c r="H3933" s="473" t="s">
        <v>866</v>
      </c>
      <c r="I3933" s="491" t="s">
        <v>888</v>
      </c>
      <c r="J3933" s="490">
        <v>32566.39</v>
      </c>
      <c r="K3933" s="491"/>
      <c r="L3933" s="490">
        <v>25.19</v>
      </c>
      <c r="M3933" s="490">
        <v>25.18</v>
      </c>
      <c r="N3933" s="492"/>
      <c r="O3933" s="493">
        <v>0.3</v>
      </c>
      <c r="P3933" s="493"/>
      <c r="Q3933" s="492">
        <v>6811.92</v>
      </c>
      <c r="R3933" s="473" t="s">
        <v>576</v>
      </c>
      <c r="S3933" s="481" t="s">
        <v>41</v>
      </c>
      <c r="T3933" s="482">
        <v>79</v>
      </c>
      <c r="U3933" s="494" t="s">
        <v>164</v>
      </c>
      <c r="V3933" s="495"/>
      <c r="W3933" s="473"/>
      <c r="X3933" s="492">
        <v>6811.92</v>
      </c>
      <c r="Y3933" s="492"/>
      <c r="Z3933" s="473"/>
      <c r="AA3933" s="473"/>
      <c r="AB3933" s="473"/>
      <c r="AC3933" s="473"/>
      <c r="AD3933" s="473"/>
      <c r="AE3933" s="473"/>
      <c r="AF3933" s="473"/>
      <c r="AG3933" s="473"/>
      <c r="AH3933" s="473"/>
      <c r="AI3933" s="473"/>
      <c r="AJ3933" s="485"/>
      <c r="AK3933" s="505">
        <v>6811.92</v>
      </c>
      <c r="AL3933" s="473"/>
      <c r="AM3933" s="473"/>
      <c r="AN3933" s="473"/>
      <c r="AO3933" s="473"/>
      <c r="AP3933" s="473"/>
      <c r="AQ3933" s="473"/>
      <c r="AR3933" s="473"/>
      <c r="AS3933" s="473"/>
      <c r="AT3933" s="473"/>
      <c r="AU3933" s="473"/>
      <c r="AV3933" s="473"/>
      <c r="AW3933" s="473"/>
      <c r="AX3933" s="473"/>
      <c r="AY3933" s="473"/>
      <c r="AZ3933" s="473"/>
      <c r="BA3933" s="473"/>
      <c r="BB3933" s="473"/>
      <c r="BC3933" s="473"/>
      <c r="BD3933" s="473"/>
      <c r="BE3933" s="473"/>
      <c r="BF3933" s="473"/>
      <c r="BG3933" s="473"/>
      <c r="BH3933" s="473"/>
      <c r="BI3933" s="473"/>
      <c r="BJ3933" s="473"/>
      <c r="BK3933" s="473"/>
      <c r="BL3933" s="473"/>
      <c r="BM3933" s="473"/>
      <c r="BN3933" s="473"/>
      <c r="BO3933" s="473"/>
      <c r="BP3933" s="473"/>
      <c r="BQ3933" s="473"/>
      <c r="BR3933" s="473"/>
      <c r="BS3933" s="473"/>
      <c r="BT3933" s="473"/>
      <c r="BU3933" s="473"/>
      <c r="BV3933" s="473"/>
      <c r="BW3933" s="473"/>
      <c r="BX3933" s="473"/>
      <c r="BY3933" s="473"/>
    </row>
    <row r="3934" spans="1:77" s="473" customFormat="1" ht="11.25" customHeight="1">
      <c r="A3934" s="379"/>
      <c r="B3934" s="380" t="s">
        <v>291</v>
      </c>
      <c r="C3934" s="381"/>
      <c r="D3934" s="381"/>
      <c r="E3934" s="382" t="s">
        <v>3035</v>
      </c>
      <c r="F3934" s="379" t="s">
        <v>1842</v>
      </c>
      <c r="G3934" s="383">
        <v>3911</v>
      </c>
      <c r="H3934" s="379" t="s">
        <v>765</v>
      </c>
      <c r="I3934" s="384" t="s">
        <v>888</v>
      </c>
      <c r="J3934" s="385">
        <v>25716.06</v>
      </c>
      <c r="K3934" s="384"/>
      <c r="L3934" s="385">
        <v>21.13</v>
      </c>
      <c r="M3934" s="385">
        <v>21.13</v>
      </c>
      <c r="N3934" s="386"/>
      <c r="O3934" s="387">
        <v>0.3</v>
      </c>
      <c r="P3934" s="387"/>
      <c r="Q3934" s="386">
        <v>5825.08</v>
      </c>
      <c r="R3934" s="379" t="s">
        <v>576</v>
      </c>
      <c r="S3934" s="388" t="s">
        <v>41</v>
      </c>
      <c r="T3934" s="399">
        <v>79</v>
      </c>
      <c r="U3934" s="389" t="s">
        <v>164</v>
      </c>
      <c r="V3934" s="433"/>
      <c r="W3934" s="379"/>
      <c r="X3934" s="386">
        <v>5825.08</v>
      </c>
      <c r="Y3934" s="386"/>
      <c r="Z3934" s="379"/>
      <c r="AA3934" s="379"/>
      <c r="AB3934" s="379"/>
      <c r="AC3934" s="379"/>
      <c r="AD3934" s="379"/>
      <c r="AE3934" s="379"/>
      <c r="AF3934" s="379"/>
      <c r="AG3934" s="379"/>
      <c r="AH3934" s="379"/>
      <c r="AI3934" s="379"/>
      <c r="AJ3934" s="416">
        <v>5825.08</v>
      </c>
      <c r="AK3934" s="379"/>
      <c r="AL3934" s="379"/>
      <c r="AM3934" s="379"/>
      <c r="AN3934" s="379"/>
      <c r="AO3934" s="379"/>
      <c r="AP3934" s="379"/>
      <c r="AQ3934" s="379"/>
      <c r="AR3934" s="379"/>
      <c r="AS3934" s="379"/>
      <c r="AT3934" s="379"/>
      <c r="AU3934" s="379"/>
      <c r="AV3934" s="379"/>
      <c r="AW3934" s="379"/>
      <c r="AX3934" s="379"/>
      <c r="AY3934" s="379"/>
      <c r="AZ3934" s="379"/>
      <c r="BA3934" s="379"/>
      <c r="BB3934" s="379"/>
      <c r="BC3934" s="379"/>
      <c r="BD3934" s="379"/>
      <c r="BE3934" s="379"/>
      <c r="BF3934" s="379"/>
      <c r="BG3934" s="379"/>
      <c r="BH3934" s="379"/>
      <c r="BI3934" s="379"/>
      <c r="BJ3934" s="379"/>
      <c r="BK3934" s="379"/>
      <c r="BL3934" s="379"/>
      <c r="BM3934" s="379"/>
      <c r="BN3934" s="379"/>
      <c r="BO3934" s="379"/>
      <c r="BP3934" s="379"/>
      <c r="BQ3934" s="379"/>
      <c r="BR3934" s="379"/>
      <c r="BS3934" s="379"/>
      <c r="BT3934" s="379"/>
      <c r="BU3934" s="379"/>
      <c r="BV3934" s="379"/>
      <c r="BW3934" s="379"/>
      <c r="BX3934" s="379"/>
      <c r="BY3934" s="379"/>
    </row>
    <row r="3935" spans="1:77" s="337" customFormat="1" ht="11.25" customHeight="1">
      <c r="B3935" s="337" t="s">
        <v>291</v>
      </c>
      <c r="C3935" s="349">
        <v>44767</v>
      </c>
      <c r="D3935" s="349">
        <v>44772</v>
      </c>
      <c r="E3935" s="350" t="s">
        <v>3036</v>
      </c>
      <c r="F3935" s="337" t="s">
        <v>893</v>
      </c>
      <c r="G3935" s="351" t="s">
        <v>894</v>
      </c>
      <c r="H3935" s="337" t="s">
        <v>765</v>
      </c>
      <c r="I3935" s="353" t="s">
        <v>33</v>
      </c>
      <c r="J3935" s="352">
        <v>11165.36</v>
      </c>
      <c r="K3935" s="353"/>
      <c r="L3935" s="352">
        <v>8</v>
      </c>
      <c r="M3935" s="352">
        <v>8</v>
      </c>
      <c r="N3935" s="354">
        <v>2233.0700000000002</v>
      </c>
      <c r="O3935" s="355">
        <v>0.25</v>
      </c>
      <c r="P3935" s="355"/>
      <c r="Q3935" s="354">
        <v>0</v>
      </c>
      <c r="R3935" s="337" t="s">
        <v>112</v>
      </c>
      <c r="S3935" s="356" t="s">
        <v>113</v>
      </c>
      <c r="T3935" s="346">
        <v>64</v>
      </c>
      <c r="U3935" s="357" t="s">
        <v>164</v>
      </c>
      <c r="V3935" s="434"/>
      <c r="X3935" s="354">
        <v>0</v>
      </c>
      <c r="Y3935" s="354"/>
      <c r="AI3935" s="337">
        <v>0</v>
      </c>
      <c r="AJ3935" s="358"/>
      <c r="AK3935" s="369"/>
    </row>
    <row r="3936" spans="1:77" s="337" customFormat="1" ht="11.25" customHeight="1">
      <c r="B3936" s="337" t="s">
        <v>291</v>
      </c>
      <c r="C3936" s="349"/>
      <c r="D3936" s="349"/>
      <c r="E3936" s="350" t="s">
        <v>3036</v>
      </c>
      <c r="F3936" s="337" t="s">
        <v>893</v>
      </c>
      <c r="G3936" s="351" t="s">
        <v>894</v>
      </c>
      <c r="H3936" s="337" t="s">
        <v>814</v>
      </c>
      <c r="I3936" s="353" t="s">
        <v>33</v>
      </c>
      <c r="J3936" s="352">
        <v>4390.47</v>
      </c>
      <c r="K3936" s="353"/>
      <c r="L3936" s="352">
        <v>3.5</v>
      </c>
      <c r="M3936" s="352">
        <v>3.5</v>
      </c>
      <c r="N3936" s="354">
        <v>658.57</v>
      </c>
      <c r="O3936" s="355">
        <v>0.25</v>
      </c>
      <c r="P3936" s="355"/>
      <c r="Q3936" s="354">
        <v>0</v>
      </c>
      <c r="R3936" s="337" t="s">
        <v>112</v>
      </c>
      <c r="S3936" s="356" t="s">
        <v>113</v>
      </c>
      <c r="T3936" s="346">
        <v>64</v>
      </c>
      <c r="U3936" s="357" t="s">
        <v>164</v>
      </c>
      <c r="V3936" s="434"/>
      <c r="X3936" s="354">
        <v>0</v>
      </c>
      <c r="Y3936" s="354"/>
      <c r="AI3936" s="337">
        <f>X3936</f>
        <v>0</v>
      </c>
      <c r="AJ3936" s="358"/>
      <c r="AK3936" s="369"/>
    </row>
    <row r="3937" spans="1:77" s="337" customFormat="1" ht="11.25" customHeight="1">
      <c r="B3937" s="337" t="s">
        <v>291</v>
      </c>
      <c r="C3937" s="349"/>
      <c r="D3937" s="349"/>
      <c r="E3937" s="350" t="s">
        <v>3036</v>
      </c>
      <c r="F3937" s="337" t="s">
        <v>893</v>
      </c>
      <c r="G3937" s="351" t="s">
        <v>894</v>
      </c>
      <c r="H3937" s="337" t="s">
        <v>2171</v>
      </c>
      <c r="I3937" s="353" t="s">
        <v>33</v>
      </c>
      <c r="J3937" s="352">
        <v>11000</v>
      </c>
      <c r="K3937" s="353"/>
      <c r="L3937" s="352">
        <v>5.5</v>
      </c>
      <c r="M3937" s="352">
        <v>5.5</v>
      </c>
      <c r="N3937" s="354">
        <v>3300</v>
      </c>
      <c r="O3937" s="355">
        <v>0.25</v>
      </c>
      <c r="P3937" s="355"/>
      <c r="Q3937" s="354">
        <v>2013</v>
      </c>
      <c r="R3937" s="337" t="s">
        <v>112</v>
      </c>
      <c r="S3937" s="356" t="s">
        <v>113</v>
      </c>
      <c r="T3937" s="346">
        <v>64</v>
      </c>
      <c r="U3937" s="357" t="s">
        <v>164</v>
      </c>
      <c r="V3937" s="434"/>
      <c r="X3937" s="354">
        <v>2013</v>
      </c>
      <c r="Y3937" s="354"/>
      <c r="AI3937" s="354">
        <v>2013</v>
      </c>
      <c r="AJ3937" s="358"/>
      <c r="AK3937" s="369"/>
    </row>
    <row r="3938" spans="1:77" s="205" customFormat="1" ht="11.25" customHeight="1">
      <c r="A3938" s="379"/>
      <c r="B3938" s="379" t="s">
        <v>291</v>
      </c>
      <c r="C3938" s="381"/>
      <c r="D3938" s="381"/>
      <c r="E3938" s="382" t="s">
        <v>3037</v>
      </c>
      <c r="F3938" s="379" t="s">
        <v>3038</v>
      </c>
      <c r="G3938" s="383" t="s">
        <v>3039</v>
      </c>
      <c r="H3938" s="379" t="s">
        <v>2171</v>
      </c>
      <c r="I3938" s="384" t="s">
        <v>1296</v>
      </c>
      <c r="J3938" s="385">
        <v>41829.21</v>
      </c>
      <c r="K3938" s="384"/>
      <c r="L3938" s="385">
        <v>22.85</v>
      </c>
      <c r="M3938" s="385">
        <v>22.85</v>
      </c>
      <c r="N3938" s="386">
        <v>22745.21</v>
      </c>
      <c r="O3938" s="387">
        <v>0.25</v>
      </c>
      <c r="P3938" s="387"/>
      <c r="Q3938" s="386">
        <v>16146.77</v>
      </c>
      <c r="R3938" s="379" t="s">
        <v>112</v>
      </c>
      <c r="S3938" s="388" t="s">
        <v>113</v>
      </c>
      <c r="T3938" s="399">
        <v>64</v>
      </c>
      <c r="U3938" s="389" t="s">
        <v>164</v>
      </c>
      <c r="V3938" s="433"/>
      <c r="W3938" s="379"/>
      <c r="X3938" s="386">
        <v>16146.77</v>
      </c>
      <c r="Y3938" s="386"/>
      <c r="Z3938" s="379"/>
      <c r="AA3938" s="379"/>
      <c r="AB3938" s="379"/>
      <c r="AC3938" s="379"/>
      <c r="AD3938" s="379"/>
      <c r="AE3938" s="379"/>
      <c r="AF3938" s="379"/>
      <c r="AG3938" s="379"/>
      <c r="AH3938" s="379"/>
      <c r="AI3938" s="379"/>
      <c r="AJ3938" s="416">
        <v>16146.77</v>
      </c>
      <c r="AK3938" s="379"/>
      <c r="AL3938" s="379"/>
      <c r="AM3938" s="379"/>
      <c r="AN3938" s="379"/>
      <c r="AO3938" s="379"/>
      <c r="AP3938" s="379"/>
      <c r="AQ3938" s="379"/>
      <c r="AR3938" s="379"/>
      <c r="AS3938" s="379"/>
      <c r="AT3938" s="379"/>
      <c r="AU3938" s="379"/>
      <c r="AV3938" s="379"/>
      <c r="AW3938" s="379"/>
      <c r="AX3938" s="379"/>
      <c r="AY3938" s="379"/>
      <c r="AZ3938" s="379"/>
      <c r="BA3938" s="379"/>
      <c r="BB3938" s="379"/>
      <c r="BC3938" s="379"/>
      <c r="BD3938" s="379"/>
      <c r="BE3938" s="379"/>
      <c r="BF3938" s="379"/>
      <c r="BG3938" s="379"/>
      <c r="BH3938" s="379"/>
      <c r="BI3938" s="379"/>
      <c r="BJ3938" s="379"/>
      <c r="BK3938" s="379"/>
      <c r="BL3938" s="379"/>
      <c r="BM3938" s="379"/>
      <c r="BN3938" s="379"/>
      <c r="BO3938" s="379"/>
      <c r="BP3938" s="379"/>
      <c r="BQ3938" s="379"/>
      <c r="BR3938" s="379"/>
      <c r="BS3938" s="379"/>
      <c r="BT3938" s="379"/>
      <c r="BU3938" s="379"/>
      <c r="BV3938" s="379"/>
      <c r="BW3938" s="379"/>
      <c r="BX3938" s="379"/>
      <c r="BY3938" s="379"/>
    </row>
    <row r="3939" spans="1:77" s="6" customFormat="1" ht="11.25" customHeight="1">
      <c r="A3939" s="379"/>
      <c r="B3939" s="379" t="s">
        <v>291</v>
      </c>
      <c r="C3939" s="381"/>
      <c r="D3939" s="381"/>
      <c r="E3939" s="382" t="s">
        <v>3037</v>
      </c>
      <c r="F3939" s="379" t="s">
        <v>3038</v>
      </c>
      <c r="G3939" s="383" t="s">
        <v>3039</v>
      </c>
      <c r="H3939" s="379" t="s">
        <v>866</v>
      </c>
      <c r="I3939" s="384" t="s">
        <v>1296</v>
      </c>
      <c r="J3939" s="385">
        <v>10196.44</v>
      </c>
      <c r="K3939" s="384"/>
      <c r="L3939" s="385">
        <v>5.57</v>
      </c>
      <c r="M3939" s="385">
        <v>5.57</v>
      </c>
      <c r="N3939" s="386">
        <v>4486.43</v>
      </c>
      <c r="O3939" s="387">
        <v>0.25</v>
      </c>
      <c r="P3939" s="387"/>
      <c r="Q3939" s="386">
        <v>2544.1</v>
      </c>
      <c r="R3939" s="379" t="s">
        <v>112</v>
      </c>
      <c r="S3939" s="388" t="s">
        <v>113</v>
      </c>
      <c r="T3939" s="399">
        <v>64</v>
      </c>
      <c r="U3939" s="389" t="s">
        <v>164</v>
      </c>
      <c r="V3939" s="433"/>
      <c r="W3939" s="379"/>
      <c r="X3939" s="386">
        <v>2544.1</v>
      </c>
      <c r="Y3939" s="386"/>
      <c r="Z3939" s="379"/>
      <c r="AA3939" s="379"/>
      <c r="AB3939" s="379"/>
      <c r="AC3939" s="379"/>
      <c r="AD3939" s="379"/>
      <c r="AE3939" s="379"/>
      <c r="AF3939" s="379"/>
      <c r="AG3939" s="379"/>
      <c r="AH3939" s="379"/>
      <c r="AI3939" s="379"/>
      <c r="AJ3939" s="416">
        <v>2544.1</v>
      </c>
      <c r="AK3939" s="379"/>
      <c r="AL3939" s="379"/>
      <c r="AM3939" s="379"/>
      <c r="AN3939" s="379"/>
      <c r="AO3939" s="379"/>
      <c r="AP3939" s="379"/>
      <c r="AQ3939" s="379"/>
      <c r="AR3939" s="379"/>
      <c r="AS3939" s="379"/>
      <c r="AT3939" s="379"/>
      <c r="AU3939" s="379"/>
      <c r="AV3939" s="379"/>
      <c r="AW3939" s="379"/>
      <c r="AX3939" s="379"/>
      <c r="AY3939" s="379"/>
      <c r="AZ3939" s="379"/>
      <c r="BA3939" s="379"/>
      <c r="BB3939" s="379"/>
      <c r="BC3939" s="379"/>
      <c r="BD3939" s="379"/>
      <c r="BE3939" s="379"/>
      <c r="BF3939" s="379"/>
      <c r="BG3939" s="379"/>
      <c r="BH3939" s="379"/>
      <c r="BI3939" s="379"/>
      <c r="BJ3939" s="379"/>
      <c r="BK3939" s="379"/>
      <c r="BL3939" s="379"/>
      <c r="BM3939" s="379"/>
      <c r="BN3939" s="379"/>
      <c r="BO3939" s="379"/>
      <c r="BP3939" s="379"/>
      <c r="BQ3939" s="379"/>
      <c r="BR3939" s="379"/>
      <c r="BS3939" s="379"/>
      <c r="BT3939" s="379"/>
      <c r="BU3939" s="379"/>
      <c r="BV3939" s="379"/>
      <c r="BW3939" s="379"/>
      <c r="BX3939" s="379"/>
      <c r="BY3939" s="379"/>
    </row>
    <row r="3940" spans="1:77" s="205" customFormat="1" ht="11.25" customHeight="1">
      <c r="B3940" s="205" t="s">
        <v>291</v>
      </c>
      <c r="C3940" s="207">
        <v>44767</v>
      </c>
      <c r="D3940" s="207">
        <v>44772</v>
      </c>
      <c r="E3940" s="208" t="s">
        <v>3037</v>
      </c>
      <c r="F3940" s="205" t="s">
        <v>3038</v>
      </c>
      <c r="G3940" s="209" t="s">
        <v>3039</v>
      </c>
      <c r="H3940" s="205" t="s">
        <v>910</v>
      </c>
      <c r="I3940" s="219" t="s">
        <v>1296</v>
      </c>
      <c r="J3940" s="210">
        <v>55332</v>
      </c>
      <c r="K3940" s="219"/>
      <c r="L3940" s="210">
        <v>26.5</v>
      </c>
      <c r="M3940" s="210">
        <v>26.5</v>
      </c>
      <c r="N3940" s="213"/>
      <c r="O3940" s="212">
        <v>0.25</v>
      </c>
      <c r="P3940" s="212"/>
      <c r="Q3940" s="213">
        <v>0</v>
      </c>
      <c r="R3940" s="205" t="s">
        <v>112</v>
      </c>
      <c r="S3940" s="214" t="s">
        <v>113</v>
      </c>
      <c r="T3940" s="221">
        <v>64</v>
      </c>
      <c r="U3940" s="215" t="s">
        <v>164</v>
      </c>
      <c r="V3940" s="438"/>
      <c r="X3940" s="213">
        <v>0</v>
      </c>
      <c r="Y3940" s="213"/>
      <c r="AF3940" s="230">
        <f>X3940</f>
        <v>0</v>
      </c>
      <c r="AJ3940" s="216"/>
    </row>
    <row r="3941" spans="1:77" s="337" customFormat="1" ht="11.25" customHeight="1">
      <c r="A3941" s="473"/>
      <c r="B3941" s="486" t="s">
        <v>291</v>
      </c>
      <c r="C3941" s="487"/>
      <c r="D3941" s="487"/>
      <c r="E3941" s="488" t="s">
        <v>3040</v>
      </c>
      <c r="F3941" s="472" t="s">
        <v>726</v>
      </c>
      <c r="G3941" s="476">
        <v>3647</v>
      </c>
      <c r="H3941" s="473" t="s">
        <v>898</v>
      </c>
      <c r="I3941" s="472" t="s">
        <v>33</v>
      </c>
      <c r="J3941" s="490">
        <v>18267.689999999999</v>
      </c>
      <c r="K3941" s="491"/>
      <c r="L3941" s="490">
        <v>17.850000000000001</v>
      </c>
      <c r="M3941" s="490">
        <v>17.850000000000001</v>
      </c>
      <c r="N3941" s="492"/>
      <c r="O3941" s="493">
        <v>0.15</v>
      </c>
      <c r="P3941" s="493"/>
      <c r="Q3941" s="492">
        <v>1.25</v>
      </c>
      <c r="R3941" s="473" t="s">
        <v>77</v>
      </c>
      <c r="S3941" s="481" t="s">
        <v>41</v>
      </c>
      <c r="T3941" s="482">
        <v>16</v>
      </c>
      <c r="U3941" s="494" t="s">
        <v>164</v>
      </c>
      <c r="V3941" s="495"/>
      <c r="W3941" s="473"/>
      <c r="X3941" s="492">
        <v>1.25</v>
      </c>
      <c r="Y3941" s="492"/>
      <c r="Z3941" s="473"/>
      <c r="AA3941" s="473"/>
      <c r="AB3941" s="473"/>
      <c r="AC3941" s="473"/>
      <c r="AD3941" s="473"/>
      <c r="AE3941" s="473"/>
      <c r="AF3941" s="473"/>
      <c r="AG3941" s="473"/>
      <c r="AH3941" s="473"/>
      <c r="AI3941" s="473"/>
      <c r="AJ3941" s="485"/>
      <c r="AK3941" s="505">
        <v>1.25</v>
      </c>
      <c r="AL3941" s="473"/>
      <c r="AM3941" s="473"/>
      <c r="AN3941" s="473"/>
      <c r="AO3941" s="473"/>
      <c r="AP3941" s="473"/>
      <c r="AQ3941" s="473"/>
      <c r="AR3941" s="473"/>
      <c r="AS3941" s="473"/>
      <c r="AT3941" s="473"/>
      <c r="AU3941" s="473"/>
      <c r="AV3941" s="473"/>
      <c r="AW3941" s="473"/>
      <c r="AX3941" s="473"/>
      <c r="AY3941" s="473"/>
      <c r="AZ3941" s="473"/>
      <c r="BA3941" s="473"/>
      <c r="BB3941" s="473"/>
      <c r="BC3941" s="473"/>
      <c r="BD3941" s="473"/>
      <c r="BE3941" s="473"/>
      <c r="BF3941" s="473"/>
      <c r="BG3941" s="473"/>
      <c r="BH3941" s="473"/>
      <c r="BI3941" s="473"/>
      <c r="BJ3941" s="473"/>
      <c r="BK3941" s="473"/>
      <c r="BL3941" s="473"/>
      <c r="BM3941" s="473"/>
      <c r="BN3941" s="473"/>
      <c r="BO3941" s="473"/>
      <c r="BP3941" s="473"/>
      <c r="BQ3941" s="473"/>
      <c r="BR3941" s="473"/>
      <c r="BS3941" s="473"/>
      <c r="BT3941" s="473"/>
      <c r="BU3941" s="473"/>
      <c r="BV3941" s="473"/>
      <c r="BW3941" s="473"/>
      <c r="BX3941" s="473"/>
      <c r="BY3941" s="473"/>
    </row>
    <row r="3942" spans="1:77" s="337" customFormat="1" ht="11.25" customHeight="1">
      <c r="B3942" s="338" t="s">
        <v>291</v>
      </c>
      <c r="C3942" s="349">
        <v>44772</v>
      </c>
      <c r="D3942" s="349">
        <v>44772</v>
      </c>
      <c r="E3942" s="350" t="s">
        <v>3040</v>
      </c>
      <c r="F3942" s="341" t="s">
        <v>726</v>
      </c>
      <c r="G3942" s="342">
        <v>3647</v>
      </c>
      <c r="H3942" s="337" t="s">
        <v>765</v>
      </c>
      <c r="I3942" s="341" t="s">
        <v>33</v>
      </c>
      <c r="J3942" s="352">
        <v>15408.54</v>
      </c>
      <c r="K3942" s="353"/>
      <c r="L3942" s="352">
        <v>17.47</v>
      </c>
      <c r="M3942" s="352">
        <v>17.47</v>
      </c>
      <c r="N3942" s="354"/>
      <c r="O3942" s="355">
        <v>0.15</v>
      </c>
      <c r="P3942" s="355"/>
      <c r="Q3942" s="354">
        <v>0</v>
      </c>
      <c r="R3942" s="337" t="s">
        <v>77</v>
      </c>
      <c r="S3942" s="356" t="s">
        <v>41</v>
      </c>
      <c r="T3942" s="346">
        <v>16</v>
      </c>
      <c r="U3942" s="357" t="s">
        <v>164</v>
      </c>
      <c r="V3942" s="434"/>
      <c r="X3942" s="354">
        <v>0</v>
      </c>
      <c r="Y3942" s="354"/>
      <c r="AI3942" s="337">
        <f>X3942</f>
        <v>0</v>
      </c>
      <c r="AJ3942" s="358"/>
      <c r="AK3942" s="369"/>
    </row>
    <row r="3943" spans="1:77" s="337" customFormat="1" ht="11.25" customHeight="1">
      <c r="B3943" s="337" t="s">
        <v>291</v>
      </c>
      <c r="C3943" s="349">
        <v>44774</v>
      </c>
      <c r="D3943" s="349">
        <v>44774</v>
      </c>
      <c r="E3943" s="350" t="s">
        <v>3041</v>
      </c>
      <c r="F3943" s="337" t="s">
        <v>416</v>
      </c>
      <c r="G3943" s="351">
        <v>4340</v>
      </c>
      <c r="H3943" s="337" t="s">
        <v>911</v>
      </c>
      <c r="I3943" s="353" t="s">
        <v>33</v>
      </c>
      <c r="J3943" s="352">
        <v>23712</v>
      </c>
      <c r="K3943" s="353"/>
      <c r="L3943" s="352">
        <v>12</v>
      </c>
      <c r="M3943" s="352">
        <v>12</v>
      </c>
      <c r="N3943" s="354"/>
      <c r="O3943" s="355">
        <v>0.25</v>
      </c>
      <c r="P3943" s="355"/>
      <c r="Q3943" s="354">
        <v>2222.4</v>
      </c>
      <c r="R3943" s="337" t="s">
        <v>42</v>
      </c>
      <c r="S3943" s="356" t="s">
        <v>41</v>
      </c>
      <c r="T3943" s="346">
        <v>17</v>
      </c>
      <c r="U3943" s="357" t="s">
        <v>164</v>
      </c>
      <c r="V3943" s="434"/>
      <c r="X3943" s="354">
        <v>2222.4</v>
      </c>
      <c r="Y3943" s="354"/>
      <c r="AI3943" s="354">
        <v>2222.4</v>
      </c>
      <c r="AJ3943" s="358"/>
      <c r="AK3943" s="369"/>
    </row>
    <row r="3944" spans="1:77" s="291" customFormat="1" ht="11.25" customHeight="1">
      <c r="B3944" s="291" t="s">
        <v>291</v>
      </c>
      <c r="C3944" s="292"/>
      <c r="D3944" s="292"/>
      <c r="E3944" s="293" t="s">
        <v>3041</v>
      </c>
      <c r="F3944" s="291" t="s">
        <v>416</v>
      </c>
      <c r="G3944" s="294">
        <v>4340</v>
      </c>
      <c r="H3944" s="291" t="s">
        <v>765</v>
      </c>
      <c r="I3944" s="295" t="s">
        <v>33</v>
      </c>
      <c r="J3944" s="296">
        <v>22350.240000000002</v>
      </c>
      <c r="K3944" s="295"/>
      <c r="L3944" s="296">
        <v>18.260000000000002</v>
      </c>
      <c r="M3944" s="296">
        <v>18.260000000000002</v>
      </c>
      <c r="N3944" s="297"/>
      <c r="O3944" s="298">
        <v>0.25</v>
      </c>
      <c r="P3944" s="298"/>
      <c r="Q3944" s="297">
        <v>0</v>
      </c>
      <c r="R3944" s="291" t="s">
        <v>42</v>
      </c>
      <c r="S3944" s="299" t="s">
        <v>41</v>
      </c>
      <c r="T3944" s="308">
        <v>17</v>
      </c>
      <c r="U3944" s="300" t="s">
        <v>164</v>
      </c>
      <c r="V3944" s="333"/>
      <c r="X3944" s="297">
        <v>0</v>
      </c>
      <c r="Y3944" s="297"/>
      <c r="AH3944" s="311">
        <f>X3944</f>
        <v>0</v>
      </c>
      <c r="AI3944" s="311"/>
      <c r="AJ3944" s="468"/>
    </row>
    <row r="3945" spans="1:77" s="337" customFormat="1" ht="11.25" customHeight="1">
      <c r="A3945" s="379"/>
      <c r="B3945" s="380" t="s">
        <v>291</v>
      </c>
      <c r="C3945" s="381"/>
      <c r="D3945" s="381"/>
      <c r="E3945" s="382" t="s">
        <v>3042</v>
      </c>
      <c r="F3945" s="379" t="s">
        <v>1609</v>
      </c>
      <c r="G3945" s="383" t="s">
        <v>1610</v>
      </c>
      <c r="H3945" s="379" t="s">
        <v>866</v>
      </c>
      <c r="I3945" s="394" t="s">
        <v>888</v>
      </c>
      <c r="J3945" s="385">
        <v>31060.04</v>
      </c>
      <c r="K3945" s="384"/>
      <c r="L3945" s="385">
        <v>19.34</v>
      </c>
      <c r="M3945" s="385">
        <v>19.34</v>
      </c>
      <c r="N3945" s="386">
        <v>9318.02</v>
      </c>
      <c r="O3945" s="387">
        <v>0.2</v>
      </c>
      <c r="P3945" s="387"/>
      <c r="Q3945" s="386">
        <v>131.52000000000001</v>
      </c>
      <c r="R3945" s="379" t="s">
        <v>29</v>
      </c>
      <c r="S3945" s="388" t="s">
        <v>275</v>
      </c>
      <c r="T3945" s="399">
        <v>21</v>
      </c>
      <c r="U3945" s="389" t="s">
        <v>164</v>
      </c>
      <c r="V3945" s="433"/>
      <c r="W3945" s="379"/>
      <c r="X3945" s="386">
        <v>131.52000000000001</v>
      </c>
      <c r="Y3945" s="386"/>
      <c r="Z3945" s="379"/>
      <c r="AA3945" s="379"/>
      <c r="AB3945" s="379"/>
      <c r="AC3945" s="379"/>
      <c r="AD3945" s="379"/>
      <c r="AE3945" s="379"/>
      <c r="AF3945" s="379"/>
      <c r="AG3945" s="379"/>
      <c r="AH3945" s="379"/>
      <c r="AI3945" s="379"/>
      <c r="AJ3945" s="390">
        <v>131.52000000000001</v>
      </c>
      <c r="AK3945" s="379"/>
      <c r="AL3945" s="379"/>
      <c r="AM3945" s="379"/>
      <c r="AN3945" s="379"/>
      <c r="AO3945" s="379"/>
      <c r="AP3945" s="379"/>
      <c r="AQ3945" s="379"/>
      <c r="AR3945" s="379"/>
      <c r="AS3945" s="379"/>
      <c r="AT3945" s="379"/>
      <c r="AU3945" s="379"/>
      <c r="AV3945" s="379"/>
      <c r="AW3945" s="379"/>
      <c r="AX3945" s="379"/>
      <c r="AY3945" s="379"/>
      <c r="AZ3945" s="379"/>
      <c r="BA3945" s="379"/>
      <c r="BB3945" s="379"/>
      <c r="BC3945" s="379"/>
      <c r="BD3945" s="379"/>
      <c r="BE3945" s="379"/>
      <c r="BF3945" s="379"/>
      <c r="BG3945" s="379"/>
      <c r="BH3945" s="379"/>
      <c r="BI3945" s="379"/>
      <c r="BJ3945" s="379"/>
      <c r="BK3945" s="379"/>
      <c r="BL3945" s="379"/>
      <c r="BM3945" s="379"/>
      <c r="BN3945" s="379"/>
      <c r="BO3945" s="379"/>
      <c r="BP3945" s="379"/>
      <c r="BQ3945" s="379"/>
      <c r="BR3945" s="379"/>
      <c r="BS3945" s="379"/>
      <c r="BT3945" s="379"/>
      <c r="BU3945" s="379"/>
      <c r="BV3945" s="379"/>
      <c r="BW3945" s="379"/>
      <c r="BX3945" s="379"/>
      <c r="BY3945" s="379"/>
    </row>
    <row r="3946" spans="1:77" s="337" customFormat="1" ht="11.25" customHeight="1">
      <c r="B3946" s="338" t="s">
        <v>291</v>
      </c>
      <c r="C3946" s="349">
        <v>44772</v>
      </c>
      <c r="D3946" s="349">
        <v>44774</v>
      </c>
      <c r="E3946" s="350" t="s">
        <v>3042</v>
      </c>
      <c r="F3946" s="337" t="s">
        <v>1609</v>
      </c>
      <c r="G3946" s="351" t="s">
        <v>1610</v>
      </c>
      <c r="H3946" s="337" t="s">
        <v>898</v>
      </c>
      <c r="I3946" s="341" t="s">
        <v>888</v>
      </c>
      <c r="J3946" s="352">
        <v>43438.080000000002</v>
      </c>
      <c r="K3946" s="353"/>
      <c r="L3946" s="352">
        <v>35.840000000000003</v>
      </c>
      <c r="M3946" s="352">
        <v>35.840000000000003</v>
      </c>
      <c r="N3946" s="354">
        <v>13084.51</v>
      </c>
      <c r="O3946" s="355">
        <v>0.2</v>
      </c>
      <c r="P3946" s="355"/>
      <c r="Q3946" s="354">
        <v>4959.18</v>
      </c>
      <c r="R3946" s="337" t="s">
        <v>29</v>
      </c>
      <c r="S3946" s="356" t="s">
        <v>275</v>
      </c>
      <c r="T3946" s="346">
        <v>21</v>
      </c>
      <c r="U3946" s="357" t="s">
        <v>164</v>
      </c>
      <c r="V3946" s="434"/>
      <c r="X3946" s="354">
        <v>4959.18</v>
      </c>
      <c r="Y3946" s="354"/>
      <c r="AI3946" s="337">
        <f>X3946</f>
        <v>4959.18</v>
      </c>
      <c r="AJ3946" s="358"/>
      <c r="AK3946" s="369"/>
    </row>
    <row r="3947" spans="1:77" s="571" customFormat="1" ht="11.25" customHeight="1">
      <c r="B3947" s="705" t="s">
        <v>291</v>
      </c>
      <c r="C3947" s="694"/>
      <c r="D3947" s="694"/>
      <c r="E3947" s="695" t="s">
        <v>3042</v>
      </c>
      <c r="F3947" s="571" t="s">
        <v>1609</v>
      </c>
      <c r="G3947" s="706" t="s">
        <v>1610</v>
      </c>
      <c r="H3947" s="571" t="s">
        <v>1018</v>
      </c>
      <c r="I3947" s="572" t="s">
        <v>888</v>
      </c>
      <c r="J3947" s="698">
        <v>39115.03</v>
      </c>
      <c r="K3947" s="697"/>
      <c r="L3947" s="698">
        <v>27.48</v>
      </c>
      <c r="M3947" s="698">
        <v>27.48</v>
      </c>
      <c r="N3947" s="699">
        <v>13159.32</v>
      </c>
      <c r="O3947" s="700">
        <v>0.2</v>
      </c>
      <c r="P3947" s="700"/>
      <c r="Q3947" s="699">
        <v>5867.25</v>
      </c>
      <c r="R3947" s="571" t="s">
        <v>29</v>
      </c>
      <c r="S3947" s="701" t="s">
        <v>275</v>
      </c>
      <c r="T3947" s="707">
        <v>21</v>
      </c>
      <c r="U3947" s="702" t="s">
        <v>164</v>
      </c>
      <c r="V3947" s="703"/>
      <c r="X3947" s="699">
        <v>5867.25</v>
      </c>
      <c r="Y3947" s="699"/>
      <c r="AJ3947" s="704"/>
      <c r="AP3947" s="699">
        <v>5867.25</v>
      </c>
    </row>
    <row r="3948" spans="1:77" s="379" customFormat="1" ht="11.25" customHeight="1">
      <c r="A3948" s="379">
        <v>1</v>
      </c>
      <c r="B3948" s="380" t="s">
        <v>291</v>
      </c>
      <c r="C3948" s="381">
        <v>44774</v>
      </c>
      <c r="D3948" s="381">
        <v>44774</v>
      </c>
      <c r="E3948" s="382" t="s">
        <v>3043</v>
      </c>
      <c r="F3948" s="379" t="s">
        <v>585</v>
      </c>
      <c r="G3948" s="383" t="s">
        <v>586</v>
      </c>
      <c r="H3948" s="379" t="s">
        <v>1015</v>
      </c>
      <c r="I3948" s="384" t="s">
        <v>961</v>
      </c>
      <c r="J3948" s="385">
        <v>7180</v>
      </c>
      <c r="K3948" s="384"/>
      <c r="L3948" s="385">
        <v>7.18</v>
      </c>
      <c r="M3948" s="385">
        <v>7.18</v>
      </c>
      <c r="N3948" s="386"/>
      <c r="O3948" s="387">
        <v>0.15</v>
      </c>
      <c r="P3948" s="387"/>
      <c r="Q3948" s="386">
        <v>1635</v>
      </c>
      <c r="R3948" s="379" t="s">
        <v>576</v>
      </c>
      <c r="S3948" s="388" t="s">
        <v>347</v>
      </c>
      <c r="T3948" s="399">
        <v>79</v>
      </c>
      <c r="U3948" s="389" t="s">
        <v>164</v>
      </c>
      <c r="V3948" s="433"/>
      <c r="X3948" s="386">
        <v>1635</v>
      </c>
      <c r="Y3948" s="386"/>
      <c r="AJ3948" s="390">
        <v>1635</v>
      </c>
    </row>
    <row r="3949" spans="1:77" s="6" customFormat="1" ht="11.25" customHeight="1">
      <c r="A3949" s="379"/>
      <c r="B3949" s="380" t="s">
        <v>291</v>
      </c>
      <c r="C3949" s="381">
        <v>44774</v>
      </c>
      <c r="D3949" s="381">
        <v>44774</v>
      </c>
      <c r="E3949" s="382" t="s">
        <v>3045</v>
      </c>
      <c r="F3949" s="379" t="s">
        <v>1625</v>
      </c>
      <c r="G3949" s="388">
        <v>4122</v>
      </c>
      <c r="H3949" s="379" t="s">
        <v>866</v>
      </c>
      <c r="I3949" s="384" t="s">
        <v>33</v>
      </c>
      <c r="J3949" s="385">
        <v>23443.200000000001</v>
      </c>
      <c r="K3949" s="384"/>
      <c r="L3949" s="385">
        <v>16.28</v>
      </c>
      <c r="M3949" s="385">
        <v>16.25</v>
      </c>
      <c r="N3949" s="386"/>
      <c r="O3949" s="387">
        <v>0.15</v>
      </c>
      <c r="P3949" s="387"/>
      <c r="Q3949" s="386">
        <v>0</v>
      </c>
      <c r="R3949" s="379" t="s">
        <v>73</v>
      </c>
      <c r="S3949" s="388" t="s">
        <v>74</v>
      </c>
      <c r="T3949" s="399">
        <v>31</v>
      </c>
      <c r="U3949" s="389" t="s">
        <v>164</v>
      </c>
      <c r="V3949" s="433"/>
      <c r="W3949" s="379"/>
      <c r="X3949" s="386">
        <v>0</v>
      </c>
      <c r="Y3949" s="386"/>
      <c r="Z3949" s="379"/>
      <c r="AA3949" s="379"/>
      <c r="AB3949" s="379"/>
      <c r="AC3949" s="379"/>
      <c r="AD3949" s="379"/>
      <c r="AE3949" s="379"/>
      <c r="AF3949" s="379"/>
      <c r="AG3949" s="379"/>
      <c r="AH3949" s="379"/>
      <c r="AI3949" s="379"/>
      <c r="AJ3949" s="390">
        <v>0</v>
      </c>
      <c r="AK3949" s="379"/>
      <c r="AL3949" s="379"/>
      <c r="AM3949" s="379"/>
      <c r="AN3949" s="379"/>
      <c r="AO3949" s="379"/>
      <c r="AP3949" s="379"/>
      <c r="AQ3949" s="379"/>
      <c r="AR3949" s="379"/>
      <c r="AS3949" s="379"/>
      <c r="AT3949" s="379"/>
      <c r="AU3949" s="379"/>
      <c r="AV3949" s="379"/>
      <c r="AW3949" s="379"/>
      <c r="AX3949" s="379"/>
      <c r="AY3949" s="379"/>
      <c r="AZ3949" s="379"/>
      <c r="BA3949" s="379"/>
      <c r="BB3949" s="379"/>
      <c r="BC3949" s="379"/>
      <c r="BD3949" s="379"/>
      <c r="BE3949" s="379"/>
      <c r="BF3949" s="379"/>
      <c r="BG3949" s="379"/>
      <c r="BH3949" s="379"/>
      <c r="BI3949" s="379"/>
      <c r="BJ3949" s="379"/>
      <c r="BK3949" s="379"/>
      <c r="BL3949" s="379"/>
      <c r="BM3949" s="379"/>
      <c r="BN3949" s="379"/>
      <c r="BO3949" s="379"/>
      <c r="BP3949" s="379"/>
      <c r="BQ3949" s="379"/>
      <c r="BR3949" s="379"/>
      <c r="BS3949" s="379"/>
      <c r="BT3949" s="379"/>
      <c r="BU3949" s="379"/>
      <c r="BV3949" s="379"/>
      <c r="BW3949" s="379"/>
      <c r="BX3949" s="379"/>
      <c r="BY3949" s="379"/>
    </row>
    <row r="3950" spans="1:77" s="291" customFormat="1" ht="11.25" customHeight="1">
      <c r="B3950" s="310" t="s">
        <v>291</v>
      </c>
      <c r="C3950" s="292">
        <v>44774</v>
      </c>
      <c r="D3950" s="292">
        <v>44774</v>
      </c>
      <c r="E3950" s="293" t="s">
        <v>3046</v>
      </c>
      <c r="F3950" s="291" t="s">
        <v>3047</v>
      </c>
      <c r="G3950" s="294" t="s">
        <v>3048</v>
      </c>
      <c r="H3950" s="291" t="s">
        <v>765</v>
      </c>
      <c r="I3950" s="295" t="s">
        <v>33</v>
      </c>
      <c r="J3950" s="296">
        <v>18352.96</v>
      </c>
      <c r="K3950" s="295"/>
      <c r="L3950" s="296">
        <v>22.62</v>
      </c>
      <c r="M3950" s="296">
        <v>22.62</v>
      </c>
      <c r="N3950" s="297">
        <v>0</v>
      </c>
      <c r="O3950" s="298">
        <v>0.25</v>
      </c>
      <c r="P3950" s="298"/>
      <c r="Q3950" s="297">
        <v>0</v>
      </c>
      <c r="R3950" s="291" t="s">
        <v>285</v>
      </c>
      <c r="S3950" s="299" t="s">
        <v>275</v>
      </c>
      <c r="T3950" s="308">
        <v>21</v>
      </c>
      <c r="U3950" s="300" t="s">
        <v>164</v>
      </c>
      <c r="V3950" s="333"/>
      <c r="X3950" s="297">
        <v>0</v>
      </c>
      <c r="Y3950" s="297"/>
      <c r="AH3950" s="291">
        <f>X3950</f>
        <v>0</v>
      </c>
      <c r="AI3950" s="311"/>
      <c r="AJ3950" s="468"/>
    </row>
    <row r="3951" spans="1:77" s="337" customFormat="1" ht="11.25" customHeight="1">
      <c r="A3951" s="337" t="s">
        <v>3893</v>
      </c>
      <c r="B3951" s="338" t="s">
        <v>291</v>
      </c>
      <c r="C3951" s="349">
        <v>44774</v>
      </c>
      <c r="D3951" s="349">
        <v>44774</v>
      </c>
      <c r="E3951" s="350" t="s">
        <v>3050</v>
      </c>
      <c r="F3951" s="337" t="s">
        <v>3049</v>
      </c>
      <c r="G3951" s="351" t="s">
        <v>3051</v>
      </c>
      <c r="H3951" s="337" t="s">
        <v>866</v>
      </c>
      <c r="I3951" s="353" t="s">
        <v>33</v>
      </c>
      <c r="J3951" s="352">
        <v>8777.9581999999991</v>
      </c>
      <c r="K3951" s="353"/>
      <c r="L3951" s="352">
        <v>5.63</v>
      </c>
      <c r="M3951" s="352">
        <v>5.63</v>
      </c>
      <c r="N3951" s="354">
        <v>4388.9790999999996</v>
      </c>
      <c r="O3951" s="355">
        <v>0.2</v>
      </c>
      <c r="P3951" s="355"/>
      <c r="Q3951" s="354">
        <v>1062.08</v>
      </c>
      <c r="R3951" s="337" t="s">
        <v>285</v>
      </c>
      <c r="S3951" s="356" t="s">
        <v>275</v>
      </c>
      <c r="T3951" s="346">
        <v>21</v>
      </c>
      <c r="U3951" s="357" t="s">
        <v>164</v>
      </c>
      <c r="V3951" s="434"/>
      <c r="X3951" s="354">
        <v>1062.08</v>
      </c>
      <c r="Y3951" s="354"/>
      <c r="AI3951" s="337">
        <f>X3951</f>
        <v>1062.08</v>
      </c>
      <c r="AJ3951" s="358"/>
      <c r="AK3951" s="369"/>
    </row>
    <row r="3952" spans="1:77" s="291" customFormat="1" ht="11.25" customHeight="1">
      <c r="A3952" s="291" t="s">
        <v>3893</v>
      </c>
      <c r="B3952" s="310" t="s">
        <v>291</v>
      </c>
      <c r="C3952" s="292"/>
      <c r="D3952" s="292"/>
      <c r="E3952" s="293" t="s">
        <v>3050</v>
      </c>
      <c r="F3952" s="291" t="s">
        <v>3049</v>
      </c>
      <c r="G3952" s="294" t="s">
        <v>3051</v>
      </c>
      <c r="H3952" s="291" t="s">
        <v>814</v>
      </c>
      <c r="I3952" s="295" t="s">
        <v>33</v>
      </c>
      <c r="J3952" s="296">
        <v>9769.32</v>
      </c>
      <c r="K3952" s="295"/>
      <c r="L3952" s="296">
        <v>11.74</v>
      </c>
      <c r="M3952" s="296">
        <v>11.74</v>
      </c>
      <c r="N3952" s="297">
        <v>4884.6617999999999</v>
      </c>
      <c r="O3952" s="298">
        <v>0.2</v>
      </c>
      <c r="P3952" s="298"/>
      <c r="Q3952" s="297">
        <v>0</v>
      </c>
      <c r="R3952" s="291" t="s">
        <v>285</v>
      </c>
      <c r="S3952" s="299" t="s">
        <v>275</v>
      </c>
      <c r="T3952" s="308">
        <v>21</v>
      </c>
      <c r="U3952" s="300" t="s">
        <v>164</v>
      </c>
      <c r="V3952" s="333"/>
      <c r="X3952" s="297">
        <v>0</v>
      </c>
      <c r="Y3952" s="297"/>
      <c r="AH3952" s="311">
        <f>X3952</f>
        <v>0</v>
      </c>
      <c r="AI3952" s="311"/>
      <c r="AJ3952" s="468"/>
    </row>
    <row r="3953" spans="1:77" s="337" customFormat="1" ht="11.25" customHeight="1">
      <c r="A3953" s="337" t="s">
        <v>3893</v>
      </c>
      <c r="B3953" s="338" t="s">
        <v>291</v>
      </c>
      <c r="C3953" s="349">
        <v>44774</v>
      </c>
      <c r="D3953" s="349">
        <v>44774</v>
      </c>
      <c r="E3953" s="350" t="s">
        <v>3052</v>
      </c>
      <c r="F3953" s="337" t="s">
        <v>1365</v>
      </c>
      <c r="G3953" s="351">
        <v>4625</v>
      </c>
      <c r="H3953" s="337" t="s">
        <v>765</v>
      </c>
      <c r="I3953" s="353" t="s">
        <v>888</v>
      </c>
      <c r="J3953" s="352">
        <v>65103.02</v>
      </c>
      <c r="K3953" s="353"/>
      <c r="L3953" s="352">
        <v>60.61</v>
      </c>
      <c r="M3953" s="352">
        <v>60.61</v>
      </c>
      <c r="N3953" s="354">
        <v>25373.16</v>
      </c>
      <c r="O3953" s="355">
        <v>0.15</v>
      </c>
      <c r="P3953" s="355"/>
      <c r="Q3953" s="354">
        <v>12811.04</v>
      </c>
      <c r="R3953" s="337" t="s">
        <v>142</v>
      </c>
      <c r="S3953" s="346" t="s">
        <v>41</v>
      </c>
      <c r="T3953" s="346">
        <v>16</v>
      </c>
      <c r="U3953" s="357" t="s">
        <v>164</v>
      </c>
      <c r="V3953" s="434"/>
      <c r="X3953" s="354">
        <v>12811.04</v>
      </c>
      <c r="Y3953" s="354"/>
      <c r="AI3953" s="337">
        <f>X3953</f>
        <v>12811.04</v>
      </c>
      <c r="AJ3953" s="358"/>
      <c r="AK3953" s="369"/>
    </row>
    <row r="3954" spans="1:77" s="291" customFormat="1" ht="11.25" customHeight="1">
      <c r="B3954" s="291" t="s">
        <v>291</v>
      </c>
      <c r="C3954" s="292">
        <v>44774</v>
      </c>
      <c r="D3954" s="292">
        <v>44774</v>
      </c>
      <c r="E3954" s="293" t="s">
        <v>3053</v>
      </c>
      <c r="F3954" s="291" t="s">
        <v>49</v>
      </c>
      <c r="G3954" s="294">
        <v>3667</v>
      </c>
      <c r="H3954" s="291" t="s">
        <v>866</v>
      </c>
      <c r="I3954" s="295" t="s">
        <v>33</v>
      </c>
      <c r="J3954" s="296">
        <v>38075.58</v>
      </c>
      <c r="K3954" s="295"/>
      <c r="L3954" s="296">
        <v>27.05</v>
      </c>
      <c r="M3954" s="296">
        <v>27.05</v>
      </c>
      <c r="N3954" s="297">
        <v>11422.674000000001</v>
      </c>
      <c r="O3954" s="298">
        <v>0.2</v>
      </c>
      <c r="P3954" s="298"/>
      <c r="Q3954" s="297">
        <v>4892.8</v>
      </c>
      <c r="R3954" s="291" t="s">
        <v>50</v>
      </c>
      <c r="S3954" s="299" t="s">
        <v>51</v>
      </c>
      <c r="T3954" s="308">
        <v>55</v>
      </c>
      <c r="U3954" s="300" t="s">
        <v>164</v>
      </c>
      <c r="V3954" s="333"/>
      <c r="X3954" s="297">
        <v>4892.8</v>
      </c>
      <c r="Y3954" s="297"/>
      <c r="AH3954" s="291">
        <f>X3954</f>
        <v>4892.8</v>
      </c>
      <c r="AI3954" s="311"/>
      <c r="AJ3954" s="468"/>
    </row>
    <row r="3955" spans="1:77" s="6" customFormat="1" ht="11.25" customHeight="1">
      <c r="A3955" s="379"/>
      <c r="B3955" s="380" t="s">
        <v>291</v>
      </c>
      <c r="C3955" s="381">
        <v>44774</v>
      </c>
      <c r="D3955" s="381">
        <v>44774</v>
      </c>
      <c r="E3955" s="382" t="s">
        <v>3054</v>
      </c>
      <c r="F3955" s="394" t="s">
        <v>1621</v>
      </c>
      <c r="G3955" s="400">
        <v>4127</v>
      </c>
      <c r="H3955" s="379" t="s">
        <v>1141</v>
      </c>
      <c r="I3955" s="394" t="s">
        <v>888</v>
      </c>
      <c r="J3955" s="385">
        <v>9717.2999999999993</v>
      </c>
      <c r="K3955" s="384"/>
      <c r="L3955" s="385">
        <v>8.85</v>
      </c>
      <c r="M3955" s="385">
        <v>8.85</v>
      </c>
      <c r="N3955" s="386"/>
      <c r="O3955" s="387">
        <v>0.25</v>
      </c>
      <c r="P3955" s="387"/>
      <c r="Q3955" s="386">
        <v>1760.27</v>
      </c>
      <c r="R3955" s="394" t="s">
        <v>73</v>
      </c>
      <c r="S3955" s="399" t="s">
        <v>74</v>
      </c>
      <c r="T3955" s="399">
        <v>31</v>
      </c>
      <c r="U3955" s="389" t="s">
        <v>164</v>
      </c>
      <c r="V3955" s="433"/>
      <c r="W3955" s="379"/>
      <c r="X3955" s="386">
        <v>1760.27</v>
      </c>
      <c r="Y3955" s="386"/>
      <c r="Z3955" s="379"/>
      <c r="AA3955" s="379"/>
      <c r="AB3955" s="379"/>
      <c r="AC3955" s="379"/>
      <c r="AD3955" s="379"/>
      <c r="AE3955" s="379"/>
      <c r="AF3955" s="379"/>
      <c r="AG3955" s="379"/>
      <c r="AH3955" s="379"/>
      <c r="AI3955" s="379"/>
      <c r="AJ3955" s="416">
        <v>1760.27</v>
      </c>
      <c r="AK3955" s="379"/>
      <c r="AL3955" s="379"/>
      <c r="AM3955" s="379"/>
      <c r="AN3955" s="379"/>
      <c r="AO3955" s="379"/>
      <c r="AP3955" s="379"/>
      <c r="AQ3955" s="379"/>
      <c r="AR3955" s="379"/>
      <c r="AS3955" s="379"/>
      <c r="AT3955" s="379"/>
      <c r="AU3955" s="379"/>
      <c r="AV3955" s="379"/>
      <c r="AW3955" s="379"/>
      <c r="AX3955" s="379"/>
      <c r="AY3955" s="379"/>
      <c r="AZ3955" s="379"/>
      <c r="BA3955" s="379"/>
      <c r="BB3955" s="379"/>
      <c r="BC3955" s="379"/>
      <c r="BD3955" s="379"/>
      <c r="BE3955" s="379"/>
      <c r="BF3955" s="379"/>
      <c r="BG3955" s="379"/>
      <c r="BH3955" s="379"/>
      <c r="BI3955" s="379"/>
      <c r="BJ3955" s="379"/>
      <c r="BK3955" s="379"/>
      <c r="BL3955" s="379"/>
      <c r="BM3955" s="379"/>
      <c r="BN3955" s="379"/>
      <c r="BO3955" s="379"/>
      <c r="BP3955" s="379"/>
      <c r="BQ3955" s="379"/>
      <c r="BR3955" s="379"/>
      <c r="BS3955" s="379"/>
      <c r="BT3955" s="379"/>
      <c r="BU3955" s="379"/>
      <c r="BV3955" s="379"/>
      <c r="BW3955" s="379"/>
      <c r="BX3955" s="379"/>
      <c r="BY3955" s="379"/>
    </row>
    <row r="3956" spans="1:77" s="6" customFormat="1" ht="11.25" customHeight="1">
      <c r="A3956" s="379"/>
      <c r="B3956" s="380" t="s">
        <v>291</v>
      </c>
      <c r="C3956" s="381"/>
      <c r="D3956" s="381"/>
      <c r="E3956" s="382" t="s">
        <v>3054</v>
      </c>
      <c r="F3956" s="394" t="s">
        <v>1621</v>
      </c>
      <c r="G3956" s="400">
        <v>4127</v>
      </c>
      <c r="H3956" s="379" t="s">
        <v>765</v>
      </c>
      <c r="I3956" s="394" t="s">
        <v>888</v>
      </c>
      <c r="J3956" s="385">
        <v>29550.400000000001</v>
      </c>
      <c r="K3956" s="384"/>
      <c r="L3956" s="385">
        <v>32.119999999999997</v>
      </c>
      <c r="M3956" s="385">
        <v>32.119999999999997</v>
      </c>
      <c r="N3956" s="386"/>
      <c r="O3956" s="387">
        <v>0.25</v>
      </c>
      <c r="P3956" s="387"/>
      <c r="Q3956" s="386">
        <v>0</v>
      </c>
      <c r="R3956" s="394" t="s">
        <v>73</v>
      </c>
      <c r="S3956" s="399" t="s">
        <v>74</v>
      </c>
      <c r="T3956" s="399">
        <v>31</v>
      </c>
      <c r="U3956" s="389" t="s">
        <v>164</v>
      </c>
      <c r="V3956" s="433"/>
      <c r="W3956" s="379"/>
      <c r="X3956" s="386">
        <v>0</v>
      </c>
      <c r="Y3956" s="386"/>
      <c r="Z3956" s="379"/>
      <c r="AA3956" s="379"/>
      <c r="AB3956" s="379"/>
      <c r="AC3956" s="379"/>
      <c r="AD3956" s="379"/>
      <c r="AE3956" s="379"/>
      <c r="AF3956" s="379"/>
      <c r="AG3956" s="379"/>
      <c r="AH3956" s="379"/>
      <c r="AI3956" s="379"/>
      <c r="AJ3956" s="390">
        <v>0</v>
      </c>
      <c r="AK3956" s="379"/>
      <c r="AL3956" s="379"/>
      <c r="AM3956" s="379"/>
      <c r="AN3956" s="379"/>
      <c r="AO3956" s="379"/>
      <c r="AP3956" s="379"/>
      <c r="AQ3956" s="379"/>
      <c r="AR3956" s="379"/>
      <c r="AS3956" s="379"/>
      <c r="AT3956" s="379"/>
      <c r="AU3956" s="379"/>
      <c r="AV3956" s="379"/>
      <c r="AW3956" s="379"/>
      <c r="AX3956" s="379"/>
      <c r="AY3956" s="379"/>
      <c r="AZ3956" s="379"/>
      <c r="BA3956" s="379"/>
      <c r="BB3956" s="379"/>
      <c r="BC3956" s="379"/>
      <c r="BD3956" s="379"/>
      <c r="BE3956" s="379"/>
      <c r="BF3956" s="379"/>
      <c r="BG3956" s="379"/>
      <c r="BH3956" s="379"/>
      <c r="BI3956" s="379"/>
      <c r="BJ3956" s="379"/>
      <c r="BK3956" s="379"/>
      <c r="BL3956" s="379"/>
      <c r="BM3956" s="379"/>
      <c r="BN3956" s="379"/>
      <c r="BO3956" s="379"/>
      <c r="BP3956" s="379"/>
      <c r="BQ3956" s="379"/>
      <c r="BR3956" s="379"/>
      <c r="BS3956" s="379"/>
      <c r="BT3956" s="379"/>
      <c r="BU3956" s="379"/>
      <c r="BV3956" s="379"/>
      <c r="BW3956" s="379"/>
      <c r="BX3956" s="379"/>
      <c r="BY3956" s="379"/>
    </row>
    <row r="3957" spans="1:77" s="6" customFormat="1" ht="11.25" customHeight="1">
      <c r="A3957" s="379"/>
      <c r="B3957" s="380" t="s">
        <v>291</v>
      </c>
      <c r="C3957" s="381"/>
      <c r="D3957" s="381"/>
      <c r="E3957" s="382" t="s">
        <v>3054</v>
      </c>
      <c r="F3957" s="394" t="s">
        <v>1621</v>
      </c>
      <c r="G3957" s="400">
        <v>4127</v>
      </c>
      <c r="H3957" s="379" t="s">
        <v>866</v>
      </c>
      <c r="I3957" s="394" t="s">
        <v>888</v>
      </c>
      <c r="J3957" s="385">
        <v>10794.82</v>
      </c>
      <c r="K3957" s="384"/>
      <c r="L3957" s="385">
        <v>7.57</v>
      </c>
      <c r="M3957" s="385">
        <v>7.57</v>
      </c>
      <c r="N3957" s="386"/>
      <c r="O3957" s="387">
        <v>0.25</v>
      </c>
      <c r="P3957" s="387"/>
      <c r="Q3957" s="386">
        <v>3221.04</v>
      </c>
      <c r="R3957" s="394" t="s">
        <v>73</v>
      </c>
      <c r="S3957" s="399" t="s">
        <v>74</v>
      </c>
      <c r="T3957" s="399">
        <v>31</v>
      </c>
      <c r="U3957" s="389" t="s">
        <v>164</v>
      </c>
      <c r="V3957" s="433"/>
      <c r="W3957" s="379"/>
      <c r="X3957" s="386">
        <v>3221.04</v>
      </c>
      <c r="Y3957" s="386"/>
      <c r="Z3957" s="379"/>
      <c r="AA3957" s="379"/>
      <c r="AB3957" s="379"/>
      <c r="AC3957" s="379"/>
      <c r="AD3957" s="379"/>
      <c r="AE3957" s="379"/>
      <c r="AF3957" s="379"/>
      <c r="AG3957" s="379"/>
      <c r="AH3957" s="379"/>
      <c r="AI3957" s="379"/>
      <c r="AJ3957" s="390">
        <v>3221.04</v>
      </c>
      <c r="AK3957" s="379"/>
      <c r="AL3957" s="379"/>
      <c r="AM3957" s="379"/>
      <c r="AN3957" s="379"/>
      <c r="AO3957" s="379"/>
      <c r="AP3957" s="379"/>
      <c r="AQ3957" s="379"/>
      <c r="AR3957" s="379"/>
      <c r="AS3957" s="379"/>
      <c r="AT3957" s="379"/>
      <c r="AU3957" s="379"/>
      <c r="AV3957" s="379"/>
      <c r="AW3957" s="379"/>
      <c r="AX3957" s="379"/>
      <c r="AY3957" s="379"/>
      <c r="AZ3957" s="379"/>
      <c r="BA3957" s="379"/>
      <c r="BB3957" s="379"/>
      <c r="BC3957" s="379"/>
      <c r="BD3957" s="379"/>
      <c r="BE3957" s="379"/>
      <c r="BF3957" s="379"/>
      <c r="BG3957" s="379"/>
      <c r="BH3957" s="379"/>
      <c r="BI3957" s="379"/>
      <c r="BJ3957" s="379"/>
      <c r="BK3957" s="379"/>
      <c r="BL3957" s="379"/>
      <c r="BM3957" s="379"/>
      <c r="BN3957" s="379"/>
      <c r="BO3957" s="379"/>
      <c r="BP3957" s="379"/>
      <c r="BQ3957" s="379"/>
      <c r="BR3957" s="379"/>
      <c r="BS3957" s="379"/>
      <c r="BT3957" s="379"/>
      <c r="BU3957" s="379"/>
      <c r="BV3957" s="379"/>
      <c r="BW3957" s="379"/>
      <c r="BX3957" s="379"/>
      <c r="BY3957" s="379"/>
    </row>
    <row r="3958" spans="1:77" s="379" customFormat="1" ht="11.25" customHeight="1">
      <c r="B3958" s="380" t="s">
        <v>291</v>
      </c>
      <c r="C3958" s="381">
        <v>44774</v>
      </c>
      <c r="D3958" s="381">
        <v>44774</v>
      </c>
      <c r="E3958" s="382" t="s">
        <v>3055</v>
      </c>
      <c r="F3958" s="379" t="s">
        <v>561</v>
      </c>
      <c r="G3958" s="383" t="s">
        <v>562</v>
      </c>
      <c r="H3958" s="379" t="s">
        <v>866</v>
      </c>
      <c r="I3958" s="379" t="s">
        <v>888</v>
      </c>
      <c r="J3958" s="385">
        <v>7888</v>
      </c>
      <c r="K3958" s="384"/>
      <c r="L3958" s="385">
        <v>4.93</v>
      </c>
      <c r="M3958" s="385">
        <v>4.93</v>
      </c>
      <c r="N3958" s="386">
        <v>2366.4</v>
      </c>
      <c r="O3958" s="387">
        <v>0.2</v>
      </c>
      <c r="P3958" s="387"/>
      <c r="Q3958" s="386">
        <v>887.4</v>
      </c>
      <c r="R3958" s="379" t="s">
        <v>285</v>
      </c>
      <c r="S3958" s="388" t="s">
        <v>275</v>
      </c>
      <c r="T3958" s="399">
        <v>21</v>
      </c>
      <c r="U3958" s="389" t="s">
        <v>164</v>
      </c>
      <c r="V3958" s="433"/>
      <c r="X3958" s="386">
        <v>887.4</v>
      </c>
      <c r="Y3958" s="386"/>
      <c r="AJ3958" s="416">
        <v>887.4</v>
      </c>
    </row>
    <row r="3959" spans="1:77" s="379" customFormat="1" ht="11.25" customHeight="1">
      <c r="B3959" s="380" t="s">
        <v>291</v>
      </c>
      <c r="C3959" s="381"/>
      <c r="D3959" s="381"/>
      <c r="E3959" s="382" t="s">
        <v>3055</v>
      </c>
      <c r="F3959" s="379" t="s">
        <v>561</v>
      </c>
      <c r="G3959" s="383" t="s">
        <v>562</v>
      </c>
      <c r="H3959" s="379" t="s">
        <v>765</v>
      </c>
      <c r="I3959" s="379" t="s">
        <v>888</v>
      </c>
      <c r="J3959" s="385">
        <v>17291.509999999998</v>
      </c>
      <c r="K3959" s="384"/>
      <c r="L3959" s="385">
        <v>11.41</v>
      </c>
      <c r="M3959" s="385">
        <v>11.41</v>
      </c>
      <c r="N3959" s="386">
        <v>1399.44</v>
      </c>
      <c r="O3959" s="387">
        <v>0.2</v>
      </c>
      <c r="P3959" s="387"/>
      <c r="Q3959" s="386">
        <v>0</v>
      </c>
      <c r="R3959" s="379" t="s">
        <v>285</v>
      </c>
      <c r="S3959" s="388" t="s">
        <v>275</v>
      </c>
      <c r="T3959" s="399">
        <v>21</v>
      </c>
      <c r="U3959" s="389" t="s">
        <v>164</v>
      </c>
      <c r="V3959" s="433"/>
      <c r="X3959" s="386">
        <v>0</v>
      </c>
      <c r="Y3959" s="386"/>
      <c r="AJ3959" s="390">
        <v>0</v>
      </c>
    </row>
    <row r="3960" spans="1:77" s="379" customFormat="1" ht="11.25" customHeight="1">
      <c r="A3960" s="379" t="s">
        <v>3893</v>
      </c>
      <c r="B3960" s="380" t="s">
        <v>291</v>
      </c>
      <c r="C3960" s="381">
        <v>44774</v>
      </c>
      <c r="D3960" s="381">
        <v>44774</v>
      </c>
      <c r="E3960" s="382" t="s">
        <v>3057</v>
      </c>
      <c r="F3960" s="379" t="s">
        <v>1710</v>
      </c>
      <c r="G3960" s="383" t="s">
        <v>1657</v>
      </c>
      <c r="H3960" s="379" t="s">
        <v>1138</v>
      </c>
      <c r="I3960" s="384" t="s">
        <v>958</v>
      </c>
      <c r="J3960" s="385">
        <v>10456.6</v>
      </c>
      <c r="K3960" s="384"/>
      <c r="L3960" s="385">
        <v>9.6999999999999993</v>
      </c>
      <c r="M3960" s="385">
        <v>9.6999999999999993</v>
      </c>
      <c r="N3960" s="386"/>
      <c r="O3960" s="387">
        <v>0.25</v>
      </c>
      <c r="P3960" s="387"/>
      <c r="Q3960" s="386">
        <v>6295.3</v>
      </c>
      <c r="R3960" s="379" t="s">
        <v>146</v>
      </c>
      <c r="S3960" s="388" t="s">
        <v>74</v>
      </c>
      <c r="T3960" s="388">
        <v>31</v>
      </c>
      <c r="U3960" s="389" t="s">
        <v>164</v>
      </c>
      <c r="V3960" s="433"/>
      <c r="W3960" s="379" t="s">
        <v>3947</v>
      </c>
      <c r="X3960" s="386">
        <v>6295.3</v>
      </c>
      <c r="Y3960" s="386"/>
      <c r="AH3960" s="386">
        <v>5655.1</v>
      </c>
      <c r="AI3960" s="391"/>
      <c r="AJ3960" s="390">
        <v>640.20000000000005</v>
      </c>
    </row>
    <row r="3961" spans="1:77" s="379" customFormat="1" ht="11.25" customHeight="1">
      <c r="A3961" s="379" t="s">
        <v>3893</v>
      </c>
      <c r="B3961" s="380" t="s">
        <v>291</v>
      </c>
      <c r="C3961" s="381"/>
      <c r="D3961" s="381"/>
      <c r="E3961" s="382" t="s">
        <v>3057</v>
      </c>
      <c r="F3961" s="379" t="s">
        <v>1710</v>
      </c>
      <c r="G3961" s="383" t="s">
        <v>1657</v>
      </c>
      <c r="H3961" s="379" t="s">
        <v>1018</v>
      </c>
      <c r="I3961" s="384" t="s">
        <v>958</v>
      </c>
      <c r="J3961" s="385">
        <v>20571.2</v>
      </c>
      <c r="K3961" s="384"/>
      <c r="L3961" s="385">
        <v>19.78</v>
      </c>
      <c r="M3961" s="385">
        <v>19.78</v>
      </c>
      <c r="N3961" s="386"/>
      <c r="O3961" s="387">
        <v>0.25</v>
      </c>
      <c r="P3961" s="387"/>
      <c r="Q3961" s="386">
        <v>395.6</v>
      </c>
      <c r="R3961" s="379" t="s">
        <v>146</v>
      </c>
      <c r="S3961" s="388" t="s">
        <v>74</v>
      </c>
      <c r="T3961" s="388">
        <v>31</v>
      </c>
      <c r="U3961" s="389" t="s">
        <v>164</v>
      </c>
      <c r="V3961" s="433"/>
      <c r="X3961" s="386">
        <v>395.6</v>
      </c>
      <c r="Y3961" s="386"/>
      <c r="AI3961" s="391"/>
      <c r="AJ3961" s="388">
        <v>395.6</v>
      </c>
    </row>
    <row r="3962" spans="1:77" s="337" customFormat="1" ht="11.25" customHeight="1">
      <c r="B3962" s="338" t="s">
        <v>291</v>
      </c>
      <c r="C3962" s="349">
        <v>44773</v>
      </c>
      <c r="D3962" s="349">
        <v>44774</v>
      </c>
      <c r="E3962" s="350" t="s">
        <v>3058</v>
      </c>
      <c r="F3962" s="337" t="s">
        <v>3059</v>
      </c>
      <c r="G3962" s="351" t="s">
        <v>3060</v>
      </c>
      <c r="H3962" s="337" t="s">
        <v>765</v>
      </c>
      <c r="I3962" s="353" t="s">
        <v>958</v>
      </c>
      <c r="J3962" s="352">
        <v>6136.52</v>
      </c>
      <c r="K3962" s="353"/>
      <c r="L3962" s="352">
        <v>6.93</v>
      </c>
      <c r="M3962" s="352">
        <v>6.93</v>
      </c>
      <c r="N3962" s="354">
        <v>2147.7800000000002</v>
      </c>
      <c r="O3962" s="355">
        <v>0.3</v>
      </c>
      <c r="P3962" s="355"/>
      <c r="Q3962" s="354">
        <v>1651.77</v>
      </c>
      <c r="R3962" s="337" t="s">
        <v>112</v>
      </c>
      <c r="S3962" s="356" t="s">
        <v>113</v>
      </c>
      <c r="T3962" s="346">
        <v>64</v>
      </c>
      <c r="U3962" s="357" t="s">
        <v>164</v>
      </c>
      <c r="V3962" s="434"/>
      <c r="X3962" s="354">
        <v>1651.77</v>
      </c>
      <c r="Y3962" s="354"/>
      <c r="AI3962" s="369">
        <f>X3962</f>
        <v>1651.77</v>
      </c>
      <c r="AJ3962" s="358"/>
      <c r="AK3962" s="369"/>
    </row>
    <row r="3963" spans="1:77" s="337" customFormat="1" ht="11.25" customHeight="1">
      <c r="B3963" s="338" t="s">
        <v>291</v>
      </c>
      <c r="C3963" s="349"/>
      <c r="D3963" s="349"/>
      <c r="E3963" s="350" t="s">
        <v>3058</v>
      </c>
      <c r="F3963" s="337" t="s">
        <v>3059</v>
      </c>
      <c r="G3963" s="351" t="s">
        <v>3060</v>
      </c>
      <c r="H3963" s="337" t="s">
        <v>2171</v>
      </c>
      <c r="I3963" s="353" t="s">
        <v>958</v>
      </c>
      <c r="J3963" s="352">
        <v>13820.68</v>
      </c>
      <c r="K3963" s="353"/>
      <c r="L3963" s="352">
        <v>7.94</v>
      </c>
      <c r="M3963" s="352">
        <v>7.94</v>
      </c>
      <c r="N3963" s="354">
        <v>8983.44</v>
      </c>
      <c r="O3963" s="355">
        <v>0.3</v>
      </c>
      <c r="P3963" s="355"/>
      <c r="Q3963" s="354">
        <v>3304.69</v>
      </c>
      <c r="R3963" s="337" t="s">
        <v>112</v>
      </c>
      <c r="S3963" s="356" t="s">
        <v>113</v>
      </c>
      <c r="T3963" s="346">
        <v>64</v>
      </c>
      <c r="U3963" s="357" t="s">
        <v>164</v>
      </c>
      <c r="V3963" s="434"/>
      <c r="X3963" s="354">
        <v>3304.69</v>
      </c>
      <c r="Y3963" s="354"/>
      <c r="AI3963" s="369">
        <f>X3963</f>
        <v>3304.69</v>
      </c>
      <c r="AJ3963" s="358"/>
      <c r="AK3963" s="369"/>
    </row>
    <row r="3964" spans="1:77" s="337" customFormat="1" ht="11.25" customHeight="1">
      <c r="B3964" s="338" t="s">
        <v>291</v>
      </c>
      <c r="C3964" s="349"/>
      <c r="D3964" s="349"/>
      <c r="E3964" s="350" t="s">
        <v>3058</v>
      </c>
      <c r="F3964" s="337" t="s">
        <v>3059</v>
      </c>
      <c r="G3964" s="351" t="s">
        <v>3060</v>
      </c>
      <c r="H3964" s="337" t="s">
        <v>866</v>
      </c>
      <c r="I3964" s="353" t="s">
        <v>958</v>
      </c>
      <c r="J3964" s="352">
        <v>6865.24</v>
      </c>
      <c r="K3964" s="353"/>
      <c r="L3964" s="352">
        <v>3.78</v>
      </c>
      <c r="M3964" s="352">
        <v>3.78</v>
      </c>
      <c r="N3964" s="354">
        <v>3775.88</v>
      </c>
      <c r="O3964" s="355">
        <v>0.3</v>
      </c>
      <c r="P3964" s="355"/>
      <c r="Q3964" s="354">
        <v>1219.96</v>
      </c>
      <c r="R3964" s="337" t="s">
        <v>112</v>
      </c>
      <c r="S3964" s="356" t="s">
        <v>113</v>
      </c>
      <c r="T3964" s="346">
        <v>64</v>
      </c>
      <c r="U3964" s="357" t="s">
        <v>164</v>
      </c>
      <c r="V3964" s="434"/>
      <c r="X3964" s="354">
        <v>1219.96</v>
      </c>
      <c r="Y3964" s="354"/>
      <c r="AI3964" s="369">
        <f>X3964</f>
        <v>1219.96</v>
      </c>
      <c r="AJ3964" s="358"/>
      <c r="AK3964" s="369"/>
    </row>
    <row r="3965" spans="1:77" s="291" customFormat="1" ht="11.25" customHeight="1">
      <c r="B3965" s="310" t="s">
        <v>291</v>
      </c>
      <c r="C3965" s="292">
        <v>44774</v>
      </c>
      <c r="D3965" s="292">
        <v>44774</v>
      </c>
      <c r="E3965" s="293" t="s">
        <v>3061</v>
      </c>
      <c r="F3965" s="291" t="s">
        <v>812</v>
      </c>
      <c r="G3965" s="294" t="s">
        <v>813</v>
      </c>
      <c r="H3965" s="291" t="s">
        <v>814</v>
      </c>
      <c r="I3965" s="295" t="s">
        <v>1296</v>
      </c>
      <c r="J3965" s="296">
        <v>21910</v>
      </c>
      <c r="L3965" s="296">
        <v>20</v>
      </c>
      <c r="M3965" s="296">
        <v>20</v>
      </c>
      <c r="N3965" s="297">
        <v>1095.5</v>
      </c>
      <c r="O3965" s="298">
        <v>0.15</v>
      </c>
      <c r="P3965" s="298"/>
      <c r="Q3965" s="297">
        <v>5635.83</v>
      </c>
      <c r="R3965" s="291" t="s">
        <v>112</v>
      </c>
      <c r="S3965" s="299" t="s">
        <v>113</v>
      </c>
      <c r="T3965" s="299">
        <v>64</v>
      </c>
      <c r="U3965" s="300" t="s">
        <v>164</v>
      </c>
      <c r="V3965" s="333"/>
      <c r="X3965" s="297">
        <v>5635.83</v>
      </c>
      <c r="Y3965" s="297"/>
      <c r="AH3965" s="297">
        <f>X3965</f>
        <v>5635.83</v>
      </c>
      <c r="AI3965" s="311"/>
      <c r="AJ3965" s="468"/>
    </row>
    <row r="3966" spans="1:77" s="291" customFormat="1" ht="11.25" customHeight="1">
      <c r="B3966" s="310" t="s">
        <v>291</v>
      </c>
      <c r="C3966" s="292"/>
      <c r="D3966" s="292"/>
      <c r="E3966" s="293" t="s">
        <v>3061</v>
      </c>
      <c r="F3966" s="303" t="s">
        <v>812</v>
      </c>
      <c r="G3966" s="294" t="s">
        <v>813</v>
      </c>
      <c r="H3966" s="291" t="s">
        <v>866</v>
      </c>
      <c r="I3966" s="295" t="s">
        <v>1296</v>
      </c>
      <c r="J3966" s="296">
        <v>18006.400000000001</v>
      </c>
      <c r="K3966" s="295"/>
      <c r="L3966" s="296">
        <v>9.6999999999999993</v>
      </c>
      <c r="M3966" s="296">
        <v>9.6999999999999993</v>
      </c>
      <c r="N3966" s="297">
        <v>5401.92</v>
      </c>
      <c r="O3966" s="298">
        <v>0.15</v>
      </c>
      <c r="P3966" s="298"/>
      <c r="Q3966" s="297">
        <v>1031.5</v>
      </c>
      <c r="R3966" s="291" t="s">
        <v>112</v>
      </c>
      <c r="S3966" s="299" t="s">
        <v>113</v>
      </c>
      <c r="T3966" s="299">
        <v>64</v>
      </c>
      <c r="U3966" s="300" t="s">
        <v>164</v>
      </c>
      <c r="V3966" s="333"/>
      <c r="X3966" s="297">
        <v>1031.5</v>
      </c>
      <c r="Y3966" s="297"/>
      <c r="AH3966" s="297">
        <f>X3966</f>
        <v>1031.5</v>
      </c>
      <c r="AI3966" s="311"/>
      <c r="AJ3966" s="468"/>
    </row>
    <row r="3967" spans="1:77" s="337" customFormat="1" ht="11.25" customHeight="1">
      <c r="B3967" s="337" t="s">
        <v>291</v>
      </c>
      <c r="C3967" s="349">
        <v>44774</v>
      </c>
      <c r="D3967" s="349">
        <v>44774</v>
      </c>
      <c r="E3967" s="350" t="s">
        <v>3062</v>
      </c>
      <c r="F3967" s="337" t="s">
        <v>950</v>
      </c>
      <c r="G3967" s="351">
        <v>3600</v>
      </c>
      <c r="H3967" s="337" t="s">
        <v>765</v>
      </c>
      <c r="I3967" s="353" t="s">
        <v>888</v>
      </c>
      <c r="J3967" s="352">
        <v>15608.25</v>
      </c>
      <c r="K3967" s="353"/>
      <c r="L3967" s="352">
        <v>19.82</v>
      </c>
      <c r="M3967" s="352">
        <v>19.82</v>
      </c>
      <c r="N3967" s="354"/>
      <c r="O3967" s="355">
        <v>0.15</v>
      </c>
      <c r="P3967" s="355"/>
      <c r="Q3967" s="354">
        <v>0</v>
      </c>
      <c r="R3967" s="337" t="s">
        <v>128</v>
      </c>
      <c r="S3967" s="356" t="s">
        <v>41</v>
      </c>
      <c r="T3967" s="356">
        <v>86</v>
      </c>
      <c r="U3967" s="357" t="s">
        <v>164</v>
      </c>
      <c r="V3967" s="434"/>
      <c r="X3967" s="354">
        <v>0</v>
      </c>
      <c r="Y3967" s="354"/>
      <c r="AI3967" s="337">
        <f>X3967</f>
        <v>0</v>
      </c>
      <c r="AJ3967" s="358"/>
      <c r="AK3967" s="369"/>
    </row>
    <row r="3968" spans="1:77" s="261" customFormat="1" ht="11.25" customHeight="1">
      <c r="B3968" s="261" t="s">
        <v>291</v>
      </c>
      <c r="C3968" s="259">
        <v>44774</v>
      </c>
      <c r="D3968" s="259">
        <v>44774</v>
      </c>
      <c r="E3968" s="260" t="s">
        <v>3063</v>
      </c>
      <c r="F3968" s="273" t="s">
        <v>1230</v>
      </c>
      <c r="G3968" s="276">
        <v>4026</v>
      </c>
      <c r="H3968" s="273" t="s">
        <v>898</v>
      </c>
      <c r="I3968" s="264" t="s">
        <v>111</v>
      </c>
      <c r="J3968" s="277">
        <v>15075.36</v>
      </c>
      <c r="K3968" s="273"/>
      <c r="L3968" s="277">
        <v>11.6</v>
      </c>
      <c r="M3968" s="277">
        <v>11.6</v>
      </c>
      <c r="N3968" s="265"/>
      <c r="O3968" s="278">
        <v>0.2</v>
      </c>
      <c r="P3968" s="266"/>
      <c r="Q3968" s="265">
        <v>4195.49</v>
      </c>
      <c r="R3968" s="273" t="s">
        <v>69</v>
      </c>
      <c r="S3968" s="279" t="s">
        <v>65</v>
      </c>
      <c r="T3968" s="279">
        <v>49</v>
      </c>
      <c r="U3968" s="268" t="s">
        <v>164</v>
      </c>
      <c r="V3968" s="427"/>
      <c r="X3968" s="265">
        <v>4195.49</v>
      </c>
      <c r="Y3968" s="265"/>
      <c r="AG3968" s="261">
        <f>X3968</f>
        <v>4195.49</v>
      </c>
      <c r="AJ3968" s="642"/>
    </row>
    <row r="3969" spans="1:77" s="379" customFormat="1" ht="11.25" customHeight="1">
      <c r="B3969" s="380" t="s">
        <v>291</v>
      </c>
      <c r="C3969" s="381">
        <v>44774</v>
      </c>
      <c r="D3969" s="381">
        <v>44774</v>
      </c>
      <c r="E3969" s="382" t="s">
        <v>3064</v>
      </c>
      <c r="F3969" s="379" t="s">
        <v>705</v>
      </c>
      <c r="G3969" s="383">
        <v>3509</v>
      </c>
      <c r="H3969" s="379" t="s">
        <v>1009</v>
      </c>
      <c r="I3969" s="379" t="s">
        <v>33</v>
      </c>
      <c r="J3969" s="385">
        <v>21522.62</v>
      </c>
      <c r="K3969" s="384"/>
      <c r="L3969" s="385">
        <v>17.940000000000001</v>
      </c>
      <c r="M3969" s="385">
        <v>17.940000000000001</v>
      </c>
      <c r="N3969" s="386"/>
      <c r="O3969" s="387">
        <v>0.3</v>
      </c>
      <c r="P3969" s="387"/>
      <c r="Q3969" s="386">
        <v>6346.99</v>
      </c>
      <c r="R3969" s="379" t="s">
        <v>35</v>
      </c>
      <c r="S3969" s="388" t="s">
        <v>34</v>
      </c>
      <c r="T3969" s="388">
        <v>17</v>
      </c>
      <c r="U3969" s="389" t="s">
        <v>164</v>
      </c>
      <c r="V3969" s="433"/>
      <c r="X3969" s="386">
        <v>6346.99</v>
      </c>
      <c r="Y3969" s="386"/>
      <c r="AJ3969" s="416">
        <v>6346.99</v>
      </c>
    </row>
    <row r="3970" spans="1:77" s="379" customFormat="1" ht="11.25" customHeight="1">
      <c r="B3970" s="380" t="s">
        <v>291</v>
      </c>
      <c r="C3970" s="381"/>
      <c r="D3970" s="381"/>
      <c r="E3970" s="382" t="s">
        <v>3064</v>
      </c>
      <c r="F3970" s="379" t="s">
        <v>705</v>
      </c>
      <c r="G3970" s="383">
        <v>3509</v>
      </c>
      <c r="H3970" s="379" t="s">
        <v>910</v>
      </c>
      <c r="I3970" s="379" t="s">
        <v>33</v>
      </c>
      <c r="J3970" s="385">
        <v>18326.91</v>
      </c>
      <c r="K3970" s="384"/>
      <c r="L3970" s="385">
        <v>13.79</v>
      </c>
      <c r="M3970" s="385">
        <v>13.79</v>
      </c>
      <c r="N3970" s="386"/>
      <c r="O3970" s="387">
        <v>0.3</v>
      </c>
      <c r="P3970" s="387"/>
      <c r="Q3970" s="386">
        <v>0</v>
      </c>
      <c r="R3970" s="379" t="s">
        <v>35</v>
      </c>
      <c r="S3970" s="388" t="s">
        <v>34</v>
      </c>
      <c r="T3970" s="388">
        <v>17</v>
      </c>
      <c r="U3970" s="389" t="s">
        <v>164</v>
      </c>
      <c r="V3970" s="433"/>
      <c r="X3970" s="386">
        <v>0</v>
      </c>
      <c r="Y3970" s="386"/>
      <c r="AJ3970" s="390">
        <v>0</v>
      </c>
    </row>
    <row r="3971" spans="1:77" s="379" customFormat="1" ht="11.25" customHeight="1">
      <c r="B3971" s="380" t="s">
        <v>291</v>
      </c>
      <c r="C3971" s="381"/>
      <c r="D3971" s="381"/>
      <c r="E3971" s="382" t="s">
        <v>3064</v>
      </c>
      <c r="F3971" s="379" t="s">
        <v>705</v>
      </c>
      <c r="G3971" s="383">
        <v>3509</v>
      </c>
      <c r="H3971" s="379" t="s">
        <v>765</v>
      </c>
      <c r="I3971" s="379" t="s">
        <v>33</v>
      </c>
      <c r="J3971" s="385">
        <v>10752</v>
      </c>
      <c r="K3971" s="384"/>
      <c r="L3971" s="385">
        <v>16</v>
      </c>
      <c r="M3971" s="385">
        <v>16</v>
      </c>
      <c r="N3971" s="386"/>
      <c r="O3971" s="387">
        <v>0.3</v>
      </c>
      <c r="P3971" s="387"/>
      <c r="Q3971" s="386">
        <v>0</v>
      </c>
      <c r="R3971" s="379" t="s">
        <v>35</v>
      </c>
      <c r="S3971" s="388" t="s">
        <v>34</v>
      </c>
      <c r="T3971" s="388">
        <v>17</v>
      </c>
      <c r="U3971" s="389" t="s">
        <v>164</v>
      </c>
      <c r="V3971" s="433"/>
      <c r="X3971" s="386">
        <v>0</v>
      </c>
      <c r="Y3971" s="386"/>
      <c r="AJ3971" s="390">
        <v>0</v>
      </c>
    </row>
    <row r="3972" spans="1:77" s="291" customFormat="1" ht="11.25" customHeight="1">
      <c r="A3972" s="473"/>
      <c r="B3972" s="486" t="s">
        <v>291</v>
      </c>
      <c r="C3972" s="487"/>
      <c r="D3972" s="487"/>
      <c r="E3972" s="488" t="s">
        <v>3065</v>
      </c>
      <c r="F3972" s="473" t="s">
        <v>3066</v>
      </c>
      <c r="G3972" s="489">
        <v>3596</v>
      </c>
      <c r="H3972" s="473" t="s">
        <v>898</v>
      </c>
      <c r="I3972" s="473" t="s">
        <v>33</v>
      </c>
      <c r="J3972" s="490">
        <v>19601.96</v>
      </c>
      <c r="K3972" s="491"/>
      <c r="L3972" s="490">
        <v>19.77</v>
      </c>
      <c r="M3972" s="490">
        <v>19.77</v>
      </c>
      <c r="N3972" s="492"/>
      <c r="O3972" s="493">
        <v>0.15</v>
      </c>
      <c r="P3972" s="493"/>
      <c r="Q3972" s="492">
        <v>0</v>
      </c>
      <c r="R3972" s="473" t="s">
        <v>35</v>
      </c>
      <c r="S3972" s="481" t="s">
        <v>41</v>
      </c>
      <c r="T3972" s="482">
        <v>16</v>
      </c>
      <c r="U3972" s="494" t="s">
        <v>164</v>
      </c>
      <c r="V3972" s="495"/>
      <c r="W3972" s="473"/>
      <c r="X3972" s="492">
        <v>0</v>
      </c>
      <c r="Y3972" s="492"/>
      <c r="Z3972" s="473"/>
      <c r="AA3972" s="473"/>
      <c r="AB3972" s="473"/>
      <c r="AC3972" s="473"/>
      <c r="AD3972" s="473"/>
      <c r="AE3972" s="473"/>
      <c r="AF3972" s="473"/>
      <c r="AG3972" s="473"/>
      <c r="AH3972" s="473"/>
      <c r="AI3972" s="473"/>
      <c r="AJ3972" s="485"/>
      <c r="AK3972" s="473">
        <v>0</v>
      </c>
      <c r="AL3972" s="473"/>
      <c r="AM3972" s="473"/>
      <c r="AN3972" s="473"/>
      <c r="AO3972" s="473"/>
      <c r="AP3972" s="473"/>
      <c r="AQ3972" s="473"/>
      <c r="AR3972" s="473"/>
      <c r="AS3972" s="473"/>
      <c r="AT3972" s="473"/>
      <c r="AU3972" s="473"/>
      <c r="AV3972" s="473"/>
      <c r="AW3972" s="473"/>
      <c r="AX3972" s="473"/>
      <c r="AY3972" s="473"/>
      <c r="AZ3972" s="473"/>
      <c r="BA3972" s="473"/>
      <c r="BB3972" s="473"/>
      <c r="BC3972" s="473"/>
      <c r="BD3972" s="473"/>
      <c r="BE3972" s="473"/>
      <c r="BF3972" s="473"/>
      <c r="BG3972" s="473"/>
      <c r="BH3972" s="473"/>
      <c r="BI3972" s="473"/>
      <c r="BJ3972" s="473"/>
      <c r="BK3972" s="473"/>
      <c r="BL3972" s="473"/>
      <c r="BM3972" s="473"/>
      <c r="BN3972" s="473"/>
      <c r="BO3972" s="473"/>
      <c r="BP3972" s="473"/>
      <c r="BQ3972" s="473"/>
      <c r="BR3972" s="473"/>
      <c r="BS3972" s="473"/>
      <c r="BT3972" s="473"/>
      <c r="BU3972" s="473"/>
      <c r="BV3972" s="473"/>
      <c r="BW3972" s="473"/>
      <c r="BX3972" s="473"/>
      <c r="BY3972" s="473"/>
    </row>
    <row r="3973" spans="1:77" s="291" customFormat="1" ht="11.25" customHeight="1">
      <c r="B3973" s="310" t="s">
        <v>291</v>
      </c>
      <c r="C3973" s="292">
        <v>44774</v>
      </c>
      <c r="D3973" s="292">
        <v>44774</v>
      </c>
      <c r="E3973" s="293" t="s">
        <v>3065</v>
      </c>
      <c r="F3973" s="291" t="s">
        <v>3066</v>
      </c>
      <c r="G3973" s="294">
        <v>3596</v>
      </c>
      <c r="H3973" s="291" t="s">
        <v>866</v>
      </c>
      <c r="I3973" s="291" t="s">
        <v>33</v>
      </c>
      <c r="J3973" s="296">
        <v>11051.04</v>
      </c>
      <c r="K3973" s="295"/>
      <c r="L3973" s="296">
        <v>10.56</v>
      </c>
      <c r="M3973" s="296">
        <v>10.56</v>
      </c>
      <c r="N3973" s="297">
        <v>0</v>
      </c>
      <c r="O3973" s="298">
        <v>0.15</v>
      </c>
      <c r="P3973" s="298"/>
      <c r="Q3973" s="297">
        <v>0</v>
      </c>
      <c r="R3973" s="291" t="s">
        <v>35</v>
      </c>
      <c r="S3973" s="299" t="s">
        <v>41</v>
      </c>
      <c r="T3973" s="308">
        <v>16</v>
      </c>
      <c r="U3973" s="300" t="s">
        <v>164</v>
      </c>
      <c r="V3973" s="333"/>
      <c r="X3973" s="297">
        <v>0</v>
      </c>
      <c r="Y3973" s="297"/>
      <c r="AH3973" s="291">
        <f>X3973</f>
        <v>0</v>
      </c>
      <c r="AI3973" s="311"/>
      <c r="AJ3973" s="468"/>
    </row>
    <row r="3974" spans="1:77" s="379" customFormat="1" ht="11.25" customHeight="1">
      <c r="B3974" s="380" t="s">
        <v>291</v>
      </c>
      <c r="C3974" s="381">
        <v>44762</v>
      </c>
      <c r="D3974" s="381">
        <v>44774</v>
      </c>
      <c r="E3974" s="382" t="s">
        <v>3067</v>
      </c>
      <c r="F3974" s="379" t="s">
        <v>3068</v>
      </c>
      <c r="G3974" s="383">
        <v>3862</v>
      </c>
      <c r="H3974" s="379" t="s">
        <v>898</v>
      </c>
      <c r="I3974" s="384" t="s">
        <v>156</v>
      </c>
      <c r="J3974" s="385">
        <v>9000</v>
      </c>
      <c r="K3974" s="384"/>
      <c r="L3974" s="385">
        <v>6</v>
      </c>
      <c r="M3974" s="385">
        <v>6</v>
      </c>
      <c r="N3974" s="386">
        <v>1800</v>
      </c>
      <c r="O3974" s="387">
        <v>0.15</v>
      </c>
      <c r="P3974" s="387">
        <v>0.1</v>
      </c>
      <c r="Q3974" s="386">
        <v>7980</v>
      </c>
      <c r="R3974" s="379" t="s">
        <v>29</v>
      </c>
      <c r="S3974" s="388" t="s">
        <v>30</v>
      </c>
      <c r="T3974" s="399">
        <v>70</v>
      </c>
      <c r="U3974" s="389" t="s">
        <v>164</v>
      </c>
      <c r="V3974" s="433"/>
      <c r="X3974" s="386">
        <v>7980</v>
      </c>
      <c r="Y3974" s="386"/>
      <c r="AJ3974" s="416">
        <v>7980</v>
      </c>
    </row>
    <row r="3975" spans="1:77" s="379" customFormat="1" ht="11.25" customHeight="1">
      <c r="B3975" s="380" t="s">
        <v>291</v>
      </c>
      <c r="C3975" s="381"/>
      <c r="D3975" s="381"/>
      <c r="E3975" s="382" t="s">
        <v>3067</v>
      </c>
      <c r="F3975" s="379" t="s">
        <v>3068</v>
      </c>
      <c r="G3975" s="383">
        <v>3862</v>
      </c>
      <c r="H3975" s="379" t="s">
        <v>866</v>
      </c>
      <c r="I3975" s="384" t="s">
        <v>156</v>
      </c>
      <c r="J3975" s="385">
        <v>4451.43</v>
      </c>
      <c r="K3975" s="384"/>
      <c r="L3975" s="385">
        <v>3.37</v>
      </c>
      <c r="M3975" s="385">
        <v>3.37</v>
      </c>
      <c r="N3975" s="386">
        <v>890.29</v>
      </c>
      <c r="O3975" s="387">
        <v>0.15</v>
      </c>
      <c r="P3975" s="387">
        <v>0.1</v>
      </c>
      <c r="Q3975" s="386">
        <v>1141.79</v>
      </c>
      <c r="R3975" s="379" t="s">
        <v>29</v>
      </c>
      <c r="S3975" s="388" t="s">
        <v>30</v>
      </c>
      <c r="T3975" s="399">
        <v>70</v>
      </c>
      <c r="U3975" s="389" t="s">
        <v>164</v>
      </c>
      <c r="V3975" s="433"/>
      <c r="X3975" s="386">
        <v>1141.79</v>
      </c>
      <c r="Y3975" s="386"/>
      <c r="AJ3975" s="416">
        <v>1141.79</v>
      </c>
    </row>
    <row r="3976" spans="1:77" s="261" customFormat="1" ht="11.25" customHeight="1">
      <c r="B3976" s="258" t="s">
        <v>390</v>
      </c>
      <c r="C3976" s="259">
        <v>44774</v>
      </c>
      <c r="D3976" s="259">
        <v>44774</v>
      </c>
      <c r="E3976" s="260" t="s">
        <v>3069</v>
      </c>
      <c r="F3976" s="261" t="s">
        <v>3070</v>
      </c>
      <c r="G3976" s="262" t="s">
        <v>3071</v>
      </c>
      <c r="H3976" s="261" t="s">
        <v>393</v>
      </c>
      <c r="I3976" s="264" t="s">
        <v>3072</v>
      </c>
      <c r="J3976" s="263">
        <v>158181.29999999999</v>
      </c>
      <c r="K3976" s="264"/>
      <c r="L3976" s="263">
        <v>25.29</v>
      </c>
      <c r="M3976" s="263">
        <f>4.1+19.73+1.43</f>
        <v>25.259999999999998</v>
      </c>
      <c r="N3976" s="265"/>
      <c r="O3976" s="266">
        <v>0.25</v>
      </c>
      <c r="P3976" s="266"/>
      <c r="Q3976" s="265">
        <v>0</v>
      </c>
      <c r="R3976" s="261" t="s">
        <v>868</v>
      </c>
      <c r="S3976" s="267" t="s">
        <v>65</v>
      </c>
      <c r="T3976" s="279">
        <v>83</v>
      </c>
      <c r="U3976" s="268" t="s">
        <v>164</v>
      </c>
      <c r="V3976" s="427"/>
      <c r="X3976" s="265">
        <v>0</v>
      </c>
      <c r="Y3976" s="265"/>
      <c r="AG3976" s="261">
        <f>X3976</f>
        <v>0</v>
      </c>
      <c r="AJ3976" s="642"/>
    </row>
    <row r="3977" spans="1:77" s="379" customFormat="1" ht="11.25" customHeight="1">
      <c r="B3977" s="406" t="s">
        <v>291</v>
      </c>
      <c r="C3977" s="381">
        <v>44774</v>
      </c>
      <c r="D3977" s="381">
        <v>44774</v>
      </c>
      <c r="E3977" s="382" t="s">
        <v>3073</v>
      </c>
      <c r="F3977" s="394" t="s">
        <v>1170</v>
      </c>
      <c r="G3977" s="400">
        <v>4576</v>
      </c>
      <c r="H3977" s="379" t="s">
        <v>1141</v>
      </c>
      <c r="I3977" s="394" t="s">
        <v>1211</v>
      </c>
      <c r="J3977" s="395">
        <v>10047.09</v>
      </c>
      <c r="K3977" s="384"/>
      <c r="L3977" s="395">
        <v>14.23</v>
      </c>
      <c r="M3977" s="395">
        <v>14.23</v>
      </c>
      <c r="N3977" s="386"/>
      <c r="O3977" s="387">
        <v>0.25</v>
      </c>
      <c r="P3977" s="387"/>
      <c r="Q3977" s="386">
        <v>0</v>
      </c>
      <c r="R3977" s="394" t="s">
        <v>128</v>
      </c>
      <c r="S3977" s="399" t="s">
        <v>41</v>
      </c>
      <c r="T3977" s="399">
        <v>86</v>
      </c>
      <c r="U3977" s="389" t="s">
        <v>164</v>
      </c>
      <c r="V3977" s="433"/>
      <c r="X3977" s="386">
        <v>0</v>
      </c>
      <c r="Y3977" s="386"/>
      <c r="AJ3977" s="390">
        <v>0</v>
      </c>
    </row>
    <row r="3978" spans="1:77" s="379" customFormat="1" ht="11.25" customHeight="1">
      <c r="B3978" s="406" t="s">
        <v>291</v>
      </c>
      <c r="C3978" s="381"/>
      <c r="D3978" s="381"/>
      <c r="E3978" s="382" t="s">
        <v>3073</v>
      </c>
      <c r="F3978" s="394" t="s">
        <v>1170</v>
      </c>
      <c r="G3978" s="400">
        <v>4576</v>
      </c>
      <c r="H3978" s="379" t="s">
        <v>910</v>
      </c>
      <c r="I3978" s="394" t="s">
        <v>1211</v>
      </c>
      <c r="J3978" s="385">
        <v>41644.81</v>
      </c>
      <c r="K3978" s="384"/>
      <c r="L3978" s="385">
        <v>29.67</v>
      </c>
      <c r="M3978" s="385">
        <v>29.67</v>
      </c>
      <c r="N3978" s="386"/>
      <c r="O3978" s="387">
        <v>0.25</v>
      </c>
      <c r="P3978" s="387"/>
      <c r="Q3978" s="386">
        <v>0</v>
      </c>
      <c r="R3978" s="394" t="s">
        <v>128</v>
      </c>
      <c r="S3978" s="399" t="s">
        <v>41</v>
      </c>
      <c r="T3978" s="399">
        <v>86</v>
      </c>
      <c r="U3978" s="389" t="s">
        <v>164</v>
      </c>
      <c r="V3978" s="433"/>
      <c r="X3978" s="386">
        <v>0</v>
      </c>
      <c r="Y3978" s="386"/>
      <c r="AJ3978" s="390">
        <v>0</v>
      </c>
    </row>
    <row r="3979" spans="1:77" s="379" customFormat="1" ht="11.25" customHeight="1">
      <c r="B3979" s="379" t="s">
        <v>291</v>
      </c>
      <c r="C3979" s="381">
        <v>44774</v>
      </c>
      <c r="D3979" s="381">
        <v>44774</v>
      </c>
      <c r="E3979" s="382" t="s">
        <v>3074</v>
      </c>
      <c r="F3979" s="394" t="s">
        <v>1225</v>
      </c>
      <c r="G3979" s="400" t="s">
        <v>1226</v>
      </c>
      <c r="H3979" s="379" t="s">
        <v>765</v>
      </c>
      <c r="I3979" s="384" t="s">
        <v>3022</v>
      </c>
      <c r="J3979" s="385">
        <v>12474</v>
      </c>
      <c r="K3979" s="384"/>
      <c r="L3979" s="385">
        <v>11.34</v>
      </c>
      <c r="M3979" s="385">
        <v>11.34</v>
      </c>
      <c r="N3979" s="386"/>
      <c r="O3979" s="387">
        <v>0.25</v>
      </c>
      <c r="P3979" s="387"/>
      <c r="Q3979" s="386">
        <v>0</v>
      </c>
      <c r="R3979" s="394" t="s">
        <v>128</v>
      </c>
      <c r="S3979" s="399" t="s">
        <v>41</v>
      </c>
      <c r="T3979" s="399">
        <v>86</v>
      </c>
      <c r="U3979" s="389" t="s">
        <v>164</v>
      </c>
      <c r="V3979" s="433"/>
      <c r="X3979" s="386">
        <v>0</v>
      </c>
      <c r="Y3979" s="386"/>
      <c r="AJ3979" s="390">
        <v>0</v>
      </c>
    </row>
    <row r="3980" spans="1:77" s="379" customFormat="1" ht="11.25" customHeight="1">
      <c r="B3980" s="379" t="s">
        <v>291</v>
      </c>
      <c r="C3980" s="381"/>
      <c r="D3980" s="381"/>
      <c r="E3980" s="382" t="s">
        <v>3074</v>
      </c>
      <c r="F3980" s="394" t="s">
        <v>1225</v>
      </c>
      <c r="G3980" s="400" t="s">
        <v>1226</v>
      </c>
      <c r="H3980" s="379" t="s">
        <v>910</v>
      </c>
      <c r="I3980" s="384" t="s">
        <v>3022</v>
      </c>
      <c r="J3980" s="395">
        <v>32987.79</v>
      </c>
      <c r="K3980" s="384"/>
      <c r="L3980" s="395">
        <v>23.47</v>
      </c>
      <c r="M3980" s="395">
        <v>23.47</v>
      </c>
      <c r="N3980" s="386"/>
      <c r="O3980" s="387">
        <v>0.25</v>
      </c>
      <c r="P3980" s="387"/>
      <c r="Q3980" s="386">
        <v>12932.5</v>
      </c>
      <c r="R3980" s="394" t="s">
        <v>128</v>
      </c>
      <c r="S3980" s="399" t="s">
        <v>41</v>
      </c>
      <c r="T3980" s="399">
        <v>86</v>
      </c>
      <c r="U3980" s="389" t="s">
        <v>164</v>
      </c>
      <c r="V3980" s="433"/>
      <c r="X3980" s="386">
        <v>12932.5</v>
      </c>
      <c r="Y3980" s="386"/>
      <c r="AJ3980" s="416">
        <v>12932.5</v>
      </c>
    </row>
    <row r="3981" spans="1:77" s="6" customFormat="1" ht="11.25" customHeight="1">
      <c r="A3981" s="379"/>
      <c r="B3981" s="380" t="s">
        <v>291</v>
      </c>
      <c r="C3981" s="381">
        <v>44774</v>
      </c>
      <c r="D3981" s="381">
        <v>44774</v>
      </c>
      <c r="E3981" s="382" t="s">
        <v>3075</v>
      </c>
      <c r="F3981" s="379" t="s">
        <v>505</v>
      </c>
      <c r="G3981" s="383">
        <v>3643</v>
      </c>
      <c r="H3981" s="379" t="s">
        <v>866</v>
      </c>
      <c r="I3981" s="384" t="s">
        <v>1426</v>
      </c>
      <c r="J3981" s="385">
        <v>37077.4</v>
      </c>
      <c r="K3981" s="384"/>
      <c r="L3981" s="385">
        <v>38.64</v>
      </c>
      <c r="M3981" s="385">
        <v>38.64</v>
      </c>
      <c r="N3981" s="386"/>
      <c r="O3981" s="387">
        <v>0.15</v>
      </c>
      <c r="P3981" s="387"/>
      <c r="Q3981" s="386">
        <v>9287.36</v>
      </c>
      <c r="R3981" s="379" t="s">
        <v>69</v>
      </c>
      <c r="S3981" s="388" t="s">
        <v>41</v>
      </c>
      <c r="T3981" s="388">
        <v>86</v>
      </c>
      <c r="U3981" s="389" t="s">
        <v>164</v>
      </c>
      <c r="V3981" s="433"/>
      <c r="W3981" s="379"/>
      <c r="X3981" s="386">
        <v>9287.36</v>
      </c>
      <c r="Y3981" s="386"/>
      <c r="Z3981" s="379"/>
      <c r="AA3981" s="379"/>
      <c r="AB3981" s="379"/>
      <c r="AC3981" s="379"/>
      <c r="AD3981" s="379"/>
      <c r="AE3981" s="379"/>
      <c r="AF3981" s="379"/>
      <c r="AG3981" s="379"/>
      <c r="AH3981" s="379"/>
      <c r="AI3981" s="379"/>
      <c r="AJ3981" s="416">
        <v>9287.36</v>
      </c>
      <c r="AK3981" s="379"/>
      <c r="AL3981" s="379"/>
      <c r="AM3981" s="379"/>
      <c r="AN3981" s="379"/>
      <c r="AO3981" s="379"/>
      <c r="AP3981" s="379"/>
      <c r="AQ3981" s="379"/>
      <c r="AR3981" s="379"/>
      <c r="AS3981" s="379"/>
      <c r="AT3981" s="379"/>
      <c r="AU3981" s="379"/>
      <c r="AV3981" s="379"/>
      <c r="AW3981" s="379"/>
      <c r="AX3981" s="379"/>
      <c r="AY3981" s="379"/>
      <c r="AZ3981" s="379"/>
      <c r="BA3981" s="379"/>
      <c r="BB3981" s="379"/>
      <c r="BC3981" s="379"/>
      <c r="BD3981" s="379"/>
      <c r="BE3981" s="379"/>
      <c r="BF3981" s="379"/>
      <c r="BG3981" s="379"/>
      <c r="BH3981" s="379"/>
      <c r="BI3981" s="379"/>
      <c r="BJ3981" s="379"/>
      <c r="BK3981" s="379"/>
      <c r="BL3981" s="379"/>
      <c r="BM3981" s="379"/>
      <c r="BN3981" s="379"/>
      <c r="BO3981" s="379"/>
      <c r="BP3981" s="379"/>
      <c r="BQ3981" s="379"/>
      <c r="BR3981" s="379"/>
      <c r="BS3981" s="379"/>
      <c r="BT3981" s="379"/>
      <c r="BU3981" s="379"/>
      <c r="BV3981" s="379"/>
      <c r="BW3981" s="379"/>
      <c r="BX3981" s="379"/>
      <c r="BY3981" s="379"/>
    </row>
    <row r="3982" spans="1:77" s="291" customFormat="1" ht="11.25" customHeight="1">
      <c r="B3982" s="310" t="s">
        <v>291</v>
      </c>
      <c r="C3982" s="292"/>
      <c r="D3982" s="292"/>
      <c r="E3982" s="293" t="s">
        <v>3075</v>
      </c>
      <c r="F3982" s="291" t="s">
        <v>505</v>
      </c>
      <c r="G3982" s="294">
        <v>3643</v>
      </c>
      <c r="H3982" s="291" t="s">
        <v>765</v>
      </c>
      <c r="I3982" s="295" t="s">
        <v>1426</v>
      </c>
      <c r="J3982" s="296">
        <v>23709.15</v>
      </c>
      <c r="K3982" s="295"/>
      <c r="L3982" s="296">
        <v>35.25</v>
      </c>
      <c r="M3982" s="296">
        <v>35.25</v>
      </c>
      <c r="N3982" s="297"/>
      <c r="O3982" s="298">
        <v>0.15</v>
      </c>
      <c r="P3982" s="298"/>
      <c r="Q3982" s="297">
        <v>3542.98</v>
      </c>
      <c r="R3982" s="291" t="s">
        <v>69</v>
      </c>
      <c r="S3982" s="299" t="s">
        <v>41</v>
      </c>
      <c r="T3982" s="299">
        <v>86</v>
      </c>
      <c r="U3982" s="300" t="s">
        <v>164</v>
      </c>
      <c r="V3982" s="333"/>
      <c r="X3982" s="297">
        <v>3542.98</v>
      </c>
      <c r="Y3982" s="297"/>
      <c r="AH3982" s="297">
        <f>X3982</f>
        <v>3542.98</v>
      </c>
      <c r="AI3982" s="311"/>
      <c r="AJ3982" s="468"/>
    </row>
    <row r="3983" spans="1:77" s="379" customFormat="1" ht="11.25" customHeight="1">
      <c r="B3983" s="380" t="s">
        <v>291</v>
      </c>
      <c r="C3983" s="381">
        <v>44774</v>
      </c>
      <c r="D3983" s="381">
        <v>44774</v>
      </c>
      <c r="E3983" s="382" t="s">
        <v>3076</v>
      </c>
      <c r="F3983" s="379" t="s">
        <v>1513</v>
      </c>
      <c r="G3983" s="400">
        <v>3563</v>
      </c>
      <c r="H3983" s="379" t="s">
        <v>814</v>
      </c>
      <c r="I3983" s="394" t="s">
        <v>888</v>
      </c>
      <c r="J3983" s="385">
        <v>33695.5</v>
      </c>
      <c r="K3983" s="384"/>
      <c r="L3983" s="385">
        <v>32.17</v>
      </c>
      <c r="M3983" s="385">
        <v>32.17</v>
      </c>
      <c r="N3983" s="386">
        <v>8843.7800000000007</v>
      </c>
      <c r="O3983" s="387">
        <v>0.15</v>
      </c>
      <c r="P3983" s="387"/>
      <c r="Q3983" s="386">
        <v>8130.87</v>
      </c>
      <c r="R3983" s="379" t="s">
        <v>29</v>
      </c>
      <c r="S3983" s="388" t="s">
        <v>30</v>
      </c>
      <c r="T3983" s="399">
        <v>25</v>
      </c>
      <c r="U3983" s="389" t="s">
        <v>164</v>
      </c>
      <c r="V3983" s="433"/>
      <c r="X3983" s="386">
        <v>8130.87</v>
      </c>
      <c r="Y3983" s="386"/>
      <c r="AJ3983" s="416">
        <v>8130.87</v>
      </c>
    </row>
    <row r="3984" spans="1:77" s="379" customFormat="1" ht="11.25" customHeight="1">
      <c r="B3984" s="380" t="s">
        <v>291</v>
      </c>
      <c r="C3984" s="381"/>
      <c r="D3984" s="381"/>
      <c r="E3984" s="382" t="s">
        <v>3076</v>
      </c>
      <c r="F3984" s="379" t="s">
        <v>1513</v>
      </c>
      <c r="G3984" s="400">
        <v>3563</v>
      </c>
      <c r="H3984" s="379" t="s">
        <v>866</v>
      </c>
      <c r="I3984" s="394" t="s">
        <v>888</v>
      </c>
      <c r="J3984" s="385">
        <v>54893.85</v>
      </c>
      <c r="K3984" s="384"/>
      <c r="L3984" s="385">
        <v>33.99</v>
      </c>
      <c r="M3984" s="385">
        <v>33.99</v>
      </c>
      <c r="N3984" s="386">
        <v>8056.11</v>
      </c>
      <c r="O3984" s="387">
        <v>0.15</v>
      </c>
      <c r="P3984" s="387"/>
      <c r="Q3984" s="386">
        <v>0</v>
      </c>
      <c r="R3984" s="379" t="s">
        <v>29</v>
      </c>
      <c r="S3984" s="388" t="s">
        <v>30</v>
      </c>
      <c r="T3984" s="399">
        <v>25</v>
      </c>
      <c r="U3984" s="389" t="s">
        <v>164</v>
      </c>
      <c r="V3984" s="433"/>
      <c r="X3984" s="386">
        <v>0</v>
      </c>
      <c r="Y3984" s="386"/>
      <c r="AJ3984" s="390">
        <v>0</v>
      </c>
    </row>
    <row r="3985" spans="1:77" s="379" customFormat="1" ht="11.25" customHeight="1">
      <c r="B3985" s="380" t="s">
        <v>291</v>
      </c>
      <c r="C3985" s="381">
        <v>44774</v>
      </c>
      <c r="D3985" s="381">
        <v>44774</v>
      </c>
      <c r="E3985" s="382" t="s">
        <v>3077</v>
      </c>
      <c r="F3985" s="380" t="s">
        <v>326</v>
      </c>
      <c r="G3985" s="383">
        <v>4153</v>
      </c>
      <c r="H3985" s="379" t="s">
        <v>550</v>
      </c>
      <c r="I3985" s="379" t="s">
        <v>33</v>
      </c>
      <c r="J3985" s="385">
        <v>5167.8</v>
      </c>
      <c r="K3985" s="384"/>
      <c r="L3985" s="385">
        <v>3.48</v>
      </c>
      <c r="M3985" s="385">
        <v>3.48</v>
      </c>
      <c r="N3985" s="386">
        <v>3617.46</v>
      </c>
      <c r="O3985" s="387">
        <v>0.2</v>
      </c>
      <c r="P3985" s="387"/>
      <c r="Q3985" s="386">
        <v>0</v>
      </c>
      <c r="R3985" s="379" t="s">
        <v>46</v>
      </c>
      <c r="S3985" s="388" t="s">
        <v>47</v>
      </c>
      <c r="T3985" s="399">
        <v>76</v>
      </c>
      <c r="U3985" s="389" t="s">
        <v>164</v>
      </c>
      <c r="V3985" s="433"/>
      <c r="X3985" s="386">
        <v>0</v>
      </c>
      <c r="Y3985" s="386"/>
      <c r="AJ3985" s="390">
        <v>0</v>
      </c>
    </row>
    <row r="3986" spans="1:77" s="6" customFormat="1" ht="11.25" customHeight="1">
      <c r="A3986" s="379"/>
      <c r="B3986" s="380" t="s">
        <v>291</v>
      </c>
      <c r="C3986" s="381">
        <v>44756</v>
      </c>
      <c r="D3986" s="381">
        <v>44774</v>
      </c>
      <c r="E3986" s="382" t="s">
        <v>3081</v>
      </c>
      <c r="F3986" s="394" t="s">
        <v>3082</v>
      </c>
      <c r="G3986" s="383">
        <v>3939</v>
      </c>
      <c r="H3986" s="379" t="s">
        <v>1164</v>
      </c>
      <c r="I3986" s="384" t="s">
        <v>1426</v>
      </c>
      <c r="J3986" s="385">
        <v>80275</v>
      </c>
      <c r="K3986" s="384"/>
      <c r="L3986" s="385">
        <v>19</v>
      </c>
      <c r="M3986" s="385">
        <v>11</v>
      </c>
      <c r="N3986" s="386">
        <v>44115</v>
      </c>
      <c r="O3986" s="387">
        <v>0.2</v>
      </c>
      <c r="P3986" s="387"/>
      <c r="Q3986" s="386">
        <v>32214.36</v>
      </c>
      <c r="R3986" s="379" t="s">
        <v>257</v>
      </c>
      <c r="S3986" s="388" t="s">
        <v>3078</v>
      </c>
      <c r="T3986" s="399">
        <v>47</v>
      </c>
      <c r="U3986" s="389" t="s">
        <v>164</v>
      </c>
      <c r="V3986" s="433"/>
      <c r="W3986" s="379"/>
      <c r="X3986" s="386">
        <v>32214.36</v>
      </c>
      <c r="Y3986" s="386"/>
      <c r="Z3986" s="379"/>
      <c r="AA3986" s="379"/>
      <c r="AB3986" s="379"/>
      <c r="AC3986" s="379"/>
      <c r="AD3986" s="379"/>
      <c r="AE3986" s="379"/>
      <c r="AF3986" s="379"/>
      <c r="AG3986" s="379"/>
      <c r="AH3986" s="379"/>
      <c r="AI3986" s="379"/>
      <c r="AJ3986" s="416">
        <v>32214.36</v>
      </c>
      <c r="AK3986" s="379"/>
      <c r="AL3986" s="379"/>
      <c r="AM3986" s="379"/>
      <c r="AN3986" s="379"/>
      <c r="AO3986" s="379"/>
      <c r="AP3986" s="379"/>
      <c r="AQ3986" s="379"/>
      <c r="AR3986" s="379"/>
      <c r="AS3986" s="379"/>
      <c r="AT3986" s="379"/>
      <c r="AU3986" s="379"/>
      <c r="AV3986" s="379"/>
      <c r="AW3986" s="379"/>
      <c r="AX3986" s="379"/>
      <c r="AY3986" s="379"/>
      <c r="AZ3986" s="379"/>
      <c r="BA3986" s="379"/>
      <c r="BB3986" s="379"/>
      <c r="BC3986" s="379"/>
      <c r="BD3986" s="379"/>
      <c r="BE3986" s="379"/>
      <c r="BF3986" s="379"/>
      <c r="BG3986" s="379"/>
      <c r="BH3986" s="379"/>
      <c r="BI3986" s="379"/>
      <c r="BJ3986" s="379"/>
      <c r="BK3986" s="379"/>
      <c r="BL3986" s="379"/>
      <c r="BM3986" s="379"/>
      <c r="BN3986" s="379"/>
      <c r="BO3986" s="379"/>
      <c r="BP3986" s="379"/>
      <c r="BQ3986" s="379"/>
      <c r="BR3986" s="379"/>
      <c r="BS3986" s="379"/>
      <c r="BT3986" s="379"/>
      <c r="BU3986" s="379"/>
      <c r="BV3986" s="379"/>
      <c r="BW3986" s="379"/>
      <c r="BX3986" s="379"/>
      <c r="BY3986" s="379"/>
    </row>
    <row r="3987" spans="1:77" s="6" customFormat="1" ht="11.25" customHeight="1">
      <c r="A3987" s="379"/>
      <c r="B3987" s="380" t="s">
        <v>291</v>
      </c>
      <c r="C3987" s="381"/>
      <c r="D3987" s="381"/>
      <c r="E3987" s="382" t="s">
        <v>3081</v>
      </c>
      <c r="F3987" s="394" t="s">
        <v>3082</v>
      </c>
      <c r="G3987" s="383">
        <v>3939</v>
      </c>
      <c r="H3987" s="379" t="s">
        <v>729</v>
      </c>
      <c r="I3987" s="384" t="s">
        <v>1426</v>
      </c>
      <c r="J3987" s="385">
        <v>172200</v>
      </c>
      <c r="K3987" s="384"/>
      <c r="L3987" s="385">
        <v>41</v>
      </c>
      <c r="M3987" s="385">
        <v>22</v>
      </c>
      <c r="N3987" s="386">
        <v>128937</v>
      </c>
      <c r="O3987" s="387">
        <v>0.2</v>
      </c>
      <c r="P3987" s="387"/>
      <c r="Q3987" s="386">
        <v>100942</v>
      </c>
      <c r="R3987" s="379" t="s">
        <v>257</v>
      </c>
      <c r="S3987" s="388" t="s">
        <v>3078</v>
      </c>
      <c r="T3987" s="399">
        <v>47</v>
      </c>
      <c r="U3987" s="389" t="s">
        <v>164</v>
      </c>
      <c r="V3987" s="433"/>
      <c r="W3987" s="379"/>
      <c r="X3987" s="386">
        <v>100942</v>
      </c>
      <c r="Y3987" s="386"/>
      <c r="Z3987" s="379"/>
      <c r="AA3987" s="379"/>
      <c r="AB3987" s="379"/>
      <c r="AC3987" s="379"/>
      <c r="AD3987" s="379"/>
      <c r="AE3987" s="379"/>
      <c r="AF3987" s="379"/>
      <c r="AG3987" s="379"/>
      <c r="AH3987" s="379"/>
      <c r="AI3987" s="379"/>
      <c r="AJ3987" s="416">
        <v>100942</v>
      </c>
      <c r="AK3987" s="379"/>
      <c r="AL3987" s="379"/>
      <c r="AM3987" s="379"/>
      <c r="AN3987" s="379"/>
      <c r="AO3987" s="379"/>
      <c r="AP3987" s="379"/>
      <c r="AQ3987" s="379"/>
      <c r="AR3987" s="379"/>
      <c r="AS3987" s="379"/>
      <c r="AT3987" s="379"/>
      <c r="AU3987" s="379"/>
      <c r="AV3987" s="379"/>
      <c r="AW3987" s="379"/>
      <c r="AX3987" s="379"/>
      <c r="AY3987" s="379"/>
      <c r="AZ3987" s="379"/>
      <c r="BA3987" s="379"/>
      <c r="BB3987" s="379"/>
      <c r="BC3987" s="379"/>
      <c r="BD3987" s="379"/>
      <c r="BE3987" s="379"/>
      <c r="BF3987" s="379"/>
      <c r="BG3987" s="379"/>
      <c r="BH3987" s="379"/>
      <c r="BI3987" s="379"/>
      <c r="BJ3987" s="379"/>
      <c r="BK3987" s="379"/>
      <c r="BL3987" s="379"/>
      <c r="BM3987" s="379"/>
      <c r="BN3987" s="379"/>
      <c r="BO3987" s="379"/>
      <c r="BP3987" s="379"/>
      <c r="BQ3987" s="379"/>
      <c r="BR3987" s="379"/>
      <c r="BS3987" s="379"/>
      <c r="BT3987" s="379"/>
      <c r="BU3987" s="379"/>
      <c r="BV3987" s="379"/>
      <c r="BW3987" s="379"/>
      <c r="BX3987" s="379"/>
      <c r="BY3987" s="379"/>
    </row>
    <row r="3988" spans="1:77" s="337" customFormat="1" ht="11.25" customHeight="1">
      <c r="B3988" s="338" t="s">
        <v>291</v>
      </c>
      <c r="C3988" s="349">
        <v>44775</v>
      </c>
      <c r="D3988" s="349">
        <v>44775</v>
      </c>
      <c r="E3988" s="350" t="s">
        <v>3083</v>
      </c>
      <c r="F3988" s="337" t="s">
        <v>612</v>
      </c>
      <c r="G3988" s="351">
        <v>4556</v>
      </c>
      <c r="H3988" s="337" t="s">
        <v>866</v>
      </c>
      <c r="I3988" s="353" t="s">
        <v>958</v>
      </c>
      <c r="J3988" s="352">
        <v>114420.18</v>
      </c>
      <c r="K3988" s="353"/>
      <c r="L3988" s="352">
        <v>61.22</v>
      </c>
      <c r="M3988" s="352">
        <v>61.22</v>
      </c>
      <c r="N3988" s="354"/>
      <c r="O3988" s="355">
        <v>0.3</v>
      </c>
      <c r="P3988" s="355"/>
      <c r="Q3988" s="354">
        <v>0</v>
      </c>
      <c r="R3988" s="337" t="s">
        <v>149</v>
      </c>
      <c r="S3988" s="356" t="s">
        <v>150</v>
      </c>
      <c r="T3988" s="346">
        <v>40</v>
      </c>
      <c r="U3988" s="357" t="s">
        <v>164</v>
      </c>
      <c r="V3988" s="434"/>
      <c r="X3988" s="354">
        <v>0</v>
      </c>
      <c r="Y3988" s="354"/>
      <c r="AI3988" s="337">
        <v>0</v>
      </c>
      <c r="AJ3988" s="358"/>
      <c r="AK3988" s="369"/>
    </row>
    <row r="3989" spans="1:77" s="473" customFormat="1" ht="11.25" customHeight="1">
      <c r="B3989" s="473" t="s">
        <v>291</v>
      </c>
      <c r="C3989" s="487">
        <v>44775</v>
      </c>
      <c r="D3989" s="487">
        <v>44775</v>
      </c>
      <c r="E3989" s="488" t="s">
        <v>3084</v>
      </c>
      <c r="F3989" s="473" t="s">
        <v>608</v>
      </c>
      <c r="G3989" s="476">
        <v>3573</v>
      </c>
      <c r="H3989" s="473" t="s">
        <v>866</v>
      </c>
      <c r="I3989" s="472" t="s">
        <v>958</v>
      </c>
      <c r="J3989" s="490">
        <v>37768.18</v>
      </c>
      <c r="K3989" s="491"/>
      <c r="L3989" s="490">
        <v>29.72</v>
      </c>
      <c r="M3989" s="490">
        <v>29.72</v>
      </c>
      <c r="N3989" s="492">
        <v>15107.270399999999</v>
      </c>
      <c r="O3989" s="493">
        <v>0.15</v>
      </c>
      <c r="P3989" s="493"/>
      <c r="Q3989" s="492">
        <v>13760.72</v>
      </c>
      <c r="R3989" s="473" t="s">
        <v>42</v>
      </c>
      <c r="S3989" s="481" t="s">
        <v>41</v>
      </c>
      <c r="T3989" s="482">
        <v>16</v>
      </c>
      <c r="U3989" s="494" t="s">
        <v>164</v>
      </c>
      <c r="V3989" s="495"/>
      <c r="X3989" s="492">
        <v>13760.72</v>
      </c>
      <c r="Y3989" s="492"/>
      <c r="AJ3989" s="485"/>
      <c r="AK3989" s="505">
        <v>13760.72</v>
      </c>
    </row>
    <row r="3990" spans="1:77" s="473" customFormat="1" ht="11.25" customHeight="1">
      <c r="B3990" s="473" t="s">
        <v>291</v>
      </c>
      <c r="C3990" s="487"/>
      <c r="D3990" s="487"/>
      <c r="E3990" s="488" t="s">
        <v>3084</v>
      </c>
      <c r="F3990" s="473" t="s">
        <v>608</v>
      </c>
      <c r="G3990" s="476">
        <v>3573</v>
      </c>
      <c r="H3990" s="473" t="s">
        <v>765</v>
      </c>
      <c r="I3990" s="472" t="s">
        <v>958</v>
      </c>
      <c r="J3990" s="490">
        <v>29840</v>
      </c>
      <c r="K3990" s="491"/>
      <c r="L3990" s="490">
        <v>29.84</v>
      </c>
      <c r="M3990" s="490">
        <v>29.84</v>
      </c>
      <c r="N3990" s="492">
        <v>8952</v>
      </c>
      <c r="O3990" s="493">
        <v>0.15</v>
      </c>
      <c r="P3990" s="493"/>
      <c r="Q3990" s="492">
        <v>11422.75</v>
      </c>
      <c r="R3990" s="473" t="s">
        <v>42</v>
      </c>
      <c r="S3990" s="481" t="s">
        <v>41</v>
      </c>
      <c r="T3990" s="482">
        <v>16</v>
      </c>
      <c r="U3990" s="494" t="s">
        <v>164</v>
      </c>
      <c r="V3990" s="495"/>
      <c r="X3990" s="492">
        <v>11422.75</v>
      </c>
      <c r="Y3990" s="492"/>
      <c r="AJ3990" s="485"/>
      <c r="AK3990" s="505">
        <v>11422.75</v>
      </c>
    </row>
    <row r="3991" spans="1:77" s="337" customFormat="1" ht="11.25" customHeight="1">
      <c r="B3991" s="338" t="s">
        <v>291</v>
      </c>
      <c r="C3991" s="349">
        <v>44774</v>
      </c>
      <c r="D3991" s="349">
        <v>44775</v>
      </c>
      <c r="E3991" s="350" t="s">
        <v>3085</v>
      </c>
      <c r="F3991" s="341" t="s">
        <v>1478</v>
      </c>
      <c r="G3991" s="342">
        <v>3656</v>
      </c>
      <c r="H3991" s="337" t="s">
        <v>765</v>
      </c>
      <c r="I3991" s="353" t="s">
        <v>888</v>
      </c>
      <c r="J3991" s="352">
        <v>71728.02</v>
      </c>
      <c r="K3991" s="353"/>
      <c r="L3991" s="352">
        <v>39.26</v>
      </c>
      <c r="M3991" s="352">
        <v>39.26</v>
      </c>
      <c r="N3991" s="354">
        <v>17932</v>
      </c>
      <c r="O3991" s="355">
        <v>0.2</v>
      </c>
      <c r="P3991" s="355"/>
      <c r="Q3991" s="354">
        <v>0</v>
      </c>
      <c r="R3991" s="341" t="s">
        <v>54</v>
      </c>
      <c r="S3991" s="346" t="s">
        <v>715</v>
      </c>
      <c r="T3991" s="346">
        <v>55</v>
      </c>
      <c r="U3991" s="357" t="s">
        <v>164</v>
      </c>
      <c r="V3991" s="434"/>
      <c r="X3991" s="354">
        <v>0</v>
      </c>
      <c r="Y3991" s="354"/>
      <c r="AI3991" s="337">
        <f>X3991</f>
        <v>0</v>
      </c>
      <c r="AJ3991" s="358"/>
      <c r="AK3991" s="369"/>
    </row>
    <row r="3992" spans="1:77" s="507" customFormat="1" ht="11.25" customHeight="1">
      <c r="B3992" s="508" t="s">
        <v>291</v>
      </c>
      <c r="C3992" s="509">
        <v>44775</v>
      </c>
      <c r="D3992" s="509">
        <v>44775</v>
      </c>
      <c r="E3992" s="510" t="s">
        <v>3086</v>
      </c>
      <c r="F3992" s="507" t="s">
        <v>3087</v>
      </c>
      <c r="G3992" s="521" t="s">
        <v>3088</v>
      </c>
      <c r="H3992" s="507" t="s">
        <v>898</v>
      </c>
      <c r="I3992" s="507" t="s">
        <v>33</v>
      </c>
      <c r="J3992" s="513">
        <v>54745.54</v>
      </c>
      <c r="K3992" s="512"/>
      <c r="L3992" s="513">
        <v>34.97</v>
      </c>
      <c r="M3992" s="513">
        <v>34.97</v>
      </c>
      <c r="N3992" s="514">
        <v>32847.32</v>
      </c>
      <c r="O3992" s="515">
        <v>0.25</v>
      </c>
      <c r="P3992" s="515"/>
      <c r="Q3992" s="514">
        <v>21280.12</v>
      </c>
      <c r="R3992" s="507" t="s">
        <v>285</v>
      </c>
      <c r="S3992" s="516" t="s">
        <v>275</v>
      </c>
      <c r="T3992" s="531">
        <v>21</v>
      </c>
      <c r="U3992" s="517" t="s">
        <v>164</v>
      </c>
      <c r="V3992" s="518"/>
      <c r="X3992" s="514">
        <v>21280.12</v>
      </c>
      <c r="Y3992" s="514"/>
      <c r="AJ3992" s="522"/>
      <c r="AL3992" s="514">
        <v>21280.12</v>
      </c>
    </row>
    <row r="3993" spans="1:77" s="6" customFormat="1" ht="11.25" customHeight="1">
      <c r="A3993" s="473"/>
      <c r="B3993" s="473" t="s">
        <v>291</v>
      </c>
      <c r="C3993" s="487">
        <v>44773</v>
      </c>
      <c r="D3993" s="487">
        <v>44775</v>
      </c>
      <c r="E3993" s="488" t="s">
        <v>3089</v>
      </c>
      <c r="F3993" s="473" t="s">
        <v>1106</v>
      </c>
      <c r="G3993" s="489" t="s">
        <v>1107</v>
      </c>
      <c r="H3993" s="473" t="s">
        <v>898</v>
      </c>
      <c r="I3993" s="491" t="s">
        <v>888</v>
      </c>
      <c r="J3993" s="490">
        <v>11952.71</v>
      </c>
      <c r="K3993" s="491"/>
      <c r="L3993" s="490">
        <v>13.3</v>
      </c>
      <c r="M3993" s="490">
        <v>13.3</v>
      </c>
      <c r="N3993" s="492">
        <v>7171.63</v>
      </c>
      <c r="O3993" s="493">
        <v>0.25</v>
      </c>
      <c r="P3993" s="493"/>
      <c r="Q3993" s="492">
        <v>4575.53</v>
      </c>
      <c r="R3993" s="473" t="s">
        <v>285</v>
      </c>
      <c r="S3993" s="481" t="s">
        <v>275</v>
      </c>
      <c r="T3993" s="482">
        <v>89</v>
      </c>
      <c r="U3993" s="494" t="s">
        <v>164</v>
      </c>
      <c r="V3993" s="495"/>
      <c r="W3993" s="473"/>
      <c r="X3993" s="492">
        <v>4575.53</v>
      </c>
      <c r="Y3993" s="492"/>
      <c r="Z3993" s="473"/>
      <c r="AA3993" s="473"/>
      <c r="AB3993" s="473"/>
      <c r="AC3993" s="473"/>
      <c r="AD3993" s="473"/>
      <c r="AE3993" s="473"/>
      <c r="AF3993" s="473"/>
      <c r="AG3993" s="473"/>
      <c r="AH3993" s="473"/>
      <c r="AI3993" s="473"/>
      <c r="AJ3993" s="485"/>
      <c r="AK3993" s="505">
        <v>4575.53</v>
      </c>
      <c r="AL3993" s="473"/>
      <c r="AM3993" s="473"/>
      <c r="AN3993" s="473"/>
      <c r="AO3993" s="473"/>
      <c r="AP3993" s="473"/>
      <c r="AQ3993" s="473"/>
      <c r="AR3993" s="473"/>
      <c r="AS3993" s="473"/>
      <c r="AT3993" s="473"/>
      <c r="AU3993" s="473"/>
      <c r="AV3993" s="473"/>
      <c r="AW3993" s="473"/>
      <c r="AX3993" s="473"/>
      <c r="AY3993" s="473"/>
      <c r="AZ3993" s="473"/>
      <c r="BA3993" s="473"/>
      <c r="BB3993" s="473"/>
      <c r="BC3993" s="473"/>
      <c r="BD3993" s="473"/>
      <c r="BE3993" s="473"/>
      <c r="BF3993" s="473"/>
      <c r="BG3993" s="473"/>
      <c r="BH3993" s="473"/>
      <c r="BI3993" s="473"/>
      <c r="BJ3993" s="473"/>
      <c r="BK3993" s="473"/>
      <c r="BL3993" s="473"/>
      <c r="BM3993" s="473"/>
      <c r="BN3993" s="473"/>
      <c r="BO3993" s="473"/>
      <c r="BP3993" s="473"/>
      <c r="BQ3993" s="473"/>
      <c r="BR3993" s="473"/>
      <c r="BS3993" s="473"/>
      <c r="BT3993" s="473"/>
      <c r="BU3993" s="473"/>
      <c r="BV3993" s="473"/>
      <c r="BW3993" s="473"/>
      <c r="BX3993" s="473"/>
      <c r="BY3993" s="473"/>
    </row>
    <row r="3994" spans="1:77" s="473" customFormat="1" ht="11.25" customHeight="1">
      <c r="A3994" s="379"/>
      <c r="B3994" s="379" t="s">
        <v>291</v>
      </c>
      <c r="C3994" s="381"/>
      <c r="D3994" s="381"/>
      <c r="E3994" s="382" t="s">
        <v>3089</v>
      </c>
      <c r="F3994" s="379" t="s">
        <v>1106</v>
      </c>
      <c r="G3994" s="383" t="s">
        <v>1107</v>
      </c>
      <c r="H3994" s="379" t="s">
        <v>765</v>
      </c>
      <c r="I3994" s="384" t="s">
        <v>888</v>
      </c>
      <c r="J3994" s="385">
        <v>20007.400000000001</v>
      </c>
      <c r="K3994" s="384"/>
      <c r="L3994" s="385">
        <v>20</v>
      </c>
      <c r="M3994" s="385">
        <v>20</v>
      </c>
      <c r="N3994" s="386">
        <v>5001.8500000000004</v>
      </c>
      <c r="O3994" s="387">
        <v>0.25</v>
      </c>
      <c r="P3994" s="387"/>
      <c r="Q3994" s="386">
        <f>N3994-J3994*O3994</f>
        <v>0</v>
      </c>
      <c r="R3994" s="379" t="s">
        <v>285</v>
      </c>
      <c r="S3994" s="388" t="s">
        <v>275</v>
      </c>
      <c r="T3994" s="399">
        <v>89</v>
      </c>
      <c r="U3994" s="389" t="s">
        <v>164</v>
      </c>
      <c r="V3994" s="433"/>
      <c r="W3994" s="379"/>
      <c r="X3994" s="386">
        <v>0</v>
      </c>
      <c r="Y3994" s="386"/>
      <c r="Z3994" s="379"/>
      <c r="AA3994" s="379"/>
      <c r="AB3994" s="379"/>
      <c r="AC3994" s="379"/>
      <c r="AD3994" s="379"/>
      <c r="AE3994" s="379"/>
      <c r="AF3994" s="379"/>
      <c r="AG3994" s="379"/>
      <c r="AH3994" s="379"/>
      <c r="AI3994" s="379"/>
      <c r="AJ3994" s="390">
        <v>0</v>
      </c>
      <c r="AK3994" s="379"/>
      <c r="AL3994" s="379"/>
      <c r="AM3994" s="379"/>
      <c r="AN3994" s="379"/>
      <c r="AO3994" s="379"/>
      <c r="AP3994" s="379"/>
      <c r="AQ3994" s="379"/>
      <c r="AR3994" s="379"/>
      <c r="AS3994" s="379"/>
      <c r="AT3994" s="379"/>
      <c r="AU3994" s="379"/>
      <c r="AV3994" s="379"/>
      <c r="AW3994" s="379"/>
      <c r="AX3994" s="379"/>
      <c r="AY3994" s="379"/>
      <c r="AZ3994" s="379"/>
      <c r="BA3994" s="379"/>
      <c r="BB3994" s="379"/>
      <c r="BC3994" s="379"/>
      <c r="BD3994" s="379"/>
      <c r="BE3994" s="379"/>
      <c r="BF3994" s="379"/>
      <c r="BG3994" s="379"/>
      <c r="BH3994" s="379"/>
      <c r="BI3994" s="379"/>
      <c r="BJ3994" s="379"/>
      <c r="BK3994" s="379"/>
      <c r="BL3994" s="379"/>
      <c r="BM3994" s="379"/>
      <c r="BN3994" s="379"/>
      <c r="BO3994" s="379"/>
      <c r="BP3994" s="379"/>
      <c r="BQ3994" s="379"/>
      <c r="BR3994" s="379"/>
      <c r="BS3994" s="379"/>
      <c r="BT3994" s="379"/>
      <c r="BU3994" s="379"/>
      <c r="BV3994" s="379"/>
      <c r="BW3994" s="379"/>
      <c r="BX3994" s="379"/>
      <c r="BY3994" s="379"/>
    </row>
    <row r="3995" spans="1:77" s="6" customFormat="1" ht="11.25" customHeight="1">
      <c r="A3995" s="379"/>
      <c r="B3995" s="379" t="s">
        <v>291</v>
      </c>
      <c r="C3995" s="381">
        <v>44775</v>
      </c>
      <c r="D3995" s="381">
        <v>44775</v>
      </c>
      <c r="E3995" s="382" t="s">
        <v>3090</v>
      </c>
      <c r="F3995" s="379" t="s">
        <v>3091</v>
      </c>
      <c r="G3995" s="383">
        <v>4241</v>
      </c>
      <c r="H3995" s="379" t="s">
        <v>765</v>
      </c>
      <c r="I3995" s="379" t="s">
        <v>33</v>
      </c>
      <c r="J3995" s="385">
        <v>22492.62</v>
      </c>
      <c r="K3995" s="384"/>
      <c r="L3995" s="385">
        <v>18.11</v>
      </c>
      <c r="M3995" s="385">
        <v>18.11</v>
      </c>
      <c r="N3995" s="386"/>
      <c r="O3995" s="387">
        <v>0.2</v>
      </c>
      <c r="P3995" s="387"/>
      <c r="Q3995" s="386">
        <v>0</v>
      </c>
      <c r="R3995" s="379" t="s">
        <v>73</v>
      </c>
      <c r="S3995" s="388" t="s">
        <v>74</v>
      </c>
      <c r="T3995" s="399">
        <v>31</v>
      </c>
      <c r="U3995" s="389" t="s">
        <v>164</v>
      </c>
      <c r="V3995" s="433"/>
      <c r="W3995" s="379"/>
      <c r="X3995" s="386">
        <v>0</v>
      </c>
      <c r="Y3995" s="386"/>
      <c r="Z3995" s="379"/>
      <c r="AA3995" s="379"/>
      <c r="AB3995" s="379"/>
      <c r="AC3995" s="379"/>
      <c r="AD3995" s="379"/>
      <c r="AE3995" s="379"/>
      <c r="AF3995" s="379"/>
      <c r="AG3995" s="379"/>
      <c r="AH3995" s="379"/>
      <c r="AI3995" s="379"/>
      <c r="AJ3995" s="390">
        <v>0</v>
      </c>
      <c r="AK3995" s="379"/>
      <c r="AL3995" s="379"/>
      <c r="AM3995" s="379"/>
      <c r="AN3995" s="379"/>
      <c r="AO3995" s="379"/>
      <c r="AP3995" s="379"/>
      <c r="AQ3995" s="379"/>
      <c r="AR3995" s="379"/>
      <c r="AS3995" s="379"/>
      <c r="AT3995" s="379"/>
      <c r="AU3995" s="379"/>
      <c r="AV3995" s="379"/>
      <c r="AW3995" s="379"/>
      <c r="AX3995" s="379"/>
      <c r="AY3995" s="379"/>
      <c r="AZ3995" s="379"/>
      <c r="BA3995" s="379"/>
      <c r="BB3995" s="379"/>
      <c r="BC3995" s="379"/>
      <c r="BD3995" s="379"/>
      <c r="BE3995" s="379"/>
      <c r="BF3995" s="379"/>
      <c r="BG3995" s="379"/>
      <c r="BH3995" s="379"/>
      <c r="BI3995" s="379"/>
      <c r="BJ3995" s="379"/>
      <c r="BK3995" s="379"/>
      <c r="BL3995" s="379"/>
      <c r="BM3995" s="379"/>
      <c r="BN3995" s="379"/>
      <c r="BO3995" s="379"/>
      <c r="BP3995" s="379"/>
      <c r="BQ3995" s="379"/>
      <c r="BR3995" s="379"/>
      <c r="BS3995" s="379"/>
      <c r="BT3995" s="379"/>
      <c r="BU3995" s="379"/>
      <c r="BV3995" s="379"/>
      <c r="BW3995" s="379"/>
      <c r="BX3995" s="379"/>
      <c r="BY3995" s="379"/>
    </row>
    <row r="3996" spans="1:77" s="6" customFormat="1" ht="11.25" customHeight="1">
      <c r="A3996" s="379"/>
      <c r="B3996" s="379" t="s">
        <v>291</v>
      </c>
      <c r="C3996" s="381"/>
      <c r="D3996" s="381"/>
      <c r="E3996" s="382" t="s">
        <v>3090</v>
      </c>
      <c r="F3996" s="379" t="s">
        <v>3091</v>
      </c>
      <c r="G3996" s="383">
        <v>4241</v>
      </c>
      <c r="H3996" s="379" t="s">
        <v>765</v>
      </c>
      <c r="I3996" s="379" t="s">
        <v>33</v>
      </c>
      <c r="J3996" s="385">
        <v>38079.72</v>
      </c>
      <c r="K3996" s="384"/>
      <c r="L3996" s="385">
        <v>30.66</v>
      </c>
      <c r="M3996" s="385">
        <v>30.66</v>
      </c>
      <c r="N3996" s="386"/>
      <c r="O3996" s="387">
        <v>0.2</v>
      </c>
      <c r="P3996" s="387"/>
      <c r="Q3996" s="386">
        <v>0</v>
      </c>
      <c r="R3996" s="379" t="s">
        <v>73</v>
      </c>
      <c r="S3996" s="388" t="s">
        <v>74</v>
      </c>
      <c r="T3996" s="399">
        <v>32</v>
      </c>
      <c r="U3996" s="389" t="s">
        <v>164</v>
      </c>
      <c r="V3996" s="433"/>
      <c r="W3996" s="379"/>
      <c r="X3996" s="386">
        <v>0</v>
      </c>
      <c r="Y3996" s="386"/>
      <c r="Z3996" s="379"/>
      <c r="AA3996" s="379"/>
      <c r="AB3996" s="379"/>
      <c r="AC3996" s="379"/>
      <c r="AD3996" s="379"/>
      <c r="AE3996" s="379"/>
      <c r="AF3996" s="379"/>
      <c r="AG3996" s="379"/>
      <c r="AH3996" s="379"/>
      <c r="AI3996" s="379"/>
      <c r="AJ3996" s="390">
        <v>0</v>
      </c>
      <c r="AK3996" s="379"/>
      <c r="AL3996" s="379"/>
      <c r="AM3996" s="379"/>
      <c r="AN3996" s="379"/>
      <c r="AO3996" s="379"/>
      <c r="AP3996" s="379"/>
      <c r="AQ3996" s="379"/>
      <c r="AR3996" s="379"/>
      <c r="AS3996" s="379"/>
      <c r="AT3996" s="379"/>
      <c r="AU3996" s="379"/>
      <c r="AV3996" s="379"/>
      <c r="AW3996" s="379"/>
      <c r="AX3996" s="379"/>
      <c r="AY3996" s="379"/>
      <c r="AZ3996" s="379"/>
      <c r="BA3996" s="379"/>
      <c r="BB3996" s="379"/>
      <c r="BC3996" s="379"/>
      <c r="BD3996" s="379"/>
      <c r="BE3996" s="379"/>
      <c r="BF3996" s="379"/>
      <c r="BG3996" s="379"/>
      <c r="BH3996" s="379"/>
      <c r="BI3996" s="379"/>
      <c r="BJ3996" s="379"/>
      <c r="BK3996" s="379"/>
      <c r="BL3996" s="379"/>
      <c r="BM3996" s="379"/>
      <c r="BN3996" s="379"/>
      <c r="BO3996" s="379"/>
      <c r="BP3996" s="379"/>
      <c r="BQ3996" s="379"/>
      <c r="BR3996" s="379"/>
      <c r="BS3996" s="379"/>
      <c r="BT3996" s="379"/>
      <c r="BU3996" s="379"/>
      <c r="BV3996" s="379"/>
      <c r="BW3996" s="379"/>
      <c r="BX3996" s="379"/>
      <c r="BY3996" s="379"/>
    </row>
    <row r="3997" spans="1:77" s="261" customFormat="1" ht="11.25" customHeight="1">
      <c r="B3997" s="258" t="s">
        <v>291</v>
      </c>
      <c r="C3997" s="259">
        <v>44775</v>
      </c>
      <c r="D3997" s="259">
        <v>44775</v>
      </c>
      <c r="E3997" s="260" t="s">
        <v>3092</v>
      </c>
      <c r="F3997" s="261" t="s">
        <v>2679</v>
      </c>
      <c r="G3997" s="262">
        <v>3535</v>
      </c>
      <c r="H3997" s="261" t="s">
        <v>1141</v>
      </c>
      <c r="I3997" s="264" t="s">
        <v>33</v>
      </c>
      <c r="J3997" s="263">
        <v>7440</v>
      </c>
      <c r="K3997" s="264"/>
      <c r="L3997" s="263">
        <v>7.44</v>
      </c>
      <c r="M3997" s="263">
        <v>7.43</v>
      </c>
      <c r="N3997" s="265"/>
      <c r="O3997" s="266">
        <v>0.2</v>
      </c>
      <c r="P3997" s="266"/>
      <c r="Q3997" s="265">
        <v>206.04</v>
      </c>
      <c r="R3997" s="261" t="s">
        <v>105</v>
      </c>
      <c r="S3997" s="267" t="s">
        <v>30</v>
      </c>
      <c r="T3997" s="267">
        <v>39</v>
      </c>
      <c r="U3997" s="268" t="s">
        <v>164</v>
      </c>
      <c r="V3997" s="427"/>
      <c r="X3997" s="265">
        <v>206.04</v>
      </c>
      <c r="Y3997" s="265"/>
      <c r="AG3997" s="261">
        <f>X3997</f>
        <v>206.04</v>
      </c>
      <c r="AJ3997" s="642"/>
    </row>
    <row r="3998" spans="1:77" s="291" customFormat="1" ht="11.25" customHeight="1">
      <c r="A3998" s="291" t="s">
        <v>3893</v>
      </c>
      <c r="B3998" s="310" t="s">
        <v>291</v>
      </c>
      <c r="C3998" s="292">
        <v>44774</v>
      </c>
      <c r="D3998" s="292">
        <v>44775</v>
      </c>
      <c r="E3998" s="293" t="s">
        <v>3093</v>
      </c>
      <c r="F3998" s="291" t="s">
        <v>593</v>
      </c>
      <c r="G3998" s="294">
        <v>3917</v>
      </c>
      <c r="H3998" s="291" t="s">
        <v>866</v>
      </c>
      <c r="I3998" s="295" t="s">
        <v>33</v>
      </c>
      <c r="J3998" s="296">
        <v>2713.2</v>
      </c>
      <c r="K3998" s="295"/>
      <c r="L3998" s="296">
        <v>3.23</v>
      </c>
      <c r="M3998" s="296">
        <v>3.23</v>
      </c>
      <c r="N3998" s="297"/>
      <c r="O3998" s="298">
        <v>0.15</v>
      </c>
      <c r="P3998" s="298"/>
      <c r="Q3998" s="297">
        <v>918.75</v>
      </c>
      <c r="R3998" s="291" t="s">
        <v>146</v>
      </c>
      <c r="S3998" s="299" t="s">
        <v>74</v>
      </c>
      <c r="T3998" s="308">
        <v>31</v>
      </c>
      <c r="U3998" s="300" t="s">
        <v>164</v>
      </c>
      <c r="V3998" s="333"/>
      <c r="X3998" s="297">
        <v>918.75</v>
      </c>
      <c r="Y3998" s="297"/>
      <c r="AH3998" s="297">
        <f>X3998</f>
        <v>918.75</v>
      </c>
      <c r="AI3998" s="311"/>
      <c r="AJ3998" s="468"/>
    </row>
    <row r="3999" spans="1:77" s="291" customFormat="1" ht="11.25" customHeight="1">
      <c r="A3999" s="291" t="s">
        <v>3893</v>
      </c>
      <c r="B3999" s="310" t="s">
        <v>291</v>
      </c>
      <c r="C3999" s="292"/>
      <c r="D3999" s="292"/>
      <c r="E3999" s="293" t="s">
        <v>3093</v>
      </c>
      <c r="F3999" s="291" t="s">
        <v>593</v>
      </c>
      <c r="G3999" s="294">
        <v>3917</v>
      </c>
      <c r="H3999" s="291" t="s">
        <v>765</v>
      </c>
      <c r="I3999" s="295" t="s">
        <v>33</v>
      </c>
      <c r="J3999" s="296">
        <v>31865.279999999999</v>
      </c>
      <c r="K3999" s="295"/>
      <c r="L3999" s="296">
        <v>34.94</v>
      </c>
      <c r="M3999" s="296">
        <v>34.94</v>
      </c>
      <c r="N3999" s="297"/>
      <c r="O3999" s="298">
        <v>0.15</v>
      </c>
      <c r="P3999" s="298"/>
      <c r="Q3999" s="297">
        <v>15136.01</v>
      </c>
      <c r="R3999" s="291" t="s">
        <v>146</v>
      </c>
      <c r="S3999" s="299" t="s">
        <v>74</v>
      </c>
      <c r="T3999" s="308">
        <v>31</v>
      </c>
      <c r="U3999" s="300" t="s">
        <v>164</v>
      </c>
      <c r="V3999" s="333"/>
      <c r="X3999" s="297">
        <v>15136.01</v>
      </c>
      <c r="Y3999" s="297"/>
      <c r="AH3999" s="297">
        <f>X3999</f>
        <v>15136.01</v>
      </c>
      <c r="AI3999" s="311"/>
      <c r="AJ3999" s="468"/>
    </row>
    <row r="4000" spans="1:77" s="6" customFormat="1" ht="11.25" customHeight="1">
      <c r="A4000" s="473"/>
      <c r="B4000" s="486" t="s">
        <v>291</v>
      </c>
      <c r="C4000" s="487">
        <v>44774</v>
      </c>
      <c r="D4000" s="487">
        <v>44775</v>
      </c>
      <c r="E4000" s="488" t="s">
        <v>3094</v>
      </c>
      <c r="F4000" s="473" t="s">
        <v>2439</v>
      </c>
      <c r="G4000" s="489" t="s">
        <v>2440</v>
      </c>
      <c r="H4000" s="473" t="s">
        <v>866</v>
      </c>
      <c r="I4000" s="491" t="s">
        <v>961</v>
      </c>
      <c r="J4000" s="490">
        <v>48051.09</v>
      </c>
      <c r="K4000" s="491"/>
      <c r="L4000" s="490">
        <v>26</v>
      </c>
      <c r="M4000" s="490">
        <v>26</v>
      </c>
      <c r="N4000" s="492">
        <v>13860</v>
      </c>
      <c r="O4000" s="493">
        <v>0.2</v>
      </c>
      <c r="P4000" s="493"/>
      <c r="Q4000" s="492">
        <v>20294.57</v>
      </c>
      <c r="R4000" s="473" t="s">
        <v>2296</v>
      </c>
      <c r="S4000" s="481" t="s">
        <v>113</v>
      </c>
      <c r="T4000" s="482">
        <v>64</v>
      </c>
      <c r="U4000" s="494" t="s">
        <v>164</v>
      </c>
      <c r="V4000" s="495"/>
      <c r="W4000" s="473"/>
      <c r="X4000" s="492">
        <v>20294.57</v>
      </c>
      <c r="Y4000" s="492"/>
      <c r="Z4000" s="473"/>
      <c r="AA4000" s="473"/>
      <c r="AB4000" s="473"/>
      <c r="AC4000" s="473"/>
      <c r="AD4000" s="473"/>
      <c r="AE4000" s="473"/>
      <c r="AF4000" s="473"/>
      <c r="AG4000" s="473"/>
      <c r="AH4000" s="473"/>
      <c r="AI4000" s="473"/>
      <c r="AJ4000" s="485"/>
      <c r="AK4000" s="505">
        <v>20294.57</v>
      </c>
      <c r="AL4000" s="473"/>
      <c r="AM4000" s="473"/>
      <c r="AN4000" s="473"/>
      <c r="AO4000" s="473"/>
      <c r="AP4000" s="473"/>
      <c r="AQ4000" s="473"/>
      <c r="AR4000" s="473"/>
      <c r="AS4000" s="473"/>
      <c r="AT4000" s="473"/>
      <c r="AU4000" s="473"/>
      <c r="AV4000" s="473"/>
      <c r="AW4000" s="473"/>
      <c r="AX4000" s="473"/>
      <c r="AY4000" s="473"/>
      <c r="AZ4000" s="473"/>
      <c r="BA4000" s="473"/>
      <c r="BB4000" s="473"/>
      <c r="BC4000" s="473"/>
      <c r="BD4000" s="473"/>
      <c r="BE4000" s="473"/>
      <c r="BF4000" s="473"/>
      <c r="BG4000" s="473"/>
      <c r="BH4000" s="473"/>
      <c r="BI4000" s="473"/>
      <c r="BJ4000" s="473"/>
      <c r="BK4000" s="473"/>
      <c r="BL4000" s="473"/>
      <c r="BM4000" s="473"/>
      <c r="BN4000" s="473"/>
      <c r="BO4000" s="473"/>
      <c r="BP4000" s="473"/>
      <c r="BQ4000" s="473"/>
      <c r="BR4000" s="473"/>
      <c r="BS4000" s="473"/>
      <c r="BT4000" s="473"/>
      <c r="BU4000" s="473"/>
      <c r="BV4000" s="473"/>
      <c r="BW4000" s="473"/>
      <c r="BX4000" s="473"/>
      <c r="BY4000" s="473"/>
    </row>
    <row r="4001" spans="1:77" s="337" customFormat="1" ht="11.25" customHeight="1">
      <c r="B4001" s="338" t="s">
        <v>291</v>
      </c>
      <c r="C4001" s="349"/>
      <c r="D4001" s="349"/>
      <c r="E4001" s="350" t="s">
        <v>3094</v>
      </c>
      <c r="F4001" s="337" t="s">
        <v>2439</v>
      </c>
      <c r="G4001" s="351" t="s">
        <v>2440</v>
      </c>
      <c r="H4001" s="337" t="s">
        <v>765</v>
      </c>
      <c r="I4001" s="353" t="s">
        <v>961</v>
      </c>
      <c r="J4001" s="352">
        <v>10556.55</v>
      </c>
      <c r="K4001" s="353"/>
      <c r="L4001" s="352">
        <v>7.56</v>
      </c>
      <c r="M4001" s="352">
        <v>7.56</v>
      </c>
      <c r="N4001" s="354">
        <v>2111</v>
      </c>
      <c r="O4001" s="355">
        <v>0.2</v>
      </c>
      <c r="P4001" s="355"/>
      <c r="Q4001" s="354">
        <v>0</v>
      </c>
      <c r="R4001" s="337" t="s">
        <v>2296</v>
      </c>
      <c r="S4001" s="356" t="s">
        <v>113</v>
      </c>
      <c r="T4001" s="346">
        <v>64</v>
      </c>
      <c r="U4001" s="357" t="s">
        <v>164</v>
      </c>
      <c r="V4001" s="434"/>
      <c r="X4001" s="354">
        <v>0</v>
      </c>
      <c r="Y4001" s="354"/>
      <c r="AI4001" s="337">
        <f>X4001</f>
        <v>0</v>
      </c>
      <c r="AJ4001" s="358"/>
      <c r="AK4001" s="369"/>
    </row>
    <row r="4002" spans="1:77" s="291" customFormat="1" ht="11.25" customHeight="1">
      <c r="A4002" s="291" t="s">
        <v>3893</v>
      </c>
      <c r="B4002" s="310" t="s">
        <v>291</v>
      </c>
      <c r="C4002" s="292">
        <v>44775</v>
      </c>
      <c r="D4002" s="292">
        <v>44775</v>
      </c>
      <c r="E4002" s="293" t="s">
        <v>3095</v>
      </c>
      <c r="F4002" s="291" t="s">
        <v>2219</v>
      </c>
      <c r="G4002" s="294" t="s">
        <v>2220</v>
      </c>
      <c r="H4002" s="291" t="s">
        <v>898</v>
      </c>
      <c r="I4002" s="295" t="s">
        <v>33</v>
      </c>
      <c r="J4002" s="296">
        <v>46912.5</v>
      </c>
      <c r="K4002" s="295"/>
      <c r="L4002" s="296">
        <v>37.53</v>
      </c>
      <c r="M4002" s="296">
        <v>37.53</v>
      </c>
      <c r="N4002" s="297">
        <v>23456.25</v>
      </c>
      <c r="O4002" s="298">
        <v>0.15</v>
      </c>
      <c r="P4002" s="298"/>
      <c r="Q4002" s="297">
        <v>9701.51</v>
      </c>
      <c r="R4002" s="291" t="s">
        <v>50</v>
      </c>
      <c r="S4002" s="299" t="s">
        <v>51</v>
      </c>
      <c r="T4002" s="308">
        <v>55</v>
      </c>
      <c r="U4002" s="300" t="s">
        <v>164</v>
      </c>
      <c r="V4002" s="333"/>
      <c r="X4002" s="297">
        <v>9701.51</v>
      </c>
      <c r="Y4002" s="297"/>
      <c r="AH4002" s="297">
        <f>X4002</f>
        <v>9701.51</v>
      </c>
      <c r="AI4002" s="311"/>
      <c r="AJ4002" s="468"/>
    </row>
    <row r="4003" spans="1:77" s="473" customFormat="1" ht="11.25" customHeight="1">
      <c r="B4003" s="473" t="s">
        <v>291</v>
      </c>
      <c r="C4003" s="487">
        <v>44743</v>
      </c>
      <c r="D4003" s="487">
        <v>44776</v>
      </c>
      <c r="E4003" s="488" t="s">
        <v>3096</v>
      </c>
      <c r="F4003" s="473" t="s">
        <v>1976</v>
      </c>
      <c r="G4003" s="489" t="s">
        <v>1977</v>
      </c>
      <c r="H4003" s="473" t="s">
        <v>765</v>
      </c>
      <c r="I4003" s="472" t="s">
        <v>111</v>
      </c>
      <c r="J4003" s="490">
        <v>66643.08</v>
      </c>
      <c r="K4003" s="491"/>
      <c r="L4003" s="490">
        <v>65.709999999999994</v>
      </c>
      <c r="M4003" s="490">
        <v>65.709999999999994</v>
      </c>
      <c r="N4003" s="492"/>
      <c r="O4003" s="493">
        <v>0.25</v>
      </c>
      <c r="P4003" s="493"/>
      <c r="Q4003" s="492">
        <v>18625.509999999998</v>
      </c>
      <c r="R4003" s="473" t="s">
        <v>285</v>
      </c>
      <c r="S4003" s="481" t="s">
        <v>275</v>
      </c>
      <c r="T4003" s="482">
        <v>89</v>
      </c>
      <c r="U4003" s="494" t="s">
        <v>164</v>
      </c>
      <c r="V4003" s="495"/>
      <c r="X4003" s="492">
        <v>18625.509999999998</v>
      </c>
      <c r="Y4003" s="492"/>
      <c r="AJ4003" s="485"/>
      <c r="AK4003" s="505">
        <v>18625.509999999998</v>
      </c>
    </row>
    <row r="4004" spans="1:77" s="291" customFormat="1" ht="11.25" customHeight="1">
      <c r="B4004" s="291" t="s">
        <v>291</v>
      </c>
      <c r="C4004" s="292">
        <v>44776</v>
      </c>
      <c r="D4004" s="292">
        <v>44776</v>
      </c>
      <c r="E4004" s="293" t="s">
        <v>3097</v>
      </c>
      <c r="F4004" s="291" t="s">
        <v>1678</v>
      </c>
      <c r="G4004" s="294" t="s">
        <v>1679</v>
      </c>
      <c r="H4004" s="291" t="s">
        <v>814</v>
      </c>
      <c r="I4004" s="295" t="s">
        <v>33</v>
      </c>
      <c r="J4004" s="296">
        <v>35123.199999999997</v>
      </c>
      <c r="K4004" s="295"/>
      <c r="L4004" s="296">
        <v>35.840000000000003</v>
      </c>
      <c r="M4004" s="296">
        <v>35</v>
      </c>
      <c r="N4004" s="297">
        <v>14049.28</v>
      </c>
      <c r="O4004" s="298">
        <v>0.2</v>
      </c>
      <c r="P4004" s="298"/>
      <c r="Q4004" s="297">
        <v>0</v>
      </c>
      <c r="R4004" s="291" t="s">
        <v>285</v>
      </c>
      <c r="S4004" s="299" t="s">
        <v>275</v>
      </c>
      <c r="T4004" s="308">
        <v>21</v>
      </c>
      <c r="U4004" s="300" t="s">
        <v>164</v>
      </c>
      <c r="V4004" s="333"/>
      <c r="X4004" s="297">
        <v>0</v>
      </c>
      <c r="Y4004" s="297"/>
      <c r="AH4004" s="311">
        <f>X4004</f>
        <v>0</v>
      </c>
      <c r="AI4004" s="311"/>
      <c r="AJ4004" s="468"/>
    </row>
    <row r="4005" spans="1:77" s="291" customFormat="1" ht="11.25" customHeight="1">
      <c r="B4005" s="291" t="s">
        <v>291</v>
      </c>
      <c r="C4005" s="292"/>
      <c r="D4005" s="292"/>
      <c r="E4005" s="293" t="s">
        <v>3097</v>
      </c>
      <c r="F4005" s="291" t="s">
        <v>1678</v>
      </c>
      <c r="G4005" s="294" t="s">
        <v>1679</v>
      </c>
      <c r="H4005" s="291" t="s">
        <v>765</v>
      </c>
      <c r="I4005" s="295" t="s">
        <v>33</v>
      </c>
      <c r="J4005" s="296">
        <v>73128.320000000007</v>
      </c>
      <c r="K4005" s="295"/>
      <c r="L4005" s="296">
        <v>56.08</v>
      </c>
      <c r="M4005" s="296">
        <v>56</v>
      </c>
      <c r="N4005" s="297">
        <v>18282.080000000002</v>
      </c>
      <c r="O4005" s="298">
        <v>0.2</v>
      </c>
      <c r="P4005" s="298"/>
      <c r="Q4005" s="324">
        <v>0</v>
      </c>
      <c r="R4005" s="291" t="s">
        <v>285</v>
      </c>
      <c r="S4005" s="299" t="s">
        <v>275</v>
      </c>
      <c r="T4005" s="308">
        <v>21</v>
      </c>
      <c r="U4005" s="300" t="s">
        <v>164</v>
      </c>
      <c r="V4005" s="333"/>
      <c r="X4005" s="297">
        <v>0</v>
      </c>
      <c r="Y4005" s="297"/>
      <c r="AH4005" s="311">
        <f>X4005</f>
        <v>0</v>
      </c>
      <c r="AI4005" s="311"/>
      <c r="AJ4005" s="468"/>
    </row>
    <row r="4006" spans="1:77" s="337" customFormat="1" ht="11.25" customHeight="1">
      <c r="B4006" s="337" t="s">
        <v>291</v>
      </c>
      <c r="C4006" s="349">
        <v>44767</v>
      </c>
      <c r="D4006" s="349">
        <v>44776</v>
      </c>
      <c r="E4006" s="350" t="s">
        <v>3098</v>
      </c>
      <c r="F4006" s="337" t="s">
        <v>3102</v>
      </c>
      <c r="G4006" s="351">
        <v>4493</v>
      </c>
      <c r="H4006" s="337" t="s">
        <v>765</v>
      </c>
      <c r="I4006" s="353" t="s">
        <v>33</v>
      </c>
      <c r="J4006" s="352">
        <v>5301.5</v>
      </c>
      <c r="K4006" s="353"/>
      <c r="L4006" s="352">
        <v>5</v>
      </c>
      <c r="M4006" s="352">
        <v>5</v>
      </c>
      <c r="N4006" s="354"/>
      <c r="O4006" s="355">
        <v>0.3</v>
      </c>
      <c r="P4006" s="355"/>
      <c r="Q4006" s="354">
        <v>1429.1</v>
      </c>
      <c r="R4006" s="337" t="s">
        <v>281</v>
      </c>
      <c r="S4006" s="356" t="s">
        <v>228</v>
      </c>
      <c r="T4006" s="346">
        <v>58</v>
      </c>
      <c r="U4006" s="357" t="s">
        <v>164</v>
      </c>
      <c r="V4006" s="434"/>
      <c r="X4006" s="354">
        <v>1429.1</v>
      </c>
      <c r="Y4006" s="354"/>
      <c r="AI4006" s="354">
        <v>1429.1</v>
      </c>
      <c r="AJ4006" s="358"/>
      <c r="AK4006" s="369"/>
    </row>
    <row r="4007" spans="1:77" s="379" customFormat="1" ht="11.25" customHeight="1">
      <c r="B4007" s="380" t="s">
        <v>291</v>
      </c>
      <c r="C4007" s="381">
        <v>44743</v>
      </c>
      <c r="D4007" s="381">
        <v>44776</v>
      </c>
      <c r="E4007" s="382" t="s">
        <v>3099</v>
      </c>
      <c r="F4007" s="379" t="s">
        <v>1079</v>
      </c>
      <c r="G4007" s="383">
        <v>3524</v>
      </c>
      <c r="H4007" s="379" t="s">
        <v>1141</v>
      </c>
      <c r="I4007" s="384" t="s">
        <v>958</v>
      </c>
      <c r="J4007" s="385">
        <v>12420</v>
      </c>
      <c r="K4007" s="384"/>
      <c r="L4007" s="385">
        <v>12.42</v>
      </c>
      <c r="M4007" s="385">
        <v>12.42</v>
      </c>
      <c r="N4007" s="386">
        <v>4968</v>
      </c>
      <c r="O4007" s="387">
        <v>0.15</v>
      </c>
      <c r="P4007" s="387"/>
      <c r="Q4007" s="386">
        <v>1217.1600000000001</v>
      </c>
      <c r="R4007" s="379" t="s">
        <v>46</v>
      </c>
      <c r="S4007" s="388" t="s">
        <v>47</v>
      </c>
      <c r="T4007" s="399">
        <v>27</v>
      </c>
      <c r="U4007" s="389" t="s">
        <v>164</v>
      </c>
      <c r="V4007" s="433"/>
      <c r="X4007" s="386">
        <v>1217.1600000000001</v>
      </c>
      <c r="Y4007" s="386"/>
      <c r="AJ4007" s="416">
        <v>1217.1600000000001</v>
      </c>
    </row>
    <row r="4008" spans="1:77" s="379" customFormat="1" ht="11.25" customHeight="1">
      <c r="B4008" s="379" t="s">
        <v>291</v>
      </c>
      <c r="C4008" s="381">
        <v>44774</v>
      </c>
      <c r="D4008" s="381">
        <v>44776</v>
      </c>
      <c r="E4008" s="382" t="s">
        <v>3100</v>
      </c>
      <c r="F4008" s="379" t="s">
        <v>2574</v>
      </c>
      <c r="G4008" s="383">
        <v>3548</v>
      </c>
      <c r="H4008" s="379" t="s">
        <v>898</v>
      </c>
      <c r="I4008" s="384" t="s">
        <v>33</v>
      </c>
      <c r="J4008" s="385">
        <v>13130</v>
      </c>
      <c r="K4008" s="384"/>
      <c r="L4008" s="385">
        <v>10</v>
      </c>
      <c r="M4008" s="385">
        <v>10</v>
      </c>
      <c r="N4008" s="386">
        <v>3939</v>
      </c>
      <c r="O4008" s="387">
        <v>0.2</v>
      </c>
      <c r="P4008" s="387"/>
      <c r="Q4008" s="386">
        <v>959.5</v>
      </c>
      <c r="R4008" s="379" t="s">
        <v>105</v>
      </c>
      <c r="S4008" s="388" t="s">
        <v>30</v>
      </c>
      <c r="T4008" s="399">
        <v>39</v>
      </c>
      <c r="U4008" s="389" t="s">
        <v>164</v>
      </c>
      <c r="V4008" s="433"/>
      <c r="X4008" s="386">
        <v>959.5</v>
      </c>
      <c r="Y4008" s="386"/>
      <c r="AJ4008" s="416">
        <v>959.5</v>
      </c>
    </row>
    <row r="4009" spans="1:77" s="6" customFormat="1" ht="11.25" customHeight="1">
      <c r="A4009" s="379"/>
      <c r="B4009" s="379" t="s">
        <v>291</v>
      </c>
      <c r="C4009" s="381">
        <v>44775</v>
      </c>
      <c r="D4009" s="381">
        <v>44776</v>
      </c>
      <c r="E4009" s="382" t="s">
        <v>3105</v>
      </c>
      <c r="F4009" s="379" t="s">
        <v>3106</v>
      </c>
      <c r="G4009" s="383" t="s">
        <v>3107</v>
      </c>
      <c r="H4009" s="379" t="s">
        <v>814</v>
      </c>
      <c r="I4009" s="394" t="s">
        <v>958</v>
      </c>
      <c r="J4009" s="385">
        <v>6579.93</v>
      </c>
      <c r="K4009" s="384"/>
      <c r="L4009" s="385">
        <v>5.5</v>
      </c>
      <c r="M4009" s="385">
        <v>5.49</v>
      </c>
      <c r="N4009" s="386">
        <v>0</v>
      </c>
      <c r="O4009" s="387">
        <v>0.25</v>
      </c>
      <c r="P4009" s="387"/>
      <c r="Q4009" s="386">
        <v>0</v>
      </c>
      <c r="R4009" s="379" t="s">
        <v>112</v>
      </c>
      <c r="S4009" s="388" t="s">
        <v>113</v>
      </c>
      <c r="T4009" s="399">
        <v>64</v>
      </c>
      <c r="U4009" s="389" t="s">
        <v>164</v>
      </c>
      <c r="V4009" s="433"/>
      <c r="W4009" s="379"/>
      <c r="X4009" s="386">
        <v>0</v>
      </c>
      <c r="Y4009" s="386"/>
      <c r="Z4009" s="379"/>
      <c r="AA4009" s="379"/>
      <c r="AB4009" s="379"/>
      <c r="AC4009" s="379"/>
      <c r="AD4009" s="379"/>
      <c r="AE4009" s="379"/>
      <c r="AF4009" s="379"/>
      <c r="AG4009" s="379"/>
      <c r="AH4009" s="379"/>
      <c r="AI4009" s="379"/>
      <c r="AJ4009" s="390">
        <v>0</v>
      </c>
      <c r="AK4009" s="379"/>
      <c r="AL4009" s="379"/>
      <c r="AM4009" s="379"/>
      <c r="AN4009" s="379"/>
      <c r="AO4009" s="379"/>
      <c r="AP4009" s="379"/>
      <c r="AQ4009" s="379"/>
      <c r="AR4009" s="379"/>
      <c r="AS4009" s="379"/>
      <c r="AT4009" s="379"/>
      <c r="AU4009" s="379"/>
      <c r="AV4009" s="379"/>
      <c r="AW4009" s="379"/>
      <c r="AX4009" s="379"/>
      <c r="AY4009" s="379"/>
      <c r="AZ4009" s="379"/>
      <c r="BA4009" s="379"/>
      <c r="BB4009" s="379"/>
      <c r="BC4009" s="379"/>
      <c r="BD4009" s="379"/>
      <c r="BE4009" s="379"/>
      <c r="BF4009" s="379"/>
      <c r="BG4009" s="379"/>
      <c r="BH4009" s="379"/>
      <c r="BI4009" s="379"/>
      <c r="BJ4009" s="379"/>
      <c r="BK4009" s="379"/>
      <c r="BL4009" s="379"/>
      <c r="BM4009" s="379"/>
      <c r="BN4009" s="379"/>
      <c r="BO4009" s="379"/>
      <c r="BP4009" s="379"/>
      <c r="BQ4009" s="379"/>
      <c r="BR4009" s="379"/>
      <c r="BS4009" s="379"/>
      <c r="BT4009" s="379"/>
      <c r="BU4009" s="379"/>
      <c r="BV4009" s="379"/>
      <c r="BW4009" s="379"/>
      <c r="BX4009" s="379"/>
      <c r="BY4009" s="379"/>
    </row>
    <row r="4010" spans="1:77" s="6" customFormat="1" ht="11.25" customHeight="1">
      <c r="A4010" s="379"/>
      <c r="B4010" s="379" t="s">
        <v>291</v>
      </c>
      <c r="C4010" s="381"/>
      <c r="D4010" s="381"/>
      <c r="E4010" s="382" t="s">
        <v>3105</v>
      </c>
      <c r="F4010" s="379" t="s">
        <v>3106</v>
      </c>
      <c r="G4010" s="383" t="s">
        <v>3107</v>
      </c>
      <c r="H4010" s="379" t="s">
        <v>910</v>
      </c>
      <c r="I4010" s="394" t="s">
        <v>958</v>
      </c>
      <c r="J4010" s="385">
        <v>46332</v>
      </c>
      <c r="K4010" s="384"/>
      <c r="L4010" s="385">
        <v>18</v>
      </c>
      <c r="M4010" s="385">
        <v>18</v>
      </c>
      <c r="N4010" s="386">
        <v>9266.4</v>
      </c>
      <c r="O4010" s="387">
        <v>0.25</v>
      </c>
      <c r="P4010" s="387"/>
      <c r="Q4010" s="386">
        <v>0</v>
      </c>
      <c r="R4010" s="379" t="s">
        <v>112</v>
      </c>
      <c r="S4010" s="388" t="s">
        <v>113</v>
      </c>
      <c r="T4010" s="399">
        <v>64</v>
      </c>
      <c r="U4010" s="389" t="s">
        <v>164</v>
      </c>
      <c r="V4010" s="433"/>
      <c r="W4010" s="379"/>
      <c r="X4010" s="386">
        <v>0</v>
      </c>
      <c r="Y4010" s="386"/>
      <c r="Z4010" s="379"/>
      <c r="AA4010" s="379"/>
      <c r="AB4010" s="379"/>
      <c r="AC4010" s="379"/>
      <c r="AD4010" s="379"/>
      <c r="AE4010" s="379"/>
      <c r="AF4010" s="379"/>
      <c r="AG4010" s="379"/>
      <c r="AH4010" s="379"/>
      <c r="AI4010" s="379"/>
      <c r="AJ4010" s="390">
        <v>0</v>
      </c>
      <c r="AK4010" s="379"/>
      <c r="AL4010" s="379"/>
      <c r="AM4010" s="379"/>
      <c r="AN4010" s="379"/>
      <c r="AO4010" s="379"/>
      <c r="AP4010" s="379"/>
      <c r="AQ4010" s="379"/>
      <c r="AR4010" s="379"/>
      <c r="AS4010" s="379"/>
      <c r="AT4010" s="379"/>
      <c r="AU4010" s="379"/>
      <c r="AV4010" s="379"/>
      <c r="AW4010" s="379"/>
      <c r="AX4010" s="379"/>
      <c r="AY4010" s="379"/>
      <c r="AZ4010" s="379"/>
      <c r="BA4010" s="379"/>
      <c r="BB4010" s="379"/>
      <c r="BC4010" s="379"/>
      <c r="BD4010" s="379"/>
      <c r="BE4010" s="379"/>
      <c r="BF4010" s="379"/>
      <c r="BG4010" s="379"/>
      <c r="BH4010" s="379"/>
      <c r="BI4010" s="379"/>
      <c r="BJ4010" s="379"/>
      <c r="BK4010" s="379"/>
      <c r="BL4010" s="379"/>
      <c r="BM4010" s="379"/>
      <c r="BN4010" s="379"/>
      <c r="BO4010" s="379"/>
      <c r="BP4010" s="379"/>
      <c r="BQ4010" s="379"/>
      <c r="BR4010" s="379"/>
      <c r="BS4010" s="379"/>
      <c r="BT4010" s="379"/>
      <c r="BU4010" s="379"/>
      <c r="BV4010" s="379"/>
      <c r="BW4010" s="379"/>
      <c r="BX4010" s="379"/>
      <c r="BY4010" s="379"/>
    </row>
    <row r="4011" spans="1:77" s="337" customFormat="1" ht="11.25" customHeight="1">
      <c r="B4011" s="337" t="s">
        <v>291</v>
      </c>
      <c r="C4011" s="349"/>
      <c r="D4011" s="349"/>
      <c r="E4011" s="350" t="s">
        <v>3105</v>
      </c>
      <c r="F4011" s="337" t="s">
        <v>3106</v>
      </c>
      <c r="G4011" s="351" t="s">
        <v>3107</v>
      </c>
      <c r="H4011" s="337" t="s">
        <v>866</v>
      </c>
      <c r="I4011" s="341" t="s">
        <v>958</v>
      </c>
      <c r="J4011" s="352">
        <v>25558</v>
      </c>
      <c r="K4011" s="353"/>
      <c r="L4011" s="352">
        <v>13</v>
      </c>
      <c r="M4011" s="352">
        <v>13</v>
      </c>
      <c r="N4011" s="354"/>
      <c r="O4011" s="355">
        <v>0.25</v>
      </c>
      <c r="P4011" s="355"/>
      <c r="Q4011" s="354">
        <v>0</v>
      </c>
      <c r="R4011" s="337" t="s">
        <v>112</v>
      </c>
      <c r="S4011" s="356" t="s">
        <v>113</v>
      </c>
      <c r="T4011" s="346">
        <v>64</v>
      </c>
      <c r="U4011" s="357" t="s">
        <v>164</v>
      </c>
      <c r="V4011" s="434"/>
      <c r="X4011" s="354">
        <v>0</v>
      </c>
      <c r="Y4011" s="354"/>
      <c r="AI4011" s="337">
        <v>0</v>
      </c>
      <c r="AJ4011" s="358"/>
      <c r="AK4011" s="369"/>
    </row>
    <row r="4012" spans="1:77" s="546" customFormat="1" ht="11.25" customHeight="1">
      <c r="B4012" s="546" t="s">
        <v>291</v>
      </c>
      <c r="C4012" s="547">
        <v>44776</v>
      </c>
      <c r="D4012" s="547">
        <v>44776</v>
      </c>
      <c r="E4012" s="548" t="s">
        <v>3957</v>
      </c>
      <c r="F4012" s="546" t="s">
        <v>2427</v>
      </c>
      <c r="G4012" s="549">
        <v>4159</v>
      </c>
      <c r="H4012" s="546" t="s">
        <v>898</v>
      </c>
      <c r="I4012" s="551" t="s">
        <v>958</v>
      </c>
      <c r="J4012" s="550">
        <v>49459</v>
      </c>
      <c r="K4012" s="551"/>
      <c r="L4012" s="550">
        <v>39.340000000000003</v>
      </c>
      <c r="M4012" s="550">
        <v>39.340000000000003</v>
      </c>
      <c r="N4012" s="552">
        <v>33156.11</v>
      </c>
      <c r="O4012" s="553">
        <v>0.2</v>
      </c>
      <c r="P4012" s="553"/>
      <c r="Q4012" s="552">
        <v>3829.95</v>
      </c>
      <c r="R4012" s="546" t="s">
        <v>54</v>
      </c>
      <c r="S4012" s="554" t="s">
        <v>51</v>
      </c>
      <c r="T4012" s="567">
        <v>55</v>
      </c>
      <c r="U4012" s="555" t="s">
        <v>164</v>
      </c>
      <c r="V4012" s="556"/>
      <c r="X4012" s="552">
        <v>3829.95</v>
      </c>
      <c r="Y4012" s="552"/>
      <c r="AJ4012" s="557"/>
      <c r="AM4012" s="577">
        <v>3829.95</v>
      </c>
    </row>
    <row r="4013" spans="1:77" s="337" customFormat="1" ht="11.25" customHeight="1">
      <c r="B4013" s="337" t="s">
        <v>291</v>
      </c>
      <c r="C4013" s="349">
        <v>44776</v>
      </c>
      <c r="D4013" s="349">
        <v>44776</v>
      </c>
      <c r="E4013" s="350" t="s">
        <v>3108</v>
      </c>
      <c r="F4013" s="337" t="s">
        <v>1918</v>
      </c>
      <c r="G4013" s="351">
        <v>4628</v>
      </c>
      <c r="H4013" s="337" t="s">
        <v>765</v>
      </c>
      <c r="I4013" s="353" t="s">
        <v>33</v>
      </c>
      <c r="J4013" s="352">
        <v>2997.82</v>
      </c>
      <c r="K4013" s="353"/>
      <c r="L4013" s="352">
        <v>3.22</v>
      </c>
      <c r="M4013" s="352">
        <v>3.22</v>
      </c>
      <c r="N4013" s="354"/>
      <c r="O4013" s="355">
        <v>0.3</v>
      </c>
      <c r="P4013" s="355"/>
      <c r="Q4013" s="354">
        <v>0</v>
      </c>
      <c r="R4013" s="337" t="s">
        <v>251</v>
      </c>
      <c r="S4013" s="356" t="s">
        <v>74</v>
      </c>
      <c r="T4013" s="346">
        <v>32</v>
      </c>
      <c r="U4013" s="357" t="s">
        <v>164</v>
      </c>
      <c r="V4013" s="434"/>
      <c r="X4013" s="354">
        <v>0</v>
      </c>
      <c r="Y4013" s="354"/>
      <c r="AI4013" s="337">
        <v>0</v>
      </c>
      <c r="AJ4013" s="358"/>
      <c r="AK4013" s="369"/>
    </row>
    <row r="4014" spans="1:77" s="337" customFormat="1" ht="11.25" customHeight="1">
      <c r="B4014" s="337" t="s">
        <v>291</v>
      </c>
      <c r="C4014" s="349">
        <v>44776</v>
      </c>
      <c r="D4014" s="349">
        <v>44776</v>
      </c>
      <c r="E4014" s="350" t="s">
        <v>3109</v>
      </c>
      <c r="F4014" s="337" t="s">
        <v>1916</v>
      </c>
      <c r="G4014" s="351">
        <v>4528</v>
      </c>
      <c r="H4014" s="337" t="s">
        <v>765</v>
      </c>
      <c r="I4014" s="353" t="s">
        <v>33</v>
      </c>
      <c r="J4014" s="352">
        <v>14542.32</v>
      </c>
      <c r="K4014" s="353"/>
      <c r="L4014" s="352">
        <v>15.34</v>
      </c>
      <c r="M4014" s="352">
        <v>15.34</v>
      </c>
      <c r="N4014" s="354"/>
      <c r="O4014" s="355">
        <v>0.3</v>
      </c>
      <c r="P4014" s="355"/>
      <c r="Q4014" s="354">
        <v>0</v>
      </c>
      <c r="R4014" s="337" t="s">
        <v>251</v>
      </c>
      <c r="S4014" s="356" t="s">
        <v>74</v>
      </c>
      <c r="T4014" s="356">
        <v>32</v>
      </c>
      <c r="U4014" s="357" t="s">
        <v>164</v>
      </c>
      <c r="V4014" s="434"/>
      <c r="X4014" s="354">
        <v>0</v>
      </c>
      <c r="Y4014" s="354"/>
      <c r="AI4014" s="337">
        <v>0</v>
      </c>
      <c r="AJ4014" s="358"/>
      <c r="AK4014" s="369"/>
    </row>
    <row r="4015" spans="1:77" s="337" customFormat="1" ht="11.25" customHeight="1">
      <c r="B4015" s="337" t="s">
        <v>291</v>
      </c>
      <c r="C4015" s="349">
        <v>44776</v>
      </c>
      <c r="D4015" s="349">
        <v>44776</v>
      </c>
      <c r="E4015" s="350" t="s">
        <v>3110</v>
      </c>
      <c r="F4015" s="337" t="s">
        <v>1922</v>
      </c>
      <c r="G4015" s="351">
        <v>4629</v>
      </c>
      <c r="H4015" s="337" t="s">
        <v>765</v>
      </c>
      <c r="I4015" s="353" t="s">
        <v>33</v>
      </c>
      <c r="J4015" s="352">
        <v>33680.92</v>
      </c>
      <c r="K4015" s="353"/>
      <c r="L4015" s="352">
        <v>38.96</v>
      </c>
      <c r="M4015" s="352">
        <v>38.96</v>
      </c>
      <c r="N4015" s="354"/>
      <c r="O4015" s="355">
        <v>0.25</v>
      </c>
      <c r="P4015" s="355"/>
      <c r="Q4015" s="354">
        <v>8897.49</v>
      </c>
      <c r="R4015" s="337" t="s">
        <v>251</v>
      </c>
      <c r="S4015" s="356" t="s">
        <v>74</v>
      </c>
      <c r="T4015" s="346">
        <v>32</v>
      </c>
      <c r="U4015" s="357" t="s">
        <v>164</v>
      </c>
      <c r="V4015" s="434"/>
      <c r="X4015" s="354">
        <v>8897.49</v>
      </c>
      <c r="Y4015" s="354"/>
      <c r="AI4015" s="354">
        <v>8897.49</v>
      </c>
      <c r="AJ4015" s="358"/>
      <c r="AK4015" s="369"/>
    </row>
    <row r="4016" spans="1:77" s="337" customFormat="1" ht="11.25" customHeight="1">
      <c r="B4016" s="337" t="s">
        <v>291</v>
      </c>
      <c r="C4016" s="349">
        <v>44776</v>
      </c>
      <c r="D4016" s="349">
        <v>44776</v>
      </c>
      <c r="E4016" s="350" t="s">
        <v>3111</v>
      </c>
      <c r="F4016" s="337" t="s">
        <v>1912</v>
      </c>
      <c r="G4016" s="351">
        <v>4522</v>
      </c>
      <c r="H4016" s="337" t="s">
        <v>1018</v>
      </c>
      <c r="I4016" s="353" t="s">
        <v>33</v>
      </c>
      <c r="J4016" s="352">
        <v>40624.35</v>
      </c>
      <c r="K4016" s="353"/>
      <c r="L4016" s="352">
        <v>32.630000000000003</v>
      </c>
      <c r="M4016" s="352">
        <v>32.630000000000003</v>
      </c>
      <c r="N4016" s="354">
        <v>0</v>
      </c>
      <c r="O4016" s="355">
        <v>0.3</v>
      </c>
      <c r="P4016" s="355"/>
      <c r="Q4016" s="354">
        <v>0</v>
      </c>
      <c r="R4016" s="337" t="s">
        <v>251</v>
      </c>
      <c r="S4016" s="356" t="s">
        <v>74</v>
      </c>
      <c r="T4016" s="346">
        <v>32</v>
      </c>
      <c r="U4016" s="357" t="s">
        <v>164</v>
      </c>
      <c r="V4016" s="434"/>
      <c r="X4016" s="354">
        <v>0</v>
      </c>
      <c r="Y4016" s="354"/>
      <c r="AI4016" s="337">
        <v>0</v>
      </c>
      <c r="AJ4016" s="358"/>
      <c r="AK4016" s="369"/>
    </row>
    <row r="4017" spans="1:77" s="337" customFormat="1" ht="11.25" customHeight="1">
      <c r="B4017" s="337" t="s">
        <v>291</v>
      </c>
      <c r="C4017" s="349">
        <v>44776</v>
      </c>
      <c r="D4017" s="349">
        <v>44776</v>
      </c>
      <c r="E4017" s="350" t="s">
        <v>3112</v>
      </c>
      <c r="F4017" s="337" t="s">
        <v>1920</v>
      </c>
      <c r="G4017" s="351">
        <v>4527</v>
      </c>
      <c r="H4017" s="337" t="s">
        <v>765</v>
      </c>
      <c r="I4017" s="353" t="s">
        <v>33</v>
      </c>
      <c r="J4017" s="352">
        <v>13824</v>
      </c>
      <c r="K4017" s="353"/>
      <c r="L4017" s="352">
        <v>16</v>
      </c>
      <c r="M4017" s="352">
        <v>16</v>
      </c>
      <c r="N4017" s="354"/>
      <c r="O4017" s="355">
        <v>0.25</v>
      </c>
      <c r="P4017" s="355"/>
      <c r="Q4017" s="354">
        <v>1408</v>
      </c>
      <c r="R4017" s="337" t="s">
        <v>251</v>
      </c>
      <c r="S4017" s="356" t="s">
        <v>74</v>
      </c>
      <c r="T4017" s="346">
        <v>32</v>
      </c>
      <c r="U4017" s="357" t="s">
        <v>164</v>
      </c>
      <c r="V4017" s="434"/>
      <c r="X4017" s="354">
        <v>1408</v>
      </c>
      <c r="Y4017" s="354"/>
      <c r="AI4017" s="354">
        <v>1408</v>
      </c>
      <c r="AJ4017" s="358"/>
      <c r="AK4017" s="369"/>
    </row>
    <row r="4018" spans="1:77" s="337" customFormat="1" ht="11.25" customHeight="1">
      <c r="B4018" s="337" t="s">
        <v>291</v>
      </c>
      <c r="C4018" s="349">
        <v>44776</v>
      </c>
      <c r="D4018" s="349">
        <v>44776</v>
      </c>
      <c r="E4018" s="350" t="s">
        <v>3113</v>
      </c>
      <c r="F4018" s="337" t="s">
        <v>3104</v>
      </c>
      <c r="G4018" s="351">
        <v>4531</v>
      </c>
      <c r="H4018" s="337" t="s">
        <v>1018</v>
      </c>
      <c r="I4018" s="353" t="s">
        <v>33</v>
      </c>
      <c r="J4018" s="352">
        <v>29062</v>
      </c>
      <c r="K4018" s="353"/>
      <c r="L4018" s="352">
        <v>26.42</v>
      </c>
      <c r="M4018" s="352">
        <v>26.42</v>
      </c>
      <c r="N4018" s="354"/>
      <c r="O4018" s="355">
        <v>0.3</v>
      </c>
      <c r="P4018" s="355"/>
      <c r="Q4018" s="354">
        <v>349</v>
      </c>
      <c r="R4018" s="337" t="s">
        <v>251</v>
      </c>
      <c r="S4018" s="356" t="s">
        <v>74</v>
      </c>
      <c r="T4018" s="346">
        <v>32</v>
      </c>
      <c r="U4018" s="357" t="s">
        <v>164</v>
      </c>
      <c r="V4018" s="434"/>
      <c r="X4018" s="354">
        <v>349</v>
      </c>
      <c r="Y4018" s="354"/>
      <c r="AI4018" s="337">
        <v>349</v>
      </c>
      <c r="AJ4018" s="358"/>
      <c r="AK4018" s="369"/>
    </row>
    <row r="4019" spans="1:77" s="379" customFormat="1" ht="11.25" customHeight="1">
      <c r="B4019" s="380" t="s">
        <v>291</v>
      </c>
      <c r="C4019" s="381">
        <v>44776</v>
      </c>
      <c r="D4019" s="381">
        <v>44776</v>
      </c>
      <c r="E4019" s="382" t="s">
        <v>3114</v>
      </c>
      <c r="F4019" s="379" t="s">
        <v>1760</v>
      </c>
      <c r="G4019" s="404">
        <v>4051</v>
      </c>
      <c r="H4019" s="379" t="s">
        <v>765</v>
      </c>
      <c r="I4019" s="384" t="s">
        <v>888</v>
      </c>
      <c r="J4019" s="385">
        <v>32556.240000000002</v>
      </c>
      <c r="K4019" s="384"/>
      <c r="L4019" s="385">
        <v>35.119999999999997</v>
      </c>
      <c r="M4019" s="385">
        <v>35.119999999999997</v>
      </c>
      <c r="N4019" s="386"/>
      <c r="O4019" s="387">
        <v>0.15</v>
      </c>
      <c r="P4019" s="387"/>
      <c r="Q4019" s="386">
        <v>6969.56</v>
      </c>
      <c r="R4019" s="379" t="s">
        <v>146</v>
      </c>
      <c r="S4019" s="388" t="s">
        <v>74</v>
      </c>
      <c r="T4019" s="399">
        <v>31</v>
      </c>
      <c r="U4019" s="389" t="s">
        <v>164</v>
      </c>
      <c r="V4019" s="433"/>
      <c r="X4019" s="386">
        <v>6969.56</v>
      </c>
      <c r="Y4019" s="386"/>
      <c r="AJ4019" s="416">
        <v>6969.56</v>
      </c>
    </row>
    <row r="4020" spans="1:77" s="379" customFormat="1" ht="11.25" customHeight="1">
      <c r="B4020" s="380" t="s">
        <v>291</v>
      </c>
      <c r="C4020" s="381"/>
      <c r="D4020" s="381"/>
      <c r="E4020" s="382" t="s">
        <v>3114</v>
      </c>
      <c r="F4020" s="379" t="s">
        <v>1760</v>
      </c>
      <c r="G4020" s="404">
        <v>4051</v>
      </c>
      <c r="H4020" s="379" t="s">
        <v>814</v>
      </c>
      <c r="I4020" s="384" t="s">
        <v>888</v>
      </c>
      <c r="J4020" s="385">
        <v>4979.04</v>
      </c>
      <c r="K4020" s="384"/>
      <c r="L4020" s="385">
        <v>4.92</v>
      </c>
      <c r="M4020" s="385">
        <v>4.92</v>
      </c>
      <c r="N4020" s="386"/>
      <c r="O4020" s="387">
        <v>0.15</v>
      </c>
      <c r="P4020" s="387"/>
      <c r="Q4020" s="386">
        <v>1929.62</v>
      </c>
      <c r="R4020" s="379" t="s">
        <v>146</v>
      </c>
      <c r="S4020" s="388" t="s">
        <v>74</v>
      </c>
      <c r="T4020" s="399">
        <v>31</v>
      </c>
      <c r="U4020" s="389" t="s">
        <v>164</v>
      </c>
      <c r="V4020" s="433"/>
      <c r="X4020" s="386">
        <v>1929.62</v>
      </c>
      <c r="Y4020" s="386"/>
      <c r="AJ4020" s="416">
        <v>1929.62</v>
      </c>
    </row>
    <row r="4021" spans="1:77" s="6" customFormat="1" ht="11.25" customHeight="1">
      <c r="A4021" s="379"/>
      <c r="B4021" s="379" t="s">
        <v>291</v>
      </c>
      <c r="C4021" s="381"/>
      <c r="D4021" s="381"/>
      <c r="E4021" s="382" t="s">
        <v>3115</v>
      </c>
      <c r="F4021" s="379" t="s">
        <v>169</v>
      </c>
      <c r="G4021" s="383">
        <v>3627</v>
      </c>
      <c r="H4021" s="379" t="s">
        <v>866</v>
      </c>
      <c r="I4021" s="384" t="s">
        <v>33</v>
      </c>
      <c r="J4021" s="385">
        <v>8359.16</v>
      </c>
      <c r="K4021" s="384"/>
      <c r="L4021" s="385">
        <v>12.12</v>
      </c>
      <c r="M4021" s="385">
        <v>12.12</v>
      </c>
      <c r="N4021" s="386"/>
      <c r="O4021" s="387">
        <v>0.15</v>
      </c>
      <c r="P4021" s="387"/>
      <c r="Q4021" s="386">
        <v>0</v>
      </c>
      <c r="R4021" s="379" t="s">
        <v>35</v>
      </c>
      <c r="S4021" s="388" t="s">
        <v>41</v>
      </c>
      <c r="T4021" s="399">
        <v>86</v>
      </c>
      <c r="U4021" s="389" t="s">
        <v>164</v>
      </c>
      <c r="V4021" s="433"/>
      <c r="W4021" s="379"/>
      <c r="X4021" s="386">
        <v>0</v>
      </c>
      <c r="Y4021" s="386"/>
      <c r="Z4021" s="379"/>
      <c r="AA4021" s="379"/>
      <c r="AB4021" s="379"/>
      <c r="AC4021" s="379"/>
      <c r="AD4021" s="379"/>
      <c r="AE4021" s="379"/>
      <c r="AF4021" s="379"/>
      <c r="AG4021" s="379"/>
      <c r="AH4021" s="379"/>
      <c r="AI4021" s="379"/>
      <c r="AJ4021" s="390">
        <v>0</v>
      </c>
      <c r="AK4021" s="379"/>
      <c r="AL4021" s="379"/>
      <c r="AM4021" s="379"/>
      <c r="AN4021" s="379"/>
      <c r="AO4021" s="379"/>
      <c r="AP4021" s="379"/>
      <c r="AQ4021" s="379"/>
      <c r="AR4021" s="379"/>
      <c r="AS4021" s="379"/>
      <c r="AT4021" s="379"/>
      <c r="AU4021" s="379"/>
      <c r="AV4021" s="379"/>
      <c r="AW4021" s="379"/>
      <c r="AX4021" s="379"/>
      <c r="AY4021" s="379"/>
      <c r="AZ4021" s="379"/>
      <c r="BA4021" s="379"/>
      <c r="BB4021" s="379"/>
      <c r="BC4021" s="379"/>
      <c r="BD4021" s="379"/>
      <c r="BE4021" s="379"/>
      <c r="BF4021" s="379"/>
      <c r="BG4021" s="379"/>
      <c r="BH4021" s="379"/>
      <c r="BI4021" s="379"/>
      <c r="BJ4021" s="379"/>
      <c r="BK4021" s="379"/>
      <c r="BL4021" s="379"/>
      <c r="BM4021" s="379"/>
      <c r="BN4021" s="379"/>
      <c r="BO4021" s="379"/>
      <c r="BP4021" s="379"/>
      <c r="BQ4021" s="379"/>
      <c r="BR4021" s="379"/>
      <c r="BS4021" s="379"/>
      <c r="BT4021" s="379"/>
      <c r="BU4021" s="379"/>
      <c r="BV4021" s="379"/>
      <c r="BW4021" s="379"/>
      <c r="BX4021" s="379"/>
      <c r="BY4021" s="379"/>
    </row>
    <row r="4022" spans="1:77" s="379" customFormat="1" ht="11.25" customHeight="1">
      <c r="B4022" s="379" t="s">
        <v>291</v>
      </c>
      <c r="C4022" s="381">
        <v>44774</v>
      </c>
      <c r="D4022" s="381">
        <v>44776</v>
      </c>
      <c r="E4022" s="382" t="s">
        <v>3115</v>
      </c>
      <c r="F4022" s="379" t="s">
        <v>169</v>
      </c>
      <c r="G4022" s="383">
        <v>3627</v>
      </c>
      <c r="H4022" s="379" t="s">
        <v>898</v>
      </c>
      <c r="I4022" s="384" t="s">
        <v>33</v>
      </c>
      <c r="J4022" s="385">
        <v>10582</v>
      </c>
      <c r="K4022" s="384"/>
      <c r="L4022" s="385">
        <v>11</v>
      </c>
      <c r="M4022" s="385">
        <v>11</v>
      </c>
      <c r="N4022" s="386"/>
      <c r="O4022" s="387">
        <v>0.15</v>
      </c>
      <c r="P4022" s="387"/>
      <c r="Q4022" s="386">
        <v>2603.6999999999998</v>
      </c>
      <c r="R4022" s="379" t="s">
        <v>35</v>
      </c>
      <c r="S4022" s="388" t="s">
        <v>41</v>
      </c>
      <c r="T4022" s="399">
        <v>86</v>
      </c>
      <c r="U4022" s="389" t="s">
        <v>164</v>
      </c>
      <c r="V4022" s="433"/>
      <c r="X4022" s="386">
        <v>2603.6999999999998</v>
      </c>
      <c r="Y4022" s="386"/>
      <c r="AJ4022" s="416">
        <v>2603.6999999999998</v>
      </c>
    </row>
    <row r="4023" spans="1:77" s="379" customFormat="1" ht="11.25" customHeight="1">
      <c r="B4023" s="379" t="s">
        <v>291</v>
      </c>
      <c r="C4023" s="381"/>
      <c r="D4023" s="381"/>
      <c r="E4023" s="382" t="s">
        <v>3115</v>
      </c>
      <c r="F4023" s="379" t="s">
        <v>169</v>
      </c>
      <c r="G4023" s="383">
        <v>3627</v>
      </c>
      <c r="H4023" s="379" t="s">
        <v>765</v>
      </c>
      <c r="I4023" s="384" t="s">
        <v>33</v>
      </c>
      <c r="J4023" s="385">
        <v>30208.799999999999</v>
      </c>
      <c r="K4023" s="384"/>
      <c r="L4023" s="385">
        <v>61.4</v>
      </c>
      <c r="M4023" s="385">
        <v>61.4</v>
      </c>
      <c r="N4023" s="386"/>
      <c r="O4023" s="387">
        <v>0.15</v>
      </c>
      <c r="P4023" s="387"/>
      <c r="Q4023" s="386">
        <v>0</v>
      </c>
      <c r="R4023" s="379" t="s">
        <v>35</v>
      </c>
      <c r="S4023" s="388" t="s">
        <v>41</v>
      </c>
      <c r="T4023" s="399">
        <v>86</v>
      </c>
      <c r="U4023" s="389" t="s">
        <v>164</v>
      </c>
      <c r="V4023" s="433"/>
      <c r="X4023" s="386">
        <v>0</v>
      </c>
      <c r="Y4023" s="386"/>
      <c r="AJ4023" s="390">
        <v>0</v>
      </c>
    </row>
    <row r="4024" spans="1:77" s="507" customFormat="1" ht="11.25" customHeight="1">
      <c r="B4024" s="508" t="s">
        <v>291</v>
      </c>
      <c r="C4024" s="509">
        <v>44774</v>
      </c>
      <c r="D4024" s="509">
        <v>44776</v>
      </c>
      <c r="E4024" s="510" t="s">
        <v>3116</v>
      </c>
      <c r="F4024" s="507" t="s">
        <v>1982</v>
      </c>
      <c r="G4024" s="521" t="s">
        <v>1983</v>
      </c>
      <c r="H4024" s="507" t="s">
        <v>765</v>
      </c>
      <c r="I4024" s="512" t="s">
        <v>33</v>
      </c>
      <c r="J4024" s="513">
        <v>49234.8</v>
      </c>
      <c r="K4024" s="512"/>
      <c r="L4024" s="513">
        <v>40</v>
      </c>
      <c r="M4024" s="513">
        <v>40</v>
      </c>
      <c r="N4024" s="514"/>
      <c r="O4024" s="515">
        <v>0.25</v>
      </c>
      <c r="P4024" s="515"/>
      <c r="Q4024" s="514">
        <v>6868.9</v>
      </c>
      <c r="R4024" s="507" t="s">
        <v>281</v>
      </c>
      <c r="S4024" s="516" t="s">
        <v>275</v>
      </c>
      <c r="T4024" s="531">
        <v>89</v>
      </c>
      <c r="U4024" s="517" t="s">
        <v>164</v>
      </c>
      <c r="V4024" s="518"/>
      <c r="X4024" s="514">
        <v>6868.9</v>
      </c>
      <c r="Y4024" s="514"/>
      <c r="AJ4024" s="522"/>
      <c r="AL4024" s="514">
        <v>6868.9</v>
      </c>
    </row>
    <row r="4025" spans="1:77" s="205" customFormat="1" ht="11.25" customHeight="1">
      <c r="A4025" s="379"/>
      <c r="B4025" s="406" t="s">
        <v>291</v>
      </c>
      <c r="C4025" s="381"/>
      <c r="D4025" s="381"/>
      <c r="E4025" s="382" t="s">
        <v>3117</v>
      </c>
      <c r="F4025" s="394" t="s">
        <v>1166</v>
      </c>
      <c r="G4025" s="400" t="s">
        <v>1167</v>
      </c>
      <c r="H4025" s="379" t="s">
        <v>2171</v>
      </c>
      <c r="I4025" s="384" t="s">
        <v>888</v>
      </c>
      <c r="J4025" s="395">
        <v>45884.84</v>
      </c>
      <c r="K4025" s="384"/>
      <c r="L4025" s="395">
        <v>19.93</v>
      </c>
      <c r="M4025" s="395">
        <v>19.93</v>
      </c>
      <c r="N4025" s="386">
        <v>21153.53</v>
      </c>
      <c r="O4025" s="387">
        <v>0.25</v>
      </c>
      <c r="P4025" s="387"/>
      <c r="Q4025" s="386">
        <v>0</v>
      </c>
      <c r="R4025" s="394" t="s">
        <v>112</v>
      </c>
      <c r="S4025" s="399" t="s">
        <v>113</v>
      </c>
      <c r="T4025" s="399">
        <v>64</v>
      </c>
      <c r="U4025" s="389" t="s">
        <v>164</v>
      </c>
      <c r="V4025" s="433"/>
      <c r="W4025" s="379"/>
      <c r="X4025" s="386">
        <v>0</v>
      </c>
      <c r="Y4025" s="386"/>
      <c r="Z4025" s="379"/>
      <c r="AA4025" s="379"/>
      <c r="AB4025" s="379"/>
      <c r="AC4025" s="379"/>
      <c r="AD4025" s="379"/>
      <c r="AE4025" s="379"/>
      <c r="AF4025" s="379"/>
      <c r="AG4025" s="379"/>
      <c r="AH4025" s="379"/>
      <c r="AI4025" s="379"/>
      <c r="AJ4025" s="390">
        <v>0</v>
      </c>
      <c r="AK4025" s="379"/>
      <c r="AL4025" s="379"/>
      <c r="AM4025" s="379"/>
      <c r="AN4025" s="379"/>
      <c r="AO4025" s="379"/>
      <c r="AP4025" s="379"/>
      <c r="AQ4025" s="379"/>
      <c r="AR4025" s="379"/>
      <c r="AS4025" s="379"/>
      <c r="AT4025" s="379"/>
      <c r="AU4025" s="379"/>
      <c r="AV4025" s="379"/>
      <c r="AW4025" s="379"/>
      <c r="AX4025" s="379"/>
      <c r="AY4025" s="379"/>
      <c r="AZ4025" s="379"/>
      <c r="BA4025" s="379"/>
      <c r="BB4025" s="379"/>
      <c r="BC4025" s="379"/>
      <c r="BD4025" s="379"/>
      <c r="BE4025" s="379"/>
      <c r="BF4025" s="379"/>
      <c r="BG4025" s="379"/>
      <c r="BH4025" s="379"/>
      <c r="BI4025" s="379"/>
      <c r="BJ4025" s="379"/>
      <c r="BK4025" s="379"/>
      <c r="BL4025" s="379"/>
      <c r="BM4025" s="379"/>
      <c r="BN4025" s="379"/>
      <c r="BO4025" s="379"/>
      <c r="BP4025" s="379"/>
      <c r="BQ4025" s="379"/>
      <c r="BR4025" s="379"/>
      <c r="BS4025" s="379"/>
      <c r="BT4025" s="379"/>
      <c r="BU4025" s="379"/>
      <c r="BV4025" s="379"/>
      <c r="BW4025" s="379"/>
      <c r="BX4025" s="379"/>
      <c r="BY4025" s="379"/>
    </row>
    <row r="4026" spans="1:77" s="205" customFormat="1" ht="11.25" customHeight="1">
      <c r="A4026" s="379"/>
      <c r="B4026" s="406" t="s">
        <v>291</v>
      </c>
      <c r="C4026" s="381"/>
      <c r="D4026" s="381"/>
      <c r="E4026" s="382" t="s">
        <v>3117</v>
      </c>
      <c r="F4026" s="394" t="s">
        <v>1166</v>
      </c>
      <c r="G4026" s="400" t="s">
        <v>1167</v>
      </c>
      <c r="H4026" s="394" t="s">
        <v>814</v>
      </c>
      <c r="I4026" s="384" t="s">
        <v>888</v>
      </c>
      <c r="J4026" s="395">
        <v>13250.04</v>
      </c>
      <c r="K4026" s="384"/>
      <c r="L4026" s="395">
        <v>10.130000000000001</v>
      </c>
      <c r="M4026" s="395">
        <v>10.130000000000001</v>
      </c>
      <c r="N4026" s="386">
        <v>5458.94</v>
      </c>
      <c r="O4026" s="387">
        <v>0.25</v>
      </c>
      <c r="P4026" s="387"/>
      <c r="Q4026" s="386">
        <v>0</v>
      </c>
      <c r="R4026" s="394" t="s">
        <v>112</v>
      </c>
      <c r="S4026" s="399" t="s">
        <v>113</v>
      </c>
      <c r="T4026" s="399">
        <v>64</v>
      </c>
      <c r="U4026" s="389" t="s">
        <v>164</v>
      </c>
      <c r="V4026" s="433"/>
      <c r="W4026" s="379"/>
      <c r="X4026" s="386">
        <v>0</v>
      </c>
      <c r="Y4026" s="386"/>
      <c r="Z4026" s="379"/>
      <c r="AA4026" s="379"/>
      <c r="AB4026" s="379"/>
      <c r="AC4026" s="379"/>
      <c r="AD4026" s="379"/>
      <c r="AE4026" s="379"/>
      <c r="AF4026" s="379"/>
      <c r="AG4026" s="379"/>
      <c r="AH4026" s="379"/>
      <c r="AI4026" s="379"/>
      <c r="AJ4026" s="390">
        <v>0</v>
      </c>
      <c r="AK4026" s="379"/>
      <c r="AL4026" s="379"/>
      <c r="AM4026" s="379"/>
      <c r="AN4026" s="379"/>
      <c r="AO4026" s="379"/>
      <c r="AP4026" s="379"/>
      <c r="AQ4026" s="379"/>
      <c r="AR4026" s="379"/>
      <c r="AS4026" s="379"/>
      <c r="AT4026" s="379"/>
      <c r="AU4026" s="379"/>
      <c r="AV4026" s="379"/>
      <c r="AW4026" s="379"/>
      <c r="AX4026" s="379"/>
      <c r="AY4026" s="379"/>
      <c r="AZ4026" s="379"/>
      <c r="BA4026" s="379"/>
      <c r="BB4026" s="379"/>
      <c r="BC4026" s="379"/>
      <c r="BD4026" s="379"/>
      <c r="BE4026" s="379"/>
      <c r="BF4026" s="379"/>
      <c r="BG4026" s="379"/>
      <c r="BH4026" s="379"/>
      <c r="BI4026" s="379"/>
      <c r="BJ4026" s="379"/>
      <c r="BK4026" s="379"/>
      <c r="BL4026" s="379"/>
      <c r="BM4026" s="379"/>
      <c r="BN4026" s="379"/>
      <c r="BO4026" s="379"/>
      <c r="BP4026" s="379"/>
      <c r="BQ4026" s="379"/>
      <c r="BR4026" s="379"/>
      <c r="BS4026" s="379"/>
      <c r="BT4026" s="379"/>
      <c r="BU4026" s="379"/>
      <c r="BV4026" s="379"/>
      <c r="BW4026" s="379"/>
      <c r="BX4026" s="379"/>
      <c r="BY4026" s="379"/>
    </row>
    <row r="4027" spans="1:77" s="205" customFormat="1" ht="11.25" customHeight="1">
      <c r="B4027" s="229" t="s">
        <v>291</v>
      </c>
      <c r="C4027" s="207">
        <v>44776</v>
      </c>
      <c r="D4027" s="207">
        <v>44776</v>
      </c>
      <c r="E4027" s="208" t="s">
        <v>3117</v>
      </c>
      <c r="F4027" s="218" t="s">
        <v>1166</v>
      </c>
      <c r="G4027" s="220" t="s">
        <v>1167</v>
      </c>
      <c r="H4027" s="205" t="s">
        <v>910</v>
      </c>
      <c r="I4027" s="219" t="s">
        <v>888</v>
      </c>
      <c r="J4027" s="222">
        <v>67418.67</v>
      </c>
      <c r="K4027" s="219"/>
      <c r="L4027" s="222">
        <v>28.01</v>
      </c>
      <c r="M4027" s="222">
        <v>28.01</v>
      </c>
      <c r="N4027" s="213"/>
      <c r="O4027" s="212">
        <v>0.25</v>
      </c>
      <c r="P4027" s="212"/>
      <c r="Q4027" s="213">
        <v>0</v>
      </c>
      <c r="R4027" s="218" t="s">
        <v>112</v>
      </c>
      <c r="S4027" s="221" t="s">
        <v>113</v>
      </c>
      <c r="T4027" s="221">
        <v>64</v>
      </c>
      <c r="U4027" s="215" t="s">
        <v>164</v>
      </c>
      <c r="V4027" s="438"/>
      <c r="X4027" s="213">
        <v>0</v>
      </c>
      <c r="Y4027" s="213"/>
      <c r="AF4027" s="230">
        <f>X4027</f>
        <v>0</v>
      </c>
      <c r="AJ4027" s="216"/>
    </row>
    <row r="4028" spans="1:77" s="205" customFormat="1" ht="11.25" customHeight="1">
      <c r="B4028" s="229" t="s">
        <v>291</v>
      </c>
      <c r="C4028" s="207"/>
      <c r="D4028" s="207"/>
      <c r="E4028" s="208" t="s">
        <v>3117</v>
      </c>
      <c r="F4028" s="218" t="s">
        <v>1166</v>
      </c>
      <c r="G4028" s="220" t="s">
        <v>1167</v>
      </c>
      <c r="H4028" s="205" t="s">
        <v>2267</v>
      </c>
      <c r="I4028" s="219" t="s">
        <v>888</v>
      </c>
      <c r="J4028" s="222">
        <v>8058.05</v>
      </c>
      <c r="K4028" s="219"/>
      <c r="L4028" s="222">
        <v>3.5</v>
      </c>
      <c r="M4028" s="222">
        <v>3.5</v>
      </c>
      <c r="N4028" s="213"/>
      <c r="O4028" s="212">
        <v>0.25</v>
      </c>
      <c r="P4028" s="212"/>
      <c r="Q4028" s="213">
        <v>0</v>
      </c>
      <c r="R4028" s="218" t="s">
        <v>112</v>
      </c>
      <c r="S4028" s="221" t="s">
        <v>113</v>
      </c>
      <c r="T4028" s="221">
        <v>64</v>
      </c>
      <c r="U4028" s="215" t="s">
        <v>164</v>
      </c>
      <c r="V4028" s="438"/>
      <c r="X4028" s="213">
        <v>0</v>
      </c>
      <c r="Y4028" s="213"/>
      <c r="AF4028" s="230">
        <f>X4028</f>
        <v>0</v>
      </c>
      <c r="AJ4028" s="216"/>
    </row>
    <row r="4029" spans="1:77" s="379" customFormat="1" ht="11.25" customHeight="1">
      <c r="B4029" s="406" t="s">
        <v>291</v>
      </c>
      <c r="C4029" s="381">
        <v>44775</v>
      </c>
      <c r="D4029" s="381">
        <v>44776</v>
      </c>
      <c r="E4029" s="382" t="s">
        <v>3128</v>
      </c>
      <c r="F4029" s="379" t="s">
        <v>3129</v>
      </c>
      <c r="G4029" s="383">
        <v>4100</v>
      </c>
      <c r="H4029" s="379" t="s">
        <v>866</v>
      </c>
      <c r="I4029" s="384" t="s">
        <v>33</v>
      </c>
      <c r="J4029" s="385">
        <v>12117</v>
      </c>
      <c r="K4029" s="384"/>
      <c r="L4029" s="385">
        <v>14</v>
      </c>
      <c r="M4029" s="385">
        <v>14</v>
      </c>
      <c r="N4029" s="386">
        <v>5816.16</v>
      </c>
      <c r="O4029" s="387">
        <v>0.25</v>
      </c>
      <c r="P4029" s="387"/>
      <c r="Q4029" s="386">
        <v>637.35</v>
      </c>
      <c r="R4029" s="379" t="s">
        <v>142</v>
      </c>
      <c r="S4029" s="388" t="s">
        <v>41</v>
      </c>
      <c r="T4029" s="399">
        <v>17</v>
      </c>
      <c r="U4029" s="389" t="s">
        <v>164</v>
      </c>
      <c r="V4029" s="433"/>
      <c r="X4029" s="386">
        <v>637.35</v>
      </c>
      <c r="Y4029" s="386"/>
      <c r="AJ4029" s="416">
        <v>637.35</v>
      </c>
    </row>
    <row r="4030" spans="1:77" s="379" customFormat="1" ht="11.25" customHeight="1">
      <c r="B4030" s="380" t="s">
        <v>291</v>
      </c>
      <c r="C4030" s="381">
        <v>44775</v>
      </c>
      <c r="D4030" s="381">
        <v>44776</v>
      </c>
      <c r="E4030" s="382" t="s">
        <v>3130</v>
      </c>
      <c r="F4030" s="379" t="s">
        <v>631</v>
      </c>
      <c r="G4030" s="383">
        <v>3622</v>
      </c>
      <c r="H4030" s="379" t="s">
        <v>866</v>
      </c>
      <c r="I4030" s="379" t="s">
        <v>33</v>
      </c>
      <c r="J4030" s="385">
        <v>12095.52</v>
      </c>
      <c r="K4030" s="384"/>
      <c r="L4030" s="385">
        <v>11.15</v>
      </c>
      <c r="M4030" s="385">
        <v>11.15</v>
      </c>
      <c r="N4030" s="386"/>
      <c r="O4030" s="387">
        <v>0.15</v>
      </c>
      <c r="P4030" s="387"/>
      <c r="Q4030" s="386">
        <v>0</v>
      </c>
      <c r="R4030" s="379" t="s">
        <v>77</v>
      </c>
      <c r="S4030" s="388" t="s">
        <v>41</v>
      </c>
      <c r="T4030" s="399">
        <v>16</v>
      </c>
      <c r="U4030" s="389" t="s">
        <v>164</v>
      </c>
      <c r="V4030" s="433"/>
      <c r="X4030" s="386">
        <v>0</v>
      </c>
      <c r="Y4030" s="386"/>
      <c r="AJ4030" s="390">
        <v>0</v>
      </c>
    </row>
    <row r="4031" spans="1:77" s="473" customFormat="1" ht="11.25" customHeight="1">
      <c r="B4031" s="486" t="s">
        <v>291</v>
      </c>
      <c r="C4031" s="487">
        <v>44776</v>
      </c>
      <c r="D4031" s="487">
        <v>44776</v>
      </c>
      <c r="E4031" s="488" t="s">
        <v>3131</v>
      </c>
      <c r="F4031" s="473" t="s">
        <v>3132</v>
      </c>
      <c r="G4031" s="489">
        <v>1024</v>
      </c>
      <c r="H4031" s="473" t="s">
        <v>910</v>
      </c>
      <c r="I4031" s="491" t="s">
        <v>2900</v>
      </c>
      <c r="J4031" s="490">
        <v>77657.84</v>
      </c>
      <c r="K4031" s="491"/>
      <c r="L4031" s="490">
        <v>33.56</v>
      </c>
      <c r="M4031" s="490">
        <v>33.56</v>
      </c>
      <c r="N4031" s="492"/>
      <c r="O4031" s="493">
        <v>0.25</v>
      </c>
      <c r="P4031" s="493"/>
      <c r="Q4031" s="492">
        <v>39933.040000000001</v>
      </c>
      <c r="R4031" s="473" t="s">
        <v>42</v>
      </c>
      <c r="S4031" s="481" t="s">
        <v>41</v>
      </c>
      <c r="T4031" s="482">
        <v>17</v>
      </c>
      <c r="U4031" s="494" t="s">
        <v>164</v>
      </c>
      <c r="V4031" s="495"/>
      <c r="X4031" s="492">
        <v>39933.040000000001</v>
      </c>
      <c r="Y4031" s="492"/>
      <c r="AJ4031" s="485"/>
      <c r="AK4031" s="505">
        <v>39933.040000000001</v>
      </c>
    </row>
    <row r="4032" spans="1:77" s="379" customFormat="1" ht="11.25" customHeight="1">
      <c r="B4032" s="380" t="s">
        <v>291</v>
      </c>
      <c r="C4032" s="381">
        <v>44776</v>
      </c>
      <c r="D4032" s="381">
        <v>44777</v>
      </c>
      <c r="E4032" s="382" t="s">
        <v>3133</v>
      </c>
      <c r="F4032" s="379" t="s">
        <v>3826</v>
      </c>
      <c r="G4032" s="383">
        <v>3630</v>
      </c>
      <c r="H4032" s="379" t="s">
        <v>911</v>
      </c>
      <c r="I4032" s="384" t="s">
        <v>111</v>
      </c>
      <c r="J4032" s="385">
        <v>28464</v>
      </c>
      <c r="K4032" s="384"/>
      <c r="L4032" s="385">
        <v>16</v>
      </c>
      <c r="M4032" s="385">
        <v>16</v>
      </c>
      <c r="N4032" s="386"/>
      <c r="O4032" s="387">
        <v>0.15</v>
      </c>
      <c r="P4032" s="387"/>
      <c r="Q4032" s="386">
        <v>3352.8</v>
      </c>
      <c r="R4032" s="379" t="s">
        <v>35</v>
      </c>
      <c r="S4032" s="388" t="s">
        <v>41</v>
      </c>
      <c r="T4032" s="399">
        <v>16</v>
      </c>
      <c r="U4032" s="389" t="s">
        <v>164</v>
      </c>
      <c r="V4032" s="433"/>
      <c r="X4032" s="386">
        <v>3352.8</v>
      </c>
      <c r="Y4032" s="386"/>
      <c r="AJ4032" s="416">
        <v>3352.8</v>
      </c>
    </row>
    <row r="4033" spans="1:77" s="6" customFormat="1" ht="11.25" customHeight="1">
      <c r="A4033" s="473"/>
      <c r="B4033" s="486" t="s">
        <v>291</v>
      </c>
      <c r="C4033" s="487">
        <v>44777</v>
      </c>
      <c r="D4033" s="487">
        <v>44777</v>
      </c>
      <c r="E4033" s="488" t="s">
        <v>3134</v>
      </c>
      <c r="F4033" s="473" t="s">
        <v>3135</v>
      </c>
      <c r="G4033" s="489">
        <v>3550</v>
      </c>
      <c r="H4033" s="473" t="s">
        <v>765</v>
      </c>
      <c r="I4033" s="491" t="s">
        <v>888</v>
      </c>
      <c r="J4033" s="490">
        <v>7910</v>
      </c>
      <c r="K4033" s="491"/>
      <c r="L4033" s="490">
        <v>7.91</v>
      </c>
      <c r="M4033" s="490">
        <v>7.91</v>
      </c>
      <c r="N4033" s="492">
        <v>949</v>
      </c>
      <c r="O4033" s="493">
        <v>0.2</v>
      </c>
      <c r="P4033" s="493"/>
      <c r="Q4033" s="492">
        <v>0</v>
      </c>
      <c r="R4033" s="473" t="s">
        <v>105</v>
      </c>
      <c r="S4033" s="481" t="s">
        <v>30</v>
      </c>
      <c r="T4033" s="482">
        <v>71</v>
      </c>
      <c r="U4033" s="494" t="s">
        <v>164</v>
      </c>
      <c r="V4033" s="495"/>
      <c r="W4033" s="473"/>
      <c r="X4033" s="492">
        <v>0</v>
      </c>
      <c r="Y4033" s="492"/>
      <c r="Z4033" s="473"/>
      <c r="AA4033" s="473"/>
      <c r="AB4033" s="473"/>
      <c r="AC4033" s="473"/>
      <c r="AD4033" s="473"/>
      <c r="AE4033" s="473"/>
      <c r="AF4033" s="473"/>
      <c r="AG4033" s="473"/>
      <c r="AH4033" s="473"/>
      <c r="AI4033" s="473"/>
      <c r="AJ4033" s="485"/>
      <c r="AK4033" s="473">
        <v>0</v>
      </c>
      <c r="AL4033" s="473"/>
      <c r="AM4033" s="473"/>
      <c r="AN4033" s="473"/>
      <c r="AO4033" s="473"/>
      <c r="AP4033" s="473"/>
      <c r="AQ4033" s="473"/>
      <c r="AR4033" s="473"/>
      <c r="AS4033" s="473"/>
      <c r="AT4033" s="473"/>
      <c r="AU4033" s="473"/>
      <c r="AV4033" s="473"/>
      <c r="AW4033" s="473"/>
      <c r="AX4033" s="473"/>
      <c r="AY4033" s="473"/>
      <c r="AZ4033" s="473"/>
      <c r="BA4033" s="473"/>
      <c r="BB4033" s="473"/>
      <c r="BC4033" s="473"/>
      <c r="BD4033" s="473"/>
      <c r="BE4033" s="473"/>
      <c r="BF4033" s="473"/>
      <c r="BG4033" s="473"/>
      <c r="BH4033" s="473"/>
      <c r="BI4033" s="473"/>
      <c r="BJ4033" s="473"/>
      <c r="BK4033" s="473"/>
      <c r="BL4033" s="473"/>
      <c r="BM4033" s="473"/>
      <c r="BN4033" s="473"/>
      <c r="BO4033" s="473"/>
      <c r="BP4033" s="473"/>
      <c r="BQ4033" s="473"/>
      <c r="BR4033" s="473"/>
      <c r="BS4033" s="473"/>
      <c r="BT4033" s="473"/>
      <c r="BU4033" s="473"/>
      <c r="BV4033" s="473"/>
      <c r="BW4033" s="473"/>
      <c r="BX4033" s="473"/>
      <c r="BY4033" s="473"/>
    </row>
    <row r="4034" spans="1:77" s="6" customFormat="1" ht="11.25" customHeight="1">
      <c r="A4034" s="473"/>
      <c r="B4034" s="486" t="s">
        <v>291</v>
      </c>
      <c r="C4034" s="487"/>
      <c r="D4034" s="487"/>
      <c r="E4034" s="488" t="s">
        <v>3134</v>
      </c>
      <c r="F4034" s="473" t="s">
        <v>3135</v>
      </c>
      <c r="G4034" s="489">
        <v>3550</v>
      </c>
      <c r="H4034" s="473" t="s">
        <v>814</v>
      </c>
      <c r="I4034" s="491" t="s">
        <v>888</v>
      </c>
      <c r="J4034" s="490">
        <v>9824.64</v>
      </c>
      <c r="K4034" s="491"/>
      <c r="L4034" s="490">
        <v>12.9</v>
      </c>
      <c r="M4034" s="490">
        <v>12.9</v>
      </c>
      <c r="N4034" s="492">
        <v>1444</v>
      </c>
      <c r="O4034" s="493">
        <v>0.2</v>
      </c>
      <c r="P4034" s="493"/>
      <c r="Q4034" s="492">
        <v>0</v>
      </c>
      <c r="R4034" s="473" t="s">
        <v>105</v>
      </c>
      <c r="S4034" s="481" t="s">
        <v>30</v>
      </c>
      <c r="T4034" s="482">
        <v>71</v>
      </c>
      <c r="U4034" s="494" t="s">
        <v>164</v>
      </c>
      <c r="V4034" s="495"/>
      <c r="W4034" s="473"/>
      <c r="X4034" s="492">
        <v>0</v>
      </c>
      <c r="Y4034" s="492"/>
      <c r="Z4034" s="473"/>
      <c r="AA4034" s="473"/>
      <c r="AB4034" s="473"/>
      <c r="AC4034" s="473"/>
      <c r="AD4034" s="473"/>
      <c r="AE4034" s="473"/>
      <c r="AF4034" s="473"/>
      <c r="AG4034" s="473"/>
      <c r="AH4034" s="473"/>
      <c r="AI4034" s="473"/>
      <c r="AJ4034" s="485"/>
      <c r="AK4034" s="473">
        <v>0</v>
      </c>
      <c r="AL4034" s="473"/>
      <c r="AM4034" s="473"/>
      <c r="AN4034" s="473"/>
      <c r="AO4034" s="473"/>
      <c r="AP4034" s="473"/>
      <c r="AQ4034" s="473"/>
      <c r="AR4034" s="473"/>
      <c r="AS4034" s="473"/>
      <c r="AT4034" s="473"/>
      <c r="AU4034" s="473"/>
      <c r="AV4034" s="473"/>
      <c r="AW4034" s="473"/>
      <c r="AX4034" s="473"/>
      <c r="AY4034" s="473"/>
      <c r="AZ4034" s="473"/>
      <c r="BA4034" s="473"/>
      <c r="BB4034" s="473"/>
      <c r="BC4034" s="473"/>
      <c r="BD4034" s="473"/>
      <c r="BE4034" s="473"/>
      <c r="BF4034" s="473"/>
      <c r="BG4034" s="473"/>
      <c r="BH4034" s="473"/>
      <c r="BI4034" s="473"/>
      <c r="BJ4034" s="473"/>
      <c r="BK4034" s="473"/>
      <c r="BL4034" s="473"/>
      <c r="BM4034" s="473"/>
      <c r="BN4034" s="473"/>
      <c r="BO4034" s="473"/>
      <c r="BP4034" s="473"/>
      <c r="BQ4034" s="473"/>
      <c r="BR4034" s="473"/>
      <c r="BS4034" s="473"/>
      <c r="BT4034" s="473"/>
      <c r="BU4034" s="473"/>
      <c r="BV4034" s="473"/>
      <c r="BW4034" s="473"/>
      <c r="BX4034" s="473"/>
      <c r="BY4034" s="473"/>
    </row>
    <row r="4035" spans="1:77" s="473" customFormat="1" ht="11.25" customHeight="1">
      <c r="A4035" s="379"/>
      <c r="B4035" s="380" t="s">
        <v>291</v>
      </c>
      <c r="C4035" s="381"/>
      <c r="D4035" s="381"/>
      <c r="E4035" s="382" t="s">
        <v>3134</v>
      </c>
      <c r="F4035" s="379" t="s">
        <v>3135</v>
      </c>
      <c r="G4035" s="383">
        <v>3550</v>
      </c>
      <c r="H4035" s="379" t="s">
        <v>866</v>
      </c>
      <c r="I4035" s="384" t="s">
        <v>888</v>
      </c>
      <c r="J4035" s="385">
        <v>16575.3</v>
      </c>
      <c r="K4035" s="384"/>
      <c r="L4035" s="385">
        <v>17.54</v>
      </c>
      <c r="M4035" s="385">
        <v>17.54</v>
      </c>
      <c r="N4035" s="386">
        <v>2672.25</v>
      </c>
      <c r="O4035" s="387">
        <v>0.2</v>
      </c>
      <c r="P4035" s="387"/>
      <c r="Q4035" s="386">
        <v>0</v>
      </c>
      <c r="R4035" s="379" t="s">
        <v>105</v>
      </c>
      <c r="S4035" s="388" t="s">
        <v>30</v>
      </c>
      <c r="T4035" s="399">
        <v>71</v>
      </c>
      <c r="U4035" s="389" t="s">
        <v>164</v>
      </c>
      <c r="V4035" s="433"/>
      <c r="W4035" s="379"/>
      <c r="X4035" s="386">
        <v>0</v>
      </c>
      <c r="Y4035" s="386"/>
      <c r="Z4035" s="379"/>
      <c r="AA4035" s="379"/>
      <c r="AB4035" s="379"/>
      <c r="AC4035" s="379"/>
      <c r="AD4035" s="379"/>
      <c r="AE4035" s="379"/>
      <c r="AF4035" s="379"/>
      <c r="AG4035" s="379"/>
      <c r="AH4035" s="379"/>
      <c r="AI4035" s="379"/>
      <c r="AJ4035" s="390">
        <v>0</v>
      </c>
      <c r="AK4035" s="379"/>
      <c r="AL4035" s="379"/>
      <c r="AM4035" s="379"/>
      <c r="AN4035" s="379"/>
      <c r="AO4035" s="379"/>
      <c r="AP4035" s="379"/>
      <c r="AQ4035" s="379"/>
      <c r="AR4035" s="379"/>
      <c r="AS4035" s="379"/>
      <c r="AT4035" s="379"/>
      <c r="AU4035" s="379"/>
      <c r="AV4035" s="379"/>
      <c r="AW4035" s="379"/>
      <c r="AX4035" s="379"/>
      <c r="AY4035" s="379"/>
      <c r="AZ4035" s="379"/>
      <c r="BA4035" s="379"/>
      <c r="BB4035" s="379"/>
      <c r="BC4035" s="379"/>
      <c r="BD4035" s="379"/>
      <c r="BE4035" s="379"/>
      <c r="BF4035" s="379"/>
      <c r="BG4035" s="379"/>
      <c r="BH4035" s="379"/>
      <c r="BI4035" s="379"/>
      <c r="BJ4035" s="379"/>
      <c r="BK4035" s="379"/>
      <c r="BL4035" s="379"/>
      <c r="BM4035" s="379"/>
      <c r="BN4035" s="379"/>
      <c r="BO4035" s="379"/>
      <c r="BP4035" s="379"/>
      <c r="BQ4035" s="379"/>
      <c r="BR4035" s="379"/>
      <c r="BS4035" s="379"/>
      <c r="BT4035" s="379"/>
      <c r="BU4035" s="379"/>
      <c r="BV4035" s="379"/>
      <c r="BW4035" s="379"/>
      <c r="BX4035" s="379"/>
      <c r="BY4035" s="379"/>
    </row>
    <row r="4036" spans="1:77" s="473" customFormat="1" ht="11.25" customHeight="1">
      <c r="A4036" s="379"/>
      <c r="B4036" s="380" t="s">
        <v>291</v>
      </c>
      <c r="C4036" s="381"/>
      <c r="D4036" s="381"/>
      <c r="E4036" s="382" t="s">
        <v>3134</v>
      </c>
      <c r="F4036" s="379" t="s">
        <v>3135</v>
      </c>
      <c r="G4036" s="383">
        <v>3550</v>
      </c>
      <c r="H4036" s="379" t="s">
        <v>898</v>
      </c>
      <c r="I4036" s="384" t="s">
        <v>888</v>
      </c>
      <c r="J4036" s="385">
        <v>3693.42</v>
      </c>
      <c r="K4036" s="384"/>
      <c r="L4036" s="385">
        <v>4.26</v>
      </c>
      <c r="M4036" s="385">
        <v>4.26</v>
      </c>
      <c r="N4036" s="386">
        <v>724.2</v>
      </c>
      <c r="O4036" s="387">
        <v>0.2</v>
      </c>
      <c r="P4036" s="387"/>
      <c r="Q4036" s="386">
        <v>601.09</v>
      </c>
      <c r="R4036" s="379" t="s">
        <v>105</v>
      </c>
      <c r="S4036" s="388" t="s">
        <v>30</v>
      </c>
      <c r="T4036" s="399">
        <v>71</v>
      </c>
      <c r="U4036" s="389" t="s">
        <v>164</v>
      </c>
      <c r="V4036" s="433"/>
      <c r="W4036" s="379"/>
      <c r="X4036" s="386">
        <v>601.09</v>
      </c>
      <c r="Y4036" s="386"/>
      <c r="Z4036" s="379"/>
      <c r="AA4036" s="379"/>
      <c r="AB4036" s="379"/>
      <c r="AC4036" s="379"/>
      <c r="AD4036" s="379"/>
      <c r="AE4036" s="379"/>
      <c r="AF4036" s="379"/>
      <c r="AG4036" s="379"/>
      <c r="AH4036" s="379"/>
      <c r="AI4036" s="379"/>
      <c r="AJ4036" s="390">
        <v>601.09</v>
      </c>
      <c r="AK4036" s="379"/>
      <c r="AL4036" s="379"/>
      <c r="AM4036" s="379"/>
      <c r="AN4036" s="379"/>
      <c r="AO4036" s="379"/>
      <c r="AP4036" s="379"/>
      <c r="AQ4036" s="379"/>
      <c r="AR4036" s="379"/>
      <c r="AS4036" s="379"/>
      <c r="AT4036" s="379"/>
      <c r="AU4036" s="379"/>
      <c r="AV4036" s="379"/>
      <c r="AW4036" s="379"/>
      <c r="AX4036" s="379"/>
      <c r="AY4036" s="379"/>
      <c r="AZ4036" s="379"/>
      <c r="BA4036" s="379"/>
      <c r="BB4036" s="379"/>
      <c r="BC4036" s="379"/>
      <c r="BD4036" s="379"/>
      <c r="BE4036" s="379"/>
      <c r="BF4036" s="379"/>
      <c r="BG4036" s="379"/>
      <c r="BH4036" s="379"/>
      <c r="BI4036" s="379"/>
      <c r="BJ4036" s="379"/>
      <c r="BK4036" s="379"/>
      <c r="BL4036" s="379"/>
      <c r="BM4036" s="379"/>
      <c r="BN4036" s="379"/>
      <c r="BO4036" s="379"/>
      <c r="BP4036" s="379"/>
      <c r="BQ4036" s="379"/>
      <c r="BR4036" s="379"/>
      <c r="BS4036" s="379"/>
      <c r="BT4036" s="379"/>
      <c r="BU4036" s="379"/>
      <c r="BV4036" s="379"/>
      <c r="BW4036" s="379"/>
      <c r="BX4036" s="379"/>
      <c r="BY4036" s="379"/>
    </row>
    <row r="4037" spans="1:77" s="379" customFormat="1" ht="11.25" customHeight="1">
      <c r="B4037" s="380" t="s">
        <v>291</v>
      </c>
      <c r="C4037" s="381">
        <v>44777</v>
      </c>
      <c r="D4037" s="381">
        <v>44777</v>
      </c>
      <c r="E4037" s="382" t="s">
        <v>3136</v>
      </c>
      <c r="F4037" s="379" t="s">
        <v>3137</v>
      </c>
      <c r="G4037" s="383">
        <v>3969</v>
      </c>
      <c r="H4037" s="379" t="s">
        <v>866</v>
      </c>
      <c r="I4037" s="384" t="s">
        <v>961</v>
      </c>
      <c r="J4037" s="385">
        <v>5714.86</v>
      </c>
      <c r="K4037" s="384"/>
      <c r="L4037" s="385">
        <v>6.12</v>
      </c>
      <c r="M4037" s="385">
        <v>6.12</v>
      </c>
      <c r="N4037" s="386">
        <v>2088.7800000000002</v>
      </c>
      <c r="O4037" s="387">
        <v>0.25</v>
      </c>
      <c r="P4037" s="387"/>
      <c r="Q4037" s="386">
        <v>0</v>
      </c>
      <c r="R4037" s="379" t="s">
        <v>142</v>
      </c>
      <c r="S4037" s="388" t="s">
        <v>41</v>
      </c>
      <c r="T4037" s="399">
        <v>17</v>
      </c>
      <c r="U4037" s="389" t="s">
        <v>164</v>
      </c>
      <c r="V4037" s="433"/>
      <c r="X4037" s="386">
        <v>0</v>
      </c>
      <c r="Y4037" s="386"/>
      <c r="AJ4037" s="390">
        <v>0</v>
      </c>
    </row>
    <row r="4038" spans="1:77" s="379" customFormat="1" ht="11.25" customHeight="1">
      <c r="B4038" s="380" t="s">
        <v>291</v>
      </c>
      <c r="C4038" s="381"/>
      <c r="D4038" s="381"/>
      <c r="E4038" s="382" t="s">
        <v>3136</v>
      </c>
      <c r="F4038" s="379" t="s">
        <v>3137</v>
      </c>
      <c r="G4038" s="383">
        <v>3969</v>
      </c>
      <c r="H4038" s="379" t="s">
        <v>765</v>
      </c>
      <c r="I4038" s="384" t="s">
        <v>961</v>
      </c>
      <c r="J4038" s="385">
        <v>5000.93</v>
      </c>
      <c r="K4038" s="384"/>
      <c r="L4038" s="385">
        <v>4.5199999999999996</v>
      </c>
      <c r="M4038" s="385">
        <v>4.5199999999999996</v>
      </c>
      <c r="N4038" s="386">
        <v>1875.35</v>
      </c>
      <c r="O4038" s="387">
        <v>0.25</v>
      </c>
      <c r="P4038" s="387"/>
      <c r="Q4038" s="386">
        <v>0</v>
      </c>
      <c r="R4038" s="379" t="s">
        <v>142</v>
      </c>
      <c r="S4038" s="388" t="s">
        <v>41</v>
      </c>
      <c r="T4038" s="399">
        <v>17</v>
      </c>
      <c r="U4038" s="389" t="s">
        <v>164</v>
      </c>
      <c r="V4038" s="433"/>
      <c r="X4038" s="386">
        <v>0</v>
      </c>
      <c r="Y4038" s="386"/>
      <c r="AJ4038" s="390">
        <v>0</v>
      </c>
    </row>
    <row r="4039" spans="1:77" s="337" customFormat="1" ht="11.25" customHeight="1">
      <c r="B4039" s="338" t="s">
        <v>291</v>
      </c>
      <c r="C4039" s="349">
        <v>44774</v>
      </c>
      <c r="D4039" s="349">
        <v>44777</v>
      </c>
      <c r="E4039" s="350" t="s">
        <v>3138</v>
      </c>
      <c r="F4039" s="337" t="s">
        <v>1686</v>
      </c>
      <c r="G4039" s="351" t="s">
        <v>1687</v>
      </c>
      <c r="H4039" s="337" t="s">
        <v>765</v>
      </c>
      <c r="I4039" s="353" t="s">
        <v>111</v>
      </c>
      <c r="J4039" s="352">
        <v>24920.06</v>
      </c>
      <c r="K4039" s="353"/>
      <c r="L4039" s="352">
        <v>19.96</v>
      </c>
      <c r="M4039" s="352">
        <v>19.96</v>
      </c>
      <c r="N4039" s="354"/>
      <c r="O4039" s="355">
        <v>0.3</v>
      </c>
      <c r="P4039" s="355"/>
      <c r="Q4039" s="354">
        <v>4929.12</v>
      </c>
      <c r="R4039" s="337" t="s">
        <v>251</v>
      </c>
      <c r="S4039" s="356" t="s">
        <v>74</v>
      </c>
      <c r="T4039" s="346">
        <v>32</v>
      </c>
      <c r="U4039" s="357" t="s">
        <v>164</v>
      </c>
      <c r="V4039" s="434"/>
      <c r="X4039" s="354">
        <v>4929.12</v>
      </c>
      <c r="Y4039" s="354"/>
      <c r="AF4039" s="369"/>
      <c r="AI4039" s="369">
        <v>4929.12</v>
      </c>
      <c r="AJ4039" s="358"/>
      <c r="AK4039" s="369"/>
    </row>
    <row r="4040" spans="1:77" s="337" customFormat="1" ht="11.25" customHeight="1">
      <c r="B4040" s="338" t="s">
        <v>291</v>
      </c>
      <c r="C4040" s="349">
        <v>44776</v>
      </c>
      <c r="D4040" s="349">
        <v>44777</v>
      </c>
      <c r="E4040" s="350" t="s">
        <v>3139</v>
      </c>
      <c r="F4040" s="337" t="s">
        <v>1153</v>
      </c>
      <c r="G4040" s="351">
        <v>4604</v>
      </c>
      <c r="H4040" s="337" t="s">
        <v>866</v>
      </c>
      <c r="I4040" s="353" t="s">
        <v>33</v>
      </c>
      <c r="J4040" s="352">
        <v>84203.79</v>
      </c>
      <c r="K4040" s="353"/>
      <c r="L4040" s="352">
        <v>28.67</v>
      </c>
      <c r="M4040" s="352">
        <v>28.67</v>
      </c>
      <c r="N4040" s="354"/>
      <c r="O4040" s="355">
        <v>0.25</v>
      </c>
      <c r="P4040" s="355"/>
      <c r="Q4040" s="354">
        <v>0</v>
      </c>
      <c r="R4040" s="337" t="s">
        <v>281</v>
      </c>
      <c r="S4040" s="356" t="s">
        <v>228</v>
      </c>
      <c r="T4040" s="346">
        <v>58</v>
      </c>
      <c r="U4040" s="357" t="s">
        <v>164</v>
      </c>
      <c r="V4040" s="434"/>
      <c r="X4040" s="354">
        <v>0</v>
      </c>
      <c r="Y4040" s="354"/>
      <c r="AI4040" s="337">
        <v>0</v>
      </c>
      <c r="AJ4040" s="358"/>
      <c r="AK4040" s="369"/>
    </row>
    <row r="4041" spans="1:77" s="337" customFormat="1" ht="11.25" customHeight="1">
      <c r="B4041" s="337" t="s">
        <v>291</v>
      </c>
      <c r="C4041" s="349">
        <v>44776</v>
      </c>
      <c r="D4041" s="349">
        <v>44776</v>
      </c>
      <c r="E4041" s="350" t="s">
        <v>3140</v>
      </c>
      <c r="F4041" s="337" t="s">
        <v>422</v>
      </c>
      <c r="G4041" s="351">
        <v>4475</v>
      </c>
      <c r="H4041" s="337" t="s">
        <v>910</v>
      </c>
      <c r="I4041" s="353" t="s">
        <v>2900</v>
      </c>
      <c r="J4041" s="352">
        <v>61529.26</v>
      </c>
      <c r="K4041" s="353"/>
      <c r="L4041" s="352">
        <v>26.59</v>
      </c>
      <c r="M4041" s="352">
        <v>26.59</v>
      </c>
      <c r="N4041" s="354"/>
      <c r="O4041" s="355">
        <v>0.25</v>
      </c>
      <c r="P4041" s="355"/>
      <c r="Q4041" s="354">
        <v>0</v>
      </c>
      <c r="R4041" s="337" t="s">
        <v>42</v>
      </c>
      <c r="S4041" s="356" t="s">
        <v>41</v>
      </c>
      <c r="T4041" s="346">
        <v>17</v>
      </c>
      <c r="U4041" s="357" t="s">
        <v>164</v>
      </c>
      <c r="V4041" s="434"/>
      <c r="X4041" s="354">
        <v>0</v>
      </c>
      <c r="Y4041" s="354"/>
      <c r="AI4041" s="337">
        <v>0</v>
      </c>
      <c r="AJ4041" s="358"/>
      <c r="AK4041" s="369"/>
    </row>
    <row r="4042" spans="1:77" s="379" customFormat="1" ht="11.25" customHeight="1">
      <c r="B4042" s="380" t="s">
        <v>291</v>
      </c>
      <c r="C4042" s="381">
        <v>44777</v>
      </c>
      <c r="D4042" s="381">
        <v>44777</v>
      </c>
      <c r="E4042" s="382" t="s">
        <v>3141</v>
      </c>
      <c r="F4042" s="379" t="s">
        <v>946</v>
      </c>
      <c r="G4042" s="383">
        <v>4123</v>
      </c>
      <c r="H4042" s="379" t="s">
        <v>1141</v>
      </c>
      <c r="I4042" s="379" t="s">
        <v>958</v>
      </c>
      <c r="J4042" s="385">
        <v>31401.11</v>
      </c>
      <c r="K4042" s="384"/>
      <c r="L4042" s="385">
        <v>57.01</v>
      </c>
      <c r="M4042" s="385">
        <v>57.01</v>
      </c>
      <c r="N4042" s="386"/>
      <c r="O4042" s="387">
        <v>0.15</v>
      </c>
      <c r="P4042" s="387"/>
      <c r="Q4042" s="386">
        <v>9474.2099999999991</v>
      </c>
      <c r="R4042" s="379" t="s">
        <v>128</v>
      </c>
      <c r="S4042" s="388" t="s">
        <v>41</v>
      </c>
      <c r="T4042" s="388">
        <v>86</v>
      </c>
      <c r="U4042" s="389" t="s">
        <v>164</v>
      </c>
      <c r="V4042" s="433"/>
      <c r="X4042" s="386">
        <v>9474.2099999999991</v>
      </c>
      <c r="Y4042" s="386"/>
      <c r="AJ4042" s="416">
        <v>9474.2099999999991</v>
      </c>
    </row>
    <row r="4043" spans="1:77" s="379" customFormat="1" ht="11.25" customHeight="1">
      <c r="B4043" s="380" t="s">
        <v>291</v>
      </c>
      <c r="C4043" s="381"/>
      <c r="D4043" s="381"/>
      <c r="E4043" s="382" t="s">
        <v>3141</v>
      </c>
      <c r="F4043" s="379" t="s">
        <v>946</v>
      </c>
      <c r="G4043" s="383">
        <v>4123</v>
      </c>
      <c r="H4043" s="379" t="s">
        <v>765</v>
      </c>
      <c r="I4043" s="379" t="s">
        <v>958</v>
      </c>
      <c r="J4043" s="385">
        <v>53242.1</v>
      </c>
      <c r="K4043" s="384"/>
      <c r="L4043" s="385">
        <v>88.12</v>
      </c>
      <c r="M4043" s="385">
        <v>88.12</v>
      </c>
      <c r="N4043" s="386"/>
      <c r="O4043" s="387">
        <v>0.15</v>
      </c>
      <c r="P4043" s="387"/>
      <c r="Q4043" s="386">
        <v>6646.89</v>
      </c>
      <c r="R4043" s="379" t="s">
        <v>128</v>
      </c>
      <c r="S4043" s="388" t="s">
        <v>41</v>
      </c>
      <c r="T4043" s="388">
        <v>86</v>
      </c>
      <c r="U4043" s="389" t="s">
        <v>164</v>
      </c>
      <c r="V4043" s="433"/>
      <c r="X4043" s="386">
        <v>6646.89</v>
      </c>
      <c r="Y4043" s="386"/>
      <c r="AJ4043" s="416">
        <v>6646.89</v>
      </c>
    </row>
    <row r="4044" spans="1:77" s="337" customFormat="1" ht="11.25" customHeight="1">
      <c r="B4044" s="337" t="s">
        <v>291</v>
      </c>
      <c r="C4044" s="349">
        <v>44776</v>
      </c>
      <c r="D4044" s="349">
        <v>44776</v>
      </c>
      <c r="E4044" s="350" t="s">
        <v>3142</v>
      </c>
      <c r="F4044" s="337" t="s">
        <v>1914</v>
      </c>
      <c r="G4044" s="351">
        <v>4526</v>
      </c>
      <c r="H4044" s="337" t="s">
        <v>765</v>
      </c>
      <c r="I4044" s="353" t="s">
        <v>33</v>
      </c>
      <c r="J4044" s="352">
        <v>40952.839999999997</v>
      </c>
      <c r="K4044" s="353"/>
      <c r="L4044" s="352">
        <v>52.47</v>
      </c>
      <c r="M4044" s="352">
        <v>52.47</v>
      </c>
      <c r="N4044" s="354"/>
      <c r="O4044" s="355">
        <v>0.25</v>
      </c>
      <c r="P4044" s="355"/>
      <c r="Q4044" s="354">
        <v>5004.33</v>
      </c>
      <c r="R4044" s="337" t="s">
        <v>251</v>
      </c>
      <c r="S4044" s="356" t="s">
        <v>74</v>
      </c>
      <c r="T4044" s="356">
        <v>32</v>
      </c>
      <c r="U4044" s="357" t="s">
        <v>164</v>
      </c>
      <c r="V4044" s="434"/>
      <c r="X4044" s="354">
        <v>5004.33</v>
      </c>
      <c r="Y4044" s="354"/>
      <c r="AI4044" s="337">
        <v>5004.33</v>
      </c>
      <c r="AJ4044" s="358"/>
      <c r="AK4044" s="369"/>
    </row>
    <row r="4045" spans="1:77" s="291" customFormat="1" ht="11.25" customHeight="1">
      <c r="B4045" s="291" t="s">
        <v>291</v>
      </c>
      <c r="C4045" s="292">
        <v>44774</v>
      </c>
      <c r="D4045" s="292">
        <v>44777</v>
      </c>
      <c r="E4045" s="293" t="s">
        <v>3146</v>
      </c>
      <c r="F4045" s="291" t="s">
        <v>3147</v>
      </c>
      <c r="G4045" s="294">
        <v>4610</v>
      </c>
      <c r="H4045" s="291" t="s">
        <v>898</v>
      </c>
      <c r="I4045" s="295" t="s">
        <v>33</v>
      </c>
      <c r="J4045" s="296">
        <v>48098.5</v>
      </c>
      <c r="K4045" s="295"/>
      <c r="L4045" s="296">
        <v>35.94</v>
      </c>
      <c r="M4045" s="296">
        <v>35.94</v>
      </c>
      <c r="N4045" s="297">
        <v>11549.63</v>
      </c>
      <c r="O4045" s="298">
        <v>0.3</v>
      </c>
      <c r="P4045" s="298"/>
      <c r="Q4045" s="297">
        <v>0</v>
      </c>
      <c r="R4045" s="291" t="s">
        <v>29</v>
      </c>
      <c r="S4045" s="299" t="s">
        <v>30</v>
      </c>
      <c r="T4045" s="299">
        <v>25</v>
      </c>
      <c r="U4045" s="300" t="s">
        <v>164</v>
      </c>
      <c r="V4045" s="333"/>
      <c r="W4045" s="291" t="s">
        <v>3891</v>
      </c>
      <c r="X4045" s="297">
        <v>0</v>
      </c>
      <c r="Y4045" s="297"/>
      <c r="AH4045" s="291">
        <f>X4045</f>
        <v>0</v>
      </c>
      <c r="AI4045" s="311"/>
      <c r="AJ4045" s="468"/>
    </row>
    <row r="4046" spans="1:77" s="291" customFormat="1" ht="11.25" customHeight="1">
      <c r="B4046" s="291" t="s">
        <v>291</v>
      </c>
      <c r="C4046" s="292"/>
      <c r="D4046" s="292"/>
      <c r="E4046" s="293" t="s">
        <v>3146</v>
      </c>
      <c r="F4046" s="291" t="s">
        <v>3147</v>
      </c>
      <c r="G4046" s="294">
        <v>4610</v>
      </c>
      <c r="H4046" s="291" t="s">
        <v>898</v>
      </c>
      <c r="I4046" s="295" t="s">
        <v>33</v>
      </c>
      <c r="J4046" s="296">
        <v>9100.44</v>
      </c>
      <c r="K4046" s="295"/>
      <c r="L4046" s="296">
        <v>6.8</v>
      </c>
      <c r="M4046" s="296">
        <v>6.8</v>
      </c>
      <c r="N4046" s="297">
        <v>2199.9299999999998</v>
      </c>
      <c r="O4046" s="298">
        <v>0.3</v>
      </c>
      <c r="P4046" s="298"/>
      <c r="Q4046" s="297">
        <v>7343.16</v>
      </c>
      <c r="R4046" s="291" t="s">
        <v>29</v>
      </c>
      <c r="S4046" s="299" t="s">
        <v>30</v>
      </c>
      <c r="T4046" s="299">
        <v>70</v>
      </c>
      <c r="U4046" s="300" t="s">
        <v>164</v>
      </c>
      <c r="V4046" s="333"/>
      <c r="X4046" s="297">
        <v>7343.16</v>
      </c>
      <c r="Y4046" s="297"/>
      <c r="AH4046" s="291">
        <f>X4046</f>
        <v>7343.16</v>
      </c>
      <c r="AI4046" s="311"/>
      <c r="AJ4046" s="468"/>
    </row>
    <row r="4047" spans="1:77" s="379" customFormat="1" ht="11.25" customHeight="1">
      <c r="B4047" s="379" t="s">
        <v>291</v>
      </c>
      <c r="C4047" s="381">
        <v>44777</v>
      </c>
      <c r="D4047" s="381">
        <v>44777</v>
      </c>
      <c r="E4047" s="382" t="s">
        <v>3148</v>
      </c>
      <c r="F4047" s="379" t="s">
        <v>213</v>
      </c>
      <c r="G4047" s="383">
        <v>4130</v>
      </c>
      <c r="H4047" s="379" t="s">
        <v>814</v>
      </c>
      <c r="I4047" s="379" t="s">
        <v>888</v>
      </c>
      <c r="J4047" s="385">
        <v>34129.800000000003</v>
      </c>
      <c r="K4047" s="384"/>
      <c r="L4047" s="385">
        <v>33.5</v>
      </c>
      <c r="M4047" s="385">
        <v>33.799999999999997</v>
      </c>
      <c r="N4047" s="386"/>
      <c r="O4047" s="387">
        <v>0.2</v>
      </c>
      <c r="P4047" s="387"/>
      <c r="Q4047" s="386">
        <v>17173.439999999999</v>
      </c>
      <c r="R4047" s="379" t="s">
        <v>146</v>
      </c>
      <c r="S4047" s="388" t="s">
        <v>74</v>
      </c>
      <c r="T4047" s="388">
        <v>31</v>
      </c>
      <c r="U4047" s="389" t="s">
        <v>164</v>
      </c>
      <c r="V4047" s="433"/>
      <c r="X4047" s="386">
        <v>17173.439999999999</v>
      </c>
      <c r="Y4047" s="386"/>
      <c r="AJ4047" s="416">
        <v>17173.439999999999</v>
      </c>
    </row>
    <row r="4048" spans="1:77" s="379" customFormat="1" ht="11.25" customHeight="1">
      <c r="B4048" s="379" t="s">
        <v>291</v>
      </c>
      <c r="C4048" s="381"/>
      <c r="D4048" s="381"/>
      <c r="E4048" s="382" t="s">
        <v>3148</v>
      </c>
      <c r="F4048" s="379" t="s">
        <v>213</v>
      </c>
      <c r="G4048" s="383">
        <v>4130</v>
      </c>
      <c r="H4048" s="379" t="s">
        <v>765</v>
      </c>
      <c r="I4048" s="379" t="s">
        <v>888</v>
      </c>
      <c r="J4048" s="385">
        <v>16450</v>
      </c>
      <c r="K4048" s="384"/>
      <c r="L4048" s="385">
        <v>23.5</v>
      </c>
      <c r="M4048" s="385">
        <v>23.5</v>
      </c>
      <c r="N4048" s="386"/>
      <c r="O4048" s="387">
        <v>0.2</v>
      </c>
      <c r="P4048" s="387"/>
      <c r="Q4048" s="386">
        <v>2714.25</v>
      </c>
      <c r="R4048" s="379" t="s">
        <v>146</v>
      </c>
      <c r="S4048" s="388" t="s">
        <v>74</v>
      </c>
      <c r="T4048" s="388">
        <v>31</v>
      </c>
      <c r="U4048" s="389" t="s">
        <v>164</v>
      </c>
      <c r="V4048" s="433"/>
      <c r="X4048" s="386">
        <v>2714.25</v>
      </c>
      <c r="Y4048" s="386"/>
      <c r="AJ4048" s="416">
        <v>2714.25</v>
      </c>
    </row>
    <row r="4049" spans="1:77" s="507" customFormat="1" ht="11.25" customHeight="1">
      <c r="B4049" s="508" t="s">
        <v>291</v>
      </c>
      <c r="C4049" s="509">
        <v>44777</v>
      </c>
      <c r="D4049" s="509">
        <v>44777</v>
      </c>
      <c r="E4049" s="510" t="s">
        <v>3149</v>
      </c>
      <c r="F4049" s="507" t="s">
        <v>1411</v>
      </c>
      <c r="G4049" s="521">
        <v>3765</v>
      </c>
      <c r="H4049" s="507" t="s">
        <v>866</v>
      </c>
      <c r="I4049" s="507" t="s">
        <v>888</v>
      </c>
      <c r="J4049" s="513">
        <v>11708.64</v>
      </c>
      <c r="K4049" s="512"/>
      <c r="L4049" s="513">
        <v>7.54</v>
      </c>
      <c r="M4049" s="513">
        <v>7.55</v>
      </c>
      <c r="N4049" s="514"/>
      <c r="O4049" s="515">
        <v>0.2</v>
      </c>
      <c r="P4049" s="515"/>
      <c r="Q4049" s="514">
        <v>5638.43</v>
      </c>
      <c r="R4049" s="507" t="s">
        <v>128</v>
      </c>
      <c r="S4049" s="516" t="s">
        <v>41</v>
      </c>
      <c r="T4049" s="516">
        <v>16</v>
      </c>
      <c r="U4049" s="517" t="s">
        <v>164</v>
      </c>
      <c r="V4049" s="518"/>
      <c r="X4049" s="514">
        <v>5638.43</v>
      </c>
      <c r="Y4049" s="514"/>
      <c r="AJ4049" s="522"/>
      <c r="AL4049" s="514">
        <v>5638.43</v>
      </c>
    </row>
    <row r="4050" spans="1:77" s="291" customFormat="1" ht="11.25" customHeight="1">
      <c r="B4050" s="310" t="s">
        <v>291</v>
      </c>
      <c r="C4050" s="292">
        <v>44777</v>
      </c>
      <c r="D4050" s="292">
        <v>44777</v>
      </c>
      <c r="E4050" s="293" t="s">
        <v>3150</v>
      </c>
      <c r="F4050" s="291" t="s">
        <v>3151</v>
      </c>
      <c r="G4050" s="294" t="s">
        <v>3152</v>
      </c>
      <c r="H4050" s="291" t="s">
        <v>866</v>
      </c>
      <c r="I4050" s="295" t="s">
        <v>33</v>
      </c>
      <c r="J4050" s="296">
        <v>3501</v>
      </c>
      <c r="K4050" s="295"/>
      <c r="L4050" s="296">
        <v>1.25</v>
      </c>
      <c r="M4050" s="296">
        <v>1.25</v>
      </c>
      <c r="N4050" s="297">
        <v>1400.4</v>
      </c>
      <c r="O4050" s="298">
        <v>0.15</v>
      </c>
      <c r="P4050" s="298"/>
      <c r="Q4050" s="297">
        <v>2141.85</v>
      </c>
      <c r="R4050" s="291" t="s">
        <v>112</v>
      </c>
      <c r="S4050" s="299" t="s">
        <v>113</v>
      </c>
      <c r="T4050" s="299">
        <v>64</v>
      </c>
      <c r="U4050" s="300" t="s">
        <v>164</v>
      </c>
      <c r="V4050" s="333"/>
      <c r="X4050" s="297">
        <v>2141.85</v>
      </c>
      <c r="Y4050" s="297"/>
      <c r="AH4050" s="311">
        <f>X4050</f>
        <v>2141.85</v>
      </c>
      <c r="AI4050" s="311"/>
      <c r="AJ4050" s="468"/>
    </row>
    <row r="4051" spans="1:77" s="473" customFormat="1" ht="11.25" customHeight="1">
      <c r="B4051" s="486" t="s">
        <v>291</v>
      </c>
      <c r="C4051" s="487">
        <v>44776</v>
      </c>
      <c r="D4051" s="487">
        <v>44776</v>
      </c>
      <c r="E4051" s="488" t="s">
        <v>3153</v>
      </c>
      <c r="F4051" s="473" t="s">
        <v>1322</v>
      </c>
      <c r="G4051" s="476">
        <v>4476</v>
      </c>
      <c r="H4051" s="473" t="s">
        <v>765</v>
      </c>
      <c r="I4051" s="472" t="s">
        <v>888</v>
      </c>
      <c r="J4051" s="490">
        <v>43171.26</v>
      </c>
      <c r="K4051" s="491"/>
      <c r="L4051" s="490">
        <v>26.34</v>
      </c>
      <c r="M4051" s="490">
        <v>26.34</v>
      </c>
      <c r="N4051" s="492"/>
      <c r="O4051" s="493">
        <v>0.3</v>
      </c>
      <c r="P4051" s="493"/>
      <c r="Q4051" s="492">
        <v>0</v>
      </c>
      <c r="R4051" s="473" t="s">
        <v>128</v>
      </c>
      <c r="S4051" s="481" t="s">
        <v>41</v>
      </c>
      <c r="T4051" s="481">
        <v>79</v>
      </c>
      <c r="U4051" s="494" t="s">
        <v>164</v>
      </c>
      <c r="V4051" s="495"/>
      <c r="X4051" s="492">
        <v>0</v>
      </c>
      <c r="Y4051" s="492"/>
      <c r="AJ4051" s="485"/>
      <c r="AK4051" s="473">
        <v>0</v>
      </c>
    </row>
    <row r="4052" spans="1:77" s="473" customFormat="1" ht="11.25" customHeight="1">
      <c r="B4052" s="486" t="s">
        <v>291</v>
      </c>
      <c r="C4052" s="487">
        <v>44776</v>
      </c>
      <c r="D4052" s="487">
        <v>44777</v>
      </c>
      <c r="E4052" s="488" t="s">
        <v>3154</v>
      </c>
      <c r="F4052" s="473" t="s">
        <v>1282</v>
      </c>
      <c r="G4052" s="489">
        <v>4578</v>
      </c>
      <c r="H4052" s="473" t="s">
        <v>814</v>
      </c>
      <c r="I4052" s="473" t="s">
        <v>1426</v>
      </c>
      <c r="J4052" s="490">
        <v>45368.19</v>
      </c>
      <c r="K4052" s="491"/>
      <c r="L4052" s="490">
        <v>31.31</v>
      </c>
      <c r="M4052" s="490">
        <v>31.31</v>
      </c>
      <c r="N4052" s="492"/>
      <c r="O4052" s="493">
        <v>0.2</v>
      </c>
      <c r="P4052" s="493"/>
      <c r="Q4052" s="492">
        <v>8166.27</v>
      </c>
      <c r="R4052" s="473" t="s">
        <v>73</v>
      </c>
      <c r="S4052" s="481" t="s">
        <v>65</v>
      </c>
      <c r="T4052" s="481">
        <v>11</v>
      </c>
      <c r="U4052" s="494" t="s">
        <v>164</v>
      </c>
      <c r="V4052" s="495"/>
      <c r="X4052" s="492">
        <v>8166.27</v>
      </c>
      <c r="Y4052" s="492"/>
      <c r="AJ4052" s="485"/>
      <c r="AK4052" s="505">
        <v>8166.27</v>
      </c>
    </row>
    <row r="4053" spans="1:77" s="337" customFormat="1" ht="11.25" customHeight="1">
      <c r="B4053" s="338" t="s">
        <v>291</v>
      </c>
      <c r="C4053" s="349">
        <v>44777</v>
      </c>
      <c r="D4053" s="349">
        <v>44777</v>
      </c>
      <c r="E4053" s="350" t="s">
        <v>3155</v>
      </c>
      <c r="F4053" s="337" t="s">
        <v>2061</v>
      </c>
      <c r="G4053" s="351" t="s">
        <v>2062</v>
      </c>
      <c r="H4053" s="337" t="s">
        <v>866</v>
      </c>
      <c r="I4053" s="337" t="s">
        <v>888</v>
      </c>
      <c r="J4053" s="352">
        <v>30981.599999999999</v>
      </c>
      <c r="K4053" s="353"/>
      <c r="L4053" s="352">
        <v>19.86</v>
      </c>
      <c r="M4053" s="352">
        <v>19.66</v>
      </c>
      <c r="N4053" s="354"/>
      <c r="O4053" s="355">
        <v>0.25</v>
      </c>
      <c r="P4053" s="355"/>
      <c r="Q4053" s="354">
        <v>10037.24</v>
      </c>
      <c r="R4053" s="337" t="s">
        <v>35</v>
      </c>
      <c r="S4053" s="356" t="s">
        <v>41</v>
      </c>
      <c r="T4053" s="356">
        <v>16</v>
      </c>
      <c r="U4053" s="357" t="s">
        <v>164</v>
      </c>
      <c r="V4053" s="434"/>
      <c r="X4053" s="354">
        <v>10037.24</v>
      </c>
      <c r="Y4053" s="354"/>
      <c r="AI4053" s="354">
        <v>10037.24</v>
      </c>
      <c r="AJ4053" s="358"/>
      <c r="AK4053" s="369"/>
    </row>
    <row r="4054" spans="1:77" s="473" customFormat="1" ht="11.25" customHeight="1">
      <c r="A4054" s="473" t="s">
        <v>3893</v>
      </c>
      <c r="B4054" s="486" t="s">
        <v>291</v>
      </c>
      <c r="C4054" s="487">
        <v>44777</v>
      </c>
      <c r="D4054" s="487">
        <v>44777</v>
      </c>
      <c r="E4054" s="488" t="s">
        <v>3156</v>
      </c>
      <c r="F4054" s="473" t="s">
        <v>3157</v>
      </c>
      <c r="G4054" s="489">
        <v>4496</v>
      </c>
      <c r="H4054" s="473" t="s">
        <v>898</v>
      </c>
      <c r="I4054" s="473" t="s">
        <v>958</v>
      </c>
      <c r="J4054" s="490">
        <v>50085</v>
      </c>
      <c r="K4054" s="491"/>
      <c r="L4054" s="490">
        <v>47.7</v>
      </c>
      <c r="M4054" s="490">
        <v>47.7</v>
      </c>
      <c r="N4054" s="492">
        <v>40068</v>
      </c>
      <c r="O4054" s="493">
        <v>0.15</v>
      </c>
      <c r="P4054" s="493"/>
      <c r="Q4054" s="492">
        <f>N4054-J4054*O4054</f>
        <v>32555.25</v>
      </c>
      <c r="R4054" s="473" t="s">
        <v>142</v>
      </c>
      <c r="S4054" s="481" t="s">
        <v>41</v>
      </c>
      <c r="T4054" s="481">
        <v>24</v>
      </c>
      <c r="U4054" s="494" t="s">
        <v>164</v>
      </c>
      <c r="V4054" s="495"/>
      <c r="X4054" s="492">
        <v>32555.25</v>
      </c>
      <c r="Y4054" s="492"/>
      <c r="AJ4054" s="485"/>
      <c r="AK4054" s="505">
        <v>32555.25</v>
      </c>
    </row>
    <row r="4055" spans="1:77" s="337" customFormat="1" ht="11.25" customHeight="1">
      <c r="B4055" s="338" t="s">
        <v>291</v>
      </c>
      <c r="C4055" s="349">
        <v>44777</v>
      </c>
      <c r="D4055" s="349">
        <v>44777</v>
      </c>
      <c r="E4055" s="350" t="s">
        <v>3158</v>
      </c>
      <c r="F4055" s="337" t="s">
        <v>3159</v>
      </c>
      <c r="G4055" s="351" t="s">
        <v>3160</v>
      </c>
      <c r="H4055" s="337" t="s">
        <v>866</v>
      </c>
      <c r="I4055" s="337" t="s">
        <v>888</v>
      </c>
      <c r="J4055" s="352">
        <v>7605</v>
      </c>
      <c r="K4055" s="353"/>
      <c r="L4055" s="352">
        <v>5.07</v>
      </c>
      <c r="M4055" s="352">
        <v>5.03</v>
      </c>
      <c r="N4055" s="354">
        <v>4457.3999999999996</v>
      </c>
      <c r="O4055" s="355">
        <v>0.2</v>
      </c>
      <c r="P4055" s="355"/>
      <c r="Q4055" s="354">
        <v>3609.24</v>
      </c>
      <c r="R4055" s="337" t="s">
        <v>112</v>
      </c>
      <c r="S4055" s="356" t="s">
        <v>113</v>
      </c>
      <c r="T4055" s="356">
        <v>64</v>
      </c>
      <c r="U4055" s="357" t="s">
        <v>164</v>
      </c>
      <c r="V4055" s="434"/>
      <c r="X4055" s="354">
        <v>3609.24</v>
      </c>
      <c r="Y4055" s="354"/>
      <c r="AI4055" s="337">
        <f>X4055</f>
        <v>3609.24</v>
      </c>
      <c r="AJ4055" s="358"/>
      <c r="AK4055" s="369"/>
    </row>
    <row r="4056" spans="1:77" s="379" customFormat="1" ht="11.25" customHeight="1">
      <c r="B4056" s="380" t="s">
        <v>291</v>
      </c>
      <c r="C4056" s="381">
        <v>44777</v>
      </c>
      <c r="D4056" s="381">
        <v>44777</v>
      </c>
      <c r="E4056" s="382" t="s">
        <v>3163</v>
      </c>
      <c r="F4056" s="379" t="s">
        <v>1727</v>
      </c>
      <c r="G4056" s="383" t="s">
        <v>1728</v>
      </c>
      <c r="H4056" s="379" t="s">
        <v>765</v>
      </c>
      <c r="I4056" s="379" t="s">
        <v>888</v>
      </c>
      <c r="J4056" s="385">
        <v>4222.37</v>
      </c>
      <c r="K4056" s="384"/>
      <c r="L4056" s="385">
        <v>3.62</v>
      </c>
      <c r="M4056" s="385">
        <v>3.62</v>
      </c>
      <c r="N4056" s="386"/>
      <c r="O4056" s="387">
        <v>0.15</v>
      </c>
      <c r="P4056" s="387"/>
      <c r="Q4056" s="386">
        <v>1330.13</v>
      </c>
      <c r="R4056" s="379" t="s">
        <v>149</v>
      </c>
      <c r="S4056" s="388" t="s">
        <v>113</v>
      </c>
      <c r="T4056" s="388">
        <v>40</v>
      </c>
      <c r="U4056" s="389" t="s">
        <v>164</v>
      </c>
      <c r="V4056" s="433"/>
      <c r="X4056" s="386">
        <v>1330.13</v>
      </c>
      <c r="Y4056" s="386"/>
      <c r="AJ4056" s="416">
        <v>1330.13</v>
      </c>
    </row>
    <row r="4057" spans="1:77" s="379" customFormat="1" ht="11.25" customHeight="1">
      <c r="B4057" s="380" t="s">
        <v>291</v>
      </c>
      <c r="C4057" s="381"/>
      <c r="D4057" s="381"/>
      <c r="E4057" s="382" t="s">
        <v>3163</v>
      </c>
      <c r="F4057" s="379" t="s">
        <v>1727</v>
      </c>
      <c r="G4057" s="383" t="s">
        <v>1728</v>
      </c>
      <c r="H4057" s="379" t="s">
        <v>866</v>
      </c>
      <c r="I4057" s="379" t="s">
        <v>888</v>
      </c>
      <c r="J4057" s="385">
        <v>49536.82</v>
      </c>
      <c r="K4057" s="384"/>
      <c r="L4057" s="385">
        <v>26.53</v>
      </c>
      <c r="M4057" s="385">
        <v>26.53</v>
      </c>
      <c r="N4057" s="386"/>
      <c r="O4057" s="387">
        <v>0.15</v>
      </c>
      <c r="P4057" s="387"/>
      <c r="Q4057" s="386">
        <v>13666.13</v>
      </c>
      <c r="R4057" s="379" t="s">
        <v>149</v>
      </c>
      <c r="S4057" s="388" t="s">
        <v>113</v>
      </c>
      <c r="T4057" s="388">
        <v>40</v>
      </c>
      <c r="U4057" s="389" t="s">
        <v>164</v>
      </c>
      <c r="V4057" s="433"/>
      <c r="X4057" s="386">
        <v>13666.13</v>
      </c>
      <c r="Y4057" s="386"/>
      <c r="AJ4057" s="416">
        <v>13666.13</v>
      </c>
    </row>
    <row r="4058" spans="1:77" s="337" customFormat="1" ht="11.25" customHeight="1">
      <c r="B4058" s="338" t="s">
        <v>291</v>
      </c>
      <c r="C4058" s="349"/>
      <c r="D4058" s="349"/>
      <c r="E4058" s="350" t="s">
        <v>3164</v>
      </c>
      <c r="F4058" s="337" t="s">
        <v>3165</v>
      </c>
      <c r="G4058" s="351">
        <v>3807</v>
      </c>
      <c r="H4058" s="337" t="s">
        <v>910</v>
      </c>
      <c r="I4058" s="337" t="s">
        <v>888</v>
      </c>
      <c r="J4058" s="352">
        <v>23588.11</v>
      </c>
      <c r="K4058" s="353"/>
      <c r="L4058" s="352">
        <v>13</v>
      </c>
      <c r="M4058" s="352">
        <v>13</v>
      </c>
      <c r="N4058" s="354"/>
      <c r="O4058" s="355">
        <v>0.25</v>
      </c>
      <c r="P4058" s="355"/>
      <c r="Q4058" s="354">
        <v>0</v>
      </c>
      <c r="R4058" s="337" t="s">
        <v>128</v>
      </c>
      <c r="S4058" s="356" t="s">
        <v>41</v>
      </c>
      <c r="T4058" s="356">
        <v>79</v>
      </c>
      <c r="U4058" s="357" t="s">
        <v>164</v>
      </c>
      <c r="V4058" s="434"/>
      <c r="X4058" s="354">
        <v>0</v>
      </c>
      <c r="Y4058" s="354"/>
      <c r="AI4058" s="337">
        <f>X4058</f>
        <v>0</v>
      </c>
      <c r="AJ4058" s="358"/>
      <c r="AK4058" s="369"/>
    </row>
    <row r="4059" spans="1:77" s="337" customFormat="1" ht="11.25" customHeight="1">
      <c r="B4059" s="338" t="s">
        <v>291</v>
      </c>
      <c r="C4059" s="349">
        <v>44777</v>
      </c>
      <c r="D4059" s="349">
        <v>44777</v>
      </c>
      <c r="E4059" s="350" t="s">
        <v>3164</v>
      </c>
      <c r="F4059" s="337" t="s">
        <v>3165</v>
      </c>
      <c r="G4059" s="351">
        <v>3807</v>
      </c>
      <c r="H4059" s="337" t="s">
        <v>866</v>
      </c>
      <c r="I4059" s="337" t="s">
        <v>888</v>
      </c>
      <c r="J4059" s="352">
        <v>33810</v>
      </c>
      <c r="K4059" s="353"/>
      <c r="L4059" s="352">
        <v>28</v>
      </c>
      <c r="M4059" s="352">
        <v>24</v>
      </c>
      <c r="N4059" s="354"/>
      <c r="O4059" s="355">
        <v>0.25</v>
      </c>
      <c r="P4059" s="355"/>
      <c r="Q4059" s="354">
        <v>4499.63</v>
      </c>
      <c r="R4059" s="337" t="s">
        <v>128</v>
      </c>
      <c r="S4059" s="356" t="s">
        <v>41</v>
      </c>
      <c r="T4059" s="356">
        <v>79</v>
      </c>
      <c r="U4059" s="357" t="s">
        <v>164</v>
      </c>
      <c r="V4059" s="434"/>
      <c r="X4059" s="354">
        <v>4499.63</v>
      </c>
      <c r="Y4059" s="354"/>
      <c r="AI4059" s="354">
        <v>4499.63</v>
      </c>
      <c r="AJ4059" s="358"/>
      <c r="AK4059" s="369"/>
    </row>
    <row r="4060" spans="1:77" s="337" customFormat="1" ht="11.25" customHeight="1">
      <c r="B4060" s="338" t="s">
        <v>291</v>
      </c>
      <c r="C4060" s="349"/>
      <c r="D4060" s="349"/>
      <c r="E4060" s="350" t="s">
        <v>3164</v>
      </c>
      <c r="F4060" s="337" t="s">
        <v>3165</v>
      </c>
      <c r="G4060" s="351">
        <v>3807</v>
      </c>
      <c r="H4060" s="337" t="s">
        <v>765</v>
      </c>
      <c r="I4060" s="337" t="s">
        <v>888</v>
      </c>
      <c r="J4060" s="352">
        <v>32270</v>
      </c>
      <c r="K4060" s="353"/>
      <c r="L4060" s="352">
        <v>25</v>
      </c>
      <c r="M4060" s="352">
        <v>25</v>
      </c>
      <c r="N4060" s="354"/>
      <c r="O4060" s="355">
        <v>0.25</v>
      </c>
      <c r="P4060" s="355"/>
      <c r="Q4060" s="354">
        <v>9220</v>
      </c>
      <c r="R4060" s="337" t="s">
        <v>128</v>
      </c>
      <c r="S4060" s="356" t="s">
        <v>41</v>
      </c>
      <c r="T4060" s="356">
        <v>79</v>
      </c>
      <c r="U4060" s="357" t="s">
        <v>164</v>
      </c>
      <c r="V4060" s="434"/>
      <c r="X4060" s="354">
        <v>9220</v>
      </c>
      <c r="Y4060" s="354"/>
      <c r="AI4060" s="354">
        <v>9220</v>
      </c>
      <c r="AJ4060" s="358"/>
      <c r="AK4060" s="369"/>
    </row>
    <row r="4061" spans="1:77" s="337" customFormat="1" ht="11.25" customHeight="1">
      <c r="B4061" s="367" t="s">
        <v>291</v>
      </c>
      <c r="C4061" s="349">
        <v>44777</v>
      </c>
      <c r="D4061" s="349">
        <v>44777</v>
      </c>
      <c r="E4061" s="350" t="s">
        <v>3166</v>
      </c>
      <c r="F4061" s="341" t="s">
        <v>1216</v>
      </c>
      <c r="G4061" s="351">
        <v>3542</v>
      </c>
      <c r="H4061" s="337" t="s">
        <v>814</v>
      </c>
      <c r="I4061" s="337" t="s">
        <v>1296</v>
      </c>
      <c r="J4061" s="352">
        <v>8842.08</v>
      </c>
      <c r="K4061" s="353"/>
      <c r="L4061" s="352">
        <v>10.14</v>
      </c>
      <c r="M4061" s="352">
        <v>10.14</v>
      </c>
      <c r="N4061" s="354">
        <v>1744</v>
      </c>
      <c r="O4061" s="355">
        <v>0.15</v>
      </c>
      <c r="P4061" s="355"/>
      <c r="Q4061" s="354">
        <v>701.69</v>
      </c>
      <c r="R4061" s="341" t="s">
        <v>105</v>
      </c>
      <c r="S4061" s="346" t="s">
        <v>30</v>
      </c>
      <c r="T4061" s="356">
        <v>39</v>
      </c>
      <c r="U4061" s="357" t="s">
        <v>164</v>
      </c>
      <c r="V4061" s="434"/>
      <c r="X4061" s="354">
        <v>701.69</v>
      </c>
      <c r="Y4061" s="354"/>
      <c r="AG4061" s="369"/>
      <c r="AI4061" s="369">
        <f>X4061</f>
        <v>701.69</v>
      </c>
      <c r="AJ4061" s="358"/>
      <c r="AK4061" s="369"/>
    </row>
    <row r="4062" spans="1:77" s="6" customFormat="1" ht="11.25" customHeight="1">
      <c r="A4062" s="379"/>
      <c r="B4062" s="380" t="s">
        <v>291</v>
      </c>
      <c r="C4062" s="381">
        <v>44776</v>
      </c>
      <c r="D4062" s="381">
        <v>44777</v>
      </c>
      <c r="E4062" s="382" t="s">
        <v>3167</v>
      </c>
      <c r="F4062" s="379" t="s">
        <v>2048</v>
      </c>
      <c r="G4062" s="383">
        <v>3528</v>
      </c>
      <c r="H4062" s="379" t="s">
        <v>765</v>
      </c>
      <c r="I4062" s="384" t="s">
        <v>888</v>
      </c>
      <c r="J4062" s="385">
        <v>26595</v>
      </c>
      <c r="K4062" s="384"/>
      <c r="L4062" s="385">
        <v>30</v>
      </c>
      <c r="M4062" s="385">
        <v>30</v>
      </c>
      <c r="N4062" s="386"/>
      <c r="O4062" s="387">
        <v>0.2</v>
      </c>
      <c r="P4062" s="387"/>
      <c r="Q4062" s="386">
        <v>0</v>
      </c>
      <c r="R4062" s="379" t="s">
        <v>73</v>
      </c>
      <c r="S4062" s="388" t="s">
        <v>74</v>
      </c>
      <c r="T4062" s="388">
        <v>31</v>
      </c>
      <c r="U4062" s="389" t="s">
        <v>164</v>
      </c>
      <c r="V4062" s="433"/>
      <c r="W4062" s="379"/>
      <c r="X4062" s="386">
        <v>0</v>
      </c>
      <c r="Y4062" s="386"/>
      <c r="Z4062" s="379"/>
      <c r="AA4062" s="379"/>
      <c r="AB4062" s="379"/>
      <c r="AC4062" s="379"/>
      <c r="AD4062" s="379"/>
      <c r="AE4062" s="379"/>
      <c r="AF4062" s="379"/>
      <c r="AG4062" s="379"/>
      <c r="AH4062" s="379"/>
      <c r="AI4062" s="379"/>
      <c r="AJ4062" s="390">
        <v>0</v>
      </c>
      <c r="AK4062" s="379"/>
      <c r="AL4062" s="379"/>
      <c r="AM4062" s="379"/>
      <c r="AN4062" s="379"/>
      <c r="AO4062" s="379"/>
      <c r="AP4062" s="379"/>
      <c r="AQ4062" s="379"/>
      <c r="AR4062" s="379"/>
      <c r="AS4062" s="379"/>
      <c r="AT4062" s="379"/>
      <c r="AU4062" s="379"/>
      <c r="AV4062" s="379"/>
      <c r="AW4062" s="379"/>
      <c r="AX4062" s="379"/>
      <c r="AY4062" s="379"/>
      <c r="AZ4062" s="379"/>
      <c r="BA4062" s="379"/>
      <c r="BB4062" s="379"/>
      <c r="BC4062" s="379"/>
      <c r="BD4062" s="379"/>
      <c r="BE4062" s="379"/>
      <c r="BF4062" s="379"/>
      <c r="BG4062" s="379"/>
      <c r="BH4062" s="379"/>
      <c r="BI4062" s="379"/>
      <c r="BJ4062" s="379"/>
      <c r="BK4062" s="379"/>
      <c r="BL4062" s="379"/>
      <c r="BM4062" s="379"/>
      <c r="BN4062" s="379"/>
      <c r="BO4062" s="379"/>
      <c r="BP4062" s="379"/>
      <c r="BQ4062" s="379"/>
      <c r="BR4062" s="379"/>
      <c r="BS4062" s="379"/>
      <c r="BT4062" s="379"/>
      <c r="BU4062" s="379"/>
      <c r="BV4062" s="379"/>
      <c r="BW4062" s="379"/>
      <c r="BX4062" s="379"/>
      <c r="BY4062" s="379"/>
    </row>
    <row r="4063" spans="1:77" s="6" customFormat="1" ht="11.25" customHeight="1">
      <c r="A4063" s="379"/>
      <c r="B4063" s="380" t="s">
        <v>291</v>
      </c>
      <c r="C4063" s="381"/>
      <c r="D4063" s="381"/>
      <c r="E4063" s="382" t="s">
        <v>3167</v>
      </c>
      <c r="F4063" s="379" t="s">
        <v>2048</v>
      </c>
      <c r="G4063" s="383">
        <v>3528</v>
      </c>
      <c r="H4063" s="379" t="s">
        <v>866</v>
      </c>
      <c r="I4063" s="384" t="s">
        <v>888</v>
      </c>
      <c r="J4063" s="385">
        <v>56000</v>
      </c>
      <c r="K4063" s="384"/>
      <c r="L4063" s="385">
        <v>50</v>
      </c>
      <c r="M4063" s="385">
        <v>50</v>
      </c>
      <c r="N4063" s="386"/>
      <c r="O4063" s="387">
        <v>0.2</v>
      </c>
      <c r="P4063" s="387"/>
      <c r="Q4063" s="386">
        <v>10300</v>
      </c>
      <c r="R4063" s="379" t="s">
        <v>73</v>
      </c>
      <c r="S4063" s="388" t="s">
        <v>74</v>
      </c>
      <c r="T4063" s="388">
        <v>31</v>
      </c>
      <c r="U4063" s="389" t="s">
        <v>164</v>
      </c>
      <c r="V4063" s="433"/>
      <c r="W4063" s="379"/>
      <c r="X4063" s="386">
        <v>10300</v>
      </c>
      <c r="Y4063" s="386"/>
      <c r="Z4063" s="379"/>
      <c r="AA4063" s="379"/>
      <c r="AB4063" s="379"/>
      <c r="AC4063" s="379"/>
      <c r="AD4063" s="379"/>
      <c r="AE4063" s="379"/>
      <c r="AF4063" s="379"/>
      <c r="AG4063" s="379"/>
      <c r="AH4063" s="379"/>
      <c r="AI4063" s="379"/>
      <c r="AJ4063" s="390">
        <v>10300</v>
      </c>
      <c r="AK4063" s="379"/>
      <c r="AL4063" s="379"/>
      <c r="AM4063" s="379"/>
      <c r="AN4063" s="379"/>
      <c r="AO4063" s="379"/>
      <c r="AP4063" s="379"/>
      <c r="AQ4063" s="379"/>
      <c r="AR4063" s="379"/>
      <c r="AS4063" s="379"/>
      <c r="AT4063" s="379"/>
      <c r="AU4063" s="379"/>
      <c r="AV4063" s="379"/>
      <c r="AW4063" s="379"/>
      <c r="AX4063" s="379"/>
      <c r="AY4063" s="379"/>
      <c r="AZ4063" s="379"/>
      <c r="BA4063" s="379"/>
      <c r="BB4063" s="379"/>
      <c r="BC4063" s="379"/>
      <c r="BD4063" s="379"/>
      <c r="BE4063" s="379"/>
      <c r="BF4063" s="379"/>
      <c r="BG4063" s="379"/>
      <c r="BH4063" s="379"/>
      <c r="BI4063" s="379"/>
      <c r="BJ4063" s="379"/>
      <c r="BK4063" s="379"/>
      <c r="BL4063" s="379"/>
      <c r="BM4063" s="379"/>
      <c r="BN4063" s="379"/>
      <c r="BO4063" s="379"/>
      <c r="BP4063" s="379"/>
      <c r="BQ4063" s="379"/>
      <c r="BR4063" s="379"/>
      <c r="BS4063" s="379"/>
      <c r="BT4063" s="379"/>
      <c r="BU4063" s="379"/>
      <c r="BV4063" s="379"/>
      <c r="BW4063" s="379"/>
      <c r="BX4063" s="379"/>
      <c r="BY4063" s="379"/>
    </row>
    <row r="4064" spans="1:77" s="6" customFormat="1" ht="11.25" customHeight="1">
      <c r="A4064" s="379"/>
      <c r="B4064" s="380" t="s">
        <v>291</v>
      </c>
      <c r="C4064" s="381"/>
      <c r="D4064" s="381"/>
      <c r="E4064" s="382" t="s">
        <v>3167</v>
      </c>
      <c r="F4064" s="379" t="s">
        <v>2048</v>
      </c>
      <c r="G4064" s="383">
        <v>3528</v>
      </c>
      <c r="H4064" s="379" t="s">
        <v>814</v>
      </c>
      <c r="I4064" s="384" t="s">
        <v>888</v>
      </c>
      <c r="J4064" s="385">
        <v>83880</v>
      </c>
      <c r="K4064" s="384"/>
      <c r="L4064" s="385">
        <v>90</v>
      </c>
      <c r="M4064" s="385">
        <v>90</v>
      </c>
      <c r="N4064" s="386"/>
      <c r="O4064" s="387">
        <v>0.2</v>
      </c>
      <c r="P4064" s="387"/>
      <c r="Q4064" s="386">
        <v>26784</v>
      </c>
      <c r="R4064" s="379" t="s">
        <v>73</v>
      </c>
      <c r="S4064" s="388" t="s">
        <v>74</v>
      </c>
      <c r="T4064" s="388">
        <v>31</v>
      </c>
      <c r="U4064" s="389" t="s">
        <v>164</v>
      </c>
      <c r="V4064" s="433"/>
      <c r="W4064" s="379"/>
      <c r="X4064" s="386">
        <v>26784</v>
      </c>
      <c r="Y4064" s="386"/>
      <c r="Z4064" s="379"/>
      <c r="AA4064" s="379"/>
      <c r="AB4064" s="379"/>
      <c r="AC4064" s="379"/>
      <c r="AD4064" s="379"/>
      <c r="AE4064" s="379"/>
      <c r="AF4064" s="379"/>
      <c r="AG4064" s="379"/>
      <c r="AH4064" s="379"/>
      <c r="AI4064" s="379"/>
      <c r="AJ4064" s="390">
        <v>26784</v>
      </c>
      <c r="AK4064" s="379"/>
      <c r="AL4064" s="379"/>
      <c r="AM4064" s="379"/>
      <c r="AN4064" s="379"/>
      <c r="AO4064" s="379"/>
      <c r="AP4064" s="379"/>
      <c r="AQ4064" s="379"/>
      <c r="AR4064" s="379"/>
      <c r="AS4064" s="379"/>
      <c r="AT4064" s="379"/>
      <c r="AU4064" s="379"/>
      <c r="AV4064" s="379"/>
      <c r="AW4064" s="379"/>
      <c r="AX4064" s="379"/>
      <c r="AY4064" s="379"/>
      <c r="AZ4064" s="379"/>
      <c r="BA4064" s="379"/>
      <c r="BB4064" s="379"/>
      <c r="BC4064" s="379"/>
      <c r="BD4064" s="379"/>
      <c r="BE4064" s="379"/>
      <c r="BF4064" s="379"/>
      <c r="BG4064" s="379"/>
      <c r="BH4064" s="379"/>
      <c r="BI4064" s="379"/>
      <c r="BJ4064" s="379"/>
      <c r="BK4064" s="379"/>
      <c r="BL4064" s="379"/>
      <c r="BM4064" s="379"/>
      <c r="BN4064" s="379"/>
      <c r="BO4064" s="379"/>
      <c r="BP4064" s="379"/>
      <c r="BQ4064" s="379"/>
      <c r="BR4064" s="379"/>
      <c r="BS4064" s="379"/>
      <c r="BT4064" s="379"/>
      <c r="BU4064" s="379"/>
      <c r="BV4064" s="379"/>
      <c r="BW4064" s="379"/>
      <c r="BX4064" s="379"/>
      <c r="BY4064" s="379"/>
    </row>
    <row r="4065" spans="2:38" s="337" customFormat="1" ht="11.25" customHeight="1">
      <c r="B4065" s="337" t="s">
        <v>291</v>
      </c>
      <c r="C4065" s="349">
        <v>44777</v>
      </c>
      <c r="D4065" s="349">
        <v>44777</v>
      </c>
      <c r="E4065" s="350" t="s">
        <v>3168</v>
      </c>
      <c r="F4065" s="337" t="s">
        <v>647</v>
      </c>
      <c r="G4065" s="368">
        <v>4280</v>
      </c>
      <c r="H4065" s="337" t="s">
        <v>1009</v>
      </c>
      <c r="I4065" s="353" t="s">
        <v>33</v>
      </c>
      <c r="J4065" s="352">
        <v>62959.64</v>
      </c>
      <c r="K4065" s="353"/>
      <c r="L4065" s="352">
        <v>38.840000000000003</v>
      </c>
      <c r="M4065" s="352">
        <v>38</v>
      </c>
      <c r="N4065" s="354">
        <v>0</v>
      </c>
      <c r="O4065" s="355">
        <v>0.25</v>
      </c>
      <c r="P4065" s="355"/>
      <c r="Q4065" s="354">
        <v>0</v>
      </c>
      <c r="R4065" s="337" t="s">
        <v>35</v>
      </c>
      <c r="S4065" s="356" t="s">
        <v>41</v>
      </c>
      <c r="T4065" s="356">
        <v>16</v>
      </c>
      <c r="U4065" s="357" t="s">
        <v>164</v>
      </c>
      <c r="V4065" s="434"/>
      <c r="X4065" s="354">
        <v>0</v>
      </c>
      <c r="Y4065" s="354"/>
      <c r="AI4065" s="337">
        <f>X4065</f>
        <v>0</v>
      </c>
      <c r="AJ4065" s="358"/>
      <c r="AK4065" s="369"/>
    </row>
    <row r="4066" spans="2:38" s="379" customFormat="1" ht="11.25" customHeight="1">
      <c r="B4066" s="379" t="s">
        <v>291</v>
      </c>
      <c r="C4066" s="381"/>
      <c r="D4066" s="381"/>
      <c r="E4066" s="382" t="s">
        <v>3168</v>
      </c>
      <c r="F4066" s="379" t="s">
        <v>647</v>
      </c>
      <c r="G4066" s="404">
        <v>4280</v>
      </c>
      <c r="H4066" s="379" t="s">
        <v>765</v>
      </c>
      <c r="I4066" s="384" t="s">
        <v>33</v>
      </c>
      <c r="J4066" s="385">
        <v>9720</v>
      </c>
      <c r="K4066" s="384"/>
      <c r="L4066" s="385">
        <v>8</v>
      </c>
      <c r="M4066" s="385">
        <v>8</v>
      </c>
      <c r="N4066" s="386"/>
      <c r="O4066" s="387">
        <v>0.25</v>
      </c>
      <c r="P4066" s="387"/>
      <c r="Q4066" s="386">
        <v>0</v>
      </c>
      <c r="R4066" s="379" t="s">
        <v>35</v>
      </c>
      <c r="S4066" s="388" t="s">
        <v>41</v>
      </c>
      <c r="T4066" s="388">
        <v>16</v>
      </c>
      <c r="U4066" s="389" t="s">
        <v>164</v>
      </c>
      <c r="V4066" s="433"/>
      <c r="X4066" s="386">
        <v>0</v>
      </c>
      <c r="Y4066" s="386"/>
      <c r="AJ4066" s="390">
        <v>0</v>
      </c>
    </row>
    <row r="4067" spans="2:38" s="473" customFormat="1" ht="11.25" customHeight="1">
      <c r="B4067" s="473" t="s">
        <v>291</v>
      </c>
      <c r="C4067" s="487">
        <v>44776</v>
      </c>
      <c r="D4067" s="487">
        <v>44777</v>
      </c>
      <c r="E4067" s="488" t="s">
        <v>3169</v>
      </c>
      <c r="F4067" s="473" t="s">
        <v>2463</v>
      </c>
      <c r="G4067" s="489" t="s">
        <v>2464</v>
      </c>
      <c r="H4067" s="473" t="s">
        <v>866</v>
      </c>
      <c r="I4067" s="473" t="s">
        <v>888</v>
      </c>
      <c r="J4067" s="490">
        <v>59010</v>
      </c>
      <c r="K4067" s="491"/>
      <c r="L4067" s="490">
        <v>35</v>
      </c>
      <c r="M4067" s="490">
        <v>35</v>
      </c>
      <c r="N4067" s="492">
        <v>35406</v>
      </c>
      <c r="O4067" s="493">
        <v>0.25</v>
      </c>
      <c r="P4067" s="493"/>
      <c r="Q4067" s="492">
        <v>12572.7</v>
      </c>
      <c r="R4067" s="473" t="s">
        <v>112</v>
      </c>
      <c r="S4067" s="481" t="s">
        <v>113</v>
      </c>
      <c r="T4067" s="481">
        <v>64</v>
      </c>
      <c r="U4067" s="494" t="s">
        <v>164</v>
      </c>
      <c r="V4067" s="495"/>
      <c r="X4067" s="492">
        <v>12572.7</v>
      </c>
      <c r="Y4067" s="492"/>
      <c r="AJ4067" s="485"/>
      <c r="AK4067" s="505">
        <v>12572.7</v>
      </c>
    </row>
    <row r="4068" spans="2:38" s="473" customFormat="1" ht="11.25" customHeight="1">
      <c r="B4068" s="473" t="s">
        <v>291</v>
      </c>
      <c r="C4068" s="487"/>
      <c r="D4068" s="487"/>
      <c r="E4068" s="488" t="s">
        <v>3169</v>
      </c>
      <c r="F4068" s="473" t="s">
        <v>2463</v>
      </c>
      <c r="G4068" s="489" t="s">
        <v>2464</v>
      </c>
      <c r="H4068" s="473" t="s">
        <v>814</v>
      </c>
      <c r="I4068" s="473" t="s">
        <v>961</v>
      </c>
      <c r="J4068" s="490">
        <v>9614</v>
      </c>
      <c r="K4068" s="491"/>
      <c r="L4068" s="490">
        <v>9.5</v>
      </c>
      <c r="M4068" s="490">
        <v>6</v>
      </c>
      <c r="N4068" s="492">
        <f>222.64+2585.66</f>
        <v>2808.2999999999997</v>
      </c>
      <c r="O4068" s="493">
        <v>0.25</v>
      </c>
      <c r="P4068" s="493"/>
      <c r="Q4068" s="492">
        <v>0</v>
      </c>
      <c r="R4068" s="473" t="s">
        <v>112</v>
      </c>
      <c r="S4068" s="481" t="s">
        <v>113</v>
      </c>
      <c r="T4068" s="481">
        <v>64</v>
      </c>
      <c r="U4068" s="494" t="s">
        <v>164</v>
      </c>
      <c r="V4068" s="495"/>
      <c r="X4068" s="492">
        <v>0</v>
      </c>
      <c r="Y4068" s="492"/>
      <c r="AJ4068" s="485"/>
      <c r="AK4068" s="473">
        <v>0</v>
      </c>
    </row>
    <row r="4069" spans="2:38" s="379" customFormat="1" ht="11.25" customHeight="1">
      <c r="B4069" s="379" t="s">
        <v>291</v>
      </c>
      <c r="C4069" s="381">
        <v>44776</v>
      </c>
      <c r="D4069" s="381">
        <v>44777</v>
      </c>
      <c r="E4069" s="382" t="s">
        <v>3170</v>
      </c>
      <c r="F4069" s="379" t="s">
        <v>355</v>
      </c>
      <c r="G4069" s="383">
        <v>4572</v>
      </c>
      <c r="H4069" s="379" t="s">
        <v>1015</v>
      </c>
      <c r="I4069" s="379" t="s">
        <v>961</v>
      </c>
      <c r="J4069" s="385">
        <v>8365.8700000000008</v>
      </c>
      <c r="K4069" s="384"/>
      <c r="L4069" s="385">
        <v>8.09</v>
      </c>
      <c r="M4069" s="385">
        <v>8.09</v>
      </c>
      <c r="N4069" s="386"/>
      <c r="O4069" s="387">
        <v>0.15</v>
      </c>
      <c r="P4069" s="387"/>
      <c r="Q4069" s="386">
        <v>2742.39</v>
      </c>
      <c r="R4069" s="379" t="s">
        <v>128</v>
      </c>
      <c r="S4069" s="388" t="s">
        <v>347</v>
      </c>
      <c r="T4069" s="388">
        <v>79</v>
      </c>
      <c r="U4069" s="389" t="s">
        <v>164</v>
      </c>
      <c r="V4069" s="433">
        <v>2742.39</v>
      </c>
      <c r="X4069" s="390">
        <v>2742.39</v>
      </c>
      <c r="Y4069" s="386"/>
      <c r="AJ4069" s="390">
        <v>2742.39</v>
      </c>
    </row>
    <row r="4070" spans="2:38" s="291" customFormat="1" ht="11.25" customHeight="1">
      <c r="B4070" s="291" t="s">
        <v>291</v>
      </c>
      <c r="C4070" s="292">
        <v>44776</v>
      </c>
      <c r="D4070" s="292">
        <v>44777</v>
      </c>
      <c r="E4070" s="293" t="s">
        <v>3171</v>
      </c>
      <c r="F4070" s="291" t="s">
        <v>349</v>
      </c>
      <c r="G4070" s="294">
        <v>3520</v>
      </c>
      <c r="H4070" s="291" t="s">
        <v>765</v>
      </c>
      <c r="I4070" s="291" t="s">
        <v>961</v>
      </c>
      <c r="J4070" s="296">
        <v>6746.44</v>
      </c>
      <c r="K4070" s="295"/>
      <c r="L4070" s="296">
        <v>7.43</v>
      </c>
      <c r="M4070" s="296">
        <v>10.93</v>
      </c>
      <c r="N4070" s="297"/>
      <c r="O4070" s="298">
        <v>0.15</v>
      </c>
      <c r="P4070" s="298"/>
      <c r="Q4070" s="297">
        <v>3285.09</v>
      </c>
      <c r="R4070" s="291" t="s">
        <v>128</v>
      </c>
      <c r="S4070" s="299" t="s">
        <v>347</v>
      </c>
      <c r="T4070" s="299">
        <v>79</v>
      </c>
      <c r="U4070" s="300" t="s">
        <v>164</v>
      </c>
      <c r="V4070" s="333">
        <v>396</v>
      </c>
      <c r="X4070" s="297">
        <v>3285.09</v>
      </c>
      <c r="Y4070" s="297"/>
      <c r="AH4070" s="291">
        <f>X4070</f>
        <v>3285.09</v>
      </c>
      <c r="AI4070" s="311"/>
      <c r="AJ4070" s="468"/>
    </row>
    <row r="4071" spans="2:38" s="473" customFormat="1" ht="11.25" customHeight="1">
      <c r="B4071" s="473" t="s">
        <v>291</v>
      </c>
      <c r="C4071" s="487">
        <v>44774</v>
      </c>
      <c r="D4071" s="487">
        <v>44777</v>
      </c>
      <c r="E4071" s="488" t="s">
        <v>3172</v>
      </c>
      <c r="F4071" s="473" t="s">
        <v>3173</v>
      </c>
      <c r="G4071" s="489" t="s">
        <v>3174</v>
      </c>
      <c r="H4071" s="473" t="s">
        <v>866</v>
      </c>
      <c r="I4071" s="491" t="s">
        <v>33</v>
      </c>
      <c r="J4071" s="490">
        <v>107095.7</v>
      </c>
      <c r="K4071" s="491"/>
      <c r="L4071" s="490">
        <v>59.83</v>
      </c>
      <c r="M4071" s="490">
        <v>59.84</v>
      </c>
      <c r="N4071" s="492">
        <v>61404.160000000003</v>
      </c>
      <c r="O4071" s="493">
        <v>0.15</v>
      </c>
      <c r="P4071" s="493"/>
      <c r="Q4071" s="492">
        <v>41767.32</v>
      </c>
      <c r="R4071" s="473" t="s">
        <v>112</v>
      </c>
      <c r="S4071" s="481" t="s">
        <v>113</v>
      </c>
      <c r="T4071" s="481">
        <v>64</v>
      </c>
      <c r="U4071" s="494" t="s">
        <v>164</v>
      </c>
      <c r="V4071" s="495"/>
      <c r="X4071" s="492">
        <v>41767.32</v>
      </c>
      <c r="Y4071" s="492"/>
      <c r="AJ4071" s="485"/>
      <c r="AK4071" s="505">
        <v>41767.32</v>
      </c>
    </row>
    <row r="4072" spans="2:38" s="473" customFormat="1" ht="11.25" customHeight="1">
      <c r="B4072" s="473" t="s">
        <v>291</v>
      </c>
      <c r="C4072" s="487">
        <v>44774</v>
      </c>
      <c r="D4072" s="487">
        <v>44778</v>
      </c>
      <c r="E4072" s="488" t="s">
        <v>3175</v>
      </c>
      <c r="F4072" s="473" t="s">
        <v>3176</v>
      </c>
      <c r="G4072" s="489" t="s">
        <v>3177</v>
      </c>
      <c r="H4072" s="473" t="s">
        <v>898</v>
      </c>
      <c r="I4072" s="491" t="s">
        <v>33</v>
      </c>
      <c r="J4072" s="490">
        <v>12383.61</v>
      </c>
      <c r="K4072" s="491"/>
      <c r="L4072" s="490">
        <v>12.2</v>
      </c>
      <c r="M4072" s="490">
        <v>12.2</v>
      </c>
      <c r="N4072" s="492">
        <v>4705.7700000000004</v>
      </c>
      <c r="O4072" s="493">
        <v>0.25</v>
      </c>
      <c r="P4072" s="493"/>
      <c r="Q4072" s="492">
        <v>1648.07</v>
      </c>
      <c r="R4072" s="473" t="s">
        <v>29</v>
      </c>
      <c r="S4072" s="481" t="s">
        <v>275</v>
      </c>
      <c r="T4072" s="481">
        <v>21</v>
      </c>
      <c r="U4072" s="494" t="s">
        <v>164</v>
      </c>
      <c r="V4072" s="495"/>
      <c r="X4072" s="492">
        <v>1648.07</v>
      </c>
      <c r="Y4072" s="492"/>
      <c r="AJ4072" s="485"/>
      <c r="AK4072" s="505">
        <v>1648.07</v>
      </c>
    </row>
    <row r="4073" spans="2:38" s="337" customFormat="1" ht="11.25" customHeight="1">
      <c r="B4073" s="337" t="s">
        <v>291</v>
      </c>
      <c r="C4073" s="349">
        <v>44778</v>
      </c>
      <c r="D4073" s="349">
        <v>44778</v>
      </c>
      <c r="E4073" s="350" t="s">
        <v>3178</v>
      </c>
      <c r="F4073" s="337" t="s">
        <v>3179</v>
      </c>
      <c r="G4073" s="351" t="s">
        <v>3180</v>
      </c>
      <c r="H4073" s="337" t="s">
        <v>765</v>
      </c>
      <c r="I4073" s="353" t="s">
        <v>33</v>
      </c>
      <c r="J4073" s="352">
        <v>14922.57</v>
      </c>
      <c r="K4073" s="353"/>
      <c r="L4073" s="352">
        <v>13</v>
      </c>
      <c r="M4073" s="352">
        <v>13</v>
      </c>
      <c r="N4073" s="354"/>
      <c r="O4073" s="355">
        <v>0.25</v>
      </c>
      <c r="P4073" s="355"/>
      <c r="Q4073" s="354">
        <v>0</v>
      </c>
      <c r="R4073" s="337" t="s">
        <v>257</v>
      </c>
      <c r="S4073" s="356" t="s">
        <v>3078</v>
      </c>
      <c r="T4073" s="356">
        <v>47</v>
      </c>
      <c r="U4073" s="357" t="s">
        <v>164</v>
      </c>
      <c r="V4073" s="434"/>
      <c r="X4073" s="354">
        <v>0</v>
      </c>
      <c r="Y4073" s="354"/>
      <c r="AI4073" s="337">
        <f>X4073</f>
        <v>0</v>
      </c>
      <c r="AJ4073" s="358"/>
      <c r="AK4073" s="369"/>
    </row>
    <row r="4074" spans="2:38" s="473" customFormat="1" ht="11.25" customHeight="1">
      <c r="B4074" s="486" t="s">
        <v>291</v>
      </c>
      <c r="C4074" s="487">
        <v>44774</v>
      </c>
      <c r="D4074" s="487">
        <v>44778</v>
      </c>
      <c r="E4074" s="488" t="s">
        <v>3184</v>
      </c>
      <c r="F4074" s="473" t="s">
        <v>750</v>
      </c>
      <c r="G4074" s="489" t="s">
        <v>751</v>
      </c>
      <c r="H4074" s="473" t="s">
        <v>765</v>
      </c>
      <c r="I4074" s="491" t="s">
        <v>888</v>
      </c>
      <c r="J4074" s="490">
        <v>10553.9</v>
      </c>
      <c r="K4074" s="491"/>
      <c r="L4074" s="490">
        <v>10.55</v>
      </c>
      <c r="M4074" s="490">
        <v>10.55</v>
      </c>
      <c r="N4074" s="492"/>
      <c r="O4074" s="493">
        <v>0.25</v>
      </c>
      <c r="P4074" s="493"/>
      <c r="Q4074" s="492">
        <v>0</v>
      </c>
      <c r="R4074" s="473" t="s">
        <v>105</v>
      </c>
      <c r="S4074" s="481" t="s">
        <v>275</v>
      </c>
      <c r="T4074" s="481">
        <v>21</v>
      </c>
      <c r="U4074" s="494" t="s">
        <v>164</v>
      </c>
      <c r="V4074" s="495"/>
      <c r="X4074" s="492">
        <v>0</v>
      </c>
      <c r="Y4074" s="492"/>
      <c r="AJ4074" s="485"/>
      <c r="AK4074" s="473">
        <v>0</v>
      </c>
    </row>
    <row r="4075" spans="2:38" s="507" customFormat="1" ht="11.25" customHeight="1">
      <c r="B4075" s="507" t="s">
        <v>291</v>
      </c>
      <c r="C4075" s="509">
        <v>44774</v>
      </c>
      <c r="D4075" s="509">
        <v>44778</v>
      </c>
      <c r="E4075" s="510" t="s">
        <v>3185</v>
      </c>
      <c r="F4075" s="507" t="s">
        <v>287</v>
      </c>
      <c r="G4075" s="521" t="s">
        <v>288</v>
      </c>
      <c r="H4075" s="507" t="s">
        <v>765</v>
      </c>
      <c r="I4075" s="512" t="s">
        <v>888</v>
      </c>
      <c r="J4075" s="513">
        <v>33452.93</v>
      </c>
      <c r="K4075" s="512"/>
      <c r="L4075" s="513">
        <v>27.91</v>
      </c>
      <c r="M4075" s="513">
        <v>27.91</v>
      </c>
      <c r="N4075" s="514">
        <v>9048.23</v>
      </c>
      <c r="O4075" s="515">
        <v>0.25</v>
      </c>
      <c r="P4075" s="515"/>
      <c r="Q4075" s="514">
        <v>0</v>
      </c>
      <c r="R4075" s="507" t="s">
        <v>29</v>
      </c>
      <c r="S4075" s="516" t="s">
        <v>275</v>
      </c>
      <c r="T4075" s="516">
        <v>21</v>
      </c>
      <c r="U4075" s="517" t="s">
        <v>164</v>
      </c>
      <c r="V4075" s="518"/>
      <c r="X4075" s="514">
        <v>0</v>
      </c>
      <c r="Y4075" s="514"/>
      <c r="AJ4075" s="522"/>
      <c r="AL4075" s="507">
        <v>0</v>
      </c>
    </row>
    <row r="4076" spans="2:38" s="507" customFormat="1" ht="11.25" customHeight="1">
      <c r="B4076" s="507" t="s">
        <v>291</v>
      </c>
      <c r="C4076" s="509">
        <v>44774</v>
      </c>
      <c r="D4076" s="509">
        <v>44778</v>
      </c>
      <c r="E4076" s="510" t="s">
        <v>3186</v>
      </c>
      <c r="F4076" s="507" t="s">
        <v>3187</v>
      </c>
      <c r="G4076" s="521" t="s">
        <v>3188</v>
      </c>
      <c r="H4076" s="507" t="s">
        <v>1015</v>
      </c>
      <c r="I4076" s="507" t="s">
        <v>958</v>
      </c>
      <c r="J4076" s="513">
        <v>17919.72</v>
      </c>
      <c r="K4076" s="512"/>
      <c r="L4076" s="513">
        <v>9.36</v>
      </c>
      <c r="M4076" s="513">
        <v>9.36</v>
      </c>
      <c r="N4076" s="514">
        <v>8063.87</v>
      </c>
      <c r="O4076" s="515">
        <v>0.2</v>
      </c>
      <c r="P4076" s="515"/>
      <c r="Q4076" s="514">
        <v>0</v>
      </c>
      <c r="R4076" s="507" t="s">
        <v>29</v>
      </c>
      <c r="S4076" s="516" t="s">
        <v>30</v>
      </c>
      <c r="T4076" s="516">
        <v>70</v>
      </c>
      <c r="U4076" s="517" t="s">
        <v>164</v>
      </c>
      <c r="V4076" s="518"/>
      <c r="X4076" s="514">
        <v>0</v>
      </c>
      <c r="Y4076" s="514"/>
      <c r="AJ4076" s="522"/>
      <c r="AL4076" s="507">
        <v>0</v>
      </c>
    </row>
    <row r="4077" spans="2:38" s="507" customFormat="1" ht="11.25" customHeight="1">
      <c r="B4077" s="507" t="s">
        <v>291</v>
      </c>
      <c r="C4077" s="509"/>
      <c r="D4077" s="509"/>
      <c r="E4077" s="510" t="s">
        <v>3186</v>
      </c>
      <c r="F4077" s="507" t="s">
        <v>3187</v>
      </c>
      <c r="G4077" s="521" t="s">
        <v>3188</v>
      </c>
      <c r="H4077" s="507" t="s">
        <v>1138</v>
      </c>
      <c r="I4077" s="507" t="s">
        <v>958</v>
      </c>
      <c r="J4077" s="513">
        <v>40775.35</v>
      </c>
      <c r="K4077" s="512"/>
      <c r="L4077" s="513">
        <v>21.41</v>
      </c>
      <c r="M4077" s="513">
        <v>21.41</v>
      </c>
      <c r="N4077" s="514">
        <v>17119.169999999998</v>
      </c>
      <c r="O4077" s="515">
        <v>0.2</v>
      </c>
      <c r="P4077" s="515"/>
      <c r="Q4077" s="514">
        <v>0</v>
      </c>
      <c r="R4077" s="507" t="s">
        <v>29</v>
      </c>
      <c r="S4077" s="516" t="s">
        <v>30</v>
      </c>
      <c r="T4077" s="516">
        <v>70</v>
      </c>
      <c r="U4077" s="517" t="s">
        <v>164</v>
      </c>
      <c r="V4077" s="518"/>
      <c r="X4077" s="514">
        <v>0</v>
      </c>
      <c r="Y4077" s="514"/>
      <c r="AJ4077" s="522"/>
      <c r="AL4077" s="507">
        <v>0</v>
      </c>
    </row>
    <row r="4078" spans="2:38" s="379" customFormat="1" ht="11" customHeight="1">
      <c r="B4078" s="380" t="s">
        <v>291</v>
      </c>
      <c r="C4078" s="381">
        <v>44776</v>
      </c>
      <c r="D4078" s="381">
        <v>44777</v>
      </c>
      <c r="E4078" s="382" t="s">
        <v>3189</v>
      </c>
      <c r="F4078" s="379" t="s">
        <v>707</v>
      </c>
      <c r="G4078" s="383">
        <v>4356</v>
      </c>
      <c r="H4078" s="379" t="s">
        <v>866</v>
      </c>
      <c r="I4078" s="379" t="s">
        <v>33</v>
      </c>
      <c r="J4078" s="385">
        <v>9064.2999999999993</v>
      </c>
      <c r="K4078" s="384"/>
      <c r="L4078" s="385">
        <v>11.26</v>
      </c>
      <c r="M4078" s="385">
        <v>11.26</v>
      </c>
      <c r="N4078" s="386"/>
      <c r="O4078" s="387">
        <v>0.2</v>
      </c>
      <c r="P4078" s="387"/>
      <c r="Q4078" s="386">
        <v>0</v>
      </c>
      <c r="R4078" s="379" t="s">
        <v>35</v>
      </c>
      <c r="S4078" s="388" t="s">
        <v>41</v>
      </c>
      <c r="T4078" s="388">
        <v>17</v>
      </c>
      <c r="U4078" s="389" t="s">
        <v>164</v>
      </c>
      <c r="V4078" s="433"/>
      <c r="X4078" s="386">
        <v>0</v>
      </c>
      <c r="Y4078" s="386"/>
      <c r="AJ4078" s="390">
        <v>0</v>
      </c>
    </row>
    <row r="4079" spans="2:38" s="379" customFormat="1" ht="11.25" customHeight="1">
      <c r="B4079" s="380" t="s">
        <v>291</v>
      </c>
      <c r="C4079" s="381"/>
      <c r="D4079" s="381"/>
      <c r="E4079" s="382" t="s">
        <v>3189</v>
      </c>
      <c r="F4079" s="379" t="s">
        <v>707</v>
      </c>
      <c r="G4079" s="383">
        <v>4356</v>
      </c>
      <c r="H4079" s="379" t="s">
        <v>866</v>
      </c>
      <c r="I4079" s="379" t="s">
        <v>33</v>
      </c>
      <c r="J4079" s="385">
        <v>9168.9500000000007</v>
      </c>
      <c r="K4079" s="384"/>
      <c r="L4079" s="385">
        <v>11.39</v>
      </c>
      <c r="M4079" s="385">
        <v>11.39</v>
      </c>
      <c r="N4079" s="386"/>
      <c r="O4079" s="387">
        <v>0.2</v>
      </c>
      <c r="P4079" s="387"/>
      <c r="Q4079" s="386">
        <v>5072.49</v>
      </c>
      <c r="R4079" s="379" t="s">
        <v>35</v>
      </c>
      <c r="S4079" s="388" t="s">
        <v>41</v>
      </c>
      <c r="T4079" s="388">
        <v>79</v>
      </c>
      <c r="U4079" s="389" t="s">
        <v>164</v>
      </c>
      <c r="V4079" s="433"/>
      <c r="X4079" s="386">
        <v>5072.49</v>
      </c>
      <c r="Y4079" s="386"/>
      <c r="AJ4079" s="416">
        <v>5072.49</v>
      </c>
    </row>
    <row r="4080" spans="2:38" s="379" customFormat="1" ht="11.25" customHeight="1">
      <c r="B4080" s="380" t="s">
        <v>291</v>
      </c>
      <c r="C4080" s="381">
        <v>44778</v>
      </c>
      <c r="D4080" s="381">
        <v>44778</v>
      </c>
      <c r="E4080" s="382" t="s">
        <v>3190</v>
      </c>
      <c r="F4080" s="379" t="s">
        <v>3191</v>
      </c>
      <c r="G4080" s="383" t="s">
        <v>3192</v>
      </c>
      <c r="H4080" s="379" t="s">
        <v>866</v>
      </c>
      <c r="I4080" s="384" t="s">
        <v>888</v>
      </c>
      <c r="J4080" s="385">
        <v>30700.79</v>
      </c>
      <c r="K4080" s="384"/>
      <c r="L4080" s="385">
        <v>19.07</v>
      </c>
      <c r="M4080" s="385">
        <v>18</v>
      </c>
      <c r="N4080" s="386">
        <v>14482.66</v>
      </c>
      <c r="O4080" s="387">
        <v>0.25</v>
      </c>
      <c r="P4080" s="387"/>
      <c r="Q4080" s="386">
        <v>721.32</v>
      </c>
      <c r="R4080" s="379" t="s">
        <v>112</v>
      </c>
      <c r="S4080" s="388" t="s">
        <v>113</v>
      </c>
      <c r="T4080" s="388">
        <v>64</v>
      </c>
      <c r="U4080" s="389" t="s">
        <v>164</v>
      </c>
      <c r="V4080" s="433"/>
      <c r="X4080" s="386">
        <v>721.32</v>
      </c>
      <c r="Y4080" s="386"/>
      <c r="AJ4080" s="416">
        <v>721.32</v>
      </c>
    </row>
    <row r="4081" spans="1:77" s="473" customFormat="1" ht="11.25" customHeight="1">
      <c r="B4081" s="486" t="s">
        <v>291</v>
      </c>
      <c r="C4081" s="487">
        <v>44778</v>
      </c>
      <c r="D4081" s="487">
        <v>44778</v>
      </c>
      <c r="E4081" s="488" t="s">
        <v>3193</v>
      </c>
      <c r="F4081" s="473" t="s">
        <v>3194</v>
      </c>
      <c r="G4081" s="489" t="s">
        <v>3195</v>
      </c>
      <c r="H4081" s="473" t="s">
        <v>814</v>
      </c>
      <c r="I4081" s="491" t="s">
        <v>888</v>
      </c>
      <c r="J4081" s="490">
        <v>34533.31</v>
      </c>
      <c r="K4081" s="491"/>
      <c r="L4081" s="490">
        <v>30.78</v>
      </c>
      <c r="M4081" s="490">
        <v>30.78</v>
      </c>
      <c r="N4081" s="492">
        <v>14158.66</v>
      </c>
      <c r="O4081" s="493">
        <v>0.25</v>
      </c>
      <c r="P4081" s="493"/>
      <c r="Q4081" s="492">
        <v>5511.31</v>
      </c>
      <c r="R4081" s="473" t="s">
        <v>29</v>
      </c>
      <c r="S4081" s="481" t="s">
        <v>275</v>
      </c>
      <c r="T4081" s="481">
        <v>21</v>
      </c>
      <c r="U4081" s="494" t="s">
        <v>164</v>
      </c>
      <c r="V4081" s="495"/>
      <c r="X4081" s="492">
        <v>5511.31</v>
      </c>
      <c r="Y4081" s="492"/>
      <c r="AJ4081" s="485"/>
      <c r="AK4081" s="505">
        <v>5511.31</v>
      </c>
    </row>
    <row r="4082" spans="1:77" s="546" customFormat="1" ht="11.25" customHeight="1">
      <c r="B4082" s="559" t="s">
        <v>291</v>
      </c>
      <c r="C4082" s="547">
        <v>44778</v>
      </c>
      <c r="D4082" s="547">
        <v>44778</v>
      </c>
      <c r="E4082" s="548" t="s">
        <v>3196</v>
      </c>
      <c r="F4082" s="546" t="s">
        <v>3197</v>
      </c>
      <c r="G4082" s="549" t="s">
        <v>3198</v>
      </c>
      <c r="H4082" s="546" t="s">
        <v>765</v>
      </c>
      <c r="I4082" s="546" t="s">
        <v>33</v>
      </c>
      <c r="J4082" s="550">
        <v>7322.16</v>
      </c>
      <c r="K4082" s="551"/>
      <c r="L4082" s="550">
        <v>11.03</v>
      </c>
      <c r="M4082" s="550">
        <v>11.03</v>
      </c>
      <c r="N4082" s="552">
        <v>1172.74</v>
      </c>
      <c r="O4082" s="553">
        <v>0.2</v>
      </c>
      <c r="P4082" s="553"/>
      <c r="Q4082" s="552">
        <v>1534.05</v>
      </c>
      <c r="R4082" s="546" t="s">
        <v>285</v>
      </c>
      <c r="S4082" s="554" t="s">
        <v>275</v>
      </c>
      <c r="T4082" s="554">
        <v>21</v>
      </c>
      <c r="U4082" s="555" t="s">
        <v>164</v>
      </c>
      <c r="V4082" s="556"/>
      <c r="X4082" s="552">
        <v>1534.05</v>
      </c>
      <c r="Y4082" s="552"/>
      <c r="AJ4082" s="557"/>
      <c r="AM4082" s="552">
        <v>1534.05</v>
      </c>
    </row>
    <row r="4083" spans="1:77" s="546" customFormat="1" ht="11.25" customHeight="1">
      <c r="B4083" s="559" t="s">
        <v>291</v>
      </c>
      <c r="C4083" s="547"/>
      <c r="D4083" s="547"/>
      <c r="E4083" s="548" t="s">
        <v>3196</v>
      </c>
      <c r="F4083" s="546" t="s">
        <v>3197</v>
      </c>
      <c r="G4083" s="549" t="s">
        <v>3198</v>
      </c>
      <c r="H4083" s="546" t="s">
        <v>1300</v>
      </c>
      <c r="I4083" s="546" t="s">
        <v>33</v>
      </c>
      <c r="J4083" s="550">
        <v>4864</v>
      </c>
      <c r="K4083" s="551"/>
      <c r="L4083" s="550">
        <v>7.6</v>
      </c>
      <c r="M4083" s="550">
        <v>7.6</v>
      </c>
      <c r="N4083" s="552">
        <v>2432</v>
      </c>
      <c r="O4083" s="553">
        <v>0.2</v>
      </c>
      <c r="P4083" s="553"/>
      <c r="Q4083" s="552">
        <v>1945.6</v>
      </c>
      <c r="R4083" s="546" t="s">
        <v>285</v>
      </c>
      <c r="S4083" s="554" t="s">
        <v>275</v>
      </c>
      <c r="T4083" s="554">
        <v>21</v>
      </c>
      <c r="U4083" s="555" t="s">
        <v>164</v>
      </c>
      <c r="V4083" s="556"/>
      <c r="X4083" s="552">
        <v>1945.6</v>
      </c>
      <c r="Y4083" s="552"/>
      <c r="AJ4083" s="557"/>
      <c r="AM4083" s="552">
        <v>1945.6</v>
      </c>
    </row>
    <row r="4084" spans="1:77" s="291" customFormat="1" ht="11.25" customHeight="1">
      <c r="A4084" s="473"/>
      <c r="B4084" s="486" t="s">
        <v>291</v>
      </c>
      <c r="C4084" s="487"/>
      <c r="D4084" s="487"/>
      <c r="E4084" s="488" t="s">
        <v>3199</v>
      </c>
      <c r="F4084" s="473" t="s">
        <v>371</v>
      </c>
      <c r="G4084" s="489">
        <v>3763</v>
      </c>
      <c r="H4084" s="473" t="s">
        <v>898</v>
      </c>
      <c r="I4084" s="473" t="s">
        <v>33</v>
      </c>
      <c r="J4084" s="490">
        <v>95407.44</v>
      </c>
      <c r="K4084" s="491"/>
      <c r="L4084" s="490">
        <v>58.32</v>
      </c>
      <c r="M4084" s="490">
        <v>58.31</v>
      </c>
      <c r="N4084" s="492"/>
      <c r="O4084" s="493">
        <v>0.15</v>
      </c>
      <c r="P4084" s="493"/>
      <c r="Q4084" s="492">
        <v>36360.86</v>
      </c>
      <c r="R4084" s="473" t="s">
        <v>77</v>
      </c>
      <c r="S4084" s="481" t="s">
        <v>41</v>
      </c>
      <c r="T4084" s="481">
        <v>16</v>
      </c>
      <c r="U4084" s="494" t="s">
        <v>164</v>
      </c>
      <c r="V4084" s="495"/>
      <c r="W4084" s="473"/>
      <c r="X4084" s="492">
        <v>36360.86</v>
      </c>
      <c r="Y4084" s="492"/>
      <c r="Z4084" s="473"/>
      <c r="AA4084" s="473"/>
      <c r="AB4084" s="473"/>
      <c r="AC4084" s="473"/>
      <c r="AD4084" s="473"/>
      <c r="AE4084" s="473"/>
      <c r="AF4084" s="473"/>
      <c r="AG4084" s="473"/>
      <c r="AH4084" s="473"/>
      <c r="AI4084" s="473"/>
      <c r="AJ4084" s="485"/>
      <c r="AK4084" s="505">
        <v>36360.86</v>
      </c>
      <c r="AL4084" s="473"/>
      <c r="AM4084" s="473"/>
      <c r="AN4084" s="473"/>
      <c r="AO4084" s="473"/>
      <c r="AP4084" s="473"/>
      <c r="AQ4084" s="473"/>
      <c r="AR4084" s="473"/>
      <c r="AS4084" s="473"/>
      <c r="AT4084" s="473"/>
      <c r="AU4084" s="473"/>
      <c r="AV4084" s="473"/>
      <c r="AW4084" s="473"/>
      <c r="AX4084" s="473"/>
      <c r="AY4084" s="473"/>
      <c r="AZ4084" s="473"/>
      <c r="BA4084" s="473"/>
      <c r="BB4084" s="473"/>
      <c r="BC4084" s="473"/>
      <c r="BD4084" s="473"/>
      <c r="BE4084" s="473"/>
      <c r="BF4084" s="473"/>
      <c r="BG4084" s="473"/>
      <c r="BH4084" s="473"/>
      <c r="BI4084" s="473"/>
      <c r="BJ4084" s="473"/>
      <c r="BK4084" s="473"/>
      <c r="BL4084" s="473"/>
      <c r="BM4084" s="473"/>
      <c r="BN4084" s="473"/>
      <c r="BO4084" s="473"/>
      <c r="BP4084" s="473"/>
      <c r="BQ4084" s="473"/>
      <c r="BR4084" s="473"/>
      <c r="BS4084" s="473"/>
      <c r="BT4084" s="473"/>
      <c r="BU4084" s="473"/>
      <c r="BV4084" s="473"/>
      <c r="BW4084" s="473"/>
      <c r="BX4084" s="473"/>
      <c r="BY4084" s="473"/>
    </row>
    <row r="4085" spans="1:77" s="473" customFormat="1" ht="11.25" customHeight="1">
      <c r="B4085" s="486" t="s">
        <v>291</v>
      </c>
      <c r="C4085" s="487"/>
      <c r="D4085" s="487"/>
      <c r="E4085" s="488" t="s">
        <v>3199</v>
      </c>
      <c r="F4085" s="473" t="s">
        <v>371</v>
      </c>
      <c r="G4085" s="489">
        <v>3763</v>
      </c>
      <c r="H4085" s="473" t="s">
        <v>866</v>
      </c>
      <c r="I4085" s="473" t="s">
        <v>33</v>
      </c>
      <c r="J4085" s="490">
        <v>25026.52</v>
      </c>
      <c r="K4085" s="491"/>
      <c r="L4085" s="490">
        <v>14.63</v>
      </c>
      <c r="M4085" s="490">
        <v>14.62</v>
      </c>
      <c r="N4085" s="492"/>
      <c r="O4085" s="493">
        <v>0.15</v>
      </c>
      <c r="P4085" s="493"/>
      <c r="Q4085" s="492">
        <v>6037.72</v>
      </c>
      <c r="R4085" s="473" t="s">
        <v>77</v>
      </c>
      <c r="S4085" s="481" t="s">
        <v>41</v>
      </c>
      <c r="T4085" s="481">
        <v>16</v>
      </c>
      <c r="U4085" s="494" t="s">
        <v>164</v>
      </c>
      <c r="V4085" s="495"/>
      <c r="X4085" s="492">
        <v>6037.72</v>
      </c>
      <c r="Y4085" s="492"/>
      <c r="AJ4085" s="485"/>
      <c r="AK4085" s="505">
        <v>6037.72</v>
      </c>
    </row>
    <row r="4086" spans="1:77" s="291" customFormat="1" ht="11.25" customHeight="1">
      <c r="B4086" s="310" t="s">
        <v>291</v>
      </c>
      <c r="C4086" s="292">
        <v>44778</v>
      </c>
      <c r="D4086" s="292">
        <v>44778</v>
      </c>
      <c r="E4086" s="293" t="s">
        <v>3199</v>
      </c>
      <c r="F4086" s="291" t="s">
        <v>371</v>
      </c>
      <c r="G4086" s="294">
        <v>3763</v>
      </c>
      <c r="H4086" s="291" t="s">
        <v>765</v>
      </c>
      <c r="I4086" s="291" t="s">
        <v>33</v>
      </c>
      <c r="J4086" s="296">
        <v>27714.05</v>
      </c>
      <c r="K4086" s="295"/>
      <c r="L4086" s="296">
        <v>19.04</v>
      </c>
      <c r="M4086" s="296">
        <v>19.03</v>
      </c>
      <c r="N4086" s="297"/>
      <c r="O4086" s="298">
        <v>0.15</v>
      </c>
      <c r="P4086" s="298"/>
      <c r="Q4086" s="297">
        <v>0</v>
      </c>
      <c r="R4086" s="291" t="s">
        <v>77</v>
      </c>
      <c r="S4086" s="299" t="s">
        <v>41</v>
      </c>
      <c r="T4086" s="299">
        <v>16</v>
      </c>
      <c r="U4086" s="300" t="s">
        <v>164</v>
      </c>
      <c r="V4086" s="333"/>
      <c r="X4086" s="297">
        <v>0</v>
      </c>
      <c r="Y4086" s="297"/>
      <c r="AH4086" s="291">
        <f>X4086</f>
        <v>0</v>
      </c>
      <c r="AI4086" s="311"/>
      <c r="AJ4086" s="468"/>
    </row>
    <row r="4087" spans="1:77" s="379" customFormat="1" ht="11.25" customHeight="1">
      <c r="B4087" s="380" t="s">
        <v>291</v>
      </c>
      <c r="C4087" s="381">
        <v>44778</v>
      </c>
      <c r="D4087" s="381">
        <v>44778</v>
      </c>
      <c r="E4087" s="382" t="s">
        <v>3200</v>
      </c>
      <c r="F4087" s="379" t="s">
        <v>1595</v>
      </c>
      <c r="G4087" s="383" t="s">
        <v>1596</v>
      </c>
      <c r="H4087" s="379" t="s">
        <v>1138</v>
      </c>
      <c r="I4087" s="394" t="s">
        <v>888</v>
      </c>
      <c r="J4087" s="385">
        <v>7387.2</v>
      </c>
      <c r="K4087" s="384"/>
      <c r="L4087" s="385">
        <v>9</v>
      </c>
      <c r="M4087" s="385">
        <v>9</v>
      </c>
      <c r="N4087" s="386"/>
      <c r="O4087" s="387">
        <v>0.2</v>
      </c>
      <c r="P4087" s="387"/>
      <c r="Q4087" s="386">
        <v>1244.1600000000001</v>
      </c>
      <c r="R4087" s="379" t="s">
        <v>146</v>
      </c>
      <c r="S4087" s="388" t="s">
        <v>74</v>
      </c>
      <c r="T4087" s="388">
        <v>31</v>
      </c>
      <c r="U4087" s="389" t="s">
        <v>164</v>
      </c>
      <c r="V4087" s="433"/>
      <c r="X4087" s="386">
        <v>1244.1600000000001</v>
      </c>
      <c r="Y4087" s="386"/>
      <c r="AJ4087" s="416">
        <v>1244.1600000000001</v>
      </c>
    </row>
    <row r="4088" spans="1:77" s="473" customFormat="1" ht="11.25" customHeight="1">
      <c r="B4088" s="486" t="s">
        <v>291</v>
      </c>
      <c r="C4088" s="487">
        <v>44778</v>
      </c>
      <c r="D4088" s="487">
        <v>44778</v>
      </c>
      <c r="E4088" s="488" t="s">
        <v>3201</v>
      </c>
      <c r="F4088" s="473" t="s">
        <v>787</v>
      </c>
      <c r="G4088" s="496">
        <v>3547</v>
      </c>
      <c r="H4088" s="473" t="s">
        <v>814</v>
      </c>
      <c r="I4088" s="491" t="s">
        <v>888</v>
      </c>
      <c r="J4088" s="490">
        <v>19368</v>
      </c>
      <c r="K4088" s="491"/>
      <c r="L4088" s="490">
        <v>16.14</v>
      </c>
      <c r="M4088" s="490">
        <v>16.14</v>
      </c>
      <c r="N4088" s="492">
        <v>3637</v>
      </c>
      <c r="O4088" s="493">
        <v>0.15</v>
      </c>
      <c r="P4088" s="493"/>
      <c r="Q4088" s="492">
        <v>1856.1</v>
      </c>
      <c r="R4088" s="473" t="s">
        <v>105</v>
      </c>
      <c r="S4088" s="481" t="s">
        <v>30</v>
      </c>
      <c r="T4088" s="481">
        <v>39</v>
      </c>
      <c r="U4088" s="494" t="s">
        <v>164</v>
      </c>
      <c r="V4088" s="495"/>
      <c r="X4088" s="492">
        <v>1856.1</v>
      </c>
      <c r="Y4088" s="492"/>
      <c r="AJ4088" s="485"/>
      <c r="AK4088" s="505">
        <v>1856.1</v>
      </c>
    </row>
    <row r="4089" spans="1:77" s="473" customFormat="1" ht="11.25" customHeight="1">
      <c r="B4089" s="486" t="s">
        <v>291</v>
      </c>
      <c r="C4089" s="487"/>
      <c r="D4089" s="487"/>
      <c r="E4089" s="488" t="s">
        <v>3201</v>
      </c>
      <c r="F4089" s="473" t="s">
        <v>787</v>
      </c>
      <c r="G4089" s="496">
        <v>3547</v>
      </c>
      <c r="H4089" s="473" t="s">
        <v>866</v>
      </c>
      <c r="I4089" s="491" t="s">
        <v>888</v>
      </c>
      <c r="J4089" s="490">
        <v>90564.4</v>
      </c>
      <c r="K4089" s="491"/>
      <c r="L4089" s="490">
        <v>60.7</v>
      </c>
      <c r="M4089" s="490">
        <v>60.7</v>
      </c>
      <c r="N4089" s="492">
        <v>33780</v>
      </c>
      <c r="O4089" s="493">
        <v>0.15</v>
      </c>
      <c r="P4089" s="493"/>
      <c r="Q4089" s="492">
        <v>8631.5400000000009</v>
      </c>
      <c r="R4089" s="473" t="s">
        <v>105</v>
      </c>
      <c r="S4089" s="481" t="s">
        <v>30</v>
      </c>
      <c r="T4089" s="481">
        <v>39</v>
      </c>
      <c r="U4089" s="494" t="s">
        <v>164</v>
      </c>
      <c r="V4089" s="495"/>
      <c r="X4089" s="492">
        <v>8631.5400000000009</v>
      </c>
      <c r="Y4089" s="492"/>
      <c r="AJ4089" s="485"/>
      <c r="AK4089" s="505">
        <v>8631.5400000000009</v>
      </c>
    </row>
    <row r="4090" spans="1:77" s="473" customFormat="1" ht="11.25" customHeight="1">
      <c r="B4090" s="486" t="s">
        <v>291</v>
      </c>
      <c r="C4090" s="487"/>
      <c r="D4090" s="487"/>
      <c r="E4090" s="488" t="s">
        <v>3201</v>
      </c>
      <c r="F4090" s="473" t="s">
        <v>787</v>
      </c>
      <c r="G4090" s="496">
        <v>3547</v>
      </c>
      <c r="H4090" s="473" t="s">
        <v>765</v>
      </c>
      <c r="I4090" s="491" t="s">
        <v>888</v>
      </c>
      <c r="J4090" s="490">
        <v>49816.800000000003</v>
      </c>
      <c r="K4090" s="491"/>
      <c r="L4090" s="490">
        <v>31.45</v>
      </c>
      <c r="M4090" s="490">
        <v>31.45</v>
      </c>
      <c r="N4090" s="492">
        <v>15812</v>
      </c>
      <c r="O4090" s="493">
        <v>0.15</v>
      </c>
      <c r="P4090" s="493"/>
      <c r="Q4090" s="492">
        <v>1868.13</v>
      </c>
      <c r="R4090" s="473" t="s">
        <v>105</v>
      </c>
      <c r="S4090" s="481" t="s">
        <v>30</v>
      </c>
      <c r="T4090" s="481">
        <v>39</v>
      </c>
      <c r="U4090" s="494" t="s">
        <v>164</v>
      </c>
      <c r="V4090" s="495"/>
      <c r="X4090" s="492">
        <v>1868.13</v>
      </c>
      <c r="Y4090" s="492"/>
      <c r="AJ4090" s="485"/>
      <c r="AK4090" s="505">
        <v>1868.13</v>
      </c>
    </row>
    <row r="4091" spans="1:77" s="379" customFormat="1" ht="11.25" customHeight="1">
      <c r="B4091" s="379" t="s">
        <v>291</v>
      </c>
      <c r="C4091" s="381">
        <v>44779</v>
      </c>
      <c r="D4091" s="381">
        <v>44779</v>
      </c>
      <c r="E4091" s="382" t="s">
        <v>3202</v>
      </c>
      <c r="F4091" s="379" t="s">
        <v>425</v>
      </c>
      <c r="G4091" s="383">
        <v>3522</v>
      </c>
      <c r="H4091" s="379" t="s">
        <v>408</v>
      </c>
      <c r="I4091" s="379" t="s">
        <v>33</v>
      </c>
      <c r="J4091" s="385">
        <v>57687.59</v>
      </c>
      <c r="K4091" s="384"/>
      <c r="L4091" s="385">
        <v>23.31</v>
      </c>
      <c r="M4091" s="385">
        <v>23.31</v>
      </c>
      <c r="N4091" s="386">
        <v>17306</v>
      </c>
      <c r="O4091" s="387">
        <v>0.3</v>
      </c>
      <c r="P4091" s="387"/>
      <c r="Q4091" s="386">
        <v>0</v>
      </c>
      <c r="R4091" s="379" t="s">
        <v>46</v>
      </c>
      <c r="S4091" s="388" t="s">
        <v>426</v>
      </c>
      <c r="T4091" s="388">
        <v>76</v>
      </c>
      <c r="U4091" s="389" t="s">
        <v>164</v>
      </c>
      <c r="V4091" s="433"/>
      <c r="X4091" s="386">
        <v>0</v>
      </c>
      <c r="Y4091" s="386"/>
      <c r="AJ4091" s="390">
        <v>0</v>
      </c>
    </row>
    <row r="4092" spans="1:77" s="291" customFormat="1" ht="11.25" customHeight="1">
      <c r="A4092" s="291" t="s">
        <v>3893</v>
      </c>
      <c r="B4092" s="291" t="s">
        <v>291</v>
      </c>
      <c r="C4092" s="292">
        <v>44761</v>
      </c>
      <c r="D4092" s="292">
        <v>44779</v>
      </c>
      <c r="E4092" s="293" t="s">
        <v>3203</v>
      </c>
      <c r="F4092" s="291" t="s">
        <v>1371</v>
      </c>
      <c r="G4092" s="294">
        <v>3770</v>
      </c>
      <c r="H4092" s="291" t="s">
        <v>910</v>
      </c>
      <c r="I4092" s="291" t="s">
        <v>3022</v>
      </c>
      <c r="J4092" s="296">
        <v>29845.5</v>
      </c>
      <c r="K4092" s="295"/>
      <c r="L4092" s="296">
        <v>21.29</v>
      </c>
      <c r="M4092" s="296">
        <v>21.29</v>
      </c>
      <c r="N4092" s="297"/>
      <c r="O4092" s="298">
        <v>0.3</v>
      </c>
      <c r="P4092" s="298"/>
      <c r="Q4092" s="297">
        <v>9.58</v>
      </c>
      <c r="R4092" s="291" t="s">
        <v>35</v>
      </c>
      <c r="S4092" s="299" t="s">
        <v>34</v>
      </c>
      <c r="T4092" s="299">
        <v>17</v>
      </c>
      <c r="U4092" s="300" t="s">
        <v>164</v>
      </c>
      <c r="V4092" s="333"/>
      <c r="X4092" s="297">
        <v>9.58</v>
      </c>
      <c r="Y4092" s="297"/>
      <c r="AH4092" s="311">
        <f>X4092</f>
        <v>9.58</v>
      </c>
      <c r="AI4092" s="311"/>
      <c r="AJ4092" s="468"/>
    </row>
    <row r="4093" spans="1:77" s="291" customFormat="1" ht="11.25" customHeight="1">
      <c r="A4093" s="291" t="s">
        <v>3893</v>
      </c>
      <c r="B4093" s="291" t="s">
        <v>291</v>
      </c>
      <c r="C4093" s="292"/>
      <c r="D4093" s="292"/>
      <c r="E4093" s="293" t="s">
        <v>3203</v>
      </c>
      <c r="F4093" s="291" t="s">
        <v>1371</v>
      </c>
      <c r="G4093" s="294">
        <v>3770</v>
      </c>
      <c r="H4093" s="291" t="s">
        <v>765</v>
      </c>
      <c r="I4093" s="291" t="s">
        <v>33</v>
      </c>
      <c r="J4093" s="296">
        <v>57102.5</v>
      </c>
      <c r="K4093" s="295"/>
      <c r="L4093" s="296">
        <v>65.260000000000005</v>
      </c>
      <c r="M4093" s="296">
        <v>52.32</v>
      </c>
      <c r="N4093" s="297"/>
      <c r="O4093" s="298">
        <v>0.3</v>
      </c>
      <c r="P4093" s="298"/>
      <c r="Q4093" s="297">
        <v>2600.3000000000002</v>
      </c>
      <c r="R4093" s="291" t="s">
        <v>35</v>
      </c>
      <c r="S4093" s="299" t="s">
        <v>34</v>
      </c>
      <c r="T4093" s="299">
        <v>17</v>
      </c>
      <c r="U4093" s="300" t="s">
        <v>164</v>
      </c>
      <c r="V4093" s="333"/>
      <c r="X4093" s="297">
        <v>2600.3000000000002</v>
      </c>
      <c r="Y4093" s="297"/>
      <c r="AH4093" s="311">
        <f>X4093</f>
        <v>2600.3000000000002</v>
      </c>
      <c r="AI4093" s="311"/>
      <c r="AJ4093" s="468"/>
    </row>
    <row r="4094" spans="1:77" s="379" customFormat="1" ht="11.25" customHeight="1">
      <c r="A4094" s="379" t="s">
        <v>3893</v>
      </c>
      <c r="B4094" s="379" t="s">
        <v>291</v>
      </c>
      <c r="C4094" s="381"/>
      <c r="D4094" s="381"/>
      <c r="E4094" s="382" t="s">
        <v>3203</v>
      </c>
      <c r="F4094" s="379" t="s">
        <v>1371</v>
      </c>
      <c r="G4094" s="383">
        <v>3770</v>
      </c>
      <c r="H4094" s="379" t="s">
        <v>866</v>
      </c>
      <c r="I4094" s="379" t="s">
        <v>33</v>
      </c>
      <c r="J4094" s="385">
        <v>1711.2</v>
      </c>
      <c r="K4094" s="384"/>
      <c r="L4094" s="385">
        <v>22.32</v>
      </c>
      <c r="M4094" s="385">
        <v>22.32</v>
      </c>
      <c r="N4094" s="386"/>
      <c r="O4094" s="387">
        <v>0.3</v>
      </c>
      <c r="P4094" s="387"/>
      <c r="Q4094" s="386">
        <v>2367.04</v>
      </c>
      <c r="R4094" s="379" t="s">
        <v>35</v>
      </c>
      <c r="S4094" s="388" t="s">
        <v>34</v>
      </c>
      <c r="T4094" s="388">
        <v>17</v>
      </c>
      <c r="U4094" s="389" t="s">
        <v>164</v>
      </c>
      <c r="V4094" s="433"/>
      <c r="X4094" s="386">
        <v>2367.04</v>
      </c>
      <c r="Y4094" s="386"/>
      <c r="AJ4094" s="416">
        <v>2367.04</v>
      </c>
    </row>
    <row r="4095" spans="1:77" s="291" customFormat="1" ht="11.25" customHeight="1">
      <c r="B4095" s="291" t="s">
        <v>291</v>
      </c>
      <c r="C4095" s="292">
        <v>44778</v>
      </c>
      <c r="D4095" s="292">
        <v>44779</v>
      </c>
      <c r="E4095" s="293" t="s">
        <v>3205</v>
      </c>
      <c r="F4095" s="291" t="s">
        <v>1062</v>
      </c>
      <c r="G4095" s="294">
        <v>4269</v>
      </c>
      <c r="H4095" s="291" t="s">
        <v>765</v>
      </c>
      <c r="I4095" s="291" t="s">
        <v>33</v>
      </c>
      <c r="J4095" s="296">
        <v>31240.35</v>
      </c>
      <c r="K4095" s="295"/>
      <c r="L4095" s="296">
        <v>28.53</v>
      </c>
      <c r="M4095" s="296">
        <v>28.53</v>
      </c>
      <c r="N4095" s="297">
        <v>12496.14</v>
      </c>
      <c r="O4095" s="298">
        <v>0.25</v>
      </c>
      <c r="P4095" s="298"/>
      <c r="Q4095" s="297">
        <v>0</v>
      </c>
      <c r="R4095" s="291" t="s">
        <v>42</v>
      </c>
      <c r="S4095" s="299" t="s">
        <v>41</v>
      </c>
      <c r="T4095" s="299">
        <v>16</v>
      </c>
      <c r="U4095" s="300" t="s">
        <v>164</v>
      </c>
      <c r="V4095" s="333"/>
      <c r="X4095" s="297">
        <v>0</v>
      </c>
      <c r="Y4095" s="297"/>
      <c r="AH4095" s="291">
        <f>X4095</f>
        <v>0</v>
      </c>
      <c r="AI4095" s="311"/>
      <c r="AJ4095" s="468"/>
    </row>
    <row r="4096" spans="1:77" s="291" customFormat="1" ht="11.25" customHeight="1">
      <c r="A4096" s="291" t="s">
        <v>3893</v>
      </c>
      <c r="B4096" s="291" t="s">
        <v>291</v>
      </c>
      <c r="C4096" s="292">
        <v>44774</v>
      </c>
      <c r="D4096" s="292">
        <v>44780</v>
      </c>
      <c r="E4096" s="293" t="s">
        <v>3206</v>
      </c>
      <c r="F4096" s="291" t="s">
        <v>453</v>
      </c>
      <c r="G4096" s="294">
        <v>4390</v>
      </c>
      <c r="H4096" s="291" t="s">
        <v>865</v>
      </c>
      <c r="I4096" s="291" t="s">
        <v>33</v>
      </c>
      <c r="J4096" s="296">
        <v>26067.09</v>
      </c>
      <c r="K4096" s="295"/>
      <c r="L4096" s="296">
        <v>25.18</v>
      </c>
      <c r="M4096" s="296">
        <v>25.11</v>
      </c>
      <c r="N4096" s="297">
        <v>14557</v>
      </c>
      <c r="O4096" s="298">
        <v>0.3</v>
      </c>
      <c r="P4096" s="298"/>
      <c r="Q4096" s="297">
        <v>3018.38</v>
      </c>
      <c r="R4096" s="291" t="s">
        <v>142</v>
      </c>
      <c r="S4096" s="299" t="s">
        <v>41</v>
      </c>
      <c r="T4096" s="299">
        <v>16</v>
      </c>
      <c r="U4096" s="300" t="s">
        <v>164</v>
      </c>
      <c r="V4096" s="333"/>
      <c r="X4096" s="297">
        <v>3018.38</v>
      </c>
      <c r="Y4096" s="297"/>
      <c r="AH4096" s="297">
        <f>X4096</f>
        <v>3018.38</v>
      </c>
      <c r="AI4096" s="311"/>
      <c r="AJ4096" s="468"/>
    </row>
    <row r="4097" spans="1:77" s="261" customFormat="1" ht="11.25" customHeight="1">
      <c r="B4097" s="261" t="s">
        <v>291</v>
      </c>
      <c r="C4097" s="259"/>
      <c r="D4097" s="259"/>
      <c r="E4097" s="260" t="s">
        <v>3206</v>
      </c>
      <c r="F4097" s="261" t="s">
        <v>453</v>
      </c>
      <c r="G4097" s="262">
        <v>4390</v>
      </c>
      <c r="H4097" s="261" t="s">
        <v>765</v>
      </c>
      <c r="I4097" s="261" t="s">
        <v>33</v>
      </c>
      <c r="J4097" s="263">
        <v>15350.58</v>
      </c>
      <c r="K4097" s="264"/>
      <c r="L4097" s="263">
        <v>19.649999999999999</v>
      </c>
      <c r="M4097" s="263">
        <v>19.440000000000001</v>
      </c>
      <c r="N4097" s="265"/>
      <c r="O4097" s="266">
        <v>0.3</v>
      </c>
      <c r="P4097" s="266"/>
      <c r="Q4097" s="265">
        <v>0</v>
      </c>
      <c r="R4097" s="261" t="s">
        <v>142</v>
      </c>
      <c r="S4097" s="267" t="s">
        <v>41</v>
      </c>
      <c r="T4097" s="267">
        <v>16</v>
      </c>
      <c r="U4097" s="268" t="s">
        <v>164</v>
      </c>
      <c r="V4097" s="427"/>
      <c r="X4097" s="265">
        <v>0</v>
      </c>
      <c r="Y4097" s="265"/>
      <c r="AG4097" s="261">
        <f>X4097</f>
        <v>0</v>
      </c>
      <c r="AJ4097" s="642"/>
    </row>
    <row r="4098" spans="1:77" s="379" customFormat="1" ht="11.25" customHeight="1">
      <c r="B4098" s="379" t="s">
        <v>291</v>
      </c>
      <c r="C4098" s="381">
        <v>44774</v>
      </c>
      <c r="D4098" s="381">
        <v>44781</v>
      </c>
      <c r="E4098" s="382" t="s">
        <v>3204</v>
      </c>
      <c r="F4098" s="379" t="s">
        <v>575</v>
      </c>
      <c r="G4098" s="383">
        <v>3787</v>
      </c>
      <c r="H4098" s="379" t="s">
        <v>898</v>
      </c>
      <c r="I4098" s="379" t="s">
        <v>33</v>
      </c>
      <c r="J4098" s="385">
        <v>22321.599999999999</v>
      </c>
      <c r="K4098" s="384"/>
      <c r="L4098" s="385">
        <v>19.93</v>
      </c>
      <c r="M4098" s="385">
        <v>19.93</v>
      </c>
      <c r="N4098" s="386"/>
      <c r="O4098" s="387">
        <v>0.25</v>
      </c>
      <c r="P4098" s="387"/>
      <c r="Q4098" s="386">
        <v>4752.51</v>
      </c>
      <c r="R4098" s="379" t="s">
        <v>576</v>
      </c>
      <c r="S4098" s="388" t="s">
        <v>347</v>
      </c>
      <c r="T4098" s="388">
        <v>79</v>
      </c>
      <c r="U4098" s="389" t="s">
        <v>164</v>
      </c>
      <c r="V4098" s="433">
        <v>479.52</v>
      </c>
      <c r="X4098" s="386">
        <v>4752.51</v>
      </c>
      <c r="Y4098" s="386"/>
      <c r="AJ4098" s="416">
        <v>4752.51</v>
      </c>
    </row>
    <row r="4099" spans="1:77" s="291" customFormat="1" ht="11.25" customHeight="1">
      <c r="A4099" s="291" t="s">
        <v>3893</v>
      </c>
      <c r="B4099" s="291" t="s">
        <v>291</v>
      </c>
      <c r="C4099" s="292">
        <v>44774</v>
      </c>
      <c r="D4099" s="292">
        <v>44781</v>
      </c>
      <c r="E4099" s="293" t="s">
        <v>3208</v>
      </c>
      <c r="F4099" s="291" t="s">
        <v>3772</v>
      </c>
      <c r="G4099" s="294" t="s">
        <v>523</v>
      </c>
      <c r="H4099" s="291" t="s">
        <v>765</v>
      </c>
      <c r="I4099" s="291" t="s">
        <v>33</v>
      </c>
      <c r="J4099" s="296">
        <v>11847.7</v>
      </c>
      <c r="K4099" s="295"/>
      <c r="L4099" s="296">
        <v>10</v>
      </c>
      <c r="M4099" s="296">
        <v>10</v>
      </c>
      <c r="N4099" s="297"/>
      <c r="O4099" s="298">
        <v>0.25</v>
      </c>
      <c r="P4099" s="298"/>
      <c r="Q4099" s="297">
        <v>1233.18</v>
      </c>
      <c r="R4099" s="291" t="s">
        <v>146</v>
      </c>
      <c r="S4099" s="299" t="s">
        <v>74</v>
      </c>
      <c r="T4099" s="299">
        <v>32</v>
      </c>
      <c r="U4099" s="300" t="s">
        <v>164</v>
      </c>
      <c r="V4099" s="333"/>
      <c r="X4099" s="297">
        <v>1233.18</v>
      </c>
      <c r="Y4099" s="297"/>
      <c r="AH4099" s="291">
        <f>X4099</f>
        <v>1233.18</v>
      </c>
      <c r="AI4099" s="311"/>
      <c r="AJ4099" s="468"/>
    </row>
    <row r="4100" spans="1:77" s="379" customFormat="1" ht="11.25" customHeight="1">
      <c r="B4100" s="380" t="s">
        <v>291</v>
      </c>
      <c r="C4100" s="381">
        <v>44774</v>
      </c>
      <c r="D4100" s="381">
        <v>44781</v>
      </c>
      <c r="E4100" s="382" t="s">
        <v>3209</v>
      </c>
      <c r="F4100" s="379" t="s">
        <v>1757</v>
      </c>
      <c r="G4100" s="383" t="s">
        <v>1758</v>
      </c>
      <c r="H4100" s="379" t="s">
        <v>814</v>
      </c>
      <c r="I4100" s="379" t="s">
        <v>111</v>
      </c>
      <c r="J4100" s="385">
        <v>13341.52</v>
      </c>
      <c r="K4100" s="384"/>
      <c r="L4100" s="385">
        <v>7.51</v>
      </c>
      <c r="M4100" s="385">
        <v>7.51</v>
      </c>
      <c r="N4100" s="386">
        <v>3548</v>
      </c>
      <c r="O4100" s="387">
        <v>0.2</v>
      </c>
      <c r="P4100" s="387"/>
      <c r="Q4100" s="386">
        <v>0</v>
      </c>
      <c r="R4100" s="379" t="s">
        <v>105</v>
      </c>
      <c r="S4100" s="388" t="s">
        <v>30</v>
      </c>
      <c r="T4100" s="408" t="s">
        <v>1793</v>
      </c>
      <c r="U4100" s="389" t="s">
        <v>164</v>
      </c>
      <c r="V4100" s="433"/>
      <c r="X4100" s="386">
        <v>0</v>
      </c>
      <c r="Y4100" s="386"/>
      <c r="AJ4100" s="390">
        <v>0</v>
      </c>
    </row>
    <row r="4101" spans="1:77" s="379" customFormat="1" ht="11.25" customHeight="1">
      <c r="B4101" s="380" t="s">
        <v>291</v>
      </c>
      <c r="C4101" s="381"/>
      <c r="D4101" s="381"/>
      <c r="E4101" s="382" t="s">
        <v>3209</v>
      </c>
      <c r="F4101" s="379" t="s">
        <v>1757</v>
      </c>
      <c r="G4101" s="383" t="s">
        <v>1758</v>
      </c>
      <c r="H4101" s="379" t="s">
        <v>814</v>
      </c>
      <c r="I4101" s="379" t="s">
        <v>111</v>
      </c>
      <c r="J4101" s="385">
        <v>22970.15</v>
      </c>
      <c r="K4101" s="384"/>
      <c r="L4101" s="385">
        <v>12.93</v>
      </c>
      <c r="M4101" s="385">
        <v>12.93</v>
      </c>
      <c r="N4101" s="386">
        <v>4132</v>
      </c>
      <c r="O4101" s="387">
        <v>0.2</v>
      </c>
      <c r="P4101" s="387"/>
      <c r="Q4101" s="386">
        <v>0</v>
      </c>
      <c r="R4101" s="379" t="s">
        <v>105</v>
      </c>
      <c r="S4101" s="388" t="s">
        <v>30</v>
      </c>
      <c r="T4101" s="388">
        <v>39</v>
      </c>
      <c r="U4101" s="389" t="s">
        <v>164</v>
      </c>
      <c r="V4101" s="433"/>
      <c r="X4101" s="386">
        <v>0</v>
      </c>
      <c r="Y4101" s="386"/>
      <c r="AJ4101" s="390">
        <v>0</v>
      </c>
    </row>
    <row r="4102" spans="1:77" s="379" customFormat="1" ht="11.25" customHeight="1">
      <c r="B4102" s="380" t="s">
        <v>291</v>
      </c>
      <c r="C4102" s="381"/>
      <c r="D4102" s="381"/>
      <c r="E4102" s="382" t="s">
        <v>3209</v>
      </c>
      <c r="F4102" s="379" t="s">
        <v>1757</v>
      </c>
      <c r="G4102" s="383" t="s">
        <v>1758</v>
      </c>
      <c r="H4102" s="379" t="s">
        <v>866</v>
      </c>
      <c r="I4102" s="379" t="s">
        <v>111</v>
      </c>
      <c r="J4102" s="385">
        <v>13620.6</v>
      </c>
      <c r="K4102" s="384"/>
      <c r="L4102" s="385">
        <v>7.05</v>
      </c>
      <c r="M4102" s="385">
        <v>7.05</v>
      </c>
      <c r="N4102" s="386">
        <v>6414</v>
      </c>
      <c r="O4102" s="387">
        <v>0.2</v>
      </c>
      <c r="P4102" s="387"/>
      <c r="Q4102" s="386">
        <v>0</v>
      </c>
      <c r="R4102" s="379" t="s">
        <v>105</v>
      </c>
      <c r="S4102" s="388" t="s">
        <v>30</v>
      </c>
      <c r="T4102" s="408" t="s">
        <v>1793</v>
      </c>
      <c r="U4102" s="389" t="s">
        <v>164</v>
      </c>
      <c r="V4102" s="433"/>
      <c r="X4102" s="386">
        <v>0</v>
      </c>
      <c r="Y4102" s="386"/>
      <c r="AJ4102" s="390">
        <v>0</v>
      </c>
    </row>
    <row r="4103" spans="1:77" s="379" customFormat="1" ht="11.25" customHeight="1">
      <c r="B4103" s="380" t="s">
        <v>291</v>
      </c>
      <c r="C4103" s="381"/>
      <c r="D4103" s="381"/>
      <c r="E4103" s="382" t="s">
        <v>3209</v>
      </c>
      <c r="F4103" s="379" t="s">
        <v>1757</v>
      </c>
      <c r="G4103" s="383" t="s">
        <v>1758</v>
      </c>
      <c r="H4103" s="379" t="s">
        <v>866</v>
      </c>
      <c r="I4103" s="379" t="s">
        <v>111</v>
      </c>
      <c r="J4103" s="385">
        <v>33288.36</v>
      </c>
      <c r="K4103" s="384"/>
      <c r="L4103" s="385">
        <v>17.23</v>
      </c>
      <c r="M4103" s="385">
        <v>17.23</v>
      </c>
      <c r="N4103" s="386">
        <v>11325</v>
      </c>
      <c r="O4103" s="387">
        <v>0.2</v>
      </c>
      <c r="P4103" s="387"/>
      <c r="Q4103" s="386">
        <v>0</v>
      </c>
      <c r="R4103" s="379" t="s">
        <v>105</v>
      </c>
      <c r="S4103" s="388" t="s">
        <v>30</v>
      </c>
      <c r="T4103" s="388">
        <v>39</v>
      </c>
      <c r="U4103" s="389" t="s">
        <v>164</v>
      </c>
      <c r="V4103" s="433"/>
      <c r="X4103" s="386">
        <v>0</v>
      </c>
      <c r="Y4103" s="386"/>
      <c r="AJ4103" s="390">
        <v>0</v>
      </c>
    </row>
    <row r="4104" spans="1:77" s="379" customFormat="1" ht="11.25" customHeight="1">
      <c r="B4104" s="379" t="s">
        <v>291</v>
      </c>
      <c r="C4104" s="381">
        <v>44774</v>
      </c>
      <c r="D4104" s="381">
        <v>44781</v>
      </c>
      <c r="E4104" s="382" t="s">
        <v>3210</v>
      </c>
      <c r="F4104" s="394" t="s">
        <v>2269</v>
      </c>
      <c r="G4104" s="400" t="s">
        <v>2270</v>
      </c>
      <c r="H4104" s="379" t="s">
        <v>1164</v>
      </c>
      <c r="I4104" s="379" t="s">
        <v>111</v>
      </c>
      <c r="J4104" s="385">
        <v>156936</v>
      </c>
      <c r="K4104" s="384"/>
      <c r="L4104" s="385">
        <v>24</v>
      </c>
      <c r="M4104" s="385">
        <v>24</v>
      </c>
      <c r="N4104" s="386">
        <v>35918.400000000001</v>
      </c>
      <c r="O4104" s="387">
        <v>0.25</v>
      </c>
      <c r="P4104" s="387"/>
      <c r="Q4104" s="386">
        <v>3041</v>
      </c>
      <c r="R4104" s="379" t="s">
        <v>112</v>
      </c>
      <c r="S4104" s="399" t="s">
        <v>150</v>
      </c>
      <c r="T4104" s="388">
        <v>64</v>
      </c>
      <c r="U4104" s="389" t="s">
        <v>164</v>
      </c>
      <c r="V4104" s="433"/>
      <c r="X4104" s="386">
        <v>3041</v>
      </c>
      <c r="Y4104" s="386"/>
      <c r="AJ4104" s="416">
        <v>3041</v>
      </c>
    </row>
    <row r="4105" spans="1:77" s="337" customFormat="1" ht="11.25" customHeight="1">
      <c r="B4105" s="367" t="s">
        <v>291</v>
      </c>
      <c r="C4105" s="349">
        <v>44760</v>
      </c>
      <c r="D4105" s="349">
        <v>44763</v>
      </c>
      <c r="E4105" s="350" t="s">
        <v>3207</v>
      </c>
      <c r="F4105" s="337" t="s">
        <v>1185</v>
      </c>
      <c r="G4105" s="351" t="s">
        <v>1186</v>
      </c>
      <c r="H4105" s="337" t="s">
        <v>866</v>
      </c>
      <c r="I4105" s="337" t="s">
        <v>111</v>
      </c>
      <c r="J4105" s="352">
        <v>30810</v>
      </c>
      <c r="K4105" s="353"/>
      <c r="L4105" s="352">
        <v>15</v>
      </c>
      <c r="M4105" s="352">
        <v>15</v>
      </c>
      <c r="N4105" s="354">
        <v>12344.54</v>
      </c>
      <c r="O4105" s="355">
        <v>0.25</v>
      </c>
      <c r="P4105" s="355"/>
      <c r="Q4105" s="354">
        <v>0</v>
      </c>
      <c r="R4105" s="337" t="s">
        <v>112</v>
      </c>
      <c r="S4105" s="346" t="s">
        <v>113</v>
      </c>
      <c r="T4105" s="346">
        <v>64</v>
      </c>
      <c r="U4105" s="357" t="s">
        <v>164</v>
      </c>
      <c r="V4105" s="434"/>
      <c r="X4105" s="354">
        <v>0</v>
      </c>
      <c r="Y4105" s="354"/>
      <c r="AI4105" s="337">
        <v>0</v>
      </c>
      <c r="AJ4105" s="358"/>
      <c r="AK4105" s="369"/>
    </row>
    <row r="4106" spans="1:77" s="337" customFormat="1" ht="11.25" customHeight="1">
      <c r="B4106" s="367" t="s">
        <v>291</v>
      </c>
      <c r="C4106" s="349"/>
      <c r="D4106" s="349"/>
      <c r="E4106" s="350" t="s">
        <v>3207</v>
      </c>
      <c r="F4106" s="337" t="s">
        <v>1185</v>
      </c>
      <c r="G4106" s="351" t="s">
        <v>1186</v>
      </c>
      <c r="H4106" s="337" t="s">
        <v>814</v>
      </c>
      <c r="I4106" s="337" t="s">
        <v>111</v>
      </c>
      <c r="J4106" s="352">
        <v>13840</v>
      </c>
      <c r="K4106" s="353"/>
      <c r="L4106" s="352">
        <v>10</v>
      </c>
      <c r="M4106" s="352">
        <v>10</v>
      </c>
      <c r="N4106" s="354">
        <v>6228</v>
      </c>
      <c r="O4106" s="355">
        <v>0.25</v>
      </c>
      <c r="P4106" s="355"/>
      <c r="Q4106" s="354">
        <v>3756.04</v>
      </c>
      <c r="R4106" s="337" t="s">
        <v>112</v>
      </c>
      <c r="S4106" s="346" t="s">
        <v>113</v>
      </c>
      <c r="T4106" s="346">
        <v>64</v>
      </c>
      <c r="U4106" s="357" t="s">
        <v>164</v>
      </c>
      <c r="V4106" s="434">
        <v>469</v>
      </c>
      <c r="X4106" s="354">
        <v>3756.04</v>
      </c>
      <c r="Y4106" s="354"/>
      <c r="AI4106" s="354">
        <v>3756.04</v>
      </c>
      <c r="AJ4106" s="358"/>
      <c r="AK4106" s="369"/>
    </row>
    <row r="4107" spans="1:77" s="6" customFormat="1" ht="11.25" customHeight="1">
      <c r="A4107" s="507"/>
      <c r="B4107" s="508" t="s">
        <v>291</v>
      </c>
      <c r="C4107" s="509">
        <v>44774</v>
      </c>
      <c r="D4107" s="509">
        <v>44781</v>
      </c>
      <c r="E4107" s="510" t="s">
        <v>3212</v>
      </c>
      <c r="F4107" s="507" t="s">
        <v>519</v>
      </c>
      <c r="G4107" s="521">
        <v>4486</v>
      </c>
      <c r="H4107" s="507" t="s">
        <v>866</v>
      </c>
      <c r="I4107" s="523" t="s">
        <v>33</v>
      </c>
      <c r="J4107" s="513">
        <v>10607.4</v>
      </c>
      <c r="K4107" s="512"/>
      <c r="L4107" s="513">
        <v>7.1</v>
      </c>
      <c r="M4107" s="513">
        <v>7.1</v>
      </c>
      <c r="N4107" s="514"/>
      <c r="O4107" s="515">
        <v>0.2</v>
      </c>
      <c r="P4107" s="515"/>
      <c r="Q4107" s="514">
        <v>3381.02</v>
      </c>
      <c r="R4107" s="507" t="s">
        <v>128</v>
      </c>
      <c r="S4107" s="516" t="s">
        <v>41</v>
      </c>
      <c r="T4107" s="516">
        <v>79</v>
      </c>
      <c r="U4107" s="517" t="s">
        <v>164</v>
      </c>
      <c r="V4107" s="518"/>
      <c r="W4107" s="507"/>
      <c r="X4107" s="514">
        <v>3381.02</v>
      </c>
      <c r="Y4107" s="514"/>
      <c r="Z4107" s="507"/>
      <c r="AA4107" s="507"/>
      <c r="AB4107" s="507"/>
      <c r="AC4107" s="507"/>
      <c r="AD4107" s="507"/>
      <c r="AE4107" s="507"/>
      <c r="AF4107" s="507"/>
      <c r="AG4107" s="507"/>
      <c r="AH4107" s="507"/>
      <c r="AI4107" s="507"/>
      <c r="AJ4107" s="522"/>
      <c r="AK4107" s="507"/>
      <c r="AL4107" s="514">
        <v>3381.02</v>
      </c>
      <c r="AM4107" s="507"/>
      <c r="AN4107" s="507"/>
      <c r="AO4107" s="507"/>
      <c r="AP4107" s="507"/>
      <c r="AQ4107" s="507"/>
      <c r="AR4107" s="507"/>
      <c r="AS4107" s="507"/>
      <c r="AT4107" s="507"/>
      <c r="AU4107" s="507"/>
      <c r="AV4107" s="507"/>
      <c r="AW4107" s="507"/>
      <c r="AX4107" s="507"/>
      <c r="AY4107" s="507"/>
      <c r="AZ4107" s="507"/>
      <c r="BA4107" s="507"/>
      <c r="BB4107" s="507"/>
      <c r="BC4107" s="507"/>
      <c r="BD4107" s="507"/>
      <c r="BE4107" s="507"/>
      <c r="BF4107" s="507"/>
      <c r="BG4107" s="507"/>
      <c r="BH4107" s="507"/>
      <c r="BI4107" s="507"/>
      <c r="BJ4107" s="507"/>
      <c r="BK4107" s="507"/>
      <c r="BL4107" s="507"/>
      <c r="BM4107" s="507"/>
      <c r="BN4107" s="507"/>
      <c r="BO4107" s="507"/>
      <c r="BP4107" s="507"/>
      <c r="BQ4107" s="507"/>
      <c r="BR4107" s="507"/>
      <c r="BS4107" s="507"/>
      <c r="BT4107" s="507"/>
      <c r="BU4107" s="507"/>
      <c r="BV4107" s="507"/>
      <c r="BW4107" s="507"/>
      <c r="BX4107" s="507"/>
      <c r="BY4107" s="507"/>
    </row>
    <row r="4108" spans="1:77" s="507" customFormat="1" ht="11.25" customHeight="1">
      <c r="A4108" s="379"/>
      <c r="B4108" s="380" t="s">
        <v>291</v>
      </c>
      <c r="C4108" s="381"/>
      <c r="D4108" s="381"/>
      <c r="E4108" s="382" t="s">
        <v>3212</v>
      </c>
      <c r="F4108" s="379" t="s">
        <v>519</v>
      </c>
      <c r="G4108" s="383">
        <v>4486</v>
      </c>
      <c r="H4108" s="379" t="s">
        <v>765</v>
      </c>
      <c r="I4108" s="394" t="s">
        <v>33</v>
      </c>
      <c r="J4108" s="385">
        <v>69796.5</v>
      </c>
      <c r="K4108" s="384"/>
      <c r="L4108" s="385">
        <v>58.9</v>
      </c>
      <c r="M4108" s="385">
        <v>58.9</v>
      </c>
      <c r="N4108" s="386"/>
      <c r="O4108" s="387">
        <v>0.2</v>
      </c>
      <c r="P4108" s="387"/>
      <c r="Q4108" s="386">
        <v>1030.75</v>
      </c>
      <c r="R4108" s="379" t="s">
        <v>128</v>
      </c>
      <c r="S4108" s="388" t="s">
        <v>41</v>
      </c>
      <c r="T4108" s="388">
        <v>79</v>
      </c>
      <c r="U4108" s="389" t="s">
        <v>164</v>
      </c>
      <c r="V4108" s="433"/>
      <c r="W4108" s="379"/>
      <c r="X4108" s="386">
        <v>1030.75</v>
      </c>
      <c r="Y4108" s="386"/>
      <c r="Z4108" s="379"/>
      <c r="AA4108" s="379"/>
      <c r="AB4108" s="379"/>
      <c r="AC4108" s="379"/>
      <c r="AD4108" s="379"/>
      <c r="AE4108" s="379"/>
      <c r="AF4108" s="379"/>
      <c r="AG4108" s="379"/>
      <c r="AH4108" s="379"/>
      <c r="AI4108" s="379"/>
      <c r="AJ4108" s="416">
        <v>1030.75</v>
      </c>
      <c r="AK4108" s="379"/>
      <c r="AL4108" s="379"/>
      <c r="AM4108" s="379"/>
      <c r="AN4108" s="379"/>
      <c r="AO4108" s="379"/>
      <c r="AP4108" s="379"/>
      <c r="AQ4108" s="379"/>
      <c r="AR4108" s="379"/>
      <c r="AS4108" s="379"/>
      <c r="AT4108" s="379"/>
      <c r="AU4108" s="379"/>
      <c r="AV4108" s="379"/>
      <c r="AW4108" s="379"/>
      <c r="AX4108" s="379"/>
      <c r="AY4108" s="379"/>
      <c r="AZ4108" s="379"/>
      <c r="BA4108" s="379"/>
      <c r="BB4108" s="379"/>
      <c r="BC4108" s="379"/>
      <c r="BD4108" s="379"/>
      <c r="BE4108" s="379"/>
      <c r="BF4108" s="379"/>
      <c r="BG4108" s="379"/>
      <c r="BH4108" s="379"/>
      <c r="BI4108" s="379"/>
      <c r="BJ4108" s="379"/>
      <c r="BK4108" s="379"/>
      <c r="BL4108" s="379"/>
      <c r="BM4108" s="379"/>
      <c r="BN4108" s="379"/>
      <c r="BO4108" s="379"/>
      <c r="BP4108" s="379"/>
      <c r="BQ4108" s="379"/>
      <c r="BR4108" s="379"/>
      <c r="BS4108" s="379"/>
      <c r="BT4108" s="379"/>
      <c r="BU4108" s="379"/>
      <c r="BV4108" s="379"/>
      <c r="BW4108" s="379"/>
      <c r="BX4108" s="379"/>
      <c r="BY4108" s="379"/>
    </row>
    <row r="4109" spans="1:77" s="6" customFormat="1" ht="11.25" customHeight="1">
      <c r="A4109" s="473"/>
      <c r="B4109" s="486" t="s">
        <v>291</v>
      </c>
      <c r="C4109" s="487"/>
      <c r="D4109" s="487"/>
      <c r="E4109" s="488" t="s">
        <v>3213</v>
      </c>
      <c r="F4109" s="473" t="s">
        <v>659</v>
      </c>
      <c r="G4109" s="489" t="s">
        <v>660</v>
      </c>
      <c r="H4109" s="473" t="s">
        <v>814</v>
      </c>
      <c r="I4109" s="473" t="s">
        <v>33</v>
      </c>
      <c r="J4109" s="490">
        <v>8723.44</v>
      </c>
      <c r="K4109" s="491"/>
      <c r="L4109" s="490">
        <v>7.66</v>
      </c>
      <c r="M4109" s="490">
        <v>7.66</v>
      </c>
      <c r="N4109" s="492">
        <v>1308.52</v>
      </c>
      <c r="O4109" s="493">
        <v>0.2</v>
      </c>
      <c r="P4109" s="493"/>
      <c r="Q4109" s="492">
        <v>3020.22</v>
      </c>
      <c r="R4109" s="473" t="s">
        <v>112</v>
      </c>
      <c r="S4109" s="481" t="s">
        <v>113</v>
      </c>
      <c r="T4109" s="481">
        <v>64</v>
      </c>
      <c r="U4109" s="494" t="s">
        <v>164</v>
      </c>
      <c r="V4109" s="495"/>
      <c r="W4109" s="473"/>
      <c r="X4109" s="492">
        <v>3020.22</v>
      </c>
      <c r="Y4109" s="492"/>
      <c r="Z4109" s="473"/>
      <c r="AA4109" s="473"/>
      <c r="AB4109" s="473"/>
      <c r="AC4109" s="473"/>
      <c r="AD4109" s="473"/>
      <c r="AE4109" s="473"/>
      <c r="AF4109" s="473"/>
      <c r="AG4109" s="473"/>
      <c r="AH4109" s="473"/>
      <c r="AI4109" s="473"/>
      <c r="AJ4109" s="485"/>
      <c r="AK4109" s="505">
        <v>3020.22</v>
      </c>
      <c r="AL4109" s="473"/>
      <c r="AM4109" s="473"/>
      <c r="AN4109" s="473"/>
      <c r="AO4109" s="473"/>
      <c r="AP4109" s="473"/>
      <c r="AQ4109" s="473"/>
      <c r="AR4109" s="473"/>
      <c r="AS4109" s="473"/>
      <c r="AT4109" s="473"/>
      <c r="AU4109" s="473"/>
      <c r="AV4109" s="473"/>
      <c r="AW4109" s="473"/>
      <c r="AX4109" s="473"/>
      <c r="AY4109" s="473"/>
      <c r="AZ4109" s="473"/>
      <c r="BA4109" s="473"/>
      <c r="BB4109" s="473"/>
      <c r="BC4109" s="473"/>
      <c r="BD4109" s="473"/>
      <c r="BE4109" s="473"/>
      <c r="BF4109" s="473"/>
      <c r="BG4109" s="473"/>
      <c r="BH4109" s="473"/>
      <c r="BI4109" s="473"/>
      <c r="BJ4109" s="473"/>
      <c r="BK4109" s="473"/>
      <c r="BL4109" s="473"/>
      <c r="BM4109" s="473"/>
      <c r="BN4109" s="473"/>
      <c r="BO4109" s="473"/>
      <c r="BP4109" s="473"/>
      <c r="BQ4109" s="473"/>
      <c r="BR4109" s="473"/>
      <c r="BS4109" s="473"/>
      <c r="BT4109" s="473"/>
      <c r="BU4109" s="473"/>
      <c r="BV4109" s="473"/>
      <c r="BW4109" s="473"/>
      <c r="BX4109" s="473"/>
      <c r="BY4109" s="473"/>
    </row>
    <row r="4110" spans="1:77" s="6" customFormat="1" ht="11.25" customHeight="1">
      <c r="A4110" s="379"/>
      <c r="B4110" s="380" t="s">
        <v>291</v>
      </c>
      <c r="C4110" s="381"/>
      <c r="D4110" s="381"/>
      <c r="E4110" s="382" t="s">
        <v>3213</v>
      </c>
      <c r="F4110" s="379" t="s">
        <v>659</v>
      </c>
      <c r="G4110" s="383" t="s">
        <v>660</v>
      </c>
      <c r="H4110" s="379" t="s">
        <v>866</v>
      </c>
      <c r="I4110" s="379" t="s">
        <v>33</v>
      </c>
      <c r="J4110" s="385">
        <v>44549.52</v>
      </c>
      <c r="K4110" s="384"/>
      <c r="L4110" s="385">
        <v>28.64</v>
      </c>
      <c r="M4110" s="385">
        <v>28.64</v>
      </c>
      <c r="N4110" s="386">
        <v>23657.599999999999</v>
      </c>
      <c r="O4110" s="387">
        <v>0.2</v>
      </c>
      <c r="P4110" s="387"/>
      <c r="Q4110" s="386">
        <v>0</v>
      </c>
      <c r="R4110" s="379" t="s">
        <v>112</v>
      </c>
      <c r="S4110" s="388" t="s">
        <v>113</v>
      </c>
      <c r="T4110" s="388">
        <v>64</v>
      </c>
      <c r="U4110" s="389" t="s">
        <v>164</v>
      </c>
      <c r="V4110" s="433"/>
      <c r="W4110" s="379"/>
      <c r="X4110" s="386">
        <v>0</v>
      </c>
      <c r="Y4110" s="386"/>
      <c r="Z4110" s="379"/>
      <c r="AA4110" s="379"/>
      <c r="AB4110" s="379"/>
      <c r="AC4110" s="379"/>
      <c r="AD4110" s="379"/>
      <c r="AE4110" s="379"/>
      <c r="AF4110" s="379"/>
      <c r="AG4110" s="379"/>
      <c r="AH4110" s="379"/>
      <c r="AI4110" s="379"/>
      <c r="AJ4110" s="390">
        <v>0</v>
      </c>
      <c r="AK4110" s="379"/>
      <c r="AL4110" s="379"/>
      <c r="AM4110" s="379"/>
      <c r="AN4110" s="379"/>
      <c r="AO4110" s="379"/>
      <c r="AP4110" s="379"/>
      <c r="AQ4110" s="379"/>
      <c r="AR4110" s="379"/>
      <c r="AS4110" s="379"/>
      <c r="AT4110" s="379"/>
      <c r="AU4110" s="379"/>
      <c r="AV4110" s="379"/>
      <c r="AW4110" s="379"/>
      <c r="AX4110" s="379"/>
      <c r="AY4110" s="379"/>
      <c r="AZ4110" s="379"/>
      <c r="BA4110" s="379"/>
      <c r="BB4110" s="379"/>
      <c r="BC4110" s="379"/>
      <c r="BD4110" s="379"/>
      <c r="BE4110" s="379"/>
      <c r="BF4110" s="379"/>
      <c r="BG4110" s="379"/>
      <c r="BH4110" s="379"/>
      <c r="BI4110" s="379"/>
      <c r="BJ4110" s="379"/>
      <c r="BK4110" s="379"/>
      <c r="BL4110" s="379"/>
      <c r="BM4110" s="379"/>
      <c r="BN4110" s="379"/>
      <c r="BO4110" s="379"/>
      <c r="BP4110" s="379"/>
      <c r="BQ4110" s="379"/>
      <c r="BR4110" s="379"/>
      <c r="BS4110" s="379"/>
      <c r="BT4110" s="379"/>
      <c r="BU4110" s="379"/>
      <c r="BV4110" s="379"/>
      <c r="BW4110" s="379"/>
      <c r="BX4110" s="379"/>
      <c r="BY4110" s="379"/>
    </row>
    <row r="4111" spans="1:77" s="473" customFormat="1" ht="11.25" customHeight="1">
      <c r="A4111" s="379"/>
      <c r="B4111" s="380" t="s">
        <v>291</v>
      </c>
      <c r="C4111" s="381">
        <v>44781</v>
      </c>
      <c r="D4111" s="381">
        <v>44781</v>
      </c>
      <c r="E4111" s="382" t="s">
        <v>3213</v>
      </c>
      <c r="F4111" s="379" t="s">
        <v>659</v>
      </c>
      <c r="G4111" s="383" t="s">
        <v>660</v>
      </c>
      <c r="H4111" s="379" t="s">
        <v>765</v>
      </c>
      <c r="I4111" s="379" t="s">
        <v>33</v>
      </c>
      <c r="J4111" s="385">
        <v>7620.33</v>
      </c>
      <c r="K4111" s="384"/>
      <c r="L4111" s="385">
        <v>5.7</v>
      </c>
      <c r="M4111" s="385">
        <v>5.7</v>
      </c>
      <c r="N4111" s="386">
        <v>1905.08</v>
      </c>
      <c r="O4111" s="387">
        <v>0.2</v>
      </c>
      <c r="P4111" s="387"/>
      <c r="Q4111" s="386">
        <v>0</v>
      </c>
      <c r="R4111" s="379" t="s">
        <v>112</v>
      </c>
      <c r="S4111" s="388" t="s">
        <v>113</v>
      </c>
      <c r="T4111" s="388">
        <v>64</v>
      </c>
      <c r="U4111" s="389" t="s">
        <v>164</v>
      </c>
      <c r="V4111" s="433"/>
      <c r="W4111" s="379"/>
      <c r="X4111" s="386">
        <v>0</v>
      </c>
      <c r="Y4111" s="386"/>
      <c r="Z4111" s="379"/>
      <c r="AA4111" s="379"/>
      <c r="AB4111" s="379"/>
      <c r="AC4111" s="379"/>
      <c r="AD4111" s="379"/>
      <c r="AE4111" s="379"/>
      <c r="AF4111" s="379"/>
      <c r="AG4111" s="379"/>
      <c r="AH4111" s="379"/>
      <c r="AI4111" s="379"/>
      <c r="AJ4111" s="390">
        <v>0</v>
      </c>
      <c r="AK4111" s="379"/>
      <c r="AL4111" s="379"/>
      <c r="AM4111" s="379"/>
      <c r="AN4111" s="379"/>
      <c r="AO4111" s="379"/>
      <c r="AP4111" s="379"/>
      <c r="AQ4111" s="379"/>
      <c r="AR4111" s="379"/>
      <c r="AS4111" s="379"/>
      <c r="AT4111" s="379"/>
      <c r="AU4111" s="379"/>
      <c r="AV4111" s="379"/>
      <c r="AW4111" s="379"/>
      <c r="AX4111" s="379"/>
      <c r="AY4111" s="379"/>
      <c r="AZ4111" s="379"/>
      <c r="BA4111" s="379"/>
      <c r="BB4111" s="379"/>
      <c r="BC4111" s="379"/>
      <c r="BD4111" s="379"/>
      <c r="BE4111" s="379"/>
      <c r="BF4111" s="379"/>
      <c r="BG4111" s="379"/>
      <c r="BH4111" s="379"/>
      <c r="BI4111" s="379"/>
      <c r="BJ4111" s="379"/>
      <c r="BK4111" s="379"/>
      <c r="BL4111" s="379"/>
      <c r="BM4111" s="379"/>
      <c r="BN4111" s="379"/>
      <c r="BO4111" s="379"/>
      <c r="BP4111" s="379"/>
      <c r="BQ4111" s="379"/>
      <c r="BR4111" s="379"/>
      <c r="BS4111" s="379"/>
      <c r="BT4111" s="379"/>
      <c r="BU4111" s="379"/>
      <c r="BV4111" s="379"/>
      <c r="BW4111" s="379"/>
      <c r="BX4111" s="379"/>
      <c r="BY4111" s="379"/>
    </row>
    <row r="4112" spans="1:77" s="337" customFormat="1" ht="11.25" customHeight="1">
      <c r="B4112" s="338" t="s">
        <v>291</v>
      </c>
      <c r="C4112" s="349">
        <v>44781</v>
      </c>
      <c r="D4112" s="349">
        <v>44781</v>
      </c>
      <c r="E4112" s="350" t="s">
        <v>3214</v>
      </c>
      <c r="F4112" s="337" t="s">
        <v>3215</v>
      </c>
      <c r="G4112" s="351" t="s">
        <v>3216</v>
      </c>
      <c r="H4112" s="337" t="s">
        <v>866</v>
      </c>
      <c r="I4112" s="353" t="s">
        <v>888</v>
      </c>
      <c r="J4112" s="352">
        <v>161986</v>
      </c>
      <c r="K4112" s="353"/>
      <c r="L4112" s="352">
        <v>73.63</v>
      </c>
      <c r="M4112" s="352">
        <v>73.63</v>
      </c>
      <c r="N4112" s="354">
        <v>111417.29</v>
      </c>
      <c r="O4112" s="355">
        <v>0.2</v>
      </c>
      <c r="P4112" s="355"/>
      <c r="Q4112" s="354">
        <v>78047.8</v>
      </c>
      <c r="R4112" s="337" t="s">
        <v>112</v>
      </c>
      <c r="S4112" s="356" t="s">
        <v>113</v>
      </c>
      <c r="T4112" s="356">
        <v>40</v>
      </c>
      <c r="U4112" s="357" t="s">
        <v>164</v>
      </c>
      <c r="V4112" s="434"/>
      <c r="X4112" s="354">
        <v>78047.8</v>
      </c>
      <c r="Y4112" s="354"/>
      <c r="AI4112" s="354">
        <v>78047.8</v>
      </c>
      <c r="AJ4112" s="358"/>
      <c r="AK4112" s="369"/>
    </row>
    <row r="4113" spans="1:77" s="379" customFormat="1" ht="11.25" customHeight="1">
      <c r="B4113" s="379" t="s">
        <v>291</v>
      </c>
      <c r="C4113" s="381">
        <v>44779</v>
      </c>
      <c r="D4113" s="381">
        <v>44779</v>
      </c>
      <c r="E4113" s="382" t="s">
        <v>3217</v>
      </c>
      <c r="F4113" s="379" t="s">
        <v>1953</v>
      </c>
      <c r="G4113" s="383" t="s">
        <v>1952</v>
      </c>
      <c r="H4113" s="379" t="s">
        <v>765</v>
      </c>
      <c r="I4113" s="384" t="s">
        <v>958</v>
      </c>
      <c r="J4113" s="385">
        <v>38315.839999999997</v>
      </c>
      <c r="K4113" s="384"/>
      <c r="L4113" s="385">
        <v>31.89</v>
      </c>
      <c r="M4113" s="385">
        <v>31.89</v>
      </c>
      <c r="N4113" s="386">
        <v>9578.9599999999991</v>
      </c>
      <c r="O4113" s="387">
        <v>0.25</v>
      </c>
      <c r="P4113" s="387"/>
      <c r="Q4113" s="386">
        <v>6206.59</v>
      </c>
      <c r="R4113" s="379" t="s">
        <v>29</v>
      </c>
      <c r="S4113" s="388" t="s">
        <v>275</v>
      </c>
      <c r="T4113" s="388">
        <v>21</v>
      </c>
      <c r="U4113" s="389" t="s">
        <v>164</v>
      </c>
      <c r="V4113" s="433"/>
      <c r="X4113" s="386">
        <v>6206.59</v>
      </c>
      <c r="Y4113" s="386"/>
      <c r="AJ4113" s="416">
        <v>6206.59</v>
      </c>
    </row>
    <row r="4114" spans="1:77" s="6" customFormat="1" ht="11.25" customHeight="1">
      <c r="A4114" s="379"/>
      <c r="B4114" s="380" t="s">
        <v>291</v>
      </c>
      <c r="C4114" s="381">
        <v>44781</v>
      </c>
      <c r="D4114" s="381">
        <v>44781</v>
      </c>
      <c r="E4114" s="382" t="s">
        <v>3218</v>
      </c>
      <c r="F4114" s="379" t="s">
        <v>344</v>
      </c>
      <c r="G4114" s="383">
        <v>3606</v>
      </c>
      <c r="H4114" s="379" t="s">
        <v>765</v>
      </c>
      <c r="I4114" s="394" t="s">
        <v>888</v>
      </c>
      <c r="J4114" s="385">
        <v>51624</v>
      </c>
      <c r="K4114" s="384"/>
      <c r="L4114" s="385">
        <v>57.36</v>
      </c>
      <c r="M4114" s="385">
        <v>57.36</v>
      </c>
      <c r="N4114" s="386"/>
      <c r="O4114" s="387">
        <v>0.2</v>
      </c>
      <c r="P4114" s="387"/>
      <c r="Q4114" s="386">
        <v>0</v>
      </c>
      <c r="R4114" s="379" t="s">
        <v>35</v>
      </c>
      <c r="S4114" s="388" t="s">
        <v>41</v>
      </c>
      <c r="T4114" s="388">
        <v>86</v>
      </c>
      <c r="U4114" s="389" t="s">
        <v>164</v>
      </c>
      <c r="V4114" s="433"/>
      <c r="W4114" s="379"/>
      <c r="X4114" s="386">
        <v>0</v>
      </c>
      <c r="Y4114" s="386"/>
      <c r="Z4114" s="379"/>
      <c r="AA4114" s="379"/>
      <c r="AB4114" s="379"/>
      <c r="AC4114" s="379"/>
      <c r="AD4114" s="379"/>
      <c r="AE4114" s="379"/>
      <c r="AF4114" s="379"/>
      <c r="AG4114" s="379"/>
      <c r="AH4114" s="379"/>
      <c r="AI4114" s="379"/>
      <c r="AJ4114" s="390">
        <v>0</v>
      </c>
      <c r="AK4114" s="379"/>
      <c r="AL4114" s="379"/>
      <c r="AM4114" s="379"/>
      <c r="AN4114" s="379"/>
      <c r="AO4114" s="379"/>
      <c r="AP4114" s="379"/>
      <c r="AQ4114" s="379"/>
      <c r="AR4114" s="379"/>
      <c r="AS4114" s="379"/>
      <c r="AT4114" s="379"/>
      <c r="AU4114" s="379"/>
      <c r="AV4114" s="379"/>
      <c r="AW4114" s="379"/>
      <c r="AX4114" s="379"/>
      <c r="AY4114" s="379"/>
      <c r="AZ4114" s="379"/>
      <c r="BA4114" s="379"/>
      <c r="BB4114" s="379"/>
      <c r="BC4114" s="379"/>
      <c r="BD4114" s="379"/>
      <c r="BE4114" s="379"/>
      <c r="BF4114" s="379"/>
      <c r="BG4114" s="379"/>
      <c r="BH4114" s="379"/>
      <c r="BI4114" s="379"/>
      <c r="BJ4114" s="379"/>
      <c r="BK4114" s="379"/>
      <c r="BL4114" s="379"/>
      <c r="BM4114" s="379"/>
      <c r="BN4114" s="379"/>
      <c r="BO4114" s="379"/>
      <c r="BP4114" s="379"/>
      <c r="BQ4114" s="379"/>
      <c r="BR4114" s="379"/>
      <c r="BS4114" s="379"/>
      <c r="BT4114" s="379"/>
      <c r="BU4114" s="379"/>
      <c r="BV4114" s="379"/>
      <c r="BW4114" s="379"/>
      <c r="BX4114" s="379"/>
      <c r="BY4114" s="379"/>
    </row>
    <row r="4115" spans="1:77" s="6" customFormat="1" ht="11.25" customHeight="1">
      <c r="A4115" s="379"/>
      <c r="B4115" s="380" t="s">
        <v>291</v>
      </c>
      <c r="C4115" s="381"/>
      <c r="D4115" s="381"/>
      <c r="E4115" s="382" t="s">
        <v>3218</v>
      </c>
      <c r="F4115" s="379" t="s">
        <v>344</v>
      </c>
      <c r="G4115" s="383">
        <v>3606</v>
      </c>
      <c r="H4115" s="379" t="s">
        <v>866</v>
      </c>
      <c r="I4115" s="394" t="s">
        <v>888</v>
      </c>
      <c r="J4115" s="385">
        <v>25984.84</v>
      </c>
      <c r="K4115" s="384"/>
      <c r="L4115" s="385">
        <v>29.99</v>
      </c>
      <c r="M4115" s="385">
        <v>29.99</v>
      </c>
      <c r="N4115" s="386"/>
      <c r="O4115" s="387">
        <v>0.2</v>
      </c>
      <c r="P4115" s="387"/>
      <c r="Q4115" s="386">
        <v>0</v>
      </c>
      <c r="R4115" s="379" t="s">
        <v>35</v>
      </c>
      <c r="S4115" s="388" t="s">
        <v>41</v>
      </c>
      <c r="T4115" s="388">
        <v>86</v>
      </c>
      <c r="U4115" s="389" t="s">
        <v>164</v>
      </c>
      <c r="V4115" s="433"/>
      <c r="W4115" s="379"/>
      <c r="X4115" s="386">
        <v>0</v>
      </c>
      <c r="Y4115" s="386"/>
      <c r="Z4115" s="379"/>
      <c r="AA4115" s="379"/>
      <c r="AB4115" s="379"/>
      <c r="AC4115" s="379"/>
      <c r="AD4115" s="379"/>
      <c r="AE4115" s="379"/>
      <c r="AF4115" s="379"/>
      <c r="AG4115" s="379"/>
      <c r="AH4115" s="379"/>
      <c r="AI4115" s="379"/>
      <c r="AJ4115" s="390">
        <v>0</v>
      </c>
      <c r="AK4115" s="379"/>
      <c r="AL4115" s="379"/>
      <c r="AM4115" s="379"/>
      <c r="AN4115" s="379"/>
      <c r="AO4115" s="379"/>
      <c r="AP4115" s="379"/>
      <c r="AQ4115" s="379"/>
      <c r="AR4115" s="379"/>
      <c r="AS4115" s="379"/>
      <c r="AT4115" s="379"/>
      <c r="AU4115" s="379"/>
      <c r="AV4115" s="379"/>
      <c r="AW4115" s="379"/>
      <c r="AX4115" s="379"/>
      <c r="AY4115" s="379"/>
      <c r="AZ4115" s="379"/>
      <c r="BA4115" s="379"/>
      <c r="BB4115" s="379"/>
      <c r="BC4115" s="379"/>
      <c r="BD4115" s="379"/>
      <c r="BE4115" s="379"/>
      <c r="BF4115" s="379"/>
      <c r="BG4115" s="379"/>
      <c r="BH4115" s="379"/>
      <c r="BI4115" s="379"/>
      <c r="BJ4115" s="379"/>
      <c r="BK4115" s="379"/>
      <c r="BL4115" s="379"/>
      <c r="BM4115" s="379"/>
      <c r="BN4115" s="379"/>
      <c r="BO4115" s="379"/>
      <c r="BP4115" s="379"/>
      <c r="BQ4115" s="379"/>
      <c r="BR4115" s="379"/>
      <c r="BS4115" s="379"/>
      <c r="BT4115" s="379"/>
      <c r="BU4115" s="379"/>
      <c r="BV4115" s="379"/>
      <c r="BW4115" s="379"/>
      <c r="BX4115" s="379"/>
      <c r="BY4115" s="379"/>
    </row>
    <row r="4116" spans="1:77" s="6" customFormat="1" ht="11.25" customHeight="1">
      <c r="A4116" s="379"/>
      <c r="B4116" s="380" t="s">
        <v>291</v>
      </c>
      <c r="C4116" s="381"/>
      <c r="D4116" s="381"/>
      <c r="E4116" s="382" t="s">
        <v>3218</v>
      </c>
      <c r="F4116" s="379" t="s">
        <v>344</v>
      </c>
      <c r="G4116" s="383">
        <v>3606</v>
      </c>
      <c r="H4116" s="379" t="s">
        <v>910</v>
      </c>
      <c r="I4116" s="394" t="s">
        <v>888</v>
      </c>
      <c r="J4116" s="385">
        <v>24926.720000000001</v>
      </c>
      <c r="K4116" s="384"/>
      <c r="L4116" s="385">
        <v>16.64</v>
      </c>
      <c r="M4116" s="385">
        <v>16.64</v>
      </c>
      <c r="N4116" s="386"/>
      <c r="O4116" s="387">
        <v>0.2</v>
      </c>
      <c r="P4116" s="387"/>
      <c r="Q4116" s="386">
        <v>0</v>
      </c>
      <c r="R4116" s="379" t="s">
        <v>35</v>
      </c>
      <c r="S4116" s="388" t="s">
        <v>41</v>
      </c>
      <c r="T4116" s="388">
        <v>86</v>
      </c>
      <c r="U4116" s="389" t="s">
        <v>164</v>
      </c>
      <c r="V4116" s="433"/>
      <c r="W4116" s="379"/>
      <c r="X4116" s="386">
        <v>0</v>
      </c>
      <c r="Y4116" s="386"/>
      <c r="Z4116" s="379"/>
      <c r="AA4116" s="379"/>
      <c r="AB4116" s="379"/>
      <c r="AC4116" s="379"/>
      <c r="AD4116" s="379"/>
      <c r="AE4116" s="379"/>
      <c r="AF4116" s="379"/>
      <c r="AG4116" s="379"/>
      <c r="AH4116" s="379"/>
      <c r="AI4116" s="379"/>
      <c r="AJ4116" s="390">
        <v>0</v>
      </c>
      <c r="AK4116" s="379"/>
      <c r="AL4116" s="379"/>
      <c r="AM4116" s="379"/>
      <c r="AN4116" s="379"/>
      <c r="AO4116" s="379"/>
      <c r="AP4116" s="379"/>
      <c r="AQ4116" s="379"/>
      <c r="AR4116" s="379"/>
      <c r="AS4116" s="379"/>
      <c r="AT4116" s="379"/>
      <c r="AU4116" s="379"/>
      <c r="AV4116" s="379"/>
      <c r="AW4116" s="379"/>
      <c r="AX4116" s="379"/>
      <c r="AY4116" s="379"/>
      <c r="AZ4116" s="379"/>
      <c r="BA4116" s="379"/>
      <c r="BB4116" s="379"/>
      <c r="BC4116" s="379"/>
      <c r="BD4116" s="379"/>
      <c r="BE4116" s="379"/>
      <c r="BF4116" s="379"/>
      <c r="BG4116" s="379"/>
      <c r="BH4116" s="379"/>
      <c r="BI4116" s="379"/>
      <c r="BJ4116" s="379"/>
      <c r="BK4116" s="379"/>
      <c r="BL4116" s="379"/>
      <c r="BM4116" s="379"/>
      <c r="BN4116" s="379"/>
      <c r="BO4116" s="379"/>
      <c r="BP4116" s="379"/>
      <c r="BQ4116" s="379"/>
      <c r="BR4116" s="379"/>
      <c r="BS4116" s="379"/>
      <c r="BT4116" s="379"/>
      <c r="BU4116" s="379"/>
      <c r="BV4116" s="379"/>
      <c r="BW4116" s="379"/>
      <c r="BX4116" s="379"/>
      <c r="BY4116" s="379"/>
    </row>
    <row r="4117" spans="1:77" s="337" customFormat="1" ht="11.25" customHeight="1">
      <c r="B4117" s="338" t="s">
        <v>291</v>
      </c>
      <c r="C4117" s="349">
        <v>44781</v>
      </c>
      <c r="D4117" s="349">
        <v>44781</v>
      </c>
      <c r="E4117" s="350" t="s">
        <v>3221</v>
      </c>
      <c r="F4117" s="337" t="s">
        <v>3220</v>
      </c>
      <c r="G4117" s="351">
        <v>4272</v>
      </c>
      <c r="H4117" s="337" t="s">
        <v>765</v>
      </c>
      <c r="I4117" s="337" t="s">
        <v>33</v>
      </c>
      <c r="J4117" s="352">
        <v>12591.81</v>
      </c>
      <c r="K4117" s="353"/>
      <c r="L4117" s="352">
        <v>16.59</v>
      </c>
      <c r="M4117" s="352">
        <v>16.59</v>
      </c>
      <c r="N4117" s="354"/>
      <c r="O4117" s="355">
        <v>0.25</v>
      </c>
      <c r="P4117" s="355"/>
      <c r="Q4117" s="354">
        <v>0</v>
      </c>
      <c r="R4117" s="337" t="s">
        <v>257</v>
      </c>
      <c r="S4117" s="356" t="s">
        <v>3078</v>
      </c>
      <c r="T4117" s="356">
        <v>47</v>
      </c>
      <c r="U4117" s="357" t="s">
        <v>164</v>
      </c>
      <c r="V4117" s="434"/>
      <c r="X4117" s="354">
        <v>0</v>
      </c>
      <c r="Y4117" s="354"/>
      <c r="AI4117" s="337">
        <v>0</v>
      </c>
      <c r="AJ4117" s="358"/>
      <c r="AK4117" s="369"/>
    </row>
    <row r="4118" spans="1:77" s="337" customFormat="1" ht="11.25" customHeight="1">
      <c r="B4118" s="338" t="s">
        <v>291</v>
      </c>
      <c r="C4118" s="349"/>
      <c r="D4118" s="349"/>
      <c r="E4118" s="350" t="s">
        <v>3221</v>
      </c>
      <c r="F4118" s="337" t="s">
        <v>3220</v>
      </c>
      <c r="G4118" s="351">
        <v>4272</v>
      </c>
      <c r="H4118" s="337" t="s">
        <v>910</v>
      </c>
      <c r="I4118" s="337" t="s">
        <v>33</v>
      </c>
      <c r="J4118" s="352">
        <v>32340</v>
      </c>
      <c r="K4118" s="353"/>
      <c r="L4118" s="352">
        <v>30.8</v>
      </c>
      <c r="M4118" s="352">
        <v>30.8</v>
      </c>
      <c r="N4118" s="354"/>
      <c r="O4118" s="355">
        <v>0.25</v>
      </c>
      <c r="P4118" s="355"/>
      <c r="Q4118" s="354">
        <v>9757.44</v>
      </c>
      <c r="R4118" s="337" t="s">
        <v>257</v>
      </c>
      <c r="S4118" s="356" t="s">
        <v>3078</v>
      </c>
      <c r="T4118" s="356">
        <v>47</v>
      </c>
      <c r="U4118" s="357" t="s">
        <v>164</v>
      </c>
      <c r="V4118" s="434"/>
      <c r="X4118" s="354">
        <v>9757.44</v>
      </c>
      <c r="Y4118" s="354"/>
      <c r="AI4118" s="354">
        <v>9757.44</v>
      </c>
      <c r="AJ4118" s="358"/>
      <c r="AK4118" s="369"/>
    </row>
    <row r="4119" spans="1:77" s="337" customFormat="1" ht="11.25" customHeight="1">
      <c r="A4119" s="337" t="s">
        <v>3893</v>
      </c>
      <c r="B4119" s="338" t="s">
        <v>291</v>
      </c>
      <c r="C4119" s="349">
        <v>44781</v>
      </c>
      <c r="D4119" s="349">
        <v>44781</v>
      </c>
      <c r="E4119" s="350" t="s">
        <v>3219</v>
      </c>
      <c r="F4119" s="337" t="s">
        <v>750</v>
      </c>
      <c r="G4119" s="351" t="s">
        <v>751</v>
      </c>
      <c r="H4119" s="337" t="s">
        <v>866</v>
      </c>
      <c r="I4119" s="353" t="s">
        <v>33</v>
      </c>
      <c r="J4119" s="352">
        <v>10726.4</v>
      </c>
      <c r="K4119" s="353"/>
      <c r="L4119" s="352">
        <v>5.12</v>
      </c>
      <c r="M4119" s="352">
        <v>5.12</v>
      </c>
      <c r="N4119" s="354"/>
      <c r="O4119" s="355">
        <v>0.25</v>
      </c>
      <c r="P4119" s="355"/>
      <c r="Q4119" s="354">
        <v>2284.8000000000002</v>
      </c>
      <c r="R4119" s="337" t="s">
        <v>105</v>
      </c>
      <c r="S4119" s="356" t="s">
        <v>275</v>
      </c>
      <c r="T4119" s="356">
        <v>21</v>
      </c>
      <c r="U4119" s="357" t="s">
        <v>164</v>
      </c>
      <c r="V4119" s="434"/>
      <c r="X4119" s="354">
        <v>2284.8000000000002</v>
      </c>
      <c r="Y4119" s="354"/>
      <c r="AI4119" s="337">
        <f>X4119</f>
        <v>2284.8000000000002</v>
      </c>
      <c r="AJ4119" s="358"/>
      <c r="AK4119" s="369"/>
    </row>
    <row r="4120" spans="1:77" s="473" customFormat="1" ht="11.25" customHeight="1">
      <c r="B4120" s="473" t="s">
        <v>291</v>
      </c>
      <c r="C4120" s="487">
        <v>44775</v>
      </c>
      <c r="D4120" s="487">
        <v>44781</v>
      </c>
      <c r="E4120" s="488" t="s">
        <v>3222</v>
      </c>
      <c r="F4120" s="473" t="s">
        <v>125</v>
      </c>
      <c r="G4120" s="489">
        <v>3551</v>
      </c>
      <c r="H4120" s="473" t="s">
        <v>898</v>
      </c>
      <c r="I4120" s="473" t="s">
        <v>33</v>
      </c>
      <c r="J4120" s="490">
        <v>28652.3</v>
      </c>
      <c r="K4120" s="491"/>
      <c r="L4120" s="490">
        <v>18.100000000000001</v>
      </c>
      <c r="M4120" s="490">
        <v>10.18</v>
      </c>
      <c r="N4120" s="492">
        <v>13622.98</v>
      </c>
      <c r="O4120" s="493">
        <v>0.15</v>
      </c>
      <c r="P4120" s="493"/>
      <c r="Q4120" s="492">
        <v>7159.46</v>
      </c>
      <c r="R4120" s="473" t="s">
        <v>29</v>
      </c>
      <c r="S4120" s="481" t="s">
        <v>30</v>
      </c>
      <c r="T4120" s="481">
        <v>70</v>
      </c>
      <c r="U4120" s="494" t="s">
        <v>164</v>
      </c>
      <c r="V4120" s="495"/>
      <c r="X4120" s="492">
        <v>7159.46</v>
      </c>
      <c r="Y4120" s="492"/>
      <c r="AJ4120" s="485"/>
      <c r="AK4120" s="505">
        <v>7159.46</v>
      </c>
    </row>
    <row r="4121" spans="1:77" s="337" customFormat="1" ht="11.25" customHeight="1">
      <c r="B4121" s="338" t="s">
        <v>291</v>
      </c>
      <c r="C4121" s="349">
        <v>44779</v>
      </c>
      <c r="D4121" s="349">
        <v>44781</v>
      </c>
      <c r="E4121" s="350" t="s">
        <v>3223</v>
      </c>
      <c r="F4121" s="337" t="s">
        <v>935</v>
      </c>
      <c r="G4121" s="351">
        <v>3946</v>
      </c>
      <c r="H4121" s="337" t="s">
        <v>765</v>
      </c>
      <c r="I4121" s="337" t="s">
        <v>33</v>
      </c>
      <c r="J4121" s="352">
        <v>19730.41</v>
      </c>
      <c r="K4121" s="353"/>
      <c r="L4121" s="352">
        <v>18.329999999999998</v>
      </c>
      <c r="M4121" s="352">
        <v>18.329999999999998</v>
      </c>
      <c r="N4121" s="354"/>
      <c r="O4121" s="355">
        <v>0.25</v>
      </c>
      <c r="P4121" s="355"/>
      <c r="Q4121" s="354">
        <v>0</v>
      </c>
      <c r="R4121" s="337" t="s">
        <v>42</v>
      </c>
      <c r="S4121" s="356" t="s">
        <v>41</v>
      </c>
      <c r="T4121" s="356">
        <v>16</v>
      </c>
      <c r="U4121" s="357" t="s">
        <v>164</v>
      </c>
      <c r="V4121" s="434"/>
      <c r="X4121" s="354">
        <v>0</v>
      </c>
      <c r="Y4121" s="354"/>
      <c r="AI4121" s="337">
        <f>X4121</f>
        <v>0</v>
      </c>
      <c r="AJ4121" s="358"/>
      <c r="AK4121" s="369"/>
    </row>
    <row r="4122" spans="1:77" s="379" customFormat="1" ht="11.25" customHeight="1">
      <c r="B4122" s="380" t="s">
        <v>291</v>
      </c>
      <c r="C4122" s="381">
        <v>44781</v>
      </c>
      <c r="D4122" s="381">
        <v>44781</v>
      </c>
      <c r="E4122" s="382" t="s">
        <v>3224</v>
      </c>
      <c r="F4122" s="379" t="s">
        <v>3225</v>
      </c>
      <c r="G4122" s="383" t="s">
        <v>3226</v>
      </c>
      <c r="H4122" s="379" t="s">
        <v>765</v>
      </c>
      <c r="I4122" s="379" t="s">
        <v>33</v>
      </c>
      <c r="J4122" s="385">
        <v>12267.67</v>
      </c>
      <c r="K4122" s="384"/>
      <c r="L4122" s="385">
        <v>8.9</v>
      </c>
      <c r="M4122" s="385">
        <v>8.9</v>
      </c>
      <c r="N4122" s="386"/>
      <c r="O4122" s="387">
        <v>0.25</v>
      </c>
      <c r="P4122" s="387"/>
      <c r="Q4122" s="386">
        <v>0</v>
      </c>
      <c r="R4122" s="379" t="s">
        <v>229</v>
      </c>
      <c r="S4122" s="388" t="s">
        <v>228</v>
      </c>
      <c r="T4122" s="388">
        <v>41</v>
      </c>
      <c r="U4122" s="389" t="s">
        <v>164</v>
      </c>
      <c r="V4122" s="433"/>
      <c r="X4122" s="386">
        <v>0</v>
      </c>
      <c r="Y4122" s="386"/>
      <c r="AJ4122" s="390">
        <v>0</v>
      </c>
    </row>
    <row r="4123" spans="1:77" s="291" customFormat="1" ht="11.25" customHeight="1">
      <c r="A4123" s="291" t="s">
        <v>3893</v>
      </c>
      <c r="B4123" s="291" t="s">
        <v>291</v>
      </c>
      <c r="C4123" s="292">
        <v>44781</v>
      </c>
      <c r="D4123" s="292">
        <v>44781</v>
      </c>
      <c r="E4123" s="293" t="s">
        <v>3227</v>
      </c>
      <c r="F4123" s="291" t="s">
        <v>1716</v>
      </c>
      <c r="G4123" s="294" t="s">
        <v>1707</v>
      </c>
      <c r="H4123" s="291" t="s">
        <v>765</v>
      </c>
      <c r="I4123" s="291" t="s">
        <v>888</v>
      </c>
      <c r="J4123" s="296">
        <v>10496.97</v>
      </c>
      <c r="K4123" s="295"/>
      <c r="L4123" s="296">
        <v>9.2200000000000006</v>
      </c>
      <c r="M4123" s="296">
        <v>9.2200000000000006</v>
      </c>
      <c r="N4123" s="297"/>
      <c r="O4123" s="298">
        <v>0.25</v>
      </c>
      <c r="P4123" s="298"/>
      <c r="Q4123" s="297">
        <v>819.43</v>
      </c>
      <c r="R4123" s="291" t="s">
        <v>146</v>
      </c>
      <c r="S4123" s="299" t="s">
        <v>74</v>
      </c>
      <c r="T4123" s="299">
        <v>31</v>
      </c>
      <c r="U4123" s="300" t="s">
        <v>164</v>
      </c>
      <c r="V4123" s="333"/>
      <c r="X4123" s="297">
        <v>819.43</v>
      </c>
      <c r="Y4123" s="297"/>
      <c r="AH4123" s="297">
        <f>X4123</f>
        <v>819.43</v>
      </c>
      <c r="AI4123" s="311"/>
      <c r="AJ4123" s="468"/>
    </row>
    <row r="4124" spans="1:77" s="337" customFormat="1" ht="11.25" customHeight="1">
      <c r="A4124" s="337" t="s">
        <v>3893</v>
      </c>
      <c r="B4124" s="337" t="s">
        <v>291</v>
      </c>
      <c r="C4124" s="349">
        <v>44781</v>
      </c>
      <c r="D4124" s="349">
        <v>44781</v>
      </c>
      <c r="E4124" s="350" t="s">
        <v>3228</v>
      </c>
      <c r="F4124" s="337" t="s">
        <v>3229</v>
      </c>
      <c r="G4124" s="351">
        <v>3910</v>
      </c>
      <c r="H4124" s="337" t="s">
        <v>765</v>
      </c>
      <c r="I4124" s="337" t="s">
        <v>888</v>
      </c>
      <c r="J4124" s="352">
        <v>7548</v>
      </c>
      <c r="K4124" s="353"/>
      <c r="L4124" s="352">
        <v>6.8</v>
      </c>
      <c r="M4124" s="352">
        <v>6.8</v>
      </c>
      <c r="N4124" s="354">
        <v>3019.2</v>
      </c>
      <c r="O4124" s="355">
        <v>0.3</v>
      </c>
      <c r="P4124" s="355"/>
      <c r="Q4124" s="354">
        <v>754.8</v>
      </c>
      <c r="R4124" s="337" t="s">
        <v>1407</v>
      </c>
      <c r="S4124" s="356" t="s">
        <v>2866</v>
      </c>
      <c r="T4124" s="356">
        <v>47</v>
      </c>
      <c r="U4124" s="357" t="s">
        <v>164</v>
      </c>
      <c r="V4124" s="434"/>
      <c r="X4124" s="354">
        <v>754.8</v>
      </c>
      <c r="Y4124" s="354"/>
      <c r="AI4124" s="337">
        <f>X4124</f>
        <v>754.8</v>
      </c>
      <c r="AJ4124" s="358"/>
      <c r="AK4124" s="369"/>
    </row>
    <row r="4125" spans="1:77" s="473" customFormat="1" ht="11.25" customHeight="1">
      <c r="B4125" s="473" t="s">
        <v>291</v>
      </c>
      <c r="C4125" s="487">
        <v>44781</v>
      </c>
      <c r="D4125" s="487">
        <v>44781</v>
      </c>
      <c r="E4125" s="488" t="s">
        <v>3230</v>
      </c>
      <c r="F4125" s="473" t="s">
        <v>3231</v>
      </c>
      <c r="G4125" s="489" t="s">
        <v>3232</v>
      </c>
      <c r="H4125" s="473" t="s">
        <v>765</v>
      </c>
      <c r="I4125" s="473" t="s">
        <v>33</v>
      </c>
      <c r="J4125" s="490">
        <v>77844.92</v>
      </c>
      <c r="K4125" s="491"/>
      <c r="L4125" s="490">
        <v>70.95</v>
      </c>
      <c r="M4125" s="490">
        <v>70.95</v>
      </c>
      <c r="N4125" s="492"/>
      <c r="O4125" s="493">
        <v>0.25</v>
      </c>
      <c r="P4125" s="493"/>
      <c r="Q4125" s="492">
        <v>0</v>
      </c>
      <c r="R4125" s="473" t="s">
        <v>229</v>
      </c>
      <c r="S4125" s="481" t="s">
        <v>228</v>
      </c>
      <c r="T4125" s="481">
        <v>41</v>
      </c>
      <c r="U4125" s="494" t="s">
        <v>164</v>
      </c>
      <c r="V4125" s="495"/>
      <c r="X4125" s="492">
        <v>0</v>
      </c>
      <c r="Y4125" s="492"/>
      <c r="AJ4125" s="485"/>
      <c r="AK4125" s="473">
        <v>0</v>
      </c>
    </row>
    <row r="4126" spans="1:77" s="261" customFormat="1" ht="11.25" customHeight="1">
      <c r="B4126" s="258" t="s">
        <v>291</v>
      </c>
      <c r="C4126" s="259">
        <v>44745</v>
      </c>
      <c r="D4126" s="259">
        <v>44781</v>
      </c>
      <c r="E4126" s="260" t="s">
        <v>3233</v>
      </c>
      <c r="F4126" s="261" t="s">
        <v>3399</v>
      </c>
      <c r="G4126" s="280">
        <v>4083</v>
      </c>
      <c r="H4126" s="261" t="s">
        <v>898</v>
      </c>
      <c r="I4126" s="264" t="s">
        <v>33</v>
      </c>
      <c r="J4126" s="263">
        <v>6740.94</v>
      </c>
      <c r="K4126" s="264"/>
      <c r="L4126" s="263">
        <v>6.04</v>
      </c>
      <c r="M4126" s="263">
        <v>6.04</v>
      </c>
      <c r="N4126" s="265"/>
      <c r="O4126" s="266">
        <v>0.15</v>
      </c>
      <c r="P4126" s="266"/>
      <c r="Q4126" s="265">
        <v>0</v>
      </c>
      <c r="R4126" s="261" t="s">
        <v>142</v>
      </c>
      <c r="S4126" s="267" t="s">
        <v>41</v>
      </c>
      <c r="T4126" s="267">
        <v>24</v>
      </c>
      <c r="U4126" s="268" t="s">
        <v>164</v>
      </c>
      <c r="V4126" s="427"/>
      <c r="W4126" s="261" t="s">
        <v>3538</v>
      </c>
      <c r="X4126" s="265">
        <v>0</v>
      </c>
      <c r="Y4126" s="265"/>
      <c r="AG4126" s="261">
        <f>X4126</f>
        <v>0</v>
      </c>
      <c r="AJ4126" s="642"/>
    </row>
    <row r="4127" spans="1:77" s="337" customFormat="1" ht="11.25" customHeight="1">
      <c r="A4127" s="473"/>
      <c r="B4127" s="473" t="s">
        <v>291</v>
      </c>
      <c r="C4127" s="487"/>
      <c r="D4127" s="487"/>
      <c r="E4127" s="488" t="s">
        <v>3234</v>
      </c>
      <c r="F4127" s="473" t="s">
        <v>2456</v>
      </c>
      <c r="G4127" s="489">
        <v>3722</v>
      </c>
      <c r="H4127" s="473" t="s">
        <v>765</v>
      </c>
      <c r="I4127" s="473" t="s">
        <v>958</v>
      </c>
      <c r="J4127" s="490">
        <v>26721.599999999999</v>
      </c>
      <c r="K4127" s="491"/>
      <c r="L4127" s="490">
        <v>23.44</v>
      </c>
      <c r="M4127" s="490">
        <v>23.44</v>
      </c>
      <c r="N4127" s="492"/>
      <c r="O4127" s="493">
        <v>0.2</v>
      </c>
      <c r="P4127" s="493"/>
      <c r="Q4127" s="492">
        <v>0</v>
      </c>
      <c r="R4127" s="473" t="s">
        <v>105</v>
      </c>
      <c r="S4127" s="481" t="s">
        <v>30</v>
      </c>
      <c r="T4127" s="481">
        <v>71</v>
      </c>
      <c r="U4127" s="494" t="s">
        <v>164</v>
      </c>
      <c r="V4127" s="495"/>
      <c r="W4127" s="473"/>
      <c r="X4127" s="492">
        <v>0</v>
      </c>
      <c r="Y4127" s="492"/>
      <c r="Z4127" s="473"/>
      <c r="AA4127" s="473"/>
      <c r="AB4127" s="473"/>
      <c r="AC4127" s="473"/>
      <c r="AD4127" s="473"/>
      <c r="AE4127" s="473"/>
      <c r="AF4127" s="473"/>
      <c r="AG4127" s="473"/>
      <c r="AH4127" s="473"/>
      <c r="AI4127" s="473"/>
      <c r="AJ4127" s="485"/>
      <c r="AK4127" s="473">
        <v>0</v>
      </c>
      <c r="AL4127" s="473"/>
      <c r="AM4127" s="473"/>
      <c r="AN4127" s="473"/>
      <c r="AO4127" s="473"/>
      <c r="AP4127" s="473"/>
      <c r="AQ4127" s="473"/>
      <c r="AR4127" s="473"/>
      <c r="AS4127" s="473"/>
      <c r="AT4127" s="473"/>
      <c r="AU4127" s="473"/>
      <c r="AV4127" s="473"/>
      <c r="AW4127" s="473"/>
      <c r="AX4127" s="473"/>
      <c r="AY4127" s="473"/>
      <c r="AZ4127" s="473"/>
      <c r="BA4127" s="473"/>
      <c r="BB4127" s="473"/>
      <c r="BC4127" s="473"/>
      <c r="BD4127" s="473"/>
      <c r="BE4127" s="473"/>
      <c r="BF4127" s="473"/>
      <c r="BG4127" s="473"/>
      <c r="BH4127" s="473"/>
      <c r="BI4127" s="473"/>
      <c r="BJ4127" s="473"/>
      <c r="BK4127" s="473"/>
      <c r="BL4127" s="473"/>
      <c r="BM4127" s="473"/>
      <c r="BN4127" s="473"/>
      <c r="BO4127" s="473"/>
      <c r="BP4127" s="473"/>
      <c r="BQ4127" s="473"/>
      <c r="BR4127" s="473"/>
      <c r="BS4127" s="473"/>
      <c r="BT4127" s="473"/>
      <c r="BU4127" s="473"/>
      <c r="BV4127" s="473"/>
      <c r="BW4127" s="473"/>
      <c r="BX4127" s="473"/>
      <c r="BY4127" s="473"/>
    </row>
    <row r="4128" spans="1:77" s="337" customFormat="1" ht="11.25" customHeight="1">
      <c r="B4128" s="337" t="s">
        <v>291</v>
      </c>
      <c r="C4128" s="349">
        <v>44781</v>
      </c>
      <c r="D4128" s="349">
        <v>44781</v>
      </c>
      <c r="E4128" s="350" t="s">
        <v>3234</v>
      </c>
      <c r="F4128" s="337" t="s">
        <v>2456</v>
      </c>
      <c r="G4128" s="351">
        <v>3722</v>
      </c>
      <c r="H4128" s="337" t="s">
        <v>866</v>
      </c>
      <c r="I4128" s="337" t="s">
        <v>958</v>
      </c>
      <c r="J4128" s="352">
        <v>38390.400000000001</v>
      </c>
      <c r="K4128" s="353"/>
      <c r="L4128" s="352">
        <v>28.8</v>
      </c>
      <c r="M4128" s="352">
        <v>28.8</v>
      </c>
      <c r="N4128" s="354">
        <v>3714</v>
      </c>
      <c r="O4128" s="355">
        <v>0.2</v>
      </c>
      <c r="P4128" s="355"/>
      <c r="Q4128" s="354">
        <v>0</v>
      </c>
      <c r="R4128" s="337" t="s">
        <v>105</v>
      </c>
      <c r="S4128" s="356" t="s">
        <v>30</v>
      </c>
      <c r="T4128" s="356">
        <v>71</v>
      </c>
      <c r="U4128" s="357" t="s">
        <v>164</v>
      </c>
      <c r="V4128" s="434"/>
      <c r="X4128" s="354">
        <v>0</v>
      </c>
      <c r="Y4128" s="354"/>
      <c r="AI4128" s="337">
        <v>0</v>
      </c>
      <c r="AJ4128" s="358"/>
      <c r="AK4128" s="369"/>
    </row>
    <row r="4129" spans="1:77" s="337" customFormat="1" ht="11.25" customHeight="1">
      <c r="B4129" s="337" t="s">
        <v>291</v>
      </c>
      <c r="C4129" s="349"/>
      <c r="D4129" s="349"/>
      <c r="E4129" s="350" t="s">
        <v>3234</v>
      </c>
      <c r="F4129" s="337" t="s">
        <v>2456</v>
      </c>
      <c r="G4129" s="351">
        <v>3722</v>
      </c>
      <c r="H4129" s="337" t="s">
        <v>814</v>
      </c>
      <c r="I4129" s="337" t="s">
        <v>958</v>
      </c>
      <c r="J4129" s="352">
        <v>12345.06</v>
      </c>
      <c r="K4129" s="353"/>
      <c r="L4129" s="352">
        <v>15.47</v>
      </c>
      <c r="M4129" s="352">
        <v>15.47</v>
      </c>
      <c r="N4129" s="354">
        <v>1484</v>
      </c>
      <c r="O4129" s="355">
        <v>0.2</v>
      </c>
      <c r="P4129" s="355"/>
      <c r="Q4129" s="354">
        <v>0</v>
      </c>
      <c r="R4129" s="337" t="s">
        <v>105</v>
      </c>
      <c r="S4129" s="356" t="s">
        <v>30</v>
      </c>
      <c r="T4129" s="356">
        <v>71</v>
      </c>
      <c r="U4129" s="357" t="s">
        <v>164</v>
      </c>
      <c r="V4129" s="434"/>
      <c r="X4129" s="354">
        <v>0</v>
      </c>
      <c r="Y4129" s="354"/>
      <c r="AI4129" s="337">
        <v>0</v>
      </c>
      <c r="AJ4129" s="358"/>
      <c r="AK4129" s="369"/>
    </row>
    <row r="4130" spans="1:77" s="261" customFormat="1" ht="11.25" customHeight="1">
      <c r="B4130" s="261" t="s">
        <v>291</v>
      </c>
      <c r="C4130" s="259">
        <v>44781</v>
      </c>
      <c r="D4130" s="259">
        <v>44781</v>
      </c>
      <c r="E4130" s="260" t="s">
        <v>3484</v>
      </c>
      <c r="F4130" s="261" t="s">
        <v>3406</v>
      </c>
      <c r="G4130" s="262" t="s">
        <v>3407</v>
      </c>
      <c r="H4130" s="261" t="s">
        <v>765</v>
      </c>
      <c r="I4130" s="261" t="s">
        <v>33</v>
      </c>
      <c r="J4130" s="263">
        <v>24750</v>
      </c>
      <c r="K4130" s="264"/>
      <c r="L4130" s="263">
        <v>15</v>
      </c>
      <c r="M4130" s="263">
        <v>15</v>
      </c>
      <c r="N4130" s="265"/>
      <c r="O4130" s="266">
        <v>0.25</v>
      </c>
      <c r="P4130" s="266"/>
      <c r="Q4130" s="265">
        <v>0</v>
      </c>
      <c r="R4130" s="261" t="s">
        <v>369</v>
      </c>
      <c r="S4130" s="267" t="s">
        <v>3408</v>
      </c>
      <c r="T4130" s="267">
        <v>24</v>
      </c>
      <c r="U4130" s="268" t="s">
        <v>164</v>
      </c>
      <c r="V4130" s="427"/>
      <c r="W4130" s="261" t="s">
        <v>3483</v>
      </c>
      <c r="X4130" s="265">
        <v>0</v>
      </c>
      <c r="Y4130" s="265"/>
      <c r="AG4130" s="261">
        <f>X4130</f>
        <v>0</v>
      </c>
      <c r="AH4130" s="257"/>
      <c r="AJ4130" s="642"/>
    </row>
    <row r="4131" spans="1:77" s="6" customFormat="1" ht="11.25" customHeight="1">
      <c r="A4131" s="379"/>
      <c r="B4131" s="403" t="s">
        <v>291</v>
      </c>
      <c r="C4131" s="381">
        <v>44781</v>
      </c>
      <c r="D4131" s="381">
        <v>44781</v>
      </c>
      <c r="E4131" s="382" t="s">
        <v>3235</v>
      </c>
      <c r="F4131" s="379" t="s">
        <v>2479</v>
      </c>
      <c r="G4131" s="383" t="s">
        <v>2480</v>
      </c>
      <c r="H4131" s="379" t="s">
        <v>134</v>
      </c>
      <c r="I4131" s="379" t="s">
        <v>888</v>
      </c>
      <c r="J4131" s="385">
        <v>27936</v>
      </c>
      <c r="K4131" s="384"/>
      <c r="L4131" s="385">
        <v>23.28</v>
      </c>
      <c r="M4131" s="385">
        <v>23.28</v>
      </c>
      <c r="N4131" s="386"/>
      <c r="O4131" s="387">
        <v>0.2</v>
      </c>
      <c r="P4131" s="387"/>
      <c r="Q4131" s="386">
        <v>0</v>
      </c>
      <c r="R4131" s="379" t="s">
        <v>285</v>
      </c>
      <c r="S4131" s="388" t="s">
        <v>275</v>
      </c>
      <c r="T4131" s="388">
        <v>21</v>
      </c>
      <c r="U4131" s="389" t="s">
        <v>164</v>
      </c>
      <c r="V4131" s="433"/>
      <c r="W4131" s="379"/>
      <c r="X4131" s="386">
        <v>0</v>
      </c>
      <c r="Y4131" s="386"/>
      <c r="Z4131" s="379"/>
      <c r="AA4131" s="379"/>
      <c r="AB4131" s="379"/>
      <c r="AC4131" s="379"/>
      <c r="AD4131" s="379"/>
      <c r="AE4131" s="379"/>
      <c r="AF4131" s="379"/>
      <c r="AG4131" s="379"/>
      <c r="AH4131" s="379"/>
      <c r="AI4131" s="379"/>
      <c r="AJ4131" s="390">
        <v>0</v>
      </c>
      <c r="AK4131" s="379"/>
      <c r="AL4131" s="379"/>
      <c r="AM4131" s="379"/>
      <c r="AN4131" s="379"/>
      <c r="AO4131" s="379"/>
      <c r="AP4131" s="379"/>
      <c r="AQ4131" s="379"/>
      <c r="AR4131" s="379"/>
      <c r="AS4131" s="379"/>
      <c r="AT4131" s="379"/>
      <c r="AU4131" s="379"/>
      <c r="AV4131" s="379"/>
      <c r="AW4131" s="379"/>
      <c r="AX4131" s="379"/>
      <c r="AY4131" s="379"/>
      <c r="AZ4131" s="379"/>
      <c r="BA4131" s="379"/>
      <c r="BB4131" s="379"/>
      <c r="BC4131" s="379"/>
      <c r="BD4131" s="379"/>
      <c r="BE4131" s="379"/>
      <c r="BF4131" s="379"/>
      <c r="BG4131" s="379"/>
      <c r="BH4131" s="379"/>
      <c r="BI4131" s="379"/>
      <c r="BJ4131" s="379"/>
      <c r="BK4131" s="379"/>
      <c r="BL4131" s="379"/>
      <c r="BM4131" s="379"/>
      <c r="BN4131" s="379"/>
      <c r="BO4131" s="379"/>
      <c r="BP4131" s="379"/>
      <c r="BQ4131" s="379"/>
      <c r="BR4131" s="379"/>
      <c r="BS4131" s="379"/>
      <c r="BT4131" s="379"/>
      <c r="BU4131" s="379"/>
      <c r="BV4131" s="379"/>
      <c r="BW4131" s="379"/>
      <c r="BX4131" s="379"/>
      <c r="BY4131" s="379"/>
    </row>
    <row r="4132" spans="1:77" s="337" customFormat="1" ht="11.25" customHeight="1">
      <c r="B4132" s="338" t="s">
        <v>291</v>
      </c>
      <c r="C4132" s="349"/>
      <c r="D4132" s="349"/>
      <c r="E4132" s="350" t="s">
        <v>3236</v>
      </c>
      <c r="F4132" s="337" t="s">
        <v>3237</v>
      </c>
      <c r="G4132" s="351" t="s">
        <v>3238</v>
      </c>
      <c r="H4132" s="337" t="s">
        <v>866</v>
      </c>
      <c r="I4132" s="337" t="s">
        <v>888</v>
      </c>
      <c r="J4132" s="352">
        <v>39800.75</v>
      </c>
      <c r="K4132" s="353"/>
      <c r="L4132" s="352">
        <v>17.649999999999999</v>
      </c>
      <c r="M4132" s="352">
        <v>17.649999999999999</v>
      </c>
      <c r="N4132" s="354">
        <f>10167.8+2198.63</f>
        <v>12366.43</v>
      </c>
      <c r="O4132" s="355">
        <v>0.25</v>
      </c>
      <c r="P4132" s="355"/>
      <c r="Q4132" s="354">
        <v>0</v>
      </c>
      <c r="R4132" s="337" t="s">
        <v>112</v>
      </c>
      <c r="S4132" s="356" t="s">
        <v>113</v>
      </c>
      <c r="T4132" s="356">
        <v>64</v>
      </c>
      <c r="U4132" s="357" t="s">
        <v>164</v>
      </c>
      <c r="V4132" s="434"/>
      <c r="X4132" s="354">
        <v>0</v>
      </c>
      <c r="Y4132" s="354"/>
      <c r="AI4132" s="337">
        <v>0</v>
      </c>
      <c r="AJ4132" s="358"/>
      <c r="AK4132" s="369"/>
      <c r="AL4132" s="341"/>
      <c r="AM4132" s="341"/>
      <c r="AN4132" s="341"/>
      <c r="AO4132" s="341"/>
      <c r="AP4132" s="341"/>
      <c r="AQ4132" s="341"/>
      <c r="AR4132" s="341"/>
      <c r="AS4132" s="341"/>
      <c r="AT4132" s="341"/>
      <c r="AU4132" s="341"/>
      <c r="AV4132" s="341"/>
      <c r="AW4132" s="341"/>
      <c r="AX4132" s="341"/>
      <c r="AY4132" s="341"/>
      <c r="AZ4132" s="341"/>
      <c r="BA4132" s="341"/>
      <c r="BB4132" s="341"/>
      <c r="BC4132" s="341"/>
      <c r="BD4132" s="341"/>
      <c r="BE4132" s="341"/>
      <c r="BF4132" s="341"/>
      <c r="BG4132" s="341"/>
      <c r="BH4132" s="341"/>
      <c r="BI4132" s="341"/>
      <c r="BJ4132" s="341"/>
      <c r="BK4132" s="341"/>
      <c r="BL4132" s="341"/>
      <c r="BM4132" s="341"/>
      <c r="BN4132" s="341"/>
      <c r="BO4132" s="341"/>
      <c r="BP4132" s="341"/>
      <c r="BQ4132" s="341"/>
      <c r="BR4132" s="341"/>
      <c r="BS4132" s="341"/>
      <c r="BT4132" s="341"/>
      <c r="BU4132" s="341"/>
      <c r="BV4132" s="341"/>
      <c r="BW4132" s="341"/>
      <c r="BX4132" s="341"/>
      <c r="BY4132" s="341"/>
    </row>
    <row r="4133" spans="1:77" s="337" customFormat="1" ht="11.25" customHeight="1">
      <c r="B4133" s="338" t="s">
        <v>291</v>
      </c>
      <c r="C4133" s="349">
        <v>44781</v>
      </c>
      <c r="D4133" s="349">
        <v>44781</v>
      </c>
      <c r="E4133" s="350" t="s">
        <v>3236</v>
      </c>
      <c r="F4133" s="337" t="s">
        <v>3237</v>
      </c>
      <c r="G4133" s="351" t="s">
        <v>3238</v>
      </c>
      <c r="H4133" s="337" t="s">
        <v>1141</v>
      </c>
      <c r="I4133" s="337" t="s">
        <v>888</v>
      </c>
      <c r="J4133" s="352">
        <v>1179.75</v>
      </c>
      <c r="K4133" s="353"/>
      <c r="L4133" s="352">
        <v>1.3</v>
      </c>
      <c r="M4133" s="352">
        <v>1.3</v>
      </c>
      <c r="N4133" s="354">
        <v>471.9</v>
      </c>
      <c r="O4133" s="355">
        <v>0.25</v>
      </c>
      <c r="P4133" s="355"/>
      <c r="Q4133" s="354">
        <v>67.569999999999993</v>
      </c>
      <c r="R4133" s="337" t="s">
        <v>112</v>
      </c>
      <c r="S4133" s="356" t="s">
        <v>113</v>
      </c>
      <c r="T4133" s="356">
        <v>64</v>
      </c>
      <c r="U4133" s="357" t="s">
        <v>164</v>
      </c>
      <c r="V4133" s="434"/>
      <c r="X4133" s="354">
        <v>67.569999999999993</v>
      </c>
      <c r="Y4133" s="354"/>
      <c r="AI4133" s="354">
        <v>67.569999999999993</v>
      </c>
      <c r="AJ4133" s="358"/>
      <c r="AK4133" s="369"/>
    </row>
    <row r="4134" spans="1:77" s="337" customFormat="1" ht="11.25" customHeight="1">
      <c r="B4134" s="337" t="s">
        <v>291</v>
      </c>
      <c r="C4134" s="349"/>
      <c r="D4134" s="349"/>
      <c r="E4134" s="350" t="s">
        <v>3239</v>
      </c>
      <c r="F4134" s="337" t="s">
        <v>2551</v>
      </c>
      <c r="G4134" s="351" t="s">
        <v>2552</v>
      </c>
      <c r="H4134" s="337" t="s">
        <v>866</v>
      </c>
      <c r="I4134" s="337" t="s">
        <v>888</v>
      </c>
      <c r="J4134" s="352">
        <v>32433.279999999999</v>
      </c>
      <c r="K4134" s="353"/>
      <c r="L4134" s="352">
        <v>21.68</v>
      </c>
      <c r="M4134" s="352">
        <v>36.86</v>
      </c>
      <c r="N4134" s="354">
        <v>6493.5</v>
      </c>
      <c r="O4134" s="355">
        <v>0.2</v>
      </c>
      <c r="P4134" s="355"/>
      <c r="Q4134" s="354">
        <v>2228.6999999999998</v>
      </c>
      <c r="R4134" s="337" t="s">
        <v>105</v>
      </c>
      <c r="S4134" s="356" t="s">
        <v>30</v>
      </c>
      <c r="T4134" s="356">
        <v>39</v>
      </c>
      <c r="U4134" s="357" t="s">
        <v>164</v>
      </c>
      <c r="V4134" s="434"/>
      <c r="X4134" s="354">
        <v>2228.6999999999998</v>
      </c>
      <c r="Y4134" s="354"/>
      <c r="AI4134" s="354">
        <v>2228.6999999999998</v>
      </c>
      <c r="AJ4134" s="358"/>
      <c r="AK4134" s="369"/>
      <c r="AL4134" s="341"/>
      <c r="AM4134" s="341"/>
      <c r="AN4134" s="341"/>
      <c r="AO4134" s="341"/>
      <c r="AP4134" s="341"/>
      <c r="AQ4134" s="341"/>
      <c r="AR4134" s="341"/>
      <c r="AS4134" s="341"/>
      <c r="AT4134" s="341"/>
      <c r="AU4134" s="341"/>
      <c r="AV4134" s="341"/>
      <c r="AW4134" s="341"/>
      <c r="AX4134" s="341"/>
      <c r="AY4134" s="341"/>
      <c r="AZ4134" s="341"/>
      <c r="BA4134" s="341"/>
      <c r="BB4134" s="341"/>
      <c r="BC4134" s="341"/>
      <c r="BD4134" s="341"/>
      <c r="BE4134" s="341"/>
      <c r="BF4134" s="341"/>
      <c r="BG4134" s="341"/>
      <c r="BH4134" s="341"/>
      <c r="BI4134" s="341"/>
      <c r="BJ4134" s="341"/>
      <c r="BK4134" s="341"/>
      <c r="BL4134" s="341"/>
      <c r="BM4134" s="341"/>
      <c r="BN4134" s="341"/>
      <c r="BO4134" s="341"/>
      <c r="BP4134" s="341"/>
      <c r="BQ4134" s="341"/>
      <c r="BR4134" s="341"/>
      <c r="BS4134" s="341"/>
      <c r="BT4134" s="341"/>
      <c r="BU4134" s="341"/>
      <c r="BV4134" s="341"/>
      <c r="BW4134" s="341"/>
      <c r="BX4134" s="341"/>
      <c r="BY4134" s="341"/>
    </row>
    <row r="4135" spans="1:77" s="261" customFormat="1" ht="11.25" customHeight="1">
      <c r="B4135" s="261" t="s">
        <v>291</v>
      </c>
      <c r="C4135" s="259">
        <v>44781</v>
      </c>
      <c r="D4135" s="259">
        <v>44781</v>
      </c>
      <c r="E4135" s="260" t="s">
        <v>3239</v>
      </c>
      <c r="F4135" s="261" t="s">
        <v>2551</v>
      </c>
      <c r="G4135" s="262" t="s">
        <v>2552</v>
      </c>
      <c r="H4135" s="261" t="s">
        <v>765</v>
      </c>
      <c r="I4135" s="261" t="s">
        <v>888</v>
      </c>
      <c r="J4135" s="263">
        <v>15190.46</v>
      </c>
      <c r="K4135" s="264"/>
      <c r="L4135" s="263">
        <v>12.07</v>
      </c>
      <c r="M4135" s="263">
        <v>36.86</v>
      </c>
      <c r="N4135" s="265">
        <v>3714</v>
      </c>
      <c r="O4135" s="266">
        <v>0.2</v>
      </c>
      <c r="P4135" s="266"/>
      <c r="Q4135" s="265">
        <v>0</v>
      </c>
      <c r="R4135" s="261" t="s">
        <v>105</v>
      </c>
      <c r="S4135" s="267" t="s">
        <v>30</v>
      </c>
      <c r="T4135" s="267">
        <v>39</v>
      </c>
      <c r="U4135" s="268" t="s">
        <v>164</v>
      </c>
      <c r="V4135" s="427"/>
      <c r="X4135" s="265">
        <v>0</v>
      </c>
      <c r="Y4135" s="265"/>
      <c r="AG4135" s="261">
        <f>X4135</f>
        <v>0</v>
      </c>
      <c r="AJ4135" s="642"/>
    </row>
    <row r="4136" spans="1:77" s="261" customFormat="1" ht="11.25" customHeight="1">
      <c r="B4136" s="261" t="s">
        <v>291</v>
      </c>
      <c r="C4136" s="259"/>
      <c r="D4136" s="259"/>
      <c r="E4136" s="260" t="s">
        <v>3239</v>
      </c>
      <c r="F4136" s="261" t="s">
        <v>2551</v>
      </c>
      <c r="G4136" s="262" t="s">
        <v>2552</v>
      </c>
      <c r="H4136" s="261" t="s">
        <v>814</v>
      </c>
      <c r="I4136" s="261" t="s">
        <v>888</v>
      </c>
      <c r="J4136" s="263">
        <v>38061.75</v>
      </c>
      <c r="K4136" s="264"/>
      <c r="L4136" s="263">
        <v>36.86</v>
      </c>
      <c r="M4136" s="263">
        <v>36.86</v>
      </c>
      <c r="N4136" s="265">
        <v>9119</v>
      </c>
      <c r="O4136" s="266">
        <v>0.2</v>
      </c>
      <c r="P4136" s="266"/>
      <c r="Q4136" s="265">
        <v>1463.65</v>
      </c>
      <c r="R4136" s="261" t="s">
        <v>105</v>
      </c>
      <c r="S4136" s="267" t="s">
        <v>30</v>
      </c>
      <c r="T4136" s="267">
        <v>39</v>
      </c>
      <c r="U4136" s="268" t="s">
        <v>164</v>
      </c>
      <c r="V4136" s="427"/>
      <c r="X4136" s="265">
        <v>1463.65</v>
      </c>
      <c r="Y4136" s="265"/>
      <c r="AG4136" s="261">
        <f>X4136</f>
        <v>1463.65</v>
      </c>
      <c r="AJ4136" s="642"/>
    </row>
    <row r="4137" spans="1:77" s="291" customFormat="1" ht="11.25" customHeight="1">
      <c r="A4137" s="291" t="s">
        <v>3893</v>
      </c>
      <c r="B4137" s="310" t="s">
        <v>291</v>
      </c>
      <c r="C4137" s="292">
        <v>44781</v>
      </c>
      <c r="D4137" s="292">
        <v>44781</v>
      </c>
      <c r="E4137" s="293" t="s">
        <v>3240</v>
      </c>
      <c r="F4137" s="291" t="s">
        <v>1136</v>
      </c>
      <c r="G4137" s="294">
        <v>3847</v>
      </c>
      <c r="H4137" s="291" t="s">
        <v>765</v>
      </c>
      <c r="I4137" s="291" t="s">
        <v>33</v>
      </c>
      <c r="J4137" s="296">
        <v>77056.2</v>
      </c>
      <c r="K4137" s="295"/>
      <c r="L4137" s="296">
        <v>48.1</v>
      </c>
      <c r="M4137" s="296">
        <v>48.1</v>
      </c>
      <c r="N4137" s="297">
        <v>36655.629999999997</v>
      </c>
      <c r="O4137" s="298">
        <v>0.15</v>
      </c>
      <c r="P4137" s="298"/>
      <c r="Q4137" s="297">
        <v>18340.53</v>
      </c>
      <c r="R4137" s="291" t="s">
        <v>142</v>
      </c>
      <c r="S4137" s="299" t="s">
        <v>41</v>
      </c>
      <c r="T4137" s="299">
        <v>24</v>
      </c>
      <c r="U4137" s="300" t="s">
        <v>164</v>
      </c>
      <c r="V4137" s="333"/>
      <c r="X4137" s="297">
        <v>18340.53</v>
      </c>
      <c r="Y4137" s="297"/>
      <c r="AG4137" s="297"/>
      <c r="AH4137" s="297">
        <f>X4137</f>
        <v>18340.53</v>
      </c>
      <c r="AI4137" s="311"/>
      <c r="AJ4137" s="468"/>
    </row>
    <row r="4138" spans="1:77" s="379" customFormat="1" ht="11.25" customHeight="1">
      <c r="B4138" s="380" t="s">
        <v>291</v>
      </c>
      <c r="C4138" s="381">
        <v>44781</v>
      </c>
      <c r="D4138" s="381">
        <v>44781</v>
      </c>
      <c r="E4138" s="382" t="s">
        <v>3241</v>
      </c>
      <c r="F4138" s="379" t="s">
        <v>109</v>
      </c>
      <c r="G4138" s="400">
        <v>1005</v>
      </c>
      <c r="H4138" s="379" t="s">
        <v>866</v>
      </c>
      <c r="I4138" s="379" t="s">
        <v>33</v>
      </c>
      <c r="J4138" s="385">
        <v>16614</v>
      </c>
      <c r="K4138" s="384"/>
      <c r="L4138" s="385">
        <v>10.4</v>
      </c>
      <c r="M4138" s="385">
        <v>10.4</v>
      </c>
      <c r="N4138" s="386">
        <v>1141.8800000000001</v>
      </c>
      <c r="O4138" s="387">
        <v>0.2</v>
      </c>
      <c r="P4138" s="387"/>
      <c r="Q4138" s="386">
        <v>0</v>
      </c>
      <c r="R4138" s="379" t="s">
        <v>112</v>
      </c>
      <c r="S4138" s="388" t="s">
        <v>113</v>
      </c>
      <c r="T4138" s="388">
        <v>64</v>
      </c>
      <c r="U4138" s="389" t="s">
        <v>164</v>
      </c>
      <c r="V4138" s="433"/>
      <c r="X4138" s="386">
        <v>0</v>
      </c>
      <c r="Y4138" s="386"/>
      <c r="AJ4138" s="390">
        <v>0</v>
      </c>
    </row>
    <row r="4139" spans="1:77" s="379" customFormat="1" ht="11.25" customHeight="1">
      <c r="B4139" s="380" t="s">
        <v>291</v>
      </c>
      <c r="C4139" s="381"/>
      <c r="D4139" s="381"/>
      <c r="E4139" s="382" t="s">
        <v>3241</v>
      </c>
      <c r="F4139" s="379" t="s">
        <v>109</v>
      </c>
      <c r="G4139" s="400">
        <v>1005</v>
      </c>
      <c r="H4139" s="379" t="s">
        <v>814</v>
      </c>
      <c r="I4139" s="379" t="s">
        <v>33</v>
      </c>
      <c r="J4139" s="385">
        <v>3935.75</v>
      </c>
      <c r="K4139" s="384"/>
      <c r="L4139" s="385">
        <v>3.25</v>
      </c>
      <c r="M4139" s="385">
        <v>3.25</v>
      </c>
      <c r="N4139" s="386">
        <v>375.38</v>
      </c>
      <c r="O4139" s="387">
        <v>0.2</v>
      </c>
      <c r="P4139" s="387"/>
      <c r="Q4139" s="386">
        <v>0</v>
      </c>
      <c r="R4139" s="379" t="s">
        <v>112</v>
      </c>
      <c r="S4139" s="388" t="s">
        <v>113</v>
      </c>
      <c r="T4139" s="388">
        <v>64</v>
      </c>
      <c r="U4139" s="389" t="s">
        <v>164</v>
      </c>
      <c r="V4139" s="433"/>
      <c r="X4139" s="386">
        <v>0</v>
      </c>
      <c r="Y4139" s="386"/>
      <c r="AJ4139" s="390">
        <v>0</v>
      </c>
    </row>
    <row r="4140" spans="1:77" s="379" customFormat="1" ht="11.25" customHeight="1">
      <c r="B4140" s="380" t="s">
        <v>291</v>
      </c>
      <c r="C4140" s="381">
        <v>44781</v>
      </c>
      <c r="D4140" s="381">
        <v>44781</v>
      </c>
      <c r="E4140" s="382" t="s">
        <v>3242</v>
      </c>
      <c r="F4140" s="379" t="s">
        <v>3243</v>
      </c>
      <c r="G4140" s="383">
        <v>3827</v>
      </c>
      <c r="H4140" s="379" t="s">
        <v>866</v>
      </c>
      <c r="I4140" s="379" t="s">
        <v>111</v>
      </c>
      <c r="J4140" s="385">
        <v>7148.4</v>
      </c>
      <c r="K4140" s="384"/>
      <c r="L4140" s="385">
        <v>6</v>
      </c>
      <c r="M4140" s="385">
        <v>6</v>
      </c>
      <c r="N4140" s="386"/>
      <c r="O4140" s="387">
        <v>0.2</v>
      </c>
      <c r="P4140" s="387"/>
      <c r="Q4140" s="386">
        <v>0</v>
      </c>
      <c r="R4140" s="379" t="s">
        <v>146</v>
      </c>
      <c r="S4140" s="388" t="s">
        <v>74</v>
      </c>
      <c r="T4140" s="388">
        <v>65</v>
      </c>
      <c r="U4140" s="389" t="s">
        <v>164</v>
      </c>
      <c r="V4140" s="433"/>
      <c r="X4140" s="386">
        <v>0</v>
      </c>
      <c r="Y4140" s="386"/>
      <c r="AJ4140" s="390">
        <v>0</v>
      </c>
    </row>
    <row r="4141" spans="1:77" s="379" customFormat="1" ht="11.25" customHeight="1">
      <c r="B4141" s="379" t="s">
        <v>291</v>
      </c>
      <c r="C4141" s="381">
        <v>44781</v>
      </c>
      <c r="D4141" s="381">
        <v>44781</v>
      </c>
      <c r="E4141" s="382" t="s">
        <v>3244</v>
      </c>
      <c r="F4141" s="379" t="s">
        <v>239</v>
      </c>
      <c r="G4141" s="383">
        <v>4175</v>
      </c>
      <c r="H4141" s="379" t="s">
        <v>765</v>
      </c>
      <c r="I4141" s="379" t="s">
        <v>33</v>
      </c>
      <c r="J4141" s="385">
        <v>27528.48</v>
      </c>
      <c r="K4141" s="384"/>
      <c r="L4141" s="385">
        <v>27.31</v>
      </c>
      <c r="M4141" s="385">
        <v>27.31</v>
      </c>
      <c r="N4141" s="386"/>
      <c r="O4141" s="387">
        <v>0.2</v>
      </c>
      <c r="P4141" s="387"/>
      <c r="Q4141" s="386">
        <v>0</v>
      </c>
      <c r="R4141" s="379" t="s">
        <v>146</v>
      </c>
      <c r="S4141" s="388" t="s">
        <v>74</v>
      </c>
      <c r="T4141" s="388">
        <v>31</v>
      </c>
      <c r="U4141" s="389" t="s">
        <v>164</v>
      </c>
      <c r="V4141" s="433"/>
      <c r="X4141" s="386">
        <v>0</v>
      </c>
      <c r="Y4141" s="386"/>
      <c r="AJ4141" s="390">
        <v>0</v>
      </c>
    </row>
    <row r="4142" spans="1:77" s="337" customFormat="1" ht="11.25" customHeight="1">
      <c r="B4142" s="338" t="s">
        <v>291</v>
      </c>
      <c r="C4142" s="349"/>
      <c r="D4142" s="349"/>
      <c r="E4142" s="350" t="s">
        <v>3244</v>
      </c>
      <c r="F4142" s="337" t="s">
        <v>239</v>
      </c>
      <c r="G4142" s="351">
        <v>4175</v>
      </c>
      <c r="H4142" s="337" t="s">
        <v>814</v>
      </c>
      <c r="I4142" s="337" t="s">
        <v>33</v>
      </c>
      <c r="J4142" s="352">
        <v>76618.559999999998</v>
      </c>
      <c r="K4142" s="353"/>
      <c r="L4142" s="352">
        <v>49.54</v>
      </c>
      <c r="M4142" s="352">
        <v>49.54</v>
      </c>
      <c r="N4142" s="354"/>
      <c r="O4142" s="355">
        <v>0.2</v>
      </c>
      <c r="P4142" s="355"/>
      <c r="Q4142" s="354">
        <v>12349.33</v>
      </c>
      <c r="R4142" s="337" t="s">
        <v>146</v>
      </c>
      <c r="S4142" s="356" t="s">
        <v>74</v>
      </c>
      <c r="T4142" s="356">
        <v>31</v>
      </c>
      <c r="U4142" s="357" t="s">
        <v>164</v>
      </c>
      <c r="V4142" s="434"/>
      <c r="X4142" s="354">
        <v>12349.33</v>
      </c>
      <c r="Y4142" s="354"/>
      <c r="AI4142" s="354">
        <v>12349.33</v>
      </c>
      <c r="AJ4142" s="358"/>
      <c r="AK4142" s="369"/>
    </row>
    <row r="4143" spans="1:77" s="337" customFormat="1" ht="11.25" customHeight="1">
      <c r="B4143" s="337" t="s">
        <v>291</v>
      </c>
      <c r="C4143" s="349">
        <v>44781</v>
      </c>
      <c r="D4143" s="349">
        <v>44781</v>
      </c>
      <c r="E4143" s="350" t="s">
        <v>3245</v>
      </c>
      <c r="F4143" s="337" t="s">
        <v>3246</v>
      </c>
      <c r="G4143" s="351">
        <v>4174</v>
      </c>
      <c r="H4143" s="337" t="s">
        <v>2267</v>
      </c>
      <c r="I4143" s="337" t="s">
        <v>33</v>
      </c>
      <c r="J4143" s="352">
        <v>45315.75</v>
      </c>
      <c r="K4143" s="353"/>
      <c r="L4143" s="352">
        <v>26.27</v>
      </c>
      <c r="M4143" s="352">
        <v>26.27</v>
      </c>
      <c r="N4143" s="354"/>
      <c r="O4143" s="355">
        <v>0.2</v>
      </c>
      <c r="P4143" s="355"/>
      <c r="Q4143" s="354">
        <v>0</v>
      </c>
      <c r="R4143" s="337" t="s">
        <v>146</v>
      </c>
      <c r="S4143" s="356" t="s">
        <v>74</v>
      </c>
      <c r="T4143" s="356">
        <v>31</v>
      </c>
      <c r="U4143" s="357" t="s">
        <v>164</v>
      </c>
      <c r="V4143" s="434"/>
      <c r="X4143" s="354">
        <v>0</v>
      </c>
      <c r="Y4143" s="354"/>
      <c r="AI4143" s="337">
        <v>0</v>
      </c>
      <c r="AJ4143" s="358"/>
      <c r="AK4143" s="369"/>
      <c r="AL4143" s="341"/>
      <c r="AM4143" s="341"/>
      <c r="AN4143" s="341"/>
      <c r="AO4143" s="341"/>
      <c r="AP4143" s="341"/>
      <c r="AQ4143" s="341"/>
      <c r="AR4143" s="341"/>
      <c r="AS4143" s="341"/>
      <c r="AT4143" s="341"/>
      <c r="AU4143" s="341"/>
      <c r="AV4143" s="341"/>
      <c r="AW4143" s="341"/>
      <c r="AX4143" s="341"/>
      <c r="AY4143" s="341"/>
      <c r="AZ4143" s="341"/>
      <c r="BA4143" s="341"/>
      <c r="BB4143" s="341"/>
      <c r="BC4143" s="341"/>
      <c r="BD4143" s="341"/>
      <c r="BE4143" s="341"/>
      <c r="BF4143" s="341"/>
      <c r="BG4143" s="341"/>
      <c r="BH4143" s="341"/>
      <c r="BI4143" s="341"/>
      <c r="BJ4143" s="341"/>
      <c r="BK4143" s="341"/>
      <c r="BL4143" s="341"/>
      <c r="BM4143" s="341"/>
      <c r="BN4143" s="341"/>
      <c r="BO4143" s="341"/>
      <c r="BP4143" s="341"/>
      <c r="BQ4143" s="341"/>
      <c r="BR4143" s="341"/>
      <c r="BS4143" s="341"/>
      <c r="BT4143" s="341"/>
      <c r="BU4143" s="341"/>
      <c r="BV4143" s="341"/>
      <c r="BW4143" s="341"/>
      <c r="BX4143" s="341"/>
      <c r="BY4143" s="341"/>
    </row>
    <row r="4144" spans="1:77" s="337" customFormat="1" ht="11.25" customHeight="1">
      <c r="B4144" s="338" t="s">
        <v>291</v>
      </c>
      <c r="C4144" s="349"/>
      <c r="D4144" s="349"/>
      <c r="E4144" s="350" t="s">
        <v>3245</v>
      </c>
      <c r="F4144" s="337" t="s">
        <v>3246</v>
      </c>
      <c r="G4144" s="351">
        <v>4174</v>
      </c>
      <c r="H4144" s="337" t="s">
        <v>814</v>
      </c>
      <c r="I4144" s="337" t="s">
        <v>33</v>
      </c>
      <c r="J4144" s="352">
        <v>34072.28</v>
      </c>
      <c r="K4144" s="353"/>
      <c r="L4144" s="352">
        <v>23.21</v>
      </c>
      <c r="M4144" s="352">
        <v>23.21</v>
      </c>
      <c r="N4144" s="354"/>
      <c r="O4144" s="355">
        <v>0.2</v>
      </c>
      <c r="P4144" s="355"/>
      <c r="Q4144" s="354">
        <v>0</v>
      </c>
      <c r="R4144" s="337" t="s">
        <v>146</v>
      </c>
      <c r="S4144" s="356" t="s">
        <v>74</v>
      </c>
      <c r="T4144" s="356">
        <v>31</v>
      </c>
      <c r="U4144" s="357" t="s">
        <v>164</v>
      </c>
      <c r="V4144" s="434"/>
      <c r="X4144" s="354">
        <v>0</v>
      </c>
      <c r="Y4144" s="354"/>
      <c r="AI4144" s="337">
        <v>0</v>
      </c>
      <c r="AJ4144" s="358"/>
      <c r="AK4144" s="369"/>
      <c r="AL4144" s="341"/>
      <c r="AM4144" s="341"/>
      <c r="AN4144" s="341"/>
      <c r="AO4144" s="341"/>
      <c r="AP4144" s="341"/>
      <c r="AQ4144" s="341"/>
      <c r="AR4144" s="341"/>
      <c r="AS4144" s="341"/>
      <c r="AT4144" s="341"/>
      <c r="AU4144" s="341"/>
      <c r="AV4144" s="341"/>
      <c r="AW4144" s="341"/>
      <c r="AX4144" s="341"/>
      <c r="AY4144" s="341"/>
      <c r="AZ4144" s="341"/>
      <c r="BA4144" s="341"/>
      <c r="BB4144" s="341"/>
      <c r="BC4144" s="341"/>
      <c r="BD4144" s="341"/>
      <c r="BE4144" s="341"/>
      <c r="BF4144" s="341"/>
      <c r="BG4144" s="341"/>
      <c r="BH4144" s="341"/>
      <c r="BI4144" s="341"/>
      <c r="BJ4144" s="341"/>
      <c r="BK4144" s="341"/>
      <c r="BL4144" s="341"/>
      <c r="BM4144" s="341"/>
      <c r="BN4144" s="341"/>
      <c r="BO4144" s="341"/>
      <c r="BP4144" s="341"/>
      <c r="BQ4144" s="341"/>
      <c r="BR4144" s="341"/>
      <c r="BS4144" s="341"/>
      <c r="BT4144" s="341"/>
      <c r="BU4144" s="341"/>
      <c r="BV4144" s="341"/>
      <c r="BW4144" s="341"/>
      <c r="BX4144" s="341"/>
      <c r="BY4144" s="341"/>
    </row>
    <row r="4145" spans="1:77" s="473" customFormat="1" ht="11.25" customHeight="1">
      <c r="B4145" s="486" t="s">
        <v>291</v>
      </c>
      <c r="C4145" s="487">
        <v>44778</v>
      </c>
      <c r="D4145" s="487">
        <v>44781</v>
      </c>
      <c r="E4145" s="488" t="s">
        <v>3259</v>
      </c>
      <c r="F4145" s="472" t="s">
        <v>605</v>
      </c>
      <c r="G4145" s="476">
        <v>3584</v>
      </c>
      <c r="H4145" s="472" t="s">
        <v>866</v>
      </c>
      <c r="I4145" s="472" t="s">
        <v>33</v>
      </c>
      <c r="J4145" s="490">
        <v>10941.76</v>
      </c>
      <c r="K4145" s="491"/>
      <c r="L4145" s="490">
        <v>11.03</v>
      </c>
      <c r="M4145" s="490">
        <v>11</v>
      </c>
      <c r="N4145" s="492"/>
      <c r="O4145" s="493">
        <v>0.15</v>
      </c>
      <c r="P4145" s="493"/>
      <c r="Q4145" s="492">
        <v>0</v>
      </c>
      <c r="R4145" s="473" t="s">
        <v>77</v>
      </c>
      <c r="S4145" s="481" t="s">
        <v>41</v>
      </c>
      <c r="T4145" s="481">
        <v>16</v>
      </c>
      <c r="U4145" s="494" t="s">
        <v>164</v>
      </c>
      <c r="V4145" s="495"/>
      <c r="X4145" s="492">
        <v>0</v>
      </c>
      <c r="Y4145" s="492"/>
      <c r="AJ4145" s="485"/>
      <c r="AK4145" s="473">
        <v>0</v>
      </c>
    </row>
    <row r="4146" spans="1:77" s="6" customFormat="1" ht="11.25" customHeight="1">
      <c r="A4146" s="379"/>
      <c r="B4146" s="379" t="s">
        <v>291</v>
      </c>
      <c r="C4146" s="381">
        <v>44776</v>
      </c>
      <c r="D4146" s="381">
        <v>44781</v>
      </c>
      <c r="E4146" s="382" t="s">
        <v>3260</v>
      </c>
      <c r="F4146" s="379" t="s">
        <v>342</v>
      </c>
      <c r="G4146" s="383" t="s">
        <v>530</v>
      </c>
      <c r="H4146" s="394" t="s">
        <v>765</v>
      </c>
      <c r="I4146" s="379" t="s">
        <v>888</v>
      </c>
      <c r="J4146" s="395">
        <v>18925.43</v>
      </c>
      <c r="K4146" s="394"/>
      <c r="L4146" s="395">
        <v>18.05</v>
      </c>
      <c r="M4146" s="395">
        <v>18.05</v>
      </c>
      <c r="N4146" s="386"/>
      <c r="O4146" s="387">
        <v>0.2</v>
      </c>
      <c r="P4146" s="387"/>
      <c r="Q4146" s="386">
        <v>0</v>
      </c>
      <c r="R4146" s="379" t="s">
        <v>35</v>
      </c>
      <c r="S4146" s="388" t="s">
        <v>41</v>
      </c>
      <c r="T4146" s="388">
        <v>86</v>
      </c>
      <c r="U4146" s="389" t="s">
        <v>164</v>
      </c>
      <c r="V4146" s="433"/>
      <c r="W4146" s="379"/>
      <c r="X4146" s="386">
        <v>0</v>
      </c>
      <c r="Y4146" s="386"/>
      <c r="Z4146" s="379"/>
      <c r="AA4146" s="379"/>
      <c r="AB4146" s="379"/>
      <c r="AC4146" s="379"/>
      <c r="AD4146" s="379"/>
      <c r="AE4146" s="379"/>
      <c r="AF4146" s="379"/>
      <c r="AG4146" s="379"/>
      <c r="AH4146" s="379"/>
      <c r="AI4146" s="379"/>
      <c r="AJ4146" s="390">
        <v>0</v>
      </c>
      <c r="AK4146" s="379"/>
      <c r="AL4146" s="379"/>
      <c r="AM4146" s="379"/>
      <c r="AN4146" s="379"/>
      <c r="AO4146" s="379"/>
      <c r="AP4146" s="379"/>
      <c r="AQ4146" s="379"/>
      <c r="AR4146" s="379"/>
      <c r="AS4146" s="379"/>
      <c r="AT4146" s="379"/>
      <c r="AU4146" s="379"/>
      <c r="AV4146" s="379"/>
      <c r="AW4146" s="379"/>
      <c r="AX4146" s="379"/>
      <c r="AY4146" s="379"/>
      <c r="AZ4146" s="379"/>
      <c r="BA4146" s="379"/>
      <c r="BB4146" s="379"/>
      <c r="BC4146" s="379"/>
      <c r="BD4146" s="379"/>
      <c r="BE4146" s="379"/>
      <c r="BF4146" s="379"/>
      <c r="BG4146" s="379"/>
      <c r="BH4146" s="379"/>
      <c r="BI4146" s="379"/>
      <c r="BJ4146" s="379"/>
      <c r="BK4146" s="379"/>
      <c r="BL4146" s="379"/>
      <c r="BM4146" s="379"/>
      <c r="BN4146" s="379"/>
      <c r="BO4146" s="379"/>
      <c r="BP4146" s="379"/>
      <c r="BQ4146" s="379"/>
      <c r="BR4146" s="379"/>
      <c r="BS4146" s="379"/>
      <c r="BT4146" s="379"/>
      <c r="BU4146" s="379"/>
      <c r="BV4146" s="379"/>
      <c r="BW4146" s="379"/>
      <c r="BX4146" s="379"/>
      <c r="BY4146" s="379"/>
    </row>
    <row r="4147" spans="1:77" s="337" customFormat="1" ht="11.25" customHeight="1">
      <c r="B4147" s="337" t="s">
        <v>291</v>
      </c>
      <c r="C4147" s="349">
        <v>44781</v>
      </c>
      <c r="D4147" s="349">
        <v>44781</v>
      </c>
      <c r="E4147" s="350" t="s">
        <v>3261</v>
      </c>
      <c r="F4147" s="341" t="s">
        <v>322</v>
      </c>
      <c r="G4147" s="342">
        <v>3648</v>
      </c>
      <c r="H4147" s="337" t="s">
        <v>765</v>
      </c>
      <c r="I4147" s="337" t="s">
        <v>888</v>
      </c>
      <c r="J4147" s="352">
        <v>17061.12</v>
      </c>
      <c r="K4147" s="353"/>
      <c r="L4147" s="352">
        <v>14.81</v>
      </c>
      <c r="M4147" s="352">
        <v>14.81</v>
      </c>
      <c r="N4147" s="354"/>
      <c r="O4147" s="345">
        <v>0.2</v>
      </c>
      <c r="P4147" s="355"/>
      <c r="Q4147" s="354">
        <v>0</v>
      </c>
      <c r="R4147" s="337" t="s">
        <v>35</v>
      </c>
      <c r="S4147" s="356" t="s">
        <v>41</v>
      </c>
      <c r="T4147" s="356">
        <v>86</v>
      </c>
      <c r="U4147" s="357" t="s">
        <v>164</v>
      </c>
      <c r="V4147" s="434"/>
      <c r="X4147" s="354">
        <v>0</v>
      </c>
      <c r="Y4147" s="354"/>
      <c r="AI4147" s="337">
        <f>X4147</f>
        <v>0</v>
      </c>
      <c r="AJ4147" s="358"/>
      <c r="AK4147" s="369"/>
      <c r="AL4147" s="341"/>
      <c r="AM4147" s="341"/>
      <c r="AN4147" s="341"/>
      <c r="AO4147" s="341"/>
      <c r="AP4147" s="341"/>
      <c r="AQ4147" s="341"/>
      <c r="AR4147" s="341"/>
      <c r="AS4147" s="341"/>
      <c r="AT4147" s="341"/>
      <c r="AU4147" s="341"/>
      <c r="AV4147" s="341"/>
      <c r="AW4147" s="341"/>
      <c r="AX4147" s="341"/>
      <c r="AY4147" s="341"/>
      <c r="AZ4147" s="341"/>
      <c r="BA4147" s="341"/>
      <c r="BB4147" s="341"/>
      <c r="BC4147" s="341"/>
      <c r="BD4147" s="341"/>
      <c r="BE4147" s="341"/>
      <c r="BF4147" s="341"/>
      <c r="BG4147" s="341"/>
      <c r="BH4147" s="341"/>
      <c r="BI4147" s="341"/>
      <c r="BJ4147" s="341"/>
      <c r="BK4147" s="341"/>
      <c r="BL4147" s="341"/>
      <c r="BM4147" s="341"/>
      <c r="BN4147" s="341"/>
      <c r="BO4147" s="341"/>
      <c r="BP4147" s="341"/>
      <c r="BQ4147" s="341"/>
      <c r="BR4147" s="341"/>
      <c r="BS4147" s="341"/>
      <c r="BT4147" s="341"/>
      <c r="BU4147" s="341"/>
      <c r="BV4147" s="341"/>
      <c r="BW4147" s="341"/>
      <c r="BX4147" s="341"/>
      <c r="BY4147" s="341"/>
    </row>
    <row r="4148" spans="1:77" s="337" customFormat="1" ht="11.25" customHeight="1">
      <c r="A4148" s="337" t="s">
        <v>3893</v>
      </c>
      <c r="B4148" s="337" t="s">
        <v>291</v>
      </c>
      <c r="C4148" s="349">
        <v>44781</v>
      </c>
      <c r="D4148" s="349">
        <v>44781</v>
      </c>
      <c r="E4148" s="350" t="s">
        <v>3262</v>
      </c>
      <c r="F4148" s="337" t="s">
        <v>3263</v>
      </c>
      <c r="G4148" s="351">
        <v>3679</v>
      </c>
      <c r="H4148" s="337" t="s">
        <v>898</v>
      </c>
      <c r="I4148" s="337" t="s">
        <v>33</v>
      </c>
      <c r="J4148" s="352">
        <v>20160</v>
      </c>
      <c r="K4148" s="353"/>
      <c r="L4148" s="352">
        <v>16.8</v>
      </c>
      <c r="M4148" s="352">
        <v>13</v>
      </c>
      <c r="N4148" s="354">
        <v>7800</v>
      </c>
      <c r="O4148" s="345">
        <v>0.2</v>
      </c>
      <c r="P4148" s="355"/>
      <c r="Q4148" s="354">
        <v>1174.5</v>
      </c>
      <c r="R4148" s="337" t="s">
        <v>29</v>
      </c>
      <c r="S4148" s="356" t="s">
        <v>51</v>
      </c>
      <c r="T4148" s="356">
        <v>52</v>
      </c>
      <c r="U4148" s="357" t="s">
        <v>164</v>
      </c>
      <c r="V4148" s="434"/>
      <c r="X4148" s="354">
        <v>1174.5</v>
      </c>
      <c r="Y4148" s="354"/>
      <c r="AI4148" s="354">
        <v>1174.5</v>
      </c>
      <c r="AJ4148" s="358"/>
      <c r="AK4148" s="369"/>
      <c r="AL4148" s="341"/>
      <c r="AM4148" s="341"/>
      <c r="AN4148" s="341"/>
      <c r="AO4148" s="341"/>
      <c r="AP4148" s="341"/>
      <c r="AQ4148" s="341"/>
      <c r="AR4148" s="341"/>
      <c r="AS4148" s="341"/>
      <c r="AT4148" s="341"/>
      <c r="AU4148" s="341"/>
      <c r="AV4148" s="341"/>
      <c r="AW4148" s="341"/>
      <c r="AX4148" s="341"/>
      <c r="AY4148" s="341"/>
      <c r="AZ4148" s="341"/>
      <c r="BA4148" s="341"/>
      <c r="BB4148" s="341"/>
      <c r="BC4148" s="341"/>
      <c r="BD4148" s="341"/>
      <c r="BE4148" s="341"/>
      <c r="BF4148" s="341"/>
      <c r="BG4148" s="341"/>
      <c r="BH4148" s="341"/>
      <c r="BI4148" s="341"/>
      <c r="BJ4148" s="341"/>
      <c r="BK4148" s="341"/>
      <c r="BL4148" s="341"/>
      <c r="BM4148" s="341"/>
      <c r="BN4148" s="341"/>
      <c r="BO4148" s="341"/>
      <c r="BP4148" s="341"/>
      <c r="BQ4148" s="341"/>
      <c r="BR4148" s="341"/>
      <c r="BS4148" s="341"/>
      <c r="BT4148" s="341"/>
      <c r="BU4148" s="341"/>
      <c r="BV4148" s="341"/>
      <c r="BW4148" s="341"/>
      <c r="BX4148" s="341"/>
      <c r="BY4148" s="341"/>
    </row>
    <row r="4149" spans="1:77" s="379" customFormat="1" ht="11.25" customHeight="1">
      <c r="B4149" s="380" t="s">
        <v>291</v>
      </c>
      <c r="C4149" s="381">
        <v>44781</v>
      </c>
      <c r="D4149" s="381">
        <v>44782</v>
      </c>
      <c r="E4149" s="382" t="s">
        <v>3264</v>
      </c>
      <c r="F4149" s="379" t="s">
        <v>1772</v>
      </c>
      <c r="G4149" s="404">
        <v>3598</v>
      </c>
      <c r="H4149" s="379" t="s">
        <v>765</v>
      </c>
      <c r="I4149" s="384" t="s">
        <v>33</v>
      </c>
      <c r="J4149" s="385">
        <v>16582.650000000001</v>
      </c>
      <c r="K4149" s="384"/>
      <c r="L4149" s="385">
        <v>27.87</v>
      </c>
      <c r="M4149" s="385">
        <v>27.87</v>
      </c>
      <c r="N4149" s="386">
        <v>0</v>
      </c>
      <c r="O4149" s="387">
        <v>0.15</v>
      </c>
      <c r="P4149" s="387"/>
      <c r="Q4149" s="386">
        <v>0</v>
      </c>
      <c r="R4149" s="379" t="s">
        <v>77</v>
      </c>
      <c r="S4149" s="388" t="s">
        <v>41</v>
      </c>
      <c r="T4149" s="388">
        <v>16</v>
      </c>
      <c r="U4149" s="389" t="s">
        <v>164</v>
      </c>
      <c r="V4149" s="433"/>
      <c r="X4149" s="386">
        <v>0</v>
      </c>
      <c r="Y4149" s="386"/>
      <c r="AJ4149" s="390">
        <v>0</v>
      </c>
    </row>
    <row r="4150" spans="1:77" s="379" customFormat="1" ht="11.25" customHeight="1">
      <c r="B4150" s="380" t="s">
        <v>291</v>
      </c>
      <c r="C4150" s="381"/>
      <c r="D4150" s="381"/>
      <c r="E4150" s="382" t="s">
        <v>3264</v>
      </c>
      <c r="F4150" s="379" t="s">
        <v>1772</v>
      </c>
      <c r="G4150" s="404">
        <v>3598</v>
      </c>
      <c r="H4150" s="379" t="s">
        <v>866</v>
      </c>
      <c r="I4150" s="384" t="s">
        <v>33</v>
      </c>
      <c r="J4150" s="385">
        <v>5780.22</v>
      </c>
      <c r="K4150" s="384"/>
      <c r="L4150" s="385">
        <v>6.19</v>
      </c>
      <c r="M4150" s="385">
        <v>6.19</v>
      </c>
      <c r="N4150" s="386"/>
      <c r="O4150" s="387">
        <v>0.15</v>
      </c>
      <c r="P4150" s="387"/>
      <c r="Q4150" s="386">
        <v>650.77</v>
      </c>
      <c r="R4150" s="379" t="s">
        <v>77</v>
      </c>
      <c r="S4150" s="388" t="s">
        <v>41</v>
      </c>
      <c r="T4150" s="388">
        <v>16</v>
      </c>
      <c r="U4150" s="389" t="s">
        <v>164</v>
      </c>
      <c r="V4150" s="433"/>
      <c r="X4150" s="386">
        <v>650.77</v>
      </c>
      <c r="Y4150" s="386"/>
      <c r="AJ4150" s="416">
        <v>650.77</v>
      </c>
    </row>
    <row r="4151" spans="1:77" s="337" customFormat="1" ht="11.25" customHeight="1">
      <c r="B4151" s="338" t="s">
        <v>291</v>
      </c>
      <c r="C4151" s="349"/>
      <c r="D4151" s="349"/>
      <c r="E4151" s="350" t="s">
        <v>3265</v>
      </c>
      <c r="F4151" s="337" t="s">
        <v>3266</v>
      </c>
      <c r="G4151" s="351">
        <v>3693</v>
      </c>
      <c r="H4151" s="337" t="s">
        <v>866</v>
      </c>
      <c r="I4151" s="353" t="s">
        <v>33</v>
      </c>
      <c r="J4151" s="352">
        <v>99588.06</v>
      </c>
      <c r="K4151" s="353"/>
      <c r="L4151" s="352">
        <v>68.900000000000006</v>
      </c>
      <c r="M4151" s="352">
        <v>68.89</v>
      </c>
      <c r="N4151" s="354">
        <v>39835.22</v>
      </c>
      <c r="O4151" s="355">
        <v>0.3</v>
      </c>
      <c r="P4151" s="355"/>
      <c r="Q4151" s="354">
        <v>0</v>
      </c>
      <c r="R4151" s="337" t="s">
        <v>54</v>
      </c>
      <c r="S4151" s="356" t="s">
        <v>51</v>
      </c>
      <c r="T4151" s="356">
        <v>55</v>
      </c>
      <c r="U4151" s="357" t="s">
        <v>164</v>
      </c>
      <c r="V4151" s="434"/>
      <c r="X4151" s="354">
        <v>0</v>
      </c>
      <c r="Y4151" s="354"/>
      <c r="AI4151" s="337">
        <f>X4151</f>
        <v>0</v>
      </c>
      <c r="AJ4151" s="358"/>
      <c r="AK4151" s="369"/>
      <c r="AL4151" s="341"/>
      <c r="AM4151" s="341"/>
      <c r="AN4151" s="341"/>
      <c r="AO4151" s="341"/>
      <c r="AP4151" s="341"/>
      <c r="AQ4151" s="341"/>
      <c r="AR4151" s="341"/>
      <c r="AS4151" s="341"/>
      <c r="AT4151" s="341"/>
      <c r="AU4151" s="341"/>
      <c r="AV4151" s="341"/>
      <c r="AW4151" s="341"/>
      <c r="AX4151" s="341"/>
      <c r="AY4151" s="341"/>
      <c r="AZ4151" s="341"/>
      <c r="BA4151" s="341"/>
      <c r="BB4151" s="341"/>
      <c r="BC4151" s="341"/>
      <c r="BD4151" s="341"/>
      <c r="BE4151" s="341"/>
      <c r="BF4151" s="341"/>
      <c r="BG4151" s="341"/>
      <c r="BH4151" s="341"/>
      <c r="BI4151" s="341"/>
      <c r="BJ4151" s="341"/>
      <c r="BK4151" s="341"/>
      <c r="BL4151" s="341"/>
      <c r="BM4151" s="341"/>
      <c r="BN4151" s="341"/>
      <c r="BO4151" s="341"/>
      <c r="BP4151" s="341"/>
      <c r="BQ4151" s="341"/>
      <c r="BR4151" s="341"/>
      <c r="BS4151" s="341"/>
      <c r="BT4151" s="341"/>
      <c r="BU4151" s="341"/>
      <c r="BV4151" s="341"/>
      <c r="BW4151" s="341"/>
      <c r="BX4151" s="341"/>
      <c r="BY4151" s="341"/>
    </row>
    <row r="4152" spans="1:77" s="337" customFormat="1" ht="11.25" customHeight="1">
      <c r="B4152" s="338" t="s">
        <v>291</v>
      </c>
      <c r="C4152" s="349">
        <v>44782</v>
      </c>
      <c r="D4152" s="349">
        <v>44782</v>
      </c>
      <c r="E4152" s="350" t="s">
        <v>3265</v>
      </c>
      <c r="F4152" s="337" t="s">
        <v>3266</v>
      </c>
      <c r="G4152" s="351">
        <v>3693</v>
      </c>
      <c r="H4152" s="337" t="s">
        <v>765</v>
      </c>
      <c r="I4152" s="353" t="s">
        <v>33</v>
      </c>
      <c r="J4152" s="352">
        <v>52599.12</v>
      </c>
      <c r="K4152" s="353"/>
      <c r="L4152" s="352">
        <v>57.36</v>
      </c>
      <c r="M4152" s="352">
        <v>57.35</v>
      </c>
      <c r="N4152" s="354">
        <v>18406.48</v>
      </c>
      <c r="O4152" s="355">
        <v>0.3</v>
      </c>
      <c r="P4152" s="355"/>
      <c r="Q4152" s="354">
        <v>0</v>
      </c>
      <c r="R4152" s="337" t="s">
        <v>54</v>
      </c>
      <c r="S4152" s="356" t="s">
        <v>51</v>
      </c>
      <c r="T4152" s="356">
        <v>55</v>
      </c>
      <c r="U4152" s="357" t="s">
        <v>164</v>
      </c>
      <c r="V4152" s="434"/>
      <c r="X4152" s="354">
        <v>0</v>
      </c>
      <c r="Y4152" s="354"/>
      <c r="AI4152" s="337">
        <v>0</v>
      </c>
      <c r="AJ4152" s="358"/>
      <c r="AK4152" s="369"/>
    </row>
    <row r="4153" spans="1:77" s="6" customFormat="1" ht="11.25" customHeight="1">
      <c r="A4153" s="379"/>
      <c r="B4153" s="403" t="s">
        <v>291</v>
      </c>
      <c r="C4153" s="381">
        <v>44782</v>
      </c>
      <c r="D4153" s="381">
        <v>44782</v>
      </c>
      <c r="E4153" s="382" t="s">
        <v>3267</v>
      </c>
      <c r="F4153" s="379" t="s">
        <v>1625</v>
      </c>
      <c r="G4153" s="383">
        <v>4122</v>
      </c>
      <c r="H4153" s="379" t="s">
        <v>910</v>
      </c>
      <c r="I4153" s="379" t="s">
        <v>111</v>
      </c>
      <c r="J4153" s="385">
        <v>69775.45</v>
      </c>
      <c r="K4153" s="384"/>
      <c r="L4153" s="385">
        <v>29.95</v>
      </c>
      <c r="M4153" s="385">
        <v>29.95</v>
      </c>
      <c r="N4153" s="386"/>
      <c r="O4153" s="387">
        <v>0.15</v>
      </c>
      <c r="P4153" s="387"/>
      <c r="Q4153" s="386">
        <v>0</v>
      </c>
      <c r="R4153" s="379" t="s">
        <v>73</v>
      </c>
      <c r="S4153" s="388" t="s">
        <v>74</v>
      </c>
      <c r="T4153" s="388">
        <v>31</v>
      </c>
      <c r="U4153" s="389" t="s">
        <v>164</v>
      </c>
      <c r="V4153" s="433"/>
      <c r="W4153" s="379"/>
      <c r="X4153" s="386">
        <v>0</v>
      </c>
      <c r="Y4153" s="386"/>
      <c r="Z4153" s="379"/>
      <c r="AA4153" s="379"/>
      <c r="AB4153" s="379"/>
      <c r="AC4153" s="379"/>
      <c r="AD4153" s="379"/>
      <c r="AE4153" s="379"/>
      <c r="AF4153" s="379"/>
      <c r="AG4153" s="379"/>
      <c r="AH4153" s="379"/>
      <c r="AI4153" s="379"/>
      <c r="AJ4153" s="390">
        <v>0</v>
      </c>
      <c r="AK4153" s="379"/>
      <c r="AL4153" s="379"/>
      <c r="AM4153" s="379"/>
      <c r="AN4153" s="379"/>
      <c r="AO4153" s="379"/>
      <c r="AP4153" s="379"/>
      <c r="AQ4153" s="379"/>
      <c r="AR4153" s="379"/>
      <c r="AS4153" s="379"/>
      <c r="AT4153" s="379"/>
      <c r="AU4153" s="379"/>
      <c r="AV4153" s="379"/>
      <c r="AW4153" s="379"/>
      <c r="AX4153" s="379"/>
      <c r="AY4153" s="379"/>
      <c r="AZ4153" s="379"/>
      <c r="BA4153" s="379"/>
      <c r="BB4153" s="379"/>
      <c r="BC4153" s="379"/>
      <c r="BD4153" s="379"/>
      <c r="BE4153" s="379"/>
      <c r="BF4153" s="379"/>
      <c r="BG4153" s="379"/>
      <c r="BH4153" s="379"/>
      <c r="BI4153" s="379"/>
      <c r="BJ4153" s="379"/>
      <c r="BK4153" s="379"/>
      <c r="BL4153" s="379"/>
      <c r="BM4153" s="379"/>
      <c r="BN4153" s="379"/>
      <c r="BO4153" s="379"/>
      <c r="BP4153" s="379"/>
      <c r="BQ4153" s="379"/>
      <c r="BR4153" s="379"/>
      <c r="BS4153" s="379"/>
      <c r="BT4153" s="379"/>
      <c r="BU4153" s="379"/>
      <c r="BV4153" s="379"/>
      <c r="BW4153" s="379"/>
      <c r="BX4153" s="379"/>
      <c r="BY4153" s="379"/>
    </row>
    <row r="4154" spans="1:77" s="6" customFormat="1" ht="11.25" customHeight="1">
      <c r="A4154" s="379"/>
      <c r="B4154" s="403" t="s">
        <v>291</v>
      </c>
      <c r="C4154" s="381"/>
      <c r="D4154" s="381"/>
      <c r="E4154" s="382" t="s">
        <v>3267</v>
      </c>
      <c r="F4154" s="379" t="s">
        <v>1625</v>
      </c>
      <c r="G4154" s="383">
        <v>4122</v>
      </c>
      <c r="H4154" s="379" t="s">
        <v>765</v>
      </c>
      <c r="I4154" s="379" t="s">
        <v>111</v>
      </c>
      <c r="J4154" s="385">
        <v>23888.55</v>
      </c>
      <c r="K4154" s="384"/>
      <c r="L4154" s="385">
        <v>23.25</v>
      </c>
      <c r="M4154" s="385">
        <v>23.25</v>
      </c>
      <c r="N4154" s="386"/>
      <c r="O4154" s="387">
        <v>0.15</v>
      </c>
      <c r="P4154" s="387"/>
      <c r="Q4154" s="386">
        <v>0</v>
      </c>
      <c r="R4154" s="379" t="s">
        <v>73</v>
      </c>
      <c r="S4154" s="388" t="s">
        <v>74</v>
      </c>
      <c r="T4154" s="388">
        <v>31</v>
      </c>
      <c r="U4154" s="389" t="s">
        <v>164</v>
      </c>
      <c r="V4154" s="433"/>
      <c r="W4154" s="379"/>
      <c r="X4154" s="386">
        <v>0</v>
      </c>
      <c r="Y4154" s="386"/>
      <c r="Z4154" s="379"/>
      <c r="AA4154" s="379"/>
      <c r="AB4154" s="379"/>
      <c r="AC4154" s="379"/>
      <c r="AD4154" s="379"/>
      <c r="AE4154" s="379"/>
      <c r="AF4154" s="379"/>
      <c r="AG4154" s="379"/>
      <c r="AH4154" s="379"/>
      <c r="AI4154" s="379"/>
      <c r="AJ4154" s="390">
        <v>0</v>
      </c>
      <c r="AK4154" s="379"/>
      <c r="AL4154" s="379"/>
      <c r="AM4154" s="379"/>
      <c r="AN4154" s="379"/>
      <c r="AO4154" s="379"/>
      <c r="AP4154" s="379"/>
      <c r="AQ4154" s="379"/>
      <c r="AR4154" s="379"/>
      <c r="AS4154" s="379"/>
      <c r="AT4154" s="379"/>
      <c r="AU4154" s="379"/>
      <c r="AV4154" s="379"/>
      <c r="AW4154" s="379"/>
      <c r="AX4154" s="379"/>
      <c r="AY4154" s="379"/>
      <c r="AZ4154" s="379"/>
      <c r="BA4154" s="379"/>
      <c r="BB4154" s="379"/>
      <c r="BC4154" s="379"/>
      <c r="BD4154" s="379"/>
      <c r="BE4154" s="379"/>
      <c r="BF4154" s="379"/>
      <c r="BG4154" s="379"/>
      <c r="BH4154" s="379"/>
      <c r="BI4154" s="379"/>
      <c r="BJ4154" s="379"/>
      <c r="BK4154" s="379"/>
      <c r="BL4154" s="379"/>
      <c r="BM4154" s="379"/>
      <c r="BN4154" s="379"/>
      <c r="BO4154" s="379"/>
      <c r="BP4154" s="379"/>
      <c r="BQ4154" s="379"/>
      <c r="BR4154" s="379"/>
      <c r="BS4154" s="379"/>
      <c r="BT4154" s="379"/>
      <c r="BU4154" s="379"/>
      <c r="BV4154" s="379"/>
      <c r="BW4154" s="379"/>
      <c r="BX4154" s="379"/>
      <c r="BY4154" s="379"/>
    </row>
    <row r="4155" spans="1:77" s="6" customFormat="1" ht="11.25" customHeight="1">
      <c r="A4155" s="379"/>
      <c r="B4155" s="403" t="s">
        <v>291</v>
      </c>
      <c r="C4155" s="381"/>
      <c r="D4155" s="381"/>
      <c r="E4155" s="382" t="s">
        <v>3267</v>
      </c>
      <c r="F4155" s="379" t="s">
        <v>1625</v>
      </c>
      <c r="G4155" s="383">
        <v>4122</v>
      </c>
      <c r="H4155" s="379" t="s">
        <v>765</v>
      </c>
      <c r="I4155" s="379" t="s">
        <v>111</v>
      </c>
      <c r="J4155" s="385">
        <v>14144.4</v>
      </c>
      <c r="K4155" s="384"/>
      <c r="L4155" s="385">
        <v>13.75</v>
      </c>
      <c r="M4155" s="385">
        <v>13.75</v>
      </c>
      <c r="N4155" s="386"/>
      <c r="O4155" s="387">
        <v>0.15</v>
      </c>
      <c r="P4155" s="387"/>
      <c r="Q4155" s="386">
        <v>0</v>
      </c>
      <c r="R4155" s="379" t="s">
        <v>73</v>
      </c>
      <c r="S4155" s="388" t="s">
        <v>74</v>
      </c>
      <c r="T4155" s="388">
        <v>31</v>
      </c>
      <c r="U4155" s="389" t="s">
        <v>164</v>
      </c>
      <c r="V4155" s="433"/>
      <c r="W4155" s="379"/>
      <c r="X4155" s="386">
        <v>0</v>
      </c>
      <c r="Y4155" s="386"/>
      <c r="Z4155" s="379"/>
      <c r="AA4155" s="379"/>
      <c r="AB4155" s="379"/>
      <c r="AC4155" s="379"/>
      <c r="AD4155" s="379"/>
      <c r="AE4155" s="379"/>
      <c r="AF4155" s="379"/>
      <c r="AG4155" s="379"/>
      <c r="AH4155" s="379"/>
      <c r="AI4155" s="379"/>
      <c r="AJ4155" s="390">
        <v>0</v>
      </c>
      <c r="AK4155" s="379"/>
      <c r="AL4155" s="379"/>
      <c r="AM4155" s="379"/>
      <c r="AN4155" s="379"/>
      <c r="AO4155" s="379"/>
      <c r="AP4155" s="379"/>
      <c r="AQ4155" s="379"/>
      <c r="AR4155" s="379"/>
      <c r="AS4155" s="379"/>
      <c r="AT4155" s="379"/>
      <c r="AU4155" s="379"/>
      <c r="AV4155" s="379"/>
      <c r="AW4155" s="379"/>
      <c r="AX4155" s="379"/>
      <c r="AY4155" s="379"/>
      <c r="AZ4155" s="379"/>
      <c r="BA4155" s="379"/>
      <c r="BB4155" s="379"/>
      <c r="BC4155" s="379"/>
      <c r="BD4155" s="379"/>
      <c r="BE4155" s="379"/>
      <c r="BF4155" s="379"/>
      <c r="BG4155" s="379"/>
      <c r="BH4155" s="379"/>
      <c r="BI4155" s="379"/>
      <c r="BJ4155" s="379"/>
      <c r="BK4155" s="379"/>
      <c r="BL4155" s="379"/>
      <c r="BM4155" s="379"/>
      <c r="BN4155" s="379"/>
      <c r="BO4155" s="379"/>
      <c r="BP4155" s="379"/>
      <c r="BQ4155" s="379"/>
      <c r="BR4155" s="379"/>
      <c r="BS4155" s="379"/>
      <c r="BT4155" s="379"/>
      <c r="BU4155" s="379"/>
      <c r="BV4155" s="379"/>
      <c r="BW4155" s="379"/>
      <c r="BX4155" s="379"/>
      <c r="BY4155" s="379"/>
    </row>
    <row r="4156" spans="1:77" s="507" customFormat="1" ht="11.25" customHeight="1">
      <c r="B4156" s="507" t="s">
        <v>291</v>
      </c>
      <c r="C4156" s="509">
        <v>44782</v>
      </c>
      <c r="D4156" s="509">
        <v>44782</v>
      </c>
      <c r="E4156" s="510" t="s">
        <v>3268</v>
      </c>
      <c r="F4156" s="507" t="s">
        <v>1542</v>
      </c>
      <c r="G4156" s="521" t="s">
        <v>1543</v>
      </c>
      <c r="H4156" s="507" t="s">
        <v>866</v>
      </c>
      <c r="I4156" s="507" t="s">
        <v>958</v>
      </c>
      <c r="J4156" s="513">
        <v>12949.74</v>
      </c>
      <c r="K4156" s="512"/>
      <c r="L4156" s="513">
        <v>7.35</v>
      </c>
      <c r="M4156" s="513">
        <v>7.35</v>
      </c>
      <c r="N4156" s="514">
        <v>3884.92</v>
      </c>
      <c r="O4156" s="515">
        <v>0.15</v>
      </c>
      <c r="P4156" s="515"/>
      <c r="Q4156" s="514">
        <v>4695.17</v>
      </c>
      <c r="R4156" s="507" t="s">
        <v>112</v>
      </c>
      <c r="S4156" s="516" t="s">
        <v>113</v>
      </c>
      <c r="T4156" s="516">
        <v>64</v>
      </c>
      <c r="U4156" s="517" t="s">
        <v>164</v>
      </c>
      <c r="V4156" s="518"/>
      <c r="X4156" s="514">
        <v>4695.17</v>
      </c>
      <c r="Y4156" s="514"/>
      <c r="AJ4156" s="522"/>
      <c r="AL4156" s="514">
        <v>4695.17</v>
      </c>
    </row>
    <row r="4157" spans="1:77" s="507" customFormat="1" ht="11.25" customHeight="1">
      <c r="B4157" s="507" t="s">
        <v>291</v>
      </c>
      <c r="C4157" s="509"/>
      <c r="D4157" s="509"/>
      <c r="E4157" s="510" t="s">
        <v>3268</v>
      </c>
      <c r="F4157" s="507" t="s">
        <v>1542</v>
      </c>
      <c r="G4157" s="521" t="s">
        <v>1543</v>
      </c>
      <c r="H4157" s="507" t="s">
        <v>765</v>
      </c>
      <c r="I4157" s="507" t="s">
        <v>958</v>
      </c>
      <c r="J4157" s="513">
        <v>27676.14</v>
      </c>
      <c r="K4157" s="512"/>
      <c r="L4157" s="513">
        <v>19.829999999999998</v>
      </c>
      <c r="M4157" s="513">
        <v>19.829999999999998</v>
      </c>
      <c r="N4157" s="514">
        <v>5076.75</v>
      </c>
      <c r="O4157" s="515">
        <v>0.15</v>
      </c>
      <c r="P4157" s="515"/>
      <c r="Q4157" s="514">
        <v>12284.11</v>
      </c>
      <c r="R4157" s="507" t="s">
        <v>112</v>
      </c>
      <c r="S4157" s="516" t="s">
        <v>113</v>
      </c>
      <c r="T4157" s="516">
        <v>64</v>
      </c>
      <c r="U4157" s="517" t="s">
        <v>164</v>
      </c>
      <c r="V4157" s="518">
        <v>400</v>
      </c>
      <c r="X4157" s="514">
        <v>12284.11</v>
      </c>
      <c r="Y4157" s="514"/>
      <c r="AJ4157" s="522"/>
      <c r="AL4157" s="514">
        <v>12284.11</v>
      </c>
    </row>
    <row r="4158" spans="1:77" s="6" customFormat="1" ht="11.25" customHeight="1">
      <c r="A4158" s="546"/>
      <c r="B4158" s="546" t="s">
        <v>291</v>
      </c>
      <c r="C4158" s="547"/>
      <c r="D4158" s="547"/>
      <c r="E4158" s="548" t="s">
        <v>3269</v>
      </c>
      <c r="F4158" s="546" t="s">
        <v>3271</v>
      </c>
      <c r="G4158" s="549" t="s">
        <v>3270</v>
      </c>
      <c r="H4158" s="546" t="s">
        <v>866</v>
      </c>
      <c r="I4158" s="546" t="s">
        <v>958</v>
      </c>
      <c r="J4158" s="550">
        <v>95054.399999999994</v>
      </c>
      <c r="K4158" s="551"/>
      <c r="L4158" s="550">
        <v>56</v>
      </c>
      <c r="M4158" s="550">
        <v>56</v>
      </c>
      <c r="N4158" s="552">
        <v>44307.23</v>
      </c>
      <c r="O4158" s="553">
        <v>0.25</v>
      </c>
      <c r="P4158" s="553"/>
      <c r="Q4158" s="552">
        <v>13028.4</v>
      </c>
      <c r="R4158" s="546" t="s">
        <v>112</v>
      </c>
      <c r="S4158" s="554" t="s">
        <v>113</v>
      </c>
      <c r="T4158" s="554">
        <v>64</v>
      </c>
      <c r="U4158" s="555" t="s">
        <v>164</v>
      </c>
      <c r="V4158" s="556"/>
      <c r="W4158" s="546"/>
      <c r="X4158" s="552">
        <v>13028.4</v>
      </c>
      <c r="Y4158" s="552"/>
      <c r="Z4158" s="546"/>
      <c r="AA4158" s="546"/>
      <c r="AB4158" s="546"/>
      <c r="AC4158" s="546"/>
      <c r="AD4158" s="546"/>
      <c r="AE4158" s="546"/>
      <c r="AF4158" s="546"/>
      <c r="AG4158" s="546"/>
      <c r="AH4158" s="546"/>
      <c r="AI4158" s="546"/>
      <c r="AJ4158" s="557"/>
      <c r="AK4158" s="546"/>
      <c r="AL4158" s="546"/>
      <c r="AM4158" s="577">
        <v>13028.4</v>
      </c>
      <c r="AN4158" s="546"/>
      <c r="AO4158" s="546"/>
      <c r="AP4158" s="546"/>
      <c r="AQ4158" s="546"/>
      <c r="AR4158" s="546"/>
      <c r="AS4158" s="546"/>
      <c r="AT4158" s="546"/>
      <c r="AU4158" s="546"/>
      <c r="AV4158" s="546"/>
      <c r="AW4158" s="546"/>
      <c r="AX4158" s="546"/>
      <c r="AY4158" s="546"/>
      <c r="AZ4158" s="546"/>
      <c r="BA4158" s="546"/>
      <c r="BB4158" s="546"/>
      <c r="BC4158" s="546"/>
      <c r="BD4158" s="546"/>
      <c r="BE4158" s="546"/>
      <c r="BF4158" s="546"/>
      <c r="BG4158" s="546"/>
      <c r="BH4158" s="546"/>
      <c r="BI4158" s="546"/>
      <c r="BJ4158" s="546"/>
      <c r="BK4158" s="546"/>
      <c r="BL4158" s="546"/>
      <c r="BM4158" s="546"/>
      <c r="BN4158" s="546"/>
      <c r="BO4158" s="546"/>
      <c r="BP4158" s="546"/>
      <c r="BQ4158" s="546"/>
      <c r="BR4158" s="546"/>
      <c r="BS4158" s="546"/>
      <c r="BT4158" s="546"/>
      <c r="BU4158" s="546"/>
      <c r="BV4158" s="546"/>
      <c r="BW4158" s="546"/>
      <c r="BX4158" s="546"/>
      <c r="BY4158" s="546"/>
    </row>
    <row r="4159" spans="1:77" s="546" customFormat="1" ht="11.25" customHeight="1">
      <c r="B4159" s="546" t="s">
        <v>291</v>
      </c>
      <c r="C4159" s="547"/>
      <c r="D4159" s="547"/>
      <c r="E4159" s="548" t="s">
        <v>3269</v>
      </c>
      <c r="F4159" s="546" t="s">
        <v>3271</v>
      </c>
      <c r="G4159" s="549" t="s">
        <v>3270</v>
      </c>
      <c r="H4159" s="546" t="s">
        <v>814</v>
      </c>
      <c r="I4159" s="546" t="s">
        <v>958</v>
      </c>
      <c r="J4159" s="550">
        <v>14175</v>
      </c>
      <c r="K4159" s="551"/>
      <c r="L4159" s="550">
        <v>15</v>
      </c>
      <c r="M4159" s="550">
        <v>15</v>
      </c>
      <c r="N4159" s="552">
        <v>7796.25</v>
      </c>
      <c r="O4159" s="553">
        <v>0.25</v>
      </c>
      <c r="P4159" s="553"/>
      <c r="Q4159" s="552">
        <v>4278.75</v>
      </c>
      <c r="R4159" s="546" t="s">
        <v>112</v>
      </c>
      <c r="S4159" s="554" t="s">
        <v>113</v>
      </c>
      <c r="T4159" s="554">
        <v>64</v>
      </c>
      <c r="U4159" s="555" t="s">
        <v>164</v>
      </c>
      <c r="V4159" s="556"/>
      <c r="X4159" s="552">
        <v>4278.75</v>
      </c>
      <c r="Y4159" s="552"/>
      <c r="AJ4159" s="557"/>
      <c r="AM4159" s="577">
        <v>4278.75</v>
      </c>
    </row>
    <row r="4160" spans="1:77" s="546" customFormat="1" ht="11.25" customHeight="1">
      <c r="A4160" s="379"/>
      <c r="B4160" s="403" t="s">
        <v>291</v>
      </c>
      <c r="C4160" s="381">
        <v>44782</v>
      </c>
      <c r="D4160" s="381">
        <v>44782</v>
      </c>
      <c r="E4160" s="382" t="s">
        <v>3269</v>
      </c>
      <c r="F4160" s="379" t="s">
        <v>3271</v>
      </c>
      <c r="G4160" s="383" t="s">
        <v>3270</v>
      </c>
      <c r="H4160" s="379" t="s">
        <v>910</v>
      </c>
      <c r="I4160" s="379" t="s">
        <v>958</v>
      </c>
      <c r="J4160" s="385">
        <v>302464.8</v>
      </c>
      <c r="K4160" s="384"/>
      <c r="L4160" s="385">
        <v>134</v>
      </c>
      <c r="M4160" s="385">
        <v>134</v>
      </c>
      <c r="N4160" s="386"/>
      <c r="O4160" s="387">
        <v>0.25</v>
      </c>
      <c r="P4160" s="387"/>
      <c r="Q4160" s="386">
        <v>0</v>
      </c>
      <c r="R4160" s="379" t="s">
        <v>112</v>
      </c>
      <c r="S4160" s="388" t="s">
        <v>113</v>
      </c>
      <c r="T4160" s="388">
        <v>64</v>
      </c>
      <c r="U4160" s="389" t="s">
        <v>164</v>
      </c>
      <c r="V4160" s="433"/>
      <c r="W4160" s="379"/>
      <c r="X4160" s="386">
        <v>0</v>
      </c>
      <c r="Y4160" s="386"/>
      <c r="Z4160" s="379"/>
      <c r="AA4160" s="379"/>
      <c r="AB4160" s="379"/>
      <c r="AC4160" s="379"/>
      <c r="AD4160" s="379"/>
      <c r="AE4160" s="379"/>
      <c r="AF4160" s="379"/>
      <c r="AG4160" s="379"/>
      <c r="AH4160" s="379"/>
      <c r="AI4160" s="379"/>
      <c r="AJ4160" s="390">
        <v>0</v>
      </c>
      <c r="AK4160" s="379"/>
      <c r="AL4160" s="379"/>
      <c r="AM4160" s="379"/>
      <c r="AN4160" s="379"/>
      <c r="AO4160" s="379"/>
      <c r="AP4160" s="379"/>
      <c r="AQ4160" s="379"/>
      <c r="AR4160" s="379"/>
      <c r="AS4160" s="379"/>
      <c r="AT4160" s="379"/>
      <c r="AU4160" s="379"/>
      <c r="AV4160" s="379"/>
      <c r="AW4160" s="379"/>
      <c r="AX4160" s="379"/>
      <c r="AY4160" s="379"/>
      <c r="AZ4160" s="379"/>
      <c r="BA4160" s="379"/>
      <c r="BB4160" s="379"/>
      <c r="BC4160" s="379"/>
      <c r="BD4160" s="379"/>
      <c r="BE4160" s="379"/>
      <c r="BF4160" s="379"/>
      <c r="BG4160" s="379"/>
      <c r="BH4160" s="379"/>
      <c r="BI4160" s="379"/>
      <c r="BJ4160" s="379"/>
      <c r="BK4160" s="379"/>
      <c r="BL4160" s="379"/>
      <c r="BM4160" s="379"/>
      <c r="BN4160" s="379"/>
      <c r="BO4160" s="379"/>
      <c r="BP4160" s="379"/>
      <c r="BQ4160" s="379"/>
      <c r="BR4160" s="379"/>
      <c r="BS4160" s="379"/>
      <c r="BT4160" s="379"/>
      <c r="BU4160" s="379"/>
      <c r="BV4160" s="379"/>
      <c r="BW4160" s="379"/>
      <c r="BX4160" s="379"/>
      <c r="BY4160" s="379"/>
    </row>
    <row r="4161" spans="1:77" s="337" customFormat="1" ht="11.25" customHeight="1">
      <c r="B4161" s="338" t="s">
        <v>291</v>
      </c>
      <c r="C4161" s="349">
        <v>44756</v>
      </c>
      <c r="D4161" s="349">
        <v>44782</v>
      </c>
      <c r="E4161" s="350" t="s">
        <v>3272</v>
      </c>
      <c r="F4161" s="337" t="s">
        <v>1068</v>
      </c>
      <c r="G4161" s="351">
        <v>4163</v>
      </c>
      <c r="H4161" s="337" t="s">
        <v>910</v>
      </c>
      <c r="I4161" s="337" t="s">
        <v>111</v>
      </c>
      <c r="J4161" s="352">
        <v>51324.74</v>
      </c>
      <c r="K4161" s="353"/>
      <c r="L4161" s="352">
        <v>28.49</v>
      </c>
      <c r="M4161" s="352">
        <v>28.49</v>
      </c>
      <c r="N4161" s="354"/>
      <c r="O4161" s="355">
        <v>0.2</v>
      </c>
      <c r="P4161" s="355"/>
      <c r="Q4161" s="354">
        <v>0</v>
      </c>
      <c r="R4161" s="337" t="s">
        <v>128</v>
      </c>
      <c r="S4161" s="356" t="s">
        <v>41</v>
      </c>
      <c r="T4161" s="356">
        <v>86</v>
      </c>
      <c r="U4161" s="357" t="s">
        <v>164</v>
      </c>
      <c r="V4161" s="434"/>
      <c r="X4161" s="354">
        <v>0</v>
      </c>
      <c r="Y4161" s="354"/>
      <c r="AI4161" s="337">
        <f>X4161</f>
        <v>0</v>
      </c>
      <c r="AJ4161" s="358"/>
      <c r="AK4161" s="369"/>
      <c r="AL4161" s="341"/>
      <c r="AM4161" s="341"/>
      <c r="AN4161" s="341"/>
      <c r="AO4161" s="341"/>
      <c r="AP4161" s="341"/>
      <c r="AQ4161" s="341"/>
      <c r="AR4161" s="341"/>
      <c r="AS4161" s="341"/>
      <c r="AT4161" s="341"/>
      <c r="AU4161" s="341"/>
      <c r="AV4161" s="341"/>
      <c r="AW4161" s="341"/>
      <c r="AX4161" s="341"/>
      <c r="AY4161" s="341"/>
      <c r="AZ4161" s="341"/>
      <c r="BA4161" s="341"/>
      <c r="BB4161" s="341"/>
      <c r="BC4161" s="341"/>
      <c r="BD4161" s="341"/>
      <c r="BE4161" s="341"/>
      <c r="BF4161" s="341"/>
      <c r="BG4161" s="341"/>
      <c r="BH4161" s="341"/>
      <c r="BI4161" s="341"/>
      <c r="BJ4161" s="341"/>
      <c r="BK4161" s="341"/>
      <c r="BL4161" s="341"/>
      <c r="BM4161" s="341"/>
      <c r="BN4161" s="341"/>
      <c r="BO4161" s="341"/>
      <c r="BP4161" s="341"/>
      <c r="BQ4161" s="341"/>
      <c r="BR4161" s="341"/>
      <c r="BS4161" s="341"/>
      <c r="BT4161" s="341"/>
      <c r="BU4161" s="341"/>
      <c r="BV4161" s="341"/>
      <c r="BW4161" s="341"/>
      <c r="BX4161" s="341"/>
      <c r="BY4161" s="341"/>
    </row>
    <row r="4162" spans="1:77" s="261" customFormat="1" ht="11.25" customHeight="1">
      <c r="B4162" s="261" t="s">
        <v>291</v>
      </c>
      <c r="C4162" s="259">
        <v>44782</v>
      </c>
      <c r="D4162" s="259">
        <v>44782</v>
      </c>
      <c r="E4162" s="260" t="s">
        <v>3273</v>
      </c>
      <c r="F4162" s="261" t="s">
        <v>3274</v>
      </c>
      <c r="G4162" s="262" t="s">
        <v>3275</v>
      </c>
      <c r="H4162" s="261" t="s">
        <v>910</v>
      </c>
      <c r="I4162" s="261" t="s">
        <v>958</v>
      </c>
      <c r="J4162" s="263">
        <v>91266.12</v>
      </c>
      <c r="K4162" s="264"/>
      <c r="L4162" s="263">
        <v>36.39</v>
      </c>
      <c r="M4162" s="263">
        <v>36.39</v>
      </c>
      <c r="N4162" s="265"/>
      <c r="O4162" s="266">
        <v>0.25</v>
      </c>
      <c r="P4162" s="266"/>
      <c r="Q4162" s="265">
        <v>0</v>
      </c>
      <c r="R4162" s="261" t="s">
        <v>112</v>
      </c>
      <c r="S4162" s="267" t="s">
        <v>113</v>
      </c>
      <c r="T4162" s="267">
        <v>64</v>
      </c>
      <c r="U4162" s="268" t="s">
        <v>164</v>
      </c>
      <c r="V4162" s="427"/>
      <c r="X4162" s="265">
        <v>0</v>
      </c>
      <c r="Y4162" s="265"/>
      <c r="AG4162" s="261">
        <f>X4162</f>
        <v>0</v>
      </c>
      <c r="AJ4162" s="642"/>
    </row>
    <row r="4163" spans="1:77" s="6" customFormat="1" ht="11.25" customHeight="1">
      <c r="A4163" s="379"/>
      <c r="B4163" s="380" t="s">
        <v>291</v>
      </c>
      <c r="C4163" s="381"/>
      <c r="D4163" s="381"/>
      <c r="E4163" s="382" t="s">
        <v>3273</v>
      </c>
      <c r="F4163" s="379" t="s">
        <v>3274</v>
      </c>
      <c r="G4163" s="383" t="s">
        <v>3275</v>
      </c>
      <c r="H4163" s="379" t="s">
        <v>866</v>
      </c>
      <c r="I4163" s="379" t="s">
        <v>958</v>
      </c>
      <c r="J4163" s="385">
        <v>33784.400000000001</v>
      </c>
      <c r="K4163" s="384"/>
      <c r="L4163" s="385">
        <v>17.8</v>
      </c>
      <c r="M4163" s="385">
        <v>17.8</v>
      </c>
      <c r="N4163" s="386"/>
      <c r="O4163" s="387">
        <v>0.25</v>
      </c>
      <c r="P4163" s="387"/>
      <c r="Q4163" s="386">
        <v>0</v>
      </c>
      <c r="R4163" s="379" t="s">
        <v>112</v>
      </c>
      <c r="S4163" s="388" t="s">
        <v>113</v>
      </c>
      <c r="T4163" s="388">
        <v>64</v>
      </c>
      <c r="U4163" s="389" t="s">
        <v>164</v>
      </c>
      <c r="V4163" s="433"/>
      <c r="W4163" s="379"/>
      <c r="X4163" s="386">
        <v>0</v>
      </c>
      <c r="Y4163" s="386"/>
      <c r="Z4163" s="379"/>
      <c r="AA4163" s="379"/>
      <c r="AB4163" s="379"/>
      <c r="AC4163" s="379"/>
      <c r="AD4163" s="379"/>
      <c r="AE4163" s="379"/>
      <c r="AF4163" s="379"/>
      <c r="AG4163" s="379"/>
      <c r="AH4163" s="379"/>
      <c r="AI4163" s="379"/>
      <c r="AJ4163" s="390">
        <v>0</v>
      </c>
      <c r="AK4163" s="379"/>
      <c r="AL4163" s="379"/>
      <c r="AM4163" s="379"/>
      <c r="AN4163" s="379"/>
      <c r="AO4163" s="379"/>
      <c r="AP4163" s="379"/>
      <c r="AQ4163" s="379"/>
      <c r="AR4163" s="379"/>
      <c r="AS4163" s="379"/>
      <c r="AT4163" s="379"/>
      <c r="AU4163" s="379"/>
      <c r="AV4163" s="379"/>
      <c r="AW4163" s="379"/>
      <c r="AX4163" s="379"/>
      <c r="AY4163" s="379"/>
      <c r="AZ4163" s="379"/>
      <c r="BA4163" s="379"/>
      <c r="BB4163" s="379"/>
      <c r="BC4163" s="379"/>
      <c r="BD4163" s="379"/>
      <c r="BE4163" s="379"/>
      <c r="BF4163" s="379"/>
      <c r="BG4163" s="379"/>
      <c r="BH4163" s="379"/>
      <c r="BI4163" s="379"/>
      <c r="BJ4163" s="379"/>
      <c r="BK4163" s="379"/>
      <c r="BL4163" s="379"/>
      <c r="BM4163" s="379"/>
      <c r="BN4163" s="379"/>
      <c r="BO4163" s="379"/>
      <c r="BP4163" s="379"/>
      <c r="BQ4163" s="379"/>
      <c r="BR4163" s="379"/>
      <c r="BS4163" s="379"/>
      <c r="BT4163" s="379"/>
      <c r="BU4163" s="379"/>
      <c r="BV4163" s="379"/>
      <c r="BW4163" s="379"/>
      <c r="BX4163" s="379"/>
      <c r="BY4163" s="379"/>
    </row>
    <row r="4164" spans="1:77" s="507" customFormat="1" ht="11.25" customHeight="1">
      <c r="B4164" s="507" t="s">
        <v>291</v>
      </c>
      <c r="C4164" s="509">
        <v>44782</v>
      </c>
      <c r="D4164" s="509">
        <v>44782</v>
      </c>
      <c r="E4164" s="510" t="s">
        <v>3276</v>
      </c>
      <c r="F4164" s="507" t="s">
        <v>3277</v>
      </c>
      <c r="G4164" s="521" t="s">
        <v>3278</v>
      </c>
      <c r="H4164" s="507" t="s">
        <v>2171</v>
      </c>
      <c r="I4164" s="507" t="s">
        <v>888</v>
      </c>
      <c r="J4164" s="513">
        <v>40723.199999999997</v>
      </c>
      <c r="K4164" s="512"/>
      <c r="L4164" s="513">
        <v>32</v>
      </c>
      <c r="M4164" s="513">
        <v>32</v>
      </c>
      <c r="N4164" s="514">
        <f>8280.1719+9995.89122+2634.282</f>
        <v>20910.345119999998</v>
      </c>
      <c r="O4164" s="515">
        <v>0.2</v>
      </c>
      <c r="P4164" s="515"/>
      <c r="Q4164" s="514">
        <v>19644.66</v>
      </c>
      <c r="R4164" s="507" t="s">
        <v>251</v>
      </c>
      <c r="S4164" s="516" t="s">
        <v>150</v>
      </c>
      <c r="T4164" s="516">
        <v>32</v>
      </c>
      <c r="U4164" s="517" t="s">
        <v>164</v>
      </c>
      <c r="V4164" s="518"/>
      <c r="X4164" s="514">
        <v>19644.66</v>
      </c>
      <c r="Y4164" s="514"/>
      <c r="AI4164" s="514">
        <v>15572.34</v>
      </c>
      <c r="AJ4164" s="522"/>
      <c r="AK4164" s="540"/>
      <c r="AL4164" s="540">
        <f>X4164-AI4164</f>
        <v>4072.3199999999997</v>
      </c>
    </row>
    <row r="4165" spans="1:77" s="507" customFormat="1" ht="11.25" customHeight="1">
      <c r="B4165" s="508" t="s">
        <v>291</v>
      </c>
      <c r="C4165" s="509"/>
      <c r="D4165" s="509"/>
      <c r="E4165" s="510" t="s">
        <v>3276</v>
      </c>
      <c r="F4165" s="507" t="s">
        <v>3277</v>
      </c>
      <c r="G4165" s="521" t="s">
        <v>3278</v>
      </c>
      <c r="H4165" s="507" t="s">
        <v>866</v>
      </c>
      <c r="I4165" s="507" t="s">
        <v>888</v>
      </c>
      <c r="J4165" s="513">
        <v>7226.6</v>
      </c>
      <c r="K4165" s="512"/>
      <c r="L4165" s="513">
        <v>4.74</v>
      </c>
      <c r="M4165" s="513">
        <v>4.74</v>
      </c>
      <c r="N4165" s="514">
        <v>4046.89824</v>
      </c>
      <c r="O4165" s="515">
        <v>0.2</v>
      </c>
      <c r="P4165" s="515"/>
      <c r="Q4165" s="514">
        <v>3486.18</v>
      </c>
      <c r="R4165" s="507" t="s">
        <v>251</v>
      </c>
      <c r="S4165" s="516" t="s">
        <v>150</v>
      </c>
      <c r="T4165" s="516">
        <v>32</v>
      </c>
      <c r="U4165" s="517" t="s">
        <v>164</v>
      </c>
      <c r="V4165" s="518"/>
      <c r="X4165" s="514">
        <v>3486.18</v>
      </c>
      <c r="Y4165" s="514"/>
      <c r="AI4165" s="514">
        <v>2763.51</v>
      </c>
      <c r="AJ4165" s="522"/>
      <c r="AK4165" s="540"/>
      <c r="AL4165" s="540">
        <f>X4165-AI4165</f>
        <v>722.66999999999962</v>
      </c>
    </row>
    <row r="4166" spans="1:77" s="337" customFormat="1" ht="11.25" customHeight="1">
      <c r="B4166" s="338" t="s">
        <v>291</v>
      </c>
      <c r="C4166" s="349"/>
      <c r="D4166" s="349"/>
      <c r="E4166" s="350" t="s">
        <v>3276</v>
      </c>
      <c r="F4166" s="337" t="s">
        <v>3277</v>
      </c>
      <c r="G4166" s="351" t="s">
        <v>3278</v>
      </c>
      <c r="H4166" s="337" t="s">
        <v>2267</v>
      </c>
      <c r="I4166" s="337" t="s">
        <v>3279</v>
      </c>
      <c r="J4166" s="352">
        <v>125474.4</v>
      </c>
      <c r="K4166" s="353"/>
      <c r="L4166" s="352">
        <v>74</v>
      </c>
      <c r="M4166" s="352">
        <v>74</v>
      </c>
      <c r="N4166" s="354">
        <v>16969.5648</v>
      </c>
      <c r="O4166" s="355">
        <v>0.2</v>
      </c>
      <c r="P4166" s="355"/>
      <c r="Q4166" s="354">
        <v>0</v>
      </c>
      <c r="R4166" s="337" t="s">
        <v>251</v>
      </c>
      <c r="S4166" s="356" t="s">
        <v>150</v>
      </c>
      <c r="T4166" s="356">
        <v>32</v>
      </c>
      <c r="U4166" s="357" t="s">
        <v>164</v>
      </c>
      <c r="V4166" s="434"/>
      <c r="X4166" s="354">
        <v>0</v>
      </c>
      <c r="Y4166" s="354"/>
      <c r="AI4166" s="337">
        <v>0</v>
      </c>
      <c r="AJ4166" s="358"/>
      <c r="AK4166" s="369"/>
    </row>
    <row r="4167" spans="1:77" s="291" customFormat="1" ht="11.25" customHeight="1">
      <c r="B4167" s="310" t="s">
        <v>291</v>
      </c>
      <c r="C4167" s="292">
        <v>44782</v>
      </c>
      <c r="D4167" s="292">
        <v>44782</v>
      </c>
      <c r="E4167" s="293" t="s">
        <v>3280</v>
      </c>
      <c r="F4167" s="291" t="s">
        <v>3281</v>
      </c>
      <c r="G4167" s="294" t="s">
        <v>3282</v>
      </c>
      <c r="H4167" s="291" t="s">
        <v>898</v>
      </c>
      <c r="I4167" s="291" t="s">
        <v>958</v>
      </c>
      <c r="J4167" s="296">
        <v>29250</v>
      </c>
      <c r="K4167" s="295"/>
      <c r="L4167" s="296">
        <v>25</v>
      </c>
      <c r="M4167" s="296">
        <v>22</v>
      </c>
      <c r="N4167" s="297">
        <v>10638.81</v>
      </c>
      <c r="O4167" s="298">
        <v>0.2</v>
      </c>
      <c r="P4167" s="298"/>
      <c r="Q4167" s="297">
        <v>0</v>
      </c>
      <c r="R4167" s="291" t="s">
        <v>54</v>
      </c>
      <c r="S4167" s="299" t="s">
        <v>51</v>
      </c>
      <c r="T4167" s="299">
        <v>55</v>
      </c>
      <c r="U4167" s="300" t="s">
        <v>164</v>
      </c>
      <c r="V4167" s="333"/>
      <c r="X4167" s="297">
        <v>0</v>
      </c>
      <c r="Y4167" s="297"/>
      <c r="AH4167" s="291">
        <f>X4167</f>
        <v>0</v>
      </c>
      <c r="AI4167" s="311"/>
      <c r="AJ4167" s="468"/>
    </row>
    <row r="4168" spans="1:77" s="291" customFormat="1" ht="11.25" customHeight="1">
      <c r="A4168" s="291" t="s">
        <v>3893</v>
      </c>
      <c r="B4168" s="310" t="s">
        <v>291</v>
      </c>
      <c r="C4168" s="292">
        <v>44782</v>
      </c>
      <c r="D4168" s="292">
        <v>44782</v>
      </c>
      <c r="E4168" s="293" t="s">
        <v>3283</v>
      </c>
      <c r="F4168" s="303" t="s">
        <v>489</v>
      </c>
      <c r="G4168" s="304">
        <v>3602</v>
      </c>
      <c r="H4168" s="291" t="s">
        <v>765</v>
      </c>
      <c r="I4168" s="291" t="s">
        <v>33</v>
      </c>
      <c r="J4168" s="296">
        <v>10982.3</v>
      </c>
      <c r="K4168" s="295"/>
      <c r="L4168" s="296">
        <v>12.96</v>
      </c>
      <c r="M4168" s="296">
        <v>12.96</v>
      </c>
      <c r="N4168" s="297"/>
      <c r="O4168" s="307">
        <v>0.15</v>
      </c>
      <c r="P4168" s="298"/>
      <c r="Q4168" s="297">
        <v>0</v>
      </c>
      <c r="R4168" s="291" t="s">
        <v>35</v>
      </c>
      <c r="S4168" s="299" t="s">
        <v>41</v>
      </c>
      <c r="T4168" s="299">
        <v>16</v>
      </c>
      <c r="U4168" s="300" t="s">
        <v>164</v>
      </c>
      <c r="V4168" s="333"/>
      <c r="X4168" s="297">
        <v>0</v>
      </c>
      <c r="Y4168" s="297"/>
      <c r="AH4168" s="291">
        <f>X4168</f>
        <v>0</v>
      </c>
      <c r="AI4168" s="311"/>
      <c r="AJ4168" s="468"/>
    </row>
    <row r="4169" spans="1:77" s="337" customFormat="1" ht="11.25" customHeight="1">
      <c r="B4169" s="337" t="s">
        <v>291</v>
      </c>
      <c r="C4169" s="349">
        <v>44782</v>
      </c>
      <c r="D4169" s="349">
        <v>44782</v>
      </c>
      <c r="E4169" s="350" t="s">
        <v>3284</v>
      </c>
      <c r="F4169" s="337" t="s">
        <v>2611</v>
      </c>
      <c r="G4169" s="351" t="s">
        <v>2612</v>
      </c>
      <c r="H4169" s="337" t="s">
        <v>866</v>
      </c>
      <c r="I4169" s="337" t="s">
        <v>33</v>
      </c>
      <c r="J4169" s="352">
        <v>25013.48</v>
      </c>
      <c r="K4169" s="353"/>
      <c r="L4169" s="352">
        <v>15.04</v>
      </c>
      <c r="M4169" s="352">
        <v>15.04</v>
      </c>
      <c r="N4169" s="354">
        <v>11058</v>
      </c>
      <c r="O4169" s="355">
        <v>0.15</v>
      </c>
      <c r="P4169" s="355"/>
      <c r="Q4169" s="354">
        <v>4626.66</v>
      </c>
      <c r="R4169" s="337" t="s">
        <v>112</v>
      </c>
      <c r="S4169" s="356" t="s">
        <v>113</v>
      </c>
      <c r="T4169" s="356">
        <v>64</v>
      </c>
      <c r="U4169" s="357" t="s">
        <v>164</v>
      </c>
      <c r="V4169" s="434"/>
      <c r="X4169" s="354">
        <v>4626.66</v>
      </c>
      <c r="Y4169" s="354"/>
      <c r="AI4169" s="354">
        <v>4626.66</v>
      </c>
      <c r="AJ4169" s="358"/>
      <c r="AK4169" s="369"/>
      <c r="AL4169" s="341"/>
      <c r="AM4169" s="341"/>
      <c r="AN4169" s="341"/>
      <c r="AO4169" s="341"/>
      <c r="AP4169" s="341"/>
      <c r="AQ4169" s="341"/>
      <c r="AR4169" s="341"/>
      <c r="AS4169" s="341"/>
      <c r="AT4169" s="341"/>
      <c r="AU4169" s="341"/>
      <c r="AV4169" s="341"/>
      <c r="AW4169" s="341"/>
      <c r="AX4169" s="341"/>
      <c r="AY4169" s="341"/>
      <c r="AZ4169" s="341"/>
      <c r="BA4169" s="341"/>
      <c r="BB4169" s="341"/>
      <c r="BC4169" s="341"/>
      <c r="BD4169" s="341"/>
      <c r="BE4169" s="341"/>
      <c r="BF4169" s="341"/>
      <c r="BG4169" s="341"/>
      <c r="BH4169" s="341"/>
      <c r="BI4169" s="341"/>
      <c r="BJ4169" s="341"/>
      <c r="BK4169" s="341"/>
      <c r="BL4169" s="341"/>
      <c r="BM4169" s="341"/>
      <c r="BN4169" s="341"/>
      <c r="BO4169" s="341"/>
      <c r="BP4169" s="341"/>
      <c r="BQ4169" s="341"/>
      <c r="BR4169" s="341"/>
      <c r="BS4169" s="341"/>
      <c r="BT4169" s="341"/>
      <c r="BU4169" s="341"/>
      <c r="BV4169" s="341"/>
      <c r="BW4169" s="341"/>
      <c r="BX4169" s="341"/>
      <c r="BY4169" s="341"/>
    </row>
    <row r="4170" spans="1:77" s="337" customFormat="1" ht="11.25" customHeight="1">
      <c r="B4170" s="337" t="s">
        <v>291</v>
      </c>
      <c r="C4170" s="349"/>
      <c r="D4170" s="349"/>
      <c r="E4170" s="350" t="s">
        <v>3284</v>
      </c>
      <c r="F4170" s="337" t="s">
        <v>2611</v>
      </c>
      <c r="G4170" s="351" t="s">
        <v>2612</v>
      </c>
      <c r="H4170" s="337" t="s">
        <v>814</v>
      </c>
      <c r="I4170" s="337" t="s">
        <v>33</v>
      </c>
      <c r="J4170" s="352">
        <v>16604.560000000001</v>
      </c>
      <c r="K4170" s="353"/>
      <c r="L4170" s="352">
        <v>16.63</v>
      </c>
      <c r="M4170" s="352">
        <v>16.63</v>
      </c>
      <c r="N4170" s="354">
        <v>5977</v>
      </c>
      <c r="O4170" s="355">
        <v>0.15</v>
      </c>
      <c r="P4170" s="355"/>
      <c r="Q4170" s="354">
        <v>916.59</v>
      </c>
      <c r="R4170" s="337" t="s">
        <v>112</v>
      </c>
      <c r="S4170" s="356" t="s">
        <v>113</v>
      </c>
      <c r="T4170" s="356">
        <v>64</v>
      </c>
      <c r="U4170" s="357" t="s">
        <v>164</v>
      </c>
      <c r="V4170" s="434"/>
      <c r="X4170" s="354">
        <v>916.59</v>
      </c>
      <c r="Y4170" s="354"/>
      <c r="AI4170" s="354">
        <v>916.59</v>
      </c>
      <c r="AJ4170" s="358"/>
      <c r="AK4170" s="369"/>
    </row>
    <row r="4171" spans="1:77" s="337" customFormat="1" ht="11.25" customHeight="1">
      <c r="B4171" s="338" t="s">
        <v>291</v>
      </c>
      <c r="C4171" s="349">
        <v>44782</v>
      </c>
      <c r="D4171" s="349">
        <v>44782</v>
      </c>
      <c r="E4171" s="350" t="s">
        <v>3285</v>
      </c>
      <c r="F4171" s="337" t="s">
        <v>1715</v>
      </c>
      <c r="G4171" s="351" t="s">
        <v>1705</v>
      </c>
      <c r="H4171" s="337" t="s">
        <v>1300</v>
      </c>
      <c r="I4171" s="337" t="s">
        <v>888</v>
      </c>
      <c r="J4171" s="352">
        <v>14839.87</v>
      </c>
      <c r="K4171" s="353"/>
      <c r="L4171" s="352">
        <v>19.53</v>
      </c>
      <c r="M4171" s="352">
        <v>19.53</v>
      </c>
      <c r="N4171" s="354"/>
      <c r="O4171" s="355">
        <v>0.2</v>
      </c>
      <c r="P4171" s="355"/>
      <c r="Q4171" s="354">
        <v>4496.3900000000003</v>
      </c>
      <c r="R4171" s="337" t="s">
        <v>146</v>
      </c>
      <c r="S4171" s="356" t="s">
        <v>74</v>
      </c>
      <c r="T4171" s="356">
        <v>31</v>
      </c>
      <c r="U4171" s="357" t="s">
        <v>164</v>
      </c>
      <c r="V4171" s="434"/>
      <c r="X4171" s="354">
        <v>4496.3900000000003</v>
      </c>
      <c r="Y4171" s="354"/>
      <c r="AI4171" s="354">
        <v>4496.3900000000003</v>
      </c>
      <c r="AJ4171" s="358"/>
      <c r="AK4171" s="369"/>
    </row>
    <row r="4172" spans="1:77" s="337" customFormat="1" ht="11.25" customHeight="1">
      <c r="B4172" s="338" t="s">
        <v>291</v>
      </c>
      <c r="C4172" s="349">
        <v>44782</v>
      </c>
      <c r="D4172" s="349">
        <v>44782</v>
      </c>
      <c r="E4172" s="350" t="s">
        <v>3287</v>
      </c>
      <c r="F4172" s="341" t="s">
        <v>2310</v>
      </c>
      <c r="G4172" s="342" t="s">
        <v>2311</v>
      </c>
      <c r="H4172" s="337" t="s">
        <v>866</v>
      </c>
      <c r="I4172" s="337" t="s">
        <v>888</v>
      </c>
      <c r="J4172" s="352">
        <v>54689.599999999999</v>
      </c>
      <c r="K4172" s="353"/>
      <c r="L4172" s="352">
        <v>26.6</v>
      </c>
      <c r="M4172" s="352">
        <v>26.6</v>
      </c>
      <c r="N4172" s="354">
        <v>26867</v>
      </c>
      <c r="O4172" s="355">
        <v>0.3</v>
      </c>
      <c r="P4172" s="355"/>
      <c r="Q4172" s="354">
        <v>5750.27</v>
      </c>
      <c r="R4172" s="341" t="s">
        <v>2296</v>
      </c>
      <c r="S4172" s="346" t="s">
        <v>113</v>
      </c>
      <c r="T4172" s="346">
        <v>64</v>
      </c>
      <c r="U4172" s="357" t="s">
        <v>164</v>
      </c>
      <c r="V4172" s="434"/>
      <c r="X4172" s="354">
        <v>5750.27</v>
      </c>
      <c r="Y4172" s="354"/>
      <c r="AI4172" s="337">
        <v>5750.27</v>
      </c>
      <c r="AJ4172" s="358"/>
      <c r="AK4172" s="369"/>
    </row>
    <row r="4173" spans="1:77" s="379" customFormat="1" ht="11.25" customHeight="1">
      <c r="B4173" s="380" t="s">
        <v>291</v>
      </c>
      <c r="C4173" s="381">
        <v>44782</v>
      </c>
      <c r="D4173" s="381">
        <v>44782</v>
      </c>
      <c r="E4173" s="382" t="s">
        <v>3288</v>
      </c>
      <c r="F4173" s="379" t="s">
        <v>3289</v>
      </c>
      <c r="G4173" s="383">
        <v>4010</v>
      </c>
      <c r="H4173" s="379" t="s">
        <v>910</v>
      </c>
      <c r="I4173" s="379" t="s">
        <v>1211</v>
      </c>
      <c r="J4173" s="385">
        <v>65481.599999999999</v>
      </c>
      <c r="K4173" s="384"/>
      <c r="L4173" s="385">
        <v>32</v>
      </c>
      <c r="M4173" s="385">
        <v>32</v>
      </c>
      <c r="N4173" s="386">
        <v>16526.080000000002</v>
      </c>
      <c r="O4173" s="387">
        <v>0.2</v>
      </c>
      <c r="P4173" s="387"/>
      <c r="Q4173" s="386">
        <v>0</v>
      </c>
      <c r="R4173" s="379" t="s">
        <v>142</v>
      </c>
      <c r="S4173" s="388" t="s">
        <v>41</v>
      </c>
      <c r="T4173" s="388">
        <v>24</v>
      </c>
      <c r="U4173" s="389" t="s">
        <v>164</v>
      </c>
      <c r="V4173" s="433"/>
      <c r="X4173" s="386">
        <v>0</v>
      </c>
      <c r="Y4173" s="386"/>
      <c r="AJ4173" s="390">
        <v>0</v>
      </c>
    </row>
    <row r="4174" spans="1:77" s="291" customFormat="1" ht="11.25" customHeight="1">
      <c r="B4174" s="310" t="s">
        <v>291</v>
      </c>
      <c r="C4174" s="292">
        <v>44782</v>
      </c>
      <c r="D4174" s="292">
        <v>44782</v>
      </c>
      <c r="E4174" s="293" t="s">
        <v>3290</v>
      </c>
      <c r="F4174" s="291" t="s">
        <v>714</v>
      </c>
      <c r="G4174" s="294">
        <v>3505</v>
      </c>
      <c r="H4174" s="291" t="s">
        <v>866</v>
      </c>
      <c r="I4174" s="291" t="s">
        <v>888</v>
      </c>
      <c r="J4174" s="296">
        <v>48763</v>
      </c>
      <c r="K4174" s="295"/>
      <c r="L4174" s="296">
        <v>55</v>
      </c>
      <c r="M4174" s="296">
        <v>55</v>
      </c>
      <c r="N4174" s="297">
        <v>12190.75</v>
      </c>
      <c r="O4174" s="298">
        <v>0.15</v>
      </c>
      <c r="P4174" s="298"/>
      <c r="Q4174" s="297">
        <v>0</v>
      </c>
      <c r="R4174" s="291" t="s">
        <v>50</v>
      </c>
      <c r="S4174" s="299" t="s">
        <v>715</v>
      </c>
      <c r="T4174" s="299">
        <v>55</v>
      </c>
      <c r="U4174" s="300" t="s">
        <v>164</v>
      </c>
      <c r="V4174" s="333"/>
      <c r="X4174" s="297">
        <v>0</v>
      </c>
      <c r="Y4174" s="297"/>
      <c r="AH4174" s="291">
        <f>X4174</f>
        <v>0</v>
      </c>
      <c r="AI4174" s="311"/>
      <c r="AJ4174" s="468"/>
    </row>
    <row r="4175" spans="1:77" s="337" customFormat="1" ht="11.25" customHeight="1">
      <c r="B4175" s="337" t="s">
        <v>291</v>
      </c>
      <c r="C4175" s="349">
        <v>44782</v>
      </c>
      <c r="D4175" s="349">
        <v>44782</v>
      </c>
      <c r="E4175" s="350" t="s">
        <v>3291</v>
      </c>
      <c r="F4175" s="337" t="s">
        <v>464</v>
      </c>
      <c r="G4175" s="351" t="s">
        <v>465</v>
      </c>
      <c r="H4175" s="337" t="s">
        <v>866</v>
      </c>
      <c r="I4175" s="337" t="s">
        <v>961</v>
      </c>
      <c r="J4175" s="352">
        <v>38120.78</v>
      </c>
      <c r="K4175" s="353"/>
      <c r="L4175" s="352">
        <v>31.57</v>
      </c>
      <c r="M4175" s="352">
        <v>31.57</v>
      </c>
      <c r="N4175" s="354"/>
      <c r="O4175" s="355">
        <v>0.25</v>
      </c>
      <c r="P4175" s="355"/>
      <c r="Q4175" s="354">
        <v>0</v>
      </c>
      <c r="R4175" s="337" t="s">
        <v>142</v>
      </c>
      <c r="S4175" s="356" t="s">
        <v>41</v>
      </c>
      <c r="T4175" s="356">
        <v>16</v>
      </c>
      <c r="U4175" s="357" t="s">
        <v>164</v>
      </c>
      <c r="V4175" s="434"/>
      <c r="X4175" s="354">
        <v>0</v>
      </c>
      <c r="Y4175" s="354"/>
      <c r="AI4175" s="337">
        <f>X4175</f>
        <v>0</v>
      </c>
      <c r="AJ4175" s="358"/>
      <c r="AK4175" s="369"/>
    </row>
    <row r="4176" spans="1:77" s="6" customFormat="1" ht="11.25" customHeight="1">
      <c r="A4176" s="379"/>
      <c r="B4176" s="379" t="s">
        <v>291</v>
      </c>
      <c r="C4176" s="381">
        <v>44782</v>
      </c>
      <c r="D4176" s="381">
        <v>44782</v>
      </c>
      <c r="E4176" s="382" t="s">
        <v>3292</v>
      </c>
      <c r="F4176" s="379" t="s">
        <v>283</v>
      </c>
      <c r="G4176" s="383" t="s">
        <v>284</v>
      </c>
      <c r="H4176" s="379" t="s">
        <v>866</v>
      </c>
      <c r="I4176" s="379" t="s">
        <v>33</v>
      </c>
      <c r="J4176" s="385">
        <v>8449.27</v>
      </c>
      <c r="K4176" s="384"/>
      <c r="L4176" s="385">
        <v>6.12</v>
      </c>
      <c r="M4176" s="385">
        <v>6.12</v>
      </c>
      <c r="N4176" s="386">
        <v>1996.3476000000001</v>
      </c>
      <c r="O4176" s="387">
        <v>0.2</v>
      </c>
      <c r="P4176" s="387"/>
      <c r="Q4176" s="386">
        <v>0</v>
      </c>
      <c r="R4176" s="379" t="s">
        <v>285</v>
      </c>
      <c r="S4176" s="388" t="s">
        <v>275</v>
      </c>
      <c r="T4176" s="388">
        <v>21</v>
      </c>
      <c r="U4176" s="389" t="s">
        <v>164</v>
      </c>
      <c r="V4176" s="433"/>
      <c r="W4176" s="379"/>
      <c r="X4176" s="386">
        <v>0</v>
      </c>
      <c r="Y4176" s="386"/>
      <c r="Z4176" s="379"/>
      <c r="AA4176" s="379"/>
      <c r="AB4176" s="379"/>
      <c r="AC4176" s="379"/>
      <c r="AD4176" s="379"/>
      <c r="AE4176" s="379"/>
      <c r="AF4176" s="379"/>
      <c r="AG4176" s="379"/>
      <c r="AH4176" s="379"/>
      <c r="AI4176" s="379"/>
      <c r="AJ4176" s="390">
        <v>0</v>
      </c>
      <c r="AK4176" s="379"/>
      <c r="AL4176" s="379"/>
      <c r="AM4176" s="379"/>
      <c r="AN4176" s="379"/>
      <c r="AO4176" s="379"/>
      <c r="AP4176" s="379"/>
      <c r="AQ4176" s="379"/>
      <c r="AR4176" s="379"/>
      <c r="AS4176" s="379"/>
      <c r="AT4176" s="379"/>
      <c r="AU4176" s="379"/>
      <c r="AV4176" s="379"/>
      <c r="AW4176" s="379"/>
      <c r="AX4176" s="379"/>
      <c r="AY4176" s="379"/>
      <c r="AZ4176" s="379"/>
      <c r="BA4176" s="379"/>
      <c r="BB4176" s="379"/>
      <c r="BC4176" s="379"/>
      <c r="BD4176" s="379"/>
      <c r="BE4176" s="379"/>
      <c r="BF4176" s="379"/>
      <c r="BG4176" s="379"/>
      <c r="BH4176" s="379"/>
      <c r="BI4176" s="379"/>
      <c r="BJ4176" s="379"/>
      <c r="BK4176" s="379"/>
      <c r="BL4176" s="379"/>
      <c r="BM4176" s="379"/>
      <c r="BN4176" s="379"/>
      <c r="BO4176" s="379"/>
      <c r="BP4176" s="379"/>
      <c r="BQ4176" s="379"/>
      <c r="BR4176" s="379"/>
      <c r="BS4176" s="379"/>
      <c r="BT4176" s="379"/>
      <c r="BU4176" s="379"/>
      <c r="BV4176" s="379"/>
      <c r="BW4176" s="379"/>
      <c r="BX4176" s="379"/>
      <c r="BY4176" s="379"/>
    </row>
    <row r="4177" spans="1:77" s="291" customFormat="1" ht="11.25" customHeight="1">
      <c r="B4177" s="310" t="s">
        <v>291</v>
      </c>
      <c r="C4177" s="292">
        <v>44782</v>
      </c>
      <c r="D4177" s="292">
        <v>44782</v>
      </c>
      <c r="E4177" s="293" t="s">
        <v>3293</v>
      </c>
      <c r="F4177" s="291" t="s">
        <v>535</v>
      </c>
      <c r="G4177" s="294">
        <v>3624</v>
      </c>
      <c r="H4177" s="291" t="s">
        <v>765</v>
      </c>
      <c r="I4177" s="291" t="s">
        <v>33</v>
      </c>
      <c r="J4177" s="296">
        <v>3154.12</v>
      </c>
      <c r="K4177" s="295"/>
      <c r="L4177" s="296">
        <v>2.77</v>
      </c>
      <c r="M4177" s="296">
        <v>2.76</v>
      </c>
      <c r="N4177" s="297"/>
      <c r="O4177" s="298">
        <v>0.2</v>
      </c>
      <c r="P4177" s="298"/>
      <c r="Q4177" s="297">
        <v>0</v>
      </c>
      <c r="R4177" s="291" t="s">
        <v>35</v>
      </c>
      <c r="S4177" s="299" t="s">
        <v>41</v>
      </c>
      <c r="T4177" s="299">
        <v>17</v>
      </c>
      <c r="U4177" s="300" t="s">
        <v>164</v>
      </c>
      <c r="V4177" s="333"/>
      <c r="X4177" s="297">
        <v>0</v>
      </c>
      <c r="Y4177" s="297"/>
      <c r="AH4177" s="299">
        <f>X4177</f>
        <v>0</v>
      </c>
      <c r="AI4177" s="311"/>
      <c r="AJ4177" s="468"/>
    </row>
    <row r="4178" spans="1:77" s="291" customFormat="1" ht="11.25" customHeight="1">
      <c r="A4178" s="291" t="s">
        <v>3893</v>
      </c>
      <c r="B4178" s="310" t="s">
        <v>291</v>
      </c>
      <c r="C4178" s="292"/>
      <c r="D4178" s="292"/>
      <c r="E4178" s="293" t="s">
        <v>3293</v>
      </c>
      <c r="F4178" s="291" t="s">
        <v>535</v>
      </c>
      <c r="G4178" s="294">
        <v>3624</v>
      </c>
      <c r="H4178" s="291" t="s">
        <v>910</v>
      </c>
      <c r="I4178" s="291" t="s">
        <v>33</v>
      </c>
      <c r="J4178" s="296">
        <v>19222.97</v>
      </c>
      <c r="K4178" s="295"/>
      <c r="L4178" s="296">
        <v>11.19</v>
      </c>
      <c r="M4178" s="296">
        <v>11.18</v>
      </c>
      <c r="N4178" s="297"/>
      <c r="O4178" s="298">
        <v>0.2</v>
      </c>
      <c r="P4178" s="298"/>
      <c r="Q4178" s="297">
        <v>295.45999999999998</v>
      </c>
      <c r="R4178" s="291" t="s">
        <v>35</v>
      </c>
      <c r="S4178" s="299" t="s">
        <v>41</v>
      </c>
      <c r="T4178" s="299">
        <v>17</v>
      </c>
      <c r="U4178" s="300" t="s">
        <v>164</v>
      </c>
      <c r="V4178" s="333"/>
      <c r="X4178" s="297">
        <v>295.45999999999998</v>
      </c>
      <c r="Y4178" s="297"/>
      <c r="AH4178" s="324">
        <f>X4178</f>
        <v>295.45999999999998</v>
      </c>
      <c r="AI4178" s="311"/>
      <c r="AJ4178" s="468"/>
    </row>
    <row r="4179" spans="1:77" s="6" customFormat="1" ht="11.25" customHeight="1">
      <c r="A4179" s="379"/>
      <c r="B4179" s="380" t="s">
        <v>291</v>
      </c>
      <c r="C4179" s="381">
        <v>44782</v>
      </c>
      <c r="D4179" s="381">
        <v>44782</v>
      </c>
      <c r="E4179" s="382" t="s">
        <v>3294</v>
      </c>
      <c r="F4179" s="379" t="s">
        <v>2191</v>
      </c>
      <c r="G4179" s="383" t="s">
        <v>2192</v>
      </c>
      <c r="H4179" s="379" t="s">
        <v>765</v>
      </c>
      <c r="I4179" s="379" t="s">
        <v>33</v>
      </c>
      <c r="J4179" s="385">
        <v>4370.28</v>
      </c>
      <c r="K4179" s="384"/>
      <c r="L4179" s="385">
        <v>4</v>
      </c>
      <c r="M4179" s="385">
        <v>4</v>
      </c>
      <c r="N4179" s="386">
        <v>437.02800000000002</v>
      </c>
      <c r="O4179" s="387">
        <v>0.25</v>
      </c>
      <c r="P4179" s="387"/>
      <c r="Q4179" s="386">
        <v>0</v>
      </c>
      <c r="R4179" s="379" t="s">
        <v>285</v>
      </c>
      <c r="S4179" s="388" t="s">
        <v>275</v>
      </c>
      <c r="T4179" s="388">
        <v>21</v>
      </c>
      <c r="U4179" s="389" t="s">
        <v>164</v>
      </c>
      <c r="V4179" s="433"/>
      <c r="W4179" s="379"/>
      <c r="X4179" s="386">
        <v>0</v>
      </c>
      <c r="Y4179" s="386"/>
      <c r="Z4179" s="379"/>
      <c r="AA4179" s="379"/>
      <c r="AB4179" s="379"/>
      <c r="AC4179" s="379"/>
      <c r="AD4179" s="379"/>
      <c r="AE4179" s="379"/>
      <c r="AF4179" s="379"/>
      <c r="AG4179" s="379"/>
      <c r="AH4179" s="379"/>
      <c r="AI4179" s="379"/>
      <c r="AJ4179" s="390">
        <v>0</v>
      </c>
      <c r="AK4179" s="379"/>
      <c r="AL4179" s="379"/>
      <c r="AM4179" s="379"/>
      <c r="AN4179" s="379"/>
      <c r="AO4179" s="379"/>
      <c r="AP4179" s="379"/>
      <c r="AQ4179" s="379"/>
      <c r="AR4179" s="379"/>
      <c r="AS4179" s="379"/>
      <c r="AT4179" s="379"/>
      <c r="AU4179" s="379"/>
      <c r="AV4179" s="379"/>
      <c r="AW4179" s="379"/>
      <c r="AX4179" s="379"/>
      <c r="AY4179" s="379"/>
      <c r="AZ4179" s="379"/>
      <c r="BA4179" s="379"/>
      <c r="BB4179" s="379"/>
      <c r="BC4179" s="379"/>
      <c r="BD4179" s="379"/>
      <c r="BE4179" s="379"/>
      <c r="BF4179" s="379"/>
      <c r="BG4179" s="379"/>
      <c r="BH4179" s="379"/>
      <c r="BI4179" s="379"/>
      <c r="BJ4179" s="379"/>
      <c r="BK4179" s="379"/>
      <c r="BL4179" s="379"/>
      <c r="BM4179" s="379"/>
      <c r="BN4179" s="379"/>
      <c r="BO4179" s="379"/>
      <c r="BP4179" s="379"/>
      <c r="BQ4179" s="379"/>
      <c r="BR4179" s="379"/>
      <c r="BS4179" s="379"/>
      <c r="BT4179" s="379"/>
      <c r="BU4179" s="379"/>
      <c r="BV4179" s="379"/>
      <c r="BW4179" s="379"/>
      <c r="BX4179" s="379"/>
      <c r="BY4179" s="379"/>
    </row>
    <row r="4180" spans="1:77" s="379" customFormat="1" ht="11.25" customHeight="1">
      <c r="B4180" s="379" t="s">
        <v>291</v>
      </c>
      <c r="C4180" s="381">
        <v>44782</v>
      </c>
      <c r="D4180" s="381">
        <v>44782</v>
      </c>
      <c r="E4180" s="382" t="s">
        <v>3295</v>
      </c>
      <c r="F4180" s="379" t="s">
        <v>1318</v>
      </c>
      <c r="G4180" s="400" t="s">
        <v>1319</v>
      </c>
      <c r="H4180" s="379" t="s">
        <v>1141</v>
      </c>
      <c r="I4180" s="379" t="s">
        <v>888</v>
      </c>
      <c r="J4180" s="385">
        <v>13243.99</v>
      </c>
      <c r="K4180" s="384"/>
      <c r="L4180" s="385">
        <v>13.74</v>
      </c>
      <c r="M4180" s="385">
        <v>13.74</v>
      </c>
      <c r="N4180" s="386"/>
      <c r="O4180" s="387">
        <v>0.25</v>
      </c>
      <c r="P4180" s="387"/>
      <c r="Q4180" s="386">
        <v>5845.34</v>
      </c>
      <c r="R4180" s="379" t="s">
        <v>146</v>
      </c>
      <c r="S4180" s="388" t="s">
        <v>74</v>
      </c>
      <c r="T4180" s="388">
        <v>32</v>
      </c>
      <c r="U4180" s="389" t="s">
        <v>164</v>
      </c>
      <c r="V4180" s="433"/>
      <c r="X4180" s="386">
        <v>5845.34</v>
      </c>
      <c r="Y4180" s="386"/>
      <c r="AJ4180" s="416">
        <v>5845.34</v>
      </c>
    </row>
    <row r="4181" spans="1:77" s="379" customFormat="1" ht="11.25" customHeight="1">
      <c r="B4181" s="379" t="s">
        <v>291</v>
      </c>
      <c r="C4181" s="381"/>
      <c r="D4181" s="381"/>
      <c r="E4181" s="382" t="s">
        <v>3295</v>
      </c>
      <c r="F4181" s="379" t="s">
        <v>1318</v>
      </c>
      <c r="G4181" s="400" t="s">
        <v>1319</v>
      </c>
      <c r="H4181" s="379" t="s">
        <v>765</v>
      </c>
      <c r="I4181" s="379" t="s">
        <v>888</v>
      </c>
      <c r="J4181" s="385">
        <v>16872</v>
      </c>
      <c r="K4181" s="384"/>
      <c r="L4181" s="385">
        <v>27.75</v>
      </c>
      <c r="M4181" s="385">
        <v>27.75</v>
      </c>
      <c r="N4181" s="386"/>
      <c r="O4181" s="387">
        <v>0.25</v>
      </c>
      <c r="P4181" s="387"/>
      <c r="Q4181" s="386">
        <v>0</v>
      </c>
      <c r="R4181" s="379" t="s">
        <v>146</v>
      </c>
      <c r="S4181" s="388" t="s">
        <v>74</v>
      </c>
      <c r="T4181" s="388">
        <v>32</v>
      </c>
      <c r="U4181" s="389" t="s">
        <v>164</v>
      </c>
      <c r="V4181" s="433"/>
      <c r="X4181" s="386">
        <v>0</v>
      </c>
      <c r="Y4181" s="386"/>
      <c r="AJ4181" s="390">
        <v>0</v>
      </c>
    </row>
    <row r="4182" spans="1:77" s="379" customFormat="1" ht="11.25" customHeight="1">
      <c r="B4182" s="380" t="s">
        <v>291</v>
      </c>
      <c r="C4182" s="381">
        <v>44782</v>
      </c>
      <c r="D4182" s="381">
        <v>44782</v>
      </c>
      <c r="E4182" s="382" t="s">
        <v>3296</v>
      </c>
      <c r="F4182" s="379" t="s">
        <v>689</v>
      </c>
      <c r="G4182" s="383">
        <v>3938</v>
      </c>
      <c r="H4182" s="379" t="s">
        <v>866</v>
      </c>
      <c r="I4182" s="379" t="s">
        <v>33</v>
      </c>
      <c r="J4182" s="385">
        <v>2666.48</v>
      </c>
      <c r="K4182" s="384"/>
      <c r="L4182" s="385">
        <v>3.38</v>
      </c>
      <c r="M4182" s="385">
        <v>3.38</v>
      </c>
      <c r="N4182" s="386"/>
      <c r="O4182" s="387">
        <v>0.15</v>
      </c>
      <c r="P4182" s="387"/>
      <c r="Q4182" s="386">
        <v>0</v>
      </c>
      <c r="R4182" s="379" t="s">
        <v>35</v>
      </c>
      <c r="S4182" s="388" t="s">
        <v>41</v>
      </c>
      <c r="T4182" s="388">
        <v>79</v>
      </c>
      <c r="U4182" s="389" t="s">
        <v>164</v>
      </c>
      <c r="V4182" s="433"/>
      <c r="X4182" s="386">
        <v>0</v>
      </c>
      <c r="Y4182" s="386"/>
      <c r="AJ4182" s="390">
        <v>0</v>
      </c>
    </row>
    <row r="4183" spans="1:77" s="337" customFormat="1" ht="11.25" customHeight="1">
      <c r="B4183" s="338" t="s">
        <v>291</v>
      </c>
      <c r="C4183" s="349">
        <v>44782</v>
      </c>
      <c r="D4183" s="349">
        <v>44782</v>
      </c>
      <c r="E4183" s="350" t="s">
        <v>3297</v>
      </c>
      <c r="F4183" s="337" t="s">
        <v>1730</v>
      </c>
      <c r="G4183" s="351" t="s">
        <v>1731</v>
      </c>
      <c r="H4183" s="337" t="s">
        <v>814</v>
      </c>
      <c r="I4183" s="337" t="s">
        <v>33</v>
      </c>
      <c r="J4183" s="352">
        <v>8417.52</v>
      </c>
      <c r="K4183" s="353"/>
      <c r="L4183" s="352">
        <v>8.66</v>
      </c>
      <c r="M4183" s="352">
        <v>8.66</v>
      </c>
      <c r="N4183" s="354"/>
      <c r="O4183" s="355">
        <v>0.2</v>
      </c>
      <c r="P4183" s="355"/>
      <c r="Q4183" s="354">
        <v>4136.0200000000004</v>
      </c>
      <c r="R4183" s="337" t="s">
        <v>146</v>
      </c>
      <c r="S4183" s="356" t="s">
        <v>74</v>
      </c>
      <c r="T4183" s="356">
        <v>31</v>
      </c>
      <c r="U4183" s="357" t="s">
        <v>164</v>
      </c>
      <c r="V4183" s="434"/>
      <c r="X4183" s="354">
        <v>4136.0200000000004</v>
      </c>
      <c r="Y4183" s="354"/>
      <c r="AI4183" s="354">
        <v>4136.0200000000004</v>
      </c>
      <c r="AJ4183" s="358"/>
      <c r="AK4183" s="369"/>
    </row>
    <row r="4184" spans="1:77" s="337" customFormat="1" ht="11.25" customHeight="1">
      <c r="B4184" s="338" t="s">
        <v>291</v>
      </c>
      <c r="C4184" s="349"/>
      <c r="D4184" s="349"/>
      <c r="E4184" s="350" t="s">
        <v>3297</v>
      </c>
      <c r="F4184" s="337" t="s">
        <v>1730</v>
      </c>
      <c r="G4184" s="351" t="s">
        <v>1731</v>
      </c>
      <c r="H4184" s="337" t="s">
        <v>765</v>
      </c>
      <c r="I4184" s="337" t="s">
        <v>33</v>
      </c>
      <c r="J4184" s="352">
        <v>4691.7</v>
      </c>
      <c r="K4184" s="353"/>
      <c r="L4184" s="352">
        <v>4.01</v>
      </c>
      <c r="M4184" s="352">
        <v>4.01</v>
      </c>
      <c r="N4184" s="354"/>
      <c r="O4184" s="355">
        <v>0.2</v>
      </c>
      <c r="P4184" s="355"/>
      <c r="Q4184" s="354">
        <v>1678.19</v>
      </c>
      <c r="R4184" s="337" t="s">
        <v>146</v>
      </c>
      <c r="S4184" s="356" t="s">
        <v>74</v>
      </c>
      <c r="T4184" s="356">
        <v>31</v>
      </c>
      <c r="U4184" s="357" t="s">
        <v>164</v>
      </c>
      <c r="V4184" s="434"/>
      <c r="X4184" s="354">
        <v>1678.19</v>
      </c>
      <c r="Y4184" s="354"/>
      <c r="AI4184" s="354">
        <v>1678.19</v>
      </c>
      <c r="AJ4184" s="358"/>
      <c r="AK4184" s="369"/>
    </row>
    <row r="4185" spans="1:77" s="337" customFormat="1" ht="11.25" customHeight="1">
      <c r="B4185" s="338" t="s">
        <v>291</v>
      </c>
      <c r="C4185" s="349"/>
      <c r="D4185" s="349"/>
      <c r="E4185" s="350" t="s">
        <v>3297</v>
      </c>
      <c r="F4185" s="337" t="s">
        <v>1730</v>
      </c>
      <c r="G4185" s="351" t="s">
        <v>1731</v>
      </c>
      <c r="H4185" s="337" t="s">
        <v>866</v>
      </c>
      <c r="I4185" s="337" t="s">
        <v>33</v>
      </c>
      <c r="J4185" s="352">
        <v>4112.3999999999996</v>
      </c>
      <c r="K4185" s="353"/>
      <c r="L4185" s="352">
        <v>2.98</v>
      </c>
      <c r="M4185" s="352">
        <v>2.98</v>
      </c>
      <c r="N4185" s="354"/>
      <c r="O4185" s="355">
        <v>0.2</v>
      </c>
      <c r="P4185" s="355"/>
      <c r="Q4185" s="354">
        <v>1966.8</v>
      </c>
      <c r="R4185" s="337" t="s">
        <v>146</v>
      </c>
      <c r="S4185" s="356" t="s">
        <v>74</v>
      </c>
      <c r="T4185" s="356">
        <v>31</v>
      </c>
      <c r="U4185" s="357" t="s">
        <v>164</v>
      </c>
      <c r="V4185" s="434"/>
      <c r="X4185" s="354">
        <v>1966.8</v>
      </c>
      <c r="Y4185" s="354"/>
      <c r="AI4185" s="354">
        <v>1966.8</v>
      </c>
      <c r="AJ4185" s="358"/>
      <c r="AK4185" s="369"/>
    </row>
    <row r="4186" spans="1:77" s="6" customFormat="1" ht="11.25" customHeight="1">
      <c r="A4186" s="379"/>
      <c r="B4186" s="380" t="s">
        <v>291</v>
      </c>
      <c r="C4186" s="381">
        <v>44774</v>
      </c>
      <c r="D4186" s="381">
        <v>44782</v>
      </c>
      <c r="E4186" s="382" t="s">
        <v>3299</v>
      </c>
      <c r="F4186" s="379" t="s">
        <v>3300</v>
      </c>
      <c r="G4186" s="383">
        <v>3557</v>
      </c>
      <c r="H4186" s="379" t="s">
        <v>866</v>
      </c>
      <c r="I4186" s="379" t="s">
        <v>958</v>
      </c>
      <c r="J4186" s="385">
        <v>22248</v>
      </c>
      <c r="K4186" s="384"/>
      <c r="L4186" s="385">
        <v>20</v>
      </c>
      <c r="M4186" s="385">
        <v>20</v>
      </c>
      <c r="N4186" s="386">
        <v>6537</v>
      </c>
      <c r="O4186" s="387">
        <v>0.25</v>
      </c>
      <c r="P4186" s="387"/>
      <c r="Q4186" s="386">
        <v>711.6</v>
      </c>
      <c r="R4186" s="379" t="s">
        <v>105</v>
      </c>
      <c r="S4186" s="388" t="s">
        <v>30</v>
      </c>
      <c r="T4186" s="388">
        <v>71</v>
      </c>
      <c r="U4186" s="389" t="s">
        <v>164</v>
      </c>
      <c r="V4186" s="433"/>
      <c r="W4186" s="379"/>
      <c r="X4186" s="386">
        <v>711.6</v>
      </c>
      <c r="Y4186" s="386"/>
      <c r="Z4186" s="379"/>
      <c r="AA4186" s="379"/>
      <c r="AB4186" s="379"/>
      <c r="AC4186" s="379"/>
      <c r="AD4186" s="379"/>
      <c r="AE4186" s="379"/>
      <c r="AF4186" s="379"/>
      <c r="AG4186" s="379"/>
      <c r="AH4186" s="379"/>
      <c r="AI4186" s="379"/>
      <c r="AJ4186" s="416">
        <v>711.6</v>
      </c>
      <c r="AK4186" s="379"/>
      <c r="AL4186" s="379"/>
      <c r="AM4186" s="379"/>
      <c r="AN4186" s="379"/>
      <c r="AO4186" s="379"/>
      <c r="AP4186" s="379"/>
      <c r="AQ4186" s="379"/>
      <c r="AR4186" s="379"/>
      <c r="AS4186" s="379"/>
      <c r="AT4186" s="379"/>
      <c r="AU4186" s="379"/>
      <c r="AV4186" s="379"/>
      <c r="AW4186" s="379"/>
      <c r="AX4186" s="379"/>
      <c r="AY4186" s="379"/>
      <c r="AZ4186" s="379"/>
      <c r="BA4186" s="379"/>
      <c r="BB4186" s="379"/>
      <c r="BC4186" s="379"/>
      <c r="BD4186" s="379"/>
      <c r="BE4186" s="379"/>
      <c r="BF4186" s="379"/>
      <c r="BG4186" s="379"/>
      <c r="BH4186" s="379"/>
      <c r="BI4186" s="379"/>
      <c r="BJ4186" s="379"/>
      <c r="BK4186" s="379"/>
      <c r="BL4186" s="379"/>
      <c r="BM4186" s="379"/>
      <c r="BN4186" s="379"/>
      <c r="BO4186" s="379"/>
      <c r="BP4186" s="379"/>
      <c r="BQ4186" s="379"/>
      <c r="BR4186" s="379"/>
      <c r="BS4186" s="379"/>
      <c r="BT4186" s="379"/>
      <c r="BU4186" s="379"/>
      <c r="BV4186" s="379"/>
      <c r="BW4186" s="379"/>
      <c r="BX4186" s="379"/>
      <c r="BY4186" s="379"/>
    </row>
    <row r="4187" spans="1:77" s="379" customFormat="1" ht="11.25" customHeight="1">
      <c r="B4187" s="380" t="s">
        <v>291</v>
      </c>
      <c r="C4187" s="381"/>
      <c r="D4187" s="381"/>
      <c r="E4187" s="382" t="s">
        <v>3299</v>
      </c>
      <c r="F4187" s="379" t="s">
        <v>3300</v>
      </c>
      <c r="G4187" s="383">
        <v>3557</v>
      </c>
      <c r="H4187" s="379" t="s">
        <v>898</v>
      </c>
      <c r="I4187" s="379" t="s">
        <v>958</v>
      </c>
      <c r="J4187" s="385">
        <v>26520</v>
      </c>
      <c r="K4187" s="384"/>
      <c r="L4187" s="385">
        <v>26</v>
      </c>
      <c r="M4187" s="385">
        <v>26</v>
      </c>
      <c r="N4187" s="386">
        <v>2612</v>
      </c>
      <c r="O4187" s="387">
        <v>0.25</v>
      </c>
      <c r="P4187" s="387"/>
      <c r="Q4187" s="386">
        <v>0</v>
      </c>
      <c r="R4187" s="379" t="s">
        <v>105</v>
      </c>
      <c r="S4187" s="388" t="s">
        <v>30</v>
      </c>
      <c r="T4187" s="388">
        <v>71</v>
      </c>
      <c r="U4187" s="389" t="s">
        <v>164</v>
      </c>
      <c r="V4187" s="433"/>
      <c r="X4187" s="386">
        <v>0</v>
      </c>
      <c r="Y4187" s="386"/>
      <c r="AJ4187" s="390">
        <v>0</v>
      </c>
    </row>
    <row r="4188" spans="1:77" s="291" customFormat="1" ht="11.25" customHeight="1">
      <c r="B4188" s="310" t="s">
        <v>291</v>
      </c>
      <c r="C4188" s="292"/>
      <c r="D4188" s="292"/>
      <c r="E4188" s="293" t="s">
        <v>3301</v>
      </c>
      <c r="F4188" s="291" t="s">
        <v>1640</v>
      </c>
      <c r="G4188" s="294">
        <v>4379</v>
      </c>
      <c r="H4188" s="291" t="s">
        <v>814</v>
      </c>
      <c r="I4188" s="291" t="s">
        <v>33</v>
      </c>
      <c r="J4188" s="296">
        <v>2100.71</v>
      </c>
      <c r="K4188" s="295"/>
      <c r="L4188" s="296">
        <v>2.71</v>
      </c>
      <c r="M4188" s="296">
        <v>2.71</v>
      </c>
      <c r="N4188" s="297"/>
      <c r="O4188" s="298">
        <v>0.15</v>
      </c>
      <c r="P4188" s="298"/>
      <c r="Q4188" s="297">
        <v>0</v>
      </c>
      <c r="R4188" s="291" t="s">
        <v>69</v>
      </c>
      <c r="S4188" s="299" t="s">
        <v>41</v>
      </c>
      <c r="T4188" s="299">
        <v>79</v>
      </c>
      <c r="U4188" s="300" t="s">
        <v>164</v>
      </c>
      <c r="V4188" s="333"/>
      <c r="X4188" s="297">
        <v>0</v>
      </c>
      <c r="Y4188" s="297"/>
      <c r="AH4188" s="291">
        <f>X4188</f>
        <v>0</v>
      </c>
      <c r="AI4188" s="311"/>
      <c r="AJ4188" s="468"/>
    </row>
    <row r="4189" spans="1:77" s="291" customFormat="1" ht="11.25" customHeight="1">
      <c r="B4189" s="310" t="s">
        <v>291</v>
      </c>
      <c r="C4189" s="292">
        <v>44774</v>
      </c>
      <c r="D4189" s="292">
        <v>44782</v>
      </c>
      <c r="E4189" s="293" t="s">
        <v>3301</v>
      </c>
      <c r="F4189" s="291" t="s">
        <v>1640</v>
      </c>
      <c r="G4189" s="294">
        <v>4379</v>
      </c>
      <c r="H4189" s="291" t="s">
        <v>910</v>
      </c>
      <c r="I4189" s="291" t="s">
        <v>33</v>
      </c>
      <c r="J4189" s="296">
        <v>58803.8</v>
      </c>
      <c r="K4189" s="295"/>
      <c r="L4189" s="296">
        <v>31.65</v>
      </c>
      <c r="M4189" s="296">
        <v>31.65</v>
      </c>
      <c r="N4189" s="297"/>
      <c r="O4189" s="298">
        <v>0.15</v>
      </c>
      <c r="P4189" s="298"/>
      <c r="Q4189" s="297">
        <v>15842.38</v>
      </c>
      <c r="R4189" s="291" t="s">
        <v>69</v>
      </c>
      <c r="S4189" s="299" t="s">
        <v>41</v>
      </c>
      <c r="T4189" s="299">
        <v>79</v>
      </c>
      <c r="U4189" s="300" t="s">
        <v>164</v>
      </c>
      <c r="V4189" s="333"/>
      <c r="X4189" s="297">
        <v>15842.38</v>
      </c>
      <c r="Y4189" s="297"/>
      <c r="AH4189" s="311">
        <f>X4189</f>
        <v>15842.38</v>
      </c>
      <c r="AI4189" s="311"/>
      <c r="AJ4189" s="468"/>
    </row>
    <row r="4190" spans="1:77" s="291" customFormat="1" ht="11.25" customHeight="1">
      <c r="B4190" s="310" t="s">
        <v>291</v>
      </c>
      <c r="C4190" s="292"/>
      <c r="D4190" s="292"/>
      <c r="E4190" s="293" t="s">
        <v>3301</v>
      </c>
      <c r="F4190" s="291" t="s">
        <v>1640</v>
      </c>
      <c r="G4190" s="294">
        <v>4379</v>
      </c>
      <c r="H4190" s="291" t="s">
        <v>866</v>
      </c>
      <c r="I4190" s="291" t="s">
        <v>33</v>
      </c>
      <c r="J4190" s="296">
        <v>10137.200000000001</v>
      </c>
      <c r="K4190" s="295"/>
      <c r="L4190" s="296">
        <v>9.5399999999999991</v>
      </c>
      <c r="M4190" s="296">
        <v>9.5399999999999991</v>
      </c>
      <c r="N4190" s="297"/>
      <c r="O4190" s="298">
        <v>0.15</v>
      </c>
      <c r="P4190" s="298"/>
      <c r="Q4190" s="297">
        <v>1489.86</v>
      </c>
      <c r="R4190" s="291" t="s">
        <v>69</v>
      </c>
      <c r="S4190" s="299" t="s">
        <v>41</v>
      </c>
      <c r="T4190" s="299">
        <v>79</v>
      </c>
      <c r="U4190" s="300" t="s">
        <v>164</v>
      </c>
      <c r="V4190" s="333"/>
      <c r="X4190" s="297">
        <v>1489.86</v>
      </c>
      <c r="Y4190" s="297"/>
      <c r="AH4190" s="311">
        <f>X4190</f>
        <v>1489.86</v>
      </c>
      <c r="AI4190" s="311"/>
      <c r="AJ4190" s="468"/>
    </row>
    <row r="4191" spans="1:77" s="379" customFormat="1" ht="11.25" customHeight="1">
      <c r="B4191" s="380" t="s">
        <v>291</v>
      </c>
      <c r="C4191" s="381">
        <v>44781</v>
      </c>
      <c r="D4191" s="381">
        <v>44782</v>
      </c>
      <c r="E4191" s="382" t="s">
        <v>3302</v>
      </c>
      <c r="F4191" s="379" t="s">
        <v>2630</v>
      </c>
      <c r="G4191" s="400" t="s">
        <v>2631</v>
      </c>
      <c r="H4191" s="379" t="s">
        <v>1138</v>
      </c>
      <c r="I4191" s="379" t="s">
        <v>961</v>
      </c>
      <c r="J4191" s="385">
        <v>3047.44</v>
      </c>
      <c r="K4191" s="384"/>
      <c r="L4191" s="385">
        <v>4.0599999999999996</v>
      </c>
      <c r="M4191" s="385">
        <v>4.0599999999999996</v>
      </c>
      <c r="N4191" s="386">
        <v>609.48720000000003</v>
      </c>
      <c r="O4191" s="397">
        <v>0.25</v>
      </c>
      <c r="P4191" s="387"/>
      <c r="Q4191" s="386">
        <v>0</v>
      </c>
      <c r="R4191" s="379" t="s">
        <v>285</v>
      </c>
      <c r="S4191" s="388" t="s">
        <v>275</v>
      </c>
      <c r="T4191" s="388">
        <v>21</v>
      </c>
      <c r="U4191" s="389" t="s">
        <v>164</v>
      </c>
      <c r="V4191" s="433"/>
      <c r="X4191" s="386">
        <v>0</v>
      </c>
      <c r="Y4191" s="386"/>
      <c r="AJ4191" s="390">
        <v>0</v>
      </c>
    </row>
    <row r="4192" spans="1:77" s="379" customFormat="1" ht="11.25" customHeight="1">
      <c r="B4192" s="403" t="s">
        <v>291</v>
      </c>
      <c r="C4192" s="381"/>
      <c r="D4192" s="381"/>
      <c r="E4192" s="382" t="s">
        <v>3302</v>
      </c>
      <c r="F4192" s="379" t="s">
        <v>2630</v>
      </c>
      <c r="G4192" s="400" t="s">
        <v>2631</v>
      </c>
      <c r="H4192" s="379" t="s">
        <v>528</v>
      </c>
      <c r="I4192" s="379" t="s">
        <v>961</v>
      </c>
      <c r="J4192" s="385">
        <v>2390.4</v>
      </c>
      <c r="K4192" s="384"/>
      <c r="L4192" s="385">
        <v>4.9800000000000004</v>
      </c>
      <c r="M4192" s="385">
        <v>4.9800000000000004</v>
      </c>
      <c r="N4192" s="386">
        <v>717.12</v>
      </c>
      <c r="O4192" s="397">
        <v>0.25</v>
      </c>
      <c r="P4192" s="387"/>
      <c r="Q4192" s="386">
        <v>0</v>
      </c>
      <c r="R4192" s="379" t="s">
        <v>285</v>
      </c>
      <c r="S4192" s="388" t="s">
        <v>275</v>
      </c>
      <c r="T4192" s="388">
        <v>21</v>
      </c>
      <c r="U4192" s="389" t="s">
        <v>164</v>
      </c>
      <c r="V4192" s="433"/>
      <c r="X4192" s="386">
        <v>0</v>
      </c>
      <c r="Y4192" s="386"/>
      <c r="AJ4192" s="390">
        <v>0</v>
      </c>
    </row>
    <row r="4193" spans="1:77" s="379" customFormat="1" ht="11.25" customHeight="1">
      <c r="B4193" s="380" t="s">
        <v>291</v>
      </c>
      <c r="C4193" s="381">
        <v>44760</v>
      </c>
      <c r="D4193" s="381">
        <v>44783</v>
      </c>
      <c r="E4193" s="382" t="s">
        <v>3303</v>
      </c>
      <c r="F4193" s="379" t="s">
        <v>796</v>
      </c>
      <c r="G4193" s="383" t="s">
        <v>797</v>
      </c>
      <c r="H4193" s="379" t="s">
        <v>910</v>
      </c>
      <c r="I4193" s="379" t="s">
        <v>111</v>
      </c>
      <c r="J4193" s="385">
        <v>26975.55</v>
      </c>
      <c r="K4193" s="384"/>
      <c r="L4193" s="385">
        <v>15</v>
      </c>
      <c r="M4193" s="385">
        <v>11.7</v>
      </c>
      <c r="N4193" s="386">
        <v>0</v>
      </c>
      <c r="O4193" s="387">
        <v>0.25</v>
      </c>
      <c r="P4193" s="387"/>
      <c r="Q4193" s="386">
        <v>0</v>
      </c>
      <c r="R4193" s="379" t="s">
        <v>42</v>
      </c>
      <c r="S4193" s="388" t="s">
        <v>41</v>
      </c>
      <c r="T4193" s="388">
        <v>17</v>
      </c>
      <c r="U4193" s="389" t="s">
        <v>164</v>
      </c>
      <c r="V4193" s="433"/>
      <c r="X4193" s="386">
        <v>0</v>
      </c>
      <c r="Y4193" s="386"/>
      <c r="AJ4193" s="390">
        <v>0</v>
      </c>
    </row>
    <row r="4194" spans="1:77" s="379" customFormat="1" ht="11.25" customHeight="1">
      <c r="B4194" s="380" t="s">
        <v>291</v>
      </c>
      <c r="C4194" s="381"/>
      <c r="D4194" s="381"/>
      <c r="E4194" s="382" t="s">
        <v>3303</v>
      </c>
      <c r="F4194" s="379" t="s">
        <v>796</v>
      </c>
      <c r="G4194" s="383" t="s">
        <v>797</v>
      </c>
      <c r="H4194" s="379" t="s">
        <v>866</v>
      </c>
      <c r="I4194" s="379" t="s">
        <v>111</v>
      </c>
      <c r="J4194" s="385">
        <v>33791.370000000003</v>
      </c>
      <c r="K4194" s="384"/>
      <c r="L4194" s="385">
        <v>18.79</v>
      </c>
      <c r="M4194" s="385">
        <v>18</v>
      </c>
      <c r="N4194" s="386">
        <v>6758.2744599999996</v>
      </c>
      <c r="O4194" s="387">
        <v>0.25</v>
      </c>
      <c r="P4194" s="387"/>
      <c r="Q4194" s="386">
        <v>0</v>
      </c>
      <c r="R4194" s="379" t="s">
        <v>42</v>
      </c>
      <c r="S4194" s="388" t="s">
        <v>41</v>
      </c>
      <c r="T4194" s="388">
        <v>17</v>
      </c>
      <c r="U4194" s="389" t="s">
        <v>164</v>
      </c>
      <c r="V4194" s="433"/>
      <c r="X4194" s="386">
        <v>0</v>
      </c>
      <c r="Y4194" s="386"/>
      <c r="AJ4194" s="390">
        <v>0</v>
      </c>
    </row>
    <row r="4195" spans="1:77" s="379" customFormat="1" ht="11.25" customHeight="1">
      <c r="B4195" s="380" t="s">
        <v>291</v>
      </c>
      <c r="C4195" s="381"/>
      <c r="D4195" s="381"/>
      <c r="E4195" s="382" t="s">
        <v>3303</v>
      </c>
      <c r="F4195" s="379" t="s">
        <v>796</v>
      </c>
      <c r="G4195" s="383" t="s">
        <v>797</v>
      </c>
      <c r="H4195" s="379" t="s">
        <v>765</v>
      </c>
      <c r="I4195" s="379" t="s">
        <v>111</v>
      </c>
      <c r="J4195" s="385">
        <v>30839.98</v>
      </c>
      <c r="K4195" s="384"/>
      <c r="L4195" s="385">
        <v>21.58</v>
      </c>
      <c r="M4195" s="385">
        <v>21</v>
      </c>
      <c r="N4195" s="386">
        <v>7709.9944999999998</v>
      </c>
      <c r="O4195" s="387">
        <v>0.25</v>
      </c>
      <c r="P4195" s="387"/>
      <c r="Q4195" s="386">
        <v>0</v>
      </c>
      <c r="R4195" s="379" t="s">
        <v>42</v>
      </c>
      <c r="S4195" s="388" t="s">
        <v>41</v>
      </c>
      <c r="T4195" s="388">
        <v>17</v>
      </c>
      <c r="U4195" s="389" t="s">
        <v>164</v>
      </c>
      <c r="V4195" s="433"/>
      <c r="X4195" s="386">
        <v>0</v>
      </c>
      <c r="Y4195" s="386"/>
      <c r="AJ4195" s="390">
        <v>0</v>
      </c>
    </row>
    <row r="4196" spans="1:77" s="291" customFormat="1" ht="11.25" customHeight="1">
      <c r="B4196" s="310" t="s">
        <v>291</v>
      </c>
      <c r="C4196" s="292">
        <v>44783</v>
      </c>
      <c r="D4196" s="292">
        <v>44783</v>
      </c>
      <c r="E4196" s="293" t="s">
        <v>3304</v>
      </c>
      <c r="F4196" s="291" t="s">
        <v>3305</v>
      </c>
      <c r="G4196" s="294">
        <v>3766</v>
      </c>
      <c r="H4196" s="291" t="s">
        <v>765</v>
      </c>
      <c r="I4196" s="291" t="s">
        <v>888</v>
      </c>
      <c r="J4196" s="296">
        <v>21945.599999999999</v>
      </c>
      <c r="K4196" s="295"/>
      <c r="L4196" s="296">
        <v>22.86</v>
      </c>
      <c r="M4196" s="296">
        <v>22.86</v>
      </c>
      <c r="N4196" s="297"/>
      <c r="O4196" s="298">
        <v>0.3</v>
      </c>
      <c r="P4196" s="298"/>
      <c r="Q4196" s="297">
        <v>0</v>
      </c>
      <c r="R4196" s="291" t="s">
        <v>128</v>
      </c>
      <c r="S4196" s="299" t="s">
        <v>41</v>
      </c>
      <c r="T4196" s="299">
        <v>86</v>
      </c>
      <c r="U4196" s="300" t="s">
        <v>164</v>
      </c>
      <c r="V4196" s="333"/>
      <c r="X4196" s="297">
        <v>0</v>
      </c>
      <c r="Y4196" s="297"/>
      <c r="AH4196" s="291">
        <f>X4196</f>
        <v>0</v>
      </c>
      <c r="AI4196" s="311"/>
      <c r="AJ4196" s="468"/>
    </row>
    <row r="4197" spans="1:77" s="291" customFormat="1" ht="11.25" customHeight="1">
      <c r="B4197" s="291" t="s">
        <v>291</v>
      </c>
      <c r="C4197" s="292">
        <v>44783</v>
      </c>
      <c r="D4197" s="292">
        <v>44783</v>
      </c>
      <c r="E4197" s="293" t="s">
        <v>3306</v>
      </c>
      <c r="F4197" s="291" t="s">
        <v>3229</v>
      </c>
      <c r="G4197" s="294">
        <v>3910</v>
      </c>
      <c r="H4197" s="291" t="s">
        <v>814</v>
      </c>
      <c r="I4197" s="291" t="s">
        <v>888</v>
      </c>
      <c r="J4197" s="296">
        <v>30924.38</v>
      </c>
      <c r="K4197" s="295"/>
      <c r="L4197" s="296">
        <v>24.59</v>
      </c>
      <c r="M4197" s="296">
        <v>24.59</v>
      </c>
      <c r="N4197" s="297">
        <v>15462.19</v>
      </c>
      <c r="O4197" s="298">
        <v>0.3</v>
      </c>
      <c r="P4197" s="298"/>
      <c r="Q4197" s="297">
        <v>5909.47</v>
      </c>
      <c r="R4197" s="291" t="s">
        <v>1407</v>
      </c>
      <c r="S4197" s="299" t="s">
        <v>2866</v>
      </c>
      <c r="T4197" s="299">
        <v>47</v>
      </c>
      <c r="U4197" s="300" t="s">
        <v>164</v>
      </c>
      <c r="V4197" s="333"/>
      <c r="X4197" s="297">
        <v>5909.47</v>
      </c>
      <c r="Y4197" s="297"/>
      <c r="AH4197" s="291">
        <f>X4197</f>
        <v>5909.47</v>
      </c>
      <c r="AI4197" s="311"/>
      <c r="AJ4197" s="468"/>
    </row>
    <row r="4198" spans="1:77" s="379" customFormat="1" ht="11.25" customHeight="1">
      <c r="B4198" s="379" t="s">
        <v>291</v>
      </c>
      <c r="C4198" s="381">
        <v>44783</v>
      </c>
      <c r="D4198" s="381">
        <v>44783</v>
      </c>
      <c r="E4198" s="382" t="s">
        <v>3307</v>
      </c>
      <c r="F4198" s="379" t="s">
        <v>2123</v>
      </c>
      <c r="G4198" s="383" t="s">
        <v>2124</v>
      </c>
      <c r="H4198" s="379" t="s">
        <v>765</v>
      </c>
      <c r="I4198" s="384" t="s">
        <v>888</v>
      </c>
      <c r="J4198" s="385">
        <v>45551.39</v>
      </c>
      <c r="K4198" s="384"/>
      <c r="L4198" s="385">
        <v>40.01</v>
      </c>
      <c r="M4198" s="385">
        <v>40.01</v>
      </c>
      <c r="N4198" s="386">
        <v>10478.98</v>
      </c>
      <c r="O4198" s="387">
        <v>0.25</v>
      </c>
      <c r="P4198" s="387"/>
      <c r="Q4198" s="386">
        <v>0</v>
      </c>
      <c r="R4198" s="379" t="s">
        <v>105</v>
      </c>
      <c r="S4198" s="388" t="s">
        <v>275</v>
      </c>
      <c r="T4198" s="388">
        <v>21</v>
      </c>
      <c r="U4198" s="389" t="s">
        <v>164</v>
      </c>
      <c r="V4198" s="433"/>
      <c r="X4198" s="386">
        <v>0</v>
      </c>
      <c r="Y4198" s="386"/>
      <c r="AJ4198" s="390">
        <v>0</v>
      </c>
    </row>
    <row r="4199" spans="1:77" s="337" customFormat="1" ht="11.25" customHeight="1">
      <c r="B4199" s="337" t="s">
        <v>291</v>
      </c>
      <c r="C4199" s="349">
        <v>44783</v>
      </c>
      <c r="D4199" s="349">
        <v>44783</v>
      </c>
      <c r="E4199" s="350" t="s">
        <v>3308</v>
      </c>
      <c r="F4199" s="337" t="s">
        <v>3309</v>
      </c>
      <c r="G4199" s="351" t="s">
        <v>3310</v>
      </c>
      <c r="H4199" s="337" t="s">
        <v>866</v>
      </c>
      <c r="I4199" s="337" t="s">
        <v>33</v>
      </c>
      <c r="J4199" s="352">
        <v>63698.04</v>
      </c>
      <c r="K4199" s="353"/>
      <c r="L4199" s="352">
        <v>36.11</v>
      </c>
      <c r="M4199" s="352">
        <v>36.11</v>
      </c>
      <c r="N4199" s="354">
        <v>24285.34</v>
      </c>
      <c r="O4199" s="355">
        <v>0.2</v>
      </c>
      <c r="P4199" s="355"/>
      <c r="Q4199" s="354">
        <v>16964.48</v>
      </c>
      <c r="R4199" s="337" t="s">
        <v>112</v>
      </c>
      <c r="S4199" s="356" t="s">
        <v>113</v>
      </c>
      <c r="T4199" s="356">
        <v>64</v>
      </c>
      <c r="U4199" s="357" t="s">
        <v>164</v>
      </c>
      <c r="V4199" s="434"/>
      <c r="X4199" s="354">
        <v>16964.48</v>
      </c>
      <c r="Y4199" s="354"/>
      <c r="AI4199" s="354">
        <v>16964.48</v>
      </c>
      <c r="AJ4199" s="358"/>
      <c r="AK4199" s="369"/>
    </row>
    <row r="4200" spans="1:77" s="379" customFormat="1" ht="11.25" customHeight="1">
      <c r="B4200" s="379" t="s">
        <v>291</v>
      </c>
      <c r="C4200" s="381">
        <v>44783</v>
      </c>
      <c r="D4200" s="381">
        <v>44783</v>
      </c>
      <c r="E4200" s="382" t="s">
        <v>3311</v>
      </c>
      <c r="F4200" s="379" t="s">
        <v>2227</v>
      </c>
      <c r="G4200" s="383">
        <v>3695</v>
      </c>
      <c r="H4200" s="379" t="s">
        <v>814</v>
      </c>
      <c r="I4200" s="384" t="s">
        <v>958</v>
      </c>
      <c r="J4200" s="385">
        <v>3670.1</v>
      </c>
      <c r="K4200" s="384"/>
      <c r="L4200" s="385">
        <v>6.5</v>
      </c>
      <c r="M4200" s="385">
        <v>6.5</v>
      </c>
      <c r="N4200" s="386">
        <v>597.6</v>
      </c>
      <c r="O4200" s="387">
        <v>0.2</v>
      </c>
      <c r="P4200" s="387"/>
      <c r="Q4200" s="386">
        <v>0</v>
      </c>
      <c r="R4200" s="379" t="s">
        <v>29</v>
      </c>
      <c r="S4200" s="388" t="s">
        <v>51</v>
      </c>
      <c r="T4200" s="388">
        <v>52</v>
      </c>
      <c r="U4200" s="389" t="s">
        <v>164</v>
      </c>
      <c r="V4200" s="433"/>
      <c r="X4200" s="386">
        <v>0</v>
      </c>
      <c r="Y4200" s="386"/>
      <c r="AJ4200" s="390">
        <v>0</v>
      </c>
    </row>
    <row r="4201" spans="1:77" s="379" customFormat="1" ht="11.25" customHeight="1">
      <c r="B4201" s="379" t="s">
        <v>291</v>
      </c>
      <c r="C4201" s="381"/>
      <c r="D4201" s="381"/>
      <c r="E4201" s="382" t="s">
        <v>3311</v>
      </c>
      <c r="F4201" s="379" t="s">
        <v>2227</v>
      </c>
      <c r="G4201" s="383">
        <v>3695</v>
      </c>
      <c r="H4201" s="379" t="s">
        <v>765</v>
      </c>
      <c r="I4201" s="384" t="s">
        <v>958</v>
      </c>
      <c r="J4201" s="385">
        <v>19379.5</v>
      </c>
      <c r="K4201" s="384"/>
      <c r="L4201" s="385">
        <v>24.5</v>
      </c>
      <c r="M4201" s="385">
        <v>24.5</v>
      </c>
      <c r="N4201" s="386">
        <v>3516</v>
      </c>
      <c r="O4201" s="387">
        <v>0.2</v>
      </c>
      <c r="P4201" s="387"/>
      <c r="Q4201" s="386">
        <v>0</v>
      </c>
      <c r="R4201" s="379" t="s">
        <v>29</v>
      </c>
      <c r="S4201" s="388" t="s">
        <v>51</v>
      </c>
      <c r="T4201" s="388">
        <v>52</v>
      </c>
      <c r="U4201" s="389" t="s">
        <v>164</v>
      </c>
      <c r="V4201" s="433"/>
      <c r="X4201" s="386">
        <v>0</v>
      </c>
      <c r="Y4201" s="386"/>
      <c r="AJ4201" s="390">
        <v>0</v>
      </c>
    </row>
    <row r="4202" spans="1:77" s="379" customFormat="1" ht="11.25" customHeight="1">
      <c r="B4202" s="379" t="s">
        <v>291</v>
      </c>
      <c r="C4202" s="381">
        <v>44783</v>
      </c>
      <c r="D4202" s="381">
        <v>44783</v>
      </c>
      <c r="E4202" s="382" t="s">
        <v>3312</v>
      </c>
      <c r="F4202" s="379" t="s">
        <v>3313</v>
      </c>
      <c r="G4202" s="383">
        <v>4515</v>
      </c>
      <c r="H4202" s="379" t="s">
        <v>866</v>
      </c>
      <c r="I4202" s="379" t="s">
        <v>33</v>
      </c>
      <c r="J4202" s="385">
        <v>35403.839999999997</v>
      </c>
      <c r="K4202" s="384"/>
      <c r="L4202" s="385">
        <v>30.4</v>
      </c>
      <c r="M4202" s="385">
        <v>30.4</v>
      </c>
      <c r="N4202" s="386"/>
      <c r="O4202" s="387">
        <v>0.3</v>
      </c>
      <c r="P4202" s="387"/>
      <c r="Q4202" s="386">
        <v>0</v>
      </c>
      <c r="R4202" s="379" t="s">
        <v>29</v>
      </c>
      <c r="S4202" s="388" t="s">
        <v>51</v>
      </c>
      <c r="T4202" s="388">
        <v>52</v>
      </c>
      <c r="U4202" s="389" t="s">
        <v>164</v>
      </c>
      <c r="V4202" s="433"/>
      <c r="X4202" s="386">
        <v>0</v>
      </c>
      <c r="Y4202" s="386"/>
      <c r="AJ4202" s="390">
        <v>0</v>
      </c>
    </row>
    <row r="4203" spans="1:77" s="379" customFormat="1" ht="11.25" customHeight="1">
      <c r="B4203" s="379" t="s">
        <v>291</v>
      </c>
      <c r="C4203" s="381"/>
      <c r="D4203" s="381"/>
      <c r="E4203" s="382" t="s">
        <v>3312</v>
      </c>
      <c r="F4203" s="379" t="s">
        <v>3313</v>
      </c>
      <c r="G4203" s="383">
        <v>4515</v>
      </c>
      <c r="H4203" s="379" t="s">
        <v>765</v>
      </c>
      <c r="I4203" s="379" t="s">
        <v>33</v>
      </c>
      <c r="J4203" s="385">
        <v>13519.8</v>
      </c>
      <c r="K4203" s="384"/>
      <c r="L4203" s="385">
        <v>13.05</v>
      </c>
      <c r="M4203" s="385">
        <v>13.05</v>
      </c>
      <c r="N4203" s="386"/>
      <c r="O4203" s="387">
        <v>0.3</v>
      </c>
      <c r="P4203" s="387"/>
      <c r="Q4203" s="386">
        <v>0</v>
      </c>
      <c r="R4203" s="379" t="s">
        <v>29</v>
      </c>
      <c r="S4203" s="388" t="s">
        <v>51</v>
      </c>
      <c r="T4203" s="388">
        <v>52</v>
      </c>
      <c r="U4203" s="389" t="s">
        <v>164</v>
      </c>
      <c r="V4203" s="433"/>
      <c r="X4203" s="386">
        <v>0</v>
      </c>
      <c r="Y4203" s="386"/>
      <c r="AJ4203" s="390">
        <v>0</v>
      </c>
    </row>
    <row r="4204" spans="1:77" s="379" customFormat="1" ht="11.25" customHeight="1">
      <c r="B4204" s="379" t="s">
        <v>291</v>
      </c>
      <c r="C4204" s="381"/>
      <c r="D4204" s="381"/>
      <c r="E4204" s="382" t="s">
        <v>3312</v>
      </c>
      <c r="F4204" s="379" t="s">
        <v>3313</v>
      </c>
      <c r="G4204" s="383">
        <v>4515</v>
      </c>
      <c r="H4204" s="379" t="s">
        <v>765</v>
      </c>
      <c r="I4204" s="379" t="s">
        <v>33</v>
      </c>
      <c r="J4204" s="385">
        <v>41440</v>
      </c>
      <c r="K4204" s="384"/>
      <c r="L4204" s="385">
        <v>40</v>
      </c>
      <c r="M4204" s="385">
        <v>27.9</v>
      </c>
      <c r="N4204" s="386"/>
      <c r="O4204" s="387">
        <v>0.3</v>
      </c>
      <c r="P4204" s="387"/>
      <c r="Q4204" s="386">
        <v>105</v>
      </c>
      <c r="R4204" s="379" t="s">
        <v>29</v>
      </c>
      <c r="S4204" s="388" t="s">
        <v>51</v>
      </c>
      <c r="T4204" s="388">
        <v>52</v>
      </c>
      <c r="U4204" s="389" t="s">
        <v>164</v>
      </c>
      <c r="V4204" s="433"/>
      <c r="X4204" s="386">
        <v>105</v>
      </c>
      <c r="Y4204" s="386"/>
      <c r="AJ4204" s="416">
        <v>105</v>
      </c>
    </row>
    <row r="4205" spans="1:77" s="379" customFormat="1" ht="11.25" customHeight="1">
      <c r="B4205" s="379" t="s">
        <v>291</v>
      </c>
      <c r="C4205" s="381">
        <v>44783</v>
      </c>
      <c r="D4205" s="381">
        <v>44783</v>
      </c>
      <c r="E4205" s="382" t="s">
        <v>3314</v>
      </c>
      <c r="F4205" s="379" t="s">
        <v>3315</v>
      </c>
      <c r="G4205" s="383" t="s">
        <v>3316</v>
      </c>
      <c r="H4205" s="379" t="s">
        <v>866</v>
      </c>
      <c r="I4205" s="379" t="s">
        <v>961</v>
      </c>
      <c r="J4205" s="385">
        <v>46971.75</v>
      </c>
      <c r="K4205" s="384"/>
      <c r="L4205" s="385">
        <v>25</v>
      </c>
      <c r="M4205" s="385">
        <v>25</v>
      </c>
      <c r="N4205" s="386">
        <v>9864.07</v>
      </c>
      <c r="O4205" s="387">
        <v>0.25</v>
      </c>
      <c r="P4205" s="387"/>
      <c r="Q4205" s="386">
        <v>0</v>
      </c>
      <c r="R4205" s="379" t="s">
        <v>112</v>
      </c>
      <c r="S4205" s="388" t="s">
        <v>113</v>
      </c>
      <c r="T4205" s="388">
        <v>64</v>
      </c>
      <c r="U4205" s="389" t="s">
        <v>164</v>
      </c>
      <c r="V4205" s="433"/>
      <c r="X4205" s="386">
        <v>0</v>
      </c>
      <c r="Y4205" s="386"/>
      <c r="AJ4205" s="390">
        <v>0</v>
      </c>
    </row>
    <row r="4206" spans="1:77" s="6" customFormat="1" ht="11.25" customHeight="1">
      <c r="A4206" s="379"/>
      <c r="B4206" s="379" t="s">
        <v>291</v>
      </c>
      <c r="C4206" s="381"/>
      <c r="D4206" s="381"/>
      <c r="E4206" s="382" t="s">
        <v>3314</v>
      </c>
      <c r="F4206" s="379" t="s">
        <v>3315</v>
      </c>
      <c r="G4206" s="383" t="s">
        <v>3316</v>
      </c>
      <c r="H4206" s="379" t="s">
        <v>765</v>
      </c>
      <c r="I4206" s="379" t="s">
        <v>961</v>
      </c>
      <c r="J4206" s="385">
        <v>12690</v>
      </c>
      <c r="K4206" s="384"/>
      <c r="L4206" s="385">
        <v>9</v>
      </c>
      <c r="M4206" s="385">
        <v>9</v>
      </c>
      <c r="N4206" s="386">
        <v>3807</v>
      </c>
      <c r="O4206" s="387">
        <v>0.25</v>
      </c>
      <c r="P4206" s="387"/>
      <c r="Q4206" s="386">
        <v>0</v>
      </c>
      <c r="R4206" s="379" t="s">
        <v>112</v>
      </c>
      <c r="S4206" s="388" t="s">
        <v>113</v>
      </c>
      <c r="T4206" s="388">
        <v>64</v>
      </c>
      <c r="U4206" s="389" t="s">
        <v>164</v>
      </c>
      <c r="V4206" s="433"/>
      <c r="W4206" s="379"/>
      <c r="X4206" s="386">
        <v>0</v>
      </c>
      <c r="Y4206" s="386"/>
      <c r="Z4206" s="379"/>
      <c r="AA4206" s="379"/>
      <c r="AB4206" s="379"/>
      <c r="AC4206" s="379"/>
      <c r="AD4206" s="379"/>
      <c r="AE4206" s="379"/>
      <c r="AF4206" s="379"/>
      <c r="AG4206" s="379"/>
      <c r="AH4206" s="379"/>
      <c r="AI4206" s="379"/>
      <c r="AJ4206" s="390">
        <v>0</v>
      </c>
      <c r="AK4206" s="379"/>
      <c r="AL4206" s="379"/>
      <c r="AM4206" s="379"/>
      <c r="AN4206" s="379"/>
      <c r="AO4206" s="379"/>
      <c r="AP4206" s="379"/>
      <c r="AQ4206" s="379"/>
      <c r="AR4206" s="379"/>
      <c r="AS4206" s="379"/>
      <c r="AT4206" s="379"/>
      <c r="AU4206" s="379"/>
      <c r="AV4206" s="379"/>
      <c r="AW4206" s="379"/>
      <c r="AX4206" s="379"/>
      <c r="AY4206" s="379"/>
      <c r="AZ4206" s="379"/>
      <c r="BA4206" s="379"/>
      <c r="BB4206" s="379"/>
      <c r="BC4206" s="379"/>
      <c r="BD4206" s="379"/>
      <c r="BE4206" s="379"/>
      <c r="BF4206" s="379"/>
      <c r="BG4206" s="379"/>
      <c r="BH4206" s="379"/>
      <c r="BI4206" s="379"/>
      <c r="BJ4206" s="379"/>
      <c r="BK4206" s="379"/>
      <c r="BL4206" s="379"/>
      <c r="BM4206" s="379"/>
      <c r="BN4206" s="379"/>
      <c r="BO4206" s="379"/>
      <c r="BP4206" s="379"/>
      <c r="BQ4206" s="379"/>
      <c r="BR4206" s="379"/>
      <c r="BS4206" s="379"/>
      <c r="BT4206" s="379"/>
      <c r="BU4206" s="379"/>
      <c r="BV4206" s="379"/>
      <c r="BW4206" s="379"/>
      <c r="BX4206" s="379"/>
      <c r="BY4206" s="379"/>
    </row>
    <row r="4207" spans="1:77" s="379" customFormat="1" ht="11.25" customHeight="1">
      <c r="B4207" s="379" t="s">
        <v>291</v>
      </c>
      <c r="C4207" s="381"/>
      <c r="D4207" s="381"/>
      <c r="E4207" s="382" t="s">
        <v>3314</v>
      </c>
      <c r="F4207" s="379" t="s">
        <v>3315</v>
      </c>
      <c r="G4207" s="383" t="s">
        <v>3316</v>
      </c>
      <c r="H4207" s="379" t="s">
        <v>814</v>
      </c>
      <c r="I4207" s="379" t="s">
        <v>961</v>
      </c>
      <c r="J4207" s="385">
        <v>9324</v>
      </c>
      <c r="K4207" s="384"/>
      <c r="L4207" s="385">
        <v>7</v>
      </c>
      <c r="M4207" s="385">
        <v>7</v>
      </c>
      <c r="N4207" s="386">
        <v>4000</v>
      </c>
      <c r="O4207" s="387">
        <v>0.25</v>
      </c>
      <c r="P4207" s="387"/>
      <c r="Q4207" s="386">
        <v>1449</v>
      </c>
      <c r="R4207" s="379" t="s">
        <v>112</v>
      </c>
      <c r="S4207" s="388" t="s">
        <v>113</v>
      </c>
      <c r="T4207" s="388">
        <v>64</v>
      </c>
      <c r="U4207" s="389" t="s">
        <v>164</v>
      </c>
      <c r="V4207" s="433"/>
      <c r="X4207" s="386">
        <v>1449</v>
      </c>
      <c r="Y4207" s="386"/>
      <c r="AJ4207" s="416">
        <v>1449</v>
      </c>
    </row>
    <row r="4208" spans="1:77" s="618" customFormat="1" ht="11.25" customHeight="1">
      <c r="B4208" s="619" t="s">
        <v>291</v>
      </c>
      <c r="C4208" s="620">
        <v>44783</v>
      </c>
      <c r="D4208" s="620">
        <v>44783</v>
      </c>
      <c r="E4208" s="621" t="s">
        <v>3317</v>
      </c>
      <c r="F4208" s="618" t="s">
        <v>1088</v>
      </c>
      <c r="G4208" s="634">
        <v>3632</v>
      </c>
      <c r="H4208" s="618" t="s">
        <v>765</v>
      </c>
      <c r="I4208" s="618" t="s">
        <v>111</v>
      </c>
      <c r="J4208" s="635">
        <v>22842.560000000001</v>
      </c>
      <c r="K4208" s="626"/>
      <c r="L4208" s="635">
        <v>37.57</v>
      </c>
      <c r="M4208" s="635">
        <v>37.56</v>
      </c>
      <c r="N4208" s="627">
        <v>6852.768</v>
      </c>
      <c r="O4208" s="628">
        <v>0.15</v>
      </c>
      <c r="P4208" s="628"/>
      <c r="Q4208" s="627">
        <v>4240.1499999999996</v>
      </c>
      <c r="R4208" s="618" t="s">
        <v>42</v>
      </c>
      <c r="S4208" s="629" t="s">
        <v>41</v>
      </c>
      <c r="T4208" s="629">
        <v>86</v>
      </c>
      <c r="U4208" s="631" t="s">
        <v>164</v>
      </c>
      <c r="V4208" s="632"/>
      <c r="X4208" s="627">
        <v>4240.1499999999996</v>
      </c>
      <c r="Y4208" s="627"/>
      <c r="AJ4208" s="633"/>
      <c r="AO4208" s="627">
        <v>4240.1499999999996</v>
      </c>
    </row>
    <row r="4209" spans="1:77" s="337" customFormat="1" ht="11.25" customHeight="1">
      <c r="B4209" s="338" t="s">
        <v>291</v>
      </c>
      <c r="C4209" s="349">
        <v>44783</v>
      </c>
      <c r="D4209" s="349">
        <v>44783</v>
      </c>
      <c r="E4209" s="350" t="s">
        <v>3318</v>
      </c>
      <c r="F4209" s="337" t="s">
        <v>3319</v>
      </c>
      <c r="G4209" s="351" t="s">
        <v>3320</v>
      </c>
      <c r="H4209" s="337" t="s">
        <v>765</v>
      </c>
      <c r="I4209" s="337" t="s">
        <v>888</v>
      </c>
      <c r="J4209" s="352">
        <v>27660</v>
      </c>
      <c r="K4209" s="353"/>
      <c r="L4209" s="352">
        <v>24</v>
      </c>
      <c r="M4209" s="352">
        <v>24</v>
      </c>
      <c r="N4209" s="354"/>
      <c r="O4209" s="355">
        <v>0.3</v>
      </c>
      <c r="P4209" s="355"/>
      <c r="Q4209" s="354">
        <v>4071.55</v>
      </c>
      <c r="R4209" s="337" t="s">
        <v>128</v>
      </c>
      <c r="S4209" s="356" t="s">
        <v>41</v>
      </c>
      <c r="T4209" s="356">
        <v>79</v>
      </c>
      <c r="U4209" s="357" t="s">
        <v>164</v>
      </c>
      <c r="V4209" s="434"/>
      <c r="X4209" s="354">
        <v>4071.55</v>
      </c>
      <c r="Y4209" s="354"/>
      <c r="AI4209" s="354">
        <v>4071.55</v>
      </c>
      <c r="AJ4209" s="358"/>
      <c r="AK4209" s="369"/>
    </row>
    <row r="4210" spans="1:77" s="379" customFormat="1" ht="11.25" customHeight="1">
      <c r="B4210" s="379" t="s">
        <v>291</v>
      </c>
      <c r="C4210" s="381">
        <v>44783</v>
      </c>
      <c r="D4210" s="381">
        <v>44783</v>
      </c>
      <c r="E4210" s="382" t="s">
        <v>3323</v>
      </c>
      <c r="F4210" s="379" t="s">
        <v>3324</v>
      </c>
      <c r="G4210" s="383" t="s">
        <v>3325</v>
      </c>
      <c r="H4210" s="379" t="s">
        <v>898</v>
      </c>
      <c r="I4210" s="379" t="s">
        <v>888</v>
      </c>
      <c r="J4210" s="385">
        <v>32598.06</v>
      </c>
      <c r="K4210" s="384"/>
      <c r="L4210" s="385">
        <v>24.77</v>
      </c>
      <c r="M4210" s="385">
        <v>24.77</v>
      </c>
      <c r="N4210" s="386">
        <v>10431.379999999999</v>
      </c>
      <c r="O4210" s="387">
        <v>0.25</v>
      </c>
      <c r="P4210" s="387"/>
      <c r="Q4210" s="386">
        <v>2182.79</v>
      </c>
      <c r="R4210" s="379" t="s">
        <v>29</v>
      </c>
      <c r="S4210" s="388" t="s">
        <v>275</v>
      </c>
      <c r="T4210" s="388">
        <v>21</v>
      </c>
      <c r="U4210" s="389" t="s">
        <v>164</v>
      </c>
      <c r="V4210" s="433"/>
      <c r="X4210" s="386">
        <v>2182.79</v>
      </c>
      <c r="Y4210" s="386"/>
      <c r="AJ4210" s="416">
        <v>2182.79</v>
      </c>
    </row>
    <row r="4211" spans="1:77" s="379" customFormat="1" ht="11.25" customHeight="1">
      <c r="B4211" s="380" t="s">
        <v>291</v>
      </c>
      <c r="C4211" s="381"/>
      <c r="D4211" s="381"/>
      <c r="E4211" s="382" t="s">
        <v>3323</v>
      </c>
      <c r="F4211" s="379" t="s">
        <v>3324</v>
      </c>
      <c r="G4211" s="383" t="s">
        <v>3325</v>
      </c>
      <c r="H4211" s="379" t="s">
        <v>866</v>
      </c>
      <c r="I4211" s="379" t="s">
        <v>888</v>
      </c>
      <c r="J4211" s="385">
        <v>25190.2</v>
      </c>
      <c r="K4211" s="384"/>
      <c r="L4211" s="385">
        <v>18.940000000000001</v>
      </c>
      <c r="M4211" s="385">
        <v>18.940000000000001</v>
      </c>
      <c r="N4211" s="386">
        <f>3129.76+492.1+5698.52</f>
        <v>9320.380000000001</v>
      </c>
      <c r="O4211" s="387">
        <v>0.25</v>
      </c>
      <c r="P4211" s="387"/>
      <c r="Q4211" s="386">
        <v>2883.62</v>
      </c>
      <c r="R4211" s="379" t="s">
        <v>29</v>
      </c>
      <c r="S4211" s="388" t="s">
        <v>275</v>
      </c>
      <c r="T4211" s="388">
        <v>21</v>
      </c>
      <c r="U4211" s="389" t="s">
        <v>164</v>
      </c>
      <c r="V4211" s="433"/>
      <c r="X4211" s="386">
        <v>2883.62</v>
      </c>
      <c r="Y4211" s="386"/>
      <c r="AJ4211" s="416">
        <v>2883.62</v>
      </c>
    </row>
    <row r="4212" spans="1:77" s="379" customFormat="1" ht="11.25" customHeight="1">
      <c r="B4212" s="380" t="s">
        <v>291</v>
      </c>
      <c r="C4212" s="381"/>
      <c r="D4212" s="381"/>
      <c r="E4212" s="382" t="s">
        <v>3323</v>
      </c>
      <c r="F4212" s="379" t="s">
        <v>3324</v>
      </c>
      <c r="G4212" s="383" t="s">
        <v>3325</v>
      </c>
      <c r="H4212" s="379" t="s">
        <v>814</v>
      </c>
      <c r="I4212" s="379" t="s">
        <v>888</v>
      </c>
      <c r="J4212" s="385">
        <v>49473.5</v>
      </c>
      <c r="K4212" s="384"/>
      <c r="L4212" s="385">
        <v>44.59</v>
      </c>
      <c r="M4212" s="385">
        <v>44.59</v>
      </c>
      <c r="N4212" s="386">
        <f>4626.92+23726.64</f>
        <v>28353.559999999998</v>
      </c>
      <c r="O4212" s="387">
        <v>0.25</v>
      </c>
      <c r="P4212" s="387"/>
      <c r="Q4212" s="386">
        <v>7568.71</v>
      </c>
      <c r="R4212" s="379" t="s">
        <v>29</v>
      </c>
      <c r="S4212" s="388" t="s">
        <v>275</v>
      </c>
      <c r="T4212" s="388">
        <v>21</v>
      </c>
      <c r="U4212" s="389" t="s">
        <v>164</v>
      </c>
      <c r="V4212" s="433"/>
      <c r="X4212" s="386">
        <v>7568.71</v>
      </c>
      <c r="Y4212" s="386"/>
      <c r="AJ4212" s="416">
        <v>7568.71</v>
      </c>
    </row>
    <row r="4213" spans="1:77" s="337" customFormat="1" ht="11.25" customHeight="1">
      <c r="B4213" s="338" t="s">
        <v>291</v>
      </c>
      <c r="C4213" s="349">
        <v>44783</v>
      </c>
      <c r="D4213" s="349">
        <v>44783</v>
      </c>
      <c r="E4213" s="350" t="s">
        <v>3326</v>
      </c>
      <c r="F4213" s="337" t="s">
        <v>1158</v>
      </c>
      <c r="G4213" s="351">
        <v>4080</v>
      </c>
      <c r="H4213" s="337" t="s">
        <v>765</v>
      </c>
      <c r="I4213" s="337" t="s">
        <v>33</v>
      </c>
      <c r="J4213" s="352">
        <v>35065.18</v>
      </c>
      <c r="K4213" s="353"/>
      <c r="L4213" s="352">
        <v>47.08</v>
      </c>
      <c r="M4213" s="352">
        <v>40.369999999999997</v>
      </c>
      <c r="N4213" s="354"/>
      <c r="O4213" s="355">
        <v>0.2</v>
      </c>
      <c r="P4213" s="355"/>
      <c r="Q4213" s="354">
        <v>0</v>
      </c>
      <c r="R4213" s="337" t="s">
        <v>35</v>
      </c>
      <c r="S4213" s="356" t="s">
        <v>41</v>
      </c>
      <c r="T4213" s="356">
        <v>17</v>
      </c>
      <c r="U4213" s="357" t="s">
        <v>164</v>
      </c>
      <c r="V4213" s="434"/>
      <c r="X4213" s="354">
        <v>0</v>
      </c>
      <c r="Y4213" s="354"/>
      <c r="AI4213" s="337">
        <v>0</v>
      </c>
      <c r="AJ4213" s="358"/>
      <c r="AK4213" s="369"/>
    </row>
    <row r="4214" spans="1:77" s="337" customFormat="1" ht="11.25" customHeight="1">
      <c r="A4214" s="379"/>
      <c r="B4214" s="380" t="s">
        <v>291</v>
      </c>
      <c r="C4214" s="381"/>
      <c r="D4214" s="381"/>
      <c r="E4214" s="382" t="s">
        <v>3328</v>
      </c>
      <c r="F4214" s="379" t="s">
        <v>3329</v>
      </c>
      <c r="G4214" s="383" t="s">
        <v>3330</v>
      </c>
      <c r="H4214" s="379" t="s">
        <v>866</v>
      </c>
      <c r="I4214" s="379" t="s">
        <v>888</v>
      </c>
      <c r="J4214" s="385">
        <v>13981.84</v>
      </c>
      <c r="K4214" s="384"/>
      <c r="L4214" s="385">
        <v>7.87</v>
      </c>
      <c r="M4214" s="385">
        <v>7.87</v>
      </c>
      <c r="N4214" s="386">
        <v>3495.46</v>
      </c>
      <c r="O4214" s="387">
        <v>0.2</v>
      </c>
      <c r="P4214" s="387"/>
      <c r="Q4214" s="386">
        <v>971.79</v>
      </c>
      <c r="R4214" s="379" t="s">
        <v>112</v>
      </c>
      <c r="S4214" s="388" t="s">
        <v>113</v>
      </c>
      <c r="T4214" s="388">
        <v>64</v>
      </c>
      <c r="U4214" s="389" t="s">
        <v>164</v>
      </c>
      <c r="V4214" s="433"/>
      <c r="W4214" s="379"/>
      <c r="X4214" s="386">
        <v>971.79</v>
      </c>
      <c r="Y4214" s="386"/>
      <c r="Z4214" s="379"/>
      <c r="AA4214" s="379"/>
      <c r="AB4214" s="379"/>
      <c r="AC4214" s="379"/>
      <c r="AD4214" s="379"/>
      <c r="AE4214" s="379"/>
      <c r="AF4214" s="379"/>
      <c r="AG4214" s="379"/>
      <c r="AH4214" s="379"/>
      <c r="AI4214" s="379"/>
      <c r="AJ4214" s="416">
        <v>971.79</v>
      </c>
      <c r="AK4214" s="379"/>
      <c r="AL4214" s="379"/>
      <c r="AM4214" s="379"/>
      <c r="AN4214" s="379"/>
      <c r="AO4214" s="379"/>
      <c r="AP4214" s="379"/>
      <c r="AQ4214" s="379"/>
      <c r="AR4214" s="379"/>
      <c r="AS4214" s="379"/>
      <c r="AT4214" s="379"/>
      <c r="AU4214" s="379"/>
      <c r="AV4214" s="379"/>
      <c r="AW4214" s="379"/>
      <c r="AX4214" s="379"/>
      <c r="AY4214" s="379"/>
      <c r="AZ4214" s="379"/>
      <c r="BA4214" s="379"/>
      <c r="BB4214" s="379"/>
      <c r="BC4214" s="379"/>
      <c r="BD4214" s="379"/>
      <c r="BE4214" s="379"/>
      <c r="BF4214" s="379"/>
      <c r="BG4214" s="379"/>
      <c r="BH4214" s="379"/>
      <c r="BI4214" s="379"/>
      <c r="BJ4214" s="379"/>
      <c r="BK4214" s="379"/>
      <c r="BL4214" s="379"/>
      <c r="BM4214" s="379"/>
      <c r="BN4214" s="379"/>
      <c r="BO4214" s="379"/>
      <c r="BP4214" s="379"/>
      <c r="BQ4214" s="379"/>
      <c r="BR4214" s="379"/>
      <c r="BS4214" s="379"/>
      <c r="BT4214" s="379"/>
      <c r="BU4214" s="379"/>
      <c r="BV4214" s="379"/>
      <c r="BW4214" s="379"/>
      <c r="BX4214" s="379"/>
      <c r="BY4214" s="379"/>
    </row>
    <row r="4215" spans="1:77" s="337" customFormat="1" ht="11.25" customHeight="1">
      <c r="B4215" s="338" t="s">
        <v>291</v>
      </c>
      <c r="C4215" s="349">
        <v>44783</v>
      </c>
      <c r="D4215" s="349">
        <v>44783</v>
      </c>
      <c r="E4215" s="350" t="s">
        <v>3328</v>
      </c>
      <c r="F4215" s="337" t="s">
        <v>3329</v>
      </c>
      <c r="G4215" s="351" t="s">
        <v>3330</v>
      </c>
      <c r="H4215" s="337" t="s">
        <v>814</v>
      </c>
      <c r="I4215" s="337" t="s">
        <v>888</v>
      </c>
      <c r="J4215" s="352">
        <v>14671.8</v>
      </c>
      <c r="K4215" s="353"/>
      <c r="L4215" s="352">
        <v>1.45</v>
      </c>
      <c r="M4215" s="352">
        <v>10.45</v>
      </c>
      <c r="N4215" s="354">
        <v>6308.87</v>
      </c>
      <c r="O4215" s="355">
        <v>0.2</v>
      </c>
      <c r="P4215" s="355"/>
      <c r="Q4215" s="354">
        <v>0</v>
      </c>
      <c r="R4215" s="337" t="s">
        <v>112</v>
      </c>
      <c r="S4215" s="356" t="s">
        <v>113</v>
      </c>
      <c r="T4215" s="356">
        <v>64</v>
      </c>
      <c r="U4215" s="357" t="s">
        <v>164</v>
      </c>
      <c r="V4215" s="434"/>
      <c r="X4215" s="354">
        <v>0</v>
      </c>
      <c r="Y4215" s="354"/>
      <c r="AI4215" s="337">
        <v>0</v>
      </c>
      <c r="AJ4215" s="358"/>
      <c r="AK4215" s="369"/>
    </row>
    <row r="4216" spans="1:77" s="261" customFormat="1" ht="11.25" customHeight="1">
      <c r="B4216" s="261" t="s">
        <v>291</v>
      </c>
      <c r="C4216" s="259">
        <v>44783</v>
      </c>
      <c r="D4216" s="259">
        <v>44783</v>
      </c>
      <c r="E4216" s="260" t="s">
        <v>3331</v>
      </c>
      <c r="F4216" s="273" t="s">
        <v>2940</v>
      </c>
      <c r="G4216" s="276" t="s">
        <v>2941</v>
      </c>
      <c r="H4216" s="261" t="s">
        <v>910</v>
      </c>
      <c r="I4216" s="261" t="s">
        <v>1487</v>
      </c>
      <c r="J4216" s="263">
        <v>17848.86</v>
      </c>
      <c r="K4216" s="264"/>
      <c r="L4216" s="263">
        <v>8.75</v>
      </c>
      <c r="M4216" s="263">
        <v>8.75</v>
      </c>
      <c r="N4216" s="265"/>
      <c r="O4216" s="266">
        <v>0.2</v>
      </c>
      <c r="P4216" s="266"/>
      <c r="Q4216" s="265">
        <v>0</v>
      </c>
      <c r="R4216" s="261" t="s">
        <v>112</v>
      </c>
      <c r="S4216" s="267" t="s">
        <v>113</v>
      </c>
      <c r="T4216" s="279">
        <v>40</v>
      </c>
      <c r="U4216" s="268" t="s">
        <v>164</v>
      </c>
      <c r="V4216" s="427"/>
      <c r="X4216" s="265">
        <v>0</v>
      </c>
      <c r="Y4216" s="265"/>
      <c r="AG4216" s="261">
        <f>X4216</f>
        <v>0</v>
      </c>
      <c r="AJ4216" s="642"/>
    </row>
    <row r="4217" spans="1:77" s="291" customFormat="1" ht="11.25" customHeight="1">
      <c r="B4217" s="310" t="s">
        <v>291</v>
      </c>
      <c r="C4217" s="292">
        <v>44783</v>
      </c>
      <c r="D4217" s="292">
        <v>44783</v>
      </c>
      <c r="E4217" s="293" t="s">
        <v>3332</v>
      </c>
      <c r="F4217" s="291" t="s">
        <v>1074</v>
      </c>
      <c r="G4217" s="294" t="s">
        <v>1075</v>
      </c>
      <c r="H4217" s="291" t="s">
        <v>866</v>
      </c>
      <c r="I4217" s="291" t="s">
        <v>888</v>
      </c>
      <c r="J4217" s="296">
        <v>3299.67</v>
      </c>
      <c r="K4217" s="295"/>
      <c r="L4217" s="296">
        <v>2.42</v>
      </c>
      <c r="M4217" s="296">
        <v>2.42</v>
      </c>
      <c r="N4217" s="297">
        <v>846.73</v>
      </c>
      <c r="O4217" s="298">
        <v>0.15</v>
      </c>
      <c r="P4217" s="298"/>
      <c r="Q4217" s="297">
        <v>263.60000000000002</v>
      </c>
      <c r="R4217" s="291" t="s">
        <v>112</v>
      </c>
      <c r="S4217" s="299" t="s">
        <v>113</v>
      </c>
      <c r="T4217" s="299">
        <v>64</v>
      </c>
      <c r="U4217" s="300" t="s">
        <v>164</v>
      </c>
      <c r="V4217" s="333"/>
      <c r="X4217" s="297">
        <v>263.60000000000002</v>
      </c>
      <c r="Y4217" s="297"/>
      <c r="AH4217" s="311">
        <f>X4217</f>
        <v>263.60000000000002</v>
      </c>
      <c r="AI4217" s="311"/>
      <c r="AJ4217" s="468"/>
    </row>
    <row r="4218" spans="1:77" s="473" customFormat="1" ht="11.25" customHeight="1">
      <c r="B4218" s="486" t="s">
        <v>291</v>
      </c>
      <c r="C4218" s="487">
        <v>44783</v>
      </c>
      <c r="D4218" s="487">
        <v>44783</v>
      </c>
      <c r="E4218" s="488" t="s">
        <v>3333</v>
      </c>
      <c r="F4218" s="473" t="s">
        <v>3334</v>
      </c>
      <c r="G4218" s="489">
        <v>3821</v>
      </c>
      <c r="H4218" s="473" t="s">
        <v>866</v>
      </c>
      <c r="I4218" s="473" t="s">
        <v>1056</v>
      </c>
      <c r="J4218" s="490">
        <v>9466.4699999999993</v>
      </c>
      <c r="K4218" s="491"/>
      <c r="L4218" s="490">
        <v>8.99</v>
      </c>
      <c r="M4218" s="490">
        <v>8.9</v>
      </c>
      <c r="N4218" s="492"/>
      <c r="O4218" s="493">
        <v>0.2</v>
      </c>
      <c r="P4218" s="493"/>
      <c r="Q4218" s="492">
        <v>4331.28</v>
      </c>
      <c r="R4218" s="473" t="s">
        <v>35</v>
      </c>
      <c r="S4218" s="481" t="s">
        <v>971</v>
      </c>
      <c r="T4218" s="481">
        <v>16</v>
      </c>
      <c r="U4218" s="494" t="s">
        <v>164</v>
      </c>
      <c r="V4218" s="495"/>
      <c r="X4218" s="492">
        <v>4331.28</v>
      </c>
      <c r="Y4218" s="492"/>
      <c r="AJ4218" s="485"/>
      <c r="AK4218" s="505">
        <v>4331.28</v>
      </c>
    </row>
    <row r="4219" spans="1:77" s="379" customFormat="1" ht="11.25" customHeight="1">
      <c r="A4219" s="473"/>
      <c r="B4219" s="486" t="s">
        <v>291</v>
      </c>
      <c r="C4219" s="487"/>
      <c r="D4219" s="487"/>
      <c r="E4219" s="488" t="s">
        <v>3335</v>
      </c>
      <c r="F4219" s="473" t="s">
        <v>3336</v>
      </c>
      <c r="G4219" s="489">
        <v>3924</v>
      </c>
      <c r="H4219" s="473" t="s">
        <v>910</v>
      </c>
      <c r="I4219" s="473" t="s">
        <v>3337</v>
      </c>
      <c r="J4219" s="490">
        <v>5977.92</v>
      </c>
      <c r="K4219" s="491"/>
      <c r="L4219" s="490">
        <v>4.79</v>
      </c>
      <c r="M4219" s="490">
        <v>4.78</v>
      </c>
      <c r="N4219" s="492"/>
      <c r="O4219" s="493">
        <v>0.2</v>
      </c>
      <c r="P4219" s="493"/>
      <c r="Q4219" s="492">
        <v>2625.3</v>
      </c>
      <c r="R4219" s="473" t="s">
        <v>35</v>
      </c>
      <c r="S4219" s="481" t="s">
        <v>971</v>
      </c>
      <c r="T4219" s="481">
        <v>16</v>
      </c>
      <c r="U4219" s="494" t="s">
        <v>164</v>
      </c>
      <c r="V4219" s="495"/>
      <c r="W4219" s="473"/>
      <c r="X4219" s="492">
        <v>2625.3</v>
      </c>
      <c r="Y4219" s="492"/>
      <c r="Z4219" s="473"/>
      <c r="AA4219" s="473"/>
      <c r="AB4219" s="473"/>
      <c r="AC4219" s="473"/>
      <c r="AD4219" s="473"/>
      <c r="AE4219" s="473"/>
      <c r="AF4219" s="473"/>
      <c r="AG4219" s="473"/>
      <c r="AH4219" s="473"/>
      <c r="AI4219" s="473"/>
      <c r="AJ4219" s="485"/>
      <c r="AK4219" s="505">
        <v>2625.3</v>
      </c>
      <c r="AL4219" s="473"/>
      <c r="AM4219" s="473"/>
      <c r="AN4219" s="473"/>
      <c r="AO4219" s="473"/>
      <c r="AP4219" s="473"/>
      <c r="AQ4219" s="473"/>
      <c r="AR4219" s="473"/>
      <c r="AS4219" s="473"/>
      <c r="AT4219" s="473"/>
      <c r="AU4219" s="473"/>
      <c r="AV4219" s="473"/>
      <c r="AW4219" s="473"/>
      <c r="AX4219" s="473"/>
      <c r="AY4219" s="473"/>
      <c r="AZ4219" s="473"/>
      <c r="BA4219" s="473"/>
      <c r="BB4219" s="473"/>
      <c r="BC4219" s="473"/>
      <c r="BD4219" s="473"/>
      <c r="BE4219" s="473"/>
      <c r="BF4219" s="473"/>
      <c r="BG4219" s="473"/>
      <c r="BH4219" s="473"/>
      <c r="BI4219" s="473"/>
      <c r="BJ4219" s="473"/>
      <c r="BK4219" s="473"/>
      <c r="BL4219" s="473"/>
      <c r="BM4219" s="473"/>
      <c r="BN4219" s="473"/>
      <c r="BO4219" s="473"/>
      <c r="BP4219" s="473"/>
      <c r="BQ4219" s="473"/>
      <c r="BR4219" s="473"/>
      <c r="BS4219" s="473"/>
      <c r="BT4219" s="473"/>
      <c r="BU4219" s="473"/>
      <c r="BV4219" s="473"/>
      <c r="BW4219" s="473"/>
      <c r="BX4219" s="473"/>
      <c r="BY4219" s="473"/>
    </row>
    <row r="4220" spans="1:77" s="473" customFormat="1" ht="11.25" customHeight="1">
      <c r="A4220" s="379"/>
      <c r="B4220" s="380" t="s">
        <v>291</v>
      </c>
      <c r="C4220" s="381">
        <v>44783</v>
      </c>
      <c r="D4220" s="381">
        <v>44783</v>
      </c>
      <c r="E4220" s="382" t="s">
        <v>3335</v>
      </c>
      <c r="F4220" s="379" t="s">
        <v>3336</v>
      </c>
      <c r="G4220" s="383">
        <v>3924</v>
      </c>
      <c r="H4220" s="379" t="s">
        <v>1218</v>
      </c>
      <c r="I4220" s="379" t="s">
        <v>3337</v>
      </c>
      <c r="J4220" s="385">
        <v>3696.03</v>
      </c>
      <c r="K4220" s="384"/>
      <c r="L4220" s="385">
        <v>3.51</v>
      </c>
      <c r="M4220" s="385">
        <v>3.49</v>
      </c>
      <c r="N4220" s="386"/>
      <c r="O4220" s="387">
        <v>0.2</v>
      </c>
      <c r="P4220" s="387"/>
      <c r="Q4220" s="386">
        <v>0</v>
      </c>
      <c r="R4220" s="379" t="s">
        <v>35</v>
      </c>
      <c r="S4220" s="388" t="s">
        <v>971</v>
      </c>
      <c r="T4220" s="388">
        <v>16</v>
      </c>
      <c r="U4220" s="389" t="s">
        <v>164</v>
      </c>
      <c r="V4220" s="433"/>
      <c r="W4220" s="379"/>
      <c r="X4220" s="386">
        <v>0</v>
      </c>
      <c r="Y4220" s="386"/>
      <c r="Z4220" s="379"/>
      <c r="AA4220" s="379"/>
      <c r="AB4220" s="379"/>
      <c r="AC4220" s="379"/>
      <c r="AD4220" s="379"/>
      <c r="AE4220" s="379"/>
      <c r="AF4220" s="379"/>
      <c r="AG4220" s="379"/>
      <c r="AH4220" s="379"/>
      <c r="AI4220" s="379"/>
      <c r="AJ4220" s="390">
        <v>0</v>
      </c>
      <c r="AK4220" s="379"/>
      <c r="AL4220" s="379"/>
      <c r="AM4220" s="379"/>
      <c r="AN4220" s="379"/>
      <c r="AO4220" s="379"/>
      <c r="AP4220" s="379"/>
      <c r="AQ4220" s="379"/>
      <c r="AR4220" s="379"/>
      <c r="AS4220" s="379"/>
      <c r="AT4220" s="379"/>
      <c r="AU4220" s="379"/>
      <c r="AV4220" s="379"/>
      <c r="AW4220" s="379"/>
      <c r="AX4220" s="379"/>
      <c r="AY4220" s="379"/>
      <c r="AZ4220" s="379"/>
      <c r="BA4220" s="379"/>
      <c r="BB4220" s="379"/>
      <c r="BC4220" s="379"/>
      <c r="BD4220" s="379"/>
      <c r="BE4220" s="379"/>
      <c r="BF4220" s="379"/>
      <c r="BG4220" s="379"/>
      <c r="BH4220" s="379"/>
      <c r="BI4220" s="379"/>
      <c r="BJ4220" s="379"/>
      <c r="BK4220" s="379"/>
      <c r="BL4220" s="379"/>
      <c r="BM4220" s="379"/>
      <c r="BN4220" s="379"/>
      <c r="BO4220" s="379"/>
      <c r="BP4220" s="379"/>
      <c r="BQ4220" s="379"/>
      <c r="BR4220" s="379"/>
      <c r="BS4220" s="379"/>
      <c r="BT4220" s="379"/>
      <c r="BU4220" s="379"/>
      <c r="BV4220" s="379"/>
      <c r="BW4220" s="379"/>
      <c r="BX4220" s="379"/>
      <c r="BY4220" s="379"/>
    </row>
    <row r="4221" spans="1:77" s="337" customFormat="1" ht="11.25" customHeight="1">
      <c r="B4221" s="337" t="s">
        <v>291</v>
      </c>
      <c r="C4221" s="349">
        <v>44781</v>
      </c>
      <c r="D4221" s="349">
        <v>44783</v>
      </c>
      <c r="E4221" s="350" t="s">
        <v>3338</v>
      </c>
      <c r="F4221" s="337" t="s">
        <v>413</v>
      </c>
      <c r="G4221" s="351">
        <v>3645</v>
      </c>
      <c r="H4221" s="337" t="s">
        <v>866</v>
      </c>
      <c r="I4221" s="337" t="s">
        <v>961</v>
      </c>
      <c r="J4221" s="352">
        <v>35992.44</v>
      </c>
      <c r="K4221" s="353"/>
      <c r="L4221" s="352">
        <v>26.82</v>
      </c>
      <c r="M4221" s="352">
        <v>26.82</v>
      </c>
      <c r="N4221" s="354">
        <v>16934.698</v>
      </c>
      <c r="O4221" s="355">
        <v>0.2</v>
      </c>
      <c r="P4221" s="355"/>
      <c r="Q4221" s="354">
        <v>14686.63</v>
      </c>
      <c r="R4221" s="337" t="s">
        <v>42</v>
      </c>
      <c r="S4221" s="356" t="s">
        <v>41</v>
      </c>
      <c r="T4221" s="356">
        <v>16</v>
      </c>
      <c r="U4221" s="357" t="s">
        <v>164</v>
      </c>
      <c r="V4221" s="434"/>
      <c r="X4221" s="354">
        <v>14686.63</v>
      </c>
      <c r="Y4221" s="354"/>
      <c r="AI4221" s="369">
        <f>X4221</f>
        <v>14686.63</v>
      </c>
      <c r="AJ4221" s="358"/>
      <c r="AK4221" s="369"/>
    </row>
    <row r="4222" spans="1:77" s="6" customFormat="1" ht="11.25" customHeight="1">
      <c r="A4222" s="379"/>
      <c r="B4222" s="379" t="s">
        <v>291</v>
      </c>
      <c r="C4222" s="381">
        <v>44783</v>
      </c>
      <c r="D4222" s="381">
        <v>44783</v>
      </c>
      <c r="E4222" s="382" t="s">
        <v>3339</v>
      </c>
      <c r="F4222" s="379" t="s">
        <v>3340</v>
      </c>
      <c r="G4222" s="383">
        <v>4288</v>
      </c>
      <c r="H4222" s="379" t="s">
        <v>1138</v>
      </c>
      <c r="I4222" s="379" t="s">
        <v>33</v>
      </c>
      <c r="J4222" s="385">
        <v>34265.699999999997</v>
      </c>
      <c r="K4222" s="384"/>
      <c r="L4222" s="385">
        <v>23.31</v>
      </c>
      <c r="M4222" s="385">
        <v>23.31</v>
      </c>
      <c r="N4222" s="386"/>
      <c r="O4222" s="387">
        <v>0.15</v>
      </c>
      <c r="P4222" s="387"/>
      <c r="Q4222" s="386">
        <v>14081.57</v>
      </c>
      <c r="R4222" s="379" t="s">
        <v>257</v>
      </c>
      <c r="S4222" s="388" t="s">
        <v>74</v>
      </c>
      <c r="T4222" s="388">
        <v>32</v>
      </c>
      <c r="U4222" s="389" t="s">
        <v>164</v>
      </c>
      <c r="V4222" s="433"/>
      <c r="W4222" s="379"/>
      <c r="X4222" s="386">
        <v>14081.57</v>
      </c>
      <c r="Y4222" s="386"/>
      <c r="Z4222" s="379"/>
      <c r="AA4222" s="379"/>
      <c r="AB4222" s="379"/>
      <c r="AC4222" s="379"/>
      <c r="AD4222" s="379"/>
      <c r="AE4222" s="379"/>
      <c r="AF4222" s="379"/>
      <c r="AG4222" s="379"/>
      <c r="AH4222" s="379"/>
      <c r="AI4222" s="379"/>
      <c r="AJ4222" s="416">
        <v>14081.57</v>
      </c>
      <c r="AK4222" s="379"/>
      <c r="AL4222" s="379"/>
      <c r="AM4222" s="379"/>
      <c r="AN4222" s="379"/>
      <c r="AO4222" s="379"/>
      <c r="AP4222" s="379"/>
      <c r="AQ4222" s="379"/>
      <c r="AR4222" s="379"/>
      <c r="AS4222" s="379"/>
      <c r="AT4222" s="379"/>
      <c r="AU4222" s="379"/>
      <c r="AV4222" s="379"/>
      <c r="AW4222" s="379"/>
      <c r="AX4222" s="379"/>
      <c r="AY4222" s="379"/>
      <c r="AZ4222" s="379"/>
      <c r="BA4222" s="379"/>
      <c r="BB4222" s="379"/>
      <c r="BC4222" s="379"/>
      <c r="BD4222" s="379"/>
      <c r="BE4222" s="379"/>
      <c r="BF4222" s="379"/>
      <c r="BG4222" s="379"/>
      <c r="BH4222" s="379"/>
      <c r="BI4222" s="379"/>
      <c r="BJ4222" s="379"/>
      <c r="BK4222" s="379"/>
      <c r="BL4222" s="379"/>
      <c r="BM4222" s="379"/>
      <c r="BN4222" s="379"/>
      <c r="BO4222" s="379"/>
      <c r="BP4222" s="379"/>
      <c r="BQ4222" s="379"/>
      <c r="BR4222" s="379"/>
      <c r="BS4222" s="379"/>
      <c r="BT4222" s="379"/>
      <c r="BU4222" s="379"/>
      <c r="BV4222" s="379"/>
      <c r="BW4222" s="379"/>
      <c r="BX4222" s="379"/>
      <c r="BY4222" s="379"/>
    </row>
    <row r="4223" spans="1:77" s="261" customFormat="1" ht="11.25" customHeight="1">
      <c r="B4223" s="258" t="s">
        <v>291</v>
      </c>
      <c r="C4223" s="259">
        <v>44784</v>
      </c>
      <c r="D4223" s="259">
        <v>44784</v>
      </c>
      <c r="E4223" s="260" t="s">
        <v>3341</v>
      </c>
      <c r="F4223" s="261" t="s">
        <v>107</v>
      </c>
      <c r="G4223" s="262">
        <v>3657</v>
      </c>
      <c r="H4223" s="261" t="s">
        <v>898</v>
      </c>
      <c r="I4223" s="261" t="s">
        <v>958</v>
      </c>
      <c r="J4223" s="263">
        <v>10004.58</v>
      </c>
      <c r="K4223" s="264"/>
      <c r="L4223" s="263">
        <v>7.39</v>
      </c>
      <c r="M4223" s="263">
        <v>7.39</v>
      </c>
      <c r="N4223" s="265">
        <v>1000.45</v>
      </c>
      <c r="O4223" s="266">
        <v>0.15</v>
      </c>
      <c r="P4223" s="266"/>
      <c r="Q4223" s="265">
        <v>0</v>
      </c>
      <c r="R4223" s="261" t="s">
        <v>54</v>
      </c>
      <c r="S4223" s="267" t="s">
        <v>51</v>
      </c>
      <c r="T4223" s="267">
        <v>55</v>
      </c>
      <c r="U4223" s="268" t="s">
        <v>164</v>
      </c>
      <c r="V4223" s="427"/>
      <c r="X4223" s="265">
        <v>0</v>
      </c>
      <c r="Y4223" s="265"/>
      <c r="AG4223" s="261">
        <f>X4223</f>
        <v>0</v>
      </c>
      <c r="AJ4223" s="642"/>
    </row>
    <row r="4224" spans="1:77" s="261" customFormat="1" ht="11.25" customHeight="1">
      <c r="B4224" s="258" t="s">
        <v>291</v>
      </c>
      <c r="C4224" s="259"/>
      <c r="D4224" s="259"/>
      <c r="E4224" s="260" t="s">
        <v>3341</v>
      </c>
      <c r="F4224" s="261" t="s">
        <v>107</v>
      </c>
      <c r="G4224" s="262">
        <v>3657</v>
      </c>
      <c r="H4224" s="261" t="s">
        <v>765</v>
      </c>
      <c r="I4224" s="261" t="s">
        <v>958</v>
      </c>
      <c r="J4224" s="263">
        <v>14161.92</v>
      </c>
      <c r="K4224" s="264"/>
      <c r="L4224" s="263">
        <v>12</v>
      </c>
      <c r="M4224" s="263">
        <v>12</v>
      </c>
      <c r="N4224" s="265">
        <v>3540.48</v>
      </c>
      <c r="O4224" s="266">
        <v>0.15</v>
      </c>
      <c r="P4224" s="266"/>
      <c r="Q4224" s="265">
        <v>0</v>
      </c>
      <c r="R4224" s="261" t="s">
        <v>54</v>
      </c>
      <c r="S4224" s="267" t="s">
        <v>51</v>
      </c>
      <c r="T4224" s="267">
        <v>55</v>
      </c>
      <c r="U4224" s="268" t="s">
        <v>164</v>
      </c>
      <c r="V4224" s="427"/>
      <c r="X4224" s="265">
        <v>0</v>
      </c>
      <c r="Y4224" s="265"/>
      <c r="AG4224" s="261">
        <f>X4224</f>
        <v>0</v>
      </c>
      <c r="AJ4224" s="642"/>
    </row>
    <row r="4225" spans="2:37" s="261" customFormat="1" ht="11.25" customHeight="1">
      <c r="B4225" s="258" t="s">
        <v>291</v>
      </c>
      <c r="C4225" s="259">
        <v>44783</v>
      </c>
      <c r="D4225" s="259">
        <v>44784</v>
      </c>
      <c r="E4225" s="260" t="s">
        <v>3342</v>
      </c>
      <c r="F4225" s="261" t="s">
        <v>3343</v>
      </c>
      <c r="G4225" s="262" t="s">
        <v>3344</v>
      </c>
      <c r="H4225" s="261" t="s">
        <v>765</v>
      </c>
      <c r="I4225" s="261" t="s">
        <v>888</v>
      </c>
      <c r="J4225" s="263">
        <v>17878.25</v>
      </c>
      <c r="K4225" s="264"/>
      <c r="L4225" s="263">
        <v>20.190000000000001</v>
      </c>
      <c r="M4225" s="263">
        <v>20.190000000000001</v>
      </c>
      <c r="N4225" s="265">
        <v>3754.43</v>
      </c>
      <c r="O4225" s="266">
        <v>0.25</v>
      </c>
      <c r="P4225" s="266"/>
      <c r="Q4225" s="265">
        <v>0</v>
      </c>
      <c r="R4225" s="261" t="s">
        <v>54</v>
      </c>
      <c r="S4225" s="267" t="s">
        <v>51</v>
      </c>
      <c r="T4225" s="267">
        <v>55</v>
      </c>
      <c r="U4225" s="268" t="s">
        <v>164</v>
      </c>
      <c r="V4225" s="427"/>
      <c r="X4225" s="265">
        <v>0</v>
      </c>
      <c r="Y4225" s="265"/>
      <c r="AG4225" s="261">
        <f>X4225</f>
        <v>0</v>
      </c>
      <c r="AJ4225" s="642"/>
    </row>
    <row r="4226" spans="2:37" s="261" customFormat="1" ht="11.25" customHeight="1">
      <c r="B4226" s="258" t="s">
        <v>291</v>
      </c>
      <c r="C4226" s="259"/>
      <c r="D4226" s="259"/>
      <c r="E4226" s="260" t="s">
        <v>3342</v>
      </c>
      <c r="F4226" s="261" t="s">
        <v>3343</v>
      </c>
      <c r="G4226" s="262" t="s">
        <v>3344</v>
      </c>
      <c r="H4226" s="261" t="s">
        <v>866</v>
      </c>
      <c r="I4226" s="261" t="s">
        <v>888</v>
      </c>
      <c r="J4226" s="263">
        <v>2298.75</v>
      </c>
      <c r="K4226" s="264"/>
      <c r="L4226" s="263">
        <v>2.5</v>
      </c>
      <c r="M4226" s="263">
        <v>2.5</v>
      </c>
      <c r="N4226" s="265">
        <v>229.87</v>
      </c>
      <c r="O4226" s="266">
        <v>0.25</v>
      </c>
      <c r="P4226" s="266"/>
      <c r="Q4226" s="265">
        <v>0</v>
      </c>
      <c r="R4226" s="261" t="s">
        <v>54</v>
      </c>
      <c r="S4226" s="267" t="s">
        <v>51</v>
      </c>
      <c r="T4226" s="267">
        <v>55</v>
      </c>
      <c r="U4226" s="268" t="s">
        <v>164</v>
      </c>
      <c r="V4226" s="427"/>
      <c r="X4226" s="265">
        <v>0</v>
      </c>
      <c r="Y4226" s="265"/>
      <c r="AG4226" s="261">
        <f>X4226</f>
        <v>0</v>
      </c>
      <c r="AJ4226" s="642"/>
    </row>
    <row r="4227" spans="2:37" s="261" customFormat="1" ht="11.25" customHeight="1">
      <c r="B4227" s="258" t="s">
        <v>291</v>
      </c>
      <c r="C4227" s="259"/>
      <c r="D4227" s="259"/>
      <c r="E4227" s="260" t="s">
        <v>3342</v>
      </c>
      <c r="F4227" s="261" t="s">
        <v>3343</v>
      </c>
      <c r="G4227" s="262" t="s">
        <v>3344</v>
      </c>
      <c r="H4227" s="261" t="s">
        <v>898</v>
      </c>
      <c r="I4227" s="261" t="s">
        <v>888</v>
      </c>
      <c r="J4227" s="263">
        <v>46870.65</v>
      </c>
      <c r="K4227" s="264"/>
      <c r="L4227" s="263">
        <v>35.5</v>
      </c>
      <c r="M4227" s="263">
        <v>35.5</v>
      </c>
      <c r="N4227" s="265">
        <v>9374.1299999999992</v>
      </c>
      <c r="O4227" s="266">
        <v>0.25</v>
      </c>
      <c r="P4227" s="266"/>
      <c r="Q4227" s="265">
        <v>0</v>
      </c>
      <c r="R4227" s="261" t="s">
        <v>54</v>
      </c>
      <c r="S4227" s="267" t="s">
        <v>51</v>
      </c>
      <c r="T4227" s="267">
        <v>55</v>
      </c>
      <c r="U4227" s="268" t="s">
        <v>164</v>
      </c>
      <c r="V4227" s="427"/>
      <c r="X4227" s="265">
        <v>0</v>
      </c>
      <c r="Y4227" s="265"/>
      <c r="AG4227" s="261">
        <f>X4227</f>
        <v>0</v>
      </c>
      <c r="AJ4227" s="642"/>
    </row>
    <row r="4228" spans="2:37" s="379" customFormat="1" ht="11.25" customHeight="1">
      <c r="B4228" s="380" t="s">
        <v>291</v>
      </c>
      <c r="C4228" s="381">
        <v>44784</v>
      </c>
      <c r="D4228" s="381">
        <v>44784</v>
      </c>
      <c r="E4228" s="382" t="s">
        <v>3346</v>
      </c>
      <c r="F4228" s="379" t="s">
        <v>332</v>
      </c>
      <c r="G4228" s="383" t="s">
        <v>333</v>
      </c>
      <c r="H4228" s="379" t="s">
        <v>765</v>
      </c>
      <c r="I4228" s="379" t="s">
        <v>1296</v>
      </c>
      <c r="J4228" s="385">
        <v>71519.759999999995</v>
      </c>
      <c r="K4228" s="384"/>
      <c r="L4228" s="385">
        <v>45.28</v>
      </c>
      <c r="M4228" s="385">
        <v>45.28</v>
      </c>
      <c r="N4228" s="386">
        <v>21484.54</v>
      </c>
      <c r="O4228" s="387">
        <v>0.25</v>
      </c>
      <c r="P4228" s="387"/>
      <c r="Q4228" s="386">
        <v>7196.12</v>
      </c>
      <c r="R4228" s="379" t="s">
        <v>142</v>
      </c>
      <c r="S4228" s="388" t="s">
        <v>41</v>
      </c>
      <c r="T4228" s="388">
        <v>16</v>
      </c>
      <c r="U4228" s="389" t="s">
        <v>164</v>
      </c>
      <c r="V4228" s="433"/>
      <c r="X4228" s="386">
        <v>7196.12</v>
      </c>
      <c r="Y4228" s="386"/>
      <c r="AJ4228" s="416">
        <v>7196.12</v>
      </c>
    </row>
    <row r="4229" spans="2:37" s="379" customFormat="1" ht="11.25" customHeight="1">
      <c r="B4229" s="380" t="s">
        <v>291</v>
      </c>
      <c r="C4229" s="381"/>
      <c r="D4229" s="381"/>
      <c r="E4229" s="382" t="s">
        <v>3346</v>
      </c>
      <c r="F4229" s="379" t="s">
        <v>332</v>
      </c>
      <c r="G4229" s="383" t="s">
        <v>333</v>
      </c>
      <c r="H4229" s="379" t="s">
        <v>910</v>
      </c>
      <c r="I4229" s="379" t="s">
        <v>1296</v>
      </c>
      <c r="J4229" s="385">
        <v>47656</v>
      </c>
      <c r="K4229" s="384"/>
      <c r="L4229" s="385">
        <v>20</v>
      </c>
      <c r="M4229" s="385">
        <v>20</v>
      </c>
      <c r="N4229" s="386">
        <v>23737.45</v>
      </c>
      <c r="O4229" s="387">
        <v>0.25</v>
      </c>
      <c r="P4229" s="387"/>
      <c r="Q4229" s="386">
        <v>15281.2</v>
      </c>
      <c r="R4229" s="379" t="s">
        <v>142</v>
      </c>
      <c r="S4229" s="388" t="s">
        <v>41</v>
      </c>
      <c r="T4229" s="388">
        <v>16</v>
      </c>
      <c r="U4229" s="389" t="s">
        <v>164</v>
      </c>
      <c r="V4229" s="433"/>
      <c r="X4229" s="386">
        <v>15281.2</v>
      </c>
      <c r="Y4229" s="386"/>
      <c r="AJ4229" s="416">
        <v>15281.2</v>
      </c>
    </row>
    <row r="4230" spans="2:37" s="379" customFormat="1" ht="11.25" customHeight="1">
      <c r="B4230" s="380" t="s">
        <v>291</v>
      </c>
      <c r="C4230" s="381"/>
      <c r="D4230" s="381"/>
      <c r="E4230" s="382" t="s">
        <v>3346</v>
      </c>
      <c r="F4230" s="379" t="s">
        <v>332</v>
      </c>
      <c r="G4230" s="383" t="s">
        <v>333</v>
      </c>
      <c r="H4230" s="379" t="s">
        <v>911</v>
      </c>
      <c r="I4230" s="379" t="s">
        <v>1296</v>
      </c>
      <c r="J4230" s="385">
        <v>10420</v>
      </c>
      <c r="K4230" s="384"/>
      <c r="L4230" s="385">
        <v>5</v>
      </c>
      <c r="M4230" s="385">
        <v>5</v>
      </c>
      <c r="N4230" s="386">
        <v>3021.8</v>
      </c>
      <c r="O4230" s="387">
        <v>0.25</v>
      </c>
      <c r="P4230" s="387"/>
      <c r="Q4230" s="386">
        <v>15</v>
      </c>
      <c r="R4230" s="379" t="s">
        <v>142</v>
      </c>
      <c r="S4230" s="388" t="s">
        <v>41</v>
      </c>
      <c r="T4230" s="388">
        <v>16</v>
      </c>
      <c r="U4230" s="389" t="s">
        <v>164</v>
      </c>
      <c r="V4230" s="433"/>
      <c r="X4230" s="386">
        <v>15</v>
      </c>
      <c r="Y4230" s="386"/>
      <c r="AJ4230" s="390">
        <v>15</v>
      </c>
    </row>
    <row r="4231" spans="2:37" s="379" customFormat="1" ht="11.25" customHeight="1">
      <c r="B4231" s="380" t="s">
        <v>291</v>
      </c>
      <c r="C4231" s="381"/>
      <c r="D4231" s="381"/>
      <c r="E4231" s="382" t="s">
        <v>3346</v>
      </c>
      <c r="F4231" s="379" t="s">
        <v>332</v>
      </c>
      <c r="G4231" s="383" t="s">
        <v>333</v>
      </c>
      <c r="H4231" s="379" t="s">
        <v>866</v>
      </c>
      <c r="I4231" s="379" t="s">
        <v>1296</v>
      </c>
      <c r="J4231" s="385">
        <v>17416.75</v>
      </c>
      <c r="K4231" s="384"/>
      <c r="L4231" s="385">
        <v>11.65</v>
      </c>
      <c r="M4231" s="385">
        <v>11.65</v>
      </c>
      <c r="N4231" s="386">
        <v>7234.92</v>
      </c>
      <c r="O4231" s="387">
        <v>0.25</v>
      </c>
      <c r="P4231" s="387"/>
      <c r="Q4231" s="386">
        <v>2580.36</v>
      </c>
      <c r="R4231" s="379" t="s">
        <v>142</v>
      </c>
      <c r="S4231" s="388" t="s">
        <v>41</v>
      </c>
      <c r="T4231" s="388">
        <v>16</v>
      </c>
      <c r="U4231" s="389" t="s">
        <v>164</v>
      </c>
      <c r="V4231" s="433"/>
      <c r="X4231" s="386">
        <v>2580.36</v>
      </c>
      <c r="Y4231" s="386"/>
      <c r="AJ4231" s="416">
        <v>2580.36</v>
      </c>
    </row>
    <row r="4232" spans="2:37" s="337" customFormat="1" ht="11.25" customHeight="1">
      <c r="B4232" s="337" t="s">
        <v>291</v>
      </c>
      <c r="C4232" s="349">
        <v>44784</v>
      </c>
      <c r="D4232" s="349">
        <v>44784</v>
      </c>
      <c r="E4232" s="350" t="s">
        <v>3347</v>
      </c>
      <c r="F4232" s="337" t="s">
        <v>255</v>
      </c>
      <c r="G4232" s="351" t="s">
        <v>256</v>
      </c>
      <c r="H4232" s="337" t="s">
        <v>1141</v>
      </c>
      <c r="I4232" s="337" t="s">
        <v>888</v>
      </c>
      <c r="J4232" s="352">
        <v>17694.62</v>
      </c>
      <c r="K4232" s="353"/>
      <c r="L4232" s="352">
        <v>14.2</v>
      </c>
      <c r="M4232" s="352">
        <v>14.2</v>
      </c>
      <c r="N4232" s="354"/>
      <c r="O4232" s="355">
        <v>0.2</v>
      </c>
      <c r="P4232" s="355"/>
      <c r="Q4232" s="354">
        <v>0</v>
      </c>
      <c r="R4232" s="337" t="s">
        <v>257</v>
      </c>
      <c r="S4232" s="356" t="s">
        <v>74</v>
      </c>
      <c r="T4232" s="356">
        <v>32</v>
      </c>
      <c r="U4232" s="357" t="s">
        <v>164</v>
      </c>
      <c r="V4232" s="434"/>
      <c r="X4232" s="354">
        <v>0</v>
      </c>
      <c r="Y4232" s="354"/>
      <c r="AI4232" s="337">
        <v>0</v>
      </c>
      <c r="AJ4232" s="358"/>
      <c r="AK4232" s="369"/>
    </row>
    <row r="4233" spans="2:37" s="337" customFormat="1" ht="11.25" customHeight="1">
      <c r="B4233" s="337" t="s">
        <v>291</v>
      </c>
      <c r="C4233" s="349"/>
      <c r="D4233" s="349"/>
      <c r="E4233" s="350" t="s">
        <v>3347</v>
      </c>
      <c r="F4233" s="337" t="s">
        <v>255</v>
      </c>
      <c r="G4233" s="351" t="s">
        <v>256</v>
      </c>
      <c r="H4233" s="337" t="s">
        <v>765</v>
      </c>
      <c r="I4233" s="337" t="s">
        <v>888</v>
      </c>
      <c r="J4233" s="352">
        <v>13644.8</v>
      </c>
      <c r="K4233" s="353"/>
      <c r="L4233" s="352">
        <v>13.12</v>
      </c>
      <c r="M4233" s="352">
        <v>13.12</v>
      </c>
      <c r="N4233" s="354"/>
      <c r="O4233" s="355">
        <v>0.2</v>
      </c>
      <c r="P4233" s="355"/>
      <c r="Q4233" s="354">
        <v>0</v>
      </c>
      <c r="R4233" s="337" t="s">
        <v>257</v>
      </c>
      <c r="S4233" s="356" t="s">
        <v>74</v>
      </c>
      <c r="T4233" s="356">
        <v>32</v>
      </c>
      <c r="U4233" s="357" t="s">
        <v>164</v>
      </c>
      <c r="V4233" s="434"/>
      <c r="X4233" s="354">
        <v>0</v>
      </c>
      <c r="Y4233" s="354"/>
      <c r="AI4233" s="337">
        <v>0</v>
      </c>
      <c r="AJ4233" s="358"/>
      <c r="AK4233" s="369"/>
    </row>
    <row r="4234" spans="2:37" s="337" customFormat="1" ht="11.25" customHeight="1">
      <c r="B4234" s="337" t="s">
        <v>291</v>
      </c>
      <c r="C4234" s="349"/>
      <c r="D4234" s="349"/>
      <c r="E4234" s="350" t="s">
        <v>3347</v>
      </c>
      <c r="F4234" s="337" t="s">
        <v>255</v>
      </c>
      <c r="G4234" s="351" t="s">
        <v>256</v>
      </c>
      <c r="H4234" s="337" t="s">
        <v>814</v>
      </c>
      <c r="I4234" s="337" t="s">
        <v>888</v>
      </c>
      <c r="J4234" s="352">
        <v>6455.6</v>
      </c>
      <c r="K4234" s="353"/>
      <c r="L4234" s="352">
        <v>5.9</v>
      </c>
      <c r="M4234" s="352">
        <v>5.9</v>
      </c>
      <c r="N4234" s="354"/>
      <c r="O4234" s="355">
        <v>0.2</v>
      </c>
      <c r="P4234" s="355"/>
      <c r="Q4234" s="354">
        <v>459.23</v>
      </c>
      <c r="R4234" s="337" t="s">
        <v>257</v>
      </c>
      <c r="S4234" s="356" t="s">
        <v>74</v>
      </c>
      <c r="T4234" s="356">
        <v>32</v>
      </c>
      <c r="U4234" s="357" t="s">
        <v>164</v>
      </c>
      <c r="V4234" s="434"/>
      <c r="X4234" s="354">
        <v>459.23</v>
      </c>
      <c r="Y4234" s="354"/>
      <c r="AI4234" s="337">
        <v>459.23</v>
      </c>
      <c r="AJ4234" s="358"/>
      <c r="AK4234" s="369"/>
    </row>
    <row r="4235" spans="2:37" s="379" customFormat="1" ht="11.25" customHeight="1">
      <c r="B4235" s="380" t="s">
        <v>291</v>
      </c>
      <c r="C4235" s="381">
        <v>44784</v>
      </c>
      <c r="D4235" s="381">
        <v>44784</v>
      </c>
      <c r="E4235" s="382" t="s">
        <v>3348</v>
      </c>
      <c r="F4235" s="379" t="s">
        <v>2649</v>
      </c>
      <c r="G4235" s="383" t="s">
        <v>2650</v>
      </c>
      <c r="H4235" s="379" t="s">
        <v>1018</v>
      </c>
      <c r="I4235" s="379" t="s">
        <v>33</v>
      </c>
      <c r="J4235" s="385">
        <v>20788.8</v>
      </c>
      <c r="K4235" s="384"/>
      <c r="L4235" s="385">
        <v>29.28</v>
      </c>
      <c r="M4235" s="385">
        <v>29.28</v>
      </c>
      <c r="N4235" s="386">
        <v>7737.58</v>
      </c>
      <c r="O4235" s="387">
        <v>0.25</v>
      </c>
      <c r="P4235" s="387"/>
      <c r="Q4235" s="386">
        <v>0</v>
      </c>
      <c r="R4235" s="379" t="s">
        <v>29</v>
      </c>
      <c r="S4235" s="388" t="s">
        <v>275</v>
      </c>
      <c r="T4235" s="388">
        <v>21</v>
      </c>
      <c r="U4235" s="389" t="s">
        <v>164</v>
      </c>
      <c r="V4235" s="433"/>
      <c r="X4235" s="386">
        <v>0</v>
      </c>
      <c r="Y4235" s="386"/>
      <c r="AJ4235" s="390">
        <v>0</v>
      </c>
    </row>
    <row r="4236" spans="2:37" s="337" customFormat="1" ht="11.25" customHeight="1">
      <c r="B4236" s="338" t="s">
        <v>291</v>
      </c>
      <c r="C4236" s="349">
        <v>44784</v>
      </c>
      <c r="D4236" s="349">
        <v>44784</v>
      </c>
      <c r="E4236" s="350" t="s">
        <v>3349</v>
      </c>
      <c r="F4236" s="337" t="s">
        <v>131</v>
      </c>
      <c r="G4236" s="351">
        <v>4152</v>
      </c>
      <c r="H4236" s="337" t="s">
        <v>866</v>
      </c>
      <c r="I4236" s="337" t="s">
        <v>958</v>
      </c>
      <c r="J4236" s="352">
        <v>9044</v>
      </c>
      <c r="K4236" s="353"/>
      <c r="L4236" s="352">
        <v>17</v>
      </c>
      <c r="M4236" s="352">
        <v>13</v>
      </c>
      <c r="N4236" s="354"/>
      <c r="O4236" s="355">
        <v>0.15</v>
      </c>
      <c r="P4236" s="355"/>
      <c r="Q4236" s="354">
        <v>0</v>
      </c>
      <c r="R4236" s="337" t="s">
        <v>128</v>
      </c>
      <c r="S4236" s="356" t="s">
        <v>41</v>
      </c>
      <c r="T4236" s="356">
        <v>86</v>
      </c>
      <c r="U4236" s="357" t="s">
        <v>164</v>
      </c>
      <c r="V4236" s="434"/>
      <c r="X4236" s="354">
        <v>0</v>
      </c>
      <c r="Y4236" s="354"/>
      <c r="AI4236" s="337">
        <v>0</v>
      </c>
      <c r="AJ4236" s="358"/>
      <c r="AK4236" s="369"/>
    </row>
    <row r="4237" spans="2:37" s="379" customFormat="1" ht="11.25" customHeight="1">
      <c r="B4237" s="380" t="s">
        <v>291</v>
      </c>
      <c r="C4237" s="381">
        <v>44783</v>
      </c>
      <c r="D4237" s="381">
        <v>44784</v>
      </c>
      <c r="E4237" s="382" t="s">
        <v>3350</v>
      </c>
      <c r="F4237" s="379" t="s">
        <v>3351</v>
      </c>
      <c r="G4237" s="383" t="s">
        <v>3352</v>
      </c>
      <c r="H4237" s="379" t="s">
        <v>814</v>
      </c>
      <c r="I4237" s="379" t="s">
        <v>33</v>
      </c>
      <c r="J4237" s="385">
        <v>10979.94</v>
      </c>
      <c r="K4237" s="384"/>
      <c r="L4237" s="385">
        <v>10.24</v>
      </c>
      <c r="M4237" s="385">
        <v>10.24</v>
      </c>
      <c r="N4237" s="386"/>
      <c r="O4237" s="387">
        <v>0.15</v>
      </c>
      <c r="P4237" s="387"/>
      <c r="Q4237" s="386">
        <v>6365.4</v>
      </c>
      <c r="R4237" s="379" t="s">
        <v>1007</v>
      </c>
      <c r="S4237" s="388" t="s">
        <v>113</v>
      </c>
      <c r="T4237" s="388">
        <v>31</v>
      </c>
      <c r="U4237" s="389" t="s">
        <v>164</v>
      </c>
      <c r="V4237" s="433"/>
      <c r="X4237" s="386">
        <v>6365.4</v>
      </c>
      <c r="Y4237" s="386"/>
      <c r="AJ4237" s="416">
        <v>6365.4</v>
      </c>
    </row>
    <row r="4238" spans="2:37" s="379" customFormat="1" ht="11.25" customHeight="1">
      <c r="B4238" s="380" t="s">
        <v>291</v>
      </c>
      <c r="C4238" s="381"/>
      <c r="D4238" s="381"/>
      <c r="E4238" s="382" t="s">
        <v>3350</v>
      </c>
      <c r="F4238" s="379" t="s">
        <v>3351</v>
      </c>
      <c r="G4238" s="383" t="s">
        <v>3352</v>
      </c>
      <c r="H4238" s="379" t="s">
        <v>866</v>
      </c>
      <c r="I4238" s="384" t="s">
        <v>33</v>
      </c>
      <c r="J4238" s="385">
        <v>37953.040000000001</v>
      </c>
      <c r="K4238" s="384"/>
      <c r="L4238" s="385">
        <v>26.51</v>
      </c>
      <c r="M4238" s="385">
        <v>26.51</v>
      </c>
      <c r="N4238" s="386"/>
      <c r="O4238" s="387">
        <v>0.15</v>
      </c>
      <c r="P4238" s="387"/>
      <c r="Q4238" s="386">
        <v>19405.919999999998</v>
      </c>
      <c r="R4238" s="379" t="s">
        <v>1007</v>
      </c>
      <c r="S4238" s="388" t="s">
        <v>113</v>
      </c>
      <c r="T4238" s="399">
        <v>31</v>
      </c>
      <c r="U4238" s="389" t="s">
        <v>164</v>
      </c>
      <c r="V4238" s="433"/>
      <c r="X4238" s="386">
        <v>19405.919999999998</v>
      </c>
      <c r="Y4238" s="386"/>
      <c r="AJ4238" s="416">
        <v>19405.919999999998</v>
      </c>
    </row>
    <row r="4239" spans="2:37" s="291" customFormat="1" ht="11.25" customHeight="1">
      <c r="B4239" s="310" t="s">
        <v>291</v>
      </c>
      <c r="C4239" s="292"/>
      <c r="D4239" s="292"/>
      <c r="E4239" s="293" t="s">
        <v>3353</v>
      </c>
      <c r="F4239" s="291" t="s">
        <v>89</v>
      </c>
      <c r="G4239" s="294">
        <v>3681</v>
      </c>
      <c r="H4239" s="291" t="s">
        <v>442</v>
      </c>
      <c r="I4239" s="295" t="s">
        <v>958</v>
      </c>
      <c r="J4239" s="296">
        <v>10521.77</v>
      </c>
      <c r="K4239" s="295"/>
      <c r="L4239" s="296">
        <v>7.88</v>
      </c>
      <c r="M4239" s="296">
        <v>7.88</v>
      </c>
      <c r="N4239" s="297">
        <v>3787.84</v>
      </c>
      <c r="O4239" s="298">
        <v>0.2</v>
      </c>
      <c r="P4239" s="298"/>
      <c r="Q4239" s="297">
        <v>0</v>
      </c>
      <c r="R4239" s="291" t="s">
        <v>29</v>
      </c>
      <c r="S4239" s="299" t="s">
        <v>51</v>
      </c>
      <c r="T4239" s="308">
        <v>52</v>
      </c>
      <c r="U4239" s="300" t="s">
        <v>164</v>
      </c>
      <c r="V4239" s="333"/>
      <c r="X4239" s="297">
        <v>0</v>
      </c>
      <c r="Y4239" s="297"/>
      <c r="AH4239" s="291">
        <f>X4239</f>
        <v>0</v>
      </c>
      <c r="AI4239" s="311"/>
      <c r="AJ4239" s="468"/>
    </row>
    <row r="4240" spans="2:37" s="261" customFormat="1" ht="11.25" customHeight="1">
      <c r="B4240" s="258" t="s">
        <v>291</v>
      </c>
      <c r="C4240" s="259">
        <v>44784</v>
      </c>
      <c r="D4240" s="259">
        <v>44784</v>
      </c>
      <c r="E4240" s="260" t="s">
        <v>3353</v>
      </c>
      <c r="F4240" s="261" t="s">
        <v>89</v>
      </c>
      <c r="G4240" s="262">
        <v>3681</v>
      </c>
      <c r="H4240" s="261" t="s">
        <v>765</v>
      </c>
      <c r="I4240" s="264" t="s">
        <v>958</v>
      </c>
      <c r="J4240" s="263">
        <v>20867.21</v>
      </c>
      <c r="K4240" s="264"/>
      <c r="L4240" s="263">
        <v>27.77</v>
      </c>
      <c r="M4240" s="263">
        <v>27.77</v>
      </c>
      <c r="N4240" s="265">
        <v>2921.41</v>
      </c>
      <c r="O4240" s="266">
        <v>0.2</v>
      </c>
      <c r="P4240" s="266"/>
      <c r="Q4240" s="265">
        <v>0</v>
      </c>
      <c r="R4240" s="261" t="s">
        <v>29</v>
      </c>
      <c r="S4240" s="267" t="s">
        <v>51</v>
      </c>
      <c r="T4240" s="279">
        <v>52</v>
      </c>
      <c r="U4240" s="268" t="s">
        <v>164</v>
      </c>
      <c r="V4240" s="427"/>
      <c r="X4240" s="265">
        <v>0</v>
      </c>
      <c r="Y4240" s="265"/>
      <c r="AG4240" s="261">
        <f>X4240</f>
        <v>0</v>
      </c>
      <c r="AJ4240" s="642"/>
    </row>
    <row r="4241" spans="1:77" s="507" customFormat="1" ht="11.25" customHeight="1">
      <c r="B4241" s="508" t="s">
        <v>291</v>
      </c>
      <c r="C4241" s="509">
        <v>44778</v>
      </c>
      <c r="D4241" s="509">
        <v>44784</v>
      </c>
      <c r="E4241" s="510" t="s">
        <v>3356</v>
      </c>
      <c r="F4241" s="523" t="s">
        <v>2138</v>
      </c>
      <c r="G4241" s="526" t="s">
        <v>2139</v>
      </c>
      <c r="H4241" s="507" t="s">
        <v>765</v>
      </c>
      <c r="I4241" s="512" t="s">
        <v>958</v>
      </c>
      <c r="J4241" s="513">
        <v>82480.45</v>
      </c>
      <c r="K4241" s="512"/>
      <c r="L4241" s="513">
        <v>72.67</v>
      </c>
      <c r="M4241" s="513">
        <v>72.66</v>
      </c>
      <c r="N4241" s="514"/>
      <c r="O4241" s="515">
        <v>0.2</v>
      </c>
      <c r="P4241" s="515"/>
      <c r="Q4241" s="514">
        <v>0</v>
      </c>
      <c r="R4241" s="523" t="s">
        <v>35</v>
      </c>
      <c r="S4241" s="531" t="s">
        <v>41</v>
      </c>
      <c r="T4241" s="531">
        <v>86</v>
      </c>
      <c r="U4241" s="517" t="s">
        <v>164</v>
      </c>
      <c r="V4241" s="518"/>
      <c r="X4241" s="514">
        <v>0</v>
      </c>
      <c r="Y4241" s="514"/>
      <c r="AJ4241" s="522"/>
      <c r="AL4241" s="507">
        <v>0</v>
      </c>
    </row>
    <row r="4242" spans="1:77" s="507" customFormat="1" ht="11.25" customHeight="1">
      <c r="B4242" s="508" t="s">
        <v>291</v>
      </c>
      <c r="C4242" s="509"/>
      <c r="D4242" s="509"/>
      <c r="E4242" s="510" t="s">
        <v>3356</v>
      </c>
      <c r="F4242" s="523" t="s">
        <v>2138</v>
      </c>
      <c r="G4242" s="526" t="s">
        <v>2139</v>
      </c>
      <c r="H4242" s="507" t="s">
        <v>765</v>
      </c>
      <c r="I4242" s="512" t="s">
        <v>958</v>
      </c>
      <c r="J4242" s="513">
        <v>12351</v>
      </c>
      <c r="K4242" s="512"/>
      <c r="L4242" s="513">
        <v>10.74</v>
      </c>
      <c r="M4242" s="513">
        <v>10.73</v>
      </c>
      <c r="N4242" s="514"/>
      <c r="O4242" s="515">
        <v>0.2</v>
      </c>
      <c r="P4242" s="515"/>
      <c r="Q4242" s="514">
        <v>0</v>
      </c>
      <c r="R4242" s="523" t="s">
        <v>35</v>
      </c>
      <c r="S4242" s="531" t="s">
        <v>41</v>
      </c>
      <c r="T4242" s="531">
        <v>16</v>
      </c>
      <c r="U4242" s="517" t="s">
        <v>164</v>
      </c>
      <c r="V4242" s="518"/>
      <c r="X4242" s="514">
        <v>0</v>
      </c>
      <c r="Y4242" s="514"/>
      <c r="AJ4242" s="522"/>
      <c r="AL4242" s="507">
        <v>0</v>
      </c>
    </row>
    <row r="4243" spans="1:77" s="291" customFormat="1" ht="11.25" customHeight="1">
      <c r="B4243" s="310" t="s">
        <v>291</v>
      </c>
      <c r="C4243" s="292">
        <v>44780</v>
      </c>
      <c r="D4243" s="292">
        <v>44784</v>
      </c>
      <c r="E4243" s="293" t="s">
        <v>3357</v>
      </c>
      <c r="F4243" s="291" t="s">
        <v>1515</v>
      </c>
      <c r="G4243" s="304">
        <v>3603</v>
      </c>
      <c r="H4243" s="303" t="s">
        <v>765</v>
      </c>
      <c r="I4243" s="295" t="s">
        <v>3279</v>
      </c>
      <c r="J4243" s="296">
        <v>7985.95</v>
      </c>
      <c r="K4243" s="295"/>
      <c r="L4243" s="296">
        <v>12.17</v>
      </c>
      <c r="M4243" s="296">
        <v>12.17</v>
      </c>
      <c r="N4243" s="297"/>
      <c r="O4243" s="298">
        <v>0.15</v>
      </c>
      <c r="P4243" s="298"/>
      <c r="Q4243" s="297">
        <v>0</v>
      </c>
      <c r="R4243" s="291" t="s">
        <v>42</v>
      </c>
      <c r="S4243" s="299" t="s">
        <v>41</v>
      </c>
      <c r="T4243" s="299">
        <v>17</v>
      </c>
      <c r="U4243" s="300" t="s">
        <v>164</v>
      </c>
      <c r="V4243" s="333"/>
      <c r="X4243" s="297">
        <v>0</v>
      </c>
      <c r="Y4243" s="297"/>
      <c r="AH4243" s="291">
        <f>X4243</f>
        <v>0</v>
      </c>
      <c r="AI4243" s="311"/>
      <c r="AJ4243" s="468"/>
    </row>
    <row r="4244" spans="1:77" s="379" customFormat="1" ht="11.25" customHeight="1">
      <c r="B4244" s="380" t="s">
        <v>291</v>
      </c>
      <c r="C4244" s="381">
        <v>44784</v>
      </c>
      <c r="D4244" s="381">
        <v>44784</v>
      </c>
      <c r="E4244" s="382" t="s">
        <v>3358</v>
      </c>
      <c r="F4244" s="379" t="s">
        <v>644</v>
      </c>
      <c r="G4244" s="400" t="s">
        <v>645</v>
      </c>
      <c r="H4244" s="394" t="s">
        <v>866</v>
      </c>
      <c r="I4244" s="379" t="s">
        <v>33</v>
      </c>
      <c r="J4244" s="385">
        <v>19327.25</v>
      </c>
      <c r="K4244" s="384"/>
      <c r="L4244" s="385">
        <v>16.57</v>
      </c>
      <c r="M4244" s="385">
        <v>16.57</v>
      </c>
      <c r="N4244" s="386"/>
      <c r="O4244" s="387">
        <v>0.25</v>
      </c>
      <c r="P4244" s="387"/>
      <c r="Q4244" s="386">
        <v>3573.15</v>
      </c>
      <c r="R4244" s="379" t="s">
        <v>35</v>
      </c>
      <c r="S4244" s="388" t="s">
        <v>41</v>
      </c>
      <c r="T4244" s="388">
        <v>86</v>
      </c>
      <c r="U4244" s="389" t="s">
        <v>164</v>
      </c>
      <c r="V4244" s="433"/>
      <c r="X4244" s="386">
        <v>3573.15</v>
      </c>
      <c r="Y4244" s="386"/>
      <c r="AJ4244" s="416">
        <v>3573.15</v>
      </c>
    </row>
    <row r="4245" spans="1:77" s="379" customFormat="1" ht="11.25" customHeight="1">
      <c r="B4245" s="380" t="s">
        <v>291</v>
      </c>
      <c r="C4245" s="381"/>
      <c r="D4245" s="381"/>
      <c r="E4245" s="382" t="s">
        <v>3358</v>
      </c>
      <c r="F4245" s="379" t="s">
        <v>644</v>
      </c>
      <c r="G4245" s="400" t="s">
        <v>645</v>
      </c>
      <c r="H4245" s="394" t="s">
        <v>765</v>
      </c>
      <c r="I4245" s="379" t="s">
        <v>33</v>
      </c>
      <c r="J4245" s="385">
        <v>22895.599999999999</v>
      </c>
      <c r="K4245" s="384"/>
      <c r="L4245" s="385">
        <v>22.1</v>
      </c>
      <c r="M4245" s="385">
        <v>22.1</v>
      </c>
      <c r="N4245" s="386"/>
      <c r="O4245" s="387">
        <v>0.25</v>
      </c>
      <c r="P4245" s="387"/>
      <c r="Q4245" s="386">
        <v>0</v>
      </c>
      <c r="R4245" s="379" t="s">
        <v>35</v>
      </c>
      <c r="S4245" s="388" t="s">
        <v>41</v>
      </c>
      <c r="T4245" s="388">
        <v>86</v>
      </c>
      <c r="U4245" s="389" t="s">
        <v>164</v>
      </c>
      <c r="V4245" s="433"/>
      <c r="X4245" s="386">
        <v>0</v>
      </c>
      <c r="Y4245" s="386"/>
      <c r="AJ4245" s="390">
        <v>0</v>
      </c>
    </row>
    <row r="4246" spans="1:77" s="507" customFormat="1" ht="11.25" customHeight="1">
      <c r="B4246" s="508" t="s">
        <v>291</v>
      </c>
      <c r="C4246" s="509">
        <v>44778</v>
      </c>
      <c r="D4246" s="509">
        <v>44784</v>
      </c>
      <c r="E4246" s="510" t="s">
        <v>3354</v>
      </c>
      <c r="F4246" s="523" t="s">
        <v>2135</v>
      </c>
      <c r="G4246" s="526" t="s">
        <v>2136</v>
      </c>
      <c r="H4246" s="507" t="s">
        <v>765</v>
      </c>
      <c r="I4246" s="512" t="s">
        <v>958</v>
      </c>
      <c r="J4246" s="513">
        <v>74915.55</v>
      </c>
      <c r="K4246" s="512"/>
      <c r="L4246" s="513">
        <v>56.97</v>
      </c>
      <c r="M4246" s="513">
        <v>56.96</v>
      </c>
      <c r="N4246" s="514"/>
      <c r="O4246" s="515">
        <v>0.2</v>
      </c>
      <c r="P4246" s="515"/>
      <c r="Q4246" s="514">
        <v>6693.98</v>
      </c>
      <c r="R4246" s="523" t="s">
        <v>35</v>
      </c>
      <c r="S4246" s="531" t="s">
        <v>41</v>
      </c>
      <c r="T4246" s="531">
        <v>17</v>
      </c>
      <c r="U4246" s="517" t="s">
        <v>164</v>
      </c>
      <c r="V4246" s="518"/>
      <c r="X4246" s="514">
        <v>6693.98</v>
      </c>
      <c r="Y4246" s="514"/>
      <c r="AJ4246" s="522"/>
      <c r="AL4246" s="514">
        <v>6693.98</v>
      </c>
    </row>
    <row r="4247" spans="1:77" s="379" customFormat="1" ht="11.25" customHeight="1">
      <c r="B4247" s="379" t="s">
        <v>291</v>
      </c>
      <c r="C4247" s="381">
        <v>44784</v>
      </c>
      <c r="D4247" s="381">
        <v>44784</v>
      </c>
      <c r="E4247" s="382" t="s">
        <v>3355</v>
      </c>
      <c r="F4247" s="379" t="s">
        <v>3823</v>
      </c>
      <c r="G4247" s="383">
        <v>4000</v>
      </c>
      <c r="H4247" s="394" t="s">
        <v>765</v>
      </c>
      <c r="I4247" s="384" t="s">
        <v>1426</v>
      </c>
      <c r="J4247" s="385">
        <v>36112.9</v>
      </c>
      <c r="K4247" s="384"/>
      <c r="L4247" s="385">
        <v>32.64</v>
      </c>
      <c r="M4247" s="385">
        <v>32.64</v>
      </c>
      <c r="N4247" s="386"/>
      <c r="O4247" s="387">
        <v>0.15</v>
      </c>
      <c r="P4247" s="387"/>
      <c r="Q4247" s="386">
        <v>4694.68</v>
      </c>
      <c r="R4247" s="379" t="s">
        <v>128</v>
      </c>
      <c r="S4247" s="388" t="s">
        <v>41</v>
      </c>
      <c r="T4247" s="388">
        <v>86</v>
      </c>
      <c r="U4247" s="389" t="s">
        <v>164</v>
      </c>
      <c r="V4247" s="433"/>
      <c r="X4247" s="386">
        <v>4694.68</v>
      </c>
      <c r="Y4247" s="386"/>
      <c r="AJ4247" s="416">
        <v>4694.68</v>
      </c>
    </row>
    <row r="4248" spans="1:77" s="618" customFormat="1" ht="11.25" customHeight="1">
      <c r="B4248" s="618" t="s">
        <v>291</v>
      </c>
      <c r="C4248" s="620">
        <v>44783</v>
      </c>
      <c r="D4248" s="620">
        <v>44784</v>
      </c>
      <c r="E4248" s="621" t="s">
        <v>3359</v>
      </c>
      <c r="F4248" s="618" t="s">
        <v>2155</v>
      </c>
      <c r="G4248" s="634">
        <v>4289</v>
      </c>
      <c r="H4248" s="618" t="s">
        <v>765</v>
      </c>
      <c r="I4248" s="626" t="s">
        <v>33</v>
      </c>
      <c r="J4248" s="635">
        <v>36193.01</v>
      </c>
      <c r="K4248" s="626"/>
      <c r="L4248" s="635">
        <v>29.28</v>
      </c>
      <c r="M4248" s="635">
        <v>29.28</v>
      </c>
      <c r="N4248" s="627">
        <v>9048.2520000000004</v>
      </c>
      <c r="O4248" s="628">
        <v>0.15</v>
      </c>
      <c r="P4248" s="628"/>
      <c r="Q4248" s="627">
        <v>4617.0200000000004</v>
      </c>
      <c r="R4248" s="618" t="s">
        <v>251</v>
      </c>
      <c r="S4248" s="629" t="s">
        <v>624</v>
      </c>
      <c r="T4248" s="629">
        <v>32</v>
      </c>
      <c r="U4248" s="631" t="s">
        <v>164</v>
      </c>
      <c r="V4248" s="632"/>
      <c r="X4248" s="627">
        <v>4617.0200000000004</v>
      </c>
      <c r="Y4248" s="627"/>
      <c r="AJ4248" s="633"/>
      <c r="AO4248" s="627">
        <v>4617.0200000000004</v>
      </c>
      <c r="AS4248" s="639"/>
    </row>
    <row r="4249" spans="1:77" s="473" customFormat="1" ht="11.25" customHeight="1">
      <c r="B4249" s="501" t="s">
        <v>291</v>
      </c>
      <c r="C4249" s="487">
        <v>44784</v>
      </c>
      <c r="D4249" s="487">
        <v>44784</v>
      </c>
      <c r="E4249" s="488" t="s">
        <v>3360</v>
      </c>
      <c r="F4249" s="472" t="s">
        <v>1162</v>
      </c>
      <c r="G4249" s="476" t="s">
        <v>1161</v>
      </c>
      <c r="H4249" s="472" t="s">
        <v>1164</v>
      </c>
      <c r="I4249" s="491" t="s">
        <v>888</v>
      </c>
      <c r="J4249" s="477">
        <v>138775</v>
      </c>
      <c r="K4249" s="472"/>
      <c r="L4249" s="477">
        <v>30.5</v>
      </c>
      <c r="M4249" s="477">
        <v>30.5</v>
      </c>
      <c r="N4249" s="492">
        <v>72345</v>
      </c>
      <c r="O4249" s="480">
        <v>0.25</v>
      </c>
      <c r="P4249" s="493"/>
      <c r="Q4249" s="492">
        <v>32828.25</v>
      </c>
      <c r="R4249" s="472" t="s">
        <v>112</v>
      </c>
      <c r="S4249" s="482" t="s">
        <v>113</v>
      </c>
      <c r="T4249" s="482">
        <v>64</v>
      </c>
      <c r="U4249" s="494" t="s">
        <v>164</v>
      </c>
      <c r="V4249" s="495"/>
      <c r="X4249" s="492">
        <v>32828.25</v>
      </c>
      <c r="Y4249" s="492"/>
      <c r="AJ4249" s="485"/>
      <c r="AK4249" s="505">
        <v>32828.25</v>
      </c>
    </row>
    <row r="4250" spans="1:77" s="291" customFormat="1" ht="11.25" customHeight="1">
      <c r="B4250" s="291" t="s">
        <v>291</v>
      </c>
      <c r="C4250" s="292">
        <v>44781</v>
      </c>
      <c r="D4250" s="292">
        <v>44784</v>
      </c>
      <c r="E4250" s="293" t="s">
        <v>3361</v>
      </c>
      <c r="F4250" s="291" t="s">
        <v>1062</v>
      </c>
      <c r="G4250" s="294">
        <v>4269</v>
      </c>
      <c r="H4250" s="291" t="s">
        <v>898</v>
      </c>
      <c r="I4250" s="295" t="s">
        <v>33</v>
      </c>
      <c r="J4250" s="296">
        <v>9864.92</v>
      </c>
      <c r="K4250" s="295"/>
      <c r="L4250" s="296">
        <v>6.22</v>
      </c>
      <c r="M4250" s="296">
        <v>6.22</v>
      </c>
      <c r="N4250" s="297"/>
      <c r="O4250" s="298">
        <v>0.25</v>
      </c>
      <c r="P4250" s="298"/>
      <c r="Q4250" s="297">
        <v>496.48</v>
      </c>
      <c r="R4250" s="291" t="s">
        <v>42</v>
      </c>
      <c r="S4250" s="299" t="s">
        <v>41</v>
      </c>
      <c r="T4250" s="299">
        <v>16</v>
      </c>
      <c r="U4250" s="300" t="s">
        <v>164</v>
      </c>
      <c r="V4250" s="333"/>
      <c r="X4250" s="297">
        <v>496.48</v>
      </c>
      <c r="Y4250" s="297"/>
      <c r="AH4250" s="291">
        <f>X4250</f>
        <v>496.48</v>
      </c>
      <c r="AI4250" s="311"/>
      <c r="AJ4250" s="468"/>
    </row>
    <row r="4251" spans="1:77" s="473" customFormat="1" ht="11.25" customHeight="1">
      <c r="B4251" s="473" t="s">
        <v>291</v>
      </c>
      <c r="C4251" s="487">
        <v>44784</v>
      </c>
      <c r="D4251" s="487">
        <v>44784</v>
      </c>
      <c r="E4251" s="488" t="s">
        <v>3362</v>
      </c>
      <c r="F4251" s="473" t="s">
        <v>970</v>
      </c>
      <c r="G4251" s="489">
        <v>3876</v>
      </c>
      <c r="H4251" s="473" t="s">
        <v>765</v>
      </c>
      <c r="I4251" s="491" t="s">
        <v>888</v>
      </c>
      <c r="J4251" s="490">
        <v>18365.13</v>
      </c>
      <c r="K4251" s="491"/>
      <c r="L4251" s="490">
        <v>17.22</v>
      </c>
      <c r="M4251" s="490">
        <v>17.22</v>
      </c>
      <c r="N4251" s="492"/>
      <c r="O4251" s="493">
        <v>0.2</v>
      </c>
      <c r="P4251" s="493"/>
      <c r="Q4251" s="492">
        <v>0</v>
      </c>
      <c r="R4251" s="473" t="s">
        <v>35</v>
      </c>
      <c r="S4251" s="481" t="s">
        <v>971</v>
      </c>
      <c r="T4251" s="481">
        <v>17</v>
      </c>
      <c r="U4251" s="494" t="s">
        <v>164</v>
      </c>
      <c r="V4251" s="495"/>
      <c r="X4251" s="492">
        <v>0</v>
      </c>
      <c r="Y4251" s="492"/>
      <c r="AJ4251" s="485"/>
      <c r="AK4251" s="473">
        <v>0</v>
      </c>
    </row>
    <row r="4252" spans="1:77" s="379" customFormat="1" ht="11.25" customHeight="1">
      <c r="B4252" s="406" t="s">
        <v>291</v>
      </c>
      <c r="C4252" s="381">
        <v>44774</v>
      </c>
      <c r="D4252" s="381">
        <v>44784</v>
      </c>
      <c r="E4252" s="382" t="s">
        <v>3363</v>
      </c>
      <c r="F4252" s="394" t="s">
        <v>1570</v>
      </c>
      <c r="G4252" s="400">
        <v>3650</v>
      </c>
      <c r="H4252" s="379" t="s">
        <v>866</v>
      </c>
      <c r="I4252" s="384" t="s">
        <v>33</v>
      </c>
      <c r="J4252" s="385">
        <v>3062.4</v>
      </c>
      <c r="K4252" s="384"/>
      <c r="L4252" s="385">
        <v>2.4</v>
      </c>
      <c r="M4252" s="385">
        <v>2.4</v>
      </c>
      <c r="N4252" s="386"/>
      <c r="O4252" s="387">
        <v>0.3</v>
      </c>
      <c r="P4252" s="387"/>
      <c r="Q4252" s="386">
        <v>0</v>
      </c>
      <c r="R4252" s="379" t="s">
        <v>35</v>
      </c>
      <c r="S4252" s="388" t="s">
        <v>41</v>
      </c>
      <c r="T4252" s="388">
        <v>86</v>
      </c>
      <c r="U4252" s="389" t="s">
        <v>164</v>
      </c>
      <c r="V4252" s="433"/>
      <c r="X4252" s="386">
        <v>0</v>
      </c>
      <c r="Y4252" s="386"/>
      <c r="AJ4252" s="390">
        <v>0</v>
      </c>
    </row>
    <row r="4253" spans="1:77" s="379" customFormat="1" ht="11.25" customHeight="1">
      <c r="B4253" s="406" t="s">
        <v>291</v>
      </c>
      <c r="C4253" s="381"/>
      <c r="D4253" s="381"/>
      <c r="E4253" s="382" t="s">
        <v>3363</v>
      </c>
      <c r="F4253" s="394" t="s">
        <v>1570</v>
      </c>
      <c r="G4253" s="400">
        <v>3650</v>
      </c>
      <c r="H4253" s="379" t="s">
        <v>898</v>
      </c>
      <c r="I4253" s="384" t="s">
        <v>33</v>
      </c>
      <c r="J4253" s="385">
        <v>5958.92</v>
      </c>
      <c r="K4253" s="384"/>
      <c r="L4253" s="385">
        <v>4.67</v>
      </c>
      <c r="M4253" s="385">
        <v>4.67</v>
      </c>
      <c r="N4253" s="386"/>
      <c r="O4253" s="387">
        <v>0.3</v>
      </c>
      <c r="P4253" s="387"/>
      <c r="Q4253" s="386">
        <v>0</v>
      </c>
      <c r="R4253" s="379" t="s">
        <v>35</v>
      </c>
      <c r="S4253" s="388" t="s">
        <v>41</v>
      </c>
      <c r="T4253" s="388">
        <v>86</v>
      </c>
      <c r="U4253" s="389" t="s">
        <v>164</v>
      </c>
      <c r="V4253" s="433"/>
      <c r="X4253" s="386">
        <v>0</v>
      </c>
      <c r="Y4253" s="386"/>
      <c r="AJ4253" s="390">
        <v>0</v>
      </c>
    </row>
    <row r="4254" spans="1:77" s="379" customFormat="1" ht="11.25" customHeight="1">
      <c r="B4254" s="406" t="s">
        <v>291</v>
      </c>
      <c r="C4254" s="381"/>
      <c r="D4254" s="381"/>
      <c r="E4254" s="382" t="s">
        <v>3363</v>
      </c>
      <c r="F4254" s="394" t="s">
        <v>1570</v>
      </c>
      <c r="G4254" s="400">
        <v>3650</v>
      </c>
      <c r="H4254" s="379" t="s">
        <v>765</v>
      </c>
      <c r="I4254" s="384" t="s">
        <v>33</v>
      </c>
      <c r="J4254" s="385">
        <v>13000.5</v>
      </c>
      <c r="K4254" s="384"/>
      <c r="L4254" s="385">
        <v>13.5</v>
      </c>
      <c r="M4254" s="385">
        <v>13.5</v>
      </c>
      <c r="N4254" s="386"/>
      <c r="O4254" s="387">
        <v>0.3</v>
      </c>
      <c r="P4254" s="387"/>
      <c r="Q4254" s="386">
        <v>0</v>
      </c>
      <c r="R4254" s="379" t="s">
        <v>35</v>
      </c>
      <c r="S4254" s="388" t="s">
        <v>41</v>
      </c>
      <c r="T4254" s="388">
        <v>16</v>
      </c>
      <c r="U4254" s="389" t="s">
        <v>164</v>
      </c>
      <c r="V4254" s="433"/>
      <c r="X4254" s="386">
        <v>0</v>
      </c>
      <c r="Y4254" s="386"/>
      <c r="AJ4254" s="390">
        <v>0</v>
      </c>
    </row>
    <row r="4255" spans="1:77" s="6" customFormat="1" ht="11.25" customHeight="1">
      <c r="A4255" s="379"/>
      <c r="B4255" s="380" t="s">
        <v>291</v>
      </c>
      <c r="C4255" s="381">
        <v>44783</v>
      </c>
      <c r="D4255" s="381">
        <v>44785</v>
      </c>
      <c r="E4255" s="382" t="s">
        <v>3364</v>
      </c>
      <c r="F4255" s="394" t="s">
        <v>3082</v>
      </c>
      <c r="G4255" s="383">
        <v>3939</v>
      </c>
      <c r="H4255" s="379" t="s">
        <v>1201</v>
      </c>
      <c r="I4255" s="384" t="s">
        <v>1056</v>
      </c>
      <c r="J4255" s="385">
        <v>41940</v>
      </c>
      <c r="K4255" s="384"/>
      <c r="L4255" s="385">
        <v>12</v>
      </c>
      <c r="M4255" s="385">
        <v>12</v>
      </c>
      <c r="N4255" s="386">
        <f>J4255*0.8</f>
        <v>33552</v>
      </c>
      <c r="O4255" s="387">
        <v>0.2</v>
      </c>
      <c r="P4255" s="387"/>
      <c r="Q4255" s="386">
        <v>26841.599999999999</v>
      </c>
      <c r="R4255" s="379" t="s">
        <v>257</v>
      </c>
      <c r="S4255" s="388" t="s">
        <v>3078</v>
      </c>
      <c r="T4255" s="399">
        <v>47</v>
      </c>
      <c r="U4255" s="389" t="s">
        <v>164</v>
      </c>
      <c r="V4255" s="433"/>
      <c r="W4255" s="379"/>
      <c r="X4255" s="386">
        <v>26841.599999999999</v>
      </c>
      <c r="Y4255" s="386"/>
      <c r="Z4255" s="379"/>
      <c r="AA4255" s="379"/>
      <c r="AB4255" s="379"/>
      <c r="AC4255" s="379"/>
      <c r="AD4255" s="379"/>
      <c r="AE4255" s="379"/>
      <c r="AF4255" s="379"/>
      <c r="AG4255" s="379"/>
      <c r="AH4255" s="379"/>
      <c r="AI4255" s="379"/>
      <c r="AJ4255" s="416">
        <v>26841.599999999999</v>
      </c>
      <c r="AK4255" s="379"/>
      <c r="AL4255" s="379"/>
      <c r="AM4255" s="379"/>
      <c r="AN4255" s="379"/>
      <c r="AO4255" s="379"/>
      <c r="AP4255" s="379"/>
      <c r="AQ4255" s="379"/>
      <c r="AR4255" s="379"/>
      <c r="AS4255" s="379"/>
      <c r="AT4255" s="379"/>
      <c r="AU4255" s="379"/>
      <c r="AV4255" s="379"/>
      <c r="AW4255" s="379"/>
      <c r="AX4255" s="379"/>
      <c r="AY4255" s="379"/>
      <c r="AZ4255" s="379"/>
      <c r="BA4255" s="379"/>
      <c r="BB4255" s="379"/>
      <c r="BC4255" s="379"/>
      <c r="BD4255" s="379"/>
      <c r="BE4255" s="379"/>
      <c r="BF4255" s="379"/>
      <c r="BG4255" s="379"/>
      <c r="BH4255" s="379"/>
      <c r="BI4255" s="379"/>
      <c r="BJ4255" s="379"/>
      <c r="BK4255" s="379"/>
      <c r="BL4255" s="379"/>
      <c r="BM4255" s="379"/>
      <c r="BN4255" s="379"/>
      <c r="BO4255" s="379"/>
      <c r="BP4255" s="379"/>
      <c r="BQ4255" s="379"/>
      <c r="BR4255" s="379"/>
      <c r="BS4255" s="379"/>
      <c r="BT4255" s="379"/>
      <c r="BU4255" s="379"/>
      <c r="BV4255" s="379"/>
      <c r="BW4255" s="379"/>
      <c r="BX4255" s="379"/>
      <c r="BY4255" s="379"/>
    </row>
    <row r="4256" spans="1:77" s="291" customFormat="1" ht="11.25" customHeight="1">
      <c r="B4256" s="310" t="s">
        <v>291</v>
      </c>
      <c r="C4256" s="292">
        <v>44785</v>
      </c>
      <c r="D4256" s="292">
        <v>44785</v>
      </c>
      <c r="E4256" s="293" t="s">
        <v>3365</v>
      </c>
      <c r="F4256" s="291" t="s">
        <v>3366</v>
      </c>
      <c r="G4256" s="294">
        <v>4002</v>
      </c>
      <c r="H4256" s="291" t="s">
        <v>207</v>
      </c>
      <c r="I4256" s="295" t="s">
        <v>1426</v>
      </c>
      <c r="J4256" s="296">
        <v>64953</v>
      </c>
      <c r="K4256" s="295"/>
      <c r="L4256" s="296">
        <v>72.17</v>
      </c>
      <c r="M4256" s="296">
        <v>72.17</v>
      </c>
      <c r="N4256" s="297">
        <v>20213.55</v>
      </c>
      <c r="O4256" s="298">
        <v>0.3</v>
      </c>
      <c r="P4256" s="298"/>
      <c r="Q4256" s="297">
        <v>3533.22</v>
      </c>
      <c r="R4256" s="291" t="s">
        <v>50</v>
      </c>
      <c r="S4256" s="299" t="s">
        <v>51</v>
      </c>
      <c r="T4256" s="299">
        <v>54</v>
      </c>
      <c r="U4256" s="300" t="s">
        <v>164</v>
      </c>
      <c r="V4256" s="333"/>
      <c r="X4256" s="297">
        <v>3533.22</v>
      </c>
      <c r="Y4256" s="297"/>
      <c r="AH4256" s="297">
        <f>X4256</f>
        <v>3533.22</v>
      </c>
      <c r="AI4256" s="311"/>
      <c r="AJ4256" s="468"/>
    </row>
    <row r="4257" spans="2:41" s="379" customFormat="1" ht="11.25" customHeight="1">
      <c r="B4257" s="380" t="s">
        <v>291</v>
      </c>
      <c r="C4257" s="381">
        <v>44785</v>
      </c>
      <c r="D4257" s="381">
        <v>44785</v>
      </c>
      <c r="E4257" s="382" t="s">
        <v>3367</v>
      </c>
      <c r="F4257" s="379" t="s">
        <v>3368</v>
      </c>
      <c r="G4257" s="383" t="s">
        <v>3369</v>
      </c>
      <c r="H4257" s="379" t="s">
        <v>866</v>
      </c>
      <c r="I4257" s="384" t="s">
        <v>888</v>
      </c>
      <c r="J4257" s="385">
        <v>18130.849999999999</v>
      </c>
      <c r="K4257" s="384"/>
      <c r="L4257" s="385">
        <v>20.55</v>
      </c>
      <c r="M4257" s="385">
        <v>20.55</v>
      </c>
      <c r="N4257" s="386">
        <v>3538.82</v>
      </c>
      <c r="O4257" s="387">
        <v>0.25</v>
      </c>
      <c r="P4257" s="387"/>
      <c r="Q4257" s="386">
        <v>0</v>
      </c>
      <c r="R4257" s="379" t="s">
        <v>50</v>
      </c>
      <c r="S4257" s="388" t="s">
        <v>51</v>
      </c>
      <c r="T4257" s="388">
        <v>55</v>
      </c>
      <c r="U4257" s="389" t="s">
        <v>164</v>
      </c>
      <c r="V4257" s="433"/>
      <c r="X4257" s="386">
        <v>0</v>
      </c>
      <c r="Y4257" s="386"/>
      <c r="AJ4257" s="390">
        <v>0</v>
      </c>
    </row>
    <row r="4258" spans="2:41" s="379" customFormat="1" ht="11.25" customHeight="1">
      <c r="B4258" s="380" t="s">
        <v>291</v>
      </c>
      <c r="C4258" s="381"/>
      <c r="D4258" s="381"/>
      <c r="E4258" s="382" t="s">
        <v>3367</v>
      </c>
      <c r="F4258" s="379" t="s">
        <v>3368</v>
      </c>
      <c r="G4258" s="383" t="s">
        <v>3369</v>
      </c>
      <c r="H4258" s="394" t="s">
        <v>765</v>
      </c>
      <c r="I4258" s="384" t="s">
        <v>888</v>
      </c>
      <c r="J4258" s="385">
        <v>24062.87</v>
      </c>
      <c r="K4258" s="384"/>
      <c r="L4258" s="385">
        <v>32.979999999999997</v>
      </c>
      <c r="M4258" s="385">
        <v>32.979999999999997</v>
      </c>
      <c r="N4258" s="386">
        <v>3609.43</v>
      </c>
      <c r="O4258" s="387">
        <v>0.25</v>
      </c>
      <c r="P4258" s="387"/>
      <c r="Q4258" s="386">
        <v>0</v>
      </c>
      <c r="R4258" s="379" t="s">
        <v>50</v>
      </c>
      <c r="S4258" s="388" t="s">
        <v>51</v>
      </c>
      <c r="T4258" s="388">
        <v>55</v>
      </c>
      <c r="U4258" s="389" t="s">
        <v>164</v>
      </c>
      <c r="V4258" s="433"/>
      <c r="X4258" s="386">
        <v>0</v>
      </c>
      <c r="Y4258" s="386"/>
      <c r="AJ4258" s="390">
        <v>0</v>
      </c>
    </row>
    <row r="4259" spans="2:41" s="337" customFormat="1" ht="11.25" customHeight="1">
      <c r="B4259" s="338" t="s">
        <v>291</v>
      </c>
      <c r="C4259" s="349"/>
      <c r="D4259" s="349"/>
      <c r="E4259" s="350" t="s">
        <v>3370</v>
      </c>
      <c r="F4259" s="337" t="s">
        <v>159</v>
      </c>
      <c r="G4259" s="351">
        <v>3817</v>
      </c>
      <c r="H4259" s="341" t="s">
        <v>814</v>
      </c>
      <c r="I4259" s="353" t="s">
        <v>33</v>
      </c>
      <c r="J4259" s="352">
        <v>9310.56</v>
      </c>
      <c r="K4259" s="353"/>
      <c r="L4259" s="352">
        <v>8.16</v>
      </c>
      <c r="M4259" s="352">
        <v>8.16</v>
      </c>
      <c r="N4259" s="354">
        <v>3258.7</v>
      </c>
      <c r="O4259" s="355">
        <v>0.15</v>
      </c>
      <c r="P4259" s="355"/>
      <c r="Q4259" s="354">
        <v>0</v>
      </c>
      <c r="R4259" s="337" t="s">
        <v>112</v>
      </c>
      <c r="S4259" s="356" t="s">
        <v>113</v>
      </c>
      <c r="T4259" s="356">
        <v>64</v>
      </c>
      <c r="U4259" s="357" t="s">
        <v>164</v>
      </c>
      <c r="V4259" s="434"/>
      <c r="X4259" s="354">
        <v>0</v>
      </c>
      <c r="Y4259" s="354"/>
      <c r="AI4259" s="337">
        <f>X4259</f>
        <v>0</v>
      </c>
      <c r="AJ4259" s="358"/>
      <c r="AK4259" s="369"/>
    </row>
    <row r="4260" spans="2:41" s="261" customFormat="1" ht="11.25" customHeight="1">
      <c r="B4260" s="258" t="s">
        <v>291</v>
      </c>
      <c r="C4260" s="259">
        <v>44783</v>
      </c>
      <c r="D4260" s="259">
        <v>44785</v>
      </c>
      <c r="E4260" s="260" t="s">
        <v>3370</v>
      </c>
      <c r="F4260" s="261" t="s">
        <v>159</v>
      </c>
      <c r="G4260" s="262">
        <v>3817</v>
      </c>
      <c r="H4260" s="273" t="s">
        <v>910</v>
      </c>
      <c r="I4260" s="264" t="s">
        <v>33</v>
      </c>
      <c r="J4260" s="263">
        <v>16429.14</v>
      </c>
      <c r="K4260" s="264"/>
      <c r="L4260" s="263">
        <v>8.19</v>
      </c>
      <c r="M4260" s="263">
        <v>8.19</v>
      </c>
      <c r="N4260" s="265">
        <v>0</v>
      </c>
      <c r="O4260" s="266">
        <v>0.15</v>
      </c>
      <c r="P4260" s="266"/>
      <c r="Q4260" s="265">
        <v>0</v>
      </c>
      <c r="R4260" s="261" t="s">
        <v>112</v>
      </c>
      <c r="S4260" s="267" t="s">
        <v>113</v>
      </c>
      <c r="T4260" s="267">
        <v>64</v>
      </c>
      <c r="U4260" s="268" t="s">
        <v>164</v>
      </c>
      <c r="V4260" s="427"/>
      <c r="X4260" s="265">
        <v>0</v>
      </c>
      <c r="Y4260" s="265"/>
      <c r="AG4260" s="261">
        <f>X4260</f>
        <v>0</v>
      </c>
      <c r="AJ4260" s="642"/>
    </row>
    <row r="4261" spans="2:41" s="337" customFormat="1" ht="11.25" customHeight="1">
      <c r="B4261" s="338" t="s">
        <v>291</v>
      </c>
      <c r="C4261" s="349"/>
      <c r="D4261" s="349"/>
      <c r="E4261" s="350" t="s">
        <v>3370</v>
      </c>
      <c r="F4261" s="337" t="s">
        <v>159</v>
      </c>
      <c r="G4261" s="351">
        <v>3817</v>
      </c>
      <c r="H4261" s="341" t="s">
        <v>866</v>
      </c>
      <c r="I4261" s="353" t="s">
        <v>33</v>
      </c>
      <c r="J4261" s="352">
        <v>6004.4</v>
      </c>
      <c r="K4261" s="353"/>
      <c r="L4261" s="352">
        <v>4</v>
      </c>
      <c r="M4261" s="352">
        <v>4</v>
      </c>
      <c r="N4261" s="354">
        <v>2701.98</v>
      </c>
      <c r="O4261" s="355">
        <v>0.15</v>
      </c>
      <c r="P4261" s="355"/>
      <c r="Q4261" s="354">
        <v>1812.54</v>
      </c>
      <c r="R4261" s="337" t="s">
        <v>112</v>
      </c>
      <c r="S4261" s="356" t="s">
        <v>113</v>
      </c>
      <c r="T4261" s="356">
        <v>64</v>
      </c>
      <c r="U4261" s="357" t="s">
        <v>164</v>
      </c>
      <c r="V4261" s="434"/>
      <c r="X4261" s="354">
        <v>1812.54</v>
      </c>
      <c r="Y4261" s="354"/>
      <c r="AI4261" s="354">
        <v>1812.54</v>
      </c>
      <c r="AJ4261" s="358"/>
      <c r="AK4261" s="369"/>
    </row>
    <row r="4262" spans="2:41" s="337" customFormat="1" ht="11.25" customHeight="1">
      <c r="B4262" s="338" t="s">
        <v>291</v>
      </c>
      <c r="C4262" s="349"/>
      <c r="D4262" s="349"/>
      <c r="E4262" s="350" t="s">
        <v>3370</v>
      </c>
      <c r="F4262" s="337" t="s">
        <v>159</v>
      </c>
      <c r="G4262" s="351">
        <v>3817</v>
      </c>
      <c r="H4262" s="341" t="s">
        <v>765</v>
      </c>
      <c r="I4262" s="353" t="s">
        <v>33</v>
      </c>
      <c r="J4262" s="352">
        <v>4619.7</v>
      </c>
      <c r="K4262" s="353"/>
      <c r="L4262" s="352">
        <v>4.3499999999999996</v>
      </c>
      <c r="M4262" s="352">
        <v>4.3499999999999996</v>
      </c>
      <c r="N4262" s="354">
        <v>1616.9</v>
      </c>
      <c r="O4262" s="355">
        <v>0.15</v>
      </c>
      <c r="P4262" s="355"/>
      <c r="Q4262" s="354">
        <v>129.19999999999999</v>
      </c>
      <c r="R4262" s="337" t="s">
        <v>112</v>
      </c>
      <c r="S4262" s="356" t="s">
        <v>113</v>
      </c>
      <c r="T4262" s="356">
        <v>64</v>
      </c>
      <c r="U4262" s="357" t="s">
        <v>164</v>
      </c>
      <c r="V4262" s="434"/>
      <c r="X4262" s="354">
        <v>129.19999999999999</v>
      </c>
      <c r="Y4262" s="354"/>
      <c r="AI4262" s="354">
        <v>129.19999999999999</v>
      </c>
      <c r="AJ4262" s="358"/>
      <c r="AK4262" s="369"/>
    </row>
    <row r="4263" spans="2:41" s="618" customFormat="1" ht="11.25" customHeight="1">
      <c r="B4263" s="619" t="s">
        <v>291</v>
      </c>
      <c r="C4263" s="620">
        <v>44785</v>
      </c>
      <c r="D4263" s="620">
        <v>44785</v>
      </c>
      <c r="E4263" s="621" t="s">
        <v>3371</v>
      </c>
      <c r="F4263" s="618" t="s">
        <v>2382</v>
      </c>
      <c r="G4263" s="634" t="s">
        <v>2383</v>
      </c>
      <c r="H4263" s="618" t="s">
        <v>898</v>
      </c>
      <c r="I4263" s="626" t="s">
        <v>888</v>
      </c>
      <c r="J4263" s="635">
        <v>5567.63</v>
      </c>
      <c r="K4263" s="626"/>
      <c r="L4263" s="635">
        <v>5.25</v>
      </c>
      <c r="M4263" s="635">
        <v>5.25</v>
      </c>
      <c r="N4263" s="627">
        <v>2783.8125</v>
      </c>
      <c r="O4263" s="628">
        <v>0.25</v>
      </c>
      <c r="P4263" s="628"/>
      <c r="Q4263" s="627">
        <v>1179.81</v>
      </c>
      <c r="R4263" s="618" t="s">
        <v>285</v>
      </c>
      <c r="S4263" s="629" t="s">
        <v>275</v>
      </c>
      <c r="T4263" s="629">
        <v>21</v>
      </c>
      <c r="U4263" s="631" t="s">
        <v>164</v>
      </c>
      <c r="V4263" s="632"/>
      <c r="X4263" s="627">
        <v>1179.81</v>
      </c>
      <c r="Y4263" s="627"/>
      <c r="AJ4263" s="633"/>
      <c r="AO4263" s="627">
        <v>1179.81</v>
      </c>
    </row>
    <row r="4264" spans="2:41" s="337" customFormat="1" ht="11.25" customHeight="1">
      <c r="B4264" s="337" t="s">
        <v>291</v>
      </c>
      <c r="C4264" s="349">
        <v>44785</v>
      </c>
      <c r="D4264" s="349">
        <v>44785</v>
      </c>
      <c r="E4264" s="350" t="s">
        <v>3372</v>
      </c>
      <c r="F4264" s="341" t="s">
        <v>1968</v>
      </c>
      <c r="G4264" s="342" t="s">
        <v>1969</v>
      </c>
      <c r="H4264" s="337" t="s">
        <v>898</v>
      </c>
      <c r="I4264" s="353" t="s">
        <v>888</v>
      </c>
      <c r="J4264" s="352">
        <v>17756.89</v>
      </c>
      <c r="K4264" s="353"/>
      <c r="L4264" s="352">
        <v>12.11</v>
      </c>
      <c r="M4264" s="352">
        <v>12.11</v>
      </c>
      <c r="N4264" s="354"/>
      <c r="O4264" s="355">
        <v>0.25</v>
      </c>
      <c r="P4264" s="355"/>
      <c r="Q4264" s="337">
        <v>4445.88</v>
      </c>
      <c r="R4264" s="337" t="s">
        <v>35</v>
      </c>
      <c r="S4264" s="356" t="s">
        <v>41</v>
      </c>
      <c r="T4264" s="346">
        <v>16</v>
      </c>
      <c r="U4264" s="357" t="s">
        <v>164</v>
      </c>
      <c r="V4264" s="434"/>
      <c r="X4264" s="337">
        <v>4445.88</v>
      </c>
      <c r="Y4264" s="354"/>
      <c r="AI4264" s="337">
        <v>4445.88</v>
      </c>
      <c r="AJ4264" s="358"/>
      <c r="AK4264" s="369"/>
    </row>
    <row r="4265" spans="2:41" s="618" customFormat="1" ht="11.25" customHeight="1">
      <c r="B4265" s="618" t="s">
        <v>291</v>
      </c>
      <c r="C4265" s="620">
        <v>44785</v>
      </c>
      <c r="D4265" s="620">
        <v>44785</v>
      </c>
      <c r="E4265" s="621" t="s">
        <v>3373</v>
      </c>
      <c r="F4265" s="624" t="s">
        <v>2640</v>
      </c>
      <c r="G4265" s="623" t="s">
        <v>2641</v>
      </c>
      <c r="H4265" s="618" t="s">
        <v>1018</v>
      </c>
      <c r="I4265" s="626" t="s">
        <v>888</v>
      </c>
      <c r="J4265" s="635">
        <v>13696.5</v>
      </c>
      <c r="K4265" s="626"/>
      <c r="L4265" s="635">
        <v>19.850000000000001</v>
      </c>
      <c r="M4265" s="635">
        <v>19.850000000000001</v>
      </c>
      <c r="N4265" s="627">
        <v>2054.4749999999999</v>
      </c>
      <c r="O4265" s="628">
        <v>0.2</v>
      </c>
      <c r="P4265" s="628"/>
      <c r="Q4265" s="627">
        <v>0</v>
      </c>
      <c r="R4265" s="618" t="s">
        <v>285</v>
      </c>
      <c r="S4265" s="629" t="s">
        <v>275</v>
      </c>
      <c r="T4265" s="630">
        <v>21</v>
      </c>
      <c r="U4265" s="631" t="s">
        <v>164</v>
      </c>
      <c r="V4265" s="632"/>
      <c r="X4265" s="627">
        <v>0</v>
      </c>
      <c r="Y4265" s="627"/>
      <c r="Z4265" s="639"/>
      <c r="AJ4265" s="633"/>
      <c r="AO4265" s="618">
        <v>0</v>
      </c>
    </row>
    <row r="4266" spans="2:41" s="337" customFormat="1" ht="11.25" customHeight="1">
      <c r="B4266" s="337" t="s">
        <v>291</v>
      </c>
      <c r="C4266" s="349">
        <v>44785</v>
      </c>
      <c r="D4266" s="349">
        <v>44785</v>
      </c>
      <c r="E4266" s="350" t="s">
        <v>3374</v>
      </c>
      <c r="F4266" s="341" t="s">
        <v>3375</v>
      </c>
      <c r="G4266" s="342">
        <v>1012</v>
      </c>
      <c r="H4266" s="337" t="s">
        <v>866</v>
      </c>
      <c r="I4266" s="353" t="s">
        <v>961</v>
      </c>
      <c r="J4266" s="352">
        <v>94497.49</v>
      </c>
      <c r="K4266" s="353"/>
      <c r="L4266" s="352">
        <v>36.67</v>
      </c>
      <c r="M4266" s="352">
        <v>36.659999999999997</v>
      </c>
      <c r="N4266" s="354">
        <v>27077</v>
      </c>
      <c r="O4266" s="355">
        <v>0.25</v>
      </c>
      <c r="P4266" s="355"/>
      <c r="Q4266" s="354">
        <v>21526.29</v>
      </c>
      <c r="R4266" s="337" t="s">
        <v>2296</v>
      </c>
      <c r="S4266" s="356" t="s">
        <v>113</v>
      </c>
      <c r="T4266" s="346">
        <v>64</v>
      </c>
      <c r="U4266" s="357" t="s">
        <v>164</v>
      </c>
      <c r="V4266" s="434"/>
      <c r="X4266" s="354">
        <v>21526.29</v>
      </c>
      <c r="Y4266" s="354"/>
      <c r="AI4266" s="354">
        <v>21526.29</v>
      </c>
      <c r="AJ4266" s="358"/>
      <c r="AK4266" s="369"/>
    </row>
    <row r="4267" spans="2:41" s="379" customFormat="1" ht="11.25" customHeight="1">
      <c r="B4267" s="379" t="s">
        <v>291</v>
      </c>
      <c r="C4267" s="381">
        <v>44785</v>
      </c>
      <c r="D4267" s="381">
        <v>44785</v>
      </c>
      <c r="E4267" s="382" t="s">
        <v>3376</v>
      </c>
      <c r="F4267" s="394" t="s">
        <v>3377</v>
      </c>
      <c r="G4267" s="400">
        <v>4188</v>
      </c>
      <c r="H4267" s="379" t="s">
        <v>814</v>
      </c>
      <c r="I4267" s="384" t="s">
        <v>888</v>
      </c>
      <c r="J4267" s="385">
        <v>111160.68</v>
      </c>
      <c r="K4267" s="384"/>
      <c r="L4267" s="385">
        <v>102.34</v>
      </c>
      <c r="M4267" s="385">
        <v>102.34</v>
      </c>
      <c r="N4267" s="386">
        <v>67821</v>
      </c>
      <c r="O4267" s="387">
        <v>0.2</v>
      </c>
      <c r="P4267" s="387"/>
      <c r="Q4267" s="386">
        <v>52789.79</v>
      </c>
      <c r="R4267" s="379" t="s">
        <v>257</v>
      </c>
      <c r="S4267" s="388" t="s">
        <v>2866</v>
      </c>
      <c r="T4267" s="399">
        <v>47</v>
      </c>
      <c r="U4267" s="389" t="s">
        <v>164</v>
      </c>
      <c r="V4267" s="433"/>
      <c r="X4267" s="386">
        <v>52789.79</v>
      </c>
      <c r="Y4267" s="386"/>
      <c r="AJ4267" s="416">
        <v>52789.79</v>
      </c>
    </row>
    <row r="4268" spans="2:41" s="379" customFormat="1" ht="11.25" customHeight="1">
      <c r="B4268" s="379" t="s">
        <v>291</v>
      </c>
      <c r="C4268" s="381"/>
      <c r="D4268" s="381"/>
      <c r="E4268" s="382" t="s">
        <v>3376</v>
      </c>
      <c r="F4268" s="394" t="s">
        <v>3377</v>
      </c>
      <c r="G4268" s="400">
        <v>4188</v>
      </c>
      <c r="H4268" s="379" t="s">
        <v>866</v>
      </c>
      <c r="I4268" s="384" t="s">
        <v>888</v>
      </c>
      <c r="J4268" s="385">
        <v>101546.83</v>
      </c>
      <c r="K4268" s="384"/>
      <c r="L4268" s="385">
        <v>69.41</v>
      </c>
      <c r="M4268" s="385">
        <v>69.41</v>
      </c>
      <c r="N4268" s="386">
        <v>30165</v>
      </c>
      <c r="O4268" s="387">
        <v>0.2</v>
      </c>
      <c r="P4268" s="387"/>
      <c r="Q4268" s="386">
        <v>24600.81</v>
      </c>
      <c r="R4268" s="379" t="s">
        <v>257</v>
      </c>
      <c r="S4268" s="388" t="s">
        <v>2866</v>
      </c>
      <c r="T4268" s="399">
        <v>47</v>
      </c>
      <c r="U4268" s="389" t="s">
        <v>164</v>
      </c>
      <c r="V4268" s="433"/>
      <c r="X4268" s="386">
        <v>24600.81</v>
      </c>
      <c r="Y4268" s="386"/>
      <c r="AJ4268" s="416">
        <v>24600.81</v>
      </c>
    </row>
    <row r="4269" spans="2:41" s="337" customFormat="1" ht="11.25" customHeight="1">
      <c r="B4269" s="337" t="s">
        <v>291</v>
      </c>
      <c r="C4269" s="349">
        <v>44785</v>
      </c>
      <c r="D4269" s="349">
        <v>44785</v>
      </c>
      <c r="E4269" s="350" t="s">
        <v>3378</v>
      </c>
      <c r="F4269" s="341" t="s">
        <v>3379</v>
      </c>
      <c r="G4269" s="342" t="s">
        <v>3380</v>
      </c>
      <c r="H4269" s="337" t="s">
        <v>866</v>
      </c>
      <c r="I4269" s="353" t="s">
        <v>33</v>
      </c>
      <c r="J4269" s="352">
        <v>60701.83</v>
      </c>
      <c r="K4269" s="353"/>
      <c r="L4269" s="352">
        <v>32.520000000000003</v>
      </c>
      <c r="M4269" s="352">
        <v>32.5</v>
      </c>
      <c r="N4269" s="354">
        <v>32094.3</v>
      </c>
      <c r="O4269" s="355">
        <v>0.2</v>
      </c>
      <c r="P4269" s="355"/>
      <c r="Q4269" s="354">
        <v>19937.36</v>
      </c>
      <c r="R4269" s="337" t="s">
        <v>112</v>
      </c>
      <c r="S4269" s="356" t="s">
        <v>113</v>
      </c>
      <c r="T4269" s="346">
        <v>64</v>
      </c>
      <c r="U4269" s="357" t="s">
        <v>164</v>
      </c>
      <c r="V4269" s="434"/>
      <c r="X4269" s="354">
        <v>19937.36</v>
      </c>
      <c r="Y4269" s="354"/>
      <c r="AI4269" s="354">
        <v>19937.36</v>
      </c>
      <c r="AJ4269" s="358"/>
      <c r="AK4269" s="369"/>
    </row>
    <row r="4270" spans="2:41" s="337" customFormat="1" ht="11.25" customHeight="1">
      <c r="B4270" s="337" t="s">
        <v>291</v>
      </c>
      <c r="C4270" s="349"/>
      <c r="D4270" s="349"/>
      <c r="E4270" s="350" t="s">
        <v>3378</v>
      </c>
      <c r="F4270" s="341" t="s">
        <v>3379</v>
      </c>
      <c r="G4270" s="342" t="s">
        <v>3380</v>
      </c>
      <c r="H4270" s="337" t="s">
        <v>814</v>
      </c>
      <c r="I4270" s="353" t="s">
        <v>33</v>
      </c>
      <c r="J4270" s="352">
        <v>13044.93</v>
      </c>
      <c r="K4270" s="353"/>
      <c r="L4270" s="352">
        <v>9.35</v>
      </c>
      <c r="M4270" s="352">
        <v>9.34</v>
      </c>
      <c r="N4270" s="354">
        <v>5863.9</v>
      </c>
      <c r="O4270" s="355">
        <v>0.2</v>
      </c>
      <c r="P4270" s="355"/>
      <c r="Q4270" s="354">
        <v>3236.07</v>
      </c>
      <c r="R4270" s="337" t="s">
        <v>112</v>
      </c>
      <c r="S4270" s="356" t="s">
        <v>113</v>
      </c>
      <c r="T4270" s="346">
        <v>64</v>
      </c>
      <c r="U4270" s="357" t="s">
        <v>164</v>
      </c>
      <c r="V4270" s="434"/>
      <c r="X4270" s="354">
        <v>3236.07</v>
      </c>
      <c r="Y4270" s="354"/>
      <c r="AI4270" s="354">
        <v>3236.07</v>
      </c>
      <c r="AJ4270" s="358"/>
      <c r="AK4270" s="369"/>
    </row>
    <row r="4271" spans="2:41" s="379" customFormat="1" ht="11.25" customHeight="1">
      <c r="B4271" s="379" t="s">
        <v>291</v>
      </c>
      <c r="C4271" s="381">
        <v>44783</v>
      </c>
      <c r="D4271" s="381">
        <v>44785</v>
      </c>
      <c r="E4271" s="382" t="s">
        <v>3381</v>
      </c>
      <c r="F4271" s="394" t="s">
        <v>809</v>
      </c>
      <c r="G4271" s="400">
        <v>4029</v>
      </c>
      <c r="H4271" s="379" t="s">
        <v>866</v>
      </c>
      <c r="I4271" s="384" t="s">
        <v>33</v>
      </c>
      <c r="J4271" s="385">
        <v>13256.1</v>
      </c>
      <c r="K4271" s="384"/>
      <c r="L4271" s="385">
        <v>12.36</v>
      </c>
      <c r="M4271" s="385">
        <v>12.36</v>
      </c>
      <c r="N4271" s="386"/>
      <c r="O4271" s="387">
        <v>0.15</v>
      </c>
      <c r="P4271" s="387"/>
      <c r="Q4271" s="386">
        <v>0</v>
      </c>
      <c r="R4271" s="379" t="s">
        <v>77</v>
      </c>
      <c r="S4271" s="388" t="s">
        <v>41</v>
      </c>
      <c r="T4271" s="399">
        <v>17</v>
      </c>
      <c r="U4271" s="389" t="s">
        <v>164</v>
      </c>
      <c r="V4271" s="433"/>
      <c r="X4271" s="386">
        <v>0</v>
      </c>
      <c r="Y4271" s="386"/>
      <c r="AJ4271" s="390">
        <v>0</v>
      </c>
    </row>
    <row r="4272" spans="2:41" s="379" customFormat="1" ht="11.25" customHeight="1">
      <c r="B4272" s="379" t="s">
        <v>291</v>
      </c>
      <c r="C4272" s="381">
        <v>44785</v>
      </c>
      <c r="D4272" s="381">
        <v>44785</v>
      </c>
      <c r="E4272" s="382" t="s">
        <v>3383</v>
      </c>
      <c r="F4272" s="394" t="s">
        <v>1112</v>
      </c>
      <c r="G4272" s="400">
        <v>3999</v>
      </c>
      <c r="H4272" s="379" t="s">
        <v>163</v>
      </c>
      <c r="I4272" s="384" t="s">
        <v>958</v>
      </c>
      <c r="J4272" s="385">
        <v>22426.54</v>
      </c>
      <c r="K4272" s="384"/>
      <c r="L4272" s="385">
        <v>21.04</v>
      </c>
      <c r="M4272" s="385">
        <v>21.04</v>
      </c>
      <c r="N4272" s="386"/>
      <c r="O4272" s="387">
        <v>0.2</v>
      </c>
      <c r="P4272" s="387"/>
      <c r="Q4272" s="386">
        <v>12275.58</v>
      </c>
      <c r="R4272" s="379" t="s">
        <v>35</v>
      </c>
      <c r="S4272" s="388" t="s">
        <v>41</v>
      </c>
      <c r="T4272" s="399">
        <v>17</v>
      </c>
      <c r="U4272" s="389" t="s">
        <v>164</v>
      </c>
      <c r="V4272" s="433"/>
      <c r="X4272" s="386">
        <v>12275.58</v>
      </c>
      <c r="Y4272" s="386"/>
      <c r="AJ4272" s="416">
        <v>12275.58</v>
      </c>
    </row>
    <row r="4273" spans="1:77" s="546" customFormat="1" ht="11.25" customHeight="1">
      <c r="A4273" s="546" t="s">
        <v>3893</v>
      </c>
      <c r="B4273" s="546" t="s">
        <v>291</v>
      </c>
      <c r="C4273" s="547">
        <v>44778</v>
      </c>
      <c r="D4273" s="547">
        <v>44786</v>
      </c>
      <c r="E4273" s="548" t="s">
        <v>3384</v>
      </c>
      <c r="F4273" s="558" t="s">
        <v>3385</v>
      </c>
      <c r="G4273" s="562">
        <v>4498</v>
      </c>
      <c r="H4273" s="546" t="s">
        <v>910</v>
      </c>
      <c r="I4273" s="551" t="s">
        <v>3386</v>
      </c>
      <c r="J4273" s="550">
        <v>13457.66</v>
      </c>
      <c r="K4273" s="551"/>
      <c r="L4273" s="550">
        <v>9.44</v>
      </c>
      <c r="M4273" s="550">
        <v>9.43</v>
      </c>
      <c r="N4273" s="552">
        <v>5892.25</v>
      </c>
      <c r="O4273" s="553">
        <v>0.25</v>
      </c>
      <c r="P4273" s="553"/>
      <c r="Q4273" s="552">
        <v>0</v>
      </c>
      <c r="R4273" s="546" t="s">
        <v>1407</v>
      </c>
      <c r="S4273" s="554" t="s">
        <v>2866</v>
      </c>
      <c r="T4273" s="567">
        <v>24</v>
      </c>
      <c r="U4273" s="555" t="s">
        <v>164</v>
      </c>
      <c r="V4273" s="556"/>
      <c r="X4273" s="552">
        <v>0</v>
      </c>
      <c r="Y4273" s="552"/>
      <c r="AJ4273" s="557"/>
      <c r="AM4273" s="546">
        <v>0</v>
      </c>
    </row>
    <row r="4274" spans="1:77" s="546" customFormat="1" ht="11.25" customHeight="1">
      <c r="A4274" s="546" t="s">
        <v>3893</v>
      </c>
      <c r="B4274" s="546" t="s">
        <v>291</v>
      </c>
      <c r="C4274" s="547"/>
      <c r="D4274" s="547"/>
      <c r="E4274" s="548" t="s">
        <v>3384</v>
      </c>
      <c r="F4274" s="558" t="s">
        <v>3385</v>
      </c>
      <c r="G4274" s="562">
        <v>4498</v>
      </c>
      <c r="H4274" s="546" t="s">
        <v>866</v>
      </c>
      <c r="I4274" s="551" t="s">
        <v>3386</v>
      </c>
      <c r="J4274" s="550">
        <v>3005.46</v>
      </c>
      <c r="K4274" s="551"/>
      <c r="L4274" s="550">
        <v>2.83</v>
      </c>
      <c r="M4274" s="550">
        <v>2.82</v>
      </c>
      <c r="N4274" s="552">
        <v>1202.18</v>
      </c>
      <c r="O4274" s="553">
        <v>0.25</v>
      </c>
      <c r="P4274" s="553"/>
      <c r="Q4274" s="552">
        <v>0</v>
      </c>
      <c r="R4274" s="546" t="s">
        <v>1407</v>
      </c>
      <c r="S4274" s="554" t="s">
        <v>2866</v>
      </c>
      <c r="T4274" s="567">
        <v>24</v>
      </c>
      <c r="U4274" s="555" t="s">
        <v>164</v>
      </c>
      <c r="V4274" s="556"/>
      <c r="X4274" s="552">
        <v>0</v>
      </c>
      <c r="Y4274" s="552"/>
      <c r="AJ4274" s="557"/>
      <c r="AM4274" s="546">
        <v>0</v>
      </c>
    </row>
    <row r="4275" spans="1:77" s="546" customFormat="1" ht="11.25" customHeight="1">
      <c r="A4275" s="546" t="s">
        <v>3893</v>
      </c>
      <c r="B4275" s="546" t="s">
        <v>291</v>
      </c>
      <c r="C4275" s="547"/>
      <c r="D4275" s="547"/>
      <c r="E4275" s="548" t="s">
        <v>3384</v>
      </c>
      <c r="F4275" s="558" t="s">
        <v>3385</v>
      </c>
      <c r="G4275" s="562">
        <v>4498</v>
      </c>
      <c r="H4275" s="546" t="s">
        <v>765</v>
      </c>
      <c r="I4275" s="551" t="s">
        <v>3386</v>
      </c>
      <c r="J4275" s="550">
        <v>8424</v>
      </c>
      <c r="K4275" s="551"/>
      <c r="L4275" s="550">
        <v>9.75</v>
      </c>
      <c r="M4275" s="550">
        <v>9.73</v>
      </c>
      <c r="N4275" s="552">
        <v>2948.4</v>
      </c>
      <c r="O4275" s="553">
        <v>0.25</v>
      </c>
      <c r="P4275" s="553"/>
      <c r="Q4275" s="552">
        <v>0</v>
      </c>
      <c r="R4275" s="546" t="s">
        <v>1407</v>
      </c>
      <c r="S4275" s="554" t="s">
        <v>2866</v>
      </c>
      <c r="T4275" s="567">
        <v>24</v>
      </c>
      <c r="U4275" s="555" t="s">
        <v>164</v>
      </c>
      <c r="V4275" s="556"/>
      <c r="X4275" s="552">
        <v>0</v>
      </c>
      <c r="Y4275" s="552"/>
      <c r="AJ4275" s="557"/>
      <c r="AM4275" s="546">
        <v>0</v>
      </c>
    </row>
    <row r="4276" spans="1:77" s="379" customFormat="1" ht="11.25" customHeight="1">
      <c r="B4276" s="379" t="s">
        <v>291</v>
      </c>
      <c r="C4276" s="381">
        <v>44786</v>
      </c>
      <c r="D4276" s="381">
        <v>44786</v>
      </c>
      <c r="E4276" s="382" t="s">
        <v>3387</v>
      </c>
      <c r="F4276" s="394" t="s">
        <v>3388</v>
      </c>
      <c r="G4276" s="400">
        <v>3944</v>
      </c>
      <c r="H4276" s="379" t="s">
        <v>1939</v>
      </c>
      <c r="I4276" s="384" t="s">
        <v>958</v>
      </c>
      <c r="J4276" s="385">
        <v>6038.4</v>
      </c>
      <c r="K4276" s="384"/>
      <c r="L4276" s="385">
        <v>8</v>
      </c>
      <c r="M4276" s="385">
        <v>8</v>
      </c>
      <c r="N4276" s="386">
        <v>1207.68</v>
      </c>
      <c r="O4276" s="387">
        <v>0.15</v>
      </c>
      <c r="P4276" s="387"/>
      <c r="Q4276" s="386">
        <v>0</v>
      </c>
      <c r="R4276" s="379" t="s">
        <v>29</v>
      </c>
      <c r="S4276" s="388" t="s">
        <v>30</v>
      </c>
      <c r="T4276" s="399">
        <v>52</v>
      </c>
      <c r="U4276" s="389" t="s">
        <v>164</v>
      </c>
      <c r="V4276" s="433"/>
      <c r="X4276" s="386">
        <v>0</v>
      </c>
      <c r="Y4276" s="386"/>
      <c r="AJ4276" s="390">
        <v>0</v>
      </c>
    </row>
    <row r="4277" spans="1:77" s="291" customFormat="1" ht="11.25" customHeight="1">
      <c r="A4277" s="379"/>
      <c r="B4277" s="379" t="s">
        <v>291</v>
      </c>
      <c r="C4277" s="381"/>
      <c r="D4277" s="381"/>
      <c r="E4277" s="382" t="s">
        <v>3387</v>
      </c>
      <c r="F4277" s="394" t="s">
        <v>3388</v>
      </c>
      <c r="G4277" s="400">
        <v>3944</v>
      </c>
      <c r="H4277" s="379" t="s">
        <v>814</v>
      </c>
      <c r="I4277" s="384" t="s">
        <v>958</v>
      </c>
      <c r="J4277" s="385">
        <v>3854.48</v>
      </c>
      <c r="K4277" s="384"/>
      <c r="L4277" s="385">
        <v>5.27</v>
      </c>
      <c r="M4277" s="385">
        <v>5.27</v>
      </c>
      <c r="N4277" s="386">
        <v>578.16999999999996</v>
      </c>
      <c r="O4277" s="387">
        <v>0.15</v>
      </c>
      <c r="P4277" s="387"/>
      <c r="Q4277" s="386">
        <v>1803.6</v>
      </c>
      <c r="R4277" s="379" t="s">
        <v>29</v>
      </c>
      <c r="S4277" s="388" t="s">
        <v>30</v>
      </c>
      <c r="T4277" s="399">
        <v>52</v>
      </c>
      <c r="U4277" s="389" t="s">
        <v>164</v>
      </c>
      <c r="V4277" s="433"/>
      <c r="W4277" s="379"/>
      <c r="X4277" s="386">
        <v>1803.6</v>
      </c>
      <c r="Y4277" s="386"/>
      <c r="Z4277" s="379"/>
      <c r="AA4277" s="379"/>
      <c r="AB4277" s="379"/>
      <c r="AC4277" s="379"/>
      <c r="AD4277" s="379"/>
      <c r="AE4277" s="379"/>
      <c r="AF4277" s="379"/>
      <c r="AG4277" s="379"/>
      <c r="AH4277" s="379"/>
      <c r="AI4277" s="379"/>
      <c r="AJ4277" s="416">
        <v>1803.6</v>
      </c>
      <c r="AK4277" s="379"/>
      <c r="AL4277" s="379"/>
      <c r="AM4277" s="379"/>
      <c r="AN4277" s="379"/>
      <c r="AO4277" s="379"/>
      <c r="AP4277" s="379"/>
      <c r="AQ4277" s="379"/>
      <c r="AR4277" s="379"/>
      <c r="AS4277" s="379"/>
      <c r="AT4277" s="379"/>
      <c r="AU4277" s="379"/>
      <c r="AV4277" s="379"/>
      <c r="AW4277" s="379"/>
      <c r="AX4277" s="379"/>
      <c r="AY4277" s="379"/>
      <c r="AZ4277" s="379"/>
      <c r="BA4277" s="379"/>
      <c r="BB4277" s="379"/>
      <c r="BC4277" s="379"/>
      <c r="BD4277" s="379"/>
      <c r="BE4277" s="379"/>
      <c r="BF4277" s="379"/>
      <c r="BG4277" s="379"/>
      <c r="BH4277" s="379"/>
      <c r="BI4277" s="379"/>
      <c r="BJ4277" s="379"/>
      <c r="BK4277" s="379"/>
      <c r="BL4277" s="379"/>
      <c r="BM4277" s="379"/>
      <c r="BN4277" s="379"/>
      <c r="BO4277" s="379"/>
      <c r="BP4277" s="379"/>
      <c r="BQ4277" s="379"/>
      <c r="BR4277" s="379"/>
      <c r="BS4277" s="379"/>
      <c r="BT4277" s="379"/>
      <c r="BU4277" s="379"/>
      <c r="BV4277" s="379"/>
      <c r="BW4277" s="379"/>
      <c r="BX4277" s="379"/>
      <c r="BY4277" s="379"/>
    </row>
    <row r="4278" spans="1:77" s="379" customFormat="1" ht="11.25" customHeight="1">
      <c r="B4278" s="379" t="s">
        <v>291</v>
      </c>
      <c r="C4278" s="381"/>
      <c r="D4278" s="381"/>
      <c r="E4278" s="382" t="s">
        <v>3387</v>
      </c>
      <c r="F4278" s="394" t="s">
        <v>3388</v>
      </c>
      <c r="G4278" s="400">
        <v>3944</v>
      </c>
      <c r="H4278" s="379" t="s">
        <v>765</v>
      </c>
      <c r="I4278" s="384" t="s">
        <v>958</v>
      </c>
      <c r="J4278" s="385">
        <v>6418.96</v>
      </c>
      <c r="K4278" s="384"/>
      <c r="L4278" s="385">
        <v>5.9</v>
      </c>
      <c r="M4278" s="385">
        <v>5.9</v>
      </c>
      <c r="N4278" s="386">
        <v>962.84</v>
      </c>
      <c r="O4278" s="387">
        <v>0.15</v>
      </c>
      <c r="P4278" s="387"/>
      <c r="Q4278" s="386">
        <v>0</v>
      </c>
      <c r="R4278" s="379" t="s">
        <v>29</v>
      </c>
      <c r="S4278" s="388" t="s">
        <v>30</v>
      </c>
      <c r="T4278" s="399">
        <v>52</v>
      </c>
      <c r="U4278" s="389" t="s">
        <v>164</v>
      </c>
      <c r="V4278" s="433"/>
      <c r="X4278" s="386">
        <v>0</v>
      </c>
      <c r="Y4278" s="386"/>
      <c r="AJ4278" s="390">
        <v>0</v>
      </c>
    </row>
    <row r="4279" spans="1:77" s="291" customFormat="1" ht="11.25" customHeight="1">
      <c r="A4279" s="291" t="s">
        <v>3893</v>
      </c>
      <c r="B4279" s="291" t="s">
        <v>291</v>
      </c>
      <c r="C4279" s="292"/>
      <c r="D4279" s="292"/>
      <c r="E4279" s="293" t="s">
        <v>3387</v>
      </c>
      <c r="F4279" s="303" t="s">
        <v>3388</v>
      </c>
      <c r="G4279" s="304">
        <v>3944</v>
      </c>
      <c r="H4279" s="291" t="s">
        <v>898</v>
      </c>
      <c r="I4279" s="295" t="s">
        <v>958</v>
      </c>
      <c r="J4279" s="296">
        <v>15433.32</v>
      </c>
      <c r="K4279" s="295"/>
      <c r="L4279" s="296">
        <v>9.67</v>
      </c>
      <c r="M4279" s="296">
        <v>9.67</v>
      </c>
      <c r="N4279" s="297">
        <f>893.76+1121.67+612.23+1188.7</f>
        <v>3816.3599999999997</v>
      </c>
      <c r="O4279" s="298">
        <v>0.15</v>
      </c>
      <c r="P4279" s="298"/>
      <c r="Q4279" s="297">
        <v>1978.48</v>
      </c>
      <c r="R4279" s="291" t="s">
        <v>29</v>
      </c>
      <c r="S4279" s="299" t="s">
        <v>30</v>
      </c>
      <c r="T4279" s="308">
        <v>52</v>
      </c>
      <c r="U4279" s="300" t="s">
        <v>164</v>
      </c>
      <c r="V4279" s="333"/>
      <c r="X4279" s="297">
        <v>1978.48</v>
      </c>
      <c r="Y4279" s="297"/>
      <c r="AH4279" s="291">
        <f>X4279</f>
        <v>1978.48</v>
      </c>
      <c r="AI4279" s="311"/>
      <c r="AJ4279" s="468"/>
    </row>
    <row r="4280" spans="1:77" s="379" customFormat="1" ht="11.25" customHeight="1">
      <c r="B4280" s="379" t="s">
        <v>291</v>
      </c>
      <c r="C4280" s="381">
        <v>44784</v>
      </c>
      <c r="D4280" s="381">
        <v>44786</v>
      </c>
      <c r="E4280" s="382" t="s">
        <v>3389</v>
      </c>
      <c r="F4280" s="394" t="s">
        <v>2833</v>
      </c>
      <c r="G4280" s="400" t="s">
        <v>2265</v>
      </c>
      <c r="H4280" s="379" t="s">
        <v>2267</v>
      </c>
      <c r="I4280" s="384" t="s">
        <v>1296</v>
      </c>
      <c r="J4280" s="385">
        <v>65853.81</v>
      </c>
      <c r="K4280" s="384"/>
      <c r="L4280" s="385">
        <v>27</v>
      </c>
      <c r="M4280" s="385">
        <v>27</v>
      </c>
      <c r="N4280" s="386"/>
      <c r="O4280" s="387">
        <v>0.15</v>
      </c>
      <c r="P4280" s="387"/>
      <c r="Q4280" s="386">
        <v>0</v>
      </c>
      <c r="R4280" s="379" t="s">
        <v>112</v>
      </c>
      <c r="S4280" s="388" t="s">
        <v>113</v>
      </c>
      <c r="T4280" s="399">
        <v>64</v>
      </c>
      <c r="U4280" s="389" t="s">
        <v>164</v>
      </c>
      <c r="V4280" s="433"/>
      <c r="X4280" s="386">
        <v>0</v>
      </c>
      <c r="Y4280" s="386"/>
      <c r="AJ4280" s="390">
        <v>0</v>
      </c>
    </row>
    <row r="4281" spans="1:77" s="379" customFormat="1" ht="11.25" customHeight="1">
      <c r="B4281" s="379" t="s">
        <v>291</v>
      </c>
      <c r="C4281" s="381"/>
      <c r="D4281" s="381"/>
      <c r="E4281" s="382" t="s">
        <v>3389</v>
      </c>
      <c r="F4281" s="394" t="s">
        <v>2833</v>
      </c>
      <c r="G4281" s="400" t="s">
        <v>2265</v>
      </c>
      <c r="H4281" s="379" t="s">
        <v>2171</v>
      </c>
      <c r="I4281" s="384" t="s">
        <v>1296</v>
      </c>
      <c r="J4281" s="385">
        <v>32838.080000000002</v>
      </c>
      <c r="K4281" s="384"/>
      <c r="L4281" s="385">
        <v>16</v>
      </c>
      <c r="M4281" s="385">
        <v>16</v>
      </c>
      <c r="N4281" s="386"/>
      <c r="O4281" s="387">
        <v>0.15</v>
      </c>
      <c r="P4281" s="387"/>
      <c r="Q4281" s="386">
        <v>0</v>
      </c>
      <c r="R4281" s="379" t="s">
        <v>112</v>
      </c>
      <c r="S4281" s="388" t="s">
        <v>113</v>
      </c>
      <c r="T4281" s="399">
        <v>64</v>
      </c>
      <c r="U4281" s="389" t="s">
        <v>164</v>
      </c>
      <c r="V4281" s="433"/>
      <c r="X4281" s="386">
        <v>0</v>
      </c>
      <c r="Y4281" s="386"/>
      <c r="AJ4281" s="390">
        <v>0</v>
      </c>
    </row>
    <row r="4282" spans="1:77" s="379" customFormat="1" ht="11.25" customHeight="1">
      <c r="B4282" s="379" t="s">
        <v>291</v>
      </c>
      <c r="C4282" s="381"/>
      <c r="D4282" s="381"/>
      <c r="E4282" s="382" t="s">
        <v>3389</v>
      </c>
      <c r="F4282" s="394" t="s">
        <v>2833</v>
      </c>
      <c r="G4282" s="400" t="s">
        <v>2265</v>
      </c>
      <c r="H4282" s="379" t="s">
        <v>814</v>
      </c>
      <c r="I4282" s="384" t="s">
        <v>1296</v>
      </c>
      <c r="J4282" s="385">
        <v>13125.87</v>
      </c>
      <c r="K4282" s="384"/>
      <c r="L4282" s="385">
        <v>8.5</v>
      </c>
      <c r="M4282" s="385">
        <v>8.5</v>
      </c>
      <c r="N4282" s="386"/>
      <c r="O4282" s="387">
        <v>0.15</v>
      </c>
      <c r="P4282" s="387"/>
      <c r="Q4282" s="386">
        <v>0</v>
      </c>
      <c r="R4282" s="379" t="s">
        <v>112</v>
      </c>
      <c r="S4282" s="388" t="s">
        <v>113</v>
      </c>
      <c r="T4282" s="399">
        <v>64</v>
      </c>
      <c r="U4282" s="389" t="s">
        <v>164</v>
      </c>
      <c r="V4282" s="433"/>
      <c r="X4282" s="386">
        <v>0</v>
      </c>
      <c r="Y4282" s="386"/>
      <c r="AJ4282" s="390">
        <v>0</v>
      </c>
    </row>
    <row r="4283" spans="1:77" s="261" customFormat="1" ht="11.25" customHeight="1">
      <c r="A4283" s="379"/>
      <c r="B4283" s="379" t="s">
        <v>291</v>
      </c>
      <c r="C4283" s="381"/>
      <c r="D4283" s="381"/>
      <c r="E4283" s="382" t="s">
        <v>3389</v>
      </c>
      <c r="F4283" s="394" t="s">
        <v>2833</v>
      </c>
      <c r="G4283" s="400" t="s">
        <v>2265</v>
      </c>
      <c r="H4283" s="379" t="s">
        <v>765</v>
      </c>
      <c r="I4283" s="384" t="s">
        <v>1296</v>
      </c>
      <c r="J4283" s="385">
        <v>15750</v>
      </c>
      <c r="K4283" s="384"/>
      <c r="L4283" s="385">
        <v>10.5</v>
      </c>
      <c r="M4283" s="385">
        <v>10.5</v>
      </c>
      <c r="N4283" s="386"/>
      <c r="O4283" s="387">
        <v>0.15</v>
      </c>
      <c r="P4283" s="387"/>
      <c r="Q4283" s="386">
        <v>0</v>
      </c>
      <c r="R4283" s="379" t="s">
        <v>112</v>
      </c>
      <c r="S4283" s="388" t="s">
        <v>113</v>
      </c>
      <c r="T4283" s="399">
        <v>64</v>
      </c>
      <c r="U4283" s="389" t="s">
        <v>164</v>
      </c>
      <c r="V4283" s="433"/>
      <c r="W4283" s="379"/>
      <c r="X4283" s="386">
        <v>0</v>
      </c>
      <c r="Y4283" s="386"/>
      <c r="Z4283" s="379"/>
      <c r="AA4283" s="379"/>
      <c r="AB4283" s="379"/>
      <c r="AC4283" s="379"/>
      <c r="AD4283" s="379"/>
      <c r="AE4283" s="379"/>
      <c r="AF4283" s="379"/>
      <c r="AG4283" s="379"/>
      <c r="AH4283" s="379"/>
      <c r="AI4283" s="379"/>
      <c r="AJ4283" s="390">
        <v>0</v>
      </c>
      <c r="AK4283" s="379"/>
      <c r="AL4283" s="379"/>
      <c r="AM4283" s="379"/>
      <c r="AN4283" s="379"/>
      <c r="AO4283" s="379"/>
      <c r="AP4283" s="379"/>
      <c r="AQ4283" s="379"/>
      <c r="AR4283" s="379"/>
      <c r="AS4283" s="379"/>
      <c r="AT4283" s="379"/>
      <c r="AU4283" s="379"/>
      <c r="AV4283" s="379"/>
      <c r="AW4283" s="379"/>
      <c r="AX4283" s="379"/>
      <c r="AY4283" s="379"/>
      <c r="AZ4283" s="379"/>
      <c r="BA4283" s="379"/>
      <c r="BB4283" s="379"/>
      <c r="BC4283" s="379"/>
      <c r="BD4283" s="379"/>
      <c r="BE4283" s="379"/>
      <c r="BF4283" s="379"/>
      <c r="BG4283" s="379"/>
      <c r="BH4283" s="379"/>
      <c r="BI4283" s="379"/>
      <c r="BJ4283" s="379"/>
      <c r="BK4283" s="379"/>
      <c r="BL4283" s="379"/>
      <c r="BM4283" s="379"/>
      <c r="BN4283" s="379"/>
      <c r="BO4283" s="379"/>
      <c r="BP4283" s="379"/>
      <c r="BQ4283" s="379"/>
      <c r="BR4283" s="379"/>
      <c r="BS4283" s="379"/>
      <c r="BT4283" s="379"/>
      <c r="BU4283" s="379"/>
      <c r="BV4283" s="379"/>
      <c r="BW4283" s="379"/>
      <c r="BX4283" s="379"/>
      <c r="BY4283" s="379"/>
    </row>
    <row r="4284" spans="1:77" s="261" customFormat="1" ht="11.25" customHeight="1">
      <c r="B4284" s="261" t="s">
        <v>291</v>
      </c>
      <c r="C4284" s="259"/>
      <c r="D4284" s="259"/>
      <c r="E4284" s="260" t="s">
        <v>3389</v>
      </c>
      <c r="F4284" s="273" t="s">
        <v>2833</v>
      </c>
      <c r="G4284" s="276" t="s">
        <v>2265</v>
      </c>
      <c r="H4284" s="261" t="s">
        <v>2266</v>
      </c>
      <c r="I4284" s="264" t="s">
        <v>1296</v>
      </c>
      <c r="J4284" s="263">
        <v>16099.68</v>
      </c>
      <c r="K4284" s="264"/>
      <c r="L4284" s="263">
        <v>6.8</v>
      </c>
      <c r="M4284" s="263">
        <v>6.8</v>
      </c>
      <c r="N4284" s="265"/>
      <c r="O4284" s="266">
        <v>0.15</v>
      </c>
      <c r="P4284" s="266"/>
      <c r="Q4284" s="265">
        <v>0</v>
      </c>
      <c r="R4284" s="261" t="s">
        <v>112</v>
      </c>
      <c r="S4284" s="267" t="s">
        <v>113</v>
      </c>
      <c r="T4284" s="279">
        <v>64</v>
      </c>
      <c r="U4284" s="268" t="s">
        <v>164</v>
      </c>
      <c r="V4284" s="427"/>
      <c r="X4284" s="265">
        <v>0</v>
      </c>
      <c r="Y4284" s="265"/>
      <c r="AG4284" s="261">
        <f>X4284</f>
        <v>0</v>
      </c>
      <c r="AJ4284" s="642"/>
    </row>
    <row r="4285" spans="1:77" s="6" customFormat="1" ht="11.25" customHeight="1">
      <c r="A4285" s="379"/>
      <c r="B4285" s="379" t="s">
        <v>291</v>
      </c>
      <c r="C4285" s="381">
        <v>44784</v>
      </c>
      <c r="D4285" s="381">
        <v>44786</v>
      </c>
      <c r="E4285" s="382" t="s">
        <v>3390</v>
      </c>
      <c r="F4285" s="394" t="s">
        <v>2282</v>
      </c>
      <c r="G4285" s="400" t="s">
        <v>2094</v>
      </c>
      <c r="H4285" s="379" t="s">
        <v>3391</v>
      </c>
      <c r="I4285" s="384" t="s">
        <v>1296</v>
      </c>
      <c r="J4285" s="385">
        <v>61529.599999999999</v>
      </c>
      <c r="K4285" s="384"/>
      <c r="L4285" s="385">
        <v>32</v>
      </c>
      <c r="M4285" s="385">
        <v>32</v>
      </c>
      <c r="N4285" s="386"/>
      <c r="O4285" s="387">
        <v>0.15</v>
      </c>
      <c r="P4285" s="387"/>
      <c r="Q4285" s="386">
        <v>0</v>
      </c>
      <c r="R4285" s="379" t="s">
        <v>112</v>
      </c>
      <c r="S4285" s="388" t="s">
        <v>113</v>
      </c>
      <c r="T4285" s="399">
        <v>64</v>
      </c>
      <c r="U4285" s="389" t="s">
        <v>164</v>
      </c>
      <c r="V4285" s="433"/>
      <c r="W4285" s="379"/>
      <c r="X4285" s="386">
        <v>0</v>
      </c>
      <c r="Y4285" s="386"/>
      <c r="Z4285" s="379"/>
      <c r="AA4285" s="379"/>
      <c r="AB4285" s="379"/>
      <c r="AC4285" s="379"/>
      <c r="AD4285" s="379"/>
      <c r="AE4285" s="379"/>
      <c r="AF4285" s="379"/>
      <c r="AG4285" s="379"/>
      <c r="AH4285" s="379"/>
      <c r="AI4285" s="379"/>
      <c r="AJ4285" s="390">
        <v>0</v>
      </c>
      <c r="AK4285" s="379"/>
      <c r="AL4285" s="379"/>
      <c r="AM4285" s="379"/>
      <c r="AN4285" s="379"/>
      <c r="AO4285" s="379"/>
      <c r="AP4285" s="379"/>
      <c r="AQ4285" s="379"/>
      <c r="AR4285" s="379"/>
      <c r="AS4285" s="379"/>
      <c r="AT4285" s="379"/>
      <c r="AU4285" s="379"/>
      <c r="AV4285" s="379"/>
      <c r="AW4285" s="379"/>
      <c r="AX4285" s="379"/>
      <c r="AY4285" s="379"/>
      <c r="AZ4285" s="379"/>
      <c r="BA4285" s="379"/>
      <c r="BB4285" s="379"/>
      <c r="BC4285" s="379"/>
      <c r="BD4285" s="379"/>
      <c r="BE4285" s="379"/>
      <c r="BF4285" s="379"/>
      <c r="BG4285" s="379"/>
      <c r="BH4285" s="379"/>
      <c r="BI4285" s="379"/>
      <c r="BJ4285" s="379"/>
      <c r="BK4285" s="379"/>
      <c r="BL4285" s="379"/>
      <c r="BM4285" s="379"/>
      <c r="BN4285" s="379"/>
      <c r="BO4285" s="379"/>
      <c r="BP4285" s="379"/>
      <c r="BQ4285" s="379"/>
      <c r="BR4285" s="379"/>
      <c r="BS4285" s="379"/>
      <c r="BT4285" s="379"/>
      <c r="BU4285" s="379"/>
      <c r="BV4285" s="379"/>
      <c r="BW4285" s="379"/>
      <c r="BX4285" s="379"/>
      <c r="BY4285" s="379"/>
    </row>
    <row r="4286" spans="1:77" s="379" customFormat="1" ht="11.25" customHeight="1">
      <c r="B4286" s="379" t="s">
        <v>291</v>
      </c>
      <c r="C4286" s="381"/>
      <c r="D4286" s="381"/>
      <c r="E4286" s="382" t="s">
        <v>3390</v>
      </c>
      <c r="F4286" s="394" t="s">
        <v>2282</v>
      </c>
      <c r="G4286" s="400" t="s">
        <v>2094</v>
      </c>
      <c r="H4286" s="379" t="s">
        <v>814</v>
      </c>
      <c r="I4286" s="384" t="s">
        <v>1296</v>
      </c>
      <c r="J4286" s="385">
        <v>18298.8</v>
      </c>
      <c r="K4286" s="384"/>
      <c r="L4286" s="385">
        <v>13</v>
      </c>
      <c r="M4286" s="385">
        <v>13</v>
      </c>
      <c r="N4286" s="386"/>
      <c r="O4286" s="387">
        <v>0.15</v>
      </c>
      <c r="P4286" s="387"/>
      <c r="Q4286" s="386">
        <v>0</v>
      </c>
      <c r="R4286" s="379" t="s">
        <v>112</v>
      </c>
      <c r="S4286" s="388" t="s">
        <v>113</v>
      </c>
      <c r="T4286" s="399">
        <v>64</v>
      </c>
      <c r="U4286" s="389" t="s">
        <v>164</v>
      </c>
      <c r="V4286" s="433"/>
      <c r="X4286" s="386">
        <v>0</v>
      </c>
      <c r="Y4286" s="386"/>
      <c r="AJ4286" s="390">
        <v>0</v>
      </c>
    </row>
    <row r="4287" spans="1:77" s="379" customFormat="1" ht="11.25" customHeight="1">
      <c r="B4287" s="379" t="s">
        <v>291</v>
      </c>
      <c r="C4287" s="381"/>
      <c r="D4287" s="381"/>
      <c r="E4287" s="382" t="s">
        <v>3390</v>
      </c>
      <c r="F4287" s="394" t="s">
        <v>2282</v>
      </c>
      <c r="G4287" s="400" t="s">
        <v>2094</v>
      </c>
      <c r="H4287" s="379" t="s">
        <v>2267</v>
      </c>
      <c r="I4287" s="384" t="s">
        <v>1296</v>
      </c>
      <c r="J4287" s="385">
        <v>50452.6</v>
      </c>
      <c r="K4287" s="384"/>
      <c r="L4287" s="385">
        <v>20</v>
      </c>
      <c r="M4287" s="385">
        <v>20</v>
      </c>
      <c r="N4287" s="386"/>
      <c r="O4287" s="387">
        <v>0.15</v>
      </c>
      <c r="P4287" s="387"/>
      <c r="Q4287" s="386">
        <v>0</v>
      </c>
      <c r="R4287" s="379" t="s">
        <v>112</v>
      </c>
      <c r="S4287" s="388" t="s">
        <v>113</v>
      </c>
      <c r="T4287" s="399">
        <v>64</v>
      </c>
      <c r="U4287" s="389" t="s">
        <v>164</v>
      </c>
      <c r="V4287" s="433"/>
      <c r="X4287" s="386">
        <v>0</v>
      </c>
      <c r="Y4287" s="386"/>
      <c r="AJ4287" s="390">
        <v>0</v>
      </c>
    </row>
    <row r="4288" spans="1:77" s="337" customFormat="1" ht="11.25" customHeight="1">
      <c r="A4288" s="337" t="s">
        <v>3893</v>
      </c>
      <c r="B4288" s="337" t="s">
        <v>291</v>
      </c>
      <c r="C4288" s="349"/>
      <c r="D4288" s="349"/>
      <c r="E4288" s="350" t="s">
        <v>3390</v>
      </c>
      <c r="F4288" s="341" t="s">
        <v>2282</v>
      </c>
      <c r="G4288" s="342" t="s">
        <v>2094</v>
      </c>
      <c r="H4288" s="337" t="s">
        <v>99</v>
      </c>
      <c r="I4288" s="353" t="s">
        <v>1296</v>
      </c>
      <c r="J4288" s="352">
        <v>8873.5400000000009</v>
      </c>
      <c r="K4288" s="353"/>
      <c r="L4288" s="352">
        <v>5.8</v>
      </c>
      <c r="M4288" s="352">
        <v>5.8</v>
      </c>
      <c r="N4288" s="354"/>
      <c r="O4288" s="355">
        <v>0.15</v>
      </c>
      <c r="P4288" s="355"/>
      <c r="Q4288" s="354">
        <v>2345.71</v>
      </c>
      <c r="R4288" s="337" t="s">
        <v>112</v>
      </c>
      <c r="S4288" s="356" t="s">
        <v>113</v>
      </c>
      <c r="T4288" s="346">
        <v>64</v>
      </c>
      <c r="U4288" s="357" t="s">
        <v>164</v>
      </c>
      <c r="V4288" s="434"/>
      <c r="X4288" s="354">
        <v>2345.71</v>
      </c>
      <c r="Y4288" s="354"/>
      <c r="AI4288" s="354">
        <v>2345.71</v>
      </c>
      <c r="AJ4288" s="358"/>
      <c r="AK4288" s="369"/>
    </row>
    <row r="4289" spans="1:37" s="379" customFormat="1" ht="11.25" customHeight="1">
      <c r="B4289" s="379" t="s">
        <v>291</v>
      </c>
      <c r="C4289" s="381">
        <v>44785</v>
      </c>
      <c r="D4289" s="381">
        <v>44786</v>
      </c>
      <c r="E4289" s="382" t="s">
        <v>3392</v>
      </c>
      <c r="F4289" s="394" t="s">
        <v>1140</v>
      </c>
      <c r="G4289" s="400">
        <v>4421</v>
      </c>
      <c r="H4289" s="379" t="s">
        <v>814</v>
      </c>
      <c r="I4289" s="384" t="s">
        <v>3393</v>
      </c>
      <c r="J4289" s="385">
        <v>6133.12</v>
      </c>
      <c r="K4289" s="384"/>
      <c r="L4289" s="385">
        <v>5.92</v>
      </c>
      <c r="M4289" s="385">
        <v>5.92</v>
      </c>
      <c r="N4289" s="386"/>
      <c r="O4289" s="387">
        <v>0.2</v>
      </c>
      <c r="P4289" s="387"/>
      <c r="Q4289" s="386">
        <v>0</v>
      </c>
      <c r="R4289" s="379" t="s">
        <v>128</v>
      </c>
      <c r="S4289" s="388" t="s">
        <v>41</v>
      </c>
      <c r="T4289" s="399">
        <v>86</v>
      </c>
      <c r="U4289" s="389" t="s">
        <v>164</v>
      </c>
      <c r="V4289" s="433"/>
      <c r="X4289" s="386">
        <v>0</v>
      </c>
      <c r="Y4289" s="386"/>
      <c r="AJ4289" s="390">
        <v>0</v>
      </c>
    </row>
    <row r="4290" spans="1:37" s="379" customFormat="1" ht="11.25" customHeight="1">
      <c r="B4290" s="379" t="s">
        <v>291</v>
      </c>
      <c r="C4290" s="381"/>
      <c r="D4290" s="381"/>
      <c r="E4290" s="382" t="s">
        <v>3392</v>
      </c>
      <c r="F4290" s="394" t="s">
        <v>1140</v>
      </c>
      <c r="G4290" s="400">
        <v>4421</v>
      </c>
      <c r="H4290" s="379" t="s">
        <v>910</v>
      </c>
      <c r="I4290" s="384" t="s">
        <v>3393</v>
      </c>
      <c r="J4290" s="385">
        <v>48885.26</v>
      </c>
      <c r="K4290" s="384"/>
      <c r="L4290" s="385">
        <v>29.14</v>
      </c>
      <c r="M4290" s="385">
        <v>29.14</v>
      </c>
      <c r="N4290" s="386"/>
      <c r="O4290" s="387">
        <v>0.2</v>
      </c>
      <c r="P4290" s="387"/>
      <c r="Q4290" s="386">
        <v>2974.03</v>
      </c>
      <c r="R4290" s="379" t="s">
        <v>128</v>
      </c>
      <c r="S4290" s="388" t="s">
        <v>41</v>
      </c>
      <c r="T4290" s="399">
        <v>86</v>
      </c>
      <c r="U4290" s="389" t="s">
        <v>164</v>
      </c>
      <c r="V4290" s="433"/>
      <c r="X4290" s="386">
        <v>2974.03</v>
      </c>
      <c r="Y4290" s="386"/>
      <c r="AJ4290" s="416">
        <v>2974.03</v>
      </c>
    </row>
    <row r="4291" spans="1:37" s="291" customFormat="1" ht="11.25" customHeight="1">
      <c r="B4291" s="291" t="s">
        <v>291</v>
      </c>
      <c r="C4291" s="292"/>
      <c r="D4291" s="292"/>
      <c r="E4291" s="293" t="s">
        <v>3394</v>
      </c>
      <c r="F4291" s="303" t="s">
        <v>988</v>
      </c>
      <c r="G4291" s="304">
        <v>3997</v>
      </c>
      <c r="H4291" s="291" t="s">
        <v>866</v>
      </c>
      <c r="I4291" s="295" t="s">
        <v>33</v>
      </c>
      <c r="J4291" s="296">
        <v>8942.26</v>
      </c>
      <c r="K4291" s="295"/>
      <c r="L4291" s="296">
        <v>7.91</v>
      </c>
      <c r="M4291" s="296">
        <v>7.91</v>
      </c>
      <c r="N4291" s="297">
        <v>3832.65</v>
      </c>
      <c r="O4291" s="298">
        <v>0.2</v>
      </c>
      <c r="P4291" s="298"/>
      <c r="Q4291" s="297">
        <v>0</v>
      </c>
      <c r="R4291" s="291" t="s">
        <v>142</v>
      </c>
      <c r="S4291" s="299" t="s">
        <v>41</v>
      </c>
      <c r="T4291" s="308">
        <v>24</v>
      </c>
      <c r="U4291" s="300" t="s">
        <v>164</v>
      </c>
      <c r="V4291" s="333"/>
      <c r="X4291" s="297">
        <v>0</v>
      </c>
      <c r="Y4291" s="297"/>
      <c r="AH4291" s="291">
        <f>X4291</f>
        <v>0</v>
      </c>
      <c r="AI4291" s="311"/>
      <c r="AJ4291" s="468"/>
    </row>
    <row r="4292" spans="1:37" s="291" customFormat="1" ht="11.25" customHeight="1">
      <c r="B4292" s="291" t="s">
        <v>291</v>
      </c>
      <c r="C4292" s="292"/>
      <c r="D4292" s="292"/>
      <c r="E4292" s="293" t="s">
        <v>3394</v>
      </c>
      <c r="F4292" s="303" t="s">
        <v>988</v>
      </c>
      <c r="G4292" s="304">
        <v>3997</v>
      </c>
      <c r="H4292" s="291" t="s">
        <v>765</v>
      </c>
      <c r="I4292" s="295" t="s">
        <v>33</v>
      </c>
      <c r="J4292" s="296">
        <v>32899.199999999997</v>
      </c>
      <c r="K4292" s="295"/>
      <c r="L4292" s="296">
        <v>35.76</v>
      </c>
      <c r="M4292" s="296">
        <v>35.76</v>
      </c>
      <c r="N4292" s="297">
        <v>8328.9699999999993</v>
      </c>
      <c r="O4292" s="298">
        <v>0.2</v>
      </c>
      <c r="P4292" s="298"/>
      <c r="Q4292" s="297">
        <v>0</v>
      </c>
      <c r="R4292" s="291" t="s">
        <v>142</v>
      </c>
      <c r="S4292" s="299" t="s">
        <v>41</v>
      </c>
      <c r="T4292" s="308">
        <v>24</v>
      </c>
      <c r="U4292" s="300" t="s">
        <v>164</v>
      </c>
      <c r="V4292" s="333"/>
      <c r="X4292" s="297">
        <v>0</v>
      </c>
      <c r="Y4292" s="297"/>
      <c r="AH4292" s="291">
        <f>X4292</f>
        <v>0</v>
      </c>
      <c r="AI4292" s="311"/>
      <c r="AJ4292" s="468"/>
    </row>
    <row r="4293" spans="1:37" s="261" customFormat="1" ht="11.25" customHeight="1">
      <c r="B4293" s="261" t="s">
        <v>291</v>
      </c>
      <c r="C4293" s="259">
        <v>44786</v>
      </c>
      <c r="D4293" s="259">
        <v>44787</v>
      </c>
      <c r="E4293" s="260" t="s">
        <v>3394</v>
      </c>
      <c r="F4293" s="273" t="s">
        <v>988</v>
      </c>
      <c r="G4293" s="276">
        <v>3997</v>
      </c>
      <c r="H4293" s="261" t="s">
        <v>910</v>
      </c>
      <c r="I4293" s="264" t="s">
        <v>33</v>
      </c>
      <c r="J4293" s="263">
        <v>26822.86</v>
      </c>
      <c r="K4293" s="264"/>
      <c r="L4293" s="263">
        <v>14.05</v>
      </c>
      <c r="M4293" s="263">
        <v>14.05</v>
      </c>
      <c r="N4293" s="265"/>
      <c r="O4293" s="266">
        <v>0.2</v>
      </c>
      <c r="P4293" s="266"/>
      <c r="Q4293" s="265">
        <v>0</v>
      </c>
      <c r="R4293" s="261" t="s">
        <v>142</v>
      </c>
      <c r="S4293" s="267" t="s">
        <v>41</v>
      </c>
      <c r="T4293" s="279">
        <v>24</v>
      </c>
      <c r="U4293" s="268" t="s">
        <v>164</v>
      </c>
      <c r="V4293" s="427"/>
      <c r="X4293" s="265">
        <v>0</v>
      </c>
      <c r="Y4293" s="265"/>
      <c r="AG4293" s="261">
        <f>X4293</f>
        <v>0</v>
      </c>
      <c r="AJ4293" s="642"/>
    </row>
    <row r="4294" spans="1:37" s="291" customFormat="1" ht="11.25" customHeight="1">
      <c r="A4294" s="291" t="s">
        <v>3893</v>
      </c>
      <c r="B4294" s="291" t="s">
        <v>291</v>
      </c>
      <c r="C4294" s="292">
        <v>44785</v>
      </c>
      <c r="D4294" s="292">
        <v>44787</v>
      </c>
      <c r="E4294" s="293" t="s">
        <v>3395</v>
      </c>
      <c r="F4294" s="303" t="s">
        <v>1792</v>
      </c>
      <c r="G4294" s="304">
        <v>3783</v>
      </c>
      <c r="H4294" s="291" t="s">
        <v>814</v>
      </c>
      <c r="I4294" s="295" t="s">
        <v>958</v>
      </c>
      <c r="J4294" s="296">
        <v>9461.56</v>
      </c>
      <c r="K4294" s="295"/>
      <c r="L4294" s="296">
        <v>7.8</v>
      </c>
      <c r="M4294" s="296">
        <v>7.8</v>
      </c>
      <c r="N4294" s="297">
        <v>3999</v>
      </c>
      <c r="O4294" s="298">
        <v>0.25</v>
      </c>
      <c r="P4294" s="298"/>
      <c r="Q4294" s="297">
        <v>0</v>
      </c>
      <c r="R4294" s="291" t="s">
        <v>105</v>
      </c>
      <c r="S4294" s="299" t="s">
        <v>30</v>
      </c>
      <c r="T4294" s="308">
        <v>39</v>
      </c>
      <c r="U4294" s="300" t="s">
        <v>164</v>
      </c>
      <c r="V4294" s="333"/>
      <c r="X4294" s="297">
        <v>0</v>
      </c>
      <c r="Y4294" s="297"/>
      <c r="AH4294" s="291">
        <f>X4294</f>
        <v>0</v>
      </c>
      <c r="AI4294" s="311"/>
      <c r="AJ4294" s="468"/>
    </row>
    <row r="4295" spans="1:37" s="291" customFormat="1" ht="11.25" customHeight="1">
      <c r="A4295" s="291" t="s">
        <v>3893</v>
      </c>
      <c r="B4295" s="291" t="s">
        <v>291</v>
      </c>
      <c r="C4295" s="292"/>
      <c r="D4295" s="292"/>
      <c r="E4295" s="293" t="s">
        <v>3395</v>
      </c>
      <c r="F4295" s="303" t="s">
        <v>1792</v>
      </c>
      <c r="G4295" s="304">
        <v>3783</v>
      </c>
      <c r="H4295" s="291" t="s">
        <v>814</v>
      </c>
      <c r="I4295" s="295" t="s">
        <v>958</v>
      </c>
      <c r="J4295" s="296">
        <v>28814.400000000001</v>
      </c>
      <c r="K4295" s="295"/>
      <c r="L4295" s="296">
        <v>23.2</v>
      </c>
      <c r="M4295" s="296">
        <v>23.2</v>
      </c>
      <c r="N4295" s="297">
        <v>4210</v>
      </c>
      <c r="O4295" s="298">
        <v>0.25</v>
      </c>
      <c r="P4295" s="298"/>
      <c r="Q4295" s="297">
        <v>0</v>
      </c>
      <c r="R4295" s="291" t="s">
        <v>105</v>
      </c>
      <c r="S4295" s="299" t="s">
        <v>30</v>
      </c>
      <c r="T4295" s="308">
        <v>71</v>
      </c>
      <c r="U4295" s="300" t="s">
        <v>164</v>
      </c>
      <c r="V4295" s="333"/>
      <c r="X4295" s="297">
        <v>0</v>
      </c>
      <c r="Y4295" s="297"/>
      <c r="AH4295" s="291">
        <f>X4295</f>
        <v>0</v>
      </c>
      <c r="AI4295" s="311"/>
      <c r="AJ4295" s="468"/>
    </row>
    <row r="4296" spans="1:37" s="379" customFormat="1" ht="11.25" customHeight="1">
      <c r="B4296" s="379" t="s">
        <v>291</v>
      </c>
      <c r="C4296" s="381">
        <v>44786</v>
      </c>
      <c r="D4296" s="381">
        <v>44787</v>
      </c>
      <c r="E4296" s="382" t="s">
        <v>3396</v>
      </c>
      <c r="F4296" s="394" t="s">
        <v>3397</v>
      </c>
      <c r="G4296" s="400">
        <v>4480</v>
      </c>
      <c r="H4296" s="379" t="s">
        <v>1164</v>
      </c>
      <c r="I4296" s="384" t="s">
        <v>33</v>
      </c>
      <c r="J4296" s="385">
        <v>42865.599999999999</v>
      </c>
      <c r="K4296" s="384"/>
      <c r="L4296" s="385">
        <v>11.68</v>
      </c>
      <c r="M4296" s="385">
        <v>11.68</v>
      </c>
      <c r="N4296" s="386"/>
      <c r="O4296" s="387">
        <v>0.25</v>
      </c>
      <c r="P4296" s="387"/>
      <c r="Q4296" s="386">
        <v>0</v>
      </c>
      <c r="R4296" s="379" t="s">
        <v>73</v>
      </c>
      <c r="S4296" s="388" t="s">
        <v>177</v>
      </c>
      <c r="T4296" s="415" t="s">
        <v>178</v>
      </c>
      <c r="U4296" s="389" t="s">
        <v>164</v>
      </c>
      <c r="V4296" s="433"/>
      <c r="X4296" s="386">
        <v>0</v>
      </c>
      <c r="Y4296" s="386"/>
      <c r="AJ4296" s="390">
        <v>0</v>
      </c>
    </row>
    <row r="4297" spans="1:37" s="379" customFormat="1" ht="11.25" customHeight="1">
      <c r="B4297" s="379" t="s">
        <v>291</v>
      </c>
      <c r="C4297" s="381"/>
      <c r="D4297" s="381"/>
      <c r="E4297" s="382" t="s">
        <v>3396</v>
      </c>
      <c r="F4297" s="394" t="s">
        <v>3397</v>
      </c>
      <c r="G4297" s="400">
        <v>4480</v>
      </c>
      <c r="H4297" s="379" t="s">
        <v>765</v>
      </c>
      <c r="I4297" s="384" t="s">
        <v>33</v>
      </c>
      <c r="J4297" s="385">
        <v>17801.71</v>
      </c>
      <c r="K4297" s="384"/>
      <c r="L4297" s="385">
        <v>23.78</v>
      </c>
      <c r="M4297" s="385">
        <v>23.78</v>
      </c>
      <c r="N4297" s="386"/>
      <c r="O4297" s="387">
        <v>0.25</v>
      </c>
      <c r="P4297" s="387"/>
      <c r="Q4297" s="386">
        <v>0</v>
      </c>
      <c r="R4297" s="379" t="s">
        <v>73</v>
      </c>
      <c r="S4297" s="388" t="s">
        <v>177</v>
      </c>
      <c r="T4297" s="415" t="s">
        <v>178</v>
      </c>
      <c r="U4297" s="389" t="s">
        <v>164</v>
      </c>
      <c r="V4297" s="433"/>
      <c r="X4297" s="386">
        <v>0</v>
      </c>
      <c r="Y4297" s="386"/>
      <c r="AJ4297" s="390">
        <v>0</v>
      </c>
    </row>
    <row r="4298" spans="1:37" s="473" customFormat="1" ht="11.25" customHeight="1">
      <c r="B4298" s="473" t="s">
        <v>291</v>
      </c>
      <c r="C4298" s="487">
        <v>44781</v>
      </c>
      <c r="D4298" s="487">
        <v>44787</v>
      </c>
      <c r="E4298" s="488" t="s">
        <v>3398</v>
      </c>
      <c r="F4298" s="472" t="s">
        <v>3399</v>
      </c>
      <c r="G4298" s="476">
        <v>4083</v>
      </c>
      <c r="H4298" s="473" t="s">
        <v>898</v>
      </c>
      <c r="I4298" s="491" t="s">
        <v>33</v>
      </c>
      <c r="J4298" s="490">
        <v>6740.94</v>
      </c>
      <c r="K4298" s="491"/>
      <c r="L4298" s="490">
        <v>6.04</v>
      </c>
      <c r="M4298" s="490">
        <v>6.04</v>
      </c>
      <c r="N4298" s="492">
        <v>3634.04</v>
      </c>
      <c r="O4298" s="493">
        <v>0.15</v>
      </c>
      <c r="P4298" s="493"/>
      <c r="Q4298" s="492">
        <v>2435.58</v>
      </c>
      <c r="R4298" s="473" t="s">
        <v>142</v>
      </c>
      <c r="S4298" s="481" t="s">
        <v>41</v>
      </c>
      <c r="T4298" s="482">
        <v>24</v>
      </c>
      <c r="U4298" s="494" t="s">
        <v>164</v>
      </c>
      <c r="V4298" s="495"/>
      <c r="X4298" s="492">
        <v>2435.58</v>
      </c>
      <c r="Y4298" s="492"/>
      <c r="AJ4298" s="485"/>
      <c r="AK4298" s="505">
        <v>2435.58</v>
      </c>
    </row>
    <row r="4299" spans="1:37" s="337" customFormat="1" ht="11.25" customHeight="1">
      <c r="B4299" s="337" t="s">
        <v>291</v>
      </c>
      <c r="C4299" s="349">
        <v>44787</v>
      </c>
      <c r="D4299" s="349">
        <v>44787</v>
      </c>
      <c r="E4299" s="350" t="s">
        <v>3400</v>
      </c>
      <c r="F4299" s="341" t="s">
        <v>539</v>
      </c>
      <c r="G4299" s="342">
        <v>3591</v>
      </c>
      <c r="H4299" s="337" t="s">
        <v>765</v>
      </c>
      <c r="I4299" s="353" t="s">
        <v>33</v>
      </c>
      <c r="J4299" s="352">
        <v>13140</v>
      </c>
      <c r="K4299" s="353"/>
      <c r="L4299" s="352">
        <v>15</v>
      </c>
      <c r="M4299" s="352">
        <v>15</v>
      </c>
      <c r="N4299" s="354"/>
      <c r="O4299" s="355">
        <v>0.15</v>
      </c>
      <c r="P4299" s="355"/>
      <c r="Q4299" s="354">
        <v>0</v>
      </c>
      <c r="R4299" s="337" t="s">
        <v>77</v>
      </c>
      <c r="S4299" s="356" t="s">
        <v>41</v>
      </c>
      <c r="T4299" s="346">
        <v>16</v>
      </c>
      <c r="U4299" s="357" t="s">
        <v>164</v>
      </c>
      <c r="V4299" s="434"/>
      <c r="X4299" s="354">
        <v>0</v>
      </c>
      <c r="Y4299" s="354"/>
      <c r="AI4299" s="337">
        <v>0</v>
      </c>
      <c r="AJ4299" s="358"/>
      <c r="AK4299" s="369"/>
    </row>
    <row r="4300" spans="1:37" s="337" customFormat="1" ht="11.25" customHeight="1">
      <c r="B4300" s="337" t="s">
        <v>291</v>
      </c>
      <c r="C4300" s="349"/>
      <c r="D4300" s="349"/>
      <c r="E4300" s="350" t="s">
        <v>3400</v>
      </c>
      <c r="F4300" s="341" t="s">
        <v>539</v>
      </c>
      <c r="G4300" s="342">
        <v>3591</v>
      </c>
      <c r="H4300" s="337" t="s">
        <v>866</v>
      </c>
      <c r="I4300" s="353" t="s">
        <v>33</v>
      </c>
      <c r="J4300" s="352">
        <v>9484.2800000000007</v>
      </c>
      <c r="K4300" s="353"/>
      <c r="L4300" s="352">
        <v>5.98</v>
      </c>
      <c r="M4300" s="352">
        <v>5.98</v>
      </c>
      <c r="N4300" s="354"/>
      <c r="O4300" s="355">
        <v>0.15</v>
      </c>
      <c r="P4300" s="355"/>
      <c r="Q4300" s="354">
        <v>0</v>
      </c>
      <c r="R4300" s="337" t="s">
        <v>77</v>
      </c>
      <c r="S4300" s="356" t="s">
        <v>41</v>
      </c>
      <c r="T4300" s="346">
        <v>16</v>
      </c>
      <c r="U4300" s="357" t="s">
        <v>164</v>
      </c>
      <c r="V4300" s="434"/>
      <c r="X4300" s="354">
        <v>0</v>
      </c>
      <c r="Y4300" s="354"/>
      <c r="AI4300" s="337">
        <v>0</v>
      </c>
      <c r="AJ4300" s="358"/>
      <c r="AK4300" s="369"/>
    </row>
    <row r="4301" spans="1:37" s="379" customFormat="1" ht="11.25" customHeight="1">
      <c r="B4301" s="379" t="s">
        <v>390</v>
      </c>
      <c r="C4301" s="381">
        <v>44787</v>
      </c>
      <c r="D4301" s="381">
        <v>44787</v>
      </c>
      <c r="E4301" s="382" t="s">
        <v>3401</v>
      </c>
      <c r="F4301" s="394" t="s">
        <v>901</v>
      </c>
      <c r="G4301" s="400" t="s">
        <v>902</v>
      </c>
      <c r="H4301" s="379" t="s">
        <v>393</v>
      </c>
      <c r="I4301" s="384" t="s">
        <v>33</v>
      </c>
      <c r="J4301" s="385">
        <v>46243.1</v>
      </c>
      <c r="K4301" s="384"/>
      <c r="L4301" s="385">
        <v>4.05</v>
      </c>
      <c r="M4301" s="385">
        <v>4.05</v>
      </c>
      <c r="N4301" s="386"/>
      <c r="O4301" s="387">
        <v>0.25</v>
      </c>
      <c r="P4301" s="387"/>
      <c r="Q4301" s="386">
        <v>0</v>
      </c>
      <c r="R4301" s="379" t="s">
        <v>77</v>
      </c>
      <c r="S4301" s="388" t="s">
        <v>41</v>
      </c>
      <c r="T4301" s="399">
        <v>16</v>
      </c>
      <c r="U4301" s="389" t="s">
        <v>164</v>
      </c>
      <c r="V4301" s="433"/>
      <c r="X4301" s="386">
        <v>0</v>
      </c>
      <c r="Y4301" s="386"/>
      <c r="AJ4301" s="390">
        <v>0</v>
      </c>
    </row>
    <row r="4302" spans="1:37" s="379" customFormat="1" ht="11.25" customHeight="1">
      <c r="B4302" s="379" t="s">
        <v>390</v>
      </c>
      <c r="C4302" s="381"/>
      <c r="D4302" s="381"/>
      <c r="E4302" s="382" t="s">
        <v>3401</v>
      </c>
      <c r="F4302" s="394" t="s">
        <v>901</v>
      </c>
      <c r="G4302" s="400" t="s">
        <v>902</v>
      </c>
      <c r="H4302" s="379" t="s">
        <v>393</v>
      </c>
      <c r="I4302" s="384" t="s">
        <v>33</v>
      </c>
      <c r="J4302" s="385">
        <v>195705.38</v>
      </c>
      <c r="K4302" s="384"/>
      <c r="L4302" s="385">
        <v>17.14</v>
      </c>
      <c r="M4302" s="385">
        <v>17.14</v>
      </c>
      <c r="N4302" s="386"/>
      <c r="O4302" s="387">
        <v>0.25</v>
      </c>
      <c r="P4302" s="387"/>
      <c r="Q4302" s="386">
        <v>0</v>
      </c>
      <c r="R4302" s="379" t="s">
        <v>77</v>
      </c>
      <c r="S4302" s="388" t="s">
        <v>41</v>
      </c>
      <c r="T4302" s="399">
        <v>16</v>
      </c>
      <c r="U4302" s="389" t="s">
        <v>164</v>
      </c>
      <c r="V4302" s="433"/>
      <c r="X4302" s="386">
        <v>0</v>
      </c>
      <c r="Y4302" s="386"/>
      <c r="AJ4302" s="390">
        <v>0</v>
      </c>
    </row>
    <row r="4303" spans="1:37" s="337" customFormat="1" ht="11.25" customHeight="1">
      <c r="B4303" s="337" t="s">
        <v>291</v>
      </c>
      <c r="C4303" s="349">
        <v>44788</v>
      </c>
      <c r="D4303" s="349">
        <v>44788</v>
      </c>
      <c r="E4303" s="350" t="s">
        <v>3402</v>
      </c>
      <c r="F4303" s="341" t="s">
        <v>1064</v>
      </c>
      <c r="G4303" s="342" t="s">
        <v>1065</v>
      </c>
      <c r="H4303" s="337" t="s">
        <v>866</v>
      </c>
      <c r="I4303" s="353" t="s">
        <v>961</v>
      </c>
      <c r="J4303" s="352">
        <v>114950</v>
      </c>
      <c r="K4303" s="353"/>
      <c r="L4303" s="352">
        <v>50</v>
      </c>
      <c r="M4303" s="352">
        <v>50</v>
      </c>
      <c r="N4303" s="354">
        <v>45184.55</v>
      </c>
      <c r="O4303" s="355">
        <v>0.2</v>
      </c>
      <c r="P4303" s="355"/>
      <c r="Q4303" s="354">
        <v>24558.75</v>
      </c>
      <c r="R4303" s="337" t="s">
        <v>112</v>
      </c>
      <c r="S4303" s="356" t="s">
        <v>113</v>
      </c>
      <c r="T4303" s="346">
        <v>64</v>
      </c>
      <c r="U4303" s="357" t="s">
        <v>164</v>
      </c>
      <c r="V4303" s="434"/>
      <c r="X4303" s="354">
        <v>24558.75</v>
      </c>
      <c r="Y4303" s="354"/>
      <c r="AI4303" s="354">
        <v>24558.75</v>
      </c>
      <c r="AJ4303" s="358"/>
      <c r="AK4303" s="369"/>
    </row>
    <row r="4304" spans="1:37" s="379" customFormat="1" ht="11.25" customHeight="1">
      <c r="B4304" s="379" t="s">
        <v>291</v>
      </c>
      <c r="C4304" s="381">
        <v>44786</v>
      </c>
      <c r="D4304" s="381">
        <v>44788</v>
      </c>
      <c r="E4304" s="382" t="s">
        <v>3403</v>
      </c>
      <c r="F4304" s="394" t="s">
        <v>3243</v>
      </c>
      <c r="G4304" s="400">
        <v>3827</v>
      </c>
      <c r="H4304" s="379" t="s">
        <v>866</v>
      </c>
      <c r="I4304" s="384" t="s">
        <v>888</v>
      </c>
      <c r="J4304" s="385">
        <v>7148.4</v>
      </c>
      <c r="K4304" s="384"/>
      <c r="L4304" s="385">
        <v>6</v>
      </c>
      <c r="M4304" s="385">
        <v>6</v>
      </c>
      <c r="N4304" s="386"/>
      <c r="O4304" s="387">
        <v>0.2</v>
      </c>
      <c r="P4304" s="387"/>
      <c r="Q4304" s="386">
        <v>1510.32</v>
      </c>
      <c r="R4304" s="379" t="s">
        <v>146</v>
      </c>
      <c r="S4304" s="388" t="s">
        <v>74</v>
      </c>
      <c r="T4304" s="399">
        <v>65</v>
      </c>
      <c r="U4304" s="389" t="s">
        <v>164</v>
      </c>
      <c r="V4304" s="433"/>
      <c r="X4304" s="386">
        <v>1510.32</v>
      </c>
      <c r="Y4304" s="386"/>
      <c r="AJ4304" s="416">
        <v>1510.32</v>
      </c>
    </row>
    <row r="4305" spans="1:37" s="379" customFormat="1" ht="11.25" customHeight="1">
      <c r="B4305" s="379" t="s">
        <v>291</v>
      </c>
      <c r="C4305" s="381"/>
      <c r="D4305" s="381"/>
      <c r="E4305" s="382" t="s">
        <v>3403</v>
      </c>
      <c r="F4305" s="394" t="s">
        <v>3243</v>
      </c>
      <c r="G4305" s="400">
        <v>3827</v>
      </c>
      <c r="H4305" s="379" t="s">
        <v>910</v>
      </c>
      <c r="I4305" s="384" t="s">
        <v>888</v>
      </c>
      <c r="J4305" s="385">
        <v>75681.88</v>
      </c>
      <c r="K4305" s="384"/>
      <c r="L4305" s="385">
        <v>49.24</v>
      </c>
      <c r="M4305" s="385">
        <v>49.24</v>
      </c>
      <c r="N4305" s="386"/>
      <c r="O4305" s="387">
        <v>0.2</v>
      </c>
      <c r="P4305" s="387"/>
      <c r="Q4305" s="386">
        <v>9710.1299999999992</v>
      </c>
      <c r="R4305" s="379" t="s">
        <v>146</v>
      </c>
      <c r="S4305" s="388" t="s">
        <v>74</v>
      </c>
      <c r="T4305" s="399">
        <v>65</v>
      </c>
      <c r="U4305" s="389" t="s">
        <v>164</v>
      </c>
      <c r="V4305" s="433"/>
      <c r="X4305" s="386">
        <v>9710.1299999999992</v>
      </c>
      <c r="Y4305" s="386"/>
      <c r="AJ4305" s="416">
        <v>9710.1299999999992</v>
      </c>
    </row>
    <row r="4306" spans="1:37" s="473" customFormat="1" ht="11.25" customHeight="1">
      <c r="B4306" s="473" t="s">
        <v>291</v>
      </c>
      <c r="C4306" s="487">
        <v>44785</v>
      </c>
      <c r="D4306" s="487">
        <v>44788</v>
      </c>
      <c r="E4306" s="488" t="s">
        <v>3404</v>
      </c>
      <c r="F4306" s="472" t="s">
        <v>1415</v>
      </c>
      <c r="G4306" s="476">
        <v>4008</v>
      </c>
      <c r="H4306" s="473" t="s">
        <v>765</v>
      </c>
      <c r="I4306" s="491" t="s">
        <v>33</v>
      </c>
      <c r="J4306" s="490">
        <v>27016.5</v>
      </c>
      <c r="K4306" s="491"/>
      <c r="L4306" s="490">
        <v>25.73</v>
      </c>
      <c r="M4306" s="490">
        <v>25.73</v>
      </c>
      <c r="N4306" s="492">
        <v>15437.23</v>
      </c>
      <c r="O4306" s="493">
        <v>0.2</v>
      </c>
      <c r="P4306" s="493"/>
      <c r="Q4306" s="492">
        <v>7333.05</v>
      </c>
      <c r="R4306" s="473" t="s">
        <v>142</v>
      </c>
      <c r="S4306" s="481" t="s">
        <v>41</v>
      </c>
      <c r="T4306" s="482">
        <v>24</v>
      </c>
      <c r="U4306" s="494" t="s">
        <v>164</v>
      </c>
      <c r="V4306" s="495"/>
      <c r="X4306" s="492">
        <v>7333.05</v>
      </c>
      <c r="Y4306" s="492"/>
      <c r="AJ4306" s="497"/>
      <c r="AK4306" s="497">
        <v>7333.05</v>
      </c>
    </row>
    <row r="4307" spans="1:37" s="473" customFormat="1" ht="11.25" customHeight="1">
      <c r="B4307" s="473" t="s">
        <v>291</v>
      </c>
      <c r="C4307" s="487">
        <v>44781</v>
      </c>
      <c r="D4307" s="487">
        <v>44781</v>
      </c>
      <c r="E4307" s="488" t="s">
        <v>3405</v>
      </c>
      <c r="F4307" s="472" t="s">
        <v>3406</v>
      </c>
      <c r="G4307" s="476" t="s">
        <v>3407</v>
      </c>
      <c r="H4307" s="473" t="s">
        <v>765</v>
      </c>
      <c r="I4307" s="491" t="s">
        <v>33</v>
      </c>
      <c r="J4307" s="490">
        <v>24750</v>
      </c>
      <c r="K4307" s="491"/>
      <c r="L4307" s="490">
        <v>15</v>
      </c>
      <c r="M4307" s="490">
        <v>15</v>
      </c>
      <c r="N4307" s="492"/>
      <c r="O4307" s="493">
        <v>0.25</v>
      </c>
      <c r="P4307" s="493"/>
      <c r="Q4307" s="492">
        <v>7650</v>
      </c>
      <c r="R4307" s="473" t="s">
        <v>369</v>
      </c>
      <c r="S4307" s="481" t="s">
        <v>3408</v>
      </c>
      <c r="T4307" s="482">
        <v>24</v>
      </c>
      <c r="U4307" s="494" t="s">
        <v>164</v>
      </c>
      <c r="V4307" s="495"/>
      <c r="X4307" s="492">
        <v>7650</v>
      </c>
      <c r="Y4307" s="492"/>
      <c r="AJ4307" s="485"/>
      <c r="AK4307" s="505">
        <v>7650</v>
      </c>
    </row>
    <row r="4308" spans="1:37" s="473" customFormat="1" ht="11.25" customHeight="1">
      <c r="A4308" s="473" t="s">
        <v>3893</v>
      </c>
      <c r="B4308" s="473" t="s">
        <v>291</v>
      </c>
      <c r="C4308" s="487">
        <v>44786</v>
      </c>
      <c r="D4308" s="487">
        <v>44789</v>
      </c>
      <c r="E4308" s="488" t="s">
        <v>3409</v>
      </c>
      <c r="F4308" s="472" t="s">
        <v>67</v>
      </c>
      <c r="G4308" s="476">
        <v>3665</v>
      </c>
      <c r="H4308" s="473" t="s">
        <v>898</v>
      </c>
      <c r="I4308" s="491" t="s">
        <v>888</v>
      </c>
      <c r="J4308" s="490">
        <v>70732.03</v>
      </c>
      <c r="K4308" s="491"/>
      <c r="L4308" s="490">
        <v>53.52</v>
      </c>
      <c r="M4308" s="490">
        <v>53.52</v>
      </c>
      <c r="N4308" s="492">
        <v>17683.008000000002</v>
      </c>
      <c r="O4308" s="493">
        <v>0.15</v>
      </c>
      <c r="P4308" s="493"/>
      <c r="Q4308" s="492">
        <v>2748.79</v>
      </c>
      <c r="R4308" s="473" t="s">
        <v>50</v>
      </c>
      <c r="S4308" s="481" t="s">
        <v>51</v>
      </c>
      <c r="T4308" s="482">
        <v>54</v>
      </c>
      <c r="U4308" s="494" t="s">
        <v>164</v>
      </c>
      <c r="V4308" s="492">
        <v>2748.79</v>
      </c>
      <c r="X4308" s="492">
        <v>2748.79</v>
      </c>
      <c r="Y4308" s="492"/>
      <c r="AJ4308" s="485"/>
      <c r="AK4308" s="505">
        <v>2748.79</v>
      </c>
    </row>
    <row r="4309" spans="1:37" s="473" customFormat="1" ht="11.25" customHeight="1">
      <c r="A4309" s="473" t="s">
        <v>3893</v>
      </c>
      <c r="B4309" s="473" t="s">
        <v>291</v>
      </c>
      <c r="C4309" s="487"/>
      <c r="D4309" s="487"/>
      <c r="E4309" s="488" t="s">
        <v>3409</v>
      </c>
      <c r="F4309" s="472" t="s">
        <v>67</v>
      </c>
      <c r="G4309" s="476">
        <v>3665</v>
      </c>
      <c r="H4309" s="473" t="s">
        <v>765</v>
      </c>
      <c r="I4309" s="491" t="s">
        <v>888</v>
      </c>
      <c r="J4309" s="490">
        <v>40755.99</v>
      </c>
      <c r="K4309" s="491"/>
      <c r="L4309" s="490">
        <v>33.200000000000003</v>
      </c>
      <c r="M4309" s="490">
        <v>33.200000000000003</v>
      </c>
      <c r="N4309" s="492">
        <v>8151.1976000000004</v>
      </c>
      <c r="O4309" s="493">
        <v>0.15</v>
      </c>
      <c r="P4309" s="493"/>
      <c r="Q4309" s="492">
        <v>5519.38</v>
      </c>
      <c r="R4309" s="473" t="s">
        <v>50</v>
      </c>
      <c r="S4309" s="481" t="s">
        <v>51</v>
      </c>
      <c r="T4309" s="482">
        <v>54</v>
      </c>
      <c r="U4309" s="494" t="s">
        <v>164</v>
      </c>
      <c r="V4309" s="492">
        <v>5519.38</v>
      </c>
      <c r="X4309" s="492">
        <v>5519.38</v>
      </c>
      <c r="Y4309" s="492"/>
      <c r="AJ4309" s="485"/>
      <c r="AK4309" s="505">
        <v>5519.38</v>
      </c>
    </row>
    <row r="4310" spans="1:37" s="337" customFormat="1" ht="11.25" customHeight="1">
      <c r="B4310" s="337" t="s">
        <v>291</v>
      </c>
      <c r="C4310" s="349">
        <v>44789</v>
      </c>
      <c r="D4310" s="349">
        <v>44789</v>
      </c>
      <c r="E4310" s="350" t="s">
        <v>3410</v>
      </c>
      <c r="F4310" s="341" t="s">
        <v>571</v>
      </c>
      <c r="G4310" s="342">
        <v>4199</v>
      </c>
      <c r="H4310" s="337" t="s">
        <v>765</v>
      </c>
      <c r="I4310" s="353" t="s">
        <v>33</v>
      </c>
      <c r="J4310" s="352">
        <v>20388.189999999999</v>
      </c>
      <c r="K4310" s="353"/>
      <c r="L4310" s="352">
        <v>18.2</v>
      </c>
      <c r="M4310" s="352">
        <v>18.2</v>
      </c>
      <c r="N4310" s="354">
        <v>4077.6372000000001</v>
      </c>
      <c r="O4310" s="355">
        <v>0.2</v>
      </c>
      <c r="P4310" s="355"/>
      <c r="Q4310" s="354">
        <v>2466.7199999999998</v>
      </c>
      <c r="R4310" s="337" t="s">
        <v>42</v>
      </c>
      <c r="S4310" s="356" t="s">
        <v>41</v>
      </c>
      <c r="T4310" s="346">
        <v>16</v>
      </c>
      <c r="U4310" s="357" t="s">
        <v>164</v>
      </c>
      <c r="V4310" s="434"/>
      <c r="X4310" s="354">
        <v>2466.7199999999998</v>
      </c>
      <c r="Y4310" s="354"/>
      <c r="AI4310" s="354">
        <v>2466.7199999999998</v>
      </c>
      <c r="AJ4310" s="358"/>
      <c r="AK4310" s="369"/>
    </row>
    <row r="4311" spans="1:37" s="379" customFormat="1" ht="11.25" customHeight="1">
      <c r="B4311" s="379" t="s">
        <v>291</v>
      </c>
      <c r="C4311" s="381">
        <v>44789</v>
      </c>
      <c r="D4311" s="381">
        <v>44789</v>
      </c>
      <c r="E4311" s="382" t="s">
        <v>3411</v>
      </c>
      <c r="F4311" s="394" t="s">
        <v>3412</v>
      </c>
      <c r="G4311" s="400" t="s">
        <v>3413</v>
      </c>
      <c r="H4311" s="379" t="s">
        <v>866</v>
      </c>
      <c r="I4311" s="384" t="s">
        <v>958</v>
      </c>
      <c r="J4311" s="385">
        <v>71418.73</v>
      </c>
      <c r="K4311" s="384"/>
      <c r="L4311" s="385">
        <v>31.98</v>
      </c>
      <c r="M4311" s="385">
        <v>31.98</v>
      </c>
      <c r="N4311" s="386">
        <f>8361.22+26349.88</f>
        <v>34711.1</v>
      </c>
      <c r="O4311" s="387">
        <v>0.3</v>
      </c>
      <c r="P4311" s="387"/>
      <c r="Q4311" s="386">
        <v>16258.3</v>
      </c>
      <c r="R4311" s="379" t="s">
        <v>112</v>
      </c>
      <c r="S4311" s="388" t="s">
        <v>113</v>
      </c>
      <c r="T4311" s="399">
        <v>40</v>
      </c>
      <c r="U4311" s="389" t="s">
        <v>164</v>
      </c>
      <c r="V4311" s="433"/>
      <c r="X4311" s="386">
        <v>16258.3</v>
      </c>
      <c r="Y4311" s="386"/>
      <c r="AJ4311" s="416">
        <v>16258.3</v>
      </c>
    </row>
    <row r="4312" spans="1:37" s="379" customFormat="1" ht="11.25" customHeight="1">
      <c r="B4312" s="379" t="s">
        <v>291</v>
      </c>
      <c r="C4312" s="381"/>
      <c r="D4312" s="381"/>
      <c r="E4312" s="382" t="s">
        <v>3411</v>
      </c>
      <c r="F4312" s="394" t="s">
        <v>3412</v>
      </c>
      <c r="G4312" s="400" t="s">
        <v>3413</v>
      </c>
      <c r="H4312" s="379" t="s">
        <v>814</v>
      </c>
      <c r="I4312" s="384" t="s">
        <v>958</v>
      </c>
      <c r="J4312" s="385">
        <v>38255.58</v>
      </c>
      <c r="K4312" s="384"/>
      <c r="L4312" s="385">
        <v>28.56</v>
      </c>
      <c r="M4312" s="385">
        <v>28.56</v>
      </c>
      <c r="N4312" s="386">
        <v>17106.509999999998</v>
      </c>
      <c r="O4312" s="387">
        <v>0.3</v>
      </c>
      <c r="P4312" s="387"/>
      <c r="Q4312" s="386">
        <v>0</v>
      </c>
      <c r="R4312" s="379" t="s">
        <v>112</v>
      </c>
      <c r="S4312" s="388" t="s">
        <v>113</v>
      </c>
      <c r="T4312" s="399">
        <v>40</v>
      </c>
      <c r="U4312" s="389" t="s">
        <v>164</v>
      </c>
      <c r="V4312" s="433"/>
      <c r="X4312" s="386">
        <v>0</v>
      </c>
      <c r="Y4312" s="386"/>
      <c r="AJ4312" s="390">
        <v>0</v>
      </c>
    </row>
    <row r="4313" spans="1:37" s="473" customFormat="1" ht="11.25" customHeight="1">
      <c r="B4313" s="473" t="s">
        <v>291</v>
      </c>
      <c r="C4313" s="487">
        <v>44745</v>
      </c>
      <c r="D4313" s="487">
        <v>44789</v>
      </c>
      <c r="E4313" s="488" t="s">
        <v>3414</v>
      </c>
      <c r="F4313" s="472" t="s">
        <v>3415</v>
      </c>
      <c r="G4313" s="476" t="s">
        <v>2113</v>
      </c>
      <c r="H4313" s="473" t="s">
        <v>1138</v>
      </c>
      <c r="I4313" s="491" t="s">
        <v>33</v>
      </c>
      <c r="J4313" s="490">
        <v>17091.41</v>
      </c>
      <c r="K4313" s="491"/>
      <c r="L4313" s="490">
        <v>15.63</v>
      </c>
      <c r="M4313" s="490">
        <v>15.63</v>
      </c>
      <c r="N4313" s="492"/>
      <c r="O4313" s="493">
        <v>0.25</v>
      </c>
      <c r="P4313" s="493"/>
      <c r="Q4313" s="492">
        <v>3658.4</v>
      </c>
      <c r="R4313" s="473" t="s">
        <v>73</v>
      </c>
      <c r="S4313" s="481" t="s">
        <v>74</v>
      </c>
      <c r="T4313" s="482">
        <v>32</v>
      </c>
      <c r="U4313" s="494" t="s">
        <v>164</v>
      </c>
      <c r="V4313" s="495"/>
      <c r="X4313" s="492">
        <v>3658.4</v>
      </c>
      <c r="Y4313" s="492"/>
      <c r="AJ4313" s="485"/>
      <c r="AK4313" s="505">
        <v>3658.4</v>
      </c>
    </row>
    <row r="4314" spans="1:37" s="473" customFormat="1" ht="11.25" customHeight="1">
      <c r="B4314" s="473" t="s">
        <v>291</v>
      </c>
      <c r="C4314" s="487"/>
      <c r="D4314" s="487"/>
      <c r="E4314" s="488" t="s">
        <v>3414</v>
      </c>
      <c r="F4314" s="472" t="s">
        <v>3415</v>
      </c>
      <c r="G4314" s="476" t="s">
        <v>2113</v>
      </c>
      <c r="H4314" s="473" t="s">
        <v>1018</v>
      </c>
      <c r="I4314" s="491" t="s">
        <v>33</v>
      </c>
      <c r="J4314" s="490">
        <v>22356</v>
      </c>
      <c r="K4314" s="491"/>
      <c r="L4314" s="490">
        <v>33.119999999999997</v>
      </c>
      <c r="M4314" s="490">
        <v>33.119999999999997</v>
      </c>
      <c r="N4314" s="492"/>
      <c r="O4314" s="493">
        <v>0.25</v>
      </c>
      <c r="P4314" s="493"/>
      <c r="Q4314" s="492">
        <v>0</v>
      </c>
      <c r="R4314" s="473" t="s">
        <v>73</v>
      </c>
      <c r="S4314" s="481" t="s">
        <v>74</v>
      </c>
      <c r="T4314" s="482">
        <v>32</v>
      </c>
      <c r="U4314" s="494" t="s">
        <v>164</v>
      </c>
      <c r="V4314" s="495"/>
      <c r="X4314" s="492">
        <v>0</v>
      </c>
      <c r="Y4314" s="492"/>
      <c r="AJ4314" s="485"/>
      <c r="AK4314" s="473">
        <v>0</v>
      </c>
    </row>
    <row r="4315" spans="1:37" s="379" customFormat="1" ht="11.25" customHeight="1">
      <c r="B4315" s="379" t="s">
        <v>291</v>
      </c>
      <c r="C4315" s="381">
        <v>44789</v>
      </c>
      <c r="D4315" s="381">
        <v>44789</v>
      </c>
      <c r="E4315" s="382" t="s">
        <v>3416</v>
      </c>
      <c r="F4315" s="394" t="s">
        <v>209</v>
      </c>
      <c r="G4315" s="400">
        <v>4621</v>
      </c>
      <c r="H4315" s="379" t="s">
        <v>1009</v>
      </c>
      <c r="I4315" s="384" t="s">
        <v>888</v>
      </c>
      <c r="J4315" s="385">
        <v>11232</v>
      </c>
      <c r="K4315" s="384"/>
      <c r="L4315" s="385">
        <v>5.4</v>
      </c>
      <c r="M4315" s="385">
        <v>5.4</v>
      </c>
      <c r="N4315" s="386"/>
      <c r="O4315" s="387">
        <v>0.25</v>
      </c>
      <c r="P4315" s="387"/>
      <c r="Q4315" s="386">
        <v>0</v>
      </c>
      <c r="R4315" s="379" t="s">
        <v>73</v>
      </c>
      <c r="S4315" s="388" t="s">
        <v>74</v>
      </c>
      <c r="T4315" s="399">
        <v>31</v>
      </c>
      <c r="U4315" s="389" t="s">
        <v>164</v>
      </c>
      <c r="V4315" s="433"/>
      <c r="X4315" s="386">
        <v>0</v>
      </c>
      <c r="Y4315" s="386"/>
      <c r="AJ4315" s="390">
        <v>0</v>
      </c>
    </row>
    <row r="4316" spans="1:37" s="379" customFormat="1" ht="11.25" customHeight="1">
      <c r="B4316" s="379" t="s">
        <v>291</v>
      </c>
      <c r="C4316" s="381"/>
      <c r="D4316" s="381"/>
      <c r="E4316" s="382" t="s">
        <v>3416</v>
      </c>
      <c r="F4316" s="394" t="s">
        <v>209</v>
      </c>
      <c r="G4316" s="400">
        <v>4621</v>
      </c>
      <c r="H4316" s="379" t="s">
        <v>765</v>
      </c>
      <c r="I4316" s="384" t="s">
        <v>888</v>
      </c>
      <c r="J4316" s="385">
        <v>13435.7</v>
      </c>
      <c r="K4316" s="384"/>
      <c r="L4316" s="385">
        <v>11.89</v>
      </c>
      <c r="M4316" s="385">
        <v>11.89</v>
      </c>
      <c r="N4316" s="386"/>
      <c r="O4316" s="387">
        <v>0.25</v>
      </c>
      <c r="P4316" s="387"/>
      <c r="Q4316" s="386">
        <v>0</v>
      </c>
      <c r="R4316" s="379" t="s">
        <v>73</v>
      </c>
      <c r="S4316" s="388" t="s">
        <v>74</v>
      </c>
      <c r="T4316" s="399">
        <v>31</v>
      </c>
      <c r="U4316" s="389" t="s">
        <v>164</v>
      </c>
      <c r="V4316" s="433"/>
      <c r="X4316" s="386">
        <v>0</v>
      </c>
      <c r="Y4316" s="386"/>
      <c r="AJ4316" s="390">
        <v>0</v>
      </c>
    </row>
    <row r="4317" spans="1:37" s="337" customFormat="1" ht="11.25" customHeight="1">
      <c r="B4317" s="337" t="s">
        <v>291</v>
      </c>
      <c r="C4317" s="349">
        <v>44789</v>
      </c>
      <c r="D4317" s="349">
        <v>44789</v>
      </c>
      <c r="E4317" s="350" t="s">
        <v>3417</v>
      </c>
      <c r="F4317" s="341" t="s">
        <v>2436</v>
      </c>
      <c r="G4317" s="342" t="s">
        <v>2437</v>
      </c>
      <c r="H4317" s="337" t="s">
        <v>866</v>
      </c>
      <c r="I4317" s="353" t="s">
        <v>33</v>
      </c>
      <c r="J4317" s="352">
        <v>111577.84</v>
      </c>
      <c r="K4317" s="353"/>
      <c r="L4317" s="352">
        <v>61.55</v>
      </c>
      <c r="M4317" s="352">
        <v>61.55</v>
      </c>
      <c r="N4317" s="354">
        <v>40222.800000000003</v>
      </c>
      <c r="O4317" s="355">
        <v>0.25</v>
      </c>
      <c r="P4317" s="355"/>
      <c r="Q4317" s="354">
        <v>19260.939999999999</v>
      </c>
      <c r="R4317" s="337" t="s">
        <v>2296</v>
      </c>
      <c r="S4317" s="356" t="s">
        <v>113</v>
      </c>
      <c r="T4317" s="346">
        <v>64</v>
      </c>
      <c r="U4317" s="357" t="s">
        <v>164</v>
      </c>
      <c r="V4317" s="434"/>
      <c r="X4317" s="354">
        <v>19260.939999999999</v>
      </c>
      <c r="Y4317" s="354"/>
      <c r="AI4317" s="354">
        <v>19260.939999999999</v>
      </c>
      <c r="AJ4317" s="358"/>
      <c r="AK4317" s="369"/>
    </row>
    <row r="4318" spans="1:37" s="337" customFormat="1" ht="11.25" customHeight="1">
      <c r="B4318" s="337" t="s">
        <v>291</v>
      </c>
      <c r="C4318" s="349"/>
      <c r="D4318" s="349"/>
      <c r="E4318" s="350" t="s">
        <v>3417</v>
      </c>
      <c r="F4318" s="341" t="s">
        <v>2436</v>
      </c>
      <c r="G4318" s="342" t="s">
        <v>2437</v>
      </c>
      <c r="H4318" s="337" t="s">
        <v>814</v>
      </c>
      <c r="I4318" s="353" t="s">
        <v>33</v>
      </c>
      <c r="J4318" s="352">
        <v>4844.96</v>
      </c>
      <c r="K4318" s="353"/>
      <c r="L4318" s="352">
        <v>5.35</v>
      </c>
      <c r="M4318" s="352">
        <v>5.35</v>
      </c>
      <c r="N4318" s="354">
        <v>1455.2</v>
      </c>
      <c r="O4318" s="355">
        <v>0.25</v>
      </c>
      <c r="P4318" s="355"/>
      <c r="Q4318" s="354">
        <v>0</v>
      </c>
      <c r="R4318" s="337" t="s">
        <v>2296</v>
      </c>
      <c r="S4318" s="356" t="s">
        <v>113</v>
      </c>
      <c r="T4318" s="346">
        <v>64</v>
      </c>
      <c r="U4318" s="357" t="s">
        <v>164</v>
      </c>
      <c r="V4318" s="434"/>
      <c r="X4318" s="354">
        <v>0</v>
      </c>
      <c r="Y4318" s="354"/>
      <c r="AI4318" s="337">
        <v>0</v>
      </c>
      <c r="AJ4318" s="358"/>
      <c r="AK4318" s="369"/>
    </row>
    <row r="4319" spans="1:37" s="379" customFormat="1" ht="11.25" customHeight="1">
      <c r="B4319" s="379" t="s">
        <v>291</v>
      </c>
      <c r="C4319" s="381">
        <v>44789</v>
      </c>
      <c r="D4319" s="381">
        <v>44789</v>
      </c>
      <c r="E4319" s="382" t="s">
        <v>3418</v>
      </c>
      <c r="F4319" s="394" t="s">
        <v>1813</v>
      </c>
      <c r="G4319" s="400" t="s">
        <v>1814</v>
      </c>
      <c r="H4319" s="379" t="s">
        <v>765</v>
      </c>
      <c r="I4319" s="384" t="s">
        <v>888</v>
      </c>
      <c r="J4319" s="385">
        <v>49968.06</v>
      </c>
      <c r="K4319" s="384"/>
      <c r="L4319" s="385">
        <v>60.56</v>
      </c>
      <c r="M4319" s="385">
        <v>60.56</v>
      </c>
      <c r="N4319" s="386"/>
      <c r="O4319" s="387">
        <v>0.2</v>
      </c>
      <c r="P4319" s="387"/>
      <c r="Q4319" s="386">
        <v>0</v>
      </c>
      <c r="R4319" s="379" t="s">
        <v>73</v>
      </c>
      <c r="S4319" s="388" t="s">
        <v>74</v>
      </c>
      <c r="T4319" s="399">
        <v>31</v>
      </c>
      <c r="U4319" s="389" t="s">
        <v>164</v>
      </c>
      <c r="V4319" s="433"/>
      <c r="X4319" s="386">
        <v>0</v>
      </c>
      <c r="Y4319" s="386"/>
      <c r="AJ4319" s="390">
        <v>0</v>
      </c>
    </row>
    <row r="4320" spans="1:37" s="337" customFormat="1" ht="11.25" customHeight="1">
      <c r="B4320" s="337" t="s">
        <v>291</v>
      </c>
      <c r="C4320" s="349">
        <v>44789</v>
      </c>
      <c r="D4320" s="349">
        <v>44789</v>
      </c>
      <c r="E4320" s="350" t="s">
        <v>3419</v>
      </c>
      <c r="F4320" s="341" t="s">
        <v>2433</v>
      </c>
      <c r="G4320" s="342" t="s">
        <v>2434</v>
      </c>
      <c r="H4320" s="337" t="s">
        <v>866</v>
      </c>
      <c r="I4320" s="353" t="s">
        <v>33</v>
      </c>
      <c r="J4320" s="352">
        <v>113217.31</v>
      </c>
      <c r="K4320" s="353"/>
      <c r="L4320" s="352">
        <v>64.739999999999995</v>
      </c>
      <c r="M4320" s="352">
        <v>64.739999999999995</v>
      </c>
      <c r="N4320" s="354">
        <v>24056</v>
      </c>
      <c r="O4320" s="355">
        <v>0.25</v>
      </c>
      <c r="P4320" s="355"/>
      <c r="Q4320" s="354">
        <v>7377.84</v>
      </c>
      <c r="R4320" s="337" t="s">
        <v>2296</v>
      </c>
      <c r="S4320" s="356" t="s">
        <v>113</v>
      </c>
      <c r="T4320" s="346">
        <v>64</v>
      </c>
      <c r="U4320" s="357" t="s">
        <v>164</v>
      </c>
      <c r="V4320" s="434"/>
      <c r="X4320" s="354">
        <v>7377.84</v>
      </c>
      <c r="Y4320" s="354"/>
      <c r="AI4320" s="354">
        <v>7377.84</v>
      </c>
      <c r="AJ4320" s="358"/>
      <c r="AK4320" s="369"/>
    </row>
    <row r="4321" spans="1:77" s="379" customFormat="1" ht="10.5" customHeight="1">
      <c r="B4321" s="379" t="s">
        <v>291</v>
      </c>
      <c r="C4321" s="381">
        <v>44789</v>
      </c>
      <c r="D4321" s="381">
        <v>44789</v>
      </c>
      <c r="E4321" s="382" t="s">
        <v>3420</v>
      </c>
      <c r="F4321" s="394" t="s">
        <v>1572</v>
      </c>
      <c r="G4321" s="400">
        <v>4012</v>
      </c>
      <c r="H4321" s="379" t="s">
        <v>910</v>
      </c>
      <c r="I4321" s="384" t="s">
        <v>888</v>
      </c>
      <c r="J4321" s="385">
        <v>60328.800000000003</v>
      </c>
      <c r="K4321" s="384"/>
      <c r="L4321" s="385">
        <v>28</v>
      </c>
      <c r="M4321" s="385">
        <v>28</v>
      </c>
      <c r="N4321" s="386"/>
      <c r="O4321" s="387">
        <v>0.2</v>
      </c>
      <c r="P4321" s="387"/>
      <c r="Q4321" s="386">
        <v>0</v>
      </c>
      <c r="R4321" s="379" t="s">
        <v>146</v>
      </c>
      <c r="S4321" s="388" t="s">
        <v>74</v>
      </c>
      <c r="T4321" s="399">
        <v>31</v>
      </c>
      <c r="U4321" s="389" t="s">
        <v>164</v>
      </c>
      <c r="V4321" s="433"/>
      <c r="X4321" s="386">
        <v>0</v>
      </c>
      <c r="Y4321" s="386"/>
      <c r="AJ4321" s="390">
        <v>0</v>
      </c>
    </row>
    <row r="4322" spans="1:77" s="379" customFormat="1" ht="11.25" customHeight="1">
      <c r="B4322" s="379" t="s">
        <v>291</v>
      </c>
      <c r="C4322" s="381"/>
      <c r="D4322" s="381"/>
      <c r="E4322" s="382" t="s">
        <v>3420</v>
      </c>
      <c r="F4322" s="394" t="s">
        <v>1572</v>
      </c>
      <c r="G4322" s="400">
        <v>4012</v>
      </c>
      <c r="H4322" s="379" t="s">
        <v>814</v>
      </c>
      <c r="I4322" s="384" t="s">
        <v>888</v>
      </c>
      <c r="J4322" s="385">
        <v>17192</v>
      </c>
      <c r="K4322" s="384"/>
      <c r="L4322" s="385">
        <v>14</v>
      </c>
      <c r="M4322" s="385">
        <v>14</v>
      </c>
      <c r="N4322" s="386"/>
      <c r="O4322" s="387">
        <v>0.2</v>
      </c>
      <c r="P4322" s="387"/>
      <c r="Q4322" s="386">
        <v>2497.6</v>
      </c>
      <c r="R4322" s="379" t="s">
        <v>146</v>
      </c>
      <c r="S4322" s="388" t="s">
        <v>74</v>
      </c>
      <c r="T4322" s="399">
        <v>31</v>
      </c>
      <c r="U4322" s="389" t="s">
        <v>164</v>
      </c>
      <c r="V4322" s="433"/>
      <c r="X4322" s="386">
        <v>2497.6</v>
      </c>
      <c r="Y4322" s="386"/>
      <c r="AJ4322" s="416">
        <v>2497.6</v>
      </c>
    </row>
    <row r="4323" spans="1:77" s="379" customFormat="1" ht="11.25" customHeight="1">
      <c r="B4323" s="379" t="s">
        <v>291</v>
      </c>
      <c r="C4323" s="381"/>
      <c r="D4323" s="381"/>
      <c r="E4323" s="382" t="s">
        <v>3420</v>
      </c>
      <c r="F4323" s="394" t="s">
        <v>1572</v>
      </c>
      <c r="G4323" s="400">
        <v>4012</v>
      </c>
      <c r="H4323" s="379" t="s">
        <v>765</v>
      </c>
      <c r="I4323" s="384" t="s">
        <v>888</v>
      </c>
      <c r="J4323" s="385">
        <v>13380</v>
      </c>
      <c r="K4323" s="384"/>
      <c r="L4323" s="385">
        <v>15</v>
      </c>
      <c r="M4323" s="385">
        <v>15</v>
      </c>
      <c r="N4323" s="386"/>
      <c r="O4323" s="387">
        <v>0.2</v>
      </c>
      <c r="P4323" s="387"/>
      <c r="Q4323" s="386">
        <v>504</v>
      </c>
      <c r="R4323" s="379" t="s">
        <v>146</v>
      </c>
      <c r="S4323" s="388" t="s">
        <v>74</v>
      </c>
      <c r="T4323" s="399">
        <v>31</v>
      </c>
      <c r="U4323" s="389" t="s">
        <v>164</v>
      </c>
      <c r="V4323" s="433"/>
      <c r="X4323" s="386">
        <v>504</v>
      </c>
      <c r="Y4323" s="386"/>
      <c r="AJ4323" s="416">
        <v>504</v>
      </c>
    </row>
    <row r="4324" spans="1:77" s="6" customFormat="1" ht="11.25" customHeight="1">
      <c r="A4324" s="379"/>
      <c r="B4324" s="379" t="s">
        <v>291</v>
      </c>
      <c r="C4324" s="381">
        <v>44789</v>
      </c>
      <c r="D4324" s="381">
        <v>44789</v>
      </c>
      <c r="E4324" s="382" t="s">
        <v>3421</v>
      </c>
      <c r="F4324" s="394" t="s">
        <v>211</v>
      </c>
      <c r="G4324" s="400">
        <v>4254</v>
      </c>
      <c r="H4324" s="379" t="s">
        <v>910</v>
      </c>
      <c r="I4324" s="384" t="s">
        <v>888</v>
      </c>
      <c r="J4324" s="385">
        <v>127465.60000000001</v>
      </c>
      <c r="K4324" s="384"/>
      <c r="L4324" s="385">
        <v>61</v>
      </c>
      <c r="M4324" s="385">
        <v>61</v>
      </c>
      <c r="N4324" s="386"/>
      <c r="O4324" s="387">
        <v>0.25</v>
      </c>
      <c r="P4324" s="387"/>
      <c r="Q4324" s="386">
        <v>0</v>
      </c>
      <c r="R4324" s="379" t="s">
        <v>73</v>
      </c>
      <c r="S4324" s="388" t="s">
        <v>74</v>
      </c>
      <c r="T4324" s="399">
        <v>31</v>
      </c>
      <c r="U4324" s="389" t="s">
        <v>164</v>
      </c>
      <c r="V4324" s="433"/>
      <c r="W4324" s="379"/>
      <c r="X4324" s="386">
        <v>0</v>
      </c>
      <c r="Y4324" s="386"/>
      <c r="Z4324" s="379"/>
      <c r="AA4324" s="379"/>
      <c r="AB4324" s="379"/>
      <c r="AC4324" s="379"/>
      <c r="AD4324" s="379"/>
      <c r="AE4324" s="379"/>
      <c r="AF4324" s="379"/>
      <c r="AG4324" s="379"/>
      <c r="AH4324" s="379"/>
      <c r="AI4324" s="379"/>
      <c r="AJ4324" s="390">
        <v>0</v>
      </c>
      <c r="AK4324" s="379"/>
      <c r="AL4324" s="379"/>
      <c r="AM4324" s="379"/>
      <c r="AN4324" s="379"/>
      <c r="AO4324" s="379"/>
      <c r="AP4324" s="379"/>
      <c r="AQ4324" s="379"/>
      <c r="AR4324" s="379"/>
      <c r="AS4324" s="379"/>
      <c r="AT4324" s="379"/>
      <c r="AU4324" s="379"/>
      <c r="AV4324" s="379"/>
      <c r="AW4324" s="379"/>
      <c r="AX4324" s="379"/>
      <c r="AY4324" s="379"/>
      <c r="AZ4324" s="379"/>
      <c r="BA4324" s="379"/>
      <c r="BB4324" s="379"/>
      <c r="BC4324" s="379"/>
      <c r="BD4324" s="379"/>
      <c r="BE4324" s="379"/>
      <c r="BF4324" s="379"/>
      <c r="BG4324" s="379"/>
      <c r="BH4324" s="379"/>
      <c r="BI4324" s="379"/>
      <c r="BJ4324" s="379"/>
      <c r="BK4324" s="379"/>
      <c r="BL4324" s="379"/>
      <c r="BM4324" s="379"/>
      <c r="BN4324" s="379"/>
      <c r="BO4324" s="379"/>
      <c r="BP4324" s="379"/>
      <c r="BQ4324" s="379"/>
      <c r="BR4324" s="379"/>
      <c r="BS4324" s="379"/>
      <c r="BT4324" s="379"/>
      <c r="BU4324" s="379"/>
      <c r="BV4324" s="379"/>
      <c r="BW4324" s="379"/>
      <c r="BX4324" s="379"/>
      <c r="BY4324" s="379"/>
    </row>
    <row r="4325" spans="1:77" s="379" customFormat="1" ht="11.25" customHeight="1">
      <c r="B4325" s="379" t="s">
        <v>291</v>
      </c>
      <c r="C4325" s="381"/>
      <c r="D4325" s="381"/>
      <c r="E4325" s="382" t="s">
        <v>3421</v>
      </c>
      <c r="F4325" s="394" t="s">
        <v>211</v>
      </c>
      <c r="G4325" s="400">
        <v>4254</v>
      </c>
      <c r="H4325" s="379" t="s">
        <v>814</v>
      </c>
      <c r="I4325" s="384" t="s">
        <v>888</v>
      </c>
      <c r="J4325" s="385">
        <v>9916.48</v>
      </c>
      <c r="K4325" s="384"/>
      <c r="L4325" s="385">
        <v>9.32</v>
      </c>
      <c r="M4325" s="385">
        <v>9.32</v>
      </c>
      <c r="N4325" s="386"/>
      <c r="O4325" s="387">
        <v>0.25</v>
      </c>
      <c r="P4325" s="387"/>
      <c r="Q4325" s="386">
        <v>5573.36</v>
      </c>
      <c r="R4325" s="379" t="s">
        <v>73</v>
      </c>
      <c r="S4325" s="388" t="s">
        <v>74</v>
      </c>
      <c r="T4325" s="399">
        <v>31</v>
      </c>
      <c r="U4325" s="389" t="s">
        <v>164</v>
      </c>
      <c r="V4325" s="433"/>
      <c r="X4325" s="386">
        <v>5573.36</v>
      </c>
      <c r="Y4325" s="386"/>
      <c r="AJ4325" s="416">
        <v>5573.36</v>
      </c>
    </row>
    <row r="4326" spans="1:77" s="261" customFormat="1" ht="11.25" customHeight="1">
      <c r="B4326" s="261" t="s">
        <v>291</v>
      </c>
      <c r="C4326" s="259">
        <v>44758</v>
      </c>
      <c r="D4326" s="259">
        <v>44789</v>
      </c>
      <c r="E4326" s="260" t="s">
        <v>3422</v>
      </c>
      <c r="F4326" s="273" t="s">
        <v>56</v>
      </c>
      <c r="G4326" s="276">
        <v>3697</v>
      </c>
      <c r="H4326" s="261" t="s">
        <v>765</v>
      </c>
      <c r="I4326" s="264" t="s">
        <v>33</v>
      </c>
      <c r="J4326" s="263">
        <v>10722.17</v>
      </c>
      <c r="K4326" s="264"/>
      <c r="L4326" s="263">
        <v>9</v>
      </c>
      <c r="M4326" s="263">
        <v>9</v>
      </c>
      <c r="N4326" s="265"/>
      <c r="O4326" s="266">
        <v>0.25</v>
      </c>
      <c r="P4326" s="266"/>
      <c r="Q4326" s="265">
        <v>0</v>
      </c>
      <c r="R4326" s="261" t="s">
        <v>54</v>
      </c>
      <c r="S4326" s="267" t="s">
        <v>51</v>
      </c>
      <c r="T4326" s="279">
        <v>55</v>
      </c>
      <c r="U4326" s="268" t="s">
        <v>164</v>
      </c>
      <c r="V4326" s="427"/>
      <c r="X4326" s="265">
        <v>0</v>
      </c>
      <c r="Y4326" s="265"/>
      <c r="AG4326" s="261">
        <f>X4326</f>
        <v>0</v>
      </c>
      <c r="AJ4326" s="642"/>
    </row>
    <row r="4327" spans="1:77" s="473" customFormat="1" ht="11.25" customHeight="1">
      <c r="B4327" s="473" t="s">
        <v>291</v>
      </c>
      <c r="C4327" s="487">
        <v>44789</v>
      </c>
      <c r="D4327" s="487">
        <v>44789</v>
      </c>
      <c r="E4327" s="488" t="s">
        <v>3423</v>
      </c>
      <c r="F4327" s="472" t="s">
        <v>2689</v>
      </c>
      <c r="G4327" s="476" t="s">
        <v>2701</v>
      </c>
      <c r="H4327" s="473" t="s">
        <v>866</v>
      </c>
      <c r="I4327" s="491" t="s">
        <v>33</v>
      </c>
      <c r="J4327" s="490">
        <v>32986.800000000003</v>
      </c>
      <c r="K4327" s="491"/>
      <c r="L4327" s="490">
        <v>22</v>
      </c>
      <c r="M4327" s="490">
        <v>22</v>
      </c>
      <c r="N4327" s="492"/>
      <c r="O4327" s="493">
        <v>0.25</v>
      </c>
      <c r="P4327" s="493"/>
      <c r="Q4327" s="492">
        <v>0</v>
      </c>
      <c r="R4327" s="473" t="s">
        <v>35</v>
      </c>
      <c r="S4327" s="481" t="s">
        <v>41</v>
      </c>
      <c r="T4327" s="482">
        <v>16</v>
      </c>
      <c r="U4327" s="494" t="s">
        <v>164</v>
      </c>
      <c r="V4327" s="495"/>
      <c r="X4327" s="492">
        <v>0</v>
      </c>
      <c r="Y4327" s="492"/>
      <c r="AJ4327" s="485"/>
      <c r="AK4327" s="473">
        <v>0</v>
      </c>
    </row>
    <row r="4328" spans="1:77" s="379" customFormat="1" ht="11.25" customHeight="1">
      <c r="B4328" s="379" t="s">
        <v>291</v>
      </c>
      <c r="C4328" s="381">
        <v>44789</v>
      </c>
      <c r="D4328" s="381">
        <v>44789</v>
      </c>
      <c r="E4328" s="382" t="s">
        <v>3424</v>
      </c>
      <c r="F4328" s="394" t="s">
        <v>1264</v>
      </c>
      <c r="G4328" s="400" t="s">
        <v>1265</v>
      </c>
      <c r="H4328" s="379" t="s">
        <v>2267</v>
      </c>
      <c r="I4328" s="384" t="s">
        <v>2900</v>
      </c>
      <c r="J4328" s="385">
        <v>12928.3</v>
      </c>
      <c r="K4328" s="384"/>
      <c r="L4328" s="385">
        <v>7.3</v>
      </c>
      <c r="M4328" s="385">
        <v>7.3</v>
      </c>
      <c r="N4328" s="386"/>
      <c r="O4328" s="387">
        <v>0.15</v>
      </c>
      <c r="P4328" s="387"/>
      <c r="Q4328" s="386">
        <v>705.18</v>
      </c>
      <c r="R4328" s="379" t="s">
        <v>149</v>
      </c>
      <c r="S4328" s="388" t="s">
        <v>113</v>
      </c>
      <c r="T4328" s="399">
        <v>40</v>
      </c>
      <c r="U4328" s="389" t="s">
        <v>164</v>
      </c>
      <c r="V4328" s="433"/>
      <c r="X4328" s="386">
        <v>705.18</v>
      </c>
      <c r="Y4328" s="386"/>
      <c r="AJ4328" s="390">
        <v>705.18</v>
      </c>
    </row>
    <row r="4329" spans="1:77" s="379" customFormat="1" ht="11.25" customHeight="1">
      <c r="B4329" s="379" t="s">
        <v>291</v>
      </c>
      <c r="C4329" s="381"/>
      <c r="D4329" s="381"/>
      <c r="E4329" s="382" t="s">
        <v>3424</v>
      </c>
      <c r="F4329" s="394" t="s">
        <v>1264</v>
      </c>
      <c r="G4329" s="400" t="s">
        <v>1265</v>
      </c>
      <c r="H4329" s="379" t="s">
        <v>814</v>
      </c>
      <c r="I4329" s="384" t="s">
        <v>2900</v>
      </c>
      <c r="J4329" s="385">
        <v>2950.81</v>
      </c>
      <c r="K4329" s="384"/>
      <c r="L4329" s="385">
        <v>6.32</v>
      </c>
      <c r="M4329" s="385">
        <v>6.32</v>
      </c>
      <c r="N4329" s="386"/>
      <c r="O4329" s="387">
        <v>0.15</v>
      </c>
      <c r="P4329" s="387"/>
      <c r="Q4329" s="386">
        <v>529.07000000000005</v>
      </c>
      <c r="R4329" s="379" t="s">
        <v>149</v>
      </c>
      <c r="S4329" s="388" t="s">
        <v>113</v>
      </c>
      <c r="T4329" s="399">
        <v>40</v>
      </c>
      <c r="U4329" s="389" t="s">
        <v>164</v>
      </c>
      <c r="V4329" s="433"/>
      <c r="X4329" s="386">
        <v>529.07000000000005</v>
      </c>
      <c r="Y4329" s="386"/>
      <c r="AJ4329" s="390">
        <v>529.07000000000005</v>
      </c>
    </row>
    <row r="4330" spans="1:77" s="379" customFormat="1" ht="11.25" customHeight="1">
      <c r="B4330" s="379" t="s">
        <v>291</v>
      </c>
      <c r="C4330" s="381"/>
      <c r="D4330" s="381"/>
      <c r="E4330" s="382" t="s">
        <v>3424</v>
      </c>
      <c r="F4330" s="394" t="s">
        <v>1264</v>
      </c>
      <c r="G4330" s="400" t="s">
        <v>1265</v>
      </c>
      <c r="H4330" s="379" t="s">
        <v>2171</v>
      </c>
      <c r="I4330" s="384" t="s">
        <v>888</v>
      </c>
      <c r="J4330" s="385">
        <v>12768.91</v>
      </c>
      <c r="K4330" s="384"/>
      <c r="L4330" s="385">
        <v>11.33</v>
      </c>
      <c r="M4330" s="385">
        <v>11.33</v>
      </c>
      <c r="N4330" s="386"/>
      <c r="O4330" s="387">
        <v>0.15</v>
      </c>
      <c r="P4330" s="387"/>
      <c r="Q4330" s="386">
        <v>754.27</v>
      </c>
      <c r="R4330" s="379" t="s">
        <v>149</v>
      </c>
      <c r="S4330" s="388" t="s">
        <v>113</v>
      </c>
      <c r="T4330" s="399">
        <v>40</v>
      </c>
      <c r="U4330" s="389" t="s">
        <v>164</v>
      </c>
      <c r="V4330" s="433"/>
      <c r="X4330" s="386">
        <v>754.27</v>
      </c>
      <c r="Y4330" s="386"/>
      <c r="AJ4330" s="390">
        <v>754.27</v>
      </c>
    </row>
    <row r="4331" spans="1:77" s="6" customFormat="1" ht="11.25" customHeight="1">
      <c r="A4331" s="379"/>
      <c r="B4331" s="379" t="s">
        <v>291</v>
      </c>
      <c r="C4331" s="381"/>
      <c r="D4331" s="381"/>
      <c r="E4331" s="382" t="s">
        <v>3425</v>
      </c>
      <c r="F4331" s="394" t="s">
        <v>1100</v>
      </c>
      <c r="G4331" s="400">
        <v>3788</v>
      </c>
      <c r="H4331" s="379" t="s">
        <v>866</v>
      </c>
      <c r="I4331" s="384" t="s">
        <v>33</v>
      </c>
      <c r="J4331" s="385">
        <v>14225.93</v>
      </c>
      <c r="K4331" s="384"/>
      <c r="L4331" s="385">
        <v>17.149999999999999</v>
      </c>
      <c r="M4331" s="385">
        <v>17.149999999999999</v>
      </c>
      <c r="N4331" s="386"/>
      <c r="O4331" s="387">
        <v>0.15</v>
      </c>
      <c r="P4331" s="387"/>
      <c r="Q4331" s="386">
        <v>0</v>
      </c>
      <c r="R4331" s="379" t="s">
        <v>128</v>
      </c>
      <c r="S4331" s="388" t="s">
        <v>41</v>
      </c>
      <c r="T4331" s="399">
        <v>86</v>
      </c>
      <c r="U4331" s="389" t="s">
        <v>164</v>
      </c>
      <c r="V4331" s="433"/>
      <c r="W4331" s="379"/>
      <c r="X4331" s="386">
        <v>0</v>
      </c>
      <c r="Y4331" s="386"/>
      <c r="Z4331" s="379"/>
      <c r="AA4331" s="379"/>
      <c r="AB4331" s="379"/>
      <c r="AC4331" s="379"/>
      <c r="AD4331" s="379"/>
      <c r="AE4331" s="379"/>
      <c r="AF4331" s="379"/>
      <c r="AG4331" s="379"/>
      <c r="AH4331" s="379"/>
      <c r="AI4331" s="379"/>
      <c r="AJ4331" s="390">
        <v>0</v>
      </c>
      <c r="AK4331" s="379"/>
      <c r="AL4331" s="379"/>
      <c r="AM4331" s="379"/>
      <c r="AN4331" s="379"/>
      <c r="AO4331" s="379"/>
      <c r="AP4331" s="379"/>
      <c r="AQ4331" s="379"/>
      <c r="AR4331" s="379"/>
      <c r="AS4331" s="379"/>
      <c r="AT4331" s="379"/>
      <c r="AU4331" s="379"/>
      <c r="AV4331" s="379"/>
      <c r="AW4331" s="379"/>
      <c r="AX4331" s="379"/>
      <c r="AY4331" s="379"/>
      <c r="AZ4331" s="379"/>
      <c r="BA4331" s="379"/>
      <c r="BB4331" s="379"/>
      <c r="BC4331" s="379"/>
      <c r="BD4331" s="379"/>
      <c r="BE4331" s="379"/>
      <c r="BF4331" s="379"/>
      <c r="BG4331" s="379"/>
      <c r="BH4331" s="379"/>
      <c r="BI4331" s="379"/>
      <c r="BJ4331" s="379"/>
      <c r="BK4331" s="379"/>
      <c r="BL4331" s="379"/>
      <c r="BM4331" s="379"/>
      <c r="BN4331" s="379"/>
      <c r="BO4331" s="379"/>
      <c r="BP4331" s="379"/>
      <c r="BQ4331" s="379"/>
      <c r="BR4331" s="379"/>
      <c r="BS4331" s="379"/>
      <c r="BT4331" s="379"/>
      <c r="BU4331" s="379"/>
      <c r="BV4331" s="379"/>
      <c r="BW4331" s="379"/>
      <c r="BX4331" s="379"/>
      <c r="BY4331" s="379"/>
    </row>
    <row r="4332" spans="1:77" s="379" customFormat="1" ht="11.25" customHeight="1">
      <c r="B4332" s="379" t="s">
        <v>291</v>
      </c>
      <c r="C4332" s="381">
        <v>44789</v>
      </c>
      <c r="D4332" s="381">
        <v>44789</v>
      </c>
      <c r="E4332" s="382" t="s">
        <v>3425</v>
      </c>
      <c r="F4332" s="394" t="s">
        <v>1100</v>
      </c>
      <c r="G4332" s="400">
        <v>3788</v>
      </c>
      <c r="H4332" s="379" t="s">
        <v>814</v>
      </c>
      <c r="I4332" s="384" t="s">
        <v>33</v>
      </c>
      <c r="J4332" s="385">
        <v>7571.78</v>
      </c>
      <c r="K4332" s="384"/>
      <c r="L4332" s="385">
        <v>10.32</v>
      </c>
      <c r="M4332" s="385">
        <v>10.3</v>
      </c>
      <c r="N4332" s="386"/>
      <c r="O4332" s="387">
        <v>0.15</v>
      </c>
      <c r="P4332" s="387"/>
      <c r="Q4332" s="386">
        <v>3045.17</v>
      </c>
      <c r="R4332" s="379" t="s">
        <v>128</v>
      </c>
      <c r="S4332" s="388" t="s">
        <v>41</v>
      </c>
      <c r="T4332" s="399">
        <v>86</v>
      </c>
      <c r="U4332" s="389" t="s">
        <v>164</v>
      </c>
      <c r="V4332" s="433"/>
      <c r="X4332" s="386">
        <v>3045.17</v>
      </c>
      <c r="Y4332" s="386"/>
      <c r="AJ4332" s="390">
        <v>3045.17</v>
      </c>
    </row>
    <row r="4333" spans="1:77" s="337" customFormat="1" ht="11.25" customHeight="1">
      <c r="B4333" s="337" t="s">
        <v>291</v>
      </c>
      <c r="C4333" s="349">
        <v>44788</v>
      </c>
      <c r="D4333" s="349">
        <v>44790</v>
      </c>
      <c r="E4333" s="350" t="s">
        <v>3426</v>
      </c>
      <c r="F4333" s="341" t="s">
        <v>206</v>
      </c>
      <c r="G4333" s="342">
        <v>4337</v>
      </c>
      <c r="H4333" s="337" t="s">
        <v>765</v>
      </c>
      <c r="I4333" s="353" t="s">
        <v>33</v>
      </c>
      <c r="J4333" s="352">
        <v>40211.199999999997</v>
      </c>
      <c r="K4333" s="353"/>
      <c r="L4333" s="352">
        <v>48.8</v>
      </c>
      <c r="M4333" s="352">
        <v>48.8</v>
      </c>
      <c r="N4333" s="354"/>
      <c r="O4333" s="355">
        <v>0.2</v>
      </c>
      <c r="P4333" s="355"/>
      <c r="Q4333" s="354">
        <v>0</v>
      </c>
      <c r="R4333" s="337" t="s">
        <v>146</v>
      </c>
      <c r="S4333" s="356" t="s">
        <v>74</v>
      </c>
      <c r="T4333" s="346">
        <v>32</v>
      </c>
      <c r="U4333" s="357" t="s">
        <v>164</v>
      </c>
      <c r="V4333" s="434"/>
      <c r="X4333" s="354">
        <v>0</v>
      </c>
      <c r="Y4333" s="354"/>
      <c r="AI4333" s="337">
        <v>0</v>
      </c>
      <c r="AJ4333" s="358"/>
      <c r="AK4333" s="369"/>
    </row>
    <row r="4334" spans="1:77" s="379" customFormat="1" ht="11.25" customHeight="1">
      <c r="B4334" s="379" t="s">
        <v>291</v>
      </c>
      <c r="C4334" s="381">
        <v>44789</v>
      </c>
      <c r="D4334" s="381">
        <v>44790</v>
      </c>
      <c r="E4334" s="382" t="s">
        <v>3427</v>
      </c>
      <c r="F4334" s="394" t="s">
        <v>1845</v>
      </c>
      <c r="G4334" s="400" t="s">
        <v>1846</v>
      </c>
      <c r="H4334" s="379" t="s">
        <v>528</v>
      </c>
      <c r="I4334" s="384" t="s">
        <v>33</v>
      </c>
      <c r="J4334" s="385">
        <v>17528</v>
      </c>
      <c r="K4334" s="384"/>
      <c r="L4334" s="385">
        <v>21.91</v>
      </c>
      <c r="M4334" s="385">
        <v>21.91</v>
      </c>
      <c r="N4334" s="386">
        <v>12269.6</v>
      </c>
      <c r="O4334" s="387">
        <v>0.15</v>
      </c>
      <c r="P4334" s="387"/>
      <c r="Q4334" s="386">
        <v>3943.8</v>
      </c>
      <c r="R4334" s="379" t="s">
        <v>54</v>
      </c>
      <c r="S4334" s="388" t="s">
        <v>228</v>
      </c>
      <c r="T4334" s="399">
        <v>10</v>
      </c>
      <c r="U4334" s="389" t="s">
        <v>164</v>
      </c>
      <c r="V4334" s="433"/>
      <c r="X4334" s="386">
        <v>3943.8</v>
      </c>
      <c r="Y4334" s="386"/>
      <c r="AJ4334" s="416">
        <v>3943.8</v>
      </c>
    </row>
    <row r="4335" spans="1:77" s="379" customFormat="1" ht="11.25" customHeight="1">
      <c r="B4335" s="379" t="s">
        <v>291</v>
      </c>
      <c r="C4335" s="381">
        <v>44789</v>
      </c>
      <c r="D4335" s="381">
        <v>44790</v>
      </c>
      <c r="E4335" s="382" t="s">
        <v>3428</v>
      </c>
      <c r="F4335" s="394" t="s">
        <v>1615</v>
      </c>
      <c r="G4335" s="400" t="s">
        <v>1616</v>
      </c>
      <c r="H4335" s="379" t="s">
        <v>866</v>
      </c>
      <c r="I4335" s="384" t="s">
        <v>33</v>
      </c>
      <c r="J4335" s="385">
        <v>25998.48</v>
      </c>
      <c r="K4335" s="384"/>
      <c r="L4335" s="385">
        <v>15.71</v>
      </c>
      <c r="M4335" s="385">
        <v>15.71</v>
      </c>
      <c r="N4335" s="386">
        <v>3899.7718500000001</v>
      </c>
      <c r="O4335" s="387">
        <v>0.25</v>
      </c>
      <c r="P4335" s="387"/>
      <c r="Q4335" s="386">
        <v>5711.09</v>
      </c>
      <c r="R4335" s="379" t="s">
        <v>285</v>
      </c>
      <c r="S4335" s="388" t="s">
        <v>275</v>
      </c>
      <c r="T4335" s="399">
        <v>21</v>
      </c>
      <c r="U4335" s="389" t="s">
        <v>164</v>
      </c>
      <c r="V4335" s="433"/>
      <c r="X4335" s="386">
        <v>5711.09</v>
      </c>
      <c r="Y4335" s="386"/>
      <c r="AJ4335" s="416">
        <v>5711.09</v>
      </c>
    </row>
    <row r="4336" spans="1:77" s="618" customFormat="1" ht="11.25" customHeight="1">
      <c r="B4336" s="618" t="s">
        <v>291</v>
      </c>
      <c r="C4336" s="620">
        <v>44789</v>
      </c>
      <c r="D4336" s="620">
        <v>44790</v>
      </c>
      <c r="E4336" s="621" t="s">
        <v>3429</v>
      </c>
      <c r="F4336" s="624" t="s">
        <v>984</v>
      </c>
      <c r="G4336" s="623" t="s">
        <v>985</v>
      </c>
      <c r="H4336" s="618" t="s">
        <v>910</v>
      </c>
      <c r="I4336" s="626" t="s">
        <v>888</v>
      </c>
      <c r="J4336" s="635">
        <v>80950.8</v>
      </c>
      <c r="K4336" s="626"/>
      <c r="L4336" s="635">
        <v>32.200000000000003</v>
      </c>
      <c r="M4336" s="635">
        <v>32.200000000000003</v>
      </c>
      <c r="N4336" s="627">
        <v>23596.400000000001</v>
      </c>
      <c r="O4336" s="628">
        <v>0.2</v>
      </c>
      <c r="P4336" s="628"/>
      <c r="Q4336" s="627">
        <v>9806.24</v>
      </c>
      <c r="R4336" s="618" t="s">
        <v>112</v>
      </c>
      <c r="S4336" s="629" t="s">
        <v>113</v>
      </c>
      <c r="T4336" s="630">
        <v>64</v>
      </c>
      <c r="U4336" s="631" t="s">
        <v>164</v>
      </c>
      <c r="V4336" s="632">
        <v>2050</v>
      </c>
      <c r="X4336" s="627">
        <v>9806.24</v>
      </c>
      <c r="Y4336" s="627"/>
      <c r="AJ4336" s="633"/>
      <c r="AO4336" s="627">
        <v>9806.24</v>
      </c>
      <c r="AP4336" s="627"/>
    </row>
    <row r="4337" spans="1:77" s="618" customFormat="1" ht="11.25" customHeight="1">
      <c r="B4337" s="618" t="s">
        <v>291</v>
      </c>
      <c r="C4337" s="620"/>
      <c r="D4337" s="620"/>
      <c r="E4337" s="621" t="s">
        <v>3429</v>
      </c>
      <c r="F4337" s="624" t="s">
        <v>984</v>
      </c>
      <c r="G4337" s="623" t="s">
        <v>985</v>
      </c>
      <c r="H4337" s="618" t="s">
        <v>866</v>
      </c>
      <c r="I4337" s="626" t="s">
        <v>888</v>
      </c>
      <c r="J4337" s="635">
        <v>46112</v>
      </c>
      <c r="K4337" s="626"/>
      <c r="L4337" s="635">
        <v>20.96</v>
      </c>
      <c r="M4337" s="635">
        <v>20.96</v>
      </c>
      <c r="N4337" s="627">
        <v>34065</v>
      </c>
      <c r="O4337" s="628">
        <v>0.2</v>
      </c>
      <c r="P4337" s="628"/>
      <c r="Q4337" s="627">
        <v>25650.080000000002</v>
      </c>
      <c r="R4337" s="618" t="s">
        <v>112</v>
      </c>
      <c r="S4337" s="629" t="s">
        <v>113</v>
      </c>
      <c r="T4337" s="630">
        <v>64</v>
      </c>
      <c r="U4337" s="631" t="s">
        <v>164</v>
      </c>
      <c r="V4337" s="632"/>
      <c r="X4337" s="627">
        <v>25650.080000000002</v>
      </c>
      <c r="Y4337" s="627"/>
      <c r="AJ4337" s="633"/>
      <c r="AO4337" s="627">
        <v>25650.080000000002</v>
      </c>
      <c r="AP4337" s="627"/>
    </row>
    <row r="4338" spans="1:77" s="618" customFormat="1" ht="11.25" customHeight="1">
      <c r="B4338" s="618" t="s">
        <v>291</v>
      </c>
      <c r="C4338" s="620"/>
      <c r="D4338" s="620"/>
      <c r="E4338" s="621" t="s">
        <v>3429</v>
      </c>
      <c r="F4338" s="624" t="s">
        <v>984</v>
      </c>
      <c r="G4338" s="623" t="s">
        <v>985</v>
      </c>
      <c r="H4338" s="618" t="s">
        <v>765</v>
      </c>
      <c r="I4338" s="626" t="s">
        <v>888</v>
      </c>
      <c r="J4338" s="635">
        <v>18864.78</v>
      </c>
      <c r="K4338" s="626"/>
      <c r="L4338" s="635">
        <v>11.32</v>
      </c>
      <c r="M4338" s="635">
        <v>11.32</v>
      </c>
      <c r="N4338" s="627">
        <v>11245.95</v>
      </c>
      <c r="O4338" s="628">
        <v>0.2</v>
      </c>
      <c r="P4338" s="628"/>
      <c r="Q4338" s="627">
        <v>7077.23</v>
      </c>
      <c r="R4338" s="618" t="s">
        <v>112</v>
      </c>
      <c r="S4338" s="629" t="s">
        <v>113</v>
      </c>
      <c r="T4338" s="630">
        <v>64</v>
      </c>
      <c r="U4338" s="631" t="s">
        <v>164</v>
      </c>
      <c r="V4338" s="632">
        <v>423.4</v>
      </c>
      <c r="X4338" s="627">
        <v>7077.23</v>
      </c>
      <c r="Y4338" s="627"/>
      <c r="AJ4338" s="633"/>
      <c r="AO4338" s="627">
        <v>7077.23</v>
      </c>
      <c r="AP4338" s="627"/>
    </row>
    <row r="4339" spans="1:77" s="379" customFormat="1" ht="11.25" customHeight="1">
      <c r="B4339" s="379" t="s">
        <v>291</v>
      </c>
      <c r="C4339" s="381">
        <v>44789</v>
      </c>
      <c r="D4339" s="381">
        <v>44790</v>
      </c>
      <c r="E4339" s="382" t="s">
        <v>3430</v>
      </c>
      <c r="F4339" s="394" t="s">
        <v>3431</v>
      </c>
      <c r="G4339" s="400">
        <v>4499</v>
      </c>
      <c r="H4339" s="379" t="s">
        <v>765</v>
      </c>
      <c r="I4339" s="384" t="s">
        <v>33</v>
      </c>
      <c r="J4339" s="385">
        <v>13791.09</v>
      </c>
      <c r="K4339" s="384"/>
      <c r="L4339" s="385">
        <v>10.46</v>
      </c>
      <c r="M4339" s="385">
        <v>10.46</v>
      </c>
      <c r="N4339" s="386"/>
      <c r="O4339" s="387">
        <v>0.15</v>
      </c>
      <c r="P4339" s="387"/>
      <c r="Q4339" s="386">
        <v>0</v>
      </c>
      <c r="R4339" s="379" t="s">
        <v>128</v>
      </c>
      <c r="S4339" s="388" t="s">
        <v>41</v>
      </c>
      <c r="T4339" s="399">
        <v>79</v>
      </c>
      <c r="U4339" s="389" t="s">
        <v>164</v>
      </c>
      <c r="V4339" s="433"/>
      <c r="X4339" s="386">
        <v>0</v>
      </c>
      <c r="Y4339" s="386"/>
      <c r="AJ4339" s="390">
        <v>0</v>
      </c>
    </row>
    <row r="4340" spans="1:77" s="379" customFormat="1" ht="11.25" customHeight="1">
      <c r="B4340" s="379" t="s">
        <v>291</v>
      </c>
      <c r="C4340" s="381"/>
      <c r="D4340" s="381"/>
      <c r="E4340" s="382" t="s">
        <v>3430</v>
      </c>
      <c r="F4340" s="394" t="s">
        <v>3431</v>
      </c>
      <c r="G4340" s="400">
        <v>4499</v>
      </c>
      <c r="H4340" s="379" t="s">
        <v>765</v>
      </c>
      <c r="I4340" s="384" t="s">
        <v>33</v>
      </c>
      <c r="J4340" s="385">
        <v>28056.83</v>
      </c>
      <c r="K4340" s="384"/>
      <c r="L4340" s="385">
        <v>21.28</v>
      </c>
      <c r="M4340" s="385">
        <v>21.26</v>
      </c>
      <c r="N4340" s="386"/>
      <c r="O4340" s="387">
        <v>0.15</v>
      </c>
      <c r="P4340" s="387"/>
      <c r="Q4340" s="386">
        <v>0</v>
      </c>
      <c r="R4340" s="379" t="s">
        <v>128</v>
      </c>
      <c r="S4340" s="388" t="s">
        <v>41</v>
      </c>
      <c r="T4340" s="399">
        <v>86</v>
      </c>
      <c r="U4340" s="389" t="s">
        <v>164</v>
      </c>
      <c r="V4340" s="433"/>
      <c r="X4340" s="386">
        <v>0</v>
      </c>
      <c r="Y4340" s="386"/>
      <c r="AJ4340" s="390">
        <v>0</v>
      </c>
    </row>
    <row r="4341" spans="1:77" s="6" customFormat="1" ht="11.25" customHeight="1">
      <c r="A4341" s="379"/>
      <c r="B4341" s="379" t="s">
        <v>291</v>
      </c>
      <c r="C4341" s="381">
        <v>44789</v>
      </c>
      <c r="D4341" s="381">
        <v>44790</v>
      </c>
      <c r="E4341" s="382" t="s">
        <v>3432</v>
      </c>
      <c r="F4341" s="394" t="s">
        <v>1848</v>
      </c>
      <c r="G4341" s="400" t="s">
        <v>1849</v>
      </c>
      <c r="H4341" s="379" t="s">
        <v>866</v>
      </c>
      <c r="I4341" s="384" t="s">
        <v>1211</v>
      </c>
      <c r="J4341" s="385">
        <v>154660</v>
      </c>
      <c r="K4341" s="384"/>
      <c r="L4341" s="385">
        <v>74</v>
      </c>
      <c r="M4341" s="385">
        <v>74</v>
      </c>
      <c r="N4341" s="386"/>
      <c r="O4341" s="387">
        <v>0.15</v>
      </c>
      <c r="P4341" s="387"/>
      <c r="Q4341" s="386">
        <v>0</v>
      </c>
      <c r="R4341" s="379" t="s">
        <v>149</v>
      </c>
      <c r="S4341" s="388" t="s">
        <v>113</v>
      </c>
      <c r="T4341" s="399">
        <v>40</v>
      </c>
      <c r="U4341" s="389" t="s">
        <v>164</v>
      </c>
      <c r="V4341" s="433"/>
      <c r="W4341" s="379"/>
      <c r="X4341" s="386">
        <v>0</v>
      </c>
      <c r="Y4341" s="386"/>
      <c r="Z4341" s="379"/>
      <c r="AA4341" s="379"/>
      <c r="AB4341" s="379"/>
      <c r="AC4341" s="379"/>
      <c r="AD4341" s="379"/>
      <c r="AE4341" s="379"/>
      <c r="AF4341" s="379"/>
      <c r="AG4341" s="379"/>
      <c r="AH4341" s="379"/>
      <c r="AI4341" s="379"/>
      <c r="AJ4341" s="390">
        <v>0</v>
      </c>
      <c r="AK4341" s="379"/>
      <c r="AL4341" s="379"/>
      <c r="AM4341" s="379"/>
      <c r="AN4341" s="379"/>
      <c r="AO4341" s="379"/>
      <c r="AP4341" s="379"/>
      <c r="AQ4341" s="379"/>
      <c r="AR4341" s="379"/>
      <c r="AS4341" s="379"/>
      <c r="AT4341" s="379"/>
      <c r="AU4341" s="379"/>
      <c r="AV4341" s="379"/>
      <c r="AW4341" s="379"/>
      <c r="AX4341" s="379"/>
      <c r="AY4341" s="379"/>
      <c r="AZ4341" s="379"/>
      <c r="BA4341" s="379"/>
      <c r="BB4341" s="379"/>
      <c r="BC4341" s="379"/>
      <c r="BD4341" s="379"/>
      <c r="BE4341" s="379"/>
      <c r="BF4341" s="379"/>
      <c r="BG4341" s="379"/>
      <c r="BH4341" s="379"/>
      <c r="BI4341" s="379"/>
      <c r="BJ4341" s="379"/>
      <c r="BK4341" s="379"/>
      <c r="BL4341" s="379"/>
      <c r="BM4341" s="379"/>
      <c r="BN4341" s="379"/>
      <c r="BO4341" s="379"/>
      <c r="BP4341" s="379"/>
      <c r="BQ4341" s="379"/>
      <c r="BR4341" s="379"/>
      <c r="BS4341" s="379"/>
      <c r="BT4341" s="379"/>
      <c r="BU4341" s="379"/>
      <c r="BV4341" s="379"/>
      <c r="BW4341" s="379"/>
      <c r="BX4341" s="379"/>
      <c r="BY4341" s="379"/>
    </row>
    <row r="4342" spans="1:77" s="6" customFormat="1" ht="11.25" customHeight="1">
      <c r="A4342" s="379"/>
      <c r="B4342" s="379" t="s">
        <v>291</v>
      </c>
      <c r="C4342" s="381"/>
      <c r="D4342" s="381"/>
      <c r="E4342" s="382" t="s">
        <v>3432</v>
      </c>
      <c r="F4342" s="394" t="s">
        <v>1848</v>
      </c>
      <c r="G4342" s="400" t="s">
        <v>1849</v>
      </c>
      <c r="H4342" s="379" t="s">
        <v>910</v>
      </c>
      <c r="I4342" s="384" t="s">
        <v>1211</v>
      </c>
      <c r="J4342" s="385">
        <v>165974.9</v>
      </c>
      <c r="K4342" s="384"/>
      <c r="L4342" s="385">
        <v>61</v>
      </c>
      <c r="M4342" s="385">
        <v>61</v>
      </c>
      <c r="N4342" s="386"/>
      <c r="O4342" s="387">
        <v>0.15</v>
      </c>
      <c r="P4342" s="387"/>
      <c r="Q4342" s="386">
        <v>0</v>
      </c>
      <c r="R4342" s="379" t="s">
        <v>149</v>
      </c>
      <c r="S4342" s="388" t="s">
        <v>113</v>
      </c>
      <c r="T4342" s="399">
        <v>40</v>
      </c>
      <c r="U4342" s="389" t="s">
        <v>164</v>
      </c>
      <c r="V4342" s="433"/>
      <c r="W4342" s="379"/>
      <c r="X4342" s="386">
        <v>0</v>
      </c>
      <c r="Y4342" s="386"/>
      <c r="Z4342" s="379"/>
      <c r="AA4342" s="379"/>
      <c r="AB4342" s="379"/>
      <c r="AC4342" s="379"/>
      <c r="AD4342" s="379"/>
      <c r="AE4342" s="379"/>
      <c r="AF4342" s="379"/>
      <c r="AG4342" s="379"/>
      <c r="AH4342" s="379"/>
      <c r="AI4342" s="379"/>
      <c r="AJ4342" s="390">
        <v>0</v>
      </c>
      <c r="AK4342" s="379"/>
      <c r="AL4342" s="379"/>
      <c r="AM4342" s="379"/>
      <c r="AN4342" s="379"/>
      <c r="AO4342" s="379"/>
      <c r="AP4342" s="379"/>
      <c r="AQ4342" s="379"/>
      <c r="AR4342" s="379"/>
      <c r="AS4342" s="379"/>
      <c r="AT4342" s="379"/>
      <c r="AU4342" s="379"/>
      <c r="AV4342" s="379"/>
      <c r="AW4342" s="379"/>
      <c r="AX4342" s="379"/>
      <c r="AY4342" s="379"/>
      <c r="AZ4342" s="379"/>
      <c r="BA4342" s="379"/>
      <c r="BB4342" s="379"/>
      <c r="BC4342" s="379"/>
      <c r="BD4342" s="379"/>
      <c r="BE4342" s="379"/>
      <c r="BF4342" s="379"/>
      <c r="BG4342" s="379"/>
      <c r="BH4342" s="379"/>
      <c r="BI4342" s="379"/>
      <c r="BJ4342" s="379"/>
      <c r="BK4342" s="379"/>
      <c r="BL4342" s="379"/>
      <c r="BM4342" s="379"/>
      <c r="BN4342" s="379"/>
      <c r="BO4342" s="379"/>
      <c r="BP4342" s="379"/>
      <c r="BQ4342" s="379"/>
      <c r="BR4342" s="379"/>
      <c r="BS4342" s="379"/>
      <c r="BT4342" s="379"/>
      <c r="BU4342" s="379"/>
      <c r="BV4342" s="379"/>
      <c r="BW4342" s="379"/>
      <c r="BX4342" s="379"/>
      <c r="BY4342" s="379"/>
    </row>
    <row r="4343" spans="1:77" s="379" customFormat="1" ht="11.25" customHeight="1">
      <c r="B4343" s="379" t="s">
        <v>291</v>
      </c>
      <c r="C4343" s="381">
        <v>44789</v>
      </c>
      <c r="D4343" s="381">
        <v>44790</v>
      </c>
      <c r="E4343" s="382" t="s">
        <v>3433</v>
      </c>
      <c r="F4343" s="394" t="s">
        <v>3434</v>
      </c>
      <c r="G4343" s="400">
        <v>1014</v>
      </c>
      <c r="H4343" s="379" t="s">
        <v>814</v>
      </c>
      <c r="I4343" s="384" t="s">
        <v>156</v>
      </c>
      <c r="J4343" s="385">
        <v>15177.6</v>
      </c>
      <c r="K4343" s="384"/>
      <c r="L4343" s="385">
        <v>17</v>
      </c>
      <c r="M4343" s="385">
        <v>17</v>
      </c>
      <c r="N4343" s="386"/>
      <c r="O4343" s="387">
        <v>0.2</v>
      </c>
      <c r="P4343" s="387">
        <v>0.1</v>
      </c>
      <c r="Q4343" s="386">
        <v>0</v>
      </c>
      <c r="R4343" s="379" t="s">
        <v>257</v>
      </c>
      <c r="S4343" s="388" t="s">
        <v>3078</v>
      </c>
      <c r="T4343" s="399">
        <v>47</v>
      </c>
      <c r="U4343" s="389" t="s">
        <v>164</v>
      </c>
      <c r="V4343" s="433"/>
      <c r="X4343" s="386">
        <v>0</v>
      </c>
      <c r="Y4343" s="386"/>
      <c r="AJ4343" s="390">
        <v>0</v>
      </c>
    </row>
    <row r="4344" spans="1:77" s="379" customFormat="1" ht="11.25" customHeight="1">
      <c r="B4344" s="379" t="s">
        <v>291</v>
      </c>
      <c r="C4344" s="381"/>
      <c r="D4344" s="381"/>
      <c r="E4344" s="382" t="s">
        <v>3433</v>
      </c>
      <c r="F4344" s="394" t="s">
        <v>3434</v>
      </c>
      <c r="G4344" s="400">
        <v>1014</v>
      </c>
      <c r="H4344" s="379" t="s">
        <v>765</v>
      </c>
      <c r="I4344" s="384" t="s">
        <v>156</v>
      </c>
      <c r="J4344" s="385">
        <v>3864</v>
      </c>
      <c r="K4344" s="384"/>
      <c r="L4344" s="385">
        <v>2.8</v>
      </c>
      <c r="M4344" s="385">
        <v>2.8</v>
      </c>
      <c r="N4344" s="386"/>
      <c r="O4344" s="387">
        <v>0.2</v>
      </c>
      <c r="P4344" s="387">
        <v>0.1</v>
      </c>
      <c r="Q4344" s="386">
        <v>0</v>
      </c>
      <c r="R4344" s="379" t="s">
        <v>257</v>
      </c>
      <c r="S4344" s="388" t="s">
        <v>3078</v>
      </c>
      <c r="T4344" s="399">
        <v>47</v>
      </c>
      <c r="U4344" s="389" t="s">
        <v>164</v>
      </c>
      <c r="V4344" s="433"/>
      <c r="X4344" s="386">
        <v>0</v>
      </c>
      <c r="Y4344" s="386"/>
      <c r="AJ4344" s="390">
        <v>0</v>
      </c>
    </row>
    <row r="4345" spans="1:77" s="379" customFormat="1" ht="11.25" customHeight="1">
      <c r="A4345" s="473"/>
      <c r="B4345" s="473" t="s">
        <v>291</v>
      </c>
      <c r="C4345" s="487"/>
      <c r="D4345" s="487"/>
      <c r="E4345" s="488" t="s">
        <v>3435</v>
      </c>
      <c r="F4345" s="472" t="s">
        <v>3436</v>
      </c>
      <c r="G4345" s="476">
        <v>4196</v>
      </c>
      <c r="H4345" s="473" t="s">
        <v>814</v>
      </c>
      <c r="I4345" s="491" t="s">
        <v>1211</v>
      </c>
      <c r="J4345" s="490">
        <v>4576.5</v>
      </c>
      <c r="K4345" s="491"/>
      <c r="L4345" s="490">
        <v>6.32</v>
      </c>
      <c r="M4345" s="490">
        <v>6.32</v>
      </c>
      <c r="N4345" s="492">
        <v>1552.35</v>
      </c>
      <c r="O4345" s="493">
        <v>0.2</v>
      </c>
      <c r="P4345" s="493"/>
      <c r="Q4345" s="492">
        <v>1806.41</v>
      </c>
      <c r="R4345" s="473" t="s">
        <v>142</v>
      </c>
      <c r="S4345" s="481" t="s">
        <v>41</v>
      </c>
      <c r="T4345" s="482">
        <v>24</v>
      </c>
      <c r="U4345" s="494" t="s">
        <v>164</v>
      </c>
      <c r="V4345" s="495"/>
      <c r="W4345" s="473"/>
      <c r="X4345" s="492">
        <v>1806.41</v>
      </c>
      <c r="Y4345" s="492"/>
      <c r="Z4345" s="473"/>
      <c r="AA4345" s="473"/>
      <c r="AB4345" s="473"/>
      <c r="AC4345" s="473"/>
      <c r="AD4345" s="473"/>
      <c r="AE4345" s="473"/>
      <c r="AF4345" s="473"/>
      <c r="AG4345" s="473"/>
      <c r="AH4345" s="473"/>
      <c r="AI4345" s="473"/>
      <c r="AJ4345" s="485"/>
      <c r="AK4345" s="505">
        <v>1806.41</v>
      </c>
      <c r="AL4345" s="473"/>
      <c r="AM4345" s="473"/>
      <c r="AN4345" s="473"/>
      <c r="AO4345" s="473"/>
      <c r="AP4345" s="473"/>
      <c r="AQ4345" s="473"/>
      <c r="AR4345" s="473"/>
      <c r="AS4345" s="473"/>
      <c r="AT4345" s="473"/>
      <c r="AU4345" s="473"/>
      <c r="AV4345" s="473"/>
      <c r="AW4345" s="473"/>
      <c r="AX4345" s="473"/>
      <c r="AY4345" s="473"/>
      <c r="AZ4345" s="473"/>
      <c r="BA4345" s="473"/>
      <c r="BB4345" s="473"/>
      <c r="BC4345" s="473"/>
      <c r="BD4345" s="473"/>
      <c r="BE4345" s="473"/>
      <c r="BF4345" s="473"/>
      <c r="BG4345" s="473"/>
      <c r="BH4345" s="473"/>
      <c r="BI4345" s="473"/>
      <c r="BJ4345" s="473"/>
      <c r="BK4345" s="473"/>
      <c r="BL4345" s="473"/>
      <c r="BM4345" s="473"/>
      <c r="BN4345" s="473"/>
      <c r="BO4345" s="473"/>
      <c r="BP4345" s="473"/>
      <c r="BQ4345" s="473"/>
      <c r="BR4345" s="473"/>
      <c r="BS4345" s="473"/>
      <c r="BT4345" s="473"/>
      <c r="BU4345" s="473"/>
      <c r="BV4345" s="473"/>
      <c r="BW4345" s="473"/>
      <c r="BX4345" s="473"/>
      <c r="BY4345" s="473"/>
    </row>
    <row r="4346" spans="1:77" s="473" customFormat="1" ht="11.25" customHeight="1">
      <c r="A4346" s="379"/>
      <c r="B4346" s="379" t="s">
        <v>291</v>
      </c>
      <c r="C4346" s="381">
        <v>44789</v>
      </c>
      <c r="D4346" s="381">
        <v>44790</v>
      </c>
      <c r="E4346" s="382" t="s">
        <v>3435</v>
      </c>
      <c r="F4346" s="394" t="s">
        <v>3436</v>
      </c>
      <c r="G4346" s="400">
        <v>4196</v>
      </c>
      <c r="H4346" s="379" t="s">
        <v>910</v>
      </c>
      <c r="I4346" s="384" t="s">
        <v>1211</v>
      </c>
      <c r="J4346" s="385">
        <v>12853.13</v>
      </c>
      <c r="K4346" s="384"/>
      <c r="L4346" s="385">
        <v>9.19</v>
      </c>
      <c r="M4346" s="385">
        <v>9.19</v>
      </c>
      <c r="N4346" s="386">
        <v>4582.1400000000003</v>
      </c>
      <c r="O4346" s="387">
        <v>0.2</v>
      </c>
      <c r="P4346" s="387"/>
      <c r="Q4346" s="386">
        <v>0</v>
      </c>
      <c r="R4346" s="379" t="s">
        <v>142</v>
      </c>
      <c r="S4346" s="388" t="s">
        <v>41</v>
      </c>
      <c r="T4346" s="399">
        <v>24</v>
      </c>
      <c r="U4346" s="389" t="s">
        <v>164</v>
      </c>
      <c r="V4346" s="433"/>
      <c r="W4346" s="379"/>
      <c r="X4346" s="386">
        <v>0</v>
      </c>
      <c r="Y4346" s="386"/>
      <c r="Z4346" s="379"/>
      <c r="AA4346" s="379"/>
      <c r="AB4346" s="379"/>
      <c r="AC4346" s="379"/>
      <c r="AD4346" s="379"/>
      <c r="AE4346" s="379"/>
      <c r="AF4346" s="379"/>
      <c r="AG4346" s="379"/>
      <c r="AH4346" s="379"/>
      <c r="AI4346" s="379"/>
      <c r="AJ4346" s="390">
        <v>0</v>
      </c>
      <c r="AK4346" s="379"/>
      <c r="AL4346" s="379"/>
      <c r="AM4346" s="379"/>
      <c r="AN4346" s="379"/>
      <c r="AO4346" s="379"/>
      <c r="AP4346" s="379"/>
      <c r="AQ4346" s="379"/>
      <c r="AR4346" s="379"/>
      <c r="AS4346" s="379"/>
      <c r="AT4346" s="379"/>
      <c r="AU4346" s="379"/>
      <c r="AV4346" s="379"/>
      <c r="AW4346" s="379"/>
      <c r="AX4346" s="379"/>
      <c r="AY4346" s="379"/>
      <c r="AZ4346" s="379"/>
      <c r="BA4346" s="379"/>
      <c r="BB4346" s="379"/>
      <c r="BC4346" s="379"/>
      <c r="BD4346" s="379"/>
      <c r="BE4346" s="379"/>
      <c r="BF4346" s="379"/>
      <c r="BG4346" s="379"/>
      <c r="BH4346" s="379"/>
      <c r="BI4346" s="379"/>
      <c r="BJ4346" s="379"/>
      <c r="BK4346" s="379"/>
      <c r="BL4346" s="379"/>
      <c r="BM4346" s="379"/>
      <c r="BN4346" s="379"/>
      <c r="BO4346" s="379"/>
      <c r="BP4346" s="379"/>
      <c r="BQ4346" s="379"/>
      <c r="BR4346" s="379"/>
      <c r="BS4346" s="379"/>
      <c r="BT4346" s="379"/>
      <c r="BU4346" s="379"/>
      <c r="BV4346" s="379"/>
      <c r="BW4346" s="379"/>
      <c r="BX4346" s="379"/>
      <c r="BY4346" s="379"/>
    </row>
    <row r="4347" spans="1:77" s="379" customFormat="1" ht="11.25" customHeight="1">
      <c r="B4347" s="379" t="s">
        <v>291</v>
      </c>
      <c r="C4347" s="381"/>
      <c r="D4347" s="381"/>
      <c r="E4347" s="382" t="s">
        <v>3435</v>
      </c>
      <c r="F4347" s="394" t="s">
        <v>3436</v>
      </c>
      <c r="G4347" s="400">
        <v>4196</v>
      </c>
      <c r="H4347" s="379" t="s">
        <v>765</v>
      </c>
      <c r="I4347" s="384" t="s">
        <v>1211</v>
      </c>
      <c r="J4347" s="385">
        <v>16671.150000000001</v>
      </c>
      <c r="K4347" s="384"/>
      <c r="L4347" s="385">
        <v>15.9</v>
      </c>
      <c r="M4347" s="385">
        <v>15.9</v>
      </c>
      <c r="N4347" s="386">
        <v>3792.69</v>
      </c>
      <c r="O4347" s="387">
        <v>0.2</v>
      </c>
      <c r="P4347" s="387"/>
      <c r="Q4347" s="386">
        <v>0</v>
      </c>
      <c r="R4347" s="379" t="s">
        <v>142</v>
      </c>
      <c r="S4347" s="388" t="s">
        <v>41</v>
      </c>
      <c r="T4347" s="399">
        <v>24</v>
      </c>
      <c r="U4347" s="389" t="s">
        <v>164</v>
      </c>
      <c r="V4347" s="433"/>
      <c r="X4347" s="386">
        <v>0</v>
      </c>
      <c r="Y4347" s="386"/>
      <c r="AJ4347" s="390">
        <v>0</v>
      </c>
    </row>
    <row r="4348" spans="1:77" s="6" customFormat="1" ht="11.25" customHeight="1">
      <c r="A4348" s="379"/>
      <c r="B4348" s="379" t="s">
        <v>390</v>
      </c>
      <c r="C4348" s="381">
        <v>44789</v>
      </c>
      <c r="D4348" s="381">
        <v>44790</v>
      </c>
      <c r="E4348" s="382" t="s">
        <v>3437</v>
      </c>
      <c r="F4348" s="394" t="s">
        <v>780</v>
      </c>
      <c r="G4348" s="400" t="s">
        <v>781</v>
      </c>
      <c r="H4348" s="379" t="s">
        <v>393</v>
      </c>
      <c r="I4348" s="384" t="s">
        <v>33</v>
      </c>
      <c r="J4348" s="385">
        <v>87377.279999999999</v>
      </c>
      <c r="K4348" s="384"/>
      <c r="L4348" s="385">
        <v>3.4</v>
      </c>
      <c r="M4348" s="385">
        <v>3.4</v>
      </c>
      <c r="N4348" s="386">
        <f>L4348*8031*0.15</f>
        <v>4095.8099999999995</v>
      </c>
      <c r="O4348" s="387">
        <v>0.25</v>
      </c>
      <c r="P4348" s="387"/>
      <c r="Q4348" s="386">
        <v>0</v>
      </c>
      <c r="R4348" s="379" t="s">
        <v>782</v>
      </c>
      <c r="S4348" s="388" t="s">
        <v>65</v>
      </c>
      <c r="T4348" s="399">
        <v>10</v>
      </c>
      <c r="U4348" s="389" t="s">
        <v>164</v>
      </c>
      <c r="V4348" s="433"/>
      <c r="W4348" s="379"/>
      <c r="X4348" s="386">
        <v>0</v>
      </c>
      <c r="Y4348" s="386"/>
      <c r="Z4348" s="379"/>
      <c r="AA4348" s="379"/>
      <c r="AB4348" s="379"/>
      <c r="AC4348" s="379"/>
      <c r="AD4348" s="379"/>
      <c r="AE4348" s="379"/>
      <c r="AF4348" s="379"/>
      <c r="AG4348" s="379"/>
      <c r="AH4348" s="379"/>
      <c r="AI4348" s="379"/>
      <c r="AJ4348" s="390">
        <v>0</v>
      </c>
      <c r="AK4348" s="379"/>
      <c r="AL4348" s="379"/>
      <c r="AM4348" s="379"/>
      <c r="AN4348" s="379"/>
      <c r="AO4348" s="379"/>
      <c r="AP4348" s="379"/>
      <c r="AQ4348" s="379"/>
      <c r="AR4348" s="379"/>
      <c r="AS4348" s="379"/>
      <c r="AT4348" s="379"/>
      <c r="AU4348" s="379"/>
      <c r="AV4348" s="379"/>
      <c r="AW4348" s="379"/>
      <c r="AX4348" s="379"/>
      <c r="AY4348" s="379"/>
      <c r="AZ4348" s="379"/>
      <c r="BA4348" s="379"/>
      <c r="BB4348" s="379"/>
      <c r="BC4348" s="379"/>
      <c r="BD4348" s="379"/>
      <c r="BE4348" s="379"/>
      <c r="BF4348" s="379"/>
      <c r="BG4348" s="379"/>
      <c r="BH4348" s="379"/>
      <c r="BI4348" s="379"/>
      <c r="BJ4348" s="379"/>
      <c r="BK4348" s="379"/>
      <c r="BL4348" s="379"/>
      <c r="BM4348" s="379"/>
      <c r="BN4348" s="379"/>
      <c r="BO4348" s="379"/>
      <c r="BP4348" s="379"/>
      <c r="BQ4348" s="379"/>
      <c r="BR4348" s="379"/>
      <c r="BS4348" s="379"/>
      <c r="BT4348" s="379"/>
      <c r="BU4348" s="379"/>
      <c r="BV4348" s="379"/>
      <c r="BW4348" s="379"/>
      <c r="BX4348" s="379"/>
      <c r="BY4348" s="379"/>
    </row>
    <row r="4349" spans="1:77" s="291" customFormat="1" ht="11.25" customHeight="1">
      <c r="A4349" s="291" t="s">
        <v>3893</v>
      </c>
      <c r="B4349" s="291" t="s">
        <v>290</v>
      </c>
      <c r="C4349" s="292">
        <v>44789</v>
      </c>
      <c r="D4349" s="292">
        <v>44790</v>
      </c>
      <c r="E4349" s="293" t="s">
        <v>3438</v>
      </c>
      <c r="F4349" s="303" t="s">
        <v>3439</v>
      </c>
      <c r="G4349" s="304">
        <v>1029</v>
      </c>
      <c r="H4349" s="291" t="s">
        <v>765</v>
      </c>
      <c r="I4349" s="295" t="s">
        <v>156</v>
      </c>
      <c r="J4349" s="296">
        <v>64816.6</v>
      </c>
      <c r="K4349" s="295"/>
      <c r="L4349" s="296">
        <v>76</v>
      </c>
      <c r="M4349" s="296">
        <v>27.61</v>
      </c>
      <c r="N4349" s="297">
        <v>5180</v>
      </c>
      <c r="O4349" s="298">
        <v>0.3</v>
      </c>
      <c r="P4349" s="298">
        <v>0.1</v>
      </c>
      <c r="Q4349" s="297">
        <v>2736.57</v>
      </c>
      <c r="R4349" s="291" t="s">
        <v>1407</v>
      </c>
      <c r="S4349" s="299" t="s">
        <v>3078</v>
      </c>
      <c r="T4349" s="308">
        <v>47</v>
      </c>
      <c r="U4349" s="300" t="s">
        <v>164</v>
      </c>
      <c r="V4349" s="333"/>
      <c r="X4349" s="297">
        <v>2736.57</v>
      </c>
      <c r="Y4349" s="297"/>
      <c r="AH4349" s="291">
        <f>X4349</f>
        <v>2736.57</v>
      </c>
      <c r="AI4349" s="311"/>
      <c r="AJ4349" s="468"/>
    </row>
    <row r="4350" spans="1:77" s="379" customFormat="1" ht="11.25" customHeight="1">
      <c r="B4350" s="379" t="s">
        <v>291</v>
      </c>
      <c r="C4350" s="381">
        <v>44789</v>
      </c>
      <c r="D4350" s="381">
        <v>44790</v>
      </c>
      <c r="E4350" s="382" t="s">
        <v>3440</v>
      </c>
      <c r="F4350" s="394" t="s">
        <v>3441</v>
      </c>
      <c r="G4350" s="400" t="s">
        <v>3442</v>
      </c>
      <c r="H4350" s="379" t="s">
        <v>765</v>
      </c>
      <c r="I4350" s="384" t="s">
        <v>1336</v>
      </c>
      <c r="J4350" s="385">
        <v>19824</v>
      </c>
      <c r="K4350" s="384"/>
      <c r="L4350" s="385">
        <v>20.65</v>
      </c>
      <c r="M4350" s="385">
        <v>20.65</v>
      </c>
      <c r="N4350" s="386"/>
      <c r="O4350" s="387">
        <v>0.25</v>
      </c>
      <c r="P4350" s="387"/>
      <c r="Q4350" s="386">
        <v>0</v>
      </c>
      <c r="R4350" s="379" t="s">
        <v>146</v>
      </c>
      <c r="S4350" s="388" t="s">
        <v>74</v>
      </c>
      <c r="T4350" s="399">
        <v>32</v>
      </c>
      <c r="U4350" s="389" t="s">
        <v>164</v>
      </c>
      <c r="V4350" s="433"/>
      <c r="X4350" s="386">
        <v>0</v>
      </c>
      <c r="Y4350" s="386"/>
      <c r="AJ4350" s="390">
        <v>0</v>
      </c>
    </row>
    <row r="4351" spans="1:77" s="337" customFormat="1" ht="11.25" customHeight="1">
      <c r="B4351" s="337" t="s">
        <v>291</v>
      </c>
      <c r="C4351" s="349">
        <v>44789</v>
      </c>
      <c r="D4351" s="349">
        <v>44790</v>
      </c>
      <c r="E4351" s="350" t="s">
        <v>3443</v>
      </c>
      <c r="F4351" s="341" t="s">
        <v>1432</v>
      </c>
      <c r="G4351" s="342">
        <v>4613</v>
      </c>
      <c r="H4351" s="337" t="s">
        <v>910</v>
      </c>
      <c r="I4351" s="353" t="s">
        <v>156</v>
      </c>
      <c r="J4351" s="352">
        <v>13932.48</v>
      </c>
      <c r="K4351" s="353"/>
      <c r="L4351" s="352">
        <v>6.31</v>
      </c>
      <c r="M4351" s="352">
        <v>6.31</v>
      </c>
      <c r="N4351" s="354"/>
      <c r="O4351" s="355">
        <v>0.25</v>
      </c>
      <c r="P4351" s="355">
        <v>0.1</v>
      </c>
      <c r="Q4351" s="354">
        <v>5013.93</v>
      </c>
      <c r="R4351" s="337" t="s">
        <v>257</v>
      </c>
      <c r="S4351" s="356" t="s">
        <v>74</v>
      </c>
      <c r="T4351" s="346">
        <v>32</v>
      </c>
      <c r="U4351" s="357" t="s">
        <v>164</v>
      </c>
      <c r="V4351" s="434"/>
      <c r="X4351" s="354">
        <v>5013.93</v>
      </c>
      <c r="Y4351" s="354"/>
      <c r="AI4351" s="337">
        <v>5013.93</v>
      </c>
      <c r="AJ4351" s="358"/>
      <c r="AK4351" s="369"/>
    </row>
    <row r="4352" spans="1:77" s="337" customFormat="1" ht="11.25" customHeight="1">
      <c r="B4352" s="337" t="s">
        <v>291</v>
      </c>
      <c r="C4352" s="349"/>
      <c r="D4352" s="349"/>
      <c r="E4352" s="350" t="s">
        <v>3443</v>
      </c>
      <c r="F4352" s="341" t="s">
        <v>1432</v>
      </c>
      <c r="G4352" s="342">
        <v>4613</v>
      </c>
      <c r="H4352" s="337" t="s">
        <v>765</v>
      </c>
      <c r="I4352" s="353" t="s">
        <v>156</v>
      </c>
      <c r="J4352" s="352">
        <v>19674.72</v>
      </c>
      <c r="K4352" s="353"/>
      <c r="L4352" s="352">
        <v>21.02</v>
      </c>
      <c r="M4352" s="352">
        <v>21.02</v>
      </c>
      <c r="N4352" s="354"/>
      <c r="O4352" s="355">
        <v>0.25</v>
      </c>
      <c r="P4352" s="355">
        <v>0.1</v>
      </c>
      <c r="Q4352" s="354">
        <v>2236.5300000000002</v>
      </c>
      <c r="R4352" s="337" t="s">
        <v>257</v>
      </c>
      <c r="S4352" s="356" t="s">
        <v>74</v>
      </c>
      <c r="T4352" s="346">
        <v>32</v>
      </c>
      <c r="U4352" s="357" t="s">
        <v>164</v>
      </c>
      <c r="V4352" s="434"/>
      <c r="X4352" s="354">
        <v>2236.5300000000002</v>
      </c>
      <c r="Y4352" s="354"/>
      <c r="AI4352" s="337">
        <v>2236.5300000000002</v>
      </c>
      <c r="AJ4352" s="358"/>
      <c r="AK4352" s="369"/>
    </row>
    <row r="4353" spans="1:77" s="337" customFormat="1" ht="11.25" customHeight="1">
      <c r="B4353" s="337" t="s">
        <v>291</v>
      </c>
      <c r="C4353" s="349"/>
      <c r="D4353" s="349"/>
      <c r="E4353" s="350" t="s">
        <v>3443</v>
      </c>
      <c r="F4353" s="341" t="s">
        <v>1432</v>
      </c>
      <c r="G4353" s="342">
        <v>4613</v>
      </c>
      <c r="H4353" s="337" t="s">
        <v>814</v>
      </c>
      <c r="I4353" s="353" t="s">
        <v>156</v>
      </c>
      <c r="J4353" s="352">
        <v>13281.8</v>
      </c>
      <c r="K4353" s="353"/>
      <c r="L4353" s="352">
        <v>8.9499999999999993</v>
      </c>
      <c r="M4353" s="352">
        <v>8.9499999999999993</v>
      </c>
      <c r="N4353" s="354"/>
      <c r="O4353" s="355">
        <v>0.25</v>
      </c>
      <c r="P4353" s="355">
        <v>0.1</v>
      </c>
      <c r="Q4353" s="354">
        <v>1167.29</v>
      </c>
      <c r="R4353" s="337" t="s">
        <v>257</v>
      </c>
      <c r="S4353" s="356" t="s">
        <v>74</v>
      </c>
      <c r="T4353" s="346">
        <v>32</v>
      </c>
      <c r="U4353" s="357" t="s">
        <v>164</v>
      </c>
      <c r="V4353" s="434"/>
      <c r="X4353" s="354">
        <v>1167.29</v>
      </c>
      <c r="Y4353" s="354"/>
      <c r="AI4353" s="337">
        <v>1167.29</v>
      </c>
      <c r="AJ4353" s="358"/>
      <c r="AK4353" s="369"/>
    </row>
    <row r="4354" spans="1:77" s="618" customFormat="1" ht="11.25" customHeight="1">
      <c r="B4354" s="618" t="s">
        <v>291</v>
      </c>
      <c r="C4354" s="620">
        <v>44785</v>
      </c>
      <c r="D4354" s="620">
        <v>44790</v>
      </c>
      <c r="E4354" s="621" t="s">
        <v>3444</v>
      </c>
      <c r="F4354" s="624" t="s">
        <v>1437</v>
      </c>
      <c r="G4354" s="623">
        <v>3523</v>
      </c>
      <c r="H4354" s="618" t="s">
        <v>407</v>
      </c>
      <c r="I4354" s="626" t="s">
        <v>958</v>
      </c>
      <c r="J4354" s="635">
        <v>40404</v>
      </c>
      <c r="K4354" s="626"/>
      <c r="L4354" s="635">
        <v>22.75</v>
      </c>
      <c r="M4354" s="635">
        <v>22.75</v>
      </c>
      <c r="N4354" s="627">
        <v>14141.4</v>
      </c>
      <c r="O4354" s="628">
        <v>0.3</v>
      </c>
      <c r="P4354" s="628"/>
      <c r="Q4354" s="627">
        <v>0</v>
      </c>
      <c r="R4354" s="618" t="s">
        <v>46</v>
      </c>
      <c r="S4354" s="629" t="s">
        <v>47</v>
      </c>
      <c r="T4354" s="630">
        <v>76</v>
      </c>
      <c r="U4354" s="631" t="s">
        <v>164</v>
      </c>
      <c r="V4354" s="632"/>
      <c r="X4354" s="627">
        <v>0</v>
      </c>
      <c r="Y4354" s="627"/>
      <c r="AJ4354" s="633"/>
      <c r="AO4354" s="618">
        <v>0</v>
      </c>
    </row>
    <row r="4355" spans="1:77" s="6" customFormat="1" ht="11.25" customHeight="1">
      <c r="A4355" s="379"/>
      <c r="B4355" s="379" t="s">
        <v>291</v>
      </c>
      <c r="C4355" s="381">
        <v>44789</v>
      </c>
      <c r="D4355" s="381">
        <v>44790</v>
      </c>
      <c r="E4355" s="382" t="s">
        <v>3445</v>
      </c>
      <c r="F4355" s="394" t="s">
        <v>2328</v>
      </c>
      <c r="G4355" s="400" t="s">
        <v>2329</v>
      </c>
      <c r="H4355" s="379" t="s">
        <v>866</v>
      </c>
      <c r="I4355" s="379" t="s">
        <v>33</v>
      </c>
      <c r="J4355" s="385">
        <v>120636</v>
      </c>
      <c r="K4355" s="384"/>
      <c r="L4355" s="385">
        <v>67.02</v>
      </c>
      <c r="M4355" s="385">
        <v>67.02</v>
      </c>
      <c r="N4355" s="386">
        <v>31190.400000000001</v>
      </c>
      <c r="O4355" s="387">
        <v>0.25</v>
      </c>
      <c r="P4355" s="387"/>
      <c r="Q4355" s="386">
        <v>0</v>
      </c>
      <c r="R4355" s="394" t="s">
        <v>112</v>
      </c>
      <c r="S4355" s="399" t="s">
        <v>113</v>
      </c>
      <c r="T4355" s="388">
        <v>64</v>
      </c>
      <c r="U4355" s="389" t="s">
        <v>164</v>
      </c>
      <c r="V4355" s="433"/>
      <c r="W4355" s="379"/>
      <c r="X4355" s="386">
        <v>0</v>
      </c>
      <c r="Y4355" s="386"/>
      <c r="Z4355" s="379"/>
      <c r="AA4355" s="379"/>
      <c r="AB4355" s="379"/>
      <c r="AC4355" s="379"/>
      <c r="AD4355" s="379"/>
      <c r="AE4355" s="379"/>
      <c r="AF4355" s="379"/>
      <c r="AG4355" s="379"/>
      <c r="AH4355" s="379"/>
      <c r="AI4355" s="379"/>
      <c r="AJ4355" s="390">
        <v>0</v>
      </c>
      <c r="AK4355" s="379"/>
      <c r="AL4355" s="379"/>
      <c r="AM4355" s="379"/>
      <c r="AN4355" s="379"/>
      <c r="AO4355" s="379"/>
      <c r="AP4355" s="379"/>
      <c r="AQ4355" s="379"/>
      <c r="AR4355" s="379"/>
      <c r="AS4355" s="379"/>
      <c r="AT4355" s="379"/>
      <c r="AU4355" s="379"/>
      <c r="AV4355" s="379"/>
      <c r="AW4355" s="379"/>
      <c r="AX4355" s="379"/>
      <c r="AY4355" s="379"/>
      <c r="AZ4355" s="379"/>
      <c r="BA4355" s="379"/>
      <c r="BB4355" s="379"/>
      <c r="BC4355" s="379"/>
      <c r="BD4355" s="379"/>
      <c r="BE4355" s="379"/>
      <c r="BF4355" s="379"/>
      <c r="BG4355" s="379"/>
      <c r="BH4355" s="379"/>
      <c r="BI4355" s="379"/>
      <c r="BJ4355" s="379"/>
      <c r="BK4355" s="379"/>
      <c r="BL4355" s="379"/>
      <c r="BM4355" s="379"/>
      <c r="BN4355" s="379"/>
      <c r="BO4355" s="379"/>
      <c r="BP4355" s="379"/>
      <c r="BQ4355" s="379"/>
      <c r="BR4355" s="379"/>
      <c r="BS4355" s="379"/>
      <c r="BT4355" s="379"/>
      <c r="BU4355" s="379"/>
      <c r="BV4355" s="379"/>
      <c r="BW4355" s="379"/>
      <c r="BX4355" s="379"/>
      <c r="BY4355" s="379"/>
    </row>
    <row r="4356" spans="1:77" s="337" customFormat="1" ht="11.25" customHeight="1">
      <c r="B4356" s="337" t="s">
        <v>291</v>
      </c>
      <c r="C4356" s="349">
        <v>44790</v>
      </c>
      <c r="D4356" s="349">
        <v>44790</v>
      </c>
      <c r="E4356" s="350" t="s">
        <v>3446</v>
      </c>
      <c r="F4356" s="341" t="s">
        <v>1239</v>
      </c>
      <c r="G4356" s="342">
        <v>3941</v>
      </c>
      <c r="H4356" s="337" t="s">
        <v>866</v>
      </c>
      <c r="I4356" s="337" t="s">
        <v>33</v>
      </c>
      <c r="J4356" s="343">
        <v>34615</v>
      </c>
      <c r="K4356" s="353"/>
      <c r="L4356" s="343">
        <v>21.5</v>
      </c>
      <c r="M4356" s="343">
        <v>21.5</v>
      </c>
      <c r="N4356" s="354">
        <v>13638.31</v>
      </c>
      <c r="O4356" s="355">
        <v>0.25</v>
      </c>
      <c r="P4356" s="355"/>
      <c r="Q4356" s="354">
        <v>4891.99</v>
      </c>
      <c r="R4356" s="341" t="s">
        <v>112</v>
      </c>
      <c r="S4356" s="346" t="s">
        <v>113</v>
      </c>
      <c r="T4356" s="356">
        <v>64</v>
      </c>
      <c r="U4356" s="357" t="s">
        <v>164</v>
      </c>
      <c r="V4356" s="434"/>
      <c r="X4356" s="354">
        <v>4891.99</v>
      </c>
      <c r="Y4356" s="354"/>
      <c r="AI4356" s="354">
        <v>4891.99</v>
      </c>
      <c r="AJ4356" s="358"/>
      <c r="AK4356" s="369"/>
    </row>
    <row r="4357" spans="1:77" s="291" customFormat="1" ht="11.25" customHeight="1">
      <c r="B4357" s="291" t="s">
        <v>291</v>
      </c>
      <c r="C4357" s="292"/>
      <c r="D4357" s="292"/>
      <c r="E4357" s="293" t="s">
        <v>3446</v>
      </c>
      <c r="F4357" s="303" t="s">
        <v>1239</v>
      </c>
      <c r="G4357" s="304">
        <v>3941</v>
      </c>
      <c r="H4357" s="291" t="s">
        <v>814</v>
      </c>
      <c r="I4357" s="291" t="s">
        <v>33</v>
      </c>
      <c r="J4357" s="296">
        <v>8789.09</v>
      </c>
      <c r="K4357" s="295"/>
      <c r="L4357" s="296">
        <v>8.1999999999999993</v>
      </c>
      <c r="M4357" s="296">
        <v>8.1999999999999993</v>
      </c>
      <c r="N4357" s="297">
        <v>3603.53</v>
      </c>
      <c r="O4357" s="298">
        <v>0.25</v>
      </c>
      <c r="P4357" s="298"/>
      <c r="Q4357" s="297">
        <v>0</v>
      </c>
      <c r="R4357" s="303" t="s">
        <v>112</v>
      </c>
      <c r="S4357" s="308" t="s">
        <v>113</v>
      </c>
      <c r="T4357" s="299">
        <v>64</v>
      </c>
      <c r="U4357" s="300" t="s">
        <v>164</v>
      </c>
      <c r="V4357" s="333"/>
      <c r="X4357" s="297">
        <v>0</v>
      </c>
      <c r="Y4357" s="297"/>
      <c r="AH4357" s="291">
        <f>X4357</f>
        <v>0</v>
      </c>
      <c r="AI4357" s="311"/>
      <c r="AJ4357" s="468"/>
    </row>
    <row r="4358" spans="1:77" s="261" customFormat="1" ht="11.25" customHeight="1">
      <c r="B4358" s="261" t="s">
        <v>291</v>
      </c>
      <c r="C4358" s="259"/>
      <c r="D4358" s="259"/>
      <c r="E4358" s="260" t="s">
        <v>3446</v>
      </c>
      <c r="F4358" s="273" t="s">
        <v>1239</v>
      </c>
      <c r="G4358" s="276">
        <v>3941</v>
      </c>
      <c r="H4358" s="261" t="s">
        <v>765</v>
      </c>
      <c r="I4358" s="261" t="s">
        <v>33</v>
      </c>
      <c r="J4358" s="263">
        <v>4294.22</v>
      </c>
      <c r="K4358" s="264"/>
      <c r="L4358" s="263">
        <v>4.5</v>
      </c>
      <c r="M4358" s="263">
        <v>4.5</v>
      </c>
      <c r="N4358" s="265">
        <v>0</v>
      </c>
      <c r="O4358" s="266">
        <v>0.25</v>
      </c>
      <c r="P4358" s="266"/>
      <c r="Q4358" s="265">
        <v>0</v>
      </c>
      <c r="R4358" s="273" t="s">
        <v>112</v>
      </c>
      <c r="S4358" s="279" t="s">
        <v>113</v>
      </c>
      <c r="T4358" s="267">
        <v>64</v>
      </c>
      <c r="U4358" s="268" t="s">
        <v>164</v>
      </c>
      <c r="V4358" s="427"/>
      <c r="X4358" s="265">
        <v>0</v>
      </c>
      <c r="Y4358" s="265"/>
      <c r="AG4358" s="261">
        <f>X4358</f>
        <v>0</v>
      </c>
      <c r="AJ4358" s="642"/>
    </row>
    <row r="4359" spans="1:77" s="379" customFormat="1" ht="11.25" customHeight="1">
      <c r="B4359" s="403" t="s">
        <v>291</v>
      </c>
      <c r="C4359" s="381">
        <v>44790</v>
      </c>
      <c r="D4359" s="381">
        <v>44790</v>
      </c>
      <c r="E4359" s="382" t="s">
        <v>3447</v>
      </c>
      <c r="F4359" s="379" t="s">
        <v>26</v>
      </c>
      <c r="G4359" s="404">
        <v>3840</v>
      </c>
      <c r="H4359" s="379" t="s">
        <v>814</v>
      </c>
      <c r="I4359" s="379" t="s">
        <v>33</v>
      </c>
      <c r="J4359" s="385">
        <v>29025</v>
      </c>
      <c r="K4359" s="384"/>
      <c r="L4359" s="385">
        <v>25</v>
      </c>
      <c r="M4359" s="385">
        <v>25</v>
      </c>
      <c r="N4359" s="386">
        <v>6525</v>
      </c>
      <c r="O4359" s="387">
        <v>0.2</v>
      </c>
      <c r="P4359" s="387"/>
      <c r="Q4359" s="386">
        <v>0</v>
      </c>
      <c r="R4359" s="379" t="s">
        <v>105</v>
      </c>
      <c r="S4359" s="388" t="s">
        <v>30</v>
      </c>
      <c r="T4359" s="388">
        <v>39</v>
      </c>
      <c r="U4359" s="389" t="s">
        <v>164</v>
      </c>
      <c r="V4359" s="433"/>
      <c r="X4359" s="386">
        <v>0</v>
      </c>
      <c r="Y4359" s="386"/>
      <c r="AJ4359" s="390">
        <v>0</v>
      </c>
    </row>
    <row r="4360" spans="1:77" s="379" customFormat="1" ht="11.25" customHeight="1">
      <c r="B4360" s="403" t="s">
        <v>291</v>
      </c>
      <c r="C4360" s="381"/>
      <c r="D4360" s="381"/>
      <c r="E4360" s="382" t="s">
        <v>3447</v>
      </c>
      <c r="F4360" s="379" t="s">
        <v>26</v>
      </c>
      <c r="G4360" s="404">
        <v>3840</v>
      </c>
      <c r="H4360" s="379" t="s">
        <v>866</v>
      </c>
      <c r="I4360" s="379" t="s">
        <v>33</v>
      </c>
      <c r="J4360" s="385">
        <v>50830.080000000002</v>
      </c>
      <c r="K4360" s="384"/>
      <c r="L4360" s="385">
        <v>36.6</v>
      </c>
      <c r="M4360" s="385">
        <v>36.6</v>
      </c>
      <c r="N4360" s="386">
        <v>13894</v>
      </c>
      <c r="O4360" s="387">
        <v>0.2</v>
      </c>
      <c r="P4360" s="387"/>
      <c r="Q4360" s="386">
        <v>1897.31</v>
      </c>
      <c r="R4360" s="379" t="s">
        <v>105</v>
      </c>
      <c r="S4360" s="388" t="s">
        <v>30</v>
      </c>
      <c r="T4360" s="388">
        <v>39</v>
      </c>
      <c r="U4360" s="389" t="s">
        <v>164</v>
      </c>
      <c r="V4360" s="433"/>
      <c r="X4360" s="386">
        <v>1897.31</v>
      </c>
      <c r="Y4360" s="386"/>
      <c r="AJ4360" s="416">
        <v>1897.31</v>
      </c>
    </row>
    <row r="4361" spans="1:77" s="337" customFormat="1" ht="11.25" customHeight="1">
      <c r="B4361" s="338" t="s">
        <v>291</v>
      </c>
      <c r="C4361" s="349">
        <v>44790</v>
      </c>
      <c r="D4361" s="349">
        <v>44790</v>
      </c>
      <c r="E4361" s="350" t="s">
        <v>3448</v>
      </c>
      <c r="F4361" s="337" t="s">
        <v>1733</v>
      </c>
      <c r="G4361" s="368">
        <v>3960</v>
      </c>
      <c r="H4361" s="337" t="s">
        <v>765</v>
      </c>
      <c r="I4361" s="353" t="s">
        <v>33</v>
      </c>
      <c r="J4361" s="352">
        <v>17884.37</v>
      </c>
      <c r="K4361" s="353"/>
      <c r="L4361" s="352">
        <v>21.38</v>
      </c>
      <c r="M4361" s="352">
        <v>21.38</v>
      </c>
      <c r="N4361" s="354"/>
      <c r="O4361" s="355">
        <v>0.3</v>
      </c>
      <c r="P4361" s="355"/>
      <c r="Q4361" s="354">
        <v>164.63</v>
      </c>
      <c r="R4361" s="337" t="s">
        <v>128</v>
      </c>
      <c r="S4361" s="356" t="s">
        <v>34</v>
      </c>
      <c r="T4361" s="356">
        <v>17</v>
      </c>
      <c r="U4361" s="357" t="s">
        <v>164</v>
      </c>
      <c r="V4361" s="434"/>
      <c r="X4361" s="354">
        <v>164.63</v>
      </c>
      <c r="Y4361" s="354"/>
      <c r="AI4361" s="369">
        <f>X4361</f>
        <v>164.63</v>
      </c>
      <c r="AJ4361" s="358"/>
      <c r="AK4361" s="369"/>
    </row>
    <row r="4362" spans="1:77" s="337" customFormat="1" ht="11.25" customHeight="1">
      <c r="B4362" s="338" t="s">
        <v>291</v>
      </c>
      <c r="C4362" s="349">
        <v>44789</v>
      </c>
      <c r="D4362" s="349">
        <v>44790</v>
      </c>
      <c r="E4362" s="350" t="s">
        <v>3449</v>
      </c>
      <c r="F4362" s="337" t="s">
        <v>502</v>
      </c>
      <c r="G4362" s="351">
        <v>4139</v>
      </c>
      <c r="H4362" s="337" t="s">
        <v>1138</v>
      </c>
      <c r="I4362" s="337" t="s">
        <v>1487</v>
      </c>
      <c r="J4362" s="352">
        <v>4471.2</v>
      </c>
      <c r="K4362" s="353"/>
      <c r="L4362" s="352">
        <v>4</v>
      </c>
      <c r="M4362" s="352">
        <v>4</v>
      </c>
      <c r="N4362" s="354"/>
      <c r="O4362" s="355">
        <v>0.3</v>
      </c>
      <c r="P4362" s="355"/>
      <c r="Q4362" s="354">
        <v>2157.84</v>
      </c>
      <c r="R4362" s="337" t="s">
        <v>257</v>
      </c>
      <c r="S4362" s="356" t="s">
        <v>74</v>
      </c>
      <c r="T4362" s="356">
        <v>32</v>
      </c>
      <c r="U4362" s="357" t="s">
        <v>164</v>
      </c>
      <c r="V4362" s="434"/>
      <c r="X4362" s="354">
        <v>2157.84</v>
      </c>
      <c r="Y4362" s="354"/>
      <c r="AI4362" s="354">
        <v>2157.84</v>
      </c>
      <c r="AJ4362" s="358"/>
      <c r="AK4362" s="369"/>
    </row>
    <row r="4363" spans="1:77" s="337" customFormat="1" ht="11.25" customHeight="1">
      <c r="B4363" s="338" t="s">
        <v>291</v>
      </c>
      <c r="C4363" s="349"/>
      <c r="D4363" s="349"/>
      <c r="E4363" s="350" t="s">
        <v>3449</v>
      </c>
      <c r="F4363" s="337" t="s">
        <v>502</v>
      </c>
      <c r="G4363" s="351">
        <v>4139</v>
      </c>
      <c r="H4363" s="337" t="s">
        <v>765</v>
      </c>
      <c r="I4363" s="337" t="s">
        <v>3450</v>
      </c>
      <c r="J4363" s="352">
        <v>28125.15</v>
      </c>
      <c r="K4363" s="353"/>
      <c r="L4363" s="352">
        <v>24.7</v>
      </c>
      <c r="M4363" s="352">
        <v>24.7</v>
      </c>
      <c r="N4363" s="354"/>
      <c r="O4363" s="355">
        <v>0.3</v>
      </c>
      <c r="P4363" s="355"/>
      <c r="Q4363" s="354">
        <v>1936.11</v>
      </c>
      <c r="R4363" s="337" t="s">
        <v>257</v>
      </c>
      <c r="S4363" s="356" t="s">
        <v>74</v>
      </c>
      <c r="T4363" s="356">
        <v>32</v>
      </c>
      <c r="U4363" s="357" t="s">
        <v>164</v>
      </c>
      <c r="V4363" s="434"/>
      <c r="X4363" s="354">
        <v>1936.11</v>
      </c>
      <c r="Y4363" s="354"/>
      <c r="AI4363" s="354">
        <v>1936.11</v>
      </c>
      <c r="AJ4363" s="358"/>
      <c r="AK4363" s="369"/>
    </row>
    <row r="4364" spans="1:77" s="379" customFormat="1" ht="11.25" customHeight="1">
      <c r="B4364" s="380" t="s">
        <v>291</v>
      </c>
      <c r="C4364" s="381">
        <v>44790</v>
      </c>
      <c r="D4364" s="381">
        <v>44790</v>
      </c>
      <c r="E4364" s="382" t="s">
        <v>3451</v>
      </c>
      <c r="F4364" s="379" t="s">
        <v>232</v>
      </c>
      <c r="G4364" s="388">
        <v>4225</v>
      </c>
      <c r="H4364" s="379" t="s">
        <v>1141</v>
      </c>
      <c r="I4364" s="379" t="s">
        <v>1296</v>
      </c>
      <c r="J4364" s="416">
        <v>25784.86</v>
      </c>
      <c r="K4364" s="384"/>
      <c r="L4364" s="416">
        <v>22.67</v>
      </c>
      <c r="M4364" s="416">
        <v>22.67</v>
      </c>
      <c r="N4364" s="386"/>
      <c r="O4364" s="387">
        <v>0.15</v>
      </c>
      <c r="P4364" s="387"/>
      <c r="Q4364" s="386">
        <v>11244.09</v>
      </c>
      <c r="R4364" s="379" t="s">
        <v>73</v>
      </c>
      <c r="S4364" s="388" t="s">
        <v>74</v>
      </c>
      <c r="T4364" s="388">
        <v>31</v>
      </c>
      <c r="U4364" s="389" t="s">
        <v>164</v>
      </c>
      <c r="V4364" s="433"/>
      <c r="X4364" s="386">
        <v>11244.09</v>
      </c>
      <c r="Y4364" s="386"/>
      <c r="AJ4364" s="416">
        <v>11244.09</v>
      </c>
    </row>
    <row r="4365" spans="1:77" s="473" customFormat="1" ht="11.25" customHeight="1">
      <c r="B4365" s="503" t="s">
        <v>291</v>
      </c>
      <c r="C4365" s="487">
        <v>44788</v>
      </c>
      <c r="D4365" s="487">
        <v>44791</v>
      </c>
      <c r="E4365" s="488" t="s">
        <v>3452</v>
      </c>
      <c r="F4365" s="473" t="s">
        <v>2717</v>
      </c>
      <c r="G4365" s="489" t="s">
        <v>2718</v>
      </c>
      <c r="H4365" s="473" t="s">
        <v>866</v>
      </c>
      <c r="I4365" s="473" t="s">
        <v>33</v>
      </c>
      <c r="J4365" s="490">
        <v>22532.1</v>
      </c>
      <c r="K4365" s="491"/>
      <c r="L4365" s="490">
        <v>11.21</v>
      </c>
      <c r="M4365" s="490">
        <v>11.21</v>
      </c>
      <c r="N4365" s="492">
        <v>14195.22</v>
      </c>
      <c r="O4365" s="493">
        <v>0.25</v>
      </c>
      <c r="P4365" s="493"/>
      <c r="Q4365" s="492">
        <v>9598.67</v>
      </c>
      <c r="R4365" s="473" t="s">
        <v>112</v>
      </c>
      <c r="S4365" s="481" t="s">
        <v>113</v>
      </c>
      <c r="T4365" s="481">
        <v>64</v>
      </c>
      <c r="U4365" s="494" t="s">
        <v>164</v>
      </c>
      <c r="V4365" s="495"/>
      <c r="X4365" s="492">
        <v>9598.67</v>
      </c>
      <c r="Y4365" s="492"/>
      <c r="AJ4365" s="485"/>
      <c r="AK4365" s="505">
        <v>9598.67</v>
      </c>
    </row>
    <row r="4366" spans="1:77" s="473" customFormat="1" ht="11.25" customHeight="1">
      <c r="B4366" s="503" t="s">
        <v>291</v>
      </c>
      <c r="C4366" s="487"/>
      <c r="D4366" s="487"/>
      <c r="E4366" s="488" t="s">
        <v>3452</v>
      </c>
      <c r="F4366" s="473" t="s">
        <v>2717</v>
      </c>
      <c r="G4366" s="489" t="s">
        <v>2718</v>
      </c>
      <c r="H4366" s="473" t="s">
        <v>765</v>
      </c>
      <c r="I4366" s="473" t="s">
        <v>33</v>
      </c>
      <c r="J4366" s="490">
        <v>6819.32</v>
      </c>
      <c r="K4366" s="491"/>
      <c r="L4366" s="490">
        <v>4.84</v>
      </c>
      <c r="M4366" s="490">
        <v>4.84</v>
      </c>
      <c r="N4366" s="492">
        <v>2045.8</v>
      </c>
      <c r="O4366" s="493">
        <v>0.25</v>
      </c>
      <c r="P4366" s="493"/>
      <c r="Q4366" s="492">
        <v>1040.9000000000001</v>
      </c>
      <c r="R4366" s="473" t="s">
        <v>112</v>
      </c>
      <c r="S4366" s="481" t="s">
        <v>113</v>
      </c>
      <c r="T4366" s="481">
        <v>64</v>
      </c>
      <c r="U4366" s="494" t="s">
        <v>164</v>
      </c>
      <c r="V4366" s="495"/>
      <c r="X4366" s="492">
        <v>1040.9000000000001</v>
      </c>
      <c r="Y4366" s="492"/>
      <c r="AJ4366" s="485"/>
      <c r="AK4366" s="505">
        <v>1040.9000000000001</v>
      </c>
    </row>
    <row r="4367" spans="1:77" s="473" customFormat="1" ht="11.25" customHeight="1">
      <c r="B4367" s="503" t="s">
        <v>291</v>
      </c>
      <c r="C4367" s="487"/>
      <c r="D4367" s="487"/>
      <c r="E4367" s="488" t="s">
        <v>3452</v>
      </c>
      <c r="F4367" s="473" t="s">
        <v>2717</v>
      </c>
      <c r="G4367" s="489" t="s">
        <v>2718</v>
      </c>
      <c r="H4367" s="473" t="s">
        <v>814</v>
      </c>
      <c r="I4367" s="473" t="s">
        <v>33</v>
      </c>
      <c r="J4367" s="490">
        <v>11587.32</v>
      </c>
      <c r="K4367" s="491"/>
      <c r="L4367" s="490">
        <v>9.89</v>
      </c>
      <c r="M4367" s="490">
        <v>9.89</v>
      </c>
      <c r="N4367" s="492">
        <v>7531.76</v>
      </c>
      <c r="O4367" s="493">
        <v>0.25</v>
      </c>
      <c r="P4367" s="493"/>
      <c r="Q4367" s="492">
        <v>2098.4</v>
      </c>
      <c r="R4367" s="473" t="s">
        <v>112</v>
      </c>
      <c r="S4367" s="481" t="s">
        <v>113</v>
      </c>
      <c r="T4367" s="481">
        <v>64</v>
      </c>
      <c r="U4367" s="494" t="s">
        <v>164</v>
      </c>
      <c r="V4367" s="495"/>
      <c r="X4367" s="492">
        <v>2098.4</v>
      </c>
      <c r="Y4367" s="492"/>
      <c r="AJ4367" s="485"/>
      <c r="AK4367" s="505">
        <v>2098.4</v>
      </c>
    </row>
    <row r="4368" spans="1:77" s="379" customFormat="1" ht="11.25" customHeight="1">
      <c r="B4368" s="403" t="s">
        <v>290</v>
      </c>
      <c r="C4368" s="381">
        <v>44787</v>
      </c>
      <c r="D4368" s="381">
        <v>44791</v>
      </c>
      <c r="E4368" s="382" t="s">
        <v>3453</v>
      </c>
      <c r="F4368" s="379" t="s">
        <v>1816</v>
      </c>
      <c r="G4368" s="383" t="s">
        <v>1817</v>
      </c>
      <c r="H4368" s="379" t="s">
        <v>866</v>
      </c>
      <c r="I4368" s="379" t="s">
        <v>699</v>
      </c>
      <c r="J4368" s="385">
        <v>18840.599999999999</v>
      </c>
      <c r="K4368" s="384"/>
      <c r="L4368" s="385">
        <v>11.63</v>
      </c>
      <c r="M4368" s="385">
        <v>2.5</v>
      </c>
      <c r="N4368" s="386"/>
      <c r="O4368" s="387">
        <v>0.3</v>
      </c>
      <c r="P4368" s="387">
        <v>0.05</v>
      </c>
      <c r="Q4368" s="386">
        <v>1552.5</v>
      </c>
      <c r="R4368" s="379" t="s">
        <v>73</v>
      </c>
      <c r="S4368" s="388" t="s">
        <v>113</v>
      </c>
      <c r="T4368" s="388">
        <v>31</v>
      </c>
      <c r="U4368" s="389" t="s">
        <v>164</v>
      </c>
      <c r="V4368" s="433"/>
      <c r="X4368" s="386">
        <v>1552.5</v>
      </c>
      <c r="Y4368" s="386"/>
      <c r="AJ4368" s="416">
        <v>1552.5</v>
      </c>
    </row>
    <row r="4369" spans="1:77" s="379" customFormat="1" ht="11.25" customHeight="1">
      <c r="B4369" s="403" t="s">
        <v>291</v>
      </c>
      <c r="C4369" s="381">
        <v>44789</v>
      </c>
      <c r="D4369" s="381">
        <v>44791</v>
      </c>
      <c r="E4369" s="382" t="s">
        <v>3454</v>
      </c>
      <c r="F4369" s="379" t="s">
        <v>3455</v>
      </c>
      <c r="G4369" s="383">
        <v>4564</v>
      </c>
      <c r="H4369" s="379" t="s">
        <v>910</v>
      </c>
      <c r="I4369" s="379" t="s">
        <v>1168</v>
      </c>
      <c r="J4369" s="385">
        <v>91329.2</v>
      </c>
      <c r="K4369" s="384"/>
      <c r="L4369" s="385">
        <v>37.43</v>
      </c>
      <c r="M4369" s="385">
        <v>37.42</v>
      </c>
      <c r="N4369" s="386"/>
      <c r="O4369" s="387">
        <v>0.15</v>
      </c>
      <c r="P4369" s="387">
        <v>0.1</v>
      </c>
      <c r="Q4369" s="386">
        <v>22747.7</v>
      </c>
      <c r="R4369" s="379" t="s">
        <v>146</v>
      </c>
      <c r="S4369" s="388" t="s">
        <v>74</v>
      </c>
      <c r="T4369" s="388">
        <v>32</v>
      </c>
      <c r="U4369" s="389" t="s">
        <v>164</v>
      </c>
      <c r="V4369" s="433"/>
      <c r="X4369" s="386">
        <v>22747.7</v>
      </c>
      <c r="Y4369" s="386"/>
      <c r="AJ4369" s="416">
        <v>22747.7</v>
      </c>
    </row>
    <row r="4370" spans="1:77" s="571" customFormat="1" ht="11.25" customHeight="1">
      <c r="B4370" s="693" t="s">
        <v>291</v>
      </c>
      <c r="C4370" s="694">
        <v>44789</v>
      </c>
      <c r="D4370" s="694">
        <v>44791</v>
      </c>
      <c r="E4370" s="695" t="s">
        <v>3456</v>
      </c>
      <c r="F4370" s="693" t="s">
        <v>2759</v>
      </c>
      <c r="G4370" s="696" t="s">
        <v>2758</v>
      </c>
      <c r="H4370" s="571" t="s">
        <v>1018</v>
      </c>
      <c r="I4370" s="697" t="s">
        <v>33</v>
      </c>
      <c r="J4370" s="698">
        <v>20073.12</v>
      </c>
      <c r="K4370" s="697"/>
      <c r="L4370" s="698">
        <v>23.56</v>
      </c>
      <c r="M4370" s="698">
        <v>23.56</v>
      </c>
      <c r="N4370" s="699"/>
      <c r="O4370" s="700">
        <v>0.25</v>
      </c>
      <c r="P4370" s="700"/>
      <c r="Q4370" s="699">
        <v>3463.32</v>
      </c>
      <c r="R4370" s="571" t="s">
        <v>285</v>
      </c>
      <c r="S4370" s="701" t="s">
        <v>275</v>
      </c>
      <c r="T4370" s="701">
        <v>21</v>
      </c>
      <c r="U4370" s="702" t="s">
        <v>164</v>
      </c>
      <c r="V4370" s="703"/>
      <c r="X4370" s="699">
        <v>3463.32</v>
      </c>
      <c r="Y4370" s="699"/>
      <c r="AJ4370" s="704"/>
      <c r="AP4370" s="699">
        <v>3463.32</v>
      </c>
    </row>
    <row r="4371" spans="1:77" s="379" customFormat="1" ht="11.25" customHeight="1">
      <c r="B4371" s="379" t="s">
        <v>291</v>
      </c>
      <c r="C4371" s="381">
        <v>44789</v>
      </c>
      <c r="D4371" s="381">
        <v>44791</v>
      </c>
      <c r="E4371" s="382" t="s">
        <v>3382</v>
      </c>
      <c r="F4371" s="379" t="s">
        <v>856</v>
      </c>
      <c r="G4371" s="383">
        <v>4268</v>
      </c>
      <c r="H4371" s="379" t="s">
        <v>866</v>
      </c>
      <c r="I4371" s="384" t="s">
        <v>33</v>
      </c>
      <c r="J4371" s="385">
        <v>20085.62</v>
      </c>
      <c r="K4371" s="384"/>
      <c r="L4371" s="385">
        <v>17.940000000000001</v>
      </c>
      <c r="M4371" s="385">
        <v>17.940000000000001</v>
      </c>
      <c r="N4371" s="386"/>
      <c r="O4371" s="387">
        <v>0.15</v>
      </c>
      <c r="P4371" s="387"/>
      <c r="Q4371" s="386">
        <v>2060.23</v>
      </c>
      <c r="R4371" s="379" t="s">
        <v>77</v>
      </c>
      <c r="S4371" s="388" t="s">
        <v>41</v>
      </c>
      <c r="T4371" s="399">
        <v>17</v>
      </c>
      <c r="U4371" s="389" t="s">
        <v>164</v>
      </c>
      <c r="V4371" s="433"/>
      <c r="X4371" s="386">
        <v>2060.23</v>
      </c>
      <c r="Y4371" s="386"/>
      <c r="AJ4371" s="416">
        <v>2060.23</v>
      </c>
    </row>
    <row r="4372" spans="1:77" s="473" customFormat="1" ht="11.25" customHeight="1">
      <c r="A4372" s="473" t="s">
        <v>3893</v>
      </c>
      <c r="B4372" s="473" t="s">
        <v>291</v>
      </c>
      <c r="C4372" s="487">
        <v>44791</v>
      </c>
      <c r="D4372" s="487">
        <v>44791</v>
      </c>
      <c r="E4372" s="488" t="s">
        <v>3457</v>
      </c>
      <c r="F4372" s="473" t="s">
        <v>120</v>
      </c>
      <c r="G4372" s="489">
        <v>3720</v>
      </c>
      <c r="H4372" s="473" t="s">
        <v>898</v>
      </c>
      <c r="I4372" s="473" t="s">
        <v>888</v>
      </c>
      <c r="J4372" s="490">
        <v>67504.58</v>
      </c>
      <c r="K4372" s="491"/>
      <c r="L4372" s="490">
        <v>42.92</v>
      </c>
      <c r="M4372" s="490">
        <v>42.92</v>
      </c>
      <c r="N4372" s="492">
        <v>16876.144</v>
      </c>
      <c r="O4372" s="493">
        <v>0.2</v>
      </c>
      <c r="P4372" s="493"/>
      <c r="Q4372" s="492">
        <v>1812.94</v>
      </c>
      <c r="R4372" s="473" t="s">
        <v>50</v>
      </c>
      <c r="S4372" s="481" t="s">
        <v>51</v>
      </c>
      <c r="T4372" s="481">
        <v>55</v>
      </c>
      <c r="U4372" s="494" t="s">
        <v>164</v>
      </c>
      <c r="V4372" s="495"/>
      <c r="X4372" s="492">
        <v>1812.94</v>
      </c>
      <c r="Y4372" s="492"/>
      <c r="AJ4372" s="485"/>
      <c r="AK4372" s="505">
        <v>1812.94</v>
      </c>
    </row>
    <row r="4373" spans="1:77" s="6" customFormat="1" ht="11.25" customHeight="1">
      <c r="A4373" s="546"/>
      <c r="B4373" s="546" t="s">
        <v>390</v>
      </c>
      <c r="C4373" s="547"/>
      <c r="D4373" s="547"/>
      <c r="E4373" s="548" t="s">
        <v>3458</v>
      </c>
      <c r="F4373" s="546" t="s">
        <v>3459</v>
      </c>
      <c r="G4373" s="549" t="s">
        <v>3460</v>
      </c>
      <c r="H4373" s="546" t="s">
        <v>393</v>
      </c>
      <c r="I4373" s="546" t="s">
        <v>888</v>
      </c>
      <c r="J4373" s="550">
        <v>109075.2</v>
      </c>
      <c r="K4373" s="551"/>
      <c r="L4373" s="550">
        <v>17.940000000000001</v>
      </c>
      <c r="M4373" s="550">
        <v>17.940000000000001</v>
      </c>
      <c r="N4373" s="552"/>
      <c r="O4373" s="553">
        <v>0.25</v>
      </c>
      <c r="P4373" s="553"/>
      <c r="Q4373" s="552">
        <v>0</v>
      </c>
      <c r="R4373" s="546" t="s">
        <v>369</v>
      </c>
      <c r="S4373" s="554" t="s">
        <v>2617</v>
      </c>
      <c r="T4373" s="554">
        <v>30</v>
      </c>
      <c r="U4373" s="555" t="s">
        <v>164</v>
      </c>
      <c r="V4373" s="556"/>
      <c r="W4373" s="546"/>
      <c r="X4373" s="552">
        <v>0</v>
      </c>
      <c r="Y4373" s="552"/>
      <c r="Z4373" s="546"/>
      <c r="AA4373" s="546"/>
      <c r="AB4373" s="546"/>
      <c r="AC4373" s="546"/>
      <c r="AD4373" s="546"/>
      <c r="AE4373" s="546"/>
      <c r="AF4373" s="546"/>
      <c r="AG4373" s="546"/>
      <c r="AH4373" s="546"/>
      <c r="AI4373" s="546"/>
      <c r="AJ4373" s="557"/>
      <c r="AK4373" s="546"/>
      <c r="AL4373" s="546"/>
      <c r="AM4373" s="546">
        <v>0</v>
      </c>
      <c r="AN4373" s="546"/>
      <c r="AO4373" s="546"/>
      <c r="AP4373" s="546"/>
      <c r="AQ4373" s="546"/>
      <c r="AR4373" s="546"/>
      <c r="AS4373" s="546"/>
      <c r="AT4373" s="546"/>
      <c r="AU4373" s="546"/>
      <c r="AV4373" s="546"/>
      <c r="AW4373" s="546"/>
      <c r="AX4373" s="546"/>
      <c r="AY4373" s="546"/>
      <c r="AZ4373" s="546"/>
      <c r="BA4373" s="546"/>
      <c r="BB4373" s="546"/>
      <c r="BC4373" s="546"/>
      <c r="BD4373" s="546"/>
      <c r="BE4373" s="546"/>
      <c r="BF4373" s="546"/>
      <c r="BG4373" s="546"/>
      <c r="BH4373" s="546"/>
      <c r="BI4373" s="546"/>
      <c r="BJ4373" s="546"/>
      <c r="BK4373" s="546"/>
      <c r="BL4373" s="546"/>
      <c r="BM4373" s="546"/>
      <c r="BN4373" s="546"/>
      <c r="BO4373" s="546"/>
      <c r="BP4373" s="546"/>
      <c r="BQ4373" s="546"/>
      <c r="BR4373" s="546"/>
      <c r="BS4373" s="546"/>
      <c r="BT4373" s="546"/>
      <c r="BU4373" s="546"/>
      <c r="BV4373" s="546"/>
      <c r="BW4373" s="546"/>
      <c r="BX4373" s="546"/>
      <c r="BY4373" s="546"/>
    </row>
    <row r="4374" spans="1:77" s="6" customFormat="1" ht="11.25" customHeight="1">
      <c r="A4374" s="379"/>
      <c r="B4374" s="379" t="s">
        <v>390</v>
      </c>
      <c r="C4374" s="381">
        <v>44785</v>
      </c>
      <c r="D4374" s="381">
        <v>44789</v>
      </c>
      <c r="E4374" s="382" t="s">
        <v>3458</v>
      </c>
      <c r="F4374" s="379" t="s">
        <v>3459</v>
      </c>
      <c r="G4374" s="383" t="s">
        <v>3460</v>
      </c>
      <c r="H4374" s="379" t="s">
        <v>393</v>
      </c>
      <c r="I4374" s="379" t="s">
        <v>888</v>
      </c>
      <c r="J4374" s="385">
        <v>13680</v>
      </c>
      <c r="K4374" s="384"/>
      <c r="L4374" s="385">
        <v>2.25</v>
      </c>
      <c r="M4374" s="385">
        <v>2.25</v>
      </c>
      <c r="N4374" s="386"/>
      <c r="O4374" s="387">
        <v>0.25</v>
      </c>
      <c r="P4374" s="387"/>
      <c r="Q4374" s="386">
        <v>0</v>
      </c>
      <c r="R4374" s="379" t="s">
        <v>369</v>
      </c>
      <c r="S4374" s="388" t="s">
        <v>2617</v>
      </c>
      <c r="T4374" s="388">
        <v>30</v>
      </c>
      <c r="U4374" s="389" t="s">
        <v>164</v>
      </c>
      <c r="V4374" s="433"/>
      <c r="W4374" s="379"/>
      <c r="X4374" s="386">
        <v>0</v>
      </c>
      <c r="Y4374" s="386"/>
      <c r="Z4374" s="379"/>
      <c r="AA4374" s="379"/>
      <c r="AB4374" s="379"/>
      <c r="AC4374" s="379"/>
      <c r="AD4374" s="379"/>
      <c r="AE4374" s="379"/>
      <c r="AF4374" s="379"/>
      <c r="AG4374" s="379"/>
      <c r="AH4374" s="379"/>
      <c r="AI4374" s="379"/>
      <c r="AJ4374" s="390">
        <v>0</v>
      </c>
      <c r="AK4374" s="379"/>
      <c r="AL4374" s="379"/>
      <c r="AM4374" s="379"/>
      <c r="AN4374" s="379"/>
      <c r="AO4374" s="379"/>
      <c r="AP4374" s="379"/>
      <c r="AQ4374" s="379"/>
      <c r="AR4374" s="379"/>
      <c r="AS4374" s="379"/>
      <c r="AT4374" s="379"/>
      <c r="AU4374" s="379"/>
      <c r="AV4374" s="379"/>
      <c r="AW4374" s="379"/>
      <c r="AX4374" s="379"/>
      <c r="AY4374" s="379"/>
      <c r="AZ4374" s="379"/>
      <c r="BA4374" s="379"/>
      <c r="BB4374" s="379"/>
      <c r="BC4374" s="379"/>
      <c r="BD4374" s="379"/>
      <c r="BE4374" s="379"/>
      <c r="BF4374" s="379"/>
      <c r="BG4374" s="379"/>
      <c r="BH4374" s="379"/>
      <c r="BI4374" s="379"/>
      <c r="BJ4374" s="379"/>
      <c r="BK4374" s="379"/>
      <c r="BL4374" s="379"/>
      <c r="BM4374" s="379"/>
      <c r="BN4374" s="379"/>
      <c r="BO4374" s="379"/>
      <c r="BP4374" s="379"/>
      <c r="BQ4374" s="379"/>
      <c r="BR4374" s="379"/>
      <c r="BS4374" s="379"/>
      <c r="BT4374" s="379"/>
      <c r="BU4374" s="379"/>
      <c r="BV4374" s="379"/>
      <c r="BW4374" s="379"/>
      <c r="BX4374" s="379"/>
      <c r="BY4374" s="379"/>
    </row>
    <row r="4375" spans="1:77" s="6" customFormat="1" ht="11.25" customHeight="1">
      <c r="A4375" s="379"/>
      <c r="B4375" s="379" t="s">
        <v>390</v>
      </c>
      <c r="C4375" s="381"/>
      <c r="D4375" s="381"/>
      <c r="E4375" s="382" t="s">
        <v>3458</v>
      </c>
      <c r="F4375" s="379" t="s">
        <v>3459</v>
      </c>
      <c r="G4375" s="383" t="s">
        <v>3460</v>
      </c>
      <c r="H4375" s="379" t="s">
        <v>393</v>
      </c>
      <c r="I4375" s="379" t="s">
        <v>888</v>
      </c>
      <c r="J4375" s="385">
        <v>12074.81</v>
      </c>
      <c r="K4375" s="384"/>
      <c r="L4375" s="385">
        <v>3.31</v>
      </c>
      <c r="M4375" s="385">
        <v>3.31</v>
      </c>
      <c r="N4375" s="386"/>
      <c r="O4375" s="387">
        <v>0.25</v>
      </c>
      <c r="P4375" s="387"/>
      <c r="Q4375" s="386">
        <v>0</v>
      </c>
      <c r="R4375" s="379" t="s">
        <v>369</v>
      </c>
      <c r="S4375" s="388" t="s">
        <v>2617</v>
      </c>
      <c r="T4375" s="388">
        <v>30</v>
      </c>
      <c r="U4375" s="389" t="s">
        <v>164</v>
      </c>
      <c r="V4375" s="433"/>
      <c r="W4375" s="379"/>
      <c r="X4375" s="386">
        <v>0</v>
      </c>
      <c r="Y4375" s="386"/>
      <c r="Z4375" s="379"/>
      <c r="AA4375" s="379"/>
      <c r="AB4375" s="379"/>
      <c r="AC4375" s="379"/>
      <c r="AD4375" s="379"/>
      <c r="AE4375" s="379"/>
      <c r="AF4375" s="379"/>
      <c r="AG4375" s="379"/>
      <c r="AH4375" s="379"/>
      <c r="AI4375" s="379"/>
      <c r="AJ4375" s="390">
        <v>0</v>
      </c>
      <c r="AK4375" s="379"/>
      <c r="AL4375" s="379"/>
      <c r="AM4375" s="379"/>
      <c r="AN4375" s="379"/>
      <c r="AO4375" s="379"/>
      <c r="AP4375" s="379"/>
      <c r="AQ4375" s="379"/>
      <c r="AR4375" s="379"/>
      <c r="AS4375" s="379"/>
      <c r="AT4375" s="379"/>
      <c r="AU4375" s="379"/>
      <c r="AV4375" s="379"/>
      <c r="AW4375" s="379"/>
      <c r="AX4375" s="379"/>
      <c r="AY4375" s="379"/>
      <c r="AZ4375" s="379"/>
      <c r="BA4375" s="379"/>
      <c r="BB4375" s="379"/>
      <c r="BC4375" s="379"/>
      <c r="BD4375" s="379"/>
      <c r="BE4375" s="379"/>
      <c r="BF4375" s="379"/>
      <c r="BG4375" s="379"/>
      <c r="BH4375" s="379"/>
      <c r="BI4375" s="379"/>
      <c r="BJ4375" s="379"/>
      <c r="BK4375" s="379"/>
      <c r="BL4375" s="379"/>
      <c r="BM4375" s="379"/>
      <c r="BN4375" s="379"/>
      <c r="BO4375" s="379"/>
      <c r="BP4375" s="379"/>
      <c r="BQ4375" s="379"/>
      <c r="BR4375" s="379"/>
      <c r="BS4375" s="379"/>
      <c r="BT4375" s="379"/>
      <c r="BU4375" s="379"/>
      <c r="BV4375" s="379"/>
      <c r="BW4375" s="379"/>
      <c r="BX4375" s="379"/>
      <c r="BY4375" s="379"/>
    </row>
    <row r="4376" spans="1:77" s="546" customFormat="1" ht="11.25" customHeight="1">
      <c r="A4376" s="379"/>
      <c r="B4376" s="379" t="s">
        <v>390</v>
      </c>
      <c r="C4376" s="381"/>
      <c r="D4376" s="381"/>
      <c r="E4376" s="382" t="s">
        <v>3458</v>
      </c>
      <c r="F4376" s="379" t="s">
        <v>3459</v>
      </c>
      <c r="G4376" s="383" t="s">
        <v>3460</v>
      </c>
      <c r="H4376" s="379" t="s">
        <v>393</v>
      </c>
      <c r="I4376" s="379" t="s">
        <v>888</v>
      </c>
      <c r="J4376" s="385">
        <v>35447.040000000001</v>
      </c>
      <c r="K4376" s="384"/>
      <c r="L4376" s="385">
        <v>6.12</v>
      </c>
      <c r="M4376" s="385">
        <v>6.12</v>
      </c>
      <c r="N4376" s="386"/>
      <c r="O4376" s="387">
        <v>0.25</v>
      </c>
      <c r="P4376" s="387"/>
      <c r="Q4376" s="386">
        <v>0</v>
      </c>
      <c r="R4376" s="379" t="s">
        <v>369</v>
      </c>
      <c r="S4376" s="388" t="s">
        <v>2617</v>
      </c>
      <c r="T4376" s="388">
        <v>30</v>
      </c>
      <c r="U4376" s="389" t="s">
        <v>164</v>
      </c>
      <c r="V4376" s="433"/>
      <c r="W4376" s="379"/>
      <c r="X4376" s="386">
        <v>0</v>
      </c>
      <c r="Y4376" s="386"/>
      <c r="Z4376" s="379"/>
      <c r="AA4376" s="379"/>
      <c r="AB4376" s="379"/>
      <c r="AC4376" s="379"/>
      <c r="AD4376" s="379"/>
      <c r="AE4376" s="379"/>
      <c r="AF4376" s="379"/>
      <c r="AG4376" s="379"/>
      <c r="AH4376" s="379"/>
      <c r="AI4376" s="379"/>
      <c r="AJ4376" s="390">
        <v>0</v>
      </c>
      <c r="AK4376" s="379"/>
      <c r="AL4376" s="379"/>
      <c r="AM4376" s="379"/>
      <c r="AN4376" s="379"/>
      <c r="AO4376" s="379"/>
      <c r="AP4376" s="379"/>
      <c r="AQ4376" s="379"/>
      <c r="AR4376" s="379"/>
      <c r="AS4376" s="379"/>
      <c r="AT4376" s="379"/>
      <c r="AU4376" s="379"/>
      <c r="AV4376" s="379"/>
      <c r="AW4376" s="379"/>
      <c r="AX4376" s="379"/>
      <c r="AY4376" s="379"/>
      <c r="AZ4376" s="379"/>
      <c r="BA4376" s="379"/>
      <c r="BB4376" s="379"/>
      <c r="BC4376" s="379"/>
      <c r="BD4376" s="379"/>
      <c r="BE4376" s="379"/>
      <c r="BF4376" s="379"/>
      <c r="BG4376" s="379"/>
      <c r="BH4376" s="379"/>
      <c r="BI4376" s="379"/>
      <c r="BJ4376" s="379"/>
      <c r="BK4376" s="379"/>
      <c r="BL4376" s="379"/>
      <c r="BM4376" s="379"/>
      <c r="BN4376" s="379"/>
      <c r="BO4376" s="379"/>
      <c r="BP4376" s="379"/>
      <c r="BQ4376" s="379"/>
      <c r="BR4376" s="379"/>
      <c r="BS4376" s="379"/>
      <c r="BT4376" s="379"/>
      <c r="BU4376" s="379"/>
      <c r="BV4376" s="379"/>
      <c r="BW4376" s="379"/>
      <c r="BX4376" s="379"/>
      <c r="BY4376" s="379"/>
    </row>
    <row r="4377" spans="1:77" s="6" customFormat="1" ht="11.25" customHeight="1">
      <c r="A4377" s="473"/>
      <c r="B4377" s="503" t="s">
        <v>291</v>
      </c>
      <c r="C4377" s="487">
        <v>44789</v>
      </c>
      <c r="D4377" s="487">
        <v>44791</v>
      </c>
      <c r="E4377" s="488" t="s">
        <v>3461</v>
      </c>
      <c r="F4377" s="473" t="s">
        <v>3462</v>
      </c>
      <c r="G4377" s="489" t="s">
        <v>3463</v>
      </c>
      <c r="H4377" s="473" t="s">
        <v>910</v>
      </c>
      <c r="I4377" s="473" t="s">
        <v>33</v>
      </c>
      <c r="J4377" s="490">
        <v>7891.2</v>
      </c>
      <c r="K4377" s="491"/>
      <c r="L4377" s="490">
        <v>4</v>
      </c>
      <c r="M4377" s="490">
        <v>4</v>
      </c>
      <c r="N4377" s="492">
        <v>0</v>
      </c>
      <c r="O4377" s="493">
        <v>0.2</v>
      </c>
      <c r="P4377" s="493"/>
      <c r="Q4377" s="492">
        <v>0</v>
      </c>
      <c r="R4377" s="473" t="s">
        <v>112</v>
      </c>
      <c r="S4377" s="481" t="s">
        <v>113</v>
      </c>
      <c r="T4377" s="481">
        <v>64</v>
      </c>
      <c r="U4377" s="494" t="s">
        <v>164</v>
      </c>
      <c r="V4377" s="495"/>
      <c r="W4377" s="473"/>
      <c r="X4377" s="492">
        <v>0</v>
      </c>
      <c r="Y4377" s="492"/>
      <c r="Z4377" s="473"/>
      <c r="AA4377" s="473"/>
      <c r="AB4377" s="473"/>
      <c r="AC4377" s="473"/>
      <c r="AD4377" s="473"/>
      <c r="AE4377" s="473"/>
      <c r="AF4377" s="473"/>
      <c r="AG4377" s="473"/>
      <c r="AH4377" s="473"/>
      <c r="AI4377" s="473"/>
      <c r="AJ4377" s="485"/>
      <c r="AK4377" s="473">
        <v>0</v>
      </c>
      <c r="AL4377" s="473"/>
      <c r="AM4377" s="473"/>
      <c r="AN4377" s="473"/>
      <c r="AO4377" s="473"/>
      <c r="AP4377" s="473"/>
      <c r="AQ4377" s="473"/>
      <c r="AR4377" s="473"/>
      <c r="AS4377" s="473"/>
      <c r="AT4377" s="473"/>
      <c r="AU4377" s="473"/>
      <c r="AV4377" s="473"/>
      <c r="AW4377" s="473"/>
      <c r="AX4377" s="473"/>
      <c r="AY4377" s="473"/>
      <c r="AZ4377" s="473"/>
      <c r="BA4377" s="473"/>
      <c r="BB4377" s="473"/>
      <c r="BC4377" s="473"/>
      <c r="BD4377" s="473"/>
      <c r="BE4377" s="473"/>
      <c r="BF4377" s="473"/>
      <c r="BG4377" s="473"/>
      <c r="BH4377" s="473"/>
      <c r="BI4377" s="473"/>
      <c r="BJ4377" s="473"/>
      <c r="BK4377" s="473"/>
      <c r="BL4377" s="473"/>
      <c r="BM4377" s="473"/>
      <c r="BN4377" s="473"/>
      <c r="BO4377" s="473"/>
      <c r="BP4377" s="473"/>
      <c r="BQ4377" s="473"/>
      <c r="BR4377" s="473"/>
      <c r="BS4377" s="473"/>
      <c r="BT4377" s="473"/>
      <c r="BU4377" s="473"/>
      <c r="BV4377" s="473"/>
      <c r="BW4377" s="473"/>
      <c r="BX4377" s="473"/>
      <c r="BY4377" s="473"/>
    </row>
    <row r="4378" spans="1:77" s="379" customFormat="1" ht="11.25" customHeight="1">
      <c r="B4378" s="403" t="s">
        <v>291</v>
      </c>
      <c r="C4378" s="381"/>
      <c r="D4378" s="381"/>
      <c r="E4378" s="382" t="s">
        <v>3461</v>
      </c>
      <c r="F4378" s="379" t="s">
        <v>3462</v>
      </c>
      <c r="G4378" s="383" t="s">
        <v>3463</v>
      </c>
      <c r="H4378" s="379" t="s">
        <v>866</v>
      </c>
      <c r="I4378" s="379" t="s">
        <v>33</v>
      </c>
      <c r="J4378" s="385">
        <v>28000</v>
      </c>
      <c r="K4378" s="384"/>
      <c r="L4378" s="385">
        <v>14</v>
      </c>
      <c r="M4378" s="385">
        <v>14</v>
      </c>
      <c r="N4378" s="386">
        <v>11612</v>
      </c>
      <c r="O4378" s="387">
        <v>0.2</v>
      </c>
      <c r="P4378" s="387"/>
      <c r="Q4378" s="386">
        <v>6339.2</v>
      </c>
      <c r="R4378" s="379" t="s">
        <v>112</v>
      </c>
      <c r="S4378" s="388" t="s">
        <v>113</v>
      </c>
      <c r="T4378" s="388">
        <v>64</v>
      </c>
      <c r="U4378" s="389" t="s">
        <v>164</v>
      </c>
      <c r="V4378" s="433"/>
      <c r="X4378" s="386">
        <v>6339.2</v>
      </c>
      <c r="Y4378" s="386"/>
      <c r="AJ4378" s="416">
        <v>6339.2</v>
      </c>
    </row>
    <row r="4379" spans="1:77" s="473" customFormat="1" ht="11.25" customHeight="1">
      <c r="A4379" s="379"/>
      <c r="B4379" s="403" t="s">
        <v>291</v>
      </c>
      <c r="C4379" s="381"/>
      <c r="D4379" s="381"/>
      <c r="E4379" s="382" t="s">
        <v>3461</v>
      </c>
      <c r="F4379" s="379" t="s">
        <v>3462</v>
      </c>
      <c r="G4379" s="383" t="s">
        <v>3463</v>
      </c>
      <c r="H4379" s="379" t="s">
        <v>814</v>
      </c>
      <c r="I4379" s="379" t="s">
        <v>33</v>
      </c>
      <c r="J4379" s="385">
        <v>7545.28</v>
      </c>
      <c r="K4379" s="384"/>
      <c r="L4379" s="385">
        <v>7.3</v>
      </c>
      <c r="M4379" s="385">
        <v>7.3</v>
      </c>
      <c r="N4379" s="386">
        <v>2640.85</v>
      </c>
      <c r="O4379" s="387">
        <v>0.2</v>
      </c>
      <c r="P4379" s="387"/>
      <c r="Q4379" s="386">
        <v>0</v>
      </c>
      <c r="R4379" s="379" t="s">
        <v>112</v>
      </c>
      <c r="S4379" s="388" t="s">
        <v>113</v>
      </c>
      <c r="T4379" s="388">
        <v>64</v>
      </c>
      <c r="U4379" s="389" t="s">
        <v>164</v>
      </c>
      <c r="V4379" s="433"/>
      <c r="W4379" s="379"/>
      <c r="X4379" s="386">
        <v>0</v>
      </c>
      <c r="Y4379" s="386"/>
      <c r="Z4379" s="379"/>
      <c r="AA4379" s="379"/>
      <c r="AB4379" s="379"/>
      <c r="AC4379" s="379"/>
      <c r="AD4379" s="379"/>
      <c r="AE4379" s="379"/>
      <c r="AF4379" s="379"/>
      <c r="AG4379" s="379"/>
      <c r="AH4379" s="379"/>
      <c r="AI4379" s="379"/>
      <c r="AJ4379" s="390">
        <v>0</v>
      </c>
      <c r="AK4379" s="379"/>
      <c r="AL4379" s="379"/>
      <c r="AM4379" s="379"/>
      <c r="AN4379" s="379"/>
      <c r="AO4379" s="379"/>
      <c r="AP4379" s="379"/>
      <c r="AQ4379" s="379"/>
      <c r="AR4379" s="379"/>
      <c r="AS4379" s="379"/>
      <c r="AT4379" s="379"/>
      <c r="AU4379" s="379"/>
      <c r="AV4379" s="379"/>
      <c r="AW4379" s="379"/>
      <c r="AX4379" s="379"/>
      <c r="AY4379" s="379"/>
      <c r="AZ4379" s="379"/>
      <c r="BA4379" s="379"/>
      <c r="BB4379" s="379"/>
      <c r="BC4379" s="379"/>
      <c r="BD4379" s="379"/>
      <c r="BE4379" s="379"/>
      <c r="BF4379" s="379"/>
      <c r="BG4379" s="379"/>
      <c r="BH4379" s="379"/>
      <c r="BI4379" s="379"/>
      <c r="BJ4379" s="379"/>
      <c r="BK4379" s="379"/>
      <c r="BL4379" s="379"/>
      <c r="BM4379" s="379"/>
      <c r="BN4379" s="379"/>
      <c r="BO4379" s="379"/>
      <c r="BP4379" s="379"/>
      <c r="BQ4379" s="379"/>
      <c r="BR4379" s="379"/>
      <c r="BS4379" s="379"/>
      <c r="BT4379" s="379"/>
      <c r="BU4379" s="379"/>
      <c r="BV4379" s="379"/>
      <c r="BW4379" s="379"/>
      <c r="BX4379" s="379"/>
      <c r="BY4379" s="379"/>
    </row>
    <row r="4380" spans="1:77" s="291" customFormat="1" ht="11.25" customHeight="1">
      <c r="B4380" s="291" t="s">
        <v>291</v>
      </c>
      <c r="C4380" s="292">
        <v>44789</v>
      </c>
      <c r="D4380" s="292">
        <v>44791</v>
      </c>
      <c r="E4380" s="293" t="s">
        <v>3464</v>
      </c>
      <c r="F4380" s="291" t="s">
        <v>2494</v>
      </c>
      <c r="G4380" s="294" t="s">
        <v>2495</v>
      </c>
      <c r="H4380" s="291" t="s">
        <v>765</v>
      </c>
      <c r="I4380" s="291" t="s">
        <v>33</v>
      </c>
      <c r="J4380" s="296">
        <v>5868.53</v>
      </c>
      <c r="K4380" s="295"/>
      <c r="L4380" s="296">
        <v>4.75</v>
      </c>
      <c r="M4380" s="296">
        <v>4.2</v>
      </c>
      <c r="N4380" s="297">
        <v>1760.559</v>
      </c>
      <c r="O4380" s="298">
        <v>0.25</v>
      </c>
      <c r="P4380" s="298"/>
      <c r="Q4380" s="297">
        <v>0</v>
      </c>
      <c r="R4380" s="291" t="s">
        <v>285</v>
      </c>
      <c r="S4380" s="299" t="s">
        <v>275</v>
      </c>
      <c r="T4380" s="299">
        <v>21</v>
      </c>
      <c r="U4380" s="300" t="s">
        <v>164</v>
      </c>
      <c r="V4380" s="333"/>
      <c r="X4380" s="297">
        <v>0</v>
      </c>
      <c r="Y4380" s="297"/>
      <c r="AH4380" s="291">
        <f>X4380</f>
        <v>0</v>
      </c>
      <c r="AI4380" s="311"/>
      <c r="AJ4380" s="468"/>
    </row>
    <row r="4381" spans="1:77" s="596" customFormat="1" ht="11.25" customHeight="1">
      <c r="B4381" s="596" t="s">
        <v>291</v>
      </c>
      <c r="C4381" s="597">
        <v>44773</v>
      </c>
      <c r="D4381" s="597">
        <v>44791</v>
      </c>
      <c r="E4381" s="598" t="s">
        <v>3465</v>
      </c>
      <c r="F4381" s="595" t="s">
        <v>2318</v>
      </c>
      <c r="G4381" s="599" t="s">
        <v>2319</v>
      </c>
      <c r="H4381" s="596" t="s">
        <v>765</v>
      </c>
      <c r="I4381" s="596" t="s">
        <v>33</v>
      </c>
      <c r="J4381" s="601">
        <v>23076.32</v>
      </c>
      <c r="K4381" s="600"/>
      <c r="L4381" s="601">
        <v>24.76</v>
      </c>
      <c r="M4381" s="601">
        <v>24.76</v>
      </c>
      <c r="N4381" s="602">
        <v>3461.4479999999999</v>
      </c>
      <c r="O4381" s="603">
        <v>0.25</v>
      </c>
      <c r="P4381" s="603"/>
      <c r="Q4381" s="602">
        <v>2253.16</v>
      </c>
      <c r="R4381" s="595" t="s">
        <v>285</v>
      </c>
      <c r="S4381" s="604" t="s">
        <v>275</v>
      </c>
      <c r="T4381" s="608">
        <v>21</v>
      </c>
      <c r="U4381" s="605" t="s">
        <v>164</v>
      </c>
      <c r="V4381" s="606"/>
      <c r="X4381" s="602">
        <v>2253.16</v>
      </c>
      <c r="Y4381" s="602"/>
      <c r="AJ4381" s="607"/>
      <c r="AN4381" s="602">
        <v>2253.16</v>
      </c>
    </row>
    <row r="4382" spans="1:77" s="6" customFormat="1" ht="11.25" customHeight="1">
      <c r="A4382" s="379"/>
      <c r="B4382" s="379" t="s">
        <v>291</v>
      </c>
      <c r="C4382" s="381">
        <v>44788</v>
      </c>
      <c r="D4382" s="381">
        <v>44792</v>
      </c>
      <c r="E4382" s="382" t="s">
        <v>3467</v>
      </c>
      <c r="F4382" s="394" t="s">
        <v>3468</v>
      </c>
      <c r="G4382" s="400" t="s">
        <v>3469</v>
      </c>
      <c r="H4382" s="379" t="s">
        <v>814</v>
      </c>
      <c r="I4382" s="384" t="s">
        <v>33</v>
      </c>
      <c r="J4382" s="385">
        <v>4335.5600000000004</v>
      </c>
      <c r="K4382" s="384"/>
      <c r="L4382" s="385">
        <v>3.83</v>
      </c>
      <c r="M4382" s="385">
        <v>3.83</v>
      </c>
      <c r="N4382" s="386">
        <v>1300.67</v>
      </c>
      <c r="O4382" s="387">
        <v>0.25</v>
      </c>
      <c r="P4382" s="387"/>
      <c r="Q4382" s="386">
        <v>616.63</v>
      </c>
      <c r="R4382" s="379" t="s">
        <v>112</v>
      </c>
      <c r="S4382" s="388" t="s">
        <v>113</v>
      </c>
      <c r="T4382" s="399">
        <v>64</v>
      </c>
      <c r="U4382" s="389" t="s">
        <v>164</v>
      </c>
      <c r="V4382" s="433"/>
      <c r="W4382" s="379"/>
      <c r="X4382" s="386">
        <v>616.63</v>
      </c>
      <c r="Y4382" s="386"/>
      <c r="Z4382" s="379"/>
      <c r="AA4382" s="379"/>
      <c r="AB4382" s="379"/>
      <c r="AC4382" s="379"/>
      <c r="AD4382" s="379"/>
      <c r="AE4382" s="379"/>
      <c r="AF4382" s="379"/>
      <c r="AG4382" s="379"/>
      <c r="AH4382" s="379"/>
      <c r="AI4382" s="379"/>
      <c r="AJ4382" s="416">
        <v>616.63</v>
      </c>
      <c r="AK4382" s="379"/>
      <c r="AL4382" s="379"/>
      <c r="AM4382" s="379"/>
      <c r="AN4382" s="379"/>
      <c r="AO4382" s="379"/>
      <c r="AP4382" s="379"/>
      <c r="AQ4382" s="379"/>
      <c r="AR4382" s="379"/>
      <c r="AS4382" s="379"/>
      <c r="AT4382" s="379"/>
      <c r="AU4382" s="379"/>
      <c r="AV4382" s="379"/>
      <c r="AW4382" s="379"/>
      <c r="AX4382" s="379"/>
      <c r="AY4382" s="379"/>
      <c r="AZ4382" s="379"/>
      <c r="BA4382" s="379"/>
      <c r="BB4382" s="379"/>
      <c r="BC4382" s="379"/>
      <c r="BD4382" s="379"/>
      <c r="BE4382" s="379"/>
      <c r="BF4382" s="379"/>
      <c r="BG4382" s="379"/>
      <c r="BH4382" s="379"/>
      <c r="BI4382" s="379"/>
      <c r="BJ4382" s="379"/>
      <c r="BK4382" s="379"/>
      <c r="BL4382" s="379"/>
      <c r="BM4382" s="379"/>
      <c r="BN4382" s="379"/>
      <c r="BO4382" s="379"/>
      <c r="BP4382" s="379"/>
      <c r="BQ4382" s="379"/>
      <c r="BR4382" s="379"/>
      <c r="BS4382" s="379"/>
      <c r="BT4382" s="379"/>
      <c r="BU4382" s="379"/>
      <c r="BV4382" s="379"/>
      <c r="BW4382" s="379"/>
      <c r="BX4382" s="379"/>
      <c r="BY4382" s="379"/>
    </row>
    <row r="4383" spans="1:77" s="291" customFormat="1" ht="11.25" customHeight="1">
      <c r="B4383" s="291" t="s">
        <v>291</v>
      </c>
      <c r="C4383" s="292"/>
      <c r="D4383" s="292"/>
      <c r="E4383" s="293" t="s">
        <v>3467</v>
      </c>
      <c r="F4383" s="303" t="s">
        <v>3468</v>
      </c>
      <c r="G4383" s="304" t="s">
        <v>3469</v>
      </c>
      <c r="H4383" s="291" t="s">
        <v>866</v>
      </c>
      <c r="I4383" s="295" t="s">
        <v>33</v>
      </c>
      <c r="J4383" s="296">
        <v>22070.76</v>
      </c>
      <c r="K4383" s="295"/>
      <c r="L4383" s="296">
        <v>10.54</v>
      </c>
      <c r="M4383" s="296">
        <v>10.54</v>
      </c>
      <c r="N4383" s="297"/>
      <c r="O4383" s="298">
        <v>0.25</v>
      </c>
      <c r="P4383" s="298"/>
      <c r="Q4383" s="297">
        <v>6183.87</v>
      </c>
      <c r="R4383" s="291" t="s">
        <v>112</v>
      </c>
      <c r="S4383" s="299" t="s">
        <v>113</v>
      </c>
      <c r="T4383" s="308">
        <v>64</v>
      </c>
      <c r="U4383" s="300" t="s">
        <v>164</v>
      </c>
      <c r="V4383" s="333"/>
      <c r="X4383" s="297">
        <v>6183.87</v>
      </c>
      <c r="Y4383" s="297"/>
      <c r="AH4383" s="291">
        <f>X4383</f>
        <v>6183.87</v>
      </c>
      <c r="AI4383" s="311"/>
      <c r="AJ4383" s="468"/>
    </row>
    <row r="4384" spans="1:77" s="291" customFormat="1" ht="11.25" customHeight="1">
      <c r="B4384" s="291" t="s">
        <v>291</v>
      </c>
      <c r="C4384" s="292"/>
      <c r="D4384" s="292"/>
      <c r="E4384" s="293" t="s">
        <v>3467</v>
      </c>
      <c r="F4384" s="303" t="s">
        <v>3468</v>
      </c>
      <c r="G4384" s="304" t="s">
        <v>3469</v>
      </c>
      <c r="H4384" s="291" t="s">
        <v>866</v>
      </c>
      <c r="I4384" s="295" t="s">
        <v>33</v>
      </c>
      <c r="J4384" s="296">
        <v>1834</v>
      </c>
      <c r="K4384" s="295"/>
      <c r="L4384" s="296">
        <v>1</v>
      </c>
      <c r="M4384" s="296">
        <v>1</v>
      </c>
      <c r="N4384" s="297"/>
      <c r="O4384" s="298">
        <v>0.25</v>
      </c>
      <c r="P4384" s="298"/>
      <c r="Q4384" s="297">
        <v>155.5</v>
      </c>
      <c r="R4384" s="291" t="s">
        <v>112</v>
      </c>
      <c r="S4384" s="299" t="s">
        <v>113</v>
      </c>
      <c r="T4384" s="308">
        <v>65</v>
      </c>
      <c r="U4384" s="300" t="s">
        <v>164</v>
      </c>
      <c r="V4384" s="333"/>
      <c r="X4384" s="297">
        <v>155.5</v>
      </c>
      <c r="Y4384" s="297"/>
      <c r="AH4384" s="291">
        <f>X4384</f>
        <v>155.5</v>
      </c>
      <c r="AI4384" s="311"/>
      <c r="AJ4384" s="468"/>
    </row>
    <row r="4385" spans="1:77" s="473" customFormat="1" ht="11.25" customHeight="1">
      <c r="B4385" s="473" t="s">
        <v>390</v>
      </c>
      <c r="C4385" s="487">
        <v>44790</v>
      </c>
      <c r="D4385" s="487">
        <v>44792</v>
      </c>
      <c r="E4385" s="488" t="s">
        <v>3470</v>
      </c>
      <c r="F4385" s="472" t="s">
        <v>3471</v>
      </c>
      <c r="G4385" s="476" t="s">
        <v>3472</v>
      </c>
      <c r="H4385" s="473" t="s">
        <v>393</v>
      </c>
      <c r="I4385" s="491" t="s">
        <v>33</v>
      </c>
      <c r="J4385" s="490">
        <v>68371.37</v>
      </c>
      <c r="K4385" s="491"/>
      <c r="L4385" s="490">
        <v>20.97</v>
      </c>
      <c r="M4385" s="490">
        <v>20.97</v>
      </c>
      <c r="N4385" s="492"/>
      <c r="O4385" s="493">
        <v>0.25</v>
      </c>
      <c r="P4385" s="493"/>
      <c r="Q4385" s="492">
        <v>5691.02</v>
      </c>
      <c r="R4385" s="473" t="s">
        <v>369</v>
      </c>
      <c r="S4385" s="481" t="s">
        <v>2617</v>
      </c>
      <c r="T4385" s="482">
        <v>30</v>
      </c>
      <c r="U4385" s="494" t="s">
        <v>164</v>
      </c>
      <c r="V4385" s="495"/>
      <c r="X4385" s="492">
        <v>5691.02</v>
      </c>
      <c r="Y4385" s="492"/>
      <c r="AJ4385" s="485"/>
      <c r="AK4385" s="505">
        <v>5691.02</v>
      </c>
    </row>
    <row r="4386" spans="1:77" s="379" customFormat="1" ht="11.25" customHeight="1">
      <c r="B4386" s="379" t="s">
        <v>291</v>
      </c>
      <c r="C4386" s="381">
        <v>44787</v>
      </c>
      <c r="D4386" s="381">
        <v>44792</v>
      </c>
      <c r="E4386" s="382" t="s">
        <v>3473</v>
      </c>
      <c r="F4386" s="394" t="s">
        <v>3474</v>
      </c>
      <c r="G4386" s="400" t="s">
        <v>3475</v>
      </c>
      <c r="H4386" s="379" t="s">
        <v>866</v>
      </c>
      <c r="I4386" s="384" t="s">
        <v>111</v>
      </c>
      <c r="J4386" s="385">
        <v>51420.1</v>
      </c>
      <c r="K4386" s="384"/>
      <c r="L4386" s="385">
        <v>29.43</v>
      </c>
      <c r="M4386" s="385">
        <v>29.43</v>
      </c>
      <c r="N4386" s="386">
        <v>0</v>
      </c>
      <c r="O4386" s="387">
        <v>0.15</v>
      </c>
      <c r="P4386" s="387"/>
      <c r="Q4386" s="386">
        <v>0</v>
      </c>
      <c r="R4386" s="379" t="s">
        <v>112</v>
      </c>
      <c r="S4386" s="388" t="s">
        <v>113</v>
      </c>
      <c r="T4386" s="399">
        <v>64</v>
      </c>
      <c r="U4386" s="389" t="s">
        <v>164</v>
      </c>
      <c r="V4386" s="433"/>
      <c r="X4386" s="386">
        <v>0</v>
      </c>
      <c r="Y4386" s="386"/>
      <c r="AJ4386" s="390">
        <v>0</v>
      </c>
    </row>
    <row r="4387" spans="1:77" s="379" customFormat="1" ht="11.25" customHeight="1">
      <c r="B4387" s="379" t="s">
        <v>291</v>
      </c>
      <c r="C4387" s="381"/>
      <c r="D4387" s="381"/>
      <c r="E4387" s="382" t="s">
        <v>3473</v>
      </c>
      <c r="F4387" s="394" t="s">
        <v>3474</v>
      </c>
      <c r="G4387" s="400" t="s">
        <v>3475</v>
      </c>
      <c r="H4387" s="379" t="s">
        <v>910</v>
      </c>
      <c r="I4387" s="384" t="s">
        <v>111</v>
      </c>
      <c r="J4387" s="385">
        <v>77073.919999999998</v>
      </c>
      <c r="K4387" s="384"/>
      <c r="L4387" s="385">
        <v>37.4</v>
      </c>
      <c r="M4387" s="385">
        <v>37.4</v>
      </c>
      <c r="N4387" s="386"/>
      <c r="O4387" s="387">
        <v>0.15</v>
      </c>
      <c r="P4387" s="387"/>
      <c r="Q4387" s="386">
        <v>0</v>
      </c>
      <c r="R4387" s="379" t="s">
        <v>112</v>
      </c>
      <c r="S4387" s="388" t="s">
        <v>113</v>
      </c>
      <c r="T4387" s="399">
        <v>64</v>
      </c>
      <c r="U4387" s="389" t="s">
        <v>164</v>
      </c>
      <c r="V4387" s="433"/>
      <c r="X4387" s="386">
        <v>0</v>
      </c>
      <c r="Y4387" s="386"/>
      <c r="AJ4387" s="390">
        <v>0</v>
      </c>
    </row>
    <row r="4388" spans="1:77" s="379" customFormat="1" ht="11.25" customHeight="1">
      <c r="B4388" s="379" t="s">
        <v>291</v>
      </c>
      <c r="C4388" s="381"/>
      <c r="D4388" s="381"/>
      <c r="E4388" s="382" t="s">
        <v>3473</v>
      </c>
      <c r="F4388" s="394" t="s">
        <v>3474</v>
      </c>
      <c r="G4388" s="400" t="s">
        <v>3475</v>
      </c>
      <c r="H4388" s="379" t="s">
        <v>814</v>
      </c>
      <c r="I4388" s="384" t="s">
        <v>111</v>
      </c>
      <c r="J4388" s="385">
        <v>19918.66</v>
      </c>
      <c r="K4388" s="384"/>
      <c r="L4388" s="385">
        <v>10.65</v>
      </c>
      <c r="M4388" s="385">
        <v>10.65</v>
      </c>
      <c r="N4388" s="386">
        <v>10995.26</v>
      </c>
      <c r="O4388" s="387">
        <v>0.15</v>
      </c>
      <c r="P4388" s="387"/>
      <c r="Q4388" s="386">
        <v>7882.15</v>
      </c>
      <c r="R4388" s="379" t="s">
        <v>112</v>
      </c>
      <c r="S4388" s="388" t="s">
        <v>113</v>
      </c>
      <c r="T4388" s="399">
        <v>64</v>
      </c>
      <c r="U4388" s="389" t="s">
        <v>164</v>
      </c>
      <c r="V4388" s="433">
        <v>105</v>
      </c>
      <c r="X4388" s="386">
        <v>7882.15</v>
      </c>
      <c r="Y4388" s="386"/>
      <c r="AJ4388" s="416">
        <v>7882.15</v>
      </c>
    </row>
    <row r="4389" spans="1:77" s="473" customFormat="1" ht="11.25" customHeight="1">
      <c r="B4389" s="473" t="s">
        <v>291</v>
      </c>
      <c r="C4389" s="487">
        <v>44792</v>
      </c>
      <c r="D4389" s="487">
        <v>44792</v>
      </c>
      <c r="E4389" s="488" t="s">
        <v>3476</v>
      </c>
      <c r="F4389" s="472" t="s">
        <v>3477</v>
      </c>
      <c r="G4389" s="476">
        <v>3558</v>
      </c>
      <c r="H4389" s="473" t="s">
        <v>866</v>
      </c>
      <c r="I4389" s="473" t="s">
        <v>888</v>
      </c>
      <c r="J4389" s="490">
        <v>18639.45</v>
      </c>
      <c r="K4389" s="491"/>
      <c r="L4389" s="490">
        <v>13.88</v>
      </c>
      <c r="M4389" s="490">
        <v>13.88</v>
      </c>
      <c r="N4389" s="492">
        <v>7813</v>
      </c>
      <c r="O4389" s="493">
        <v>0.3</v>
      </c>
      <c r="P4389" s="493"/>
      <c r="Q4389" s="492">
        <v>0</v>
      </c>
      <c r="R4389" s="473" t="s">
        <v>105</v>
      </c>
      <c r="S4389" s="481" t="s">
        <v>30</v>
      </c>
      <c r="T4389" s="482">
        <v>71</v>
      </c>
      <c r="U4389" s="494" t="s">
        <v>164</v>
      </c>
      <c r="V4389" s="495"/>
      <c r="X4389" s="492">
        <v>0</v>
      </c>
      <c r="Y4389" s="492"/>
      <c r="AJ4389" s="485"/>
      <c r="AK4389" s="473">
        <v>0</v>
      </c>
    </row>
    <row r="4390" spans="1:77" s="473" customFormat="1" ht="11.25" customHeight="1">
      <c r="B4390" s="473" t="s">
        <v>291</v>
      </c>
      <c r="C4390" s="487">
        <v>44790</v>
      </c>
      <c r="D4390" s="487">
        <v>44792</v>
      </c>
      <c r="E4390" s="488" t="s">
        <v>3478</v>
      </c>
      <c r="F4390" s="472" t="s">
        <v>1483</v>
      </c>
      <c r="G4390" s="476">
        <v>4609</v>
      </c>
      <c r="H4390" s="473" t="s">
        <v>866</v>
      </c>
      <c r="I4390" s="473" t="s">
        <v>33</v>
      </c>
      <c r="J4390" s="490">
        <v>21484.05</v>
      </c>
      <c r="K4390" s="491"/>
      <c r="L4390" s="490">
        <v>27.65</v>
      </c>
      <c r="M4390" s="490">
        <v>27.65</v>
      </c>
      <c r="N4390" s="492"/>
      <c r="O4390" s="493">
        <v>0.25</v>
      </c>
      <c r="P4390" s="493"/>
      <c r="Q4390" s="492">
        <v>0</v>
      </c>
      <c r="R4390" s="473" t="s">
        <v>128</v>
      </c>
      <c r="S4390" s="481" t="s">
        <v>41</v>
      </c>
      <c r="T4390" s="482">
        <v>86</v>
      </c>
      <c r="U4390" s="494" t="s">
        <v>164</v>
      </c>
      <c r="V4390" s="495"/>
      <c r="X4390" s="492">
        <v>0</v>
      </c>
      <c r="Y4390" s="492"/>
      <c r="AJ4390" s="485"/>
      <c r="AK4390" s="473">
        <v>0</v>
      </c>
    </row>
    <row r="4391" spans="1:77" s="473" customFormat="1" ht="11.25" customHeight="1">
      <c r="B4391" s="473" t="s">
        <v>291</v>
      </c>
      <c r="C4391" s="487"/>
      <c r="D4391" s="487"/>
      <c r="E4391" s="488" t="s">
        <v>3478</v>
      </c>
      <c r="F4391" s="472" t="s">
        <v>1483</v>
      </c>
      <c r="G4391" s="476">
        <v>4609</v>
      </c>
      <c r="H4391" s="473" t="s">
        <v>765</v>
      </c>
      <c r="I4391" s="473" t="s">
        <v>33</v>
      </c>
      <c r="J4391" s="490">
        <v>22912.42</v>
      </c>
      <c r="K4391" s="491"/>
      <c r="L4391" s="490">
        <v>23.06</v>
      </c>
      <c r="M4391" s="490">
        <v>23.06</v>
      </c>
      <c r="N4391" s="492"/>
      <c r="O4391" s="493">
        <v>0.25</v>
      </c>
      <c r="P4391" s="493"/>
      <c r="Q4391" s="492">
        <v>0</v>
      </c>
      <c r="R4391" s="473" t="s">
        <v>128</v>
      </c>
      <c r="S4391" s="481" t="s">
        <v>41</v>
      </c>
      <c r="T4391" s="482">
        <v>86</v>
      </c>
      <c r="U4391" s="494" t="s">
        <v>164</v>
      </c>
      <c r="V4391" s="495"/>
      <c r="X4391" s="492">
        <v>0</v>
      </c>
      <c r="Y4391" s="492"/>
      <c r="AJ4391" s="485"/>
      <c r="AK4391" s="473">
        <v>0</v>
      </c>
    </row>
    <row r="4392" spans="1:77" s="618" customFormat="1" ht="11.25" customHeight="1">
      <c r="B4392" s="618" t="s">
        <v>291</v>
      </c>
      <c r="C4392" s="620">
        <v>44790</v>
      </c>
      <c r="D4392" s="620">
        <v>44792</v>
      </c>
      <c r="E4392" s="621" t="s">
        <v>3479</v>
      </c>
      <c r="F4392" s="624" t="s">
        <v>3480</v>
      </c>
      <c r="G4392" s="623">
        <v>4616</v>
      </c>
      <c r="H4392" s="618" t="s">
        <v>407</v>
      </c>
      <c r="I4392" s="618" t="s">
        <v>33</v>
      </c>
      <c r="J4392" s="635">
        <v>36000</v>
      </c>
      <c r="K4392" s="626"/>
      <c r="L4392" s="635">
        <v>9</v>
      </c>
      <c r="M4392" s="635">
        <v>9</v>
      </c>
      <c r="N4392" s="627">
        <v>18000</v>
      </c>
      <c r="O4392" s="628">
        <v>0.25</v>
      </c>
      <c r="P4392" s="628"/>
      <c r="Q4392" s="627">
        <v>7074</v>
      </c>
      <c r="R4392" s="618" t="s">
        <v>46</v>
      </c>
      <c r="S4392" s="629" t="s">
        <v>47</v>
      </c>
      <c r="T4392" s="630">
        <v>80</v>
      </c>
      <c r="U4392" s="631" t="s">
        <v>164</v>
      </c>
      <c r="V4392" s="632"/>
      <c r="X4392" s="627">
        <v>7074</v>
      </c>
      <c r="Y4392" s="627"/>
      <c r="AJ4392" s="633"/>
      <c r="AO4392" s="627">
        <v>7074</v>
      </c>
    </row>
    <row r="4393" spans="1:77" s="618" customFormat="1" ht="11.25" customHeight="1">
      <c r="B4393" s="618" t="s">
        <v>291</v>
      </c>
      <c r="C4393" s="620"/>
      <c r="D4393" s="620"/>
      <c r="E4393" s="621" t="s">
        <v>3479</v>
      </c>
      <c r="F4393" s="624" t="s">
        <v>3480</v>
      </c>
      <c r="G4393" s="623">
        <v>4616</v>
      </c>
      <c r="H4393" s="618" t="s">
        <v>2092</v>
      </c>
      <c r="I4393" s="618" t="s">
        <v>33</v>
      </c>
      <c r="J4393" s="635">
        <v>108315</v>
      </c>
      <c r="K4393" s="626"/>
      <c r="L4393" s="635">
        <v>29</v>
      </c>
      <c r="M4393" s="635">
        <v>29</v>
      </c>
      <c r="N4393" s="627">
        <v>48742</v>
      </c>
      <c r="O4393" s="628">
        <v>0.25</v>
      </c>
      <c r="P4393" s="628"/>
      <c r="Q4393" s="627">
        <v>11890.58</v>
      </c>
      <c r="R4393" s="618" t="s">
        <v>46</v>
      </c>
      <c r="S4393" s="629" t="s">
        <v>47</v>
      </c>
      <c r="T4393" s="630">
        <v>80</v>
      </c>
      <c r="U4393" s="631" t="s">
        <v>164</v>
      </c>
      <c r="V4393" s="632"/>
      <c r="X4393" s="627">
        <v>11890.58</v>
      </c>
      <c r="Y4393" s="627"/>
      <c r="AJ4393" s="633"/>
      <c r="AO4393" s="627">
        <v>11890.58</v>
      </c>
    </row>
    <row r="4394" spans="1:77" s="379" customFormat="1" ht="11.25" customHeight="1">
      <c r="B4394" s="379" t="s">
        <v>291</v>
      </c>
      <c r="C4394" s="381">
        <v>44790</v>
      </c>
      <c r="D4394" s="381">
        <v>44792</v>
      </c>
      <c r="E4394" s="382" t="s">
        <v>3481</v>
      </c>
      <c r="F4394" s="379" t="s">
        <v>283</v>
      </c>
      <c r="G4394" s="383" t="s">
        <v>284</v>
      </c>
      <c r="H4394" s="379" t="s">
        <v>765</v>
      </c>
      <c r="I4394" s="379" t="s">
        <v>33</v>
      </c>
      <c r="J4394" s="385">
        <v>7647.99</v>
      </c>
      <c r="K4394" s="384"/>
      <c r="L4394" s="385">
        <v>7</v>
      </c>
      <c r="M4394" s="385">
        <v>7</v>
      </c>
      <c r="N4394" s="386">
        <v>764.79899999999998</v>
      </c>
      <c r="O4394" s="387">
        <v>0.2</v>
      </c>
      <c r="P4394" s="387"/>
      <c r="Q4394" s="386">
        <v>1052</v>
      </c>
      <c r="R4394" s="379" t="s">
        <v>285</v>
      </c>
      <c r="S4394" s="388" t="s">
        <v>275</v>
      </c>
      <c r="T4394" s="399">
        <v>21</v>
      </c>
      <c r="U4394" s="389" t="s">
        <v>164</v>
      </c>
      <c r="V4394" s="433"/>
      <c r="X4394" s="386">
        <v>1052</v>
      </c>
      <c r="Y4394" s="386"/>
      <c r="AJ4394" s="390">
        <v>1052</v>
      </c>
    </row>
    <row r="4395" spans="1:77" s="291" customFormat="1" ht="11.25" customHeight="1">
      <c r="A4395" s="291" t="s">
        <v>3893</v>
      </c>
      <c r="B4395" s="291" t="s">
        <v>291</v>
      </c>
      <c r="C4395" s="292">
        <v>44792</v>
      </c>
      <c r="D4395" s="292">
        <v>44793</v>
      </c>
      <c r="E4395" s="293" t="s">
        <v>3495</v>
      </c>
      <c r="F4395" s="303" t="s">
        <v>3496</v>
      </c>
      <c r="G4395" s="304">
        <v>3554</v>
      </c>
      <c r="H4395" s="291" t="s">
        <v>765</v>
      </c>
      <c r="I4395" s="291" t="s">
        <v>888</v>
      </c>
      <c r="J4395" s="296">
        <v>14396.29</v>
      </c>
      <c r="K4395" s="295"/>
      <c r="L4395" s="296">
        <v>11.74</v>
      </c>
      <c r="M4395" s="296">
        <v>11.74</v>
      </c>
      <c r="N4395" s="297">
        <v>3572</v>
      </c>
      <c r="O4395" s="298">
        <v>0.25</v>
      </c>
      <c r="P4395" s="298"/>
      <c r="Q4395" s="297">
        <v>0</v>
      </c>
      <c r="R4395" s="291" t="s">
        <v>105</v>
      </c>
      <c r="S4395" s="299" t="s">
        <v>30</v>
      </c>
      <c r="T4395" s="308">
        <v>39</v>
      </c>
      <c r="U4395" s="300" t="s">
        <v>164</v>
      </c>
      <c r="V4395" s="333"/>
      <c r="X4395" s="297">
        <v>0</v>
      </c>
      <c r="Y4395" s="297"/>
      <c r="AH4395" s="291">
        <f>X4395</f>
        <v>0</v>
      </c>
      <c r="AI4395" s="311"/>
      <c r="AJ4395" s="468"/>
    </row>
    <row r="4396" spans="1:77" s="291" customFormat="1" ht="11.25" customHeight="1">
      <c r="A4396" s="291" t="s">
        <v>3893</v>
      </c>
      <c r="B4396" s="291" t="s">
        <v>291</v>
      </c>
      <c r="C4396" s="292"/>
      <c r="D4396" s="292"/>
      <c r="E4396" s="293" t="s">
        <v>3495</v>
      </c>
      <c r="F4396" s="303" t="s">
        <v>3496</v>
      </c>
      <c r="G4396" s="304">
        <v>3554</v>
      </c>
      <c r="H4396" s="291" t="s">
        <v>814</v>
      </c>
      <c r="I4396" s="291" t="s">
        <v>888</v>
      </c>
      <c r="J4396" s="296">
        <v>7300.8</v>
      </c>
      <c r="K4396" s="295"/>
      <c r="L4396" s="296">
        <v>5.4</v>
      </c>
      <c r="M4396" s="296">
        <v>5.4</v>
      </c>
      <c r="N4396" s="297">
        <v>1896</v>
      </c>
      <c r="O4396" s="298">
        <v>0.25</v>
      </c>
      <c r="P4396" s="298"/>
      <c r="Q4396" s="297">
        <v>355.75</v>
      </c>
      <c r="R4396" s="291" t="s">
        <v>105</v>
      </c>
      <c r="S4396" s="299" t="s">
        <v>30</v>
      </c>
      <c r="T4396" s="308">
        <v>39</v>
      </c>
      <c r="U4396" s="300" t="s">
        <v>164</v>
      </c>
      <c r="V4396" s="333"/>
      <c r="X4396" s="297">
        <v>355.75</v>
      </c>
      <c r="Y4396" s="297"/>
      <c r="AH4396" s="291">
        <f>X4396</f>
        <v>355.75</v>
      </c>
      <c r="AI4396" s="311"/>
      <c r="AJ4396" s="468"/>
    </row>
    <row r="4397" spans="1:77" s="6" customFormat="1" ht="11.25" customHeight="1">
      <c r="A4397" s="379"/>
      <c r="B4397" s="379" t="s">
        <v>291</v>
      </c>
      <c r="C4397" s="381">
        <v>44791</v>
      </c>
      <c r="D4397" s="381">
        <v>44793</v>
      </c>
      <c r="E4397" s="382" t="s">
        <v>3497</v>
      </c>
      <c r="F4397" s="394" t="s">
        <v>1942</v>
      </c>
      <c r="G4397" s="400">
        <v>3556</v>
      </c>
      <c r="H4397" s="379" t="s">
        <v>814</v>
      </c>
      <c r="I4397" s="379" t="s">
        <v>33</v>
      </c>
      <c r="J4397" s="385">
        <v>11848.32</v>
      </c>
      <c r="K4397" s="384"/>
      <c r="L4397" s="385">
        <v>14.52</v>
      </c>
      <c r="M4397" s="385">
        <v>14.52</v>
      </c>
      <c r="N4397" s="386">
        <v>1895.73</v>
      </c>
      <c r="O4397" s="387">
        <v>0.2</v>
      </c>
      <c r="P4397" s="387"/>
      <c r="Q4397" s="386">
        <v>0</v>
      </c>
      <c r="R4397" s="379" t="s">
        <v>29</v>
      </c>
      <c r="S4397" s="388" t="s">
        <v>30</v>
      </c>
      <c r="T4397" s="399">
        <v>70</v>
      </c>
      <c r="U4397" s="389" t="s">
        <v>164</v>
      </c>
      <c r="V4397" s="433"/>
      <c r="W4397" s="379"/>
      <c r="X4397" s="386">
        <v>0</v>
      </c>
      <c r="Y4397" s="386"/>
      <c r="Z4397" s="379"/>
      <c r="AA4397" s="379"/>
      <c r="AB4397" s="379"/>
      <c r="AC4397" s="379"/>
      <c r="AD4397" s="379"/>
      <c r="AE4397" s="379"/>
      <c r="AF4397" s="379"/>
      <c r="AG4397" s="379"/>
      <c r="AH4397" s="379"/>
      <c r="AI4397" s="379"/>
      <c r="AJ4397" s="390">
        <v>0</v>
      </c>
      <c r="AK4397" s="379"/>
      <c r="AL4397" s="379"/>
      <c r="AM4397" s="379"/>
      <c r="AN4397" s="379"/>
      <c r="AO4397" s="379"/>
      <c r="AP4397" s="379"/>
      <c r="AQ4397" s="379"/>
      <c r="AR4397" s="379"/>
      <c r="AS4397" s="379"/>
      <c r="AT4397" s="379"/>
      <c r="AU4397" s="379"/>
      <c r="AV4397" s="379"/>
      <c r="AW4397" s="379"/>
      <c r="AX4397" s="379"/>
      <c r="AY4397" s="379"/>
      <c r="AZ4397" s="379"/>
      <c r="BA4397" s="379"/>
      <c r="BB4397" s="379"/>
      <c r="BC4397" s="379"/>
      <c r="BD4397" s="379"/>
      <c r="BE4397" s="379"/>
      <c r="BF4397" s="379"/>
      <c r="BG4397" s="379"/>
      <c r="BH4397" s="379"/>
      <c r="BI4397" s="379"/>
      <c r="BJ4397" s="379"/>
      <c r="BK4397" s="379"/>
      <c r="BL4397" s="379"/>
      <c r="BM4397" s="379"/>
      <c r="BN4397" s="379"/>
      <c r="BO4397" s="379"/>
      <c r="BP4397" s="379"/>
      <c r="BQ4397" s="379"/>
      <c r="BR4397" s="379"/>
      <c r="BS4397" s="379"/>
      <c r="BT4397" s="379"/>
      <c r="BU4397" s="379"/>
      <c r="BV4397" s="379"/>
      <c r="BW4397" s="379"/>
      <c r="BX4397" s="379"/>
      <c r="BY4397" s="379"/>
    </row>
    <row r="4398" spans="1:77" s="379" customFormat="1" ht="11.25" customHeight="1">
      <c r="B4398" s="379" t="s">
        <v>291</v>
      </c>
      <c r="C4398" s="381">
        <v>44793</v>
      </c>
      <c r="D4398" s="381">
        <v>44793</v>
      </c>
      <c r="E4398" s="382" t="s">
        <v>3498</v>
      </c>
      <c r="F4398" s="394" t="s">
        <v>1587</v>
      </c>
      <c r="G4398" s="400">
        <v>3595</v>
      </c>
      <c r="H4398" s="379" t="s">
        <v>765</v>
      </c>
      <c r="I4398" s="379" t="s">
        <v>888</v>
      </c>
      <c r="J4398" s="385">
        <v>15542</v>
      </c>
      <c r="K4398" s="384"/>
      <c r="L4398" s="385">
        <v>16.36</v>
      </c>
      <c r="M4398" s="385">
        <v>16.36</v>
      </c>
      <c r="N4398" s="386"/>
      <c r="O4398" s="387">
        <v>0.25</v>
      </c>
      <c r="P4398" s="387"/>
      <c r="Q4398" s="386">
        <v>0</v>
      </c>
      <c r="R4398" s="379" t="s">
        <v>69</v>
      </c>
      <c r="S4398" s="388" t="s">
        <v>41</v>
      </c>
      <c r="T4398" s="399">
        <v>79</v>
      </c>
      <c r="U4398" s="389" t="s">
        <v>164</v>
      </c>
      <c r="V4398" s="433"/>
      <c r="X4398" s="386">
        <v>0</v>
      </c>
      <c r="Y4398" s="386"/>
      <c r="AJ4398" s="390">
        <v>0</v>
      </c>
    </row>
    <row r="4399" spans="1:77" s="379" customFormat="1" ht="11.25" customHeight="1">
      <c r="B4399" s="379" t="s">
        <v>291</v>
      </c>
      <c r="C4399" s="381"/>
      <c r="D4399" s="381"/>
      <c r="E4399" s="382" t="s">
        <v>3498</v>
      </c>
      <c r="F4399" s="394" t="s">
        <v>1587</v>
      </c>
      <c r="G4399" s="400">
        <v>3595</v>
      </c>
      <c r="H4399" s="379" t="s">
        <v>765</v>
      </c>
      <c r="I4399" s="379" t="s">
        <v>888</v>
      </c>
      <c r="J4399" s="385">
        <v>2132.13</v>
      </c>
      <c r="K4399" s="384"/>
      <c r="L4399" s="385">
        <v>1.85</v>
      </c>
      <c r="M4399" s="385">
        <v>1.85</v>
      </c>
      <c r="N4399" s="386"/>
      <c r="O4399" s="387">
        <v>0.25</v>
      </c>
      <c r="P4399" s="387"/>
      <c r="Q4399" s="386">
        <v>0</v>
      </c>
      <c r="R4399" s="379" t="s">
        <v>69</v>
      </c>
      <c r="S4399" s="388" t="s">
        <v>41</v>
      </c>
      <c r="T4399" s="399">
        <v>86</v>
      </c>
      <c r="U4399" s="389" t="s">
        <v>164</v>
      </c>
      <c r="V4399" s="433"/>
      <c r="X4399" s="386">
        <v>0</v>
      </c>
      <c r="Y4399" s="386"/>
      <c r="AJ4399" s="390">
        <v>0</v>
      </c>
    </row>
    <row r="4400" spans="1:77" s="291" customFormat="1" ht="11.25" customHeight="1">
      <c r="A4400" s="291" t="s">
        <v>3893</v>
      </c>
      <c r="B4400" s="291" t="s">
        <v>291</v>
      </c>
      <c r="C4400" s="292">
        <v>44784</v>
      </c>
      <c r="D4400" s="292">
        <v>44793</v>
      </c>
      <c r="E4400" s="293" t="s">
        <v>3499</v>
      </c>
      <c r="F4400" s="303" t="s">
        <v>3500</v>
      </c>
      <c r="G4400" s="304">
        <v>4619</v>
      </c>
      <c r="H4400" s="291" t="s">
        <v>814</v>
      </c>
      <c r="I4400" s="295" t="s">
        <v>888</v>
      </c>
      <c r="J4400" s="296">
        <v>22170.05</v>
      </c>
      <c r="K4400" s="295"/>
      <c r="L4400" s="296">
        <v>22.65</v>
      </c>
      <c r="M4400" s="296">
        <v>22.65</v>
      </c>
      <c r="N4400" s="297">
        <v>19287.939999999999</v>
      </c>
      <c r="O4400" s="298">
        <v>0.2</v>
      </c>
      <c r="P4400" s="298"/>
      <c r="Q4400" s="297">
        <v>14929.7</v>
      </c>
      <c r="R4400" s="291" t="s">
        <v>1407</v>
      </c>
      <c r="S4400" s="299" t="s">
        <v>2866</v>
      </c>
      <c r="T4400" s="308">
        <v>47</v>
      </c>
      <c r="U4400" s="300" t="s">
        <v>164</v>
      </c>
      <c r="V4400" s="333"/>
      <c r="X4400" s="297">
        <v>14929.7</v>
      </c>
      <c r="Y4400" s="297"/>
      <c r="AH4400" s="297">
        <f>X4400</f>
        <v>14929.7</v>
      </c>
      <c r="AI4400" s="311"/>
      <c r="AJ4400" s="468"/>
    </row>
    <row r="4401" spans="1:38" s="291" customFormat="1" ht="11.25" customHeight="1">
      <c r="A4401" s="291" t="s">
        <v>3893</v>
      </c>
      <c r="B4401" s="291" t="s">
        <v>291</v>
      </c>
      <c r="C4401" s="292"/>
      <c r="D4401" s="292"/>
      <c r="E4401" s="293" t="s">
        <v>3499</v>
      </c>
      <c r="F4401" s="303" t="s">
        <v>3500</v>
      </c>
      <c r="G4401" s="304">
        <v>4619</v>
      </c>
      <c r="H4401" s="291" t="s">
        <v>814</v>
      </c>
      <c r="I4401" s="295" t="s">
        <v>888</v>
      </c>
      <c r="J4401" s="296">
        <v>7536.84</v>
      </c>
      <c r="K4401" s="295"/>
      <c r="L4401" s="296">
        <v>7.7</v>
      </c>
      <c r="M4401" s="296">
        <v>7.7</v>
      </c>
      <c r="N4401" s="297">
        <v>6557.05</v>
      </c>
      <c r="O4401" s="298">
        <v>0.2</v>
      </c>
      <c r="P4401" s="298"/>
      <c r="Q4401" s="297">
        <v>5075.4399999999996</v>
      </c>
      <c r="R4401" s="291" t="s">
        <v>1407</v>
      </c>
      <c r="S4401" s="299" t="s">
        <v>2866</v>
      </c>
      <c r="T4401" s="308">
        <v>24</v>
      </c>
      <c r="U4401" s="300" t="s">
        <v>164</v>
      </c>
      <c r="V4401" s="333"/>
      <c r="X4401" s="297">
        <v>5075.4399999999996</v>
      </c>
      <c r="Y4401" s="297"/>
      <c r="AH4401" s="297">
        <f>X4401</f>
        <v>5075.4399999999996</v>
      </c>
      <c r="AI4401" s="311"/>
      <c r="AJ4401" s="468"/>
    </row>
    <row r="4402" spans="1:38" s="473" customFormat="1" ht="11.25" customHeight="1">
      <c r="B4402" s="473" t="s">
        <v>291</v>
      </c>
      <c r="C4402" s="487">
        <v>44795</v>
      </c>
      <c r="D4402" s="487">
        <v>44795</v>
      </c>
      <c r="E4402" s="488" t="s">
        <v>3501</v>
      </c>
      <c r="F4402" s="472" t="s">
        <v>3502</v>
      </c>
      <c r="G4402" s="476" t="s">
        <v>3503</v>
      </c>
      <c r="H4402" s="473" t="s">
        <v>866</v>
      </c>
      <c r="I4402" s="473" t="s">
        <v>33</v>
      </c>
      <c r="J4402" s="490">
        <v>53550</v>
      </c>
      <c r="K4402" s="491"/>
      <c r="L4402" s="490">
        <v>30</v>
      </c>
      <c r="M4402" s="490">
        <v>30</v>
      </c>
      <c r="N4402" s="492">
        <v>30704.5</v>
      </c>
      <c r="O4402" s="493">
        <v>0.2</v>
      </c>
      <c r="P4402" s="493"/>
      <c r="Q4402" s="492">
        <v>20055</v>
      </c>
      <c r="R4402" s="473" t="s">
        <v>112</v>
      </c>
      <c r="S4402" s="481" t="s">
        <v>113</v>
      </c>
      <c r="T4402" s="482">
        <v>64</v>
      </c>
      <c r="U4402" s="494" t="s">
        <v>164</v>
      </c>
      <c r="V4402" s="495"/>
      <c r="X4402" s="492">
        <v>20055</v>
      </c>
      <c r="Y4402" s="492"/>
      <c r="AJ4402" s="485"/>
      <c r="AK4402" s="505">
        <v>20055</v>
      </c>
    </row>
    <row r="4403" spans="1:38" s="473" customFormat="1" ht="11.25" customHeight="1">
      <c r="B4403" s="473" t="s">
        <v>291</v>
      </c>
      <c r="C4403" s="487"/>
      <c r="D4403" s="487"/>
      <c r="E4403" s="488" t="s">
        <v>3501</v>
      </c>
      <c r="F4403" s="472" t="s">
        <v>3502</v>
      </c>
      <c r="G4403" s="476" t="s">
        <v>3503</v>
      </c>
      <c r="H4403" s="473" t="s">
        <v>765</v>
      </c>
      <c r="I4403" s="473" t="s">
        <v>33</v>
      </c>
      <c r="J4403" s="490">
        <v>24000</v>
      </c>
      <c r="K4403" s="491"/>
      <c r="L4403" s="490">
        <v>20</v>
      </c>
      <c r="M4403" s="490">
        <v>20</v>
      </c>
      <c r="N4403" s="492">
        <v>5976</v>
      </c>
      <c r="O4403" s="493">
        <v>0.2</v>
      </c>
      <c r="P4403" s="493"/>
      <c r="Q4403" s="492">
        <v>4602.24</v>
      </c>
      <c r="R4403" s="473" t="s">
        <v>112</v>
      </c>
      <c r="S4403" s="481" t="s">
        <v>113</v>
      </c>
      <c r="T4403" s="482">
        <v>64</v>
      </c>
      <c r="U4403" s="494" t="s">
        <v>164</v>
      </c>
      <c r="V4403" s="495"/>
      <c r="X4403" s="492">
        <v>4602.24</v>
      </c>
      <c r="Y4403" s="492"/>
      <c r="AJ4403" s="485"/>
      <c r="AK4403" s="505">
        <v>4602.24</v>
      </c>
    </row>
    <row r="4404" spans="1:38" s="473" customFormat="1" ht="11.25" customHeight="1">
      <c r="B4404" s="473" t="s">
        <v>291</v>
      </c>
      <c r="C4404" s="487">
        <v>44788</v>
      </c>
      <c r="D4404" s="487">
        <v>44795</v>
      </c>
      <c r="E4404" s="488" t="s">
        <v>3504</v>
      </c>
      <c r="F4404" s="472" t="s">
        <v>605</v>
      </c>
      <c r="G4404" s="476">
        <v>3584</v>
      </c>
      <c r="H4404" s="473" t="s">
        <v>911</v>
      </c>
      <c r="I4404" s="473" t="s">
        <v>111</v>
      </c>
      <c r="J4404" s="490">
        <v>39355</v>
      </c>
      <c r="K4404" s="491"/>
      <c r="L4404" s="490">
        <v>25</v>
      </c>
      <c r="M4404" s="490">
        <v>22</v>
      </c>
      <c r="N4404" s="492"/>
      <c r="O4404" s="493">
        <v>0.15</v>
      </c>
      <c r="P4404" s="493"/>
      <c r="Q4404" s="492">
        <v>7127.25</v>
      </c>
      <c r="R4404" s="473" t="s">
        <v>77</v>
      </c>
      <c r="S4404" s="481" t="s">
        <v>41</v>
      </c>
      <c r="T4404" s="482">
        <v>16</v>
      </c>
      <c r="U4404" s="494" t="s">
        <v>164</v>
      </c>
      <c r="V4404" s="495"/>
      <c r="X4404" s="492">
        <v>7127.25</v>
      </c>
      <c r="Y4404" s="492"/>
      <c r="AJ4404" s="485"/>
      <c r="AK4404" s="505">
        <v>7127.25</v>
      </c>
    </row>
    <row r="4405" spans="1:38" s="291" customFormat="1" ht="11.25" customHeight="1">
      <c r="B4405" s="291" t="s">
        <v>291</v>
      </c>
      <c r="C4405" s="292">
        <v>44793</v>
      </c>
      <c r="D4405" s="292">
        <v>44795</v>
      </c>
      <c r="E4405" s="293" t="s">
        <v>3505</v>
      </c>
      <c r="F4405" s="303" t="s">
        <v>3506</v>
      </c>
      <c r="G4405" s="304" t="s">
        <v>3545</v>
      </c>
      <c r="H4405" s="291" t="s">
        <v>866</v>
      </c>
      <c r="I4405" s="291" t="s">
        <v>33</v>
      </c>
      <c r="J4405" s="296">
        <v>26848.39</v>
      </c>
      <c r="K4405" s="295"/>
      <c r="L4405" s="296">
        <v>15.25</v>
      </c>
      <c r="M4405" s="296">
        <v>15.25</v>
      </c>
      <c r="N4405" s="297">
        <v>10736</v>
      </c>
      <c r="O4405" s="298">
        <v>0.15</v>
      </c>
      <c r="P4405" s="298"/>
      <c r="Q4405" s="297">
        <v>0</v>
      </c>
      <c r="R4405" s="291" t="s">
        <v>2296</v>
      </c>
      <c r="S4405" s="299" t="s">
        <v>113</v>
      </c>
      <c r="T4405" s="308">
        <v>64</v>
      </c>
      <c r="U4405" s="300" t="s">
        <v>164</v>
      </c>
      <c r="V4405" s="333"/>
      <c r="X4405" s="297">
        <v>0</v>
      </c>
      <c r="Y4405" s="297"/>
      <c r="AH4405" s="311">
        <f>X4405</f>
        <v>0</v>
      </c>
      <c r="AI4405" s="311"/>
      <c r="AJ4405" s="468"/>
    </row>
    <row r="4406" spans="1:38" s="337" customFormat="1" ht="11.25" customHeight="1">
      <c r="B4406" s="367" t="s">
        <v>291</v>
      </c>
      <c r="C4406" s="349">
        <v>44795</v>
      </c>
      <c r="D4406" s="349">
        <v>44795</v>
      </c>
      <c r="E4406" s="350" t="s">
        <v>3507</v>
      </c>
      <c r="F4406" s="337" t="s">
        <v>1974</v>
      </c>
      <c r="G4406" s="342">
        <v>3729</v>
      </c>
      <c r="H4406" s="337" t="s">
        <v>765</v>
      </c>
      <c r="I4406" s="337" t="s">
        <v>33</v>
      </c>
      <c r="J4406" s="352">
        <v>4821.46</v>
      </c>
      <c r="K4406" s="353"/>
      <c r="L4406" s="352">
        <v>4.6900000000000004</v>
      </c>
      <c r="M4406" s="352">
        <v>4.6900000000000004</v>
      </c>
      <c r="N4406" s="354"/>
      <c r="O4406" s="355">
        <v>0.2</v>
      </c>
      <c r="P4406" s="355"/>
      <c r="Q4406" s="354">
        <v>1448.6</v>
      </c>
      <c r="R4406" s="337" t="s">
        <v>128</v>
      </c>
      <c r="S4406" s="356" t="s">
        <v>41</v>
      </c>
      <c r="T4406" s="346">
        <v>79</v>
      </c>
      <c r="U4406" s="357" t="s">
        <v>164</v>
      </c>
      <c r="V4406" s="434"/>
      <c r="X4406" s="354">
        <v>1448.6</v>
      </c>
      <c r="Y4406" s="354"/>
      <c r="AI4406" s="369">
        <f>X4406</f>
        <v>1448.6</v>
      </c>
      <c r="AJ4406" s="358"/>
      <c r="AK4406" s="369"/>
    </row>
    <row r="4407" spans="1:38" s="379" customFormat="1" ht="11.25" customHeight="1">
      <c r="B4407" s="406" t="s">
        <v>291</v>
      </c>
      <c r="C4407" s="381">
        <v>44789</v>
      </c>
      <c r="D4407" s="381">
        <v>44795</v>
      </c>
      <c r="E4407" s="382" t="s">
        <v>3508</v>
      </c>
      <c r="F4407" s="394" t="s">
        <v>3509</v>
      </c>
      <c r="G4407" s="400" t="s">
        <v>3510</v>
      </c>
      <c r="H4407" s="379" t="s">
        <v>910</v>
      </c>
      <c r="I4407" s="379" t="s">
        <v>3393</v>
      </c>
      <c r="J4407" s="385">
        <v>7344.25</v>
      </c>
      <c r="K4407" s="384"/>
      <c r="L4407" s="385">
        <v>5</v>
      </c>
      <c r="M4407" s="385">
        <v>5</v>
      </c>
      <c r="N4407" s="386"/>
      <c r="O4407" s="387">
        <v>0.15</v>
      </c>
      <c r="P4407" s="387"/>
      <c r="Q4407" s="386">
        <v>1580.86</v>
      </c>
      <c r="R4407" s="379" t="s">
        <v>77</v>
      </c>
      <c r="S4407" s="388" t="s">
        <v>41</v>
      </c>
      <c r="T4407" s="399">
        <v>17</v>
      </c>
      <c r="U4407" s="389" t="s">
        <v>164</v>
      </c>
      <c r="V4407" s="433"/>
      <c r="X4407" s="386">
        <v>1580.86</v>
      </c>
      <c r="Y4407" s="386"/>
      <c r="AJ4407" s="416">
        <v>1580.86</v>
      </c>
    </row>
    <row r="4408" spans="1:38" s="379" customFormat="1" ht="11.25" customHeight="1">
      <c r="B4408" s="380" t="s">
        <v>291</v>
      </c>
      <c r="C4408" s="381">
        <v>44776</v>
      </c>
      <c r="D4408" s="381">
        <v>44795</v>
      </c>
      <c r="E4408" s="382" t="s">
        <v>3490</v>
      </c>
      <c r="F4408" s="379" t="s">
        <v>448</v>
      </c>
      <c r="G4408" s="383">
        <v>3652</v>
      </c>
      <c r="H4408" s="379" t="s">
        <v>866</v>
      </c>
      <c r="I4408" s="379" t="s">
        <v>33</v>
      </c>
      <c r="J4408" s="385">
        <v>7356.48</v>
      </c>
      <c r="K4408" s="384"/>
      <c r="L4408" s="385">
        <v>7.76</v>
      </c>
      <c r="M4408" s="385">
        <v>7.76</v>
      </c>
      <c r="N4408" s="386"/>
      <c r="O4408" s="387">
        <v>0.15</v>
      </c>
      <c r="P4408" s="387"/>
      <c r="Q4408" s="386">
        <v>0</v>
      </c>
      <c r="R4408" s="379" t="s">
        <v>42</v>
      </c>
      <c r="S4408" s="388" t="s">
        <v>41</v>
      </c>
      <c r="T4408" s="399">
        <v>17</v>
      </c>
      <c r="U4408" s="389" t="s">
        <v>164</v>
      </c>
      <c r="V4408" s="433"/>
      <c r="X4408" s="386">
        <v>0</v>
      </c>
      <c r="Y4408" s="386"/>
      <c r="AJ4408" s="390">
        <v>0</v>
      </c>
    </row>
    <row r="4409" spans="1:38" s="337" customFormat="1" ht="11.25" customHeight="1">
      <c r="B4409" s="337" t="s">
        <v>291</v>
      </c>
      <c r="C4409" s="349">
        <v>44791</v>
      </c>
      <c r="D4409" s="349">
        <v>44795</v>
      </c>
      <c r="E4409" s="350" t="s">
        <v>3491</v>
      </c>
      <c r="F4409" s="337" t="s">
        <v>1290</v>
      </c>
      <c r="G4409" s="351">
        <v>3616</v>
      </c>
      <c r="H4409" s="337" t="s">
        <v>866</v>
      </c>
      <c r="I4409" s="353" t="s">
        <v>888</v>
      </c>
      <c r="J4409" s="352">
        <v>5880</v>
      </c>
      <c r="K4409" s="353"/>
      <c r="L4409" s="352">
        <v>6</v>
      </c>
      <c r="M4409" s="352">
        <v>6</v>
      </c>
      <c r="N4409" s="354"/>
      <c r="O4409" s="355">
        <v>0.2</v>
      </c>
      <c r="P4409" s="355"/>
      <c r="Q4409" s="354">
        <v>187.32</v>
      </c>
      <c r="R4409" s="337" t="s">
        <v>42</v>
      </c>
      <c r="S4409" s="356" t="s">
        <v>41</v>
      </c>
      <c r="T4409" s="346">
        <v>17</v>
      </c>
      <c r="U4409" s="357" t="s">
        <v>164</v>
      </c>
      <c r="V4409" s="434"/>
      <c r="X4409" s="354">
        <v>187.32</v>
      </c>
      <c r="Y4409" s="354"/>
      <c r="AI4409" s="337">
        <v>187.32</v>
      </c>
      <c r="AJ4409" s="358"/>
      <c r="AK4409" s="369"/>
    </row>
    <row r="4410" spans="1:38" s="337" customFormat="1" ht="11.25" customHeight="1">
      <c r="B4410" s="337" t="s">
        <v>291</v>
      </c>
      <c r="C4410" s="349"/>
      <c r="D4410" s="349"/>
      <c r="E4410" s="350" t="s">
        <v>3491</v>
      </c>
      <c r="F4410" s="337" t="s">
        <v>1290</v>
      </c>
      <c r="G4410" s="351">
        <v>3616</v>
      </c>
      <c r="H4410" s="337" t="s">
        <v>866</v>
      </c>
      <c r="I4410" s="353" t="s">
        <v>888</v>
      </c>
      <c r="J4410" s="352">
        <v>21560</v>
      </c>
      <c r="K4410" s="353"/>
      <c r="L4410" s="352">
        <v>22</v>
      </c>
      <c r="M4410" s="352">
        <v>19</v>
      </c>
      <c r="N4410" s="354"/>
      <c r="O4410" s="355">
        <v>0.2</v>
      </c>
      <c r="P4410" s="355"/>
      <c r="Q4410" s="354">
        <v>8852.76</v>
      </c>
      <c r="R4410" s="337" t="s">
        <v>42</v>
      </c>
      <c r="S4410" s="356" t="s">
        <v>41</v>
      </c>
      <c r="T4410" s="346">
        <v>33</v>
      </c>
      <c r="U4410" s="357" t="s">
        <v>164</v>
      </c>
      <c r="V4410" s="434"/>
      <c r="X4410" s="354">
        <v>8852.76</v>
      </c>
      <c r="Y4410" s="354"/>
      <c r="AI4410" s="354">
        <v>8852.76</v>
      </c>
      <c r="AJ4410" s="358"/>
      <c r="AK4410" s="369"/>
    </row>
    <row r="4411" spans="1:38" s="473" customFormat="1" ht="11.25" customHeight="1">
      <c r="B4411" s="473" t="s">
        <v>291</v>
      </c>
      <c r="C4411" s="487">
        <v>44789</v>
      </c>
      <c r="D4411" s="487">
        <v>44795</v>
      </c>
      <c r="E4411" s="488" t="s">
        <v>3492</v>
      </c>
      <c r="F4411" s="473" t="s">
        <v>2073</v>
      </c>
      <c r="G4411" s="489" t="s">
        <v>2074</v>
      </c>
      <c r="H4411" s="473" t="s">
        <v>1018</v>
      </c>
      <c r="I4411" s="491" t="s">
        <v>33</v>
      </c>
      <c r="J4411" s="490">
        <v>7840.09</v>
      </c>
      <c r="K4411" s="491"/>
      <c r="L4411" s="490">
        <v>8.91</v>
      </c>
      <c r="M4411" s="490">
        <v>8.91</v>
      </c>
      <c r="N4411" s="492"/>
      <c r="O4411" s="493">
        <v>0.25</v>
      </c>
      <c r="P4411" s="493"/>
      <c r="Q4411" s="492">
        <v>1135.6600000000001</v>
      </c>
      <c r="R4411" s="473" t="s">
        <v>128</v>
      </c>
      <c r="S4411" s="481" t="s">
        <v>65</v>
      </c>
      <c r="T4411" s="482">
        <v>79</v>
      </c>
      <c r="U4411" s="494" t="s">
        <v>164</v>
      </c>
      <c r="V4411" s="495"/>
      <c r="X4411" s="492">
        <v>1135.6600000000001</v>
      </c>
      <c r="Y4411" s="492"/>
      <c r="AJ4411" s="485"/>
      <c r="AK4411" s="505">
        <v>1135.6600000000001</v>
      </c>
    </row>
    <row r="4412" spans="1:38" s="337" customFormat="1" ht="11.25" customHeight="1">
      <c r="B4412" s="338" t="s">
        <v>291</v>
      </c>
      <c r="C4412" s="349"/>
      <c r="D4412" s="349"/>
      <c r="E4412" s="350" t="s">
        <v>3493</v>
      </c>
      <c r="F4412" s="337" t="s">
        <v>1339</v>
      </c>
      <c r="G4412" s="342" t="s">
        <v>1340</v>
      </c>
      <c r="H4412" s="337" t="s">
        <v>765</v>
      </c>
      <c r="I4412" s="353" t="s">
        <v>33</v>
      </c>
      <c r="J4412" s="352">
        <v>33603.9</v>
      </c>
      <c r="K4412" s="353"/>
      <c r="L4412" s="352">
        <v>22.44</v>
      </c>
      <c r="M4412" s="352">
        <v>22.44</v>
      </c>
      <c r="N4412" s="354">
        <v>8389.74</v>
      </c>
      <c r="O4412" s="355">
        <v>0.25</v>
      </c>
      <c r="P4412" s="355"/>
      <c r="Q4412" s="354">
        <v>0</v>
      </c>
      <c r="R4412" s="337" t="s">
        <v>54</v>
      </c>
      <c r="S4412" s="356" t="s">
        <v>51</v>
      </c>
      <c r="T4412" s="346">
        <v>55</v>
      </c>
      <c r="U4412" s="357" t="s">
        <v>164</v>
      </c>
      <c r="V4412" s="434"/>
      <c r="X4412" s="354">
        <v>0</v>
      </c>
      <c r="Y4412" s="354"/>
      <c r="AI4412" s="337">
        <f>X4412</f>
        <v>0</v>
      </c>
      <c r="AJ4412" s="358"/>
      <c r="AK4412" s="369"/>
    </row>
    <row r="4413" spans="1:38" s="507" customFormat="1" ht="11.25" customHeight="1">
      <c r="B4413" s="508" t="s">
        <v>291</v>
      </c>
      <c r="C4413" s="509">
        <v>44795</v>
      </c>
      <c r="D4413" s="509">
        <v>44795</v>
      </c>
      <c r="E4413" s="510" t="s">
        <v>3493</v>
      </c>
      <c r="F4413" s="507" t="s">
        <v>1339</v>
      </c>
      <c r="G4413" s="526" t="s">
        <v>1340</v>
      </c>
      <c r="H4413" s="507" t="s">
        <v>910</v>
      </c>
      <c r="I4413" s="512" t="s">
        <v>33</v>
      </c>
      <c r="J4413" s="513">
        <v>55089.43</v>
      </c>
      <c r="K4413" s="512"/>
      <c r="L4413" s="513">
        <v>29.91</v>
      </c>
      <c r="M4413" s="513">
        <v>29.91</v>
      </c>
      <c r="N4413" s="514">
        <v>17628.61</v>
      </c>
      <c r="O4413" s="515">
        <v>0.25</v>
      </c>
      <c r="P4413" s="515"/>
      <c r="Q4413" s="514">
        <v>9703.25</v>
      </c>
      <c r="R4413" s="507" t="s">
        <v>54</v>
      </c>
      <c r="S4413" s="516" t="s">
        <v>51</v>
      </c>
      <c r="T4413" s="531">
        <v>55</v>
      </c>
      <c r="U4413" s="517" t="s">
        <v>164</v>
      </c>
      <c r="V4413" s="518"/>
      <c r="X4413" s="514">
        <v>9703.25</v>
      </c>
      <c r="Y4413" s="514"/>
      <c r="AJ4413" s="522"/>
      <c r="AL4413" s="514">
        <v>9703.25</v>
      </c>
    </row>
    <row r="4414" spans="1:38" s="507" customFormat="1" ht="11.25" customHeight="1">
      <c r="B4414" s="508" t="s">
        <v>291</v>
      </c>
      <c r="C4414" s="509"/>
      <c r="D4414" s="509"/>
      <c r="E4414" s="510" t="s">
        <v>3493</v>
      </c>
      <c r="F4414" s="507" t="s">
        <v>1339</v>
      </c>
      <c r="G4414" s="526" t="s">
        <v>1340</v>
      </c>
      <c r="H4414" s="507" t="s">
        <v>814</v>
      </c>
      <c r="I4414" s="512" t="s">
        <v>33</v>
      </c>
      <c r="J4414" s="513">
        <v>9622.08</v>
      </c>
      <c r="K4414" s="512"/>
      <c r="L4414" s="513">
        <v>9.36</v>
      </c>
      <c r="M4414" s="513">
        <v>9.36</v>
      </c>
      <c r="N4414" s="514">
        <v>5773.24</v>
      </c>
      <c r="O4414" s="515">
        <v>0.25</v>
      </c>
      <c r="P4414" s="515"/>
      <c r="Q4414" s="514">
        <v>1323.5</v>
      </c>
      <c r="R4414" s="507" t="s">
        <v>54</v>
      </c>
      <c r="S4414" s="516" t="s">
        <v>51</v>
      </c>
      <c r="T4414" s="531">
        <v>55</v>
      </c>
      <c r="U4414" s="517" t="s">
        <v>164</v>
      </c>
      <c r="V4414" s="518"/>
      <c r="X4414" s="514">
        <v>1323.5</v>
      </c>
      <c r="Y4414" s="514"/>
      <c r="AJ4414" s="522"/>
      <c r="AL4414" s="514">
        <v>1323.5</v>
      </c>
    </row>
    <row r="4415" spans="1:38" s="291" customFormat="1" ht="11.25" customHeight="1">
      <c r="B4415" s="313" t="s">
        <v>291</v>
      </c>
      <c r="C4415" s="292">
        <v>44788</v>
      </c>
      <c r="D4415" s="292">
        <v>44795</v>
      </c>
      <c r="E4415" s="293" t="s">
        <v>3513</v>
      </c>
      <c r="F4415" s="303" t="s">
        <v>3514</v>
      </c>
      <c r="G4415" s="304" t="s">
        <v>3515</v>
      </c>
      <c r="H4415" s="291" t="s">
        <v>2171</v>
      </c>
      <c r="I4415" s="291" t="s">
        <v>3516</v>
      </c>
      <c r="J4415" s="296">
        <v>9527.69</v>
      </c>
      <c r="K4415" s="295"/>
      <c r="L4415" s="296">
        <v>3.71</v>
      </c>
      <c r="M4415" s="296">
        <v>3.71</v>
      </c>
      <c r="N4415" s="297"/>
      <c r="O4415" s="298">
        <v>0.2</v>
      </c>
      <c r="P4415" s="298"/>
      <c r="Q4415" s="297">
        <v>0</v>
      </c>
      <c r="R4415" s="291" t="s">
        <v>2296</v>
      </c>
      <c r="S4415" s="299" t="s">
        <v>113</v>
      </c>
      <c r="T4415" s="308">
        <v>64</v>
      </c>
      <c r="U4415" s="300" t="s">
        <v>164</v>
      </c>
      <c r="V4415" s="333"/>
      <c r="W4415" s="291" t="s">
        <v>3784</v>
      </c>
      <c r="X4415" s="297">
        <v>0</v>
      </c>
      <c r="Y4415" s="297"/>
      <c r="AH4415" s="291">
        <f>X4415</f>
        <v>0</v>
      </c>
      <c r="AI4415" s="311"/>
      <c r="AJ4415" s="468"/>
    </row>
    <row r="4416" spans="1:38" s="261" customFormat="1" ht="11.25" customHeight="1">
      <c r="B4416" s="270" t="s">
        <v>291</v>
      </c>
      <c r="C4416" s="259"/>
      <c r="D4416" s="259"/>
      <c r="E4416" s="260" t="s">
        <v>3513</v>
      </c>
      <c r="F4416" s="273" t="s">
        <v>3514</v>
      </c>
      <c r="G4416" s="276" t="s">
        <v>3515</v>
      </c>
      <c r="H4416" s="261" t="s">
        <v>2267</v>
      </c>
      <c r="I4416" s="261" t="s">
        <v>3516</v>
      </c>
      <c r="J4416" s="263">
        <v>80938.820000000007</v>
      </c>
      <c r="K4416" s="264"/>
      <c r="L4416" s="263">
        <v>31.44</v>
      </c>
      <c r="M4416" s="263">
        <v>31.44</v>
      </c>
      <c r="N4416" s="265">
        <v>0</v>
      </c>
      <c r="O4416" s="266">
        <v>0.2</v>
      </c>
      <c r="P4416" s="266"/>
      <c r="Q4416" s="265">
        <v>0</v>
      </c>
      <c r="R4416" s="261" t="s">
        <v>2296</v>
      </c>
      <c r="S4416" s="267" t="s">
        <v>113</v>
      </c>
      <c r="T4416" s="279">
        <v>64</v>
      </c>
      <c r="U4416" s="268" t="s">
        <v>164</v>
      </c>
      <c r="V4416" s="427"/>
      <c r="W4416" s="261" t="s">
        <v>3784</v>
      </c>
      <c r="X4416" s="265">
        <v>0</v>
      </c>
      <c r="Y4416" s="265"/>
      <c r="AG4416" s="261">
        <f>X4416</f>
        <v>0</v>
      </c>
      <c r="AJ4416" s="642"/>
    </row>
    <row r="4417" spans="1:77" s="291" customFormat="1" ht="11.25" customHeight="1">
      <c r="B4417" s="313" t="s">
        <v>291</v>
      </c>
      <c r="C4417" s="292"/>
      <c r="D4417" s="292"/>
      <c r="E4417" s="293" t="s">
        <v>3513</v>
      </c>
      <c r="F4417" s="303" t="s">
        <v>3514</v>
      </c>
      <c r="G4417" s="304" t="s">
        <v>3515</v>
      </c>
      <c r="H4417" s="291" t="s">
        <v>1201</v>
      </c>
      <c r="I4417" s="291" t="s">
        <v>3516</v>
      </c>
      <c r="J4417" s="296">
        <v>5317.65</v>
      </c>
      <c r="K4417" s="295"/>
      <c r="L4417" s="296">
        <v>1.17</v>
      </c>
      <c r="M4417" s="296">
        <v>1.17</v>
      </c>
      <c r="N4417" s="297"/>
      <c r="O4417" s="298">
        <v>0.2</v>
      </c>
      <c r="P4417" s="298"/>
      <c r="Q4417" s="297">
        <v>0</v>
      </c>
      <c r="R4417" s="291" t="s">
        <v>2296</v>
      </c>
      <c r="S4417" s="299" t="s">
        <v>113</v>
      </c>
      <c r="T4417" s="308">
        <v>64</v>
      </c>
      <c r="U4417" s="300" t="s">
        <v>164</v>
      </c>
      <c r="V4417" s="333"/>
      <c r="W4417" s="291" t="s">
        <v>3784</v>
      </c>
      <c r="X4417" s="297">
        <v>0</v>
      </c>
      <c r="Y4417" s="297"/>
      <c r="AH4417" s="291">
        <v>0</v>
      </c>
      <c r="AJ4417" s="468"/>
    </row>
    <row r="4418" spans="1:77" s="261" customFormat="1" ht="11.25" customHeight="1">
      <c r="B4418" s="270" t="s">
        <v>291</v>
      </c>
      <c r="C4418" s="259"/>
      <c r="D4418" s="259"/>
      <c r="E4418" s="260" t="s">
        <v>3513</v>
      </c>
      <c r="F4418" s="273" t="s">
        <v>3514</v>
      </c>
      <c r="G4418" s="276" t="s">
        <v>3515</v>
      </c>
      <c r="H4418" s="261" t="s">
        <v>2267</v>
      </c>
      <c r="I4418" s="261" t="s">
        <v>3516</v>
      </c>
      <c r="J4418" s="263">
        <v>126357.34</v>
      </c>
      <c r="K4418" s="264"/>
      <c r="L4418" s="263">
        <v>47.8</v>
      </c>
      <c r="M4418" s="263">
        <v>47.8</v>
      </c>
      <c r="N4418" s="265">
        <v>0</v>
      </c>
      <c r="O4418" s="266">
        <v>0.2</v>
      </c>
      <c r="P4418" s="266"/>
      <c r="Q4418" s="265">
        <v>0</v>
      </c>
      <c r="R4418" s="261" t="s">
        <v>2296</v>
      </c>
      <c r="S4418" s="267" t="s">
        <v>113</v>
      </c>
      <c r="T4418" s="279">
        <v>40</v>
      </c>
      <c r="U4418" s="268" t="s">
        <v>164</v>
      </c>
      <c r="V4418" s="427"/>
      <c r="W4418" s="261" t="s">
        <v>3784</v>
      </c>
      <c r="X4418" s="265">
        <v>0</v>
      </c>
      <c r="Y4418" s="265"/>
      <c r="AG4418" s="261">
        <f>X4418</f>
        <v>0</v>
      </c>
      <c r="AJ4418" s="642"/>
    </row>
    <row r="4419" spans="1:77" s="291" customFormat="1" ht="11.25" customHeight="1">
      <c r="B4419" s="313" t="s">
        <v>291</v>
      </c>
      <c r="C4419" s="292"/>
      <c r="D4419" s="292"/>
      <c r="E4419" s="293" t="s">
        <v>3513</v>
      </c>
      <c r="F4419" s="303" t="s">
        <v>3514</v>
      </c>
      <c r="G4419" s="304" t="s">
        <v>3515</v>
      </c>
      <c r="H4419" s="291" t="s">
        <v>2171</v>
      </c>
      <c r="I4419" s="291" t="s">
        <v>3516</v>
      </c>
      <c r="J4419" s="296">
        <v>6658.13</v>
      </c>
      <c r="K4419" s="295"/>
      <c r="L4419" s="296">
        <v>2.58</v>
      </c>
      <c r="M4419" s="296">
        <v>2.58</v>
      </c>
      <c r="N4419" s="297"/>
      <c r="O4419" s="298">
        <v>0.2</v>
      </c>
      <c r="P4419" s="298"/>
      <c r="Q4419" s="297">
        <v>0</v>
      </c>
      <c r="R4419" s="291" t="s">
        <v>2296</v>
      </c>
      <c r="S4419" s="299" t="s">
        <v>113</v>
      </c>
      <c r="T4419" s="308">
        <v>40</v>
      </c>
      <c r="U4419" s="300" t="s">
        <v>164</v>
      </c>
      <c r="V4419" s="333"/>
      <c r="W4419" s="291" t="s">
        <v>3784</v>
      </c>
      <c r="X4419" s="297">
        <v>0</v>
      </c>
      <c r="Y4419" s="297"/>
      <c r="AH4419" s="311">
        <f>X4419</f>
        <v>0</v>
      </c>
      <c r="AJ4419" s="468"/>
    </row>
    <row r="4420" spans="1:77" s="6" customFormat="1" ht="11.25" customHeight="1">
      <c r="A4420" s="379"/>
      <c r="B4420" s="406" t="s">
        <v>291</v>
      </c>
      <c r="C4420" s="381">
        <v>44788</v>
      </c>
      <c r="D4420" s="381">
        <v>44795</v>
      </c>
      <c r="E4420" s="382" t="s">
        <v>3517</v>
      </c>
      <c r="F4420" s="394" t="s">
        <v>3518</v>
      </c>
      <c r="G4420" s="400" t="s">
        <v>3519</v>
      </c>
      <c r="H4420" s="379" t="s">
        <v>1018</v>
      </c>
      <c r="I4420" s="379" t="s">
        <v>3337</v>
      </c>
      <c r="J4420" s="385">
        <v>27484.560000000001</v>
      </c>
      <c r="K4420" s="384"/>
      <c r="L4420" s="385">
        <v>11.8</v>
      </c>
      <c r="M4420" s="385">
        <v>11.8</v>
      </c>
      <c r="N4420" s="386">
        <v>0</v>
      </c>
      <c r="O4420" s="387">
        <v>0.15</v>
      </c>
      <c r="P4420" s="387"/>
      <c r="Q4420" s="386">
        <v>0</v>
      </c>
      <c r="R4420" s="379" t="s">
        <v>2296</v>
      </c>
      <c r="S4420" s="388" t="s">
        <v>113</v>
      </c>
      <c r="T4420" s="399">
        <v>64</v>
      </c>
      <c r="U4420" s="389" t="s">
        <v>164</v>
      </c>
      <c r="V4420" s="433"/>
      <c r="W4420" s="379"/>
      <c r="X4420" s="386">
        <v>0</v>
      </c>
      <c r="Y4420" s="386"/>
      <c r="Z4420" s="379"/>
      <c r="AA4420" s="379"/>
      <c r="AB4420" s="379"/>
      <c r="AC4420" s="379"/>
      <c r="AD4420" s="379"/>
      <c r="AE4420" s="379"/>
      <c r="AF4420" s="379"/>
      <c r="AG4420" s="379"/>
      <c r="AH4420" s="379"/>
      <c r="AI4420" s="379"/>
      <c r="AJ4420" s="390">
        <v>0</v>
      </c>
      <c r="AK4420" s="379"/>
      <c r="AL4420" s="379"/>
      <c r="AM4420" s="379"/>
      <c r="AN4420" s="379"/>
      <c r="AO4420" s="379"/>
      <c r="AP4420" s="379"/>
      <c r="AQ4420" s="379"/>
      <c r="AR4420" s="379"/>
      <c r="AS4420" s="379"/>
      <c r="AT4420" s="379"/>
      <c r="AU4420" s="379"/>
      <c r="AV4420" s="379"/>
      <c r="AW4420" s="379"/>
      <c r="AX4420" s="379"/>
      <c r="AY4420" s="379"/>
      <c r="AZ4420" s="379"/>
      <c r="BA4420" s="379"/>
      <c r="BB4420" s="379"/>
      <c r="BC4420" s="379"/>
      <c r="BD4420" s="379"/>
      <c r="BE4420" s="379"/>
      <c r="BF4420" s="379"/>
      <c r="BG4420" s="379"/>
      <c r="BH4420" s="379"/>
      <c r="BI4420" s="379"/>
      <c r="BJ4420" s="379"/>
      <c r="BK4420" s="379"/>
      <c r="BL4420" s="379"/>
      <c r="BM4420" s="379"/>
      <c r="BN4420" s="379"/>
      <c r="BO4420" s="379"/>
      <c r="BP4420" s="379"/>
      <c r="BQ4420" s="379"/>
      <c r="BR4420" s="379"/>
      <c r="BS4420" s="379"/>
      <c r="BT4420" s="379"/>
      <c r="BU4420" s="379"/>
      <c r="BV4420" s="379"/>
      <c r="BW4420" s="379"/>
      <c r="BX4420" s="379"/>
      <c r="BY4420" s="379"/>
    </row>
    <row r="4421" spans="1:77" s="379" customFormat="1" ht="11.25" customHeight="1">
      <c r="B4421" s="406" t="s">
        <v>291</v>
      </c>
      <c r="C4421" s="381"/>
      <c r="D4421" s="381"/>
      <c r="E4421" s="382" t="s">
        <v>3517</v>
      </c>
      <c r="F4421" s="394" t="s">
        <v>3518</v>
      </c>
      <c r="G4421" s="400" t="s">
        <v>3519</v>
      </c>
      <c r="H4421" s="379" t="s">
        <v>866</v>
      </c>
      <c r="I4421" s="379" t="s">
        <v>3337</v>
      </c>
      <c r="J4421" s="385">
        <v>49141.55</v>
      </c>
      <c r="K4421" s="384"/>
      <c r="L4421" s="385">
        <v>22.15</v>
      </c>
      <c r="M4421" s="385">
        <v>22.15</v>
      </c>
      <c r="N4421" s="386">
        <v>0</v>
      </c>
      <c r="O4421" s="387">
        <v>0.15</v>
      </c>
      <c r="P4421" s="387"/>
      <c r="Q4421" s="386">
        <v>0</v>
      </c>
      <c r="R4421" s="379" t="s">
        <v>2296</v>
      </c>
      <c r="S4421" s="388" t="s">
        <v>113</v>
      </c>
      <c r="T4421" s="399">
        <v>64</v>
      </c>
      <c r="U4421" s="389" t="s">
        <v>164</v>
      </c>
      <c r="V4421" s="433"/>
      <c r="X4421" s="386">
        <v>0</v>
      </c>
      <c r="Y4421" s="386"/>
      <c r="AJ4421" s="390">
        <v>0</v>
      </c>
    </row>
    <row r="4422" spans="1:77" s="379" customFormat="1" ht="11.25" customHeight="1">
      <c r="B4422" s="406" t="s">
        <v>291</v>
      </c>
      <c r="C4422" s="381"/>
      <c r="D4422" s="381"/>
      <c r="E4422" s="382" t="s">
        <v>3517</v>
      </c>
      <c r="F4422" s="394" t="s">
        <v>3518</v>
      </c>
      <c r="G4422" s="400" t="s">
        <v>3519</v>
      </c>
      <c r="H4422" s="379" t="s">
        <v>910</v>
      </c>
      <c r="I4422" s="379" t="s">
        <v>3337</v>
      </c>
      <c r="J4422" s="385">
        <v>73048</v>
      </c>
      <c r="K4422" s="384"/>
      <c r="L4422" s="385">
        <v>29.83</v>
      </c>
      <c r="M4422" s="385">
        <v>29.83</v>
      </c>
      <c r="N4422" s="386">
        <v>0</v>
      </c>
      <c r="O4422" s="387">
        <v>0.15</v>
      </c>
      <c r="P4422" s="387"/>
      <c r="Q4422" s="386">
        <v>0</v>
      </c>
      <c r="R4422" s="379" t="s">
        <v>2296</v>
      </c>
      <c r="S4422" s="388" t="s">
        <v>113</v>
      </c>
      <c r="T4422" s="399">
        <v>64</v>
      </c>
      <c r="U4422" s="389" t="s">
        <v>164</v>
      </c>
      <c r="V4422" s="433"/>
      <c r="X4422" s="386">
        <v>0</v>
      </c>
      <c r="Y4422" s="386"/>
      <c r="AJ4422" s="390">
        <v>0</v>
      </c>
    </row>
    <row r="4423" spans="1:77" s="291" customFormat="1" ht="11.25" customHeight="1">
      <c r="B4423" s="313" t="s">
        <v>291</v>
      </c>
      <c r="C4423" s="292"/>
      <c r="D4423" s="292"/>
      <c r="E4423" s="293" t="s">
        <v>3517</v>
      </c>
      <c r="F4423" s="303" t="s">
        <v>3518</v>
      </c>
      <c r="G4423" s="304" t="s">
        <v>3519</v>
      </c>
      <c r="H4423" s="291" t="s">
        <v>2267</v>
      </c>
      <c r="I4423" s="291" t="s">
        <v>3337</v>
      </c>
      <c r="J4423" s="296">
        <v>101611.38</v>
      </c>
      <c r="K4423" s="295"/>
      <c r="L4423" s="296">
        <v>36.229999999999997</v>
      </c>
      <c r="M4423" s="296">
        <v>36.229999999999997</v>
      </c>
      <c r="N4423" s="297"/>
      <c r="O4423" s="298">
        <v>0.15</v>
      </c>
      <c r="P4423" s="298"/>
      <c r="Q4423" s="297">
        <v>0</v>
      </c>
      <c r="R4423" s="291" t="s">
        <v>2296</v>
      </c>
      <c r="S4423" s="299" t="s">
        <v>113</v>
      </c>
      <c r="T4423" s="308">
        <v>64</v>
      </c>
      <c r="U4423" s="300" t="s">
        <v>164</v>
      </c>
      <c r="V4423" s="333"/>
      <c r="X4423" s="297">
        <v>0</v>
      </c>
      <c r="Y4423" s="297"/>
      <c r="AH4423" s="291">
        <f>X4423</f>
        <v>0</v>
      </c>
      <c r="AI4423" s="311"/>
      <c r="AJ4423" s="468"/>
    </row>
    <row r="4424" spans="1:77" s="473" customFormat="1" ht="11.25" customHeight="1">
      <c r="B4424" s="473" t="s">
        <v>291</v>
      </c>
      <c r="C4424" s="487">
        <v>44794</v>
      </c>
      <c r="D4424" s="487">
        <v>44795</v>
      </c>
      <c r="E4424" s="488" t="s">
        <v>3494</v>
      </c>
      <c r="F4424" s="473" t="s">
        <v>2076</v>
      </c>
      <c r="G4424" s="489" t="s">
        <v>2077</v>
      </c>
      <c r="H4424" s="473" t="s">
        <v>1018</v>
      </c>
      <c r="I4424" s="491" t="s">
        <v>33</v>
      </c>
      <c r="J4424" s="490">
        <v>30348.44</v>
      </c>
      <c r="K4424" s="491"/>
      <c r="L4424" s="490">
        <v>34.49</v>
      </c>
      <c r="M4424" s="490">
        <v>34.49</v>
      </c>
      <c r="N4424" s="492"/>
      <c r="O4424" s="493">
        <v>0.25</v>
      </c>
      <c r="P4424" s="493"/>
      <c r="Q4424" s="492">
        <v>4150.6000000000004</v>
      </c>
      <c r="R4424" s="473" t="s">
        <v>128</v>
      </c>
      <c r="S4424" s="481" t="s">
        <v>65</v>
      </c>
      <c r="T4424" s="482">
        <v>79</v>
      </c>
      <c r="U4424" s="494" t="s">
        <v>164</v>
      </c>
      <c r="V4424" s="495"/>
      <c r="X4424" s="492">
        <v>4150.6000000000004</v>
      </c>
      <c r="Y4424" s="492"/>
      <c r="AJ4424" s="485"/>
      <c r="AK4424" s="505">
        <v>4150.6000000000004</v>
      </c>
    </row>
    <row r="4425" spans="1:77" s="337" customFormat="1" ht="11.25" customHeight="1">
      <c r="B4425" s="367" t="s">
        <v>291</v>
      </c>
      <c r="C4425" s="349">
        <v>44795</v>
      </c>
      <c r="D4425" s="349">
        <v>44795</v>
      </c>
      <c r="E4425" s="350" t="s">
        <v>3520</v>
      </c>
      <c r="F4425" s="341" t="s">
        <v>3521</v>
      </c>
      <c r="G4425" s="342">
        <v>4536</v>
      </c>
      <c r="H4425" s="337" t="s">
        <v>765</v>
      </c>
      <c r="I4425" s="337" t="s">
        <v>33</v>
      </c>
      <c r="J4425" s="352">
        <v>7609.84</v>
      </c>
      <c r="K4425" s="353"/>
      <c r="L4425" s="352">
        <v>7.49</v>
      </c>
      <c r="M4425" s="352">
        <v>7.49</v>
      </c>
      <c r="N4425" s="354">
        <v>1674.76</v>
      </c>
      <c r="O4425" s="355">
        <v>0.15</v>
      </c>
      <c r="P4425" s="355"/>
      <c r="Q4425" s="354">
        <v>1674.76</v>
      </c>
      <c r="R4425" s="337" t="s">
        <v>73</v>
      </c>
      <c r="S4425" s="356" t="s">
        <v>113</v>
      </c>
      <c r="T4425" s="346">
        <v>31</v>
      </c>
      <c r="U4425" s="357" t="s">
        <v>164</v>
      </c>
      <c r="V4425" s="434"/>
      <c r="X4425" s="354">
        <v>1674.76</v>
      </c>
      <c r="Y4425" s="354"/>
      <c r="AI4425" s="354">
        <v>1674.76</v>
      </c>
      <c r="AJ4425" s="358"/>
      <c r="AK4425" s="369"/>
    </row>
    <row r="4426" spans="1:77" s="337" customFormat="1" ht="11.25" customHeight="1">
      <c r="B4426" s="337" t="s">
        <v>291</v>
      </c>
      <c r="C4426" s="349">
        <v>44732</v>
      </c>
      <c r="D4426" s="349">
        <v>44795</v>
      </c>
      <c r="E4426" s="350" t="s">
        <v>3511</v>
      </c>
      <c r="F4426" s="341" t="s">
        <v>3512</v>
      </c>
      <c r="G4426" s="342">
        <v>4370</v>
      </c>
      <c r="H4426" s="337" t="s">
        <v>765</v>
      </c>
      <c r="I4426" s="353" t="s">
        <v>961</v>
      </c>
      <c r="J4426" s="352">
        <v>15131.54</v>
      </c>
      <c r="K4426" s="353"/>
      <c r="L4426" s="352">
        <v>16.329999999999998</v>
      </c>
      <c r="M4426" s="352">
        <v>16.329999999999998</v>
      </c>
      <c r="N4426" s="354"/>
      <c r="O4426" s="355">
        <v>0.15</v>
      </c>
      <c r="P4426" s="355"/>
      <c r="Q4426" s="354">
        <v>5755.02</v>
      </c>
      <c r="R4426" s="337" t="s">
        <v>128</v>
      </c>
      <c r="S4426" s="356" t="s">
        <v>41</v>
      </c>
      <c r="T4426" s="346">
        <v>86</v>
      </c>
      <c r="U4426" s="357" t="s">
        <v>164</v>
      </c>
      <c r="V4426" s="434"/>
      <c r="X4426" s="354">
        <v>5755.02</v>
      </c>
      <c r="Y4426" s="354"/>
      <c r="AI4426" s="369">
        <f>X4426</f>
        <v>5755.02</v>
      </c>
      <c r="AJ4426" s="358"/>
      <c r="AK4426" s="369"/>
    </row>
    <row r="4427" spans="1:77" s="473" customFormat="1" ht="11.25" customHeight="1">
      <c r="B4427" s="486" t="s">
        <v>291</v>
      </c>
      <c r="C4427" s="487">
        <v>44785</v>
      </c>
      <c r="D4427" s="487">
        <v>44795</v>
      </c>
      <c r="E4427" s="488" t="s">
        <v>3523</v>
      </c>
      <c r="F4427" s="472" t="s">
        <v>2098</v>
      </c>
      <c r="G4427" s="476" t="s">
        <v>2099</v>
      </c>
      <c r="H4427" s="473" t="s">
        <v>765</v>
      </c>
      <c r="I4427" s="473" t="s">
        <v>33</v>
      </c>
      <c r="J4427" s="490">
        <v>30022.16</v>
      </c>
      <c r="K4427" s="491"/>
      <c r="L4427" s="490">
        <v>24.12</v>
      </c>
      <c r="M4427" s="490">
        <v>24.12</v>
      </c>
      <c r="N4427" s="492"/>
      <c r="O4427" s="493">
        <v>0.25</v>
      </c>
      <c r="P4427" s="493"/>
      <c r="Q4427" s="492">
        <v>0</v>
      </c>
      <c r="R4427" s="473" t="s">
        <v>285</v>
      </c>
      <c r="S4427" s="481" t="s">
        <v>275</v>
      </c>
      <c r="T4427" s="482">
        <v>21</v>
      </c>
      <c r="U4427" s="494" t="s">
        <v>164</v>
      </c>
      <c r="V4427" s="495"/>
      <c r="X4427" s="492">
        <v>0</v>
      </c>
      <c r="Y4427" s="492"/>
      <c r="AJ4427" s="485"/>
      <c r="AK4427" s="473">
        <v>0</v>
      </c>
    </row>
    <row r="4428" spans="1:77" s="337" customFormat="1" ht="11.25" customHeight="1">
      <c r="B4428" s="338" t="s">
        <v>291</v>
      </c>
      <c r="C4428" s="349">
        <v>44795</v>
      </c>
      <c r="D4428" s="349">
        <v>44796</v>
      </c>
      <c r="E4428" s="350" t="s">
        <v>3524</v>
      </c>
      <c r="F4428" s="337" t="s">
        <v>784</v>
      </c>
      <c r="G4428" s="342" t="s">
        <v>785</v>
      </c>
      <c r="H4428" s="337" t="s">
        <v>765</v>
      </c>
      <c r="I4428" s="337" t="s">
        <v>33</v>
      </c>
      <c r="J4428" s="352">
        <v>21842.27</v>
      </c>
      <c r="K4428" s="353"/>
      <c r="L4428" s="352">
        <v>23.34</v>
      </c>
      <c r="M4428" s="352">
        <v>23.34</v>
      </c>
      <c r="N4428" s="354"/>
      <c r="O4428" s="355">
        <v>0.2</v>
      </c>
      <c r="P4428" s="355"/>
      <c r="Q4428" s="354">
        <v>0</v>
      </c>
      <c r="R4428" s="337" t="s">
        <v>35</v>
      </c>
      <c r="S4428" s="356" t="s">
        <v>41</v>
      </c>
      <c r="T4428" s="346">
        <v>17</v>
      </c>
      <c r="U4428" s="357" t="s">
        <v>164</v>
      </c>
      <c r="V4428" s="434"/>
      <c r="X4428" s="354">
        <v>0</v>
      </c>
      <c r="Y4428" s="354"/>
      <c r="AI4428" s="337">
        <f>X4428</f>
        <v>0</v>
      </c>
      <c r="AJ4428" s="358"/>
      <c r="AK4428" s="369"/>
    </row>
    <row r="4429" spans="1:77" s="337" customFormat="1" ht="11.25" customHeight="1">
      <c r="B4429" s="338" t="s">
        <v>291</v>
      </c>
      <c r="C4429" s="349">
        <v>44783</v>
      </c>
      <c r="D4429" s="349">
        <v>44796</v>
      </c>
      <c r="E4429" s="350" t="s">
        <v>3525</v>
      </c>
      <c r="F4429" s="341" t="s">
        <v>2971</v>
      </c>
      <c r="G4429" s="342" t="s">
        <v>872</v>
      </c>
      <c r="H4429" s="337" t="s">
        <v>866</v>
      </c>
      <c r="I4429" s="337" t="s">
        <v>1056</v>
      </c>
      <c r="J4429" s="352">
        <v>94137.51</v>
      </c>
      <c r="K4429" s="353"/>
      <c r="L4429" s="352">
        <v>43.78</v>
      </c>
      <c r="M4429" s="352">
        <v>43.78</v>
      </c>
      <c r="N4429" s="354">
        <v>51085.39</v>
      </c>
      <c r="O4429" s="355">
        <v>0.2</v>
      </c>
      <c r="P4429" s="355"/>
      <c r="Q4429" s="354">
        <v>0</v>
      </c>
      <c r="R4429" s="337" t="s">
        <v>112</v>
      </c>
      <c r="S4429" s="356" t="s">
        <v>150</v>
      </c>
      <c r="T4429" s="346">
        <v>64</v>
      </c>
      <c r="U4429" s="357" t="s">
        <v>164</v>
      </c>
      <c r="V4429" s="434"/>
      <c r="X4429" s="354">
        <v>0</v>
      </c>
      <c r="Y4429" s="354"/>
      <c r="AI4429" s="337">
        <v>0</v>
      </c>
      <c r="AJ4429" s="358"/>
      <c r="AK4429" s="369"/>
    </row>
    <row r="4430" spans="1:77" s="337" customFormat="1" ht="11.25" customHeight="1">
      <c r="B4430" s="338" t="s">
        <v>291</v>
      </c>
      <c r="C4430" s="349">
        <v>44783</v>
      </c>
      <c r="D4430" s="349">
        <v>44796</v>
      </c>
      <c r="E4430" s="350" t="s">
        <v>3526</v>
      </c>
      <c r="F4430" s="341" t="s">
        <v>874</v>
      </c>
      <c r="G4430" s="342">
        <v>4477</v>
      </c>
      <c r="H4430" s="337" t="s">
        <v>866</v>
      </c>
      <c r="I4430" s="337" t="s">
        <v>1056</v>
      </c>
      <c r="J4430" s="352">
        <v>151742.44</v>
      </c>
      <c r="K4430" s="353"/>
      <c r="L4430" s="352">
        <v>70.569999999999993</v>
      </c>
      <c r="M4430" s="352">
        <v>70.569999999999993</v>
      </c>
      <c r="N4430" s="354">
        <v>101087.08</v>
      </c>
      <c r="O4430" s="355">
        <v>0.2</v>
      </c>
      <c r="P4430" s="355"/>
      <c r="Q4430" s="354">
        <v>0</v>
      </c>
      <c r="R4430" s="337" t="s">
        <v>112</v>
      </c>
      <c r="S4430" s="356" t="s">
        <v>150</v>
      </c>
      <c r="T4430" s="346">
        <v>64</v>
      </c>
      <c r="U4430" s="357" t="s">
        <v>164</v>
      </c>
      <c r="V4430" s="434"/>
      <c r="X4430" s="354">
        <v>0</v>
      </c>
      <c r="Y4430" s="354"/>
      <c r="AI4430" s="337">
        <v>0</v>
      </c>
      <c r="AJ4430" s="358"/>
      <c r="AK4430" s="369"/>
    </row>
    <row r="4431" spans="1:77" s="473" customFormat="1" ht="11.25" customHeight="1">
      <c r="B4431" s="473" t="s">
        <v>291</v>
      </c>
      <c r="C4431" s="487">
        <v>44795</v>
      </c>
      <c r="D4431" s="487">
        <v>44795</v>
      </c>
      <c r="E4431" s="488" t="s">
        <v>3527</v>
      </c>
      <c r="F4431" s="473" t="s">
        <v>2073</v>
      </c>
      <c r="G4431" s="489" t="s">
        <v>2074</v>
      </c>
      <c r="H4431" s="473" t="s">
        <v>134</v>
      </c>
      <c r="I4431" s="491" t="s">
        <v>33</v>
      </c>
      <c r="J4431" s="490">
        <v>34176</v>
      </c>
      <c r="K4431" s="491"/>
      <c r="L4431" s="490">
        <v>42.72</v>
      </c>
      <c r="M4431" s="490">
        <v>42.72</v>
      </c>
      <c r="N4431" s="492"/>
      <c r="O4431" s="493">
        <v>0.25</v>
      </c>
      <c r="P4431" s="493"/>
      <c r="Q4431" s="492">
        <v>4066.94</v>
      </c>
      <c r="R4431" s="473" t="s">
        <v>128</v>
      </c>
      <c r="S4431" s="481" t="s">
        <v>65</v>
      </c>
      <c r="T4431" s="482">
        <v>86</v>
      </c>
      <c r="U4431" s="494" t="s">
        <v>164</v>
      </c>
      <c r="V4431" s="495"/>
      <c r="X4431" s="492">
        <v>4066.94</v>
      </c>
      <c r="Y4431" s="492"/>
      <c r="AJ4431" s="485"/>
      <c r="AK4431" s="505">
        <v>4066.94</v>
      </c>
    </row>
    <row r="4432" spans="1:77" s="473" customFormat="1" ht="11.25" customHeight="1">
      <c r="B4432" s="473" t="s">
        <v>291</v>
      </c>
      <c r="C4432" s="487">
        <v>44795</v>
      </c>
      <c r="D4432" s="487">
        <v>44795</v>
      </c>
      <c r="E4432" s="488" t="s">
        <v>3528</v>
      </c>
      <c r="F4432" s="472" t="s">
        <v>3529</v>
      </c>
      <c r="G4432" s="476" t="s">
        <v>3530</v>
      </c>
      <c r="H4432" s="473" t="s">
        <v>134</v>
      </c>
      <c r="I4432" s="491" t="s">
        <v>33</v>
      </c>
      <c r="J4432" s="490">
        <v>94395.839999999997</v>
      </c>
      <c r="K4432" s="491"/>
      <c r="L4432" s="490">
        <v>76.62</v>
      </c>
      <c r="M4432" s="490">
        <v>76.62</v>
      </c>
      <c r="N4432" s="492"/>
      <c r="O4432" s="493">
        <v>0.25</v>
      </c>
      <c r="P4432" s="493"/>
      <c r="Q4432" s="492">
        <v>16856.400000000001</v>
      </c>
      <c r="R4432" s="473" t="s">
        <v>128</v>
      </c>
      <c r="S4432" s="481" t="s">
        <v>65</v>
      </c>
      <c r="T4432" s="482">
        <v>79</v>
      </c>
      <c r="U4432" s="494" t="s">
        <v>164</v>
      </c>
      <c r="V4432" s="495"/>
      <c r="X4432" s="492">
        <v>16856.400000000001</v>
      </c>
      <c r="Y4432" s="492"/>
      <c r="AJ4432" s="485"/>
      <c r="AK4432" s="505">
        <v>16856.400000000001</v>
      </c>
    </row>
    <row r="4433" spans="1:77" s="379" customFormat="1" ht="11.25" customHeight="1">
      <c r="B4433" s="380" t="s">
        <v>291</v>
      </c>
      <c r="C4433" s="381">
        <v>44791</v>
      </c>
      <c r="D4433" s="381">
        <v>44796</v>
      </c>
      <c r="E4433" s="382" t="s">
        <v>3531</v>
      </c>
      <c r="F4433" s="394" t="s">
        <v>1011</v>
      </c>
      <c r="G4433" s="400" t="s">
        <v>1012</v>
      </c>
      <c r="H4433" s="379" t="s">
        <v>162</v>
      </c>
      <c r="I4433" s="379" t="s">
        <v>33</v>
      </c>
      <c r="J4433" s="385">
        <v>12457.95</v>
      </c>
      <c r="K4433" s="384"/>
      <c r="L4433" s="385">
        <v>23.55</v>
      </c>
      <c r="M4433" s="385">
        <v>23.55</v>
      </c>
      <c r="N4433" s="386"/>
      <c r="O4433" s="387">
        <v>0.25</v>
      </c>
      <c r="P4433" s="387"/>
      <c r="Q4433" s="386">
        <v>243.74</v>
      </c>
      <c r="R4433" s="379" t="s">
        <v>285</v>
      </c>
      <c r="S4433" s="388" t="s">
        <v>275</v>
      </c>
      <c r="T4433" s="399">
        <v>21</v>
      </c>
      <c r="U4433" s="389" t="s">
        <v>164</v>
      </c>
      <c r="V4433" s="433"/>
      <c r="X4433" s="386">
        <v>243.74</v>
      </c>
      <c r="Y4433" s="386"/>
      <c r="AJ4433" s="416">
        <v>243.74</v>
      </c>
    </row>
    <row r="4434" spans="1:77" s="379" customFormat="1" ht="11.25" customHeight="1">
      <c r="B4434" s="380" t="s">
        <v>291</v>
      </c>
      <c r="C4434" s="381">
        <v>44768</v>
      </c>
      <c r="D4434" s="381">
        <v>44796</v>
      </c>
      <c r="E4434" s="382" t="s">
        <v>3532</v>
      </c>
      <c r="F4434" s="394" t="s">
        <v>3082</v>
      </c>
      <c r="G4434" s="383">
        <v>3939</v>
      </c>
      <c r="H4434" s="379" t="s">
        <v>1164</v>
      </c>
      <c r="I4434" s="384" t="s">
        <v>1426</v>
      </c>
      <c r="J4434" s="385">
        <v>80275</v>
      </c>
      <c r="K4434" s="384"/>
      <c r="L4434" s="385">
        <v>19</v>
      </c>
      <c r="M4434" s="385">
        <v>19</v>
      </c>
      <c r="N4434" s="386"/>
      <c r="O4434" s="387">
        <v>0.2</v>
      </c>
      <c r="P4434" s="387"/>
      <c r="Q4434" s="386">
        <v>0</v>
      </c>
      <c r="R4434" s="379" t="s">
        <v>257</v>
      </c>
      <c r="S4434" s="388" t="s">
        <v>3078</v>
      </c>
      <c r="T4434" s="399">
        <v>47</v>
      </c>
      <c r="U4434" s="389" t="s">
        <v>164</v>
      </c>
      <c r="V4434" s="433"/>
      <c r="X4434" s="386">
        <v>0</v>
      </c>
      <c r="Y4434" s="386"/>
      <c r="AJ4434" s="390">
        <v>0</v>
      </c>
    </row>
    <row r="4435" spans="1:77" s="379" customFormat="1" ht="11.25" customHeight="1">
      <c r="B4435" s="380" t="s">
        <v>291</v>
      </c>
      <c r="C4435" s="381"/>
      <c r="D4435" s="381"/>
      <c r="E4435" s="382" t="s">
        <v>3532</v>
      </c>
      <c r="F4435" s="394" t="s">
        <v>3082</v>
      </c>
      <c r="G4435" s="383">
        <v>3939</v>
      </c>
      <c r="H4435" s="379" t="s">
        <v>729</v>
      </c>
      <c r="I4435" s="384" t="s">
        <v>1426</v>
      </c>
      <c r="J4435" s="385">
        <v>172200</v>
      </c>
      <c r="K4435" s="384"/>
      <c r="L4435" s="385">
        <v>41</v>
      </c>
      <c r="M4435" s="385">
        <v>41</v>
      </c>
      <c r="N4435" s="386"/>
      <c r="O4435" s="387">
        <v>0.2</v>
      </c>
      <c r="P4435" s="387"/>
      <c r="Q4435" s="386">
        <v>0</v>
      </c>
      <c r="R4435" s="379" t="s">
        <v>257</v>
      </c>
      <c r="S4435" s="388" t="s">
        <v>3078</v>
      </c>
      <c r="T4435" s="399">
        <v>47</v>
      </c>
      <c r="U4435" s="389" t="s">
        <v>164</v>
      </c>
      <c r="V4435" s="433"/>
      <c r="X4435" s="386">
        <v>0</v>
      </c>
      <c r="Y4435" s="386"/>
      <c r="AJ4435" s="390">
        <v>0</v>
      </c>
    </row>
    <row r="4436" spans="1:77" s="379" customFormat="1" ht="11.25" customHeight="1">
      <c r="A4436" s="618" t="s">
        <v>3893</v>
      </c>
      <c r="B4436" s="619" t="s">
        <v>291</v>
      </c>
      <c r="C4436" s="620"/>
      <c r="D4436" s="620"/>
      <c r="E4436" s="621" t="s">
        <v>3533</v>
      </c>
      <c r="F4436" s="624" t="s">
        <v>3534</v>
      </c>
      <c r="G4436" s="623" t="s">
        <v>3535</v>
      </c>
      <c r="H4436" s="618" t="s">
        <v>866</v>
      </c>
      <c r="I4436" s="626" t="s">
        <v>888</v>
      </c>
      <c r="J4436" s="635">
        <v>10476</v>
      </c>
      <c r="K4436" s="626"/>
      <c r="L4436" s="635">
        <v>5.82</v>
      </c>
      <c r="M4436" s="635">
        <v>5.82</v>
      </c>
      <c r="N4436" s="636" t="s">
        <v>3958</v>
      </c>
      <c r="O4436" s="628">
        <v>0.3</v>
      </c>
      <c r="P4436" s="628"/>
      <c r="Q4436" s="627">
        <v>314.27999999999997</v>
      </c>
      <c r="R4436" s="618" t="s">
        <v>112</v>
      </c>
      <c r="S4436" s="629" t="s">
        <v>113</v>
      </c>
      <c r="T4436" s="630">
        <v>64</v>
      </c>
      <c r="U4436" s="631" t="s">
        <v>164</v>
      </c>
      <c r="V4436" s="632"/>
      <c r="W4436" s="618"/>
      <c r="X4436" s="627">
        <v>314.27999999999997</v>
      </c>
      <c r="Y4436" s="627"/>
      <c r="Z4436" s="618"/>
      <c r="AA4436" s="618"/>
      <c r="AB4436" s="618"/>
      <c r="AC4436" s="618"/>
      <c r="AD4436" s="618"/>
      <c r="AE4436" s="618"/>
      <c r="AF4436" s="618"/>
      <c r="AG4436" s="618"/>
      <c r="AH4436" s="618"/>
      <c r="AI4436" s="618"/>
      <c r="AJ4436" s="633"/>
      <c r="AK4436" s="618"/>
      <c r="AL4436" s="618"/>
      <c r="AM4436" s="618"/>
      <c r="AN4436" s="618"/>
      <c r="AO4436" s="627">
        <v>314.27999999999997</v>
      </c>
      <c r="AP4436" s="618"/>
      <c r="AQ4436" s="618"/>
      <c r="AR4436" s="618"/>
      <c r="AS4436" s="618"/>
      <c r="AT4436" s="618"/>
      <c r="AU4436" s="618"/>
      <c r="AV4436" s="618"/>
      <c r="AW4436" s="618"/>
      <c r="AX4436" s="618"/>
      <c r="AY4436" s="618"/>
      <c r="AZ4436" s="618"/>
      <c r="BA4436" s="618"/>
      <c r="BB4436" s="618"/>
      <c r="BC4436" s="618"/>
      <c r="BD4436" s="618"/>
      <c r="BE4436" s="618"/>
      <c r="BF4436" s="618"/>
      <c r="BG4436" s="618"/>
      <c r="BH4436" s="618"/>
      <c r="BI4436" s="618"/>
      <c r="BJ4436" s="618"/>
      <c r="BK4436" s="618"/>
      <c r="BL4436" s="618"/>
      <c r="BM4436" s="618"/>
      <c r="BN4436" s="618"/>
      <c r="BO4436" s="618"/>
      <c r="BP4436" s="618"/>
      <c r="BQ4436" s="618"/>
      <c r="BR4436" s="618"/>
      <c r="BS4436" s="618"/>
      <c r="BT4436" s="618"/>
      <c r="BU4436" s="618"/>
      <c r="BV4436" s="618"/>
      <c r="BW4436" s="618"/>
      <c r="BX4436" s="618"/>
      <c r="BY4436" s="618"/>
    </row>
    <row r="4437" spans="1:77" s="618" customFormat="1" ht="11.25" customHeight="1">
      <c r="A4437" s="379"/>
      <c r="B4437" s="380" t="s">
        <v>291</v>
      </c>
      <c r="C4437" s="381">
        <v>44792</v>
      </c>
      <c r="D4437" s="381">
        <v>44796</v>
      </c>
      <c r="E4437" s="382" t="s">
        <v>3533</v>
      </c>
      <c r="F4437" s="394" t="s">
        <v>3534</v>
      </c>
      <c r="G4437" s="400" t="s">
        <v>3535</v>
      </c>
      <c r="H4437" s="379" t="s">
        <v>814</v>
      </c>
      <c r="I4437" s="384" t="s">
        <v>888</v>
      </c>
      <c r="J4437" s="385">
        <v>11364</v>
      </c>
      <c r="K4437" s="384"/>
      <c r="L4437" s="385">
        <v>9.4700000000000006</v>
      </c>
      <c r="M4437" s="385">
        <v>9.4700000000000006</v>
      </c>
      <c r="N4437" s="386">
        <v>3934.92</v>
      </c>
      <c r="O4437" s="387">
        <v>0.3</v>
      </c>
      <c r="P4437" s="387"/>
      <c r="Q4437" s="386">
        <v>0</v>
      </c>
      <c r="R4437" s="379" t="s">
        <v>112</v>
      </c>
      <c r="S4437" s="388" t="s">
        <v>113</v>
      </c>
      <c r="T4437" s="399">
        <v>64</v>
      </c>
      <c r="U4437" s="389" t="s">
        <v>164</v>
      </c>
      <c r="V4437" s="433"/>
      <c r="W4437" s="379"/>
      <c r="X4437" s="386">
        <v>0</v>
      </c>
      <c r="Y4437" s="386"/>
      <c r="Z4437" s="379"/>
      <c r="AA4437" s="379"/>
      <c r="AB4437" s="379"/>
      <c r="AC4437" s="379"/>
      <c r="AD4437" s="379"/>
      <c r="AE4437" s="379"/>
      <c r="AF4437" s="379"/>
      <c r="AG4437" s="379"/>
      <c r="AH4437" s="379"/>
      <c r="AI4437" s="379"/>
      <c r="AJ4437" s="390">
        <v>0</v>
      </c>
      <c r="AK4437" s="379"/>
      <c r="AL4437" s="379"/>
      <c r="AM4437" s="379"/>
      <c r="AN4437" s="379"/>
      <c r="AO4437" s="379"/>
      <c r="AP4437" s="379"/>
      <c r="AQ4437" s="379"/>
      <c r="AR4437" s="379"/>
      <c r="AS4437" s="379"/>
      <c r="AT4437" s="379"/>
      <c r="AU4437" s="379"/>
      <c r="AV4437" s="379"/>
      <c r="AW4437" s="379"/>
      <c r="AX4437" s="379"/>
      <c r="AY4437" s="379"/>
      <c r="AZ4437" s="379"/>
      <c r="BA4437" s="379"/>
      <c r="BB4437" s="379"/>
      <c r="BC4437" s="379"/>
      <c r="BD4437" s="379"/>
      <c r="BE4437" s="379"/>
      <c r="BF4437" s="379"/>
      <c r="BG4437" s="379"/>
      <c r="BH4437" s="379"/>
      <c r="BI4437" s="379"/>
      <c r="BJ4437" s="379"/>
      <c r="BK4437" s="379"/>
      <c r="BL4437" s="379"/>
      <c r="BM4437" s="379"/>
      <c r="BN4437" s="379"/>
      <c r="BO4437" s="379"/>
      <c r="BP4437" s="379"/>
      <c r="BQ4437" s="379"/>
      <c r="BR4437" s="379"/>
      <c r="BS4437" s="379"/>
      <c r="BT4437" s="379"/>
      <c r="BU4437" s="379"/>
      <c r="BV4437" s="379"/>
      <c r="BW4437" s="379"/>
      <c r="BX4437" s="379"/>
      <c r="BY4437" s="379"/>
    </row>
    <row r="4438" spans="1:77" s="337" customFormat="1" ht="11.25" customHeight="1">
      <c r="B4438" s="338" t="s">
        <v>291</v>
      </c>
      <c r="C4438" s="349">
        <v>44794</v>
      </c>
      <c r="D4438" s="349">
        <v>44796</v>
      </c>
      <c r="E4438" s="350" t="s">
        <v>3539</v>
      </c>
      <c r="F4438" s="341" t="s">
        <v>72</v>
      </c>
      <c r="G4438" s="342">
        <v>4179</v>
      </c>
      <c r="H4438" s="337" t="s">
        <v>814</v>
      </c>
      <c r="I4438" s="337" t="s">
        <v>33</v>
      </c>
      <c r="J4438" s="352">
        <v>32000.400000000001</v>
      </c>
      <c r="K4438" s="353"/>
      <c r="L4438" s="352">
        <v>29.63</v>
      </c>
      <c r="M4438" s="352">
        <v>29.63</v>
      </c>
      <c r="N4438" s="354"/>
      <c r="O4438" s="355">
        <v>0.15</v>
      </c>
      <c r="P4438" s="355"/>
      <c r="Q4438" s="354">
        <v>18871.8</v>
      </c>
      <c r="R4438" s="337" t="s">
        <v>73</v>
      </c>
      <c r="S4438" s="356" t="s">
        <v>74</v>
      </c>
      <c r="T4438" s="346">
        <v>31</v>
      </c>
      <c r="U4438" s="357" t="s">
        <v>164</v>
      </c>
      <c r="V4438" s="434">
        <v>1405</v>
      </c>
      <c r="X4438" s="354">
        <v>18871.8</v>
      </c>
      <c r="Y4438" s="354"/>
      <c r="AI4438" s="354">
        <v>18871.8</v>
      </c>
      <c r="AJ4438" s="358"/>
      <c r="AK4438" s="369"/>
    </row>
    <row r="4439" spans="1:77" s="379" customFormat="1" ht="11.25" customHeight="1">
      <c r="B4439" s="379" t="s">
        <v>291</v>
      </c>
      <c r="C4439" s="381"/>
      <c r="D4439" s="381"/>
      <c r="E4439" s="382" t="s">
        <v>3540</v>
      </c>
      <c r="F4439" s="379" t="s">
        <v>2362</v>
      </c>
      <c r="G4439" s="400" t="s">
        <v>2363</v>
      </c>
      <c r="H4439" s="379" t="s">
        <v>866</v>
      </c>
      <c r="I4439" s="379" t="s">
        <v>1211</v>
      </c>
      <c r="J4439" s="385">
        <v>14505</v>
      </c>
      <c r="K4439" s="384"/>
      <c r="L4439" s="385">
        <v>10</v>
      </c>
      <c r="M4439" s="385">
        <v>10</v>
      </c>
      <c r="N4439" s="386">
        <v>9126.5499999999993</v>
      </c>
      <c r="O4439" s="387">
        <v>0.25</v>
      </c>
      <c r="P4439" s="387"/>
      <c r="Q4439" s="386">
        <v>3858.75</v>
      </c>
      <c r="R4439" s="379" t="s">
        <v>112</v>
      </c>
      <c r="S4439" s="388" t="s">
        <v>113</v>
      </c>
      <c r="T4439" s="399">
        <v>64</v>
      </c>
      <c r="U4439" s="389" t="s">
        <v>164</v>
      </c>
      <c r="V4439" s="433"/>
      <c r="X4439" s="386">
        <v>3858.75</v>
      </c>
      <c r="Y4439" s="386"/>
      <c r="AJ4439" s="416">
        <v>3858.75</v>
      </c>
    </row>
    <row r="4440" spans="1:77" s="379" customFormat="1" ht="11.25" customHeight="1">
      <c r="B4440" s="379" t="s">
        <v>291</v>
      </c>
      <c r="C4440" s="381"/>
      <c r="D4440" s="381"/>
      <c r="E4440" s="382" t="s">
        <v>3540</v>
      </c>
      <c r="F4440" s="379" t="s">
        <v>2362</v>
      </c>
      <c r="G4440" s="400" t="s">
        <v>2363</v>
      </c>
      <c r="H4440" s="379" t="s">
        <v>814</v>
      </c>
      <c r="I4440" s="379" t="s">
        <v>1211</v>
      </c>
      <c r="J4440" s="385">
        <v>4528</v>
      </c>
      <c r="K4440" s="384"/>
      <c r="L4440" s="385">
        <v>5</v>
      </c>
      <c r="M4440" s="385">
        <v>5</v>
      </c>
      <c r="N4440" s="386">
        <v>1527.11</v>
      </c>
      <c r="O4440" s="387">
        <v>0.25</v>
      </c>
      <c r="P4440" s="387"/>
      <c r="Q4440" s="386">
        <v>0</v>
      </c>
      <c r="R4440" s="379" t="s">
        <v>112</v>
      </c>
      <c r="S4440" s="388" t="s">
        <v>113</v>
      </c>
      <c r="T4440" s="399">
        <v>64</v>
      </c>
      <c r="U4440" s="389" t="s">
        <v>164</v>
      </c>
      <c r="V4440" s="433"/>
      <c r="X4440" s="386">
        <v>0</v>
      </c>
      <c r="Y4440" s="386"/>
      <c r="AJ4440" s="390">
        <v>0</v>
      </c>
    </row>
    <row r="4441" spans="1:77" s="261" customFormat="1" ht="11.25" customHeight="1">
      <c r="B4441" s="261" t="s">
        <v>291</v>
      </c>
      <c r="C4441" s="259">
        <v>44795</v>
      </c>
      <c r="D4441" s="259">
        <v>44796</v>
      </c>
      <c r="E4441" s="260" t="s">
        <v>3540</v>
      </c>
      <c r="F4441" s="261" t="s">
        <v>2362</v>
      </c>
      <c r="G4441" s="276" t="s">
        <v>2363</v>
      </c>
      <c r="H4441" s="261" t="s">
        <v>910</v>
      </c>
      <c r="I4441" s="261" t="s">
        <v>1211</v>
      </c>
      <c r="J4441" s="263">
        <v>71982</v>
      </c>
      <c r="K4441" s="264"/>
      <c r="L4441" s="263">
        <v>36</v>
      </c>
      <c r="M4441" s="263">
        <v>36</v>
      </c>
      <c r="N4441" s="265"/>
      <c r="O4441" s="266">
        <v>0.25</v>
      </c>
      <c r="P4441" s="266"/>
      <c r="Q4441" s="265">
        <v>0</v>
      </c>
      <c r="R4441" s="261" t="s">
        <v>112</v>
      </c>
      <c r="S4441" s="267" t="s">
        <v>113</v>
      </c>
      <c r="T4441" s="279">
        <v>64</v>
      </c>
      <c r="U4441" s="268" t="s">
        <v>164</v>
      </c>
      <c r="V4441" s="427"/>
      <c r="X4441" s="265">
        <v>0</v>
      </c>
      <c r="Y4441" s="265"/>
      <c r="AG4441" s="261">
        <f>X4441</f>
        <v>0</v>
      </c>
      <c r="AJ4441" s="642"/>
    </row>
    <row r="4442" spans="1:77" s="379" customFormat="1" ht="11.25" customHeight="1">
      <c r="B4442" s="380" t="s">
        <v>291</v>
      </c>
      <c r="C4442" s="381">
        <v>44791</v>
      </c>
      <c r="D4442" s="381">
        <v>44795</v>
      </c>
      <c r="E4442" s="382" t="s">
        <v>3541</v>
      </c>
      <c r="F4442" s="394" t="s">
        <v>3542</v>
      </c>
      <c r="G4442" s="400" t="s">
        <v>2070</v>
      </c>
      <c r="H4442" s="379" t="s">
        <v>134</v>
      </c>
      <c r="I4442" s="384" t="s">
        <v>33</v>
      </c>
      <c r="J4442" s="385">
        <v>99732.479999999996</v>
      </c>
      <c r="K4442" s="384"/>
      <c r="L4442" s="385">
        <v>96.64</v>
      </c>
      <c r="M4442" s="385">
        <v>96.64</v>
      </c>
      <c r="N4442" s="386"/>
      <c r="O4442" s="387">
        <v>0.25</v>
      </c>
      <c r="P4442" s="387"/>
      <c r="Q4442" s="386">
        <v>23885.96</v>
      </c>
      <c r="R4442" s="379" t="s">
        <v>128</v>
      </c>
      <c r="S4442" s="388" t="s">
        <v>65</v>
      </c>
      <c r="T4442" s="399">
        <v>85</v>
      </c>
      <c r="U4442" s="389" t="s">
        <v>164</v>
      </c>
      <c r="V4442" s="433"/>
      <c r="X4442" s="386">
        <v>23885.96</v>
      </c>
      <c r="Y4442" s="386"/>
      <c r="AJ4442" s="416">
        <v>23885.96</v>
      </c>
    </row>
    <row r="4443" spans="1:77" s="379" customFormat="1" ht="11.25" customHeight="1">
      <c r="B4443" s="380" t="s">
        <v>291</v>
      </c>
      <c r="C4443" s="381"/>
      <c r="D4443" s="381"/>
      <c r="E4443" s="382" t="s">
        <v>3541</v>
      </c>
      <c r="F4443" s="394" t="s">
        <v>3542</v>
      </c>
      <c r="G4443" s="400" t="s">
        <v>2070</v>
      </c>
      <c r="H4443" s="379" t="s">
        <v>134</v>
      </c>
      <c r="I4443" s="384" t="s">
        <v>33</v>
      </c>
      <c r="J4443" s="385">
        <v>45954.96</v>
      </c>
      <c r="K4443" s="384"/>
      <c r="L4443" s="385">
        <v>44.53</v>
      </c>
      <c r="M4443" s="385">
        <v>44.53</v>
      </c>
      <c r="N4443" s="386"/>
      <c r="O4443" s="387">
        <v>0.25</v>
      </c>
      <c r="P4443" s="387"/>
      <c r="Q4443" s="386">
        <v>0</v>
      </c>
      <c r="R4443" s="379" t="s">
        <v>128</v>
      </c>
      <c r="S4443" s="388" t="s">
        <v>65</v>
      </c>
      <c r="T4443" s="399">
        <v>86</v>
      </c>
      <c r="U4443" s="389" t="s">
        <v>164</v>
      </c>
      <c r="V4443" s="433"/>
      <c r="X4443" s="386">
        <v>0</v>
      </c>
      <c r="Y4443" s="386"/>
      <c r="AJ4443" s="390">
        <v>0</v>
      </c>
    </row>
    <row r="4444" spans="1:77" s="337" customFormat="1" ht="11.25" customHeight="1">
      <c r="B4444" s="338" t="s">
        <v>291</v>
      </c>
      <c r="C4444" s="349">
        <v>44796</v>
      </c>
      <c r="D4444" s="349">
        <v>44796</v>
      </c>
      <c r="E4444" s="350" t="s">
        <v>3543</v>
      </c>
      <c r="F4444" s="337" t="s">
        <v>2304</v>
      </c>
      <c r="G4444" s="342" t="s">
        <v>2305</v>
      </c>
      <c r="H4444" s="337" t="s">
        <v>765</v>
      </c>
      <c r="I4444" s="337" t="s">
        <v>33</v>
      </c>
      <c r="J4444" s="352">
        <v>3360.28</v>
      </c>
      <c r="K4444" s="353"/>
      <c r="L4444" s="352">
        <v>2.73</v>
      </c>
      <c r="M4444" s="352">
        <v>2.73</v>
      </c>
      <c r="N4444" s="354">
        <v>1108.8900000000001</v>
      </c>
      <c r="O4444" s="355">
        <v>0.2</v>
      </c>
      <c r="P4444" s="355"/>
      <c r="Q4444" s="354">
        <v>0</v>
      </c>
      <c r="R4444" s="337" t="s">
        <v>112</v>
      </c>
      <c r="S4444" s="356" t="s">
        <v>113</v>
      </c>
      <c r="T4444" s="346">
        <v>64</v>
      </c>
      <c r="U4444" s="357" t="s">
        <v>164</v>
      </c>
      <c r="V4444" s="434"/>
      <c r="X4444" s="354">
        <v>0</v>
      </c>
      <c r="Y4444" s="354"/>
      <c r="AI4444" s="337">
        <f>X4444</f>
        <v>0</v>
      </c>
      <c r="AJ4444" s="358"/>
      <c r="AK4444" s="369"/>
    </row>
    <row r="4445" spans="1:77" s="337" customFormat="1" ht="11.25" customHeight="1">
      <c r="B4445" s="338" t="s">
        <v>291</v>
      </c>
      <c r="C4445" s="349"/>
      <c r="D4445" s="349"/>
      <c r="E4445" s="350" t="s">
        <v>3543</v>
      </c>
      <c r="F4445" s="337" t="s">
        <v>2304</v>
      </c>
      <c r="G4445" s="342" t="s">
        <v>2305</v>
      </c>
      <c r="H4445" s="337" t="s">
        <v>3544</v>
      </c>
      <c r="I4445" s="337" t="s">
        <v>33</v>
      </c>
      <c r="J4445" s="352">
        <v>50050.54</v>
      </c>
      <c r="K4445" s="353"/>
      <c r="L4445" s="352">
        <v>30.27</v>
      </c>
      <c r="M4445" s="352">
        <v>30.27</v>
      </c>
      <c r="N4445" s="354">
        <v>21970.32</v>
      </c>
      <c r="O4445" s="355">
        <v>0.2</v>
      </c>
      <c r="P4445" s="355"/>
      <c r="Q4445" s="354">
        <v>15577.45</v>
      </c>
      <c r="R4445" s="337" t="s">
        <v>112</v>
      </c>
      <c r="S4445" s="356" t="s">
        <v>113</v>
      </c>
      <c r="T4445" s="346">
        <v>65</v>
      </c>
      <c r="U4445" s="357" t="s">
        <v>164</v>
      </c>
      <c r="V4445" s="434"/>
      <c r="X4445" s="354">
        <v>15577.45</v>
      </c>
      <c r="Y4445" s="354"/>
      <c r="AI4445" s="354">
        <v>15577.45</v>
      </c>
      <c r="AJ4445" s="358"/>
      <c r="AK4445" s="369"/>
    </row>
    <row r="4446" spans="1:77" s="337" customFormat="1" ht="11.25" customHeight="1">
      <c r="B4446" s="338" t="s">
        <v>291</v>
      </c>
      <c r="C4446" s="349"/>
      <c r="D4446" s="349"/>
      <c r="E4446" s="350" t="s">
        <v>3543</v>
      </c>
      <c r="F4446" s="337" t="s">
        <v>2304</v>
      </c>
      <c r="G4446" s="342" t="s">
        <v>2305</v>
      </c>
      <c r="H4446" s="337" t="s">
        <v>765</v>
      </c>
      <c r="I4446" s="337" t="s">
        <v>33</v>
      </c>
      <c r="J4446" s="352">
        <v>10082.07</v>
      </c>
      <c r="K4446" s="353"/>
      <c r="L4446" s="352">
        <v>8.1</v>
      </c>
      <c r="M4446" s="352">
        <v>8.1</v>
      </c>
      <c r="N4446" s="354">
        <v>3730.37</v>
      </c>
      <c r="O4446" s="355">
        <v>0.2</v>
      </c>
      <c r="P4446" s="355"/>
      <c r="Q4446" s="354">
        <v>522.77</v>
      </c>
      <c r="R4446" s="337" t="s">
        <v>112</v>
      </c>
      <c r="S4446" s="356" t="s">
        <v>113</v>
      </c>
      <c r="T4446" s="346">
        <v>65</v>
      </c>
      <c r="U4446" s="357" t="s">
        <v>164</v>
      </c>
      <c r="V4446" s="434"/>
      <c r="X4446" s="354">
        <v>522.77</v>
      </c>
      <c r="Y4446" s="354"/>
      <c r="AI4446" s="354">
        <v>522.77</v>
      </c>
      <c r="AJ4446" s="358"/>
      <c r="AK4446" s="369"/>
    </row>
    <row r="4447" spans="1:77" s="337" customFormat="1" ht="12" customHeight="1">
      <c r="B4447" s="338" t="s">
        <v>291</v>
      </c>
      <c r="C4447" s="349">
        <v>44790</v>
      </c>
      <c r="D4447" s="349">
        <v>44796</v>
      </c>
      <c r="E4447" s="350" t="s">
        <v>3553</v>
      </c>
      <c r="F4447" s="337" t="s">
        <v>753</v>
      </c>
      <c r="G4447" s="342">
        <v>4361</v>
      </c>
      <c r="H4447" s="337" t="s">
        <v>765</v>
      </c>
      <c r="I4447" s="337" t="s">
        <v>33</v>
      </c>
      <c r="J4447" s="352">
        <v>4727.16</v>
      </c>
      <c r="K4447" s="353"/>
      <c r="L4447" s="352">
        <v>4.7300000000000004</v>
      </c>
      <c r="M4447" s="352">
        <v>4.7300000000000004</v>
      </c>
      <c r="N4447" s="354"/>
      <c r="O4447" s="355">
        <v>0.25</v>
      </c>
      <c r="P4447" s="355"/>
      <c r="Q4447" s="354">
        <v>1534.08</v>
      </c>
      <c r="R4447" s="337" t="s">
        <v>42</v>
      </c>
      <c r="S4447" s="356" t="s">
        <v>41</v>
      </c>
      <c r="T4447" s="346">
        <v>16</v>
      </c>
      <c r="U4447" s="357" t="s">
        <v>164</v>
      </c>
      <c r="V4447" s="434"/>
      <c r="X4447" s="354">
        <v>1534.08</v>
      </c>
      <c r="Y4447" s="354"/>
      <c r="AI4447" s="354">
        <v>1534.08</v>
      </c>
      <c r="AJ4447" s="358"/>
      <c r="AK4447" s="369"/>
    </row>
    <row r="4448" spans="1:77" s="337" customFormat="1" ht="11.25" customHeight="1">
      <c r="B4448" s="338" t="s">
        <v>291</v>
      </c>
      <c r="C4448" s="349"/>
      <c r="D4448" s="349"/>
      <c r="E4448" s="350" t="s">
        <v>3553</v>
      </c>
      <c r="F4448" s="337" t="s">
        <v>753</v>
      </c>
      <c r="G4448" s="342">
        <v>4361</v>
      </c>
      <c r="H4448" s="337" t="s">
        <v>866</v>
      </c>
      <c r="I4448" s="337" t="s">
        <v>33</v>
      </c>
      <c r="J4448" s="352">
        <v>25178.5</v>
      </c>
      <c r="K4448" s="353"/>
      <c r="L4448" s="352">
        <v>16.239999999999998</v>
      </c>
      <c r="M4448" s="352">
        <v>16.239999999999998</v>
      </c>
      <c r="N4448" s="354"/>
      <c r="O4448" s="355">
        <v>0.25</v>
      </c>
      <c r="P4448" s="355"/>
      <c r="Q4448" s="354">
        <v>0</v>
      </c>
      <c r="R4448" s="337" t="s">
        <v>42</v>
      </c>
      <c r="S4448" s="356" t="s">
        <v>41</v>
      </c>
      <c r="T4448" s="346">
        <v>16</v>
      </c>
      <c r="U4448" s="357" t="s">
        <v>164</v>
      </c>
      <c r="V4448" s="434"/>
      <c r="W4448" s="337" t="s">
        <v>3938</v>
      </c>
      <c r="X4448" s="354">
        <v>0</v>
      </c>
      <c r="Y4448" s="354"/>
      <c r="AI4448" s="337">
        <v>0</v>
      </c>
      <c r="AJ4448" s="358"/>
      <c r="AK4448" s="369"/>
    </row>
    <row r="4449" spans="1:77" s="337" customFormat="1" ht="11.25" customHeight="1">
      <c r="B4449" s="338" t="s">
        <v>291</v>
      </c>
      <c r="C4449" s="349"/>
      <c r="D4449" s="349"/>
      <c r="E4449" s="350" t="s">
        <v>3553</v>
      </c>
      <c r="F4449" s="337" t="s">
        <v>753</v>
      </c>
      <c r="G4449" s="342">
        <v>4361</v>
      </c>
      <c r="H4449" s="337" t="s">
        <v>866</v>
      </c>
      <c r="I4449" s="337" t="s">
        <v>33</v>
      </c>
      <c r="J4449" s="352">
        <v>7410.91</v>
      </c>
      <c r="K4449" s="353"/>
      <c r="L4449" s="352">
        <v>4.78</v>
      </c>
      <c r="M4449" s="352">
        <v>4.78</v>
      </c>
      <c r="N4449" s="354"/>
      <c r="O4449" s="355">
        <v>0.25</v>
      </c>
      <c r="P4449" s="355"/>
      <c r="Q4449" s="354">
        <v>9121.84</v>
      </c>
      <c r="R4449" s="337" t="s">
        <v>42</v>
      </c>
      <c r="S4449" s="356" t="s">
        <v>41</v>
      </c>
      <c r="T4449" s="346">
        <v>17</v>
      </c>
      <c r="U4449" s="357" t="s">
        <v>164</v>
      </c>
      <c r="V4449" s="434"/>
      <c r="X4449" s="354">
        <v>9121.84</v>
      </c>
      <c r="Y4449" s="354"/>
      <c r="AI4449" s="354">
        <v>9121.84</v>
      </c>
      <c r="AJ4449" s="358"/>
      <c r="AK4449" s="369"/>
    </row>
    <row r="4450" spans="1:77" s="379" customFormat="1" ht="11.25" customHeight="1">
      <c r="B4450" s="380" t="s">
        <v>291</v>
      </c>
      <c r="C4450" s="381">
        <v>44796</v>
      </c>
      <c r="D4450" s="381">
        <v>44796</v>
      </c>
      <c r="E4450" s="382" t="s">
        <v>3554</v>
      </c>
      <c r="F4450" s="379" t="s">
        <v>3555</v>
      </c>
      <c r="G4450" s="400">
        <v>4341</v>
      </c>
      <c r="H4450" s="379" t="s">
        <v>1027</v>
      </c>
      <c r="I4450" s="379" t="s">
        <v>888</v>
      </c>
      <c r="J4450" s="385">
        <v>7839.5</v>
      </c>
      <c r="K4450" s="384"/>
      <c r="L4450" s="385">
        <v>10.07</v>
      </c>
      <c r="M4450" s="385">
        <v>10</v>
      </c>
      <c r="N4450" s="386"/>
      <c r="O4450" s="387">
        <v>0.15</v>
      </c>
      <c r="P4450" s="387"/>
      <c r="Q4450" s="386">
        <v>5391.83</v>
      </c>
      <c r="R4450" s="379" t="s">
        <v>77</v>
      </c>
      <c r="S4450" s="388" t="s">
        <v>41</v>
      </c>
      <c r="T4450" s="399">
        <v>16</v>
      </c>
      <c r="U4450" s="389" t="s">
        <v>164</v>
      </c>
      <c r="V4450" s="433"/>
      <c r="X4450" s="386">
        <v>5391.83</v>
      </c>
      <c r="Y4450" s="386"/>
      <c r="AJ4450" s="416">
        <v>5391.83</v>
      </c>
    </row>
    <row r="4451" spans="1:77" s="379" customFormat="1" ht="11.25" customHeight="1">
      <c r="B4451" s="380" t="s">
        <v>291</v>
      </c>
      <c r="C4451" s="381"/>
      <c r="D4451" s="381"/>
      <c r="E4451" s="382" t="s">
        <v>3554</v>
      </c>
      <c r="F4451" s="379" t="s">
        <v>3555</v>
      </c>
      <c r="G4451" s="400">
        <v>4341</v>
      </c>
      <c r="H4451" s="379" t="s">
        <v>99</v>
      </c>
      <c r="I4451" s="379" t="s">
        <v>888</v>
      </c>
      <c r="J4451" s="385">
        <v>11777.74</v>
      </c>
      <c r="K4451" s="384"/>
      <c r="L4451" s="385">
        <v>12.61</v>
      </c>
      <c r="M4451" s="385">
        <v>12</v>
      </c>
      <c r="N4451" s="386"/>
      <c r="O4451" s="387">
        <v>0.15</v>
      </c>
      <c r="P4451" s="387"/>
      <c r="Q4451" s="386">
        <v>0</v>
      </c>
      <c r="R4451" s="379" t="s">
        <v>77</v>
      </c>
      <c r="S4451" s="388" t="s">
        <v>41</v>
      </c>
      <c r="T4451" s="399">
        <v>16</v>
      </c>
      <c r="U4451" s="389" t="s">
        <v>164</v>
      </c>
      <c r="V4451" s="433"/>
      <c r="X4451" s="386">
        <v>0</v>
      </c>
      <c r="Y4451" s="386"/>
      <c r="AJ4451" s="390">
        <v>0</v>
      </c>
    </row>
    <row r="4452" spans="1:77" s="379" customFormat="1" ht="11.25" customHeight="1">
      <c r="B4452" s="380" t="s">
        <v>291</v>
      </c>
      <c r="C4452" s="381"/>
      <c r="D4452" s="381"/>
      <c r="E4452" s="382" t="s">
        <v>3554</v>
      </c>
      <c r="F4452" s="379" t="s">
        <v>3555</v>
      </c>
      <c r="G4452" s="400">
        <v>4341</v>
      </c>
      <c r="H4452" s="379" t="s">
        <v>866</v>
      </c>
      <c r="I4452" s="379" t="s">
        <v>888</v>
      </c>
      <c r="J4452" s="385">
        <v>28908</v>
      </c>
      <c r="K4452" s="384"/>
      <c r="L4452" s="385">
        <v>24.09</v>
      </c>
      <c r="M4452" s="385">
        <v>24</v>
      </c>
      <c r="N4452" s="386"/>
      <c r="O4452" s="387">
        <v>0.15</v>
      </c>
      <c r="P4452" s="387"/>
      <c r="Q4452" s="386">
        <v>17633.88</v>
      </c>
      <c r="R4452" s="379" t="s">
        <v>77</v>
      </c>
      <c r="S4452" s="388" t="s">
        <v>41</v>
      </c>
      <c r="T4452" s="399">
        <v>16</v>
      </c>
      <c r="U4452" s="389" t="s">
        <v>164</v>
      </c>
      <c r="V4452" s="433"/>
      <c r="X4452" s="386">
        <v>17633.88</v>
      </c>
      <c r="Y4452" s="386"/>
      <c r="AJ4452" s="416">
        <v>17633.88</v>
      </c>
      <c r="AK4452" s="394"/>
      <c r="AL4452" s="394"/>
      <c r="AM4452" s="394"/>
      <c r="AN4452" s="394"/>
      <c r="AO4452" s="394"/>
      <c r="AP4452" s="394"/>
      <c r="AQ4452" s="394"/>
      <c r="AR4452" s="394"/>
      <c r="AS4452" s="394"/>
      <c r="AT4452" s="394"/>
      <c r="AU4452" s="394"/>
      <c r="AV4452" s="394"/>
      <c r="AW4452" s="394"/>
      <c r="AX4452" s="394"/>
      <c r="AY4452" s="394"/>
      <c r="AZ4452" s="394"/>
      <c r="BA4452" s="394"/>
      <c r="BB4452" s="394"/>
      <c r="BC4452" s="394"/>
      <c r="BD4452" s="394"/>
      <c r="BE4452" s="394"/>
      <c r="BF4452" s="394"/>
      <c r="BG4452" s="394"/>
      <c r="BH4452" s="394"/>
      <c r="BI4452" s="394"/>
      <c r="BJ4452" s="394"/>
      <c r="BK4452" s="394"/>
      <c r="BL4452" s="394"/>
      <c r="BM4452" s="394"/>
      <c r="BN4452" s="394"/>
      <c r="BO4452" s="394"/>
      <c r="BP4452" s="394"/>
      <c r="BQ4452" s="394"/>
      <c r="BR4452" s="394"/>
      <c r="BS4452" s="394"/>
      <c r="BT4452" s="394"/>
      <c r="BU4452" s="394"/>
      <c r="BV4452" s="394"/>
      <c r="BW4452" s="394"/>
      <c r="BX4452" s="394"/>
      <c r="BY4452" s="394"/>
    </row>
    <row r="4453" spans="1:77" s="379" customFormat="1" ht="11.25" customHeight="1">
      <c r="B4453" s="380" t="s">
        <v>291</v>
      </c>
      <c r="C4453" s="381"/>
      <c r="D4453" s="381"/>
      <c r="E4453" s="382" t="s">
        <v>3554</v>
      </c>
      <c r="F4453" s="379" t="s">
        <v>3555</v>
      </c>
      <c r="G4453" s="400">
        <v>4341</v>
      </c>
      <c r="H4453" s="379" t="s">
        <v>207</v>
      </c>
      <c r="I4453" s="379" t="s">
        <v>888</v>
      </c>
      <c r="J4453" s="385">
        <v>793.65</v>
      </c>
      <c r="K4453" s="384"/>
      <c r="L4453" s="385">
        <v>1.3</v>
      </c>
      <c r="M4453" s="385">
        <v>1</v>
      </c>
      <c r="N4453" s="386"/>
      <c r="O4453" s="387">
        <v>0.15</v>
      </c>
      <c r="P4453" s="387"/>
      <c r="Q4453" s="386">
        <v>460.1</v>
      </c>
      <c r="R4453" s="379" t="s">
        <v>77</v>
      </c>
      <c r="S4453" s="388" t="s">
        <v>41</v>
      </c>
      <c r="T4453" s="399">
        <v>16</v>
      </c>
      <c r="U4453" s="389" t="s">
        <v>164</v>
      </c>
      <c r="V4453" s="433"/>
      <c r="X4453" s="386">
        <v>460.1</v>
      </c>
      <c r="Y4453" s="386"/>
      <c r="AJ4453" s="416">
        <v>460.1</v>
      </c>
    </row>
    <row r="4454" spans="1:77" s="379" customFormat="1" ht="11.25" customHeight="1">
      <c r="B4454" s="379" t="s">
        <v>291</v>
      </c>
      <c r="C4454" s="381">
        <v>44795</v>
      </c>
      <c r="D4454" s="381">
        <v>44796</v>
      </c>
      <c r="E4454" s="382" t="s">
        <v>3556</v>
      </c>
      <c r="F4454" s="394" t="s">
        <v>1206</v>
      </c>
      <c r="G4454" s="400" t="s">
        <v>1207</v>
      </c>
      <c r="H4454" s="379" t="s">
        <v>910</v>
      </c>
      <c r="I4454" s="379" t="s">
        <v>1211</v>
      </c>
      <c r="J4454" s="385">
        <v>73783.14</v>
      </c>
      <c r="K4454" s="384"/>
      <c r="L4454" s="385">
        <v>37.090000000000003</v>
      </c>
      <c r="M4454" s="385">
        <v>37.090000000000003</v>
      </c>
      <c r="N4454" s="386"/>
      <c r="O4454" s="387">
        <v>0.2</v>
      </c>
      <c r="P4454" s="387"/>
      <c r="Q4454" s="386">
        <v>12868</v>
      </c>
      <c r="R4454" s="379" t="s">
        <v>257</v>
      </c>
      <c r="S4454" s="399" t="s">
        <v>624</v>
      </c>
      <c r="T4454" s="399">
        <v>32</v>
      </c>
      <c r="U4454" s="389" t="s">
        <v>164</v>
      </c>
      <c r="V4454" s="433"/>
      <c r="X4454" s="386">
        <v>12868</v>
      </c>
      <c r="Y4454" s="386"/>
      <c r="AJ4454" s="416">
        <v>12868</v>
      </c>
    </row>
    <row r="4455" spans="1:77" s="379" customFormat="1" ht="11.25" customHeight="1">
      <c r="B4455" s="406" t="s">
        <v>291</v>
      </c>
      <c r="C4455" s="381">
        <v>44795</v>
      </c>
      <c r="D4455" s="381">
        <v>44796</v>
      </c>
      <c r="E4455" s="382" t="s">
        <v>3557</v>
      </c>
      <c r="F4455" s="379" t="s">
        <v>1198</v>
      </c>
      <c r="G4455" s="400" t="s">
        <v>1199</v>
      </c>
      <c r="H4455" s="379" t="s">
        <v>910</v>
      </c>
      <c r="I4455" s="379" t="s">
        <v>1211</v>
      </c>
      <c r="J4455" s="385">
        <v>42909.2</v>
      </c>
      <c r="K4455" s="384"/>
      <c r="L4455" s="385">
        <v>21.57</v>
      </c>
      <c r="M4455" s="385">
        <v>21.57</v>
      </c>
      <c r="N4455" s="386"/>
      <c r="O4455" s="387">
        <v>0.2</v>
      </c>
      <c r="P4455" s="387"/>
      <c r="Q4455" s="386">
        <v>7488.5</v>
      </c>
      <c r="R4455" s="379" t="s">
        <v>257</v>
      </c>
      <c r="S4455" s="388" t="s">
        <v>624</v>
      </c>
      <c r="T4455" s="399">
        <v>32</v>
      </c>
      <c r="U4455" s="389" t="s">
        <v>164</v>
      </c>
      <c r="V4455" s="433"/>
      <c r="X4455" s="386">
        <v>7488.5</v>
      </c>
      <c r="Y4455" s="386"/>
      <c r="AJ4455" s="416">
        <v>7488.5</v>
      </c>
    </row>
    <row r="4456" spans="1:77" s="261" customFormat="1" ht="11.25" customHeight="1">
      <c r="B4456" s="270" t="s">
        <v>291</v>
      </c>
      <c r="C4456" s="259">
        <v>44783</v>
      </c>
      <c r="D4456" s="259">
        <v>44795</v>
      </c>
      <c r="E4456" s="260" t="s">
        <v>3561</v>
      </c>
      <c r="F4456" s="273" t="s">
        <v>3562</v>
      </c>
      <c r="G4456" s="276" t="s">
        <v>3563</v>
      </c>
      <c r="H4456" s="261" t="s">
        <v>866</v>
      </c>
      <c r="I4456" s="264" t="s">
        <v>33</v>
      </c>
      <c r="J4456" s="263">
        <v>21276</v>
      </c>
      <c r="K4456" s="264"/>
      <c r="L4456" s="263">
        <v>9.85</v>
      </c>
      <c r="M4456" s="263">
        <v>9</v>
      </c>
      <c r="N4456" s="265"/>
      <c r="O4456" s="266">
        <v>0.25</v>
      </c>
      <c r="P4456" s="266"/>
      <c r="Q4456" s="265">
        <v>0</v>
      </c>
      <c r="R4456" s="261" t="s">
        <v>112</v>
      </c>
      <c r="S4456" s="267" t="s">
        <v>113</v>
      </c>
      <c r="T4456" s="279">
        <v>64</v>
      </c>
      <c r="U4456" s="268" t="s">
        <v>164</v>
      </c>
      <c r="V4456" s="427"/>
      <c r="X4456" s="265">
        <v>0</v>
      </c>
      <c r="Y4456" s="265"/>
      <c r="AG4456" s="261">
        <f>X4456</f>
        <v>0</v>
      </c>
      <c r="AJ4456" s="642"/>
    </row>
    <row r="4457" spans="1:77" s="571" customFormat="1" ht="11.25" customHeight="1">
      <c r="A4457" s="546"/>
      <c r="B4457" s="559" t="s">
        <v>291</v>
      </c>
      <c r="C4457" s="547">
        <v>44797</v>
      </c>
      <c r="D4457" s="547">
        <v>44797</v>
      </c>
      <c r="E4457" s="548" t="s">
        <v>3558</v>
      </c>
      <c r="F4457" s="546" t="s">
        <v>2588</v>
      </c>
      <c r="G4457" s="562">
        <v>3932</v>
      </c>
      <c r="H4457" s="546" t="s">
        <v>814</v>
      </c>
      <c r="I4457" s="551" t="s">
        <v>888</v>
      </c>
      <c r="J4457" s="550">
        <v>16906.96</v>
      </c>
      <c r="K4457" s="551"/>
      <c r="L4457" s="550">
        <v>18.16</v>
      </c>
      <c r="M4457" s="550">
        <v>18.16</v>
      </c>
      <c r="N4457" s="552">
        <v>8408</v>
      </c>
      <c r="O4457" s="553">
        <v>0.2</v>
      </c>
      <c r="P4457" s="553"/>
      <c r="Q4457" s="574">
        <v>2687.37</v>
      </c>
      <c r="R4457" s="546" t="s">
        <v>105</v>
      </c>
      <c r="S4457" s="554" t="s">
        <v>30</v>
      </c>
      <c r="T4457" s="567">
        <v>39</v>
      </c>
      <c r="U4457" s="555" t="s">
        <v>164</v>
      </c>
      <c r="V4457" s="556"/>
      <c r="W4457" s="546"/>
      <c r="X4457" s="574">
        <v>2687.37</v>
      </c>
      <c r="Y4457" s="552"/>
      <c r="Z4457" s="546"/>
      <c r="AA4457" s="546"/>
      <c r="AB4457" s="546"/>
      <c r="AC4457" s="546"/>
      <c r="AD4457" s="546"/>
      <c r="AE4457" s="546"/>
      <c r="AF4457" s="546"/>
      <c r="AG4457" s="546"/>
      <c r="AH4457" s="546"/>
      <c r="AI4457" s="546"/>
      <c r="AJ4457" s="557"/>
      <c r="AK4457" s="546"/>
      <c r="AL4457" s="546"/>
      <c r="AM4457" s="577">
        <v>2687.37</v>
      </c>
      <c r="AN4457" s="546"/>
      <c r="AO4457" s="546"/>
      <c r="AP4457" s="546"/>
      <c r="AQ4457" s="546"/>
      <c r="AR4457" s="546"/>
      <c r="AS4457" s="546"/>
      <c r="AT4457" s="546"/>
      <c r="AU4457" s="546"/>
      <c r="AV4457" s="546"/>
      <c r="AW4457" s="546"/>
      <c r="AX4457" s="546"/>
      <c r="AY4457" s="546"/>
      <c r="AZ4457" s="546"/>
      <c r="BA4457" s="546"/>
      <c r="BB4457" s="546"/>
      <c r="BC4457" s="546"/>
      <c r="BD4457" s="546"/>
      <c r="BE4457" s="546"/>
      <c r="BF4457" s="546"/>
      <c r="BG4457" s="546"/>
      <c r="BH4457" s="546"/>
      <c r="BI4457" s="546"/>
      <c r="BJ4457" s="546"/>
      <c r="BK4457" s="546"/>
      <c r="BL4457" s="546"/>
      <c r="BM4457" s="546"/>
      <c r="BN4457" s="546"/>
      <c r="BO4457" s="546"/>
      <c r="BP4457" s="546"/>
      <c r="BQ4457" s="546"/>
      <c r="BR4457" s="546"/>
      <c r="BS4457" s="546"/>
      <c r="BT4457" s="546"/>
      <c r="BU4457" s="546"/>
      <c r="BV4457" s="546"/>
      <c r="BW4457" s="546"/>
      <c r="BX4457" s="546"/>
      <c r="BY4457" s="546"/>
    </row>
    <row r="4458" spans="1:77" s="571" customFormat="1" ht="11.25" customHeight="1">
      <c r="A4458" s="546"/>
      <c r="B4458" s="559" t="s">
        <v>291</v>
      </c>
      <c r="C4458" s="547"/>
      <c r="D4458" s="547"/>
      <c r="E4458" s="548" t="s">
        <v>3558</v>
      </c>
      <c r="F4458" s="558" t="s">
        <v>2588</v>
      </c>
      <c r="G4458" s="562">
        <v>3932</v>
      </c>
      <c r="H4458" s="546" t="s">
        <v>866</v>
      </c>
      <c r="I4458" s="551" t="s">
        <v>888</v>
      </c>
      <c r="J4458" s="550">
        <v>30421.64</v>
      </c>
      <c r="K4458" s="551"/>
      <c r="L4458" s="550">
        <v>15.38</v>
      </c>
      <c r="M4458" s="550">
        <v>15.38</v>
      </c>
      <c r="N4458" s="552">
        <v>10427</v>
      </c>
      <c r="O4458" s="553">
        <v>0.2</v>
      </c>
      <c r="P4458" s="553"/>
      <c r="Q4458" s="552">
        <v>0</v>
      </c>
      <c r="R4458" s="546" t="s">
        <v>105</v>
      </c>
      <c r="S4458" s="554" t="s">
        <v>30</v>
      </c>
      <c r="T4458" s="567">
        <v>39</v>
      </c>
      <c r="U4458" s="555" t="s">
        <v>164</v>
      </c>
      <c r="V4458" s="556"/>
      <c r="W4458" s="546"/>
      <c r="X4458" s="552">
        <v>0</v>
      </c>
      <c r="Y4458" s="552"/>
      <c r="Z4458" s="546"/>
      <c r="AA4458" s="546"/>
      <c r="AB4458" s="546"/>
      <c r="AC4458" s="546"/>
      <c r="AD4458" s="546"/>
      <c r="AE4458" s="546"/>
      <c r="AF4458" s="546"/>
      <c r="AG4458" s="546"/>
      <c r="AH4458" s="546"/>
      <c r="AI4458" s="546"/>
      <c r="AJ4458" s="557"/>
      <c r="AK4458" s="546"/>
      <c r="AL4458" s="546"/>
      <c r="AM4458" s="546">
        <v>0</v>
      </c>
      <c r="AN4458" s="546"/>
      <c r="AO4458" s="546"/>
      <c r="AP4458" s="546"/>
      <c r="AQ4458" s="546"/>
      <c r="AR4458" s="546"/>
      <c r="AS4458" s="546"/>
      <c r="AT4458" s="546"/>
      <c r="AU4458" s="546"/>
      <c r="AV4458" s="546"/>
      <c r="AW4458" s="546"/>
      <c r="AX4458" s="546"/>
      <c r="AY4458" s="546"/>
      <c r="AZ4458" s="546"/>
      <c r="BA4458" s="546"/>
      <c r="BB4458" s="546"/>
      <c r="BC4458" s="546"/>
      <c r="BD4458" s="546"/>
      <c r="BE4458" s="546"/>
      <c r="BF4458" s="546"/>
      <c r="BG4458" s="546"/>
      <c r="BH4458" s="546"/>
      <c r="BI4458" s="546"/>
      <c r="BJ4458" s="546"/>
      <c r="BK4458" s="546"/>
      <c r="BL4458" s="546"/>
      <c r="BM4458" s="546"/>
      <c r="BN4458" s="546"/>
      <c r="BO4458" s="546"/>
      <c r="BP4458" s="546"/>
      <c r="BQ4458" s="546"/>
      <c r="BR4458" s="546"/>
      <c r="BS4458" s="546"/>
      <c r="BT4458" s="546"/>
      <c r="BU4458" s="546"/>
      <c r="BV4458" s="546"/>
      <c r="BW4458" s="546"/>
      <c r="BX4458" s="546"/>
      <c r="BY4458" s="546"/>
    </row>
    <row r="4459" spans="1:77" s="473" customFormat="1" ht="11.25" customHeight="1">
      <c r="B4459" s="486" t="s">
        <v>291</v>
      </c>
      <c r="C4459" s="487">
        <v>44798</v>
      </c>
      <c r="D4459" s="487">
        <v>44798</v>
      </c>
      <c r="E4459" s="488" t="s">
        <v>3559</v>
      </c>
      <c r="F4459" s="472" t="s">
        <v>678</v>
      </c>
      <c r="G4459" s="476">
        <v>3918</v>
      </c>
      <c r="H4459" s="473" t="s">
        <v>814</v>
      </c>
      <c r="I4459" s="491" t="s">
        <v>1211</v>
      </c>
      <c r="J4459" s="490">
        <v>27470.400000000001</v>
      </c>
      <c r="K4459" s="491"/>
      <c r="L4459" s="490">
        <v>19.399999999999999</v>
      </c>
      <c r="M4459" s="490">
        <v>19.399999999999999</v>
      </c>
      <c r="N4459" s="492"/>
      <c r="O4459" s="493">
        <v>0.15</v>
      </c>
      <c r="P4459" s="493"/>
      <c r="Q4459" s="492">
        <v>20754.12</v>
      </c>
      <c r="R4459" s="473" t="s">
        <v>35</v>
      </c>
      <c r="S4459" s="481" t="s">
        <v>41</v>
      </c>
      <c r="T4459" s="482">
        <v>86</v>
      </c>
      <c r="U4459" s="494" t="s">
        <v>164</v>
      </c>
      <c r="V4459" s="495"/>
      <c r="X4459" s="492">
        <v>20754.12</v>
      </c>
      <c r="Y4459" s="492"/>
      <c r="AJ4459" s="485"/>
      <c r="AK4459" s="505">
        <v>20754.12</v>
      </c>
    </row>
    <row r="4460" spans="1:77" s="337" customFormat="1" ht="11.25" customHeight="1">
      <c r="B4460" s="338" t="s">
        <v>291</v>
      </c>
      <c r="C4460" s="349">
        <v>44798</v>
      </c>
      <c r="D4460" s="349">
        <v>44798</v>
      </c>
      <c r="E4460" s="350" t="s">
        <v>3560</v>
      </c>
      <c r="F4460" s="341" t="s">
        <v>200</v>
      </c>
      <c r="G4460" s="342">
        <v>4348</v>
      </c>
      <c r="H4460" s="337" t="s">
        <v>765</v>
      </c>
      <c r="I4460" s="353" t="s">
        <v>888</v>
      </c>
      <c r="J4460" s="352">
        <v>9534.49</v>
      </c>
      <c r="K4460" s="353"/>
      <c r="L4460" s="352">
        <v>11.06</v>
      </c>
      <c r="M4460" s="352">
        <v>11.06</v>
      </c>
      <c r="N4460" s="354"/>
      <c r="O4460" s="355">
        <v>0.25</v>
      </c>
      <c r="P4460" s="355"/>
      <c r="Q4460" s="354">
        <v>0</v>
      </c>
      <c r="R4460" s="337" t="s">
        <v>146</v>
      </c>
      <c r="S4460" s="356" t="s">
        <v>74</v>
      </c>
      <c r="T4460" s="346">
        <v>31</v>
      </c>
      <c r="U4460" s="357" t="s">
        <v>164</v>
      </c>
      <c r="V4460" s="434"/>
      <c r="X4460" s="354">
        <v>0</v>
      </c>
      <c r="Y4460" s="354"/>
      <c r="AI4460" s="337">
        <v>0</v>
      </c>
      <c r="AJ4460" s="358"/>
      <c r="AK4460" s="369"/>
    </row>
    <row r="4461" spans="1:77" s="337" customFormat="1" ht="11.25" customHeight="1">
      <c r="B4461" s="338" t="s">
        <v>291</v>
      </c>
      <c r="C4461" s="349"/>
      <c r="D4461" s="349"/>
      <c r="E4461" s="350" t="s">
        <v>3565</v>
      </c>
      <c r="F4461" s="341" t="s">
        <v>3566</v>
      </c>
      <c r="G4461" s="342">
        <v>4182</v>
      </c>
      <c r="H4461" s="337" t="s">
        <v>866</v>
      </c>
      <c r="I4461" s="353" t="s">
        <v>33</v>
      </c>
      <c r="J4461" s="352">
        <v>20519.64</v>
      </c>
      <c r="K4461" s="353"/>
      <c r="L4461" s="352">
        <v>11.73</v>
      </c>
      <c r="M4461" s="352">
        <v>11.73</v>
      </c>
      <c r="N4461" s="354">
        <v>4103.92</v>
      </c>
      <c r="O4461" s="355">
        <v>0.25</v>
      </c>
      <c r="P4461" s="355"/>
      <c r="Q4461" s="354">
        <v>0</v>
      </c>
      <c r="R4461" s="337" t="s">
        <v>54</v>
      </c>
      <c r="S4461" s="356" t="s">
        <v>228</v>
      </c>
      <c r="T4461" s="346">
        <v>91</v>
      </c>
      <c r="U4461" s="357" t="s">
        <v>164</v>
      </c>
      <c r="V4461" s="434"/>
      <c r="X4461" s="354">
        <v>0</v>
      </c>
      <c r="Y4461" s="354"/>
      <c r="AI4461" s="337">
        <f>X4461</f>
        <v>0</v>
      </c>
      <c r="AJ4461" s="358"/>
      <c r="AK4461" s="369"/>
    </row>
    <row r="4462" spans="1:77" s="337" customFormat="1" ht="11.25" customHeight="1">
      <c r="B4462" s="338" t="s">
        <v>291</v>
      </c>
      <c r="C4462" s="349">
        <v>44798</v>
      </c>
      <c r="D4462" s="349">
        <v>44798</v>
      </c>
      <c r="E4462" s="350" t="s">
        <v>3565</v>
      </c>
      <c r="F4462" s="341" t="s">
        <v>3566</v>
      </c>
      <c r="G4462" s="342">
        <v>4182</v>
      </c>
      <c r="H4462" s="337" t="s">
        <v>408</v>
      </c>
      <c r="I4462" s="353" t="s">
        <v>33</v>
      </c>
      <c r="J4462" s="352">
        <v>43235.39</v>
      </c>
      <c r="K4462" s="353"/>
      <c r="L4462" s="352">
        <v>22.06</v>
      </c>
      <c r="M4462" s="352">
        <v>22.06</v>
      </c>
      <c r="N4462" s="354">
        <v>15132.38</v>
      </c>
      <c r="O4462" s="355">
        <v>0.25</v>
      </c>
      <c r="P4462" s="355"/>
      <c r="Q4462" s="354">
        <v>0</v>
      </c>
      <c r="R4462" s="337" t="s">
        <v>54</v>
      </c>
      <c r="S4462" s="356" t="s">
        <v>228</v>
      </c>
      <c r="T4462" s="346">
        <v>91</v>
      </c>
      <c r="U4462" s="357" t="s">
        <v>164</v>
      </c>
      <c r="V4462" s="434"/>
      <c r="X4462" s="354">
        <v>0</v>
      </c>
      <c r="Y4462" s="354"/>
      <c r="AI4462" s="337">
        <v>0</v>
      </c>
      <c r="AJ4462" s="358"/>
      <c r="AK4462" s="369"/>
    </row>
    <row r="4463" spans="1:77" s="337" customFormat="1" ht="11.25" customHeight="1">
      <c r="A4463" s="379"/>
      <c r="B4463" s="380" t="s">
        <v>291</v>
      </c>
      <c r="C4463" s="381"/>
      <c r="D4463" s="381"/>
      <c r="E4463" s="382" t="s">
        <v>3567</v>
      </c>
      <c r="F4463" s="394" t="s">
        <v>3568</v>
      </c>
      <c r="G4463" s="400" t="s">
        <v>3569</v>
      </c>
      <c r="H4463" s="379" t="s">
        <v>866</v>
      </c>
      <c r="I4463" s="384" t="s">
        <v>888</v>
      </c>
      <c r="J4463" s="385">
        <v>16552.8</v>
      </c>
      <c r="K4463" s="384"/>
      <c r="L4463" s="385">
        <v>9</v>
      </c>
      <c r="M4463" s="385">
        <v>9</v>
      </c>
      <c r="N4463" s="386">
        <v>7448.76</v>
      </c>
      <c r="O4463" s="387">
        <v>0.25</v>
      </c>
      <c r="P4463" s="387"/>
      <c r="Q4463" s="386">
        <v>4871.79</v>
      </c>
      <c r="R4463" s="379" t="s">
        <v>112</v>
      </c>
      <c r="S4463" s="388" t="s">
        <v>113</v>
      </c>
      <c r="T4463" s="399">
        <v>64</v>
      </c>
      <c r="U4463" s="389" t="s">
        <v>164</v>
      </c>
      <c r="V4463" s="433"/>
      <c r="W4463" s="379"/>
      <c r="X4463" s="386">
        <v>4871.79</v>
      </c>
      <c r="Y4463" s="386"/>
      <c r="Z4463" s="379"/>
      <c r="AA4463" s="379"/>
      <c r="AB4463" s="379"/>
      <c r="AC4463" s="379"/>
      <c r="AD4463" s="379"/>
      <c r="AE4463" s="379"/>
      <c r="AF4463" s="379"/>
      <c r="AG4463" s="379"/>
      <c r="AH4463" s="379"/>
      <c r="AI4463" s="379"/>
      <c r="AJ4463" s="416">
        <v>4871.79</v>
      </c>
      <c r="AK4463" s="379"/>
      <c r="AL4463" s="379"/>
      <c r="AM4463" s="379"/>
      <c r="AN4463" s="379"/>
      <c r="AO4463" s="379"/>
      <c r="AP4463" s="379"/>
      <c r="AQ4463" s="379"/>
      <c r="AR4463" s="379"/>
      <c r="AS4463" s="379"/>
      <c r="AT4463" s="379"/>
      <c r="AU4463" s="379"/>
      <c r="AV4463" s="379"/>
      <c r="AW4463" s="379"/>
      <c r="AX4463" s="379"/>
      <c r="AY4463" s="379"/>
      <c r="AZ4463" s="379"/>
      <c r="BA4463" s="379"/>
      <c r="BB4463" s="379"/>
      <c r="BC4463" s="379"/>
      <c r="BD4463" s="379"/>
      <c r="BE4463" s="379"/>
      <c r="BF4463" s="379"/>
      <c r="BG4463" s="379"/>
      <c r="BH4463" s="379"/>
      <c r="BI4463" s="379"/>
      <c r="BJ4463" s="379"/>
      <c r="BK4463" s="379"/>
      <c r="BL4463" s="379"/>
      <c r="BM4463" s="379"/>
      <c r="BN4463" s="379"/>
      <c r="BO4463" s="379"/>
      <c r="BP4463" s="379"/>
      <c r="BQ4463" s="379"/>
      <c r="BR4463" s="379"/>
      <c r="BS4463" s="379"/>
      <c r="BT4463" s="379"/>
      <c r="BU4463" s="379"/>
      <c r="BV4463" s="379"/>
      <c r="BW4463" s="379"/>
      <c r="BX4463" s="379"/>
      <c r="BY4463" s="379"/>
    </row>
    <row r="4464" spans="1:77" s="337" customFormat="1" ht="11.25" customHeight="1">
      <c r="B4464" s="338" t="s">
        <v>291</v>
      </c>
      <c r="C4464" s="349">
        <v>44795</v>
      </c>
      <c r="D4464" s="349">
        <v>44798</v>
      </c>
      <c r="E4464" s="350" t="s">
        <v>3567</v>
      </c>
      <c r="F4464" s="341" t="s">
        <v>3568</v>
      </c>
      <c r="G4464" s="342" t="s">
        <v>3569</v>
      </c>
      <c r="H4464" s="337" t="s">
        <v>2171</v>
      </c>
      <c r="I4464" s="353" t="s">
        <v>888</v>
      </c>
      <c r="J4464" s="352">
        <v>27588</v>
      </c>
      <c r="K4464" s="353"/>
      <c r="L4464" s="352">
        <v>15</v>
      </c>
      <c r="M4464" s="352">
        <v>15</v>
      </c>
      <c r="N4464" s="354">
        <v>6713.08</v>
      </c>
      <c r="O4464" s="355">
        <v>0.25</v>
      </c>
      <c r="P4464" s="355"/>
      <c r="Q4464" s="354">
        <v>0</v>
      </c>
      <c r="R4464" s="337" t="s">
        <v>112</v>
      </c>
      <c r="S4464" s="356" t="s">
        <v>113</v>
      </c>
      <c r="T4464" s="346">
        <v>64</v>
      </c>
      <c r="U4464" s="357" t="s">
        <v>164</v>
      </c>
      <c r="V4464" s="434"/>
      <c r="X4464" s="354">
        <v>0</v>
      </c>
      <c r="Y4464" s="354"/>
      <c r="AI4464" s="337">
        <v>0</v>
      </c>
      <c r="AJ4464" s="358"/>
      <c r="AK4464" s="369"/>
    </row>
    <row r="4465" spans="1:77" s="291" customFormat="1" ht="11.25" customHeight="1">
      <c r="B4465" s="310" t="s">
        <v>291</v>
      </c>
      <c r="C4465" s="292">
        <v>44798</v>
      </c>
      <c r="D4465" s="292">
        <v>44798</v>
      </c>
      <c r="E4465" s="293" t="s">
        <v>3570</v>
      </c>
      <c r="F4465" s="303" t="s">
        <v>3571</v>
      </c>
      <c r="G4465" s="304" t="s">
        <v>3572</v>
      </c>
      <c r="H4465" s="291" t="s">
        <v>866</v>
      </c>
      <c r="I4465" s="295" t="s">
        <v>888</v>
      </c>
      <c r="J4465" s="296">
        <v>10381.65</v>
      </c>
      <c r="K4465" s="295"/>
      <c r="L4465" s="296">
        <v>6.7</v>
      </c>
      <c r="M4465" s="296">
        <v>6.7</v>
      </c>
      <c r="N4465" s="297">
        <v>3446.09</v>
      </c>
      <c r="O4465" s="298">
        <v>0.25</v>
      </c>
      <c r="P4465" s="298"/>
      <c r="Q4465" s="297">
        <v>0</v>
      </c>
      <c r="R4465" s="291" t="s">
        <v>112</v>
      </c>
      <c r="S4465" s="299" t="s">
        <v>113</v>
      </c>
      <c r="T4465" s="308">
        <v>64</v>
      </c>
      <c r="U4465" s="300" t="s">
        <v>164</v>
      </c>
      <c r="V4465" s="333"/>
      <c r="X4465" s="297">
        <v>0</v>
      </c>
      <c r="Y4465" s="297"/>
      <c r="AH4465" s="311">
        <f>X4465</f>
        <v>0</v>
      </c>
      <c r="AI4465" s="311"/>
      <c r="AJ4465" s="468"/>
    </row>
    <row r="4466" spans="1:77" s="582" customFormat="1" ht="11.25" customHeight="1">
      <c r="B4466" s="582" t="s">
        <v>291</v>
      </c>
      <c r="C4466" s="583">
        <v>44797</v>
      </c>
      <c r="D4466" s="583">
        <v>44799</v>
      </c>
      <c r="E4466" s="584" t="s">
        <v>3573</v>
      </c>
      <c r="F4466" s="582" t="s">
        <v>1956</v>
      </c>
      <c r="G4466" s="585" t="s">
        <v>1957</v>
      </c>
      <c r="H4466" s="582" t="s">
        <v>814</v>
      </c>
      <c r="I4466" s="586" t="s">
        <v>33</v>
      </c>
      <c r="J4466" s="587">
        <v>2122.16</v>
      </c>
      <c r="K4466" s="586"/>
      <c r="L4466" s="587">
        <v>2.2000000000000002</v>
      </c>
      <c r="M4466" s="587">
        <v>2.2000000000000002</v>
      </c>
      <c r="N4466" s="588">
        <v>297.10000000000002</v>
      </c>
      <c r="O4466" s="589">
        <v>0.25</v>
      </c>
      <c r="P4466" s="589"/>
      <c r="Q4466" s="588">
        <v>0</v>
      </c>
      <c r="R4466" s="582" t="s">
        <v>29</v>
      </c>
      <c r="S4466" s="590" t="s">
        <v>275</v>
      </c>
      <c r="T4466" s="591">
        <v>21</v>
      </c>
      <c r="U4466" s="592" t="s">
        <v>164</v>
      </c>
      <c r="V4466" s="593"/>
      <c r="X4466" s="588">
        <v>0</v>
      </c>
      <c r="Y4466" s="588"/>
      <c r="AJ4466" s="594"/>
      <c r="AN4466" s="582">
        <v>0</v>
      </c>
    </row>
    <row r="4467" spans="1:77" s="379" customFormat="1" ht="11.25" customHeight="1">
      <c r="B4467" s="379" t="s">
        <v>291</v>
      </c>
      <c r="C4467" s="381">
        <v>44797</v>
      </c>
      <c r="D4467" s="381">
        <v>44799</v>
      </c>
      <c r="E4467" s="382" t="s">
        <v>3574</v>
      </c>
      <c r="F4467" s="394" t="s">
        <v>3575</v>
      </c>
      <c r="G4467" s="400" t="s">
        <v>3576</v>
      </c>
      <c r="H4467" s="379" t="s">
        <v>1138</v>
      </c>
      <c r="I4467" s="384" t="s">
        <v>888</v>
      </c>
      <c r="J4467" s="385">
        <v>208630.5</v>
      </c>
      <c r="K4467" s="384"/>
      <c r="L4467" s="385">
        <v>106.99</v>
      </c>
      <c r="M4467" s="385">
        <v>106.99</v>
      </c>
      <c r="N4467" s="386">
        <v>104315</v>
      </c>
      <c r="O4467" s="387">
        <v>0.15</v>
      </c>
      <c r="P4467" s="387"/>
      <c r="Q4467" s="386">
        <v>56469.32</v>
      </c>
      <c r="R4467" s="379" t="s">
        <v>257</v>
      </c>
      <c r="S4467" s="388" t="s">
        <v>74</v>
      </c>
      <c r="T4467" s="399">
        <v>32</v>
      </c>
      <c r="U4467" s="389" t="s">
        <v>164</v>
      </c>
      <c r="V4467" s="433"/>
      <c r="X4467" s="386">
        <v>56469.32</v>
      </c>
      <c r="Y4467" s="386"/>
      <c r="AJ4467" s="416">
        <v>56469.32</v>
      </c>
    </row>
    <row r="4468" spans="1:77" s="379" customFormat="1" ht="11.25" customHeight="1">
      <c r="B4468" s="379" t="s">
        <v>291</v>
      </c>
      <c r="C4468" s="381"/>
      <c r="D4468" s="381"/>
      <c r="E4468" s="382" t="s">
        <v>3574</v>
      </c>
      <c r="F4468" s="394" t="s">
        <v>3575</v>
      </c>
      <c r="G4468" s="400" t="s">
        <v>3576</v>
      </c>
      <c r="H4468" s="379" t="s">
        <v>1018</v>
      </c>
      <c r="I4468" s="384" t="s">
        <v>888</v>
      </c>
      <c r="J4468" s="385">
        <v>115551.61</v>
      </c>
      <c r="K4468" s="384"/>
      <c r="L4468" s="385">
        <v>99.22</v>
      </c>
      <c r="M4468" s="385">
        <v>99.22</v>
      </c>
      <c r="N4468" s="386">
        <v>40442</v>
      </c>
      <c r="O4468" s="387">
        <v>0.15</v>
      </c>
      <c r="P4468" s="387"/>
      <c r="Q4468" s="386">
        <v>24843.599999999999</v>
      </c>
      <c r="R4468" s="379" t="s">
        <v>257</v>
      </c>
      <c r="S4468" s="388" t="s">
        <v>74</v>
      </c>
      <c r="T4468" s="399">
        <v>32</v>
      </c>
      <c r="U4468" s="389" t="s">
        <v>164</v>
      </c>
      <c r="V4468" s="433"/>
      <c r="X4468" s="386">
        <v>24843.599999999999</v>
      </c>
      <c r="Y4468" s="386"/>
      <c r="AJ4468" s="416">
        <v>24843.599999999999</v>
      </c>
    </row>
    <row r="4469" spans="1:77" s="379" customFormat="1" ht="11.25" customHeight="1">
      <c r="B4469" s="379" t="s">
        <v>291</v>
      </c>
      <c r="C4469" s="381">
        <v>44797</v>
      </c>
      <c r="D4469" s="381">
        <v>44799</v>
      </c>
      <c r="E4469" s="382" t="s">
        <v>3577</v>
      </c>
      <c r="F4469" s="394" t="s">
        <v>3578</v>
      </c>
      <c r="G4469" s="400" t="s">
        <v>3579</v>
      </c>
      <c r="H4469" s="379" t="s">
        <v>1018</v>
      </c>
      <c r="I4469" s="384" t="s">
        <v>961</v>
      </c>
      <c r="J4469" s="385">
        <v>38967.519999999997</v>
      </c>
      <c r="K4469" s="384"/>
      <c r="L4469" s="385">
        <v>33.46</v>
      </c>
      <c r="M4469" s="385">
        <v>33.46</v>
      </c>
      <c r="N4469" s="386">
        <v>13638</v>
      </c>
      <c r="O4469" s="387">
        <v>0.15</v>
      </c>
      <c r="P4469" s="387"/>
      <c r="Q4469" s="386">
        <v>8702.75</v>
      </c>
      <c r="R4469" s="379" t="s">
        <v>257</v>
      </c>
      <c r="S4469" s="388" t="s">
        <v>74</v>
      </c>
      <c r="T4469" s="399">
        <v>32</v>
      </c>
      <c r="U4469" s="389" t="s">
        <v>164</v>
      </c>
      <c r="V4469" s="433"/>
      <c r="X4469" s="386">
        <v>8702.75</v>
      </c>
      <c r="Y4469" s="386"/>
      <c r="AJ4469" s="416">
        <v>8702.75</v>
      </c>
    </row>
    <row r="4470" spans="1:77" s="337" customFormat="1" ht="11.25" customHeight="1">
      <c r="B4470" s="337" t="s">
        <v>291</v>
      </c>
      <c r="C4470" s="349">
        <v>44798</v>
      </c>
      <c r="D4470" s="349">
        <v>44799</v>
      </c>
      <c r="E4470" s="350" t="s">
        <v>3580</v>
      </c>
      <c r="F4470" s="341" t="s">
        <v>3581</v>
      </c>
      <c r="G4470" s="342" t="s">
        <v>3582</v>
      </c>
      <c r="H4470" s="337" t="s">
        <v>866</v>
      </c>
      <c r="I4470" s="353" t="s">
        <v>961</v>
      </c>
      <c r="J4470" s="352">
        <v>56501.760000000002</v>
      </c>
      <c r="K4470" s="353"/>
      <c r="L4470" s="352">
        <v>31.53</v>
      </c>
      <c r="M4470" s="352">
        <v>31.53</v>
      </c>
      <c r="N4470" s="354">
        <v>39551.230000000003</v>
      </c>
      <c r="O4470" s="355">
        <v>0.2</v>
      </c>
      <c r="P4470" s="355"/>
      <c r="Q4470" s="354">
        <v>0</v>
      </c>
      <c r="R4470" s="337" t="s">
        <v>112</v>
      </c>
      <c r="S4470" s="356" t="s">
        <v>113</v>
      </c>
      <c r="T4470" s="346">
        <v>64</v>
      </c>
      <c r="U4470" s="357" t="s">
        <v>164</v>
      </c>
      <c r="V4470" s="434"/>
      <c r="X4470" s="354">
        <v>0</v>
      </c>
      <c r="Y4470" s="354"/>
      <c r="AI4470" s="337">
        <v>0</v>
      </c>
      <c r="AJ4470" s="358"/>
      <c r="AK4470" s="369"/>
    </row>
    <row r="4471" spans="1:77" s="337" customFormat="1" ht="11.25" customHeight="1">
      <c r="B4471" s="337" t="s">
        <v>291</v>
      </c>
      <c r="C4471" s="349"/>
      <c r="D4471" s="349"/>
      <c r="E4471" s="350" t="s">
        <v>3580</v>
      </c>
      <c r="F4471" s="341" t="s">
        <v>3581</v>
      </c>
      <c r="G4471" s="342" t="s">
        <v>3582</v>
      </c>
      <c r="H4471" s="337" t="s">
        <v>765</v>
      </c>
      <c r="I4471" s="353" t="s">
        <v>961</v>
      </c>
      <c r="J4471" s="352">
        <v>82176.81</v>
      </c>
      <c r="K4471" s="353"/>
      <c r="L4471" s="352">
        <v>45.73</v>
      </c>
      <c r="M4471" s="352">
        <v>45.73</v>
      </c>
      <c r="N4471" s="354">
        <v>38734.33</v>
      </c>
      <c r="O4471" s="355">
        <v>0.2</v>
      </c>
      <c r="P4471" s="355"/>
      <c r="Q4471" s="354">
        <v>0</v>
      </c>
      <c r="R4471" s="337" t="s">
        <v>112</v>
      </c>
      <c r="S4471" s="356" t="s">
        <v>113</v>
      </c>
      <c r="T4471" s="346">
        <v>64</v>
      </c>
      <c r="U4471" s="357" t="s">
        <v>164</v>
      </c>
      <c r="V4471" s="434"/>
      <c r="X4471" s="354">
        <v>0</v>
      </c>
      <c r="Y4471" s="354"/>
      <c r="AI4471" s="337">
        <v>0</v>
      </c>
      <c r="AJ4471" s="358"/>
      <c r="AK4471" s="369"/>
    </row>
    <row r="4472" spans="1:77" s="337" customFormat="1" ht="11.25" customHeight="1">
      <c r="A4472" s="379"/>
      <c r="B4472" s="379" t="s">
        <v>291</v>
      </c>
      <c r="C4472" s="381"/>
      <c r="D4472" s="381"/>
      <c r="E4472" s="382" t="s">
        <v>3583</v>
      </c>
      <c r="F4472" s="394" t="s">
        <v>1990</v>
      </c>
      <c r="G4472" s="400" t="s">
        <v>1991</v>
      </c>
      <c r="H4472" s="379" t="s">
        <v>866</v>
      </c>
      <c r="I4472" s="384" t="s">
        <v>888</v>
      </c>
      <c r="J4472" s="385">
        <v>4173.12</v>
      </c>
      <c r="K4472" s="384"/>
      <c r="L4472" s="385">
        <v>2.4</v>
      </c>
      <c r="M4472" s="385">
        <v>2.4</v>
      </c>
      <c r="N4472" s="386"/>
      <c r="O4472" s="387">
        <v>0.3</v>
      </c>
      <c r="P4472" s="387"/>
      <c r="Q4472" s="386">
        <v>501.98</v>
      </c>
      <c r="R4472" s="379" t="s">
        <v>112</v>
      </c>
      <c r="S4472" s="388" t="s">
        <v>113</v>
      </c>
      <c r="T4472" s="399">
        <v>40</v>
      </c>
      <c r="U4472" s="389" t="s">
        <v>164</v>
      </c>
      <c r="V4472" s="433"/>
      <c r="W4472" s="379"/>
      <c r="X4472" s="386">
        <v>501.98</v>
      </c>
      <c r="Y4472" s="386"/>
      <c r="Z4472" s="379"/>
      <c r="AA4472" s="379"/>
      <c r="AB4472" s="379"/>
      <c r="AC4472" s="379"/>
      <c r="AD4472" s="379"/>
      <c r="AE4472" s="379"/>
      <c r="AF4472" s="379"/>
      <c r="AG4472" s="379"/>
      <c r="AH4472" s="379"/>
      <c r="AI4472" s="379"/>
      <c r="AJ4472" s="416">
        <v>501.98</v>
      </c>
      <c r="AK4472" s="379"/>
      <c r="AL4472" s="379"/>
      <c r="AM4472" s="379"/>
      <c r="AN4472" s="379"/>
      <c r="AO4472" s="379"/>
      <c r="AP4472" s="379"/>
      <c r="AQ4472" s="379"/>
      <c r="AR4472" s="379"/>
      <c r="AS4472" s="379"/>
      <c r="AT4472" s="379"/>
      <c r="AU4472" s="379"/>
      <c r="AV4472" s="379"/>
      <c r="AW4472" s="379"/>
      <c r="AX4472" s="379"/>
      <c r="AY4472" s="379"/>
      <c r="AZ4472" s="379"/>
      <c r="BA4472" s="379"/>
      <c r="BB4472" s="379"/>
      <c r="BC4472" s="379"/>
      <c r="BD4472" s="379"/>
      <c r="BE4472" s="379"/>
      <c r="BF4472" s="379"/>
      <c r="BG4472" s="379"/>
      <c r="BH4472" s="379"/>
      <c r="BI4472" s="379"/>
      <c r="BJ4472" s="379"/>
      <c r="BK4472" s="379"/>
      <c r="BL4472" s="379"/>
      <c r="BM4472" s="379"/>
      <c r="BN4472" s="379"/>
      <c r="BO4472" s="379"/>
      <c r="BP4472" s="379"/>
      <c r="BQ4472" s="379"/>
      <c r="BR4472" s="379"/>
      <c r="BS4472" s="379"/>
      <c r="BT4472" s="379"/>
      <c r="BU4472" s="379"/>
      <c r="BV4472" s="379"/>
      <c r="BW4472" s="379"/>
      <c r="BX4472" s="379"/>
      <c r="BY4472" s="379"/>
    </row>
    <row r="4473" spans="1:77" s="337" customFormat="1" ht="11.25" customHeight="1">
      <c r="B4473" s="337" t="s">
        <v>291</v>
      </c>
      <c r="C4473" s="349">
        <v>44799</v>
      </c>
      <c r="D4473" s="349">
        <v>44799</v>
      </c>
      <c r="E4473" s="350" t="s">
        <v>3583</v>
      </c>
      <c r="F4473" s="341" t="s">
        <v>1990</v>
      </c>
      <c r="G4473" s="342" t="s">
        <v>1991</v>
      </c>
      <c r="H4473" s="337" t="s">
        <v>2171</v>
      </c>
      <c r="I4473" s="353" t="s">
        <v>888</v>
      </c>
      <c r="J4473" s="352">
        <v>18240.009999999998</v>
      </c>
      <c r="K4473" s="353"/>
      <c r="L4473" s="352">
        <v>10.49</v>
      </c>
      <c r="M4473" s="352">
        <v>10.49</v>
      </c>
      <c r="N4473" s="354"/>
      <c r="O4473" s="355">
        <v>0.3</v>
      </c>
      <c r="P4473" s="355"/>
      <c r="Q4473" s="354">
        <v>7103.41</v>
      </c>
      <c r="R4473" s="337" t="s">
        <v>112</v>
      </c>
      <c r="S4473" s="356" t="s">
        <v>113</v>
      </c>
      <c r="T4473" s="346">
        <v>40</v>
      </c>
      <c r="U4473" s="357" t="s">
        <v>164</v>
      </c>
      <c r="V4473" s="434"/>
      <c r="X4473" s="354">
        <v>7103.41</v>
      </c>
      <c r="Y4473" s="354"/>
      <c r="AI4473" s="354">
        <v>7103.41</v>
      </c>
      <c r="AJ4473" s="358"/>
      <c r="AK4473" s="369"/>
    </row>
    <row r="4474" spans="1:77" s="337" customFormat="1" ht="11.25" customHeight="1">
      <c r="B4474" s="337" t="s">
        <v>291</v>
      </c>
      <c r="C4474" s="349">
        <v>44794</v>
      </c>
      <c r="D4474" s="349">
        <v>44800</v>
      </c>
      <c r="E4474" s="350" t="s">
        <v>3584</v>
      </c>
      <c r="F4474" s="337" t="s">
        <v>1106</v>
      </c>
      <c r="G4474" s="342" t="s">
        <v>1107</v>
      </c>
      <c r="H4474" s="337" t="s">
        <v>765</v>
      </c>
      <c r="I4474" s="353" t="s">
        <v>888</v>
      </c>
      <c r="J4474" s="352">
        <v>20007.400000000001</v>
      </c>
      <c r="K4474" s="353"/>
      <c r="L4474" s="352">
        <v>20</v>
      </c>
      <c r="M4474" s="352">
        <v>20</v>
      </c>
      <c r="N4474" s="354"/>
      <c r="O4474" s="355">
        <v>0.25</v>
      </c>
      <c r="P4474" s="355"/>
      <c r="Q4474" s="354">
        <v>0</v>
      </c>
      <c r="R4474" s="337" t="s">
        <v>285</v>
      </c>
      <c r="S4474" s="356" t="s">
        <v>275</v>
      </c>
      <c r="T4474" s="346">
        <v>89</v>
      </c>
      <c r="U4474" s="357" t="s">
        <v>164</v>
      </c>
      <c r="V4474" s="434"/>
      <c r="X4474" s="354">
        <v>0</v>
      </c>
      <c r="Y4474" s="354"/>
      <c r="AI4474" s="337">
        <v>0</v>
      </c>
      <c r="AJ4474" s="358"/>
      <c r="AK4474" s="369"/>
    </row>
    <row r="4475" spans="1:77" s="337" customFormat="1" ht="11.25" customHeight="1">
      <c r="B4475" s="337" t="s">
        <v>291</v>
      </c>
      <c r="C4475" s="349">
        <v>44800</v>
      </c>
      <c r="D4475" s="349">
        <v>44802</v>
      </c>
      <c r="E4475" s="350" t="s">
        <v>3585</v>
      </c>
      <c r="F4475" s="337" t="s">
        <v>3586</v>
      </c>
      <c r="G4475" s="342" t="s">
        <v>3587</v>
      </c>
      <c r="H4475" s="337" t="s">
        <v>814</v>
      </c>
      <c r="I4475" s="353" t="s">
        <v>33</v>
      </c>
      <c r="J4475" s="352">
        <v>6916.56</v>
      </c>
      <c r="K4475" s="353"/>
      <c r="L4475" s="352">
        <v>7.4</v>
      </c>
      <c r="M4475" s="352">
        <v>7.4</v>
      </c>
      <c r="N4475" s="354">
        <v>3596.61</v>
      </c>
      <c r="O4475" s="355">
        <v>0.15</v>
      </c>
      <c r="P4475" s="355"/>
      <c r="Q4475" s="354">
        <v>3258.84</v>
      </c>
      <c r="R4475" s="337" t="s">
        <v>112</v>
      </c>
      <c r="S4475" s="356" t="s">
        <v>113</v>
      </c>
      <c r="T4475" s="346">
        <v>64</v>
      </c>
      <c r="U4475" s="357" t="s">
        <v>164</v>
      </c>
      <c r="V4475" s="434"/>
      <c r="X4475" s="354">
        <v>3258.84</v>
      </c>
      <c r="Y4475" s="354"/>
      <c r="AI4475" s="354">
        <v>3258.84</v>
      </c>
      <c r="AJ4475" s="358"/>
      <c r="AK4475" s="369"/>
    </row>
    <row r="4476" spans="1:77" s="341" customFormat="1" ht="12" customHeight="1">
      <c r="B4476" s="337" t="s">
        <v>291</v>
      </c>
      <c r="C4476" s="339"/>
      <c r="D4476" s="349"/>
      <c r="E4476" s="350" t="s">
        <v>3585</v>
      </c>
      <c r="F4476" s="337" t="s">
        <v>3586</v>
      </c>
      <c r="G4476" s="342" t="s">
        <v>3587</v>
      </c>
      <c r="H4476" s="337" t="s">
        <v>2171</v>
      </c>
      <c r="I4476" s="353" t="s">
        <v>33</v>
      </c>
      <c r="J4476" s="343">
        <v>27188.55</v>
      </c>
      <c r="L4476" s="343">
        <v>18.100000000000001</v>
      </c>
      <c r="M4476" s="343">
        <v>9.84</v>
      </c>
      <c r="N4476" s="344">
        <v>9530.1</v>
      </c>
      <c r="O4476" s="355">
        <v>0.15</v>
      </c>
      <c r="P4476" s="345"/>
      <c r="Q4476" s="344">
        <v>12940.06</v>
      </c>
      <c r="R4476" s="337" t="s">
        <v>112</v>
      </c>
      <c r="S4476" s="356" t="s">
        <v>113</v>
      </c>
      <c r="T4476" s="346">
        <v>64</v>
      </c>
      <c r="U4476" s="347" t="s">
        <v>164</v>
      </c>
      <c r="V4476" s="451"/>
      <c r="X4476" s="344">
        <v>12940.06</v>
      </c>
      <c r="Y4476" s="344"/>
      <c r="AI4476" s="344">
        <v>12940.06</v>
      </c>
      <c r="AJ4476" s="358"/>
      <c r="AK4476" s="369"/>
      <c r="AL4476" s="337"/>
      <c r="AM4476" s="337"/>
      <c r="AN4476" s="337"/>
      <c r="AO4476" s="337"/>
      <c r="AP4476" s="337"/>
      <c r="AQ4476" s="337"/>
      <c r="AR4476" s="337"/>
      <c r="AS4476" s="337"/>
      <c r="AT4476" s="337"/>
      <c r="AU4476" s="337"/>
      <c r="AV4476" s="337"/>
      <c r="AW4476" s="337"/>
      <c r="AX4476" s="337"/>
      <c r="AY4476" s="337"/>
      <c r="AZ4476" s="337"/>
      <c r="BA4476" s="337"/>
      <c r="BB4476" s="337"/>
      <c r="BC4476" s="337"/>
      <c r="BD4476" s="337"/>
      <c r="BE4476" s="337"/>
      <c r="BF4476" s="337"/>
      <c r="BG4476" s="337"/>
      <c r="BH4476" s="337"/>
      <c r="BI4476" s="337"/>
      <c r="BJ4476" s="337"/>
      <c r="BK4476" s="337"/>
      <c r="BL4476" s="337"/>
      <c r="BM4476" s="337"/>
      <c r="BN4476" s="337"/>
      <c r="BO4476" s="337"/>
      <c r="BP4476" s="337"/>
      <c r="BQ4476" s="337"/>
      <c r="BR4476" s="337"/>
      <c r="BS4476" s="337"/>
      <c r="BT4476" s="337"/>
      <c r="BU4476" s="337"/>
      <c r="BV4476" s="337"/>
      <c r="BW4476" s="337"/>
      <c r="BX4476" s="337"/>
      <c r="BY4476" s="337"/>
    </row>
    <row r="4477" spans="1:77" s="618" customFormat="1" ht="11.25" customHeight="1">
      <c r="B4477" s="618" t="s">
        <v>291</v>
      </c>
      <c r="C4477" s="620">
        <v>44798</v>
      </c>
      <c r="D4477" s="620">
        <v>44802</v>
      </c>
      <c r="E4477" s="621" t="s">
        <v>3588</v>
      </c>
      <c r="F4477" s="618" t="s">
        <v>2676</v>
      </c>
      <c r="G4477" s="623">
        <v>1010</v>
      </c>
      <c r="H4477" s="618" t="s">
        <v>814</v>
      </c>
      <c r="I4477" s="626" t="s">
        <v>888</v>
      </c>
      <c r="J4477" s="635">
        <v>43134.66</v>
      </c>
      <c r="K4477" s="626"/>
      <c r="L4477" s="635">
        <v>34.729999999999997</v>
      </c>
      <c r="M4477" s="635">
        <v>34.729999999999997</v>
      </c>
      <c r="N4477" s="627">
        <v>11848</v>
      </c>
      <c r="O4477" s="628">
        <v>0.25</v>
      </c>
      <c r="P4477" s="628"/>
      <c r="Q4477" s="627">
        <v>0</v>
      </c>
      <c r="R4477" s="618" t="s">
        <v>105</v>
      </c>
      <c r="S4477" s="629" t="s">
        <v>275</v>
      </c>
      <c r="T4477" s="630">
        <v>39</v>
      </c>
      <c r="U4477" s="631" t="s">
        <v>164</v>
      </c>
      <c r="V4477" s="632"/>
      <c r="X4477" s="627">
        <v>0</v>
      </c>
      <c r="Y4477" s="627"/>
      <c r="AJ4477" s="633"/>
      <c r="AO4477" s="618">
        <v>0</v>
      </c>
    </row>
    <row r="4478" spans="1:77" s="261" customFormat="1" ht="11.25" customHeight="1">
      <c r="B4478" s="261" t="s">
        <v>291</v>
      </c>
      <c r="C4478" s="259">
        <v>44798</v>
      </c>
      <c r="D4478" s="259">
        <v>44802</v>
      </c>
      <c r="E4478" s="260" t="s">
        <v>3589</v>
      </c>
      <c r="F4478" s="261" t="s">
        <v>2370</v>
      </c>
      <c r="G4478" s="276">
        <v>3804</v>
      </c>
      <c r="H4478" s="261" t="s">
        <v>910</v>
      </c>
      <c r="I4478" s="264" t="s">
        <v>961</v>
      </c>
      <c r="J4478" s="263">
        <v>25505.51</v>
      </c>
      <c r="K4478" s="264"/>
      <c r="L4478" s="263">
        <v>13.11</v>
      </c>
      <c r="M4478" s="263">
        <v>13.11</v>
      </c>
      <c r="N4478" s="265"/>
      <c r="O4478" s="266">
        <v>0.2</v>
      </c>
      <c r="P4478" s="266"/>
      <c r="Q4478" s="265">
        <v>0</v>
      </c>
      <c r="R4478" s="261" t="s">
        <v>112</v>
      </c>
      <c r="S4478" s="267" t="s">
        <v>113</v>
      </c>
      <c r="T4478" s="279">
        <v>64</v>
      </c>
      <c r="U4478" s="268" t="s">
        <v>164</v>
      </c>
      <c r="V4478" s="427"/>
      <c r="X4478" s="265">
        <v>0</v>
      </c>
      <c r="Y4478" s="265"/>
      <c r="AG4478" s="261">
        <f>X4478</f>
        <v>0</v>
      </c>
      <c r="AJ4478" s="642"/>
    </row>
    <row r="4479" spans="1:77" s="379" customFormat="1" ht="11.25" customHeight="1">
      <c r="B4479" s="380" t="s">
        <v>291</v>
      </c>
      <c r="C4479" s="381">
        <v>44797</v>
      </c>
      <c r="D4479" s="381">
        <v>44802</v>
      </c>
      <c r="E4479" s="382" t="s">
        <v>3590</v>
      </c>
      <c r="F4479" s="379" t="s">
        <v>614</v>
      </c>
      <c r="G4479" s="400" t="s">
        <v>615</v>
      </c>
      <c r="H4479" s="379" t="s">
        <v>910</v>
      </c>
      <c r="I4479" s="384" t="s">
        <v>1211</v>
      </c>
      <c r="J4479" s="385">
        <v>19265.23</v>
      </c>
      <c r="K4479" s="384"/>
      <c r="L4479" s="385">
        <v>13.34</v>
      </c>
      <c r="M4479" s="385">
        <v>13.34</v>
      </c>
      <c r="N4479" s="386"/>
      <c r="O4479" s="387">
        <v>0.2</v>
      </c>
      <c r="P4479" s="387"/>
      <c r="Q4479" s="386">
        <v>0</v>
      </c>
      <c r="R4479" s="379" t="s">
        <v>146</v>
      </c>
      <c r="S4479" s="388" t="s">
        <v>74</v>
      </c>
      <c r="T4479" s="399">
        <v>31</v>
      </c>
      <c r="U4479" s="389" t="s">
        <v>164</v>
      </c>
      <c r="V4479" s="433"/>
      <c r="X4479" s="386">
        <v>0</v>
      </c>
      <c r="Y4479" s="386"/>
      <c r="AJ4479" s="390">
        <v>0</v>
      </c>
    </row>
    <row r="4480" spans="1:77" s="379" customFormat="1" ht="11.25" customHeight="1">
      <c r="B4480" s="380" t="s">
        <v>291</v>
      </c>
      <c r="C4480" s="381"/>
      <c r="D4480" s="381"/>
      <c r="E4480" s="382" t="s">
        <v>3590</v>
      </c>
      <c r="F4480" s="379" t="s">
        <v>614</v>
      </c>
      <c r="G4480" s="400" t="s">
        <v>615</v>
      </c>
      <c r="H4480" s="379" t="s">
        <v>866</v>
      </c>
      <c r="I4480" s="384" t="s">
        <v>1211</v>
      </c>
      <c r="J4480" s="385">
        <v>6975.07</v>
      </c>
      <c r="K4480" s="384"/>
      <c r="L4480" s="385">
        <v>4.32</v>
      </c>
      <c r="M4480" s="385">
        <v>4.32</v>
      </c>
      <c r="N4480" s="386"/>
      <c r="O4480" s="387">
        <v>0.2</v>
      </c>
      <c r="P4480" s="387"/>
      <c r="Q4480" s="386">
        <v>2819.58</v>
      </c>
      <c r="R4480" s="379" t="s">
        <v>146</v>
      </c>
      <c r="S4480" s="388" t="s">
        <v>74</v>
      </c>
      <c r="T4480" s="399">
        <v>31</v>
      </c>
      <c r="U4480" s="389" t="s">
        <v>164</v>
      </c>
      <c r="V4480" s="433"/>
      <c r="X4480" s="386">
        <v>2819.58</v>
      </c>
      <c r="Y4480" s="386"/>
      <c r="AJ4480" s="416">
        <v>2819.58</v>
      </c>
    </row>
    <row r="4481" spans="1:77" s="379" customFormat="1" ht="11.25" customHeight="1">
      <c r="B4481" s="380" t="s">
        <v>291</v>
      </c>
      <c r="C4481" s="381"/>
      <c r="D4481" s="381"/>
      <c r="E4481" s="382" t="s">
        <v>3590</v>
      </c>
      <c r="F4481" s="379" t="s">
        <v>614</v>
      </c>
      <c r="G4481" s="400" t="s">
        <v>615</v>
      </c>
      <c r="H4481" s="379" t="s">
        <v>765</v>
      </c>
      <c r="I4481" s="384" t="s">
        <v>1211</v>
      </c>
      <c r="J4481" s="385">
        <v>11583.6</v>
      </c>
      <c r="K4481" s="384"/>
      <c r="L4481" s="385">
        <v>13.79</v>
      </c>
      <c r="M4481" s="385">
        <v>13.79</v>
      </c>
      <c r="N4481" s="386"/>
      <c r="O4481" s="387">
        <v>0.2</v>
      </c>
      <c r="P4481" s="387"/>
      <c r="Q4481" s="386">
        <v>0</v>
      </c>
      <c r="R4481" s="379" t="s">
        <v>146</v>
      </c>
      <c r="S4481" s="388" t="s">
        <v>74</v>
      </c>
      <c r="T4481" s="399">
        <v>31</v>
      </c>
      <c r="U4481" s="389" t="s">
        <v>164</v>
      </c>
      <c r="V4481" s="433"/>
      <c r="X4481" s="386">
        <v>0</v>
      </c>
      <c r="Y4481" s="386"/>
      <c r="AJ4481" s="390">
        <v>0</v>
      </c>
    </row>
    <row r="4482" spans="1:77" s="379" customFormat="1" ht="11.25" customHeight="1">
      <c r="B4482" s="380" t="s">
        <v>291</v>
      </c>
      <c r="C4482" s="381">
        <v>44802</v>
      </c>
      <c r="D4482" s="381">
        <v>44802</v>
      </c>
      <c r="E4482" s="382" t="s">
        <v>3591</v>
      </c>
      <c r="F4482" s="394" t="s">
        <v>3592</v>
      </c>
      <c r="G4482" s="400" t="s">
        <v>3593</v>
      </c>
      <c r="H4482" s="379" t="s">
        <v>910</v>
      </c>
      <c r="I4482" s="384" t="s">
        <v>958</v>
      </c>
      <c r="J4482" s="385">
        <v>28344.78</v>
      </c>
      <c r="K4482" s="384"/>
      <c r="L4482" s="385">
        <v>15.7</v>
      </c>
      <c r="M4482" s="385">
        <v>15.7</v>
      </c>
      <c r="N4482" s="386"/>
      <c r="O4482" s="387">
        <v>0.2</v>
      </c>
      <c r="P4482" s="387"/>
      <c r="Q4482" s="386">
        <v>0</v>
      </c>
      <c r="R4482" s="379" t="s">
        <v>112</v>
      </c>
      <c r="S4482" s="388" t="s">
        <v>113</v>
      </c>
      <c r="T4482" s="399">
        <v>64</v>
      </c>
      <c r="U4482" s="389" t="s">
        <v>164</v>
      </c>
      <c r="V4482" s="433"/>
      <c r="X4482" s="386">
        <v>0</v>
      </c>
      <c r="Y4482" s="386"/>
      <c r="AJ4482" s="390">
        <v>0</v>
      </c>
    </row>
    <row r="4483" spans="1:77" s="291" customFormat="1" ht="11.25" customHeight="1">
      <c r="B4483" s="310" t="s">
        <v>291</v>
      </c>
      <c r="C4483" s="292"/>
      <c r="D4483" s="292"/>
      <c r="E4483" s="293" t="s">
        <v>3591</v>
      </c>
      <c r="F4483" s="303" t="s">
        <v>3592</v>
      </c>
      <c r="G4483" s="304" t="s">
        <v>3593</v>
      </c>
      <c r="H4483" s="291" t="s">
        <v>866</v>
      </c>
      <c r="I4483" s="295" t="s">
        <v>958</v>
      </c>
      <c r="J4483" s="296">
        <v>24650.14</v>
      </c>
      <c r="K4483" s="295"/>
      <c r="L4483" s="296">
        <v>17.64</v>
      </c>
      <c r="M4483" s="296">
        <v>17.64</v>
      </c>
      <c r="N4483" s="297">
        <v>8874.0499999999993</v>
      </c>
      <c r="O4483" s="298">
        <v>0.2</v>
      </c>
      <c r="P4483" s="298"/>
      <c r="Q4483" s="297">
        <v>4816.07</v>
      </c>
      <c r="R4483" s="291" t="s">
        <v>112</v>
      </c>
      <c r="S4483" s="299" t="s">
        <v>113</v>
      </c>
      <c r="T4483" s="308">
        <v>64</v>
      </c>
      <c r="U4483" s="300" t="s">
        <v>164</v>
      </c>
      <c r="V4483" s="333"/>
      <c r="X4483" s="297">
        <v>4816.07</v>
      </c>
      <c r="Y4483" s="297"/>
      <c r="AH4483" s="297">
        <f>X4483</f>
        <v>4816.07</v>
      </c>
      <c r="AI4483" s="311"/>
      <c r="AJ4483" s="468"/>
    </row>
    <row r="4484" spans="1:77" s="337" customFormat="1" ht="11.25" customHeight="1">
      <c r="B4484" s="338" t="s">
        <v>291</v>
      </c>
      <c r="C4484" s="349">
        <v>44799</v>
      </c>
      <c r="D4484" s="349">
        <v>44802</v>
      </c>
      <c r="E4484" s="350" t="s">
        <v>3594</v>
      </c>
      <c r="F4484" s="341" t="s">
        <v>3595</v>
      </c>
      <c r="G4484" s="342" t="s">
        <v>3596</v>
      </c>
      <c r="H4484" s="337" t="s">
        <v>866</v>
      </c>
      <c r="I4484" s="353" t="s">
        <v>888</v>
      </c>
      <c r="J4484" s="352">
        <v>25389.7</v>
      </c>
      <c r="K4484" s="353"/>
      <c r="L4484" s="352">
        <v>16.600000000000001</v>
      </c>
      <c r="M4484" s="352">
        <v>16.600000000000001</v>
      </c>
      <c r="N4484" s="354">
        <v>6347</v>
      </c>
      <c r="O4484" s="355">
        <v>0.15</v>
      </c>
      <c r="P4484" s="355"/>
      <c r="Q4484" s="354">
        <v>4259.5</v>
      </c>
      <c r="R4484" s="337" t="s">
        <v>2296</v>
      </c>
      <c r="S4484" s="356" t="s">
        <v>113</v>
      </c>
      <c r="T4484" s="346">
        <v>64</v>
      </c>
      <c r="U4484" s="357" t="s">
        <v>164</v>
      </c>
      <c r="V4484" s="434"/>
      <c r="X4484" s="354">
        <v>4259.5</v>
      </c>
      <c r="Y4484" s="354"/>
      <c r="AI4484" s="354">
        <v>4259.5</v>
      </c>
      <c r="AJ4484" s="358"/>
      <c r="AK4484" s="369"/>
    </row>
    <row r="4485" spans="1:77" s="473" customFormat="1" ht="11.25" customHeight="1">
      <c r="B4485" s="486" t="s">
        <v>291</v>
      </c>
      <c r="C4485" s="487">
        <v>44798</v>
      </c>
      <c r="D4485" s="487">
        <v>44802</v>
      </c>
      <c r="E4485" s="488" t="s">
        <v>3597</v>
      </c>
      <c r="F4485" s="472" t="s">
        <v>3598</v>
      </c>
      <c r="G4485" s="476">
        <v>4505</v>
      </c>
      <c r="H4485" s="473" t="s">
        <v>866</v>
      </c>
      <c r="I4485" s="491" t="s">
        <v>888</v>
      </c>
      <c r="J4485" s="490">
        <v>13712.19</v>
      </c>
      <c r="K4485" s="491"/>
      <c r="L4485" s="490">
        <v>10.11</v>
      </c>
      <c r="M4485" s="490">
        <v>10.11</v>
      </c>
      <c r="N4485" s="492">
        <v>5705.64</v>
      </c>
      <c r="O4485" s="493">
        <v>0.15</v>
      </c>
      <c r="P4485" s="493"/>
      <c r="Q4485" s="492">
        <v>3936.83</v>
      </c>
      <c r="R4485" s="473" t="s">
        <v>142</v>
      </c>
      <c r="S4485" s="481" t="s">
        <v>2866</v>
      </c>
      <c r="T4485" s="482">
        <v>24</v>
      </c>
      <c r="U4485" s="494" t="s">
        <v>164</v>
      </c>
      <c r="V4485" s="495"/>
      <c r="X4485" s="492">
        <v>3936.83</v>
      </c>
      <c r="Y4485" s="492"/>
      <c r="AJ4485" s="485"/>
      <c r="AK4485" s="505">
        <v>3936.83</v>
      </c>
    </row>
    <row r="4486" spans="1:77" s="473" customFormat="1" ht="11.25" customHeight="1">
      <c r="B4486" s="486" t="s">
        <v>291</v>
      </c>
      <c r="C4486" s="487"/>
      <c r="D4486" s="487"/>
      <c r="E4486" s="488" t="s">
        <v>3597</v>
      </c>
      <c r="F4486" s="472" t="s">
        <v>3598</v>
      </c>
      <c r="G4486" s="476">
        <v>4505</v>
      </c>
      <c r="H4486" s="473" t="s">
        <v>910</v>
      </c>
      <c r="I4486" s="491" t="s">
        <v>888</v>
      </c>
      <c r="J4486" s="490">
        <v>16272.35</v>
      </c>
      <c r="K4486" s="491"/>
      <c r="L4486" s="490">
        <v>8.99</v>
      </c>
      <c r="M4486" s="490">
        <v>8.99</v>
      </c>
      <c r="N4486" s="492">
        <v>12267.72</v>
      </c>
      <c r="O4486" s="493">
        <v>0.15</v>
      </c>
      <c r="P4486" s="493"/>
      <c r="Q4486" s="492">
        <v>9381.4500000000007</v>
      </c>
      <c r="R4486" s="473" t="s">
        <v>142</v>
      </c>
      <c r="S4486" s="481" t="s">
        <v>2866</v>
      </c>
      <c r="T4486" s="482">
        <v>24</v>
      </c>
      <c r="U4486" s="494" t="s">
        <v>164</v>
      </c>
      <c r="V4486" s="495"/>
      <c r="X4486" s="492">
        <v>9381.4500000000007</v>
      </c>
      <c r="Y4486" s="492"/>
      <c r="AJ4486" s="485"/>
      <c r="AK4486" s="505">
        <v>9381.4500000000007</v>
      </c>
    </row>
    <row r="4487" spans="1:77" s="337" customFormat="1" ht="11.25" customHeight="1">
      <c r="B4487" s="338" t="s">
        <v>291</v>
      </c>
      <c r="C4487" s="349">
        <v>44802</v>
      </c>
      <c r="D4487" s="349">
        <v>44802</v>
      </c>
      <c r="E4487" s="350" t="s">
        <v>3599</v>
      </c>
      <c r="F4487" s="341" t="s">
        <v>3725</v>
      </c>
      <c r="G4487" s="342" t="s">
        <v>3601</v>
      </c>
      <c r="H4487" s="337" t="s">
        <v>866</v>
      </c>
      <c r="I4487" s="353" t="s">
        <v>1211</v>
      </c>
      <c r="J4487" s="352">
        <v>5908.32</v>
      </c>
      <c r="K4487" s="353"/>
      <c r="L4487" s="352">
        <v>4.8</v>
      </c>
      <c r="M4487" s="352">
        <v>4.8</v>
      </c>
      <c r="N4487" s="354">
        <v>1477</v>
      </c>
      <c r="O4487" s="355">
        <v>0.25</v>
      </c>
      <c r="P4487" s="355"/>
      <c r="Q4487" s="354">
        <v>0</v>
      </c>
      <c r="R4487" s="337" t="s">
        <v>2296</v>
      </c>
      <c r="S4487" s="356" t="s">
        <v>113</v>
      </c>
      <c r="T4487" s="346">
        <v>64</v>
      </c>
      <c r="U4487" s="357" t="s">
        <v>164</v>
      </c>
      <c r="V4487" s="434"/>
      <c r="X4487" s="354">
        <v>0</v>
      </c>
      <c r="Y4487" s="354"/>
      <c r="AI4487" s="337">
        <v>0</v>
      </c>
      <c r="AJ4487" s="358"/>
      <c r="AK4487" s="369"/>
    </row>
    <row r="4488" spans="1:77" s="6" customFormat="1" ht="11.25" customHeight="1">
      <c r="A4488" s="379"/>
      <c r="B4488" s="379" t="s">
        <v>291</v>
      </c>
      <c r="C4488" s="381">
        <v>44785</v>
      </c>
      <c r="D4488" s="381">
        <v>44802</v>
      </c>
      <c r="E4488" s="382" t="s">
        <v>3602</v>
      </c>
      <c r="F4488" s="394" t="s">
        <v>1848</v>
      </c>
      <c r="G4488" s="400" t="s">
        <v>1849</v>
      </c>
      <c r="H4488" s="379" t="s">
        <v>910</v>
      </c>
      <c r="I4488" s="384" t="s">
        <v>111</v>
      </c>
      <c r="J4488" s="385">
        <v>165974.9</v>
      </c>
      <c r="K4488" s="384"/>
      <c r="L4488" s="385">
        <v>61</v>
      </c>
      <c r="M4488" s="385">
        <v>61</v>
      </c>
      <c r="N4488" s="386"/>
      <c r="O4488" s="387">
        <v>0.15</v>
      </c>
      <c r="P4488" s="387"/>
      <c r="Q4488" s="386">
        <v>0</v>
      </c>
      <c r="R4488" s="379" t="s">
        <v>149</v>
      </c>
      <c r="S4488" s="388" t="s">
        <v>113</v>
      </c>
      <c r="T4488" s="399">
        <v>40</v>
      </c>
      <c r="U4488" s="389" t="s">
        <v>164</v>
      </c>
      <c r="V4488" s="433"/>
      <c r="W4488" s="379"/>
      <c r="X4488" s="386">
        <v>0</v>
      </c>
      <c r="Y4488" s="386"/>
      <c r="Z4488" s="379"/>
      <c r="AA4488" s="379"/>
      <c r="AB4488" s="379"/>
      <c r="AC4488" s="379"/>
      <c r="AD4488" s="379"/>
      <c r="AE4488" s="379"/>
      <c r="AF4488" s="379"/>
      <c r="AG4488" s="379"/>
      <c r="AH4488" s="379"/>
      <c r="AI4488" s="379"/>
      <c r="AJ4488" s="390">
        <v>0</v>
      </c>
      <c r="AK4488" s="379"/>
      <c r="AL4488" s="379"/>
      <c r="AM4488" s="379"/>
      <c r="AN4488" s="379"/>
      <c r="AO4488" s="379"/>
      <c r="AP4488" s="379"/>
      <c r="AQ4488" s="379"/>
      <c r="AR4488" s="379"/>
      <c r="AS4488" s="379"/>
      <c r="AT4488" s="379"/>
      <c r="AU4488" s="379"/>
      <c r="AV4488" s="379"/>
      <c r="AW4488" s="379"/>
      <c r="AX4488" s="379"/>
      <c r="AY4488" s="379"/>
      <c r="AZ4488" s="379"/>
      <c r="BA4488" s="379"/>
      <c r="BB4488" s="379"/>
      <c r="BC4488" s="379"/>
      <c r="BD4488" s="379"/>
      <c r="BE4488" s="379"/>
      <c r="BF4488" s="379"/>
      <c r="BG4488" s="379"/>
      <c r="BH4488" s="379"/>
      <c r="BI4488" s="379"/>
      <c r="BJ4488" s="379"/>
      <c r="BK4488" s="379"/>
      <c r="BL4488" s="379"/>
      <c r="BM4488" s="379"/>
      <c r="BN4488" s="379"/>
      <c r="BO4488" s="379"/>
      <c r="BP4488" s="379"/>
      <c r="BQ4488" s="379"/>
      <c r="BR4488" s="379"/>
      <c r="BS4488" s="379"/>
      <c r="BT4488" s="379"/>
      <c r="BU4488" s="379"/>
      <c r="BV4488" s="379"/>
      <c r="BW4488" s="379"/>
      <c r="BX4488" s="379"/>
      <c r="BY4488" s="379"/>
    </row>
    <row r="4489" spans="1:77" s="337" customFormat="1" ht="11.25" customHeight="1">
      <c r="B4489" s="337" t="s">
        <v>291</v>
      </c>
      <c r="C4489" s="349">
        <v>44802</v>
      </c>
      <c r="D4489" s="349">
        <v>44802</v>
      </c>
      <c r="E4489" s="350" t="s">
        <v>3603</v>
      </c>
      <c r="F4489" s="337" t="s">
        <v>2164</v>
      </c>
      <c r="G4489" s="342" t="s">
        <v>2165</v>
      </c>
      <c r="H4489" s="337" t="s">
        <v>866</v>
      </c>
      <c r="I4489" s="353" t="s">
        <v>1839</v>
      </c>
      <c r="J4489" s="352">
        <v>31202.81</v>
      </c>
      <c r="K4489" s="353"/>
      <c r="L4489" s="352">
        <v>23.66</v>
      </c>
      <c r="M4489" s="352">
        <v>23.66</v>
      </c>
      <c r="N4489" s="354"/>
      <c r="O4489" s="355">
        <v>0.25</v>
      </c>
      <c r="P4489" s="355"/>
      <c r="Q4489" s="354">
        <v>5132.67</v>
      </c>
      <c r="R4489" s="337" t="s">
        <v>149</v>
      </c>
      <c r="S4489" s="356" t="s">
        <v>113</v>
      </c>
      <c r="T4489" s="346">
        <v>40</v>
      </c>
      <c r="U4489" s="357" t="s">
        <v>164</v>
      </c>
      <c r="V4489" s="434"/>
      <c r="X4489" s="354">
        <v>5132.67</v>
      </c>
      <c r="Y4489" s="354"/>
      <c r="AI4489" s="354">
        <v>5132.67</v>
      </c>
      <c r="AJ4489" s="358"/>
      <c r="AK4489" s="369"/>
    </row>
    <row r="4490" spans="1:77" s="337" customFormat="1" ht="11.25" customHeight="1">
      <c r="B4490" s="337" t="s">
        <v>291</v>
      </c>
      <c r="C4490" s="349"/>
      <c r="D4490" s="349"/>
      <c r="E4490" s="350" t="s">
        <v>3603</v>
      </c>
      <c r="F4490" s="337" t="s">
        <v>2164</v>
      </c>
      <c r="G4490" s="342" t="s">
        <v>2165</v>
      </c>
      <c r="H4490" s="337" t="s">
        <v>765</v>
      </c>
      <c r="I4490" s="353" t="s">
        <v>1839</v>
      </c>
      <c r="J4490" s="352">
        <v>21967.8</v>
      </c>
      <c r="K4490" s="353"/>
      <c r="L4490" s="352">
        <v>19.27</v>
      </c>
      <c r="M4490" s="352">
        <v>19.27</v>
      </c>
      <c r="N4490" s="354"/>
      <c r="O4490" s="355">
        <v>0.25</v>
      </c>
      <c r="P4490" s="355"/>
      <c r="Q4490" s="354">
        <v>1830.65</v>
      </c>
      <c r="R4490" s="337" t="s">
        <v>149</v>
      </c>
      <c r="S4490" s="356" t="s">
        <v>113</v>
      </c>
      <c r="T4490" s="346">
        <v>40</v>
      </c>
      <c r="U4490" s="357" t="s">
        <v>164</v>
      </c>
      <c r="V4490" s="434"/>
      <c r="X4490" s="354">
        <v>1830.65</v>
      </c>
      <c r="Y4490" s="354"/>
      <c r="AI4490" s="354">
        <v>1830.65</v>
      </c>
      <c r="AJ4490" s="358"/>
      <c r="AK4490" s="369"/>
    </row>
    <row r="4491" spans="1:77" s="473" customFormat="1" ht="11.25" customHeight="1">
      <c r="B4491" s="486" t="s">
        <v>291</v>
      </c>
      <c r="C4491" s="487">
        <v>44802</v>
      </c>
      <c r="D4491" s="487">
        <v>44802</v>
      </c>
      <c r="E4491" s="488" t="s">
        <v>3604</v>
      </c>
      <c r="F4491" s="473" t="s">
        <v>1517</v>
      </c>
      <c r="G4491" s="476">
        <v>4303</v>
      </c>
      <c r="H4491" s="473" t="s">
        <v>910</v>
      </c>
      <c r="I4491" s="491" t="s">
        <v>33</v>
      </c>
      <c r="J4491" s="490">
        <v>55608</v>
      </c>
      <c r="K4491" s="491"/>
      <c r="L4491" s="490">
        <v>28</v>
      </c>
      <c r="M4491" s="490">
        <v>28</v>
      </c>
      <c r="N4491" s="492"/>
      <c r="O4491" s="493">
        <v>0.25</v>
      </c>
      <c r="P4491" s="493"/>
      <c r="Q4491" s="492">
        <v>18057.2</v>
      </c>
      <c r="R4491" s="473" t="s">
        <v>128</v>
      </c>
      <c r="S4491" s="481" t="s">
        <v>41</v>
      </c>
      <c r="T4491" s="482">
        <v>79</v>
      </c>
      <c r="U4491" s="494" t="s">
        <v>164</v>
      </c>
      <c r="V4491" s="495"/>
      <c r="X4491" s="492">
        <v>18057.2</v>
      </c>
      <c r="Y4491" s="492"/>
      <c r="AJ4491" s="485"/>
      <c r="AK4491" s="505">
        <v>18057.2</v>
      </c>
    </row>
    <row r="4492" spans="1:77" s="473" customFormat="1" ht="11.25" customHeight="1">
      <c r="B4492" s="473" t="s">
        <v>291</v>
      </c>
      <c r="C4492" s="487">
        <v>44802</v>
      </c>
      <c r="D4492" s="487">
        <v>44802</v>
      </c>
      <c r="E4492" s="488" t="s">
        <v>3605</v>
      </c>
      <c r="F4492" s="473" t="s">
        <v>402</v>
      </c>
      <c r="G4492" s="476">
        <v>3928</v>
      </c>
      <c r="H4492" s="473" t="s">
        <v>866</v>
      </c>
      <c r="I4492" s="491" t="s">
        <v>33</v>
      </c>
      <c r="J4492" s="490">
        <v>48721.25</v>
      </c>
      <c r="K4492" s="491"/>
      <c r="L4492" s="490">
        <v>36.369999999999997</v>
      </c>
      <c r="M4492" s="490">
        <v>36.369999999999997</v>
      </c>
      <c r="N4492" s="492">
        <v>14713.82</v>
      </c>
      <c r="O4492" s="493">
        <v>0.15</v>
      </c>
      <c r="P4492" s="493"/>
      <c r="Q4492" s="492">
        <v>0</v>
      </c>
      <c r="R4492" s="473" t="s">
        <v>142</v>
      </c>
      <c r="S4492" s="481" t="s">
        <v>41</v>
      </c>
      <c r="T4492" s="482">
        <v>16</v>
      </c>
      <c r="U4492" s="494" t="s">
        <v>164</v>
      </c>
      <c r="V4492" s="495"/>
      <c r="X4492" s="492">
        <v>0</v>
      </c>
      <c r="Y4492" s="492"/>
      <c r="AJ4492" s="485"/>
      <c r="AK4492" s="473">
        <v>0</v>
      </c>
    </row>
    <row r="4493" spans="1:77" s="473" customFormat="1" ht="11.25" customHeight="1">
      <c r="B4493" s="473" t="s">
        <v>291</v>
      </c>
      <c r="C4493" s="487"/>
      <c r="D4493" s="487"/>
      <c r="E4493" s="488" t="s">
        <v>3605</v>
      </c>
      <c r="F4493" s="473" t="s">
        <v>402</v>
      </c>
      <c r="G4493" s="476">
        <v>3928</v>
      </c>
      <c r="H4493" s="473" t="s">
        <v>910</v>
      </c>
      <c r="I4493" s="491" t="s">
        <v>1211</v>
      </c>
      <c r="J4493" s="490">
        <v>48867.1</v>
      </c>
      <c r="K4493" s="491"/>
      <c r="L4493" s="490">
        <v>26.59</v>
      </c>
      <c r="M4493" s="490">
        <v>26.59</v>
      </c>
      <c r="N4493" s="492">
        <v>12969.33</v>
      </c>
      <c r="O4493" s="493">
        <v>0.15</v>
      </c>
      <c r="P4493" s="493"/>
      <c r="Q4493" s="492">
        <v>0</v>
      </c>
      <c r="R4493" s="473" t="s">
        <v>142</v>
      </c>
      <c r="S4493" s="481" t="s">
        <v>41</v>
      </c>
      <c r="T4493" s="482">
        <v>16</v>
      </c>
      <c r="U4493" s="494" t="s">
        <v>164</v>
      </c>
      <c r="V4493" s="495"/>
      <c r="X4493" s="492">
        <v>0</v>
      </c>
      <c r="Y4493" s="492"/>
      <c r="AJ4493" s="485"/>
      <c r="AK4493" s="473">
        <v>0</v>
      </c>
    </row>
    <row r="4494" spans="1:77" s="473" customFormat="1" ht="11.25" customHeight="1">
      <c r="B4494" s="473" t="s">
        <v>291</v>
      </c>
      <c r="C4494" s="487"/>
      <c r="D4494" s="487"/>
      <c r="E4494" s="488" t="s">
        <v>3605</v>
      </c>
      <c r="F4494" s="473" t="s">
        <v>402</v>
      </c>
      <c r="G4494" s="476">
        <v>3928</v>
      </c>
      <c r="H4494" s="473" t="s">
        <v>911</v>
      </c>
      <c r="I4494" s="491" t="s">
        <v>1211</v>
      </c>
      <c r="J4494" s="490">
        <v>14000.7</v>
      </c>
      <c r="K4494" s="491"/>
      <c r="L4494" s="490">
        <v>11.3</v>
      </c>
      <c r="M4494" s="490">
        <v>11.3</v>
      </c>
      <c r="N4494" s="492">
        <v>2926.15</v>
      </c>
      <c r="O4494" s="493">
        <v>0.15</v>
      </c>
      <c r="P4494" s="493"/>
      <c r="Q4494" s="492">
        <v>0</v>
      </c>
      <c r="R4494" s="473" t="s">
        <v>142</v>
      </c>
      <c r="S4494" s="481" t="s">
        <v>41</v>
      </c>
      <c r="T4494" s="482">
        <v>16</v>
      </c>
      <c r="U4494" s="494" t="s">
        <v>164</v>
      </c>
      <c r="V4494" s="495"/>
      <c r="X4494" s="492">
        <v>0</v>
      </c>
      <c r="Y4494" s="492"/>
      <c r="AJ4494" s="485"/>
      <c r="AK4494" s="473">
        <v>0</v>
      </c>
    </row>
    <row r="4495" spans="1:77" s="379" customFormat="1" ht="11.25" customHeight="1">
      <c r="B4495" s="379" t="s">
        <v>291</v>
      </c>
      <c r="C4495" s="381">
        <v>44802</v>
      </c>
      <c r="D4495" s="381">
        <v>44802</v>
      </c>
      <c r="E4495" s="382" t="s">
        <v>3608</v>
      </c>
      <c r="F4495" s="379" t="s">
        <v>763</v>
      </c>
      <c r="G4495" s="400">
        <v>3639</v>
      </c>
      <c r="H4495" s="379" t="s">
        <v>765</v>
      </c>
      <c r="I4495" s="384" t="s">
        <v>1211</v>
      </c>
      <c r="J4495" s="385">
        <v>14234.64</v>
      </c>
      <c r="K4495" s="384"/>
      <c r="L4495" s="385">
        <v>18.32</v>
      </c>
      <c r="M4495" s="385">
        <v>18.32</v>
      </c>
      <c r="N4495" s="386"/>
      <c r="O4495" s="387">
        <v>0.2</v>
      </c>
      <c r="P4495" s="387"/>
      <c r="Q4495" s="386">
        <v>2891.81</v>
      </c>
      <c r="R4495" s="379" t="s">
        <v>42</v>
      </c>
      <c r="S4495" s="388" t="s">
        <v>41</v>
      </c>
      <c r="T4495" s="399">
        <v>17</v>
      </c>
      <c r="U4495" s="389" t="s">
        <v>164</v>
      </c>
      <c r="V4495" s="433"/>
      <c r="X4495" s="386">
        <v>2891.81</v>
      </c>
      <c r="Y4495" s="386"/>
      <c r="AJ4495" s="416">
        <v>2891.81</v>
      </c>
    </row>
    <row r="4496" spans="1:77" s="379" customFormat="1" ht="11.25" customHeight="1">
      <c r="B4496" s="379" t="s">
        <v>291</v>
      </c>
      <c r="C4496" s="381"/>
      <c r="D4496" s="381"/>
      <c r="E4496" s="382" t="s">
        <v>3608</v>
      </c>
      <c r="F4496" s="379" t="s">
        <v>763</v>
      </c>
      <c r="G4496" s="400">
        <v>3639</v>
      </c>
      <c r="H4496" s="379" t="s">
        <v>814</v>
      </c>
      <c r="I4496" s="384" t="s">
        <v>1211</v>
      </c>
      <c r="J4496" s="385">
        <v>3385.2</v>
      </c>
      <c r="K4496" s="384"/>
      <c r="L4496" s="385">
        <v>5.2</v>
      </c>
      <c r="M4496" s="385">
        <v>5.2</v>
      </c>
      <c r="N4496" s="386"/>
      <c r="O4496" s="387">
        <v>0.2</v>
      </c>
      <c r="P4496" s="387"/>
      <c r="Q4496" s="386">
        <v>1879.8</v>
      </c>
      <c r="R4496" s="379" t="s">
        <v>42</v>
      </c>
      <c r="S4496" s="388" t="s">
        <v>41</v>
      </c>
      <c r="T4496" s="399">
        <v>17</v>
      </c>
      <c r="U4496" s="389" t="s">
        <v>164</v>
      </c>
      <c r="V4496" s="433"/>
      <c r="X4496" s="386">
        <v>1879.8</v>
      </c>
      <c r="Y4496" s="386"/>
      <c r="AJ4496" s="416">
        <v>1879.8</v>
      </c>
    </row>
    <row r="4497" spans="1:77" s="337" customFormat="1" ht="11.25" customHeight="1">
      <c r="B4497" s="338" t="s">
        <v>291</v>
      </c>
      <c r="C4497" s="349">
        <v>44802</v>
      </c>
      <c r="D4497" s="349">
        <v>44802</v>
      </c>
      <c r="E4497" s="350" t="s">
        <v>3609</v>
      </c>
      <c r="F4497" s="337" t="s">
        <v>1083</v>
      </c>
      <c r="G4497" s="342" t="s">
        <v>1084</v>
      </c>
      <c r="H4497" s="337" t="s">
        <v>866</v>
      </c>
      <c r="I4497" s="353" t="s">
        <v>3610</v>
      </c>
      <c r="J4497" s="352">
        <v>22456.1</v>
      </c>
      <c r="K4497" s="353"/>
      <c r="L4497" s="352">
        <v>11.15</v>
      </c>
      <c r="M4497" s="352">
        <v>11.15</v>
      </c>
      <c r="N4497" s="354">
        <v>10984.96</v>
      </c>
      <c r="O4497" s="355">
        <v>0.2</v>
      </c>
      <c r="P4497" s="355"/>
      <c r="Q4497" s="354">
        <v>9109.5499999999993</v>
      </c>
      <c r="R4497" s="375" t="s">
        <v>112</v>
      </c>
      <c r="S4497" s="356" t="s">
        <v>65</v>
      </c>
      <c r="T4497" s="346">
        <v>64</v>
      </c>
      <c r="U4497" s="357" t="s">
        <v>164</v>
      </c>
      <c r="V4497" s="434"/>
      <c r="X4497" s="354">
        <v>9109.5499999999993</v>
      </c>
      <c r="Y4497" s="354"/>
      <c r="AI4497" s="354">
        <v>9109.5499999999993</v>
      </c>
      <c r="AJ4497" s="358"/>
      <c r="AK4497" s="369"/>
    </row>
    <row r="4498" spans="1:77" s="337" customFormat="1" ht="11.25" customHeight="1">
      <c r="B4498" s="338" t="s">
        <v>291</v>
      </c>
      <c r="C4498" s="349"/>
      <c r="D4498" s="349"/>
      <c r="E4498" s="350" t="s">
        <v>3609</v>
      </c>
      <c r="F4498" s="337" t="s">
        <v>1083</v>
      </c>
      <c r="G4498" s="342" t="s">
        <v>1084</v>
      </c>
      <c r="H4498" s="337" t="s">
        <v>2171</v>
      </c>
      <c r="I4498" s="353" t="s">
        <v>3610</v>
      </c>
      <c r="J4498" s="352">
        <v>71658.12</v>
      </c>
      <c r="K4498" s="353"/>
      <c r="L4498" s="352">
        <v>35.58</v>
      </c>
      <c r="M4498" s="352">
        <v>35.380000000000003</v>
      </c>
      <c r="N4498" s="354">
        <v>42240.83</v>
      </c>
      <c r="O4498" s="355">
        <v>0.2</v>
      </c>
      <c r="P4498" s="355"/>
      <c r="Q4498" s="354">
        <v>32381.360000000001</v>
      </c>
      <c r="R4498" s="375" t="s">
        <v>112</v>
      </c>
      <c r="S4498" s="356" t="s">
        <v>65</v>
      </c>
      <c r="T4498" s="346">
        <v>64</v>
      </c>
      <c r="U4498" s="357" t="s">
        <v>164</v>
      </c>
      <c r="V4498" s="434"/>
      <c r="X4498" s="354">
        <v>32381.360000000001</v>
      </c>
      <c r="Y4498" s="354"/>
      <c r="AI4498" s="354">
        <v>32381.360000000001</v>
      </c>
      <c r="AJ4498" s="358"/>
      <c r="AK4498" s="369"/>
    </row>
    <row r="4499" spans="1:77" s="379" customFormat="1" ht="11.25" customHeight="1">
      <c r="B4499" s="380" t="s">
        <v>291</v>
      </c>
      <c r="C4499" s="381">
        <v>44801</v>
      </c>
      <c r="D4499" s="381">
        <v>44802</v>
      </c>
      <c r="E4499" s="382" t="s">
        <v>3611</v>
      </c>
      <c r="F4499" s="379" t="s">
        <v>3612</v>
      </c>
      <c r="G4499" s="400">
        <v>3631</v>
      </c>
      <c r="H4499" s="379" t="s">
        <v>866</v>
      </c>
      <c r="I4499" s="384" t="s">
        <v>33</v>
      </c>
      <c r="J4499" s="385">
        <v>5518.34</v>
      </c>
      <c r="K4499" s="384"/>
      <c r="L4499" s="385">
        <v>5.78</v>
      </c>
      <c r="M4499" s="385">
        <v>5.78</v>
      </c>
      <c r="N4499" s="386"/>
      <c r="O4499" s="387">
        <v>0.3</v>
      </c>
      <c r="P4499" s="387"/>
      <c r="Q4499" s="386">
        <v>1441.47</v>
      </c>
      <c r="R4499" s="379" t="s">
        <v>128</v>
      </c>
      <c r="S4499" s="388" t="s">
        <v>41</v>
      </c>
      <c r="T4499" s="399">
        <v>79</v>
      </c>
      <c r="U4499" s="389" t="s">
        <v>164</v>
      </c>
      <c r="V4499" s="433"/>
      <c r="X4499" s="386">
        <v>1441.47</v>
      </c>
      <c r="Y4499" s="386"/>
      <c r="AJ4499" s="416">
        <v>1441.47</v>
      </c>
    </row>
    <row r="4500" spans="1:77" s="379" customFormat="1" ht="11.25" customHeight="1">
      <c r="B4500" s="380" t="s">
        <v>291</v>
      </c>
      <c r="C4500" s="381"/>
      <c r="D4500" s="381"/>
      <c r="E4500" s="382" t="s">
        <v>3611</v>
      </c>
      <c r="F4500" s="379" t="s">
        <v>3612</v>
      </c>
      <c r="G4500" s="400">
        <v>3631</v>
      </c>
      <c r="H4500" s="379" t="s">
        <v>765</v>
      </c>
      <c r="I4500" s="384" t="s">
        <v>33</v>
      </c>
      <c r="J4500" s="385">
        <v>8507.48</v>
      </c>
      <c r="K4500" s="384"/>
      <c r="L4500" s="385">
        <v>11.68</v>
      </c>
      <c r="M4500" s="385">
        <v>11.68</v>
      </c>
      <c r="N4500" s="386"/>
      <c r="O4500" s="387">
        <v>0.3</v>
      </c>
      <c r="P4500" s="387"/>
      <c r="Q4500" s="386">
        <v>0</v>
      </c>
      <c r="R4500" s="379" t="s">
        <v>128</v>
      </c>
      <c r="S4500" s="388" t="s">
        <v>41</v>
      </c>
      <c r="T4500" s="399">
        <v>79</v>
      </c>
      <c r="U4500" s="389" t="s">
        <v>164</v>
      </c>
      <c r="V4500" s="433"/>
      <c r="X4500" s="386">
        <v>0</v>
      </c>
      <c r="Y4500" s="386"/>
      <c r="AJ4500" s="390">
        <v>0</v>
      </c>
    </row>
    <row r="4501" spans="1:77" s="337" customFormat="1" ht="11.25" customHeight="1">
      <c r="B4501" s="338" t="s">
        <v>291</v>
      </c>
      <c r="C4501" s="349">
        <v>44800</v>
      </c>
      <c r="D4501" s="349">
        <v>44803</v>
      </c>
      <c r="E4501" s="350" t="s">
        <v>3613</v>
      </c>
      <c r="F4501" s="337" t="s">
        <v>3614</v>
      </c>
      <c r="G4501" s="342" t="s">
        <v>3615</v>
      </c>
      <c r="H4501" s="337" t="s">
        <v>866</v>
      </c>
      <c r="I4501" s="353" t="s">
        <v>33</v>
      </c>
      <c r="J4501" s="352">
        <v>8946.14</v>
      </c>
      <c r="K4501" s="353"/>
      <c r="L4501" s="352">
        <v>5.83</v>
      </c>
      <c r="M4501" s="352">
        <v>5.83</v>
      </c>
      <c r="N4501" s="354">
        <v>1965</v>
      </c>
      <c r="O4501" s="355">
        <v>0.3</v>
      </c>
      <c r="P4501" s="355"/>
      <c r="Q4501" s="354">
        <v>0</v>
      </c>
      <c r="R4501" s="337" t="s">
        <v>2296</v>
      </c>
      <c r="S4501" s="356" t="s">
        <v>113</v>
      </c>
      <c r="T4501" s="346">
        <v>64</v>
      </c>
      <c r="U4501" s="357" t="s">
        <v>164</v>
      </c>
      <c r="V4501" s="434"/>
      <c r="X4501" s="354">
        <v>0</v>
      </c>
      <c r="Y4501" s="354"/>
      <c r="AI4501" s="337">
        <v>0</v>
      </c>
      <c r="AJ4501" s="358"/>
      <c r="AK4501" s="369"/>
    </row>
    <row r="4502" spans="1:77" s="337" customFormat="1" ht="11.25" customHeight="1">
      <c r="B4502" s="337" t="s">
        <v>291</v>
      </c>
      <c r="C4502" s="349">
        <v>44801</v>
      </c>
      <c r="D4502" s="349">
        <v>44803</v>
      </c>
      <c r="E4502" s="350" t="s">
        <v>3616</v>
      </c>
      <c r="F4502" s="337" t="s">
        <v>419</v>
      </c>
      <c r="G4502" s="342" t="s">
        <v>420</v>
      </c>
      <c r="H4502" s="337" t="s">
        <v>1018</v>
      </c>
      <c r="I4502" s="353" t="s">
        <v>33</v>
      </c>
      <c r="J4502" s="352">
        <v>12342</v>
      </c>
      <c r="K4502" s="353"/>
      <c r="L4502" s="352">
        <v>11</v>
      </c>
      <c r="M4502" s="352">
        <v>11</v>
      </c>
      <c r="N4502" s="354"/>
      <c r="O4502" s="355">
        <v>0.2</v>
      </c>
      <c r="P4502" s="355"/>
      <c r="Q4502" s="354">
        <v>0</v>
      </c>
      <c r="R4502" s="337" t="s">
        <v>257</v>
      </c>
      <c r="S4502" s="356" t="s">
        <v>3078</v>
      </c>
      <c r="T4502" s="346">
        <v>47</v>
      </c>
      <c r="U4502" s="357" t="s">
        <v>164</v>
      </c>
      <c r="V4502" s="434"/>
      <c r="X4502" s="354">
        <v>0</v>
      </c>
      <c r="Y4502" s="354"/>
      <c r="AI4502" s="337">
        <f>X4502</f>
        <v>0</v>
      </c>
      <c r="AJ4502" s="358"/>
      <c r="AK4502" s="369"/>
    </row>
    <row r="4503" spans="1:77" s="337" customFormat="1" ht="11.25" customHeight="1">
      <c r="B4503" s="337" t="s">
        <v>291</v>
      </c>
      <c r="C4503" s="349"/>
      <c r="D4503" s="349"/>
      <c r="E4503" s="350" t="s">
        <v>3616</v>
      </c>
      <c r="F4503" s="337" t="s">
        <v>419</v>
      </c>
      <c r="G4503" s="342" t="s">
        <v>420</v>
      </c>
      <c r="H4503" s="337" t="s">
        <v>1138</v>
      </c>
      <c r="I4503" s="353" t="s">
        <v>33</v>
      </c>
      <c r="J4503" s="352">
        <v>16562</v>
      </c>
      <c r="K4503" s="353"/>
      <c r="L4503" s="352">
        <v>13</v>
      </c>
      <c r="M4503" s="352">
        <v>13</v>
      </c>
      <c r="N4503" s="354"/>
      <c r="O4503" s="355">
        <v>0.2</v>
      </c>
      <c r="P4503" s="355"/>
      <c r="Q4503" s="354">
        <v>5787.6</v>
      </c>
      <c r="R4503" s="337" t="s">
        <v>257</v>
      </c>
      <c r="S4503" s="356" t="s">
        <v>3078</v>
      </c>
      <c r="T4503" s="346">
        <v>47</v>
      </c>
      <c r="U4503" s="357" t="s">
        <v>164</v>
      </c>
      <c r="V4503" s="434"/>
      <c r="X4503" s="354">
        <v>5787.6</v>
      </c>
      <c r="Y4503" s="354"/>
      <c r="AI4503" s="354">
        <v>5787.6</v>
      </c>
      <c r="AJ4503" s="358"/>
      <c r="AK4503" s="369"/>
    </row>
    <row r="4504" spans="1:77" s="379" customFormat="1" ht="11.25" customHeight="1">
      <c r="B4504" s="380" t="s">
        <v>291</v>
      </c>
      <c r="C4504" s="381">
        <v>44743</v>
      </c>
      <c r="D4504" s="381">
        <v>44803</v>
      </c>
      <c r="E4504" s="382" t="s">
        <v>3617</v>
      </c>
      <c r="F4504" s="379" t="s">
        <v>1495</v>
      </c>
      <c r="G4504" s="400">
        <v>4113</v>
      </c>
      <c r="H4504" s="379" t="s">
        <v>866</v>
      </c>
      <c r="I4504" s="384" t="s">
        <v>33</v>
      </c>
      <c r="J4504" s="385">
        <v>33581.839999999997</v>
      </c>
      <c r="K4504" s="384"/>
      <c r="L4504" s="385">
        <v>22.37</v>
      </c>
      <c r="M4504" s="385">
        <v>22.37</v>
      </c>
      <c r="N4504" s="386">
        <v>4511</v>
      </c>
      <c r="O4504" s="387">
        <v>0.15</v>
      </c>
      <c r="P4504" s="387"/>
      <c r="Q4504" s="386">
        <v>0</v>
      </c>
      <c r="R4504" s="379" t="s">
        <v>105</v>
      </c>
      <c r="S4504" s="388" t="s">
        <v>30</v>
      </c>
      <c r="T4504" s="399">
        <v>39</v>
      </c>
      <c r="U4504" s="389" t="s">
        <v>164</v>
      </c>
      <c r="V4504" s="433"/>
      <c r="X4504" s="386">
        <v>0</v>
      </c>
      <c r="Y4504" s="386"/>
      <c r="AJ4504" s="390">
        <v>0</v>
      </c>
    </row>
    <row r="4505" spans="1:77" s="379" customFormat="1" ht="11.25" customHeight="1">
      <c r="B4505" s="380" t="s">
        <v>291</v>
      </c>
      <c r="C4505" s="381"/>
      <c r="D4505" s="381"/>
      <c r="E4505" s="382" t="s">
        <v>3617</v>
      </c>
      <c r="F4505" s="379" t="s">
        <v>1495</v>
      </c>
      <c r="G4505" s="400">
        <v>4113</v>
      </c>
      <c r="H4505" s="379" t="s">
        <v>814</v>
      </c>
      <c r="I4505" s="384" t="s">
        <v>33</v>
      </c>
      <c r="J4505" s="385">
        <v>25650</v>
      </c>
      <c r="K4505" s="384"/>
      <c r="L4505" s="385">
        <v>18.75</v>
      </c>
      <c r="M4505" s="385">
        <v>18.75</v>
      </c>
      <c r="N4505" s="386">
        <v>8996</v>
      </c>
      <c r="O4505" s="387">
        <v>0.15</v>
      </c>
      <c r="P4505" s="387"/>
      <c r="Q4505" s="386">
        <v>472.5</v>
      </c>
      <c r="R4505" s="379" t="s">
        <v>105</v>
      </c>
      <c r="S4505" s="388" t="s">
        <v>30</v>
      </c>
      <c r="T4505" s="399">
        <v>39</v>
      </c>
      <c r="U4505" s="389" t="s">
        <v>164</v>
      </c>
      <c r="V4505" s="433"/>
      <c r="X4505" s="386">
        <v>472.5</v>
      </c>
      <c r="Y4505" s="386"/>
      <c r="AJ4505" s="390">
        <v>472.5</v>
      </c>
    </row>
    <row r="4506" spans="1:77" s="6" customFormat="1" ht="11.25" customHeight="1">
      <c r="A4506" s="379"/>
      <c r="B4506" s="380" t="s">
        <v>291</v>
      </c>
      <c r="C4506" s="381">
        <v>44802</v>
      </c>
      <c r="D4506" s="381">
        <v>44803</v>
      </c>
      <c r="E4506" s="382" t="s">
        <v>3618</v>
      </c>
      <c r="F4506" s="379" t="s">
        <v>2808</v>
      </c>
      <c r="G4506" s="400" t="s">
        <v>2809</v>
      </c>
      <c r="H4506" s="379" t="s">
        <v>866</v>
      </c>
      <c r="I4506" s="384" t="s">
        <v>3619</v>
      </c>
      <c r="J4506" s="385">
        <v>74168</v>
      </c>
      <c r="K4506" s="384"/>
      <c r="L4506" s="385">
        <v>29.2</v>
      </c>
      <c r="M4506" s="385">
        <v>29.2</v>
      </c>
      <c r="N4506" s="386">
        <v>42257.98</v>
      </c>
      <c r="O4506" s="387">
        <v>0.15</v>
      </c>
      <c r="P4506" s="387"/>
      <c r="Q4506" s="386">
        <v>31924.6</v>
      </c>
      <c r="R4506" s="379" t="s">
        <v>112</v>
      </c>
      <c r="S4506" s="388" t="s">
        <v>113</v>
      </c>
      <c r="T4506" s="399">
        <v>64</v>
      </c>
      <c r="U4506" s="389" t="s">
        <v>164</v>
      </c>
      <c r="V4506" s="433">
        <v>824.2</v>
      </c>
      <c r="W4506" s="379"/>
      <c r="X4506" s="386">
        <v>31924.6</v>
      </c>
      <c r="Y4506" s="386"/>
      <c r="Z4506" s="379"/>
      <c r="AA4506" s="379"/>
      <c r="AB4506" s="379"/>
      <c r="AC4506" s="379"/>
      <c r="AD4506" s="379"/>
      <c r="AE4506" s="379"/>
      <c r="AF4506" s="379"/>
      <c r="AG4506" s="379"/>
      <c r="AH4506" s="379"/>
      <c r="AI4506" s="379"/>
      <c r="AJ4506" s="416">
        <v>31924.6</v>
      </c>
      <c r="AK4506" s="379"/>
      <c r="AL4506" s="379"/>
      <c r="AM4506" s="379"/>
      <c r="AN4506" s="379"/>
      <c r="AO4506" s="379"/>
      <c r="AP4506" s="379"/>
      <c r="AQ4506" s="379"/>
      <c r="AR4506" s="379"/>
      <c r="AS4506" s="379"/>
      <c r="AT4506" s="379"/>
      <c r="AU4506" s="379"/>
      <c r="AV4506" s="379"/>
      <c r="AW4506" s="379"/>
      <c r="AX4506" s="379"/>
      <c r="AY4506" s="379"/>
      <c r="AZ4506" s="379"/>
      <c r="BA4506" s="379"/>
      <c r="BB4506" s="379"/>
      <c r="BC4506" s="379"/>
      <c r="BD4506" s="379"/>
      <c r="BE4506" s="379"/>
      <c r="BF4506" s="379"/>
      <c r="BG4506" s="379"/>
      <c r="BH4506" s="379"/>
      <c r="BI4506" s="379"/>
      <c r="BJ4506" s="379"/>
      <c r="BK4506" s="379"/>
      <c r="BL4506" s="379"/>
      <c r="BM4506" s="379"/>
      <c r="BN4506" s="379"/>
      <c r="BO4506" s="379"/>
      <c r="BP4506" s="379"/>
      <c r="BQ4506" s="379"/>
      <c r="BR4506" s="379"/>
      <c r="BS4506" s="379"/>
      <c r="BT4506" s="379"/>
      <c r="BU4506" s="379"/>
      <c r="BV4506" s="379"/>
      <c r="BW4506" s="379"/>
      <c r="BX4506" s="379"/>
      <c r="BY4506" s="379"/>
    </row>
    <row r="4507" spans="1:77" s="261" customFormat="1" ht="11.25" customHeight="1">
      <c r="B4507" s="258" t="s">
        <v>291</v>
      </c>
      <c r="C4507" s="259">
        <v>44799</v>
      </c>
      <c r="D4507" s="259">
        <v>44803</v>
      </c>
      <c r="E4507" s="260" t="s">
        <v>3620</v>
      </c>
      <c r="F4507" s="261" t="s">
        <v>3621</v>
      </c>
      <c r="G4507" s="276" t="s">
        <v>3622</v>
      </c>
      <c r="H4507" s="261" t="s">
        <v>898</v>
      </c>
      <c r="I4507" s="264" t="s">
        <v>33</v>
      </c>
      <c r="J4507" s="263">
        <v>14353.5</v>
      </c>
      <c r="K4507" s="264"/>
      <c r="L4507" s="263">
        <v>10.5</v>
      </c>
      <c r="M4507" s="263">
        <v>10.5</v>
      </c>
      <c r="N4507" s="265">
        <v>2870</v>
      </c>
      <c r="O4507" s="266">
        <v>0.25</v>
      </c>
      <c r="P4507" s="266"/>
      <c r="Q4507" s="265">
        <v>0</v>
      </c>
      <c r="R4507" s="261" t="s">
        <v>54</v>
      </c>
      <c r="S4507" s="267" t="s">
        <v>113</v>
      </c>
      <c r="T4507" s="279">
        <v>55</v>
      </c>
      <c r="U4507" s="268" t="s">
        <v>164</v>
      </c>
      <c r="V4507" s="427"/>
      <c r="X4507" s="265">
        <v>0</v>
      </c>
      <c r="Y4507" s="265"/>
      <c r="AG4507" s="261">
        <f>X4507</f>
        <v>0</v>
      </c>
      <c r="AJ4507" s="642"/>
    </row>
    <row r="4508" spans="1:77" s="291" customFormat="1" ht="11.25" customHeight="1">
      <c r="B4508" s="310" t="s">
        <v>291</v>
      </c>
      <c r="C4508" s="292">
        <v>44803</v>
      </c>
      <c r="D4508" s="292">
        <v>44803</v>
      </c>
      <c r="E4508" s="293" t="s">
        <v>3623</v>
      </c>
      <c r="F4508" s="291" t="s">
        <v>2994</v>
      </c>
      <c r="G4508" s="304" t="s">
        <v>2995</v>
      </c>
      <c r="H4508" s="291" t="s">
        <v>866</v>
      </c>
      <c r="I4508" s="295" t="s">
        <v>3624</v>
      </c>
      <c r="J4508" s="296">
        <v>50031.68</v>
      </c>
      <c r="K4508" s="295"/>
      <c r="L4508" s="296">
        <v>21.64</v>
      </c>
      <c r="M4508" s="296">
        <v>21.64</v>
      </c>
      <c r="N4508" s="297">
        <v>23667.16</v>
      </c>
      <c r="O4508" s="298">
        <v>0.25</v>
      </c>
      <c r="P4508" s="298">
        <v>0.1</v>
      </c>
      <c r="Q4508" s="297">
        <v>10150.64</v>
      </c>
      <c r="R4508" s="291" t="s">
        <v>112</v>
      </c>
      <c r="S4508" s="299" t="s">
        <v>113</v>
      </c>
      <c r="T4508" s="308">
        <v>64</v>
      </c>
      <c r="U4508" s="300" t="s">
        <v>164</v>
      </c>
      <c r="V4508" s="333">
        <v>499.2</v>
      </c>
      <c r="X4508" s="297">
        <v>10150.64</v>
      </c>
      <c r="Y4508" s="297"/>
      <c r="AH4508" s="311">
        <f>X4508</f>
        <v>10150.64</v>
      </c>
      <c r="AI4508" s="311"/>
      <c r="AJ4508" s="468"/>
    </row>
    <row r="4509" spans="1:77" s="337" customFormat="1" ht="11.25" customHeight="1">
      <c r="B4509" s="338" t="s">
        <v>291</v>
      </c>
      <c r="C4509" s="349">
        <v>44802</v>
      </c>
      <c r="D4509" s="349">
        <v>44803</v>
      </c>
      <c r="E4509" s="350" t="s">
        <v>3625</v>
      </c>
      <c r="F4509" s="341" t="s">
        <v>2971</v>
      </c>
      <c r="G4509" s="342" t="s">
        <v>872</v>
      </c>
      <c r="H4509" s="337" t="s">
        <v>866</v>
      </c>
      <c r="I4509" s="353" t="s">
        <v>1839</v>
      </c>
      <c r="J4509" s="352">
        <v>94137.51</v>
      </c>
      <c r="K4509" s="353"/>
      <c r="L4509" s="352">
        <v>43.78</v>
      </c>
      <c r="M4509" s="352">
        <v>43.78</v>
      </c>
      <c r="N4509" s="354">
        <v>64408.3</v>
      </c>
      <c r="O4509" s="355">
        <v>0.2</v>
      </c>
      <c r="P4509" s="355"/>
      <c r="Q4509" s="354">
        <v>43985.7</v>
      </c>
      <c r="R4509" s="337" t="s">
        <v>112</v>
      </c>
      <c r="S4509" s="356" t="s">
        <v>150</v>
      </c>
      <c r="T4509" s="346">
        <v>64</v>
      </c>
      <c r="U4509" s="357" t="s">
        <v>164</v>
      </c>
      <c r="V4509" s="434">
        <v>1800</v>
      </c>
      <c r="X4509" s="354">
        <v>43985.7</v>
      </c>
      <c r="Y4509" s="354"/>
      <c r="AI4509" s="354">
        <v>43985.7</v>
      </c>
      <c r="AJ4509" s="358"/>
      <c r="AK4509" s="369"/>
    </row>
    <row r="4510" spans="1:77" s="337" customFormat="1" ht="11.25" customHeight="1">
      <c r="B4510" s="338" t="s">
        <v>291</v>
      </c>
      <c r="C4510" s="349">
        <v>44802</v>
      </c>
      <c r="D4510" s="349">
        <v>44803</v>
      </c>
      <c r="E4510" s="350" t="s">
        <v>3626</v>
      </c>
      <c r="F4510" s="337" t="s">
        <v>874</v>
      </c>
      <c r="G4510" s="342">
        <v>4477</v>
      </c>
      <c r="H4510" s="337" t="s">
        <v>866</v>
      </c>
      <c r="I4510" s="353" t="s">
        <v>1839</v>
      </c>
      <c r="J4510" s="352">
        <v>151742.44</v>
      </c>
      <c r="K4510" s="353"/>
      <c r="L4510" s="352">
        <v>70.569999999999993</v>
      </c>
      <c r="M4510" s="352">
        <v>70.569999999999993</v>
      </c>
      <c r="N4510" s="354">
        <v>108243.08</v>
      </c>
      <c r="O4510" s="355">
        <v>0.2</v>
      </c>
      <c r="P4510" s="355"/>
      <c r="Q4510" s="354">
        <v>75490.48</v>
      </c>
      <c r="R4510" s="337" t="s">
        <v>112</v>
      </c>
      <c r="S4510" s="356" t="s">
        <v>150</v>
      </c>
      <c r="T4510" s="346">
        <v>64</v>
      </c>
      <c r="U4510" s="357" t="s">
        <v>164</v>
      </c>
      <c r="V4510" s="434">
        <v>3021.9</v>
      </c>
      <c r="X4510" s="354">
        <v>75490.48</v>
      </c>
      <c r="Y4510" s="354"/>
      <c r="AI4510" s="354">
        <v>75490.48</v>
      </c>
      <c r="AJ4510" s="358"/>
      <c r="AK4510" s="369"/>
    </row>
    <row r="4511" spans="1:77" s="379" customFormat="1" ht="11.25" customHeight="1">
      <c r="B4511" s="380" t="s">
        <v>291</v>
      </c>
      <c r="C4511" s="381">
        <v>44802</v>
      </c>
      <c r="D4511" s="381">
        <v>44803</v>
      </c>
      <c r="E4511" s="382" t="s">
        <v>3627</v>
      </c>
      <c r="F4511" s="417" t="s">
        <v>2944</v>
      </c>
      <c r="G4511" s="400" t="s">
        <v>2945</v>
      </c>
      <c r="H4511" s="379" t="s">
        <v>2171</v>
      </c>
      <c r="I4511" s="384" t="s">
        <v>1839</v>
      </c>
      <c r="J4511" s="385">
        <v>18231.07</v>
      </c>
      <c r="K4511" s="384"/>
      <c r="L4511" s="385">
        <v>7.93</v>
      </c>
      <c r="M4511" s="385">
        <v>7.93</v>
      </c>
      <c r="N4511" s="386">
        <v>11303.26</v>
      </c>
      <c r="O4511" s="387">
        <v>0.25</v>
      </c>
      <c r="P4511" s="387"/>
      <c r="Q4511" s="386">
        <v>6595.06</v>
      </c>
      <c r="R4511" s="394" t="s">
        <v>112</v>
      </c>
      <c r="S4511" s="388" t="s">
        <v>113</v>
      </c>
      <c r="T4511" s="399">
        <v>64</v>
      </c>
      <c r="U4511" s="389" t="s">
        <v>164</v>
      </c>
      <c r="V4511" s="433"/>
      <c r="X4511" s="386">
        <v>6595.06</v>
      </c>
      <c r="Y4511" s="386"/>
      <c r="AJ4511" s="416">
        <v>6595.06</v>
      </c>
    </row>
    <row r="4512" spans="1:77" s="379" customFormat="1" ht="11.25" customHeight="1">
      <c r="B4512" s="380" t="s">
        <v>291</v>
      </c>
      <c r="C4512" s="381"/>
      <c r="D4512" s="381"/>
      <c r="E4512" s="382" t="s">
        <v>3627</v>
      </c>
      <c r="F4512" s="417" t="s">
        <v>2944</v>
      </c>
      <c r="G4512" s="400" t="s">
        <v>2945</v>
      </c>
      <c r="H4512" s="379" t="s">
        <v>814</v>
      </c>
      <c r="I4512" s="384" t="s">
        <v>1839</v>
      </c>
      <c r="J4512" s="385">
        <v>33994.370000000003</v>
      </c>
      <c r="K4512" s="384"/>
      <c r="L4512" s="385">
        <v>25.66</v>
      </c>
      <c r="M4512" s="385">
        <v>25.66</v>
      </c>
      <c r="N4512" s="386">
        <v>9518.42</v>
      </c>
      <c r="O4512" s="387">
        <v>0.25</v>
      </c>
      <c r="P4512" s="387"/>
      <c r="Q4512" s="386">
        <v>1434.84</v>
      </c>
      <c r="R4512" s="394" t="s">
        <v>112</v>
      </c>
      <c r="S4512" s="388" t="s">
        <v>113</v>
      </c>
      <c r="T4512" s="399">
        <v>64</v>
      </c>
      <c r="U4512" s="389" t="s">
        <v>164</v>
      </c>
      <c r="V4512" s="433"/>
      <c r="X4512" s="386">
        <v>1434.84</v>
      </c>
      <c r="Y4512" s="386"/>
      <c r="AJ4512" s="416">
        <v>1434.84</v>
      </c>
    </row>
    <row r="4513" spans="1:77" s="379" customFormat="1" ht="11.25" customHeight="1">
      <c r="B4513" s="380" t="s">
        <v>291</v>
      </c>
      <c r="C4513" s="381"/>
      <c r="D4513" s="381"/>
      <c r="E4513" s="382" t="s">
        <v>3627</v>
      </c>
      <c r="F4513" s="417" t="s">
        <v>2944</v>
      </c>
      <c r="G4513" s="400" t="s">
        <v>2945</v>
      </c>
      <c r="H4513" s="379" t="s">
        <v>866</v>
      </c>
      <c r="I4513" s="384" t="s">
        <v>1839</v>
      </c>
      <c r="J4513" s="385">
        <v>10967.57</v>
      </c>
      <c r="K4513" s="384"/>
      <c r="L4513" s="385">
        <v>5.08</v>
      </c>
      <c r="M4513" s="385">
        <v>5.08</v>
      </c>
      <c r="N4513" s="386">
        <v>5812.78</v>
      </c>
      <c r="O4513" s="387">
        <v>0.25</v>
      </c>
      <c r="P4513" s="387"/>
      <c r="Q4513" s="386">
        <v>2852.56</v>
      </c>
      <c r="R4513" s="394" t="s">
        <v>112</v>
      </c>
      <c r="S4513" s="388" t="s">
        <v>113</v>
      </c>
      <c r="T4513" s="399">
        <v>64</v>
      </c>
      <c r="U4513" s="389" t="s">
        <v>164</v>
      </c>
      <c r="V4513" s="433">
        <v>254</v>
      </c>
      <c r="X4513" s="386">
        <v>2852.56</v>
      </c>
      <c r="Y4513" s="386"/>
      <c r="AJ4513" s="416">
        <v>2852.56</v>
      </c>
    </row>
    <row r="4514" spans="1:77" s="337" customFormat="1" ht="11.25" customHeight="1">
      <c r="B4514" s="337" t="s">
        <v>291</v>
      </c>
      <c r="C4514" s="349">
        <v>44789</v>
      </c>
      <c r="D4514" s="349">
        <v>44791</v>
      </c>
      <c r="E4514" s="350" t="s">
        <v>3628</v>
      </c>
      <c r="F4514" s="337" t="s">
        <v>255</v>
      </c>
      <c r="G4514" s="342" t="s">
        <v>256</v>
      </c>
      <c r="H4514" s="337" t="s">
        <v>765</v>
      </c>
      <c r="I4514" s="353" t="s">
        <v>156</v>
      </c>
      <c r="J4514" s="352">
        <v>13644.8</v>
      </c>
      <c r="K4514" s="353"/>
      <c r="L4514" s="352">
        <v>13.12</v>
      </c>
      <c r="M4514" s="352">
        <v>13.12</v>
      </c>
      <c r="N4514" s="354"/>
      <c r="O4514" s="355">
        <v>0.2</v>
      </c>
      <c r="P4514" s="355">
        <v>0.1</v>
      </c>
      <c r="Q4514" s="354">
        <v>1521.92</v>
      </c>
      <c r="R4514" s="337" t="s">
        <v>257</v>
      </c>
      <c r="S4514" s="356" t="s">
        <v>74</v>
      </c>
      <c r="T4514" s="346">
        <v>32</v>
      </c>
      <c r="U4514" s="357" t="s">
        <v>164</v>
      </c>
      <c r="V4514" s="434"/>
      <c r="X4514" s="354">
        <v>1521.92</v>
      </c>
      <c r="Y4514" s="354"/>
      <c r="AI4514" s="337">
        <v>1521.92</v>
      </c>
      <c r="AJ4514" s="358"/>
      <c r="AK4514" s="369"/>
    </row>
    <row r="4515" spans="1:77" s="337" customFormat="1" ht="12.75" customHeight="1">
      <c r="B4515" s="337" t="s">
        <v>291</v>
      </c>
      <c r="C4515" s="349"/>
      <c r="D4515" s="349"/>
      <c r="E4515" s="350" t="s">
        <v>3628</v>
      </c>
      <c r="F4515" s="337" t="s">
        <v>255</v>
      </c>
      <c r="G4515" s="342" t="s">
        <v>256</v>
      </c>
      <c r="H4515" s="337" t="s">
        <v>1141</v>
      </c>
      <c r="I4515" s="353" t="s">
        <v>156</v>
      </c>
      <c r="J4515" s="352">
        <v>17694.62</v>
      </c>
      <c r="K4515" s="353"/>
      <c r="L4515" s="352">
        <v>14.2</v>
      </c>
      <c r="M4515" s="352">
        <v>14.2</v>
      </c>
      <c r="N4515" s="354"/>
      <c r="O4515" s="355">
        <v>0.2</v>
      </c>
      <c r="P4515" s="355">
        <v>0.1</v>
      </c>
      <c r="Q4515" s="354">
        <v>6730.23</v>
      </c>
      <c r="R4515" s="337" t="s">
        <v>257</v>
      </c>
      <c r="S4515" s="356" t="s">
        <v>74</v>
      </c>
      <c r="T4515" s="346">
        <v>32</v>
      </c>
      <c r="U4515" s="357" t="s">
        <v>164</v>
      </c>
      <c r="V4515" s="434"/>
      <c r="X4515" s="354">
        <v>6730.23</v>
      </c>
      <c r="Y4515" s="354"/>
      <c r="AI4515" s="337">
        <v>6730.23</v>
      </c>
      <c r="AJ4515" s="358"/>
      <c r="AK4515" s="369"/>
    </row>
    <row r="4516" spans="1:77" s="337" customFormat="1" ht="11">
      <c r="B4516" s="338" t="s">
        <v>291</v>
      </c>
      <c r="C4516" s="349"/>
      <c r="D4516" s="349"/>
      <c r="E4516" s="350" t="s">
        <v>3629</v>
      </c>
      <c r="F4516" s="337" t="s">
        <v>650</v>
      </c>
      <c r="G4516" s="342">
        <v>3819</v>
      </c>
      <c r="H4516" s="337" t="s">
        <v>910</v>
      </c>
      <c r="I4516" s="353" t="s">
        <v>1839</v>
      </c>
      <c r="J4516" s="352">
        <v>104114.82</v>
      </c>
      <c r="K4516" s="353"/>
      <c r="L4516" s="352">
        <v>46.49</v>
      </c>
      <c r="M4516" s="352">
        <v>46.48</v>
      </c>
      <c r="N4516" s="354"/>
      <c r="O4516" s="355">
        <v>0.15</v>
      </c>
      <c r="P4516" s="355"/>
      <c r="Q4516" s="354">
        <v>0</v>
      </c>
      <c r="R4516" s="337" t="s">
        <v>112</v>
      </c>
      <c r="S4516" s="356" t="s">
        <v>113</v>
      </c>
      <c r="T4516" s="356">
        <v>64</v>
      </c>
      <c r="U4516" s="357" t="s">
        <v>164</v>
      </c>
      <c r="V4516" s="434"/>
      <c r="X4516" s="354">
        <v>0</v>
      </c>
      <c r="Y4516" s="354"/>
      <c r="AI4516" s="337">
        <v>0</v>
      </c>
      <c r="AJ4516" s="358"/>
      <c r="AK4516" s="369"/>
    </row>
    <row r="4517" spans="1:77" s="291" customFormat="1" ht="11.25" customHeight="1">
      <c r="B4517" s="310" t="s">
        <v>291</v>
      </c>
      <c r="C4517" s="292">
        <v>44803</v>
      </c>
      <c r="D4517" s="292">
        <v>44803</v>
      </c>
      <c r="E4517" s="293" t="s">
        <v>3629</v>
      </c>
      <c r="F4517" s="291" t="s">
        <v>650</v>
      </c>
      <c r="G4517" s="304">
        <v>3819</v>
      </c>
      <c r="H4517" s="291" t="s">
        <v>2267</v>
      </c>
      <c r="I4517" s="295" t="s">
        <v>1839</v>
      </c>
      <c r="J4517" s="296">
        <v>23474.77</v>
      </c>
      <c r="K4517" s="295"/>
      <c r="L4517" s="296">
        <v>11.4</v>
      </c>
      <c r="M4517" s="296">
        <v>11.39</v>
      </c>
      <c r="N4517" s="297"/>
      <c r="O4517" s="298">
        <v>0.15</v>
      </c>
      <c r="P4517" s="298"/>
      <c r="Q4517" s="297">
        <v>0</v>
      </c>
      <c r="R4517" s="291" t="s">
        <v>112</v>
      </c>
      <c r="S4517" s="299" t="s">
        <v>113</v>
      </c>
      <c r="T4517" s="299">
        <v>64</v>
      </c>
      <c r="U4517" s="300" t="s">
        <v>164</v>
      </c>
      <c r="V4517" s="333"/>
      <c r="X4517" s="297">
        <v>0</v>
      </c>
      <c r="Y4517" s="297"/>
      <c r="AH4517" s="291">
        <f>X4517</f>
        <v>0</v>
      </c>
      <c r="AI4517" s="311"/>
      <c r="AJ4517" s="468"/>
    </row>
    <row r="4518" spans="1:77" s="291" customFormat="1" ht="11.25" customHeight="1">
      <c r="B4518" s="310" t="s">
        <v>291</v>
      </c>
      <c r="C4518" s="292"/>
      <c r="D4518" s="292"/>
      <c r="E4518" s="293" t="s">
        <v>3629</v>
      </c>
      <c r="F4518" s="291" t="s">
        <v>650</v>
      </c>
      <c r="G4518" s="304">
        <v>3819</v>
      </c>
      <c r="H4518" s="291" t="s">
        <v>2171</v>
      </c>
      <c r="I4518" s="295" t="s">
        <v>1839</v>
      </c>
      <c r="J4518" s="296">
        <v>94773.29</v>
      </c>
      <c r="K4518" s="295"/>
      <c r="L4518" s="296">
        <v>59.4</v>
      </c>
      <c r="M4518" s="296">
        <v>59.38</v>
      </c>
      <c r="N4518" s="297"/>
      <c r="O4518" s="298">
        <v>0.15</v>
      </c>
      <c r="P4518" s="298"/>
      <c r="Q4518" s="297">
        <v>52206.39</v>
      </c>
      <c r="R4518" s="291" t="s">
        <v>112</v>
      </c>
      <c r="S4518" s="299" t="s">
        <v>113</v>
      </c>
      <c r="T4518" s="299">
        <v>64</v>
      </c>
      <c r="U4518" s="300" t="s">
        <v>164</v>
      </c>
      <c r="V4518" s="333">
        <v>1200</v>
      </c>
      <c r="X4518" s="297">
        <v>52206.39</v>
      </c>
      <c r="Y4518" s="297"/>
      <c r="AH4518" s="311">
        <f>X4518</f>
        <v>52206.39</v>
      </c>
      <c r="AI4518" s="311"/>
      <c r="AJ4518" s="468"/>
    </row>
    <row r="4519" spans="1:77" s="291" customFormat="1" ht="11.25" customHeight="1">
      <c r="B4519" s="310" t="s">
        <v>291</v>
      </c>
      <c r="C4519" s="292"/>
      <c r="D4519" s="292"/>
      <c r="E4519" s="293" t="s">
        <v>3629</v>
      </c>
      <c r="F4519" s="291" t="s">
        <v>650</v>
      </c>
      <c r="G4519" s="304">
        <v>3819</v>
      </c>
      <c r="H4519" s="291" t="s">
        <v>866</v>
      </c>
      <c r="I4519" s="295" t="s">
        <v>1839</v>
      </c>
      <c r="J4519" s="296">
        <v>57920.59</v>
      </c>
      <c r="K4519" s="295"/>
      <c r="L4519" s="296">
        <v>36.119999999999997</v>
      </c>
      <c r="M4519" s="296">
        <v>36.11</v>
      </c>
      <c r="N4519" s="297"/>
      <c r="O4519" s="298">
        <v>0.15</v>
      </c>
      <c r="P4519" s="298"/>
      <c r="Q4519" s="297">
        <v>33471.620000000003</v>
      </c>
      <c r="R4519" s="291" t="s">
        <v>112</v>
      </c>
      <c r="S4519" s="299" t="s">
        <v>113</v>
      </c>
      <c r="T4519" s="299">
        <v>64</v>
      </c>
      <c r="U4519" s="300" t="s">
        <v>164</v>
      </c>
      <c r="V4519" s="333">
        <v>1144.8</v>
      </c>
      <c r="X4519" s="297">
        <v>33471.620000000003</v>
      </c>
      <c r="Y4519" s="297"/>
      <c r="AH4519" s="311">
        <f>X4519</f>
        <v>33471.620000000003</v>
      </c>
      <c r="AI4519" s="311"/>
      <c r="AJ4519" s="468"/>
    </row>
    <row r="4520" spans="1:77" s="6" customFormat="1" ht="11.25" customHeight="1">
      <c r="B4520" s="39" t="s">
        <v>291</v>
      </c>
      <c r="C4520" s="4">
        <v>44803</v>
      </c>
      <c r="D4520" s="4">
        <v>44803</v>
      </c>
      <c r="E4520" s="5" t="s">
        <v>3630</v>
      </c>
      <c r="F4520" s="6" t="s">
        <v>2729</v>
      </c>
      <c r="G4520" s="79">
        <v>4117</v>
      </c>
      <c r="H4520" s="6" t="s">
        <v>407</v>
      </c>
      <c r="I4520" s="9" t="s">
        <v>33</v>
      </c>
      <c r="J4520" s="24">
        <v>62524</v>
      </c>
      <c r="K4520" s="9"/>
      <c r="L4520" s="24">
        <v>20.3</v>
      </c>
      <c r="M4520" s="24">
        <v>20.3</v>
      </c>
      <c r="N4520" s="8">
        <v>25009.599999999999</v>
      </c>
      <c r="O4520" s="11">
        <v>0.15</v>
      </c>
      <c r="P4520" s="11"/>
      <c r="Q4520" s="8">
        <f>N4520-J4520*O4520</f>
        <v>15630.999999999998</v>
      </c>
      <c r="R4520" s="117" t="s">
        <v>46</v>
      </c>
      <c r="S4520" s="152" t="s">
        <v>47</v>
      </c>
      <c r="T4520" s="152">
        <v>76</v>
      </c>
      <c r="U4520" s="7"/>
      <c r="V4520" s="436"/>
      <c r="X4520" s="8"/>
      <c r="Y4520" s="8"/>
      <c r="AJ4520" s="80"/>
    </row>
    <row r="4521" spans="1:77" s="337" customFormat="1" ht="11.25" customHeight="1">
      <c r="B4521" s="337" t="s">
        <v>291</v>
      </c>
      <c r="C4521" s="349">
        <v>44802</v>
      </c>
      <c r="D4521" s="349">
        <v>44803</v>
      </c>
      <c r="E4521" s="350" t="s">
        <v>3631</v>
      </c>
      <c r="F4521" s="337" t="s">
        <v>3632</v>
      </c>
      <c r="G4521" s="351" t="s">
        <v>3633</v>
      </c>
      <c r="H4521" s="337" t="s">
        <v>910</v>
      </c>
      <c r="I4521" s="353" t="s">
        <v>699</v>
      </c>
      <c r="J4521" s="352">
        <v>47413.06</v>
      </c>
      <c r="K4521" s="353"/>
      <c r="L4521" s="352">
        <v>21.11</v>
      </c>
      <c r="M4521" s="352">
        <v>7.83</v>
      </c>
      <c r="N4521" s="354">
        <v>1762</v>
      </c>
      <c r="O4521" s="355">
        <v>0.25</v>
      </c>
      <c r="P4521" s="355"/>
      <c r="Q4521" s="354">
        <v>313</v>
      </c>
      <c r="R4521" s="337" t="s">
        <v>2296</v>
      </c>
      <c r="S4521" s="346" t="s">
        <v>113</v>
      </c>
      <c r="T4521" s="346">
        <v>64</v>
      </c>
      <c r="U4521" s="357" t="s">
        <v>164</v>
      </c>
      <c r="V4521" s="434">
        <v>313</v>
      </c>
      <c r="X4521" s="354">
        <v>313</v>
      </c>
      <c r="Y4521" s="354"/>
      <c r="AI4521" s="337">
        <v>313</v>
      </c>
      <c r="AJ4521" s="358"/>
      <c r="AK4521" s="369"/>
    </row>
    <row r="4522" spans="1:77" s="337" customFormat="1" ht="11.25" customHeight="1">
      <c r="B4522" s="337" t="s">
        <v>291</v>
      </c>
      <c r="C4522" s="349"/>
      <c r="D4522" s="349"/>
      <c r="E4522" s="350" t="s">
        <v>3631</v>
      </c>
      <c r="F4522" s="337" t="s">
        <v>3632</v>
      </c>
      <c r="G4522" s="351" t="s">
        <v>3633</v>
      </c>
      <c r="H4522" s="337" t="s">
        <v>765</v>
      </c>
      <c r="I4522" s="353" t="s">
        <v>699</v>
      </c>
      <c r="J4522" s="352">
        <v>7292.94</v>
      </c>
      <c r="K4522" s="353"/>
      <c r="L4522" s="352">
        <v>4.5599999999999996</v>
      </c>
      <c r="M4522" s="352">
        <v>3.4</v>
      </c>
      <c r="N4522" s="354">
        <v>544</v>
      </c>
      <c r="O4522" s="355">
        <v>0.25</v>
      </c>
      <c r="P4522" s="355"/>
      <c r="Q4522" s="354">
        <v>182</v>
      </c>
      <c r="R4522" s="337" t="s">
        <v>2296</v>
      </c>
      <c r="S4522" s="346" t="s">
        <v>113</v>
      </c>
      <c r="T4522" s="346">
        <v>64</v>
      </c>
      <c r="U4522" s="357" t="s">
        <v>164</v>
      </c>
      <c r="V4522" s="434">
        <v>182</v>
      </c>
      <c r="X4522" s="354">
        <v>182</v>
      </c>
      <c r="Y4522" s="354"/>
      <c r="AI4522" s="337">
        <v>182</v>
      </c>
      <c r="AJ4522" s="358"/>
      <c r="AK4522" s="369"/>
    </row>
    <row r="4523" spans="1:77" s="291" customFormat="1" ht="11.25" customHeight="1">
      <c r="B4523" s="291" t="s">
        <v>291</v>
      </c>
      <c r="C4523" s="292">
        <v>44802</v>
      </c>
      <c r="D4523" s="292">
        <v>44803</v>
      </c>
      <c r="E4523" s="293" t="s">
        <v>3634</v>
      </c>
      <c r="F4523" s="291" t="s">
        <v>2845</v>
      </c>
      <c r="G4523" s="294" t="s">
        <v>2846</v>
      </c>
      <c r="H4523" s="291" t="s">
        <v>866</v>
      </c>
      <c r="I4523" s="295" t="s">
        <v>699</v>
      </c>
      <c r="J4523" s="296">
        <v>79140.91</v>
      </c>
      <c r="K4523" s="295"/>
      <c r="L4523" s="296">
        <v>28.93</v>
      </c>
      <c r="M4523" s="296">
        <v>28.93</v>
      </c>
      <c r="N4523" s="297">
        <v>41944.68</v>
      </c>
      <c r="O4523" s="307">
        <v>0.25</v>
      </c>
      <c r="P4523" s="298"/>
      <c r="Q4523" s="297">
        <v>21272.73</v>
      </c>
      <c r="R4523" s="291" t="s">
        <v>112</v>
      </c>
      <c r="S4523" s="308" t="s">
        <v>113</v>
      </c>
      <c r="T4523" s="308">
        <v>64</v>
      </c>
      <c r="U4523" s="300" t="s">
        <v>164</v>
      </c>
      <c r="V4523" s="333">
        <v>1447</v>
      </c>
      <c r="X4523" s="297">
        <v>21272.73</v>
      </c>
      <c r="Y4523" s="297"/>
      <c r="AH4523" s="297">
        <f>X4523</f>
        <v>21272.73</v>
      </c>
      <c r="AI4523" s="311"/>
      <c r="AJ4523" s="468"/>
    </row>
    <row r="4524" spans="1:77" s="6" customFormat="1" ht="11.25" customHeight="1">
      <c r="A4524" s="379"/>
      <c r="B4524" s="380" t="s">
        <v>291</v>
      </c>
      <c r="C4524" s="381">
        <v>44802</v>
      </c>
      <c r="D4524" s="381">
        <v>44803</v>
      </c>
      <c r="E4524" s="382" t="s">
        <v>3635</v>
      </c>
      <c r="F4524" s="379" t="s">
        <v>2064</v>
      </c>
      <c r="G4524" s="383">
        <v>4133</v>
      </c>
      <c r="H4524" s="379" t="s">
        <v>910</v>
      </c>
      <c r="I4524" s="384" t="s">
        <v>3636</v>
      </c>
      <c r="J4524" s="385">
        <v>105402</v>
      </c>
      <c r="K4524" s="384"/>
      <c r="L4524" s="385">
        <v>47.91</v>
      </c>
      <c r="M4524" s="385">
        <v>47.91</v>
      </c>
      <c r="N4524" s="386"/>
      <c r="O4524" s="387">
        <v>0.2</v>
      </c>
      <c r="P4524" s="387"/>
      <c r="Q4524" s="386">
        <v>5541.6</v>
      </c>
      <c r="R4524" s="379" t="s">
        <v>73</v>
      </c>
      <c r="S4524" s="388" t="s">
        <v>74</v>
      </c>
      <c r="T4524" s="388">
        <v>31</v>
      </c>
      <c r="U4524" s="389" t="s">
        <v>164</v>
      </c>
      <c r="V4524" s="433"/>
      <c r="W4524" s="379"/>
      <c r="X4524" s="386">
        <v>5541.6</v>
      </c>
      <c r="Y4524" s="386"/>
      <c r="Z4524" s="379"/>
      <c r="AA4524" s="379"/>
      <c r="AB4524" s="379"/>
      <c r="AC4524" s="379"/>
      <c r="AD4524" s="379"/>
      <c r="AE4524" s="379"/>
      <c r="AF4524" s="379"/>
      <c r="AG4524" s="379"/>
      <c r="AH4524" s="379"/>
      <c r="AI4524" s="379"/>
      <c r="AJ4524" s="416">
        <v>5541.6</v>
      </c>
      <c r="AK4524" s="379"/>
      <c r="AL4524" s="379"/>
      <c r="AM4524" s="379"/>
      <c r="AN4524" s="379"/>
      <c r="AO4524" s="379"/>
      <c r="AP4524" s="379"/>
      <c r="AQ4524" s="379"/>
      <c r="AR4524" s="379"/>
      <c r="AS4524" s="379"/>
      <c r="AT4524" s="379"/>
      <c r="AU4524" s="379"/>
      <c r="AV4524" s="379"/>
      <c r="AW4524" s="379"/>
      <c r="AX4524" s="379"/>
      <c r="AY4524" s="379"/>
      <c r="AZ4524" s="379"/>
      <c r="BA4524" s="379"/>
      <c r="BB4524" s="379"/>
      <c r="BC4524" s="379"/>
      <c r="BD4524" s="379"/>
      <c r="BE4524" s="379"/>
      <c r="BF4524" s="379"/>
      <c r="BG4524" s="379"/>
      <c r="BH4524" s="379"/>
      <c r="BI4524" s="379"/>
      <c r="BJ4524" s="379"/>
      <c r="BK4524" s="379"/>
      <c r="BL4524" s="379"/>
      <c r="BM4524" s="379"/>
      <c r="BN4524" s="379"/>
      <c r="BO4524" s="379"/>
      <c r="BP4524" s="379"/>
      <c r="BQ4524" s="379"/>
      <c r="BR4524" s="379"/>
      <c r="BS4524" s="379"/>
      <c r="BT4524" s="379"/>
      <c r="BU4524" s="379"/>
      <c r="BV4524" s="379"/>
      <c r="BW4524" s="379"/>
      <c r="BX4524" s="379"/>
      <c r="BY4524" s="379"/>
    </row>
    <row r="4525" spans="1:77" s="6" customFormat="1" ht="11.25" customHeight="1">
      <c r="A4525" s="379"/>
      <c r="B4525" s="380" t="s">
        <v>291</v>
      </c>
      <c r="C4525" s="381"/>
      <c r="D4525" s="381"/>
      <c r="E4525" s="382" t="s">
        <v>3635</v>
      </c>
      <c r="F4525" s="379" t="s">
        <v>2064</v>
      </c>
      <c r="G4525" s="383">
        <v>4133</v>
      </c>
      <c r="H4525" s="379" t="s">
        <v>765</v>
      </c>
      <c r="I4525" s="384" t="s">
        <v>3636</v>
      </c>
      <c r="J4525" s="385">
        <v>18262.8</v>
      </c>
      <c r="K4525" s="384"/>
      <c r="L4525" s="385">
        <v>16.91</v>
      </c>
      <c r="M4525" s="385">
        <v>16.91</v>
      </c>
      <c r="N4525" s="386"/>
      <c r="O4525" s="387">
        <v>0.2</v>
      </c>
      <c r="P4525" s="387"/>
      <c r="Q4525" s="386">
        <v>5398.76</v>
      </c>
      <c r="R4525" s="379" t="s">
        <v>73</v>
      </c>
      <c r="S4525" s="388" t="s">
        <v>74</v>
      </c>
      <c r="T4525" s="388">
        <v>31</v>
      </c>
      <c r="U4525" s="389" t="s">
        <v>164</v>
      </c>
      <c r="V4525" s="433"/>
      <c r="W4525" s="379"/>
      <c r="X4525" s="386">
        <v>5398.76</v>
      </c>
      <c r="Y4525" s="386"/>
      <c r="Z4525" s="379"/>
      <c r="AA4525" s="379"/>
      <c r="AB4525" s="379"/>
      <c r="AC4525" s="379"/>
      <c r="AD4525" s="379"/>
      <c r="AE4525" s="379"/>
      <c r="AF4525" s="379"/>
      <c r="AG4525" s="379"/>
      <c r="AH4525" s="379"/>
      <c r="AI4525" s="379"/>
      <c r="AJ4525" s="416">
        <v>5398.76</v>
      </c>
      <c r="AK4525" s="379"/>
      <c r="AL4525" s="379"/>
      <c r="AM4525" s="379"/>
      <c r="AN4525" s="379"/>
      <c r="AO4525" s="379"/>
      <c r="AP4525" s="379"/>
      <c r="AQ4525" s="379"/>
      <c r="AR4525" s="379"/>
      <c r="AS4525" s="379"/>
      <c r="AT4525" s="379"/>
      <c r="AU4525" s="379"/>
      <c r="AV4525" s="379"/>
      <c r="AW4525" s="379"/>
      <c r="AX4525" s="379"/>
      <c r="AY4525" s="379"/>
      <c r="AZ4525" s="379"/>
      <c r="BA4525" s="379"/>
      <c r="BB4525" s="379"/>
      <c r="BC4525" s="379"/>
      <c r="BD4525" s="379"/>
      <c r="BE4525" s="379"/>
      <c r="BF4525" s="379"/>
      <c r="BG4525" s="379"/>
      <c r="BH4525" s="379"/>
      <c r="BI4525" s="379"/>
      <c r="BJ4525" s="379"/>
      <c r="BK4525" s="379"/>
      <c r="BL4525" s="379"/>
      <c r="BM4525" s="379"/>
      <c r="BN4525" s="379"/>
      <c r="BO4525" s="379"/>
      <c r="BP4525" s="379"/>
      <c r="BQ4525" s="379"/>
      <c r="BR4525" s="379"/>
      <c r="BS4525" s="379"/>
      <c r="BT4525" s="379"/>
      <c r="BU4525" s="379"/>
      <c r="BV4525" s="379"/>
      <c r="BW4525" s="379"/>
      <c r="BX4525" s="379"/>
      <c r="BY4525" s="379"/>
    </row>
    <row r="4526" spans="1:77" s="6" customFormat="1" ht="11.25" customHeight="1">
      <c r="A4526" s="379"/>
      <c r="B4526" s="380" t="s">
        <v>291</v>
      </c>
      <c r="C4526" s="381"/>
      <c r="D4526" s="381"/>
      <c r="E4526" s="382" t="s">
        <v>3635</v>
      </c>
      <c r="F4526" s="379" t="s">
        <v>2064</v>
      </c>
      <c r="G4526" s="383">
        <v>4133</v>
      </c>
      <c r="H4526" s="379" t="s">
        <v>765</v>
      </c>
      <c r="I4526" s="384" t="s">
        <v>3636</v>
      </c>
      <c r="J4526" s="385">
        <v>23414.400000000001</v>
      </c>
      <c r="K4526" s="384"/>
      <c r="L4526" s="385">
        <v>21.68</v>
      </c>
      <c r="M4526" s="385">
        <v>21.68</v>
      </c>
      <c r="N4526" s="386"/>
      <c r="O4526" s="387">
        <v>0.2</v>
      </c>
      <c r="P4526" s="387"/>
      <c r="Q4526" s="386">
        <v>0</v>
      </c>
      <c r="R4526" s="379" t="s">
        <v>73</v>
      </c>
      <c r="S4526" s="388" t="s">
        <v>74</v>
      </c>
      <c r="T4526" s="388">
        <v>32</v>
      </c>
      <c r="U4526" s="389" t="s">
        <v>164</v>
      </c>
      <c r="V4526" s="433"/>
      <c r="W4526" s="379"/>
      <c r="X4526" s="386">
        <v>0</v>
      </c>
      <c r="Y4526" s="386"/>
      <c r="Z4526" s="379"/>
      <c r="AA4526" s="379"/>
      <c r="AB4526" s="379"/>
      <c r="AC4526" s="379"/>
      <c r="AD4526" s="379"/>
      <c r="AE4526" s="379"/>
      <c r="AF4526" s="379"/>
      <c r="AG4526" s="379"/>
      <c r="AH4526" s="379"/>
      <c r="AI4526" s="379"/>
      <c r="AJ4526" s="390">
        <v>0</v>
      </c>
      <c r="AK4526" s="379"/>
      <c r="AL4526" s="379"/>
      <c r="AM4526" s="379"/>
      <c r="AN4526" s="379"/>
      <c r="AO4526" s="379"/>
      <c r="AP4526" s="379"/>
      <c r="AQ4526" s="379"/>
      <c r="AR4526" s="379"/>
      <c r="AS4526" s="379"/>
      <c r="AT4526" s="379"/>
      <c r="AU4526" s="379"/>
      <c r="AV4526" s="379"/>
      <c r="AW4526" s="379"/>
      <c r="AX4526" s="379"/>
      <c r="AY4526" s="379"/>
      <c r="AZ4526" s="379"/>
      <c r="BA4526" s="379"/>
      <c r="BB4526" s="379"/>
      <c r="BC4526" s="379"/>
      <c r="BD4526" s="379"/>
      <c r="BE4526" s="379"/>
      <c r="BF4526" s="379"/>
      <c r="BG4526" s="379"/>
      <c r="BH4526" s="379"/>
      <c r="BI4526" s="379"/>
      <c r="BJ4526" s="379"/>
      <c r="BK4526" s="379"/>
      <c r="BL4526" s="379"/>
      <c r="BM4526" s="379"/>
      <c r="BN4526" s="379"/>
      <c r="BO4526" s="379"/>
      <c r="BP4526" s="379"/>
      <c r="BQ4526" s="379"/>
      <c r="BR4526" s="379"/>
      <c r="BS4526" s="379"/>
      <c r="BT4526" s="379"/>
      <c r="BU4526" s="379"/>
      <c r="BV4526" s="379"/>
      <c r="BW4526" s="379"/>
      <c r="BX4526" s="379"/>
      <c r="BY4526" s="379"/>
    </row>
    <row r="4527" spans="1:77" s="261" customFormat="1" ht="11.25" customHeight="1">
      <c r="A4527" s="473"/>
      <c r="B4527" s="473" t="s">
        <v>291</v>
      </c>
      <c r="C4527" s="487"/>
      <c r="D4527" s="487"/>
      <c r="E4527" s="488" t="s">
        <v>3637</v>
      </c>
      <c r="F4527" s="473" t="s">
        <v>3638</v>
      </c>
      <c r="G4527" s="476" t="s">
        <v>3639</v>
      </c>
      <c r="H4527" s="473" t="s">
        <v>866</v>
      </c>
      <c r="I4527" s="491" t="s">
        <v>3640</v>
      </c>
      <c r="J4527" s="490">
        <v>64000</v>
      </c>
      <c r="K4527" s="491"/>
      <c r="L4527" s="490">
        <v>32</v>
      </c>
      <c r="M4527" s="490">
        <v>32</v>
      </c>
      <c r="N4527" s="492">
        <v>25600</v>
      </c>
      <c r="O4527" s="493">
        <v>0.2</v>
      </c>
      <c r="P4527" s="493"/>
      <c r="Q4527" s="492">
        <v>19840</v>
      </c>
      <c r="R4527" s="473" t="s">
        <v>2296</v>
      </c>
      <c r="S4527" s="481" t="s">
        <v>113</v>
      </c>
      <c r="T4527" s="482">
        <v>64</v>
      </c>
      <c r="U4527" s="494" t="s">
        <v>164</v>
      </c>
      <c r="V4527" s="495"/>
      <c r="W4527" s="473"/>
      <c r="X4527" s="492">
        <v>19840</v>
      </c>
      <c r="Y4527" s="492"/>
      <c r="Z4527" s="473"/>
      <c r="AA4527" s="473"/>
      <c r="AB4527" s="473"/>
      <c r="AC4527" s="473"/>
      <c r="AD4527" s="473"/>
      <c r="AE4527" s="473"/>
      <c r="AF4527" s="473"/>
      <c r="AG4527" s="473"/>
      <c r="AH4527" s="473"/>
      <c r="AI4527" s="473"/>
      <c r="AJ4527" s="485"/>
      <c r="AK4527" s="505">
        <v>19840</v>
      </c>
      <c r="AL4527" s="473"/>
      <c r="AM4527" s="473"/>
      <c r="AN4527" s="473"/>
      <c r="AO4527" s="473"/>
      <c r="AP4527" s="473"/>
      <c r="AQ4527" s="473"/>
      <c r="AR4527" s="473"/>
      <c r="AS4527" s="473"/>
      <c r="AT4527" s="473"/>
      <c r="AU4527" s="473"/>
      <c r="AV4527" s="473"/>
      <c r="AW4527" s="473"/>
      <c r="AX4527" s="473"/>
      <c r="AY4527" s="473"/>
      <c r="AZ4527" s="473"/>
      <c r="BA4527" s="473"/>
      <c r="BB4527" s="473"/>
      <c r="BC4527" s="473"/>
      <c r="BD4527" s="473"/>
      <c r="BE4527" s="473"/>
      <c r="BF4527" s="473"/>
      <c r="BG4527" s="473"/>
      <c r="BH4527" s="473"/>
      <c r="BI4527" s="473"/>
      <c r="BJ4527" s="473"/>
      <c r="BK4527" s="473"/>
      <c r="BL4527" s="473"/>
      <c r="BM4527" s="473"/>
      <c r="BN4527" s="473"/>
      <c r="BO4527" s="473"/>
      <c r="BP4527" s="473"/>
      <c r="BQ4527" s="473"/>
      <c r="BR4527" s="473"/>
      <c r="BS4527" s="473"/>
      <c r="BT4527" s="473"/>
      <c r="BU4527" s="473"/>
      <c r="BV4527" s="473"/>
      <c r="BW4527" s="473"/>
      <c r="BX4527" s="473"/>
      <c r="BY4527" s="473"/>
    </row>
    <row r="4528" spans="1:77" s="337" customFormat="1" ht="11.25" customHeight="1">
      <c r="B4528" s="337" t="s">
        <v>291</v>
      </c>
      <c r="C4528" s="349"/>
      <c r="D4528" s="349"/>
      <c r="E4528" s="350" t="s">
        <v>3637</v>
      </c>
      <c r="F4528" s="337" t="s">
        <v>3638</v>
      </c>
      <c r="G4528" s="342" t="s">
        <v>3639</v>
      </c>
      <c r="H4528" s="337" t="s">
        <v>765</v>
      </c>
      <c r="I4528" s="353" t="s">
        <v>3640</v>
      </c>
      <c r="J4528" s="352">
        <v>4081.69</v>
      </c>
      <c r="K4528" s="353"/>
      <c r="L4528" s="352">
        <v>3.8</v>
      </c>
      <c r="M4528" s="352">
        <v>3.8</v>
      </c>
      <c r="N4528" s="354">
        <v>1634</v>
      </c>
      <c r="O4528" s="355">
        <v>0.2</v>
      </c>
      <c r="P4528" s="355"/>
      <c r="Q4528" s="354">
        <v>0</v>
      </c>
      <c r="R4528" s="337" t="s">
        <v>2296</v>
      </c>
      <c r="S4528" s="356" t="s">
        <v>113</v>
      </c>
      <c r="T4528" s="346">
        <v>64</v>
      </c>
      <c r="U4528" s="357" t="s">
        <v>164</v>
      </c>
      <c r="V4528" s="434"/>
      <c r="X4528" s="354">
        <v>0</v>
      </c>
      <c r="Y4528" s="354"/>
      <c r="AI4528" s="337">
        <v>0</v>
      </c>
      <c r="AJ4528" s="358"/>
      <c r="AK4528" s="369"/>
    </row>
    <row r="4529" spans="1:77" s="261" customFormat="1" ht="11.25" customHeight="1">
      <c r="B4529" s="261" t="s">
        <v>291</v>
      </c>
      <c r="C4529" s="259">
        <v>44802</v>
      </c>
      <c r="D4529" s="259">
        <v>44803</v>
      </c>
      <c r="E4529" s="260" t="s">
        <v>3637</v>
      </c>
      <c r="F4529" s="261" t="s">
        <v>3638</v>
      </c>
      <c r="G4529" s="276" t="s">
        <v>3639</v>
      </c>
      <c r="H4529" s="261" t="s">
        <v>910</v>
      </c>
      <c r="I4529" s="264" t="s">
        <v>3640</v>
      </c>
      <c r="J4529" s="263">
        <v>19750</v>
      </c>
      <c r="K4529" s="264"/>
      <c r="L4529" s="263">
        <v>7.9</v>
      </c>
      <c r="M4529" s="263">
        <v>7.9</v>
      </c>
      <c r="N4529" s="265"/>
      <c r="O4529" s="266">
        <v>0.2</v>
      </c>
      <c r="P4529" s="266"/>
      <c r="Q4529" s="265">
        <v>0</v>
      </c>
      <c r="R4529" s="261" t="s">
        <v>2296</v>
      </c>
      <c r="S4529" s="267" t="s">
        <v>113</v>
      </c>
      <c r="T4529" s="279">
        <v>64</v>
      </c>
      <c r="U4529" s="268" t="s">
        <v>164</v>
      </c>
      <c r="V4529" s="427"/>
      <c r="X4529" s="265">
        <v>0</v>
      </c>
      <c r="Y4529" s="265"/>
      <c r="AG4529" s="261">
        <f>X4529</f>
        <v>0</v>
      </c>
      <c r="AJ4529" s="642"/>
    </row>
    <row r="4530" spans="1:77" s="379" customFormat="1" ht="11.25" customHeight="1">
      <c r="B4530" s="379" t="s">
        <v>291</v>
      </c>
      <c r="C4530" s="381"/>
      <c r="D4530" s="381"/>
      <c r="E4530" s="382" t="s">
        <v>3637</v>
      </c>
      <c r="F4530" s="379" t="s">
        <v>3638</v>
      </c>
      <c r="G4530" s="400" t="s">
        <v>3639</v>
      </c>
      <c r="H4530" s="379" t="s">
        <v>814</v>
      </c>
      <c r="I4530" s="384" t="s">
        <v>3640</v>
      </c>
      <c r="J4530" s="385">
        <v>12184.85</v>
      </c>
      <c r="K4530" s="384"/>
      <c r="L4530" s="385">
        <v>10.4</v>
      </c>
      <c r="M4530" s="385">
        <v>10.4</v>
      </c>
      <c r="N4530" s="386">
        <v>4867</v>
      </c>
      <c r="O4530" s="387">
        <v>0.2</v>
      </c>
      <c r="P4530" s="387"/>
      <c r="Q4530" s="386">
        <v>0</v>
      </c>
      <c r="R4530" s="379" t="s">
        <v>2296</v>
      </c>
      <c r="S4530" s="388" t="s">
        <v>113</v>
      </c>
      <c r="T4530" s="399">
        <v>64</v>
      </c>
      <c r="U4530" s="389" t="s">
        <v>164</v>
      </c>
      <c r="V4530" s="433"/>
      <c r="X4530" s="386">
        <v>0</v>
      </c>
      <c r="Y4530" s="386"/>
      <c r="AJ4530" s="390">
        <v>0</v>
      </c>
    </row>
    <row r="4531" spans="1:77" s="337" customFormat="1" ht="11.25" customHeight="1">
      <c r="A4531" s="473"/>
      <c r="B4531" s="473" t="s">
        <v>291</v>
      </c>
      <c r="C4531" s="487"/>
      <c r="D4531" s="487"/>
      <c r="E4531" s="488" t="s">
        <v>3641</v>
      </c>
      <c r="F4531" s="473" t="s">
        <v>1645</v>
      </c>
      <c r="G4531" s="476" t="s">
        <v>1646</v>
      </c>
      <c r="H4531" s="473" t="s">
        <v>765</v>
      </c>
      <c r="I4531" s="491" t="s">
        <v>3624</v>
      </c>
      <c r="J4531" s="490">
        <v>6361.52</v>
      </c>
      <c r="K4531" s="491"/>
      <c r="L4531" s="490">
        <v>4.22</v>
      </c>
      <c r="M4531" s="490">
        <v>4.22</v>
      </c>
      <c r="N4531" s="492">
        <v>4453.07</v>
      </c>
      <c r="O4531" s="493">
        <v>0.2</v>
      </c>
      <c r="P4531" s="493"/>
      <c r="Q4531" s="492">
        <v>3007.62</v>
      </c>
      <c r="R4531" s="473" t="s">
        <v>112</v>
      </c>
      <c r="S4531" s="481" t="s">
        <v>3642</v>
      </c>
      <c r="T4531" s="482">
        <v>64</v>
      </c>
      <c r="U4531" s="494" t="s">
        <v>164</v>
      </c>
      <c r="V4531" s="495"/>
      <c r="W4531" s="473"/>
      <c r="X4531" s="492">
        <v>3007.62</v>
      </c>
      <c r="Y4531" s="492"/>
      <c r="Z4531" s="473"/>
      <c r="AA4531" s="473"/>
      <c r="AB4531" s="473"/>
      <c r="AC4531" s="473"/>
      <c r="AD4531" s="473"/>
      <c r="AE4531" s="473"/>
      <c r="AF4531" s="473"/>
      <c r="AG4531" s="473"/>
      <c r="AH4531" s="473"/>
      <c r="AI4531" s="473"/>
      <c r="AJ4531" s="485"/>
      <c r="AK4531" s="505">
        <v>3007.62</v>
      </c>
      <c r="AL4531" s="473"/>
      <c r="AM4531" s="473"/>
      <c r="AN4531" s="473"/>
      <c r="AO4531" s="473"/>
      <c r="AP4531" s="473"/>
      <c r="AQ4531" s="473"/>
      <c r="AR4531" s="473"/>
      <c r="AS4531" s="473"/>
      <c r="AT4531" s="473"/>
      <c r="AU4531" s="473"/>
      <c r="AV4531" s="473"/>
      <c r="AW4531" s="473"/>
      <c r="AX4531" s="473"/>
      <c r="AY4531" s="473"/>
      <c r="AZ4531" s="473"/>
      <c r="BA4531" s="473"/>
      <c r="BB4531" s="473"/>
      <c r="BC4531" s="473"/>
      <c r="BD4531" s="473"/>
      <c r="BE4531" s="473"/>
      <c r="BF4531" s="473"/>
      <c r="BG4531" s="473"/>
      <c r="BH4531" s="473"/>
      <c r="BI4531" s="473"/>
      <c r="BJ4531" s="473"/>
      <c r="BK4531" s="473"/>
      <c r="BL4531" s="473"/>
      <c r="BM4531" s="473"/>
      <c r="BN4531" s="473"/>
      <c r="BO4531" s="473"/>
      <c r="BP4531" s="473"/>
      <c r="BQ4531" s="473"/>
      <c r="BR4531" s="473"/>
      <c r="BS4531" s="473"/>
      <c r="BT4531" s="473"/>
      <c r="BU4531" s="473"/>
      <c r="BV4531" s="473"/>
      <c r="BW4531" s="473"/>
      <c r="BX4531" s="473"/>
      <c r="BY4531" s="473"/>
    </row>
    <row r="4532" spans="1:77" s="337" customFormat="1" ht="11.25" customHeight="1">
      <c r="B4532" s="337" t="s">
        <v>291</v>
      </c>
      <c r="C4532" s="349">
        <v>44802</v>
      </c>
      <c r="D4532" s="349">
        <v>44803</v>
      </c>
      <c r="E4532" s="350" t="s">
        <v>3641</v>
      </c>
      <c r="F4532" s="337" t="s">
        <v>1645</v>
      </c>
      <c r="G4532" s="342" t="s">
        <v>1646</v>
      </c>
      <c r="H4532" s="337" t="s">
        <v>866</v>
      </c>
      <c r="I4532" s="353" t="s">
        <v>3624</v>
      </c>
      <c r="J4532" s="352">
        <v>153164.38</v>
      </c>
      <c r="K4532" s="353"/>
      <c r="L4532" s="352">
        <v>72.680000000000007</v>
      </c>
      <c r="M4532" s="352">
        <v>72.650000000000006</v>
      </c>
      <c r="N4532" s="354">
        <v>87706.62</v>
      </c>
      <c r="O4532" s="355">
        <v>0.2</v>
      </c>
      <c r="P4532" s="355"/>
      <c r="Q4532" s="354">
        <v>63617.71</v>
      </c>
      <c r="R4532" s="337" t="s">
        <v>112</v>
      </c>
      <c r="S4532" s="356" t="s">
        <v>3642</v>
      </c>
      <c r="T4532" s="346">
        <v>64</v>
      </c>
      <c r="U4532" s="357" t="s">
        <v>164</v>
      </c>
      <c r="V4532" s="434">
        <v>1676</v>
      </c>
      <c r="X4532" s="354">
        <v>63617.71</v>
      </c>
      <c r="Y4532" s="354"/>
      <c r="AI4532" s="354">
        <v>63617.71</v>
      </c>
      <c r="AJ4532" s="358"/>
      <c r="AK4532" s="369"/>
    </row>
    <row r="4533" spans="1:77" s="337" customFormat="1" ht="11.25" customHeight="1">
      <c r="A4533" s="379"/>
      <c r="B4533" s="379" t="s">
        <v>291</v>
      </c>
      <c r="C4533" s="381"/>
      <c r="D4533" s="381"/>
      <c r="E4533" s="382" t="s">
        <v>3643</v>
      </c>
      <c r="F4533" s="379" t="s">
        <v>1166</v>
      </c>
      <c r="G4533" s="400" t="s">
        <v>1167</v>
      </c>
      <c r="H4533" s="379" t="s">
        <v>2171</v>
      </c>
      <c r="I4533" s="384" t="s">
        <v>699</v>
      </c>
      <c r="J4533" s="385">
        <v>45884.84</v>
      </c>
      <c r="K4533" s="384"/>
      <c r="L4533" s="385">
        <v>19.93</v>
      </c>
      <c r="M4533" s="385">
        <v>19.93</v>
      </c>
      <c r="N4533" s="386">
        <f>5939.93+15348.51+9496.99</f>
        <v>30785.43</v>
      </c>
      <c r="O4533" s="387">
        <v>0.25</v>
      </c>
      <c r="P4533" s="387"/>
      <c r="Q4533" s="386">
        <v>10517.31</v>
      </c>
      <c r="R4533" s="379" t="s">
        <v>112</v>
      </c>
      <c r="S4533" s="388" t="s">
        <v>113</v>
      </c>
      <c r="T4533" s="399">
        <v>64</v>
      </c>
      <c r="U4533" s="389" t="s">
        <v>164</v>
      </c>
      <c r="V4533" s="433">
        <v>612.5</v>
      </c>
      <c r="W4533" s="379"/>
      <c r="X4533" s="386">
        <v>10517.31</v>
      </c>
      <c r="Y4533" s="386"/>
      <c r="Z4533" s="379"/>
      <c r="AA4533" s="379"/>
      <c r="AB4533" s="379"/>
      <c r="AC4533" s="379"/>
      <c r="AD4533" s="379"/>
      <c r="AE4533" s="379"/>
      <c r="AF4533" s="379"/>
      <c r="AG4533" s="379"/>
      <c r="AH4533" s="379"/>
      <c r="AI4533" s="379"/>
      <c r="AJ4533" s="416">
        <v>10517.31</v>
      </c>
      <c r="AK4533" s="379"/>
      <c r="AL4533" s="379"/>
      <c r="AM4533" s="379"/>
      <c r="AN4533" s="379"/>
      <c r="AO4533" s="379"/>
      <c r="AP4533" s="379"/>
      <c r="AQ4533" s="379"/>
      <c r="AR4533" s="379"/>
      <c r="AS4533" s="379"/>
      <c r="AT4533" s="379"/>
      <c r="AU4533" s="379"/>
      <c r="AV4533" s="379"/>
      <c r="AW4533" s="379"/>
      <c r="AX4533" s="379"/>
      <c r="AY4533" s="379"/>
      <c r="AZ4533" s="379"/>
      <c r="BA4533" s="379"/>
      <c r="BB4533" s="379"/>
      <c r="BC4533" s="379"/>
      <c r="BD4533" s="379"/>
      <c r="BE4533" s="379"/>
      <c r="BF4533" s="379"/>
      <c r="BG4533" s="379"/>
      <c r="BH4533" s="379"/>
      <c r="BI4533" s="379"/>
      <c r="BJ4533" s="379"/>
      <c r="BK4533" s="379"/>
      <c r="BL4533" s="379"/>
      <c r="BM4533" s="379"/>
      <c r="BN4533" s="379"/>
      <c r="BO4533" s="379"/>
      <c r="BP4533" s="379"/>
      <c r="BQ4533" s="379"/>
      <c r="BR4533" s="379"/>
      <c r="BS4533" s="379"/>
      <c r="BT4533" s="379"/>
      <c r="BU4533" s="379"/>
      <c r="BV4533" s="379"/>
      <c r="BW4533" s="379"/>
      <c r="BX4533" s="379"/>
      <c r="BY4533" s="379"/>
    </row>
    <row r="4534" spans="1:77" s="379" customFormat="1" ht="11.25" customHeight="1">
      <c r="B4534" s="379" t="s">
        <v>291</v>
      </c>
      <c r="C4534" s="381"/>
      <c r="D4534" s="381"/>
      <c r="E4534" s="382" t="s">
        <v>3643</v>
      </c>
      <c r="F4534" s="379" t="s">
        <v>1166</v>
      </c>
      <c r="G4534" s="400" t="s">
        <v>1167</v>
      </c>
      <c r="H4534" s="379" t="s">
        <v>814</v>
      </c>
      <c r="I4534" s="384" t="s">
        <v>699</v>
      </c>
      <c r="J4534" s="385">
        <v>13250.04</v>
      </c>
      <c r="K4534" s="384"/>
      <c r="L4534" s="385">
        <v>10.130000000000001</v>
      </c>
      <c r="M4534" s="385">
        <v>10.130000000000001</v>
      </c>
      <c r="N4534" s="386">
        <f>4534.47+1843.5</f>
        <v>6377.97</v>
      </c>
      <c r="O4534" s="387">
        <v>0.25</v>
      </c>
      <c r="P4534" s="387"/>
      <c r="Q4534" s="386">
        <v>2046.09</v>
      </c>
      <c r="R4534" s="379" t="s">
        <v>112</v>
      </c>
      <c r="S4534" s="388" t="s">
        <v>113</v>
      </c>
      <c r="T4534" s="399">
        <v>64</v>
      </c>
      <c r="U4534" s="389" t="s">
        <v>164</v>
      </c>
      <c r="V4534" s="433"/>
      <c r="X4534" s="386">
        <v>2046.09</v>
      </c>
      <c r="Y4534" s="386"/>
      <c r="AJ4534" s="416">
        <v>2046.09</v>
      </c>
    </row>
    <row r="4535" spans="1:77" s="337" customFormat="1" ht="11.25" customHeight="1">
      <c r="B4535" s="337" t="s">
        <v>291</v>
      </c>
      <c r="C4535" s="349">
        <v>44802</v>
      </c>
      <c r="D4535" s="349">
        <v>44803</v>
      </c>
      <c r="E4535" s="350" t="s">
        <v>3643</v>
      </c>
      <c r="F4535" s="337" t="s">
        <v>1166</v>
      </c>
      <c r="G4535" s="342" t="s">
        <v>1167</v>
      </c>
      <c r="H4535" s="337" t="s">
        <v>2267</v>
      </c>
      <c r="I4535" s="353" t="s">
        <v>699</v>
      </c>
      <c r="J4535" s="352">
        <v>8058.05</v>
      </c>
      <c r="K4535" s="353"/>
      <c r="L4535" s="352">
        <v>3.5</v>
      </c>
      <c r="M4535" s="352">
        <v>3.5</v>
      </c>
      <c r="N4535" s="354">
        <v>1208.71</v>
      </c>
      <c r="O4535" s="355">
        <v>0.25</v>
      </c>
      <c r="P4535" s="355"/>
      <c r="Q4535" s="354">
        <v>0</v>
      </c>
      <c r="R4535" s="337" t="s">
        <v>112</v>
      </c>
      <c r="S4535" s="356" t="s">
        <v>113</v>
      </c>
      <c r="T4535" s="346">
        <v>64</v>
      </c>
      <c r="U4535" s="357" t="s">
        <v>164</v>
      </c>
      <c r="V4535" s="434"/>
      <c r="X4535" s="354">
        <v>0</v>
      </c>
      <c r="Y4535" s="354"/>
      <c r="AI4535" s="337">
        <v>0</v>
      </c>
      <c r="AJ4535" s="358"/>
      <c r="AK4535" s="369"/>
    </row>
    <row r="4536" spans="1:77" s="291" customFormat="1" ht="11.25" customHeight="1">
      <c r="A4536" s="379"/>
      <c r="B4536" s="406" t="s">
        <v>291</v>
      </c>
      <c r="C4536" s="381"/>
      <c r="D4536" s="381"/>
      <c r="E4536" s="382" t="s">
        <v>3644</v>
      </c>
      <c r="F4536" s="394" t="s">
        <v>3514</v>
      </c>
      <c r="G4536" s="400" t="s">
        <v>3515</v>
      </c>
      <c r="H4536" s="379" t="s">
        <v>2267</v>
      </c>
      <c r="I4536" s="384" t="s">
        <v>1839</v>
      </c>
      <c r="J4536" s="385">
        <v>80938.820000000007</v>
      </c>
      <c r="K4536" s="384"/>
      <c r="L4536" s="385">
        <v>31.44</v>
      </c>
      <c r="M4536" s="385">
        <v>31.44</v>
      </c>
      <c r="N4536" s="386">
        <v>0</v>
      </c>
      <c r="O4536" s="387">
        <v>0.2</v>
      </c>
      <c r="P4536" s="387"/>
      <c r="Q4536" s="386">
        <v>13958.22</v>
      </c>
      <c r="R4536" s="379" t="s">
        <v>2296</v>
      </c>
      <c r="S4536" s="388" t="s">
        <v>113</v>
      </c>
      <c r="T4536" s="399">
        <v>64</v>
      </c>
      <c r="U4536" s="389" t="s">
        <v>164</v>
      </c>
      <c r="V4536" s="433"/>
      <c r="W4536" s="379"/>
      <c r="X4536" s="386">
        <v>13958.22</v>
      </c>
      <c r="Y4536" s="386"/>
      <c r="Z4536" s="379"/>
      <c r="AA4536" s="379"/>
      <c r="AB4536" s="379"/>
      <c r="AC4536" s="379"/>
      <c r="AD4536" s="379"/>
      <c r="AE4536" s="379"/>
      <c r="AF4536" s="379"/>
      <c r="AG4536" s="379"/>
      <c r="AH4536" s="379"/>
      <c r="AI4536" s="379"/>
      <c r="AJ4536" s="416">
        <v>13958.22</v>
      </c>
      <c r="AK4536" s="379"/>
      <c r="AL4536" s="379"/>
      <c r="AM4536" s="379"/>
      <c r="AN4536" s="379"/>
      <c r="AO4536" s="379"/>
      <c r="AP4536" s="379"/>
      <c r="AQ4536" s="379"/>
      <c r="AR4536" s="379"/>
      <c r="AS4536" s="379"/>
      <c r="AT4536" s="379"/>
      <c r="AU4536" s="379"/>
      <c r="AV4536" s="379"/>
      <c r="AW4536" s="379"/>
      <c r="AX4536" s="379"/>
      <c r="AY4536" s="379"/>
      <c r="AZ4536" s="379"/>
      <c r="BA4536" s="379"/>
      <c r="BB4536" s="379"/>
      <c r="BC4536" s="379"/>
      <c r="BD4536" s="379"/>
      <c r="BE4536" s="379"/>
      <c r="BF4536" s="379"/>
      <c r="BG4536" s="379"/>
      <c r="BH4536" s="379"/>
      <c r="BI4536" s="379"/>
      <c r="BJ4536" s="379"/>
      <c r="BK4536" s="379"/>
      <c r="BL4536" s="379"/>
      <c r="BM4536" s="379"/>
      <c r="BN4536" s="379"/>
      <c r="BO4536" s="379"/>
      <c r="BP4536" s="379"/>
      <c r="BQ4536" s="379"/>
      <c r="BR4536" s="379"/>
      <c r="BS4536" s="379"/>
      <c r="BT4536" s="379"/>
      <c r="BU4536" s="379"/>
      <c r="BV4536" s="379"/>
      <c r="BW4536" s="379"/>
      <c r="BX4536" s="379"/>
      <c r="BY4536" s="379"/>
    </row>
    <row r="4537" spans="1:77" s="379" customFormat="1" ht="11.25" customHeight="1">
      <c r="B4537" s="406" t="s">
        <v>291</v>
      </c>
      <c r="C4537" s="381"/>
      <c r="D4537" s="381"/>
      <c r="E4537" s="382" t="s">
        <v>3644</v>
      </c>
      <c r="F4537" s="394" t="s">
        <v>3514</v>
      </c>
      <c r="G4537" s="400" t="s">
        <v>3515</v>
      </c>
      <c r="H4537" s="379" t="s">
        <v>1201</v>
      </c>
      <c r="I4537" s="384" t="s">
        <v>1839</v>
      </c>
      <c r="J4537" s="385">
        <v>5317.65</v>
      </c>
      <c r="K4537" s="384"/>
      <c r="L4537" s="385">
        <v>1.17</v>
      </c>
      <c r="M4537" s="385">
        <v>1.17</v>
      </c>
      <c r="N4537" s="386">
        <v>2632</v>
      </c>
      <c r="O4537" s="387">
        <v>0.2</v>
      </c>
      <c r="P4537" s="387"/>
      <c r="Q4537" s="386">
        <v>3003.46</v>
      </c>
      <c r="R4537" s="379" t="s">
        <v>2296</v>
      </c>
      <c r="S4537" s="388" t="s">
        <v>113</v>
      </c>
      <c r="T4537" s="399">
        <v>64</v>
      </c>
      <c r="U4537" s="389" t="s">
        <v>164</v>
      </c>
      <c r="V4537" s="433"/>
      <c r="X4537" s="386">
        <v>3003.46</v>
      </c>
      <c r="Y4537" s="386"/>
      <c r="AJ4537" s="416">
        <v>3003.46</v>
      </c>
    </row>
    <row r="4538" spans="1:77" s="379" customFormat="1" ht="11.25" customHeight="1">
      <c r="B4538" s="406" t="s">
        <v>291</v>
      </c>
      <c r="C4538" s="381"/>
      <c r="D4538" s="381"/>
      <c r="E4538" s="382" t="s">
        <v>3644</v>
      </c>
      <c r="F4538" s="394" t="s">
        <v>3514</v>
      </c>
      <c r="G4538" s="400" t="s">
        <v>3515</v>
      </c>
      <c r="H4538" s="379" t="s">
        <v>2171</v>
      </c>
      <c r="I4538" s="384" t="s">
        <v>1839</v>
      </c>
      <c r="J4538" s="385">
        <v>6658.13</v>
      </c>
      <c r="K4538" s="384"/>
      <c r="L4538" s="385">
        <v>2.58</v>
      </c>
      <c r="M4538" s="385">
        <v>2.58</v>
      </c>
      <c r="N4538" s="386">
        <v>4195</v>
      </c>
      <c r="O4538" s="387">
        <v>0.2</v>
      </c>
      <c r="P4538" s="387"/>
      <c r="Q4538" s="386">
        <v>2594.13</v>
      </c>
      <c r="R4538" s="379" t="s">
        <v>2296</v>
      </c>
      <c r="S4538" s="388" t="s">
        <v>113</v>
      </c>
      <c r="T4538" s="399">
        <v>40</v>
      </c>
      <c r="U4538" s="389" t="s">
        <v>164</v>
      </c>
      <c r="V4538" s="433"/>
      <c r="X4538" s="386">
        <v>2594.13</v>
      </c>
      <c r="Y4538" s="386"/>
      <c r="AJ4538" s="416">
        <v>2594.13</v>
      </c>
    </row>
    <row r="4539" spans="1:77" s="261" customFormat="1" ht="11.25" customHeight="1">
      <c r="A4539" s="291"/>
      <c r="B4539" s="313" t="s">
        <v>291</v>
      </c>
      <c r="C4539" s="292">
        <v>44802</v>
      </c>
      <c r="D4539" s="292">
        <v>44803</v>
      </c>
      <c r="E4539" s="293" t="s">
        <v>3644</v>
      </c>
      <c r="F4539" s="303" t="s">
        <v>3514</v>
      </c>
      <c r="G4539" s="304" t="s">
        <v>3515</v>
      </c>
      <c r="H4539" s="291" t="s">
        <v>2171</v>
      </c>
      <c r="I4539" s="295" t="s">
        <v>1839</v>
      </c>
      <c r="J4539" s="296">
        <v>9527.69</v>
      </c>
      <c r="K4539" s="295"/>
      <c r="L4539" s="296">
        <v>3.71</v>
      </c>
      <c r="M4539" s="296">
        <v>3.71</v>
      </c>
      <c r="N4539" s="297"/>
      <c r="O4539" s="298">
        <v>0.2</v>
      </c>
      <c r="P4539" s="298"/>
      <c r="Q4539" s="297">
        <v>0</v>
      </c>
      <c r="R4539" s="291" t="s">
        <v>2296</v>
      </c>
      <c r="S4539" s="299" t="s">
        <v>113</v>
      </c>
      <c r="T4539" s="308">
        <v>64</v>
      </c>
      <c r="U4539" s="300" t="s">
        <v>164</v>
      </c>
      <c r="V4539" s="333"/>
      <c r="W4539" s="291" t="s">
        <v>3909</v>
      </c>
      <c r="X4539" s="297">
        <v>0</v>
      </c>
      <c r="Y4539" s="297"/>
      <c r="Z4539" s="291"/>
      <c r="AA4539" s="291"/>
      <c r="AB4539" s="291"/>
      <c r="AC4539" s="291"/>
      <c r="AD4539" s="291"/>
      <c r="AE4539" s="291"/>
      <c r="AF4539" s="291"/>
      <c r="AG4539" s="291"/>
      <c r="AH4539" s="291">
        <f>X4539</f>
        <v>0</v>
      </c>
      <c r="AI4539" s="311"/>
      <c r="AJ4539" s="468"/>
      <c r="AK4539" s="303"/>
      <c r="AL4539" s="303"/>
      <c r="AM4539" s="303"/>
      <c r="AN4539" s="303"/>
      <c r="AO4539" s="303"/>
      <c r="AP4539" s="303"/>
      <c r="AQ4539" s="303"/>
      <c r="AR4539" s="303"/>
      <c r="AS4539" s="303"/>
      <c r="AT4539" s="303"/>
      <c r="AU4539" s="303"/>
      <c r="AV4539" s="303"/>
      <c r="AW4539" s="303"/>
      <c r="AX4539" s="303"/>
      <c r="AY4539" s="303"/>
      <c r="AZ4539" s="303"/>
      <c r="BA4539" s="303"/>
      <c r="BB4539" s="303"/>
      <c r="BC4539" s="303"/>
      <c r="BD4539" s="303"/>
      <c r="BE4539" s="303"/>
      <c r="BF4539" s="303"/>
      <c r="BG4539" s="303"/>
      <c r="BH4539" s="303"/>
      <c r="BI4539" s="303"/>
      <c r="BJ4539" s="303"/>
      <c r="BK4539" s="303"/>
      <c r="BL4539" s="303"/>
      <c r="BM4539" s="303"/>
      <c r="BN4539" s="303"/>
      <c r="BO4539" s="303"/>
      <c r="BP4539" s="303"/>
      <c r="BQ4539" s="303"/>
      <c r="BR4539" s="303"/>
      <c r="BS4539" s="303"/>
      <c r="BT4539" s="303"/>
      <c r="BU4539" s="303"/>
      <c r="BV4539" s="303"/>
      <c r="BW4539" s="303"/>
      <c r="BX4539" s="303"/>
      <c r="BY4539" s="303"/>
    </row>
    <row r="4540" spans="1:77" s="261" customFormat="1" ht="11.25" customHeight="1">
      <c r="B4540" s="270" t="s">
        <v>291</v>
      </c>
      <c r="C4540" s="259"/>
      <c r="D4540" s="259"/>
      <c r="E4540" s="260" t="s">
        <v>3644</v>
      </c>
      <c r="F4540" s="273" t="s">
        <v>3514</v>
      </c>
      <c r="G4540" s="276" t="s">
        <v>3515</v>
      </c>
      <c r="H4540" s="261" t="s">
        <v>2267</v>
      </c>
      <c r="I4540" s="264" t="s">
        <v>1839</v>
      </c>
      <c r="J4540" s="263">
        <v>126357.34</v>
      </c>
      <c r="K4540" s="264"/>
      <c r="L4540" s="263">
        <v>47.8</v>
      </c>
      <c r="M4540" s="263">
        <v>47.8</v>
      </c>
      <c r="N4540" s="265">
        <v>0</v>
      </c>
      <c r="O4540" s="266">
        <v>0.2</v>
      </c>
      <c r="P4540" s="266"/>
      <c r="Q4540" s="265">
        <v>0</v>
      </c>
      <c r="R4540" s="261" t="s">
        <v>2296</v>
      </c>
      <c r="S4540" s="267" t="s">
        <v>113</v>
      </c>
      <c r="T4540" s="279">
        <v>40</v>
      </c>
      <c r="U4540" s="268" t="s">
        <v>164</v>
      </c>
      <c r="V4540" s="427"/>
      <c r="X4540" s="265">
        <v>0</v>
      </c>
      <c r="Y4540" s="265"/>
      <c r="AG4540" s="261">
        <f>X4540</f>
        <v>0</v>
      </c>
      <c r="AJ4540" s="642"/>
    </row>
    <row r="4541" spans="1:77" s="6" customFormat="1" ht="11.25" customHeight="1">
      <c r="A4541" s="379"/>
      <c r="B4541" s="406" t="s">
        <v>291</v>
      </c>
      <c r="C4541" s="381">
        <v>44802</v>
      </c>
      <c r="D4541" s="381">
        <v>44803</v>
      </c>
      <c r="E4541" s="382" t="s">
        <v>3645</v>
      </c>
      <c r="F4541" s="394" t="s">
        <v>3518</v>
      </c>
      <c r="G4541" s="400" t="s">
        <v>3519</v>
      </c>
      <c r="H4541" s="379" t="s">
        <v>1018</v>
      </c>
      <c r="I4541" s="384" t="s">
        <v>1839</v>
      </c>
      <c r="J4541" s="385">
        <v>27484.560000000001</v>
      </c>
      <c r="K4541" s="384"/>
      <c r="L4541" s="385">
        <v>11.8</v>
      </c>
      <c r="M4541" s="385">
        <v>11.8</v>
      </c>
      <c r="N4541" s="386">
        <f>0.7*J4541</f>
        <v>19239.191999999999</v>
      </c>
      <c r="O4541" s="387">
        <v>0.15</v>
      </c>
      <c r="P4541" s="387"/>
      <c r="Q4541" s="386">
        <v>21605.919999999998</v>
      </c>
      <c r="R4541" s="379" t="s">
        <v>2296</v>
      </c>
      <c r="S4541" s="388" t="s">
        <v>113</v>
      </c>
      <c r="T4541" s="399">
        <v>64</v>
      </c>
      <c r="U4541" s="389" t="s">
        <v>164</v>
      </c>
      <c r="V4541" s="433"/>
      <c r="W4541" s="379"/>
      <c r="X4541" s="386">
        <v>21605.919999999998</v>
      </c>
      <c r="Y4541" s="386"/>
      <c r="Z4541" s="379"/>
      <c r="AA4541" s="379"/>
      <c r="AB4541" s="379"/>
      <c r="AC4541" s="379"/>
      <c r="AD4541" s="379"/>
      <c r="AE4541" s="379"/>
      <c r="AF4541" s="379"/>
      <c r="AG4541" s="379"/>
      <c r="AH4541" s="379"/>
      <c r="AI4541" s="379"/>
      <c r="AJ4541" s="416">
        <v>21605.919999999998</v>
      </c>
      <c r="AK4541" s="379"/>
      <c r="AL4541" s="379"/>
      <c r="AM4541" s="379"/>
      <c r="AN4541" s="379"/>
      <c r="AO4541" s="379"/>
      <c r="AP4541" s="379"/>
      <c r="AQ4541" s="379"/>
      <c r="AR4541" s="379"/>
      <c r="AS4541" s="379"/>
      <c r="AT4541" s="379"/>
      <c r="AU4541" s="379"/>
      <c r="AV4541" s="379"/>
      <c r="AW4541" s="379"/>
      <c r="AX4541" s="379"/>
      <c r="AY4541" s="379"/>
      <c r="AZ4541" s="379"/>
      <c r="BA4541" s="379"/>
      <c r="BB4541" s="379"/>
      <c r="BC4541" s="379"/>
      <c r="BD4541" s="379"/>
      <c r="BE4541" s="379"/>
      <c r="BF4541" s="379"/>
      <c r="BG4541" s="379"/>
      <c r="BH4541" s="379"/>
      <c r="BI4541" s="379"/>
      <c r="BJ4541" s="379"/>
      <c r="BK4541" s="379"/>
      <c r="BL4541" s="379"/>
      <c r="BM4541" s="379"/>
      <c r="BN4541" s="379"/>
      <c r="BO4541" s="379"/>
      <c r="BP4541" s="379"/>
      <c r="BQ4541" s="379"/>
      <c r="BR4541" s="379"/>
      <c r="BS4541" s="379"/>
      <c r="BT4541" s="379"/>
      <c r="BU4541" s="379"/>
      <c r="BV4541" s="379"/>
      <c r="BW4541" s="379"/>
      <c r="BX4541" s="379"/>
      <c r="BY4541" s="379"/>
    </row>
    <row r="4542" spans="1:77" s="379" customFormat="1" ht="11.25" customHeight="1">
      <c r="B4542" s="406" t="s">
        <v>291</v>
      </c>
      <c r="C4542" s="381"/>
      <c r="D4542" s="381"/>
      <c r="E4542" s="382" t="s">
        <v>3645</v>
      </c>
      <c r="F4542" s="394" t="s">
        <v>3518</v>
      </c>
      <c r="G4542" s="400" t="s">
        <v>3519</v>
      </c>
      <c r="H4542" s="379" t="s">
        <v>866</v>
      </c>
      <c r="I4542" s="384" t="s">
        <v>1839</v>
      </c>
      <c r="J4542" s="385">
        <v>49141.55</v>
      </c>
      <c r="K4542" s="384"/>
      <c r="L4542" s="385">
        <v>22.15</v>
      </c>
      <c r="M4542" s="385">
        <v>22.15</v>
      </c>
      <c r="N4542" s="386">
        <f>0.57*J4542</f>
        <v>28010.683499999999</v>
      </c>
      <c r="O4542" s="387">
        <v>0.15</v>
      </c>
      <c r="P4542" s="387"/>
      <c r="Q4542" s="386">
        <v>27537.81</v>
      </c>
      <c r="R4542" s="379" t="s">
        <v>2296</v>
      </c>
      <c r="S4542" s="388" t="s">
        <v>113</v>
      </c>
      <c r="T4542" s="399">
        <v>64</v>
      </c>
      <c r="U4542" s="389" t="s">
        <v>164</v>
      </c>
      <c r="V4542" s="433"/>
      <c r="X4542" s="386">
        <v>27537.81</v>
      </c>
      <c r="Y4542" s="386"/>
      <c r="AJ4542" s="416">
        <v>27537.81</v>
      </c>
      <c r="AK4542" s="394"/>
      <c r="AL4542" s="394"/>
      <c r="AM4542" s="394"/>
      <c r="AN4542" s="394"/>
      <c r="AO4542" s="394"/>
      <c r="AP4542" s="394"/>
      <c r="AQ4542" s="394"/>
      <c r="AR4542" s="394"/>
      <c r="AS4542" s="394"/>
      <c r="AT4542" s="394"/>
      <c r="AU4542" s="394"/>
      <c r="AV4542" s="394"/>
      <c r="AW4542" s="394"/>
      <c r="AX4542" s="394"/>
      <c r="AY4542" s="394"/>
      <c r="AZ4542" s="394"/>
      <c r="BA4542" s="394"/>
      <c r="BB4542" s="394"/>
      <c r="BC4542" s="394"/>
      <c r="BD4542" s="394"/>
      <c r="BE4542" s="394"/>
      <c r="BF4542" s="394"/>
      <c r="BG4542" s="394"/>
      <c r="BH4542" s="394"/>
      <c r="BI4542" s="394"/>
      <c r="BJ4542" s="394"/>
      <c r="BK4542" s="394"/>
      <c r="BL4542" s="394"/>
      <c r="BM4542" s="394"/>
      <c r="BN4542" s="394"/>
      <c r="BO4542" s="394"/>
      <c r="BP4542" s="394"/>
      <c r="BQ4542" s="394"/>
      <c r="BR4542" s="394"/>
      <c r="BS4542" s="394"/>
      <c r="BT4542" s="394"/>
      <c r="BU4542" s="394"/>
      <c r="BV4542" s="394"/>
      <c r="BW4542" s="394"/>
      <c r="BX4542" s="394"/>
      <c r="BY4542" s="394"/>
    </row>
    <row r="4543" spans="1:77" s="379" customFormat="1" ht="11.25" customHeight="1">
      <c r="B4543" s="406" t="s">
        <v>291</v>
      </c>
      <c r="C4543" s="381"/>
      <c r="D4543" s="381"/>
      <c r="E4543" s="382" t="s">
        <v>3645</v>
      </c>
      <c r="F4543" s="394" t="s">
        <v>3518</v>
      </c>
      <c r="G4543" s="400" t="s">
        <v>3519</v>
      </c>
      <c r="H4543" s="379" t="s">
        <v>910</v>
      </c>
      <c r="I4543" s="384" t="s">
        <v>1839</v>
      </c>
      <c r="J4543" s="385">
        <v>73048</v>
      </c>
      <c r="K4543" s="384"/>
      <c r="L4543" s="385">
        <v>29.83</v>
      </c>
      <c r="M4543" s="385">
        <v>29.83</v>
      </c>
      <c r="N4543" s="386">
        <f>0.57*J4543</f>
        <v>41637.359999999993</v>
      </c>
      <c r="O4543" s="387">
        <v>0.15</v>
      </c>
      <c r="P4543" s="387"/>
      <c r="Q4543" s="386">
        <v>30686.400000000001</v>
      </c>
      <c r="R4543" s="379" t="s">
        <v>2296</v>
      </c>
      <c r="S4543" s="388" t="s">
        <v>113</v>
      </c>
      <c r="T4543" s="399">
        <v>64</v>
      </c>
      <c r="U4543" s="389" t="s">
        <v>164</v>
      </c>
      <c r="V4543" s="433"/>
      <c r="X4543" s="386">
        <v>30686.400000000001</v>
      </c>
      <c r="Y4543" s="386"/>
      <c r="AJ4543" s="416">
        <v>30686.400000000001</v>
      </c>
    </row>
    <row r="4544" spans="1:77" s="291" customFormat="1" ht="11.25" customHeight="1">
      <c r="B4544" s="313" t="s">
        <v>291</v>
      </c>
      <c r="C4544" s="292"/>
      <c r="D4544" s="292"/>
      <c r="E4544" s="293" t="s">
        <v>3645</v>
      </c>
      <c r="F4544" s="303" t="s">
        <v>3518</v>
      </c>
      <c r="G4544" s="304" t="s">
        <v>3519</v>
      </c>
      <c r="H4544" s="291" t="s">
        <v>2267</v>
      </c>
      <c r="I4544" s="295" t="s">
        <v>1839</v>
      </c>
      <c r="J4544" s="296">
        <v>101611.38</v>
      </c>
      <c r="K4544" s="295"/>
      <c r="L4544" s="296">
        <v>36.229999999999997</v>
      </c>
      <c r="M4544" s="296">
        <v>36.229999999999997</v>
      </c>
      <c r="N4544" s="297"/>
      <c r="O4544" s="298">
        <v>0.15</v>
      </c>
      <c r="P4544" s="298"/>
      <c r="Q4544" s="297">
        <v>0</v>
      </c>
      <c r="R4544" s="291" t="s">
        <v>2296</v>
      </c>
      <c r="S4544" s="299" t="s">
        <v>113</v>
      </c>
      <c r="T4544" s="308">
        <v>64</v>
      </c>
      <c r="U4544" s="300" t="s">
        <v>164</v>
      </c>
      <c r="V4544" s="333"/>
      <c r="X4544" s="297">
        <v>0</v>
      </c>
      <c r="Y4544" s="297"/>
      <c r="AH4544" s="291">
        <f>X4544</f>
        <v>0</v>
      </c>
      <c r="AI4544" s="311"/>
      <c r="AJ4544" s="468"/>
    </row>
    <row r="4545" spans="1:77" s="291" customFormat="1" ht="11.25" customHeight="1">
      <c r="A4545" s="291" t="s">
        <v>3893</v>
      </c>
      <c r="B4545" s="313" t="s">
        <v>291</v>
      </c>
      <c r="C4545" s="292">
        <v>44802</v>
      </c>
      <c r="D4545" s="292">
        <v>44803</v>
      </c>
      <c r="E4545" s="293" t="s">
        <v>3646</v>
      </c>
      <c r="F4545" s="303" t="s">
        <v>3562</v>
      </c>
      <c r="G4545" s="304" t="s">
        <v>3563</v>
      </c>
      <c r="H4545" s="291" t="s">
        <v>866</v>
      </c>
      <c r="I4545" s="295" t="s">
        <v>699</v>
      </c>
      <c r="J4545" s="296">
        <v>21276</v>
      </c>
      <c r="K4545" s="295"/>
      <c r="L4545" s="296">
        <v>9.85</v>
      </c>
      <c r="M4545" s="296">
        <v>9.85</v>
      </c>
      <c r="N4545" s="297">
        <v>591</v>
      </c>
      <c r="O4545" s="298">
        <v>0.25</v>
      </c>
      <c r="P4545" s="298"/>
      <c r="Q4545" s="297">
        <v>634.34</v>
      </c>
      <c r="R4545" s="291" t="s">
        <v>112</v>
      </c>
      <c r="S4545" s="299" t="s">
        <v>113</v>
      </c>
      <c r="T4545" s="308">
        <v>64</v>
      </c>
      <c r="U4545" s="300" t="s">
        <v>164</v>
      </c>
      <c r="V4545" s="333">
        <v>492.5</v>
      </c>
      <c r="X4545" s="297">
        <v>634.34</v>
      </c>
      <c r="Y4545" s="297"/>
      <c r="AH4545" s="297">
        <f>X4545</f>
        <v>634.34</v>
      </c>
      <c r="AI4545" s="311"/>
      <c r="AJ4545" s="468"/>
    </row>
    <row r="4546" spans="1:77" s="341" customFormat="1" ht="12" customHeight="1">
      <c r="B4546" s="367" t="s">
        <v>291</v>
      </c>
      <c r="C4546" s="339">
        <v>44802</v>
      </c>
      <c r="D4546" s="339">
        <v>44803</v>
      </c>
      <c r="E4546" s="340" t="s">
        <v>3647</v>
      </c>
      <c r="F4546" s="341" t="s">
        <v>198</v>
      </c>
      <c r="G4546" s="342">
        <v>4538</v>
      </c>
      <c r="H4546" s="341" t="s">
        <v>765</v>
      </c>
      <c r="I4546" s="341" t="s">
        <v>33</v>
      </c>
      <c r="J4546" s="343">
        <v>18874.62</v>
      </c>
      <c r="L4546" s="343">
        <v>17.190000000000001</v>
      </c>
      <c r="M4546" s="343">
        <v>17.190000000000001</v>
      </c>
      <c r="N4546" s="344"/>
      <c r="O4546" s="345">
        <v>0.15</v>
      </c>
      <c r="P4546" s="345"/>
      <c r="Q4546" s="344">
        <v>2515.98</v>
      </c>
      <c r="R4546" s="341" t="s">
        <v>73</v>
      </c>
      <c r="S4546" s="346" t="s">
        <v>113</v>
      </c>
      <c r="T4546" s="346">
        <v>64</v>
      </c>
      <c r="U4546" s="347" t="s">
        <v>164</v>
      </c>
      <c r="V4546" s="451"/>
      <c r="X4546" s="344">
        <v>2515.98</v>
      </c>
      <c r="Y4546" s="344"/>
      <c r="AI4546" s="344">
        <v>2515.98</v>
      </c>
      <c r="AJ4546" s="358"/>
      <c r="AK4546" s="369"/>
      <c r="AL4546" s="337"/>
      <c r="AM4546" s="337"/>
      <c r="AN4546" s="337"/>
      <c r="AO4546" s="337"/>
      <c r="AP4546" s="337"/>
      <c r="AQ4546" s="337"/>
      <c r="AR4546" s="337"/>
      <c r="AS4546" s="337"/>
      <c r="AT4546" s="337"/>
      <c r="AU4546" s="337"/>
      <c r="AV4546" s="337"/>
      <c r="AW4546" s="337"/>
      <c r="AX4546" s="337"/>
      <c r="AY4546" s="337"/>
      <c r="AZ4546" s="337"/>
      <c r="BA4546" s="337"/>
      <c r="BB4546" s="337"/>
      <c r="BC4546" s="337"/>
      <c r="BD4546" s="337"/>
      <c r="BE4546" s="337"/>
      <c r="BF4546" s="337"/>
      <c r="BG4546" s="337"/>
      <c r="BH4546" s="337"/>
      <c r="BI4546" s="337"/>
      <c r="BJ4546" s="337"/>
      <c r="BK4546" s="337"/>
      <c r="BL4546" s="337"/>
      <c r="BM4546" s="337"/>
      <c r="BN4546" s="337"/>
      <c r="BO4546" s="337"/>
      <c r="BP4546" s="337"/>
      <c r="BQ4546" s="337"/>
      <c r="BR4546" s="337"/>
      <c r="BS4546" s="337"/>
      <c r="BT4546" s="337"/>
      <c r="BU4546" s="337"/>
      <c r="BV4546" s="337"/>
      <c r="BW4546" s="337"/>
      <c r="BX4546" s="337"/>
      <c r="BY4546" s="337"/>
    </row>
    <row r="4547" spans="1:77" s="261" customFormat="1" ht="11.25" customHeight="1">
      <c r="B4547" s="261" t="s">
        <v>291</v>
      </c>
      <c r="C4547" s="259">
        <v>44802</v>
      </c>
      <c r="D4547" s="259">
        <v>44803</v>
      </c>
      <c r="E4547" s="260" t="s">
        <v>3650</v>
      </c>
      <c r="F4547" s="261" t="s">
        <v>425</v>
      </c>
      <c r="G4547" s="276">
        <v>3522</v>
      </c>
      <c r="H4547" s="261" t="s">
        <v>407</v>
      </c>
      <c r="I4547" s="264" t="s">
        <v>33</v>
      </c>
      <c r="J4547" s="263">
        <v>46704.6</v>
      </c>
      <c r="K4547" s="264"/>
      <c r="L4547" s="263">
        <v>16.739999999999998</v>
      </c>
      <c r="M4547" s="263">
        <v>16.739999999999998</v>
      </c>
      <c r="N4547" s="265"/>
      <c r="O4547" s="266">
        <v>0.3</v>
      </c>
      <c r="P4547" s="266"/>
      <c r="Q4547" s="265">
        <v>0</v>
      </c>
      <c r="R4547" s="261" t="s">
        <v>46</v>
      </c>
      <c r="S4547" s="267" t="s">
        <v>47</v>
      </c>
      <c r="T4547" s="279">
        <v>76</v>
      </c>
      <c r="U4547" s="268" t="s">
        <v>164</v>
      </c>
      <c r="V4547" s="427"/>
      <c r="X4547" s="265">
        <v>0</v>
      </c>
      <c r="Y4547" s="265"/>
      <c r="AG4547" s="261">
        <f>X4547</f>
        <v>0</v>
      </c>
      <c r="AJ4547" s="642"/>
    </row>
    <row r="4548" spans="1:77" s="6" customFormat="1" ht="11.25" customHeight="1">
      <c r="A4548" s="473"/>
      <c r="B4548" s="486" t="s">
        <v>291</v>
      </c>
      <c r="C4548" s="487">
        <v>44802</v>
      </c>
      <c r="D4548" s="487">
        <v>44803</v>
      </c>
      <c r="E4548" s="488" t="s">
        <v>3651</v>
      </c>
      <c r="F4548" s="473" t="s">
        <v>1628</v>
      </c>
      <c r="G4548" s="476" t="s">
        <v>1629</v>
      </c>
      <c r="H4548" s="473" t="s">
        <v>910</v>
      </c>
      <c r="I4548" s="491" t="s">
        <v>3661</v>
      </c>
      <c r="J4548" s="490">
        <v>54411.56</v>
      </c>
      <c r="K4548" s="491"/>
      <c r="L4548" s="490">
        <v>28</v>
      </c>
      <c r="M4548" s="490">
        <v>28</v>
      </c>
      <c r="N4548" s="492"/>
      <c r="O4548" s="493">
        <v>0.25</v>
      </c>
      <c r="P4548" s="493"/>
      <c r="Q4548" s="492">
        <v>8439.7900000000009</v>
      </c>
      <c r="R4548" s="473" t="s">
        <v>149</v>
      </c>
      <c r="S4548" s="481" t="s">
        <v>113</v>
      </c>
      <c r="T4548" s="482">
        <v>40</v>
      </c>
      <c r="U4548" s="494" t="s">
        <v>164</v>
      </c>
      <c r="V4548" s="495"/>
      <c r="W4548" s="473"/>
      <c r="X4548" s="492">
        <v>8439.7900000000009</v>
      </c>
      <c r="Y4548" s="492"/>
      <c r="Z4548" s="473"/>
      <c r="AA4548" s="473"/>
      <c r="AB4548" s="473"/>
      <c r="AC4548" s="473"/>
      <c r="AD4548" s="473"/>
      <c r="AE4548" s="473"/>
      <c r="AF4548" s="473"/>
      <c r="AG4548" s="473"/>
      <c r="AH4548" s="473"/>
      <c r="AI4548" s="473"/>
      <c r="AJ4548" s="485"/>
      <c r="AK4548" s="505">
        <v>8439.7900000000009</v>
      </c>
      <c r="AL4548" s="473"/>
      <c r="AM4548" s="473"/>
      <c r="AN4548" s="473"/>
      <c r="AO4548" s="473"/>
      <c r="AP4548" s="473"/>
      <c r="AQ4548" s="473"/>
      <c r="AR4548" s="473"/>
      <c r="AS4548" s="473"/>
      <c r="AT4548" s="473"/>
      <c r="AU4548" s="473"/>
      <c r="AV4548" s="473"/>
      <c r="AW4548" s="473"/>
      <c r="AX4548" s="473"/>
      <c r="AY4548" s="473"/>
      <c r="AZ4548" s="473"/>
      <c r="BA4548" s="473"/>
      <c r="BB4548" s="473"/>
      <c r="BC4548" s="473"/>
      <c r="BD4548" s="473"/>
      <c r="BE4548" s="473"/>
      <c r="BF4548" s="473"/>
      <c r="BG4548" s="473"/>
      <c r="BH4548" s="473"/>
      <c r="BI4548" s="473"/>
      <c r="BJ4548" s="473"/>
      <c r="BK4548" s="473"/>
      <c r="BL4548" s="473"/>
      <c r="BM4548" s="473"/>
      <c r="BN4548" s="473"/>
      <c r="BO4548" s="473"/>
      <c r="BP4548" s="473"/>
      <c r="BQ4548" s="473"/>
      <c r="BR4548" s="473"/>
      <c r="BS4548" s="473"/>
      <c r="BT4548" s="473"/>
      <c r="BU4548" s="473"/>
      <c r="BV4548" s="473"/>
      <c r="BW4548" s="473"/>
      <c r="BX4548" s="473"/>
      <c r="BY4548" s="473"/>
    </row>
    <row r="4549" spans="1:77" s="473" customFormat="1" ht="11.25" customHeight="1">
      <c r="A4549" s="379"/>
      <c r="B4549" s="380" t="s">
        <v>291</v>
      </c>
      <c r="C4549" s="381"/>
      <c r="D4549" s="381"/>
      <c r="E4549" s="382" t="s">
        <v>3651</v>
      </c>
      <c r="F4549" s="379" t="s">
        <v>1628</v>
      </c>
      <c r="G4549" s="400" t="s">
        <v>1629</v>
      </c>
      <c r="H4549" s="379" t="s">
        <v>2266</v>
      </c>
      <c r="I4549" s="384" t="s">
        <v>3661</v>
      </c>
      <c r="J4549" s="385">
        <v>18143.28</v>
      </c>
      <c r="K4549" s="384"/>
      <c r="L4549" s="385">
        <v>12</v>
      </c>
      <c r="M4549" s="385">
        <v>12</v>
      </c>
      <c r="N4549" s="386"/>
      <c r="O4549" s="387">
        <v>0.25</v>
      </c>
      <c r="P4549" s="387"/>
      <c r="Q4549" s="386">
        <v>0</v>
      </c>
      <c r="R4549" s="379" t="s">
        <v>149</v>
      </c>
      <c r="S4549" s="388" t="s">
        <v>113</v>
      </c>
      <c r="T4549" s="399">
        <v>40</v>
      </c>
      <c r="U4549" s="389" t="s">
        <v>164</v>
      </c>
      <c r="V4549" s="433"/>
      <c r="W4549" s="379"/>
      <c r="X4549" s="386">
        <v>0</v>
      </c>
      <c r="Y4549" s="386"/>
      <c r="Z4549" s="379"/>
      <c r="AA4549" s="379"/>
      <c r="AB4549" s="379"/>
      <c r="AC4549" s="379"/>
      <c r="AD4549" s="379"/>
      <c r="AE4549" s="379"/>
      <c r="AF4549" s="379"/>
      <c r="AG4549" s="379"/>
      <c r="AH4549" s="379"/>
      <c r="AI4549" s="379"/>
      <c r="AJ4549" s="390">
        <v>0</v>
      </c>
      <c r="AK4549" s="379"/>
      <c r="AL4549" s="379"/>
      <c r="AM4549" s="379"/>
      <c r="AN4549" s="379"/>
      <c r="AO4549" s="379"/>
      <c r="AP4549" s="379"/>
      <c r="AQ4549" s="379"/>
      <c r="AR4549" s="379"/>
      <c r="AS4549" s="379"/>
      <c r="AT4549" s="379"/>
      <c r="AU4549" s="379"/>
      <c r="AV4549" s="379"/>
      <c r="AW4549" s="379"/>
      <c r="AX4549" s="379"/>
      <c r="AY4549" s="379"/>
      <c r="AZ4549" s="379"/>
      <c r="BA4549" s="379"/>
      <c r="BB4549" s="379"/>
      <c r="BC4549" s="379"/>
      <c r="BD4549" s="379"/>
      <c r="BE4549" s="379"/>
      <c r="BF4549" s="379"/>
      <c r="BG4549" s="379"/>
      <c r="BH4549" s="379"/>
      <c r="BI4549" s="379"/>
      <c r="BJ4549" s="379"/>
      <c r="BK4549" s="379"/>
      <c r="BL4549" s="379"/>
      <c r="BM4549" s="379"/>
      <c r="BN4549" s="379"/>
      <c r="BO4549" s="379"/>
      <c r="BP4549" s="379"/>
      <c r="BQ4549" s="379"/>
      <c r="BR4549" s="379"/>
      <c r="BS4549" s="379"/>
      <c r="BT4549" s="379"/>
      <c r="BU4549" s="379"/>
      <c r="BV4549" s="379"/>
      <c r="BW4549" s="379"/>
      <c r="BX4549" s="379"/>
      <c r="BY4549" s="379"/>
    </row>
    <row r="4550" spans="1:77" s="291" customFormat="1" ht="11.25" customHeight="1">
      <c r="A4550" s="473"/>
      <c r="B4550" s="473" t="s">
        <v>291</v>
      </c>
      <c r="C4550" s="487"/>
      <c r="D4550" s="487"/>
      <c r="E4550" s="488" t="s">
        <v>3652</v>
      </c>
      <c r="F4550" s="473" t="s">
        <v>2463</v>
      </c>
      <c r="G4550" s="476" t="s">
        <v>2464</v>
      </c>
      <c r="H4550" s="473" t="s">
        <v>765</v>
      </c>
      <c r="I4550" s="491" t="s">
        <v>33</v>
      </c>
      <c r="J4550" s="490">
        <v>6990</v>
      </c>
      <c r="K4550" s="491"/>
      <c r="L4550" s="490">
        <v>6</v>
      </c>
      <c r="M4550" s="490">
        <v>6</v>
      </c>
      <c r="N4550" s="492">
        <v>2796</v>
      </c>
      <c r="O4550" s="493">
        <v>0.25</v>
      </c>
      <c r="P4550" s="493"/>
      <c r="Q4550" s="492">
        <v>352.5</v>
      </c>
      <c r="R4550" s="473" t="s">
        <v>112</v>
      </c>
      <c r="S4550" s="481" t="s">
        <v>113</v>
      </c>
      <c r="T4550" s="482">
        <v>64</v>
      </c>
      <c r="U4550" s="494" t="s">
        <v>164</v>
      </c>
      <c r="V4550" s="495"/>
      <c r="W4550" s="473"/>
      <c r="X4550" s="492">
        <v>352.5</v>
      </c>
      <c r="Y4550" s="492"/>
      <c r="Z4550" s="473"/>
      <c r="AA4550" s="473"/>
      <c r="AB4550" s="473"/>
      <c r="AC4550" s="473"/>
      <c r="AD4550" s="473"/>
      <c r="AE4550" s="473"/>
      <c r="AF4550" s="473"/>
      <c r="AG4550" s="473"/>
      <c r="AH4550" s="473"/>
      <c r="AI4550" s="473"/>
      <c r="AJ4550" s="485"/>
      <c r="AK4550" s="505">
        <v>352.5</v>
      </c>
      <c r="AL4550" s="473"/>
      <c r="AM4550" s="473"/>
      <c r="AN4550" s="473"/>
      <c r="AO4550" s="473"/>
      <c r="AP4550" s="473"/>
      <c r="AQ4550" s="473"/>
      <c r="AR4550" s="473"/>
      <c r="AS4550" s="473"/>
      <c r="AT4550" s="473"/>
      <c r="AU4550" s="473"/>
      <c r="AV4550" s="473"/>
      <c r="AW4550" s="473"/>
      <c r="AX4550" s="473"/>
      <c r="AY4550" s="473"/>
      <c r="AZ4550" s="473"/>
      <c r="BA4550" s="473"/>
      <c r="BB4550" s="473"/>
      <c r="BC4550" s="473"/>
      <c r="BD4550" s="473"/>
      <c r="BE4550" s="473"/>
      <c r="BF4550" s="473"/>
      <c r="BG4550" s="473"/>
      <c r="BH4550" s="473"/>
      <c r="BI4550" s="473"/>
      <c r="BJ4550" s="473"/>
      <c r="BK4550" s="473"/>
      <c r="BL4550" s="473"/>
      <c r="BM4550" s="473"/>
      <c r="BN4550" s="473"/>
      <c r="BO4550" s="473"/>
      <c r="BP4550" s="473"/>
      <c r="BQ4550" s="473"/>
      <c r="BR4550" s="473"/>
      <c r="BS4550" s="473"/>
      <c r="BT4550" s="473"/>
      <c r="BU4550" s="473"/>
      <c r="BV4550" s="473"/>
      <c r="BW4550" s="473"/>
      <c r="BX4550" s="473"/>
      <c r="BY4550" s="473"/>
    </row>
    <row r="4551" spans="1:77" s="291" customFormat="1" ht="11.25" customHeight="1">
      <c r="B4551" s="291" t="s">
        <v>291</v>
      </c>
      <c r="C4551" s="292">
        <v>44803</v>
      </c>
      <c r="D4551" s="292">
        <v>44803</v>
      </c>
      <c r="E4551" s="293" t="s">
        <v>3652</v>
      </c>
      <c r="F4551" s="291" t="s">
        <v>2463</v>
      </c>
      <c r="G4551" s="304" t="s">
        <v>2464</v>
      </c>
      <c r="H4551" s="291" t="s">
        <v>910</v>
      </c>
      <c r="I4551" s="295" t="s">
        <v>1487</v>
      </c>
      <c r="J4551" s="296">
        <v>84524</v>
      </c>
      <c r="K4551" s="295"/>
      <c r="L4551" s="296">
        <v>34</v>
      </c>
      <c r="M4551" s="296">
        <v>34</v>
      </c>
      <c r="N4551" s="297">
        <v>6891.19</v>
      </c>
      <c r="O4551" s="298">
        <v>0.25</v>
      </c>
      <c r="P4551" s="298"/>
      <c r="Q4551" s="297">
        <v>0</v>
      </c>
      <c r="R4551" s="291" t="s">
        <v>112</v>
      </c>
      <c r="S4551" s="299" t="s">
        <v>113</v>
      </c>
      <c r="T4551" s="308">
        <v>64</v>
      </c>
      <c r="U4551" s="300" t="s">
        <v>164</v>
      </c>
      <c r="V4551" s="333"/>
      <c r="X4551" s="297">
        <v>0</v>
      </c>
      <c r="Y4551" s="297"/>
      <c r="AH4551" s="291">
        <f>X4551</f>
        <v>0</v>
      </c>
      <c r="AI4551" s="311"/>
      <c r="AJ4551" s="468"/>
    </row>
    <row r="4552" spans="1:77" s="337" customFormat="1" ht="11.25" customHeight="1">
      <c r="B4552" s="337" t="s">
        <v>291</v>
      </c>
      <c r="C4552" s="349">
        <v>44801</v>
      </c>
      <c r="D4552" s="349">
        <v>44803</v>
      </c>
      <c r="E4552" s="350" t="s">
        <v>3653</v>
      </c>
      <c r="F4552" s="337" t="s">
        <v>2902</v>
      </c>
      <c r="G4552" s="342" t="s">
        <v>2903</v>
      </c>
      <c r="H4552" s="337" t="s">
        <v>814</v>
      </c>
      <c r="I4552" s="353" t="s">
        <v>961</v>
      </c>
      <c r="J4552" s="352">
        <v>5372.5</v>
      </c>
      <c r="K4552" s="353"/>
      <c r="L4552" s="352">
        <v>5</v>
      </c>
      <c r="M4552" s="352">
        <v>5</v>
      </c>
      <c r="N4552" s="354">
        <v>1880.38</v>
      </c>
      <c r="O4552" s="355">
        <v>0.25</v>
      </c>
      <c r="P4552" s="355"/>
      <c r="Q4552" s="354">
        <v>0</v>
      </c>
      <c r="R4552" s="337" t="s">
        <v>112</v>
      </c>
      <c r="S4552" s="356" t="s">
        <v>113</v>
      </c>
      <c r="T4552" s="346">
        <v>64</v>
      </c>
      <c r="U4552" s="357" t="s">
        <v>164</v>
      </c>
      <c r="V4552" s="434"/>
      <c r="X4552" s="354">
        <v>0</v>
      </c>
      <c r="Y4552" s="354"/>
      <c r="AI4552" s="337">
        <v>0</v>
      </c>
      <c r="AJ4552" s="358"/>
      <c r="AK4552" s="369"/>
    </row>
    <row r="4553" spans="1:77" s="582" customFormat="1" ht="11.25" customHeight="1">
      <c r="A4553" s="582" t="s">
        <v>3893</v>
      </c>
      <c r="B4553" s="582" t="s">
        <v>291</v>
      </c>
      <c r="C4553" s="583">
        <v>44800</v>
      </c>
      <c r="D4553" s="583">
        <v>44804</v>
      </c>
      <c r="E4553" s="584" t="s">
        <v>3654</v>
      </c>
      <c r="F4553" s="582" t="s">
        <v>3655</v>
      </c>
      <c r="G4553" s="585" t="s">
        <v>3656</v>
      </c>
      <c r="H4553" s="582" t="s">
        <v>866</v>
      </c>
      <c r="I4553" s="586" t="s">
        <v>33</v>
      </c>
      <c r="J4553" s="587">
        <v>40815</v>
      </c>
      <c r="K4553" s="586"/>
      <c r="L4553" s="587">
        <v>25</v>
      </c>
      <c r="M4553" s="587">
        <v>25</v>
      </c>
      <c r="N4553" s="588">
        <v>17600</v>
      </c>
      <c r="O4553" s="589">
        <v>0.2</v>
      </c>
      <c r="P4553" s="589"/>
      <c r="Q4553" s="588">
        <v>3223.01</v>
      </c>
      <c r="R4553" s="582" t="s">
        <v>2296</v>
      </c>
      <c r="S4553" s="590" t="s">
        <v>113</v>
      </c>
      <c r="T4553" s="591">
        <v>64</v>
      </c>
      <c r="U4553" s="592" t="s">
        <v>164</v>
      </c>
      <c r="V4553" s="593"/>
      <c r="X4553" s="588">
        <v>3223.01</v>
      </c>
      <c r="Y4553" s="588"/>
      <c r="AH4553" s="609"/>
      <c r="AI4553" s="609"/>
      <c r="AJ4553" s="594"/>
      <c r="AN4553" s="588">
        <v>3223.01</v>
      </c>
    </row>
    <row r="4554" spans="1:77" s="558" customFormat="1" ht="12" customHeight="1">
      <c r="B4554" s="575" t="s">
        <v>390</v>
      </c>
      <c r="C4554" s="560">
        <v>44804</v>
      </c>
      <c r="D4554" s="560">
        <v>44804</v>
      </c>
      <c r="E4554" s="561" t="s">
        <v>3657</v>
      </c>
      <c r="F4554" s="558" t="s">
        <v>3658</v>
      </c>
      <c r="G4554" s="562" t="s">
        <v>3659</v>
      </c>
      <c r="H4554" s="558" t="s">
        <v>393</v>
      </c>
      <c r="I4554" s="558" t="s">
        <v>33</v>
      </c>
      <c r="J4554" s="563">
        <v>351201.13</v>
      </c>
      <c r="L4554" s="563">
        <v>15.41</v>
      </c>
      <c r="M4554" s="563">
        <v>15.41</v>
      </c>
      <c r="N4554" s="564">
        <v>96260.93</v>
      </c>
      <c r="O4554" s="566">
        <v>0.25</v>
      </c>
      <c r="P4554" s="566"/>
      <c r="Q4554" s="564">
        <v>0</v>
      </c>
      <c r="R4554" s="558" t="s">
        <v>281</v>
      </c>
      <c r="S4554" s="567" t="s">
        <v>65</v>
      </c>
      <c r="T4554" s="567">
        <v>71</v>
      </c>
      <c r="U4554" s="568" t="s">
        <v>164</v>
      </c>
      <c r="V4554" s="569"/>
      <c r="X4554" s="564">
        <v>0</v>
      </c>
      <c r="Y4554" s="564"/>
      <c r="AI4554" s="546"/>
      <c r="AJ4554" s="557"/>
      <c r="AK4554" s="546"/>
      <c r="AL4554" s="546"/>
      <c r="AM4554" s="546">
        <v>0</v>
      </c>
      <c r="AN4554" s="546"/>
      <c r="AO4554" s="546"/>
      <c r="AP4554" s="546"/>
      <c r="AQ4554" s="546"/>
      <c r="AR4554" s="546"/>
      <c r="AS4554" s="546"/>
      <c r="AT4554" s="546"/>
      <c r="AU4554" s="546"/>
      <c r="AV4554" s="546"/>
      <c r="AW4554" s="546"/>
      <c r="AX4554" s="546"/>
      <c r="AY4554" s="546"/>
      <c r="AZ4554" s="546"/>
      <c r="BA4554" s="546"/>
      <c r="BB4554" s="546"/>
      <c r="BC4554" s="546"/>
      <c r="BD4554" s="546"/>
      <c r="BE4554" s="546"/>
      <c r="BF4554" s="546"/>
      <c r="BG4554" s="546"/>
      <c r="BH4554" s="546"/>
      <c r="BI4554" s="546"/>
      <c r="BJ4554" s="546"/>
      <c r="BK4554" s="546"/>
      <c r="BL4554" s="546"/>
      <c r="BM4554" s="546"/>
      <c r="BN4554" s="546"/>
      <c r="BO4554" s="546"/>
      <c r="BP4554" s="546"/>
      <c r="BQ4554" s="546"/>
      <c r="BR4554" s="546"/>
      <c r="BS4554" s="546"/>
      <c r="BT4554" s="546"/>
      <c r="BU4554" s="546"/>
      <c r="BV4554" s="546"/>
      <c r="BW4554" s="546"/>
      <c r="BX4554" s="546"/>
      <c r="BY4554" s="546"/>
    </row>
    <row r="4555" spans="1:77" s="6" customFormat="1" ht="11.25" customHeight="1">
      <c r="A4555" s="379"/>
      <c r="B4555" s="379" t="s">
        <v>291</v>
      </c>
      <c r="C4555" s="381">
        <v>44802</v>
      </c>
      <c r="D4555" s="381">
        <v>44804</v>
      </c>
      <c r="E4555" s="382" t="s">
        <v>3665</v>
      </c>
      <c r="F4555" s="379" t="s">
        <v>3106</v>
      </c>
      <c r="G4555" s="400" t="s">
        <v>3107</v>
      </c>
      <c r="H4555" s="379" t="s">
        <v>910</v>
      </c>
      <c r="I4555" s="384" t="s">
        <v>3619</v>
      </c>
      <c r="J4555" s="385">
        <v>46332</v>
      </c>
      <c r="K4555" s="384"/>
      <c r="L4555" s="385">
        <v>18</v>
      </c>
      <c r="M4555" s="385">
        <v>18</v>
      </c>
      <c r="N4555" s="386"/>
      <c r="O4555" s="387">
        <v>0.25</v>
      </c>
      <c r="P4555" s="387"/>
      <c r="Q4555" s="386">
        <v>720</v>
      </c>
      <c r="R4555" s="379" t="s">
        <v>112</v>
      </c>
      <c r="S4555" s="388" t="s">
        <v>113</v>
      </c>
      <c r="T4555" s="399">
        <v>64</v>
      </c>
      <c r="U4555" s="389" t="s">
        <v>164</v>
      </c>
      <c r="V4555" s="433">
        <v>720</v>
      </c>
      <c r="W4555" s="379"/>
      <c r="X4555" s="386">
        <v>720</v>
      </c>
      <c r="Y4555" s="386"/>
      <c r="Z4555" s="379"/>
      <c r="AA4555" s="379"/>
      <c r="AB4555" s="379"/>
      <c r="AC4555" s="379"/>
      <c r="AD4555" s="379"/>
      <c r="AE4555" s="379"/>
      <c r="AF4555" s="379"/>
      <c r="AG4555" s="379"/>
      <c r="AH4555" s="379"/>
      <c r="AI4555" s="379"/>
      <c r="AJ4555" s="390">
        <v>720</v>
      </c>
      <c r="AK4555" s="379"/>
      <c r="AL4555" s="379"/>
      <c r="AM4555" s="379"/>
      <c r="AN4555" s="379"/>
      <c r="AO4555" s="379"/>
      <c r="AP4555" s="379"/>
      <c r="AQ4555" s="379"/>
      <c r="AR4555" s="379"/>
      <c r="AS4555" s="379"/>
      <c r="AT4555" s="379"/>
      <c r="AU4555" s="379"/>
      <c r="AV4555" s="379"/>
      <c r="AW4555" s="379"/>
      <c r="AX4555" s="379"/>
      <c r="AY4555" s="379"/>
      <c r="AZ4555" s="379"/>
      <c r="BA4555" s="379"/>
      <c r="BB4555" s="379"/>
      <c r="BC4555" s="379"/>
      <c r="BD4555" s="379"/>
      <c r="BE4555" s="379"/>
      <c r="BF4555" s="379"/>
      <c r="BG4555" s="379"/>
      <c r="BH4555" s="379"/>
      <c r="BI4555" s="379"/>
      <c r="BJ4555" s="379"/>
      <c r="BK4555" s="379"/>
      <c r="BL4555" s="379"/>
      <c r="BM4555" s="379"/>
      <c r="BN4555" s="379"/>
      <c r="BO4555" s="379"/>
      <c r="BP4555" s="379"/>
      <c r="BQ4555" s="379"/>
      <c r="BR4555" s="379"/>
      <c r="BS4555" s="379"/>
      <c r="BT4555" s="379"/>
      <c r="BU4555" s="379"/>
      <c r="BV4555" s="379"/>
      <c r="BW4555" s="379"/>
      <c r="BX4555" s="379"/>
      <c r="BY4555" s="379"/>
    </row>
    <row r="4556" spans="1:77" s="337" customFormat="1" ht="11.25" customHeight="1">
      <c r="B4556" s="337" t="s">
        <v>291</v>
      </c>
      <c r="C4556" s="349"/>
      <c r="D4556" s="349"/>
      <c r="E4556" s="350" t="s">
        <v>3665</v>
      </c>
      <c r="F4556" s="337" t="s">
        <v>3106</v>
      </c>
      <c r="G4556" s="342" t="s">
        <v>3107</v>
      </c>
      <c r="H4556" s="337" t="s">
        <v>866</v>
      </c>
      <c r="I4556" s="353" t="s">
        <v>3619</v>
      </c>
      <c r="J4556" s="352">
        <v>25558</v>
      </c>
      <c r="K4556" s="353"/>
      <c r="L4556" s="352">
        <v>13</v>
      </c>
      <c r="M4556" s="352">
        <v>13</v>
      </c>
      <c r="N4556" s="354">
        <v>17379.439999999999</v>
      </c>
      <c r="O4556" s="355">
        <v>0.25</v>
      </c>
      <c r="P4556" s="355">
        <v>0.1</v>
      </c>
      <c r="Q4556" s="354">
        <v>10276.5</v>
      </c>
      <c r="R4556" s="337" t="s">
        <v>112</v>
      </c>
      <c r="S4556" s="356" t="s">
        <v>113</v>
      </c>
      <c r="T4556" s="346">
        <v>64</v>
      </c>
      <c r="U4556" s="357" t="s">
        <v>164</v>
      </c>
      <c r="V4556" s="434">
        <v>420</v>
      </c>
      <c r="X4556" s="354">
        <v>10276.5</v>
      </c>
      <c r="Y4556" s="354"/>
      <c r="AI4556" s="354">
        <v>10276.5</v>
      </c>
      <c r="AJ4556" s="358"/>
      <c r="AK4556" s="369"/>
    </row>
    <row r="4557" spans="1:77" s="291" customFormat="1" ht="11.25" customHeight="1">
      <c r="B4557" s="291" t="s">
        <v>291</v>
      </c>
      <c r="C4557" s="292">
        <v>44802</v>
      </c>
      <c r="D4557" s="292">
        <v>44804</v>
      </c>
      <c r="E4557" s="293" t="s">
        <v>3666</v>
      </c>
      <c r="F4557" s="303" t="s">
        <v>3506</v>
      </c>
      <c r="G4557" s="304" t="s">
        <v>3545</v>
      </c>
      <c r="H4557" s="291" t="s">
        <v>866</v>
      </c>
      <c r="I4557" s="295" t="s">
        <v>699</v>
      </c>
      <c r="J4557" s="296">
        <v>26848.39</v>
      </c>
      <c r="K4557" s="295"/>
      <c r="L4557" s="296">
        <v>15.25</v>
      </c>
      <c r="M4557" s="296">
        <v>15.25</v>
      </c>
      <c r="N4557" s="297"/>
      <c r="O4557" s="298">
        <v>0.15</v>
      </c>
      <c r="P4557" s="298"/>
      <c r="Q4557" s="297">
        <v>9968.43</v>
      </c>
      <c r="R4557" s="291" t="s">
        <v>2296</v>
      </c>
      <c r="S4557" s="299" t="s">
        <v>113</v>
      </c>
      <c r="T4557" s="308">
        <v>64</v>
      </c>
      <c r="U4557" s="300" t="s">
        <v>164</v>
      </c>
      <c r="V4557" s="333"/>
      <c r="X4557" s="297">
        <v>9968.43</v>
      </c>
      <c r="Y4557" s="297"/>
      <c r="AH4557" s="311">
        <f>X4557</f>
        <v>9968.43</v>
      </c>
      <c r="AI4557" s="311"/>
      <c r="AJ4557" s="468"/>
    </row>
    <row r="4558" spans="1:77" s="291" customFormat="1" ht="11.25" customHeight="1">
      <c r="B4558" s="291" t="s">
        <v>291</v>
      </c>
      <c r="C4558" s="292">
        <v>44801</v>
      </c>
      <c r="D4558" s="292">
        <v>44804</v>
      </c>
      <c r="E4558" s="293" t="s">
        <v>3667</v>
      </c>
      <c r="F4558" s="291" t="s">
        <v>2857</v>
      </c>
      <c r="G4558" s="304" t="s">
        <v>2858</v>
      </c>
      <c r="H4558" s="291" t="s">
        <v>910</v>
      </c>
      <c r="I4558" s="295" t="s">
        <v>699</v>
      </c>
      <c r="J4558" s="296">
        <v>16894.8</v>
      </c>
      <c r="K4558" s="295"/>
      <c r="L4558" s="296">
        <v>8</v>
      </c>
      <c r="M4558" s="296">
        <v>8</v>
      </c>
      <c r="N4558" s="297"/>
      <c r="O4558" s="298">
        <v>0.15</v>
      </c>
      <c r="P4558" s="298"/>
      <c r="Q4558" s="297">
        <v>0</v>
      </c>
      <c r="R4558" s="291" t="s">
        <v>112</v>
      </c>
      <c r="S4558" s="299" t="s">
        <v>113</v>
      </c>
      <c r="T4558" s="308">
        <v>64</v>
      </c>
      <c r="U4558" s="300" t="s">
        <v>164</v>
      </c>
      <c r="V4558" s="333"/>
      <c r="X4558" s="297">
        <v>0</v>
      </c>
      <c r="Y4558" s="297"/>
      <c r="AH4558" s="291">
        <f>X4558</f>
        <v>0</v>
      </c>
      <c r="AI4558" s="311"/>
      <c r="AJ4558" s="468"/>
    </row>
    <row r="4559" spans="1:77" s="337" customFormat="1" ht="11.25" customHeight="1">
      <c r="B4559" s="337" t="s">
        <v>291</v>
      </c>
      <c r="C4559" s="349"/>
      <c r="D4559" s="349"/>
      <c r="E4559" s="350" t="s">
        <v>3667</v>
      </c>
      <c r="F4559" s="337" t="s">
        <v>2857</v>
      </c>
      <c r="G4559" s="342" t="s">
        <v>2858</v>
      </c>
      <c r="H4559" s="337" t="s">
        <v>866</v>
      </c>
      <c r="I4559" s="353" t="s">
        <v>699</v>
      </c>
      <c r="J4559" s="352">
        <v>40575.599999999999</v>
      </c>
      <c r="K4559" s="353"/>
      <c r="L4559" s="352">
        <v>24</v>
      </c>
      <c r="M4559" s="352">
        <v>24</v>
      </c>
      <c r="N4559" s="354">
        <f>7066.92+17582.76</f>
        <v>24649.68</v>
      </c>
      <c r="O4559" s="355">
        <v>0.15</v>
      </c>
      <c r="P4559" s="355"/>
      <c r="Q4559" s="354">
        <v>14752</v>
      </c>
      <c r="R4559" s="337" t="s">
        <v>112</v>
      </c>
      <c r="S4559" s="356" t="s">
        <v>113</v>
      </c>
      <c r="T4559" s="346">
        <v>40</v>
      </c>
      <c r="U4559" s="357" t="s">
        <v>164</v>
      </c>
      <c r="V4559" s="434">
        <v>480</v>
      </c>
      <c r="X4559" s="354">
        <v>14752</v>
      </c>
      <c r="Y4559" s="354"/>
      <c r="AI4559" s="354">
        <v>14752</v>
      </c>
      <c r="AJ4559" s="358"/>
      <c r="AK4559" s="369"/>
    </row>
    <row r="4560" spans="1:77" s="337" customFormat="1" ht="11.25" customHeight="1">
      <c r="B4560" s="337" t="s">
        <v>291</v>
      </c>
      <c r="C4560" s="349"/>
      <c r="D4560" s="349"/>
      <c r="E4560" s="350" t="s">
        <v>3667</v>
      </c>
      <c r="F4560" s="337" t="s">
        <v>2857</v>
      </c>
      <c r="G4560" s="342" t="s">
        <v>2858</v>
      </c>
      <c r="H4560" s="337" t="s">
        <v>866</v>
      </c>
      <c r="I4560" s="353" t="s">
        <v>699</v>
      </c>
      <c r="J4560" s="352">
        <v>59172.75</v>
      </c>
      <c r="K4560" s="353"/>
      <c r="L4560" s="352">
        <v>35</v>
      </c>
      <c r="M4560" s="352">
        <v>35</v>
      </c>
      <c r="N4560" s="354">
        <f>10143.9+29586.38</f>
        <v>39730.28</v>
      </c>
      <c r="O4560" s="355">
        <v>0.15</v>
      </c>
      <c r="P4560" s="355"/>
      <c r="Q4560" s="354">
        <v>22538</v>
      </c>
      <c r="R4560" s="337" t="s">
        <v>112</v>
      </c>
      <c r="S4560" s="356" t="s">
        <v>113</v>
      </c>
      <c r="T4560" s="346">
        <v>64</v>
      </c>
      <c r="U4560" s="357" t="s">
        <v>164</v>
      </c>
      <c r="V4560" s="434">
        <v>750</v>
      </c>
      <c r="X4560" s="354">
        <v>22538</v>
      </c>
      <c r="Y4560" s="354"/>
      <c r="AI4560" s="354">
        <v>22538</v>
      </c>
      <c r="AJ4560" s="358"/>
      <c r="AK4560" s="369"/>
    </row>
    <row r="4561" spans="1:77" s="473" customFormat="1" ht="11.25" customHeight="1">
      <c r="B4561" s="473" t="s">
        <v>390</v>
      </c>
      <c r="C4561" s="487">
        <v>44802</v>
      </c>
      <c r="D4561" s="487">
        <v>44804</v>
      </c>
      <c r="E4561" s="488" t="s">
        <v>3668</v>
      </c>
      <c r="F4561" s="473" t="s">
        <v>392</v>
      </c>
      <c r="G4561" s="476" t="s">
        <v>394</v>
      </c>
      <c r="H4561" s="473" t="s">
        <v>393</v>
      </c>
      <c r="I4561" s="491" t="s">
        <v>1022</v>
      </c>
      <c r="J4561" s="490">
        <v>82822.44</v>
      </c>
      <c r="K4561" s="491"/>
      <c r="L4561" s="490">
        <v>9.27</v>
      </c>
      <c r="M4561" s="490">
        <v>9.27</v>
      </c>
      <c r="N4561" s="492"/>
      <c r="O4561" s="493">
        <v>0.25</v>
      </c>
      <c r="P4561" s="493"/>
      <c r="Q4561" s="492">
        <v>0</v>
      </c>
      <c r="R4561" s="473" t="s">
        <v>77</v>
      </c>
      <c r="S4561" s="481" t="s">
        <v>41</v>
      </c>
      <c r="T4561" s="482">
        <v>16</v>
      </c>
      <c r="U4561" s="494" t="s">
        <v>164</v>
      </c>
      <c r="V4561" s="495"/>
      <c r="X4561" s="492">
        <v>0</v>
      </c>
      <c r="Y4561" s="492"/>
      <c r="AJ4561" s="485"/>
      <c r="AK4561" s="473">
        <v>0</v>
      </c>
    </row>
    <row r="4562" spans="1:77" s="507" customFormat="1" ht="11.25" customHeight="1">
      <c r="A4562" s="507" t="s">
        <v>3893</v>
      </c>
      <c r="B4562" s="507" t="s">
        <v>291</v>
      </c>
      <c r="C4562" s="509">
        <v>44801</v>
      </c>
      <c r="D4562" s="509">
        <v>44804</v>
      </c>
      <c r="E4562" s="510" t="s">
        <v>3669</v>
      </c>
      <c r="F4562" s="507" t="s">
        <v>3670</v>
      </c>
      <c r="G4562" s="526" t="s">
        <v>3671</v>
      </c>
      <c r="H4562" s="507" t="s">
        <v>898</v>
      </c>
      <c r="I4562" s="512" t="s">
        <v>961</v>
      </c>
      <c r="J4562" s="513">
        <v>4872.1499999999996</v>
      </c>
      <c r="K4562" s="512"/>
      <c r="L4562" s="513">
        <v>2.73</v>
      </c>
      <c r="M4562" s="513">
        <v>2.73</v>
      </c>
      <c r="N4562" s="514">
        <v>1460</v>
      </c>
      <c r="O4562" s="515">
        <v>0.15</v>
      </c>
      <c r="P4562" s="515"/>
      <c r="Q4562" s="514">
        <v>722.27</v>
      </c>
      <c r="R4562" s="507" t="s">
        <v>2296</v>
      </c>
      <c r="S4562" s="516" t="s">
        <v>113</v>
      </c>
      <c r="T4562" s="531">
        <v>64</v>
      </c>
      <c r="U4562" s="517" t="s">
        <v>164</v>
      </c>
      <c r="V4562" s="518"/>
      <c r="X4562" s="514">
        <v>722.27</v>
      </c>
      <c r="Y4562" s="514"/>
      <c r="AJ4562" s="522"/>
      <c r="AK4562" s="523"/>
      <c r="AL4562" s="514">
        <v>722.27</v>
      </c>
      <c r="AM4562" s="523"/>
      <c r="AN4562" s="523"/>
      <c r="AO4562" s="523"/>
      <c r="AP4562" s="523"/>
      <c r="AQ4562" s="523"/>
      <c r="AR4562" s="523"/>
      <c r="AS4562" s="523"/>
      <c r="AT4562" s="523"/>
      <c r="AU4562" s="523"/>
      <c r="AV4562" s="523"/>
      <c r="AW4562" s="523"/>
      <c r="AX4562" s="523"/>
      <c r="AY4562" s="523"/>
      <c r="AZ4562" s="523"/>
      <c r="BA4562" s="523"/>
      <c r="BB4562" s="523"/>
      <c r="BC4562" s="523"/>
      <c r="BD4562" s="523"/>
      <c r="BE4562" s="523"/>
      <c r="BF4562" s="523"/>
      <c r="BG4562" s="523"/>
      <c r="BH4562" s="523"/>
      <c r="BI4562" s="523"/>
      <c r="BJ4562" s="523"/>
      <c r="BK4562" s="523"/>
      <c r="BL4562" s="523"/>
      <c r="BM4562" s="523"/>
      <c r="BN4562" s="523"/>
      <c r="BO4562" s="523"/>
      <c r="BP4562" s="523"/>
      <c r="BQ4562" s="523"/>
      <c r="BR4562" s="523"/>
      <c r="BS4562" s="523"/>
      <c r="BT4562" s="523"/>
      <c r="BU4562" s="523"/>
      <c r="BV4562" s="523"/>
      <c r="BW4562" s="523"/>
      <c r="BX4562" s="523"/>
      <c r="BY4562" s="523"/>
    </row>
    <row r="4563" spans="1:77" s="507" customFormat="1" ht="11.25" customHeight="1">
      <c r="B4563" s="507" t="s">
        <v>291</v>
      </c>
      <c r="C4563" s="509"/>
      <c r="D4563" s="509"/>
      <c r="E4563" s="510" t="s">
        <v>3669</v>
      </c>
      <c r="F4563" s="507" t="s">
        <v>3670</v>
      </c>
      <c r="G4563" s="526" t="s">
        <v>3671</v>
      </c>
      <c r="H4563" s="507" t="s">
        <v>866</v>
      </c>
      <c r="I4563" s="512" t="s">
        <v>961</v>
      </c>
      <c r="J4563" s="513">
        <v>22183.5</v>
      </c>
      <c r="K4563" s="512"/>
      <c r="L4563" s="513">
        <v>12.86</v>
      </c>
      <c r="M4563" s="513">
        <v>12.86</v>
      </c>
      <c r="N4563" s="514">
        <v>11092</v>
      </c>
      <c r="O4563" s="515">
        <v>0.15</v>
      </c>
      <c r="P4563" s="515"/>
      <c r="Q4563" s="514">
        <v>675.15</v>
      </c>
      <c r="R4563" s="507" t="s">
        <v>2296</v>
      </c>
      <c r="S4563" s="516" t="s">
        <v>113</v>
      </c>
      <c r="T4563" s="531">
        <v>64</v>
      </c>
      <c r="U4563" s="517" t="s">
        <v>164</v>
      </c>
      <c r="V4563" s="518"/>
      <c r="X4563" s="514">
        <v>675.15</v>
      </c>
      <c r="Y4563" s="514"/>
      <c r="AJ4563" s="522"/>
      <c r="AK4563" s="523"/>
      <c r="AL4563" s="514">
        <v>675.15</v>
      </c>
      <c r="AM4563" s="523"/>
      <c r="AN4563" s="523"/>
      <c r="AO4563" s="523"/>
      <c r="AP4563" s="523"/>
      <c r="AQ4563" s="523"/>
      <c r="AR4563" s="523"/>
      <c r="AS4563" s="523"/>
      <c r="AT4563" s="523"/>
      <c r="AU4563" s="523"/>
      <c r="AV4563" s="523"/>
      <c r="AW4563" s="523"/>
      <c r="AX4563" s="523"/>
      <c r="AY4563" s="523"/>
      <c r="AZ4563" s="523"/>
      <c r="BA4563" s="523"/>
      <c r="BB4563" s="523"/>
      <c r="BC4563" s="523"/>
      <c r="BD4563" s="523"/>
      <c r="BE4563" s="523"/>
      <c r="BF4563" s="523"/>
      <c r="BG4563" s="523"/>
      <c r="BH4563" s="523"/>
      <c r="BI4563" s="523"/>
      <c r="BJ4563" s="523"/>
      <c r="BK4563" s="523"/>
      <c r="BL4563" s="523"/>
      <c r="BM4563" s="523"/>
      <c r="BN4563" s="523"/>
      <c r="BO4563" s="523"/>
      <c r="BP4563" s="523"/>
      <c r="BQ4563" s="523"/>
      <c r="BR4563" s="523"/>
      <c r="BS4563" s="523"/>
      <c r="BT4563" s="523"/>
      <c r="BU4563" s="523"/>
      <c r="BV4563" s="523"/>
      <c r="BW4563" s="523"/>
      <c r="BX4563" s="523"/>
      <c r="BY4563" s="523"/>
    </row>
    <row r="4564" spans="1:77" s="379" customFormat="1" ht="11.25" customHeight="1">
      <c r="B4564" s="380" t="s">
        <v>291</v>
      </c>
      <c r="C4564" s="381">
        <v>44802</v>
      </c>
      <c r="D4564" s="381">
        <v>44804</v>
      </c>
      <c r="E4564" s="382" t="s">
        <v>3672</v>
      </c>
      <c r="F4564" s="379" t="s">
        <v>182</v>
      </c>
      <c r="G4564" s="400">
        <v>3842</v>
      </c>
      <c r="H4564" s="379" t="s">
        <v>910</v>
      </c>
      <c r="I4564" s="384" t="s">
        <v>699</v>
      </c>
      <c r="J4564" s="385">
        <v>52744.7</v>
      </c>
      <c r="K4564" s="384"/>
      <c r="L4564" s="385">
        <v>29.86</v>
      </c>
      <c r="M4564" s="385">
        <v>29.86</v>
      </c>
      <c r="N4564" s="386"/>
      <c r="O4564" s="387">
        <v>0.15</v>
      </c>
      <c r="P4564" s="387"/>
      <c r="Q4564" s="386">
        <v>1194.4000000000001</v>
      </c>
      <c r="R4564" s="379" t="s">
        <v>73</v>
      </c>
      <c r="S4564" s="388" t="s">
        <v>113</v>
      </c>
      <c r="T4564" s="399">
        <v>31</v>
      </c>
      <c r="U4564" s="389" t="s">
        <v>164</v>
      </c>
      <c r="V4564" s="461">
        <v>1194.4000000000001</v>
      </c>
      <c r="X4564" s="386">
        <v>1194.4000000000001</v>
      </c>
      <c r="Y4564" s="386"/>
      <c r="AI4564" s="394"/>
      <c r="AJ4564" s="416">
        <v>1194.4000000000001</v>
      </c>
      <c r="AK4564" s="394"/>
      <c r="AL4564" s="394"/>
      <c r="AM4564" s="394"/>
      <c r="AN4564" s="394"/>
      <c r="AO4564" s="394"/>
      <c r="AP4564" s="394"/>
      <c r="AQ4564" s="394"/>
      <c r="AR4564" s="394"/>
      <c r="AS4564" s="394"/>
      <c r="AT4564" s="394"/>
      <c r="AU4564" s="394"/>
      <c r="AV4564" s="394"/>
      <c r="AW4564" s="394"/>
      <c r="AX4564" s="394"/>
      <c r="AY4564" s="394"/>
      <c r="AZ4564" s="394"/>
      <c r="BA4564" s="394"/>
      <c r="BB4564" s="394"/>
      <c r="BC4564" s="394"/>
      <c r="BD4564" s="394"/>
      <c r="BE4564" s="394"/>
      <c r="BF4564" s="394"/>
      <c r="BG4564" s="394"/>
      <c r="BH4564" s="394"/>
      <c r="BI4564" s="394"/>
      <c r="BJ4564" s="394"/>
      <c r="BK4564" s="394"/>
      <c r="BL4564" s="394"/>
      <c r="BM4564" s="394"/>
      <c r="BN4564" s="394"/>
      <c r="BO4564" s="394"/>
      <c r="BP4564" s="394"/>
      <c r="BQ4564" s="394"/>
      <c r="BR4564" s="394"/>
      <c r="BS4564" s="394"/>
      <c r="BT4564" s="394"/>
      <c r="BU4564" s="394"/>
      <c r="BV4564" s="394"/>
      <c r="BW4564" s="394"/>
      <c r="BX4564" s="394"/>
      <c r="BY4564" s="394"/>
    </row>
    <row r="4565" spans="1:77" s="6" customFormat="1" ht="11.25" customHeight="1">
      <c r="A4565" s="379"/>
      <c r="B4565" s="380" t="s">
        <v>291</v>
      </c>
      <c r="C4565" s="381">
        <v>44803</v>
      </c>
      <c r="D4565" s="381">
        <v>44804</v>
      </c>
      <c r="E4565" s="382" t="s">
        <v>3673</v>
      </c>
      <c r="F4565" s="379" t="s">
        <v>3674</v>
      </c>
      <c r="G4565" s="400" t="s">
        <v>3675</v>
      </c>
      <c r="H4565" s="379" t="s">
        <v>765</v>
      </c>
      <c r="I4565" s="384" t="s">
        <v>3624</v>
      </c>
      <c r="J4565" s="385">
        <v>21229.040000000001</v>
      </c>
      <c r="K4565" s="384"/>
      <c r="L4565" s="385">
        <v>23.38</v>
      </c>
      <c r="M4565" s="385">
        <v>23.38</v>
      </c>
      <c r="N4565" s="386"/>
      <c r="O4565" s="387">
        <v>0.25</v>
      </c>
      <c r="P4565" s="387"/>
      <c r="Q4565" s="386">
        <v>0</v>
      </c>
      <c r="R4565" s="379" t="s">
        <v>257</v>
      </c>
      <c r="S4565" s="388" t="s">
        <v>74</v>
      </c>
      <c r="T4565" s="399">
        <v>32</v>
      </c>
      <c r="U4565" s="389" t="s">
        <v>164</v>
      </c>
      <c r="V4565" s="433"/>
      <c r="W4565" s="379"/>
      <c r="X4565" s="386">
        <v>0</v>
      </c>
      <c r="Y4565" s="386"/>
      <c r="Z4565" s="379"/>
      <c r="AA4565" s="379"/>
      <c r="AB4565" s="379"/>
      <c r="AC4565" s="379"/>
      <c r="AD4565" s="379"/>
      <c r="AE4565" s="379"/>
      <c r="AF4565" s="379"/>
      <c r="AG4565" s="379"/>
      <c r="AH4565" s="379"/>
      <c r="AI4565" s="379"/>
      <c r="AJ4565" s="390">
        <v>0</v>
      </c>
      <c r="AK4565" s="394"/>
      <c r="AL4565" s="394"/>
      <c r="AM4565" s="394"/>
      <c r="AN4565" s="394"/>
      <c r="AO4565" s="394"/>
      <c r="AP4565" s="394"/>
      <c r="AQ4565" s="394"/>
      <c r="AR4565" s="394"/>
      <c r="AS4565" s="394"/>
      <c r="AT4565" s="394"/>
      <c r="AU4565" s="394"/>
      <c r="AV4565" s="394"/>
      <c r="AW4565" s="394"/>
      <c r="AX4565" s="394"/>
      <c r="AY4565" s="394"/>
      <c r="AZ4565" s="394"/>
      <c r="BA4565" s="394"/>
      <c r="BB4565" s="394"/>
      <c r="BC4565" s="394"/>
      <c r="BD4565" s="394"/>
      <c r="BE4565" s="394"/>
      <c r="BF4565" s="394"/>
      <c r="BG4565" s="394"/>
      <c r="BH4565" s="394"/>
      <c r="BI4565" s="394"/>
      <c r="BJ4565" s="394"/>
      <c r="BK4565" s="394"/>
      <c r="BL4565" s="394"/>
      <c r="BM4565" s="394"/>
      <c r="BN4565" s="394"/>
      <c r="BO4565" s="394"/>
      <c r="BP4565" s="394"/>
      <c r="BQ4565" s="394"/>
      <c r="BR4565" s="394"/>
      <c r="BS4565" s="394"/>
      <c r="BT4565" s="394"/>
      <c r="BU4565" s="394"/>
      <c r="BV4565" s="394"/>
      <c r="BW4565" s="394"/>
      <c r="BX4565" s="394"/>
      <c r="BY4565" s="394"/>
    </row>
    <row r="4566" spans="1:77" s="337" customFormat="1" ht="11.25" customHeight="1">
      <c r="B4566" s="367" t="s">
        <v>291</v>
      </c>
      <c r="C4566" s="349">
        <v>44804</v>
      </c>
      <c r="D4566" s="349">
        <v>44804</v>
      </c>
      <c r="E4566" s="350" t="s">
        <v>3676</v>
      </c>
      <c r="F4566" s="337" t="s">
        <v>1185</v>
      </c>
      <c r="G4566" s="342" t="s">
        <v>1186</v>
      </c>
      <c r="H4566" s="337" t="s">
        <v>866</v>
      </c>
      <c r="I4566" s="353" t="s">
        <v>3610</v>
      </c>
      <c r="J4566" s="352">
        <v>30810</v>
      </c>
      <c r="K4566" s="353"/>
      <c r="L4566" s="352">
        <v>15</v>
      </c>
      <c r="M4566" s="352">
        <v>8</v>
      </c>
      <c r="N4566" s="354">
        <v>12752.87</v>
      </c>
      <c r="O4566" s="355">
        <v>0.25</v>
      </c>
      <c r="P4566" s="355"/>
      <c r="Q4566" s="354">
        <v>9989.5</v>
      </c>
      <c r="R4566" s="337" t="s">
        <v>112</v>
      </c>
      <c r="S4566" s="356" t="s">
        <v>113</v>
      </c>
      <c r="T4566" s="346">
        <v>64</v>
      </c>
      <c r="U4566" s="357" t="s">
        <v>164</v>
      </c>
      <c r="V4566" s="434">
        <v>288</v>
      </c>
      <c r="X4566" s="354">
        <v>9989.5</v>
      </c>
      <c r="Y4566" s="354"/>
      <c r="AI4566" s="354">
        <v>9989.5</v>
      </c>
      <c r="AJ4566" s="358"/>
      <c r="AK4566" s="369"/>
      <c r="AL4566" s="341"/>
      <c r="AM4566" s="341"/>
      <c r="AN4566" s="341"/>
      <c r="AO4566" s="341"/>
      <c r="AP4566" s="341"/>
      <c r="AQ4566" s="341"/>
      <c r="AR4566" s="341"/>
      <c r="AS4566" s="341"/>
      <c r="AT4566" s="341"/>
      <c r="AU4566" s="341"/>
      <c r="AV4566" s="341"/>
      <c r="AW4566" s="341"/>
      <c r="AX4566" s="341"/>
      <c r="AY4566" s="341"/>
      <c r="AZ4566" s="341"/>
      <c r="BA4566" s="341"/>
      <c r="BB4566" s="341"/>
      <c r="BC4566" s="341"/>
      <c r="BD4566" s="341"/>
      <c r="BE4566" s="341"/>
      <c r="BF4566" s="341"/>
      <c r="BG4566" s="341"/>
      <c r="BH4566" s="341"/>
      <c r="BI4566" s="341"/>
      <c r="BJ4566" s="341"/>
      <c r="BK4566" s="341"/>
      <c r="BL4566" s="341"/>
      <c r="BM4566" s="341"/>
      <c r="BN4566" s="341"/>
      <c r="BO4566" s="341"/>
      <c r="BP4566" s="341"/>
      <c r="BQ4566" s="341"/>
      <c r="BR4566" s="341"/>
      <c r="BS4566" s="341"/>
      <c r="BT4566" s="341"/>
      <c r="BU4566" s="341"/>
      <c r="BV4566" s="341"/>
      <c r="BW4566" s="341"/>
      <c r="BX4566" s="341"/>
      <c r="BY4566" s="341"/>
    </row>
    <row r="4567" spans="1:77" s="379" customFormat="1" ht="11.25" customHeight="1">
      <c r="B4567" s="380" t="s">
        <v>291</v>
      </c>
      <c r="C4567" s="381">
        <v>44803</v>
      </c>
      <c r="D4567" s="381">
        <v>44804</v>
      </c>
      <c r="E4567" s="382" t="s">
        <v>3677</v>
      </c>
      <c r="F4567" s="379" t="s">
        <v>187</v>
      </c>
      <c r="G4567" s="400">
        <v>3841</v>
      </c>
      <c r="H4567" s="379" t="s">
        <v>910</v>
      </c>
      <c r="I4567" s="384" t="s">
        <v>3619</v>
      </c>
      <c r="J4567" s="385">
        <v>64176.77</v>
      </c>
      <c r="K4567" s="384"/>
      <c r="L4567" s="385">
        <v>39.44</v>
      </c>
      <c r="M4567" s="385">
        <v>39.44</v>
      </c>
      <c r="N4567" s="386"/>
      <c r="O4567" s="387">
        <v>0.15</v>
      </c>
      <c r="P4567" s="387"/>
      <c r="Q4567" s="386">
        <v>1560.4</v>
      </c>
      <c r="R4567" s="379" t="s">
        <v>73</v>
      </c>
      <c r="S4567" s="388" t="s">
        <v>113</v>
      </c>
      <c r="T4567" s="399">
        <v>31</v>
      </c>
      <c r="U4567" s="389" t="s">
        <v>164</v>
      </c>
      <c r="V4567" s="461">
        <v>1560.4</v>
      </c>
      <c r="X4567" s="386">
        <v>1560.4</v>
      </c>
      <c r="Y4567" s="386"/>
      <c r="AJ4567" s="416">
        <v>1560.4</v>
      </c>
      <c r="AK4567" s="394"/>
      <c r="AL4567" s="394"/>
      <c r="AM4567" s="394"/>
      <c r="AN4567" s="394"/>
      <c r="AO4567" s="394"/>
      <c r="AP4567" s="394"/>
      <c r="AQ4567" s="394"/>
      <c r="AR4567" s="394"/>
      <c r="AS4567" s="394"/>
      <c r="AT4567" s="394"/>
      <c r="AU4567" s="394"/>
      <c r="AV4567" s="394"/>
      <c r="AW4567" s="394"/>
      <c r="AX4567" s="394"/>
      <c r="AY4567" s="394"/>
      <c r="AZ4567" s="394"/>
      <c r="BA4567" s="394"/>
      <c r="BB4567" s="394"/>
      <c r="BC4567" s="394"/>
      <c r="BD4567" s="394"/>
      <c r="BE4567" s="394"/>
      <c r="BF4567" s="394"/>
      <c r="BG4567" s="394"/>
      <c r="BH4567" s="394"/>
      <c r="BI4567" s="394"/>
      <c r="BJ4567" s="394"/>
      <c r="BK4567" s="394"/>
      <c r="BL4567" s="394"/>
      <c r="BM4567" s="394"/>
      <c r="BN4567" s="394"/>
      <c r="BO4567" s="394"/>
      <c r="BP4567" s="394"/>
      <c r="BQ4567" s="394"/>
      <c r="BR4567" s="394"/>
      <c r="BS4567" s="394"/>
      <c r="BT4567" s="394"/>
      <c r="BU4567" s="394"/>
      <c r="BV4567" s="394"/>
      <c r="BW4567" s="394"/>
      <c r="BX4567" s="394"/>
      <c r="BY4567" s="394"/>
    </row>
    <row r="4568" spans="1:77" s="379" customFormat="1" ht="11.25" customHeight="1">
      <c r="B4568" s="379" t="s">
        <v>291</v>
      </c>
      <c r="C4568" s="381">
        <v>44802</v>
      </c>
      <c r="D4568" s="381">
        <v>44804</v>
      </c>
      <c r="E4568" s="382" t="s">
        <v>3678</v>
      </c>
      <c r="F4568" s="379" t="s">
        <v>469</v>
      </c>
      <c r="G4568" s="400" t="s">
        <v>2884</v>
      </c>
      <c r="H4568" s="379" t="s">
        <v>866</v>
      </c>
      <c r="I4568" s="384" t="s">
        <v>3619</v>
      </c>
      <c r="J4568" s="385">
        <v>66233.97</v>
      </c>
      <c r="K4568" s="384"/>
      <c r="L4568" s="385">
        <v>38.450000000000003</v>
      </c>
      <c r="M4568" s="385">
        <v>18.5</v>
      </c>
      <c r="N4568" s="386"/>
      <c r="O4568" s="387">
        <v>0.3</v>
      </c>
      <c r="P4568" s="387"/>
      <c r="Q4568" s="386">
        <v>0</v>
      </c>
      <c r="R4568" s="379" t="s">
        <v>112</v>
      </c>
      <c r="S4568" s="388" t="s">
        <v>113</v>
      </c>
      <c r="T4568" s="399">
        <v>64</v>
      </c>
      <c r="U4568" s="389" t="s">
        <v>164</v>
      </c>
      <c r="V4568" s="433"/>
      <c r="X4568" s="386">
        <v>0</v>
      </c>
      <c r="Y4568" s="386"/>
      <c r="AJ4568" s="390">
        <v>0</v>
      </c>
      <c r="AK4568" s="394"/>
      <c r="AL4568" s="394"/>
      <c r="AM4568" s="394"/>
      <c r="AN4568" s="394"/>
      <c r="AO4568" s="394"/>
      <c r="AP4568" s="394"/>
      <c r="AQ4568" s="394"/>
      <c r="AR4568" s="394"/>
      <c r="AS4568" s="394"/>
      <c r="AT4568" s="394"/>
      <c r="AU4568" s="394"/>
      <c r="AV4568" s="394"/>
      <c r="AW4568" s="394"/>
      <c r="AX4568" s="394"/>
      <c r="AY4568" s="394"/>
      <c r="AZ4568" s="394"/>
      <c r="BA4568" s="394"/>
      <c r="BB4568" s="394"/>
      <c r="BC4568" s="394"/>
      <c r="BD4568" s="394"/>
      <c r="BE4568" s="394"/>
      <c r="BF4568" s="394"/>
      <c r="BG4568" s="394"/>
      <c r="BH4568" s="394"/>
      <c r="BI4568" s="394"/>
      <c r="BJ4568" s="394"/>
      <c r="BK4568" s="394"/>
      <c r="BL4568" s="394"/>
      <c r="BM4568" s="394"/>
      <c r="BN4568" s="394"/>
      <c r="BO4568" s="394"/>
      <c r="BP4568" s="394"/>
      <c r="BQ4568" s="394"/>
      <c r="BR4568" s="394"/>
      <c r="BS4568" s="394"/>
      <c r="BT4568" s="394"/>
      <c r="BU4568" s="394"/>
      <c r="BV4568" s="394"/>
      <c r="BW4568" s="394"/>
      <c r="BX4568" s="394"/>
      <c r="BY4568" s="394"/>
    </row>
    <row r="4569" spans="1:77" s="473" customFormat="1" ht="11.25" customHeight="1">
      <c r="B4569" s="473" t="s">
        <v>291</v>
      </c>
      <c r="C4569" s="487">
        <v>44804</v>
      </c>
      <c r="D4569" s="487">
        <v>44804</v>
      </c>
      <c r="E4569" s="488" t="s">
        <v>3679</v>
      </c>
      <c r="F4569" s="473" t="s">
        <v>3680</v>
      </c>
      <c r="G4569" s="476">
        <v>3504</v>
      </c>
      <c r="H4569" s="473" t="s">
        <v>1138</v>
      </c>
      <c r="I4569" s="491" t="s">
        <v>33</v>
      </c>
      <c r="J4569" s="490">
        <v>9274.5</v>
      </c>
      <c r="K4569" s="491"/>
      <c r="L4569" s="490">
        <v>11.45</v>
      </c>
      <c r="M4569" s="490">
        <v>11.45</v>
      </c>
      <c r="N4569" s="492"/>
      <c r="O4569" s="493">
        <v>0.25</v>
      </c>
      <c r="P4569" s="493"/>
      <c r="Q4569" s="492">
        <v>3988.04</v>
      </c>
      <c r="R4569" s="473" t="s">
        <v>73</v>
      </c>
      <c r="S4569" s="481" t="s">
        <v>1423</v>
      </c>
      <c r="T4569" s="482">
        <v>31</v>
      </c>
      <c r="U4569" s="494" t="s">
        <v>164</v>
      </c>
      <c r="V4569" s="495"/>
      <c r="X4569" s="492">
        <v>3988.04</v>
      </c>
      <c r="Y4569" s="492"/>
      <c r="AJ4569" s="485"/>
      <c r="AK4569" s="505">
        <v>3988.04</v>
      </c>
      <c r="AL4569" s="472"/>
      <c r="AM4569" s="472"/>
      <c r="AN4569" s="472"/>
      <c r="AO4569" s="472"/>
      <c r="AP4569" s="472"/>
      <c r="AQ4569" s="472"/>
      <c r="AR4569" s="472"/>
      <c r="AS4569" s="472"/>
      <c r="AT4569" s="472"/>
      <c r="AU4569" s="472"/>
      <c r="AV4569" s="472"/>
      <c r="AW4569" s="472"/>
      <c r="AX4569" s="472"/>
      <c r="AY4569" s="472"/>
      <c r="AZ4569" s="472"/>
      <c r="BA4569" s="472"/>
      <c r="BB4569" s="472"/>
      <c r="BC4569" s="472"/>
      <c r="BD4569" s="472"/>
      <c r="BE4569" s="472"/>
      <c r="BF4569" s="472"/>
      <c r="BG4569" s="472"/>
      <c r="BH4569" s="472"/>
      <c r="BI4569" s="472"/>
      <c r="BJ4569" s="472"/>
      <c r="BK4569" s="472"/>
      <c r="BL4569" s="472"/>
      <c r="BM4569" s="472"/>
      <c r="BN4569" s="472"/>
      <c r="BO4569" s="472"/>
      <c r="BP4569" s="472"/>
      <c r="BQ4569" s="472"/>
      <c r="BR4569" s="472"/>
      <c r="BS4569" s="472"/>
      <c r="BT4569" s="472"/>
      <c r="BU4569" s="472"/>
      <c r="BV4569" s="472"/>
      <c r="BW4569" s="472"/>
      <c r="BX4569" s="472"/>
      <c r="BY4569" s="472"/>
    </row>
    <row r="4570" spans="1:77" s="337" customFormat="1" ht="11.25" customHeight="1">
      <c r="B4570" s="337" t="s">
        <v>291</v>
      </c>
      <c r="C4570" s="349">
        <v>44804</v>
      </c>
      <c r="D4570" s="349">
        <v>44804</v>
      </c>
      <c r="E4570" s="350" t="s">
        <v>3681</v>
      </c>
      <c r="F4570" s="337" t="s">
        <v>3682</v>
      </c>
      <c r="G4570" s="342" t="s">
        <v>3683</v>
      </c>
      <c r="H4570" s="337" t="s">
        <v>866</v>
      </c>
      <c r="I4570" s="353" t="s">
        <v>888</v>
      </c>
      <c r="J4570" s="352">
        <v>23778.29</v>
      </c>
      <c r="K4570" s="353"/>
      <c r="L4570" s="352">
        <v>13.89</v>
      </c>
      <c r="M4570" s="352">
        <v>13.89</v>
      </c>
      <c r="N4570" s="354">
        <v>15459</v>
      </c>
      <c r="O4570" s="355">
        <v>0.15</v>
      </c>
      <c r="P4570" s="355"/>
      <c r="Q4570" s="354">
        <v>11170.13</v>
      </c>
      <c r="R4570" s="337" t="s">
        <v>2296</v>
      </c>
      <c r="S4570" s="356" t="s">
        <v>113</v>
      </c>
      <c r="T4570" s="346">
        <v>40</v>
      </c>
      <c r="U4570" s="357" t="s">
        <v>164</v>
      </c>
      <c r="V4570" s="434"/>
      <c r="X4570" s="354">
        <v>11170.13</v>
      </c>
      <c r="Y4570" s="354"/>
      <c r="AI4570" s="337">
        <f>X4570</f>
        <v>11170.13</v>
      </c>
      <c r="AJ4570" s="358"/>
      <c r="AK4570" s="369"/>
    </row>
    <row r="4571" spans="1:77" s="6" customFormat="1" ht="11.25" customHeight="1">
      <c r="B4571" s="6" t="s">
        <v>291</v>
      </c>
      <c r="C4571" s="4">
        <v>44798</v>
      </c>
      <c r="D4571" s="4">
        <v>44804</v>
      </c>
      <c r="E4571" s="5" t="s">
        <v>3684</v>
      </c>
      <c r="F4571" s="6" t="s">
        <v>3685</v>
      </c>
      <c r="G4571" s="148" t="s">
        <v>3686</v>
      </c>
      <c r="H4571" s="6" t="s">
        <v>814</v>
      </c>
      <c r="I4571" s="9" t="s">
        <v>888</v>
      </c>
      <c r="J4571" s="24">
        <v>10641.46</v>
      </c>
      <c r="K4571" s="9"/>
      <c r="L4571" s="24">
        <v>10.71</v>
      </c>
      <c r="M4571" s="24">
        <v>13.89</v>
      </c>
      <c r="N4571" s="8">
        <v>3192.4367999999999</v>
      </c>
      <c r="O4571" s="11">
        <v>0.25</v>
      </c>
      <c r="P4571" s="11"/>
      <c r="Q4571" s="8">
        <f>N4571-J4571*O4571</f>
        <v>532.07180000000017</v>
      </c>
      <c r="R4571" s="6" t="s">
        <v>285</v>
      </c>
      <c r="S4571" s="3" t="s">
        <v>275</v>
      </c>
      <c r="T4571" s="152">
        <v>21</v>
      </c>
      <c r="U4571" s="7"/>
      <c r="V4571" s="436"/>
      <c r="X4571" s="8"/>
      <c r="Y4571" s="8"/>
      <c r="AJ4571" s="80"/>
      <c r="AK4571" s="117"/>
      <c r="AL4571" s="117"/>
      <c r="AM4571" s="117"/>
      <c r="AN4571" s="117"/>
      <c r="AO4571" s="117"/>
      <c r="AP4571" s="117"/>
      <c r="AQ4571" s="117"/>
      <c r="AR4571" s="117"/>
      <c r="AS4571" s="117"/>
      <c r="AT4571" s="117"/>
      <c r="AU4571" s="117"/>
      <c r="AV4571" s="117"/>
      <c r="AW4571" s="117"/>
      <c r="AX4571" s="117"/>
      <c r="AY4571" s="117"/>
      <c r="AZ4571" s="117"/>
      <c r="BA4571" s="117"/>
      <c r="BB4571" s="117"/>
      <c r="BC4571" s="117"/>
      <c r="BD4571" s="117"/>
      <c r="BE4571" s="117"/>
      <c r="BF4571" s="117"/>
      <c r="BG4571" s="117"/>
      <c r="BH4571" s="117"/>
      <c r="BI4571" s="117"/>
      <c r="BJ4571" s="117"/>
      <c r="BK4571" s="117"/>
      <c r="BL4571" s="117"/>
      <c r="BM4571" s="117"/>
      <c r="BN4571" s="117"/>
      <c r="BO4571" s="117"/>
      <c r="BP4571" s="117"/>
      <c r="BQ4571" s="117"/>
      <c r="BR4571" s="117"/>
      <c r="BS4571" s="117"/>
      <c r="BT4571" s="117"/>
      <c r="BU4571" s="117"/>
      <c r="BV4571" s="117"/>
      <c r="BW4571" s="117"/>
      <c r="BX4571" s="117"/>
      <c r="BY4571" s="117"/>
    </row>
    <row r="4572" spans="1:77" s="394" customFormat="1" ht="12" customHeight="1">
      <c r="B4572" s="379" t="s">
        <v>291</v>
      </c>
      <c r="C4572" s="392">
        <v>44802</v>
      </c>
      <c r="D4572" s="392">
        <v>44804</v>
      </c>
      <c r="E4572" s="393" t="s">
        <v>3690</v>
      </c>
      <c r="F4572" s="417" t="s">
        <v>2958</v>
      </c>
      <c r="G4572" s="400" t="s">
        <v>2959</v>
      </c>
      <c r="H4572" s="379" t="s">
        <v>866</v>
      </c>
      <c r="I4572" s="394" t="s">
        <v>3619</v>
      </c>
      <c r="J4572" s="385">
        <v>12760.38</v>
      </c>
      <c r="L4572" s="395">
        <v>9.11</v>
      </c>
      <c r="M4572" s="395">
        <v>9.11</v>
      </c>
      <c r="N4572" s="396">
        <v>6671.12</v>
      </c>
      <c r="O4572" s="397">
        <v>0.15</v>
      </c>
      <c r="P4572" s="397"/>
      <c r="Q4572" s="396">
        <v>1439.33</v>
      </c>
      <c r="R4572" s="394" t="s">
        <v>112</v>
      </c>
      <c r="S4572" s="399" t="s">
        <v>113</v>
      </c>
      <c r="T4572" s="399">
        <v>64</v>
      </c>
      <c r="U4572" s="398" t="s">
        <v>164</v>
      </c>
      <c r="V4572" s="449">
        <v>273.3</v>
      </c>
      <c r="X4572" s="396">
        <v>1439.33</v>
      </c>
      <c r="Y4572" s="396"/>
      <c r="AI4572" s="379"/>
      <c r="AJ4572" s="395">
        <v>1439.33</v>
      </c>
    </row>
    <row r="4573" spans="1:77" s="303" customFormat="1" ht="12" customHeight="1">
      <c r="B4573" s="291" t="s">
        <v>291</v>
      </c>
      <c r="C4573" s="301">
        <v>44804</v>
      </c>
      <c r="D4573" s="301">
        <v>44804</v>
      </c>
      <c r="E4573" s="302" t="s">
        <v>3691</v>
      </c>
      <c r="F4573" s="303" t="s">
        <v>2477</v>
      </c>
      <c r="G4573" s="304">
        <v>4365</v>
      </c>
      <c r="H4573" s="303" t="s">
        <v>765</v>
      </c>
      <c r="I4573" s="303" t="s">
        <v>1296</v>
      </c>
      <c r="J4573" s="305">
        <v>11495.77</v>
      </c>
      <c r="L4573" s="305">
        <v>8.34</v>
      </c>
      <c r="M4573" s="305">
        <v>8.34</v>
      </c>
      <c r="N4573" s="306"/>
      <c r="O4573" s="307">
        <v>0.25</v>
      </c>
      <c r="P4573" s="307"/>
      <c r="Q4573" s="306">
        <v>0</v>
      </c>
      <c r="R4573" s="303" t="s">
        <v>281</v>
      </c>
      <c r="S4573" s="308" t="s">
        <v>228</v>
      </c>
      <c r="T4573" s="308">
        <v>58</v>
      </c>
      <c r="U4573" s="309" t="s">
        <v>164</v>
      </c>
      <c r="V4573" s="447"/>
      <c r="X4573" s="306">
        <v>0</v>
      </c>
      <c r="Y4573" s="297"/>
      <c r="AH4573" s="303">
        <f>X4573</f>
        <v>0</v>
      </c>
      <c r="AI4573" s="311"/>
      <c r="AJ4573" s="468"/>
    </row>
    <row r="4574" spans="1:77" s="341" customFormat="1" ht="12" customHeight="1">
      <c r="B4574" s="338" t="s">
        <v>291</v>
      </c>
      <c r="C4574" s="339">
        <v>44802</v>
      </c>
      <c r="D4574" s="339">
        <v>44804</v>
      </c>
      <c r="E4574" s="340" t="s">
        <v>3692</v>
      </c>
      <c r="F4574" s="337" t="s">
        <v>612</v>
      </c>
      <c r="G4574" s="342">
        <v>4556</v>
      </c>
      <c r="H4574" s="337" t="s">
        <v>866</v>
      </c>
      <c r="I4574" s="341" t="s">
        <v>1839</v>
      </c>
      <c r="J4574" s="343">
        <v>114420.18</v>
      </c>
      <c r="L4574" s="352">
        <v>61.22</v>
      </c>
      <c r="M4574" s="352">
        <v>61.22</v>
      </c>
      <c r="N4574" s="344"/>
      <c r="O4574" s="345">
        <v>0.3</v>
      </c>
      <c r="P4574" s="345"/>
      <c r="Q4574" s="344">
        <v>32388.33</v>
      </c>
      <c r="R4574" s="337" t="s">
        <v>149</v>
      </c>
      <c r="S4574" s="356" t="s">
        <v>150</v>
      </c>
      <c r="T4574" s="346">
        <v>40</v>
      </c>
      <c r="U4574" s="347" t="s">
        <v>164</v>
      </c>
      <c r="V4574" s="451">
        <v>1882.4</v>
      </c>
      <c r="X4574" s="344">
        <v>32388.33</v>
      </c>
      <c r="Y4574" s="344"/>
      <c r="AI4574" s="344">
        <v>32388.33</v>
      </c>
      <c r="AJ4574" s="358"/>
      <c r="AK4574" s="369"/>
      <c r="AL4574" s="337"/>
      <c r="AM4574" s="337"/>
      <c r="AN4574" s="337"/>
      <c r="AO4574" s="337"/>
      <c r="AP4574" s="337"/>
      <c r="AQ4574" s="337"/>
      <c r="AR4574" s="337"/>
      <c r="AS4574" s="337"/>
      <c r="AT4574" s="337"/>
      <c r="AU4574" s="337"/>
      <c r="AV4574" s="337"/>
      <c r="AW4574" s="337"/>
      <c r="AX4574" s="337"/>
      <c r="AY4574" s="337"/>
      <c r="AZ4574" s="337"/>
      <c r="BA4574" s="337"/>
      <c r="BB4574" s="337"/>
      <c r="BC4574" s="337"/>
      <c r="BD4574" s="337"/>
      <c r="BE4574" s="337"/>
      <c r="BF4574" s="337"/>
      <c r="BG4574" s="337"/>
      <c r="BH4574" s="337"/>
      <c r="BI4574" s="337"/>
      <c r="BJ4574" s="337"/>
      <c r="BK4574" s="337"/>
      <c r="BL4574" s="337"/>
      <c r="BM4574" s="337"/>
      <c r="BN4574" s="337"/>
      <c r="BO4574" s="337"/>
      <c r="BP4574" s="337"/>
      <c r="BQ4574" s="337"/>
      <c r="BR4574" s="337"/>
      <c r="BS4574" s="337"/>
      <c r="BT4574" s="337"/>
      <c r="BU4574" s="337"/>
      <c r="BV4574" s="337"/>
      <c r="BW4574" s="337"/>
      <c r="BX4574" s="337"/>
      <c r="BY4574" s="337"/>
    </row>
    <row r="4575" spans="1:77" s="394" customFormat="1" ht="12" customHeight="1">
      <c r="B4575" s="406" t="s">
        <v>291</v>
      </c>
      <c r="C4575" s="392">
        <v>44802</v>
      </c>
      <c r="D4575" s="392">
        <v>44804</v>
      </c>
      <c r="E4575" s="393" t="s">
        <v>3693</v>
      </c>
      <c r="F4575" s="394" t="s">
        <v>2832</v>
      </c>
      <c r="G4575" s="400" t="s">
        <v>1452</v>
      </c>
      <c r="H4575" s="394" t="s">
        <v>2171</v>
      </c>
      <c r="I4575" s="394" t="s">
        <v>699</v>
      </c>
      <c r="J4575" s="395">
        <v>48020</v>
      </c>
      <c r="L4575" s="395">
        <v>24.5</v>
      </c>
      <c r="M4575" s="395">
        <v>24.5</v>
      </c>
      <c r="N4575" s="396">
        <v>34574.400000000001</v>
      </c>
      <c r="O4575" s="397">
        <v>0.15</v>
      </c>
      <c r="P4575" s="397"/>
      <c r="Q4575" s="396">
        <v>30915.4</v>
      </c>
      <c r="R4575" s="394" t="s">
        <v>112</v>
      </c>
      <c r="S4575" s="399" t="s">
        <v>113</v>
      </c>
      <c r="T4575" s="399">
        <v>64</v>
      </c>
      <c r="U4575" s="398" t="s">
        <v>164</v>
      </c>
      <c r="V4575" s="449">
        <v>1169</v>
      </c>
      <c r="X4575" s="396">
        <v>30915.4</v>
      </c>
      <c r="Y4575" s="396"/>
      <c r="AI4575" s="379"/>
      <c r="AJ4575" s="395">
        <v>30915.4</v>
      </c>
    </row>
    <row r="4576" spans="1:77" s="394" customFormat="1" ht="12" customHeight="1">
      <c r="B4576" s="406" t="s">
        <v>291</v>
      </c>
      <c r="C4576" s="392"/>
      <c r="D4576" s="392"/>
      <c r="E4576" s="393" t="s">
        <v>3693</v>
      </c>
      <c r="F4576" s="394" t="s">
        <v>2832</v>
      </c>
      <c r="G4576" s="400" t="s">
        <v>1452</v>
      </c>
      <c r="H4576" s="394" t="s">
        <v>2267</v>
      </c>
      <c r="I4576" s="394" t="s">
        <v>699</v>
      </c>
      <c r="J4576" s="395">
        <v>65884</v>
      </c>
      <c r="L4576" s="395">
        <v>26</v>
      </c>
      <c r="M4576" s="395">
        <v>26</v>
      </c>
      <c r="N4576" s="396">
        <v>9882.6</v>
      </c>
      <c r="O4576" s="397">
        <v>0.15</v>
      </c>
      <c r="P4576" s="397"/>
      <c r="Q4576" s="396">
        <v>4436.76</v>
      </c>
      <c r="R4576" s="394" t="s">
        <v>112</v>
      </c>
      <c r="S4576" s="399" t="s">
        <v>113</v>
      </c>
      <c r="T4576" s="399">
        <v>64</v>
      </c>
      <c r="U4576" s="398" t="s">
        <v>164</v>
      </c>
      <c r="V4576" s="449">
        <v>884.4</v>
      </c>
      <c r="X4576" s="396">
        <v>4436.76</v>
      </c>
      <c r="Y4576" s="396"/>
      <c r="AI4576" s="379"/>
      <c r="AJ4576" s="395">
        <v>4436.76</v>
      </c>
    </row>
    <row r="4577" spans="1:77" s="341" customFormat="1" ht="12" customHeight="1">
      <c r="B4577" s="367" t="s">
        <v>291</v>
      </c>
      <c r="C4577" s="339"/>
      <c r="D4577" s="339"/>
      <c r="E4577" s="340" t="s">
        <v>3693</v>
      </c>
      <c r="F4577" s="341" t="s">
        <v>2832</v>
      </c>
      <c r="G4577" s="342" t="s">
        <v>1452</v>
      </c>
      <c r="H4577" s="341" t="s">
        <v>814</v>
      </c>
      <c r="I4577" s="341" t="s">
        <v>699</v>
      </c>
      <c r="J4577" s="343">
        <v>20054.89</v>
      </c>
      <c r="L4577" s="343">
        <v>12</v>
      </c>
      <c r="M4577" s="343">
        <v>12</v>
      </c>
      <c r="N4577" s="344">
        <v>11030.18</v>
      </c>
      <c r="O4577" s="345">
        <v>0.15</v>
      </c>
      <c r="P4577" s="345"/>
      <c r="Q4577" s="344">
        <v>0</v>
      </c>
      <c r="R4577" s="341" t="s">
        <v>112</v>
      </c>
      <c r="S4577" s="346" t="s">
        <v>113</v>
      </c>
      <c r="T4577" s="346">
        <v>64</v>
      </c>
      <c r="U4577" s="347" t="s">
        <v>164</v>
      </c>
      <c r="V4577" s="451"/>
      <c r="X4577" s="344">
        <v>0</v>
      </c>
      <c r="Y4577" s="344"/>
      <c r="AI4577" s="337">
        <v>0</v>
      </c>
      <c r="AJ4577" s="358"/>
      <c r="AK4577" s="369"/>
    </row>
    <row r="4578" spans="1:77" s="341" customFormat="1" ht="12" customHeight="1">
      <c r="B4578" s="367" t="s">
        <v>291</v>
      </c>
      <c r="C4578" s="339">
        <v>44801</v>
      </c>
      <c r="D4578" s="339">
        <v>44804</v>
      </c>
      <c r="E4578" s="340" t="s">
        <v>3694</v>
      </c>
      <c r="F4578" s="341" t="s">
        <v>3695</v>
      </c>
      <c r="G4578" s="342">
        <v>4217</v>
      </c>
      <c r="H4578" s="341" t="s">
        <v>866</v>
      </c>
      <c r="I4578" s="341" t="s">
        <v>888</v>
      </c>
      <c r="J4578" s="343">
        <v>3193.25</v>
      </c>
      <c r="L4578" s="343">
        <v>2.34</v>
      </c>
      <c r="M4578" s="343">
        <v>2.34</v>
      </c>
      <c r="N4578" s="344">
        <v>1979.81</v>
      </c>
      <c r="O4578" s="345">
        <v>0.2</v>
      </c>
      <c r="P4578" s="345"/>
      <c r="Q4578" s="344">
        <v>1330.19</v>
      </c>
      <c r="R4578" s="341" t="s">
        <v>1407</v>
      </c>
      <c r="S4578" s="346" t="s">
        <v>3078</v>
      </c>
      <c r="T4578" s="346">
        <v>24</v>
      </c>
      <c r="U4578" s="347" t="s">
        <v>164</v>
      </c>
      <c r="V4578" s="451"/>
      <c r="X4578" s="344">
        <v>1330.19</v>
      </c>
      <c r="Y4578" s="344"/>
      <c r="AI4578" s="344">
        <v>1330.19</v>
      </c>
      <c r="AJ4578" s="358"/>
      <c r="AK4578" s="369"/>
      <c r="AL4578" s="337"/>
      <c r="AM4578" s="337"/>
      <c r="AN4578" s="337"/>
      <c r="AO4578" s="337"/>
      <c r="AP4578" s="337"/>
      <c r="AQ4578" s="337"/>
      <c r="AR4578" s="337"/>
      <c r="AS4578" s="337"/>
      <c r="AT4578" s="337"/>
      <c r="AU4578" s="337"/>
      <c r="AV4578" s="337"/>
      <c r="AW4578" s="337"/>
      <c r="AX4578" s="337"/>
      <c r="AY4578" s="337"/>
      <c r="AZ4578" s="337"/>
      <c r="BA4578" s="337"/>
      <c r="BB4578" s="337"/>
      <c r="BC4578" s="337"/>
      <c r="BD4578" s="337"/>
      <c r="BE4578" s="337"/>
      <c r="BF4578" s="337"/>
      <c r="BG4578" s="337"/>
      <c r="BH4578" s="337"/>
      <c r="BI4578" s="337"/>
      <c r="BJ4578" s="337"/>
      <c r="BK4578" s="337"/>
      <c r="BL4578" s="337"/>
      <c r="BM4578" s="337"/>
      <c r="BN4578" s="337"/>
      <c r="BO4578" s="337"/>
      <c r="BP4578" s="337"/>
      <c r="BQ4578" s="337"/>
      <c r="BR4578" s="337"/>
      <c r="BS4578" s="337"/>
      <c r="BT4578" s="337"/>
      <c r="BU4578" s="337"/>
      <c r="BV4578" s="337"/>
      <c r="BW4578" s="337"/>
      <c r="BX4578" s="337"/>
      <c r="BY4578" s="337"/>
    </row>
    <row r="4579" spans="1:77" s="341" customFormat="1" ht="12" customHeight="1">
      <c r="B4579" s="367" t="s">
        <v>291</v>
      </c>
      <c r="C4579" s="339"/>
      <c r="D4579" s="339"/>
      <c r="E4579" s="340" t="s">
        <v>3694</v>
      </c>
      <c r="F4579" s="341" t="s">
        <v>3695</v>
      </c>
      <c r="G4579" s="342">
        <v>4217</v>
      </c>
      <c r="H4579" s="341" t="s">
        <v>1141</v>
      </c>
      <c r="I4579" s="341" t="s">
        <v>888</v>
      </c>
      <c r="J4579" s="343">
        <v>9972.35</v>
      </c>
      <c r="L4579" s="343">
        <v>9.5500000000000007</v>
      </c>
      <c r="M4579" s="343">
        <v>9.5500000000000007</v>
      </c>
      <c r="N4579" s="344">
        <v>4936.38</v>
      </c>
      <c r="O4579" s="345">
        <v>0.2</v>
      </c>
      <c r="P4579" s="345"/>
      <c r="Q4579" s="344">
        <v>2949.8</v>
      </c>
      <c r="R4579" s="341" t="s">
        <v>1407</v>
      </c>
      <c r="S4579" s="346" t="s">
        <v>3078</v>
      </c>
      <c r="T4579" s="346">
        <v>24</v>
      </c>
      <c r="U4579" s="347" t="s">
        <v>164</v>
      </c>
      <c r="V4579" s="451"/>
      <c r="X4579" s="344">
        <v>2949.8</v>
      </c>
      <c r="Y4579" s="344"/>
      <c r="AI4579" s="344">
        <v>2949.8</v>
      </c>
      <c r="AJ4579" s="358"/>
      <c r="AK4579" s="369"/>
      <c r="AL4579" s="337"/>
      <c r="AM4579" s="337"/>
      <c r="AN4579" s="337"/>
      <c r="AO4579" s="337"/>
      <c r="AP4579" s="337"/>
      <c r="AQ4579" s="337"/>
      <c r="AR4579" s="337"/>
      <c r="AS4579" s="337"/>
      <c r="AT4579" s="337"/>
      <c r="AU4579" s="337"/>
      <c r="AV4579" s="337"/>
      <c r="AW4579" s="337"/>
      <c r="AX4579" s="337"/>
      <c r="AY4579" s="337"/>
      <c r="AZ4579" s="337"/>
      <c r="BA4579" s="337"/>
      <c r="BB4579" s="337"/>
      <c r="BC4579" s="337"/>
      <c r="BD4579" s="337"/>
      <c r="BE4579" s="337"/>
      <c r="BF4579" s="337"/>
      <c r="BG4579" s="337"/>
      <c r="BH4579" s="337"/>
      <c r="BI4579" s="337"/>
      <c r="BJ4579" s="337"/>
      <c r="BK4579" s="337"/>
      <c r="BL4579" s="337"/>
      <c r="BM4579" s="337"/>
      <c r="BN4579" s="337"/>
      <c r="BO4579" s="337"/>
      <c r="BP4579" s="337"/>
      <c r="BQ4579" s="337"/>
      <c r="BR4579" s="337"/>
      <c r="BS4579" s="337"/>
      <c r="BT4579" s="337"/>
      <c r="BU4579" s="337"/>
      <c r="BV4579" s="337"/>
      <c r="BW4579" s="337"/>
      <c r="BX4579" s="337"/>
      <c r="BY4579" s="337"/>
    </row>
    <row r="4580" spans="1:77" s="341" customFormat="1" ht="12" customHeight="1">
      <c r="B4580" s="367" t="s">
        <v>290</v>
      </c>
      <c r="C4580" s="339">
        <v>44802</v>
      </c>
      <c r="D4580" s="339">
        <v>44803</v>
      </c>
      <c r="E4580" s="340" t="s">
        <v>3696</v>
      </c>
      <c r="F4580" s="341" t="s">
        <v>3697</v>
      </c>
      <c r="G4580" s="342" t="s">
        <v>3698</v>
      </c>
      <c r="H4580" s="341" t="s">
        <v>866</v>
      </c>
      <c r="I4580" s="341" t="s">
        <v>3624</v>
      </c>
      <c r="J4580" s="343">
        <v>56751.7</v>
      </c>
      <c r="L4580" s="343">
        <v>24.65</v>
      </c>
      <c r="M4580" s="343">
        <v>21</v>
      </c>
      <c r="N4580" s="344"/>
      <c r="O4580" s="378">
        <v>0.1</v>
      </c>
      <c r="P4580" s="345"/>
      <c r="Q4580" s="344">
        <v>5911.68</v>
      </c>
      <c r="R4580" s="341" t="s">
        <v>251</v>
      </c>
      <c r="S4580" s="346" t="s">
        <v>113</v>
      </c>
      <c r="T4580" s="346">
        <v>40</v>
      </c>
      <c r="U4580" s="347" t="s">
        <v>164</v>
      </c>
      <c r="V4580" s="451"/>
      <c r="X4580" s="344">
        <v>5911.68</v>
      </c>
      <c r="Y4580" s="344"/>
      <c r="AI4580" s="344">
        <v>5911.68</v>
      </c>
      <c r="AJ4580" s="358"/>
      <c r="AK4580" s="369"/>
    </row>
    <row r="4581" spans="1:77" s="341" customFormat="1" ht="12" customHeight="1">
      <c r="B4581" s="367" t="s">
        <v>290</v>
      </c>
      <c r="C4581" s="339"/>
      <c r="D4581" s="339"/>
      <c r="E4581" s="340" t="s">
        <v>3696</v>
      </c>
      <c r="F4581" s="341" t="s">
        <v>3697</v>
      </c>
      <c r="G4581" s="342" t="s">
        <v>3698</v>
      </c>
      <c r="H4581" s="341" t="s">
        <v>910</v>
      </c>
      <c r="I4581" s="341" t="s">
        <v>3624</v>
      </c>
      <c r="J4581" s="343">
        <v>79115.399999999994</v>
      </c>
      <c r="L4581" s="343">
        <v>33.6</v>
      </c>
      <c r="M4581" s="343">
        <v>20</v>
      </c>
      <c r="N4581" s="344"/>
      <c r="O4581" s="378">
        <v>0.1</v>
      </c>
      <c r="P4581" s="345"/>
      <c r="Q4581" s="344">
        <v>768</v>
      </c>
      <c r="R4581" s="341" t="s">
        <v>251</v>
      </c>
      <c r="S4581" s="346" t="s">
        <v>113</v>
      </c>
      <c r="T4581" s="346">
        <v>40</v>
      </c>
      <c r="U4581" s="347" t="s">
        <v>164</v>
      </c>
      <c r="V4581" s="451"/>
      <c r="X4581" s="344">
        <v>768</v>
      </c>
      <c r="Y4581" s="344"/>
      <c r="AI4581" s="344">
        <v>768</v>
      </c>
      <c r="AJ4581" s="358"/>
      <c r="AK4581" s="369"/>
    </row>
    <row r="4582" spans="1:77" s="303" customFormat="1" ht="12" customHeight="1">
      <c r="B4582" s="310" t="s">
        <v>291</v>
      </c>
      <c r="C4582" s="301">
        <v>44802</v>
      </c>
      <c r="D4582" s="301">
        <v>44804</v>
      </c>
      <c r="E4582" s="302" t="s">
        <v>3699</v>
      </c>
      <c r="F4582" s="291" t="s">
        <v>2896</v>
      </c>
      <c r="G4582" s="304" t="s">
        <v>2897</v>
      </c>
      <c r="H4582" s="303" t="s">
        <v>866</v>
      </c>
      <c r="I4582" s="303" t="s">
        <v>699</v>
      </c>
      <c r="J4582" s="305">
        <v>120003.91</v>
      </c>
      <c r="L4582" s="305">
        <v>66.61</v>
      </c>
      <c r="M4582" s="305">
        <v>66.61</v>
      </c>
      <c r="N4582" s="306"/>
      <c r="O4582" s="307">
        <v>0.15</v>
      </c>
      <c r="P4582" s="307"/>
      <c r="Q4582" s="306">
        <v>0</v>
      </c>
      <c r="R4582" s="291" t="s">
        <v>2296</v>
      </c>
      <c r="S4582" s="299" t="s">
        <v>113</v>
      </c>
      <c r="T4582" s="308">
        <v>64</v>
      </c>
      <c r="U4582" s="309" t="s">
        <v>164</v>
      </c>
      <c r="V4582" s="447"/>
      <c r="X4582" s="306">
        <v>0</v>
      </c>
      <c r="Y4582" s="306"/>
      <c r="AH4582" s="311">
        <f>X4582</f>
        <v>0</v>
      </c>
      <c r="AI4582" s="311"/>
      <c r="AJ4582" s="468"/>
    </row>
    <row r="4583" spans="1:77" s="303" customFormat="1" ht="12" customHeight="1">
      <c r="B4583" s="310" t="s">
        <v>291</v>
      </c>
      <c r="C4583" s="301"/>
      <c r="D4583" s="301"/>
      <c r="E4583" s="302" t="s">
        <v>3699</v>
      </c>
      <c r="F4583" s="291" t="s">
        <v>2896</v>
      </c>
      <c r="G4583" s="304" t="s">
        <v>2897</v>
      </c>
      <c r="H4583" s="303" t="s">
        <v>866</v>
      </c>
      <c r="I4583" s="303" t="s">
        <v>699</v>
      </c>
      <c r="J4583" s="305">
        <v>33761.800000000003</v>
      </c>
      <c r="L4583" s="305">
        <v>18.739999999999998</v>
      </c>
      <c r="M4583" s="305">
        <v>18.739999999999998</v>
      </c>
      <c r="N4583" s="306"/>
      <c r="O4583" s="307">
        <v>0.15</v>
      </c>
      <c r="P4583" s="307"/>
      <c r="Q4583" s="306">
        <v>66212.69</v>
      </c>
      <c r="R4583" s="291" t="s">
        <v>2296</v>
      </c>
      <c r="S4583" s="299" t="s">
        <v>113</v>
      </c>
      <c r="T4583" s="308">
        <v>40</v>
      </c>
      <c r="U4583" s="309" t="s">
        <v>164</v>
      </c>
      <c r="V4583" s="447"/>
      <c r="X4583" s="306">
        <v>66212.69</v>
      </c>
      <c r="Y4583" s="306"/>
      <c r="AH4583" s="311">
        <f>X4583</f>
        <v>66212.69</v>
      </c>
      <c r="AI4583" s="311"/>
      <c r="AJ4583" s="468"/>
    </row>
    <row r="4584" spans="1:77" s="303" customFormat="1" ht="12" customHeight="1">
      <c r="A4584" s="303" t="s">
        <v>3893</v>
      </c>
      <c r="B4584" s="310" t="s">
        <v>291</v>
      </c>
      <c r="C4584" s="301">
        <v>44802</v>
      </c>
      <c r="D4584" s="301">
        <v>44805</v>
      </c>
      <c r="E4584" s="302" t="s">
        <v>3700</v>
      </c>
      <c r="F4584" s="291" t="s">
        <v>1005</v>
      </c>
      <c r="G4584" s="304" t="s">
        <v>1006</v>
      </c>
      <c r="H4584" s="303" t="s">
        <v>866</v>
      </c>
      <c r="I4584" s="303" t="s">
        <v>699</v>
      </c>
      <c r="J4584" s="305">
        <v>76692.56</v>
      </c>
      <c r="L4584" s="305">
        <v>38.11</v>
      </c>
      <c r="M4584" s="305">
        <v>38.11</v>
      </c>
      <c r="N4584" s="306"/>
      <c r="O4584" s="307">
        <v>0.2</v>
      </c>
      <c r="P4584" s="307"/>
      <c r="Q4584" s="306">
        <v>38519.410000000003</v>
      </c>
      <c r="R4584" s="303" t="s">
        <v>1007</v>
      </c>
      <c r="S4584" s="299" t="s">
        <v>113</v>
      </c>
      <c r="T4584" s="308">
        <v>40</v>
      </c>
      <c r="U4584" s="309" t="s">
        <v>164</v>
      </c>
      <c r="V4584" s="447"/>
      <c r="X4584" s="306">
        <v>38519.410000000003</v>
      </c>
      <c r="Y4584" s="306"/>
      <c r="AH4584" s="306">
        <f>X4584</f>
        <v>38519.410000000003</v>
      </c>
      <c r="AI4584" s="311"/>
      <c r="AJ4584" s="468"/>
    </row>
    <row r="4585" spans="1:77" s="303" customFormat="1" ht="12" customHeight="1">
      <c r="A4585" s="303" t="s">
        <v>3893</v>
      </c>
      <c r="B4585" s="310" t="s">
        <v>291</v>
      </c>
      <c r="C4585" s="301"/>
      <c r="D4585" s="301"/>
      <c r="E4585" s="302" t="s">
        <v>3700</v>
      </c>
      <c r="F4585" s="291" t="s">
        <v>1005</v>
      </c>
      <c r="G4585" s="304" t="s">
        <v>1006</v>
      </c>
      <c r="H4585" s="291" t="s">
        <v>1164</v>
      </c>
      <c r="I4585" s="303" t="s">
        <v>699</v>
      </c>
      <c r="J4585" s="305">
        <v>80316</v>
      </c>
      <c r="L4585" s="305">
        <v>19.399999999999999</v>
      </c>
      <c r="M4585" s="305">
        <v>19.399999999999999</v>
      </c>
      <c r="N4585" s="306"/>
      <c r="O4585" s="307">
        <v>0.2</v>
      </c>
      <c r="P4585" s="307"/>
      <c r="Q4585" s="306">
        <v>5936.4</v>
      </c>
      <c r="R4585" s="303" t="s">
        <v>1007</v>
      </c>
      <c r="S4585" s="299" t="s">
        <v>113</v>
      </c>
      <c r="T4585" s="308">
        <v>40</v>
      </c>
      <c r="U4585" s="309" t="s">
        <v>164</v>
      </c>
      <c r="V4585" s="447"/>
      <c r="X4585" s="306">
        <v>5936.4</v>
      </c>
      <c r="Y4585" s="306"/>
      <c r="AH4585" s="306">
        <f>X4585</f>
        <v>5936.4</v>
      </c>
      <c r="AI4585" s="311"/>
      <c r="AJ4585" s="468"/>
    </row>
    <row r="4586" spans="1:77" s="117" customFormat="1" ht="12" customHeight="1">
      <c r="A4586" s="394"/>
      <c r="B4586" s="379" t="s">
        <v>291</v>
      </c>
      <c r="C4586" s="392">
        <v>44803</v>
      </c>
      <c r="D4586" s="392">
        <v>44805</v>
      </c>
      <c r="E4586" s="393" t="s">
        <v>3701</v>
      </c>
      <c r="F4586" s="379" t="s">
        <v>3038</v>
      </c>
      <c r="G4586" s="400" t="s">
        <v>3039</v>
      </c>
      <c r="H4586" s="394" t="s">
        <v>910</v>
      </c>
      <c r="I4586" s="394" t="s">
        <v>699</v>
      </c>
      <c r="J4586" s="395">
        <v>55332</v>
      </c>
      <c r="K4586" s="394"/>
      <c r="L4586" s="395">
        <v>26.5</v>
      </c>
      <c r="M4586" s="395">
        <v>4</v>
      </c>
      <c r="N4586" s="396">
        <v>1588.03</v>
      </c>
      <c r="O4586" s="397">
        <v>0.25</v>
      </c>
      <c r="P4586" s="397"/>
      <c r="Q4586" s="396">
        <v>387.9</v>
      </c>
      <c r="R4586" s="379" t="s">
        <v>112</v>
      </c>
      <c r="S4586" s="388" t="s">
        <v>113</v>
      </c>
      <c r="T4586" s="399">
        <v>64</v>
      </c>
      <c r="U4586" s="398" t="s">
        <v>164</v>
      </c>
      <c r="V4586" s="449"/>
      <c r="W4586" s="394"/>
      <c r="X4586" s="396">
        <v>387.9</v>
      </c>
      <c r="Y4586" s="396"/>
      <c r="Z4586" s="394"/>
      <c r="AA4586" s="394"/>
      <c r="AB4586" s="394"/>
      <c r="AC4586" s="394"/>
      <c r="AD4586" s="394"/>
      <c r="AE4586" s="394"/>
      <c r="AF4586" s="394"/>
      <c r="AG4586" s="394"/>
      <c r="AH4586" s="394"/>
      <c r="AI4586" s="394"/>
      <c r="AJ4586" s="395">
        <v>387.9</v>
      </c>
      <c r="AK4586" s="394"/>
      <c r="AL4586" s="394"/>
      <c r="AM4586" s="394"/>
      <c r="AN4586" s="394"/>
      <c r="AO4586" s="394"/>
      <c r="AP4586" s="394"/>
      <c r="AQ4586" s="394"/>
      <c r="AR4586" s="394"/>
      <c r="AS4586" s="394"/>
      <c r="AT4586" s="394"/>
      <c r="AU4586" s="394"/>
      <c r="AV4586" s="394"/>
      <c r="AW4586" s="394"/>
      <c r="AX4586" s="394"/>
      <c r="AY4586" s="394"/>
      <c r="AZ4586" s="394"/>
      <c r="BA4586" s="394"/>
      <c r="BB4586" s="394"/>
      <c r="BC4586" s="394"/>
      <c r="BD4586" s="394"/>
      <c r="BE4586" s="394"/>
      <c r="BF4586" s="394"/>
      <c r="BG4586" s="394"/>
      <c r="BH4586" s="394"/>
      <c r="BI4586" s="394"/>
      <c r="BJ4586" s="394"/>
      <c r="BK4586" s="394"/>
      <c r="BL4586" s="394"/>
      <c r="BM4586" s="394"/>
      <c r="BN4586" s="394"/>
      <c r="BO4586" s="394"/>
      <c r="BP4586" s="394"/>
      <c r="BQ4586" s="394"/>
      <c r="BR4586" s="394"/>
      <c r="BS4586" s="394"/>
      <c r="BT4586" s="394"/>
      <c r="BU4586" s="394"/>
      <c r="BV4586" s="394"/>
      <c r="BW4586" s="394"/>
      <c r="BX4586" s="394"/>
      <c r="BY4586" s="394"/>
    </row>
    <row r="4587" spans="1:77" s="117" customFormat="1" ht="12" customHeight="1">
      <c r="A4587" s="394"/>
      <c r="B4587" s="379" t="s">
        <v>291</v>
      </c>
      <c r="C4587" s="392"/>
      <c r="D4587" s="392"/>
      <c r="E4587" s="393" t="s">
        <v>3701</v>
      </c>
      <c r="F4587" s="379" t="s">
        <v>3038</v>
      </c>
      <c r="G4587" s="400" t="s">
        <v>3039</v>
      </c>
      <c r="H4587" s="394" t="s">
        <v>2171</v>
      </c>
      <c r="I4587" s="394" t="s">
        <v>699</v>
      </c>
      <c r="J4587" s="395">
        <v>41829.21</v>
      </c>
      <c r="K4587" s="394"/>
      <c r="L4587" s="395">
        <v>22.85</v>
      </c>
      <c r="M4587" s="395">
        <v>12</v>
      </c>
      <c r="N4587" s="396">
        <f>4409.92+4356.83+7688.52+9659.16</f>
        <v>26114.43</v>
      </c>
      <c r="O4587" s="397">
        <v>0.25</v>
      </c>
      <c r="P4587" s="397"/>
      <c r="Q4587" s="396">
        <v>0</v>
      </c>
      <c r="R4587" s="379" t="s">
        <v>112</v>
      </c>
      <c r="S4587" s="388" t="s">
        <v>113</v>
      </c>
      <c r="T4587" s="399">
        <v>64</v>
      </c>
      <c r="U4587" s="398" t="s">
        <v>164</v>
      </c>
      <c r="V4587" s="449"/>
      <c r="W4587" s="394"/>
      <c r="X4587" s="396">
        <v>0</v>
      </c>
      <c r="Y4587" s="396"/>
      <c r="Z4587" s="394"/>
      <c r="AA4587" s="394"/>
      <c r="AB4587" s="394"/>
      <c r="AC4587" s="394"/>
      <c r="AD4587" s="394"/>
      <c r="AE4587" s="394"/>
      <c r="AF4587" s="394"/>
      <c r="AG4587" s="394"/>
      <c r="AH4587" s="394"/>
      <c r="AI4587" s="394"/>
      <c r="AJ4587" s="390">
        <v>0</v>
      </c>
      <c r="AK4587" s="394"/>
      <c r="AL4587" s="394"/>
      <c r="AM4587" s="394"/>
      <c r="AN4587" s="394"/>
      <c r="AO4587" s="394"/>
      <c r="AP4587" s="394"/>
      <c r="AQ4587" s="394"/>
      <c r="AR4587" s="394"/>
      <c r="AS4587" s="394"/>
      <c r="AT4587" s="394"/>
      <c r="AU4587" s="394"/>
      <c r="AV4587" s="394"/>
      <c r="AW4587" s="394"/>
      <c r="AX4587" s="394"/>
      <c r="AY4587" s="394"/>
      <c r="AZ4587" s="394"/>
      <c r="BA4587" s="394"/>
      <c r="BB4587" s="394"/>
      <c r="BC4587" s="394"/>
      <c r="BD4587" s="394"/>
      <c r="BE4587" s="394"/>
      <c r="BF4587" s="394"/>
      <c r="BG4587" s="394"/>
      <c r="BH4587" s="394"/>
      <c r="BI4587" s="394"/>
      <c r="BJ4587" s="394"/>
      <c r="BK4587" s="394"/>
      <c r="BL4587" s="394"/>
      <c r="BM4587" s="394"/>
      <c r="BN4587" s="394"/>
      <c r="BO4587" s="394"/>
      <c r="BP4587" s="394"/>
      <c r="BQ4587" s="394"/>
      <c r="BR4587" s="394"/>
      <c r="BS4587" s="394"/>
      <c r="BT4587" s="394"/>
      <c r="BU4587" s="394"/>
      <c r="BV4587" s="394"/>
      <c r="BW4587" s="394"/>
      <c r="BX4587" s="394"/>
      <c r="BY4587" s="394"/>
    </row>
    <row r="4588" spans="1:77" s="394" customFormat="1" ht="12" customHeight="1">
      <c r="B4588" s="379" t="s">
        <v>291</v>
      </c>
      <c r="C4588" s="392">
        <v>44802</v>
      </c>
      <c r="D4588" s="392">
        <v>44805</v>
      </c>
      <c r="E4588" s="393" t="s">
        <v>3702</v>
      </c>
      <c r="F4588" s="394" t="s">
        <v>1848</v>
      </c>
      <c r="G4588" s="400" t="s">
        <v>1849</v>
      </c>
      <c r="H4588" s="394" t="s">
        <v>910</v>
      </c>
      <c r="I4588" s="394" t="s">
        <v>1839</v>
      </c>
      <c r="J4588" s="395">
        <v>165974.9</v>
      </c>
      <c r="L4588" s="395">
        <v>61</v>
      </c>
      <c r="M4588" s="395">
        <v>61</v>
      </c>
      <c r="N4588" s="396"/>
      <c r="O4588" s="397">
        <v>0.15</v>
      </c>
      <c r="P4588" s="397"/>
      <c r="Q4588" s="396">
        <v>0</v>
      </c>
      <c r="R4588" s="379" t="s">
        <v>149</v>
      </c>
      <c r="S4588" s="388" t="s">
        <v>113</v>
      </c>
      <c r="T4588" s="399">
        <v>40</v>
      </c>
      <c r="U4588" s="398" t="s">
        <v>164</v>
      </c>
      <c r="V4588" s="449"/>
      <c r="X4588" s="396">
        <v>0</v>
      </c>
      <c r="Y4588" s="396"/>
      <c r="AJ4588" s="390">
        <v>0</v>
      </c>
    </row>
    <row r="4589" spans="1:77" s="117" customFormat="1" ht="12" customHeight="1">
      <c r="A4589" s="394"/>
      <c r="B4589" s="379" t="s">
        <v>291</v>
      </c>
      <c r="C4589" s="392"/>
      <c r="D4589" s="392"/>
      <c r="E4589" s="393" t="s">
        <v>3702</v>
      </c>
      <c r="F4589" s="394" t="s">
        <v>1848</v>
      </c>
      <c r="G4589" s="400" t="s">
        <v>1849</v>
      </c>
      <c r="H4589" s="394" t="s">
        <v>866</v>
      </c>
      <c r="I4589" s="394" t="s">
        <v>1839</v>
      </c>
      <c r="J4589" s="395">
        <v>154660</v>
      </c>
      <c r="K4589" s="394"/>
      <c r="L4589" s="395">
        <v>74</v>
      </c>
      <c r="M4589" s="395">
        <v>74</v>
      </c>
      <c r="N4589" s="396"/>
      <c r="O4589" s="397">
        <v>0.15</v>
      </c>
      <c r="P4589" s="397"/>
      <c r="Q4589" s="396">
        <v>0</v>
      </c>
      <c r="R4589" s="379" t="s">
        <v>149</v>
      </c>
      <c r="S4589" s="388" t="s">
        <v>113</v>
      </c>
      <c r="T4589" s="399">
        <v>40</v>
      </c>
      <c r="U4589" s="398" t="s">
        <v>164</v>
      </c>
      <c r="V4589" s="449"/>
      <c r="W4589" s="394"/>
      <c r="X4589" s="396">
        <v>0</v>
      </c>
      <c r="Y4589" s="396"/>
      <c r="Z4589" s="394"/>
      <c r="AA4589" s="394"/>
      <c r="AB4589" s="394"/>
      <c r="AC4589" s="394"/>
      <c r="AD4589" s="394"/>
      <c r="AE4589" s="394"/>
      <c r="AF4589" s="394"/>
      <c r="AG4589" s="394"/>
      <c r="AH4589" s="394"/>
      <c r="AI4589" s="394"/>
      <c r="AJ4589" s="390">
        <v>0</v>
      </c>
      <c r="AK4589" s="394"/>
      <c r="AL4589" s="394"/>
      <c r="AM4589" s="394"/>
      <c r="AN4589" s="394"/>
      <c r="AO4589" s="394"/>
      <c r="AP4589" s="394"/>
      <c r="AQ4589" s="394"/>
      <c r="AR4589" s="394"/>
      <c r="AS4589" s="394"/>
      <c r="AT4589" s="394"/>
      <c r="AU4589" s="394"/>
      <c r="AV4589" s="394"/>
      <c r="AW4589" s="394"/>
      <c r="AX4589" s="394"/>
      <c r="AY4589" s="394"/>
      <c r="AZ4589" s="394"/>
      <c r="BA4589" s="394"/>
      <c r="BB4589" s="394"/>
      <c r="BC4589" s="394"/>
      <c r="BD4589" s="394"/>
      <c r="BE4589" s="394"/>
      <c r="BF4589" s="394"/>
      <c r="BG4589" s="394"/>
      <c r="BH4589" s="394"/>
      <c r="BI4589" s="394"/>
      <c r="BJ4589" s="394"/>
      <c r="BK4589" s="394"/>
      <c r="BL4589" s="394"/>
      <c r="BM4589" s="394"/>
      <c r="BN4589" s="394"/>
      <c r="BO4589" s="394"/>
      <c r="BP4589" s="394"/>
      <c r="BQ4589" s="394"/>
      <c r="BR4589" s="394"/>
      <c r="BS4589" s="394"/>
      <c r="BT4589" s="394"/>
      <c r="BU4589" s="394"/>
      <c r="BV4589" s="394"/>
      <c r="BW4589" s="394"/>
      <c r="BX4589" s="394"/>
      <c r="BY4589" s="394"/>
    </row>
    <row r="4590" spans="1:77" s="394" customFormat="1" ht="12" customHeight="1">
      <c r="B4590" s="379" t="s">
        <v>291</v>
      </c>
      <c r="C4590" s="392">
        <v>44804</v>
      </c>
      <c r="D4590" s="392">
        <v>44805</v>
      </c>
      <c r="E4590" s="393" t="s">
        <v>3703</v>
      </c>
      <c r="F4590" s="394" t="s">
        <v>3474</v>
      </c>
      <c r="G4590" s="400" t="s">
        <v>3475</v>
      </c>
      <c r="H4590" s="394" t="s">
        <v>866</v>
      </c>
      <c r="I4590" s="394" t="s">
        <v>699</v>
      </c>
      <c r="J4590" s="395">
        <v>51420.1</v>
      </c>
      <c r="L4590" s="395">
        <v>29.43</v>
      </c>
      <c r="M4590" s="395">
        <v>29.43</v>
      </c>
      <c r="N4590" s="396">
        <v>23250.16</v>
      </c>
      <c r="O4590" s="397">
        <v>0.15</v>
      </c>
      <c r="P4590" s="397"/>
      <c r="Q4590" s="396">
        <v>20014.490000000002</v>
      </c>
      <c r="R4590" s="379" t="s">
        <v>112</v>
      </c>
      <c r="S4590" s="388" t="s">
        <v>113</v>
      </c>
      <c r="T4590" s="399">
        <v>64</v>
      </c>
      <c r="U4590" s="398" t="s">
        <v>164</v>
      </c>
      <c r="V4590" s="449">
        <v>1030.3</v>
      </c>
      <c r="X4590" s="396">
        <v>20014.490000000002</v>
      </c>
      <c r="Y4590" s="396"/>
      <c r="AJ4590" s="395">
        <v>20014.490000000002</v>
      </c>
    </row>
    <row r="4591" spans="1:77" s="394" customFormat="1" ht="12" customHeight="1">
      <c r="B4591" s="379" t="s">
        <v>291</v>
      </c>
      <c r="C4591" s="392"/>
      <c r="D4591" s="392"/>
      <c r="E4591" s="393" t="s">
        <v>3703</v>
      </c>
      <c r="F4591" s="394" t="s">
        <v>3474</v>
      </c>
      <c r="G4591" s="400" t="s">
        <v>3475</v>
      </c>
      <c r="H4591" s="394" t="s">
        <v>910</v>
      </c>
      <c r="I4591" s="394" t="s">
        <v>699</v>
      </c>
      <c r="J4591" s="395">
        <v>77073.919999999998</v>
      </c>
      <c r="L4591" s="395">
        <v>37.4</v>
      </c>
      <c r="M4591" s="395">
        <v>37.4</v>
      </c>
      <c r="N4591" s="396">
        <v>30058.83</v>
      </c>
      <c r="O4591" s="397">
        <v>0.15</v>
      </c>
      <c r="P4591" s="397"/>
      <c r="Q4591" s="396">
        <v>17135.240000000002</v>
      </c>
      <c r="R4591" s="379" t="s">
        <v>112</v>
      </c>
      <c r="S4591" s="388" t="s">
        <v>113</v>
      </c>
      <c r="T4591" s="399">
        <v>64</v>
      </c>
      <c r="U4591" s="398" t="s">
        <v>164</v>
      </c>
      <c r="V4591" s="449">
        <v>354.7</v>
      </c>
      <c r="X4591" s="396">
        <v>17135.240000000002</v>
      </c>
      <c r="Y4591" s="396"/>
      <c r="AJ4591" s="395">
        <v>17135.240000000002</v>
      </c>
    </row>
    <row r="4592" spans="1:77" s="303" customFormat="1" ht="12" customHeight="1">
      <c r="B4592" s="291" t="s">
        <v>291</v>
      </c>
      <c r="C4592" s="301">
        <v>44802</v>
      </c>
      <c r="D4592" s="301">
        <v>44805</v>
      </c>
      <c r="E4592" s="302" t="s">
        <v>3704</v>
      </c>
      <c r="F4592" s="291" t="s">
        <v>3771</v>
      </c>
      <c r="G4592" s="304" t="s">
        <v>1802</v>
      </c>
      <c r="H4592" s="303" t="s">
        <v>866</v>
      </c>
      <c r="I4592" s="303" t="s">
        <v>1839</v>
      </c>
      <c r="J4592" s="305">
        <v>81210.899999999994</v>
      </c>
      <c r="L4592" s="305">
        <v>32.15</v>
      </c>
      <c r="M4592" s="305">
        <v>25</v>
      </c>
      <c r="N4592" s="306"/>
      <c r="O4592" s="307">
        <v>0.25</v>
      </c>
      <c r="P4592" s="307"/>
      <c r="Q4592" s="306">
        <v>0</v>
      </c>
      <c r="R4592" s="291" t="s">
        <v>112</v>
      </c>
      <c r="S4592" s="299" t="s">
        <v>113</v>
      </c>
      <c r="T4592" s="308">
        <v>64</v>
      </c>
      <c r="U4592" s="309" t="s">
        <v>164</v>
      </c>
      <c r="V4592" s="447"/>
      <c r="X4592" s="306">
        <v>0</v>
      </c>
      <c r="Y4592" s="297"/>
      <c r="AH4592" s="303">
        <f>X4592</f>
        <v>0</v>
      </c>
      <c r="AI4592" s="311"/>
      <c r="AJ4592" s="468"/>
    </row>
    <row r="4593" spans="1:77" s="341" customFormat="1" ht="12" customHeight="1">
      <c r="B4593" s="337" t="s">
        <v>291</v>
      </c>
      <c r="C4593" s="339">
        <v>44803</v>
      </c>
      <c r="D4593" s="339">
        <v>44805</v>
      </c>
      <c r="E4593" s="340" t="s">
        <v>3705</v>
      </c>
      <c r="F4593" s="337" t="s">
        <v>2359</v>
      </c>
      <c r="G4593" s="342" t="s">
        <v>2360</v>
      </c>
      <c r="H4593" s="341" t="s">
        <v>814</v>
      </c>
      <c r="I4593" s="341" t="s">
        <v>33</v>
      </c>
      <c r="J4593" s="343">
        <v>10089.6</v>
      </c>
      <c r="L4593" s="343">
        <v>10.51</v>
      </c>
      <c r="M4593" s="343">
        <v>10.51</v>
      </c>
      <c r="N4593" s="344">
        <v>2522</v>
      </c>
      <c r="O4593" s="345">
        <v>0.3</v>
      </c>
      <c r="P4593" s="345"/>
      <c r="Q4593" s="344">
        <v>0</v>
      </c>
      <c r="R4593" s="337" t="s">
        <v>2296</v>
      </c>
      <c r="S4593" s="356" t="s">
        <v>113</v>
      </c>
      <c r="T4593" s="346">
        <v>64</v>
      </c>
      <c r="U4593" s="347" t="s">
        <v>164</v>
      </c>
      <c r="V4593" s="451"/>
      <c r="X4593" s="344">
        <v>0</v>
      </c>
      <c r="Y4593" s="344"/>
      <c r="AI4593" s="341">
        <v>0</v>
      </c>
      <c r="AJ4593" s="358"/>
      <c r="AK4593" s="369"/>
    </row>
    <row r="4594" spans="1:77" s="341" customFormat="1" ht="12" customHeight="1">
      <c r="B4594" s="337" t="s">
        <v>291</v>
      </c>
      <c r="C4594" s="339"/>
      <c r="D4594" s="339"/>
      <c r="E4594" s="340" t="s">
        <v>3705</v>
      </c>
      <c r="F4594" s="337" t="s">
        <v>2359</v>
      </c>
      <c r="G4594" s="342" t="s">
        <v>2360</v>
      </c>
      <c r="H4594" s="341" t="s">
        <v>866</v>
      </c>
      <c r="I4594" s="341" t="s">
        <v>33</v>
      </c>
      <c r="J4594" s="343">
        <v>53951.63</v>
      </c>
      <c r="L4594" s="343">
        <v>29.75</v>
      </c>
      <c r="M4594" s="343">
        <v>29.75</v>
      </c>
      <c r="N4594" s="344">
        <v>18878</v>
      </c>
      <c r="O4594" s="345">
        <v>0.3</v>
      </c>
      <c r="P4594" s="345"/>
      <c r="Q4594" s="344">
        <v>720.04</v>
      </c>
      <c r="R4594" s="337" t="s">
        <v>2296</v>
      </c>
      <c r="S4594" s="356" t="s">
        <v>113</v>
      </c>
      <c r="T4594" s="346">
        <v>64</v>
      </c>
      <c r="U4594" s="347" t="s">
        <v>164</v>
      </c>
      <c r="V4594" s="451"/>
      <c r="X4594" s="344">
        <v>720.04</v>
      </c>
      <c r="Y4594" s="344"/>
      <c r="AI4594" s="341">
        <v>720.04</v>
      </c>
      <c r="AJ4594" s="358"/>
      <c r="AK4594" s="369"/>
    </row>
    <row r="4595" spans="1:77" s="341" customFormat="1" ht="12" customHeight="1">
      <c r="A4595" s="394"/>
      <c r="B4595" s="406" t="s">
        <v>291</v>
      </c>
      <c r="C4595" s="392"/>
      <c r="D4595" s="392"/>
      <c r="E4595" s="393" t="s">
        <v>3706</v>
      </c>
      <c r="F4595" s="379" t="s">
        <v>2834</v>
      </c>
      <c r="G4595" s="400" t="s">
        <v>2375</v>
      </c>
      <c r="H4595" s="394" t="s">
        <v>866</v>
      </c>
      <c r="I4595" s="394" t="s">
        <v>699</v>
      </c>
      <c r="J4595" s="395">
        <v>108834</v>
      </c>
      <c r="K4595" s="394"/>
      <c r="L4595" s="395">
        <v>51</v>
      </c>
      <c r="M4595" s="395">
        <v>51</v>
      </c>
      <c r="N4595" s="396">
        <f>33333.08+42082.48</f>
        <v>75415.56</v>
      </c>
      <c r="O4595" s="397">
        <v>0.15</v>
      </c>
      <c r="P4595" s="397"/>
      <c r="Q4595" s="396">
        <v>69098.7</v>
      </c>
      <c r="R4595" s="394" t="s">
        <v>112</v>
      </c>
      <c r="S4595" s="399" t="s">
        <v>113</v>
      </c>
      <c r="T4595" s="399">
        <v>64</v>
      </c>
      <c r="U4595" s="398" t="s">
        <v>164</v>
      </c>
      <c r="V4595" s="449">
        <v>1240</v>
      </c>
      <c r="W4595" s="394"/>
      <c r="X4595" s="396">
        <v>69098.7</v>
      </c>
      <c r="Y4595" s="396"/>
      <c r="Z4595" s="394"/>
      <c r="AA4595" s="394"/>
      <c r="AB4595" s="394"/>
      <c r="AC4595" s="394"/>
      <c r="AD4595" s="394"/>
      <c r="AE4595" s="394"/>
      <c r="AF4595" s="394"/>
      <c r="AG4595" s="394"/>
      <c r="AH4595" s="394"/>
      <c r="AI4595" s="394"/>
      <c r="AJ4595" s="395">
        <v>69098.7</v>
      </c>
      <c r="AK4595" s="394"/>
      <c r="AL4595" s="394"/>
      <c r="AM4595" s="394"/>
      <c r="AN4595" s="394"/>
      <c r="AO4595" s="394"/>
      <c r="AP4595" s="394"/>
      <c r="AQ4595" s="394"/>
      <c r="AR4595" s="394"/>
      <c r="AS4595" s="394"/>
      <c r="AT4595" s="394"/>
      <c r="AU4595" s="394"/>
      <c r="AV4595" s="394"/>
      <c r="AW4595" s="394"/>
      <c r="AX4595" s="394"/>
      <c r="AY4595" s="394"/>
      <c r="AZ4595" s="394"/>
      <c r="BA4595" s="394"/>
      <c r="BB4595" s="394"/>
      <c r="BC4595" s="394"/>
      <c r="BD4595" s="394"/>
      <c r="BE4595" s="394"/>
      <c r="BF4595" s="394"/>
      <c r="BG4595" s="394"/>
      <c r="BH4595" s="394"/>
      <c r="BI4595" s="394"/>
      <c r="BJ4595" s="394"/>
      <c r="BK4595" s="394"/>
      <c r="BL4595" s="394"/>
      <c r="BM4595" s="394"/>
      <c r="BN4595" s="394"/>
      <c r="BO4595" s="394"/>
      <c r="BP4595" s="394"/>
      <c r="BQ4595" s="394"/>
      <c r="BR4595" s="394"/>
      <c r="BS4595" s="394"/>
      <c r="BT4595" s="394"/>
      <c r="BU4595" s="394"/>
      <c r="BV4595" s="394"/>
      <c r="BW4595" s="394"/>
      <c r="BX4595" s="394"/>
      <c r="BY4595" s="394"/>
    </row>
    <row r="4596" spans="1:77" s="341" customFormat="1" ht="12" customHeight="1">
      <c r="B4596" s="367" t="s">
        <v>291</v>
      </c>
      <c r="C4596" s="339">
        <v>44802</v>
      </c>
      <c r="D4596" s="339">
        <v>44805</v>
      </c>
      <c r="E4596" s="340" t="s">
        <v>3706</v>
      </c>
      <c r="F4596" s="337" t="s">
        <v>2834</v>
      </c>
      <c r="G4596" s="342" t="s">
        <v>2375</v>
      </c>
      <c r="H4596" s="341" t="s">
        <v>910</v>
      </c>
      <c r="I4596" s="341" t="s">
        <v>699</v>
      </c>
      <c r="J4596" s="343">
        <v>25300</v>
      </c>
      <c r="L4596" s="343">
        <v>11</v>
      </c>
      <c r="M4596" s="343">
        <v>11</v>
      </c>
      <c r="N4596" s="344">
        <v>7590</v>
      </c>
      <c r="O4596" s="345">
        <v>0.15</v>
      </c>
      <c r="P4596" s="345"/>
      <c r="Q4596" s="344">
        <v>0</v>
      </c>
      <c r="R4596" s="341" t="s">
        <v>112</v>
      </c>
      <c r="S4596" s="346" t="s">
        <v>113</v>
      </c>
      <c r="T4596" s="346">
        <v>64</v>
      </c>
      <c r="U4596" s="347" t="s">
        <v>164</v>
      </c>
      <c r="V4596" s="451"/>
      <c r="X4596" s="344">
        <v>0</v>
      </c>
      <c r="Y4596" s="344"/>
      <c r="AI4596" s="341">
        <v>0</v>
      </c>
      <c r="AJ4596" s="358"/>
      <c r="AK4596" s="369"/>
    </row>
    <row r="4597" spans="1:77" s="303" customFormat="1" ht="12" customHeight="1">
      <c r="B4597" s="313" t="s">
        <v>291</v>
      </c>
      <c r="C4597" s="301">
        <v>44805</v>
      </c>
      <c r="D4597" s="301">
        <v>44593</v>
      </c>
      <c r="E4597" s="302" t="s">
        <v>3707</v>
      </c>
      <c r="F4597" s="291" t="s">
        <v>3708</v>
      </c>
      <c r="G4597" s="304" t="s">
        <v>3709</v>
      </c>
      <c r="H4597" s="303" t="s">
        <v>898</v>
      </c>
      <c r="I4597" s="303" t="s">
        <v>888</v>
      </c>
      <c r="J4597" s="305">
        <v>6820.11</v>
      </c>
      <c r="L4597" s="305">
        <v>5.83</v>
      </c>
      <c r="M4597" s="305">
        <v>5.83</v>
      </c>
      <c r="N4597" s="306"/>
      <c r="O4597" s="307">
        <v>0.15</v>
      </c>
      <c r="P4597" s="307"/>
      <c r="Q4597" s="306">
        <v>1825.7</v>
      </c>
      <c r="R4597" s="303" t="s">
        <v>251</v>
      </c>
      <c r="S4597" s="308" t="s">
        <v>113</v>
      </c>
      <c r="T4597" s="308">
        <v>32</v>
      </c>
      <c r="U4597" s="309" t="s">
        <v>164</v>
      </c>
      <c r="V4597" s="447"/>
      <c r="X4597" s="306">
        <v>1825.7</v>
      </c>
      <c r="Y4597" s="306"/>
      <c r="AH4597" s="332">
        <f>X4597</f>
        <v>1825.7</v>
      </c>
      <c r="AI4597" s="311"/>
      <c r="AJ4597" s="468"/>
    </row>
    <row r="4598" spans="1:77" s="394" customFormat="1" ht="12" customHeight="1">
      <c r="B4598" s="379" t="s">
        <v>291</v>
      </c>
      <c r="C4598" s="392">
        <v>44805</v>
      </c>
      <c r="D4598" s="392">
        <v>44805</v>
      </c>
      <c r="E4598" s="393" t="s">
        <v>3710</v>
      </c>
      <c r="F4598" s="379" t="s">
        <v>469</v>
      </c>
      <c r="G4598" s="400" t="s">
        <v>2884</v>
      </c>
      <c r="H4598" s="379" t="s">
        <v>866</v>
      </c>
      <c r="I4598" s="384" t="s">
        <v>3619</v>
      </c>
      <c r="J4598" s="395">
        <v>66233.97</v>
      </c>
      <c r="L4598" s="395">
        <v>38.450000000000003</v>
      </c>
      <c r="M4598" s="395">
        <v>14.4</v>
      </c>
      <c r="N4598" s="396">
        <v>24417.86</v>
      </c>
      <c r="O4598" s="397">
        <v>0.3</v>
      </c>
      <c r="P4598" s="397"/>
      <c r="Q4598" s="396">
        <v>9325.75</v>
      </c>
      <c r="R4598" s="379" t="s">
        <v>112</v>
      </c>
      <c r="S4598" s="388" t="s">
        <v>113</v>
      </c>
      <c r="T4598" s="399">
        <v>64</v>
      </c>
      <c r="U4598" s="398" t="s">
        <v>164</v>
      </c>
      <c r="V4598" s="449">
        <v>1551</v>
      </c>
      <c r="X4598" s="396">
        <v>9325.75</v>
      </c>
      <c r="Y4598" s="396"/>
      <c r="AJ4598" s="395">
        <v>9325.75</v>
      </c>
    </row>
    <row r="4599" spans="1:77" s="394" customFormat="1" ht="12" customHeight="1">
      <c r="B4599" s="379" t="s">
        <v>291</v>
      </c>
      <c r="C4599" s="392">
        <v>44802</v>
      </c>
      <c r="D4599" s="392">
        <v>44805</v>
      </c>
      <c r="E4599" s="393" t="s">
        <v>3711</v>
      </c>
      <c r="F4599" s="379" t="s">
        <v>223</v>
      </c>
      <c r="G4599" s="400">
        <v>3628</v>
      </c>
      <c r="H4599" s="394" t="s">
        <v>910</v>
      </c>
      <c r="I4599" s="394" t="s">
        <v>699</v>
      </c>
      <c r="J4599" s="395">
        <v>17676.23</v>
      </c>
      <c r="L4599" s="395">
        <v>12.47</v>
      </c>
      <c r="M4599" s="395">
        <v>12.47</v>
      </c>
      <c r="N4599" s="396"/>
      <c r="O4599" s="397">
        <v>0.15</v>
      </c>
      <c r="P4599" s="397"/>
      <c r="Q4599" s="396">
        <v>498.8</v>
      </c>
      <c r="R4599" s="402" t="s">
        <v>73</v>
      </c>
      <c r="S4599" s="388" t="s">
        <v>113</v>
      </c>
      <c r="T4599" s="399">
        <v>31</v>
      </c>
      <c r="U4599" s="398" t="s">
        <v>164</v>
      </c>
      <c r="V4599" s="462">
        <v>498.8</v>
      </c>
      <c r="X4599" s="396">
        <v>498.8</v>
      </c>
      <c r="Y4599" s="396"/>
      <c r="AJ4599" s="395">
        <v>498.8</v>
      </c>
    </row>
    <row r="4600" spans="1:77" s="394" customFormat="1" ht="12" customHeight="1">
      <c r="B4600" s="379" t="s">
        <v>291</v>
      </c>
      <c r="C4600" s="392"/>
      <c r="D4600" s="392"/>
      <c r="E4600" s="393" t="s">
        <v>3711</v>
      </c>
      <c r="F4600" s="379" t="s">
        <v>223</v>
      </c>
      <c r="G4600" s="400">
        <v>3628</v>
      </c>
      <c r="H4600" s="394" t="s">
        <v>1141</v>
      </c>
      <c r="I4600" s="394" t="s">
        <v>699</v>
      </c>
      <c r="J4600" s="395">
        <v>18893.25</v>
      </c>
      <c r="L4600" s="395">
        <v>12.15</v>
      </c>
      <c r="M4600" s="395">
        <v>12.15</v>
      </c>
      <c r="N4600" s="396"/>
      <c r="O4600" s="397">
        <v>0.15</v>
      </c>
      <c r="P4600" s="397"/>
      <c r="Q4600" s="396">
        <v>0</v>
      </c>
      <c r="R4600" s="402" t="s">
        <v>73</v>
      </c>
      <c r="S4600" s="388" t="s">
        <v>113</v>
      </c>
      <c r="T4600" s="399">
        <v>82</v>
      </c>
      <c r="U4600" s="398" t="s">
        <v>164</v>
      </c>
      <c r="V4600" s="449"/>
      <c r="X4600" s="396">
        <v>0</v>
      </c>
      <c r="Y4600" s="396"/>
      <c r="AJ4600" s="390">
        <v>0</v>
      </c>
    </row>
    <row r="4601" spans="1:77" s="394" customFormat="1" ht="12" customHeight="1">
      <c r="B4601" s="379" t="s">
        <v>291</v>
      </c>
      <c r="C4601" s="392"/>
      <c r="D4601" s="392"/>
      <c r="E4601" s="393" t="s">
        <v>3711</v>
      </c>
      <c r="F4601" s="379" t="s">
        <v>223</v>
      </c>
      <c r="G4601" s="400">
        <v>3628</v>
      </c>
      <c r="H4601" s="394" t="s">
        <v>1141</v>
      </c>
      <c r="I4601" s="394" t="s">
        <v>699</v>
      </c>
      <c r="J4601" s="395">
        <v>16265.3</v>
      </c>
      <c r="L4601" s="395">
        <v>10.46</v>
      </c>
      <c r="M4601" s="395">
        <v>10.46</v>
      </c>
      <c r="N4601" s="396"/>
      <c r="O4601" s="397">
        <v>0.15</v>
      </c>
      <c r="P4601" s="397"/>
      <c r="Q4601" s="396">
        <v>0</v>
      </c>
      <c r="R4601" s="402" t="s">
        <v>73</v>
      </c>
      <c r="S4601" s="388" t="s">
        <v>113</v>
      </c>
      <c r="T4601" s="399">
        <v>31</v>
      </c>
      <c r="U4601" s="398" t="s">
        <v>164</v>
      </c>
      <c r="V4601" s="449"/>
      <c r="X4601" s="396">
        <v>0</v>
      </c>
      <c r="Y4601" s="396"/>
      <c r="AJ4601" s="390">
        <v>0</v>
      </c>
    </row>
    <row r="4602" spans="1:77" s="341" customFormat="1" ht="12" customHeight="1">
      <c r="B4602" s="337" t="s">
        <v>291</v>
      </c>
      <c r="C4602" s="339">
        <v>44802</v>
      </c>
      <c r="D4602" s="339">
        <v>44805</v>
      </c>
      <c r="E4602" s="340" t="s">
        <v>3712</v>
      </c>
      <c r="F4602" s="341" t="s">
        <v>1792</v>
      </c>
      <c r="G4602" s="342">
        <v>3783</v>
      </c>
      <c r="H4602" s="341" t="s">
        <v>866</v>
      </c>
      <c r="I4602" s="353" t="s">
        <v>958</v>
      </c>
      <c r="J4602" s="343">
        <v>138882.59</v>
      </c>
      <c r="L4602" s="343">
        <v>77</v>
      </c>
      <c r="M4602" s="343">
        <v>77</v>
      </c>
      <c r="N4602" s="344">
        <v>17470</v>
      </c>
      <c r="O4602" s="345">
        <v>0.25</v>
      </c>
      <c r="P4602" s="345"/>
      <c r="Q4602" s="344">
        <v>0</v>
      </c>
      <c r="R4602" s="337" t="s">
        <v>105</v>
      </c>
      <c r="S4602" s="356" t="s">
        <v>30</v>
      </c>
      <c r="T4602" s="346">
        <v>71</v>
      </c>
      <c r="U4602" s="347" t="s">
        <v>164</v>
      </c>
      <c r="V4602" s="451"/>
      <c r="X4602" s="344">
        <v>0</v>
      </c>
      <c r="Y4602" s="344"/>
      <c r="AI4602" s="341">
        <f>X4602</f>
        <v>0</v>
      </c>
      <c r="AJ4602" s="358"/>
      <c r="AK4602" s="369"/>
      <c r="AL4602" s="337"/>
      <c r="AM4602" s="337"/>
      <c r="AN4602" s="337"/>
      <c r="AO4602" s="337"/>
      <c r="AP4602" s="337"/>
      <c r="AQ4602" s="337"/>
      <c r="AR4602" s="337"/>
      <c r="AS4602" s="337"/>
      <c r="AT4602" s="337"/>
      <c r="AU4602" s="337"/>
      <c r="AV4602" s="337"/>
      <c r="AW4602" s="337"/>
      <c r="AX4602" s="337"/>
      <c r="AY4602" s="337"/>
      <c r="AZ4602" s="337"/>
      <c r="BA4602" s="337"/>
      <c r="BB4602" s="337"/>
      <c r="BC4602" s="337"/>
      <c r="BD4602" s="337"/>
      <c r="BE4602" s="337"/>
      <c r="BF4602" s="337"/>
      <c r="BG4602" s="337"/>
      <c r="BH4602" s="337"/>
      <c r="BI4602" s="337"/>
      <c r="BJ4602" s="337"/>
      <c r="BK4602" s="337"/>
      <c r="BL4602" s="337"/>
      <c r="BM4602" s="337"/>
      <c r="BN4602" s="337"/>
      <c r="BO4602" s="337"/>
      <c r="BP4602" s="337"/>
      <c r="BQ4602" s="337"/>
      <c r="BR4602" s="337"/>
      <c r="BS4602" s="337"/>
      <c r="BT4602" s="337"/>
      <c r="BU4602" s="337"/>
      <c r="BV4602" s="337"/>
      <c r="BW4602" s="337"/>
      <c r="BX4602" s="337"/>
      <c r="BY4602" s="337"/>
    </row>
    <row r="4603" spans="1:77" s="472" customFormat="1" ht="12" customHeight="1">
      <c r="B4603" s="501" t="s">
        <v>291</v>
      </c>
      <c r="C4603" s="474">
        <v>44802</v>
      </c>
      <c r="D4603" s="474">
        <v>44806</v>
      </c>
      <c r="E4603" s="475" t="s">
        <v>3713</v>
      </c>
      <c r="F4603" s="472" t="s">
        <v>2966</v>
      </c>
      <c r="G4603" s="476" t="s">
        <v>2967</v>
      </c>
      <c r="H4603" s="472" t="s">
        <v>910</v>
      </c>
      <c r="I4603" s="472" t="s">
        <v>3619</v>
      </c>
      <c r="J4603" s="477">
        <v>25070.1</v>
      </c>
      <c r="L4603" s="477">
        <v>14.2</v>
      </c>
      <c r="M4603" s="477">
        <v>14.2</v>
      </c>
      <c r="N4603" s="478">
        <v>3760.52</v>
      </c>
      <c r="O4603" s="480">
        <v>0.2</v>
      </c>
      <c r="P4603" s="480"/>
      <c r="Q4603" s="478">
        <v>984.22</v>
      </c>
      <c r="R4603" s="472" t="s">
        <v>112</v>
      </c>
      <c r="S4603" s="482" t="s">
        <v>113</v>
      </c>
      <c r="T4603" s="482">
        <v>64</v>
      </c>
      <c r="U4603" s="483" t="s">
        <v>164</v>
      </c>
      <c r="V4603" s="484">
        <v>610</v>
      </c>
      <c r="X4603" s="478">
        <v>984.22</v>
      </c>
      <c r="Y4603" s="478"/>
      <c r="AJ4603" s="485"/>
      <c r="AK4603" s="506">
        <v>984.22</v>
      </c>
    </row>
    <row r="4604" spans="1:77" s="472" customFormat="1" ht="12" customHeight="1">
      <c r="B4604" s="501" t="s">
        <v>291</v>
      </c>
      <c r="C4604" s="474"/>
      <c r="D4604" s="474"/>
      <c r="E4604" s="475" t="s">
        <v>3713</v>
      </c>
      <c r="F4604" s="472" t="s">
        <v>2966</v>
      </c>
      <c r="G4604" s="476" t="s">
        <v>2967</v>
      </c>
      <c r="H4604" s="472" t="s">
        <v>866</v>
      </c>
      <c r="I4604" s="472" t="s">
        <v>3619</v>
      </c>
      <c r="J4604" s="477">
        <v>25107.72</v>
      </c>
      <c r="L4604" s="477">
        <v>16.54</v>
      </c>
      <c r="M4604" s="477">
        <v>16.54</v>
      </c>
      <c r="N4604" s="478">
        <v>7590</v>
      </c>
      <c r="O4604" s="480">
        <v>0.2</v>
      </c>
      <c r="P4604" s="480"/>
      <c r="Q4604" s="478">
        <v>1807.62</v>
      </c>
      <c r="R4604" s="472" t="s">
        <v>112</v>
      </c>
      <c r="S4604" s="482" t="s">
        <v>113</v>
      </c>
      <c r="T4604" s="482">
        <v>64</v>
      </c>
      <c r="U4604" s="483" t="s">
        <v>164</v>
      </c>
      <c r="V4604" s="484">
        <v>757</v>
      </c>
      <c r="X4604" s="478">
        <v>1807.62</v>
      </c>
      <c r="Y4604" s="478"/>
      <c r="AJ4604" s="485"/>
      <c r="AK4604" s="506">
        <v>1807.62</v>
      </c>
    </row>
    <row r="4605" spans="1:77" s="472" customFormat="1" ht="12" customHeight="1">
      <c r="B4605" s="501" t="s">
        <v>291</v>
      </c>
      <c r="C4605" s="474"/>
      <c r="D4605" s="474"/>
      <c r="E4605" s="475" t="s">
        <v>3713</v>
      </c>
      <c r="F4605" s="472" t="s">
        <v>2966</v>
      </c>
      <c r="G4605" s="476" t="s">
        <v>2967</v>
      </c>
      <c r="H4605" s="472" t="s">
        <v>765</v>
      </c>
      <c r="I4605" s="472" t="s">
        <v>3619</v>
      </c>
      <c r="J4605" s="477">
        <v>18973.68</v>
      </c>
      <c r="L4605" s="477">
        <v>10.119999999999999</v>
      </c>
      <c r="M4605" s="477">
        <v>10.119999999999999</v>
      </c>
      <c r="N4605" s="478">
        <v>6830.92</v>
      </c>
      <c r="O4605" s="480">
        <v>0.2</v>
      </c>
      <c r="P4605" s="480"/>
      <c r="Q4605" s="478">
        <v>2109.67</v>
      </c>
      <c r="R4605" s="472" t="s">
        <v>112</v>
      </c>
      <c r="S4605" s="482" t="s">
        <v>113</v>
      </c>
      <c r="T4605" s="482">
        <v>64</v>
      </c>
      <c r="U4605" s="483" t="s">
        <v>164</v>
      </c>
      <c r="V4605" s="484">
        <v>328</v>
      </c>
      <c r="X4605" s="478">
        <v>2109.67</v>
      </c>
      <c r="Y4605" s="478"/>
      <c r="AJ4605" s="485"/>
      <c r="AK4605" s="506">
        <v>2109.67</v>
      </c>
    </row>
    <row r="4606" spans="1:77" s="394" customFormat="1" ht="12" customHeight="1">
      <c r="B4606" s="379" t="s">
        <v>291</v>
      </c>
      <c r="C4606" s="392">
        <v>44802</v>
      </c>
      <c r="D4606" s="392">
        <v>44806</v>
      </c>
      <c r="E4606" s="393" t="s">
        <v>3714</v>
      </c>
      <c r="F4606" s="379" t="s">
        <v>242</v>
      </c>
      <c r="G4606" s="400" t="s">
        <v>243</v>
      </c>
      <c r="H4606" s="394" t="s">
        <v>911</v>
      </c>
      <c r="I4606" s="394" t="s">
        <v>699</v>
      </c>
      <c r="J4606" s="395">
        <v>175214.4</v>
      </c>
      <c r="L4606" s="395">
        <v>80</v>
      </c>
      <c r="M4606" s="395">
        <v>80</v>
      </c>
      <c r="N4606" s="396"/>
      <c r="O4606" s="397">
        <v>0.2</v>
      </c>
      <c r="P4606" s="397"/>
      <c r="Q4606" s="396">
        <v>1771.52</v>
      </c>
      <c r="R4606" s="379" t="s">
        <v>73</v>
      </c>
      <c r="S4606" s="388" t="s">
        <v>113</v>
      </c>
      <c r="T4606" s="399">
        <v>82</v>
      </c>
      <c r="U4606" s="398" t="s">
        <v>164</v>
      </c>
      <c r="V4606" s="449"/>
      <c r="X4606" s="396">
        <v>1771.52</v>
      </c>
      <c r="Y4606" s="396"/>
      <c r="AJ4606" s="395">
        <v>1771.52</v>
      </c>
    </row>
    <row r="4607" spans="1:77" s="472" customFormat="1" ht="12" customHeight="1">
      <c r="B4607" s="473" t="s">
        <v>291</v>
      </c>
      <c r="C4607" s="474">
        <v>44806</v>
      </c>
      <c r="D4607" s="474">
        <v>44806</v>
      </c>
      <c r="E4607" s="475" t="s">
        <v>3715</v>
      </c>
      <c r="F4607" s="472" t="s">
        <v>3434</v>
      </c>
      <c r="G4607" s="476">
        <v>1014</v>
      </c>
      <c r="H4607" s="472" t="s">
        <v>814</v>
      </c>
      <c r="I4607" s="472" t="s">
        <v>961</v>
      </c>
      <c r="J4607" s="477">
        <v>15177.6</v>
      </c>
      <c r="L4607" s="477">
        <v>17</v>
      </c>
      <c r="M4607" s="477">
        <v>17</v>
      </c>
      <c r="N4607" s="478"/>
      <c r="O4607" s="480">
        <v>0.2</v>
      </c>
      <c r="P4607" s="480"/>
      <c r="Q4607" s="478">
        <v>6248.52</v>
      </c>
      <c r="R4607" s="473" t="s">
        <v>257</v>
      </c>
      <c r="S4607" s="481" t="s">
        <v>3078</v>
      </c>
      <c r="T4607" s="482">
        <v>47</v>
      </c>
      <c r="U4607" s="483" t="s">
        <v>164</v>
      </c>
      <c r="V4607" s="484"/>
      <c r="X4607" s="478">
        <v>6248.52</v>
      </c>
      <c r="Y4607" s="478"/>
      <c r="AJ4607" s="485"/>
      <c r="AK4607" s="506">
        <v>6248.52</v>
      </c>
    </row>
    <row r="4608" spans="1:77" s="472" customFormat="1" ht="12" customHeight="1">
      <c r="B4608" s="473" t="s">
        <v>291</v>
      </c>
      <c r="C4608" s="474"/>
      <c r="D4608" s="474"/>
      <c r="E4608" s="475" t="s">
        <v>3715</v>
      </c>
      <c r="F4608" s="472" t="s">
        <v>3434</v>
      </c>
      <c r="G4608" s="476">
        <v>1014</v>
      </c>
      <c r="H4608" s="472" t="s">
        <v>765</v>
      </c>
      <c r="I4608" s="472" t="s">
        <v>961</v>
      </c>
      <c r="J4608" s="477">
        <v>3864</v>
      </c>
      <c r="L4608" s="477">
        <v>2.8</v>
      </c>
      <c r="M4608" s="477">
        <v>2.8</v>
      </c>
      <c r="N4608" s="478"/>
      <c r="O4608" s="480">
        <v>0.2</v>
      </c>
      <c r="P4608" s="480"/>
      <c r="Q4608" s="478">
        <v>1940.4</v>
      </c>
      <c r="R4608" s="473" t="s">
        <v>257</v>
      </c>
      <c r="S4608" s="481" t="s">
        <v>3078</v>
      </c>
      <c r="T4608" s="482">
        <v>47</v>
      </c>
      <c r="U4608" s="483" t="s">
        <v>164</v>
      </c>
      <c r="V4608" s="484"/>
      <c r="X4608" s="478">
        <v>1940.4</v>
      </c>
      <c r="Y4608" s="478"/>
      <c r="AJ4608" s="485"/>
      <c r="AK4608" s="506">
        <v>1940.4</v>
      </c>
    </row>
    <row r="4609" spans="1:77" s="472" customFormat="1" ht="12" customHeight="1">
      <c r="B4609" s="473" t="s">
        <v>291</v>
      </c>
      <c r="C4609" s="474">
        <v>44806</v>
      </c>
      <c r="D4609" s="474">
        <v>44806</v>
      </c>
      <c r="E4609" s="475" t="s">
        <v>3716</v>
      </c>
      <c r="F4609" s="473" t="s">
        <v>236</v>
      </c>
      <c r="G4609" s="476" t="s">
        <v>235</v>
      </c>
      <c r="H4609" s="472" t="s">
        <v>765</v>
      </c>
      <c r="I4609" s="472" t="s">
        <v>3610</v>
      </c>
      <c r="J4609" s="477">
        <v>8616.2999999999993</v>
      </c>
      <c r="L4609" s="477">
        <v>7.46</v>
      </c>
      <c r="M4609" s="477">
        <v>7.46</v>
      </c>
      <c r="N4609" s="478"/>
      <c r="O4609" s="480">
        <v>0.2</v>
      </c>
      <c r="P4609" s="480"/>
      <c r="Q4609" s="478">
        <v>0</v>
      </c>
      <c r="R4609" s="473" t="s">
        <v>146</v>
      </c>
      <c r="S4609" s="481" t="s">
        <v>74</v>
      </c>
      <c r="T4609" s="482">
        <v>31</v>
      </c>
      <c r="U4609" s="483" t="s">
        <v>164</v>
      </c>
      <c r="V4609" s="484"/>
      <c r="X4609" s="478">
        <v>0</v>
      </c>
      <c r="Y4609" s="478"/>
      <c r="AJ4609" s="485"/>
      <c r="AK4609" s="472">
        <v>0</v>
      </c>
    </row>
    <row r="4610" spans="1:77" s="472" customFormat="1" ht="12" customHeight="1">
      <c r="B4610" s="473" t="s">
        <v>291</v>
      </c>
      <c r="C4610" s="474"/>
      <c r="D4610" s="474"/>
      <c r="E4610" s="475" t="s">
        <v>3716</v>
      </c>
      <c r="F4610" s="473" t="s">
        <v>236</v>
      </c>
      <c r="G4610" s="476" t="s">
        <v>235</v>
      </c>
      <c r="H4610" s="472" t="s">
        <v>910</v>
      </c>
      <c r="I4610" s="472" t="s">
        <v>3610</v>
      </c>
      <c r="J4610" s="477">
        <v>3615</v>
      </c>
      <c r="L4610" s="477">
        <v>2.41</v>
      </c>
      <c r="M4610" s="477">
        <v>2.41</v>
      </c>
      <c r="N4610" s="478"/>
      <c r="O4610" s="480">
        <v>0.2</v>
      </c>
      <c r="P4610" s="480"/>
      <c r="Q4610" s="478">
        <v>0</v>
      </c>
      <c r="R4610" s="473" t="s">
        <v>146</v>
      </c>
      <c r="S4610" s="481" t="s">
        <v>74</v>
      </c>
      <c r="T4610" s="482">
        <v>31</v>
      </c>
      <c r="U4610" s="483" t="s">
        <v>164</v>
      </c>
      <c r="V4610" s="484"/>
      <c r="X4610" s="478">
        <v>0</v>
      </c>
      <c r="Y4610" s="478"/>
      <c r="AJ4610" s="485"/>
      <c r="AK4610" s="472">
        <v>0</v>
      </c>
    </row>
    <row r="4611" spans="1:77" s="117" customFormat="1" ht="12" customHeight="1">
      <c r="B4611" s="6" t="s">
        <v>291</v>
      </c>
      <c r="C4611" s="146">
        <v>44805</v>
      </c>
      <c r="D4611" s="146">
        <v>44806</v>
      </c>
      <c r="E4611" s="147" t="s">
        <v>3717</v>
      </c>
      <c r="F4611" s="117" t="s">
        <v>3718</v>
      </c>
      <c r="G4611" s="148">
        <v>4260</v>
      </c>
      <c r="H4611" s="117" t="s">
        <v>407</v>
      </c>
      <c r="I4611" s="117" t="s">
        <v>33</v>
      </c>
      <c r="J4611" s="149">
        <v>25668.3</v>
      </c>
      <c r="L4611" s="149">
        <v>21.57</v>
      </c>
      <c r="M4611" s="149">
        <v>21.57</v>
      </c>
      <c r="N4611" s="150">
        <v>7700.49</v>
      </c>
      <c r="O4611" s="151">
        <v>0.25</v>
      </c>
      <c r="P4611" s="151"/>
      <c r="Q4611" s="150">
        <f>N4611-J4611*O4611</f>
        <v>1283.415</v>
      </c>
      <c r="R4611" s="117" t="s">
        <v>46</v>
      </c>
      <c r="S4611" s="152" t="s">
        <v>47</v>
      </c>
      <c r="T4611" s="152">
        <v>76</v>
      </c>
      <c r="U4611" s="56"/>
      <c r="V4611" s="448"/>
      <c r="X4611" s="150"/>
      <c r="Y4611" s="150"/>
      <c r="AJ4611" s="80"/>
    </row>
    <row r="4612" spans="1:77" s="394" customFormat="1" ht="12" customHeight="1">
      <c r="B4612" s="379" t="s">
        <v>291</v>
      </c>
      <c r="C4612" s="392">
        <v>44805</v>
      </c>
      <c r="D4612" s="392">
        <v>44806</v>
      </c>
      <c r="E4612" s="393" t="s">
        <v>3719</v>
      </c>
      <c r="F4612" s="394" t="s">
        <v>2833</v>
      </c>
      <c r="G4612" s="400" t="s">
        <v>2265</v>
      </c>
      <c r="H4612" s="394" t="s">
        <v>2267</v>
      </c>
      <c r="I4612" s="394" t="s">
        <v>3619</v>
      </c>
      <c r="J4612" s="395">
        <v>65853.81</v>
      </c>
      <c r="L4612" s="395">
        <v>27</v>
      </c>
      <c r="M4612" s="395">
        <v>27</v>
      </c>
      <c r="N4612" s="396">
        <f>5926.84+987.81</f>
        <v>6914.65</v>
      </c>
      <c r="O4612" s="397">
        <v>0.15</v>
      </c>
      <c r="P4612" s="397"/>
      <c r="Q4612" s="396">
        <v>5686.25</v>
      </c>
      <c r="R4612" s="379" t="s">
        <v>112</v>
      </c>
      <c r="S4612" s="388" t="s">
        <v>113</v>
      </c>
      <c r="T4612" s="399">
        <v>64</v>
      </c>
      <c r="U4612" s="398" t="s">
        <v>164</v>
      </c>
      <c r="V4612" s="449">
        <v>1296</v>
      </c>
      <c r="X4612" s="396">
        <v>5686.25</v>
      </c>
      <c r="Y4612" s="396"/>
      <c r="AJ4612" s="395">
        <v>5686.25</v>
      </c>
    </row>
    <row r="4613" spans="1:77" s="394" customFormat="1" ht="12" customHeight="1">
      <c r="B4613" s="379" t="s">
        <v>291</v>
      </c>
      <c r="C4613" s="392"/>
      <c r="D4613" s="392"/>
      <c r="E4613" s="393" t="s">
        <v>3719</v>
      </c>
      <c r="F4613" s="394" t="s">
        <v>2833</v>
      </c>
      <c r="G4613" s="400" t="s">
        <v>2265</v>
      </c>
      <c r="H4613" s="394" t="s">
        <v>2171</v>
      </c>
      <c r="I4613" s="394" t="s">
        <v>3619</v>
      </c>
      <c r="J4613" s="395">
        <v>32838.080000000002</v>
      </c>
      <c r="L4613" s="395">
        <v>16</v>
      </c>
      <c r="M4613" s="395">
        <v>16</v>
      </c>
      <c r="N4613" s="396">
        <v>9698.42</v>
      </c>
      <c r="O4613" s="397">
        <v>0.15</v>
      </c>
      <c r="P4613" s="397"/>
      <c r="Q4613" s="396">
        <v>21206.76</v>
      </c>
      <c r="R4613" s="379" t="s">
        <v>112</v>
      </c>
      <c r="S4613" s="388" t="s">
        <v>113</v>
      </c>
      <c r="T4613" s="399">
        <v>64</v>
      </c>
      <c r="U4613" s="398" t="s">
        <v>164</v>
      </c>
      <c r="V4613" s="449">
        <v>800</v>
      </c>
      <c r="X4613" s="396">
        <v>21206.76</v>
      </c>
      <c r="Y4613" s="396"/>
      <c r="AJ4613" s="395">
        <v>21206.76</v>
      </c>
    </row>
    <row r="4614" spans="1:77" s="394" customFormat="1" ht="12" customHeight="1">
      <c r="B4614" s="379" t="s">
        <v>291</v>
      </c>
      <c r="C4614" s="392"/>
      <c r="D4614" s="392"/>
      <c r="E4614" s="393" t="s">
        <v>3719</v>
      </c>
      <c r="F4614" s="394" t="s">
        <v>2833</v>
      </c>
      <c r="G4614" s="400" t="s">
        <v>2265</v>
      </c>
      <c r="H4614" s="394" t="s">
        <v>814</v>
      </c>
      <c r="I4614" s="394" t="s">
        <v>3619</v>
      </c>
      <c r="J4614" s="395">
        <v>13125.87</v>
      </c>
      <c r="L4614" s="395">
        <v>8.5</v>
      </c>
      <c r="M4614" s="395">
        <v>8.5</v>
      </c>
      <c r="N4614" s="396">
        <v>3937.76</v>
      </c>
      <c r="O4614" s="397">
        <v>0.15</v>
      </c>
      <c r="P4614" s="397"/>
      <c r="Q4614" s="396">
        <v>0</v>
      </c>
      <c r="R4614" s="379" t="s">
        <v>112</v>
      </c>
      <c r="S4614" s="388" t="s">
        <v>113</v>
      </c>
      <c r="T4614" s="399">
        <v>64</v>
      </c>
      <c r="U4614" s="398" t="s">
        <v>164</v>
      </c>
      <c r="V4614" s="449"/>
      <c r="X4614" s="396">
        <v>0</v>
      </c>
      <c r="Y4614" s="396"/>
      <c r="AJ4614" s="390">
        <v>0</v>
      </c>
    </row>
    <row r="4615" spans="1:77" s="394" customFormat="1" ht="12" customHeight="1">
      <c r="B4615" s="379" t="s">
        <v>291</v>
      </c>
      <c r="C4615" s="392"/>
      <c r="D4615" s="392"/>
      <c r="E4615" s="393" t="s">
        <v>3719</v>
      </c>
      <c r="F4615" s="394" t="s">
        <v>2833</v>
      </c>
      <c r="G4615" s="400" t="s">
        <v>2265</v>
      </c>
      <c r="H4615" s="394" t="s">
        <v>765</v>
      </c>
      <c r="I4615" s="394" t="s">
        <v>3619</v>
      </c>
      <c r="J4615" s="395">
        <v>15750</v>
      </c>
      <c r="L4615" s="395">
        <v>10.5</v>
      </c>
      <c r="M4615" s="395">
        <v>10.5</v>
      </c>
      <c r="N4615" s="396">
        <v>4725</v>
      </c>
      <c r="O4615" s="397">
        <v>0.15</v>
      </c>
      <c r="P4615" s="397"/>
      <c r="Q4615" s="396">
        <v>5880</v>
      </c>
      <c r="R4615" s="379" t="s">
        <v>112</v>
      </c>
      <c r="S4615" s="388" t="s">
        <v>113</v>
      </c>
      <c r="T4615" s="399">
        <v>64</v>
      </c>
      <c r="U4615" s="398" t="s">
        <v>164</v>
      </c>
      <c r="V4615" s="449"/>
      <c r="X4615" s="396">
        <v>5880</v>
      </c>
      <c r="Y4615" s="396"/>
      <c r="AJ4615" s="390">
        <v>5880</v>
      </c>
    </row>
    <row r="4616" spans="1:77" s="394" customFormat="1" ht="12" customHeight="1">
      <c r="B4616" s="379" t="s">
        <v>291</v>
      </c>
      <c r="C4616" s="392">
        <v>44802</v>
      </c>
      <c r="D4616" s="392">
        <v>44806</v>
      </c>
      <c r="E4616" s="393" t="s">
        <v>3720</v>
      </c>
      <c r="F4616" s="394" t="s">
        <v>2282</v>
      </c>
      <c r="G4616" s="400" t="s">
        <v>2094</v>
      </c>
      <c r="H4616" s="394" t="s">
        <v>2171</v>
      </c>
      <c r="I4616" s="394" t="s">
        <v>3610</v>
      </c>
      <c r="J4616" s="395">
        <v>61529.599999999999</v>
      </c>
      <c r="L4616" s="395">
        <v>32</v>
      </c>
      <c r="M4616" s="395">
        <v>32</v>
      </c>
      <c r="N4616" s="396">
        <v>20573.96</v>
      </c>
      <c r="O4616" s="397">
        <v>0.15</v>
      </c>
      <c r="P4616" s="397"/>
      <c r="Q4616" s="396">
        <v>30436.25</v>
      </c>
      <c r="R4616" s="379" t="s">
        <v>112</v>
      </c>
      <c r="S4616" s="388" t="s">
        <v>113</v>
      </c>
      <c r="T4616" s="399">
        <v>64</v>
      </c>
      <c r="U4616" s="398" t="s">
        <v>164</v>
      </c>
      <c r="V4616" s="449">
        <v>1180</v>
      </c>
      <c r="W4616" s="394" t="s">
        <v>3946</v>
      </c>
      <c r="X4616" s="396">
        <v>30436.25</v>
      </c>
      <c r="Y4616" s="396"/>
      <c r="AJ4616" s="395">
        <v>30436.25</v>
      </c>
    </row>
    <row r="4617" spans="1:77" s="394" customFormat="1" ht="12" customHeight="1">
      <c r="B4617" s="379" t="s">
        <v>291</v>
      </c>
      <c r="C4617" s="392"/>
      <c r="D4617" s="392"/>
      <c r="E4617" s="393" t="s">
        <v>3720</v>
      </c>
      <c r="F4617" s="394" t="s">
        <v>2282</v>
      </c>
      <c r="G4617" s="400" t="s">
        <v>2094</v>
      </c>
      <c r="H4617" s="394" t="s">
        <v>814</v>
      </c>
      <c r="I4617" s="394" t="s">
        <v>3610</v>
      </c>
      <c r="J4617" s="395">
        <v>18298.8</v>
      </c>
      <c r="L4617" s="395">
        <v>13</v>
      </c>
      <c r="M4617" s="395">
        <v>13</v>
      </c>
      <c r="N4617" s="396">
        <v>1829.88</v>
      </c>
      <c r="O4617" s="397">
        <v>0.15</v>
      </c>
      <c r="P4617" s="397"/>
      <c r="Q4617" s="396">
        <v>8611.2000000000007</v>
      </c>
      <c r="R4617" s="379" t="s">
        <v>112</v>
      </c>
      <c r="S4617" s="388" t="s">
        <v>113</v>
      </c>
      <c r="T4617" s="399">
        <v>64</v>
      </c>
      <c r="U4617" s="398" t="s">
        <v>164</v>
      </c>
      <c r="V4617" s="449"/>
      <c r="X4617" s="396">
        <v>8611.2000000000007</v>
      </c>
      <c r="Y4617" s="396"/>
      <c r="AJ4617" s="395">
        <v>8611.2000000000007</v>
      </c>
    </row>
    <row r="4618" spans="1:77" s="394" customFormat="1" ht="12" customHeight="1">
      <c r="B4618" s="379" t="s">
        <v>291</v>
      </c>
      <c r="C4618" s="392"/>
      <c r="D4618" s="392"/>
      <c r="E4618" s="393" t="s">
        <v>3720</v>
      </c>
      <c r="F4618" s="394" t="s">
        <v>2282</v>
      </c>
      <c r="G4618" s="400" t="s">
        <v>2094</v>
      </c>
      <c r="H4618" s="394" t="s">
        <v>2267</v>
      </c>
      <c r="I4618" s="394" t="s">
        <v>3610</v>
      </c>
      <c r="J4618" s="395">
        <v>50452.6</v>
      </c>
      <c r="L4618" s="395">
        <v>20</v>
      </c>
      <c r="M4618" s="395">
        <v>20</v>
      </c>
      <c r="N4618" s="396">
        <f>6357.03+2208.61</f>
        <v>8565.64</v>
      </c>
      <c r="O4618" s="397">
        <v>0.15</v>
      </c>
      <c r="P4618" s="397"/>
      <c r="Q4618" s="396">
        <v>5435.98</v>
      </c>
      <c r="R4618" s="379" t="s">
        <v>112</v>
      </c>
      <c r="S4618" s="388" t="s">
        <v>113</v>
      </c>
      <c r="T4618" s="399">
        <v>64</v>
      </c>
      <c r="U4618" s="398" t="s">
        <v>164</v>
      </c>
      <c r="V4618" s="449">
        <v>504</v>
      </c>
      <c r="X4618" s="396">
        <v>5435.98</v>
      </c>
      <c r="Y4618" s="396"/>
      <c r="AJ4618" s="395">
        <v>5435.98</v>
      </c>
    </row>
    <row r="4619" spans="1:77" s="523" customFormat="1" ht="12" customHeight="1">
      <c r="B4619" s="508" t="s">
        <v>291</v>
      </c>
      <c r="C4619" s="524">
        <v>44802</v>
      </c>
      <c r="D4619" s="524">
        <v>44806</v>
      </c>
      <c r="E4619" s="525" t="s">
        <v>3721</v>
      </c>
      <c r="F4619" s="507" t="s">
        <v>2974</v>
      </c>
      <c r="G4619" s="526" t="s">
        <v>2975</v>
      </c>
      <c r="H4619" s="523" t="s">
        <v>1141</v>
      </c>
      <c r="I4619" s="523" t="s">
        <v>3619</v>
      </c>
      <c r="J4619" s="527">
        <v>7791</v>
      </c>
      <c r="L4619" s="527">
        <v>8.4</v>
      </c>
      <c r="M4619" s="527">
        <v>8.4</v>
      </c>
      <c r="N4619" s="528"/>
      <c r="O4619" s="530">
        <v>0.15</v>
      </c>
      <c r="P4619" s="530"/>
      <c r="Q4619" s="528">
        <v>2947.35</v>
      </c>
      <c r="R4619" s="545" t="s">
        <v>73</v>
      </c>
      <c r="S4619" s="516" t="s">
        <v>113</v>
      </c>
      <c r="T4619" s="531">
        <v>82</v>
      </c>
      <c r="U4619" s="532" t="s">
        <v>164</v>
      </c>
      <c r="V4619" s="533"/>
      <c r="X4619" s="528">
        <v>2947.35</v>
      </c>
      <c r="Y4619" s="528"/>
      <c r="AJ4619" s="522"/>
      <c r="AL4619" s="528">
        <v>2947.35</v>
      </c>
    </row>
    <row r="4620" spans="1:77" s="523" customFormat="1" ht="12" customHeight="1">
      <c r="B4620" s="508" t="s">
        <v>291</v>
      </c>
      <c r="C4620" s="524"/>
      <c r="D4620" s="524"/>
      <c r="E4620" s="525" t="s">
        <v>3721</v>
      </c>
      <c r="F4620" s="507" t="s">
        <v>2974</v>
      </c>
      <c r="G4620" s="526" t="s">
        <v>2975</v>
      </c>
      <c r="H4620" s="523" t="s">
        <v>765</v>
      </c>
      <c r="I4620" s="523" t="s">
        <v>3619</v>
      </c>
      <c r="J4620" s="527">
        <v>13627.5</v>
      </c>
      <c r="L4620" s="527">
        <v>11.85</v>
      </c>
      <c r="M4620" s="527">
        <v>11.85</v>
      </c>
      <c r="N4620" s="528"/>
      <c r="O4620" s="530">
        <v>0.15</v>
      </c>
      <c r="P4620" s="530"/>
      <c r="Q4620" s="528">
        <v>6250.88</v>
      </c>
      <c r="R4620" s="545" t="s">
        <v>73</v>
      </c>
      <c r="S4620" s="516" t="s">
        <v>113</v>
      </c>
      <c r="T4620" s="531">
        <v>82</v>
      </c>
      <c r="U4620" s="532" t="s">
        <v>164</v>
      </c>
      <c r="V4620" s="533"/>
      <c r="X4620" s="528">
        <v>6250.88</v>
      </c>
      <c r="Y4620" s="528"/>
      <c r="AJ4620" s="522"/>
      <c r="AL4620" s="528">
        <v>6250.88</v>
      </c>
    </row>
    <row r="4621" spans="1:77" s="117" customFormat="1" ht="12" customHeight="1">
      <c r="A4621" s="394"/>
      <c r="B4621" s="380" t="s">
        <v>291</v>
      </c>
      <c r="C4621" s="392">
        <v>44803</v>
      </c>
      <c r="D4621" s="392">
        <v>44806</v>
      </c>
      <c r="E4621" s="393" t="s">
        <v>3722</v>
      </c>
      <c r="F4621" s="394" t="s">
        <v>3600</v>
      </c>
      <c r="G4621" s="400" t="s">
        <v>3723</v>
      </c>
      <c r="H4621" s="394" t="s">
        <v>910</v>
      </c>
      <c r="I4621" s="394" t="s">
        <v>33</v>
      </c>
      <c r="J4621" s="395">
        <v>21065.31</v>
      </c>
      <c r="K4621" s="394"/>
      <c r="L4621" s="395">
        <v>12.18</v>
      </c>
      <c r="M4621" s="395">
        <v>12.18</v>
      </c>
      <c r="N4621" s="396"/>
      <c r="O4621" s="397">
        <v>0.25</v>
      </c>
      <c r="P4621" s="397"/>
      <c r="Q4621" s="396">
        <v>0</v>
      </c>
      <c r="R4621" s="394" t="s">
        <v>146</v>
      </c>
      <c r="S4621" s="388" t="s">
        <v>113</v>
      </c>
      <c r="T4621" s="399">
        <v>64</v>
      </c>
      <c r="U4621" s="398" t="s">
        <v>164</v>
      </c>
      <c r="V4621" s="449"/>
      <c r="W4621" s="394"/>
      <c r="X4621" s="396">
        <v>0</v>
      </c>
      <c r="Y4621" s="396"/>
      <c r="Z4621" s="394"/>
      <c r="AA4621" s="394"/>
      <c r="AB4621" s="394"/>
      <c r="AC4621" s="394"/>
      <c r="AD4621" s="394"/>
      <c r="AE4621" s="394"/>
      <c r="AF4621" s="394"/>
      <c r="AG4621" s="394"/>
      <c r="AH4621" s="394"/>
      <c r="AI4621" s="394"/>
      <c r="AJ4621" s="390">
        <v>0</v>
      </c>
      <c r="AK4621" s="394"/>
      <c r="AL4621" s="394"/>
      <c r="AM4621" s="394"/>
      <c r="AN4621" s="394"/>
      <c r="AO4621" s="394"/>
      <c r="AP4621" s="394"/>
      <c r="AQ4621" s="394"/>
      <c r="AR4621" s="394"/>
      <c r="AS4621" s="394"/>
      <c r="AT4621" s="394"/>
      <c r="AU4621" s="394"/>
      <c r="AV4621" s="394"/>
      <c r="AW4621" s="394"/>
      <c r="AX4621" s="394"/>
      <c r="AY4621" s="394"/>
      <c r="AZ4621" s="394"/>
      <c r="BA4621" s="394"/>
      <c r="BB4621" s="394"/>
      <c r="BC4621" s="394"/>
      <c r="BD4621" s="394"/>
      <c r="BE4621" s="394"/>
      <c r="BF4621" s="394"/>
      <c r="BG4621" s="394"/>
      <c r="BH4621" s="394"/>
      <c r="BI4621" s="394"/>
      <c r="BJ4621" s="394"/>
      <c r="BK4621" s="394"/>
      <c r="BL4621" s="394"/>
      <c r="BM4621" s="394"/>
      <c r="BN4621" s="394"/>
      <c r="BO4621" s="394"/>
      <c r="BP4621" s="394"/>
      <c r="BQ4621" s="394"/>
      <c r="BR4621" s="394"/>
      <c r="BS4621" s="394"/>
      <c r="BT4621" s="394"/>
      <c r="BU4621" s="394"/>
      <c r="BV4621" s="394"/>
      <c r="BW4621" s="394"/>
      <c r="BX4621" s="394"/>
      <c r="BY4621" s="394"/>
    </row>
    <row r="4622" spans="1:77" s="117" customFormat="1" ht="12" customHeight="1">
      <c r="A4622" s="394"/>
      <c r="B4622" s="380" t="s">
        <v>291</v>
      </c>
      <c r="C4622" s="392"/>
      <c r="D4622" s="392"/>
      <c r="E4622" s="393" t="s">
        <v>3722</v>
      </c>
      <c r="F4622" s="394" t="s">
        <v>3600</v>
      </c>
      <c r="G4622" s="400" t="s">
        <v>3723</v>
      </c>
      <c r="H4622" s="394" t="s">
        <v>866</v>
      </c>
      <c r="I4622" s="394" t="s">
        <v>33</v>
      </c>
      <c r="J4622" s="395">
        <v>37033.050000000003</v>
      </c>
      <c r="K4622" s="394"/>
      <c r="L4622" s="395">
        <v>23.9</v>
      </c>
      <c r="M4622" s="395">
        <v>23.9</v>
      </c>
      <c r="N4622" s="396"/>
      <c r="O4622" s="397">
        <v>0.25</v>
      </c>
      <c r="P4622" s="397"/>
      <c r="Q4622" s="396">
        <v>0</v>
      </c>
      <c r="R4622" s="394" t="s">
        <v>146</v>
      </c>
      <c r="S4622" s="388" t="s">
        <v>113</v>
      </c>
      <c r="T4622" s="399">
        <v>64</v>
      </c>
      <c r="U4622" s="398" t="s">
        <v>164</v>
      </c>
      <c r="V4622" s="449"/>
      <c r="W4622" s="394"/>
      <c r="X4622" s="396">
        <v>0</v>
      </c>
      <c r="Y4622" s="396"/>
      <c r="Z4622" s="394"/>
      <c r="AA4622" s="394"/>
      <c r="AB4622" s="394"/>
      <c r="AC4622" s="394"/>
      <c r="AD4622" s="394"/>
      <c r="AE4622" s="394"/>
      <c r="AF4622" s="394"/>
      <c r="AG4622" s="394"/>
      <c r="AH4622" s="394"/>
      <c r="AI4622" s="394"/>
      <c r="AJ4622" s="390">
        <v>0</v>
      </c>
      <c r="AK4622" s="394"/>
      <c r="AL4622" s="394"/>
      <c r="AM4622" s="394"/>
      <c r="AN4622" s="394"/>
      <c r="AO4622" s="394"/>
      <c r="AP4622" s="394"/>
      <c r="AQ4622" s="394"/>
      <c r="AR4622" s="394"/>
      <c r="AS4622" s="394"/>
      <c r="AT4622" s="394"/>
      <c r="AU4622" s="394"/>
      <c r="AV4622" s="394"/>
      <c r="AW4622" s="394"/>
      <c r="AX4622" s="394"/>
      <c r="AY4622" s="394"/>
      <c r="AZ4622" s="394"/>
      <c r="BA4622" s="394"/>
      <c r="BB4622" s="394"/>
      <c r="BC4622" s="394"/>
      <c r="BD4622" s="394"/>
      <c r="BE4622" s="394"/>
      <c r="BF4622" s="394"/>
      <c r="BG4622" s="394"/>
      <c r="BH4622" s="394"/>
      <c r="BI4622" s="394"/>
      <c r="BJ4622" s="394"/>
      <c r="BK4622" s="394"/>
      <c r="BL4622" s="394"/>
      <c r="BM4622" s="394"/>
      <c r="BN4622" s="394"/>
      <c r="BO4622" s="394"/>
      <c r="BP4622" s="394"/>
      <c r="BQ4622" s="394"/>
      <c r="BR4622" s="394"/>
      <c r="BS4622" s="394"/>
      <c r="BT4622" s="394"/>
      <c r="BU4622" s="394"/>
      <c r="BV4622" s="394"/>
      <c r="BW4622" s="394"/>
      <c r="BX4622" s="394"/>
      <c r="BY4622" s="394"/>
    </row>
    <row r="4623" spans="1:77" s="117" customFormat="1" ht="12" customHeight="1">
      <c r="A4623" s="394"/>
      <c r="B4623" s="380" t="s">
        <v>291</v>
      </c>
      <c r="C4623" s="392"/>
      <c r="D4623" s="392"/>
      <c r="E4623" s="393" t="s">
        <v>3722</v>
      </c>
      <c r="F4623" s="394" t="s">
        <v>3600</v>
      </c>
      <c r="G4623" s="400" t="s">
        <v>3723</v>
      </c>
      <c r="H4623" s="394" t="s">
        <v>814</v>
      </c>
      <c r="I4623" s="394" t="s">
        <v>33</v>
      </c>
      <c r="J4623" s="395">
        <v>14988</v>
      </c>
      <c r="K4623" s="394"/>
      <c r="L4623" s="395">
        <v>12.49</v>
      </c>
      <c r="M4623" s="395">
        <v>12.49</v>
      </c>
      <c r="N4623" s="396"/>
      <c r="O4623" s="397">
        <v>0.25</v>
      </c>
      <c r="P4623" s="397"/>
      <c r="Q4623" s="396">
        <v>0</v>
      </c>
      <c r="R4623" s="394" t="s">
        <v>146</v>
      </c>
      <c r="S4623" s="388" t="s">
        <v>113</v>
      </c>
      <c r="T4623" s="399">
        <v>64</v>
      </c>
      <c r="U4623" s="398" t="s">
        <v>164</v>
      </c>
      <c r="V4623" s="449"/>
      <c r="W4623" s="394"/>
      <c r="X4623" s="396">
        <v>0</v>
      </c>
      <c r="Y4623" s="396"/>
      <c r="Z4623" s="394"/>
      <c r="AA4623" s="394"/>
      <c r="AB4623" s="394"/>
      <c r="AC4623" s="394"/>
      <c r="AD4623" s="394"/>
      <c r="AE4623" s="394"/>
      <c r="AF4623" s="394"/>
      <c r="AG4623" s="394"/>
      <c r="AH4623" s="394"/>
      <c r="AI4623" s="394"/>
      <c r="AJ4623" s="390">
        <v>0</v>
      </c>
      <c r="AK4623" s="394"/>
      <c r="AL4623" s="394"/>
      <c r="AM4623" s="394"/>
      <c r="AN4623" s="394"/>
      <c r="AO4623" s="394"/>
      <c r="AP4623" s="394"/>
      <c r="AQ4623" s="394"/>
      <c r="AR4623" s="394"/>
      <c r="AS4623" s="394"/>
      <c r="AT4623" s="394"/>
      <c r="AU4623" s="394"/>
      <c r="AV4623" s="394"/>
      <c r="AW4623" s="394"/>
      <c r="AX4623" s="394"/>
      <c r="AY4623" s="394"/>
      <c r="AZ4623" s="394"/>
      <c r="BA4623" s="394"/>
      <c r="BB4623" s="394"/>
      <c r="BC4623" s="394"/>
      <c r="BD4623" s="394"/>
      <c r="BE4623" s="394"/>
      <c r="BF4623" s="394"/>
      <c r="BG4623" s="394"/>
      <c r="BH4623" s="394"/>
      <c r="BI4623" s="394"/>
      <c r="BJ4623" s="394"/>
      <c r="BK4623" s="394"/>
      <c r="BL4623" s="394"/>
      <c r="BM4623" s="394"/>
      <c r="BN4623" s="394"/>
      <c r="BO4623" s="394"/>
      <c r="BP4623" s="394"/>
      <c r="BQ4623" s="394"/>
      <c r="BR4623" s="394"/>
      <c r="BS4623" s="394"/>
      <c r="BT4623" s="394"/>
      <c r="BU4623" s="394"/>
      <c r="BV4623" s="394"/>
      <c r="BW4623" s="394"/>
      <c r="BX4623" s="394"/>
      <c r="BY4623" s="394"/>
    </row>
    <row r="4624" spans="1:77" s="394" customFormat="1" ht="12" customHeight="1">
      <c r="B4624" s="380" t="s">
        <v>291</v>
      </c>
      <c r="C4624" s="392">
        <v>44802</v>
      </c>
      <c r="D4624" s="392">
        <v>44806</v>
      </c>
      <c r="E4624" s="393" t="s">
        <v>3724</v>
      </c>
      <c r="F4624" s="379" t="s">
        <v>2731</v>
      </c>
      <c r="G4624" s="400" t="s">
        <v>2732</v>
      </c>
      <c r="H4624" s="394" t="s">
        <v>910</v>
      </c>
      <c r="I4624" s="394" t="s">
        <v>699</v>
      </c>
      <c r="J4624" s="395">
        <v>29260</v>
      </c>
      <c r="L4624" s="395">
        <v>14</v>
      </c>
      <c r="M4624" s="395">
        <v>14</v>
      </c>
      <c r="N4624" s="396">
        <v>6729.8</v>
      </c>
      <c r="O4624" s="397">
        <v>0.15</v>
      </c>
      <c r="P4624" s="397"/>
      <c r="Q4624" s="396">
        <v>2340.8000000000002</v>
      </c>
      <c r="R4624" s="379" t="s">
        <v>112</v>
      </c>
      <c r="S4624" s="388" t="s">
        <v>113</v>
      </c>
      <c r="T4624" s="399">
        <v>64</v>
      </c>
      <c r="U4624" s="398" t="s">
        <v>164</v>
      </c>
      <c r="V4624" s="449"/>
      <c r="X4624" s="396">
        <v>2340.8000000000002</v>
      </c>
      <c r="Y4624" s="396"/>
      <c r="AJ4624" s="395">
        <v>2340.8000000000002</v>
      </c>
    </row>
    <row r="4625" spans="1:77" s="394" customFormat="1" ht="12" customHeight="1">
      <c r="B4625" s="380" t="s">
        <v>291</v>
      </c>
      <c r="C4625" s="392"/>
      <c r="D4625" s="392"/>
      <c r="E4625" s="393" t="s">
        <v>3724</v>
      </c>
      <c r="F4625" s="379" t="s">
        <v>2731</v>
      </c>
      <c r="G4625" s="400" t="s">
        <v>2732</v>
      </c>
      <c r="H4625" s="394" t="s">
        <v>866</v>
      </c>
      <c r="I4625" s="394" t="s">
        <v>699</v>
      </c>
      <c r="J4625" s="395">
        <v>88918.1</v>
      </c>
      <c r="L4625" s="395">
        <v>53</v>
      </c>
      <c r="M4625" s="395">
        <v>53</v>
      </c>
      <c r="N4625" s="396">
        <v>64809.56</v>
      </c>
      <c r="O4625" s="397">
        <v>0.15</v>
      </c>
      <c r="P4625" s="397"/>
      <c r="Q4625" s="396">
        <v>49643.49</v>
      </c>
      <c r="R4625" s="379" t="s">
        <v>112</v>
      </c>
      <c r="S4625" s="388" t="s">
        <v>113</v>
      </c>
      <c r="T4625" s="399">
        <v>64</v>
      </c>
      <c r="U4625" s="398" t="s">
        <v>164</v>
      </c>
      <c r="V4625" s="449"/>
      <c r="X4625" s="396">
        <v>49643.49</v>
      </c>
      <c r="Y4625" s="396"/>
      <c r="AJ4625" s="395">
        <v>49643.49</v>
      </c>
    </row>
    <row r="4626" spans="1:77" s="341" customFormat="1" ht="12" customHeight="1">
      <c r="B4626" s="338" t="s">
        <v>291</v>
      </c>
      <c r="C4626" s="339">
        <v>44798</v>
      </c>
      <c r="D4626" s="339">
        <v>44806</v>
      </c>
      <c r="E4626" s="340" t="s">
        <v>3729</v>
      </c>
      <c r="F4626" s="337" t="s">
        <v>633</v>
      </c>
      <c r="G4626" s="342">
        <v>3597</v>
      </c>
      <c r="H4626" s="341" t="s">
        <v>866</v>
      </c>
      <c r="I4626" s="341" t="s">
        <v>33</v>
      </c>
      <c r="J4626" s="343">
        <v>10766.91</v>
      </c>
      <c r="L4626" s="343">
        <v>11.85</v>
      </c>
      <c r="M4626" s="343">
        <v>11.85</v>
      </c>
      <c r="N4626" s="344"/>
      <c r="O4626" s="359">
        <v>0.25</v>
      </c>
      <c r="P4626" s="345"/>
      <c r="Q4626" s="344">
        <v>0</v>
      </c>
      <c r="R4626" s="337" t="s">
        <v>42</v>
      </c>
      <c r="S4626" s="356" t="s">
        <v>41</v>
      </c>
      <c r="T4626" s="346">
        <v>17</v>
      </c>
      <c r="U4626" s="347" t="s">
        <v>164</v>
      </c>
      <c r="V4626" s="451"/>
      <c r="X4626" s="344">
        <v>0</v>
      </c>
      <c r="Y4626" s="344"/>
      <c r="AI4626" s="341">
        <v>0</v>
      </c>
      <c r="AJ4626" s="358"/>
      <c r="AK4626" s="369"/>
    </row>
    <row r="4627" spans="1:77" s="341" customFormat="1" ht="12" customHeight="1">
      <c r="B4627" s="338" t="s">
        <v>291</v>
      </c>
      <c r="C4627" s="339">
        <v>44802</v>
      </c>
      <c r="D4627" s="339">
        <v>44807</v>
      </c>
      <c r="E4627" s="340" t="s">
        <v>3730</v>
      </c>
      <c r="F4627" s="341" t="s">
        <v>3731</v>
      </c>
      <c r="G4627" s="342" t="s">
        <v>3732</v>
      </c>
      <c r="H4627" s="341" t="s">
        <v>866</v>
      </c>
      <c r="I4627" s="341" t="s">
        <v>699</v>
      </c>
      <c r="J4627" s="343">
        <v>12113.64</v>
      </c>
      <c r="L4627" s="343">
        <v>7.92</v>
      </c>
      <c r="M4627" s="343">
        <v>2</v>
      </c>
      <c r="N4627" s="344"/>
      <c r="O4627" s="359">
        <v>0.15</v>
      </c>
      <c r="P4627" s="345"/>
      <c r="Q4627" s="344">
        <v>1886.56</v>
      </c>
      <c r="R4627" s="341" t="s">
        <v>251</v>
      </c>
      <c r="S4627" s="346" t="s">
        <v>113</v>
      </c>
      <c r="T4627" s="346">
        <v>64</v>
      </c>
      <c r="U4627" s="347" t="s">
        <v>164</v>
      </c>
      <c r="V4627" s="451">
        <v>668.82</v>
      </c>
      <c r="X4627" s="344">
        <v>1886.56</v>
      </c>
      <c r="Y4627" s="344"/>
      <c r="AI4627" s="344">
        <v>1886.56</v>
      </c>
      <c r="AJ4627" s="358"/>
      <c r="AK4627" s="369"/>
    </row>
    <row r="4628" spans="1:77" s="558" customFormat="1" ht="12" customHeight="1">
      <c r="B4628" s="546" t="s">
        <v>291</v>
      </c>
      <c r="C4628" s="560">
        <v>44804</v>
      </c>
      <c r="D4628" s="560">
        <v>44807</v>
      </c>
      <c r="E4628" s="561" t="s">
        <v>3733</v>
      </c>
      <c r="F4628" s="546" t="s">
        <v>3271</v>
      </c>
      <c r="G4628" s="562" t="s">
        <v>3270</v>
      </c>
      <c r="H4628" s="558" t="s">
        <v>910</v>
      </c>
      <c r="I4628" s="558" t="s">
        <v>3610</v>
      </c>
      <c r="J4628" s="563">
        <v>302464.8</v>
      </c>
      <c r="L4628" s="563">
        <v>134</v>
      </c>
      <c r="M4628" s="563">
        <v>15</v>
      </c>
      <c r="N4628" s="564">
        <v>23068.58</v>
      </c>
      <c r="O4628" s="565">
        <v>0.25</v>
      </c>
      <c r="P4628" s="566"/>
      <c r="Q4628" s="564">
        <v>1908.24</v>
      </c>
      <c r="R4628" s="546" t="s">
        <v>112</v>
      </c>
      <c r="S4628" s="554" t="s">
        <v>113</v>
      </c>
      <c r="T4628" s="567">
        <v>64</v>
      </c>
      <c r="U4628" s="568" t="s">
        <v>164</v>
      </c>
      <c r="V4628" s="569"/>
      <c r="X4628" s="564">
        <v>1908.24</v>
      </c>
      <c r="Y4628" s="564"/>
      <c r="AJ4628" s="557"/>
      <c r="AM4628" s="579">
        <v>1908.24</v>
      </c>
    </row>
    <row r="4629" spans="1:77" s="558" customFormat="1" ht="12" customHeight="1">
      <c r="B4629" s="559" t="s">
        <v>291</v>
      </c>
      <c r="C4629" s="560">
        <v>44804</v>
      </c>
      <c r="D4629" s="560">
        <v>44807</v>
      </c>
      <c r="E4629" s="561" t="s">
        <v>3734</v>
      </c>
      <c r="F4629" s="546" t="s">
        <v>3274</v>
      </c>
      <c r="G4629" s="562" t="s">
        <v>3275</v>
      </c>
      <c r="H4629" s="546" t="s">
        <v>866</v>
      </c>
      <c r="I4629" s="558" t="s">
        <v>3610</v>
      </c>
      <c r="J4629" s="563">
        <v>33784.400000000001</v>
      </c>
      <c r="L4629" s="563">
        <v>17.8</v>
      </c>
      <c r="M4629" s="563">
        <v>10</v>
      </c>
      <c r="N4629" s="564">
        <v>10135</v>
      </c>
      <c r="O4629" s="565">
        <v>0.25</v>
      </c>
      <c r="P4629" s="566"/>
      <c r="Q4629" s="564">
        <v>4487.1000000000004</v>
      </c>
      <c r="R4629" s="546" t="s">
        <v>112</v>
      </c>
      <c r="S4629" s="554" t="s">
        <v>113</v>
      </c>
      <c r="T4629" s="567">
        <v>64</v>
      </c>
      <c r="U4629" s="568" t="s">
        <v>164</v>
      </c>
      <c r="V4629" s="569"/>
      <c r="X4629" s="564">
        <v>4487.1000000000004</v>
      </c>
      <c r="Y4629" s="564"/>
      <c r="AJ4629" s="557"/>
      <c r="AM4629" s="579">
        <v>4487.1000000000004</v>
      </c>
    </row>
    <row r="4630" spans="1:77" s="394" customFormat="1" ht="12" customHeight="1">
      <c r="B4630" s="380" t="s">
        <v>291</v>
      </c>
      <c r="C4630" s="392">
        <v>44802</v>
      </c>
      <c r="D4630" s="392">
        <v>44808</v>
      </c>
      <c r="E4630" s="393" t="s">
        <v>3735</v>
      </c>
      <c r="F4630" s="379" t="s">
        <v>3026</v>
      </c>
      <c r="G4630" s="400" t="s">
        <v>3027</v>
      </c>
      <c r="H4630" s="379" t="s">
        <v>2171</v>
      </c>
      <c r="I4630" s="394" t="s">
        <v>1822</v>
      </c>
      <c r="J4630" s="385">
        <v>50239.199999999997</v>
      </c>
      <c r="L4630" s="395">
        <v>20.76</v>
      </c>
      <c r="M4630" s="395">
        <v>20.76</v>
      </c>
      <c r="N4630" s="396"/>
      <c r="O4630" s="401">
        <v>0.25</v>
      </c>
      <c r="P4630" s="397"/>
      <c r="Q4630" s="396">
        <v>15590.76</v>
      </c>
      <c r="R4630" s="379" t="s">
        <v>73</v>
      </c>
      <c r="S4630" s="388" t="s">
        <v>113</v>
      </c>
      <c r="T4630" s="399">
        <v>40</v>
      </c>
      <c r="U4630" s="398" t="s">
        <v>164</v>
      </c>
      <c r="V4630" s="449"/>
      <c r="X4630" s="396">
        <v>15590.76</v>
      </c>
      <c r="Y4630" s="396"/>
      <c r="AJ4630" s="390">
        <v>15590.76</v>
      </c>
    </row>
    <row r="4631" spans="1:77" s="394" customFormat="1" ht="12" customHeight="1">
      <c r="B4631" s="380" t="s">
        <v>291</v>
      </c>
      <c r="C4631" s="392">
        <v>44808</v>
      </c>
      <c r="D4631" s="392">
        <v>44808</v>
      </c>
      <c r="E4631" s="393" t="s">
        <v>3736</v>
      </c>
      <c r="F4631" s="394" t="s">
        <v>3737</v>
      </c>
      <c r="G4631" s="400">
        <v>4407</v>
      </c>
      <c r="H4631" s="394" t="s">
        <v>866</v>
      </c>
      <c r="I4631" s="394" t="s">
        <v>3738</v>
      </c>
      <c r="J4631" s="395">
        <v>22390.59</v>
      </c>
      <c r="L4631" s="395">
        <v>14.84</v>
      </c>
      <c r="M4631" s="395">
        <v>14.84</v>
      </c>
      <c r="N4631" s="396"/>
      <c r="O4631" s="401">
        <v>0.2</v>
      </c>
      <c r="P4631" s="397"/>
      <c r="Q4631" s="396">
        <v>959.26</v>
      </c>
      <c r="R4631" s="394" t="s">
        <v>146</v>
      </c>
      <c r="S4631" s="399" t="s">
        <v>74</v>
      </c>
      <c r="T4631" s="399">
        <v>65</v>
      </c>
      <c r="U4631" s="398" t="s">
        <v>164</v>
      </c>
      <c r="V4631" s="449"/>
      <c r="X4631" s="396">
        <v>959.26</v>
      </c>
      <c r="Y4631" s="396"/>
      <c r="AJ4631" s="395">
        <v>959.26</v>
      </c>
    </row>
    <row r="4632" spans="1:77" s="394" customFormat="1" ht="12" customHeight="1">
      <c r="B4632" s="379" t="s">
        <v>291</v>
      </c>
      <c r="C4632" s="392">
        <v>44802</v>
      </c>
      <c r="D4632" s="392">
        <v>44809</v>
      </c>
      <c r="E4632" s="393" t="s">
        <v>3739</v>
      </c>
      <c r="F4632" s="379" t="s">
        <v>2372</v>
      </c>
      <c r="G4632" s="400" t="s">
        <v>2373</v>
      </c>
      <c r="H4632" s="394" t="s">
        <v>866</v>
      </c>
      <c r="I4632" s="394" t="s">
        <v>699</v>
      </c>
      <c r="J4632" s="395">
        <v>47388</v>
      </c>
      <c r="L4632" s="395">
        <v>22</v>
      </c>
      <c r="M4632" s="395">
        <v>22</v>
      </c>
      <c r="N4632" s="396">
        <v>33171.599999999999</v>
      </c>
      <c r="O4632" s="401">
        <v>0.15</v>
      </c>
      <c r="P4632" s="397"/>
      <c r="Q4632" s="396">
        <v>22837.48</v>
      </c>
      <c r="R4632" s="379" t="s">
        <v>112</v>
      </c>
      <c r="S4632" s="388" t="s">
        <v>113</v>
      </c>
      <c r="T4632" s="399">
        <v>64</v>
      </c>
      <c r="U4632" s="398" t="s">
        <v>164</v>
      </c>
      <c r="V4632" s="449"/>
      <c r="X4632" s="396">
        <v>22837.48</v>
      </c>
      <c r="Y4632" s="396"/>
      <c r="AJ4632" s="395">
        <v>22837.48</v>
      </c>
    </row>
    <row r="4633" spans="1:77" s="472" customFormat="1" ht="12" customHeight="1">
      <c r="B4633" s="473" t="s">
        <v>291</v>
      </c>
      <c r="C4633" s="474">
        <v>44807</v>
      </c>
      <c r="D4633" s="474">
        <v>44809</v>
      </c>
      <c r="E4633" s="475" t="s">
        <v>3740</v>
      </c>
      <c r="F4633" s="473" t="s">
        <v>3741</v>
      </c>
      <c r="G4633" s="476" t="s">
        <v>3742</v>
      </c>
      <c r="H4633" s="472" t="s">
        <v>866</v>
      </c>
      <c r="I4633" s="472" t="s">
        <v>3879</v>
      </c>
      <c r="J4633" s="477">
        <v>30240</v>
      </c>
      <c r="L4633" s="477">
        <v>15</v>
      </c>
      <c r="M4633" s="477">
        <v>15</v>
      </c>
      <c r="N4633" s="478"/>
      <c r="O4633" s="479">
        <v>0.2</v>
      </c>
      <c r="P4633" s="480"/>
      <c r="Q4633" s="478">
        <v>1201.28</v>
      </c>
      <c r="R4633" s="473" t="s">
        <v>251</v>
      </c>
      <c r="S4633" s="481" t="s">
        <v>113</v>
      </c>
      <c r="T4633" s="482">
        <v>64</v>
      </c>
      <c r="U4633" s="483" t="s">
        <v>164</v>
      </c>
      <c r="V4633" s="484">
        <v>775.44</v>
      </c>
      <c r="X4633" s="478">
        <v>1201.28</v>
      </c>
      <c r="Y4633" s="478"/>
      <c r="AJ4633" s="485"/>
      <c r="AK4633" s="506">
        <v>1201.28</v>
      </c>
    </row>
    <row r="4634" spans="1:77" s="472" customFormat="1" ht="12" customHeight="1">
      <c r="B4634" s="473" t="s">
        <v>291</v>
      </c>
      <c r="C4634" s="474"/>
      <c r="D4634" s="474"/>
      <c r="E4634" s="475" t="s">
        <v>3740</v>
      </c>
      <c r="F4634" s="473" t="s">
        <v>3741</v>
      </c>
      <c r="G4634" s="476" t="s">
        <v>3742</v>
      </c>
      <c r="H4634" s="472" t="s">
        <v>765</v>
      </c>
      <c r="I4634" s="472" t="s">
        <v>1547</v>
      </c>
      <c r="J4634" s="477">
        <v>5577.18</v>
      </c>
      <c r="L4634" s="477">
        <v>4.5999999999999996</v>
      </c>
      <c r="M4634" s="477">
        <v>4.5</v>
      </c>
      <c r="N4634" s="478"/>
      <c r="O4634" s="479">
        <v>0.2</v>
      </c>
      <c r="P4634" s="480"/>
      <c r="Q4634" s="478">
        <v>0</v>
      </c>
      <c r="R4634" s="473" t="s">
        <v>251</v>
      </c>
      <c r="S4634" s="481" t="s">
        <v>113</v>
      </c>
      <c r="T4634" s="482">
        <v>64</v>
      </c>
      <c r="U4634" s="483" t="s">
        <v>164</v>
      </c>
      <c r="V4634" s="484"/>
      <c r="X4634" s="478">
        <v>0</v>
      </c>
      <c r="Y4634" s="478"/>
      <c r="AJ4634" s="485"/>
      <c r="AK4634" s="472">
        <v>0</v>
      </c>
    </row>
    <row r="4635" spans="1:77" s="341" customFormat="1" ht="12" customHeight="1">
      <c r="B4635" s="338" t="s">
        <v>291</v>
      </c>
      <c r="C4635" s="339">
        <v>44805</v>
      </c>
      <c r="D4635" s="339">
        <v>44805</v>
      </c>
      <c r="E4635" s="340" t="s">
        <v>3743</v>
      </c>
      <c r="F4635" s="337" t="s">
        <v>2445</v>
      </c>
      <c r="G4635" s="342" t="s">
        <v>2446</v>
      </c>
      <c r="H4635" s="341" t="s">
        <v>866</v>
      </c>
      <c r="I4635" s="341" t="s">
        <v>3619</v>
      </c>
      <c r="J4635" s="343">
        <v>12348</v>
      </c>
      <c r="L4635" s="343">
        <v>4.5</v>
      </c>
      <c r="M4635" s="343">
        <v>4.5</v>
      </c>
      <c r="N4635" s="344">
        <v>5858.44</v>
      </c>
      <c r="O4635" s="359">
        <v>0.2</v>
      </c>
      <c r="P4635" s="345"/>
      <c r="Q4635" s="344">
        <v>0</v>
      </c>
      <c r="R4635" s="337" t="s">
        <v>112</v>
      </c>
      <c r="S4635" s="356" t="s">
        <v>113</v>
      </c>
      <c r="T4635" s="346">
        <v>40</v>
      </c>
      <c r="U4635" s="347" t="s">
        <v>164</v>
      </c>
      <c r="V4635" s="451"/>
      <c r="W4635" s="337" t="s">
        <v>3935</v>
      </c>
      <c r="X4635" s="344">
        <v>0</v>
      </c>
      <c r="Y4635" s="344"/>
      <c r="AI4635" s="341">
        <f>X4635</f>
        <v>0</v>
      </c>
      <c r="AJ4635" s="358"/>
      <c r="AK4635" s="369"/>
      <c r="AL4635" s="337"/>
      <c r="AM4635" s="337"/>
      <c r="AN4635" s="337"/>
      <c r="AO4635" s="337"/>
      <c r="AP4635" s="337"/>
      <c r="AQ4635" s="337"/>
      <c r="AR4635" s="337"/>
      <c r="AS4635" s="337"/>
      <c r="AT4635" s="337"/>
      <c r="AU4635" s="337"/>
      <c r="AV4635" s="337"/>
      <c r="AW4635" s="337"/>
      <c r="AX4635" s="337"/>
      <c r="AY4635" s="337"/>
      <c r="AZ4635" s="337"/>
      <c r="BA4635" s="337"/>
      <c r="BB4635" s="337"/>
      <c r="BC4635" s="337"/>
      <c r="BD4635" s="337"/>
      <c r="BE4635" s="337"/>
      <c r="BF4635" s="337"/>
      <c r="BG4635" s="337"/>
      <c r="BH4635" s="337"/>
      <c r="BI4635" s="337"/>
      <c r="BJ4635" s="337"/>
      <c r="BK4635" s="337"/>
      <c r="BL4635" s="337"/>
      <c r="BM4635" s="337"/>
      <c r="BN4635" s="337"/>
      <c r="BO4635" s="337"/>
      <c r="BP4635" s="337"/>
      <c r="BQ4635" s="337"/>
      <c r="BR4635" s="337"/>
      <c r="BS4635" s="337"/>
      <c r="BT4635" s="337"/>
      <c r="BU4635" s="337"/>
      <c r="BV4635" s="337"/>
      <c r="BW4635" s="337"/>
      <c r="BX4635" s="337"/>
      <c r="BY4635" s="337"/>
    </row>
    <row r="4636" spans="1:77" s="341" customFormat="1" ht="12" customHeight="1">
      <c r="B4636" s="338" t="s">
        <v>291</v>
      </c>
      <c r="C4636" s="339"/>
      <c r="D4636" s="339"/>
      <c r="E4636" s="340" t="s">
        <v>3743</v>
      </c>
      <c r="F4636" s="337" t="s">
        <v>2445</v>
      </c>
      <c r="G4636" s="342" t="s">
        <v>2446</v>
      </c>
      <c r="H4636" s="341" t="s">
        <v>866</v>
      </c>
      <c r="I4636" s="341" t="s">
        <v>3619</v>
      </c>
      <c r="J4636" s="343">
        <v>34382.32</v>
      </c>
      <c r="L4636" s="343">
        <v>12.53</v>
      </c>
      <c r="M4636" s="343">
        <v>12.53</v>
      </c>
      <c r="N4636" s="344">
        <v>23090.959999999999</v>
      </c>
      <c r="O4636" s="359">
        <v>0.2</v>
      </c>
      <c r="P4636" s="345"/>
      <c r="Q4636" s="344">
        <v>16656</v>
      </c>
      <c r="R4636" s="337" t="s">
        <v>112</v>
      </c>
      <c r="S4636" s="356" t="s">
        <v>113</v>
      </c>
      <c r="T4636" s="346">
        <v>64</v>
      </c>
      <c r="U4636" s="347" t="s">
        <v>164</v>
      </c>
      <c r="V4636" s="451">
        <v>80</v>
      </c>
      <c r="X4636" s="344">
        <v>16656</v>
      </c>
      <c r="Y4636" s="344"/>
      <c r="AI4636" s="370">
        <f>X4636</f>
        <v>16656</v>
      </c>
      <c r="AJ4636" s="358"/>
      <c r="AK4636" s="369"/>
      <c r="AL4636" s="337"/>
      <c r="AM4636" s="337"/>
      <c r="AN4636" s="337"/>
      <c r="AO4636" s="337"/>
      <c r="AP4636" s="337"/>
      <c r="AQ4636" s="337"/>
      <c r="AR4636" s="337"/>
      <c r="AS4636" s="337"/>
      <c r="AT4636" s="337"/>
      <c r="AU4636" s="337"/>
      <c r="AV4636" s="337"/>
      <c r="AW4636" s="337"/>
      <c r="AX4636" s="337"/>
      <c r="AY4636" s="337"/>
      <c r="AZ4636" s="337"/>
      <c r="BA4636" s="337"/>
      <c r="BB4636" s="337"/>
      <c r="BC4636" s="337"/>
      <c r="BD4636" s="337"/>
      <c r="BE4636" s="337"/>
      <c r="BF4636" s="337"/>
      <c r="BG4636" s="337"/>
      <c r="BH4636" s="337"/>
      <c r="BI4636" s="337"/>
      <c r="BJ4636" s="337"/>
      <c r="BK4636" s="337"/>
      <c r="BL4636" s="337"/>
      <c r="BM4636" s="337"/>
      <c r="BN4636" s="337"/>
      <c r="BO4636" s="337"/>
      <c r="BP4636" s="337"/>
      <c r="BQ4636" s="337"/>
      <c r="BR4636" s="337"/>
      <c r="BS4636" s="337"/>
      <c r="BT4636" s="337"/>
      <c r="BU4636" s="337"/>
      <c r="BV4636" s="337"/>
      <c r="BW4636" s="337"/>
      <c r="BX4636" s="337"/>
      <c r="BY4636" s="337"/>
    </row>
    <row r="4637" spans="1:77" s="394" customFormat="1" ht="12" customHeight="1">
      <c r="B4637" s="380" t="s">
        <v>291</v>
      </c>
      <c r="C4637" s="392">
        <v>44805</v>
      </c>
      <c r="D4637" s="392">
        <v>44809</v>
      </c>
      <c r="E4637" s="393" t="s">
        <v>3744</v>
      </c>
      <c r="F4637" s="379" t="s">
        <v>221</v>
      </c>
      <c r="G4637" s="400">
        <v>4540</v>
      </c>
      <c r="H4637" s="394" t="s">
        <v>866</v>
      </c>
      <c r="I4637" s="394" t="s">
        <v>1195</v>
      </c>
      <c r="J4637" s="395">
        <v>18810.86</v>
      </c>
      <c r="L4637" s="395">
        <v>18.11</v>
      </c>
      <c r="M4637" s="395">
        <v>18.11</v>
      </c>
      <c r="N4637" s="396"/>
      <c r="O4637" s="401">
        <v>0.2</v>
      </c>
      <c r="P4637" s="397"/>
      <c r="Q4637" s="396">
        <v>7290.36</v>
      </c>
      <c r="R4637" s="379" t="s">
        <v>146</v>
      </c>
      <c r="S4637" s="388" t="s">
        <v>113</v>
      </c>
      <c r="T4637" s="399">
        <v>31</v>
      </c>
      <c r="U4637" s="398" t="s">
        <v>164</v>
      </c>
      <c r="V4637" s="449"/>
      <c r="X4637" s="396">
        <v>7290.36</v>
      </c>
      <c r="Y4637" s="396"/>
      <c r="AJ4637" s="395">
        <v>7290.36</v>
      </c>
    </row>
    <row r="4638" spans="1:77" s="394" customFormat="1" ht="12" customHeight="1">
      <c r="B4638" s="380" t="s">
        <v>291</v>
      </c>
      <c r="C4638" s="392">
        <v>44802</v>
      </c>
      <c r="D4638" s="392">
        <v>44809</v>
      </c>
      <c r="E4638" s="393" t="s">
        <v>3745</v>
      </c>
      <c r="F4638" s="379" t="s">
        <v>195</v>
      </c>
      <c r="G4638" s="400" t="s">
        <v>196</v>
      </c>
      <c r="H4638" s="394" t="s">
        <v>910</v>
      </c>
      <c r="I4638" s="394" t="s">
        <v>699</v>
      </c>
      <c r="J4638" s="395">
        <v>34404.44</v>
      </c>
      <c r="L4638" s="395">
        <v>15.61</v>
      </c>
      <c r="M4638" s="395">
        <v>15.61</v>
      </c>
      <c r="N4638" s="396"/>
      <c r="O4638" s="401">
        <v>0.25</v>
      </c>
      <c r="P4638" s="397"/>
      <c r="Q4638" s="396">
        <v>0</v>
      </c>
      <c r="R4638" s="379" t="s">
        <v>73</v>
      </c>
      <c r="S4638" s="388" t="s">
        <v>113</v>
      </c>
      <c r="T4638" s="399">
        <v>31</v>
      </c>
      <c r="U4638" s="398" t="s">
        <v>164</v>
      </c>
      <c r="V4638" s="449"/>
      <c r="X4638" s="396">
        <v>0</v>
      </c>
      <c r="Y4638" s="396"/>
      <c r="AJ4638" s="390">
        <v>0</v>
      </c>
    </row>
    <row r="4639" spans="1:77" s="394" customFormat="1" ht="12" customHeight="1">
      <c r="B4639" s="380" t="s">
        <v>291</v>
      </c>
      <c r="C4639" s="392"/>
      <c r="D4639" s="392"/>
      <c r="E4639" s="393" t="s">
        <v>3745</v>
      </c>
      <c r="F4639" s="379" t="s">
        <v>195</v>
      </c>
      <c r="G4639" s="400" t="s">
        <v>196</v>
      </c>
      <c r="H4639" s="394" t="s">
        <v>1141</v>
      </c>
      <c r="I4639" s="394" t="s">
        <v>699</v>
      </c>
      <c r="J4639" s="395">
        <v>4994.5</v>
      </c>
      <c r="L4639" s="395">
        <v>7.36</v>
      </c>
      <c r="M4639" s="395">
        <v>7.36</v>
      </c>
      <c r="N4639" s="396"/>
      <c r="O4639" s="401">
        <v>0.25</v>
      </c>
      <c r="P4639" s="397"/>
      <c r="Q4639" s="396">
        <v>0</v>
      </c>
      <c r="R4639" s="379" t="s">
        <v>73</v>
      </c>
      <c r="S4639" s="388" t="s">
        <v>113</v>
      </c>
      <c r="T4639" s="399">
        <v>31</v>
      </c>
      <c r="U4639" s="398" t="s">
        <v>164</v>
      </c>
      <c r="V4639" s="449"/>
      <c r="X4639" s="396">
        <v>0</v>
      </c>
      <c r="Y4639" s="396"/>
      <c r="AJ4639" s="390">
        <v>0</v>
      </c>
    </row>
    <row r="4640" spans="1:77" s="394" customFormat="1" ht="12" customHeight="1">
      <c r="A4640" s="472"/>
      <c r="B4640" s="486" t="s">
        <v>291</v>
      </c>
      <c r="C4640" s="474"/>
      <c r="D4640" s="474"/>
      <c r="E4640" s="475" t="s">
        <v>3746</v>
      </c>
      <c r="F4640" s="473" t="s">
        <v>172</v>
      </c>
      <c r="G4640" s="476" t="s">
        <v>173</v>
      </c>
      <c r="H4640" s="472" t="s">
        <v>1164</v>
      </c>
      <c r="I4640" s="472" t="s">
        <v>699</v>
      </c>
      <c r="J4640" s="477">
        <v>12285</v>
      </c>
      <c r="K4640" s="472"/>
      <c r="L4640" s="477">
        <v>3.15</v>
      </c>
      <c r="M4640" s="477">
        <v>3.15</v>
      </c>
      <c r="N4640" s="478"/>
      <c r="O4640" s="479">
        <v>0.25</v>
      </c>
      <c r="P4640" s="480"/>
      <c r="Q4640" s="478">
        <v>3276</v>
      </c>
      <c r="R4640" s="473" t="s">
        <v>73</v>
      </c>
      <c r="S4640" s="481" t="s">
        <v>113</v>
      </c>
      <c r="T4640" s="482">
        <v>31</v>
      </c>
      <c r="U4640" s="483" t="s">
        <v>164</v>
      </c>
      <c r="V4640" s="484"/>
      <c r="W4640" s="472"/>
      <c r="X4640" s="478">
        <v>3276</v>
      </c>
      <c r="Y4640" s="478"/>
      <c r="Z4640" s="472"/>
      <c r="AA4640" s="472"/>
      <c r="AB4640" s="472"/>
      <c r="AC4640" s="472"/>
      <c r="AD4640" s="472"/>
      <c r="AE4640" s="472"/>
      <c r="AF4640" s="472"/>
      <c r="AG4640" s="472"/>
      <c r="AH4640" s="472"/>
      <c r="AI4640" s="472"/>
      <c r="AJ4640" s="485"/>
      <c r="AK4640" s="506">
        <v>3276</v>
      </c>
      <c r="AL4640" s="472"/>
      <c r="AM4640" s="472"/>
      <c r="AN4640" s="472"/>
      <c r="AO4640" s="472"/>
      <c r="AP4640" s="472"/>
      <c r="AQ4640" s="472"/>
      <c r="AR4640" s="472"/>
      <c r="AS4640" s="472"/>
      <c r="AT4640" s="472"/>
      <c r="AU4640" s="472"/>
      <c r="AV4640" s="472"/>
      <c r="AW4640" s="472"/>
      <c r="AX4640" s="472"/>
      <c r="AY4640" s="472"/>
      <c r="AZ4640" s="472"/>
      <c r="BA4640" s="472"/>
      <c r="BB4640" s="472"/>
      <c r="BC4640" s="472"/>
      <c r="BD4640" s="472"/>
      <c r="BE4640" s="472"/>
      <c r="BF4640" s="472"/>
      <c r="BG4640" s="472"/>
      <c r="BH4640" s="472"/>
      <c r="BI4640" s="472"/>
      <c r="BJ4640" s="472"/>
      <c r="BK4640" s="472"/>
      <c r="BL4640" s="472"/>
      <c r="BM4640" s="472"/>
      <c r="BN4640" s="472"/>
      <c r="BO4640" s="472"/>
      <c r="BP4640" s="472"/>
      <c r="BQ4640" s="472"/>
      <c r="BR4640" s="472"/>
      <c r="BS4640" s="472"/>
      <c r="BT4640" s="472"/>
      <c r="BU4640" s="472"/>
      <c r="BV4640" s="472"/>
      <c r="BW4640" s="472"/>
      <c r="BX4640" s="472"/>
      <c r="BY4640" s="472"/>
    </row>
    <row r="4641" spans="1:77" s="117" customFormat="1" ht="12" customHeight="1">
      <c r="A4641" s="394"/>
      <c r="B4641" s="380" t="s">
        <v>291</v>
      </c>
      <c r="C4641" s="392">
        <v>44802</v>
      </c>
      <c r="D4641" s="392">
        <v>44809</v>
      </c>
      <c r="E4641" s="393" t="s">
        <v>3746</v>
      </c>
      <c r="F4641" s="379" t="s">
        <v>172</v>
      </c>
      <c r="G4641" s="400" t="s">
        <v>173</v>
      </c>
      <c r="H4641" s="394" t="s">
        <v>910</v>
      </c>
      <c r="I4641" s="394" t="s">
        <v>699</v>
      </c>
      <c r="J4641" s="395">
        <v>68486.490000000005</v>
      </c>
      <c r="K4641" s="394"/>
      <c r="L4641" s="395">
        <v>26.96</v>
      </c>
      <c r="M4641" s="395">
        <v>26.96</v>
      </c>
      <c r="N4641" s="396"/>
      <c r="O4641" s="401">
        <v>0.25</v>
      </c>
      <c r="P4641" s="397"/>
      <c r="Q4641" s="396">
        <v>0</v>
      </c>
      <c r="R4641" s="379" t="s">
        <v>73</v>
      </c>
      <c r="S4641" s="388" t="s">
        <v>113</v>
      </c>
      <c r="T4641" s="399">
        <v>31</v>
      </c>
      <c r="U4641" s="398" t="s">
        <v>164</v>
      </c>
      <c r="V4641" s="449"/>
      <c r="W4641" s="394"/>
      <c r="X4641" s="396">
        <v>0</v>
      </c>
      <c r="Y4641" s="396"/>
      <c r="Z4641" s="394"/>
      <c r="AA4641" s="394"/>
      <c r="AB4641" s="394"/>
      <c r="AC4641" s="394"/>
      <c r="AD4641" s="394"/>
      <c r="AE4641" s="394"/>
      <c r="AF4641" s="394"/>
      <c r="AG4641" s="394"/>
      <c r="AH4641" s="394"/>
      <c r="AI4641" s="394"/>
      <c r="AJ4641" s="390">
        <v>0</v>
      </c>
      <c r="AK4641" s="394"/>
      <c r="AL4641" s="394"/>
      <c r="AM4641" s="394"/>
      <c r="AN4641" s="394"/>
      <c r="AO4641" s="394"/>
      <c r="AP4641" s="394"/>
      <c r="AQ4641" s="394"/>
      <c r="AR4641" s="394"/>
      <c r="AS4641" s="394"/>
      <c r="AT4641" s="394"/>
      <c r="AU4641" s="394"/>
      <c r="AV4641" s="394"/>
      <c r="AW4641" s="394"/>
      <c r="AX4641" s="394"/>
      <c r="AY4641" s="394"/>
      <c r="AZ4641" s="394"/>
      <c r="BA4641" s="394"/>
      <c r="BB4641" s="394"/>
      <c r="BC4641" s="394"/>
      <c r="BD4641" s="394"/>
      <c r="BE4641" s="394"/>
      <c r="BF4641" s="394"/>
      <c r="BG4641" s="394"/>
      <c r="BH4641" s="394"/>
      <c r="BI4641" s="394"/>
      <c r="BJ4641" s="394"/>
      <c r="BK4641" s="394"/>
      <c r="BL4641" s="394"/>
      <c r="BM4641" s="394"/>
      <c r="BN4641" s="394"/>
      <c r="BO4641" s="394"/>
      <c r="BP4641" s="394"/>
      <c r="BQ4641" s="394"/>
      <c r="BR4641" s="394"/>
      <c r="BS4641" s="394"/>
      <c r="BT4641" s="394"/>
      <c r="BU4641" s="394"/>
      <c r="BV4641" s="394"/>
      <c r="BW4641" s="394"/>
      <c r="BX4641" s="394"/>
      <c r="BY4641" s="394"/>
    </row>
    <row r="4642" spans="1:77" s="472" customFormat="1" ht="12" customHeight="1">
      <c r="A4642" s="394"/>
      <c r="B4642" s="380" t="s">
        <v>291</v>
      </c>
      <c r="C4642" s="392"/>
      <c r="D4642" s="392"/>
      <c r="E4642" s="393" t="s">
        <v>3746</v>
      </c>
      <c r="F4642" s="379" t="s">
        <v>172</v>
      </c>
      <c r="G4642" s="400" t="s">
        <v>173</v>
      </c>
      <c r="H4642" s="394" t="s">
        <v>1141</v>
      </c>
      <c r="I4642" s="394" t="s">
        <v>699</v>
      </c>
      <c r="J4642" s="395">
        <v>11825.6</v>
      </c>
      <c r="K4642" s="394"/>
      <c r="L4642" s="395">
        <v>11.69</v>
      </c>
      <c r="M4642" s="395">
        <v>11.69</v>
      </c>
      <c r="N4642" s="396"/>
      <c r="O4642" s="401">
        <v>0.25</v>
      </c>
      <c r="P4642" s="397"/>
      <c r="Q4642" s="396">
        <v>3608.7</v>
      </c>
      <c r="R4642" s="379" t="s">
        <v>73</v>
      </c>
      <c r="S4642" s="388" t="s">
        <v>113</v>
      </c>
      <c r="T4642" s="399">
        <v>31</v>
      </c>
      <c r="U4642" s="398" t="s">
        <v>164</v>
      </c>
      <c r="V4642" s="449"/>
      <c r="W4642" s="394"/>
      <c r="X4642" s="396">
        <v>3608.7</v>
      </c>
      <c r="Y4642" s="396"/>
      <c r="Z4642" s="394"/>
      <c r="AA4642" s="394"/>
      <c r="AB4642" s="394"/>
      <c r="AC4642" s="394"/>
      <c r="AD4642" s="394"/>
      <c r="AE4642" s="394"/>
      <c r="AF4642" s="394"/>
      <c r="AG4642" s="394"/>
      <c r="AH4642" s="394"/>
      <c r="AI4642" s="394"/>
      <c r="AJ4642" s="395">
        <v>3608.7</v>
      </c>
      <c r="AK4642" s="394"/>
      <c r="AL4642" s="394"/>
      <c r="AM4642" s="394"/>
      <c r="AN4642" s="394"/>
      <c r="AO4642" s="394"/>
      <c r="AP4642" s="394"/>
      <c r="AQ4642" s="394"/>
      <c r="AR4642" s="394"/>
      <c r="AS4642" s="394"/>
      <c r="AT4642" s="394"/>
      <c r="AU4642" s="394"/>
      <c r="AV4642" s="394"/>
      <c r="AW4642" s="394"/>
      <c r="AX4642" s="394"/>
      <c r="AY4642" s="394"/>
      <c r="AZ4642" s="394"/>
      <c r="BA4642" s="394"/>
      <c r="BB4642" s="394"/>
      <c r="BC4642" s="394"/>
      <c r="BD4642" s="394"/>
      <c r="BE4642" s="394"/>
      <c r="BF4642" s="394"/>
      <c r="BG4642" s="394"/>
      <c r="BH4642" s="394"/>
      <c r="BI4642" s="394"/>
      <c r="BJ4642" s="394"/>
      <c r="BK4642" s="394"/>
      <c r="BL4642" s="394"/>
      <c r="BM4642" s="394"/>
      <c r="BN4642" s="394"/>
      <c r="BO4642" s="394"/>
      <c r="BP4642" s="394"/>
      <c r="BQ4642" s="394"/>
      <c r="BR4642" s="394"/>
      <c r="BS4642" s="394"/>
      <c r="BT4642" s="394"/>
      <c r="BU4642" s="394"/>
      <c r="BV4642" s="394"/>
      <c r="BW4642" s="394"/>
      <c r="BX4642" s="394"/>
      <c r="BY4642" s="394"/>
    </row>
    <row r="4643" spans="1:77" s="117" customFormat="1" ht="12" customHeight="1">
      <c r="A4643" s="394"/>
      <c r="B4643" s="380" t="s">
        <v>291</v>
      </c>
      <c r="C4643" s="392">
        <v>44806</v>
      </c>
      <c r="D4643" s="392">
        <v>44806</v>
      </c>
      <c r="E4643" s="393" t="s">
        <v>3747</v>
      </c>
      <c r="F4643" s="394" t="s">
        <v>3600</v>
      </c>
      <c r="G4643" s="400" t="s">
        <v>3723</v>
      </c>
      <c r="H4643" s="394" t="s">
        <v>910</v>
      </c>
      <c r="I4643" s="394" t="s">
        <v>888</v>
      </c>
      <c r="J4643" s="395">
        <v>21065.31</v>
      </c>
      <c r="K4643" s="394"/>
      <c r="L4643" s="395">
        <v>12.18</v>
      </c>
      <c r="M4643" s="395">
        <v>12</v>
      </c>
      <c r="N4643" s="396"/>
      <c r="O4643" s="401">
        <v>0.25</v>
      </c>
      <c r="P4643" s="397"/>
      <c r="Q4643" s="396">
        <v>3923.48</v>
      </c>
      <c r="R4643" s="394" t="s">
        <v>146</v>
      </c>
      <c r="S4643" s="388" t="s">
        <v>113</v>
      </c>
      <c r="T4643" s="399">
        <v>64</v>
      </c>
      <c r="U4643" s="398" t="s">
        <v>164</v>
      </c>
      <c r="V4643" s="449"/>
      <c r="W4643" s="394"/>
      <c r="X4643" s="396">
        <v>3923.48</v>
      </c>
      <c r="Y4643" s="396"/>
      <c r="Z4643" s="394"/>
      <c r="AA4643" s="394"/>
      <c r="AB4643" s="394"/>
      <c r="AC4643" s="394"/>
      <c r="AD4643" s="394"/>
      <c r="AE4643" s="394"/>
      <c r="AF4643" s="394"/>
      <c r="AG4643" s="394"/>
      <c r="AH4643" s="394"/>
      <c r="AI4643" s="394"/>
      <c r="AJ4643" s="390">
        <v>3923.48</v>
      </c>
      <c r="AK4643" s="394"/>
      <c r="AL4643" s="394"/>
      <c r="AM4643" s="394"/>
      <c r="AN4643" s="394"/>
      <c r="AO4643" s="394"/>
      <c r="AP4643" s="394"/>
      <c r="AQ4643" s="394"/>
      <c r="AR4643" s="394"/>
      <c r="AS4643" s="394"/>
      <c r="AT4643" s="394"/>
      <c r="AU4643" s="394"/>
      <c r="AV4643" s="394"/>
      <c r="AW4643" s="394"/>
      <c r="AX4643" s="394"/>
      <c r="AY4643" s="394"/>
      <c r="AZ4643" s="394"/>
      <c r="BA4643" s="394"/>
      <c r="BB4643" s="394"/>
      <c r="BC4643" s="394"/>
      <c r="BD4643" s="394"/>
      <c r="BE4643" s="394"/>
      <c r="BF4643" s="394"/>
      <c r="BG4643" s="394"/>
      <c r="BH4643" s="394"/>
      <c r="BI4643" s="394"/>
      <c r="BJ4643" s="394"/>
      <c r="BK4643" s="394"/>
      <c r="BL4643" s="394"/>
      <c r="BM4643" s="394"/>
      <c r="BN4643" s="394"/>
      <c r="BO4643" s="394"/>
      <c r="BP4643" s="394"/>
      <c r="BQ4643" s="394"/>
      <c r="BR4643" s="394"/>
      <c r="BS4643" s="394"/>
      <c r="BT4643" s="394"/>
      <c r="BU4643" s="394"/>
      <c r="BV4643" s="394"/>
      <c r="BW4643" s="394"/>
      <c r="BX4643" s="394"/>
      <c r="BY4643" s="394"/>
    </row>
    <row r="4644" spans="1:77" s="117" customFormat="1" ht="12" customHeight="1">
      <c r="A4644" s="394"/>
      <c r="B4644" s="380" t="s">
        <v>291</v>
      </c>
      <c r="C4644" s="392"/>
      <c r="D4644" s="392"/>
      <c r="E4644" s="393" t="s">
        <v>3747</v>
      </c>
      <c r="F4644" s="394" t="s">
        <v>3600</v>
      </c>
      <c r="G4644" s="400" t="s">
        <v>3723</v>
      </c>
      <c r="H4644" s="394" t="s">
        <v>814</v>
      </c>
      <c r="I4644" s="394" t="s">
        <v>888</v>
      </c>
      <c r="J4644" s="395">
        <v>14988</v>
      </c>
      <c r="K4644" s="394"/>
      <c r="L4644" s="395">
        <v>12.49</v>
      </c>
      <c r="M4644" s="395">
        <v>12</v>
      </c>
      <c r="N4644" s="396"/>
      <c r="O4644" s="401">
        <v>0.25</v>
      </c>
      <c r="P4644" s="397"/>
      <c r="Q4644" s="396">
        <v>0</v>
      </c>
      <c r="R4644" s="394" t="s">
        <v>146</v>
      </c>
      <c r="S4644" s="388" t="s">
        <v>113</v>
      </c>
      <c r="T4644" s="399">
        <v>64</v>
      </c>
      <c r="U4644" s="398" t="s">
        <v>164</v>
      </c>
      <c r="V4644" s="449"/>
      <c r="W4644" s="394"/>
      <c r="X4644" s="396">
        <v>0</v>
      </c>
      <c r="Y4644" s="396"/>
      <c r="Z4644" s="394"/>
      <c r="AA4644" s="394"/>
      <c r="AB4644" s="394"/>
      <c r="AC4644" s="394"/>
      <c r="AD4644" s="394"/>
      <c r="AE4644" s="394"/>
      <c r="AF4644" s="394"/>
      <c r="AG4644" s="394"/>
      <c r="AH4644" s="394"/>
      <c r="AI4644" s="394"/>
      <c r="AJ4644" s="390">
        <v>0</v>
      </c>
      <c r="AK4644" s="394"/>
      <c r="AL4644" s="394"/>
      <c r="AM4644" s="394"/>
      <c r="AN4644" s="394"/>
      <c r="AO4644" s="394"/>
      <c r="AP4644" s="394"/>
      <c r="AQ4644" s="394"/>
      <c r="AR4644" s="394"/>
      <c r="AS4644" s="394"/>
      <c r="AT4644" s="394"/>
      <c r="AU4644" s="394"/>
      <c r="AV4644" s="394"/>
      <c r="AW4644" s="394"/>
      <c r="AX4644" s="394"/>
      <c r="AY4644" s="394"/>
      <c r="AZ4644" s="394"/>
      <c r="BA4644" s="394"/>
      <c r="BB4644" s="394"/>
      <c r="BC4644" s="394"/>
      <c r="BD4644" s="394"/>
      <c r="BE4644" s="394"/>
      <c r="BF4644" s="394"/>
      <c r="BG4644" s="394"/>
      <c r="BH4644" s="394"/>
      <c r="BI4644" s="394"/>
      <c r="BJ4644" s="394"/>
      <c r="BK4644" s="394"/>
      <c r="BL4644" s="394"/>
      <c r="BM4644" s="394"/>
      <c r="BN4644" s="394"/>
      <c r="BO4644" s="394"/>
      <c r="BP4644" s="394"/>
      <c r="BQ4644" s="394"/>
      <c r="BR4644" s="394"/>
      <c r="BS4644" s="394"/>
      <c r="BT4644" s="394"/>
      <c r="BU4644" s="394"/>
      <c r="BV4644" s="394"/>
      <c r="BW4644" s="394"/>
      <c r="BX4644" s="394"/>
      <c r="BY4644" s="394"/>
    </row>
    <row r="4645" spans="1:77" s="117" customFormat="1" ht="12" customHeight="1">
      <c r="A4645" s="394"/>
      <c r="B4645" s="380" t="s">
        <v>291</v>
      </c>
      <c r="C4645" s="392"/>
      <c r="D4645" s="392"/>
      <c r="E4645" s="393" t="s">
        <v>3747</v>
      </c>
      <c r="F4645" s="394" t="s">
        <v>3600</v>
      </c>
      <c r="G4645" s="400" t="s">
        <v>3723</v>
      </c>
      <c r="H4645" s="394" t="s">
        <v>866</v>
      </c>
      <c r="I4645" s="394" t="s">
        <v>888</v>
      </c>
      <c r="J4645" s="395">
        <v>37033.050000000003</v>
      </c>
      <c r="K4645" s="394"/>
      <c r="L4645" s="395">
        <v>23.9</v>
      </c>
      <c r="M4645" s="395">
        <v>23</v>
      </c>
      <c r="N4645" s="396"/>
      <c r="O4645" s="401">
        <v>0.25</v>
      </c>
      <c r="P4645" s="397"/>
      <c r="Q4645" s="396">
        <v>10315.84</v>
      </c>
      <c r="R4645" s="394" t="s">
        <v>146</v>
      </c>
      <c r="S4645" s="388" t="s">
        <v>113</v>
      </c>
      <c r="T4645" s="399">
        <v>64</v>
      </c>
      <c r="U4645" s="398" t="s">
        <v>164</v>
      </c>
      <c r="V4645" s="449"/>
      <c r="W4645" s="394"/>
      <c r="X4645" s="396">
        <v>10315.84</v>
      </c>
      <c r="Y4645" s="396"/>
      <c r="Z4645" s="394"/>
      <c r="AA4645" s="394"/>
      <c r="AB4645" s="394"/>
      <c r="AC4645" s="394"/>
      <c r="AD4645" s="394"/>
      <c r="AE4645" s="394"/>
      <c r="AF4645" s="394"/>
      <c r="AG4645" s="394"/>
      <c r="AH4645" s="394"/>
      <c r="AI4645" s="394"/>
      <c r="AJ4645" s="390">
        <v>10315.84</v>
      </c>
      <c r="AK4645" s="394"/>
      <c r="AL4645" s="394"/>
      <c r="AM4645" s="394"/>
      <c r="AN4645" s="394"/>
      <c r="AO4645" s="394"/>
      <c r="AP4645" s="394"/>
      <c r="AQ4645" s="394"/>
      <c r="AR4645" s="394"/>
      <c r="AS4645" s="394"/>
      <c r="AT4645" s="394"/>
      <c r="AU4645" s="394"/>
      <c r="AV4645" s="394"/>
      <c r="AW4645" s="394"/>
      <c r="AX4645" s="394"/>
      <c r="AY4645" s="394"/>
      <c r="AZ4645" s="394"/>
      <c r="BA4645" s="394"/>
      <c r="BB4645" s="394"/>
      <c r="BC4645" s="394"/>
      <c r="BD4645" s="394"/>
      <c r="BE4645" s="394"/>
      <c r="BF4645" s="394"/>
      <c r="BG4645" s="394"/>
      <c r="BH4645" s="394"/>
      <c r="BI4645" s="394"/>
      <c r="BJ4645" s="394"/>
      <c r="BK4645" s="394"/>
      <c r="BL4645" s="394"/>
      <c r="BM4645" s="394"/>
      <c r="BN4645" s="394"/>
      <c r="BO4645" s="394"/>
      <c r="BP4645" s="394"/>
      <c r="BQ4645" s="394"/>
      <c r="BR4645" s="394"/>
      <c r="BS4645" s="394"/>
      <c r="BT4645" s="394"/>
      <c r="BU4645" s="394"/>
      <c r="BV4645" s="394"/>
      <c r="BW4645" s="394"/>
      <c r="BX4645" s="394"/>
      <c r="BY4645" s="394"/>
    </row>
    <row r="4646" spans="1:77" s="273" customFormat="1" ht="12" customHeight="1">
      <c r="B4646" s="261" t="s">
        <v>290</v>
      </c>
      <c r="C4646" s="271">
        <v>44806</v>
      </c>
      <c r="D4646" s="271">
        <v>44809</v>
      </c>
      <c r="E4646" s="272" t="s">
        <v>3748</v>
      </c>
      <c r="F4646" s="261" t="s">
        <v>3749</v>
      </c>
      <c r="G4646" s="276" t="s">
        <v>3750</v>
      </c>
      <c r="H4646" s="273" t="s">
        <v>866</v>
      </c>
      <c r="I4646" s="273" t="s">
        <v>156</v>
      </c>
      <c r="J4646" s="277">
        <v>22540</v>
      </c>
      <c r="L4646" s="277">
        <v>20</v>
      </c>
      <c r="M4646" s="277">
        <v>7.6</v>
      </c>
      <c r="N4646" s="275"/>
      <c r="O4646" s="289">
        <v>0.3</v>
      </c>
      <c r="P4646" s="278">
        <v>0.05</v>
      </c>
      <c r="Q4646" s="275">
        <v>0</v>
      </c>
      <c r="R4646" s="261" t="s">
        <v>128</v>
      </c>
      <c r="S4646" s="267" t="s">
        <v>118</v>
      </c>
      <c r="T4646" s="279">
        <v>79</v>
      </c>
      <c r="U4646" s="274" t="s">
        <v>164</v>
      </c>
      <c r="V4646" s="454"/>
      <c r="X4646" s="275">
        <v>0</v>
      </c>
      <c r="Y4646" s="275"/>
      <c r="AG4646" s="273">
        <f>X4646</f>
        <v>0</v>
      </c>
      <c r="AJ4646" s="642"/>
    </row>
    <row r="4647" spans="1:77" s="341" customFormat="1" ht="12" customHeight="1">
      <c r="B4647" s="337" t="s">
        <v>291</v>
      </c>
      <c r="C4647" s="339">
        <v>44809</v>
      </c>
      <c r="D4647" s="339">
        <v>44809</v>
      </c>
      <c r="E4647" s="340" t="s">
        <v>3751</v>
      </c>
      <c r="F4647" s="337" t="s">
        <v>2284</v>
      </c>
      <c r="G4647" s="342" t="s">
        <v>2285</v>
      </c>
      <c r="H4647" s="341" t="s">
        <v>866</v>
      </c>
      <c r="I4647" s="341" t="s">
        <v>888</v>
      </c>
      <c r="J4647" s="343">
        <v>14572.8</v>
      </c>
      <c r="L4647" s="343">
        <v>5.52</v>
      </c>
      <c r="M4647" s="343">
        <v>5.52</v>
      </c>
      <c r="N4647" s="344">
        <v>4188.6000000000004</v>
      </c>
      <c r="O4647" s="359">
        <v>0.25</v>
      </c>
      <c r="P4647" s="345"/>
      <c r="Q4647" s="344">
        <v>0</v>
      </c>
      <c r="R4647" s="341" t="s">
        <v>112</v>
      </c>
      <c r="S4647" s="346" t="s">
        <v>113</v>
      </c>
      <c r="T4647" s="346">
        <v>64</v>
      </c>
      <c r="U4647" s="347" t="s">
        <v>164</v>
      </c>
      <c r="V4647" s="451"/>
      <c r="X4647" s="344">
        <v>0</v>
      </c>
      <c r="Y4647" s="344"/>
      <c r="AI4647" s="341">
        <f>X4647</f>
        <v>0</v>
      </c>
      <c r="AJ4647" s="358"/>
      <c r="AK4647" s="369"/>
      <c r="AL4647" s="337"/>
      <c r="AM4647" s="337"/>
      <c r="AN4647" s="337"/>
      <c r="AO4647" s="337"/>
      <c r="AP4647" s="337"/>
      <c r="AQ4647" s="337"/>
      <c r="AR4647" s="337"/>
      <c r="AS4647" s="337"/>
      <c r="AT4647" s="337"/>
      <c r="AU4647" s="337"/>
      <c r="AV4647" s="337"/>
      <c r="AW4647" s="337"/>
      <c r="AX4647" s="337"/>
      <c r="AY4647" s="337"/>
      <c r="AZ4647" s="337"/>
      <c r="BA4647" s="337"/>
      <c r="BB4647" s="337"/>
      <c r="BC4647" s="337"/>
      <c r="BD4647" s="337"/>
      <c r="BE4647" s="337"/>
      <c r="BF4647" s="337"/>
      <c r="BG4647" s="337"/>
      <c r="BH4647" s="337"/>
      <c r="BI4647" s="337"/>
      <c r="BJ4647" s="337"/>
      <c r="BK4647" s="337"/>
      <c r="BL4647" s="337"/>
      <c r="BM4647" s="337"/>
      <c r="BN4647" s="337"/>
      <c r="BO4647" s="337"/>
      <c r="BP4647" s="337"/>
      <c r="BQ4647" s="337"/>
      <c r="BR4647" s="337"/>
      <c r="BS4647" s="337"/>
      <c r="BT4647" s="337"/>
      <c r="BU4647" s="337"/>
      <c r="BV4647" s="337"/>
      <c r="BW4647" s="337"/>
      <c r="BX4647" s="337"/>
      <c r="BY4647" s="337"/>
    </row>
    <row r="4648" spans="1:77" s="117" customFormat="1" ht="12" customHeight="1">
      <c r="A4648" s="394"/>
      <c r="B4648" s="379" t="s">
        <v>291</v>
      </c>
      <c r="C4648" s="392">
        <v>44809</v>
      </c>
      <c r="D4648" s="392">
        <v>44809</v>
      </c>
      <c r="E4648" s="393" t="s">
        <v>3752</v>
      </c>
      <c r="F4648" s="379" t="s">
        <v>3753</v>
      </c>
      <c r="G4648" s="400" t="s">
        <v>3754</v>
      </c>
      <c r="H4648" s="394" t="s">
        <v>1138</v>
      </c>
      <c r="I4648" s="394" t="s">
        <v>33</v>
      </c>
      <c r="J4648" s="395">
        <v>9183.4599999999991</v>
      </c>
      <c r="K4648" s="394"/>
      <c r="L4648" s="395">
        <v>11.81</v>
      </c>
      <c r="M4648" s="395">
        <v>11.81</v>
      </c>
      <c r="N4648" s="396"/>
      <c r="O4648" s="401">
        <v>0.25</v>
      </c>
      <c r="P4648" s="397"/>
      <c r="Q4648" s="396">
        <v>4368.5200000000004</v>
      </c>
      <c r="R4648" s="394" t="s">
        <v>35</v>
      </c>
      <c r="S4648" s="399" t="s">
        <v>41</v>
      </c>
      <c r="T4648" s="399">
        <v>86</v>
      </c>
      <c r="U4648" s="398" t="s">
        <v>164</v>
      </c>
      <c r="V4648" s="449"/>
      <c r="W4648" s="394"/>
      <c r="X4648" s="396">
        <v>4368.5200000000004</v>
      </c>
      <c r="Y4648" s="396"/>
      <c r="Z4648" s="394"/>
      <c r="AA4648" s="394"/>
      <c r="AB4648" s="394"/>
      <c r="AC4648" s="394"/>
      <c r="AD4648" s="394"/>
      <c r="AE4648" s="394"/>
      <c r="AF4648" s="394"/>
      <c r="AG4648" s="394"/>
      <c r="AH4648" s="394"/>
      <c r="AI4648" s="394"/>
      <c r="AJ4648" s="395">
        <v>4368.5200000000004</v>
      </c>
      <c r="AK4648" s="394"/>
      <c r="AL4648" s="394"/>
      <c r="AM4648" s="394"/>
      <c r="AN4648" s="394"/>
      <c r="AO4648" s="394"/>
      <c r="AP4648" s="394"/>
      <c r="AQ4648" s="394"/>
      <c r="AR4648" s="394"/>
      <c r="AS4648" s="394"/>
      <c r="AT4648" s="394"/>
      <c r="AU4648" s="394"/>
      <c r="AV4648" s="394"/>
      <c r="AW4648" s="394"/>
      <c r="AX4648" s="394"/>
      <c r="AY4648" s="394"/>
      <c r="AZ4648" s="394"/>
      <c r="BA4648" s="394"/>
      <c r="BB4648" s="394"/>
      <c r="BC4648" s="394"/>
      <c r="BD4648" s="394"/>
      <c r="BE4648" s="394"/>
      <c r="BF4648" s="394"/>
      <c r="BG4648" s="394"/>
      <c r="BH4648" s="394"/>
      <c r="BI4648" s="394"/>
      <c r="BJ4648" s="394"/>
      <c r="BK4648" s="394"/>
      <c r="BL4648" s="394"/>
      <c r="BM4648" s="394"/>
      <c r="BN4648" s="394"/>
      <c r="BO4648" s="394"/>
      <c r="BP4648" s="394"/>
      <c r="BQ4648" s="394"/>
      <c r="BR4648" s="394"/>
      <c r="BS4648" s="394"/>
      <c r="BT4648" s="394"/>
      <c r="BU4648" s="394"/>
      <c r="BV4648" s="394"/>
      <c r="BW4648" s="394"/>
      <c r="BX4648" s="394"/>
      <c r="BY4648" s="394"/>
    </row>
    <row r="4649" spans="1:77" s="341" customFormat="1" ht="12" customHeight="1">
      <c r="B4649" s="337" t="s">
        <v>291</v>
      </c>
      <c r="C4649" s="339">
        <v>44805</v>
      </c>
      <c r="D4649" s="339">
        <v>44809</v>
      </c>
      <c r="E4649" s="340" t="s">
        <v>3760</v>
      </c>
      <c r="F4649" s="337" t="s">
        <v>404</v>
      </c>
      <c r="G4649" s="351">
        <v>3604</v>
      </c>
      <c r="H4649" s="341" t="s">
        <v>866</v>
      </c>
      <c r="I4649" s="353" t="s">
        <v>156</v>
      </c>
      <c r="J4649" s="343">
        <v>10618.26</v>
      </c>
      <c r="L4649" s="343">
        <v>10.43</v>
      </c>
      <c r="M4649" s="343">
        <v>5.59</v>
      </c>
      <c r="N4649" s="344"/>
      <c r="O4649" s="345">
        <v>0.15</v>
      </c>
      <c r="P4649" s="345">
        <v>0.1</v>
      </c>
      <c r="Q4649" s="344">
        <v>0</v>
      </c>
      <c r="R4649" s="337" t="s">
        <v>35</v>
      </c>
      <c r="S4649" s="356" t="s">
        <v>41</v>
      </c>
      <c r="T4649" s="346">
        <v>86</v>
      </c>
      <c r="U4649" s="347" t="s">
        <v>164</v>
      </c>
      <c r="V4649" s="451"/>
      <c r="X4649" s="344">
        <v>0</v>
      </c>
      <c r="Y4649" s="344"/>
      <c r="AI4649" s="341">
        <f>X4649</f>
        <v>0</v>
      </c>
      <c r="AJ4649" s="358"/>
      <c r="AK4649" s="369"/>
      <c r="AL4649" s="337"/>
      <c r="AM4649" s="337"/>
      <c r="AN4649" s="337"/>
      <c r="AO4649" s="337"/>
      <c r="AP4649" s="337"/>
      <c r="AQ4649" s="337"/>
      <c r="AR4649" s="337"/>
      <c r="AS4649" s="337"/>
      <c r="AT4649" s="337"/>
      <c r="AU4649" s="337"/>
      <c r="AV4649" s="337"/>
      <c r="AW4649" s="337"/>
      <c r="AX4649" s="337"/>
      <c r="AY4649" s="337"/>
      <c r="AZ4649" s="337"/>
      <c r="BA4649" s="337"/>
      <c r="BB4649" s="337"/>
      <c r="BC4649" s="337"/>
      <c r="BD4649" s="337"/>
      <c r="BE4649" s="337"/>
      <c r="BF4649" s="337"/>
      <c r="BG4649" s="337"/>
      <c r="BH4649" s="337"/>
      <c r="BI4649" s="337"/>
      <c r="BJ4649" s="337"/>
      <c r="BK4649" s="337"/>
      <c r="BL4649" s="337"/>
      <c r="BM4649" s="337"/>
      <c r="BN4649" s="337"/>
      <c r="BO4649" s="337"/>
      <c r="BP4649" s="337"/>
      <c r="BQ4649" s="337"/>
      <c r="BR4649" s="337"/>
      <c r="BS4649" s="337"/>
      <c r="BT4649" s="337"/>
      <c r="BU4649" s="337"/>
      <c r="BV4649" s="337"/>
      <c r="BW4649" s="337"/>
      <c r="BX4649" s="337"/>
      <c r="BY4649" s="337"/>
    </row>
    <row r="4650" spans="1:77" s="394" customFormat="1" ht="12" customHeight="1">
      <c r="B4650" s="379" t="s">
        <v>291</v>
      </c>
      <c r="C4650" s="392">
        <v>44806</v>
      </c>
      <c r="D4650" s="392">
        <v>44809</v>
      </c>
      <c r="E4650" s="393" t="s">
        <v>3761</v>
      </c>
      <c r="F4650" s="379" t="s">
        <v>2079</v>
      </c>
      <c r="G4650" s="383">
        <v>4425</v>
      </c>
      <c r="H4650" s="394" t="s">
        <v>866</v>
      </c>
      <c r="I4650" s="394" t="s">
        <v>156</v>
      </c>
      <c r="J4650" s="395">
        <v>15710.92</v>
      </c>
      <c r="L4650" s="395">
        <v>15.02</v>
      </c>
      <c r="M4650" s="395">
        <v>15.02</v>
      </c>
      <c r="N4650" s="396"/>
      <c r="O4650" s="397">
        <v>0.15</v>
      </c>
      <c r="P4650" s="397">
        <v>0.1</v>
      </c>
      <c r="Q4650" s="396">
        <v>0</v>
      </c>
      <c r="R4650" s="379" t="s">
        <v>128</v>
      </c>
      <c r="S4650" s="388" t="s">
        <v>118</v>
      </c>
      <c r="T4650" s="399">
        <v>79</v>
      </c>
      <c r="U4650" s="398" t="s">
        <v>164</v>
      </c>
      <c r="V4650" s="449"/>
      <c r="X4650" s="396">
        <v>0</v>
      </c>
      <c r="Y4650" s="396"/>
      <c r="AJ4650" s="390">
        <v>0</v>
      </c>
    </row>
    <row r="4651" spans="1:77" s="472" customFormat="1" ht="12" customHeight="1">
      <c r="B4651" s="473" t="s">
        <v>291</v>
      </c>
      <c r="C4651" s="474">
        <v>44807</v>
      </c>
      <c r="D4651" s="474">
        <v>44809</v>
      </c>
      <c r="E4651" s="475" t="s">
        <v>3762</v>
      </c>
      <c r="F4651" s="473" t="s">
        <v>3763</v>
      </c>
      <c r="G4651" s="476">
        <v>3769</v>
      </c>
      <c r="H4651" s="472" t="s">
        <v>814</v>
      </c>
      <c r="I4651" s="472" t="s">
        <v>33</v>
      </c>
      <c r="J4651" s="477">
        <v>14856.7</v>
      </c>
      <c r="L4651" s="477">
        <v>18.18</v>
      </c>
      <c r="M4651" s="477">
        <v>18.18</v>
      </c>
      <c r="N4651" s="478">
        <v>4736</v>
      </c>
      <c r="O4651" s="479">
        <v>0.2</v>
      </c>
      <c r="P4651" s="480"/>
      <c r="Q4651" s="478">
        <v>955.54</v>
      </c>
      <c r="R4651" s="472" t="s">
        <v>105</v>
      </c>
      <c r="S4651" s="482" t="s">
        <v>30</v>
      </c>
      <c r="T4651" s="482">
        <v>71</v>
      </c>
      <c r="U4651" s="483" t="s">
        <v>164</v>
      </c>
      <c r="V4651" s="484"/>
      <c r="X4651" s="478">
        <v>955.54</v>
      </c>
      <c r="Y4651" s="478"/>
      <c r="AJ4651" s="478"/>
      <c r="AK4651" s="478">
        <v>955.54</v>
      </c>
    </row>
    <row r="4652" spans="1:77" s="273" customFormat="1" ht="12" customHeight="1">
      <c r="A4652" s="472"/>
      <c r="B4652" s="473" t="s">
        <v>291</v>
      </c>
      <c r="C4652" s="474"/>
      <c r="D4652" s="474"/>
      <c r="E4652" s="475" t="s">
        <v>3762</v>
      </c>
      <c r="F4652" s="473" t="s">
        <v>3763</v>
      </c>
      <c r="G4652" s="476">
        <v>3769</v>
      </c>
      <c r="H4652" s="472" t="s">
        <v>2001</v>
      </c>
      <c r="I4652" s="472" t="s">
        <v>33</v>
      </c>
      <c r="J4652" s="477">
        <v>30239.35</v>
      </c>
      <c r="K4652" s="472"/>
      <c r="L4652" s="477">
        <v>21.78</v>
      </c>
      <c r="M4652" s="477">
        <v>21.78</v>
      </c>
      <c r="N4652" s="478">
        <v>4756</v>
      </c>
      <c r="O4652" s="479">
        <v>0.2</v>
      </c>
      <c r="P4652" s="480"/>
      <c r="Q4652" s="478">
        <v>0</v>
      </c>
      <c r="R4652" s="472" t="s">
        <v>105</v>
      </c>
      <c r="S4652" s="482" t="s">
        <v>30</v>
      </c>
      <c r="T4652" s="482">
        <v>39</v>
      </c>
      <c r="U4652" s="483" t="s">
        <v>164</v>
      </c>
      <c r="V4652" s="484"/>
      <c r="W4652" s="472"/>
      <c r="X4652" s="478">
        <v>0</v>
      </c>
      <c r="Y4652" s="478"/>
      <c r="Z4652" s="472"/>
      <c r="AA4652" s="472"/>
      <c r="AB4652" s="472"/>
      <c r="AC4652" s="472"/>
      <c r="AD4652" s="472"/>
      <c r="AE4652" s="472"/>
      <c r="AF4652" s="472"/>
      <c r="AG4652" s="472"/>
      <c r="AH4652" s="472"/>
      <c r="AI4652" s="472"/>
      <c r="AJ4652" s="485">
        <v>0</v>
      </c>
      <c r="AK4652" s="472">
        <v>0</v>
      </c>
      <c r="AL4652" s="472"/>
      <c r="AM4652" s="472"/>
      <c r="AN4652" s="472"/>
      <c r="AO4652" s="472"/>
      <c r="AP4652" s="472"/>
      <c r="AQ4652" s="472"/>
      <c r="AR4652" s="472"/>
      <c r="AS4652" s="472"/>
      <c r="AT4652" s="472"/>
      <c r="AU4652" s="472"/>
      <c r="AV4652" s="472"/>
      <c r="AW4652" s="472"/>
      <c r="AX4652" s="472"/>
      <c r="AY4652" s="472"/>
      <c r="AZ4652" s="472"/>
      <c r="BA4652" s="472"/>
      <c r="BB4652" s="472"/>
      <c r="BC4652" s="472"/>
      <c r="BD4652" s="472"/>
      <c r="BE4652" s="472"/>
      <c r="BF4652" s="472"/>
      <c r="BG4652" s="472"/>
      <c r="BH4652" s="472"/>
      <c r="BI4652" s="472"/>
      <c r="BJ4652" s="472"/>
      <c r="BK4652" s="472"/>
      <c r="BL4652" s="472"/>
      <c r="BM4652" s="472"/>
      <c r="BN4652" s="472"/>
      <c r="BO4652" s="472"/>
      <c r="BP4652" s="472"/>
      <c r="BQ4652" s="472"/>
      <c r="BR4652" s="472"/>
      <c r="BS4652" s="472"/>
      <c r="BT4652" s="472"/>
      <c r="BU4652" s="472"/>
      <c r="BV4652" s="472"/>
      <c r="BW4652" s="472"/>
      <c r="BX4652" s="472"/>
      <c r="BY4652" s="472"/>
    </row>
    <row r="4653" spans="1:77" s="273" customFormat="1" ht="12" customHeight="1">
      <c r="B4653" s="261" t="s">
        <v>291</v>
      </c>
      <c r="C4653" s="271"/>
      <c r="D4653" s="271"/>
      <c r="E4653" s="272" t="s">
        <v>3762</v>
      </c>
      <c r="F4653" s="261" t="s">
        <v>3763</v>
      </c>
      <c r="G4653" s="276">
        <v>3769</v>
      </c>
      <c r="H4653" s="273" t="s">
        <v>814</v>
      </c>
      <c r="I4653" s="273" t="s">
        <v>33</v>
      </c>
      <c r="J4653" s="277">
        <v>4543.63</v>
      </c>
      <c r="L4653" s="277">
        <v>4.54</v>
      </c>
      <c r="M4653" s="277">
        <v>4.54</v>
      </c>
      <c r="N4653" s="275"/>
      <c r="O4653" s="289">
        <v>0.2</v>
      </c>
      <c r="P4653" s="278"/>
      <c r="Q4653" s="275">
        <v>0</v>
      </c>
      <c r="R4653" s="273" t="s">
        <v>105</v>
      </c>
      <c r="S4653" s="279" t="s">
        <v>30</v>
      </c>
      <c r="T4653" s="279">
        <v>39</v>
      </c>
      <c r="U4653" s="274" t="s">
        <v>164</v>
      </c>
      <c r="V4653" s="454"/>
      <c r="X4653" s="275">
        <v>0</v>
      </c>
      <c r="Y4653" s="275"/>
      <c r="AG4653" s="273">
        <f>X4653</f>
        <v>0</v>
      </c>
      <c r="AJ4653" s="642"/>
    </row>
    <row r="4654" spans="1:77" s="273" customFormat="1" ht="12" customHeight="1">
      <c r="B4654" s="261" t="s">
        <v>291</v>
      </c>
      <c r="C4654" s="271"/>
      <c r="D4654" s="271"/>
      <c r="E4654" s="272" t="s">
        <v>3762</v>
      </c>
      <c r="F4654" s="261" t="s">
        <v>3763</v>
      </c>
      <c r="G4654" s="276">
        <v>3769</v>
      </c>
      <c r="H4654" s="273" t="s">
        <v>765</v>
      </c>
      <c r="I4654" s="273" t="s">
        <v>33</v>
      </c>
      <c r="J4654" s="277">
        <v>12098.48</v>
      </c>
      <c r="L4654" s="277">
        <v>9.7200000000000006</v>
      </c>
      <c r="M4654" s="277">
        <v>9.7200000000000006</v>
      </c>
      <c r="N4654" s="275"/>
      <c r="O4654" s="289">
        <v>0.2</v>
      </c>
      <c r="P4654" s="278"/>
      <c r="Q4654" s="275">
        <v>0</v>
      </c>
      <c r="R4654" s="273" t="s">
        <v>105</v>
      </c>
      <c r="S4654" s="279" t="s">
        <v>30</v>
      </c>
      <c r="T4654" s="279">
        <v>39</v>
      </c>
      <c r="U4654" s="274" t="s">
        <v>164</v>
      </c>
      <c r="V4654" s="454"/>
      <c r="X4654" s="275">
        <v>0</v>
      </c>
      <c r="Y4654" s="275"/>
      <c r="AG4654" s="273">
        <f>X4654</f>
        <v>0</v>
      </c>
      <c r="AH4654" s="290"/>
      <c r="AJ4654" s="642"/>
    </row>
    <row r="4655" spans="1:77" s="341" customFormat="1" ht="12" customHeight="1">
      <c r="B4655" s="337" t="s">
        <v>291</v>
      </c>
      <c r="C4655" s="339">
        <v>44809</v>
      </c>
      <c r="D4655" s="339">
        <v>44809</v>
      </c>
      <c r="E4655" s="340" t="s">
        <v>3764</v>
      </c>
      <c r="F4655" s="337" t="s">
        <v>389</v>
      </c>
      <c r="G4655" s="342">
        <v>3585</v>
      </c>
      <c r="H4655" s="341" t="s">
        <v>911</v>
      </c>
      <c r="I4655" s="341" t="s">
        <v>961</v>
      </c>
      <c r="J4655" s="343">
        <v>13482.98</v>
      </c>
      <c r="L4655" s="343">
        <v>7.72</v>
      </c>
      <c r="M4655" s="343">
        <v>7.72</v>
      </c>
      <c r="N4655" s="344"/>
      <c r="O4655" s="359">
        <v>0.15</v>
      </c>
      <c r="P4655" s="345"/>
      <c r="Q4655" s="344">
        <v>0</v>
      </c>
      <c r="R4655" s="337" t="s">
        <v>42</v>
      </c>
      <c r="S4655" s="356" t="s">
        <v>41</v>
      </c>
      <c r="T4655" s="346">
        <v>16</v>
      </c>
      <c r="U4655" s="347" t="s">
        <v>164</v>
      </c>
      <c r="V4655" s="451"/>
      <c r="X4655" s="344">
        <v>0</v>
      </c>
      <c r="Y4655" s="344"/>
      <c r="AI4655" s="341">
        <f>X4655</f>
        <v>0</v>
      </c>
      <c r="AJ4655" s="358"/>
      <c r="AK4655" s="369"/>
      <c r="AL4655" s="337"/>
      <c r="AM4655" s="337"/>
      <c r="AN4655" s="337"/>
      <c r="AO4655" s="337"/>
      <c r="AP4655" s="337"/>
      <c r="AQ4655" s="337"/>
      <c r="AR4655" s="337"/>
      <c r="AS4655" s="337"/>
      <c r="AT4655" s="337"/>
      <c r="AU4655" s="337"/>
      <c r="AV4655" s="337"/>
      <c r="AW4655" s="337"/>
      <c r="AX4655" s="337"/>
      <c r="AY4655" s="337"/>
      <c r="AZ4655" s="337"/>
      <c r="BA4655" s="337"/>
      <c r="BB4655" s="337"/>
      <c r="BC4655" s="337"/>
      <c r="BD4655" s="337"/>
      <c r="BE4655" s="337"/>
      <c r="BF4655" s="337"/>
      <c r="BG4655" s="337"/>
      <c r="BH4655" s="337"/>
      <c r="BI4655" s="337"/>
      <c r="BJ4655" s="337"/>
      <c r="BK4655" s="337"/>
      <c r="BL4655" s="337"/>
      <c r="BM4655" s="337"/>
      <c r="BN4655" s="337"/>
      <c r="BO4655" s="337"/>
      <c r="BP4655" s="337"/>
      <c r="BQ4655" s="337"/>
      <c r="BR4655" s="337"/>
      <c r="BS4655" s="337"/>
      <c r="BT4655" s="337"/>
      <c r="BU4655" s="337"/>
      <c r="BV4655" s="337"/>
      <c r="BW4655" s="337"/>
      <c r="BX4655" s="337"/>
      <c r="BY4655" s="337"/>
    </row>
    <row r="4656" spans="1:77" s="394" customFormat="1" ht="12" customHeight="1">
      <c r="B4656" s="380" t="s">
        <v>291</v>
      </c>
      <c r="C4656" s="392">
        <v>44783</v>
      </c>
      <c r="D4656" s="392">
        <v>44809</v>
      </c>
      <c r="E4656" s="393" t="s">
        <v>3765</v>
      </c>
      <c r="F4656" s="379" t="s">
        <v>597</v>
      </c>
      <c r="G4656" s="400">
        <v>3588</v>
      </c>
      <c r="H4656" s="394" t="s">
        <v>911</v>
      </c>
      <c r="I4656" s="394" t="s">
        <v>111</v>
      </c>
      <c r="J4656" s="395">
        <v>17349.150000000001</v>
      </c>
      <c r="L4656" s="395">
        <v>9.3000000000000007</v>
      </c>
      <c r="M4656" s="395">
        <v>9.3000000000000007</v>
      </c>
      <c r="N4656" s="396"/>
      <c r="O4656" s="401">
        <v>0.15</v>
      </c>
      <c r="P4656" s="397"/>
      <c r="Q4656" s="396">
        <v>0</v>
      </c>
      <c r="R4656" s="379" t="s">
        <v>77</v>
      </c>
      <c r="S4656" s="388" t="s">
        <v>41</v>
      </c>
      <c r="T4656" s="399">
        <v>16</v>
      </c>
      <c r="U4656" s="398" t="s">
        <v>164</v>
      </c>
      <c r="V4656" s="449"/>
      <c r="X4656" s="396">
        <v>0</v>
      </c>
      <c r="Y4656" s="396"/>
      <c r="AJ4656" s="390">
        <v>0</v>
      </c>
    </row>
    <row r="4657" spans="2:37" s="394" customFormat="1" ht="12" customHeight="1">
      <c r="B4657" s="380" t="s">
        <v>291</v>
      </c>
      <c r="C4657" s="392">
        <v>44809</v>
      </c>
      <c r="D4657" s="392">
        <v>44810</v>
      </c>
      <c r="E4657" s="393" t="s">
        <v>3766</v>
      </c>
      <c r="F4657" s="379" t="s">
        <v>146</v>
      </c>
      <c r="G4657" s="400">
        <v>3793</v>
      </c>
      <c r="H4657" s="394" t="s">
        <v>814</v>
      </c>
      <c r="I4657" s="394" t="s">
        <v>1336</v>
      </c>
      <c r="J4657" s="395">
        <v>20902.39</v>
      </c>
      <c r="L4657" s="395">
        <v>18.57</v>
      </c>
      <c r="M4657" s="395">
        <v>18.57</v>
      </c>
      <c r="N4657" s="396"/>
      <c r="O4657" s="401">
        <v>0.2</v>
      </c>
      <c r="P4657" s="397">
        <v>0.1</v>
      </c>
      <c r="Q4657" s="396">
        <v>7612.21</v>
      </c>
      <c r="R4657" s="379" t="s">
        <v>146</v>
      </c>
      <c r="S4657" s="388" t="s">
        <v>74</v>
      </c>
      <c r="T4657" s="399">
        <v>32</v>
      </c>
      <c r="U4657" s="398" t="s">
        <v>164</v>
      </c>
      <c r="V4657" s="449"/>
      <c r="X4657" s="396">
        <v>7612.21</v>
      </c>
      <c r="Y4657" s="396"/>
      <c r="AJ4657" s="395">
        <v>7612.21</v>
      </c>
    </row>
    <row r="4658" spans="2:37" s="472" customFormat="1" ht="12" customHeight="1">
      <c r="B4658" s="486" t="s">
        <v>291</v>
      </c>
      <c r="C4658" s="474">
        <v>44808</v>
      </c>
      <c r="D4658" s="474">
        <v>44810</v>
      </c>
      <c r="E4658" s="475" t="s">
        <v>3767</v>
      </c>
      <c r="F4658" s="473" t="s">
        <v>3674</v>
      </c>
      <c r="G4658" s="476" t="s">
        <v>3675</v>
      </c>
      <c r="H4658" s="473" t="s">
        <v>765</v>
      </c>
      <c r="I4658" s="472" t="s">
        <v>33</v>
      </c>
      <c r="J4658" s="477">
        <v>21229.040000000001</v>
      </c>
      <c r="L4658" s="477">
        <v>23.38</v>
      </c>
      <c r="M4658" s="477">
        <v>23.38</v>
      </c>
      <c r="N4658" s="478"/>
      <c r="O4658" s="479">
        <v>0.25</v>
      </c>
      <c r="P4658" s="480"/>
      <c r="Q4658" s="478">
        <v>3343.34</v>
      </c>
      <c r="R4658" s="473" t="s">
        <v>257</v>
      </c>
      <c r="S4658" s="481" t="s">
        <v>74</v>
      </c>
      <c r="T4658" s="482">
        <v>32</v>
      </c>
      <c r="U4658" s="483" t="s">
        <v>164</v>
      </c>
      <c r="V4658" s="484"/>
      <c r="X4658" s="478">
        <v>3343.34</v>
      </c>
      <c r="Y4658" s="478"/>
      <c r="AJ4658" s="485"/>
      <c r="AK4658" s="506">
        <v>3343.34</v>
      </c>
    </row>
    <row r="4659" spans="2:37" s="394" customFormat="1" ht="12" customHeight="1">
      <c r="B4659" s="379" t="s">
        <v>291</v>
      </c>
      <c r="C4659" s="392">
        <v>44809</v>
      </c>
      <c r="D4659" s="392">
        <v>44810</v>
      </c>
      <c r="E4659" s="393" t="s">
        <v>3768</v>
      </c>
      <c r="F4659" s="379" t="s">
        <v>2541</v>
      </c>
      <c r="G4659" s="400" t="s">
        <v>2542</v>
      </c>
      <c r="H4659" s="394" t="s">
        <v>765</v>
      </c>
      <c r="I4659" s="394" t="s">
        <v>888</v>
      </c>
      <c r="J4659" s="395">
        <v>8603.18</v>
      </c>
      <c r="L4659" s="395">
        <v>6.2</v>
      </c>
      <c r="M4659" s="395">
        <v>6.2</v>
      </c>
      <c r="N4659" s="396">
        <v>4903.8100000000004</v>
      </c>
      <c r="O4659" s="401">
        <v>0.25</v>
      </c>
      <c r="P4659" s="397"/>
      <c r="Q4659" s="396">
        <v>450.17</v>
      </c>
      <c r="R4659" s="379" t="s">
        <v>112</v>
      </c>
      <c r="S4659" s="399" t="s">
        <v>65</v>
      </c>
      <c r="T4659" s="399">
        <v>64</v>
      </c>
      <c r="U4659" s="398" t="s">
        <v>164</v>
      </c>
      <c r="V4659" s="449"/>
      <c r="X4659" s="396">
        <v>450.17</v>
      </c>
      <c r="Y4659" s="396"/>
      <c r="AJ4659" s="395">
        <v>450.17</v>
      </c>
    </row>
    <row r="4660" spans="2:37" s="472" customFormat="1" ht="12" customHeight="1">
      <c r="B4660" s="473" t="s">
        <v>291</v>
      </c>
      <c r="C4660" s="474">
        <v>44807</v>
      </c>
      <c r="D4660" s="474">
        <v>44810</v>
      </c>
      <c r="E4660" s="475" t="s">
        <v>3769</v>
      </c>
      <c r="F4660" s="473" t="s">
        <v>3770</v>
      </c>
      <c r="G4660" s="476">
        <v>3929</v>
      </c>
      <c r="H4660" s="472" t="s">
        <v>866</v>
      </c>
      <c r="I4660" s="472" t="s">
        <v>33</v>
      </c>
      <c r="J4660" s="477">
        <v>13994.4</v>
      </c>
      <c r="L4660" s="477">
        <v>12</v>
      </c>
      <c r="M4660" s="477">
        <v>12</v>
      </c>
      <c r="N4660" s="478">
        <v>3353.33</v>
      </c>
      <c r="O4660" s="479">
        <v>0.2</v>
      </c>
      <c r="P4660" s="480"/>
      <c r="Q4660" s="478">
        <v>0</v>
      </c>
      <c r="R4660" s="472" t="s">
        <v>29</v>
      </c>
      <c r="S4660" s="482" t="s">
        <v>30</v>
      </c>
      <c r="T4660" s="482">
        <v>70</v>
      </c>
      <c r="U4660" s="483" t="s">
        <v>164</v>
      </c>
      <c r="V4660" s="484"/>
      <c r="X4660" s="478">
        <v>0</v>
      </c>
      <c r="Y4660" s="478"/>
      <c r="AJ4660" s="485"/>
      <c r="AK4660" s="472">
        <v>0</v>
      </c>
    </row>
    <row r="4661" spans="2:37" s="394" customFormat="1" ht="12" customHeight="1">
      <c r="B4661" s="379" t="s">
        <v>291</v>
      </c>
      <c r="C4661" s="392">
        <v>44809</v>
      </c>
      <c r="D4661" s="392">
        <v>44810</v>
      </c>
      <c r="E4661" s="393" t="s">
        <v>3773</v>
      </c>
      <c r="F4661" s="379" t="s">
        <v>3774</v>
      </c>
      <c r="G4661" s="400" t="s">
        <v>3775</v>
      </c>
      <c r="H4661" s="394" t="s">
        <v>910</v>
      </c>
      <c r="I4661" s="394" t="s">
        <v>1168</v>
      </c>
      <c r="J4661" s="395">
        <v>332129.13</v>
      </c>
      <c r="L4661" s="395">
        <v>143.49</v>
      </c>
      <c r="M4661" s="395">
        <v>136.74</v>
      </c>
      <c r="N4661" s="396">
        <v>50640.83</v>
      </c>
      <c r="O4661" s="401">
        <v>0.3</v>
      </c>
      <c r="P4661" s="397">
        <v>0.1</v>
      </c>
      <c r="Q4661" s="396">
        <v>27263.9</v>
      </c>
      <c r="R4661" s="394" t="s">
        <v>281</v>
      </c>
      <c r="S4661" s="399" t="s">
        <v>397</v>
      </c>
      <c r="T4661" s="399">
        <v>58</v>
      </c>
      <c r="U4661" s="398" t="s">
        <v>164</v>
      </c>
      <c r="V4661" s="449"/>
      <c r="X4661" s="396">
        <v>27263.9</v>
      </c>
      <c r="Y4661" s="396"/>
      <c r="AJ4661" s="395">
        <v>27263.9</v>
      </c>
    </row>
    <row r="4662" spans="2:37" s="394" customFormat="1" ht="12" customHeight="1">
      <c r="B4662" s="379" t="s">
        <v>291</v>
      </c>
      <c r="C4662" s="392"/>
      <c r="D4662" s="392"/>
      <c r="E4662" s="393" t="s">
        <v>3773</v>
      </c>
      <c r="F4662" s="379" t="s">
        <v>3774</v>
      </c>
      <c r="G4662" s="400" t="s">
        <v>3775</v>
      </c>
      <c r="H4662" s="394" t="s">
        <v>814</v>
      </c>
      <c r="I4662" s="394" t="s">
        <v>1168</v>
      </c>
      <c r="J4662" s="395">
        <v>8657.2800000000007</v>
      </c>
      <c r="L4662" s="395">
        <v>6.67</v>
      </c>
      <c r="M4662" s="395">
        <v>6.68</v>
      </c>
      <c r="N4662" s="396">
        <v>2679.74</v>
      </c>
      <c r="O4662" s="401">
        <v>0.3</v>
      </c>
      <c r="P4662" s="397">
        <v>0.1</v>
      </c>
      <c r="Q4662" s="396">
        <v>2161.08</v>
      </c>
      <c r="R4662" s="394" t="s">
        <v>281</v>
      </c>
      <c r="S4662" s="399" t="s">
        <v>397</v>
      </c>
      <c r="T4662" s="399">
        <v>58</v>
      </c>
      <c r="U4662" s="398" t="s">
        <v>164</v>
      </c>
      <c r="V4662" s="449"/>
      <c r="X4662" s="396">
        <v>2161.08</v>
      </c>
      <c r="Y4662" s="396"/>
      <c r="AJ4662" s="395">
        <v>2161.08</v>
      </c>
    </row>
    <row r="4663" spans="2:37" s="394" customFormat="1" ht="12" customHeight="1">
      <c r="B4663" s="379" t="s">
        <v>291</v>
      </c>
      <c r="C4663" s="392"/>
      <c r="D4663" s="392"/>
      <c r="E4663" s="393" t="s">
        <v>3773</v>
      </c>
      <c r="F4663" s="379" t="s">
        <v>3774</v>
      </c>
      <c r="G4663" s="400" t="s">
        <v>3775</v>
      </c>
      <c r="H4663" s="394" t="s">
        <v>765</v>
      </c>
      <c r="I4663" s="394" t="s">
        <v>1168</v>
      </c>
      <c r="J4663" s="395">
        <v>57246.06</v>
      </c>
      <c r="L4663" s="395">
        <v>0.5</v>
      </c>
      <c r="M4663" s="395">
        <v>42.82</v>
      </c>
      <c r="N4663" s="396">
        <v>441.18</v>
      </c>
      <c r="O4663" s="401">
        <v>0.3</v>
      </c>
      <c r="P4663" s="397">
        <v>0.1</v>
      </c>
      <c r="Q4663" s="396">
        <v>313.48</v>
      </c>
      <c r="R4663" s="394" t="s">
        <v>281</v>
      </c>
      <c r="S4663" s="399" t="s">
        <v>397</v>
      </c>
      <c r="T4663" s="399">
        <v>58</v>
      </c>
      <c r="U4663" s="398" t="s">
        <v>164</v>
      </c>
      <c r="V4663" s="449"/>
      <c r="X4663" s="396">
        <v>313.48</v>
      </c>
      <c r="Y4663" s="396"/>
      <c r="AJ4663" s="395">
        <v>313.48</v>
      </c>
    </row>
    <row r="4664" spans="2:37" s="394" customFormat="1" ht="12" customHeight="1">
      <c r="B4664" s="406" t="s">
        <v>291</v>
      </c>
      <c r="C4664" s="392">
        <v>44809</v>
      </c>
      <c r="D4664" s="392">
        <v>44810</v>
      </c>
      <c r="E4664" s="393" t="s">
        <v>3776</v>
      </c>
      <c r="F4664" s="379" t="s">
        <v>185</v>
      </c>
      <c r="G4664" s="400">
        <v>3951</v>
      </c>
      <c r="H4664" s="394" t="s">
        <v>910</v>
      </c>
      <c r="I4664" s="394" t="s">
        <v>156</v>
      </c>
      <c r="J4664" s="395">
        <v>65331.199999999997</v>
      </c>
      <c r="L4664" s="395">
        <v>37.119999999999997</v>
      </c>
      <c r="M4664" s="395">
        <v>16.940000000000001</v>
      </c>
      <c r="N4664" s="396"/>
      <c r="O4664" s="401">
        <v>0.2</v>
      </c>
      <c r="P4664" s="397">
        <v>0.1</v>
      </c>
      <c r="Q4664" s="396">
        <v>0</v>
      </c>
      <c r="R4664" s="379" t="s">
        <v>146</v>
      </c>
      <c r="S4664" s="388" t="s">
        <v>74</v>
      </c>
      <c r="T4664" s="399">
        <v>32</v>
      </c>
      <c r="U4664" s="398" t="s">
        <v>164</v>
      </c>
      <c r="V4664" s="449"/>
      <c r="X4664" s="396">
        <v>0</v>
      </c>
      <c r="Y4664" s="396"/>
      <c r="AJ4664" s="390">
        <v>0</v>
      </c>
    </row>
    <row r="4665" spans="2:37" s="394" customFormat="1" ht="12" customHeight="1">
      <c r="B4665" s="406" t="s">
        <v>291</v>
      </c>
      <c r="C4665" s="392">
        <v>44811</v>
      </c>
      <c r="D4665" s="392">
        <v>44811</v>
      </c>
      <c r="E4665" s="393" t="s">
        <v>3777</v>
      </c>
      <c r="F4665" s="379" t="s">
        <v>3778</v>
      </c>
      <c r="G4665" s="400">
        <v>3962</v>
      </c>
      <c r="H4665" s="394" t="s">
        <v>2696</v>
      </c>
      <c r="I4665" s="394" t="s">
        <v>888</v>
      </c>
      <c r="J4665" s="395">
        <v>159724.79999999999</v>
      </c>
      <c r="L4665" s="395">
        <v>16.920000000000002</v>
      </c>
      <c r="M4665" s="395">
        <v>16.920000000000002</v>
      </c>
      <c r="N4665" s="396">
        <v>63889.919999999998</v>
      </c>
      <c r="O4665" s="401">
        <v>0.2</v>
      </c>
      <c r="P4665" s="397"/>
      <c r="Q4665" s="396">
        <v>17623.87</v>
      </c>
      <c r="R4665" s="379" t="s">
        <v>46</v>
      </c>
      <c r="S4665" s="388" t="s">
        <v>65</v>
      </c>
      <c r="T4665" s="399">
        <v>76</v>
      </c>
      <c r="U4665" s="398" t="s">
        <v>164</v>
      </c>
      <c r="V4665" s="449"/>
      <c r="X4665" s="396">
        <v>17623.87</v>
      </c>
      <c r="Y4665" s="396"/>
      <c r="AJ4665" s="395">
        <v>17623.87</v>
      </c>
    </row>
    <row r="4666" spans="2:37" s="472" customFormat="1" ht="12" customHeight="1">
      <c r="B4666" s="486" t="s">
        <v>291</v>
      </c>
      <c r="C4666" s="474">
        <v>44809</v>
      </c>
      <c r="D4666" s="474">
        <v>44811</v>
      </c>
      <c r="E4666" s="475" t="s">
        <v>3779</v>
      </c>
      <c r="F4666" s="472" t="s">
        <v>1085</v>
      </c>
      <c r="G4666" s="476" t="s">
        <v>1086</v>
      </c>
      <c r="H4666" s="472" t="s">
        <v>866</v>
      </c>
      <c r="I4666" s="472" t="s">
        <v>33</v>
      </c>
      <c r="J4666" s="477">
        <v>11234.58</v>
      </c>
      <c r="L4666" s="477">
        <v>11.63</v>
      </c>
      <c r="M4666" s="477">
        <v>11.63</v>
      </c>
      <c r="N4666" s="478"/>
      <c r="O4666" s="479">
        <v>0.25</v>
      </c>
      <c r="P4666" s="480"/>
      <c r="Q4666" s="478">
        <v>2074.65</v>
      </c>
      <c r="R4666" s="473" t="s">
        <v>128</v>
      </c>
      <c r="S4666" s="481" t="s">
        <v>34</v>
      </c>
      <c r="T4666" s="482">
        <v>79</v>
      </c>
      <c r="U4666" s="483" t="s">
        <v>164</v>
      </c>
      <c r="V4666" s="484"/>
      <c r="X4666" s="478">
        <v>2074.65</v>
      </c>
      <c r="Y4666" s="478"/>
      <c r="AJ4666" s="485"/>
      <c r="AK4666" s="506">
        <v>2074.65</v>
      </c>
    </row>
    <row r="4667" spans="2:37" s="472" customFormat="1" ht="12" customHeight="1">
      <c r="B4667" s="486" t="s">
        <v>291</v>
      </c>
      <c r="C4667" s="474"/>
      <c r="D4667" s="474"/>
      <c r="E4667" s="475" t="s">
        <v>3779</v>
      </c>
      <c r="F4667" s="472" t="s">
        <v>1085</v>
      </c>
      <c r="G4667" s="476" t="s">
        <v>1086</v>
      </c>
      <c r="H4667" s="472" t="s">
        <v>765</v>
      </c>
      <c r="I4667" s="472" t="s">
        <v>33</v>
      </c>
      <c r="J4667" s="477">
        <v>17354.990000000002</v>
      </c>
      <c r="L4667" s="477">
        <v>14.88</v>
      </c>
      <c r="M4667" s="477">
        <v>14.88</v>
      </c>
      <c r="N4667" s="478"/>
      <c r="O4667" s="479">
        <v>0.25</v>
      </c>
      <c r="P4667" s="480"/>
      <c r="Q4667" s="478">
        <v>1025.52</v>
      </c>
      <c r="R4667" s="473" t="s">
        <v>128</v>
      </c>
      <c r="S4667" s="481" t="s">
        <v>34</v>
      </c>
      <c r="T4667" s="482">
        <v>79</v>
      </c>
      <c r="U4667" s="483" t="s">
        <v>164</v>
      </c>
      <c r="V4667" s="484"/>
      <c r="X4667" s="478">
        <v>1025.52</v>
      </c>
      <c r="Y4667" s="478"/>
      <c r="AJ4667" s="485"/>
      <c r="AK4667" s="506">
        <v>1025.52</v>
      </c>
    </row>
    <row r="4668" spans="2:37" s="117" customFormat="1" ht="12" customHeight="1">
      <c r="B4668" s="6" t="s">
        <v>291</v>
      </c>
      <c r="C4668" s="146">
        <v>44811</v>
      </c>
      <c r="D4668" s="146">
        <v>44811</v>
      </c>
      <c r="E4668" s="147" t="s">
        <v>3780</v>
      </c>
      <c r="F4668" s="6" t="s">
        <v>273</v>
      </c>
      <c r="G4668" s="148" t="s">
        <v>274</v>
      </c>
      <c r="H4668" s="117" t="s">
        <v>814</v>
      </c>
      <c r="I4668" s="117" t="s">
        <v>888</v>
      </c>
      <c r="J4668" s="149">
        <v>27820.799999999999</v>
      </c>
      <c r="L4668" s="149">
        <v>28</v>
      </c>
      <c r="M4668" s="149">
        <v>28</v>
      </c>
      <c r="N4668" s="150">
        <v>7149</v>
      </c>
      <c r="O4668" s="282">
        <v>0.25</v>
      </c>
      <c r="P4668" s="151"/>
      <c r="Q4668" s="200">
        <v>3477.6</v>
      </c>
      <c r="R4668" s="6" t="s">
        <v>105</v>
      </c>
      <c r="S4668" s="3" t="s">
        <v>275</v>
      </c>
      <c r="T4668" s="152">
        <v>39</v>
      </c>
      <c r="U4668" s="56"/>
      <c r="V4668" s="448"/>
      <c r="X4668" s="150"/>
      <c r="Y4668" s="150"/>
      <c r="AJ4668" s="80"/>
    </row>
    <row r="4669" spans="2:37" s="472" customFormat="1" ht="12" customHeight="1">
      <c r="B4669" s="473" t="s">
        <v>291</v>
      </c>
      <c r="C4669" s="474">
        <v>44811</v>
      </c>
      <c r="D4669" s="474">
        <v>44811</v>
      </c>
      <c r="E4669" s="475" t="s">
        <v>3781</v>
      </c>
      <c r="F4669" s="473" t="s">
        <v>3782</v>
      </c>
      <c r="G4669" s="476">
        <v>4154</v>
      </c>
      <c r="H4669" s="472" t="s">
        <v>814</v>
      </c>
      <c r="I4669" s="472" t="s">
        <v>888</v>
      </c>
      <c r="J4669" s="477">
        <v>9168.64</v>
      </c>
      <c r="L4669" s="477">
        <v>9.2799999999999994</v>
      </c>
      <c r="M4669" s="477">
        <v>9.2799999999999994</v>
      </c>
      <c r="N4669" s="478">
        <v>5858</v>
      </c>
      <c r="O4669" s="479">
        <v>0.2</v>
      </c>
      <c r="P4669" s="480"/>
      <c r="Q4669" s="478">
        <v>3994.11</v>
      </c>
      <c r="R4669" s="473" t="s">
        <v>142</v>
      </c>
      <c r="S4669" s="481" t="s">
        <v>41</v>
      </c>
      <c r="T4669" s="482">
        <v>16</v>
      </c>
      <c r="U4669" s="483" t="s">
        <v>164</v>
      </c>
      <c r="V4669" s="484"/>
      <c r="X4669" s="478">
        <v>3994.11</v>
      </c>
      <c r="Y4669" s="478"/>
      <c r="AJ4669" s="485"/>
      <c r="AK4669" s="506">
        <v>3994.11</v>
      </c>
    </row>
    <row r="4670" spans="2:37" s="472" customFormat="1" ht="12" customHeight="1">
      <c r="B4670" s="473" t="s">
        <v>291</v>
      </c>
      <c r="C4670" s="474"/>
      <c r="D4670" s="474"/>
      <c r="E4670" s="475" t="s">
        <v>3781</v>
      </c>
      <c r="F4670" s="473" t="s">
        <v>3782</v>
      </c>
      <c r="G4670" s="476">
        <v>4154</v>
      </c>
      <c r="H4670" s="472" t="s">
        <v>910</v>
      </c>
      <c r="I4670" s="472" t="s">
        <v>888</v>
      </c>
      <c r="J4670" s="477">
        <v>27036.240000000002</v>
      </c>
      <c r="L4670" s="477">
        <v>22</v>
      </c>
      <c r="M4670" s="477">
        <v>22</v>
      </c>
      <c r="N4670" s="478">
        <v>6345</v>
      </c>
      <c r="O4670" s="479">
        <v>0.2</v>
      </c>
      <c r="P4670" s="480"/>
      <c r="Q4670" s="478">
        <v>0</v>
      </c>
      <c r="R4670" s="473" t="s">
        <v>142</v>
      </c>
      <c r="S4670" s="481" t="s">
        <v>41</v>
      </c>
      <c r="T4670" s="482">
        <v>16</v>
      </c>
      <c r="U4670" s="483" t="s">
        <v>164</v>
      </c>
      <c r="V4670" s="484"/>
      <c r="X4670" s="478">
        <v>0</v>
      </c>
      <c r="Y4670" s="478"/>
      <c r="AJ4670" s="485"/>
      <c r="AK4670" s="472">
        <v>0</v>
      </c>
    </row>
    <row r="4671" spans="2:37" s="472" customFormat="1" ht="12" customHeight="1">
      <c r="B4671" s="473" t="s">
        <v>291</v>
      </c>
      <c r="C4671" s="474"/>
      <c r="D4671" s="474"/>
      <c r="E4671" s="475" t="s">
        <v>3781</v>
      </c>
      <c r="F4671" s="473" t="s">
        <v>3782</v>
      </c>
      <c r="G4671" s="476">
        <v>4154</v>
      </c>
      <c r="H4671" s="472" t="s">
        <v>765</v>
      </c>
      <c r="I4671" s="472" t="s">
        <v>888</v>
      </c>
      <c r="J4671" s="477">
        <v>21838.080000000002</v>
      </c>
      <c r="L4671" s="477">
        <v>30.08</v>
      </c>
      <c r="M4671" s="477">
        <v>30.08</v>
      </c>
      <c r="N4671" s="478">
        <v>3640</v>
      </c>
      <c r="O4671" s="479">
        <v>0.2</v>
      </c>
      <c r="P4671" s="480"/>
      <c r="Q4671" s="478">
        <v>0</v>
      </c>
      <c r="R4671" s="473" t="s">
        <v>142</v>
      </c>
      <c r="S4671" s="481" t="s">
        <v>41</v>
      </c>
      <c r="T4671" s="482">
        <v>16</v>
      </c>
      <c r="U4671" s="483" t="s">
        <v>164</v>
      </c>
      <c r="V4671" s="484"/>
      <c r="X4671" s="478">
        <v>0</v>
      </c>
      <c r="Y4671" s="478"/>
      <c r="AJ4671" s="485"/>
      <c r="AK4671" s="472">
        <v>0</v>
      </c>
    </row>
    <row r="4672" spans="2:37" s="472" customFormat="1" ht="12" customHeight="1">
      <c r="B4672" s="473" t="s">
        <v>291</v>
      </c>
      <c r="C4672" s="474">
        <v>44752</v>
      </c>
      <c r="D4672" s="474">
        <v>44811</v>
      </c>
      <c r="E4672" s="475" t="s">
        <v>3783</v>
      </c>
      <c r="F4672" s="473" t="s">
        <v>1972</v>
      </c>
      <c r="G4672" s="476">
        <v>3543</v>
      </c>
      <c r="H4672" s="472" t="s">
        <v>866</v>
      </c>
      <c r="I4672" s="491" t="s">
        <v>33</v>
      </c>
      <c r="J4672" s="477">
        <v>34256.29</v>
      </c>
      <c r="L4672" s="477">
        <v>25.33</v>
      </c>
      <c r="M4672" s="477">
        <v>25.33</v>
      </c>
      <c r="N4672" s="478">
        <v>5709</v>
      </c>
      <c r="O4672" s="479">
        <v>0.15</v>
      </c>
      <c r="P4672" s="480"/>
      <c r="Q4672" s="478">
        <v>0</v>
      </c>
      <c r="R4672" s="473" t="s">
        <v>105</v>
      </c>
      <c r="S4672" s="481" t="s">
        <v>30</v>
      </c>
      <c r="T4672" s="481">
        <v>39</v>
      </c>
      <c r="U4672" s="483" t="s">
        <v>164</v>
      </c>
      <c r="V4672" s="484"/>
      <c r="X4672" s="478">
        <v>0</v>
      </c>
      <c r="Y4672" s="478"/>
      <c r="AJ4672" s="485"/>
      <c r="AK4672" s="472">
        <v>0</v>
      </c>
    </row>
    <row r="4673" spans="1:77" s="472" customFormat="1" ht="12" customHeight="1">
      <c r="B4673" s="473" t="s">
        <v>291</v>
      </c>
      <c r="C4673" s="474"/>
      <c r="D4673" s="474"/>
      <c r="E4673" s="475" t="s">
        <v>3783</v>
      </c>
      <c r="F4673" s="473" t="s">
        <v>1972</v>
      </c>
      <c r="G4673" s="476">
        <v>3543</v>
      </c>
      <c r="H4673" s="473" t="s">
        <v>1565</v>
      </c>
      <c r="I4673" s="491" t="s">
        <v>33</v>
      </c>
      <c r="J4673" s="477">
        <v>6477.49</v>
      </c>
      <c r="L4673" s="477">
        <v>7.84</v>
      </c>
      <c r="M4673" s="477">
        <v>7.84</v>
      </c>
      <c r="N4673" s="478">
        <v>1824</v>
      </c>
      <c r="O4673" s="479">
        <v>0.15</v>
      </c>
      <c r="P4673" s="480"/>
      <c r="Q4673" s="478">
        <v>0</v>
      </c>
      <c r="R4673" s="473" t="s">
        <v>105</v>
      </c>
      <c r="S4673" s="481" t="s">
        <v>30</v>
      </c>
      <c r="T4673" s="481">
        <v>39</v>
      </c>
      <c r="U4673" s="483" t="s">
        <v>164</v>
      </c>
      <c r="V4673" s="484"/>
      <c r="X4673" s="478">
        <v>0</v>
      </c>
      <c r="Y4673" s="478"/>
      <c r="AJ4673" s="485"/>
      <c r="AK4673" s="472">
        <v>0</v>
      </c>
    </row>
    <row r="4674" spans="1:77" s="117" customFormat="1" ht="12" customHeight="1">
      <c r="A4674" s="394"/>
      <c r="B4674" s="380" t="s">
        <v>291</v>
      </c>
      <c r="C4674" s="392">
        <v>44799</v>
      </c>
      <c r="D4674" s="392">
        <v>44812</v>
      </c>
      <c r="E4674" s="393" t="s">
        <v>3791</v>
      </c>
      <c r="F4674" s="379" t="s">
        <v>597</v>
      </c>
      <c r="G4674" s="400">
        <v>3588</v>
      </c>
      <c r="H4674" s="394" t="s">
        <v>910</v>
      </c>
      <c r="I4674" s="394" t="s">
        <v>111</v>
      </c>
      <c r="J4674" s="395">
        <v>97812.33</v>
      </c>
      <c r="K4674" s="394"/>
      <c r="L4674" s="395">
        <v>57.86</v>
      </c>
      <c r="M4674" s="395">
        <v>57.85</v>
      </c>
      <c r="N4674" s="396"/>
      <c r="O4674" s="401">
        <v>0.15</v>
      </c>
      <c r="P4674" s="397"/>
      <c r="Q4674" s="396">
        <v>0</v>
      </c>
      <c r="R4674" s="379" t="s">
        <v>77</v>
      </c>
      <c r="S4674" s="388" t="s">
        <v>41</v>
      </c>
      <c r="T4674" s="399">
        <v>16</v>
      </c>
      <c r="U4674" s="398" t="s">
        <v>164</v>
      </c>
      <c r="V4674" s="449"/>
      <c r="W4674" s="394"/>
      <c r="X4674" s="396">
        <v>0</v>
      </c>
      <c r="Y4674" s="396"/>
      <c r="Z4674" s="394"/>
      <c r="AA4674" s="394"/>
      <c r="AB4674" s="394"/>
      <c r="AC4674" s="394"/>
      <c r="AD4674" s="394"/>
      <c r="AE4674" s="394"/>
      <c r="AF4674" s="394"/>
      <c r="AG4674" s="394"/>
      <c r="AH4674" s="394"/>
      <c r="AI4674" s="394"/>
      <c r="AJ4674" s="390">
        <v>0</v>
      </c>
      <c r="AK4674" s="394"/>
      <c r="AL4674" s="394"/>
      <c r="AM4674" s="394"/>
      <c r="AN4674" s="394"/>
      <c r="AO4674" s="394"/>
      <c r="AP4674" s="394"/>
      <c r="AQ4674" s="394"/>
      <c r="AR4674" s="394"/>
      <c r="AS4674" s="394"/>
      <c r="AT4674" s="394"/>
      <c r="AU4674" s="394"/>
      <c r="AV4674" s="394"/>
      <c r="AW4674" s="394"/>
      <c r="AX4674" s="394"/>
      <c r="AY4674" s="394"/>
      <c r="AZ4674" s="394"/>
      <c r="BA4674" s="394"/>
      <c r="BB4674" s="394"/>
      <c r="BC4674" s="394"/>
      <c r="BD4674" s="394"/>
      <c r="BE4674" s="394"/>
      <c r="BF4674" s="394"/>
      <c r="BG4674" s="394"/>
      <c r="BH4674" s="394"/>
      <c r="BI4674" s="394"/>
      <c r="BJ4674" s="394"/>
      <c r="BK4674" s="394"/>
      <c r="BL4674" s="394"/>
      <c r="BM4674" s="394"/>
      <c r="BN4674" s="394"/>
      <c r="BO4674" s="394"/>
      <c r="BP4674" s="394"/>
      <c r="BQ4674" s="394"/>
      <c r="BR4674" s="394"/>
      <c r="BS4674" s="394"/>
      <c r="BT4674" s="394"/>
      <c r="BU4674" s="394"/>
      <c r="BV4674" s="394"/>
      <c r="BW4674" s="394"/>
      <c r="BX4674" s="394"/>
      <c r="BY4674" s="394"/>
    </row>
    <row r="4675" spans="1:77" s="472" customFormat="1" ht="12" customHeight="1">
      <c r="A4675" s="472" t="s">
        <v>3893</v>
      </c>
      <c r="B4675" s="486" t="s">
        <v>390</v>
      </c>
      <c r="C4675" s="474">
        <v>44812</v>
      </c>
      <c r="D4675" s="474">
        <v>44812</v>
      </c>
      <c r="E4675" s="475" t="s">
        <v>3792</v>
      </c>
      <c r="F4675" s="473" t="s">
        <v>3070</v>
      </c>
      <c r="G4675" s="476" t="s">
        <v>3071</v>
      </c>
      <c r="H4675" s="473" t="s">
        <v>393</v>
      </c>
      <c r="I4675" s="472" t="s">
        <v>156</v>
      </c>
      <c r="J4675" s="477">
        <v>158181.29999999999</v>
      </c>
      <c r="L4675" s="477">
        <v>25.29</v>
      </c>
      <c r="M4675" s="477">
        <v>25.29</v>
      </c>
      <c r="N4675" s="478"/>
      <c r="O4675" s="479">
        <v>0.25</v>
      </c>
      <c r="P4675" s="480">
        <v>0.1</v>
      </c>
      <c r="Q4675" s="478">
        <v>1831.71</v>
      </c>
      <c r="R4675" s="473" t="s">
        <v>868</v>
      </c>
      <c r="S4675" s="481" t="s">
        <v>65</v>
      </c>
      <c r="T4675" s="482">
        <v>83</v>
      </c>
      <c r="U4675" s="483" t="s">
        <v>164</v>
      </c>
      <c r="V4675" s="484"/>
      <c r="X4675" s="478">
        <v>1831.71</v>
      </c>
      <c r="Y4675" s="478"/>
      <c r="AJ4675" s="485"/>
      <c r="AK4675" s="506">
        <v>1831.71</v>
      </c>
    </row>
    <row r="4676" spans="1:77" s="624" customFormat="1" ht="12" customHeight="1">
      <c r="A4676" s="624" t="s">
        <v>3893</v>
      </c>
      <c r="B4676" s="618" t="s">
        <v>291</v>
      </c>
      <c r="C4676" s="683">
        <v>44813</v>
      </c>
      <c r="D4676" s="683">
        <v>44813</v>
      </c>
      <c r="E4676" s="684" t="s">
        <v>3793</v>
      </c>
      <c r="F4676" s="618" t="s">
        <v>3794</v>
      </c>
      <c r="G4676" s="623" t="s">
        <v>3795</v>
      </c>
      <c r="H4676" s="624" t="s">
        <v>814</v>
      </c>
      <c r="I4676" s="624" t="s">
        <v>819</v>
      </c>
      <c r="J4676" s="625">
        <v>13339.9</v>
      </c>
      <c r="L4676" s="625">
        <v>11.21</v>
      </c>
      <c r="M4676" s="625">
        <v>11.21</v>
      </c>
      <c r="N4676" s="685">
        <v>6760.39</v>
      </c>
      <c r="O4676" s="686">
        <v>0.25</v>
      </c>
      <c r="P4676" s="687">
        <v>0.1</v>
      </c>
      <c r="Q4676" s="685">
        <v>5485.11</v>
      </c>
      <c r="R4676" s="624" t="s">
        <v>29</v>
      </c>
      <c r="S4676" s="630" t="s">
        <v>275</v>
      </c>
      <c r="T4676" s="630">
        <v>21</v>
      </c>
      <c r="U4676" s="688" t="s">
        <v>164</v>
      </c>
      <c r="V4676" s="689"/>
      <c r="X4676" s="685">
        <v>5485.11</v>
      </c>
      <c r="Y4676" s="685"/>
      <c r="AJ4676" s="633"/>
      <c r="AO4676" s="624">
        <v>5485.11</v>
      </c>
    </row>
    <row r="4677" spans="1:77" s="341" customFormat="1" ht="12" customHeight="1">
      <c r="B4677" s="337" t="s">
        <v>291</v>
      </c>
      <c r="C4677" s="339">
        <v>44811</v>
      </c>
      <c r="D4677" s="339">
        <v>44813</v>
      </c>
      <c r="E4677" s="340" t="s">
        <v>3796</v>
      </c>
      <c r="F4677" s="337" t="s">
        <v>1918</v>
      </c>
      <c r="G4677" s="342">
        <v>4628</v>
      </c>
      <c r="H4677" s="341" t="s">
        <v>814</v>
      </c>
      <c r="I4677" s="353" t="s">
        <v>33</v>
      </c>
      <c r="J4677" s="343">
        <v>24595.200000000001</v>
      </c>
      <c r="L4677" s="343">
        <v>25.62</v>
      </c>
      <c r="M4677" s="343">
        <v>25.62</v>
      </c>
      <c r="N4677" s="344"/>
      <c r="O4677" s="359">
        <v>0.3</v>
      </c>
      <c r="P4677" s="345"/>
      <c r="Q4677" s="344">
        <v>307.44</v>
      </c>
      <c r="R4677" s="337" t="s">
        <v>251</v>
      </c>
      <c r="S4677" s="346" t="s">
        <v>74</v>
      </c>
      <c r="T4677" s="346">
        <v>32</v>
      </c>
      <c r="U4677" s="347" t="s">
        <v>164</v>
      </c>
      <c r="V4677" s="451"/>
      <c r="X4677" s="344">
        <v>307.44</v>
      </c>
      <c r="Y4677" s="344"/>
      <c r="AI4677" s="344">
        <v>307.44</v>
      </c>
      <c r="AJ4677" s="358"/>
      <c r="AK4677" s="369"/>
    </row>
    <row r="4678" spans="1:77" s="341" customFormat="1" ht="12" customHeight="1">
      <c r="B4678" s="337" t="s">
        <v>291</v>
      </c>
      <c r="C4678" s="339">
        <v>44811</v>
      </c>
      <c r="D4678" s="339">
        <v>44813</v>
      </c>
      <c r="E4678" s="340" t="s">
        <v>3797</v>
      </c>
      <c r="F4678" s="337" t="s">
        <v>1916</v>
      </c>
      <c r="G4678" s="342">
        <v>4528</v>
      </c>
      <c r="H4678" s="341" t="s">
        <v>814</v>
      </c>
      <c r="I4678" s="353" t="s">
        <v>33</v>
      </c>
      <c r="J4678" s="343">
        <v>34172.6</v>
      </c>
      <c r="L4678" s="343">
        <v>26.95</v>
      </c>
      <c r="M4678" s="343">
        <v>26.95</v>
      </c>
      <c r="N4678" s="344"/>
      <c r="O4678" s="359">
        <v>0.3</v>
      </c>
      <c r="P4678" s="345"/>
      <c r="Q4678" s="344">
        <v>5594.82</v>
      </c>
      <c r="R4678" s="337" t="s">
        <v>251</v>
      </c>
      <c r="S4678" s="356" t="s">
        <v>74</v>
      </c>
      <c r="T4678" s="346">
        <v>32</v>
      </c>
      <c r="U4678" s="347" t="s">
        <v>164</v>
      </c>
      <c r="V4678" s="451"/>
      <c r="X4678" s="344">
        <v>5594.82</v>
      </c>
      <c r="Y4678" s="344"/>
      <c r="AI4678" s="344">
        <v>5594.82</v>
      </c>
      <c r="AJ4678" s="358"/>
      <c r="AK4678" s="369"/>
    </row>
    <row r="4679" spans="1:77" s="341" customFormat="1" ht="12" customHeight="1">
      <c r="B4679" s="337" t="s">
        <v>291</v>
      </c>
      <c r="C4679" s="339">
        <v>44811</v>
      </c>
      <c r="D4679" s="339">
        <v>44813</v>
      </c>
      <c r="E4679" s="340" t="s">
        <v>3798</v>
      </c>
      <c r="F4679" s="337" t="s">
        <v>1922</v>
      </c>
      <c r="G4679" s="342">
        <v>4629</v>
      </c>
      <c r="H4679" s="341" t="s">
        <v>814</v>
      </c>
      <c r="I4679" s="353" t="s">
        <v>33</v>
      </c>
      <c r="J4679" s="343">
        <v>6664.32</v>
      </c>
      <c r="L4679" s="343">
        <v>6.24</v>
      </c>
      <c r="M4679" s="343">
        <v>6.24</v>
      </c>
      <c r="N4679" s="344"/>
      <c r="O4679" s="359">
        <v>0.25</v>
      </c>
      <c r="P4679" s="345"/>
      <c r="Q4679" s="344">
        <v>0</v>
      </c>
      <c r="R4679" s="337" t="s">
        <v>251</v>
      </c>
      <c r="S4679" s="356" t="s">
        <v>74</v>
      </c>
      <c r="T4679" s="346">
        <v>32</v>
      </c>
      <c r="U4679" s="347" t="s">
        <v>164</v>
      </c>
      <c r="V4679" s="451"/>
      <c r="X4679" s="344">
        <v>0</v>
      </c>
      <c r="Y4679" s="344"/>
      <c r="AI4679" s="341">
        <v>0</v>
      </c>
      <c r="AJ4679" s="358"/>
      <c r="AK4679" s="369"/>
    </row>
    <row r="4680" spans="1:77" s="341" customFormat="1" ht="12" customHeight="1">
      <c r="B4680" s="337" t="s">
        <v>291</v>
      </c>
      <c r="C4680" s="339">
        <v>44811</v>
      </c>
      <c r="D4680" s="339">
        <v>44813</v>
      </c>
      <c r="E4680" s="340" t="s">
        <v>3799</v>
      </c>
      <c r="F4680" s="337" t="s">
        <v>1914</v>
      </c>
      <c r="G4680" s="342">
        <v>4526</v>
      </c>
      <c r="H4680" s="341" t="s">
        <v>1138</v>
      </c>
      <c r="I4680" s="353" t="s">
        <v>33</v>
      </c>
      <c r="J4680" s="343">
        <v>18195</v>
      </c>
      <c r="L4680" s="343">
        <v>12.13</v>
      </c>
      <c r="M4680" s="343">
        <v>12.13</v>
      </c>
      <c r="N4680" s="344"/>
      <c r="O4680" s="359">
        <v>0.25</v>
      </c>
      <c r="P4680" s="345"/>
      <c r="Q4680" s="344">
        <v>2486.65</v>
      </c>
      <c r="R4680" s="337" t="s">
        <v>251</v>
      </c>
      <c r="S4680" s="356" t="s">
        <v>74</v>
      </c>
      <c r="T4680" s="346">
        <v>32</v>
      </c>
      <c r="U4680" s="347" t="s">
        <v>164</v>
      </c>
      <c r="V4680" s="451"/>
      <c r="X4680" s="344">
        <v>2486.65</v>
      </c>
      <c r="Y4680" s="344"/>
      <c r="AI4680" s="341">
        <v>2486.65</v>
      </c>
      <c r="AJ4680" s="358"/>
      <c r="AK4680" s="369"/>
    </row>
    <row r="4681" spans="1:77" s="341" customFormat="1" ht="12" customHeight="1">
      <c r="B4681" s="337" t="s">
        <v>291</v>
      </c>
      <c r="C4681" s="339">
        <v>44811</v>
      </c>
      <c r="D4681" s="339">
        <v>44813</v>
      </c>
      <c r="E4681" s="340" t="s">
        <v>3800</v>
      </c>
      <c r="F4681" s="337" t="s">
        <v>1912</v>
      </c>
      <c r="G4681" s="342">
        <v>4522</v>
      </c>
      <c r="H4681" s="341" t="s">
        <v>1138</v>
      </c>
      <c r="I4681" s="353" t="s">
        <v>33</v>
      </c>
      <c r="J4681" s="343">
        <v>27840</v>
      </c>
      <c r="L4681" s="343">
        <v>18.559999999999999</v>
      </c>
      <c r="M4681" s="343">
        <v>18.559999999999999</v>
      </c>
      <c r="N4681" s="344">
        <v>2784</v>
      </c>
      <c r="O4681" s="359">
        <v>0.3</v>
      </c>
      <c r="P4681" s="345"/>
      <c r="Q4681" s="344">
        <v>2784</v>
      </c>
      <c r="R4681" s="337" t="s">
        <v>251</v>
      </c>
      <c r="S4681" s="356" t="s">
        <v>74</v>
      </c>
      <c r="T4681" s="346">
        <v>32</v>
      </c>
      <c r="U4681" s="347" t="s">
        <v>164</v>
      </c>
      <c r="V4681" s="451"/>
      <c r="X4681" s="344">
        <v>2784</v>
      </c>
      <c r="Y4681" s="344"/>
      <c r="AI4681" s="344">
        <v>2784</v>
      </c>
      <c r="AJ4681" s="358"/>
      <c r="AK4681" s="369"/>
    </row>
    <row r="4682" spans="1:77" s="394" customFormat="1" ht="12" customHeight="1">
      <c r="B4682" s="379" t="s">
        <v>291</v>
      </c>
      <c r="C4682" s="392">
        <v>44811</v>
      </c>
      <c r="D4682" s="392">
        <v>44813</v>
      </c>
      <c r="E4682" s="393" t="s">
        <v>3801</v>
      </c>
      <c r="F4682" s="394" t="s">
        <v>1398</v>
      </c>
      <c r="G4682" s="400" t="s">
        <v>1399</v>
      </c>
      <c r="H4682" s="394" t="s">
        <v>765</v>
      </c>
      <c r="I4682" s="394" t="s">
        <v>33</v>
      </c>
      <c r="J4682" s="395">
        <v>54290.25</v>
      </c>
      <c r="L4682" s="395">
        <v>15.75</v>
      </c>
      <c r="M4682" s="395">
        <v>15.75</v>
      </c>
      <c r="N4682" s="396"/>
      <c r="O4682" s="401">
        <v>0.2</v>
      </c>
      <c r="P4682" s="397"/>
      <c r="Q4682" s="396">
        <v>22594.95</v>
      </c>
      <c r="R4682" s="394" t="s">
        <v>229</v>
      </c>
      <c r="S4682" s="399" t="s">
        <v>397</v>
      </c>
      <c r="T4682" s="399">
        <v>37</v>
      </c>
      <c r="U4682" s="398" t="s">
        <v>164</v>
      </c>
      <c r="V4682" s="449"/>
      <c r="X4682" s="396">
        <v>22594.95</v>
      </c>
      <c r="Y4682" s="396"/>
      <c r="AJ4682" s="395">
        <v>22594.95</v>
      </c>
    </row>
    <row r="4683" spans="1:77" s="341" customFormat="1" ht="12" customHeight="1">
      <c r="B4683" s="337" t="s">
        <v>291</v>
      </c>
      <c r="C4683" s="339">
        <v>44810</v>
      </c>
      <c r="D4683" s="339">
        <v>44813</v>
      </c>
      <c r="E4683" s="340" t="s">
        <v>3802</v>
      </c>
      <c r="F4683" s="337" t="s">
        <v>1678</v>
      </c>
      <c r="G4683" s="342" t="s">
        <v>1679</v>
      </c>
      <c r="H4683" s="341" t="s">
        <v>1141</v>
      </c>
      <c r="I4683" s="341" t="s">
        <v>3619</v>
      </c>
      <c r="J4683" s="343">
        <v>14298.17</v>
      </c>
      <c r="L4683" s="343">
        <v>14.78</v>
      </c>
      <c r="M4683" s="343">
        <v>14.78</v>
      </c>
      <c r="N4683" s="344">
        <v>3574.54</v>
      </c>
      <c r="O4683" s="359">
        <v>0.2</v>
      </c>
      <c r="P4683" s="345"/>
      <c r="Q4683" s="344">
        <v>1154.6099999999999</v>
      </c>
      <c r="R4683" s="337" t="s">
        <v>285</v>
      </c>
      <c r="S4683" s="356" t="s">
        <v>275</v>
      </c>
      <c r="T4683" s="346">
        <v>21</v>
      </c>
      <c r="U4683" s="347" t="s">
        <v>164</v>
      </c>
      <c r="V4683" s="451"/>
      <c r="X4683" s="344">
        <v>1154.6099999999999</v>
      </c>
      <c r="Y4683" s="344"/>
      <c r="AI4683" s="344">
        <v>1154.6099999999999</v>
      </c>
      <c r="AJ4683" s="358"/>
      <c r="AK4683" s="369"/>
      <c r="AL4683" s="337"/>
      <c r="AM4683" s="337"/>
      <c r="AN4683" s="337"/>
      <c r="AO4683" s="337"/>
      <c r="AP4683" s="337"/>
      <c r="AQ4683" s="337"/>
      <c r="AR4683" s="337"/>
      <c r="AS4683" s="337"/>
      <c r="AT4683" s="337"/>
      <c r="AU4683" s="337"/>
      <c r="AV4683" s="337"/>
      <c r="AW4683" s="337"/>
      <c r="AX4683" s="337"/>
      <c r="AY4683" s="337"/>
      <c r="AZ4683" s="337"/>
      <c r="BA4683" s="337"/>
      <c r="BB4683" s="337"/>
      <c r="BC4683" s="337"/>
      <c r="BD4683" s="337"/>
      <c r="BE4683" s="337"/>
      <c r="BF4683" s="337"/>
      <c r="BG4683" s="337"/>
      <c r="BH4683" s="337"/>
      <c r="BI4683" s="337"/>
      <c r="BJ4683" s="337"/>
      <c r="BK4683" s="337"/>
      <c r="BL4683" s="337"/>
      <c r="BM4683" s="337"/>
      <c r="BN4683" s="337"/>
      <c r="BO4683" s="337"/>
      <c r="BP4683" s="337"/>
      <c r="BQ4683" s="337"/>
      <c r="BR4683" s="337"/>
      <c r="BS4683" s="337"/>
      <c r="BT4683" s="337"/>
      <c r="BU4683" s="337"/>
      <c r="BV4683" s="337"/>
      <c r="BW4683" s="337"/>
      <c r="BX4683" s="337"/>
      <c r="BY4683" s="337"/>
    </row>
    <row r="4684" spans="1:77" s="394" customFormat="1" ht="12" customHeight="1">
      <c r="B4684" s="379" t="s">
        <v>291</v>
      </c>
      <c r="C4684" s="392">
        <v>44813</v>
      </c>
      <c r="D4684" s="392">
        <v>44813</v>
      </c>
      <c r="E4684" s="393" t="s">
        <v>3804</v>
      </c>
      <c r="F4684" s="417" t="s">
        <v>2937</v>
      </c>
      <c r="G4684" s="400">
        <v>3901</v>
      </c>
      <c r="H4684" s="379" t="s">
        <v>27</v>
      </c>
      <c r="I4684" s="394" t="s">
        <v>33</v>
      </c>
      <c r="J4684" s="395">
        <v>15873.65</v>
      </c>
      <c r="L4684" s="395">
        <v>11.2</v>
      </c>
      <c r="M4684" s="395">
        <v>8.27</v>
      </c>
      <c r="N4684" s="396"/>
      <c r="O4684" s="401">
        <v>0.25</v>
      </c>
      <c r="P4684" s="397"/>
      <c r="Q4684" s="396">
        <v>765.95</v>
      </c>
      <c r="R4684" s="379" t="s">
        <v>128</v>
      </c>
      <c r="S4684" s="388" t="s">
        <v>41</v>
      </c>
      <c r="T4684" s="399">
        <v>79</v>
      </c>
      <c r="U4684" s="398" t="s">
        <v>164</v>
      </c>
      <c r="V4684" s="449"/>
      <c r="X4684" s="396">
        <v>765.95</v>
      </c>
      <c r="Y4684" s="396"/>
      <c r="AJ4684" s="395">
        <v>765.95</v>
      </c>
    </row>
    <row r="4685" spans="1:77" s="394" customFormat="1" ht="12" customHeight="1">
      <c r="B4685" s="380" t="s">
        <v>291</v>
      </c>
      <c r="C4685" s="392">
        <v>44815</v>
      </c>
      <c r="D4685" s="392">
        <v>44816</v>
      </c>
      <c r="E4685" s="393" t="s">
        <v>3811</v>
      </c>
      <c r="F4685" s="379" t="s">
        <v>2103</v>
      </c>
      <c r="G4685" s="400">
        <v>4460</v>
      </c>
      <c r="H4685" s="394" t="s">
        <v>1018</v>
      </c>
      <c r="I4685" s="394" t="s">
        <v>888</v>
      </c>
      <c r="J4685" s="395">
        <v>30129.84</v>
      </c>
      <c r="L4685" s="395">
        <v>33.299999999999997</v>
      </c>
      <c r="M4685" s="395">
        <v>33.299999999999997</v>
      </c>
      <c r="N4685" s="396"/>
      <c r="O4685" s="401">
        <v>0.2</v>
      </c>
      <c r="P4685" s="397"/>
      <c r="Q4685" s="396">
        <v>772.56</v>
      </c>
      <c r="R4685" s="379" t="s">
        <v>35</v>
      </c>
      <c r="S4685" s="388" t="s">
        <v>41</v>
      </c>
      <c r="T4685" s="399">
        <v>86</v>
      </c>
      <c r="U4685" s="398" t="s">
        <v>164</v>
      </c>
      <c r="V4685" s="449"/>
      <c r="X4685" s="396">
        <v>772.56</v>
      </c>
      <c r="Y4685" s="396"/>
      <c r="AJ4685" s="395">
        <v>772.56</v>
      </c>
    </row>
    <row r="4686" spans="1:77" s="394" customFormat="1" ht="12" customHeight="1">
      <c r="B4686" s="380" t="s">
        <v>291</v>
      </c>
      <c r="C4686" s="392"/>
      <c r="D4686" s="392"/>
      <c r="E4686" s="393" t="s">
        <v>3811</v>
      </c>
      <c r="F4686" s="379" t="s">
        <v>2103</v>
      </c>
      <c r="G4686" s="400">
        <v>4460</v>
      </c>
      <c r="H4686" s="394" t="s">
        <v>1138</v>
      </c>
      <c r="I4686" s="394" t="s">
        <v>888</v>
      </c>
      <c r="J4686" s="395">
        <v>4315.68</v>
      </c>
      <c r="L4686" s="395">
        <v>3.33</v>
      </c>
      <c r="M4686" s="395">
        <v>3.33</v>
      </c>
      <c r="N4686" s="396"/>
      <c r="O4686" s="401">
        <v>0.2</v>
      </c>
      <c r="P4686" s="397"/>
      <c r="Q4686" s="396">
        <v>0</v>
      </c>
      <c r="R4686" s="379" t="s">
        <v>35</v>
      </c>
      <c r="S4686" s="388" t="s">
        <v>41</v>
      </c>
      <c r="T4686" s="399">
        <v>86</v>
      </c>
      <c r="U4686" s="398" t="s">
        <v>164</v>
      </c>
      <c r="V4686" s="449"/>
      <c r="X4686" s="396">
        <v>0</v>
      </c>
      <c r="Y4686" s="396"/>
      <c r="AJ4686" s="390">
        <v>0</v>
      </c>
    </row>
    <row r="4687" spans="1:77" s="523" customFormat="1" ht="12" customHeight="1">
      <c r="B4687" s="507" t="s">
        <v>291</v>
      </c>
      <c r="C4687" s="524">
        <v>44781</v>
      </c>
      <c r="D4687" s="524">
        <v>44816</v>
      </c>
      <c r="E4687" s="525" t="s">
        <v>3812</v>
      </c>
      <c r="F4687" s="507" t="s">
        <v>3805</v>
      </c>
      <c r="G4687" s="526">
        <v>4324</v>
      </c>
      <c r="H4687" s="523" t="s">
        <v>765</v>
      </c>
      <c r="I4687" s="523" t="s">
        <v>33</v>
      </c>
      <c r="J4687" s="527">
        <v>21607.78</v>
      </c>
      <c r="L4687" s="527">
        <v>33.72</v>
      </c>
      <c r="M4687" s="527">
        <v>33.72</v>
      </c>
      <c r="N4687" s="528"/>
      <c r="O4687" s="529">
        <v>0.15</v>
      </c>
      <c r="P4687" s="530"/>
      <c r="Q4687" s="528">
        <v>0</v>
      </c>
      <c r="R4687" s="507" t="s">
        <v>35</v>
      </c>
      <c r="S4687" s="516" t="s">
        <v>41</v>
      </c>
      <c r="T4687" s="531">
        <v>86</v>
      </c>
      <c r="U4687" s="532" t="s">
        <v>164</v>
      </c>
      <c r="V4687" s="533"/>
      <c r="X4687" s="528">
        <v>0</v>
      </c>
      <c r="Y4687" s="528"/>
      <c r="AJ4687" s="522"/>
      <c r="AL4687" s="523">
        <v>0</v>
      </c>
    </row>
    <row r="4688" spans="1:77" s="341" customFormat="1" ht="12" customHeight="1">
      <c r="B4688" s="337" t="s">
        <v>291</v>
      </c>
      <c r="C4688" s="339">
        <v>44816</v>
      </c>
      <c r="D4688" s="339">
        <v>44816</v>
      </c>
      <c r="E4688" s="340" t="s">
        <v>3813</v>
      </c>
      <c r="F4688" s="337" t="s">
        <v>3814</v>
      </c>
      <c r="G4688" s="342" t="s">
        <v>3815</v>
      </c>
      <c r="H4688" s="341" t="s">
        <v>866</v>
      </c>
      <c r="I4688" s="341" t="s">
        <v>888</v>
      </c>
      <c r="J4688" s="343">
        <v>8701.8799999999992</v>
      </c>
      <c r="L4688" s="343">
        <v>4.25</v>
      </c>
      <c r="M4688" s="343">
        <v>4.25</v>
      </c>
      <c r="N4688" s="344"/>
      <c r="O4688" s="359">
        <v>0.2</v>
      </c>
      <c r="P4688" s="345"/>
      <c r="Q4688" s="344">
        <v>0</v>
      </c>
      <c r="R4688" s="341" t="s">
        <v>251</v>
      </c>
      <c r="S4688" s="346" t="s">
        <v>113</v>
      </c>
      <c r="T4688" s="346">
        <v>64</v>
      </c>
      <c r="U4688" s="347" t="s">
        <v>164</v>
      </c>
      <c r="V4688" s="451"/>
      <c r="X4688" s="344">
        <v>0</v>
      </c>
      <c r="Y4688" s="344"/>
      <c r="AI4688" s="341">
        <v>0</v>
      </c>
      <c r="AJ4688" s="358"/>
      <c r="AK4688" s="369"/>
    </row>
    <row r="4689" spans="1:77" s="341" customFormat="1" ht="12" customHeight="1">
      <c r="B4689" s="337" t="s">
        <v>291</v>
      </c>
      <c r="C4689" s="339"/>
      <c r="D4689" s="339"/>
      <c r="E4689" s="340" t="s">
        <v>3817</v>
      </c>
      <c r="F4689" s="337" t="s">
        <v>1253</v>
      </c>
      <c r="G4689" s="342" t="s">
        <v>1254</v>
      </c>
      <c r="H4689" s="341" t="s">
        <v>814</v>
      </c>
      <c r="I4689" s="341" t="s">
        <v>33</v>
      </c>
      <c r="J4689" s="343">
        <v>28373.45</v>
      </c>
      <c r="L4689" s="343">
        <v>25.9</v>
      </c>
      <c r="M4689" s="343">
        <v>8.5</v>
      </c>
      <c r="N4689" s="344">
        <v>12050.5</v>
      </c>
      <c r="O4689" s="359">
        <v>0.25</v>
      </c>
      <c r="P4689" s="345"/>
      <c r="Q4689" s="344">
        <v>5506.99</v>
      </c>
      <c r="R4689" s="337" t="s">
        <v>112</v>
      </c>
      <c r="S4689" s="356" t="s">
        <v>113</v>
      </c>
      <c r="T4689" s="346">
        <v>64</v>
      </c>
      <c r="U4689" s="347" t="s">
        <v>164</v>
      </c>
      <c r="V4689" s="451"/>
      <c r="X4689" s="344">
        <v>5506.99</v>
      </c>
      <c r="Y4689" s="344"/>
      <c r="AI4689" s="344">
        <v>5506.99</v>
      </c>
      <c r="AJ4689" s="358"/>
      <c r="AK4689" s="369"/>
      <c r="AL4689" s="337"/>
      <c r="AM4689" s="337"/>
      <c r="AN4689" s="337"/>
      <c r="AO4689" s="337"/>
      <c r="AP4689" s="337"/>
      <c r="AQ4689" s="337"/>
      <c r="AR4689" s="337"/>
      <c r="AS4689" s="337"/>
      <c r="AT4689" s="337"/>
      <c r="AU4689" s="337"/>
      <c r="AV4689" s="337"/>
      <c r="AW4689" s="337"/>
      <c r="AX4689" s="337"/>
      <c r="AY4689" s="337"/>
      <c r="AZ4689" s="337"/>
      <c r="BA4689" s="337"/>
      <c r="BB4689" s="337"/>
      <c r="BC4689" s="337"/>
      <c r="BD4689" s="337"/>
      <c r="BE4689" s="337"/>
      <c r="BF4689" s="337"/>
      <c r="BG4689" s="337"/>
      <c r="BH4689" s="337"/>
      <c r="BI4689" s="337"/>
      <c r="BJ4689" s="337"/>
      <c r="BK4689" s="337"/>
      <c r="BL4689" s="337"/>
      <c r="BM4689" s="337"/>
      <c r="BN4689" s="337"/>
      <c r="BO4689" s="337"/>
      <c r="BP4689" s="337"/>
      <c r="BQ4689" s="337"/>
      <c r="BR4689" s="337"/>
      <c r="BS4689" s="337"/>
      <c r="BT4689" s="337"/>
      <c r="BU4689" s="337"/>
      <c r="BV4689" s="337"/>
      <c r="BW4689" s="337"/>
      <c r="BX4689" s="337"/>
      <c r="BY4689" s="337"/>
    </row>
    <row r="4690" spans="1:77" s="303" customFormat="1" ht="12" customHeight="1">
      <c r="B4690" s="291" t="s">
        <v>291</v>
      </c>
      <c r="C4690" s="301">
        <v>44816</v>
      </c>
      <c r="D4690" s="301">
        <v>44816</v>
      </c>
      <c r="E4690" s="302" t="s">
        <v>3817</v>
      </c>
      <c r="F4690" s="291" t="s">
        <v>1253</v>
      </c>
      <c r="G4690" s="304" t="s">
        <v>1254</v>
      </c>
      <c r="H4690" s="303" t="s">
        <v>866</v>
      </c>
      <c r="I4690" s="303" t="s">
        <v>33</v>
      </c>
      <c r="J4690" s="305">
        <v>20840.78</v>
      </c>
      <c r="L4690" s="305">
        <v>13.45</v>
      </c>
      <c r="M4690" s="305">
        <v>13.45</v>
      </c>
      <c r="N4690" s="306">
        <f>463.3+202.21+3582.44</f>
        <v>4247.95</v>
      </c>
      <c r="O4690" s="316">
        <v>0.25</v>
      </c>
      <c r="P4690" s="307"/>
      <c r="Q4690" s="306">
        <v>0</v>
      </c>
      <c r="R4690" s="291" t="s">
        <v>112</v>
      </c>
      <c r="S4690" s="299" t="s">
        <v>113</v>
      </c>
      <c r="T4690" s="308">
        <v>64</v>
      </c>
      <c r="U4690" s="309" t="s">
        <v>164</v>
      </c>
      <c r="V4690" s="447"/>
      <c r="X4690" s="306">
        <v>0</v>
      </c>
      <c r="Y4690" s="306"/>
      <c r="AH4690" s="311">
        <f>X4690</f>
        <v>0</v>
      </c>
      <c r="AI4690" s="311"/>
      <c r="AJ4690" s="468"/>
    </row>
    <row r="4691" spans="1:77" s="303" customFormat="1" ht="12" customHeight="1">
      <c r="A4691" s="303" t="s">
        <v>3893</v>
      </c>
      <c r="B4691" s="291" t="s">
        <v>291</v>
      </c>
      <c r="C4691" s="301">
        <v>44812</v>
      </c>
      <c r="D4691" s="301">
        <v>44817</v>
      </c>
      <c r="E4691" s="302" t="s">
        <v>3818</v>
      </c>
      <c r="F4691" s="291" t="s">
        <v>2564</v>
      </c>
      <c r="G4691" s="304">
        <v>4471</v>
      </c>
      <c r="H4691" s="303" t="s">
        <v>866</v>
      </c>
      <c r="I4691" s="303" t="s">
        <v>3610</v>
      </c>
      <c r="J4691" s="305">
        <v>103125.74</v>
      </c>
      <c r="L4691" s="305">
        <v>44.62</v>
      </c>
      <c r="M4691" s="305">
        <v>13.8</v>
      </c>
      <c r="N4691" s="306">
        <v>8710</v>
      </c>
      <c r="O4691" s="316">
        <v>0.3</v>
      </c>
      <c r="P4691" s="307"/>
      <c r="Q4691" s="306">
        <v>3733.07</v>
      </c>
      <c r="R4691" s="291" t="s">
        <v>105</v>
      </c>
      <c r="S4691" s="308" t="s">
        <v>30</v>
      </c>
      <c r="T4691" s="308">
        <v>39</v>
      </c>
      <c r="U4691" s="309" t="s">
        <v>164</v>
      </c>
      <c r="V4691" s="447"/>
      <c r="X4691" s="306">
        <v>3733.07</v>
      </c>
      <c r="Y4691" s="306"/>
      <c r="AH4691" s="332">
        <f>X4691</f>
        <v>3733.07</v>
      </c>
      <c r="AI4691" s="311"/>
      <c r="AJ4691" s="468"/>
    </row>
    <row r="4692" spans="1:77" s="472" customFormat="1" ht="12" customHeight="1">
      <c r="B4692" s="473" t="s">
        <v>291</v>
      </c>
      <c r="C4692" s="474">
        <v>44816</v>
      </c>
      <c r="D4692" s="474">
        <v>44817</v>
      </c>
      <c r="E4692" s="475" t="s">
        <v>3819</v>
      </c>
      <c r="F4692" s="473" t="s">
        <v>3820</v>
      </c>
      <c r="G4692" s="476" t="s">
        <v>3821</v>
      </c>
      <c r="H4692" s="472" t="s">
        <v>910</v>
      </c>
      <c r="I4692" s="472" t="s">
        <v>961</v>
      </c>
      <c r="J4692" s="477">
        <v>66917</v>
      </c>
      <c r="L4692" s="477">
        <v>30.5</v>
      </c>
      <c r="M4692" s="477">
        <v>30.5</v>
      </c>
      <c r="N4692" s="478"/>
      <c r="O4692" s="479">
        <v>0.2</v>
      </c>
      <c r="P4692" s="480"/>
      <c r="Q4692" s="478">
        <v>0</v>
      </c>
      <c r="R4692" s="472" t="s">
        <v>146</v>
      </c>
      <c r="S4692" s="482" t="s">
        <v>74</v>
      </c>
      <c r="T4692" s="482">
        <v>31</v>
      </c>
      <c r="U4692" s="483" t="s">
        <v>164</v>
      </c>
      <c r="V4692" s="484"/>
      <c r="X4692" s="478">
        <v>0</v>
      </c>
      <c r="Y4692" s="478"/>
      <c r="AJ4692" s="485"/>
      <c r="AK4692" s="472">
        <v>0</v>
      </c>
    </row>
    <row r="4693" spans="1:77" s="472" customFormat="1" ht="12" customHeight="1">
      <c r="B4693" s="473" t="s">
        <v>291</v>
      </c>
      <c r="C4693" s="474"/>
      <c r="D4693" s="474"/>
      <c r="E4693" s="475" t="s">
        <v>3819</v>
      </c>
      <c r="F4693" s="473" t="s">
        <v>3820</v>
      </c>
      <c r="G4693" s="476" t="s">
        <v>3821</v>
      </c>
      <c r="H4693" s="472" t="s">
        <v>765</v>
      </c>
      <c r="I4693" s="472" t="s">
        <v>961</v>
      </c>
      <c r="J4693" s="477">
        <v>26300</v>
      </c>
      <c r="L4693" s="477">
        <v>20</v>
      </c>
      <c r="M4693" s="477">
        <v>20</v>
      </c>
      <c r="N4693" s="478"/>
      <c r="O4693" s="479">
        <v>0.2</v>
      </c>
      <c r="P4693" s="480"/>
      <c r="Q4693" s="478">
        <v>1025</v>
      </c>
      <c r="R4693" s="472" t="s">
        <v>146</v>
      </c>
      <c r="S4693" s="482" t="s">
        <v>74</v>
      </c>
      <c r="T4693" s="482">
        <v>31</v>
      </c>
      <c r="U4693" s="483" t="s">
        <v>164</v>
      </c>
      <c r="V4693" s="484"/>
      <c r="X4693" s="478">
        <v>1025</v>
      </c>
      <c r="Y4693" s="478"/>
      <c r="AJ4693" s="485"/>
      <c r="AK4693" s="506">
        <v>1025</v>
      </c>
    </row>
    <row r="4694" spans="1:77" s="472" customFormat="1" ht="12" customHeight="1">
      <c r="A4694" s="472" t="s">
        <v>3893</v>
      </c>
      <c r="B4694" s="501" t="s">
        <v>291</v>
      </c>
      <c r="C4694" s="474">
        <v>44816</v>
      </c>
      <c r="D4694" s="474">
        <v>44817</v>
      </c>
      <c r="E4694" s="475" t="s">
        <v>3822</v>
      </c>
      <c r="F4694" s="473" t="s">
        <v>1944</v>
      </c>
      <c r="G4694" s="476">
        <v>3959</v>
      </c>
      <c r="H4694" s="472" t="s">
        <v>866</v>
      </c>
      <c r="I4694" s="491" t="s">
        <v>33</v>
      </c>
      <c r="J4694" s="477">
        <v>7923.39</v>
      </c>
      <c r="L4694" s="477">
        <v>4.51</v>
      </c>
      <c r="M4694" s="477">
        <v>4.51</v>
      </c>
      <c r="N4694" s="478"/>
      <c r="O4694" s="479">
        <v>0.15</v>
      </c>
      <c r="P4694" s="480"/>
      <c r="Q4694" s="478">
        <v>0</v>
      </c>
      <c r="R4694" s="473" t="s">
        <v>105</v>
      </c>
      <c r="S4694" s="481" t="s">
        <v>30</v>
      </c>
      <c r="T4694" s="482">
        <v>39</v>
      </c>
      <c r="U4694" s="483" t="s">
        <v>164</v>
      </c>
      <c r="V4694" s="484"/>
      <c r="X4694" s="478">
        <v>0</v>
      </c>
      <c r="Y4694" s="478"/>
      <c r="AJ4694" s="485"/>
      <c r="AK4694" s="472">
        <v>0</v>
      </c>
    </row>
    <row r="4695" spans="1:77" s="117" customFormat="1" ht="12" customHeight="1">
      <c r="A4695" s="117" t="s">
        <v>3893</v>
      </c>
      <c r="B4695" s="145" t="s">
        <v>291</v>
      </c>
      <c r="C4695" s="146"/>
      <c r="D4695" s="146"/>
      <c r="E4695" s="147" t="s">
        <v>3822</v>
      </c>
      <c r="F4695" s="6" t="s">
        <v>1944</v>
      </c>
      <c r="G4695" s="148">
        <v>3959</v>
      </c>
      <c r="H4695" s="117" t="s">
        <v>866</v>
      </c>
      <c r="I4695" s="9" t="s">
        <v>33</v>
      </c>
      <c r="J4695" s="149">
        <v>43042.83</v>
      </c>
      <c r="L4695" s="149">
        <v>24.5</v>
      </c>
      <c r="M4695" s="149">
        <v>24.5</v>
      </c>
      <c r="N4695" s="150">
        <f>13268</f>
        <v>13268</v>
      </c>
      <c r="O4695" s="282">
        <v>0.15</v>
      </c>
      <c r="P4695" s="151"/>
      <c r="Q4695" s="200">
        <v>8796.1299999999992</v>
      </c>
      <c r="R4695" s="6" t="s">
        <v>105</v>
      </c>
      <c r="S4695" s="3" t="s">
        <v>30</v>
      </c>
      <c r="T4695" s="152">
        <v>71</v>
      </c>
      <c r="U4695" s="56"/>
      <c r="V4695" s="448"/>
      <c r="X4695" s="150"/>
      <c r="Y4695" s="150"/>
      <c r="AJ4695" s="80"/>
    </row>
    <row r="4696" spans="1:77" s="394" customFormat="1" ht="12" customHeight="1">
      <c r="B4696" s="379" t="s">
        <v>291</v>
      </c>
      <c r="C4696" s="392">
        <v>44817</v>
      </c>
      <c r="D4696" s="392">
        <v>44818</v>
      </c>
      <c r="E4696" s="393" t="s">
        <v>3828</v>
      </c>
      <c r="F4696" s="379" t="s">
        <v>1468</v>
      </c>
      <c r="G4696" s="400">
        <v>3688</v>
      </c>
      <c r="H4696" s="394" t="s">
        <v>2696</v>
      </c>
      <c r="I4696" s="394" t="s">
        <v>961</v>
      </c>
      <c r="J4696" s="395">
        <v>28446.43</v>
      </c>
      <c r="L4696" s="395">
        <v>5</v>
      </c>
      <c r="M4696" s="395">
        <v>5</v>
      </c>
      <c r="N4696" s="396">
        <v>9956.2487500000007</v>
      </c>
      <c r="O4696" s="401">
        <v>0.3</v>
      </c>
      <c r="P4696" s="397"/>
      <c r="Q4696" s="396">
        <v>2002.47</v>
      </c>
      <c r="R4696" s="394" t="s">
        <v>50</v>
      </c>
      <c r="S4696" s="399" t="s">
        <v>51</v>
      </c>
      <c r="T4696" s="399">
        <v>55</v>
      </c>
      <c r="U4696" s="398" t="s">
        <v>164</v>
      </c>
      <c r="V4696" s="449"/>
      <c r="X4696" s="396">
        <v>2002.47</v>
      </c>
      <c r="Y4696" s="396"/>
      <c r="AJ4696" s="395">
        <v>2002.47</v>
      </c>
    </row>
    <row r="4697" spans="1:77" s="394" customFormat="1" ht="12" customHeight="1">
      <c r="B4697" s="379" t="s">
        <v>291</v>
      </c>
      <c r="C4697" s="392"/>
      <c r="D4697" s="392"/>
      <c r="E4697" s="393" t="s">
        <v>3828</v>
      </c>
      <c r="F4697" s="379" t="s">
        <v>1468</v>
      </c>
      <c r="G4697" s="400">
        <v>3688</v>
      </c>
      <c r="H4697" s="394" t="s">
        <v>866</v>
      </c>
      <c r="I4697" s="394" t="s">
        <v>961</v>
      </c>
      <c r="J4697" s="395">
        <v>34525.300000000003</v>
      </c>
      <c r="L4697" s="395">
        <v>19.55</v>
      </c>
      <c r="M4697" s="395">
        <v>19.55</v>
      </c>
      <c r="N4697" s="396">
        <v>10357.59</v>
      </c>
      <c r="O4697" s="401">
        <v>0.3</v>
      </c>
      <c r="P4697" s="397"/>
      <c r="Q4697" s="396">
        <v>0</v>
      </c>
      <c r="R4697" s="394" t="s">
        <v>50</v>
      </c>
      <c r="S4697" s="399" t="s">
        <v>51</v>
      </c>
      <c r="T4697" s="399">
        <v>55</v>
      </c>
      <c r="U4697" s="398" t="s">
        <v>164</v>
      </c>
      <c r="V4697" s="449"/>
      <c r="X4697" s="396">
        <v>0</v>
      </c>
      <c r="Y4697" s="396"/>
      <c r="AJ4697" s="390">
        <v>0</v>
      </c>
    </row>
    <row r="4698" spans="1:77" s="341" customFormat="1" ht="12" customHeight="1">
      <c r="A4698" s="341" t="s">
        <v>3893</v>
      </c>
      <c r="B4698" s="337" t="s">
        <v>291</v>
      </c>
      <c r="C4698" s="339">
        <v>44816</v>
      </c>
      <c r="D4698" s="339">
        <v>44818</v>
      </c>
      <c r="E4698" s="340" t="s">
        <v>3829</v>
      </c>
      <c r="F4698" s="337" t="s">
        <v>2574</v>
      </c>
      <c r="G4698" s="342">
        <v>3548</v>
      </c>
      <c r="H4698" s="341" t="s">
        <v>866</v>
      </c>
      <c r="I4698" s="353" t="s">
        <v>33</v>
      </c>
      <c r="J4698" s="343">
        <v>23753.8</v>
      </c>
      <c r="L4698" s="343">
        <v>19</v>
      </c>
      <c r="M4698" s="343">
        <v>19</v>
      </c>
      <c r="N4698" s="344">
        <f>3776+1599</f>
        <v>5375</v>
      </c>
      <c r="O4698" s="359">
        <v>0.2</v>
      </c>
      <c r="P4698" s="345"/>
      <c r="Q4698" s="344">
        <v>3947.44</v>
      </c>
      <c r="R4698" s="337" t="s">
        <v>105</v>
      </c>
      <c r="S4698" s="356" t="s">
        <v>30</v>
      </c>
      <c r="T4698" s="346">
        <v>39</v>
      </c>
      <c r="U4698" s="347" t="s">
        <v>164</v>
      </c>
      <c r="V4698" s="451"/>
      <c r="X4698" s="344">
        <v>3947.44</v>
      </c>
      <c r="Y4698" s="344"/>
      <c r="AI4698" s="344">
        <v>3947.44</v>
      </c>
      <c r="AJ4698" s="358"/>
      <c r="AK4698" s="369"/>
    </row>
    <row r="4699" spans="1:77" s="341" customFormat="1" ht="12" customHeight="1">
      <c r="A4699" s="341" t="s">
        <v>3893</v>
      </c>
      <c r="B4699" s="337" t="s">
        <v>291</v>
      </c>
      <c r="C4699" s="339"/>
      <c r="D4699" s="339"/>
      <c r="E4699" s="340" t="s">
        <v>3829</v>
      </c>
      <c r="F4699" s="337" t="s">
        <v>2574</v>
      </c>
      <c r="G4699" s="342">
        <v>3548</v>
      </c>
      <c r="H4699" s="341" t="s">
        <v>814</v>
      </c>
      <c r="I4699" s="353" t="s">
        <v>33</v>
      </c>
      <c r="J4699" s="343">
        <v>5880</v>
      </c>
      <c r="L4699" s="343">
        <v>7</v>
      </c>
      <c r="M4699" s="343">
        <v>7</v>
      </c>
      <c r="N4699" s="344">
        <v>2205</v>
      </c>
      <c r="O4699" s="359">
        <v>0.2</v>
      </c>
      <c r="P4699" s="345"/>
      <c r="Q4699" s="344">
        <v>1788.5</v>
      </c>
      <c r="R4699" s="337" t="s">
        <v>105</v>
      </c>
      <c r="S4699" s="356" t="s">
        <v>30</v>
      </c>
      <c r="T4699" s="346">
        <v>39</v>
      </c>
      <c r="U4699" s="347" t="s">
        <v>164</v>
      </c>
      <c r="V4699" s="451"/>
      <c r="X4699" s="344">
        <v>1788.5</v>
      </c>
      <c r="Y4699" s="344"/>
      <c r="AI4699" s="344">
        <v>1788.5</v>
      </c>
      <c r="AJ4699" s="358"/>
      <c r="AK4699" s="369"/>
    </row>
    <row r="4700" spans="1:77" s="341" customFormat="1" ht="12" customHeight="1">
      <c r="B4700" s="337" t="s">
        <v>291</v>
      </c>
      <c r="C4700" s="339">
        <v>44816</v>
      </c>
      <c r="D4700" s="339">
        <v>44818</v>
      </c>
      <c r="E4700" s="340" t="s">
        <v>3830</v>
      </c>
      <c r="F4700" s="341" t="s">
        <v>3581</v>
      </c>
      <c r="G4700" s="342" t="s">
        <v>3582</v>
      </c>
      <c r="H4700" s="341" t="s">
        <v>866</v>
      </c>
      <c r="I4700" s="341" t="s">
        <v>1839</v>
      </c>
      <c r="J4700" s="343">
        <v>56501.760000000002</v>
      </c>
      <c r="L4700" s="343">
        <v>31.53</v>
      </c>
      <c r="M4700" s="343">
        <v>7</v>
      </c>
      <c r="N4700" s="344">
        <f>39551.23+9031.48</f>
        <v>48582.710000000006</v>
      </c>
      <c r="O4700" s="359">
        <v>0.2</v>
      </c>
      <c r="P4700" s="345"/>
      <c r="Q4700" s="344">
        <v>27880.61</v>
      </c>
      <c r="R4700" s="337" t="s">
        <v>112</v>
      </c>
      <c r="S4700" s="356" t="s">
        <v>113</v>
      </c>
      <c r="T4700" s="346">
        <v>64</v>
      </c>
      <c r="U4700" s="347" t="s">
        <v>164</v>
      </c>
      <c r="V4700" s="451"/>
      <c r="X4700" s="344">
        <v>27880.61</v>
      </c>
      <c r="Y4700" s="344"/>
      <c r="AI4700" s="344">
        <v>27880.61</v>
      </c>
      <c r="AJ4700" s="358"/>
      <c r="AK4700" s="369"/>
    </row>
    <row r="4701" spans="1:77" s="341" customFormat="1" ht="12" customHeight="1">
      <c r="B4701" s="337" t="s">
        <v>291</v>
      </c>
      <c r="C4701" s="339"/>
      <c r="D4701" s="339"/>
      <c r="E4701" s="340" t="s">
        <v>3830</v>
      </c>
      <c r="F4701" s="341" t="s">
        <v>3581</v>
      </c>
      <c r="G4701" s="342" t="s">
        <v>3582</v>
      </c>
      <c r="H4701" s="341" t="s">
        <v>765</v>
      </c>
      <c r="I4701" s="341" t="s">
        <v>1839</v>
      </c>
      <c r="J4701" s="343">
        <v>82176.81</v>
      </c>
      <c r="L4701" s="343">
        <v>45.73</v>
      </c>
      <c r="M4701" s="343">
        <v>45.73</v>
      </c>
      <c r="N4701" s="344">
        <f>25709.68+17053.18</f>
        <v>42762.86</v>
      </c>
      <c r="O4701" s="359">
        <v>0.2</v>
      </c>
      <c r="P4701" s="345"/>
      <c r="Q4701" s="344">
        <v>9861.2199999999993</v>
      </c>
      <c r="R4701" s="337" t="s">
        <v>112</v>
      </c>
      <c r="S4701" s="356" t="s">
        <v>113</v>
      </c>
      <c r="T4701" s="346">
        <v>64</v>
      </c>
      <c r="U4701" s="347" t="s">
        <v>164</v>
      </c>
      <c r="V4701" s="451"/>
      <c r="X4701" s="344">
        <v>9861.2199999999993</v>
      </c>
      <c r="Y4701" s="344"/>
      <c r="AI4701" s="344">
        <v>9861.2199999999993</v>
      </c>
      <c r="AJ4701" s="358"/>
      <c r="AK4701" s="369"/>
    </row>
    <row r="4702" spans="1:77" s="341" customFormat="1" ht="12" customHeight="1">
      <c r="B4702" s="337" t="s">
        <v>291</v>
      </c>
      <c r="C4702" s="339">
        <v>44816</v>
      </c>
      <c r="D4702" s="339">
        <v>44818</v>
      </c>
      <c r="E4702" s="340" t="s">
        <v>3831</v>
      </c>
      <c r="F4702" s="337" t="s">
        <v>1716</v>
      </c>
      <c r="G4702" s="342" t="s">
        <v>1707</v>
      </c>
      <c r="H4702" s="341" t="s">
        <v>1138</v>
      </c>
      <c r="I4702" s="341" t="s">
        <v>33</v>
      </c>
      <c r="J4702" s="343">
        <v>12163.2</v>
      </c>
      <c r="L4702" s="343">
        <v>5.43</v>
      </c>
      <c r="M4702" s="343">
        <v>5.43</v>
      </c>
      <c r="N4702" s="344"/>
      <c r="O4702" s="359">
        <v>0.25</v>
      </c>
      <c r="P4702" s="345"/>
      <c r="Q4702" s="344">
        <v>152.04</v>
      </c>
      <c r="R4702" s="337" t="s">
        <v>146</v>
      </c>
      <c r="S4702" s="356" t="s">
        <v>74</v>
      </c>
      <c r="T4702" s="346">
        <v>31</v>
      </c>
      <c r="U4702" s="347" t="s">
        <v>164</v>
      </c>
      <c r="V4702" s="451"/>
      <c r="X4702" s="344">
        <v>152.04</v>
      </c>
      <c r="Y4702" s="344"/>
      <c r="AI4702" s="344">
        <v>152.04</v>
      </c>
      <c r="AJ4702" s="358"/>
      <c r="AK4702" s="369"/>
      <c r="AL4702" s="337"/>
      <c r="AM4702" s="337"/>
      <c r="AN4702" s="337"/>
      <c r="AO4702" s="337"/>
      <c r="AP4702" s="337"/>
      <c r="AQ4702" s="337"/>
      <c r="AR4702" s="337"/>
      <c r="AS4702" s="337"/>
      <c r="AT4702" s="337"/>
      <c r="AU4702" s="337"/>
      <c r="AV4702" s="337"/>
      <c r="AW4702" s="337"/>
      <c r="AX4702" s="337"/>
      <c r="AY4702" s="337"/>
      <c r="AZ4702" s="337"/>
      <c r="BA4702" s="337"/>
      <c r="BB4702" s="337"/>
      <c r="BC4702" s="337"/>
      <c r="BD4702" s="337"/>
      <c r="BE4702" s="337"/>
      <c r="BF4702" s="337"/>
      <c r="BG4702" s="337"/>
      <c r="BH4702" s="337"/>
      <c r="BI4702" s="337"/>
      <c r="BJ4702" s="337"/>
      <c r="BK4702" s="337"/>
      <c r="BL4702" s="337"/>
      <c r="BM4702" s="337"/>
      <c r="BN4702" s="337"/>
      <c r="BO4702" s="337"/>
      <c r="BP4702" s="337"/>
      <c r="BQ4702" s="337"/>
      <c r="BR4702" s="337"/>
      <c r="BS4702" s="337"/>
      <c r="BT4702" s="337"/>
      <c r="BU4702" s="337"/>
      <c r="BV4702" s="337"/>
      <c r="BW4702" s="337"/>
      <c r="BX4702" s="337"/>
      <c r="BY4702" s="337"/>
    </row>
    <row r="4703" spans="1:77" s="394" customFormat="1" ht="12" customHeight="1">
      <c r="B4703" s="406" t="s">
        <v>291</v>
      </c>
      <c r="C4703" s="392">
        <v>44818</v>
      </c>
      <c r="D4703" s="392">
        <v>44818</v>
      </c>
      <c r="E4703" s="393" t="s">
        <v>3832</v>
      </c>
      <c r="F4703" s="379" t="s">
        <v>185</v>
      </c>
      <c r="G4703" s="400">
        <v>3951</v>
      </c>
      <c r="H4703" s="394" t="s">
        <v>910</v>
      </c>
      <c r="I4703" s="394" t="s">
        <v>1211</v>
      </c>
      <c r="J4703" s="395">
        <v>65331.199999999997</v>
      </c>
      <c r="L4703" s="395">
        <v>37.119999999999997</v>
      </c>
      <c r="M4703" s="395">
        <v>37.119999999999997</v>
      </c>
      <c r="N4703" s="396"/>
      <c r="O4703" s="401">
        <v>0.2</v>
      </c>
      <c r="P4703" s="397"/>
      <c r="Q4703" s="396">
        <v>2222.5300000000002</v>
      </c>
      <c r="R4703" s="379" t="s">
        <v>146</v>
      </c>
      <c r="S4703" s="388" t="s">
        <v>74</v>
      </c>
      <c r="T4703" s="399">
        <v>32</v>
      </c>
      <c r="U4703" s="398" t="s">
        <v>164</v>
      </c>
      <c r="V4703" s="449"/>
      <c r="X4703" s="396">
        <v>2222.5300000000002</v>
      </c>
      <c r="Y4703" s="396"/>
      <c r="AJ4703" s="395">
        <v>2222.5300000000002</v>
      </c>
    </row>
    <row r="4704" spans="1:77" s="394" customFormat="1" ht="12" customHeight="1">
      <c r="B4704" s="406" t="s">
        <v>291</v>
      </c>
      <c r="C4704" s="392"/>
      <c r="D4704" s="392"/>
      <c r="E4704" s="393" t="s">
        <v>3832</v>
      </c>
      <c r="F4704" s="379" t="s">
        <v>185</v>
      </c>
      <c r="G4704" s="400">
        <v>3951</v>
      </c>
      <c r="H4704" s="394" t="s">
        <v>814</v>
      </c>
      <c r="I4704" s="394" t="s">
        <v>1211</v>
      </c>
      <c r="J4704" s="395">
        <v>15384.6</v>
      </c>
      <c r="L4704" s="395">
        <v>12.95</v>
      </c>
      <c r="M4704" s="395">
        <v>12.95</v>
      </c>
      <c r="N4704" s="396"/>
      <c r="O4704" s="401">
        <v>0.2</v>
      </c>
      <c r="P4704" s="397"/>
      <c r="Q4704" s="396">
        <v>0</v>
      </c>
      <c r="R4704" s="379" t="s">
        <v>146</v>
      </c>
      <c r="S4704" s="388" t="s">
        <v>74</v>
      </c>
      <c r="T4704" s="399">
        <v>32</v>
      </c>
      <c r="U4704" s="398" t="s">
        <v>164</v>
      </c>
      <c r="V4704" s="449"/>
      <c r="X4704" s="396">
        <v>0</v>
      </c>
      <c r="Y4704" s="396"/>
      <c r="AJ4704" s="390">
        <v>0</v>
      </c>
    </row>
    <row r="4705" spans="1:77" s="394" customFormat="1" ht="12" customHeight="1">
      <c r="B4705" s="379" t="s">
        <v>291</v>
      </c>
      <c r="C4705" s="392">
        <v>44818</v>
      </c>
      <c r="D4705" s="392">
        <v>44818</v>
      </c>
      <c r="E4705" s="393" t="s">
        <v>3833</v>
      </c>
      <c r="F4705" s="379" t="s">
        <v>838</v>
      </c>
      <c r="G4705" s="400">
        <v>4446</v>
      </c>
      <c r="H4705" s="394" t="s">
        <v>866</v>
      </c>
      <c r="I4705" s="394" t="s">
        <v>3624</v>
      </c>
      <c r="J4705" s="395">
        <v>8508.64</v>
      </c>
      <c r="L4705" s="395">
        <v>7.49</v>
      </c>
      <c r="M4705" s="395">
        <v>7.49</v>
      </c>
      <c r="N4705" s="396">
        <v>2552.5920000000001</v>
      </c>
      <c r="O4705" s="401">
        <v>0.25</v>
      </c>
      <c r="P4705" s="397"/>
      <c r="Q4705" s="396">
        <v>3055.92</v>
      </c>
      <c r="R4705" s="379" t="s">
        <v>281</v>
      </c>
      <c r="S4705" s="388" t="s">
        <v>228</v>
      </c>
      <c r="T4705" s="399">
        <v>58</v>
      </c>
      <c r="U4705" s="398" t="s">
        <v>164</v>
      </c>
      <c r="V4705" s="449">
        <v>150</v>
      </c>
      <c r="X4705" s="396">
        <v>3055.92</v>
      </c>
      <c r="Y4705" s="396"/>
      <c r="AJ4705" s="395">
        <v>3055.92</v>
      </c>
    </row>
    <row r="4706" spans="1:77" s="394" customFormat="1" ht="12" customHeight="1">
      <c r="B4706" s="379" t="s">
        <v>291</v>
      </c>
      <c r="C4706" s="392"/>
      <c r="D4706" s="392"/>
      <c r="E4706" s="393" t="s">
        <v>3833</v>
      </c>
      <c r="F4706" s="379" t="s">
        <v>838</v>
      </c>
      <c r="G4706" s="400">
        <v>4446</v>
      </c>
      <c r="H4706" s="394" t="s">
        <v>765</v>
      </c>
      <c r="I4706" s="394" t="s">
        <v>3624</v>
      </c>
      <c r="J4706" s="395">
        <v>16901.05</v>
      </c>
      <c r="L4706" s="395">
        <v>21.53</v>
      </c>
      <c r="M4706" s="395">
        <v>21.53</v>
      </c>
      <c r="N4706" s="396">
        <v>4056.252</v>
      </c>
      <c r="O4706" s="401">
        <v>0.25</v>
      </c>
      <c r="P4706" s="397"/>
      <c r="Q4706" s="396">
        <f>50*21.53</f>
        <v>1076.5</v>
      </c>
      <c r="R4706" s="379" t="s">
        <v>281</v>
      </c>
      <c r="S4706" s="388" t="s">
        <v>228</v>
      </c>
      <c r="T4706" s="399">
        <v>58</v>
      </c>
      <c r="U4706" s="398" t="s">
        <v>164</v>
      </c>
      <c r="V4706" s="449"/>
      <c r="X4706" s="396">
        <f>50*21.53</f>
        <v>1076.5</v>
      </c>
      <c r="Y4706" s="396"/>
      <c r="AJ4706" s="395">
        <f>50*21.53</f>
        <v>1076.5</v>
      </c>
    </row>
    <row r="4707" spans="1:77" s="394" customFormat="1" ht="12" customHeight="1">
      <c r="B4707" s="379" t="s">
        <v>291</v>
      </c>
      <c r="C4707" s="392">
        <v>44818</v>
      </c>
      <c r="D4707" s="392">
        <v>44818</v>
      </c>
      <c r="E4707" s="393" t="s">
        <v>3834</v>
      </c>
      <c r="F4707" s="379" t="s">
        <v>836</v>
      </c>
      <c r="G4707" s="400">
        <v>4438</v>
      </c>
      <c r="H4707" s="394" t="s">
        <v>765</v>
      </c>
      <c r="I4707" s="394" t="s">
        <v>33</v>
      </c>
      <c r="J4707" s="395">
        <v>7815.85</v>
      </c>
      <c r="L4707" s="395">
        <v>11.41</v>
      </c>
      <c r="M4707" s="395">
        <v>11.41</v>
      </c>
      <c r="N4707" s="396">
        <v>390.79250000000002</v>
      </c>
      <c r="O4707" s="401">
        <v>0.2</v>
      </c>
      <c r="P4707" s="397"/>
      <c r="Q4707" s="396">
        <v>0</v>
      </c>
      <c r="R4707" s="394" t="s">
        <v>281</v>
      </c>
      <c r="S4707" s="399" t="s">
        <v>228</v>
      </c>
      <c r="T4707" s="399">
        <v>58</v>
      </c>
      <c r="U4707" s="398" t="s">
        <v>164</v>
      </c>
      <c r="V4707" s="449"/>
      <c r="X4707" s="396">
        <v>0</v>
      </c>
      <c r="Y4707" s="396"/>
      <c r="AJ4707" s="390">
        <v>0</v>
      </c>
    </row>
    <row r="4708" spans="1:77" s="303" customFormat="1" ht="12" customHeight="1">
      <c r="A4708" s="303" t="s">
        <v>3893</v>
      </c>
      <c r="B4708" s="310" t="s">
        <v>291</v>
      </c>
      <c r="C4708" s="301">
        <v>44809</v>
      </c>
      <c r="D4708" s="301">
        <v>44818</v>
      </c>
      <c r="E4708" s="302" t="s">
        <v>3836</v>
      </c>
      <c r="F4708" s="291" t="s">
        <v>1046</v>
      </c>
      <c r="G4708" s="304" t="s">
        <v>1047</v>
      </c>
      <c r="H4708" s="303" t="s">
        <v>1018</v>
      </c>
      <c r="I4708" s="303" t="s">
        <v>888</v>
      </c>
      <c r="J4708" s="305">
        <v>9709.25</v>
      </c>
      <c r="L4708" s="305">
        <v>8.2899999999999991</v>
      </c>
      <c r="M4708" s="305">
        <v>8.2899999999999991</v>
      </c>
      <c r="N4708" s="306"/>
      <c r="O4708" s="316">
        <v>0.2</v>
      </c>
      <c r="P4708" s="307"/>
      <c r="Q4708" s="306">
        <v>1506.79</v>
      </c>
      <c r="R4708" s="303" t="s">
        <v>146</v>
      </c>
      <c r="S4708" s="299" t="s">
        <v>74</v>
      </c>
      <c r="T4708" s="308">
        <v>32</v>
      </c>
      <c r="U4708" s="300" t="s">
        <v>164</v>
      </c>
      <c r="V4708" s="447"/>
      <c r="X4708" s="306">
        <v>1506.79</v>
      </c>
      <c r="Y4708" s="306"/>
      <c r="AH4708" s="303">
        <f>X4708</f>
        <v>1506.79</v>
      </c>
      <c r="AI4708" s="311"/>
      <c r="AJ4708" s="468"/>
    </row>
    <row r="4709" spans="1:77" s="341" customFormat="1" ht="12" customHeight="1">
      <c r="B4709" s="338" t="s">
        <v>291</v>
      </c>
      <c r="C4709" s="339">
        <v>44814</v>
      </c>
      <c r="D4709" s="339">
        <v>44818</v>
      </c>
      <c r="E4709" s="340" t="s">
        <v>3837</v>
      </c>
      <c r="F4709" s="337" t="s">
        <v>1766</v>
      </c>
      <c r="G4709" s="342" t="s">
        <v>1767</v>
      </c>
      <c r="H4709" s="341" t="s">
        <v>1138</v>
      </c>
      <c r="I4709" s="341" t="s">
        <v>1211</v>
      </c>
      <c r="J4709" s="343">
        <v>28993.08</v>
      </c>
      <c r="L4709" s="343">
        <v>15.74</v>
      </c>
      <c r="M4709" s="343">
        <v>15.74</v>
      </c>
      <c r="N4709" s="344"/>
      <c r="O4709" s="359">
        <v>0.25</v>
      </c>
      <c r="P4709" s="345"/>
      <c r="Q4709" s="344">
        <v>401.37</v>
      </c>
      <c r="R4709" s="337" t="s">
        <v>257</v>
      </c>
      <c r="S4709" s="356" t="s">
        <v>74</v>
      </c>
      <c r="T4709" s="346">
        <v>32</v>
      </c>
      <c r="U4709" s="347" t="s">
        <v>164</v>
      </c>
      <c r="V4709" s="451"/>
      <c r="X4709" s="344">
        <v>401.37</v>
      </c>
      <c r="Y4709" s="344"/>
      <c r="AI4709" s="341">
        <v>401.37</v>
      </c>
      <c r="AJ4709" s="358"/>
      <c r="AK4709" s="369"/>
    </row>
    <row r="4710" spans="1:77" s="472" customFormat="1" ht="12" customHeight="1">
      <c r="B4710" s="486" t="s">
        <v>291</v>
      </c>
      <c r="C4710" s="474">
        <v>44816</v>
      </c>
      <c r="D4710" s="474">
        <v>44818</v>
      </c>
      <c r="E4710" s="475" t="s">
        <v>3838</v>
      </c>
      <c r="F4710" s="472" t="s">
        <v>1420</v>
      </c>
      <c r="G4710" s="476" t="s">
        <v>1419</v>
      </c>
      <c r="H4710" s="472" t="s">
        <v>866</v>
      </c>
      <c r="I4710" s="472" t="s">
        <v>1839</v>
      </c>
      <c r="J4710" s="477">
        <v>12645.67</v>
      </c>
      <c r="L4710" s="477">
        <v>6.71</v>
      </c>
      <c r="M4710" s="477">
        <v>4.3</v>
      </c>
      <c r="N4710" s="478">
        <v>1215.5</v>
      </c>
      <c r="O4710" s="479">
        <v>0.2</v>
      </c>
      <c r="P4710" s="480"/>
      <c r="Q4710" s="478">
        <v>1739.34</v>
      </c>
      <c r="R4710" s="473" t="s">
        <v>112</v>
      </c>
      <c r="S4710" s="481" t="s">
        <v>113</v>
      </c>
      <c r="T4710" s="482">
        <v>64</v>
      </c>
      <c r="U4710" s="483" t="s">
        <v>164</v>
      </c>
      <c r="V4710" s="484">
        <v>129</v>
      </c>
      <c r="X4710" s="478">
        <v>1739.34</v>
      </c>
      <c r="Y4710" s="478"/>
      <c r="AJ4710" s="485"/>
      <c r="AK4710" s="506">
        <v>1739.34</v>
      </c>
    </row>
    <row r="4711" spans="1:77" s="572" customFormat="1" ht="12" customHeight="1">
      <c r="B4711" s="705" t="s">
        <v>291</v>
      </c>
      <c r="C4711" s="708">
        <v>44788</v>
      </c>
      <c r="D4711" s="708">
        <v>44819</v>
      </c>
      <c r="E4711" s="709" t="s">
        <v>3839</v>
      </c>
      <c r="F4711" s="571" t="s">
        <v>1375</v>
      </c>
      <c r="G4711" s="696">
        <v>4631</v>
      </c>
      <c r="H4711" s="572" t="s">
        <v>1015</v>
      </c>
      <c r="I4711" s="572" t="s">
        <v>33</v>
      </c>
      <c r="J4711" s="710">
        <v>5089.8100000000004</v>
      </c>
      <c r="L4711" s="710">
        <v>4.13</v>
      </c>
      <c r="M4711" s="710">
        <v>4.13</v>
      </c>
      <c r="N4711" s="711"/>
      <c r="O4711" s="715">
        <v>0.25</v>
      </c>
      <c r="P4711" s="712"/>
      <c r="Q4711" s="711">
        <v>1279.27</v>
      </c>
      <c r="R4711" s="571" t="s">
        <v>35</v>
      </c>
      <c r="S4711" s="701" t="s">
        <v>41</v>
      </c>
      <c r="T4711" s="707">
        <v>16</v>
      </c>
      <c r="U4711" s="713" t="s">
        <v>164</v>
      </c>
      <c r="V4711" s="714"/>
      <c r="X4711" s="711">
        <v>1279.27</v>
      </c>
      <c r="Y4711" s="711"/>
      <c r="AJ4711" s="704"/>
      <c r="AP4711" s="711">
        <v>1279.27</v>
      </c>
    </row>
    <row r="4712" spans="1:77" s="341" customFormat="1" ht="12" customHeight="1">
      <c r="B4712" s="338" t="s">
        <v>291</v>
      </c>
      <c r="C4712" s="339">
        <v>44819</v>
      </c>
      <c r="D4712" s="339">
        <v>44819</v>
      </c>
      <c r="E4712" s="340" t="s">
        <v>3840</v>
      </c>
      <c r="F4712" s="337" t="s">
        <v>1557</v>
      </c>
      <c r="G4712" s="342" t="s">
        <v>1558</v>
      </c>
      <c r="H4712" s="341" t="s">
        <v>866</v>
      </c>
      <c r="I4712" s="341" t="s">
        <v>3610</v>
      </c>
      <c r="J4712" s="352">
        <v>31969.13</v>
      </c>
      <c r="L4712" s="343">
        <v>20.2</v>
      </c>
      <c r="M4712" s="343">
        <v>20.2</v>
      </c>
      <c r="N4712" s="344"/>
      <c r="O4712" s="359">
        <v>0.15</v>
      </c>
      <c r="P4712" s="345"/>
      <c r="Q4712" s="344">
        <v>0</v>
      </c>
      <c r="R4712" s="337" t="s">
        <v>112</v>
      </c>
      <c r="S4712" s="356" t="s">
        <v>113</v>
      </c>
      <c r="T4712" s="346">
        <v>64</v>
      </c>
      <c r="U4712" s="347" t="s">
        <v>164</v>
      </c>
      <c r="V4712" s="451"/>
      <c r="X4712" s="344">
        <v>0</v>
      </c>
      <c r="Y4712" s="344"/>
      <c r="AI4712" s="341">
        <v>0</v>
      </c>
      <c r="AJ4712" s="358"/>
      <c r="AK4712" s="369"/>
      <c r="AL4712" s="337"/>
      <c r="AM4712" s="337"/>
      <c r="AN4712" s="337"/>
      <c r="AO4712" s="337"/>
      <c r="AP4712" s="337"/>
      <c r="AQ4712" s="337"/>
      <c r="AR4712" s="337"/>
      <c r="AS4712" s="337"/>
      <c r="AT4712" s="337"/>
      <c r="AU4712" s="337"/>
      <c r="AV4712" s="337"/>
      <c r="AW4712" s="337"/>
      <c r="AX4712" s="337"/>
      <c r="AY4712" s="337"/>
      <c r="AZ4712" s="337"/>
      <c r="BA4712" s="337"/>
      <c r="BB4712" s="337"/>
      <c r="BC4712" s="337"/>
      <c r="BD4712" s="337"/>
      <c r="BE4712" s="337"/>
      <c r="BF4712" s="337"/>
      <c r="BG4712" s="337"/>
      <c r="BH4712" s="337"/>
      <c r="BI4712" s="337"/>
      <c r="BJ4712" s="337"/>
      <c r="BK4712" s="337"/>
      <c r="BL4712" s="337"/>
      <c r="BM4712" s="337"/>
      <c r="BN4712" s="337"/>
      <c r="BO4712" s="337"/>
      <c r="BP4712" s="337"/>
      <c r="BQ4712" s="337"/>
      <c r="BR4712" s="337"/>
      <c r="BS4712" s="337"/>
      <c r="BT4712" s="337"/>
      <c r="BU4712" s="337"/>
      <c r="BV4712" s="337"/>
      <c r="BW4712" s="337"/>
      <c r="BX4712" s="337"/>
      <c r="BY4712" s="337"/>
    </row>
    <row r="4713" spans="1:77" s="341" customFormat="1" ht="12" customHeight="1">
      <c r="B4713" s="338" t="s">
        <v>291</v>
      </c>
      <c r="C4713" s="339"/>
      <c r="D4713" s="339"/>
      <c r="E4713" s="340" t="s">
        <v>3840</v>
      </c>
      <c r="F4713" s="337" t="s">
        <v>1557</v>
      </c>
      <c r="G4713" s="342" t="s">
        <v>1558</v>
      </c>
      <c r="H4713" s="341" t="s">
        <v>765</v>
      </c>
      <c r="I4713" s="341" t="s">
        <v>3610</v>
      </c>
      <c r="J4713" s="352">
        <v>35059.730000000003</v>
      </c>
      <c r="L4713" s="343">
        <v>28.87</v>
      </c>
      <c r="M4713" s="343">
        <v>28.87</v>
      </c>
      <c r="N4713" s="344"/>
      <c r="O4713" s="359">
        <v>0.15</v>
      </c>
      <c r="P4713" s="345"/>
      <c r="Q4713" s="344">
        <v>0</v>
      </c>
      <c r="R4713" s="337" t="s">
        <v>112</v>
      </c>
      <c r="S4713" s="356" t="s">
        <v>113</v>
      </c>
      <c r="T4713" s="346">
        <v>64</v>
      </c>
      <c r="U4713" s="347" t="s">
        <v>164</v>
      </c>
      <c r="V4713" s="451"/>
      <c r="X4713" s="344">
        <v>0</v>
      </c>
      <c r="Y4713" s="344"/>
      <c r="AI4713" s="341">
        <v>0</v>
      </c>
      <c r="AJ4713" s="358"/>
      <c r="AK4713" s="369"/>
      <c r="AL4713" s="337"/>
      <c r="AM4713" s="337"/>
      <c r="AN4713" s="337"/>
      <c r="AO4713" s="337"/>
      <c r="AP4713" s="337"/>
      <c r="AQ4713" s="337"/>
      <c r="AR4713" s="337"/>
      <c r="AS4713" s="337"/>
      <c r="AT4713" s="337"/>
      <c r="AU4713" s="337"/>
      <c r="AV4713" s="337"/>
      <c r="AW4713" s="337"/>
      <c r="AX4713" s="337"/>
      <c r="AY4713" s="337"/>
      <c r="AZ4713" s="337"/>
      <c r="BA4713" s="337"/>
      <c r="BB4713" s="337"/>
      <c r="BC4713" s="337"/>
      <c r="BD4713" s="337"/>
      <c r="BE4713" s="337"/>
      <c r="BF4713" s="337"/>
      <c r="BG4713" s="337"/>
      <c r="BH4713" s="337"/>
      <c r="BI4713" s="337"/>
      <c r="BJ4713" s="337"/>
      <c r="BK4713" s="337"/>
      <c r="BL4713" s="337"/>
      <c r="BM4713" s="337"/>
      <c r="BN4713" s="337"/>
      <c r="BO4713" s="337"/>
      <c r="BP4713" s="337"/>
      <c r="BQ4713" s="337"/>
      <c r="BR4713" s="337"/>
      <c r="BS4713" s="337"/>
      <c r="BT4713" s="337"/>
      <c r="BU4713" s="337"/>
      <c r="BV4713" s="337"/>
      <c r="BW4713" s="337"/>
      <c r="BX4713" s="337"/>
      <c r="BY4713" s="337"/>
    </row>
    <row r="4714" spans="1:77" s="394" customFormat="1" ht="12" customHeight="1">
      <c r="B4714" s="380" t="s">
        <v>291</v>
      </c>
      <c r="C4714" s="392">
        <v>44819</v>
      </c>
      <c r="D4714" s="392">
        <v>44819</v>
      </c>
      <c r="E4714" s="393" t="s">
        <v>3841</v>
      </c>
      <c r="F4714" s="379" t="s">
        <v>3842</v>
      </c>
      <c r="G4714" s="400">
        <v>4445</v>
      </c>
      <c r="H4714" s="394" t="s">
        <v>765</v>
      </c>
      <c r="I4714" s="394" t="s">
        <v>3022</v>
      </c>
      <c r="J4714" s="395">
        <v>11631.48</v>
      </c>
      <c r="L4714" s="395">
        <v>12.81</v>
      </c>
      <c r="M4714" s="395">
        <v>12.81</v>
      </c>
      <c r="N4714" s="396"/>
      <c r="O4714" s="401">
        <v>0.3</v>
      </c>
      <c r="P4714" s="397"/>
      <c r="Q4714" s="396">
        <v>2198.1999999999998</v>
      </c>
      <c r="R4714" s="394" t="s">
        <v>146</v>
      </c>
      <c r="S4714" s="399" t="s">
        <v>74</v>
      </c>
      <c r="T4714" s="399">
        <v>32</v>
      </c>
      <c r="U4714" s="398" t="s">
        <v>164</v>
      </c>
      <c r="V4714" s="449"/>
      <c r="X4714" s="396">
        <v>2198.1999999999998</v>
      </c>
      <c r="Y4714" s="396"/>
      <c r="AJ4714" s="395">
        <v>2198.1999999999998</v>
      </c>
    </row>
    <row r="4715" spans="1:77" s="394" customFormat="1" ht="12" customHeight="1">
      <c r="B4715" s="380" t="s">
        <v>291</v>
      </c>
      <c r="C4715" s="392"/>
      <c r="D4715" s="392"/>
      <c r="E4715" s="393" t="s">
        <v>3841</v>
      </c>
      <c r="F4715" s="379" t="s">
        <v>3842</v>
      </c>
      <c r="G4715" s="400">
        <v>4445</v>
      </c>
      <c r="H4715" s="394" t="s">
        <v>866</v>
      </c>
      <c r="I4715" s="394" t="s">
        <v>3022</v>
      </c>
      <c r="J4715" s="395">
        <v>24405.94</v>
      </c>
      <c r="L4715" s="395">
        <v>15.34</v>
      </c>
      <c r="M4715" s="395">
        <v>15.34</v>
      </c>
      <c r="N4715" s="396"/>
      <c r="O4715" s="401">
        <v>0.3</v>
      </c>
      <c r="P4715" s="397"/>
      <c r="Q4715" s="396">
        <v>10046.17</v>
      </c>
      <c r="R4715" s="394" t="s">
        <v>146</v>
      </c>
      <c r="S4715" s="399" t="s">
        <v>74</v>
      </c>
      <c r="T4715" s="399">
        <v>32</v>
      </c>
      <c r="U4715" s="398" t="s">
        <v>164</v>
      </c>
      <c r="V4715" s="449"/>
      <c r="X4715" s="396">
        <v>10046.17</v>
      </c>
      <c r="Y4715" s="396"/>
      <c r="AJ4715" s="395">
        <v>10046.17</v>
      </c>
    </row>
    <row r="4716" spans="1:77" s="394" customFormat="1" ht="12" customHeight="1">
      <c r="B4716" s="380" t="s">
        <v>291</v>
      </c>
      <c r="C4716" s="392"/>
      <c r="D4716" s="392"/>
      <c r="E4716" s="393" t="s">
        <v>3841</v>
      </c>
      <c r="F4716" s="379" t="s">
        <v>3842</v>
      </c>
      <c r="G4716" s="400">
        <v>4445</v>
      </c>
      <c r="H4716" s="394" t="s">
        <v>910</v>
      </c>
      <c r="I4716" s="394" t="s">
        <v>3022</v>
      </c>
      <c r="J4716" s="395">
        <v>95096.26</v>
      </c>
      <c r="L4716" s="395">
        <v>42.19</v>
      </c>
      <c r="M4716" s="395">
        <v>42.19</v>
      </c>
      <c r="N4716" s="396"/>
      <c r="O4716" s="401">
        <v>0.3</v>
      </c>
      <c r="P4716" s="397"/>
      <c r="Q4716" s="396">
        <v>8176.42</v>
      </c>
      <c r="R4716" s="394" t="s">
        <v>146</v>
      </c>
      <c r="S4716" s="399" t="s">
        <v>74</v>
      </c>
      <c r="T4716" s="399">
        <v>32</v>
      </c>
      <c r="U4716" s="398" t="s">
        <v>164</v>
      </c>
      <c r="V4716" s="449"/>
      <c r="X4716" s="396">
        <v>8176.42</v>
      </c>
      <c r="Y4716" s="396"/>
      <c r="AJ4716" s="395">
        <v>8176.42</v>
      </c>
    </row>
    <row r="4717" spans="1:77" s="394" customFormat="1" ht="12" customHeight="1">
      <c r="B4717" s="380" t="s">
        <v>291</v>
      </c>
      <c r="C4717" s="392"/>
      <c r="D4717" s="392"/>
      <c r="E4717" s="393" t="s">
        <v>3841</v>
      </c>
      <c r="F4717" s="379" t="s">
        <v>3842</v>
      </c>
      <c r="G4717" s="400">
        <v>4445</v>
      </c>
      <c r="H4717" s="394" t="s">
        <v>814</v>
      </c>
      <c r="I4717" s="394" t="s">
        <v>3022</v>
      </c>
      <c r="J4717" s="395">
        <v>12137.58</v>
      </c>
      <c r="L4717" s="395">
        <v>11.83</v>
      </c>
      <c r="M4717" s="395">
        <v>11.83</v>
      </c>
      <c r="N4717" s="396"/>
      <c r="O4717" s="401">
        <v>0.3</v>
      </c>
      <c r="P4717" s="397"/>
      <c r="Q4717" s="396">
        <v>6383.47</v>
      </c>
      <c r="R4717" s="394" t="s">
        <v>146</v>
      </c>
      <c r="S4717" s="399" t="s">
        <v>74</v>
      </c>
      <c r="T4717" s="399">
        <v>32</v>
      </c>
      <c r="U4717" s="398" t="s">
        <v>164</v>
      </c>
      <c r="V4717" s="449"/>
      <c r="X4717" s="396">
        <v>6383.47</v>
      </c>
      <c r="Y4717" s="396"/>
      <c r="AJ4717" s="395">
        <v>6383.47</v>
      </c>
    </row>
    <row r="4718" spans="1:77" s="472" customFormat="1" ht="12" customHeight="1">
      <c r="B4718" s="473" t="s">
        <v>291</v>
      </c>
      <c r="C4718" s="474">
        <v>44820</v>
      </c>
      <c r="D4718" s="474">
        <v>44820</v>
      </c>
      <c r="E4718" s="475" t="s">
        <v>3843</v>
      </c>
      <c r="F4718" s="473" t="s">
        <v>2879</v>
      </c>
      <c r="G4718" s="476" t="s">
        <v>2880</v>
      </c>
      <c r="H4718" s="472" t="s">
        <v>814</v>
      </c>
      <c r="I4718" s="472" t="s">
        <v>156</v>
      </c>
      <c r="J4718" s="477">
        <v>5329.32</v>
      </c>
      <c r="L4718" s="477">
        <v>4.99</v>
      </c>
      <c r="M4718" s="477">
        <v>4.99</v>
      </c>
      <c r="N4718" s="478"/>
      <c r="O4718" s="479">
        <v>0.25</v>
      </c>
      <c r="P4718" s="480"/>
      <c r="Q4718" s="478">
        <v>3098.79</v>
      </c>
      <c r="R4718" s="473" t="s">
        <v>146</v>
      </c>
      <c r="S4718" s="481" t="s">
        <v>74</v>
      </c>
      <c r="T4718" s="482">
        <v>31</v>
      </c>
      <c r="U4718" s="483" t="s">
        <v>164</v>
      </c>
      <c r="V4718" s="484"/>
      <c r="X4718" s="478">
        <v>3098.79</v>
      </c>
      <c r="Y4718" s="478"/>
      <c r="AJ4718" s="485"/>
      <c r="AK4718" s="506">
        <v>3098.79</v>
      </c>
    </row>
    <row r="4719" spans="1:77" s="394" customFormat="1" ht="12" customHeight="1">
      <c r="B4719" s="380" t="s">
        <v>291</v>
      </c>
      <c r="C4719" s="392">
        <v>44817</v>
      </c>
      <c r="D4719" s="381">
        <v>44820</v>
      </c>
      <c r="E4719" s="382" t="s">
        <v>3848</v>
      </c>
      <c r="F4719" s="379" t="s">
        <v>109</v>
      </c>
      <c r="G4719" s="400">
        <v>1005</v>
      </c>
      <c r="H4719" s="379" t="s">
        <v>814</v>
      </c>
      <c r="I4719" s="384" t="s">
        <v>3619</v>
      </c>
      <c r="J4719" s="395">
        <v>3935.75</v>
      </c>
      <c r="L4719" s="395">
        <v>3.25</v>
      </c>
      <c r="M4719" s="395">
        <v>3.25</v>
      </c>
      <c r="N4719" s="396"/>
      <c r="O4719" s="387">
        <v>0.2</v>
      </c>
      <c r="P4719" s="397"/>
      <c r="Q4719" s="396">
        <v>0</v>
      </c>
      <c r="R4719" s="379" t="s">
        <v>112</v>
      </c>
      <c r="S4719" s="388" t="s">
        <v>113</v>
      </c>
      <c r="T4719" s="399">
        <v>64</v>
      </c>
      <c r="U4719" s="398" t="s">
        <v>164</v>
      </c>
      <c r="V4719" s="449"/>
      <c r="X4719" s="396">
        <v>0</v>
      </c>
      <c r="Y4719" s="396"/>
      <c r="AJ4719" s="390">
        <v>0</v>
      </c>
    </row>
    <row r="4720" spans="1:77" s="394" customFormat="1" ht="12" customHeight="1">
      <c r="B4720" s="380" t="s">
        <v>291</v>
      </c>
      <c r="C4720" s="392"/>
      <c r="D4720" s="381"/>
      <c r="E4720" s="382" t="s">
        <v>3848</v>
      </c>
      <c r="F4720" s="379" t="s">
        <v>109</v>
      </c>
      <c r="G4720" s="400">
        <v>1005</v>
      </c>
      <c r="H4720" s="379" t="s">
        <v>866</v>
      </c>
      <c r="I4720" s="384" t="s">
        <v>3619</v>
      </c>
      <c r="J4720" s="395">
        <v>16614</v>
      </c>
      <c r="L4720" s="395">
        <v>10.4</v>
      </c>
      <c r="M4720" s="395">
        <v>3</v>
      </c>
      <c r="N4720" s="396"/>
      <c r="O4720" s="387">
        <v>0.2</v>
      </c>
      <c r="P4720" s="397"/>
      <c r="Q4720" s="396">
        <v>0</v>
      </c>
      <c r="R4720" s="379" t="s">
        <v>112</v>
      </c>
      <c r="S4720" s="388" t="s">
        <v>113</v>
      </c>
      <c r="T4720" s="399">
        <v>64</v>
      </c>
      <c r="U4720" s="398" t="s">
        <v>164</v>
      </c>
      <c r="V4720" s="449"/>
      <c r="X4720" s="396">
        <v>0</v>
      </c>
      <c r="Y4720" s="396"/>
      <c r="AJ4720" s="390">
        <v>0</v>
      </c>
    </row>
    <row r="4721" spans="1:77" s="303" customFormat="1" ht="12" customHeight="1">
      <c r="B4721" s="310" t="s">
        <v>291</v>
      </c>
      <c r="C4721" s="301">
        <v>44818</v>
      </c>
      <c r="D4721" s="292">
        <v>44820</v>
      </c>
      <c r="E4721" s="293" t="s">
        <v>3861</v>
      </c>
      <c r="F4721" s="291" t="s">
        <v>3849</v>
      </c>
      <c r="G4721" s="304">
        <v>3689</v>
      </c>
      <c r="H4721" s="291" t="s">
        <v>898</v>
      </c>
      <c r="I4721" s="295" t="s">
        <v>33</v>
      </c>
      <c r="J4721" s="305">
        <v>11001.94</v>
      </c>
      <c r="L4721" s="305">
        <v>7.37</v>
      </c>
      <c r="M4721" s="305">
        <v>7.37</v>
      </c>
      <c r="N4721" s="306"/>
      <c r="O4721" s="298">
        <v>0.3</v>
      </c>
      <c r="P4721" s="307"/>
      <c r="Q4721" s="306">
        <v>0</v>
      </c>
      <c r="R4721" s="291" t="s">
        <v>50</v>
      </c>
      <c r="S4721" s="299" t="s">
        <v>51</v>
      </c>
      <c r="T4721" s="308">
        <v>55</v>
      </c>
      <c r="U4721" s="309" t="s">
        <v>164</v>
      </c>
      <c r="V4721" s="447"/>
      <c r="X4721" s="306">
        <v>0</v>
      </c>
      <c r="Y4721" s="306"/>
      <c r="AH4721" s="303">
        <f>X4721</f>
        <v>0</v>
      </c>
      <c r="AI4721" s="311"/>
      <c r="AJ4721" s="468"/>
    </row>
    <row r="4722" spans="1:77" s="341" customFormat="1" ht="12" customHeight="1">
      <c r="B4722" s="338" t="s">
        <v>291</v>
      </c>
      <c r="C4722" s="339">
        <v>44820</v>
      </c>
      <c r="D4722" s="349">
        <v>44820</v>
      </c>
      <c r="E4722" s="350" t="s">
        <v>3850</v>
      </c>
      <c r="F4722" s="337" t="s">
        <v>3851</v>
      </c>
      <c r="G4722" s="342">
        <v>3731</v>
      </c>
      <c r="H4722" s="337" t="s">
        <v>765</v>
      </c>
      <c r="I4722" s="353" t="s">
        <v>888</v>
      </c>
      <c r="J4722" s="343">
        <v>8298</v>
      </c>
      <c r="L4722" s="343">
        <v>7.5</v>
      </c>
      <c r="M4722" s="343">
        <v>7.3</v>
      </c>
      <c r="N4722" s="344"/>
      <c r="O4722" s="355">
        <v>0.25</v>
      </c>
      <c r="P4722" s="345"/>
      <c r="Q4722" s="344">
        <v>1120.23</v>
      </c>
      <c r="R4722" s="337" t="s">
        <v>128</v>
      </c>
      <c r="S4722" s="356" t="s">
        <v>41</v>
      </c>
      <c r="T4722" s="346">
        <v>86</v>
      </c>
      <c r="U4722" s="347" t="s">
        <v>164</v>
      </c>
      <c r="V4722" s="451"/>
      <c r="X4722" s="344">
        <v>1120.23</v>
      </c>
      <c r="Y4722" s="344"/>
      <c r="AI4722" s="344">
        <v>1120.23</v>
      </c>
      <c r="AJ4722" s="358"/>
      <c r="AK4722" s="369"/>
    </row>
    <row r="4723" spans="1:77" s="472" customFormat="1" ht="12" customHeight="1">
      <c r="B4723" s="473" t="s">
        <v>291</v>
      </c>
      <c r="C4723" s="474">
        <v>44814</v>
      </c>
      <c r="D4723" s="474">
        <v>44822</v>
      </c>
      <c r="E4723" s="475" t="s">
        <v>3852</v>
      </c>
      <c r="F4723" s="473" t="s">
        <v>2004</v>
      </c>
      <c r="G4723" s="489" t="s">
        <v>2005</v>
      </c>
      <c r="H4723" s="473" t="s">
        <v>528</v>
      </c>
      <c r="I4723" s="472" t="s">
        <v>1195</v>
      </c>
      <c r="J4723" s="477">
        <v>3722.4</v>
      </c>
      <c r="L4723" s="477">
        <v>8.4600000000000009</v>
      </c>
      <c r="M4723" s="477">
        <v>8.4600000000000009</v>
      </c>
      <c r="N4723" s="478"/>
      <c r="O4723" s="493">
        <v>0.2</v>
      </c>
      <c r="P4723" s="480"/>
      <c r="Q4723" s="478">
        <v>524.52</v>
      </c>
      <c r="R4723" s="473" t="s">
        <v>285</v>
      </c>
      <c r="S4723" s="481" t="s">
        <v>275</v>
      </c>
      <c r="T4723" s="481">
        <v>21</v>
      </c>
      <c r="U4723" s="483" t="s">
        <v>164</v>
      </c>
      <c r="V4723" s="484"/>
      <c r="X4723" s="478">
        <v>524.52</v>
      </c>
      <c r="Y4723" s="478"/>
      <c r="AJ4723" s="485"/>
      <c r="AK4723" s="472">
        <v>524.52</v>
      </c>
    </row>
    <row r="4724" spans="1:77" s="117" customFormat="1" ht="12" customHeight="1">
      <c r="A4724" s="472"/>
      <c r="B4724" s="486" t="s">
        <v>291</v>
      </c>
      <c r="C4724" s="474">
        <v>44817</v>
      </c>
      <c r="D4724" s="474">
        <v>44822</v>
      </c>
      <c r="E4724" s="475" t="s">
        <v>3853</v>
      </c>
      <c r="F4724" s="473" t="s">
        <v>659</v>
      </c>
      <c r="G4724" s="489" t="s">
        <v>660</v>
      </c>
      <c r="H4724" s="473" t="s">
        <v>765</v>
      </c>
      <c r="I4724" s="472" t="s">
        <v>1839</v>
      </c>
      <c r="J4724" s="477">
        <v>7620.33</v>
      </c>
      <c r="K4724" s="472"/>
      <c r="L4724" s="477">
        <v>5.7</v>
      </c>
      <c r="M4724" s="477">
        <v>4.7</v>
      </c>
      <c r="N4724" s="478">
        <v>2895.73</v>
      </c>
      <c r="O4724" s="493">
        <v>0.2</v>
      </c>
      <c r="P4724" s="480"/>
      <c r="Q4724" s="492">
        <v>1129.9100000000001</v>
      </c>
      <c r="R4724" s="473" t="s">
        <v>112</v>
      </c>
      <c r="S4724" s="481" t="s">
        <v>113</v>
      </c>
      <c r="T4724" s="481">
        <v>64</v>
      </c>
      <c r="U4724" s="483" t="s">
        <v>164</v>
      </c>
      <c r="V4724" s="484"/>
      <c r="W4724" s="472"/>
      <c r="X4724" s="492">
        <v>1129.9100000000001</v>
      </c>
      <c r="Y4724" s="478"/>
      <c r="Z4724" s="472"/>
      <c r="AA4724" s="472"/>
      <c r="AB4724" s="472"/>
      <c r="AC4724" s="472"/>
      <c r="AD4724" s="472"/>
      <c r="AE4724" s="472"/>
      <c r="AF4724" s="472"/>
      <c r="AG4724" s="472"/>
      <c r="AH4724" s="472"/>
      <c r="AI4724" s="472"/>
      <c r="AJ4724" s="485"/>
      <c r="AK4724" s="505">
        <v>1129.9100000000001</v>
      </c>
      <c r="AL4724" s="472"/>
      <c r="AM4724" s="472"/>
      <c r="AN4724" s="472"/>
      <c r="AO4724" s="472"/>
      <c r="AP4724" s="472"/>
      <c r="AQ4724" s="472"/>
      <c r="AR4724" s="472"/>
      <c r="AS4724" s="472"/>
      <c r="AT4724" s="472"/>
      <c r="AU4724" s="472"/>
      <c r="AV4724" s="472"/>
      <c r="AW4724" s="472"/>
      <c r="AX4724" s="472"/>
      <c r="AY4724" s="472"/>
      <c r="AZ4724" s="472"/>
      <c r="BA4724" s="472"/>
      <c r="BB4724" s="472"/>
      <c r="BC4724" s="472"/>
      <c r="BD4724" s="472"/>
      <c r="BE4724" s="472"/>
      <c r="BF4724" s="472"/>
      <c r="BG4724" s="472"/>
      <c r="BH4724" s="472"/>
      <c r="BI4724" s="472"/>
      <c r="BJ4724" s="472"/>
      <c r="BK4724" s="472"/>
      <c r="BL4724" s="472"/>
      <c r="BM4724" s="472"/>
      <c r="BN4724" s="472"/>
      <c r="BO4724" s="472"/>
      <c r="BP4724" s="472"/>
      <c r="BQ4724" s="472"/>
      <c r="BR4724" s="472"/>
      <c r="BS4724" s="472"/>
      <c r="BT4724" s="472"/>
      <c r="BU4724" s="472"/>
      <c r="BV4724" s="472"/>
      <c r="BW4724" s="472"/>
      <c r="BX4724" s="472"/>
      <c r="BY4724" s="472"/>
    </row>
    <row r="4725" spans="1:77" s="472" customFormat="1" ht="12" customHeight="1">
      <c r="B4725" s="486" t="s">
        <v>291</v>
      </c>
      <c r="C4725" s="474"/>
      <c r="D4725" s="474"/>
      <c r="E4725" s="475" t="s">
        <v>3853</v>
      </c>
      <c r="F4725" s="473" t="s">
        <v>659</v>
      </c>
      <c r="G4725" s="489" t="s">
        <v>660</v>
      </c>
      <c r="H4725" s="473" t="s">
        <v>910</v>
      </c>
      <c r="I4725" s="472" t="s">
        <v>1839</v>
      </c>
      <c r="J4725" s="477">
        <v>26785.200000000001</v>
      </c>
      <c r="L4725" s="477">
        <v>13.6</v>
      </c>
      <c r="M4725" s="477">
        <v>13.6</v>
      </c>
      <c r="N4725" s="478">
        <f>3367.85+2795.9</f>
        <v>6163.75</v>
      </c>
      <c r="O4725" s="493">
        <v>0.2</v>
      </c>
      <c r="P4725" s="480"/>
      <c r="Q4725" s="478">
        <v>0</v>
      </c>
      <c r="R4725" s="473" t="s">
        <v>112</v>
      </c>
      <c r="S4725" s="481" t="s">
        <v>113</v>
      </c>
      <c r="T4725" s="481">
        <v>64</v>
      </c>
      <c r="U4725" s="483" t="s">
        <v>164</v>
      </c>
      <c r="V4725" s="484"/>
      <c r="X4725" s="478">
        <v>0</v>
      </c>
      <c r="Y4725" s="478"/>
      <c r="AJ4725" s="485"/>
      <c r="AK4725" s="472">
        <v>0</v>
      </c>
    </row>
    <row r="4726" spans="1:77" s="472" customFormat="1" ht="12" customHeight="1">
      <c r="A4726" s="394"/>
      <c r="B4726" s="380" t="s">
        <v>291</v>
      </c>
      <c r="C4726" s="392"/>
      <c r="D4726" s="392"/>
      <c r="E4726" s="393" t="s">
        <v>3853</v>
      </c>
      <c r="F4726" s="379" t="s">
        <v>659</v>
      </c>
      <c r="G4726" s="383" t="s">
        <v>660</v>
      </c>
      <c r="H4726" s="379" t="s">
        <v>866</v>
      </c>
      <c r="I4726" s="394" t="s">
        <v>1839</v>
      </c>
      <c r="J4726" s="395">
        <v>44549.52</v>
      </c>
      <c r="K4726" s="394"/>
      <c r="L4726" s="395">
        <v>28.64</v>
      </c>
      <c r="M4726" s="395">
        <v>23.7</v>
      </c>
      <c r="N4726" s="396">
        <f>2808.61+4841.03+19034.03</f>
        <v>26683.67</v>
      </c>
      <c r="O4726" s="387">
        <v>0.2</v>
      </c>
      <c r="P4726" s="397"/>
      <c r="Q4726" s="396">
        <v>19235.759999999998</v>
      </c>
      <c r="R4726" s="379" t="s">
        <v>112</v>
      </c>
      <c r="S4726" s="388" t="s">
        <v>113</v>
      </c>
      <c r="T4726" s="388">
        <v>64</v>
      </c>
      <c r="U4726" s="398" t="s">
        <v>164</v>
      </c>
      <c r="V4726" s="449"/>
      <c r="W4726" s="394"/>
      <c r="X4726" s="396">
        <v>19235.759999999998</v>
      </c>
      <c r="Y4726" s="396"/>
      <c r="Z4726" s="394"/>
      <c r="AA4726" s="394"/>
      <c r="AB4726" s="394"/>
      <c r="AC4726" s="394"/>
      <c r="AD4726" s="394"/>
      <c r="AE4726" s="394"/>
      <c r="AF4726" s="394"/>
      <c r="AG4726" s="394"/>
      <c r="AH4726" s="394"/>
      <c r="AI4726" s="394"/>
      <c r="AJ4726" s="395">
        <v>19235.759999999998</v>
      </c>
      <c r="AK4726" s="394"/>
      <c r="AL4726" s="394"/>
      <c r="AM4726" s="394"/>
      <c r="AN4726" s="394"/>
      <c r="AO4726" s="394"/>
      <c r="AP4726" s="394"/>
      <c r="AQ4726" s="394"/>
      <c r="AR4726" s="394"/>
      <c r="AS4726" s="394"/>
      <c r="AT4726" s="394"/>
      <c r="AU4726" s="394"/>
      <c r="AV4726" s="394"/>
      <c r="AW4726" s="394"/>
      <c r="AX4726" s="394"/>
      <c r="AY4726" s="394"/>
      <c r="AZ4726" s="394"/>
      <c r="BA4726" s="394"/>
      <c r="BB4726" s="394"/>
      <c r="BC4726" s="394"/>
      <c r="BD4726" s="394"/>
      <c r="BE4726" s="394"/>
      <c r="BF4726" s="394"/>
      <c r="BG4726" s="394"/>
      <c r="BH4726" s="394"/>
      <c r="BI4726" s="394"/>
      <c r="BJ4726" s="394"/>
      <c r="BK4726" s="394"/>
      <c r="BL4726" s="394"/>
      <c r="BM4726" s="394"/>
      <c r="BN4726" s="394"/>
      <c r="BO4726" s="394"/>
      <c r="BP4726" s="394"/>
      <c r="BQ4726" s="394"/>
      <c r="BR4726" s="394"/>
      <c r="BS4726" s="394"/>
      <c r="BT4726" s="394"/>
      <c r="BU4726" s="394"/>
      <c r="BV4726" s="394"/>
      <c r="BW4726" s="394"/>
      <c r="BX4726" s="394"/>
      <c r="BY4726" s="394"/>
    </row>
    <row r="4727" spans="1:77" s="472" customFormat="1" ht="12" customHeight="1">
      <c r="B4727" s="486" t="s">
        <v>291</v>
      </c>
      <c r="C4727" s="474">
        <v>44822</v>
      </c>
      <c r="D4727" s="474">
        <v>44823</v>
      </c>
      <c r="E4727" s="475" t="s">
        <v>3854</v>
      </c>
      <c r="F4727" s="473" t="s">
        <v>3855</v>
      </c>
      <c r="G4727" s="476">
        <v>4501</v>
      </c>
      <c r="H4727" s="473" t="s">
        <v>765</v>
      </c>
      <c r="I4727" s="472" t="s">
        <v>33</v>
      </c>
      <c r="J4727" s="477">
        <v>27466</v>
      </c>
      <c r="L4727" s="477">
        <v>22.15</v>
      </c>
      <c r="M4727" s="477">
        <v>22.15</v>
      </c>
      <c r="N4727" s="478"/>
      <c r="O4727" s="479">
        <v>0.25</v>
      </c>
      <c r="P4727" s="480"/>
      <c r="Q4727" s="478">
        <v>9923.2000000000007</v>
      </c>
      <c r="R4727" s="473" t="s">
        <v>128</v>
      </c>
      <c r="S4727" s="481" t="s">
        <v>41</v>
      </c>
      <c r="T4727" s="482">
        <v>79</v>
      </c>
      <c r="U4727" s="483" t="s">
        <v>164</v>
      </c>
      <c r="V4727" s="484"/>
      <c r="X4727" s="478">
        <v>9923.2000000000007</v>
      </c>
      <c r="Y4727" s="478"/>
      <c r="AJ4727" s="485"/>
      <c r="AK4727" s="506">
        <v>9923.2000000000007</v>
      </c>
    </row>
    <row r="4728" spans="1:77" s="303" customFormat="1" ht="12" customHeight="1">
      <c r="A4728" s="303" t="s">
        <v>3893</v>
      </c>
      <c r="B4728" s="291" t="s">
        <v>291</v>
      </c>
      <c r="C4728" s="301">
        <v>44788</v>
      </c>
      <c r="D4728" s="292">
        <v>44823</v>
      </c>
      <c r="E4728" s="293" t="s">
        <v>3856</v>
      </c>
      <c r="F4728" s="291" t="s">
        <v>1988</v>
      </c>
      <c r="G4728" s="304">
        <v>4482</v>
      </c>
      <c r="H4728" s="291" t="s">
        <v>866</v>
      </c>
      <c r="I4728" s="295" t="s">
        <v>33</v>
      </c>
      <c r="J4728" s="305">
        <v>16135.72</v>
      </c>
      <c r="L4728" s="305">
        <v>10.92</v>
      </c>
      <c r="M4728" s="305">
        <v>10.92</v>
      </c>
      <c r="N4728" s="306"/>
      <c r="O4728" s="298">
        <v>0.25</v>
      </c>
      <c r="P4728" s="307"/>
      <c r="Q4728" s="306">
        <v>1146.8499999999999</v>
      </c>
      <c r="R4728" s="291" t="s">
        <v>142</v>
      </c>
      <c r="S4728" s="299" t="s">
        <v>2866</v>
      </c>
      <c r="T4728" s="308">
        <v>24</v>
      </c>
      <c r="U4728" s="309" t="s">
        <v>164</v>
      </c>
      <c r="V4728" s="447"/>
      <c r="X4728" s="306">
        <v>1146.8499999999999</v>
      </c>
      <c r="Y4728" s="306"/>
      <c r="AH4728" s="306">
        <f>X4728</f>
        <v>1146.8499999999999</v>
      </c>
      <c r="AI4728" s="311"/>
      <c r="AJ4728" s="468"/>
    </row>
    <row r="4729" spans="1:77" s="303" customFormat="1" ht="12" customHeight="1">
      <c r="A4729" s="394"/>
      <c r="B4729" s="379" t="s">
        <v>291</v>
      </c>
      <c r="C4729" s="392"/>
      <c r="D4729" s="392"/>
      <c r="E4729" s="393" t="s">
        <v>3857</v>
      </c>
      <c r="F4729" s="379" t="s">
        <v>3858</v>
      </c>
      <c r="G4729" s="400" t="s">
        <v>3859</v>
      </c>
      <c r="H4729" s="394" t="s">
        <v>866</v>
      </c>
      <c r="I4729" s="384" t="s">
        <v>33</v>
      </c>
      <c r="J4729" s="395">
        <v>29956.75</v>
      </c>
      <c r="K4729" s="394"/>
      <c r="L4729" s="395">
        <v>18.41</v>
      </c>
      <c r="M4729" s="395">
        <v>18.41</v>
      </c>
      <c r="N4729" s="396">
        <f>8690.88+3055.07</f>
        <v>11745.949999999999</v>
      </c>
      <c r="O4729" s="401">
        <v>0.25</v>
      </c>
      <c r="P4729" s="397"/>
      <c r="Q4729" s="396">
        <v>0</v>
      </c>
      <c r="R4729" s="379" t="s">
        <v>112</v>
      </c>
      <c r="S4729" s="388" t="s">
        <v>113</v>
      </c>
      <c r="T4729" s="399">
        <v>64</v>
      </c>
      <c r="U4729" s="398" t="s">
        <v>164</v>
      </c>
      <c r="V4729" s="449"/>
      <c r="W4729" s="394"/>
      <c r="X4729" s="396">
        <v>0</v>
      </c>
      <c r="Y4729" s="396"/>
      <c r="Z4729" s="394"/>
      <c r="AA4729" s="394"/>
      <c r="AB4729" s="394"/>
      <c r="AC4729" s="394"/>
      <c r="AD4729" s="394"/>
      <c r="AE4729" s="394"/>
      <c r="AF4729" s="394"/>
      <c r="AG4729" s="394"/>
      <c r="AH4729" s="394"/>
      <c r="AI4729" s="394"/>
      <c r="AJ4729" s="390">
        <v>0</v>
      </c>
      <c r="AK4729" s="394"/>
      <c r="AL4729" s="394"/>
      <c r="AM4729" s="394"/>
      <c r="AN4729" s="394"/>
      <c r="AO4729" s="394"/>
      <c r="AP4729" s="394"/>
      <c r="AQ4729" s="394"/>
      <c r="AR4729" s="394"/>
      <c r="AS4729" s="394"/>
      <c r="AT4729" s="394"/>
      <c r="AU4729" s="394"/>
      <c r="AV4729" s="394"/>
      <c r="AW4729" s="394"/>
      <c r="AX4729" s="394"/>
      <c r="AY4729" s="394"/>
      <c r="AZ4729" s="394"/>
      <c r="BA4729" s="394"/>
      <c r="BB4729" s="394"/>
      <c r="BC4729" s="394"/>
      <c r="BD4729" s="394"/>
      <c r="BE4729" s="394"/>
      <c r="BF4729" s="394"/>
      <c r="BG4729" s="394"/>
      <c r="BH4729" s="394"/>
      <c r="BI4729" s="394"/>
      <c r="BJ4729" s="394"/>
      <c r="BK4729" s="394"/>
      <c r="BL4729" s="394"/>
      <c r="BM4729" s="394"/>
      <c r="BN4729" s="394"/>
      <c r="BO4729" s="394"/>
      <c r="BP4729" s="394"/>
      <c r="BQ4729" s="394"/>
      <c r="BR4729" s="394"/>
      <c r="BS4729" s="394"/>
      <c r="BT4729" s="394"/>
      <c r="BU4729" s="394"/>
      <c r="BV4729" s="394"/>
      <c r="BW4729" s="394"/>
      <c r="BX4729" s="394"/>
      <c r="BY4729" s="394"/>
    </row>
    <row r="4730" spans="1:77" s="303" customFormat="1" ht="12" customHeight="1">
      <c r="B4730" s="291" t="s">
        <v>291</v>
      </c>
      <c r="C4730" s="301">
        <v>44821</v>
      </c>
      <c r="D4730" s="301">
        <v>44824</v>
      </c>
      <c r="E4730" s="302" t="s">
        <v>3857</v>
      </c>
      <c r="F4730" s="291" t="s">
        <v>3858</v>
      </c>
      <c r="G4730" s="304" t="s">
        <v>3859</v>
      </c>
      <c r="H4730" s="303" t="s">
        <v>910</v>
      </c>
      <c r="I4730" s="295" t="s">
        <v>33</v>
      </c>
      <c r="J4730" s="305">
        <v>94300</v>
      </c>
      <c r="L4730" s="305">
        <v>47.15</v>
      </c>
      <c r="M4730" s="305">
        <v>47.15</v>
      </c>
      <c r="N4730" s="306"/>
      <c r="O4730" s="316">
        <v>0.25</v>
      </c>
      <c r="P4730" s="307"/>
      <c r="Q4730" s="306">
        <v>0</v>
      </c>
      <c r="R4730" s="291" t="s">
        <v>112</v>
      </c>
      <c r="S4730" s="299" t="s">
        <v>113</v>
      </c>
      <c r="T4730" s="308">
        <v>64</v>
      </c>
      <c r="U4730" s="309" t="s">
        <v>164</v>
      </c>
      <c r="V4730" s="447"/>
      <c r="X4730" s="306">
        <v>0</v>
      </c>
      <c r="Y4730" s="297"/>
      <c r="AH4730" s="303">
        <f>X4730</f>
        <v>0</v>
      </c>
      <c r="AI4730" s="311"/>
      <c r="AJ4730" s="468"/>
    </row>
    <row r="4731" spans="1:77" s="117" customFormat="1" ht="12" customHeight="1">
      <c r="B4731" s="6" t="s">
        <v>291</v>
      </c>
      <c r="C4731" s="146"/>
      <c r="D4731" s="146"/>
      <c r="E4731" s="147" t="s">
        <v>3857</v>
      </c>
      <c r="F4731" s="6" t="s">
        <v>3858</v>
      </c>
      <c r="G4731" s="148" t="s">
        <v>3859</v>
      </c>
      <c r="H4731" s="117" t="s">
        <v>814</v>
      </c>
      <c r="I4731" s="9" t="s">
        <v>33</v>
      </c>
      <c r="J4731" s="149">
        <v>11659.45</v>
      </c>
      <c r="L4731" s="149">
        <v>10.75</v>
      </c>
      <c r="M4731" s="149">
        <v>10.75</v>
      </c>
      <c r="N4731" s="150">
        <v>7748.6</v>
      </c>
      <c r="O4731" s="282">
        <v>0.25</v>
      </c>
      <c r="P4731" s="151"/>
      <c r="Q4731" s="200">
        <v>2666</v>
      </c>
      <c r="R4731" s="6" t="s">
        <v>112</v>
      </c>
      <c r="S4731" s="3" t="s">
        <v>113</v>
      </c>
      <c r="T4731" s="152">
        <v>64</v>
      </c>
      <c r="U4731" s="56"/>
      <c r="V4731" s="448"/>
      <c r="X4731" s="150"/>
      <c r="Y4731" s="150"/>
      <c r="AJ4731" s="80"/>
    </row>
    <row r="4732" spans="1:77" s="117" customFormat="1" ht="12" customHeight="1">
      <c r="A4732" s="472"/>
      <c r="B4732" s="486" t="s">
        <v>291</v>
      </c>
      <c r="C4732" s="474">
        <v>44824</v>
      </c>
      <c r="D4732" s="474">
        <v>44824</v>
      </c>
      <c r="E4732" s="475" t="s">
        <v>3863</v>
      </c>
      <c r="F4732" s="473" t="s">
        <v>2026</v>
      </c>
      <c r="G4732" s="476">
        <v>4506</v>
      </c>
      <c r="H4732" s="473" t="s">
        <v>814</v>
      </c>
      <c r="I4732" s="472" t="s">
        <v>888</v>
      </c>
      <c r="J4732" s="477">
        <v>9549</v>
      </c>
      <c r="K4732" s="472"/>
      <c r="L4732" s="477">
        <v>10.61</v>
      </c>
      <c r="M4732" s="477">
        <v>10.61</v>
      </c>
      <c r="N4732" s="478"/>
      <c r="O4732" s="479">
        <v>0.2</v>
      </c>
      <c r="P4732" s="480"/>
      <c r="Q4732" s="478">
        <v>6302.34</v>
      </c>
      <c r="R4732" s="473" t="s">
        <v>251</v>
      </c>
      <c r="S4732" s="481" t="s">
        <v>74</v>
      </c>
      <c r="T4732" s="482">
        <v>32</v>
      </c>
      <c r="U4732" s="483" t="s">
        <v>164</v>
      </c>
      <c r="V4732" s="484"/>
      <c r="W4732" s="472"/>
      <c r="X4732" s="478">
        <v>6302.34</v>
      </c>
      <c r="Y4732" s="478"/>
      <c r="Z4732" s="472"/>
      <c r="AA4732" s="472"/>
      <c r="AB4732" s="472"/>
      <c r="AC4732" s="472"/>
      <c r="AD4732" s="472"/>
      <c r="AE4732" s="472"/>
      <c r="AF4732" s="472"/>
      <c r="AG4732" s="472"/>
      <c r="AH4732" s="472"/>
      <c r="AI4732" s="472"/>
      <c r="AJ4732" s="485"/>
      <c r="AK4732" s="506">
        <v>6302.34</v>
      </c>
      <c r="AL4732" s="472"/>
      <c r="AM4732" s="472"/>
      <c r="AN4732" s="472"/>
      <c r="AO4732" s="472"/>
      <c r="AP4732" s="472"/>
      <c r="AQ4732" s="472"/>
      <c r="AR4732" s="472"/>
      <c r="AS4732" s="472"/>
      <c r="AT4732" s="472"/>
      <c r="AU4732" s="472"/>
      <c r="AV4732" s="472"/>
      <c r="AW4732" s="472"/>
      <c r="AX4732" s="472"/>
      <c r="AY4732" s="472"/>
      <c r="AZ4732" s="472"/>
      <c r="BA4732" s="472"/>
      <c r="BB4732" s="472"/>
      <c r="BC4732" s="472"/>
      <c r="BD4732" s="472"/>
      <c r="BE4732" s="472"/>
      <c r="BF4732" s="472"/>
      <c r="BG4732" s="472"/>
      <c r="BH4732" s="472"/>
      <c r="BI4732" s="472"/>
      <c r="BJ4732" s="472"/>
      <c r="BK4732" s="472"/>
      <c r="BL4732" s="472"/>
      <c r="BM4732" s="472"/>
      <c r="BN4732" s="472"/>
      <c r="BO4732" s="472"/>
      <c r="BP4732" s="472"/>
      <c r="BQ4732" s="472"/>
      <c r="BR4732" s="472"/>
      <c r="BS4732" s="472"/>
      <c r="BT4732" s="472"/>
      <c r="BU4732" s="472"/>
      <c r="BV4732" s="472"/>
      <c r="BW4732" s="472"/>
      <c r="BX4732" s="472"/>
      <c r="BY4732" s="472"/>
    </row>
    <row r="4733" spans="1:77" s="341" customFormat="1" ht="12" customHeight="1">
      <c r="B4733" s="338" t="s">
        <v>291</v>
      </c>
      <c r="C4733" s="339"/>
      <c r="D4733" s="339"/>
      <c r="E4733" s="340" t="s">
        <v>3863</v>
      </c>
      <c r="F4733" s="337" t="s">
        <v>2026</v>
      </c>
      <c r="G4733" s="342">
        <v>4506</v>
      </c>
      <c r="H4733" s="337" t="s">
        <v>765</v>
      </c>
      <c r="I4733" s="341" t="s">
        <v>888</v>
      </c>
      <c r="J4733" s="343">
        <v>7325.55</v>
      </c>
      <c r="L4733" s="343">
        <v>11.15</v>
      </c>
      <c r="M4733" s="343">
        <v>11.15</v>
      </c>
      <c r="N4733" s="344"/>
      <c r="O4733" s="359">
        <v>0.2</v>
      </c>
      <c r="P4733" s="345"/>
      <c r="Q4733" s="344">
        <v>0</v>
      </c>
      <c r="R4733" s="337" t="s">
        <v>251</v>
      </c>
      <c r="S4733" s="356" t="s">
        <v>74</v>
      </c>
      <c r="T4733" s="346">
        <v>32</v>
      </c>
      <c r="U4733" s="347" t="s">
        <v>164</v>
      </c>
      <c r="V4733" s="451"/>
      <c r="X4733" s="344">
        <v>0</v>
      </c>
      <c r="Y4733" s="344"/>
      <c r="AI4733" s="341">
        <v>0</v>
      </c>
      <c r="AJ4733" s="358"/>
      <c r="AK4733" s="369"/>
      <c r="AL4733" s="337"/>
      <c r="AM4733" s="337"/>
      <c r="AN4733" s="337"/>
      <c r="AO4733" s="337"/>
      <c r="AP4733" s="337"/>
      <c r="AQ4733" s="337"/>
      <c r="AR4733" s="337"/>
      <c r="AS4733" s="337"/>
      <c r="AT4733" s="337"/>
      <c r="AU4733" s="337"/>
      <c r="AV4733" s="337"/>
      <c r="AW4733" s="337"/>
      <c r="AX4733" s="337"/>
      <c r="AY4733" s="337"/>
      <c r="AZ4733" s="337"/>
      <c r="BA4733" s="337"/>
      <c r="BB4733" s="337"/>
      <c r="BC4733" s="337"/>
      <c r="BD4733" s="337"/>
      <c r="BE4733" s="337"/>
      <c r="BF4733" s="337"/>
      <c r="BG4733" s="337"/>
      <c r="BH4733" s="337"/>
      <c r="BI4733" s="337"/>
      <c r="BJ4733" s="337"/>
      <c r="BK4733" s="337"/>
      <c r="BL4733" s="337"/>
      <c r="BM4733" s="337"/>
      <c r="BN4733" s="337"/>
      <c r="BO4733" s="337"/>
      <c r="BP4733" s="337"/>
      <c r="BQ4733" s="337"/>
      <c r="BR4733" s="337"/>
      <c r="BS4733" s="337"/>
      <c r="BT4733" s="337"/>
      <c r="BU4733" s="337"/>
      <c r="BV4733" s="337"/>
      <c r="BW4733" s="337"/>
      <c r="BX4733" s="337"/>
      <c r="BY4733" s="337"/>
    </row>
    <row r="4734" spans="1:77" s="394" customFormat="1" ht="12" customHeight="1">
      <c r="B4734" s="406" t="s">
        <v>291</v>
      </c>
      <c r="C4734" s="392">
        <v>44788</v>
      </c>
      <c r="D4734" s="392">
        <v>44825</v>
      </c>
      <c r="E4734" s="393" t="s">
        <v>3864</v>
      </c>
      <c r="F4734" s="394" t="s">
        <v>3514</v>
      </c>
      <c r="G4734" s="400" t="s">
        <v>3515</v>
      </c>
      <c r="H4734" s="379" t="s">
        <v>2267</v>
      </c>
      <c r="I4734" s="394" t="s">
        <v>3865</v>
      </c>
      <c r="J4734" s="395">
        <v>126357.34</v>
      </c>
      <c r="L4734" s="395">
        <v>47.8</v>
      </c>
      <c r="M4734" s="395">
        <v>47.8</v>
      </c>
      <c r="N4734" s="396"/>
      <c r="O4734" s="401">
        <v>0.2</v>
      </c>
      <c r="P4734" s="397"/>
      <c r="Q4734" s="396">
        <v>0</v>
      </c>
      <c r="R4734" s="379" t="s">
        <v>2296</v>
      </c>
      <c r="S4734" s="388" t="s">
        <v>113</v>
      </c>
      <c r="T4734" s="399">
        <v>40</v>
      </c>
      <c r="U4734" s="398" t="s">
        <v>164</v>
      </c>
      <c r="V4734" s="449"/>
      <c r="X4734" s="396">
        <v>0</v>
      </c>
      <c r="Y4734" s="396"/>
      <c r="AI4734" s="391"/>
      <c r="AJ4734" s="390">
        <v>0</v>
      </c>
    </row>
    <row r="4735" spans="1:77" s="394" customFormat="1" ht="12" customHeight="1">
      <c r="B4735" s="406" t="s">
        <v>291</v>
      </c>
      <c r="C4735" s="392"/>
      <c r="D4735" s="392"/>
      <c r="E4735" s="393" t="s">
        <v>3864</v>
      </c>
      <c r="F4735" s="394" t="s">
        <v>3514</v>
      </c>
      <c r="G4735" s="400" t="s">
        <v>3515</v>
      </c>
      <c r="H4735" s="379" t="s">
        <v>2171</v>
      </c>
      <c r="I4735" s="394" t="s">
        <v>3865</v>
      </c>
      <c r="J4735" s="395">
        <v>6658.13</v>
      </c>
      <c r="L4735" s="395">
        <v>3.71</v>
      </c>
      <c r="M4735" s="395">
        <v>3.71</v>
      </c>
      <c r="N4735" s="396">
        <f>J4735*0.32</f>
        <v>2130.6016</v>
      </c>
      <c r="O4735" s="401">
        <v>0.2</v>
      </c>
      <c r="P4735" s="397"/>
      <c r="Q4735" s="396">
        <v>4422.96</v>
      </c>
      <c r="R4735" s="379" t="s">
        <v>2296</v>
      </c>
      <c r="S4735" s="388" t="s">
        <v>113</v>
      </c>
      <c r="T4735" s="399">
        <v>64</v>
      </c>
      <c r="U4735" s="398" t="s">
        <v>164</v>
      </c>
      <c r="V4735" s="449"/>
      <c r="X4735" s="396">
        <v>4422.96</v>
      </c>
      <c r="Y4735" s="396"/>
      <c r="AJ4735" s="395">
        <v>4422.96</v>
      </c>
    </row>
    <row r="4736" spans="1:77" s="472" customFormat="1" ht="12" customHeight="1">
      <c r="B4736" s="473" t="s">
        <v>291</v>
      </c>
      <c r="C4736" s="474">
        <v>44823</v>
      </c>
      <c r="D4736" s="474">
        <v>44825</v>
      </c>
      <c r="E4736" s="475" t="s">
        <v>3866</v>
      </c>
      <c r="F4736" s="473" t="s">
        <v>125</v>
      </c>
      <c r="G4736" s="476">
        <v>3551</v>
      </c>
      <c r="H4736" s="472" t="s">
        <v>866</v>
      </c>
      <c r="I4736" s="473" t="s">
        <v>33</v>
      </c>
      <c r="J4736" s="477">
        <v>14476.87</v>
      </c>
      <c r="L4736" s="477">
        <v>13.66</v>
      </c>
      <c r="M4736" s="477">
        <v>11.16</v>
      </c>
      <c r="N4736" s="478">
        <v>3707.18</v>
      </c>
      <c r="O4736" s="479">
        <v>0.15</v>
      </c>
      <c r="P4736" s="480"/>
      <c r="Q4736" s="478">
        <v>1566.67</v>
      </c>
      <c r="R4736" s="473" t="s">
        <v>29</v>
      </c>
      <c r="S4736" s="482" t="s">
        <v>30</v>
      </c>
      <c r="T4736" s="482">
        <v>70</v>
      </c>
      <c r="U4736" s="483" t="s">
        <v>164</v>
      </c>
      <c r="V4736" s="484"/>
      <c r="X4736" s="478">
        <v>1566.67</v>
      </c>
      <c r="Y4736" s="478"/>
      <c r="AJ4736" s="485"/>
      <c r="AK4736" s="506">
        <v>1566.67</v>
      </c>
    </row>
    <row r="4737" spans="1:77" s="341" customFormat="1" ht="12" customHeight="1">
      <c r="B4737" s="337" t="s">
        <v>291</v>
      </c>
      <c r="C4737" s="339">
        <v>44824</v>
      </c>
      <c r="D4737" s="339">
        <v>44825</v>
      </c>
      <c r="E4737" s="340" t="s">
        <v>3867</v>
      </c>
      <c r="F4737" s="337" t="s">
        <v>3868</v>
      </c>
      <c r="G4737" s="342" t="s">
        <v>3869</v>
      </c>
      <c r="H4737" s="341" t="s">
        <v>866</v>
      </c>
      <c r="I4737" s="341" t="s">
        <v>3640</v>
      </c>
      <c r="J4737" s="343">
        <v>20487.599999999999</v>
      </c>
      <c r="L4737" s="343">
        <v>10.84</v>
      </c>
      <c r="M4737" s="343">
        <v>10.84</v>
      </c>
      <c r="N4737" s="344">
        <f>2064+13403.3</f>
        <v>15467.3</v>
      </c>
      <c r="O4737" s="359">
        <v>0.2</v>
      </c>
      <c r="P4737" s="345"/>
      <c r="Q4737" s="344">
        <v>10795.18</v>
      </c>
      <c r="R4737" s="337" t="s">
        <v>112</v>
      </c>
      <c r="S4737" s="356" t="s">
        <v>113</v>
      </c>
      <c r="T4737" s="346">
        <v>64</v>
      </c>
      <c r="U4737" s="347" t="s">
        <v>164</v>
      </c>
      <c r="V4737" s="451">
        <v>276.3</v>
      </c>
      <c r="X4737" s="344">
        <v>10795.18</v>
      </c>
      <c r="Y4737" s="344"/>
      <c r="AI4737" s="370">
        <f>X4737</f>
        <v>10795.18</v>
      </c>
      <c r="AJ4737" s="358"/>
      <c r="AK4737" s="369"/>
      <c r="AL4737" s="337"/>
      <c r="AM4737" s="337"/>
      <c r="AN4737" s="337"/>
      <c r="AO4737" s="337"/>
      <c r="AP4737" s="337"/>
      <c r="AQ4737" s="337"/>
      <c r="AR4737" s="337"/>
      <c r="AS4737" s="337"/>
      <c r="AT4737" s="337"/>
      <c r="AU4737" s="337"/>
      <c r="AV4737" s="337"/>
      <c r="AW4737" s="337"/>
      <c r="AX4737" s="337"/>
      <c r="AY4737" s="337"/>
      <c r="AZ4737" s="337"/>
      <c r="BA4737" s="337"/>
      <c r="BB4737" s="337"/>
      <c r="BC4737" s="337"/>
      <c r="BD4737" s="337"/>
      <c r="BE4737" s="337"/>
      <c r="BF4737" s="337"/>
      <c r="BG4737" s="337"/>
      <c r="BH4737" s="337"/>
      <c r="BI4737" s="337"/>
      <c r="BJ4737" s="337"/>
      <c r="BK4737" s="337"/>
      <c r="BL4737" s="337"/>
      <c r="BM4737" s="337"/>
      <c r="BN4737" s="337"/>
      <c r="BO4737" s="337"/>
      <c r="BP4737" s="337"/>
      <c r="BQ4737" s="337"/>
      <c r="BR4737" s="337"/>
      <c r="BS4737" s="337"/>
      <c r="BT4737" s="337"/>
      <c r="BU4737" s="337"/>
      <c r="BV4737" s="337"/>
      <c r="BW4737" s="337"/>
      <c r="BX4737" s="337"/>
      <c r="BY4737" s="337"/>
    </row>
    <row r="4738" spans="1:77" s="341" customFormat="1" ht="12" customHeight="1">
      <c r="B4738" s="337" t="s">
        <v>291</v>
      </c>
      <c r="C4738" s="339"/>
      <c r="D4738" s="339"/>
      <c r="E4738" s="340" t="s">
        <v>3867</v>
      </c>
      <c r="F4738" s="337" t="s">
        <v>3868</v>
      </c>
      <c r="G4738" s="342" t="s">
        <v>3869</v>
      </c>
      <c r="H4738" s="341" t="s">
        <v>2171</v>
      </c>
      <c r="I4738" s="341" t="s">
        <v>3640</v>
      </c>
      <c r="J4738" s="343">
        <v>18354</v>
      </c>
      <c r="L4738" s="343">
        <v>8.74</v>
      </c>
      <c r="M4738" s="343">
        <v>8.74</v>
      </c>
      <c r="N4738" s="344"/>
      <c r="O4738" s="359">
        <v>0.2</v>
      </c>
      <c r="P4738" s="345"/>
      <c r="Q4738" s="344">
        <v>6187.92</v>
      </c>
      <c r="R4738" s="337" t="s">
        <v>112</v>
      </c>
      <c r="S4738" s="356" t="s">
        <v>113</v>
      </c>
      <c r="T4738" s="346">
        <v>64</v>
      </c>
      <c r="U4738" s="347" t="s">
        <v>164</v>
      </c>
      <c r="V4738" s="451"/>
      <c r="X4738" s="344">
        <v>6187.92</v>
      </c>
      <c r="Y4738" s="344"/>
      <c r="AI4738" s="370">
        <f>X4738</f>
        <v>6187.92</v>
      </c>
      <c r="AJ4738" s="358"/>
      <c r="AK4738" s="369"/>
      <c r="AL4738" s="337"/>
      <c r="AM4738" s="337"/>
      <c r="AN4738" s="337"/>
      <c r="AO4738" s="337"/>
      <c r="AP4738" s="337"/>
      <c r="AQ4738" s="337"/>
      <c r="AR4738" s="337"/>
      <c r="AS4738" s="337"/>
      <c r="AT4738" s="337"/>
      <c r="AU4738" s="337"/>
      <c r="AV4738" s="337"/>
      <c r="AW4738" s="337"/>
      <c r="AX4738" s="337"/>
      <c r="AY4738" s="337"/>
      <c r="AZ4738" s="337"/>
      <c r="BA4738" s="337"/>
      <c r="BB4738" s="337"/>
      <c r="BC4738" s="337"/>
      <c r="BD4738" s="337"/>
      <c r="BE4738" s="337"/>
      <c r="BF4738" s="337"/>
      <c r="BG4738" s="337"/>
      <c r="BH4738" s="337"/>
      <c r="BI4738" s="337"/>
      <c r="BJ4738" s="337"/>
      <c r="BK4738" s="337"/>
      <c r="BL4738" s="337"/>
      <c r="BM4738" s="337"/>
      <c r="BN4738" s="337"/>
      <c r="BO4738" s="337"/>
      <c r="BP4738" s="337"/>
      <c r="BQ4738" s="337"/>
      <c r="BR4738" s="337"/>
      <c r="BS4738" s="337"/>
      <c r="BT4738" s="337"/>
      <c r="BU4738" s="337"/>
      <c r="BV4738" s="337"/>
      <c r="BW4738" s="337"/>
      <c r="BX4738" s="337"/>
      <c r="BY4738" s="337"/>
    </row>
    <row r="4739" spans="1:77" s="394" customFormat="1" ht="12" customHeight="1">
      <c r="B4739" s="379" t="s">
        <v>390</v>
      </c>
      <c r="C4739" s="392">
        <v>44805</v>
      </c>
      <c r="D4739" s="392">
        <v>44827</v>
      </c>
      <c r="E4739" s="393" t="s">
        <v>3870</v>
      </c>
      <c r="F4739" s="379" t="s">
        <v>3871</v>
      </c>
      <c r="G4739" s="400" t="s">
        <v>3872</v>
      </c>
      <c r="H4739" s="394" t="s">
        <v>393</v>
      </c>
      <c r="I4739" s="394" t="s">
        <v>33</v>
      </c>
      <c r="J4739" s="395">
        <v>414906.39</v>
      </c>
      <c r="L4739" s="395">
        <v>88.31</v>
      </c>
      <c r="M4739" s="395">
        <v>88.31</v>
      </c>
      <c r="N4739" s="396"/>
      <c r="O4739" s="401">
        <v>0.25</v>
      </c>
      <c r="P4739" s="397"/>
      <c r="Q4739" s="396">
        <v>0</v>
      </c>
      <c r="R4739" s="394" t="s">
        <v>142</v>
      </c>
      <c r="S4739" s="399" t="s">
        <v>65</v>
      </c>
      <c r="T4739" s="399">
        <v>33</v>
      </c>
      <c r="U4739" s="398" t="s">
        <v>164</v>
      </c>
      <c r="V4739" s="449"/>
      <c r="X4739" s="396">
        <v>0</v>
      </c>
      <c r="Y4739" s="396"/>
      <c r="AJ4739" s="390">
        <v>0</v>
      </c>
    </row>
    <row r="4740" spans="1:77" s="303" customFormat="1" ht="12" customHeight="1">
      <c r="B4740" s="313" t="s">
        <v>291</v>
      </c>
      <c r="C4740" s="301">
        <v>44788</v>
      </c>
      <c r="D4740" s="301">
        <v>44829</v>
      </c>
      <c r="E4740" s="302" t="s">
        <v>3873</v>
      </c>
      <c r="F4740" s="291" t="s">
        <v>3518</v>
      </c>
      <c r="G4740" s="304" t="s">
        <v>3519</v>
      </c>
      <c r="H4740" s="291" t="s">
        <v>2267</v>
      </c>
      <c r="I4740" s="303" t="s">
        <v>2045</v>
      </c>
      <c r="J4740" s="305">
        <v>101611.38</v>
      </c>
      <c r="L4740" s="305">
        <v>36.229999999999997</v>
      </c>
      <c r="M4740" s="305">
        <v>7</v>
      </c>
      <c r="N4740" s="306"/>
      <c r="O4740" s="316">
        <v>0.15</v>
      </c>
      <c r="P4740" s="307"/>
      <c r="Q4740" s="306">
        <v>0</v>
      </c>
      <c r="R4740" s="291" t="s">
        <v>2296</v>
      </c>
      <c r="S4740" s="308" t="s">
        <v>113</v>
      </c>
      <c r="T4740" s="308">
        <v>64</v>
      </c>
      <c r="U4740" s="309" t="s">
        <v>164</v>
      </c>
      <c r="V4740" s="447"/>
      <c r="X4740" s="306">
        <v>0</v>
      </c>
      <c r="Y4740" s="306"/>
      <c r="AH4740" s="303">
        <f>X4740</f>
        <v>0</v>
      </c>
      <c r="AI4740" s="311"/>
      <c r="AJ4740" s="468"/>
    </row>
    <row r="4741" spans="1:77" s="394" customFormat="1" ht="11.25" customHeight="1">
      <c r="B4741" s="379" t="s">
        <v>291</v>
      </c>
      <c r="C4741" s="392">
        <v>44829</v>
      </c>
      <c r="D4741" s="392">
        <v>44830</v>
      </c>
      <c r="E4741" s="393" t="s">
        <v>3874</v>
      </c>
      <c r="F4741" s="379" t="s">
        <v>166</v>
      </c>
      <c r="G4741" s="400">
        <v>4074</v>
      </c>
      <c r="H4741" s="394" t="s">
        <v>866</v>
      </c>
      <c r="I4741" s="384" t="s">
        <v>33</v>
      </c>
      <c r="J4741" s="395">
        <v>63507.6</v>
      </c>
      <c r="L4741" s="395">
        <v>46</v>
      </c>
      <c r="M4741" s="395">
        <v>46</v>
      </c>
      <c r="N4741" s="396"/>
      <c r="O4741" s="401">
        <v>0.2</v>
      </c>
      <c r="P4741" s="397"/>
      <c r="Q4741" s="396">
        <v>20893.650000000001</v>
      </c>
      <c r="R4741" s="379" t="s">
        <v>73</v>
      </c>
      <c r="S4741" s="388" t="s">
        <v>74</v>
      </c>
      <c r="T4741" s="399">
        <v>31</v>
      </c>
      <c r="U4741" s="398" t="s">
        <v>164</v>
      </c>
      <c r="V4741" s="449"/>
      <c r="X4741" s="396">
        <v>20893.650000000001</v>
      </c>
      <c r="Y4741" s="396"/>
      <c r="AJ4741" s="395">
        <v>20893.650000000001</v>
      </c>
    </row>
    <row r="4742" spans="1:77" s="394" customFormat="1" ht="12" customHeight="1">
      <c r="B4742" s="379" t="s">
        <v>291</v>
      </c>
      <c r="C4742" s="392"/>
      <c r="D4742" s="392"/>
      <c r="E4742" s="393" t="s">
        <v>3874</v>
      </c>
      <c r="F4742" s="379" t="s">
        <v>166</v>
      </c>
      <c r="G4742" s="400">
        <v>4074</v>
      </c>
      <c r="H4742" s="394" t="s">
        <v>866</v>
      </c>
      <c r="I4742" s="384" t="s">
        <v>33</v>
      </c>
      <c r="J4742" s="395">
        <v>5094.41</v>
      </c>
      <c r="L4742" s="395">
        <v>3.69</v>
      </c>
      <c r="M4742" s="395">
        <v>3.69</v>
      </c>
      <c r="N4742" s="396"/>
      <c r="O4742" s="401">
        <v>0.2</v>
      </c>
      <c r="P4742" s="397"/>
      <c r="Q4742" s="396">
        <v>0</v>
      </c>
      <c r="R4742" s="379" t="s">
        <v>73</v>
      </c>
      <c r="S4742" s="388" t="s">
        <v>74</v>
      </c>
      <c r="T4742" s="399">
        <v>9</v>
      </c>
      <c r="U4742" s="398" t="s">
        <v>164</v>
      </c>
      <c r="V4742" s="449"/>
      <c r="X4742" s="396">
        <v>0</v>
      </c>
      <c r="Y4742" s="396"/>
      <c r="AJ4742" s="390">
        <v>0</v>
      </c>
    </row>
    <row r="4743" spans="1:77" s="394" customFormat="1" ht="12" customHeight="1">
      <c r="B4743" s="379" t="s">
        <v>291</v>
      </c>
      <c r="C4743" s="392"/>
      <c r="D4743" s="392"/>
      <c r="E4743" s="393" t="s">
        <v>3874</v>
      </c>
      <c r="F4743" s="379" t="s">
        <v>166</v>
      </c>
      <c r="G4743" s="400">
        <v>4074</v>
      </c>
      <c r="H4743" s="394" t="s">
        <v>1141</v>
      </c>
      <c r="I4743" s="384" t="s">
        <v>33</v>
      </c>
      <c r="J4743" s="395">
        <v>24010.799999999999</v>
      </c>
      <c r="L4743" s="395">
        <v>22</v>
      </c>
      <c r="M4743" s="395">
        <v>22</v>
      </c>
      <c r="N4743" s="396"/>
      <c r="O4743" s="401">
        <v>0.2</v>
      </c>
      <c r="P4743" s="397"/>
      <c r="Q4743" s="396">
        <v>5370.64</v>
      </c>
      <c r="R4743" s="379" t="s">
        <v>73</v>
      </c>
      <c r="S4743" s="388" t="s">
        <v>74</v>
      </c>
      <c r="T4743" s="399">
        <v>31</v>
      </c>
      <c r="U4743" s="398" t="s">
        <v>164</v>
      </c>
      <c r="V4743" s="449"/>
      <c r="X4743" s="396">
        <v>5370.64</v>
      </c>
      <c r="Y4743" s="396"/>
      <c r="AJ4743" s="395">
        <v>5370.64</v>
      </c>
    </row>
    <row r="4744" spans="1:77" s="394" customFormat="1" ht="12" customHeight="1">
      <c r="B4744" s="379" t="s">
        <v>291</v>
      </c>
      <c r="C4744" s="392"/>
      <c r="D4744" s="392"/>
      <c r="E4744" s="393" t="s">
        <v>3874</v>
      </c>
      <c r="F4744" s="379" t="s">
        <v>166</v>
      </c>
      <c r="G4744" s="400">
        <v>4074</v>
      </c>
      <c r="H4744" s="394" t="s">
        <v>765</v>
      </c>
      <c r="I4744" s="384" t="s">
        <v>33</v>
      </c>
      <c r="J4744" s="395">
        <v>68608</v>
      </c>
      <c r="L4744" s="395">
        <v>64</v>
      </c>
      <c r="M4744" s="395">
        <v>64</v>
      </c>
      <c r="N4744" s="396"/>
      <c r="O4744" s="401">
        <v>0.2</v>
      </c>
      <c r="P4744" s="397"/>
      <c r="Q4744" s="396">
        <v>0</v>
      </c>
      <c r="R4744" s="379" t="s">
        <v>73</v>
      </c>
      <c r="S4744" s="388" t="s">
        <v>74</v>
      </c>
      <c r="T4744" s="399">
        <v>31</v>
      </c>
      <c r="U4744" s="398" t="s">
        <v>164</v>
      </c>
      <c r="V4744" s="449"/>
      <c r="X4744" s="396">
        <v>0</v>
      </c>
      <c r="Y4744" s="396"/>
      <c r="AJ4744" s="390">
        <v>0</v>
      </c>
    </row>
    <row r="4745" spans="1:77" s="394" customFormat="1" ht="12" customHeight="1">
      <c r="B4745" s="406" t="s">
        <v>291</v>
      </c>
      <c r="C4745" s="392">
        <v>44828</v>
      </c>
      <c r="D4745" s="392">
        <v>44830</v>
      </c>
      <c r="E4745" s="393" t="s">
        <v>3875</v>
      </c>
      <c r="F4745" s="379" t="s">
        <v>2404</v>
      </c>
      <c r="G4745" s="400" t="s">
        <v>2405</v>
      </c>
      <c r="H4745" s="379" t="s">
        <v>866</v>
      </c>
      <c r="I4745" s="394" t="s">
        <v>33</v>
      </c>
      <c r="J4745" s="395">
        <v>19143.900000000001</v>
      </c>
      <c r="L4745" s="395">
        <v>14.34</v>
      </c>
      <c r="M4745" s="395">
        <v>14.34</v>
      </c>
      <c r="N4745" s="396">
        <v>1651.4</v>
      </c>
      <c r="O4745" s="401">
        <v>0.15</v>
      </c>
      <c r="P4745" s="397"/>
      <c r="Q4745" s="396">
        <v>0</v>
      </c>
      <c r="R4745" s="394" t="s">
        <v>112</v>
      </c>
      <c r="S4745" s="388" t="s">
        <v>113</v>
      </c>
      <c r="T4745" s="399">
        <v>64</v>
      </c>
      <c r="U4745" s="398" t="s">
        <v>164</v>
      </c>
      <c r="V4745" s="449"/>
      <c r="X4745" s="396">
        <v>0</v>
      </c>
      <c r="Y4745" s="396"/>
      <c r="AJ4745" s="390">
        <v>0</v>
      </c>
    </row>
    <row r="4746" spans="1:77" s="117" customFormat="1" ht="12" customHeight="1">
      <c r="B4746" s="145" t="s">
        <v>291</v>
      </c>
      <c r="C4746" s="146">
        <v>44830</v>
      </c>
      <c r="D4746" s="146">
        <v>44830</v>
      </c>
      <c r="E4746" s="147" t="s">
        <v>3876</v>
      </c>
      <c r="F4746" s="6" t="s">
        <v>3877</v>
      </c>
      <c r="G4746" s="148" t="s">
        <v>3878</v>
      </c>
      <c r="H4746" s="117" t="s">
        <v>1138</v>
      </c>
      <c r="I4746" s="117" t="s">
        <v>33</v>
      </c>
      <c r="J4746" s="149">
        <v>16831.099999999999</v>
      </c>
      <c r="L4746" s="149">
        <v>11.77</v>
      </c>
      <c r="M4746" s="149">
        <v>11.77</v>
      </c>
      <c r="N4746" s="150">
        <v>2560.84</v>
      </c>
      <c r="O4746" s="282">
        <v>0.2</v>
      </c>
      <c r="P4746" s="151"/>
      <c r="Q4746" s="200">
        <v>3124.55</v>
      </c>
      <c r="R4746" s="117" t="s">
        <v>29</v>
      </c>
      <c r="S4746" s="152" t="s">
        <v>275</v>
      </c>
      <c r="T4746" s="152">
        <v>21</v>
      </c>
      <c r="U4746" s="56"/>
      <c r="V4746" s="448"/>
      <c r="X4746" s="150"/>
      <c r="Y4746" s="150"/>
      <c r="AJ4746" s="80"/>
      <c r="AK4746" s="58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</row>
    <row r="4747" spans="1:77" s="341" customFormat="1" ht="12" customHeight="1">
      <c r="B4747" s="367" t="s">
        <v>291</v>
      </c>
      <c r="C4747" s="339">
        <v>44774</v>
      </c>
      <c r="D4747" s="339">
        <v>44830</v>
      </c>
      <c r="E4747" s="340" t="s">
        <v>3880</v>
      </c>
      <c r="F4747" s="341" t="s">
        <v>3514</v>
      </c>
      <c r="G4747" s="342" t="s">
        <v>3515</v>
      </c>
      <c r="H4747" s="337" t="s">
        <v>2267</v>
      </c>
      <c r="I4747" s="341" t="s">
        <v>3881</v>
      </c>
      <c r="J4747" s="343">
        <v>80938.820000000007</v>
      </c>
      <c r="L4747" s="343">
        <v>31.44</v>
      </c>
      <c r="M4747" s="343">
        <v>20</v>
      </c>
      <c r="N4747" s="344"/>
      <c r="O4747" s="359">
        <v>0.2</v>
      </c>
      <c r="P4747" s="345"/>
      <c r="Q4747" s="344">
        <v>1393.94</v>
      </c>
      <c r="R4747" s="337" t="s">
        <v>2296</v>
      </c>
      <c r="S4747" s="346" t="s">
        <v>113</v>
      </c>
      <c r="T4747" s="346">
        <v>64</v>
      </c>
      <c r="U4747" s="347" t="s">
        <v>164</v>
      </c>
      <c r="V4747" s="451"/>
      <c r="X4747" s="344">
        <v>1393.94</v>
      </c>
      <c r="Y4747" s="344"/>
      <c r="AI4747" s="344">
        <v>1393.94</v>
      </c>
      <c r="AJ4747" s="358"/>
      <c r="AK4747" s="369"/>
    </row>
    <row r="4748" spans="1:77" s="117" customFormat="1" ht="12" customHeight="1">
      <c r="A4748" s="394"/>
      <c r="B4748" s="380" t="s">
        <v>291</v>
      </c>
      <c r="C4748" s="392">
        <v>44830</v>
      </c>
      <c r="D4748" s="392">
        <v>44833</v>
      </c>
      <c r="E4748" s="393" t="s">
        <v>3907</v>
      </c>
      <c r="F4748" s="379" t="s">
        <v>1305</v>
      </c>
      <c r="G4748" s="400">
        <v>4580</v>
      </c>
      <c r="H4748" s="394" t="s">
        <v>814</v>
      </c>
      <c r="I4748" s="394" t="s">
        <v>1839</v>
      </c>
      <c r="J4748" s="395">
        <v>42025.2</v>
      </c>
      <c r="K4748" s="394"/>
      <c r="L4748" s="395">
        <v>50.03</v>
      </c>
      <c r="M4748" s="395">
        <v>50.03</v>
      </c>
      <c r="N4748" s="396"/>
      <c r="O4748" s="401">
        <v>0.15</v>
      </c>
      <c r="P4748" s="397"/>
      <c r="Q4748" s="396">
        <v>0</v>
      </c>
      <c r="R4748" s="379" t="s">
        <v>146</v>
      </c>
      <c r="S4748" s="388" t="s">
        <v>113</v>
      </c>
      <c r="T4748" s="399">
        <v>31</v>
      </c>
      <c r="U4748" s="398" t="s">
        <v>164</v>
      </c>
      <c r="V4748" s="449"/>
      <c r="W4748" s="394"/>
      <c r="X4748" s="396">
        <v>0</v>
      </c>
      <c r="Y4748" s="396"/>
      <c r="Z4748" s="394"/>
      <c r="AA4748" s="394"/>
      <c r="AB4748" s="394"/>
      <c r="AC4748" s="394"/>
      <c r="AD4748" s="394"/>
      <c r="AE4748" s="394"/>
      <c r="AF4748" s="394"/>
      <c r="AG4748" s="394"/>
      <c r="AH4748" s="394"/>
      <c r="AI4748" s="394"/>
      <c r="AJ4748" s="390">
        <v>0</v>
      </c>
      <c r="AK4748" s="394"/>
      <c r="AL4748" s="394"/>
      <c r="AM4748" s="394"/>
      <c r="AN4748" s="394"/>
      <c r="AO4748" s="394"/>
      <c r="AP4748" s="394"/>
      <c r="AQ4748" s="394"/>
      <c r="AR4748" s="394"/>
      <c r="AS4748" s="394"/>
      <c r="AT4748" s="394"/>
      <c r="AU4748" s="394"/>
      <c r="AV4748" s="394"/>
      <c r="AW4748" s="394"/>
      <c r="AX4748" s="394"/>
      <c r="AY4748" s="394"/>
      <c r="AZ4748" s="394"/>
      <c r="BA4748" s="394"/>
      <c r="BB4748" s="394"/>
      <c r="BC4748" s="394"/>
      <c r="BD4748" s="394"/>
      <c r="BE4748" s="394"/>
      <c r="BF4748" s="394"/>
      <c r="BG4748" s="394"/>
      <c r="BH4748" s="394"/>
      <c r="BI4748" s="394"/>
      <c r="BJ4748" s="394"/>
      <c r="BK4748" s="394"/>
      <c r="BL4748" s="394"/>
      <c r="BM4748" s="394"/>
      <c r="BN4748" s="394"/>
      <c r="BO4748" s="394"/>
      <c r="BP4748" s="394"/>
      <c r="BQ4748" s="394"/>
      <c r="BR4748" s="394"/>
      <c r="BS4748" s="394"/>
      <c r="BT4748" s="394"/>
      <c r="BU4748" s="394"/>
      <c r="BV4748" s="394"/>
      <c r="BW4748" s="394"/>
      <c r="BX4748" s="394"/>
      <c r="BY4748" s="394"/>
    </row>
    <row r="4749" spans="1:77" s="472" customFormat="1" ht="12" customHeight="1">
      <c r="B4749" s="503" t="s">
        <v>291</v>
      </c>
      <c r="C4749" s="474">
        <v>44838</v>
      </c>
      <c r="D4749" s="474">
        <v>44838</v>
      </c>
      <c r="E4749" s="475" t="s">
        <v>3910</v>
      </c>
      <c r="F4749" s="473" t="s">
        <v>2714</v>
      </c>
      <c r="G4749" s="489" t="s">
        <v>2711</v>
      </c>
      <c r="H4749" s="472" t="s">
        <v>898</v>
      </c>
      <c r="I4749" s="472" t="s">
        <v>33</v>
      </c>
      <c r="J4749" s="477">
        <v>51093.97</v>
      </c>
      <c r="L4749" s="477">
        <v>59.78</v>
      </c>
      <c r="M4749" s="477">
        <v>59.78</v>
      </c>
      <c r="N4749" s="478">
        <v>20310.75</v>
      </c>
      <c r="O4749" s="479">
        <v>0.2</v>
      </c>
      <c r="P4749" s="480"/>
      <c r="Q4749" s="478">
        <v>20473.36</v>
      </c>
      <c r="R4749" s="473" t="s">
        <v>29</v>
      </c>
      <c r="S4749" s="481" t="s">
        <v>275</v>
      </c>
      <c r="T4749" s="481">
        <v>21</v>
      </c>
      <c r="U4749" s="483" t="s">
        <v>164</v>
      </c>
      <c r="V4749" s="484"/>
      <c r="X4749" s="478">
        <v>20473.36</v>
      </c>
      <c r="Y4749" s="478"/>
      <c r="AJ4749" s="485"/>
      <c r="AK4749" s="506">
        <v>20473.36</v>
      </c>
    </row>
    <row r="4750" spans="1:77" s="341" customFormat="1" ht="12" customHeight="1">
      <c r="B4750" s="338" t="s">
        <v>291</v>
      </c>
      <c r="C4750" s="339">
        <v>44842</v>
      </c>
      <c r="D4750" s="339">
        <v>44843</v>
      </c>
      <c r="E4750" s="340" t="s">
        <v>3915</v>
      </c>
      <c r="F4750" s="337" t="s">
        <v>1709</v>
      </c>
      <c r="G4750" s="342">
        <v>1002</v>
      </c>
      <c r="H4750" s="341" t="s">
        <v>866</v>
      </c>
      <c r="I4750" s="341" t="s">
        <v>699</v>
      </c>
      <c r="J4750" s="343">
        <v>97442.38</v>
      </c>
      <c r="L4750" s="343">
        <v>43.05</v>
      </c>
      <c r="M4750" s="343">
        <v>15.9</v>
      </c>
      <c r="N4750" s="344">
        <v>11030.34</v>
      </c>
      <c r="O4750" s="359">
        <v>0.2</v>
      </c>
      <c r="P4750" s="345"/>
      <c r="Q4750" s="344">
        <v>12231.38</v>
      </c>
      <c r="R4750" s="337" t="s">
        <v>112</v>
      </c>
      <c r="S4750" s="346" t="s">
        <v>113</v>
      </c>
      <c r="T4750" s="346">
        <v>64</v>
      </c>
      <c r="U4750" s="347" t="s">
        <v>164</v>
      </c>
      <c r="V4750" s="451"/>
      <c r="X4750" s="344">
        <v>12231.38</v>
      </c>
      <c r="Y4750" s="344"/>
      <c r="AH4750" s="346"/>
      <c r="AI4750" s="344">
        <v>12231.38</v>
      </c>
      <c r="AJ4750" s="358"/>
      <c r="AK4750" s="369"/>
    </row>
    <row r="4751" spans="1:77" s="394" customFormat="1" ht="12" customHeight="1">
      <c r="B4751" s="380" t="s">
        <v>291</v>
      </c>
      <c r="C4751" s="392">
        <v>44842</v>
      </c>
      <c r="D4751" s="392">
        <v>44844</v>
      </c>
      <c r="E4751" s="393" t="s">
        <v>3916</v>
      </c>
      <c r="F4751" s="379" t="s">
        <v>3917</v>
      </c>
      <c r="G4751" s="400" t="s">
        <v>3918</v>
      </c>
      <c r="H4751" s="394" t="s">
        <v>2171</v>
      </c>
      <c r="I4751" s="394" t="s">
        <v>33</v>
      </c>
      <c r="J4751" s="395">
        <v>18943.759999999998</v>
      </c>
      <c r="L4751" s="395">
        <v>8.24</v>
      </c>
      <c r="M4751" s="395">
        <v>8.24</v>
      </c>
      <c r="N4751" s="396">
        <v>7577.5</v>
      </c>
      <c r="O4751" s="401">
        <v>0.3</v>
      </c>
      <c r="P4751" s="397"/>
      <c r="Q4751" s="396">
        <v>0</v>
      </c>
      <c r="R4751" s="379" t="s">
        <v>112</v>
      </c>
      <c r="S4751" s="399" t="s">
        <v>113</v>
      </c>
      <c r="T4751" s="399">
        <v>64</v>
      </c>
      <c r="U4751" s="398" t="s">
        <v>164</v>
      </c>
      <c r="V4751" s="449"/>
      <c r="X4751" s="396">
        <v>0</v>
      </c>
      <c r="Y4751" s="396"/>
      <c r="AH4751" s="399"/>
      <c r="AJ4751" s="390">
        <v>0</v>
      </c>
    </row>
    <row r="4752" spans="1:77" s="472" customFormat="1" ht="12" customHeight="1">
      <c r="B4752" s="486" t="s">
        <v>291</v>
      </c>
      <c r="C4752" s="474">
        <v>44847</v>
      </c>
      <c r="D4752" s="474">
        <v>44847</v>
      </c>
      <c r="E4752" s="475" t="s">
        <v>3924</v>
      </c>
      <c r="F4752" s="473" t="s">
        <v>978</v>
      </c>
      <c r="G4752" s="476">
        <v>4479</v>
      </c>
      <c r="H4752" s="472" t="s">
        <v>814</v>
      </c>
      <c r="I4752" s="473" t="s">
        <v>33</v>
      </c>
      <c r="J4752" s="477">
        <v>1232.52</v>
      </c>
      <c r="L4752" s="477">
        <v>1.59</v>
      </c>
      <c r="M4752" s="477">
        <v>1.59</v>
      </c>
      <c r="N4752" s="478"/>
      <c r="O4752" s="479">
        <v>0.15</v>
      </c>
      <c r="P4752" s="480"/>
      <c r="Q4752" s="478">
        <v>670.28</v>
      </c>
      <c r="R4752" s="473" t="s">
        <v>128</v>
      </c>
      <c r="S4752" s="481" t="s">
        <v>34</v>
      </c>
      <c r="T4752" s="482">
        <v>79</v>
      </c>
      <c r="U4752" s="483" t="s">
        <v>164</v>
      </c>
      <c r="V4752" s="484"/>
      <c r="X4752" s="478">
        <v>670.28</v>
      </c>
      <c r="Y4752" s="478"/>
      <c r="AH4752" s="482"/>
      <c r="AJ4752" s="485"/>
      <c r="AK4752" s="506">
        <v>670.28</v>
      </c>
    </row>
    <row r="4753" spans="2:41" s="394" customFormat="1" ht="12" customHeight="1">
      <c r="B4753" s="380" t="s">
        <v>291</v>
      </c>
      <c r="C4753" s="392">
        <v>44854</v>
      </c>
      <c r="D4753" s="392">
        <v>44856</v>
      </c>
      <c r="E4753" s="393" t="s">
        <v>3929</v>
      </c>
      <c r="F4753" s="379" t="s">
        <v>3930</v>
      </c>
      <c r="G4753" s="400" t="s">
        <v>3931</v>
      </c>
      <c r="H4753" s="394" t="s">
        <v>866</v>
      </c>
      <c r="I4753" s="394" t="s">
        <v>1839</v>
      </c>
      <c r="J4753" s="395">
        <v>34000</v>
      </c>
      <c r="L4753" s="395">
        <v>17</v>
      </c>
      <c r="M4753" s="395">
        <v>14.2</v>
      </c>
      <c r="N4753" s="396">
        <v>5055</v>
      </c>
      <c r="O4753" s="401">
        <v>0.2</v>
      </c>
      <c r="P4753" s="397"/>
      <c r="Q4753" s="396">
        <v>0</v>
      </c>
      <c r="R4753" s="394" t="s">
        <v>112</v>
      </c>
      <c r="S4753" s="399" t="s">
        <v>113</v>
      </c>
      <c r="T4753" s="399">
        <v>64</v>
      </c>
      <c r="U4753" s="398" t="s">
        <v>164</v>
      </c>
      <c r="V4753" s="449"/>
      <c r="X4753" s="396">
        <v>0</v>
      </c>
      <c r="Y4753" s="396"/>
      <c r="AH4753" s="399"/>
      <c r="AJ4753" s="390">
        <v>0</v>
      </c>
    </row>
    <row r="4754" spans="2:41" s="394" customFormat="1" ht="12" customHeight="1">
      <c r="B4754" s="380" t="s">
        <v>291</v>
      </c>
      <c r="C4754" s="392">
        <v>44861</v>
      </c>
      <c r="D4754" s="392">
        <v>44861</v>
      </c>
      <c r="E4754" s="393" t="s">
        <v>3940</v>
      </c>
      <c r="F4754" s="379" t="s">
        <v>3941</v>
      </c>
      <c r="G4754" s="400" t="s">
        <v>3942</v>
      </c>
      <c r="H4754" s="394" t="s">
        <v>866</v>
      </c>
      <c r="I4754" s="394" t="s">
        <v>33</v>
      </c>
      <c r="J4754" s="395">
        <v>20160</v>
      </c>
      <c r="L4754" s="395">
        <v>13.44</v>
      </c>
      <c r="M4754" s="395">
        <v>13.44</v>
      </c>
      <c r="N4754" s="396"/>
      <c r="O4754" s="401">
        <v>0.2</v>
      </c>
      <c r="P4754" s="397"/>
      <c r="Q4754" s="396">
        <v>0</v>
      </c>
      <c r="R4754" s="394" t="s">
        <v>229</v>
      </c>
      <c r="S4754" s="399" t="s">
        <v>228</v>
      </c>
      <c r="T4754" s="399">
        <v>37</v>
      </c>
      <c r="U4754" s="398" t="s">
        <v>164</v>
      </c>
      <c r="V4754" s="449"/>
      <c r="X4754" s="396">
        <v>0</v>
      </c>
      <c r="Y4754" s="396"/>
      <c r="AH4754" s="399"/>
      <c r="AJ4754" s="399">
        <v>0</v>
      </c>
    </row>
    <row r="4755" spans="2:41" s="472" customFormat="1" ht="12" customHeight="1">
      <c r="B4755" s="486" t="s">
        <v>291</v>
      </c>
      <c r="C4755" s="474">
        <v>44870</v>
      </c>
      <c r="D4755" s="474">
        <v>44873</v>
      </c>
      <c r="E4755" s="475" t="s">
        <v>3943</v>
      </c>
      <c r="F4755" s="473" t="s">
        <v>3944</v>
      </c>
      <c r="G4755" s="476" t="s">
        <v>3945</v>
      </c>
      <c r="H4755" s="472" t="s">
        <v>910</v>
      </c>
      <c r="I4755" s="472" t="s">
        <v>33</v>
      </c>
      <c r="J4755" s="477">
        <v>37749.599999999999</v>
      </c>
      <c r="L4755" s="477">
        <v>28</v>
      </c>
      <c r="M4755" s="477">
        <v>18</v>
      </c>
      <c r="N4755" s="478"/>
      <c r="O4755" s="479">
        <v>0.2</v>
      </c>
      <c r="P4755" s="480"/>
      <c r="Q4755" s="478">
        <v>0</v>
      </c>
      <c r="R4755" s="472" t="s">
        <v>29</v>
      </c>
      <c r="S4755" s="482" t="s">
        <v>275</v>
      </c>
      <c r="T4755" s="482">
        <v>39</v>
      </c>
      <c r="U4755" s="483" t="s">
        <v>164</v>
      </c>
      <c r="V4755" s="484"/>
      <c r="X4755" s="478">
        <v>0</v>
      </c>
      <c r="Y4755" s="478"/>
      <c r="AH4755" s="482"/>
      <c r="AJ4755" s="482"/>
      <c r="AK4755" s="472">
        <v>0</v>
      </c>
    </row>
    <row r="4756" spans="2:41" s="394" customFormat="1" ht="12" customHeight="1">
      <c r="B4756" s="380" t="s">
        <v>291</v>
      </c>
      <c r="C4756" s="392">
        <v>44888</v>
      </c>
      <c r="D4756" s="392">
        <v>44889</v>
      </c>
      <c r="E4756" s="393" t="s">
        <v>3948</v>
      </c>
      <c r="F4756" s="379" t="s">
        <v>639</v>
      </c>
      <c r="G4756" s="400" t="s">
        <v>640</v>
      </c>
      <c r="H4756" s="394" t="s">
        <v>1141</v>
      </c>
      <c r="I4756" s="394" t="s">
        <v>3949</v>
      </c>
      <c r="J4756" s="395">
        <v>4747.3599999999997</v>
      </c>
      <c r="L4756" s="395">
        <v>9.0399999999999991</v>
      </c>
      <c r="M4756" s="395">
        <v>9.0399999999999991</v>
      </c>
      <c r="N4756" s="396"/>
      <c r="O4756" s="401">
        <v>0.15</v>
      </c>
      <c r="P4756" s="397"/>
      <c r="Q4756" s="396">
        <v>0</v>
      </c>
      <c r="R4756" s="394" t="s">
        <v>35</v>
      </c>
      <c r="S4756" s="399" t="s">
        <v>41</v>
      </c>
      <c r="T4756" s="399">
        <v>79</v>
      </c>
      <c r="U4756" s="398" t="s">
        <v>164</v>
      </c>
      <c r="V4756" s="449"/>
      <c r="X4756" s="396">
        <v>0</v>
      </c>
      <c r="Y4756" s="396"/>
      <c r="AH4756" s="399"/>
      <c r="AJ4756" s="399">
        <v>0</v>
      </c>
    </row>
    <row r="4757" spans="2:41" s="117" customFormat="1" ht="12" customHeight="1">
      <c r="B4757" s="145"/>
      <c r="C4757" s="146"/>
      <c r="D4757" s="146"/>
      <c r="E4757" s="147"/>
      <c r="F4757" s="6"/>
      <c r="G4757" s="148"/>
      <c r="J4757" s="149"/>
      <c r="L4757" s="149"/>
      <c r="M4757" s="149"/>
      <c r="N4757" s="150"/>
      <c r="O4757" s="282"/>
      <c r="P4757" s="151"/>
      <c r="Q4757" s="412"/>
      <c r="S4757" s="152"/>
      <c r="T4757" s="152"/>
      <c r="U4757" s="414"/>
      <c r="V4757" s="448"/>
      <c r="X4757" s="150"/>
      <c r="Y4757" s="150"/>
      <c r="AH4757" s="152"/>
      <c r="AI4757" s="152"/>
      <c r="AJ4757" s="152"/>
    </row>
    <row r="4758" spans="2:41" s="117" customFormat="1" ht="12" customHeight="1">
      <c r="B4758" s="145"/>
      <c r="C4758" s="146"/>
      <c r="D4758" s="146"/>
      <c r="E4758" s="147"/>
      <c r="F4758" s="6"/>
      <c r="G4758" s="148"/>
      <c r="J4758" s="411"/>
      <c r="K4758" s="409"/>
      <c r="L4758" s="149"/>
      <c r="M4758" s="149"/>
      <c r="N4758" s="150"/>
      <c r="O4758" s="282"/>
      <c r="P4758" s="151"/>
      <c r="Q4758" s="150"/>
      <c r="S4758" s="152"/>
      <c r="T4758" s="152"/>
      <c r="U4758" s="56"/>
      <c r="V4758" s="448"/>
      <c r="X4758" s="150"/>
      <c r="Y4758" s="150"/>
      <c r="AH4758" s="152"/>
      <c r="AI4758" s="152"/>
      <c r="AJ4758" s="413"/>
      <c r="AO4758" s="409"/>
    </row>
    <row r="4759" spans="2:41" s="117" customFormat="1" ht="12" customHeight="1">
      <c r="B4759" s="145"/>
      <c r="C4759" s="146"/>
      <c r="D4759" s="146"/>
      <c r="E4759" s="410"/>
      <c r="F4759" s="6"/>
      <c r="G4759" s="148"/>
      <c r="J4759" s="149"/>
      <c r="L4759" s="149"/>
      <c r="M4759" s="149"/>
      <c r="N4759" s="150"/>
      <c r="O4759" s="282"/>
      <c r="P4759" s="151"/>
      <c r="Q4759" s="150"/>
      <c r="S4759" s="152"/>
      <c r="T4759" s="152"/>
      <c r="U4759" s="56"/>
      <c r="V4759" s="448"/>
      <c r="X4759" s="150"/>
      <c r="Y4759" s="150"/>
      <c r="AH4759" s="152"/>
      <c r="AI4759" s="152"/>
      <c r="AJ4759" s="152"/>
    </row>
    <row r="4760" spans="2:41" s="117" customFormat="1" ht="12" customHeight="1">
      <c r="B4760" s="145"/>
      <c r="C4760" s="146"/>
      <c r="D4760" s="146"/>
      <c r="E4760" s="147"/>
      <c r="F4760" s="6"/>
      <c r="G4760" s="148"/>
      <c r="J4760" s="149"/>
      <c r="L4760" s="149"/>
      <c r="M4760" s="149"/>
      <c r="N4760" s="150"/>
      <c r="O4760" s="282"/>
      <c r="P4760" s="151"/>
      <c r="Q4760" s="150"/>
      <c r="S4760" s="152"/>
      <c r="T4760" s="152"/>
      <c r="U4760" s="56"/>
      <c r="V4760" s="448"/>
      <c r="X4760" s="150"/>
      <c r="Y4760" s="150"/>
      <c r="AH4760" s="152"/>
      <c r="AI4760" s="152"/>
      <c r="AJ4760" s="152"/>
    </row>
    <row r="4761" spans="2:41" s="117" customFormat="1" ht="12" customHeight="1">
      <c r="B4761" s="145"/>
      <c r="C4761" s="146"/>
      <c r="D4761" s="146"/>
      <c r="E4761" s="147"/>
      <c r="F4761" s="6"/>
      <c r="G4761" s="148"/>
      <c r="I4761" s="409"/>
      <c r="J4761" s="149"/>
      <c r="L4761" s="149"/>
      <c r="M4761" s="149"/>
      <c r="N4761" s="150"/>
      <c r="O4761" s="282"/>
      <c r="P4761" s="151"/>
      <c r="Q4761" s="150"/>
      <c r="S4761" s="152"/>
      <c r="T4761" s="152"/>
      <c r="U4761" s="56"/>
      <c r="V4761" s="448"/>
      <c r="X4761" s="150"/>
      <c r="Y4761" s="150"/>
      <c r="AH4761" s="152"/>
      <c r="AI4761" s="152"/>
      <c r="AJ4761" s="152"/>
    </row>
    <row r="4762" spans="2:41" s="117" customFormat="1" ht="12" customHeight="1">
      <c r="B4762" s="145"/>
      <c r="C4762" s="146"/>
      <c r="D4762" s="146"/>
      <c r="E4762" s="147"/>
      <c r="F4762" s="6"/>
      <c r="G4762" s="148"/>
      <c r="J4762" s="149"/>
      <c r="L4762" s="149"/>
      <c r="M4762" s="149"/>
      <c r="N4762" s="150"/>
      <c r="O4762" s="282"/>
      <c r="P4762" s="151"/>
      <c r="Q4762" s="150"/>
      <c r="S4762" s="152"/>
      <c r="T4762" s="152"/>
      <c r="U4762" s="56"/>
      <c r="V4762" s="448"/>
      <c r="X4762" s="150"/>
      <c r="Y4762" s="150"/>
      <c r="AH4762" s="152"/>
      <c r="AI4762" s="152"/>
      <c r="AJ4762" s="152"/>
    </row>
    <row r="4763" spans="2:41" s="117" customFormat="1" ht="12" customHeight="1">
      <c r="B4763" s="145"/>
      <c r="C4763" s="146"/>
      <c r="D4763" s="146"/>
      <c r="E4763" s="147"/>
      <c r="F4763" s="6"/>
      <c r="G4763" s="148"/>
      <c r="I4763" s="409"/>
      <c r="J4763" s="149"/>
      <c r="L4763" s="149"/>
      <c r="M4763" s="149"/>
      <c r="N4763" s="150"/>
      <c r="O4763" s="282"/>
      <c r="P4763" s="151"/>
      <c r="Q4763" s="150"/>
      <c r="S4763" s="152"/>
      <c r="T4763" s="152"/>
      <c r="U4763" s="56"/>
      <c r="V4763" s="448"/>
      <c r="X4763" s="150"/>
      <c r="Y4763" s="150"/>
      <c r="AH4763" s="152"/>
      <c r="AI4763" s="413"/>
      <c r="AJ4763" s="152"/>
    </row>
    <row r="4764" spans="2:41" s="117" customFormat="1" ht="12" customHeight="1">
      <c r="B4764" s="6"/>
      <c r="C4764" s="146"/>
      <c r="D4764" s="146"/>
      <c r="E4764" s="147"/>
      <c r="F4764" s="6"/>
      <c r="G4764" s="148"/>
      <c r="J4764" s="149"/>
      <c r="L4764" s="149"/>
      <c r="M4764" s="149"/>
      <c r="N4764" s="150"/>
      <c r="O4764" s="282"/>
      <c r="P4764" s="151"/>
      <c r="Q4764" s="150"/>
      <c r="S4764" s="152"/>
      <c r="T4764" s="152"/>
      <c r="U4764" s="56"/>
      <c r="V4764" s="448"/>
      <c r="X4764" s="150"/>
      <c r="Y4764" s="150"/>
      <c r="AH4764" s="152"/>
      <c r="AI4764" s="152"/>
      <c r="AJ4764" s="152"/>
    </row>
    <row r="4765" spans="2:41" s="117" customFormat="1" ht="12" customHeight="1">
      <c r="B4765" s="6"/>
      <c r="C4765" s="146"/>
      <c r="D4765" s="146"/>
      <c r="E4765" s="147"/>
      <c r="F4765" s="6"/>
      <c r="G4765" s="148"/>
      <c r="J4765" s="149"/>
      <c r="L4765" s="149"/>
      <c r="M4765" s="149"/>
      <c r="N4765" s="150"/>
      <c r="O4765" s="282"/>
      <c r="P4765" s="151"/>
      <c r="Q4765" s="150"/>
      <c r="S4765" s="152"/>
      <c r="T4765" s="152"/>
      <c r="U4765" s="56"/>
      <c r="V4765" s="448"/>
      <c r="X4765" s="150"/>
      <c r="Y4765" s="150"/>
      <c r="AH4765" s="152"/>
      <c r="AI4765" s="152"/>
      <c r="AJ4765" s="152"/>
    </row>
    <row r="4766" spans="2:41" s="117" customFormat="1" ht="12" customHeight="1">
      <c r="B4766" s="6"/>
      <c r="C4766" s="146"/>
      <c r="D4766" s="146"/>
      <c r="E4766" s="147"/>
      <c r="F4766" s="6"/>
      <c r="G4766" s="148"/>
      <c r="J4766" s="149"/>
      <c r="L4766" s="149"/>
      <c r="M4766" s="149"/>
      <c r="N4766" s="150"/>
      <c r="O4766" s="282"/>
      <c r="P4766" s="151"/>
      <c r="Q4766" s="150"/>
      <c r="S4766" s="152"/>
      <c r="T4766" s="152"/>
      <c r="U4766" s="56"/>
      <c r="V4766" s="448"/>
      <c r="X4766" s="150"/>
      <c r="Y4766" s="150"/>
      <c r="AH4766" s="152"/>
      <c r="AI4766" s="152"/>
      <c r="AJ4766" s="152"/>
    </row>
    <row r="4767" spans="2:41" s="117" customFormat="1" ht="12" customHeight="1">
      <c r="B4767" s="6"/>
      <c r="C4767" s="146"/>
      <c r="D4767" s="146"/>
      <c r="E4767" s="147"/>
      <c r="F4767" s="6"/>
      <c r="G4767" s="148"/>
      <c r="J4767" s="149"/>
      <c r="L4767" s="149"/>
      <c r="M4767" s="149"/>
      <c r="N4767" s="150"/>
      <c r="O4767" s="282"/>
      <c r="P4767" s="151"/>
      <c r="Q4767" s="150"/>
      <c r="S4767" s="152"/>
      <c r="T4767" s="152"/>
      <c r="U4767" s="56"/>
      <c r="V4767" s="448"/>
      <c r="X4767" s="150"/>
      <c r="Y4767" s="150"/>
      <c r="AH4767" s="152"/>
      <c r="AI4767" s="152"/>
      <c r="AJ4767" s="152"/>
    </row>
    <row r="4768" spans="2:41" s="117" customFormat="1" ht="12" customHeight="1">
      <c r="B4768" s="6"/>
      <c r="C4768" s="146"/>
      <c r="D4768" s="146"/>
      <c r="E4768" s="147"/>
      <c r="F4768" s="6"/>
      <c r="G4768" s="148"/>
      <c r="J4768" s="149"/>
      <c r="L4768" s="149"/>
      <c r="M4768" s="149"/>
      <c r="N4768" s="150"/>
      <c r="O4768" s="282"/>
      <c r="P4768" s="151"/>
      <c r="Q4768" s="150"/>
      <c r="S4768" s="152"/>
      <c r="T4768" s="152"/>
      <c r="U4768" s="56"/>
      <c r="V4768" s="448"/>
      <c r="X4768" s="150"/>
      <c r="Y4768" s="150"/>
      <c r="AH4768" s="152"/>
      <c r="AI4768" s="152"/>
      <c r="AJ4768" s="152"/>
    </row>
    <row r="4769" spans="2:36" s="117" customFormat="1" ht="12" customHeight="1">
      <c r="B4769" s="6"/>
      <c r="C4769" s="146"/>
      <c r="D4769" s="146"/>
      <c r="E4769" s="147"/>
      <c r="F4769" s="6"/>
      <c r="G4769" s="148"/>
      <c r="I4769" s="409"/>
      <c r="J4769" s="149"/>
      <c r="L4769" s="149"/>
      <c r="M4769" s="149"/>
      <c r="N4769" s="150"/>
      <c r="O4769" s="282"/>
      <c r="P4769" s="151"/>
      <c r="Q4769" s="150"/>
      <c r="S4769" s="152"/>
      <c r="T4769" s="152"/>
      <c r="U4769" s="56"/>
      <c r="V4769" s="448"/>
      <c r="X4769" s="150"/>
      <c r="Y4769" s="150"/>
      <c r="AH4769" s="152"/>
      <c r="AI4769" s="152"/>
      <c r="AJ4769" s="152"/>
    </row>
    <row r="4770" spans="2:36" s="117" customFormat="1" ht="12" customHeight="1">
      <c r="B4770" s="6"/>
      <c r="C4770" s="146"/>
      <c r="D4770" s="146"/>
      <c r="E4770" s="147"/>
      <c r="F4770" s="6"/>
      <c r="G4770" s="148"/>
      <c r="H4770" s="409"/>
      <c r="J4770" s="149"/>
      <c r="L4770" s="149"/>
      <c r="M4770" s="149"/>
      <c r="N4770" s="150"/>
      <c r="O4770" s="282"/>
      <c r="P4770" s="151"/>
      <c r="Q4770" s="150"/>
      <c r="S4770" s="152"/>
      <c r="T4770" s="152"/>
      <c r="U4770" s="56"/>
      <c r="V4770" s="448"/>
      <c r="X4770" s="150"/>
      <c r="Y4770" s="150"/>
      <c r="AH4770" s="152"/>
      <c r="AI4770" s="152"/>
      <c r="AJ4770" s="152"/>
    </row>
    <row r="4771" spans="2:36" s="117" customFormat="1" ht="12" customHeight="1">
      <c r="B4771" s="6"/>
      <c r="C4771" s="146"/>
      <c r="D4771" s="146"/>
      <c r="E4771" s="147"/>
      <c r="F4771" s="6"/>
      <c r="G4771" s="148"/>
      <c r="J4771" s="149"/>
      <c r="L4771" s="149"/>
      <c r="M4771" s="149"/>
      <c r="N4771" s="150"/>
      <c r="O4771" s="282"/>
      <c r="P4771" s="151"/>
      <c r="Q4771" s="150"/>
      <c r="S4771" s="152"/>
      <c r="T4771" s="152"/>
      <c r="U4771" s="56"/>
      <c r="V4771" s="448"/>
      <c r="X4771" s="150"/>
      <c r="Y4771" s="150"/>
      <c r="AH4771" s="152"/>
      <c r="AI4771" s="152"/>
      <c r="AJ4771" s="152"/>
    </row>
    <row r="4772" spans="2:36" s="117" customFormat="1" ht="12" customHeight="1">
      <c r="B4772" s="6"/>
      <c r="C4772" s="146"/>
      <c r="D4772" s="146"/>
      <c r="E4772" s="147"/>
      <c r="F4772" s="6"/>
      <c r="G4772" s="148"/>
      <c r="J4772" s="149"/>
      <c r="L4772" s="149"/>
      <c r="M4772" s="149"/>
      <c r="N4772" s="150"/>
      <c r="O4772" s="282"/>
      <c r="P4772" s="151"/>
      <c r="Q4772" s="150"/>
      <c r="S4772" s="152"/>
      <c r="T4772" s="152"/>
      <c r="U4772" s="56"/>
      <c r="V4772" s="448"/>
      <c r="X4772" s="150"/>
      <c r="Y4772" s="150"/>
      <c r="AH4772" s="152"/>
      <c r="AI4772" s="152"/>
      <c r="AJ4772" s="152"/>
    </row>
    <row r="4773" spans="2:36" s="117" customFormat="1" ht="12" customHeight="1">
      <c r="B4773" s="6"/>
      <c r="C4773" s="146"/>
      <c r="D4773" s="146"/>
      <c r="E4773" s="147"/>
      <c r="F4773" s="6"/>
      <c r="G4773" s="148"/>
      <c r="J4773" s="149"/>
      <c r="L4773" s="149"/>
      <c r="M4773" s="149"/>
      <c r="N4773" s="150"/>
      <c r="O4773" s="282"/>
      <c r="P4773" s="151"/>
      <c r="Q4773" s="150"/>
      <c r="S4773" s="152"/>
      <c r="T4773" s="152"/>
      <c r="U4773" s="56"/>
      <c r="V4773" s="448"/>
      <c r="X4773" s="150"/>
      <c r="Y4773" s="150"/>
      <c r="AH4773" s="152"/>
      <c r="AI4773" s="152"/>
      <c r="AJ4773" s="152"/>
    </row>
    <row r="4774" spans="2:36" s="117" customFormat="1" ht="12" customHeight="1">
      <c r="B4774" s="6"/>
      <c r="C4774" s="146"/>
      <c r="D4774" s="146"/>
      <c r="E4774" s="147"/>
      <c r="F4774" s="6"/>
      <c r="G4774" s="148"/>
      <c r="J4774" s="149"/>
      <c r="L4774" s="149"/>
      <c r="M4774" s="149"/>
      <c r="N4774" s="150"/>
      <c r="O4774" s="282"/>
      <c r="P4774" s="151"/>
      <c r="Q4774" s="150"/>
      <c r="S4774" s="152"/>
      <c r="T4774" s="152"/>
      <c r="U4774" s="56"/>
      <c r="V4774" s="448"/>
      <c r="X4774" s="150"/>
      <c r="Y4774" s="150"/>
      <c r="AH4774" s="152"/>
      <c r="AI4774" s="152"/>
      <c r="AJ4774" s="152"/>
    </row>
    <row r="4775" spans="2:36" s="117" customFormat="1" ht="12" customHeight="1">
      <c r="B4775" s="145"/>
      <c r="C4775" s="146"/>
      <c r="D4775" s="146"/>
      <c r="E4775" s="147"/>
      <c r="G4775" s="148"/>
      <c r="J4775" s="149"/>
      <c r="L4775" s="149"/>
      <c r="M4775" s="149"/>
      <c r="N4775" s="150"/>
      <c r="O4775" s="151"/>
      <c r="P4775" s="151"/>
      <c r="Q4775" s="150"/>
      <c r="S4775" s="152"/>
      <c r="T4775" s="152"/>
      <c r="U4775" s="56"/>
      <c r="V4775" s="448"/>
      <c r="X4775" s="150"/>
      <c r="Y4775" s="150"/>
      <c r="AH4775" s="152"/>
      <c r="AI4775" s="152"/>
      <c r="AJ4775" s="152"/>
    </row>
    <row r="4776" spans="2:36" s="117" customFormat="1" ht="12" customHeight="1">
      <c r="B4776" s="145"/>
      <c r="C4776" s="146"/>
      <c r="D4776" s="146"/>
      <c r="E4776" s="147"/>
      <c r="G4776" s="148"/>
      <c r="J4776" s="149"/>
      <c r="L4776" s="149"/>
      <c r="M4776" s="149"/>
      <c r="N4776" s="150"/>
      <c r="O4776" s="151"/>
      <c r="P4776" s="151"/>
      <c r="Q4776" s="150"/>
      <c r="S4776" s="152"/>
      <c r="T4776" s="152"/>
      <c r="U4776" s="56"/>
      <c r="V4776" s="448"/>
      <c r="X4776" s="150"/>
      <c r="Y4776" s="150"/>
      <c r="AH4776" s="152"/>
      <c r="AI4776" s="152"/>
      <c r="AJ4776" s="152"/>
    </row>
    <row r="4777" spans="2:36" s="117" customFormat="1" ht="12" customHeight="1">
      <c r="B4777" s="145"/>
      <c r="C4777" s="146"/>
      <c r="D4777" s="146"/>
      <c r="E4777" s="147"/>
      <c r="G4777" s="148"/>
      <c r="J4777" s="149"/>
      <c r="L4777" s="149"/>
      <c r="M4777" s="149"/>
      <c r="N4777" s="150"/>
      <c r="O4777" s="151"/>
      <c r="P4777" s="151"/>
      <c r="Q4777" s="150"/>
      <c r="S4777" s="152"/>
      <c r="T4777" s="152"/>
      <c r="U4777" s="56"/>
      <c r="V4777" s="448"/>
      <c r="X4777" s="150"/>
      <c r="Y4777" s="150"/>
      <c r="AH4777" s="152"/>
      <c r="AI4777" s="152"/>
      <c r="AJ4777" s="152"/>
    </row>
    <row r="4778" spans="2:36" s="117" customFormat="1" ht="12" customHeight="1">
      <c r="B4778" s="145"/>
      <c r="C4778" s="146"/>
      <c r="D4778" s="146"/>
      <c r="E4778" s="147"/>
      <c r="G4778" s="148"/>
      <c r="J4778" s="149"/>
      <c r="L4778" s="149"/>
      <c r="M4778" s="149"/>
      <c r="N4778" s="150"/>
      <c r="O4778" s="151"/>
      <c r="P4778" s="151"/>
      <c r="Q4778" s="150"/>
      <c r="S4778" s="152"/>
      <c r="T4778" s="152"/>
      <c r="U4778" s="56"/>
      <c r="V4778" s="448"/>
      <c r="X4778" s="150"/>
      <c r="Y4778" s="150"/>
      <c r="AH4778" s="152"/>
      <c r="AI4778" s="152"/>
      <c r="AJ4778" s="152"/>
    </row>
    <row r="4779" spans="2:36" s="117" customFormat="1" ht="12" customHeight="1">
      <c r="B4779" s="145"/>
      <c r="C4779" s="146"/>
      <c r="D4779" s="146"/>
      <c r="E4779" s="147"/>
      <c r="G4779" s="148"/>
      <c r="J4779" s="149"/>
      <c r="L4779" s="149"/>
      <c r="M4779" s="149"/>
      <c r="N4779" s="150"/>
      <c r="O4779" s="151"/>
      <c r="P4779" s="151"/>
      <c r="Q4779" s="150"/>
      <c r="S4779" s="152"/>
      <c r="T4779" s="152"/>
      <c r="U4779" s="56"/>
      <c r="V4779" s="448"/>
      <c r="X4779" s="150"/>
      <c r="Y4779" s="150"/>
      <c r="AH4779" s="152"/>
      <c r="AI4779" s="152"/>
      <c r="AJ4779" s="152"/>
    </row>
    <row r="4780" spans="2:36" s="117" customFormat="1" ht="12" customHeight="1">
      <c r="B4780" s="145"/>
      <c r="C4780" s="146"/>
      <c r="D4780" s="146"/>
      <c r="E4780" s="147"/>
      <c r="G4780" s="148"/>
      <c r="J4780" s="149"/>
      <c r="L4780" s="149"/>
      <c r="M4780" s="149"/>
      <c r="N4780" s="150"/>
      <c r="O4780" s="151"/>
      <c r="P4780" s="151"/>
      <c r="Q4780" s="150"/>
      <c r="S4780" s="152"/>
      <c r="T4780" s="152"/>
      <c r="U4780" s="56"/>
      <c r="V4780" s="448"/>
      <c r="X4780" s="150"/>
      <c r="Y4780" s="150"/>
      <c r="AH4780" s="152"/>
      <c r="AI4780" s="152"/>
      <c r="AJ4780" s="152"/>
    </row>
    <row r="4781" spans="2:36" s="117" customFormat="1" ht="12" customHeight="1">
      <c r="B4781" s="145"/>
      <c r="C4781" s="146"/>
      <c r="D4781" s="146"/>
      <c r="E4781" s="147"/>
      <c r="G4781" s="148"/>
      <c r="J4781" s="149"/>
      <c r="L4781" s="149"/>
      <c r="M4781" s="149"/>
      <c r="N4781" s="150"/>
      <c r="O4781" s="151"/>
      <c r="P4781" s="151"/>
      <c r="Q4781" s="150"/>
      <c r="S4781" s="152"/>
      <c r="T4781" s="152"/>
      <c r="U4781" s="56"/>
      <c r="V4781" s="448"/>
      <c r="X4781" s="150"/>
      <c r="Y4781" s="150"/>
      <c r="AH4781" s="152"/>
      <c r="AI4781" s="152"/>
      <c r="AJ4781" s="152"/>
    </row>
    <row r="4782" spans="2:36" s="117" customFormat="1" ht="12" customHeight="1">
      <c r="B4782" s="145"/>
      <c r="C4782" s="146"/>
      <c r="D4782" s="146"/>
      <c r="E4782" s="147"/>
      <c r="G4782" s="148"/>
      <c r="J4782" s="149"/>
      <c r="L4782" s="149"/>
      <c r="M4782" s="149"/>
      <c r="N4782" s="150"/>
      <c r="O4782" s="151"/>
      <c r="P4782" s="151"/>
      <c r="Q4782" s="150"/>
      <c r="S4782" s="152"/>
      <c r="T4782" s="152"/>
      <c r="U4782" s="56"/>
      <c r="V4782" s="448"/>
      <c r="X4782" s="150"/>
      <c r="Y4782" s="150"/>
      <c r="AH4782" s="152"/>
      <c r="AI4782" s="152"/>
      <c r="AJ4782" s="152"/>
    </row>
    <row r="4783" spans="2:36" s="117" customFormat="1" ht="12" customHeight="1">
      <c r="B4783" s="145"/>
      <c r="C4783" s="146"/>
      <c r="D4783" s="146"/>
      <c r="E4783" s="147"/>
      <c r="G4783" s="148"/>
      <c r="J4783" s="149"/>
      <c r="L4783" s="149"/>
      <c r="M4783" s="149"/>
      <c r="N4783" s="150"/>
      <c r="O4783" s="151"/>
      <c r="P4783" s="151"/>
      <c r="Q4783" s="150"/>
      <c r="S4783" s="152"/>
      <c r="T4783" s="152"/>
      <c r="U4783" s="56"/>
      <c r="V4783" s="448"/>
      <c r="X4783" s="150"/>
      <c r="Y4783" s="150"/>
      <c r="AH4783" s="152"/>
      <c r="AI4783" s="152"/>
      <c r="AJ4783" s="152"/>
    </row>
    <row r="4784" spans="2:36" s="117" customFormat="1" ht="12" customHeight="1">
      <c r="B4784" s="145"/>
      <c r="C4784" s="146"/>
      <c r="D4784" s="146"/>
      <c r="E4784" s="147"/>
      <c r="G4784" s="148"/>
      <c r="J4784" s="149"/>
      <c r="L4784" s="149"/>
      <c r="M4784" s="149"/>
      <c r="N4784" s="150"/>
      <c r="O4784" s="151"/>
      <c r="P4784" s="151"/>
      <c r="Q4784" s="150"/>
      <c r="S4784" s="152"/>
      <c r="T4784" s="152"/>
      <c r="U4784" s="56"/>
      <c r="V4784" s="448"/>
      <c r="X4784" s="150"/>
      <c r="Y4784" s="150"/>
      <c r="AH4784" s="152"/>
      <c r="AI4784" s="152"/>
      <c r="AJ4784" s="152"/>
    </row>
    <row r="4785" spans="3:46" s="6" customFormat="1" ht="11.25" customHeight="1">
      <c r="C4785" s="4"/>
      <c r="D4785" s="4"/>
      <c r="E4785" s="5"/>
      <c r="G4785" s="148"/>
      <c r="I4785" s="9"/>
      <c r="J4785" s="24"/>
      <c r="K4785" s="9"/>
      <c r="L4785" s="24"/>
      <c r="M4785" s="24"/>
      <c r="N4785" s="8"/>
      <c r="O4785" s="11"/>
      <c r="P4785" s="11"/>
      <c r="Q4785" s="8"/>
      <c r="S4785" s="3"/>
      <c r="T4785" s="152"/>
      <c r="U4785" s="7"/>
      <c r="V4785" s="436"/>
      <c r="X4785" s="8"/>
      <c r="Y4785" s="8"/>
      <c r="AH4785" s="3"/>
      <c r="AI4785" s="3"/>
      <c r="AJ4785" s="3"/>
    </row>
    <row r="4786" spans="3:46" s="6" customFormat="1" ht="11.25" customHeight="1">
      <c r="C4786" s="4"/>
      <c r="D4786" s="4"/>
      <c r="E4786" s="5"/>
      <c r="G4786" s="148"/>
      <c r="I4786" s="9"/>
      <c r="J4786" s="24"/>
      <c r="K4786" s="9"/>
      <c r="L4786" s="24"/>
      <c r="M4786" s="24"/>
      <c r="N4786" s="8"/>
      <c r="O4786" s="11"/>
      <c r="P4786" s="11"/>
      <c r="Q4786" s="8"/>
      <c r="S4786" s="3"/>
      <c r="T4786" s="152"/>
      <c r="U4786" s="7"/>
      <c r="V4786" s="436"/>
      <c r="X4786" s="8"/>
      <c r="Y4786" s="8"/>
      <c r="AH4786" s="3"/>
      <c r="AI4786" s="3"/>
      <c r="AJ4786" s="3"/>
    </row>
    <row r="4787" spans="3:46" s="6" customFormat="1" ht="11.25" customHeight="1">
      <c r="C4787" s="4"/>
      <c r="D4787" s="4"/>
      <c r="E4787" s="5"/>
      <c r="G4787" s="148"/>
      <c r="I4787" s="9"/>
      <c r="J4787" s="24"/>
      <c r="K4787" s="9"/>
      <c r="L4787" s="24"/>
      <c r="M4787" s="24"/>
      <c r="N4787" s="8"/>
      <c r="O4787" s="11"/>
      <c r="P4787" s="11"/>
      <c r="Q4787" s="8"/>
      <c r="S4787" s="3"/>
      <c r="T4787" s="152"/>
      <c r="U4787" s="7"/>
      <c r="V4787" s="436"/>
      <c r="X4787" s="8"/>
      <c r="Y4787" s="8"/>
      <c r="AH4787" s="3"/>
      <c r="AI4787" s="3"/>
      <c r="AJ4787" s="3"/>
    </row>
    <row r="4788" spans="3:46" s="6" customFormat="1" ht="11.25" customHeight="1">
      <c r="C4788" s="4"/>
      <c r="D4788" s="4"/>
      <c r="E4788" s="5"/>
      <c r="G4788" s="148"/>
      <c r="I4788" s="9"/>
      <c r="J4788" s="24"/>
      <c r="K4788" s="9"/>
      <c r="L4788" s="24"/>
      <c r="M4788" s="24"/>
      <c r="N4788" s="8"/>
      <c r="O4788" s="11"/>
      <c r="P4788" s="11"/>
      <c r="Q4788" s="8"/>
      <c r="S4788" s="3"/>
      <c r="T4788" s="152"/>
      <c r="U4788" s="7"/>
      <c r="V4788" s="436"/>
      <c r="X4788" s="8"/>
      <c r="Y4788" s="8"/>
      <c r="AH4788" s="3"/>
      <c r="AI4788" s="3"/>
      <c r="AJ4788" s="3"/>
    </row>
    <row r="4789" spans="3:46" s="6" customFormat="1" ht="11.25" customHeight="1">
      <c r="C4789" s="4"/>
      <c r="D4789" s="4"/>
      <c r="E4789" s="5"/>
      <c r="G4789" s="148"/>
      <c r="I4789" s="9"/>
      <c r="J4789" s="24"/>
      <c r="K4789" s="9"/>
      <c r="L4789" s="24"/>
      <c r="M4789" s="24"/>
      <c r="N4789" s="8"/>
      <c r="O4789" s="11"/>
      <c r="P4789" s="11"/>
      <c r="Q4789" s="8"/>
      <c r="S4789" s="3"/>
      <c r="T4789" s="152"/>
      <c r="U4789" s="7"/>
      <c r="V4789" s="436"/>
      <c r="X4789" s="8"/>
      <c r="Y4789" s="8"/>
      <c r="AH4789" s="3" t="s">
        <v>3954</v>
      </c>
      <c r="AI4789" s="3">
        <v>2160</v>
      </c>
      <c r="AJ4789" s="3"/>
    </row>
    <row r="4790" spans="3:46" s="6" customFormat="1" ht="11.25" customHeight="1">
      <c r="C4790" s="4"/>
      <c r="D4790" s="4"/>
      <c r="E4790" s="5"/>
      <c r="F4790" s="117"/>
      <c r="G4790" s="148"/>
      <c r="I4790" s="9"/>
      <c r="J4790" s="24"/>
      <c r="K4790" s="9"/>
      <c r="L4790" s="24"/>
      <c r="M4790" s="24"/>
      <c r="N4790" s="8"/>
      <c r="O4790" s="11"/>
      <c r="P4790" s="11"/>
      <c r="Q4790" s="80">
        <f>SUM(Q7:Q4789)</f>
        <v>11822041.469299991</v>
      </c>
      <c r="S4790" s="3"/>
      <c r="T4790" s="152"/>
      <c r="U4790" s="7"/>
      <c r="V4790" s="436">
        <f>SUM(V7:V4789)</f>
        <v>238023.16000000003</v>
      </c>
      <c r="X4790" s="8">
        <f>SUM(X7:X4789)</f>
        <v>11700578.119999992</v>
      </c>
      <c r="Y4790" s="8"/>
      <c r="Z4790" s="93">
        <f t="shared" ref="Z4790:AI4790" si="42">SUM(Z7:Z4789)</f>
        <v>11924.289999999999</v>
      </c>
      <c r="AA4790" s="104">
        <f t="shared" si="42"/>
        <v>2157.79</v>
      </c>
      <c r="AB4790" s="112">
        <f t="shared" si="42"/>
        <v>10078.11</v>
      </c>
      <c r="AC4790" s="126">
        <f t="shared" si="42"/>
        <v>29774.699999999997</v>
      </c>
      <c r="AD4790" s="153">
        <f t="shared" si="42"/>
        <v>0</v>
      </c>
      <c r="AE4790" s="185">
        <f t="shared" si="42"/>
        <v>33877.49</v>
      </c>
      <c r="AF4790" s="230">
        <f t="shared" si="42"/>
        <v>419168.93999999989</v>
      </c>
      <c r="AG4790" s="257">
        <f t="shared" si="42"/>
        <v>657523.15000000026</v>
      </c>
      <c r="AH4790" s="324">
        <f>SUM(AH7:AH4788)</f>
        <v>1298939.0999999999</v>
      </c>
      <c r="AI4790" s="372">
        <f t="shared" si="42"/>
        <v>2400412.4700000007</v>
      </c>
      <c r="AJ4790" s="390">
        <f>SUM(AJ7:AJ4789)</f>
        <v>4162430.3399999989</v>
      </c>
      <c r="AK4790" s="485">
        <f>SUM(AK7:AK4783)</f>
        <v>1773989.9100000001</v>
      </c>
      <c r="AL4790" s="539">
        <f>SUM(AL7:AL4789)</f>
        <v>352804.86000000004</v>
      </c>
      <c r="AM4790" s="571">
        <f>SUM(AM7:AM4788)</f>
        <v>272457.37</v>
      </c>
      <c r="AN4790" s="582">
        <f>SUM(AN7:AN4788)</f>
        <v>39803.07</v>
      </c>
      <c r="AO4790" s="618">
        <f>SUM(AO7:AO4787)</f>
        <v>170576.31999999998</v>
      </c>
      <c r="AP4790" s="716">
        <f>SUM(AP7:AP4787)</f>
        <v>12204.29</v>
      </c>
      <c r="AQ4790" s="720">
        <f>SUM(AQ7:AQ4787)</f>
        <v>47515.99</v>
      </c>
      <c r="AR4790" s="737">
        <f t="shared" ref="AR4790:AT4790" si="43">SUM(AR7:AR4787)</f>
        <v>0</v>
      </c>
      <c r="AS4790" s="749">
        <f t="shared" si="43"/>
        <v>6818.81</v>
      </c>
      <c r="AT4790" s="761">
        <f t="shared" si="43"/>
        <v>281.12</v>
      </c>
    </row>
    <row r="4791" spans="3:46" s="6" customFormat="1" ht="11.25" customHeight="1">
      <c r="C4791" s="4"/>
      <c r="D4791" s="4"/>
      <c r="E4791" s="5"/>
      <c r="F4791" s="117"/>
      <c r="G4791" s="148"/>
      <c r="I4791" s="9"/>
      <c r="J4791" s="24"/>
      <c r="K4791" s="9"/>
      <c r="L4791" s="24"/>
      <c r="M4791" s="24"/>
      <c r="N4791" s="8"/>
      <c r="O4791" s="11"/>
      <c r="P4791" s="11"/>
      <c r="Q4791" s="8"/>
      <c r="S4791" s="3"/>
      <c r="T4791" s="152"/>
      <c r="U4791" s="7"/>
      <c r="V4791" s="436"/>
      <c r="X4791" s="8"/>
      <c r="Y4791" s="8"/>
      <c r="AH4791" s="3"/>
      <c r="AI4791" s="3"/>
      <c r="AJ4791" s="3"/>
      <c r="AK4791" s="538">
        <v>1771829.91</v>
      </c>
      <c r="AL4791" s="507"/>
    </row>
    <row r="4792" spans="3:46" s="6" customFormat="1" ht="11.25" customHeight="1">
      <c r="C4792" s="4"/>
      <c r="D4792" s="4"/>
      <c r="E4792" s="5"/>
      <c r="G4792" s="31"/>
      <c r="I4792" s="9"/>
      <c r="J4792" s="24"/>
      <c r="K4792" s="9"/>
      <c r="L4792" s="25"/>
      <c r="M4792" s="7"/>
      <c r="N4792" s="8"/>
      <c r="O4792" s="11"/>
      <c r="P4792" s="11"/>
      <c r="Q4792" s="8"/>
      <c r="S4792" s="3"/>
      <c r="T4792" s="3"/>
      <c r="U4792" s="7"/>
      <c r="V4792" s="436"/>
      <c r="X4792" s="8"/>
      <c r="Y4792" s="8"/>
      <c r="Z4792" s="58"/>
      <c r="AG4792" s="58"/>
      <c r="AH4792" s="3"/>
      <c r="AI4792" s="3"/>
      <c r="AJ4792" s="3"/>
      <c r="AL4792" s="58"/>
    </row>
    <row r="4793" spans="3:46" s="6" customFormat="1" ht="11.25" customHeight="1">
      <c r="C4793" s="4"/>
      <c r="D4793" s="4"/>
      <c r="E4793" s="5"/>
      <c r="G4793" s="31"/>
      <c r="I4793" s="9"/>
      <c r="J4793" s="24"/>
      <c r="K4793" s="9"/>
      <c r="L4793" s="25"/>
      <c r="M4793" s="7"/>
      <c r="N4793" s="8"/>
      <c r="O4793" s="11"/>
      <c r="P4793" s="11"/>
      <c r="Q4793" s="8"/>
      <c r="S4793" s="3"/>
      <c r="T4793" s="3"/>
      <c r="U4793" s="7"/>
      <c r="V4793" s="436"/>
      <c r="X4793" s="8"/>
      <c r="Y4793" s="8"/>
      <c r="Z4793" s="58"/>
      <c r="AH4793" s="3"/>
      <c r="AI4793" s="3"/>
      <c r="AJ4793" s="80"/>
      <c r="AL4793" s="58"/>
      <c r="AM4793" s="581"/>
    </row>
    <row r="4794" spans="3:46" s="6" customFormat="1" ht="11.25" customHeight="1">
      <c r="C4794" s="4"/>
      <c r="D4794" s="4"/>
      <c r="E4794" s="5"/>
      <c r="G4794" s="31"/>
      <c r="I4794" s="9"/>
      <c r="J4794" s="24"/>
      <c r="K4794" s="9"/>
      <c r="L4794" s="25"/>
      <c r="M4794" s="7"/>
      <c r="N4794" s="8"/>
      <c r="O4794" s="11"/>
      <c r="P4794" s="11"/>
      <c r="Q4794" s="8"/>
      <c r="S4794" s="3"/>
      <c r="T4794" s="3"/>
      <c r="U4794" s="7"/>
      <c r="V4794" s="436"/>
      <c r="X4794" s="8"/>
      <c r="Y4794" s="8"/>
      <c r="AD4794" s="58"/>
      <c r="AH4794" s="3"/>
      <c r="AI4794" s="80"/>
      <c r="AJ4794" s="80"/>
    </row>
    <row r="4795" spans="3:46" s="6" customFormat="1" ht="11.25" customHeight="1">
      <c r="C4795" s="4"/>
      <c r="D4795" s="4"/>
      <c r="E4795" s="5"/>
      <c r="G4795" s="31"/>
      <c r="I4795" s="9"/>
      <c r="J4795" s="24"/>
      <c r="K4795" s="9"/>
      <c r="L4795" s="25"/>
      <c r="M4795" s="7"/>
      <c r="N4795" s="8"/>
      <c r="O4795" s="11"/>
      <c r="P4795" s="11"/>
      <c r="Q4795" s="8"/>
      <c r="S4795" s="3"/>
      <c r="T4795" s="3"/>
      <c r="U4795" s="7"/>
      <c r="V4795" s="436"/>
      <c r="X4795" s="8"/>
      <c r="Y4795" s="8"/>
      <c r="AH4795" s="3"/>
      <c r="AI4795" s="80"/>
      <c r="AJ4795" s="80"/>
      <c r="AK4795" s="58"/>
    </row>
    <row r="4796" spans="3:46" s="6" customFormat="1" ht="11.25" customHeight="1">
      <c r="C4796" s="4"/>
      <c r="D4796" s="4"/>
      <c r="E4796" s="5"/>
      <c r="G4796" s="31"/>
      <c r="I4796" s="9"/>
      <c r="J4796" s="24"/>
      <c r="K4796" s="9"/>
      <c r="L4796" s="25"/>
      <c r="M4796" s="7"/>
      <c r="N4796"/>
      <c r="O4796" s="11"/>
      <c r="P4796" s="11"/>
      <c r="Q4796" s="35"/>
      <c r="S4796" s="3"/>
      <c r="T4796" s="3"/>
      <c r="U4796" s="7"/>
      <c r="V4796" s="436"/>
      <c r="X4796" s="8"/>
      <c r="Y4796" s="8"/>
      <c r="AH4796" s="3"/>
      <c r="AI4796" s="80"/>
      <c r="AJ4796" s="80"/>
      <c r="AM4796" s="58"/>
    </row>
    <row r="4797" spans="3:46" s="6" customFormat="1" ht="11.25" customHeight="1">
      <c r="C4797" s="4"/>
      <c r="D4797" s="4"/>
      <c r="E4797" s="5"/>
      <c r="G4797" s="31"/>
      <c r="I4797" s="9"/>
      <c r="J4797" s="24"/>
      <c r="K4797" s="9"/>
      <c r="L4797" s="25"/>
      <c r="M4797" s="7"/>
      <c r="N4797" s="8"/>
      <c r="O4797" s="11"/>
      <c r="P4797" s="11"/>
      <c r="Q4797" s="8"/>
      <c r="S4797" s="3"/>
      <c r="T4797" s="3"/>
      <c r="U4797" s="7"/>
      <c r="V4797" s="436"/>
      <c r="X4797" s="8"/>
      <c r="Y4797" s="8"/>
      <c r="AH4797" s="3"/>
      <c r="AI4797" s="3"/>
      <c r="AJ4797" s="3"/>
      <c r="AM4797" s="58"/>
    </row>
    <row r="4798" spans="3:46" s="6" customFormat="1" ht="11.25" customHeight="1">
      <c r="C4798" s="4"/>
      <c r="D4798" s="4"/>
      <c r="E4798" s="5"/>
      <c r="G4798" s="31"/>
      <c r="I4798" s="9"/>
      <c r="J4798" s="24"/>
      <c r="K4798" s="9"/>
      <c r="L4798" s="25"/>
      <c r="M4798" s="7"/>
      <c r="N4798" s="471"/>
      <c r="O4798" s="11"/>
      <c r="P4798" s="11"/>
      <c r="Q4798" s="8"/>
      <c r="S4798" s="3"/>
      <c r="T4798" s="3"/>
      <c r="U4798" s="7"/>
      <c r="V4798" s="436"/>
      <c r="X4798" s="8"/>
      <c r="Y4798" s="8"/>
      <c r="AH4798" s="3"/>
      <c r="AI4798" s="3"/>
      <c r="AJ4798" s="3"/>
    </row>
    <row r="4799" spans="3:46" s="6" customFormat="1" ht="11.25" customHeight="1">
      <c r="C4799" s="4"/>
      <c r="D4799" s="4"/>
      <c r="E4799" s="5"/>
      <c r="G4799" s="31"/>
      <c r="I4799" s="9"/>
      <c r="J4799" s="24"/>
      <c r="K4799" s="9"/>
      <c r="L4799" s="25"/>
      <c r="M4799" s="7"/>
      <c r="N4799" s="8"/>
      <c r="O4799" s="11"/>
      <c r="P4799" s="11"/>
      <c r="Q4799" s="8"/>
      <c r="S4799" s="3"/>
      <c r="T4799" s="3"/>
      <c r="U4799" s="7"/>
      <c r="V4799" s="436"/>
      <c r="X4799" s="8"/>
      <c r="Y4799" s="8"/>
      <c r="AH4799" s="3"/>
      <c r="AI4799" s="3"/>
      <c r="AJ4799" s="3"/>
    </row>
    <row r="4800" spans="3:46" s="6" customFormat="1" ht="11.25" customHeight="1">
      <c r="C4800" s="4"/>
      <c r="D4800" s="4"/>
      <c r="E4800" s="5"/>
      <c r="G4800" s="31"/>
      <c r="I4800" s="9"/>
      <c r="J4800" s="24"/>
      <c r="K4800" s="9"/>
      <c r="L4800" s="25"/>
      <c r="M4800" s="7"/>
      <c r="N4800" s="8"/>
      <c r="O4800" s="11"/>
      <c r="P4800" s="11"/>
      <c r="Q4800" s="8"/>
      <c r="S4800" s="3"/>
      <c r="T4800" s="3"/>
      <c r="U4800" s="7"/>
      <c r="V4800" s="436"/>
      <c r="X4800" s="8"/>
      <c r="Y4800" s="8"/>
      <c r="AH4800" s="3"/>
      <c r="AI4800" s="3"/>
      <c r="AJ4800" s="3"/>
    </row>
    <row r="4801" spans="3:36" s="6" customFormat="1" ht="11.25" customHeight="1">
      <c r="C4801" s="4"/>
      <c r="D4801" s="4"/>
      <c r="E4801" s="5"/>
      <c r="G4801" s="31"/>
      <c r="I4801" s="9"/>
      <c r="J4801" s="24"/>
      <c r="K4801" s="9"/>
      <c r="L4801" s="25"/>
      <c r="M4801" s="7"/>
      <c r="N4801" s="8"/>
      <c r="O4801" s="11"/>
      <c r="P4801" s="11"/>
      <c r="Q4801" s="8"/>
      <c r="S4801" s="3"/>
      <c r="T4801" s="3"/>
      <c r="U4801" s="7"/>
      <c r="V4801" s="436"/>
      <c r="X4801" s="8"/>
      <c r="Y4801" s="8"/>
      <c r="AH4801" s="3"/>
      <c r="AI4801" s="3"/>
      <c r="AJ4801" s="3"/>
    </row>
    <row r="4802" spans="3:36" s="6" customFormat="1" ht="11.25" customHeight="1">
      <c r="C4802" s="4"/>
      <c r="D4802" s="4"/>
      <c r="E4802" s="5"/>
      <c r="G4802" s="31"/>
      <c r="I4802" s="9"/>
      <c r="J4802" s="24"/>
      <c r="K4802" s="9"/>
      <c r="L4802" s="25"/>
      <c r="M4802" s="7"/>
      <c r="N4802" s="8"/>
      <c r="O4802" s="11"/>
      <c r="P4802" s="11"/>
      <c r="Q4802" s="8"/>
      <c r="S4802" s="3"/>
      <c r="T4802" s="3"/>
      <c r="U4802" s="7"/>
      <c r="V4802" s="436"/>
      <c r="X4802" s="8"/>
      <c r="Y4802" s="8"/>
      <c r="AH4802" s="3"/>
      <c r="AI4802" s="3"/>
      <c r="AJ4802" s="3"/>
    </row>
    <row r="4803" spans="3:36" s="6" customFormat="1" ht="11.25" customHeight="1">
      <c r="C4803" s="4"/>
      <c r="D4803" s="4"/>
      <c r="E4803" s="5"/>
      <c r="G4803" s="31"/>
      <c r="I4803" s="9"/>
      <c r="J4803" s="24"/>
      <c r="K4803" s="9"/>
      <c r="L4803" s="25"/>
      <c r="M4803" s="7"/>
      <c r="N4803" s="8"/>
      <c r="O4803" s="11"/>
      <c r="P4803" s="11"/>
      <c r="Q4803" s="8"/>
      <c r="S4803" s="3"/>
      <c r="T4803" s="3"/>
      <c r="U4803" s="7"/>
      <c r="V4803" s="436"/>
      <c r="X4803" s="8"/>
      <c r="Y4803" s="8"/>
      <c r="AH4803" s="3"/>
      <c r="AI4803" s="3"/>
      <c r="AJ4803" s="3"/>
    </row>
    <row r="4804" spans="3:36" s="6" customFormat="1" ht="11.25" customHeight="1">
      <c r="C4804" s="4"/>
      <c r="D4804" s="4"/>
      <c r="E4804" s="5"/>
      <c r="G4804" s="31"/>
      <c r="I4804" s="9"/>
      <c r="J4804" s="24"/>
      <c r="K4804" s="9"/>
      <c r="L4804" s="25"/>
      <c r="M4804" s="7"/>
      <c r="N4804" s="8"/>
      <c r="O4804" s="11"/>
      <c r="P4804" s="11"/>
      <c r="Q4804" s="8"/>
      <c r="S4804" s="3"/>
      <c r="T4804" s="3"/>
      <c r="U4804" s="7"/>
      <c r="V4804" s="436"/>
      <c r="X4804" s="8"/>
      <c r="Y4804" s="8"/>
      <c r="AH4804" s="3"/>
      <c r="AI4804" s="3"/>
      <c r="AJ4804" s="3"/>
    </row>
    <row r="4805" spans="3:36" s="6" customFormat="1" ht="11.25" customHeight="1">
      <c r="C4805" s="4"/>
      <c r="D4805" s="4"/>
      <c r="E4805" s="5"/>
      <c r="G4805" s="31"/>
      <c r="I4805" s="9"/>
      <c r="J4805" s="24"/>
      <c r="K4805" s="9"/>
      <c r="L4805" s="25"/>
      <c r="M4805" s="7"/>
      <c r="N4805" s="8"/>
      <c r="O4805" s="11"/>
      <c r="P4805" s="11"/>
      <c r="Q4805" s="8"/>
      <c r="S4805" s="3"/>
      <c r="T4805" s="3"/>
      <c r="U4805" s="7"/>
      <c r="V4805" s="436"/>
      <c r="X4805" s="8"/>
      <c r="Y4805" s="8"/>
      <c r="AH4805" s="3"/>
      <c r="AI4805" s="3"/>
      <c r="AJ4805" s="3"/>
    </row>
    <row r="4806" spans="3:36" s="6" customFormat="1" ht="11.25" customHeight="1">
      <c r="C4806" s="4"/>
      <c r="D4806" s="4"/>
      <c r="E4806" s="5"/>
      <c r="G4806" s="31"/>
      <c r="I4806" s="9"/>
      <c r="J4806" s="24"/>
      <c r="K4806" s="9"/>
      <c r="L4806" s="25"/>
      <c r="M4806" s="7"/>
      <c r="N4806" s="8"/>
      <c r="O4806" s="11"/>
      <c r="P4806" s="11"/>
      <c r="Q4806" s="8"/>
      <c r="S4806" s="3"/>
      <c r="T4806" s="3"/>
      <c r="U4806" s="7"/>
      <c r="V4806" s="436"/>
      <c r="X4806" s="8"/>
      <c r="Y4806" s="8"/>
      <c r="AH4806" s="3"/>
      <c r="AI4806" s="3"/>
      <c r="AJ4806" s="3"/>
    </row>
    <row r="4807" spans="3:36" s="6" customFormat="1" ht="11.25" customHeight="1">
      <c r="C4807" s="4"/>
      <c r="D4807" s="4"/>
      <c r="E4807" s="5"/>
      <c r="G4807" s="31"/>
      <c r="I4807" s="9"/>
      <c r="J4807" s="24"/>
      <c r="K4807" s="9"/>
      <c r="L4807" s="25"/>
      <c r="M4807" s="7"/>
      <c r="N4807" s="8"/>
      <c r="O4807" s="11"/>
      <c r="P4807" s="11"/>
      <c r="Q4807" s="8"/>
      <c r="S4807" s="3"/>
      <c r="T4807" s="3"/>
      <c r="U4807" s="7"/>
      <c r="V4807" s="436"/>
      <c r="X4807" s="8"/>
      <c r="Y4807" s="8"/>
      <c r="AH4807" s="3"/>
      <c r="AI4807" s="3"/>
      <c r="AJ4807" s="3"/>
    </row>
    <row r="4808" spans="3:36" s="6" customFormat="1" ht="11.25" customHeight="1">
      <c r="C4808" s="4"/>
      <c r="D4808" s="4"/>
      <c r="E4808" s="5"/>
      <c r="G4808" s="31"/>
      <c r="I4808" s="9"/>
      <c r="J4808" s="24"/>
      <c r="K4808" s="9"/>
      <c r="L4808" s="25"/>
      <c r="M4808" s="7"/>
      <c r="N4808" s="8"/>
      <c r="O4808" s="11"/>
      <c r="P4808" s="11"/>
      <c r="Q4808" s="8"/>
      <c r="S4808" s="3"/>
      <c r="T4808" s="3"/>
      <c r="U4808" s="7"/>
      <c r="V4808" s="436"/>
      <c r="X4808" s="8"/>
      <c r="Y4808" s="8"/>
      <c r="AH4808" s="3"/>
      <c r="AI4808" s="3"/>
      <c r="AJ4808" s="3"/>
    </row>
    <row r="4809" spans="3:36" s="6" customFormat="1" ht="11.25" customHeight="1">
      <c r="C4809" s="4"/>
      <c r="D4809" s="4"/>
      <c r="E4809" s="5"/>
      <c r="G4809" s="31"/>
      <c r="I4809" s="9"/>
      <c r="J4809" s="24"/>
      <c r="K4809" s="9"/>
      <c r="L4809" s="25"/>
      <c r="M4809" s="7"/>
      <c r="N4809" s="8"/>
      <c r="O4809" s="11"/>
      <c r="P4809" s="11"/>
      <c r="Q4809" s="8"/>
      <c r="S4809" s="3"/>
      <c r="T4809" s="3"/>
      <c r="U4809" s="7"/>
      <c r="V4809" s="436"/>
      <c r="X4809" s="8"/>
      <c r="Y4809" s="8"/>
      <c r="AH4809" s="3"/>
      <c r="AI4809" s="3"/>
      <c r="AJ4809" s="3"/>
    </row>
    <row r="4810" spans="3:36" s="6" customFormat="1" ht="11.25" customHeight="1">
      <c r="C4810" s="4"/>
      <c r="D4810" s="4"/>
      <c r="E4810" s="5"/>
      <c r="G4810" s="31"/>
      <c r="I4810" s="9"/>
      <c r="J4810" s="24"/>
      <c r="K4810" s="9"/>
      <c r="L4810" s="25"/>
      <c r="M4810" s="7"/>
      <c r="N4810" s="8"/>
      <c r="O4810" s="11"/>
      <c r="P4810" s="11"/>
      <c r="Q4810" s="8"/>
      <c r="S4810" s="3"/>
      <c r="T4810" s="3"/>
      <c r="U4810" s="7"/>
      <c r="V4810" s="436"/>
      <c r="X4810" s="8"/>
      <c r="Y4810" s="8"/>
      <c r="AH4810" s="3"/>
      <c r="AI4810" s="3"/>
      <c r="AJ4810" s="3"/>
    </row>
    <row r="4811" spans="3:36" s="6" customFormat="1" ht="11.25" customHeight="1">
      <c r="C4811" s="4"/>
      <c r="D4811" s="4"/>
      <c r="E4811" s="5"/>
      <c r="G4811" s="31"/>
      <c r="I4811" s="9"/>
      <c r="J4811" s="24"/>
      <c r="K4811" s="9"/>
      <c r="L4811" s="25"/>
      <c r="M4811" s="7"/>
      <c r="N4811" s="8"/>
      <c r="O4811" s="11"/>
      <c r="P4811" s="11"/>
      <c r="Q4811" s="8"/>
      <c r="S4811" s="3"/>
      <c r="T4811" s="3"/>
      <c r="U4811" s="7"/>
      <c r="V4811" s="436"/>
      <c r="X4811" s="8"/>
      <c r="Y4811" s="8"/>
      <c r="AH4811" s="3"/>
      <c r="AI4811" s="3"/>
      <c r="AJ4811" s="3"/>
    </row>
    <row r="4812" spans="3:36" s="6" customFormat="1" ht="11.25" customHeight="1">
      <c r="C4812" s="4"/>
      <c r="D4812" s="4"/>
      <c r="E4812" s="5"/>
      <c r="G4812" s="31"/>
      <c r="I4812" s="9"/>
      <c r="J4812" s="24"/>
      <c r="K4812" s="9"/>
      <c r="L4812" s="25"/>
      <c r="M4812" s="7"/>
      <c r="N4812" s="8"/>
      <c r="O4812" s="11"/>
      <c r="P4812" s="11"/>
      <c r="Q4812" s="8"/>
      <c r="S4812" s="3"/>
      <c r="T4812" s="3"/>
      <c r="U4812" s="7"/>
      <c r="V4812" s="436"/>
      <c r="X4812" s="8"/>
      <c r="Y4812" s="8"/>
      <c r="AH4812" s="3"/>
      <c r="AI4812" s="3"/>
      <c r="AJ4812" s="3"/>
    </row>
    <row r="4813" spans="3:36" s="6" customFormat="1" ht="11.25" customHeight="1">
      <c r="C4813" s="4"/>
      <c r="D4813" s="4"/>
      <c r="E4813" s="5"/>
      <c r="G4813" s="31"/>
      <c r="I4813" s="9"/>
      <c r="J4813" s="24"/>
      <c r="K4813" s="9"/>
      <c r="L4813" s="25"/>
      <c r="M4813" s="7"/>
      <c r="N4813" s="8"/>
      <c r="O4813" s="11"/>
      <c r="P4813" s="11"/>
      <c r="Q4813" s="8"/>
      <c r="S4813" s="3"/>
      <c r="T4813" s="3"/>
      <c r="U4813" s="7"/>
      <c r="V4813" s="436"/>
      <c r="X4813" s="8"/>
      <c r="Y4813" s="8"/>
      <c r="AH4813" s="3"/>
      <c r="AI4813" s="3"/>
      <c r="AJ4813" s="3"/>
    </row>
    <row r="4814" spans="3:36" s="6" customFormat="1" ht="11.25" customHeight="1">
      <c r="C4814" s="4"/>
      <c r="D4814" s="4"/>
      <c r="E4814" s="5"/>
      <c r="G4814" s="31"/>
      <c r="I4814" s="9"/>
      <c r="J4814" s="24"/>
      <c r="K4814" s="9"/>
      <c r="L4814" s="25"/>
      <c r="M4814" s="7"/>
      <c r="N4814" s="8"/>
      <c r="O4814" s="11"/>
      <c r="P4814" s="11"/>
      <c r="Q4814" s="8"/>
      <c r="S4814" s="3"/>
      <c r="T4814" s="3"/>
      <c r="U4814" s="7"/>
      <c r="V4814" s="436"/>
      <c r="X4814" s="8"/>
      <c r="Y4814" s="8"/>
      <c r="AH4814" s="3"/>
      <c r="AI4814" s="3"/>
      <c r="AJ4814" s="3"/>
    </row>
    <row r="4815" spans="3:36" s="6" customFormat="1" ht="11.25" customHeight="1">
      <c r="C4815" s="4"/>
      <c r="D4815" s="4"/>
      <c r="E4815" s="5"/>
      <c r="G4815" s="31"/>
      <c r="I4815" s="9"/>
      <c r="J4815" s="24"/>
      <c r="K4815" s="9"/>
      <c r="L4815" s="25"/>
      <c r="M4815" s="7"/>
      <c r="N4815" s="8"/>
      <c r="O4815" s="11"/>
      <c r="P4815" s="11"/>
      <c r="Q4815" s="8"/>
      <c r="S4815" s="3"/>
      <c r="T4815" s="3"/>
      <c r="U4815" s="7"/>
      <c r="V4815" s="436"/>
      <c r="X4815" s="8"/>
      <c r="Y4815" s="8"/>
      <c r="AH4815" s="3"/>
      <c r="AI4815" s="3"/>
      <c r="AJ4815" s="3"/>
    </row>
    <row r="4816" spans="3:36" s="6" customFormat="1" ht="11.25" customHeight="1">
      <c r="C4816" s="4"/>
      <c r="D4816" s="4"/>
      <c r="E4816" s="5"/>
      <c r="G4816" s="31"/>
      <c r="I4816" s="9"/>
      <c r="J4816" s="24"/>
      <c r="K4816" s="9"/>
      <c r="L4816" s="25"/>
      <c r="M4816" s="7"/>
      <c r="N4816" s="8"/>
      <c r="O4816" s="11"/>
      <c r="P4816" s="11"/>
      <c r="Q4816" s="8"/>
      <c r="S4816" s="3"/>
      <c r="T4816" s="3"/>
      <c r="U4816" s="7"/>
      <c r="V4816" s="436"/>
      <c r="X4816" s="8"/>
      <c r="Y4816" s="8"/>
      <c r="AH4816" s="3"/>
      <c r="AI4816" s="3"/>
      <c r="AJ4816" s="3"/>
    </row>
    <row r="4817" spans="3:36" s="6" customFormat="1" ht="11.25" customHeight="1">
      <c r="C4817" s="4"/>
      <c r="D4817" s="4"/>
      <c r="E4817" s="5"/>
      <c r="G4817" s="31"/>
      <c r="I4817" s="9"/>
      <c r="J4817" s="24"/>
      <c r="K4817" s="9"/>
      <c r="L4817" s="25"/>
      <c r="M4817" s="7"/>
      <c r="N4817" s="8"/>
      <c r="O4817" s="11"/>
      <c r="P4817" s="11"/>
      <c r="Q4817" s="8"/>
      <c r="S4817" s="3"/>
      <c r="T4817" s="3"/>
      <c r="U4817" s="7"/>
      <c r="V4817" s="436"/>
      <c r="X4817" s="8"/>
      <c r="Y4817" s="8"/>
      <c r="AH4817" s="3"/>
      <c r="AI4817" s="3"/>
      <c r="AJ4817" s="3"/>
    </row>
    <row r="4818" spans="3:36" s="6" customFormat="1" ht="11.25" customHeight="1">
      <c r="C4818" s="4"/>
      <c r="D4818" s="4"/>
      <c r="E4818" s="5"/>
      <c r="G4818" s="31"/>
      <c r="I4818" s="9"/>
      <c r="J4818" s="24"/>
      <c r="K4818" s="9"/>
      <c r="L4818" s="25"/>
      <c r="M4818" s="7"/>
      <c r="N4818" s="8"/>
      <c r="O4818" s="11"/>
      <c r="P4818" s="11"/>
      <c r="Q4818" s="8"/>
      <c r="S4818" s="3"/>
      <c r="T4818" s="3"/>
      <c r="U4818" s="7"/>
      <c r="V4818" s="436"/>
      <c r="X4818" s="8"/>
      <c r="Y4818" s="8"/>
      <c r="AH4818" s="3"/>
      <c r="AI4818" s="3"/>
      <c r="AJ4818" s="3"/>
    </row>
    <row r="4819" spans="3:36" s="6" customFormat="1" ht="11.25" customHeight="1">
      <c r="C4819" s="4"/>
      <c r="D4819" s="4"/>
      <c r="E4819" s="5"/>
      <c r="G4819" s="31"/>
      <c r="I4819" s="9"/>
      <c r="J4819" s="24"/>
      <c r="K4819" s="9"/>
      <c r="L4819" s="25"/>
      <c r="M4819" s="7"/>
      <c r="N4819" s="8"/>
      <c r="O4819" s="11"/>
      <c r="P4819" s="11"/>
      <c r="Q4819" s="8"/>
      <c r="S4819" s="3"/>
      <c r="T4819" s="3"/>
      <c r="U4819" s="7"/>
      <c r="V4819" s="436"/>
      <c r="X4819" s="8"/>
      <c r="Y4819" s="8"/>
      <c r="AH4819" s="3"/>
      <c r="AI4819" s="3"/>
      <c r="AJ4819" s="3"/>
    </row>
    <row r="4820" spans="3:36" s="6" customFormat="1" ht="11.25" customHeight="1">
      <c r="C4820" s="4"/>
      <c r="D4820" s="4"/>
      <c r="E4820" s="5"/>
      <c r="G4820" s="31"/>
      <c r="I4820" s="9"/>
      <c r="J4820" s="24"/>
      <c r="K4820" s="9"/>
      <c r="L4820" s="25"/>
      <c r="M4820" s="7"/>
      <c r="N4820" s="8"/>
      <c r="O4820" s="11"/>
      <c r="P4820" s="11"/>
      <c r="Q4820" s="8"/>
      <c r="S4820" s="3"/>
      <c r="T4820" s="3"/>
      <c r="U4820" s="7"/>
      <c r="V4820" s="436"/>
      <c r="X4820" s="8"/>
      <c r="Y4820" s="8"/>
      <c r="AH4820" s="3"/>
      <c r="AI4820" s="3"/>
      <c r="AJ4820" s="3"/>
    </row>
    <row r="4821" spans="3:36" s="6" customFormat="1" ht="11.25" customHeight="1">
      <c r="C4821" s="4"/>
      <c r="D4821" s="4"/>
      <c r="E4821" s="5"/>
      <c r="G4821" s="31"/>
      <c r="I4821" s="9"/>
      <c r="J4821" s="24"/>
      <c r="K4821" s="9"/>
      <c r="L4821" s="25"/>
      <c r="M4821" s="7"/>
      <c r="N4821" s="8"/>
      <c r="O4821" s="11"/>
      <c r="P4821" s="11"/>
      <c r="Q4821" s="8"/>
      <c r="S4821" s="3"/>
      <c r="T4821" s="3"/>
      <c r="U4821" s="7"/>
      <c r="V4821" s="436"/>
      <c r="X4821" s="8"/>
      <c r="Y4821" s="8"/>
      <c r="AH4821" s="3"/>
      <c r="AI4821" s="3"/>
      <c r="AJ4821" s="3"/>
    </row>
    <row r="4822" spans="3:36" s="6" customFormat="1" ht="11.25" customHeight="1">
      <c r="C4822" s="4"/>
      <c r="D4822" s="4"/>
      <c r="E4822" s="5"/>
      <c r="G4822" s="31"/>
      <c r="I4822" s="9"/>
      <c r="J4822" s="24"/>
      <c r="K4822" s="9"/>
      <c r="L4822" s="25"/>
      <c r="M4822" s="7"/>
      <c r="N4822" s="8"/>
      <c r="O4822" s="11"/>
      <c r="P4822" s="11"/>
      <c r="Q4822" s="8"/>
      <c r="S4822" s="3"/>
      <c r="T4822" s="3"/>
      <c r="U4822" s="7"/>
      <c r="V4822" s="436"/>
      <c r="X4822" s="8"/>
      <c r="Y4822" s="8"/>
      <c r="AH4822" s="3"/>
      <c r="AI4822" s="3"/>
      <c r="AJ4822" s="3"/>
    </row>
    <row r="4823" spans="3:36" s="6" customFormat="1" ht="11">
      <c r="C4823" s="4"/>
      <c r="D4823" s="4"/>
      <c r="E4823" s="5"/>
      <c r="G4823" s="31"/>
      <c r="I4823" s="9"/>
      <c r="J4823" s="24"/>
      <c r="K4823" s="9"/>
      <c r="L4823" s="25"/>
      <c r="M4823" s="7"/>
      <c r="N4823" s="8"/>
      <c r="O4823" s="11"/>
      <c r="P4823" s="11"/>
      <c r="Q4823" s="8"/>
      <c r="S4823" s="3"/>
      <c r="T4823" s="3"/>
      <c r="U4823" s="7"/>
      <c r="V4823" s="436"/>
      <c r="X4823" s="8"/>
      <c r="Y4823" s="8"/>
      <c r="AH4823" s="3"/>
      <c r="AI4823" s="3"/>
      <c r="AJ4823" s="3"/>
    </row>
    <row r="4824" spans="3:36" s="6" customFormat="1" ht="11.25" customHeight="1">
      <c r="C4824" s="4"/>
      <c r="D4824" s="4"/>
      <c r="E4824" s="5"/>
      <c r="G4824" s="31"/>
      <c r="I4824" s="9"/>
      <c r="J4824" s="24"/>
      <c r="K4824" s="9"/>
      <c r="L4824" s="25"/>
      <c r="M4824" s="7"/>
      <c r="N4824" s="8"/>
      <c r="O4824" s="11"/>
      <c r="P4824" s="11"/>
      <c r="Q4824" s="8"/>
      <c r="S4824" s="3"/>
      <c r="T4824" s="3"/>
      <c r="U4824" s="7"/>
      <c r="V4824" s="436"/>
      <c r="X4824" s="8"/>
      <c r="Y4824" s="8"/>
      <c r="AH4824" s="3"/>
      <c r="AI4824" s="3"/>
      <c r="AJ4824" s="3"/>
    </row>
    <row r="4825" spans="3:36" s="6" customFormat="1" ht="11.25" customHeight="1">
      <c r="C4825" s="4"/>
      <c r="D4825" s="4"/>
      <c r="E4825" s="5"/>
      <c r="G4825" s="31"/>
      <c r="I4825" s="9"/>
      <c r="J4825" s="24"/>
      <c r="K4825" s="9"/>
      <c r="L4825" s="25"/>
      <c r="M4825" s="7"/>
      <c r="N4825" s="8"/>
      <c r="O4825" s="11"/>
      <c r="P4825" s="11"/>
      <c r="Q4825" s="8"/>
      <c r="S4825" s="3"/>
      <c r="T4825" s="3"/>
      <c r="U4825" s="7"/>
      <c r="V4825" s="436"/>
      <c r="X4825" s="8"/>
      <c r="Y4825" s="8"/>
      <c r="AH4825" s="3"/>
      <c r="AI4825" s="3"/>
      <c r="AJ4825" s="3"/>
    </row>
    <row r="4826" spans="3:36" s="6" customFormat="1" ht="11.25" customHeight="1">
      <c r="C4826" s="4"/>
      <c r="D4826" s="4"/>
      <c r="E4826" s="5"/>
      <c r="G4826" s="31"/>
      <c r="I4826" s="9"/>
      <c r="J4826" s="24"/>
      <c r="K4826" s="9"/>
      <c r="L4826" s="25"/>
      <c r="M4826" s="7"/>
      <c r="N4826" s="8"/>
      <c r="O4826" s="11"/>
      <c r="P4826" s="11"/>
      <c r="Q4826" s="8"/>
      <c r="S4826" s="3"/>
      <c r="T4826" s="3"/>
      <c r="U4826" s="7"/>
      <c r="V4826" s="436"/>
      <c r="X4826" s="8"/>
      <c r="Y4826" s="8"/>
      <c r="AH4826" s="3"/>
      <c r="AI4826" s="3"/>
      <c r="AJ4826" s="3"/>
    </row>
    <row r="4827" spans="3:36" s="6" customFormat="1" ht="11.25" customHeight="1">
      <c r="C4827" s="4"/>
      <c r="D4827" s="4"/>
      <c r="E4827" s="5"/>
      <c r="G4827" s="31"/>
      <c r="I4827" s="9"/>
      <c r="J4827" s="24"/>
      <c r="K4827" s="9"/>
      <c r="L4827" s="25"/>
      <c r="M4827" s="7"/>
      <c r="N4827" s="8"/>
      <c r="O4827" s="11"/>
      <c r="P4827" s="11"/>
      <c r="Q4827" s="8"/>
      <c r="S4827" s="3"/>
      <c r="T4827" s="3"/>
      <c r="U4827" s="7"/>
      <c r="V4827" s="436"/>
      <c r="X4827" s="8"/>
      <c r="Y4827" s="8"/>
      <c r="AH4827" s="3"/>
      <c r="AI4827" s="3"/>
      <c r="AJ4827" s="3"/>
    </row>
    <row r="4828" spans="3:36" s="6" customFormat="1" ht="11.25" customHeight="1">
      <c r="C4828" s="4"/>
      <c r="D4828" s="4"/>
      <c r="E4828" s="5"/>
      <c r="G4828" s="31"/>
      <c r="I4828" s="9"/>
      <c r="J4828" s="24"/>
      <c r="K4828" s="9"/>
      <c r="L4828" s="25"/>
      <c r="M4828" s="7"/>
      <c r="N4828" s="8"/>
      <c r="O4828" s="11"/>
      <c r="P4828" s="11"/>
      <c r="Q4828" s="8"/>
      <c r="S4828" s="3"/>
      <c r="T4828" s="3"/>
      <c r="U4828" s="7"/>
      <c r="V4828" s="436"/>
      <c r="X4828" s="8"/>
      <c r="Y4828" s="8"/>
      <c r="AH4828" s="3"/>
      <c r="AI4828" s="3"/>
      <c r="AJ4828" s="3"/>
    </row>
    <row r="4829" spans="3:36" s="6" customFormat="1" ht="11.25" customHeight="1">
      <c r="C4829" s="4"/>
      <c r="D4829" s="4"/>
      <c r="E4829" s="5"/>
      <c r="G4829" s="31"/>
      <c r="I4829" s="9"/>
      <c r="J4829" s="24"/>
      <c r="K4829" s="9"/>
      <c r="L4829" s="25"/>
      <c r="M4829" s="7"/>
      <c r="N4829" s="8"/>
      <c r="O4829" s="11"/>
      <c r="P4829" s="11"/>
      <c r="Q4829" s="8"/>
      <c r="S4829" s="3"/>
      <c r="T4829" s="3"/>
      <c r="U4829" s="7"/>
      <c r="V4829" s="436"/>
      <c r="X4829" s="8"/>
      <c r="Y4829" s="8"/>
      <c r="AH4829" s="3"/>
      <c r="AI4829" s="3"/>
      <c r="AJ4829" s="3"/>
    </row>
    <row r="4830" spans="3:36" s="6" customFormat="1" ht="11.25" customHeight="1">
      <c r="C4830" s="4"/>
      <c r="D4830" s="4"/>
      <c r="E4830" s="5"/>
      <c r="G4830" s="31"/>
      <c r="I4830" s="9"/>
      <c r="J4830" s="24"/>
      <c r="K4830" s="9"/>
      <c r="L4830" s="25"/>
      <c r="M4830" s="7"/>
      <c r="N4830" s="8"/>
      <c r="O4830" s="11"/>
      <c r="P4830" s="11"/>
      <c r="Q4830" s="8"/>
      <c r="S4830" s="3"/>
      <c r="T4830" s="3"/>
      <c r="U4830" s="7"/>
      <c r="V4830" s="436"/>
      <c r="X4830" s="8"/>
      <c r="Y4830" s="8"/>
      <c r="AH4830" s="3"/>
      <c r="AI4830" s="3"/>
      <c r="AJ4830" s="3"/>
    </row>
    <row r="4831" spans="3:36" s="6" customFormat="1" ht="11.25" customHeight="1">
      <c r="C4831" s="4"/>
      <c r="D4831" s="4"/>
      <c r="E4831" s="5"/>
      <c r="G4831" s="31"/>
      <c r="I4831" s="9"/>
      <c r="J4831" s="24"/>
      <c r="K4831" s="9"/>
      <c r="L4831" s="25"/>
      <c r="M4831" s="7"/>
      <c r="N4831" s="8"/>
      <c r="O4831" s="11"/>
      <c r="P4831" s="11"/>
      <c r="Q4831" s="8"/>
      <c r="S4831" s="3"/>
      <c r="T4831" s="3"/>
      <c r="U4831" s="7"/>
      <c r="V4831" s="436"/>
      <c r="X4831" s="8"/>
      <c r="Y4831" s="8"/>
      <c r="AH4831" s="3"/>
      <c r="AI4831" s="3"/>
      <c r="AJ4831" s="3"/>
    </row>
    <row r="4832" spans="3:36" s="6" customFormat="1" ht="11.25" customHeight="1">
      <c r="C4832" s="4"/>
      <c r="D4832" s="4"/>
      <c r="E4832" s="5"/>
      <c r="G4832" s="31"/>
      <c r="I4832" s="9"/>
      <c r="J4832" s="24"/>
      <c r="K4832" s="9"/>
      <c r="L4832" s="25"/>
      <c r="M4832" s="7"/>
      <c r="N4832" s="8"/>
      <c r="O4832" s="11"/>
      <c r="P4832" s="11"/>
      <c r="Q4832" s="8"/>
      <c r="S4832" s="3"/>
      <c r="T4832" s="3"/>
      <c r="U4832" s="7"/>
      <c r="V4832" s="436"/>
      <c r="X4832" s="8"/>
      <c r="Y4832" s="8"/>
      <c r="AH4832" s="3"/>
      <c r="AI4832" s="3"/>
      <c r="AJ4832" s="3"/>
    </row>
    <row r="4833" spans="3:36" s="6" customFormat="1" ht="11.25" customHeight="1">
      <c r="C4833" s="4"/>
      <c r="D4833" s="4"/>
      <c r="E4833" s="5"/>
      <c r="G4833" s="31"/>
      <c r="I4833" s="9"/>
      <c r="J4833" s="24"/>
      <c r="K4833" s="9"/>
      <c r="L4833" s="25"/>
      <c r="M4833" s="7"/>
      <c r="N4833" s="8"/>
      <c r="O4833" s="11"/>
      <c r="P4833" s="11"/>
      <c r="Q4833" s="8"/>
      <c r="S4833" s="3"/>
      <c r="T4833" s="3"/>
      <c r="U4833" s="7"/>
      <c r="V4833" s="436"/>
      <c r="X4833" s="8"/>
      <c r="Y4833" s="8"/>
      <c r="AH4833" s="3"/>
      <c r="AI4833" s="3"/>
      <c r="AJ4833" s="3"/>
    </row>
    <row r="4834" spans="3:36" s="6" customFormat="1" ht="11.25" customHeight="1">
      <c r="C4834" s="4"/>
      <c r="D4834" s="4"/>
      <c r="E4834" s="5"/>
      <c r="G4834" s="31"/>
      <c r="I4834" s="9"/>
      <c r="J4834" s="24"/>
      <c r="K4834" s="9"/>
      <c r="L4834" s="25"/>
      <c r="M4834" s="7"/>
      <c r="N4834" s="8"/>
      <c r="O4834" s="11"/>
      <c r="P4834" s="11"/>
      <c r="Q4834" s="8"/>
      <c r="S4834" s="3"/>
      <c r="T4834" s="3"/>
      <c r="U4834" s="7"/>
      <c r="V4834" s="436"/>
      <c r="X4834" s="8"/>
      <c r="Y4834" s="8"/>
      <c r="AH4834" s="3"/>
      <c r="AI4834" s="3"/>
      <c r="AJ4834" s="3"/>
    </row>
    <row r="4835" spans="3:36" s="6" customFormat="1" ht="11.25" customHeight="1">
      <c r="C4835" s="4"/>
      <c r="D4835" s="4"/>
      <c r="E4835" s="5"/>
      <c r="G4835" s="31"/>
      <c r="I4835" s="9"/>
      <c r="J4835" s="24"/>
      <c r="K4835" s="9"/>
      <c r="L4835" s="25"/>
      <c r="M4835" s="7"/>
      <c r="N4835" s="8"/>
      <c r="O4835" s="11"/>
      <c r="P4835" s="11"/>
      <c r="Q4835" s="8"/>
      <c r="S4835" s="3"/>
      <c r="T4835" s="3"/>
      <c r="U4835" s="7"/>
      <c r="V4835" s="436"/>
      <c r="X4835" s="8"/>
      <c r="Y4835" s="8"/>
      <c r="AH4835" s="3"/>
      <c r="AI4835" s="3"/>
      <c r="AJ4835" s="3"/>
    </row>
    <row r="4836" spans="3:36" s="6" customFormat="1" ht="11.25" customHeight="1">
      <c r="C4836" s="4"/>
      <c r="D4836" s="4"/>
      <c r="E4836" s="5"/>
      <c r="G4836" s="31"/>
      <c r="I4836" s="9"/>
      <c r="J4836" s="24"/>
      <c r="K4836" s="9"/>
      <c r="L4836" s="25"/>
      <c r="M4836" s="7"/>
      <c r="N4836" s="8"/>
      <c r="O4836" s="11"/>
      <c r="P4836" s="11"/>
      <c r="Q4836" s="8"/>
      <c r="S4836" s="3"/>
      <c r="T4836" s="3"/>
      <c r="U4836" s="7"/>
      <c r="V4836" s="436"/>
      <c r="X4836" s="8"/>
      <c r="Y4836" s="8"/>
      <c r="AH4836" s="3"/>
      <c r="AI4836" s="3"/>
      <c r="AJ4836" s="3"/>
    </row>
    <row r="4837" spans="3:36" s="6" customFormat="1" ht="11.25" customHeight="1">
      <c r="C4837" s="4"/>
      <c r="D4837" s="4"/>
      <c r="E4837" s="5"/>
      <c r="G4837" s="31"/>
      <c r="I4837" s="9"/>
      <c r="J4837" s="24"/>
      <c r="K4837" s="9"/>
      <c r="L4837" s="25"/>
      <c r="M4837" s="7"/>
      <c r="N4837" s="8"/>
      <c r="O4837" s="11"/>
      <c r="P4837" s="11"/>
      <c r="Q4837" s="8"/>
      <c r="S4837" s="3"/>
      <c r="T4837" s="3"/>
      <c r="U4837" s="7"/>
      <c r="V4837" s="436"/>
      <c r="X4837" s="8"/>
      <c r="Y4837" s="8"/>
      <c r="AH4837" s="3"/>
      <c r="AI4837" s="3"/>
      <c r="AJ4837" s="3"/>
    </row>
    <row r="4838" spans="3:36" s="6" customFormat="1" ht="11.25" customHeight="1">
      <c r="C4838" s="4"/>
      <c r="D4838" s="4"/>
      <c r="E4838" s="5"/>
      <c r="G4838" s="31"/>
      <c r="I4838" s="9"/>
      <c r="J4838" s="24"/>
      <c r="K4838" s="9"/>
      <c r="L4838" s="25"/>
      <c r="M4838" s="7"/>
      <c r="N4838" s="8"/>
      <c r="O4838" s="11"/>
      <c r="P4838" s="11"/>
      <c r="Q4838" s="8"/>
      <c r="S4838" s="3"/>
      <c r="T4838" s="3"/>
      <c r="U4838" s="7"/>
      <c r="V4838" s="436"/>
      <c r="X4838" s="8"/>
      <c r="Y4838" s="8"/>
      <c r="AH4838" s="3"/>
      <c r="AI4838" s="3"/>
      <c r="AJ4838" s="3"/>
    </row>
    <row r="4839" spans="3:36" s="6" customFormat="1" ht="11.25" customHeight="1">
      <c r="C4839" s="4"/>
      <c r="D4839" s="4"/>
      <c r="E4839" s="5"/>
      <c r="G4839" s="31"/>
      <c r="I4839" s="9"/>
      <c r="J4839" s="24"/>
      <c r="K4839" s="9"/>
      <c r="L4839" s="25"/>
      <c r="M4839" s="7"/>
      <c r="N4839" s="8"/>
      <c r="O4839" s="11"/>
      <c r="P4839" s="11"/>
      <c r="Q4839" s="8"/>
      <c r="S4839" s="3"/>
      <c r="T4839" s="3"/>
      <c r="U4839" s="7"/>
      <c r="V4839" s="436"/>
      <c r="X4839" s="8"/>
      <c r="Y4839" s="8"/>
      <c r="AH4839" s="3"/>
      <c r="AI4839" s="3"/>
      <c r="AJ4839" s="3"/>
    </row>
    <row r="4840" spans="3:36" s="6" customFormat="1" ht="11.25" customHeight="1">
      <c r="C4840" s="4"/>
      <c r="D4840" s="4"/>
      <c r="E4840" s="5"/>
      <c r="G4840" s="31"/>
      <c r="I4840" s="9"/>
      <c r="J4840" s="24"/>
      <c r="K4840" s="9"/>
      <c r="L4840" s="25"/>
      <c r="M4840" s="7"/>
      <c r="N4840" s="8"/>
      <c r="O4840" s="11"/>
      <c r="P4840" s="11"/>
      <c r="Q4840" s="8"/>
      <c r="S4840" s="3"/>
      <c r="T4840" s="3"/>
      <c r="U4840" s="7"/>
      <c r="V4840" s="436"/>
      <c r="X4840" s="8"/>
      <c r="Y4840" s="8"/>
      <c r="AH4840" s="3"/>
      <c r="AI4840" s="3"/>
      <c r="AJ4840" s="3"/>
    </row>
    <row r="4841" spans="3:36" s="6" customFormat="1" ht="11.25" customHeight="1">
      <c r="C4841" s="4"/>
      <c r="D4841" s="4"/>
      <c r="E4841" s="5"/>
      <c r="G4841" s="31"/>
      <c r="I4841" s="9"/>
      <c r="J4841" s="24"/>
      <c r="K4841" s="9"/>
      <c r="L4841" s="25"/>
      <c r="M4841" s="7"/>
      <c r="N4841" s="8"/>
      <c r="O4841" s="11"/>
      <c r="P4841" s="11"/>
      <c r="Q4841" s="8"/>
      <c r="S4841" s="3"/>
      <c r="T4841" s="3"/>
      <c r="U4841" s="7"/>
      <c r="V4841" s="436"/>
      <c r="X4841" s="8"/>
      <c r="Y4841" s="8"/>
      <c r="AH4841" s="3"/>
      <c r="AI4841" s="3"/>
      <c r="AJ4841" s="3"/>
    </row>
    <row r="4842" spans="3:36" s="6" customFormat="1" ht="11.25" customHeight="1">
      <c r="C4842" s="4"/>
      <c r="D4842" s="4"/>
      <c r="E4842" s="5"/>
      <c r="G4842" s="31"/>
      <c r="I4842" s="9"/>
      <c r="J4842" s="24"/>
      <c r="K4842" s="9"/>
      <c r="L4842" s="25"/>
      <c r="M4842" s="7"/>
      <c r="N4842" s="8"/>
      <c r="O4842" s="11"/>
      <c r="P4842" s="11"/>
      <c r="Q4842" s="8"/>
      <c r="S4842" s="3"/>
      <c r="T4842" s="3"/>
      <c r="U4842" s="7"/>
      <c r="V4842" s="436"/>
      <c r="X4842" s="8"/>
      <c r="Y4842" s="8"/>
      <c r="AH4842" s="3"/>
      <c r="AI4842" s="3"/>
      <c r="AJ4842" s="3"/>
    </row>
    <row r="4843" spans="3:36" s="6" customFormat="1" ht="11.25" customHeight="1">
      <c r="C4843" s="4"/>
      <c r="D4843" s="4"/>
      <c r="E4843" s="5"/>
      <c r="G4843" s="31"/>
      <c r="I4843" s="9"/>
      <c r="J4843" s="24"/>
      <c r="K4843" s="9"/>
      <c r="L4843" s="25"/>
      <c r="M4843" s="7"/>
      <c r="N4843" s="8"/>
      <c r="O4843" s="11"/>
      <c r="P4843" s="11"/>
      <c r="Q4843" s="8"/>
      <c r="S4843" s="3"/>
      <c r="T4843" s="3"/>
      <c r="U4843" s="7"/>
      <c r="V4843" s="436"/>
      <c r="X4843" s="8"/>
      <c r="Y4843" s="8"/>
      <c r="AH4843" s="3"/>
      <c r="AI4843" s="3"/>
      <c r="AJ4843" s="3"/>
    </row>
    <row r="4844" spans="3:36" s="6" customFormat="1" ht="11.25" customHeight="1">
      <c r="C4844" s="4"/>
      <c r="D4844" s="4"/>
      <c r="E4844" s="5"/>
      <c r="G4844" s="31"/>
      <c r="I4844" s="9"/>
      <c r="J4844" s="24"/>
      <c r="K4844" s="9"/>
      <c r="L4844" s="25"/>
      <c r="M4844" s="7"/>
      <c r="N4844" s="8"/>
      <c r="O4844" s="11"/>
      <c r="P4844" s="11"/>
      <c r="Q4844" s="8"/>
      <c r="S4844" s="3"/>
      <c r="T4844" s="3"/>
      <c r="U4844" s="7"/>
      <c r="V4844" s="436"/>
      <c r="X4844" s="8"/>
      <c r="Y4844" s="8"/>
      <c r="AH4844" s="3"/>
      <c r="AI4844" s="3"/>
      <c r="AJ4844" s="3"/>
    </row>
    <row r="4845" spans="3:36" s="6" customFormat="1" ht="11.25" customHeight="1">
      <c r="C4845" s="4"/>
      <c r="D4845" s="4"/>
      <c r="E4845" s="5"/>
      <c r="G4845" s="31"/>
      <c r="I4845" s="9"/>
      <c r="J4845" s="24"/>
      <c r="K4845" s="9"/>
      <c r="L4845" s="25"/>
      <c r="M4845" s="7"/>
      <c r="N4845" s="8"/>
      <c r="O4845" s="11"/>
      <c r="P4845" s="11"/>
      <c r="Q4845" s="8"/>
      <c r="S4845" s="3"/>
      <c r="T4845" s="3"/>
      <c r="U4845" s="7"/>
      <c r="V4845" s="436"/>
      <c r="X4845" s="8"/>
      <c r="Y4845" s="8"/>
      <c r="AH4845" s="3"/>
      <c r="AI4845" s="3"/>
      <c r="AJ4845" s="3"/>
    </row>
    <row r="4846" spans="3:36" s="6" customFormat="1" ht="11.25" customHeight="1">
      <c r="C4846" s="4"/>
      <c r="D4846" s="4"/>
      <c r="E4846" s="5"/>
      <c r="G4846" s="31"/>
      <c r="I4846" s="9"/>
      <c r="J4846" s="24"/>
      <c r="K4846" s="9"/>
      <c r="L4846" s="25"/>
      <c r="M4846" s="7"/>
      <c r="N4846" s="8"/>
      <c r="O4846" s="11"/>
      <c r="P4846" s="11"/>
      <c r="Q4846" s="8"/>
      <c r="S4846" s="3"/>
      <c r="T4846" s="3"/>
      <c r="U4846" s="7"/>
      <c r="V4846" s="436"/>
      <c r="X4846" s="8"/>
      <c r="Y4846" s="8"/>
      <c r="AH4846" s="3"/>
      <c r="AI4846" s="3"/>
      <c r="AJ4846" s="3"/>
    </row>
    <row r="4847" spans="3:36" s="6" customFormat="1" ht="11.25" customHeight="1">
      <c r="C4847" s="4"/>
      <c r="D4847" s="4"/>
      <c r="E4847" s="5"/>
      <c r="G4847" s="31"/>
      <c r="I4847" s="9"/>
      <c r="J4847" s="24"/>
      <c r="K4847" s="9"/>
      <c r="L4847" s="25"/>
      <c r="M4847" s="7"/>
      <c r="N4847" s="8"/>
      <c r="O4847" s="11"/>
      <c r="P4847" s="11"/>
      <c r="Q4847" s="8"/>
      <c r="S4847" s="3"/>
      <c r="T4847" s="3"/>
      <c r="U4847" s="7"/>
      <c r="V4847" s="436"/>
      <c r="X4847" s="8"/>
      <c r="Y4847" s="8"/>
      <c r="AH4847" s="3"/>
      <c r="AI4847" s="3"/>
      <c r="AJ4847" s="3"/>
    </row>
    <row r="4848" spans="3:36" s="6" customFormat="1" ht="11.25" customHeight="1">
      <c r="C4848" s="4"/>
      <c r="D4848" s="4"/>
      <c r="E4848" s="5"/>
      <c r="G4848" s="31"/>
      <c r="I4848" s="9"/>
      <c r="J4848" s="24"/>
      <c r="K4848" s="9"/>
      <c r="L4848" s="25"/>
      <c r="M4848" s="7"/>
      <c r="N4848" s="8"/>
      <c r="O4848" s="11"/>
      <c r="P4848" s="11"/>
      <c r="Q4848" s="8"/>
      <c r="S4848" s="3"/>
      <c r="T4848" s="3"/>
      <c r="U4848" s="7"/>
      <c r="V4848" s="436"/>
      <c r="X4848" s="8"/>
      <c r="Y4848" s="8"/>
      <c r="AH4848" s="3"/>
      <c r="AI4848" s="3"/>
      <c r="AJ4848" s="3"/>
    </row>
    <row r="4849" spans="3:36" s="6" customFormat="1" ht="11.25" customHeight="1">
      <c r="C4849" s="4"/>
      <c r="D4849" s="4"/>
      <c r="E4849" s="5"/>
      <c r="G4849" s="31"/>
      <c r="I4849" s="9"/>
      <c r="J4849" s="24"/>
      <c r="K4849" s="9"/>
      <c r="L4849" s="25"/>
      <c r="M4849" s="7"/>
      <c r="N4849" s="8"/>
      <c r="O4849" s="11"/>
      <c r="P4849" s="11"/>
      <c r="Q4849" s="8"/>
      <c r="S4849" s="3"/>
      <c r="T4849" s="3"/>
      <c r="U4849" s="7"/>
      <c r="V4849" s="436"/>
      <c r="X4849" s="8"/>
      <c r="Y4849" s="8"/>
      <c r="AH4849" s="3"/>
      <c r="AI4849" s="3"/>
      <c r="AJ4849" s="3"/>
    </row>
    <row r="4850" spans="3:36" s="6" customFormat="1" ht="11.25" customHeight="1">
      <c r="C4850" s="4"/>
      <c r="D4850" s="4"/>
      <c r="E4850" s="5"/>
      <c r="G4850" s="31"/>
      <c r="I4850" s="9"/>
      <c r="J4850" s="24"/>
      <c r="K4850" s="9"/>
      <c r="L4850" s="25"/>
      <c r="M4850" s="7"/>
      <c r="N4850" s="8"/>
      <c r="O4850" s="11"/>
      <c r="P4850" s="11"/>
      <c r="Q4850" s="8"/>
      <c r="S4850" s="3"/>
      <c r="T4850" s="3"/>
      <c r="U4850" s="7"/>
      <c r="V4850" s="436"/>
      <c r="X4850" s="8"/>
      <c r="Y4850" s="8"/>
      <c r="AH4850" s="3"/>
      <c r="AI4850" s="3"/>
      <c r="AJ4850" s="3"/>
    </row>
    <row r="4851" spans="3:36" s="6" customFormat="1" ht="11.25" customHeight="1">
      <c r="C4851" s="4"/>
      <c r="D4851" s="4"/>
      <c r="E4851" s="5"/>
      <c r="G4851" s="31"/>
      <c r="I4851" s="9"/>
      <c r="J4851" s="24"/>
      <c r="K4851" s="9"/>
      <c r="L4851" s="25"/>
      <c r="M4851" s="7"/>
      <c r="N4851" s="8"/>
      <c r="O4851" s="11"/>
      <c r="P4851" s="11"/>
      <c r="Q4851" s="8"/>
      <c r="S4851" s="3"/>
      <c r="T4851" s="3"/>
      <c r="U4851" s="7"/>
      <c r="V4851" s="436"/>
      <c r="X4851" s="8"/>
      <c r="Y4851" s="8"/>
      <c r="AH4851" s="3"/>
      <c r="AI4851" s="3"/>
      <c r="AJ4851" s="3"/>
    </row>
    <row r="4852" spans="3:36" s="6" customFormat="1" ht="11.25" customHeight="1">
      <c r="C4852" s="4"/>
      <c r="D4852" s="4"/>
      <c r="E4852" s="5"/>
      <c r="G4852" s="31"/>
      <c r="I4852" s="9"/>
      <c r="J4852" s="24"/>
      <c r="K4852" s="9"/>
      <c r="L4852" s="25"/>
      <c r="M4852" s="7"/>
      <c r="N4852" s="8"/>
      <c r="O4852" s="11"/>
      <c r="P4852" s="11"/>
      <c r="Q4852" s="8"/>
      <c r="S4852" s="3"/>
      <c r="T4852" s="3"/>
      <c r="U4852" s="7"/>
      <c r="V4852" s="436"/>
      <c r="X4852" s="8"/>
      <c r="Y4852" s="8"/>
      <c r="AH4852" s="3"/>
      <c r="AI4852" s="3"/>
      <c r="AJ4852" s="3"/>
    </row>
    <row r="4853" spans="3:36" s="6" customFormat="1" ht="11.25" customHeight="1">
      <c r="C4853" s="4"/>
      <c r="D4853" s="4"/>
      <c r="E4853" s="5"/>
      <c r="G4853" s="31"/>
      <c r="I4853" s="9"/>
      <c r="J4853" s="24"/>
      <c r="K4853" s="9"/>
      <c r="L4853" s="25"/>
      <c r="M4853" s="7"/>
      <c r="N4853" s="8"/>
      <c r="O4853" s="11"/>
      <c r="P4853" s="11"/>
      <c r="Q4853" s="8"/>
      <c r="S4853" s="3"/>
      <c r="T4853" s="3"/>
      <c r="U4853" s="7"/>
      <c r="V4853" s="436"/>
      <c r="X4853" s="8"/>
      <c r="Y4853" s="8"/>
      <c r="AH4853" s="3"/>
      <c r="AI4853" s="3"/>
      <c r="AJ4853" s="3"/>
    </row>
    <row r="4854" spans="3:36" s="6" customFormat="1" ht="11.25" customHeight="1">
      <c r="C4854" s="4"/>
      <c r="D4854" s="4"/>
      <c r="E4854" s="5"/>
      <c r="G4854" s="31"/>
      <c r="I4854" s="9"/>
      <c r="J4854" s="24"/>
      <c r="K4854" s="9"/>
      <c r="L4854" s="25"/>
      <c r="M4854" s="7"/>
      <c r="N4854" s="8"/>
      <c r="O4854" s="11"/>
      <c r="P4854" s="11"/>
      <c r="Q4854" s="8"/>
      <c r="S4854" s="3"/>
      <c r="T4854" s="3"/>
      <c r="U4854" s="7"/>
      <c r="V4854" s="436"/>
      <c r="X4854" s="8"/>
      <c r="Y4854" s="8"/>
      <c r="AH4854" s="3"/>
      <c r="AI4854" s="3"/>
      <c r="AJ4854" s="3"/>
    </row>
    <row r="4855" spans="3:36" s="6" customFormat="1" ht="11.25" customHeight="1">
      <c r="C4855" s="4"/>
      <c r="D4855" s="4"/>
      <c r="E4855" s="5"/>
      <c r="G4855" s="31"/>
      <c r="I4855" s="9"/>
      <c r="J4855" s="24"/>
      <c r="K4855" s="9"/>
      <c r="L4855" s="25"/>
      <c r="M4855" s="7"/>
      <c r="N4855" s="8"/>
      <c r="O4855" s="11"/>
      <c r="P4855" s="11"/>
      <c r="Q4855" s="8"/>
      <c r="S4855" s="3"/>
      <c r="T4855" s="3"/>
      <c r="U4855" s="7"/>
      <c r="V4855" s="436"/>
      <c r="X4855" s="8"/>
      <c r="Y4855" s="8"/>
      <c r="AH4855" s="3"/>
      <c r="AI4855" s="3"/>
      <c r="AJ4855" s="3"/>
    </row>
    <row r="4856" spans="3:36" s="6" customFormat="1" ht="11.25" customHeight="1">
      <c r="C4856" s="4"/>
      <c r="D4856" s="4"/>
      <c r="E4856" s="5"/>
      <c r="G4856" s="31"/>
      <c r="I4856" s="9"/>
      <c r="J4856" s="24"/>
      <c r="K4856" s="9"/>
      <c r="L4856" s="25"/>
      <c r="M4856" s="7"/>
      <c r="N4856" s="8"/>
      <c r="O4856" s="11"/>
      <c r="P4856" s="11"/>
      <c r="Q4856" s="8"/>
      <c r="S4856" s="3"/>
      <c r="T4856" s="3"/>
      <c r="U4856" s="7"/>
      <c r="V4856" s="436"/>
      <c r="X4856" s="8"/>
      <c r="Y4856" s="8"/>
      <c r="AH4856" s="3"/>
      <c r="AI4856" s="3"/>
      <c r="AJ4856" s="3"/>
    </row>
    <row r="4857" spans="3:36" s="6" customFormat="1" ht="11.25" customHeight="1">
      <c r="C4857" s="4"/>
      <c r="D4857" s="4"/>
      <c r="E4857" s="5"/>
      <c r="G4857" s="31"/>
      <c r="I4857" s="9"/>
      <c r="J4857" s="24"/>
      <c r="K4857" s="9"/>
      <c r="L4857" s="25"/>
      <c r="M4857" s="7"/>
      <c r="N4857" s="8"/>
      <c r="O4857" s="11"/>
      <c r="P4857" s="11"/>
      <c r="Q4857" s="8"/>
      <c r="S4857" s="3"/>
      <c r="T4857" s="3"/>
      <c r="U4857" s="7"/>
      <c r="V4857" s="436"/>
      <c r="X4857" s="8"/>
      <c r="Y4857" s="8"/>
      <c r="AH4857" s="3"/>
      <c r="AI4857" s="3"/>
      <c r="AJ4857" s="3"/>
    </row>
    <row r="4858" spans="3:36" s="6" customFormat="1" ht="11.25" customHeight="1">
      <c r="C4858" s="4"/>
      <c r="D4858" s="4"/>
      <c r="E4858" s="5"/>
      <c r="G4858" s="31"/>
      <c r="I4858" s="9"/>
      <c r="J4858" s="24"/>
      <c r="K4858" s="9"/>
      <c r="L4858" s="25"/>
      <c r="M4858" s="7"/>
      <c r="N4858" s="8"/>
      <c r="O4858" s="11"/>
      <c r="P4858" s="11"/>
      <c r="Q4858" s="8"/>
      <c r="S4858" s="3"/>
      <c r="T4858" s="3"/>
      <c r="U4858" s="7"/>
      <c r="V4858" s="436"/>
      <c r="X4858" s="8"/>
      <c r="Y4858" s="8"/>
      <c r="AH4858" s="3"/>
      <c r="AI4858" s="3"/>
      <c r="AJ4858" s="3"/>
    </row>
    <row r="4859" spans="3:36" s="6" customFormat="1" ht="11">
      <c r="C4859" s="4"/>
      <c r="D4859" s="4"/>
      <c r="E4859" s="5"/>
      <c r="G4859" s="31"/>
      <c r="I4859" s="9"/>
      <c r="J4859" s="24"/>
      <c r="K4859" s="9"/>
      <c r="L4859" s="25"/>
      <c r="M4859" s="7"/>
      <c r="N4859" s="8"/>
      <c r="O4859" s="11"/>
      <c r="P4859" s="11"/>
      <c r="Q4859" s="8"/>
      <c r="S4859" s="3"/>
      <c r="T4859" s="3"/>
      <c r="U4859" s="7"/>
      <c r="V4859" s="436"/>
      <c r="X4859" s="8"/>
      <c r="Y4859" s="8"/>
      <c r="AH4859" s="3"/>
      <c r="AI4859" s="3"/>
      <c r="AJ4859" s="3"/>
    </row>
    <row r="4860" spans="3:36" s="6" customFormat="1" ht="11.25" customHeight="1">
      <c r="C4860" s="4"/>
      <c r="D4860" s="4"/>
      <c r="E4860" s="5"/>
      <c r="G4860" s="31"/>
      <c r="I4860" s="9"/>
      <c r="J4860" s="24"/>
      <c r="K4860" s="9"/>
      <c r="L4860" s="25"/>
      <c r="M4860" s="7"/>
      <c r="N4860" s="8"/>
      <c r="O4860" s="11"/>
      <c r="P4860" s="11"/>
      <c r="Q4860" s="8"/>
      <c r="S4860" s="3"/>
      <c r="T4860" s="3"/>
      <c r="U4860" s="7"/>
      <c r="V4860" s="436"/>
      <c r="X4860" s="8"/>
      <c r="Y4860" s="8"/>
      <c r="AH4860" s="3"/>
      <c r="AI4860" s="3"/>
      <c r="AJ4860" s="3"/>
    </row>
    <row r="4861" spans="3:36" s="6" customFormat="1" ht="11.25" customHeight="1">
      <c r="C4861" s="4"/>
      <c r="D4861" s="4"/>
      <c r="E4861" s="5"/>
      <c r="G4861" s="31"/>
      <c r="I4861" s="9"/>
      <c r="J4861" s="24"/>
      <c r="K4861" s="9"/>
      <c r="L4861" s="25"/>
      <c r="M4861" s="7"/>
      <c r="N4861" s="8"/>
      <c r="O4861" s="11"/>
      <c r="P4861" s="11"/>
      <c r="Q4861" s="8"/>
      <c r="S4861" s="3"/>
      <c r="T4861" s="3"/>
      <c r="U4861" s="7"/>
      <c r="V4861" s="436"/>
      <c r="X4861" s="8"/>
      <c r="Y4861" s="8"/>
      <c r="AH4861" s="3"/>
      <c r="AI4861" s="3"/>
      <c r="AJ4861" s="3"/>
    </row>
    <row r="4862" spans="3:36" s="6" customFormat="1" ht="11.25" customHeight="1">
      <c r="C4862" s="4"/>
      <c r="D4862" s="4"/>
      <c r="E4862" s="5"/>
      <c r="G4862" s="31"/>
      <c r="I4862" s="9"/>
      <c r="J4862" s="24"/>
      <c r="K4862" s="9"/>
      <c r="L4862" s="25"/>
      <c r="M4862" s="7"/>
      <c r="N4862" s="8"/>
      <c r="O4862" s="11"/>
      <c r="P4862" s="11"/>
      <c r="Q4862" s="8"/>
      <c r="S4862" s="3"/>
      <c r="T4862" s="3"/>
      <c r="U4862" s="7"/>
      <c r="V4862" s="436"/>
      <c r="X4862" s="8"/>
      <c r="Y4862" s="8"/>
      <c r="AH4862" s="3"/>
      <c r="AI4862" s="3"/>
      <c r="AJ4862" s="3"/>
    </row>
    <row r="4863" spans="3:36" s="6" customFormat="1" ht="11.25" customHeight="1">
      <c r="C4863" s="4"/>
      <c r="D4863" s="4"/>
      <c r="E4863" s="5"/>
      <c r="G4863" s="31"/>
      <c r="I4863" s="9"/>
      <c r="J4863" s="24"/>
      <c r="K4863" s="9"/>
      <c r="L4863" s="25"/>
      <c r="M4863" s="7"/>
      <c r="N4863" s="8"/>
      <c r="O4863" s="11"/>
      <c r="P4863" s="11"/>
      <c r="Q4863" s="8"/>
      <c r="S4863" s="3"/>
      <c r="T4863" s="3"/>
      <c r="U4863" s="7"/>
      <c r="V4863" s="436"/>
      <c r="X4863" s="8"/>
      <c r="Y4863" s="8"/>
      <c r="AH4863" s="3"/>
      <c r="AI4863" s="3"/>
      <c r="AJ4863" s="3"/>
    </row>
    <row r="4864" spans="3:36" s="6" customFormat="1" ht="11.25" customHeight="1">
      <c r="C4864" s="4"/>
      <c r="D4864" s="4"/>
      <c r="E4864" s="5"/>
      <c r="G4864" s="31"/>
      <c r="I4864" s="9"/>
      <c r="J4864" s="24"/>
      <c r="K4864" s="9"/>
      <c r="L4864" s="25"/>
      <c r="M4864" s="7"/>
      <c r="N4864" s="8"/>
      <c r="O4864" s="11"/>
      <c r="P4864" s="11"/>
      <c r="Q4864" s="8"/>
      <c r="S4864" s="3"/>
      <c r="T4864" s="3"/>
      <c r="U4864" s="7"/>
      <c r="V4864" s="436"/>
      <c r="X4864" s="8"/>
      <c r="Y4864" s="8"/>
      <c r="AH4864" s="3"/>
      <c r="AI4864" s="3"/>
      <c r="AJ4864" s="3"/>
    </row>
    <row r="4865" spans="3:36" s="6" customFormat="1" ht="11.25" customHeight="1">
      <c r="C4865" s="4"/>
      <c r="D4865" s="4"/>
      <c r="E4865" s="5"/>
      <c r="G4865" s="31"/>
      <c r="I4865" s="9"/>
      <c r="J4865" s="24"/>
      <c r="K4865" s="9"/>
      <c r="L4865" s="25"/>
      <c r="M4865" s="7"/>
      <c r="N4865" s="8"/>
      <c r="O4865" s="11"/>
      <c r="P4865" s="11"/>
      <c r="Q4865" s="8"/>
      <c r="S4865" s="3"/>
      <c r="T4865" s="3"/>
      <c r="U4865" s="7"/>
      <c r="V4865" s="436"/>
      <c r="X4865" s="8"/>
      <c r="Y4865" s="8"/>
      <c r="AH4865" s="3"/>
      <c r="AI4865" s="3"/>
      <c r="AJ4865" s="3"/>
    </row>
    <row r="4866" spans="3:36" s="6" customFormat="1" ht="11.25" customHeight="1">
      <c r="C4866" s="4"/>
      <c r="D4866" s="4"/>
      <c r="E4866" s="5"/>
      <c r="G4866" s="31"/>
      <c r="I4866" s="9"/>
      <c r="J4866" s="24"/>
      <c r="K4866" s="9"/>
      <c r="L4866" s="25"/>
      <c r="M4866" s="7"/>
      <c r="N4866" s="8"/>
      <c r="O4866" s="11"/>
      <c r="P4866" s="11"/>
      <c r="Q4866" s="8"/>
      <c r="S4866" s="3"/>
      <c r="T4866" s="3"/>
      <c r="U4866" s="7"/>
      <c r="V4866" s="436"/>
      <c r="X4866" s="8"/>
      <c r="Y4866" s="8"/>
      <c r="AH4866" s="3"/>
      <c r="AI4866" s="3"/>
      <c r="AJ4866" s="3"/>
    </row>
    <row r="4867" spans="3:36" s="6" customFormat="1" ht="11.25" customHeight="1">
      <c r="C4867" s="4"/>
      <c r="D4867" s="4"/>
      <c r="E4867" s="5"/>
      <c r="G4867" s="31"/>
      <c r="I4867" s="9"/>
      <c r="J4867" s="24"/>
      <c r="K4867" s="9"/>
      <c r="L4867" s="25"/>
      <c r="M4867" s="7"/>
      <c r="N4867" s="8"/>
      <c r="O4867" s="11"/>
      <c r="P4867" s="11"/>
      <c r="Q4867" s="8"/>
      <c r="S4867" s="3"/>
      <c r="T4867" s="3"/>
      <c r="U4867" s="7"/>
      <c r="V4867" s="436"/>
      <c r="X4867" s="8"/>
      <c r="Y4867" s="8"/>
      <c r="AH4867" s="3"/>
      <c r="AI4867" s="3"/>
      <c r="AJ4867" s="3"/>
    </row>
    <row r="4868" spans="3:36" s="6" customFormat="1" ht="11.25" customHeight="1">
      <c r="C4868" s="4"/>
      <c r="D4868" s="4"/>
      <c r="E4868" s="5"/>
      <c r="G4868" s="31"/>
      <c r="I4868" s="9"/>
      <c r="J4868" s="24"/>
      <c r="K4868" s="9"/>
      <c r="L4868" s="25"/>
      <c r="M4868" s="7"/>
      <c r="N4868" s="8"/>
      <c r="O4868" s="11"/>
      <c r="P4868" s="11"/>
      <c r="Q4868" s="8"/>
      <c r="S4868" s="3"/>
      <c r="T4868" s="3"/>
      <c r="U4868" s="7"/>
      <c r="V4868" s="436"/>
      <c r="X4868" s="8"/>
      <c r="Y4868" s="8"/>
      <c r="AH4868" s="3"/>
      <c r="AI4868" s="3"/>
      <c r="AJ4868" s="3"/>
    </row>
    <row r="4869" spans="3:36" s="6" customFormat="1" ht="11.25" customHeight="1">
      <c r="C4869" s="4"/>
      <c r="D4869" s="4"/>
      <c r="E4869" s="5"/>
      <c r="G4869" s="31"/>
      <c r="I4869" s="9"/>
      <c r="J4869" s="24"/>
      <c r="K4869" s="9"/>
      <c r="L4869" s="25"/>
      <c r="M4869" s="7"/>
      <c r="N4869" s="8"/>
      <c r="O4869" s="11"/>
      <c r="P4869" s="11"/>
      <c r="Q4869" s="8"/>
      <c r="S4869" s="3"/>
      <c r="T4869" s="3"/>
      <c r="U4869" s="7"/>
      <c r="V4869" s="436"/>
      <c r="X4869" s="8"/>
      <c r="Y4869" s="8"/>
      <c r="AH4869" s="3"/>
      <c r="AI4869" s="3"/>
      <c r="AJ4869" s="3"/>
    </row>
    <row r="4870" spans="3:36" s="6" customFormat="1" ht="11.25" customHeight="1">
      <c r="C4870" s="4"/>
      <c r="D4870" s="4"/>
      <c r="E4870" s="5"/>
      <c r="G4870" s="31"/>
      <c r="I4870" s="9"/>
      <c r="J4870" s="24"/>
      <c r="K4870" s="9"/>
      <c r="L4870" s="25"/>
      <c r="M4870" s="7"/>
      <c r="N4870" s="8"/>
      <c r="O4870" s="11"/>
      <c r="P4870" s="11"/>
      <c r="Q4870" s="8"/>
      <c r="S4870" s="3"/>
      <c r="T4870" s="3"/>
      <c r="U4870" s="7"/>
      <c r="V4870" s="436"/>
      <c r="X4870" s="8"/>
      <c r="Y4870" s="8"/>
      <c r="AH4870" s="3"/>
      <c r="AI4870" s="3"/>
      <c r="AJ4870" s="3"/>
    </row>
    <row r="4871" spans="3:36" s="6" customFormat="1" ht="11.25" customHeight="1">
      <c r="C4871" s="4"/>
      <c r="D4871" s="4"/>
      <c r="E4871" s="5"/>
      <c r="G4871" s="31"/>
      <c r="I4871" s="9"/>
      <c r="J4871" s="24"/>
      <c r="K4871" s="9"/>
      <c r="L4871" s="25"/>
      <c r="M4871" s="7"/>
      <c r="N4871" s="8"/>
      <c r="O4871" s="11"/>
      <c r="P4871" s="11"/>
      <c r="Q4871" s="8"/>
      <c r="S4871" s="3"/>
      <c r="T4871" s="3"/>
      <c r="U4871" s="7"/>
      <c r="V4871" s="436"/>
      <c r="X4871" s="8"/>
      <c r="Y4871" s="8"/>
      <c r="AH4871" s="3"/>
      <c r="AI4871" s="3"/>
      <c r="AJ4871" s="3"/>
    </row>
    <row r="4872" spans="3:36" s="6" customFormat="1" ht="11.25" customHeight="1">
      <c r="C4872" s="4"/>
      <c r="D4872" s="4"/>
      <c r="E4872" s="5"/>
      <c r="G4872" s="31"/>
      <c r="I4872" s="9"/>
      <c r="J4872" s="24"/>
      <c r="K4872" s="9"/>
      <c r="L4872" s="25"/>
      <c r="M4872" s="7"/>
      <c r="N4872" s="8"/>
      <c r="O4872" s="11"/>
      <c r="P4872" s="11"/>
      <c r="Q4872" s="8"/>
      <c r="S4872" s="3"/>
      <c r="T4872" s="3"/>
      <c r="U4872" s="7"/>
      <c r="V4872" s="436"/>
      <c r="X4872" s="8"/>
      <c r="Y4872" s="8"/>
      <c r="AH4872" s="3"/>
      <c r="AI4872" s="3"/>
      <c r="AJ4872" s="3"/>
    </row>
    <row r="4873" spans="3:36" s="6" customFormat="1" ht="11.25" customHeight="1">
      <c r="C4873" s="4"/>
      <c r="D4873" s="4"/>
      <c r="E4873" s="5"/>
      <c r="G4873" s="31"/>
      <c r="I4873" s="9"/>
      <c r="J4873" s="24"/>
      <c r="K4873" s="9"/>
      <c r="L4873" s="25"/>
      <c r="M4873" s="7"/>
      <c r="N4873" s="8"/>
      <c r="O4873" s="11"/>
      <c r="P4873" s="11"/>
      <c r="Q4873" s="8"/>
      <c r="S4873" s="3"/>
      <c r="T4873" s="3"/>
      <c r="U4873" s="7"/>
      <c r="V4873" s="436"/>
      <c r="X4873" s="8"/>
      <c r="Y4873" s="8"/>
      <c r="AH4873" s="3"/>
      <c r="AI4873" s="3"/>
      <c r="AJ4873" s="3"/>
    </row>
    <row r="4874" spans="3:36" s="6" customFormat="1" ht="11.25" customHeight="1">
      <c r="C4874" s="4"/>
      <c r="D4874" s="4"/>
      <c r="E4874" s="5"/>
      <c r="G4874" s="31"/>
      <c r="I4874" s="9"/>
      <c r="J4874" s="24"/>
      <c r="K4874" s="9"/>
      <c r="L4874" s="25"/>
      <c r="M4874" s="7"/>
      <c r="N4874" s="8"/>
      <c r="O4874" s="11"/>
      <c r="P4874" s="11"/>
      <c r="Q4874" s="8"/>
      <c r="S4874" s="3"/>
      <c r="T4874" s="3"/>
      <c r="U4874" s="7"/>
      <c r="V4874" s="436"/>
      <c r="X4874" s="8"/>
      <c r="Y4874" s="8"/>
      <c r="AH4874" s="3"/>
      <c r="AI4874" s="3"/>
      <c r="AJ4874" s="3"/>
    </row>
    <row r="4875" spans="3:36" s="6" customFormat="1" ht="11.25" customHeight="1">
      <c r="C4875" s="4"/>
      <c r="D4875" s="4"/>
      <c r="E4875" s="5"/>
      <c r="G4875" s="31"/>
      <c r="I4875" s="9"/>
      <c r="J4875" s="24"/>
      <c r="K4875" s="9"/>
      <c r="L4875" s="25"/>
      <c r="M4875" s="7"/>
      <c r="N4875" s="8"/>
      <c r="O4875" s="11"/>
      <c r="P4875" s="11"/>
      <c r="Q4875" s="8"/>
      <c r="S4875" s="3"/>
      <c r="T4875" s="3"/>
      <c r="U4875" s="7"/>
      <c r="V4875" s="436"/>
      <c r="X4875" s="8"/>
      <c r="Y4875" s="8"/>
      <c r="AH4875" s="3"/>
      <c r="AI4875" s="3"/>
      <c r="AJ4875" s="3"/>
    </row>
    <row r="4876" spans="3:36" s="6" customFormat="1" ht="11.25" customHeight="1">
      <c r="C4876" s="4"/>
      <c r="D4876" s="4"/>
      <c r="E4876" s="5"/>
      <c r="G4876" s="31"/>
      <c r="I4876" s="9"/>
      <c r="J4876" s="24"/>
      <c r="K4876" s="9"/>
      <c r="L4876" s="25"/>
      <c r="M4876" s="7"/>
      <c r="N4876" s="8"/>
      <c r="O4876" s="11"/>
      <c r="P4876" s="11"/>
      <c r="Q4876" s="8"/>
      <c r="S4876" s="3"/>
      <c r="T4876" s="3"/>
      <c r="U4876" s="7"/>
      <c r="V4876" s="436"/>
      <c r="X4876" s="8"/>
      <c r="Y4876" s="8"/>
      <c r="AH4876" s="3"/>
      <c r="AI4876" s="3"/>
      <c r="AJ4876" s="3"/>
    </row>
    <row r="4877" spans="3:36" s="6" customFormat="1" ht="11.25" customHeight="1">
      <c r="C4877" s="4"/>
      <c r="D4877" s="4"/>
      <c r="E4877" s="5"/>
      <c r="G4877" s="31"/>
      <c r="I4877" s="9"/>
      <c r="J4877" s="24"/>
      <c r="K4877" s="9"/>
      <c r="L4877" s="25"/>
      <c r="M4877" s="7"/>
      <c r="N4877" s="8"/>
      <c r="O4877" s="11"/>
      <c r="P4877" s="11"/>
      <c r="Q4877" s="8"/>
      <c r="S4877" s="3"/>
      <c r="T4877" s="3"/>
      <c r="U4877" s="7"/>
      <c r="V4877" s="436"/>
      <c r="X4877" s="8"/>
      <c r="Y4877" s="8"/>
      <c r="AH4877" s="3"/>
      <c r="AI4877" s="3"/>
      <c r="AJ4877" s="3"/>
    </row>
    <row r="4878" spans="3:36" s="6" customFormat="1" ht="11.25" customHeight="1">
      <c r="C4878" s="4"/>
      <c r="D4878" s="4"/>
      <c r="E4878" s="5"/>
      <c r="G4878" s="31"/>
      <c r="I4878" s="9"/>
      <c r="J4878" s="24"/>
      <c r="K4878" s="9"/>
      <c r="L4878" s="25"/>
      <c r="M4878" s="7"/>
      <c r="N4878" s="8"/>
      <c r="O4878" s="11"/>
      <c r="P4878" s="11"/>
      <c r="Q4878" s="8"/>
      <c r="S4878" s="3"/>
      <c r="T4878" s="3"/>
      <c r="U4878" s="7"/>
      <c r="V4878" s="436"/>
      <c r="X4878" s="8"/>
      <c r="Y4878" s="8"/>
      <c r="AH4878" s="3"/>
      <c r="AI4878" s="3"/>
      <c r="AJ4878" s="3"/>
    </row>
    <row r="4879" spans="3:36" s="6" customFormat="1" ht="11.25" customHeight="1">
      <c r="C4879" s="4"/>
      <c r="D4879" s="4"/>
      <c r="E4879" s="5"/>
      <c r="G4879" s="31"/>
      <c r="I4879" s="9"/>
      <c r="J4879" s="24"/>
      <c r="K4879" s="9"/>
      <c r="L4879" s="25"/>
      <c r="M4879" s="7"/>
      <c r="N4879" s="8"/>
      <c r="O4879" s="11"/>
      <c r="P4879" s="11"/>
      <c r="Q4879" s="8"/>
      <c r="S4879" s="3"/>
      <c r="T4879" s="3"/>
      <c r="U4879" s="7"/>
      <c r="V4879" s="436"/>
      <c r="X4879" s="8"/>
      <c r="Y4879" s="8"/>
      <c r="AH4879" s="3"/>
      <c r="AI4879" s="3"/>
      <c r="AJ4879" s="3"/>
    </row>
    <row r="4880" spans="3:36" s="6" customFormat="1" ht="11.25" customHeight="1">
      <c r="C4880" s="4"/>
      <c r="D4880" s="4"/>
      <c r="E4880" s="5"/>
      <c r="G4880" s="31"/>
      <c r="I4880" s="9"/>
      <c r="J4880" s="24"/>
      <c r="K4880" s="9"/>
      <c r="L4880" s="25"/>
      <c r="M4880" s="7"/>
      <c r="N4880" s="8"/>
      <c r="O4880" s="11"/>
      <c r="P4880" s="11"/>
      <c r="Q4880" s="8"/>
      <c r="S4880" s="3"/>
      <c r="T4880" s="3"/>
      <c r="U4880" s="7"/>
      <c r="V4880" s="436"/>
      <c r="X4880" s="8"/>
      <c r="Y4880" s="8"/>
      <c r="AH4880" s="3"/>
      <c r="AI4880" s="3"/>
      <c r="AJ4880" s="3"/>
    </row>
    <row r="4881" spans="3:36" s="6" customFormat="1" ht="11.25" customHeight="1">
      <c r="C4881" s="4"/>
      <c r="D4881" s="4"/>
      <c r="E4881" s="5"/>
      <c r="G4881" s="31"/>
      <c r="I4881" s="9"/>
      <c r="J4881" s="24"/>
      <c r="K4881" s="9"/>
      <c r="L4881" s="25"/>
      <c r="M4881" s="7"/>
      <c r="N4881" s="8"/>
      <c r="O4881" s="11"/>
      <c r="P4881" s="11"/>
      <c r="Q4881" s="8"/>
      <c r="S4881" s="3"/>
      <c r="T4881" s="3"/>
      <c r="U4881" s="7"/>
      <c r="V4881" s="436"/>
      <c r="X4881" s="8"/>
      <c r="Y4881" s="8"/>
      <c r="AH4881" s="3"/>
      <c r="AI4881" s="3"/>
      <c r="AJ4881" s="3"/>
    </row>
    <row r="4882" spans="3:36" s="6" customFormat="1" ht="11.25" customHeight="1">
      <c r="C4882" s="4"/>
      <c r="D4882" s="4"/>
      <c r="E4882" s="5"/>
      <c r="G4882" s="31"/>
      <c r="I4882" s="9"/>
      <c r="J4882" s="24"/>
      <c r="K4882" s="9"/>
      <c r="L4882" s="25"/>
      <c r="M4882" s="7"/>
      <c r="N4882" s="8"/>
      <c r="O4882" s="11"/>
      <c r="P4882" s="11"/>
      <c r="Q4882" s="8"/>
      <c r="S4882" s="3"/>
      <c r="T4882" s="3"/>
      <c r="U4882" s="7"/>
      <c r="V4882" s="436"/>
      <c r="X4882" s="8"/>
      <c r="Y4882" s="8"/>
      <c r="AH4882" s="3"/>
      <c r="AI4882" s="3"/>
      <c r="AJ4882" s="3"/>
    </row>
    <row r="4883" spans="3:36" s="6" customFormat="1" ht="11.25" customHeight="1">
      <c r="C4883" s="4"/>
      <c r="D4883" s="4"/>
      <c r="E4883" s="5"/>
      <c r="G4883" s="31"/>
      <c r="I4883" s="9"/>
      <c r="J4883" s="24"/>
      <c r="K4883" s="9"/>
      <c r="L4883" s="25"/>
      <c r="M4883" s="7"/>
      <c r="N4883" s="8"/>
      <c r="O4883" s="11"/>
      <c r="P4883" s="11"/>
      <c r="Q4883" s="8"/>
      <c r="S4883" s="3"/>
      <c r="T4883" s="3"/>
      <c r="U4883" s="7"/>
      <c r="V4883" s="436"/>
      <c r="X4883" s="8"/>
      <c r="Y4883" s="8"/>
      <c r="AH4883" s="3"/>
      <c r="AI4883" s="3"/>
      <c r="AJ4883" s="3"/>
    </row>
    <row r="4884" spans="3:36" s="6" customFormat="1" ht="11.25" customHeight="1">
      <c r="C4884" s="4"/>
      <c r="D4884" s="4"/>
      <c r="E4884" s="5"/>
      <c r="G4884" s="31"/>
      <c r="I4884" s="9"/>
      <c r="J4884" s="24"/>
      <c r="K4884" s="9"/>
      <c r="L4884" s="25"/>
      <c r="M4884" s="7"/>
      <c r="N4884" s="8"/>
      <c r="O4884" s="11"/>
      <c r="P4884" s="11"/>
      <c r="Q4884" s="8"/>
      <c r="S4884" s="3"/>
      <c r="T4884" s="3"/>
      <c r="U4884" s="7"/>
      <c r="V4884" s="436"/>
      <c r="X4884" s="8"/>
      <c r="Y4884" s="8"/>
      <c r="AH4884" s="3"/>
      <c r="AI4884" s="3"/>
      <c r="AJ4884" s="3"/>
    </row>
    <row r="4885" spans="3:36" s="6" customFormat="1" ht="11.25" customHeight="1">
      <c r="C4885" s="4"/>
      <c r="D4885" s="4"/>
      <c r="E4885" s="5"/>
      <c r="G4885" s="31"/>
      <c r="I4885" s="9"/>
      <c r="J4885" s="24"/>
      <c r="K4885" s="9"/>
      <c r="L4885" s="25"/>
      <c r="M4885" s="7"/>
      <c r="N4885" s="8"/>
      <c r="O4885" s="11"/>
      <c r="P4885" s="11"/>
      <c r="Q4885" s="8"/>
      <c r="S4885" s="3"/>
      <c r="T4885" s="3"/>
      <c r="U4885" s="7"/>
      <c r="V4885" s="436"/>
      <c r="X4885" s="8"/>
      <c r="Y4885" s="8"/>
      <c r="AH4885" s="3"/>
      <c r="AI4885" s="3"/>
      <c r="AJ4885" s="3"/>
    </row>
    <row r="4886" spans="3:36" s="6" customFormat="1" ht="11.25" customHeight="1">
      <c r="C4886" s="4"/>
      <c r="D4886" s="4"/>
      <c r="E4886" s="5"/>
      <c r="G4886" s="31"/>
      <c r="I4886" s="9"/>
      <c r="J4886" s="24"/>
      <c r="K4886" s="9"/>
      <c r="L4886" s="25"/>
      <c r="M4886" s="7"/>
      <c r="N4886" s="8"/>
      <c r="O4886" s="11"/>
      <c r="P4886" s="11"/>
      <c r="Q4886" s="8"/>
      <c r="S4886" s="3"/>
      <c r="T4886" s="3"/>
      <c r="U4886" s="7"/>
      <c r="V4886" s="436"/>
      <c r="X4886" s="8"/>
      <c r="Y4886" s="8"/>
      <c r="AH4886" s="3"/>
      <c r="AI4886" s="3"/>
      <c r="AJ4886" s="3"/>
    </row>
    <row r="4887" spans="3:36" s="6" customFormat="1" ht="11.25" customHeight="1">
      <c r="C4887" s="4"/>
      <c r="D4887" s="4"/>
      <c r="E4887" s="5"/>
      <c r="G4887" s="31"/>
      <c r="I4887" s="9"/>
      <c r="J4887" s="24"/>
      <c r="K4887" s="9"/>
      <c r="L4887" s="25"/>
      <c r="M4887" s="7"/>
      <c r="N4887" s="8"/>
      <c r="O4887" s="11"/>
      <c r="P4887" s="11"/>
      <c r="Q4887" s="8"/>
      <c r="S4887" s="3"/>
      <c r="T4887" s="3"/>
      <c r="U4887" s="7"/>
      <c r="V4887" s="436"/>
      <c r="X4887" s="8"/>
      <c r="Y4887" s="8"/>
      <c r="AH4887" s="3"/>
      <c r="AI4887" s="3"/>
      <c r="AJ4887" s="3"/>
    </row>
    <row r="4888" spans="3:36" s="6" customFormat="1" ht="11.25" customHeight="1">
      <c r="C4888" s="4"/>
      <c r="D4888" s="4"/>
      <c r="E4888" s="5"/>
      <c r="G4888" s="31"/>
      <c r="I4888" s="9"/>
      <c r="J4888" s="24"/>
      <c r="K4888" s="9"/>
      <c r="L4888" s="25"/>
      <c r="M4888" s="7"/>
      <c r="N4888" s="8"/>
      <c r="O4888" s="11"/>
      <c r="P4888" s="11"/>
      <c r="Q4888" s="8"/>
      <c r="S4888" s="3"/>
      <c r="T4888" s="3"/>
      <c r="U4888" s="7"/>
      <c r="V4888" s="436"/>
      <c r="X4888" s="8"/>
      <c r="Y4888" s="8"/>
      <c r="AH4888" s="3"/>
      <c r="AI4888" s="3"/>
      <c r="AJ4888" s="3"/>
    </row>
    <row r="4889" spans="3:36" s="6" customFormat="1" ht="11.25" customHeight="1">
      <c r="C4889" s="4"/>
      <c r="D4889" s="4"/>
      <c r="E4889" s="5"/>
      <c r="G4889" s="31"/>
      <c r="I4889" s="9"/>
      <c r="J4889" s="24"/>
      <c r="K4889" s="9"/>
      <c r="L4889" s="25"/>
      <c r="M4889" s="7"/>
      <c r="N4889" s="8"/>
      <c r="O4889" s="11"/>
      <c r="P4889" s="11"/>
      <c r="Q4889" s="8"/>
      <c r="S4889" s="3"/>
      <c r="T4889" s="3"/>
      <c r="U4889" s="7"/>
      <c r="V4889" s="436"/>
      <c r="X4889" s="8"/>
      <c r="Y4889" s="8"/>
      <c r="AH4889" s="3"/>
      <c r="AI4889" s="3"/>
      <c r="AJ4889" s="3"/>
    </row>
    <row r="4890" spans="3:36" s="6" customFormat="1" ht="11.25" customHeight="1">
      <c r="C4890" s="4"/>
      <c r="D4890" s="4"/>
      <c r="E4890" s="5"/>
      <c r="G4890" s="31"/>
      <c r="I4890" s="9"/>
      <c r="J4890" s="24"/>
      <c r="K4890" s="9"/>
      <c r="L4890" s="25"/>
      <c r="M4890" s="7"/>
      <c r="N4890" s="8"/>
      <c r="O4890" s="11"/>
      <c r="P4890" s="11"/>
      <c r="Q4890" s="8"/>
      <c r="S4890" s="3"/>
      <c r="T4890" s="3"/>
      <c r="U4890" s="7"/>
      <c r="V4890" s="436"/>
      <c r="X4890" s="8"/>
      <c r="Y4890" s="8"/>
      <c r="AH4890" s="3"/>
      <c r="AI4890" s="3"/>
      <c r="AJ4890" s="3"/>
    </row>
    <row r="4891" spans="3:36" s="6" customFormat="1" ht="11.25" customHeight="1">
      <c r="C4891" s="4"/>
      <c r="D4891" s="4"/>
      <c r="E4891" s="5"/>
      <c r="G4891" s="31"/>
      <c r="I4891" s="9"/>
      <c r="J4891" s="24"/>
      <c r="K4891" s="9"/>
      <c r="L4891" s="25"/>
      <c r="M4891" s="7"/>
      <c r="N4891" s="8"/>
      <c r="O4891" s="11"/>
      <c r="P4891" s="11"/>
      <c r="Q4891" s="8"/>
      <c r="S4891" s="3"/>
      <c r="T4891" s="3"/>
      <c r="U4891" s="7"/>
      <c r="V4891" s="436"/>
      <c r="X4891" s="8"/>
      <c r="Y4891" s="8"/>
      <c r="AH4891" s="3"/>
      <c r="AI4891" s="3"/>
      <c r="AJ4891" s="3"/>
    </row>
    <row r="4892" spans="3:36" s="6" customFormat="1" ht="11.25" customHeight="1">
      <c r="C4892" s="4"/>
      <c r="D4892" s="4"/>
      <c r="E4892" s="5"/>
      <c r="G4892" s="31"/>
      <c r="I4892" s="9"/>
      <c r="J4892" s="24"/>
      <c r="K4892" s="9"/>
      <c r="L4892" s="25"/>
      <c r="M4892" s="7"/>
      <c r="N4892" s="8"/>
      <c r="O4892" s="11"/>
      <c r="P4892" s="11"/>
      <c r="Q4892" s="8"/>
      <c r="S4892" s="3"/>
      <c r="T4892" s="3"/>
      <c r="U4892" s="7"/>
      <c r="V4892" s="436"/>
      <c r="X4892" s="8"/>
      <c r="Y4892" s="8"/>
      <c r="AH4892" s="3"/>
      <c r="AI4892" s="3"/>
      <c r="AJ4892" s="3"/>
    </row>
    <row r="4893" spans="3:36" s="6" customFormat="1" ht="11.25" customHeight="1">
      <c r="C4893" s="4"/>
      <c r="D4893" s="4"/>
      <c r="E4893" s="5"/>
      <c r="G4893" s="31"/>
      <c r="I4893" s="9"/>
      <c r="J4893" s="24"/>
      <c r="K4893" s="9"/>
      <c r="L4893" s="25"/>
      <c r="M4893" s="7"/>
      <c r="N4893" s="8"/>
      <c r="O4893" s="11"/>
      <c r="P4893" s="11"/>
      <c r="Q4893" s="8"/>
      <c r="S4893" s="3"/>
      <c r="T4893" s="3"/>
      <c r="U4893" s="7"/>
      <c r="V4893" s="436"/>
      <c r="X4893" s="8"/>
      <c r="Y4893" s="8"/>
      <c r="AH4893" s="3"/>
      <c r="AI4893" s="3"/>
      <c r="AJ4893" s="3"/>
    </row>
    <row r="4894" spans="3:36" s="6" customFormat="1" ht="11.25" customHeight="1">
      <c r="C4894" s="4"/>
      <c r="D4894" s="4"/>
      <c r="E4894" s="5"/>
      <c r="G4894" s="31"/>
      <c r="I4894" s="9"/>
      <c r="J4894" s="24"/>
      <c r="K4894" s="9"/>
      <c r="L4894" s="25"/>
      <c r="M4894" s="7"/>
      <c r="N4894" s="8"/>
      <c r="O4894" s="11"/>
      <c r="P4894" s="11"/>
      <c r="Q4894" s="8"/>
      <c r="S4894" s="3"/>
      <c r="T4894" s="3"/>
      <c r="U4894" s="7"/>
      <c r="V4894" s="436"/>
      <c r="X4894" s="8"/>
      <c r="Y4894" s="8"/>
      <c r="AH4894" s="3"/>
      <c r="AI4894" s="3"/>
      <c r="AJ4894" s="3"/>
    </row>
    <row r="4895" spans="3:36" s="6" customFormat="1" ht="11.25" customHeight="1">
      <c r="C4895" s="4"/>
      <c r="D4895" s="4"/>
      <c r="E4895" s="5"/>
      <c r="G4895" s="31"/>
      <c r="I4895" s="9"/>
      <c r="J4895" s="24"/>
      <c r="K4895" s="9"/>
      <c r="L4895" s="25"/>
      <c r="M4895" s="7"/>
      <c r="N4895" s="8"/>
      <c r="O4895" s="11"/>
      <c r="P4895" s="11"/>
      <c r="Q4895" s="8"/>
      <c r="S4895" s="3"/>
      <c r="T4895" s="3"/>
      <c r="U4895" s="7"/>
      <c r="V4895" s="436"/>
      <c r="X4895" s="8"/>
      <c r="Y4895" s="8"/>
      <c r="AH4895" s="3"/>
      <c r="AI4895" s="3"/>
      <c r="AJ4895" s="3"/>
    </row>
    <row r="4896" spans="3:36" s="6" customFormat="1" ht="11.25" customHeight="1">
      <c r="C4896" s="4"/>
      <c r="D4896" s="4"/>
      <c r="E4896" s="5"/>
      <c r="G4896" s="31"/>
      <c r="I4896" s="9"/>
      <c r="J4896" s="24"/>
      <c r="K4896" s="9"/>
      <c r="L4896" s="25"/>
      <c r="M4896" s="7"/>
      <c r="N4896" s="8"/>
      <c r="O4896" s="11"/>
      <c r="P4896" s="11"/>
      <c r="Q4896" s="8"/>
      <c r="S4896" s="3"/>
      <c r="T4896" s="3"/>
      <c r="U4896" s="7"/>
      <c r="V4896" s="436"/>
      <c r="X4896" s="8"/>
      <c r="Y4896" s="8"/>
      <c r="AH4896" s="3"/>
      <c r="AI4896" s="3"/>
      <c r="AJ4896" s="3"/>
    </row>
    <row r="4897" spans="3:36" s="6" customFormat="1" ht="11.25" customHeight="1">
      <c r="C4897" s="4"/>
      <c r="D4897" s="4"/>
      <c r="E4897" s="5"/>
      <c r="G4897" s="31"/>
      <c r="I4897" s="9"/>
      <c r="J4897" s="24"/>
      <c r="K4897" s="9"/>
      <c r="L4897" s="25"/>
      <c r="M4897" s="7"/>
      <c r="N4897" s="8"/>
      <c r="O4897" s="11"/>
      <c r="P4897" s="11"/>
      <c r="Q4897" s="8"/>
      <c r="S4897" s="3"/>
      <c r="T4897" s="3"/>
      <c r="U4897" s="7"/>
      <c r="V4897" s="436"/>
      <c r="X4897" s="8"/>
      <c r="Y4897" s="8"/>
      <c r="AH4897" s="3"/>
      <c r="AI4897" s="3"/>
      <c r="AJ4897" s="3"/>
    </row>
    <row r="4898" spans="3:36" s="6" customFormat="1" ht="11.25" customHeight="1">
      <c r="C4898" s="4"/>
      <c r="D4898" s="4"/>
      <c r="E4898" s="5"/>
      <c r="G4898" s="31"/>
      <c r="I4898" s="9"/>
      <c r="J4898" s="24"/>
      <c r="K4898" s="9"/>
      <c r="L4898" s="25"/>
      <c r="M4898" s="7"/>
      <c r="N4898" s="8"/>
      <c r="O4898" s="11"/>
      <c r="P4898" s="11"/>
      <c r="Q4898" s="8"/>
      <c r="S4898" s="3"/>
      <c r="T4898" s="3"/>
      <c r="U4898" s="7"/>
      <c r="V4898" s="436"/>
      <c r="X4898" s="8"/>
      <c r="Y4898" s="8"/>
      <c r="AH4898" s="3"/>
      <c r="AI4898" s="3"/>
      <c r="AJ4898" s="3"/>
    </row>
    <row r="4899" spans="3:36" s="6" customFormat="1" ht="11.25" customHeight="1">
      <c r="C4899" s="4"/>
      <c r="D4899" s="4"/>
      <c r="E4899" s="5"/>
      <c r="G4899" s="31"/>
      <c r="I4899" s="9"/>
      <c r="J4899" s="24"/>
      <c r="K4899" s="9"/>
      <c r="L4899" s="25"/>
      <c r="M4899" s="7"/>
      <c r="N4899" s="8"/>
      <c r="O4899" s="11"/>
      <c r="P4899" s="11"/>
      <c r="Q4899" s="8"/>
      <c r="S4899" s="3"/>
      <c r="T4899" s="3"/>
      <c r="U4899" s="7"/>
      <c r="V4899" s="436"/>
      <c r="X4899" s="8"/>
      <c r="Y4899" s="8"/>
      <c r="AH4899" s="3"/>
      <c r="AI4899" s="3"/>
      <c r="AJ4899" s="3"/>
    </row>
    <row r="4900" spans="3:36" s="6" customFormat="1" ht="11.25" customHeight="1">
      <c r="C4900" s="4"/>
      <c r="D4900" s="4"/>
      <c r="E4900" s="5"/>
      <c r="G4900" s="31"/>
      <c r="I4900" s="9"/>
      <c r="J4900" s="24"/>
      <c r="K4900" s="9"/>
      <c r="L4900" s="25"/>
      <c r="M4900" s="7"/>
      <c r="N4900" s="8"/>
      <c r="O4900" s="11"/>
      <c r="P4900" s="11"/>
      <c r="Q4900" s="8"/>
      <c r="S4900" s="3"/>
      <c r="T4900" s="3"/>
      <c r="U4900" s="7"/>
      <c r="V4900" s="436"/>
      <c r="X4900" s="8"/>
      <c r="Y4900" s="8"/>
      <c r="AH4900" s="3"/>
      <c r="AI4900" s="3"/>
      <c r="AJ4900" s="3"/>
    </row>
    <row r="4901" spans="3:36" s="6" customFormat="1" ht="11.25" customHeight="1">
      <c r="C4901" s="4"/>
      <c r="D4901" s="4"/>
      <c r="E4901" s="5"/>
      <c r="G4901" s="31"/>
      <c r="I4901" s="9"/>
      <c r="J4901" s="24"/>
      <c r="K4901" s="9"/>
      <c r="L4901" s="25"/>
      <c r="M4901" s="7"/>
      <c r="N4901" s="8"/>
      <c r="O4901" s="11"/>
      <c r="P4901" s="11"/>
      <c r="Q4901" s="8"/>
      <c r="S4901" s="3"/>
      <c r="T4901" s="3"/>
      <c r="U4901" s="7"/>
      <c r="V4901" s="436"/>
      <c r="X4901" s="8"/>
      <c r="Y4901" s="8"/>
      <c r="AH4901" s="3"/>
      <c r="AI4901" s="3"/>
      <c r="AJ4901" s="3"/>
    </row>
    <row r="4902" spans="3:36" s="6" customFormat="1" ht="11.25" customHeight="1">
      <c r="C4902" s="4"/>
      <c r="D4902" s="4"/>
      <c r="E4902" s="5"/>
      <c r="G4902" s="31"/>
      <c r="I4902" s="9"/>
      <c r="J4902" s="24"/>
      <c r="K4902" s="9"/>
      <c r="L4902" s="25"/>
      <c r="M4902" s="7"/>
      <c r="N4902" s="8"/>
      <c r="O4902" s="11"/>
      <c r="P4902" s="11"/>
      <c r="Q4902" s="8"/>
      <c r="S4902" s="3"/>
      <c r="T4902" s="3"/>
      <c r="U4902" s="7"/>
      <c r="V4902" s="436"/>
      <c r="X4902" s="8"/>
      <c r="Y4902" s="8"/>
      <c r="AH4902" s="3"/>
      <c r="AI4902" s="3"/>
      <c r="AJ4902" s="3"/>
    </row>
    <row r="4903" spans="3:36" s="6" customFormat="1" ht="11.25" customHeight="1">
      <c r="C4903" s="4"/>
      <c r="D4903" s="4"/>
      <c r="E4903" s="5"/>
      <c r="G4903" s="31"/>
      <c r="I4903" s="9"/>
      <c r="J4903" s="24"/>
      <c r="K4903" s="9"/>
      <c r="L4903" s="25"/>
      <c r="M4903" s="7"/>
      <c r="N4903" s="8"/>
      <c r="O4903" s="11"/>
      <c r="P4903" s="11"/>
      <c r="Q4903" s="8"/>
      <c r="S4903" s="3"/>
      <c r="T4903" s="3"/>
      <c r="U4903" s="7"/>
      <c r="V4903" s="436"/>
      <c r="X4903" s="8"/>
      <c r="Y4903" s="8"/>
      <c r="AH4903" s="3"/>
      <c r="AI4903" s="3"/>
      <c r="AJ4903" s="3"/>
    </row>
    <row r="4904" spans="3:36" s="6" customFormat="1" ht="11.25" customHeight="1">
      <c r="C4904" s="4"/>
      <c r="D4904" s="4"/>
      <c r="E4904" s="5"/>
      <c r="G4904" s="31"/>
      <c r="I4904" s="9"/>
      <c r="J4904" s="24"/>
      <c r="K4904" s="9"/>
      <c r="L4904" s="25"/>
      <c r="M4904" s="7"/>
      <c r="N4904" s="8"/>
      <c r="O4904" s="11"/>
      <c r="P4904" s="11"/>
      <c r="Q4904" s="8"/>
      <c r="S4904" s="3"/>
      <c r="T4904" s="3"/>
      <c r="U4904" s="7"/>
      <c r="V4904" s="436"/>
      <c r="X4904" s="8"/>
      <c r="Y4904" s="8"/>
      <c r="AH4904" s="3"/>
      <c r="AI4904" s="3"/>
      <c r="AJ4904" s="3"/>
    </row>
    <row r="4905" spans="3:36" s="6" customFormat="1" ht="11.25" customHeight="1">
      <c r="C4905" s="4"/>
      <c r="D4905" s="4"/>
      <c r="E4905" s="5"/>
      <c r="G4905" s="31"/>
      <c r="I4905" s="9"/>
      <c r="J4905" s="24"/>
      <c r="K4905" s="9"/>
      <c r="L4905" s="25"/>
      <c r="M4905" s="7"/>
      <c r="N4905" s="8"/>
      <c r="O4905" s="11"/>
      <c r="P4905" s="11"/>
      <c r="Q4905" s="8"/>
      <c r="S4905" s="3"/>
      <c r="T4905" s="3"/>
      <c r="U4905" s="7"/>
      <c r="V4905" s="436"/>
      <c r="X4905" s="8"/>
      <c r="Y4905" s="8"/>
      <c r="AH4905" s="3"/>
      <c r="AI4905" s="3"/>
      <c r="AJ4905" s="3"/>
    </row>
    <row r="4906" spans="3:36" s="6" customFormat="1" ht="11.25" customHeight="1">
      <c r="C4906" s="4"/>
      <c r="D4906" s="4"/>
      <c r="E4906" s="5"/>
      <c r="G4906" s="31"/>
      <c r="I4906" s="9"/>
      <c r="J4906" s="24"/>
      <c r="K4906" s="9"/>
      <c r="L4906" s="25"/>
      <c r="M4906" s="7"/>
      <c r="N4906" s="8"/>
      <c r="O4906" s="11"/>
      <c r="P4906" s="11"/>
      <c r="Q4906" s="8"/>
      <c r="S4906" s="3"/>
      <c r="T4906" s="3"/>
      <c r="U4906" s="7"/>
      <c r="V4906" s="436"/>
      <c r="X4906" s="8"/>
      <c r="Y4906" s="8"/>
      <c r="AH4906" s="3"/>
      <c r="AI4906" s="3"/>
      <c r="AJ4906" s="3"/>
    </row>
    <row r="4907" spans="3:36" s="6" customFormat="1" ht="11.25" customHeight="1">
      <c r="C4907" s="4"/>
      <c r="D4907" s="4"/>
      <c r="E4907" s="5"/>
      <c r="G4907" s="31"/>
      <c r="I4907" s="9"/>
      <c r="J4907" s="24"/>
      <c r="K4907" s="9"/>
      <c r="L4907" s="25"/>
      <c r="M4907" s="7"/>
      <c r="N4907" s="8"/>
      <c r="O4907" s="11"/>
      <c r="P4907" s="11"/>
      <c r="Q4907" s="8"/>
      <c r="S4907" s="3"/>
      <c r="T4907" s="3"/>
      <c r="U4907" s="7"/>
      <c r="V4907" s="436"/>
      <c r="X4907" s="8"/>
      <c r="Y4907" s="8"/>
      <c r="AH4907" s="3"/>
      <c r="AI4907" s="3"/>
      <c r="AJ4907" s="3"/>
    </row>
    <row r="4908" spans="3:36" s="6" customFormat="1" ht="11.25" customHeight="1">
      <c r="C4908" s="4"/>
      <c r="D4908" s="4"/>
      <c r="E4908" s="5"/>
      <c r="G4908" s="31"/>
      <c r="I4908" s="9"/>
      <c r="J4908" s="24"/>
      <c r="K4908" s="9"/>
      <c r="L4908" s="25"/>
      <c r="M4908" s="7"/>
      <c r="N4908" s="8"/>
      <c r="O4908" s="11"/>
      <c r="P4908" s="11"/>
      <c r="Q4908" s="8"/>
      <c r="S4908" s="3"/>
      <c r="T4908" s="3"/>
      <c r="U4908" s="7"/>
      <c r="V4908" s="436"/>
      <c r="X4908" s="8"/>
      <c r="Y4908" s="8"/>
      <c r="AH4908" s="3"/>
      <c r="AI4908" s="3"/>
      <c r="AJ4908" s="3"/>
    </row>
    <row r="4909" spans="3:36" s="6" customFormat="1" ht="11.25" customHeight="1">
      <c r="C4909" s="4"/>
      <c r="D4909" s="4"/>
      <c r="E4909" s="5"/>
      <c r="G4909" s="31"/>
      <c r="I4909" s="9"/>
      <c r="J4909" s="24"/>
      <c r="K4909" s="9"/>
      <c r="L4909" s="25"/>
      <c r="M4909" s="7"/>
      <c r="N4909" s="8"/>
      <c r="O4909" s="11"/>
      <c r="P4909" s="11"/>
      <c r="Q4909" s="8"/>
      <c r="S4909" s="3"/>
      <c r="T4909" s="3"/>
      <c r="U4909" s="7"/>
      <c r="V4909" s="436"/>
      <c r="X4909" s="8"/>
      <c r="Y4909" s="8"/>
      <c r="AH4909" s="3"/>
      <c r="AI4909" s="3"/>
      <c r="AJ4909" s="3"/>
    </row>
    <row r="4910" spans="3:36" s="6" customFormat="1" ht="11.25" customHeight="1">
      <c r="C4910" s="4"/>
      <c r="D4910" s="4"/>
      <c r="E4910" s="5"/>
      <c r="G4910" s="31"/>
      <c r="I4910" s="9"/>
      <c r="J4910" s="24"/>
      <c r="K4910" s="9"/>
      <c r="L4910" s="25"/>
      <c r="M4910" s="7"/>
      <c r="N4910" s="8"/>
      <c r="O4910" s="11"/>
      <c r="P4910" s="11"/>
      <c r="Q4910" s="8"/>
      <c r="S4910" s="3"/>
      <c r="T4910" s="3"/>
      <c r="U4910" s="7"/>
      <c r="V4910" s="436"/>
      <c r="X4910" s="8"/>
      <c r="Y4910" s="8"/>
      <c r="AH4910" s="3"/>
      <c r="AI4910" s="3"/>
      <c r="AJ4910" s="3"/>
    </row>
    <row r="4911" spans="3:36" s="6" customFormat="1" ht="11.25" customHeight="1">
      <c r="C4911" s="4"/>
      <c r="D4911" s="4"/>
      <c r="E4911" s="5"/>
      <c r="G4911" s="31"/>
      <c r="I4911" s="9"/>
      <c r="J4911" s="24"/>
      <c r="K4911" s="9"/>
      <c r="L4911" s="25"/>
      <c r="M4911" s="7"/>
      <c r="N4911" s="8"/>
      <c r="O4911" s="11"/>
      <c r="P4911" s="11"/>
      <c r="Q4911" s="8"/>
      <c r="S4911" s="3"/>
      <c r="T4911" s="3"/>
      <c r="U4911" s="7"/>
      <c r="V4911" s="436"/>
      <c r="X4911" s="8"/>
      <c r="Y4911" s="8"/>
      <c r="AH4911" s="3"/>
      <c r="AI4911" s="3"/>
      <c r="AJ4911" s="3"/>
    </row>
    <row r="4912" spans="3:36" s="6" customFormat="1" ht="11.25" customHeight="1">
      <c r="C4912" s="4"/>
      <c r="D4912" s="4"/>
      <c r="E4912" s="5"/>
      <c r="G4912" s="31"/>
      <c r="I4912" s="9"/>
      <c r="J4912" s="24"/>
      <c r="K4912" s="9"/>
      <c r="L4912" s="25"/>
      <c r="M4912" s="7"/>
      <c r="N4912" s="8"/>
      <c r="O4912" s="11"/>
      <c r="P4912" s="11"/>
      <c r="Q4912" s="8"/>
      <c r="S4912" s="3"/>
      <c r="T4912" s="3"/>
      <c r="U4912" s="7"/>
      <c r="V4912" s="436"/>
      <c r="X4912" s="8"/>
      <c r="Y4912" s="8"/>
      <c r="AH4912" s="3"/>
      <c r="AI4912" s="3"/>
      <c r="AJ4912" s="3"/>
    </row>
    <row r="4913" spans="3:36" s="6" customFormat="1" ht="11.25" customHeight="1">
      <c r="C4913" s="4"/>
      <c r="D4913" s="4"/>
      <c r="E4913" s="5"/>
      <c r="G4913" s="31"/>
      <c r="I4913" s="9"/>
      <c r="J4913" s="24"/>
      <c r="K4913" s="9"/>
      <c r="L4913" s="25"/>
      <c r="M4913" s="7"/>
      <c r="N4913" s="8"/>
      <c r="O4913" s="11"/>
      <c r="P4913" s="11"/>
      <c r="Q4913" s="8"/>
      <c r="S4913" s="3"/>
      <c r="T4913" s="3"/>
      <c r="U4913" s="7"/>
      <c r="V4913" s="436"/>
      <c r="X4913" s="8"/>
      <c r="Y4913" s="8"/>
      <c r="AH4913" s="3"/>
      <c r="AI4913" s="3"/>
      <c r="AJ4913" s="3"/>
    </row>
    <row r="4914" spans="3:36" s="6" customFormat="1" ht="11.25" customHeight="1">
      <c r="C4914" s="4"/>
      <c r="D4914" s="4"/>
      <c r="E4914" s="5"/>
      <c r="G4914" s="31"/>
      <c r="I4914" s="9"/>
      <c r="J4914" s="24"/>
      <c r="K4914" s="9"/>
      <c r="L4914" s="25"/>
      <c r="M4914" s="7"/>
      <c r="N4914" s="8"/>
      <c r="O4914" s="11"/>
      <c r="P4914" s="11"/>
      <c r="Q4914" s="8"/>
      <c r="S4914" s="3"/>
      <c r="T4914" s="3"/>
      <c r="U4914" s="7"/>
      <c r="V4914" s="436"/>
      <c r="X4914" s="8"/>
      <c r="Y4914" s="8"/>
      <c r="AH4914" s="3"/>
      <c r="AI4914" s="3"/>
      <c r="AJ4914" s="3"/>
    </row>
    <row r="4915" spans="3:36" s="6" customFormat="1" ht="11.25" customHeight="1">
      <c r="C4915" s="4"/>
      <c r="D4915" s="4"/>
      <c r="E4915" s="5"/>
      <c r="G4915" s="31"/>
      <c r="I4915" s="9"/>
      <c r="J4915" s="24"/>
      <c r="K4915" s="9"/>
      <c r="L4915" s="25"/>
      <c r="M4915" s="7"/>
      <c r="N4915" s="8"/>
      <c r="O4915" s="11"/>
      <c r="P4915" s="11"/>
      <c r="Q4915" s="8"/>
      <c r="S4915" s="3"/>
      <c r="T4915" s="3"/>
      <c r="U4915" s="7"/>
      <c r="V4915" s="436"/>
      <c r="X4915" s="8"/>
      <c r="Y4915" s="8"/>
      <c r="AH4915" s="3"/>
      <c r="AI4915" s="3"/>
      <c r="AJ4915" s="3"/>
    </row>
    <row r="4916" spans="3:36" s="6" customFormat="1" ht="11.25" customHeight="1">
      <c r="C4916" s="4"/>
      <c r="D4916" s="4"/>
      <c r="E4916" s="5"/>
      <c r="G4916" s="31"/>
      <c r="I4916" s="9"/>
      <c r="J4916" s="24"/>
      <c r="K4916" s="9"/>
      <c r="L4916" s="25"/>
      <c r="M4916" s="7"/>
      <c r="N4916" s="8"/>
      <c r="O4916" s="11"/>
      <c r="P4916" s="11"/>
      <c r="Q4916" s="8"/>
      <c r="S4916" s="3"/>
      <c r="T4916" s="3"/>
      <c r="U4916" s="7"/>
      <c r="V4916" s="436"/>
      <c r="X4916" s="8"/>
      <c r="Y4916" s="8"/>
      <c r="AH4916" s="3"/>
      <c r="AI4916" s="3"/>
      <c r="AJ4916" s="3"/>
    </row>
    <row r="4917" spans="3:36" s="6" customFormat="1" ht="11.25" customHeight="1">
      <c r="C4917" s="4"/>
      <c r="D4917" s="4"/>
      <c r="E4917" s="5"/>
      <c r="G4917" s="31"/>
      <c r="I4917" s="9"/>
      <c r="J4917" s="24"/>
      <c r="K4917" s="9"/>
      <c r="L4917" s="25"/>
      <c r="M4917" s="7"/>
      <c r="N4917" s="8"/>
      <c r="O4917" s="11"/>
      <c r="P4917" s="11"/>
      <c r="Q4917" s="8"/>
      <c r="S4917" s="3"/>
      <c r="T4917" s="3"/>
      <c r="U4917" s="7"/>
      <c r="V4917" s="436"/>
      <c r="X4917" s="8"/>
      <c r="Y4917" s="8"/>
      <c r="AH4917" s="3"/>
      <c r="AI4917" s="3"/>
      <c r="AJ4917" s="3"/>
    </row>
    <row r="4918" spans="3:36" s="6" customFormat="1" ht="11.25" customHeight="1">
      <c r="C4918" s="4"/>
      <c r="D4918" s="4"/>
      <c r="E4918" s="5"/>
      <c r="G4918" s="31"/>
      <c r="I4918" s="9"/>
      <c r="J4918" s="24"/>
      <c r="K4918" s="9"/>
      <c r="L4918" s="25"/>
      <c r="M4918" s="47"/>
      <c r="N4918" s="8"/>
      <c r="O4918" s="11"/>
      <c r="P4918" s="11"/>
      <c r="Q4918" s="8"/>
      <c r="S4918" s="3"/>
      <c r="T4918" s="3"/>
      <c r="U4918" s="7"/>
      <c r="V4918" s="436"/>
      <c r="X4918" s="8"/>
      <c r="Y4918" s="8"/>
      <c r="AH4918" s="3"/>
      <c r="AI4918" s="3"/>
      <c r="AJ4918" s="3"/>
    </row>
    <row r="4919" spans="3:36" s="6" customFormat="1" ht="11.25" customHeight="1">
      <c r="C4919" s="4"/>
      <c r="D4919" s="4"/>
      <c r="E4919" s="5"/>
      <c r="G4919" s="31"/>
      <c r="I4919" s="9"/>
      <c r="J4919" s="24"/>
      <c r="K4919" s="9"/>
      <c r="L4919" s="25"/>
      <c r="M4919" s="25"/>
      <c r="N4919" s="8"/>
      <c r="O4919" s="11"/>
      <c r="P4919" s="11"/>
      <c r="Q4919" s="8"/>
      <c r="S4919" s="3"/>
      <c r="T4919" s="3"/>
      <c r="U4919" s="7"/>
      <c r="V4919" s="436"/>
      <c r="X4919" s="8"/>
      <c r="Y4919" s="8"/>
      <c r="AH4919" s="3"/>
      <c r="AI4919" s="3"/>
      <c r="AJ4919" s="3"/>
    </row>
    <row r="4920" spans="3:36" s="6" customFormat="1" ht="11.25" customHeight="1">
      <c r="C4920" s="4"/>
      <c r="D4920" s="4"/>
      <c r="E4920" s="5"/>
      <c r="G4920" s="31"/>
      <c r="I4920" s="9"/>
      <c r="J4920" s="24"/>
      <c r="K4920" s="9"/>
      <c r="L4920" s="25"/>
      <c r="M4920" s="25"/>
      <c r="N4920" s="8"/>
      <c r="O4920" s="11"/>
      <c r="P4920" s="11"/>
      <c r="Q4920" s="8"/>
      <c r="S4920" s="3"/>
      <c r="T4920" s="3"/>
      <c r="U4920" s="7"/>
      <c r="V4920" s="436"/>
      <c r="X4920" s="8"/>
      <c r="Y4920" s="8"/>
      <c r="AH4920" s="3"/>
      <c r="AI4920" s="3"/>
      <c r="AJ4920" s="3"/>
    </row>
    <row r="4921" spans="3:36" s="6" customFormat="1" ht="11.25" customHeight="1">
      <c r="C4921" s="4"/>
      <c r="D4921" s="4"/>
      <c r="E4921" s="5"/>
      <c r="G4921" s="31"/>
      <c r="I4921" s="9"/>
      <c r="J4921" s="24"/>
      <c r="K4921" s="9"/>
      <c r="L4921" s="25"/>
      <c r="M4921" s="25"/>
      <c r="N4921" s="8"/>
      <c r="O4921" s="11"/>
      <c r="P4921" s="11"/>
      <c r="Q4921" s="8"/>
      <c r="S4921" s="3"/>
      <c r="T4921" s="3"/>
      <c r="U4921" s="7"/>
      <c r="V4921" s="436"/>
      <c r="X4921" s="8"/>
      <c r="Y4921" s="8"/>
      <c r="AH4921" s="3"/>
      <c r="AI4921" s="3"/>
      <c r="AJ4921" s="3"/>
    </row>
    <row r="4922" spans="3:36" s="6" customFormat="1" ht="11.25" customHeight="1">
      <c r="C4922" s="4"/>
      <c r="D4922" s="4"/>
      <c r="E4922" s="5"/>
      <c r="G4922" s="31"/>
      <c r="I4922" s="9"/>
      <c r="J4922" s="24"/>
      <c r="K4922" s="9"/>
      <c r="L4922" s="25"/>
      <c r="M4922" s="25"/>
      <c r="N4922" s="8"/>
      <c r="O4922" s="11"/>
      <c r="P4922" s="11"/>
      <c r="Q4922" s="8"/>
      <c r="S4922" s="3"/>
      <c r="T4922" s="3"/>
      <c r="U4922" s="7"/>
      <c r="V4922" s="436"/>
      <c r="X4922" s="8"/>
      <c r="Y4922" s="8"/>
      <c r="AH4922" s="3"/>
      <c r="AI4922" s="3"/>
      <c r="AJ4922" s="3"/>
    </row>
    <row r="4923" spans="3:36" s="6" customFormat="1" ht="11.25" customHeight="1">
      <c r="C4923" s="4"/>
      <c r="D4923" s="4"/>
      <c r="E4923" s="5"/>
      <c r="G4923" s="31"/>
      <c r="I4923" s="9"/>
      <c r="J4923" s="24"/>
      <c r="K4923" s="9"/>
      <c r="L4923" s="25"/>
      <c r="M4923" s="25"/>
      <c r="N4923" s="8"/>
      <c r="O4923" s="11"/>
      <c r="P4923" s="11"/>
      <c r="Q4923" s="8"/>
      <c r="S4923" s="3"/>
      <c r="T4923" s="3"/>
      <c r="U4923" s="7"/>
      <c r="V4923" s="436"/>
      <c r="X4923" s="8"/>
      <c r="Y4923" s="8"/>
      <c r="AH4923" s="3"/>
      <c r="AI4923" s="3"/>
      <c r="AJ4923" s="3"/>
    </row>
    <row r="4924" spans="3:36" s="6" customFormat="1" ht="11.25" customHeight="1">
      <c r="C4924" s="4"/>
      <c r="D4924" s="4"/>
      <c r="E4924" s="5"/>
      <c r="G4924" s="31"/>
      <c r="I4924" s="9"/>
      <c r="J4924" s="24"/>
      <c r="K4924" s="9"/>
      <c r="L4924" s="25"/>
      <c r="M4924" s="25"/>
      <c r="N4924" s="8"/>
      <c r="O4924" s="11"/>
      <c r="P4924" s="11"/>
      <c r="Q4924" s="8"/>
      <c r="S4924" s="3"/>
      <c r="T4924" s="3"/>
      <c r="U4924" s="7"/>
      <c r="V4924" s="436"/>
      <c r="X4924" s="8"/>
      <c r="Y4924" s="8"/>
      <c r="AH4924" s="3"/>
      <c r="AI4924" s="3"/>
      <c r="AJ4924" s="3"/>
    </row>
    <row r="4925" spans="3:36" s="6" customFormat="1" ht="11.25" customHeight="1">
      <c r="C4925" s="4"/>
      <c r="D4925" s="4"/>
      <c r="E4925" s="5"/>
      <c r="G4925" s="31"/>
      <c r="I4925" s="9"/>
      <c r="J4925" s="24"/>
      <c r="K4925" s="9"/>
      <c r="L4925" s="25"/>
      <c r="M4925" s="25"/>
      <c r="N4925" s="8"/>
      <c r="O4925" s="11"/>
      <c r="P4925" s="11"/>
      <c r="Q4925" s="8"/>
      <c r="S4925" s="3"/>
      <c r="T4925" s="3"/>
      <c r="U4925" s="7"/>
      <c r="V4925" s="436"/>
      <c r="X4925" s="8"/>
      <c r="Y4925" s="8"/>
      <c r="AH4925" s="3"/>
      <c r="AI4925" s="3"/>
      <c r="AJ4925" s="3"/>
    </row>
    <row r="4926" spans="3:36" s="6" customFormat="1" ht="11.25" customHeight="1">
      <c r="C4926" s="4"/>
      <c r="D4926" s="4"/>
      <c r="E4926" s="5"/>
      <c r="G4926" s="31"/>
      <c r="I4926" s="9"/>
      <c r="J4926" s="24"/>
      <c r="K4926" s="9"/>
      <c r="L4926" s="25"/>
      <c r="M4926" s="25"/>
      <c r="N4926" s="8"/>
      <c r="O4926" s="11"/>
      <c r="P4926" s="11"/>
      <c r="Q4926" s="8"/>
      <c r="S4926" s="3"/>
      <c r="T4926" s="3"/>
      <c r="U4926" s="7"/>
      <c r="V4926" s="436"/>
      <c r="X4926" s="8"/>
      <c r="Y4926" s="8"/>
      <c r="AH4926" s="3"/>
      <c r="AI4926" s="3"/>
      <c r="AJ4926" s="3"/>
    </row>
    <row r="4927" spans="3:36" s="6" customFormat="1" ht="11.25" customHeight="1">
      <c r="C4927" s="4"/>
      <c r="D4927" s="4"/>
      <c r="E4927" s="5"/>
      <c r="G4927" s="31"/>
      <c r="I4927" s="9"/>
      <c r="J4927" s="24"/>
      <c r="K4927" s="28"/>
      <c r="L4927" s="25"/>
      <c r="M4927" s="25"/>
      <c r="N4927" s="8"/>
      <c r="O4927" s="11"/>
      <c r="P4927" s="11"/>
      <c r="Q4927" s="8"/>
      <c r="S4927" s="3"/>
      <c r="T4927" s="3"/>
      <c r="U4927" s="7"/>
      <c r="V4927" s="436"/>
      <c r="X4927" s="8"/>
      <c r="Y4927" s="8"/>
      <c r="AH4927" s="3"/>
      <c r="AI4927" s="3"/>
      <c r="AJ4927" s="3"/>
    </row>
    <row r="4928" spans="3:36" s="6" customFormat="1" ht="11.25" customHeight="1">
      <c r="C4928" s="4"/>
      <c r="D4928" s="4"/>
      <c r="E4928" s="5"/>
      <c r="G4928" s="31"/>
      <c r="I4928" s="9"/>
      <c r="J4928" s="24"/>
      <c r="K4928" s="9"/>
      <c r="L4928" s="25"/>
      <c r="M4928" s="25"/>
      <c r="N4928" s="8"/>
      <c r="O4928" s="11"/>
      <c r="P4928" s="11"/>
      <c r="Q4928" s="8"/>
      <c r="S4928" s="3"/>
      <c r="T4928" s="3"/>
      <c r="U4928" s="7"/>
      <c r="V4928" s="436"/>
      <c r="X4928" s="8"/>
      <c r="Y4928" s="8"/>
      <c r="AH4928" s="3"/>
      <c r="AI4928" s="3"/>
      <c r="AJ4928" s="3"/>
    </row>
    <row r="4929" spans="3:36" s="6" customFormat="1" ht="11.25" customHeight="1">
      <c r="C4929" s="4"/>
      <c r="D4929" s="4"/>
      <c r="E4929" s="5"/>
      <c r="G4929" s="31"/>
      <c r="I4929" s="9"/>
      <c r="J4929" s="24"/>
      <c r="K4929" s="9"/>
      <c r="L4929" s="25"/>
      <c r="M4929" s="25"/>
      <c r="N4929" s="8"/>
      <c r="O4929" s="11"/>
      <c r="P4929" s="11"/>
      <c r="Q4929" s="8"/>
      <c r="S4929" s="3"/>
      <c r="T4929" s="3"/>
      <c r="U4929" s="7"/>
      <c r="V4929" s="436"/>
      <c r="X4929" s="8"/>
      <c r="Y4929" s="8"/>
      <c r="AH4929" s="3"/>
      <c r="AI4929" s="3"/>
      <c r="AJ4929" s="3"/>
    </row>
    <row r="4930" spans="3:36" s="6" customFormat="1" ht="11.25" customHeight="1">
      <c r="C4930" s="4"/>
      <c r="D4930" s="4"/>
      <c r="E4930" s="5"/>
      <c r="G4930" s="31"/>
      <c r="I4930" s="9"/>
      <c r="J4930" s="24"/>
      <c r="K4930" s="9"/>
      <c r="L4930" s="25"/>
      <c r="M4930" s="25"/>
      <c r="N4930" s="8"/>
      <c r="O4930" s="11"/>
      <c r="P4930" s="11"/>
      <c r="Q4930" s="8"/>
      <c r="S4930" s="3"/>
      <c r="T4930" s="3"/>
      <c r="U4930" s="7"/>
      <c r="V4930" s="436"/>
      <c r="X4930" s="8"/>
      <c r="Y4930" s="8"/>
      <c r="AH4930" s="3"/>
      <c r="AI4930" s="3"/>
      <c r="AJ4930" s="3"/>
    </row>
    <row r="4931" spans="3:36" s="6" customFormat="1" ht="11.25" customHeight="1">
      <c r="C4931" s="4"/>
      <c r="D4931" s="4"/>
      <c r="E4931" s="5"/>
      <c r="G4931" s="31"/>
      <c r="I4931" s="9"/>
      <c r="J4931" s="24"/>
      <c r="K4931" s="9"/>
      <c r="L4931" s="25"/>
      <c r="M4931" s="25"/>
      <c r="N4931" s="8"/>
      <c r="O4931" s="11"/>
      <c r="P4931" s="11"/>
      <c r="Q4931" s="8"/>
      <c r="S4931" s="3"/>
      <c r="T4931" s="3"/>
      <c r="U4931" s="7"/>
      <c r="V4931" s="436"/>
      <c r="X4931" s="8"/>
      <c r="Y4931" s="8"/>
      <c r="AH4931" s="3"/>
      <c r="AI4931" s="3"/>
      <c r="AJ4931" s="3"/>
    </row>
    <row r="4932" spans="3:36" s="6" customFormat="1" ht="11.25" customHeight="1">
      <c r="C4932" s="4"/>
      <c r="D4932" s="4"/>
      <c r="E4932" s="5"/>
      <c r="G4932" s="31"/>
      <c r="I4932" s="9"/>
      <c r="J4932" s="24"/>
      <c r="K4932" s="9"/>
      <c r="L4932" s="25"/>
      <c r="M4932" s="25"/>
      <c r="N4932" s="8"/>
      <c r="O4932" s="11"/>
      <c r="P4932" s="11"/>
      <c r="Q4932" s="8"/>
      <c r="S4932" s="3"/>
      <c r="T4932" s="3"/>
      <c r="U4932" s="7"/>
      <c r="V4932" s="436"/>
      <c r="X4932" s="8"/>
      <c r="Y4932" s="8"/>
      <c r="AH4932" s="3"/>
      <c r="AI4932" s="3"/>
      <c r="AJ4932" s="3"/>
    </row>
    <row r="4933" spans="3:36" s="6" customFormat="1" ht="11.25" customHeight="1">
      <c r="C4933" s="4"/>
      <c r="D4933" s="4"/>
      <c r="E4933" s="5"/>
      <c r="G4933" s="31"/>
      <c r="I4933" s="9"/>
      <c r="J4933" s="24"/>
      <c r="K4933" s="9"/>
      <c r="L4933" s="25"/>
      <c r="M4933" s="25"/>
      <c r="N4933" s="8"/>
      <c r="O4933" s="11"/>
      <c r="P4933" s="11"/>
      <c r="Q4933" s="8"/>
      <c r="S4933" s="3"/>
      <c r="T4933" s="3"/>
      <c r="U4933" s="7"/>
      <c r="V4933" s="436"/>
      <c r="X4933" s="8"/>
      <c r="Y4933" s="8"/>
      <c r="AH4933" s="3"/>
      <c r="AI4933" s="3"/>
      <c r="AJ4933" s="3"/>
    </row>
    <row r="4934" spans="3:36" s="6" customFormat="1" ht="11.25" customHeight="1">
      <c r="C4934" s="4"/>
      <c r="D4934" s="4"/>
      <c r="E4934" s="5"/>
      <c r="G4934" s="31"/>
      <c r="I4934" s="9"/>
      <c r="J4934" s="24"/>
      <c r="K4934" s="9"/>
      <c r="L4934" s="25"/>
      <c r="M4934" s="25"/>
      <c r="N4934" s="8"/>
      <c r="O4934" s="11"/>
      <c r="P4934" s="11"/>
      <c r="Q4934" s="8"/>
      <c r="S4934" s="3"/>
      <c r="T4934" s="3"/>
      <c r="U4934" s="7"/>
      <c r="V4934" s="436"/>
      <c r="X4934" s="8"/>
      <c r="Y4934" s="8"/>
      <c r="AH4934" s="3"/>
      <c r="AI4934" s="3"/>
      <c r="AJ4934" s="3"/>
    </row>
    <row r="4935" spans="3:36" s="6" customFormat="1" ht="11.25" customHeight="1">
      <c r="C4935" s="4"/>
      <c r="D4935" s="4"/>
      <c r="E4935" s="5"/>
      <c r="G4935" s="31"/>
      <c r="I4935" s="9"/>
      <c r="J4935" s="24"/>
      <c r="K4935" s="9"/>
      <c r="L4935" s="25"/>
      <c r="M4935" s="25"/>
      <c r="N4935" s="8"/>
      <c r="O4935" s="11"/>
      <c r="P4935" s="11"/>
      <c r="Q4935" s="8"/>
      <c r="S4935" s="3"/>
      <c r="T4935" s="3"/>
      <c r="U4935" s="7"/>
      <c r="V4935" s="436"/>
      <c r="X4935" s="8"/>
      <c r="Y4935" s="8"/>
      <c r="AH4935" s="3"/>
      <c r="AI4935" s="3"/>
      <c r="AJ4935" s="3"/>
    </row>
    <row r="4936" spans="3:36" s="6" customFormat="1" ht="11.25" customHeight="1">
      <c r="C4936" s="4"/>
      <c r="D4936" s="4"/>
      <c r="E4936" s="5"/>
      <c r="G4936" s="31"/>
      <c r="I4936" s="9"/>
      <c r="J4936" s="24"/>
      <c r="K4936" s="9"/>
      <c r="L4936" s="25"/>
      <c r="M4936" s="25"/>
      <c r="N4936" s="8"/>
      <c r="O4936" s="11"/>
      <c r="P4936" s="11"/>
      <c r="Q4936" s="8"/>
      <c r="S4936" s="3"/>
      <c r="T4936" s="3"/>
      <c r="U4936" s="7"/>
      <c r="V4936" s="436"/>
      <c r="X4936" s="8"/>
      <c r="Y4936" s="8"/>
      <c r="AH4936" s="3"/>
      <c r="AI4936" s="3"/>
      <c r="AJ4936" s="3"/>
    </row>
    <row r="4937" spans="3:36" s="6" customFormat="1" ht="11.25" customHeight="1">
      <c r="C4937" s="4"/>
      <c r="D4937" s="4"/>
      <c r="E4937" s="5"/>
      <c r="G4937" s="31"/>
      <c r="I4937" s="9"/>
      <c r="J4937" s="24"/>
      <c r="K4937" s="9"/>
      <c r="L4937" s="25"/>
      <c r="M4937" s="25"/>
      <c r="N4937" s="8"/>
      <c r="O4937" s="11"/>
      <c r="P4937" s="11"/>
      <c r="Q4937" s="8"/>
      <c r="S4937" s="3"/>
      <c r="T4937" s="3"/>
      <c r="U4937" s="7"/>
      <c r="V4937" s="436"/>
      <c r="X4937" s="8"/>
      <c r="Y4937" s="8"/>
      <c r="AH4937" s="3"/>
      <c r="AI4937" s="3"/>
      <c r="AJ4937" s="3"/>
    </row>
    <row r="4938" spans="3:36" s="6" customFormat="1" ht="11.25" customHeight="1">
      <c r="C4938" s="4"/>
      <c r="D4938" s="4"/>
      <c r="E4938" s="5"/>
      <c r="G4938" s="31"/>
      <c r="I4938" s="9"/>
      <c r="J4938" s="24"/>
      <c r="K4938" s="9"/>
      <c r="L4938" s="25"/>
      <c r="M4938" s="25"/>
      <c r="N4938" s="8"/>
      <c r="O4938" s="11"/>
      <c r="P4938" s="11"/>
      <c r="Q4938" s="8"/>
      <c r="S4938" s="3"/>
      <c r="T4938" s="3"/>
      <c r="U4938" s="7"/>
      <c r="V4938" s="436"/>
      <c r="X4938" s="8"/>
      <c r="Y4938" s="8"/>
      <c r="AH4938" s="3"/>
      <c r="AI4938" s="3"/>
      <c r="AJ4938" s="3"/>
    </row>
    <row r="4939" spans="3:36" s="6" customFormat="1" ht="11.25" customHeight="1">
      <c r="C4939" s="4"/>
      <c r="D4939" s="4"/>
      <c r="E4939" s="5"/>
      <c r="G4939" s="31"/>
      <c r="I4939" s="9"/>
      <c r="J4939" s="24"/>
      <c r="K4939" s="9"/>
      <c r="L4939" s="25"/>
      <c r="M4939" s="25"/>
      <c r="N4939" s="8"/>
      <c r="O4939" s="11"/>
      <c r="P4939" s="11"/>
      <c r="Q4939" s="8"/>
      <c r="S4939" s="3"/>
      <c r="T4939" s="3"/>
      <c r="U4939" s="7"/>
      <c r="V4939" s="436"/>
      <c r="X4939" s="8"/>
      <c r="Y4939" s="8"/>
      <c r="AH4939" s="3"/>
      <c r="AI4939" s="3"/>
      <c r="AJ4939" s="3"/>
    </row>
    <row r="4940" spans="3:36" s="6" customFormat="1" ht="11.25" customHeight="1">
      <c r="C4940" s="4"/>
      <c r="D4940" s="4"/>
      <c r="E4940" s="5"/>
      <c r="G4940" s="31"/>
      <c r="I4940" s="9"/>
      <c r="J4940" s="24"/>
      <c r="K4940" s="9"/>
      <c r="L4940" s="25"/>
      <c r="M4940" s="25"/>
      <c r="N4940" s="8"/>
      <c r="O4940" s="11"/>
      <c r="P4940" s="11"/>
      <c r="Q4940" s="8"/>
      <c r="S4940" s="3"/>
      <c r="T4940" s="3"/>
      <c r="U4940" s="7"/>
      <c r="V4940" s="436"/>
      <c r="X4940" s="8"/>
      <c r="Y4940" s="8"/>
      <c r="AH4940" s="3"/>
      <c r="AI4940" s="3"/>
      <c r="AJ4940" s="3"/>
    </row>
    <row r="4941" spans="3:36" s="6" customFormat="1" ht="11.25" customHeight="1">
      <c r="C4941" s="4"/>
      <c r="D4941" s="4"/>
      <c r="E4941" s="5"/>
      <c r="G4941" s="31"/>
      <c r="I4941" s="9"/>
      <c r="J4941" s="24"/>
      <c r="K4941" s="9"/>
      <c r="L4941" s="25"/>
      <c r="M4941" s="25"/>
      <c r="N4941" s="8"/>
      <c r="O4941" s="11"/>
      <c r="P4941" s="11"/>
      <c r="Q4941" s="8"/>
      <c r="S4941" s="3"/>
      <c r="T4941" s="3"/>
      <c r="U4941" s="7"/>
      <c r="V4941" s="436"/>
      <c r="X4941" s="8"/>
      <c r="Y4941" s="8"/>
      <c r="AH4941" s="3"/>
      <c r="AI4941" s="3"/>
      <c r="AJ4941" s="3"/>
    </row>
    <row r="4942" spans="3:36" s="6" customFormat="1" ht="11.25" customHeight="1">
      <c r="C4942" s="4"/>
      <c r="D4942" s="4"/>
      <c r="E4942" s="5"/>
      <c r="G4942" s="31"/>
      <c r="I4942" s="9"/>
      <c r="J4942" s="24"/>
      <c r="K4942" s="9"/>
      <c r="L4942" s="25"/>
      <c r="M4942" s="25"/>
      <c r="N4942" s="8"/>
      <c r="O4942" s="11"/>
      <c r="P4942" s="11"/>
      <c r="Q4942" s="8"/>
      <c r="S4942" s="3"/>
      <c r="T4942" s="3"/>
      <c r="U4942" s="7"/>
      <c r="V4942" s="436"/>
      <c r="X4942" s="8"/>
      <c r="Y4942" s="8"/>
      <c r="AH4942" s="3"/>
      <c r="AI4942" s="3"/>
      <c r="AJ4942" s="3"/>
    </row>
    <row r="4943" spans="3:36" s="6" customFormat="1" ht="11.25" customHeight="1">
      <c r="C4943" s="4"/>
      <c r="D4943" s="4"/>
      <c r="E4943" s="5"/>
      <c r="G4943" s="31"/>
      <c r="I4943" s="9"/>
      <c r="J4943" s="24"/>
      <c r="K4943" s="9"/>
      <c r="L4943" s="25"/>
      <c r="M4943" s="25"/>
      <c r="N4943" s="8"/>
      <c r="O4943" s="11"/>
      <c r="P4943" s="11"/>
      <c r="Q4943" s="8"/>
      <c r="S4943" s="3"/>
      <c r="T4943" s="3"/>
      <c r="U4943" s="7"/>
      <c r="V4943" s="436"/>
      <c r="X4943" s="8"/>
      <c r="Y4943" s="8"/>
      <c r="AH4943" s="3"/>
      <c r="AI4943" s="3"/>
      <c r="AJ4943" s="3"/>
    </row>
    <row r="4944" spans="3:36" s="6" customFormat="1" ht="11.25" customHeight="1">
      <c r="C4944" s="4"/>
      <c r="D4944" s="4"/>
      <c r="E4944" s="5"/>
      <c r="G4944" s="31"/>
      <c r="I4944" s="9"/>
      <c r="J4944" s="24"/>
      <c r="K4944" s="9"/>
      <c r="L4944" s="25"/>
      <c r="M4944" s="25"/>
      <c r="N4944" s="8"/>
      <c r="O4944" s="11"/>
      <c r="P4944" s="11"/>
      <c r="Q4944" s="8"/>
      <c r="S4944" s="3"/>
      <c r="T4944" s="3"/>
      <c r="U4944" s="7"/>
      <c r="V4944" s="436"/>
      <c r="X4944" s="8"/>
      <c r="Y4944" s="8"/>
      <c r="AH4944" s="3"/>
      <c r="AI4944" s="3"/>
      <c r="AJ4944" s="3"/>
    </row>
    <row r="4945" spans="3:36" s="6" customFormat="1" ht="11.25" customHeight="1">
      <c r="C4945" s="4"/>
      <c r="D4945" s="4"/>
      <c r="E4945" s="5"/>
      <c r="G4945" s="31"/>
      <c r="I4945" s="9"/>
      <c r="J4945" s="24"/>
      <c r="K4945" s="9"/>
      <c r="L4945" s="25"/>
      <c r="M4945" s="25"/>
      <c r="N4945" s="8"/>
      <c r="O4945" s="11"/>
      <c r="P4945" s="11"/>
      <c r="Q4945" s="8"/>
      <c r="S4945" s="3"/>
      <c r="T4945" s="3"/>
      <c r="U4945" s="7"/>
      <c r="V4945" s="436"/>
      <c r="X4945" s="8"/>
      <c r="Y4945" s="8"/>
      <c r="AH4945" s="3"/>
      <c r="AI4945" s="3"/>
      <c r="AJ4945" s="3"/>
    </row>
    <row r="4946" spans="3:36" s="6" customFormat="1" ht="11.25" customHeight="1">
      <c r="C4946" s="4"/>
      <c r="D4946" s="4"/>
      <c r="E4946" s="5"/>
      <c r="G4946" s="31"/>
      <c r="I4946" s="9"/>
      <c r="J4946" s="24"/>
      <c r="K4946" s="9"/>
      <c r="L4946" s="25"/>
      <c r="M4946" s="25"/>
      <c r="N4946" s="8"/>
      <c r="O4946" s="11"/>
      <c r="P4946" s="11"/>
      <c r="Q4946" s="8"/>
      <c r="S4946" s="3"/>
      <c r="T4946" s="3"/>
      <c r="U4946" s="7"/>
      <c r="V4946" s="436"/>
      <c r="X4946" s="8"/>
      <c r="Y4946" s="8"/>
      <c r="AH4946" s="3"/>
      <c r="AI4946" s="3"/>
      <c r="AJ4946" s="3"/>
    </row>
    <row r="4947" spans="3:36" s="6" customFormat="1" ht="11.25" customHeight="1">
      <c r="C4947" s="4"/>
      <c r="D4947" s="4"/>
      <c r="E4947" s="5"/>
      <c r="G4947" s="31"/>
      <c r="I4947" s="9"/>
      <c r="J4947" s="24"/>
      <c r="K4947" s="9"/>
      <c r="L4947" s="25"/>
      <c r="M4947" s="25"/>
      <c r="N4947" s="8"/>
      <c r="O4947" s="11"/>
      <c r="P4947" s="11"/>
      <c r="Q4947" s="8"/>
      <c r="S4947" s="3"/>
      <c r="T4947" s="3"/>
      <c r="U4947" s="7"/>
      <c r="V4947" s="436"/>
      <c r="X4947" s="8"/>
      <c r="Y4947" s="8"/>
      <c r="AH4947" s="3"/>
      <c r="AI4947" s="3"/>
      <c r="AJ4947" s="3"/>
    </row>
    <row r="4948" spans="3:36" s="6" customFormat="1" ht="11.25" customHeight="1">
      <c r="C4948" s="4"/>
      <c r="D4948" s="4"/>
      <c r="E4948" s="5"/>
      <c r="G4948" s="31"/>
      <c r="I4948" s="9"/>
      <c r="J4948" s="24"/>
      <c r="K4948" s="9"/>
      <c r="L4948" s="25"/>
      <c r="M4948" s="25"/>
      <c r="N4948" s="8"/>
      <c r="O4948" s="11"/>
      <c r="P4948" s="11"/>
      <c r="Q4948" s="8"/>
      <c r="S4948" s="3"/>
      <c r="T4948" s="3"/>
      <c r="U4948" s="7"/>
      <c r="V4948" s="436"/>
      <c r="X4948" s="8"/>
      <c r="Y4948" s="8"/>
      <c r="AH4948" s="3"/>
      <c r="AI4948" s="3"/>
      <c r="AJ4948" s="3"/>
    </row>
    <row r="4949" spans="3:36" s="6" customFormat="1" ht="11.25" customHeight="1">
      <c r="C4949" s="4"/>
      <c r="D4949" s="4"/>
      <c r="E4949" s="5"/>
      <c r="G4949" s="31"/>
      <c r="I4949" s="9"/>
      <c r="J4949" s="24"/>
      <c r="K4949" s="9"/>
      <c r="L4949" s="25"/>
      <c r="M4949" s="7"/>
      <c r="N4949" s="8"/>
      <c r="O4949" s="11"/>
      <c r="P4949" s="11"/>
      <c r="Q4949" s="8"/>
      <c r="S4949" s="3"/>
      <c r="T4949" s="3"/>
      <c r="U4949" s="7"/>
      <c r="V4949" s="436"/>
      <c r="X4949" s="8"/>
      <c r="Y4949" s="8"/>
      <c r="AH4949" s="3"/>
      <c r="AI4949" s="3"/>
      <c r="AJ4949" s="3"/>
    </row>
    <row r="4950" spans="3:36" s="6" customFormat="1" ht="11.25" customHeight="1">
      <c r="C4950" s="4"/>
      <c r="D4950" s="4"/>
      <c r="E4950" s="5"/>
      <c r="G4950" s="31"/>
      <c r="I4950" s="9"/>
      <c r="J4950" s="24"/>
      <c r="K4950" s="9"/>
      <c r="L4950" s="25"/>
      <c r="M4950" s="7"/>
      <c r="N4950" s="8"/>
      <c r="O4950" s="11"/>
      <c r="P4950" s="11"/>
      <c r="Q4950" s="8"/>
      <c r="S4950" s="3"/>
      <c r="T4950" s="3"/>
      <c r="U4950" s="7"/>
      <c r="V4950" s="436"/>
      <c r="X4950" s="8"/>
      <c r="Y4950" s="8"/>
      <c r="AH4950" s="3"/>
      <c r="AI4950" s="3"/>
      <c r="AJ4950" s="3"/>
    </row>
    <row r="4951" spans="3:36" s="6" customFormat="1" ht="11.25" customHeight="1">
      <c r="C4951" s="4"/>
      <c r="D4951" s="4"/>
      <c r="E4951" s="5"/>
      <c r="G4951" s="31"/>
      <c r="I4951" s="9"/>
      <c r="J4951" s="24"/>
      <c r="K4951" s="9"/>
      <c r="L4951" s="25"/>
      <c r="M4951" s="7"/>
      <c r="N4951" s="8"/>
      <c r="O4951" s="11"/>
      <c r="P4951" s="11"/>
      <c r="Q4951" s="8"/>
      <c r="S4951" s="3"/>
      <c r="T4951" s="3"/>
      <c r="U4951" s="7"/>
      <c r="V4951" s="436"/>
      <c r="X4951" s="8"/>
      <c r="Y4951" s="8"/>
      <c r="AH4951" s="3"/>
      <c r="AI4951" s="3"/>
      <c r="AJ4951" s="3"/>
    </row>
    <row r="4952" spans="3:36" s="6" customFormat="1" ht="11.25" customHeight="1">
      <c r="C4952" s="4"/>
      <c r="D4952" s="4"/>
      <c r="E4952" s="5"/>
      <c r="G4952" s="31"/>
      <c r="I4952" s="9"/>
      <c r="J4952" s="24"/>
      <c r="K4952" s="9"/>
      <c r="L4952" s="25"/>
      <c r="M4952" s="7"/>
      <c r="N4952" s="8"/>
      <c r="O4952" s="11"/>
      <c r="P4952" s="11"/>
      <c r="Q4952" s="8"/>
      <c r="S4952" s="3"/>
      <c r="T4952" s="3"/>
      <c r="U4952" s="7"/>
      <c r="V4952" s="436"/>
      <c r="X4952" s="8"/>
      <c r="Y4952" s="8"/>
      <c r="AH4952" s="3"/>
      <c r="AI4952" s="3"/>
      <c r="AJ4952" s="3"/>
    </row>
    <row r="4953" spans="3:36" s="6" customFormat="1" ht="11.25" customHeight="1">
      <c r="C4953" s="4"/>
      <c r="D4953" s="4"/>
      <c r="E4953" s="5"/>
      <c r="G4953" s="31"/>
      <c r="I4953" s="9"/>
      <c r="J4953" s="24"/>
      <c r="K4953" s="9"/>
      <c r="L4953" s="25"/>
      <c r="M4953" s="7"/>
      <c r="N4953" s="8"/>
      <c r="O4953" s="11"/>
      <c r="P4953" s="11"/>
      <c r="Q4953" s="8"/>
      <c r="S4953" s="3"/>
      <c r="T4953" s="3"/>
      <c r="U4953" s="7"/>
      <c r="V4953" s="436"/>
      <c r="X4953" s="8"/>
      <c r="Y4953" s="8"/>
      <c r="AH4953" s="3"/>
      <c r="AI4953" s="3"/>
      <c r="AJ4953" s="3"/>
    </row>
    <row r="4954" spans="3:36" s="6" customFormat="1" ht="11.25" customHeight="1">
      <c r="C4954" s="4"/>
      <c r="D4954" s="4"/>
      <c r="E4954" s="5"/>
      <c r="G4954" s="31"/>
      <c r="I4954" s="9"/>
      <c r="J4954" s="24"/>
      <c r="K4954" s="9"/>
      <c r="L4954" s="25"/>
      <c r="M4954" s="7"/>
      <c r="N4954" s="8"/>
      <c r="O4954" s="11"/>
      <c r="P4954" s="11"/>
      <c r="Q4954" s="8"/>
      <c r="S4954" s="3"/>
      <c r="T4954" s="3"/>
      <c r="U4954" s="7"/>
      <c r="V4954" s="436"/>
      <c r="X4954" s="8"/>
      <c r="Y4954" s="8"/>
      <c r="AH4954" s="3"/>
      <c r="AI4954" s="3"/>
      <c r="AJ4954" s="3"/>
    </row>
    <row r="4955" spans="3:36" s="6" customFormat="1" ht="11.25" customHeight="1">
      <c r="C4955" s="4"/>
      <c r="D4955" s="4"/>
      <c r="E4955" s="5"/>
      <c r="G4955" s="31"/>
      <c r="I4955" s="9"/>
      <c r="J4955" s="24"/>
      <c r="K4955" s="9"/>
      <c r="L4955" s="25"/>
      <c r="M4955" s="7"/>
      <c r="N4955" s="8"/>
      <c r="O4955" s="11"/>
      <c r="P4955" s="11"/>
      <c r="Q4955" s="8"/>
      <c r="S4955" s="3"/>
      <c r="T4955" s="3"/>
      <c r="U4955" s="7"/>
      <c r="V4955" s="436"/>
      <c r="X4955" s="8"/>
      <c r="Y4955" s="8"/>
      <c r="AH4955" s="3"/>
      <c r="AI4955" s="3"/>
      <c r="AJ4955" s="3"/>
    </row>
    <row r="4956" spans="3:36" s="6" customFormat="1" ht="11.25" customHeight="1">
      <c r="C4956" s="4"/>
      <c r="D4956" s="4"/>
      <c r="E4956" s="5"/>
      <c r="G4956" s="31"/>
      <c r="I4956" s="9"/>
      <c r="J4956" s="24"/>
      <c r="K4956" s="9"/>
      <c r="L4956" s="25"/>
      <c r="M4956" s="7"/>
      <c r="N4956" s="8"/>
      <c r="O4956" s="11"/>
      <c r="P4956" s="11"/>
      <c r="Q4956" s="8"/>
      <c r="S4956" s="3"/>
      <c r="T4956" s="3"/>
      <c r="U4956" s="7"/>
      <c r="V4956" s="436"/>
      <c r="X4956" s="8"/>
      <c r="Y4956" s="8"/>
      <c r="AH4956" s="3"/>
      <c r="AI4956" s="3"/>
      <c r="AJ4956" s="3"/>
    </row>
    <row r="4957" spans="3:36" s="6" customFormat="1" ht="11.25" customHeight="1">
      <c r="C4957" s="4"/>
      <c r="D4957" s="4"/>
      <c r="E4957" s="5"/>
      <c r="G4957" s="31"/>
      <c r="I4957" s="9"/>
      <c r="J4957" s="24"/>
      <c r="K4957" s="9"/>
      <c r="L4957" s="25"/>
      <c r="M4957" s="7"/>
      <c r="N4957" s="8"/>
      <c r="O4957" s="11"/>
      <c r="P4957" s="11"/>
      <c r="Q4957" s="8"/>
      <c r="S4957" s="3"/>
      <c r="T4957" s="3"/>
      <c r="U4957" s="7"/>
      <c r="V4957" s="436"/>
      <c r="X4957" s="8"/>
      <c r="Y4957" s="8"/>
      <c r="AH4957" s="3"/>
      <c r="AI4957" s="3"/>
      <c r="AJ4957" s="3"/>
    </row>
    <row r="4958" spans="3:36" s="6" customFormat="1" ht="11.25" customHeight="1">
      <c r="C4958" s="4"/>
      <c r="D4958" s="4"/>
      <c r="E4958" s="5"/>
      <c r="G4958" s="31"/>
      <c r="I4958" s="9"/>
      <c r="J4958" s="24"/>
      <c r="K4958" s="9"/>
      <c r="L4958" s="25"/>
      <c r="M4958" s="7"/>
      <c r="N4958" s="8"/>
      <c r="O4958" s="11"/>
      <c r="P4958" s="11"/>
      <c r="Q4958" s="8"/>
      <c r="S4958" s="3"/>
      <c r="T4958" s="3"/>
      <c r="U4958" s="7"/>
      <c r="V4958" s="436"/>
      <c r="X4958" s="8"/>
      <c r="Y4958" s="8"/>
      <c r="AH4958" s="3"/>
      <c r="AI4958" s="3"/>
      <c r="AJ4958" s="3"/>
    </row>
    <row r="4959" spans="3:36" s="6" customFormat="1" ht="11.25" customHeight="1">
      <c r="C4959" s="4"/>
      <c r="D4959" s="4"/>
      <c r="E4959" s="5"/>
      <c r="G4959" s="31"/>
      <c r="I4959" s="9"/>
      <c r="J4959" s="24"/>
      <c r="K4959" s="9"/>
      <c r="L4959" s="25"/>
      <c r="M4959" s="7"/>
      <c r="N4959" s="8"/>
      <c r="O4959" s="11"/>
      <c r="P4959" s="11"/>
      <c r="Q4959" s="8"/>
      <c r="S4959" s="3"/>
      <c r="T4959" s="3"/>
      <c r="U4959" s="7"/>
      <c r="V4959" s="436"/>
      <c r="X4959" s="8"/>
      <c r="Y4959" s="8"/>
      <c r="AH4959" s="3"/>
      <c r="AI4959" s="3"/>
      <c r="AJ4959" s="3"/>
    </row>
    <row r="4960" spans="3:36" s="6" customFormat="1" ht="11.25" customHeight="1">
      <c r="C4960" s="4"/>
      <c r="D4960" s="4"/>
      <c r="E4960" s="5"/>
      <c r="G4960" s="31"/>
      <c r="I4960" s="9"/>
      <c r="J4960" s="24"/>
      <c r="K4960" s="9"/>
      <c r="L4960" s="25"/>
      <c r="M4960" s="7"/>
      <c r="N4960" s="8"/>
      <c r="O4960" s="11"/>
      <c r="P4960" s="11"/>
      <c r="Q4960" s="8"/>
      <c r="S4960" s="3"/>
      <c r="T4960" s="3"/>
      <c r="U4960" s="7"/>
      <c r="V4960" s="436"/>
      <c r="X4960" s="8"/>
      <c r="Y4960" s="8"/>
      <c r="AH4960" s="3"/>
      <c r="AI4960" s="3"/>
      <c r="AJ4960" s="3"/>
    </row>
    <row r="4961" spans="3:36" s="6" customFormat="1" ht="11.25" customHeight="1">
      <c r="C4961" s="4"/>
      <c r="D4961" s="4"/>
      <c r="E4961" s="5"/>
      <c r="G4961" s="31"/>
      <c r="I4961" s="9"/>
      <c r="J4961" s="24"/>
      <c r="K4961" s="9"/>
      <c r="L4961" s="25"/>
      <c r="M4961" s="7"/>
      <c r="N4961" s="8"/>
      <c r="O4961" s="11"/>
      <c r="P4961" s="11"/>
      <c r="Q4961" s="8"/>
      <c r="S4961" s="3"/>
      <c r="T4961" s="3"/>
      <c r="U4961" s="7"/>
      <c r="V4961" s="436"/>
      <c r="X4961" s="8"/>
      <c r="Y4961" s="8"/>
      <c r="AH4961" s="3"/>
      <c r="AI4961" s="3"/>
      <c r="AJ4961" s="3"/>
    </row>
    <row r="4962" spans="3:36" s="6" customFormat="1" ht="11.25" customHeight="1">
      <c r="C4962" s="4"/>
      <c r="D4962" s="4"/>
      <c r="E4962" s="5"/>
      <c r="G4962" s="31"/>
      <c r="I4962" s="9"/>
      <c r="J4962" s="24"/>
      <c r="K4962" s="9"/>
      <c r="L4962" s="25"/>
      <c r="M4962" s="7"/>
      <c r="N4962" s="8"/>
      <c r="O4962" s="11"/>
      <c r="P4962" s="11"/>
      <c r="Q4962" s="8"/>
      <c r="S4962" s="3"/>
      <c r="T4962" s="3"/>
      <c r="U4962" s="7"/>
      <c r="V4962" s="436"/>
      <c r="X4962" s="8"/>
      <c r="Y4962" s="8"/>
      <c r="AH4962" s="3"/>
      <c r="AI4962" s="3"/>
      <c r="AJ4962" s="3"/>
    </row>
    <row r="4963" spans="3:36" s="6" customFormat="1" ht="11.25" customHeight="1">
      <c r="C4963" s="4"/>
      <c r="D4963" s="4"/>
      <c r="E4963" s="5"/>
      <c r="G4963" s="31"/>
      <c r="I4963" s="9"/>
      <c r="J4963" s="24"/>
      <c r="K4963" s="9"/>
      <c r="L4963" s="25"/>
      <c r="M4963" s="7"/>
      <c r="N4963" s="8"/>
      <c r="O4963" s="11"/>
      <c r="P4963" s="11"/>
      <c r="Q4963" s="8"/>
      <c r="S4963" s="3"/>
      <c r="T4963" s="3"/>
      <c r="U4963" s="7"/>
      <c r="V4963" s="436"/>
      <c r="X4963" s="8"/>
      <c r="Y4963" s="8"/>
      <c r="AH4963" s="3"/>
      <c r="AI4963" s="3"/>
      <c r="AJ4963" s="3"/>
    </row>
    <row r="4964" spans="3:36" s="6" customFormat="1" ht="11.25" customHeight="1">
      <c r="C4964" s="4"/>
      <c r="D4964" s="4"/>
      <c r="E4964" s="5"/>
      <c r="G4964" s="31"/>
      <c r="I4964" s="9"/>
      <c r="J4964" s="24"/>
      <c r="K4964" s="9"/>
      <c r="L4964" s="25"/>
      <c r="M4964" s="7"/>
      <c r="N4964" s="8"/>
      <c r="O4964" s="11"/>
      <c r="P4964" s="11"/>
      <c r="Q4964" s="8"/>
      <c r="S4964" s="3"/>
      <c r="T4964" s="3"/>
      <c r="U4964" s="7"/>
      <c r="V4964" s="436"/>
      <c r="X4964" s="8"/>
      <c r="Y4964" s="8"/>
      <c r="AH4964" s="3"/>
      <c r="AI4964" s="3"/>
      <c r="AJ4964" s="3"/>
    </row>
    <row r="4965" spans="3:36" s="6" customFormat="1" ht="11.25" customHeight="1">
      <c r="C4965" s="4"/>
      <c r="D4965" s="4"/>
      <c r="E4965" s="5"/>
      <c r="G4965" s="31"/>
      <c r="I4965" s="9"/>
      <c r="J4965" s="24"/>
      <c r="K4965" s="9"/>
      <c r="L4965" s="25"/>
      <c r="M4965" s="7"/>
      <c r="N4965" s="8"/>
      <c r="O4965" s="11"/>
      <c r="P4965" s="11"/>
      <c r="Q4965" s="8"/>
      <c r="S4965" s="3"/>
      <c r="T4965" s="3"/>
      <c r="U4965" s="7"/>
      <c r="V4965" s="436"/>
      <c r="X4965" s="8"/>
      <c r="Y4965" s="8"/>
      <c r="AH4965" s="3"/>
      <c r="AI4965" s="3"/>
      <c r="AJ4965" s="3"/>
    </row>
    <row r="4966" spans="3:36" s="6" customFormat="1" ht="11.25" customHeight="1">
      <c r="C4966" s="4"/>
      <c r="D4966" s="4"/>
      <c r="E4966" s="5"/>
      <c r="G4966" s="31"/>
      <c r="I4966" s="9"/>
      <c r="J4966" s="24"/>
      <c r="K4966" s="9"/>
      <c r="L4966" s="25"/>
      <c r="M4966" s="7"/>
      <c r="N4966" s="8"/>
      <c r="O4966" s="11"/>
      <c r="P4966" s="11"/>
      <c r="Q4966" s="8"/>
      <c r="S4966" s="3"/>
      <c r="T4966" s="3"/>
      <c r="U4966" s="7"/>
      <c r="V4966" s="436"/>
      <c r="X4966" s="8"/>
      <c r="Y4966" s="8"/>
      <c r="AH4966" s="3"/>
      <c r="AI4966" s="3"/>
      <c r="AJ4966" s="3"/>
    </row>
    <row r="4967" spans="3:36" s="6" customFormat="1" ht="11.25" customHeight="1">
      <c r="C4967" s="4"/>
      <c r="D4967" s="4"/>
      <c r="E4967" s="5"/>
      <c r="G4967" s="31"/>
      <c r="I4967" s="9"/>
      <c r="J4967" s="24"/>
      <c r="K4967" s="9"/>
      <c r="L4967" s="25"/>
      <c r="M4967" s="7"/>
      <c r="N4967" s="8"/>
      <c r="O4967" s="11"/>
      <c r="P4967" s="11"/>
      <c r="Q4967" s="8"/>
      <c r="S4967" s="3"/>
      <c r="T4967" s="3"/>
      <c r="U4967" s="7"/>
      <c r="V4967" s="436"/>
      <c r="X4967" s="8"/>
      <c r="Y4967" s="8"/>
      <c r="AH4967" s="3"/>
      <c r="AI4967" s="3"/>
      <c r="AJ4967" s="3"/>
    </row>
    <row r="4968" spans="3:36" s="6" customFormat="1" ht="11.25" customHeight="1">
      <c r="C4968" s="4"/>
      <c r="D4968" s="4"/>
      <c r="E4968" s="5"/>
      <c r="G4968" s="31"/>
      <c r="I4968" s="9"/>
      <c r="J4968" s="24"/>
      <c r="K4968" s="9"/>
      <c r="L4968" s="25"/>
      <c r="M4968" s="7"/>
      <c r="N4968" s="8"/>
      <c r="O4968" s="11"/>
      <c r="P4968" s="11"/>
      <c r="Q4968" s="8"/>
      <c r="S4968" s="3"/>
      <c r="T4968" s="3"/>
      <c r="U4968" s="7"/>
      <c r="V4968" s="436"/>
      <c r="X4968" s="8"/>
      <c r="Y4968" s="8"/>
      <c r="AH4968" s="3"/>
      <c r="AI4968" s="3"/>
      <c r="AJ4968" s="3"/>
    </row>
    <row r="4969" spans="3:36" s="6" customFormat="1" ht="11.25" customHeight="1">
      <c r="C4969" s="4"/>
      <c r="D4969" s="4"/>
      <c r="E4969" s="5"/>
      <c r="G4969" s="31"/>
      <c r="I4969" s="9"/>
      <c r="J4969" s="24"/>
      <c r="K4969" s="9"/>
      <c r="L4969" s="25"/>
      <c r="M4969" s="7"/>
      <c r="N4969" s="8"/>
      <c r="O4969" s="11"/>
      <c r="P4969" s="11"/>
      <c r="Q4969" s="8"/>
      <c r="S4969" s="3"/>
      <c r="T4969" s="3"/>
      <c r="U4969" s="7"/>
      <c r="V4969" s="436"/>
      <c r="X4969" s="8"/>
      <c r="Y4969" s="8"/>
      <c r="AH4969" s="3"/>
      <c r="AI4969" s="3"/>
      <c r="AJ4969" s="3"/>
    </row>
    <row r="4970" spans="3:36" s="6" customFormat="1" ht="11.25" customHeight="1">
      <c r="C4970" s="4"/>
      <c r="D4970" s="4"/>
      <c r="E4970" s="5"/>
      <c r="G4970" s="31"/>
      <c r="I4970" s="9"/>
      <c r="J4970" s="24"/>
      <c r="K4970" s="9"/>
      <c r="L4970" s="25"/>
      <c r="M4970" s="7"/>
      <c r="N4970" s="8"/>
      <c r="O4970" s="11"/>
      <c r="P4970" s="11"/>
      <c r="Q4970" s="8"/>
      <c r="S4970" s="3"/>
      <c r="T4970" s="3"/>
      <c r="U4970" s="7"/>
      <c r="V4970" s="436"/>
      <c r="X4970" s="8"/>
      <c r="Y4970" s="8"/>
      <c r="AH4970" s="3"/>
      <c r="AI4970" s="3"/>
      <c r="AJ4970" s="3"/>
    </row>
    <row r="4971" spans="3:36" s="6" customFormat="1" ht="11.25" customHeight="1">
      <c r="C4971" s="4"/>
      <c r="D4971" s="4"/>
      <c r="E4971" s="5"/>
      <c r="G4971" s="31"/>
      <c r="I4971" s="9"/>
      <c r="J4971" s="24"/>
      <c r="K4971" s="9"/>
      <c r="L4971" s="25"/>
      <c r="M4971" s="7"/>
      <c r="N4971" s="8"/>
      <c r="O4971" s="11"/>
      <c r="P4971" s="11"/>
      <c r="Q4971" s="8"/>
      <c r="S4971" s="3"/>
      <c r="T4971" s="3"/>
      <c r="U4971" s="7"/>
      <c r="V4971" s="436"/>
      <c r="X4971" s="8"/>
      <c r="Y4971" s="8"/>
      <c r="AH4971" s="3"/>
      <c r="AI4971" s="3"/>
      <c r="AJ4971" s="3"/>
    </row>
    <row r="4972" spans="3:36" s="6" customFormat="1" ht="11.25" customHeight="1">
      <c r="C4972" s="4"/>
      <c r="D4972" s="4"/>
      <c r="E4972" s="5"/>
      <c r="G4972" s="31"/>
      <c r="I4972" s="9"/>
      <c r="J4972" s="24"/>
      <c r="K4972" s="9"/>
      <c r="L4972" s="25"/>
      <c r="M4972" s="7"/>
      <c r="N4972" s="8"/>
      <c r="O4972" s="11"/>
      <c r="P4972" s="11"/>
      <c r="Q4972" s="8"/>
      <c r="S4972" s="3"/>
      <c r="T4972" s="3"/>
      <c r="U4972" s="7"/>
      <c r="V4972" s="436"/>
      <c r="X4972" s="8"/>
      <c r="Y4972" s="8"/>
      <c r="AH4972" s="3"/>
      <c r="AI4972" s="3"/>
      <c r="AJ4972" s="3"/>
    </row>
    <row r="4973" spans="3:36" s="6" customFormat="1" ht="11.25" customHeight="1">
      <c r="C4973" s="4"/>
      <c r="D4973" s="4"/>
      <c r="E4973" s="5"/>
      <c r="G4973" s="31"/>
      <c r="I4973" s="9"/>
      <c r="J4973" s="24"/>
      <c r="K4973" s="9"/>
      <c r="L4973" s="25"/>
      <c r="M4973" s="7"/>
      <c r="N4973" s="8"/>
      <c r="O4973" s="11"/>
      <c r="P4973" s="11"/>
      <c r="Q4973" s="8"/>
      <c r="S4973" s="3"/>
      <c r="T4973" s="3"/>
      <c r="U4973" s="7"/>
      <c r="V4973" s="436"/>
      <c r="X4973" s="8"/>
      <c r="Y4973" s="8"/>
      <c r="AH4973" s="3"/>
      <c r="AI4973" s="3"/>
      <c r="AJ4973" s="3"/>
    </row>
    <row r="4974" spans="3:36" s="6" customFormat="1" ht="11.25" customHeight="1">
      <c r="C4974" s="4"/>
      <c r="D4974" s="4"/>
      <c r="E4974" s="5"/>
      <c r="G4974" s="31"/>
      <c r="I4974" s="9"/>
      <c r="J4974" s="24"/>
      <c r="K4974" s="9"/>
      <c r="L4974" s="25"/>
      <c r="M4974" s="7"/>
      <c r="N4974" s="8"/>
      <c r="O4974" s="11"/>
      <c r="P4974" s="11"/>
      <c r="Q4974" s="8"/>
      <c r="S4974" s="3"/>
      <c r="T4974" s="3"/>
      <c r="U4974" s="7"/>
      <c r="V4974" s="436"/>
      <c r="X4974" s="8"/>
      <c r="Y4974" s="8"/>
      <c r="AH4974" s="3"/>
      <c r="AI4974" s="3"/>
      <c r="AJ4974" s="3"/>
    </row>
    <row r="4975" spans="3:36" s="6" customFormat="1" ht="11.25" customHeight="1">
      <c r="C4975" s="4"/>
      <c r="D4975" s="4"/>
      <c r="E4975" s="5"/>
      <c r="G4975" s="31"/>
      <c r="I4975" s="9"/>
      <c r="J4975" s="24"/>
      <c r="K4975" s="9"/>
      <c r="L4975" s="25"/>
      <c r="M4975" s="7"/>
      <c r="N4975" s="8"/>
      <c r="O4975" s="11"/>
      <c r="P4975" s="11"/>
      <c r="Q4975" s="8"/>
      <c r="S4975" s="3"/>
      <c r="T4975" s="3"/>
      <c r="U4975" s="7"/>
      <c r="V4975" s="436"/>
      <c r="X4975" s="8"/>
      <c r="Y4975" s="8"/>
      <c r="AH4975" s="3"/>
      <c r="AI4975" s="3"/>
      <c r="AJ4975" s="3"/>
    </row>
    <row r="4976" spans="3:36" s="6" customFormat="1" ht="11.25" customHeight="1">
      <c r="C4976" s="4"/>
      <c r="D4976" s="4"/>
      <c r="E4976" s="5"/>
      <c r="G4976" s="31"/>
      <c r="I4976" s="9"/>
      <c r="J4976" s="24"/>
      <c r="K4976" s="9"/>
      <c r="L4976" s="25"/>
      <c r="M4976" s="7"/>
      <c r="N4976" s="8"/>
      <c r="O4976" s="11"/>
      <c r="P4976" s="11"/>
      <c r="Q4976" s="8"/>
      <c r="S4976" s="3"/>
      <c r="T4976" s="3"/>
      <c r="U4976" s="7"/>
      <c r="V4976" s="436"/>
      <c r="X4976" s="8"/>
      <c r="Y4976" s="8"/>
      <c r="AH4976" s="3"/>
      <c r="AI4976" s="3"/>
      <c r="AJ4976" s="3"/>
    </row>
    <row r="4977" spans="3:36" s="6" customFormat="1" ht="11.25" customHeight="1">
      <c r="C4977" s="4"/>
      <c r="D4977" s="4"/>
      <c r="E4977" s="5"/>
      <c r="G4977" s="31"/>
      <c r="I4977" s="9"/>
      <c r="J4977" s="24"/>
      <c r="K4977" s="9"/>
      <c r="L4977" s="25"/>
      <c r="M4977" s="7"/>
      <c r="N4977" s="8"/>
      <c r="O4977" s="11"/>
      <c r="P4977" s="11"/>
      <c r="Q4977" s="8"/>
      <c r="S4977" s="3"/>
      <c r="T4977" s="3"/>
      <c r="U4977" s="7"/>
      <c r="V4977" s="436"/>
      <c r="X4977" s="8"/>
      <c r="Y4977" s="8"/>
      <c r="AH4977" s="3"/>
      <c r="AI4977" s="3"/>
      <c r="AJ4977" s="3"/>
    </row>
    <row r="4978" spans="3:36" s="6" customFormat="1" ht="11.25" customHeight="1">
      <c r="C4978" s="4"/>
      <c r="D4978" s="4"/>
      <c r="E4978" s="5"/>
      <c r="G4978" s="31"/>
      <c r="I4978" s="9"/>
      <c r="J4978" s="24"/>
      <c r="K4978" s="9"/>
      <c r="L4978" s="25"/>
      <c r="M4978" s="7"/>
      <c r="N4978" s="8"/>
      <c r="O4978" s="11"/>
      <c r="P4978" s="11"/>
      <c r="Q4978" s="8"/>
      <c r="S4978" s="3"/>
      <c r="T4978" s="3"/>
      <c r="U4978" s="7"/>
      <c r="V4978" s="436"/>
      <c r="X4978" s="8"/>
      <c r="Y4978" s="8"/>
      <c r="AH4978" s="3"/>
      <c r="AI4978" s="3"/>
      <c r="AJ4978" s="3"/>
    </row>
    <row r="4979" spans="3:36" s="6" customFormat="1" ht="11.25" customHeight="1">
      <c r="C4979" s="4"/>
      <c r="D4979" s="4"/>
      <c r="E4979" s="5"/>
      <c r="G4979" s="31"/>
      <c r="I4979" s="9"/>
      <c r="J4979" s="24"/>
      <c r="K4979" s="9"/>
      <c r="L4979" s="25"/>
      <c r="M4979" s="7"/>
      <c r="N4979" s="8"/>
      <c r="O4979" s="11"/>
      <c r="P4979" s="11"/>
      <c r="Q4979" s="8"/>
      <c r="S4979" s="3"/>
      <c r="T4979" s="3"/>
      <c r="U4979" s="7"/>
      <c r="V4979" s="436"/>
      <c r="X4979" s="8"/>
      <c r="Y4979" s="8"/>
      <c r="AH4979" s="3"/>
      <c r="AI4979" s="3"/>
      <c r="AJ4979" s="3"/>
    </row>
    <row r="4980" spans="3:36" s="6" customFormat="1" ht="11.25" customHeight="1">
      <c r="C4980" s="4"/>
      <c r="D4980" s="4"/>
      <c r="E4980" s="5"/>
      <c r="G4980" s="31"/>
      <c r="I4980" s="9"/>
      <c r="J4980" s="24"/>
      <c r="K4980" s="9"/>
      <c r="L4980" s="25"/>
      <c r="M4980" s="7"/>
      <c r="N4980" s="8"/>
      <c r="O4980" s="11"/>
      <c r="P4980" s="11"/>
      <c r="Q4980" s="8"/>
      <c r="S4980" s="3"/>
      <c r="T4980" s="3"/>
      <c r="U4980" s="7"/>
      <c r="V4980" s="436"/>
      <c r="X4980" s="8"/>
      <c r="Y4980" s="8"/>
      <c r="AH4980" s="3"/>
      <c r="AI4980" s="3"/>
      <c r="AJ4980" s="3"/>
    </row>
    <row r="4981" spans="3:36" s="6" customFormat="1" ht="11.25" customHeight="1">
      <c r="C4981" s="4"/>
      <c r="D4981" s="4"/>
      <c r="E4981" s="5"/>
      <c r="G4981" s="31"/>
      <c r="I4981" s="9"/>
      <c r="J4981" s="24"/>
      <c r="K4981" s="9"/>
      <c r="L4981" s="25"/>
      <c r="M4981" s="7"/>
      <c r="N4981" s="8"/>
      <c r="O4981" s="11"/>
      <c r="P4981" s="11"/>
      <c r="Q4981" s="8"/>
      <c r="S4981" s="3"/>
      <c r="T4981" s="3"/>
      <c r="U4981" s="7"/>
      <c r="V4981" s="436"/>
      <c r="X4981" s="8"/>
      <c r="Y4981" s="8"/>
      <c r="AH4981" s="3"/>
      <c r="AI4981" s="3"/>
      <c r="AJ4981" s="3"/>
    </row>
    <row r="4982" spans="3:36" s="6" customFormat="1" ht="11.25" customHeight="1">
      <c r="C4982" s="4"/>
      <c r="D4982" s="4"/>
      <c r="E4982" s="5"/>
      <c r="G4982" s="31"/>
      <c r="I4982" s="9"/>
      <c r="J4982" s="24"/>
      <c r="K4982" s="9"/>
      <c r="L4982" s="25"/>
      <c r="M4982" s="7"/>
      <c r="N4982" s="8"/>
      <c r="O4982" s="11"/>
      <c r="P4982" s="11"/>
      <c r="Q4982" s="8"/>
      <c r="S4982" s="3"/>
      <c r="T4982" s="3"/>
      <c r="U4982" s="7"/>
      <c r="V4982" s="436"/>
      <c r="X4982" s="8"/>
      <c r="Y4982" s="8"/>
      <c r="AH4982" s="3"/>
      <c r="AI4982" s="3"/>
      <c r="AJ4982" s="3"/>
    </row>
    <row r="4983" spans="3:36" s="6" customFormat="1" ht="11.25" customHeight="1">
      <c r="C4983" s="4"/>
      <c r="D4983" s="4"/>
      <c r="E4983" s="5"/>
      <c r="G4983" s="31"/>
      <c r="I4983" s="9"/>
      <c r="J4983" s="24"/>
      <c r="K4983" s="9"/>
      <c r="L4983" s="25"/>
      <c r="M4983" s="7"/>
      <c r="N4983" s="8"/>
      <c r="O4983" s="11"/>
      <c r="P4983" s="11"/>
      <c r="Q4983" s="8"/>
      <c r="S4983" s="3"/>
      <c r="T4983" s="3"/>
      <c r="U4983" s="7"/>
      <c r="V4983" s="436"/>
      <c r="X4983" s="8"/>
      <c r="Y4983" s="8"/>
      <c r="AH4983" s="3"/>
      <c r="AI4983" s="3"/>
      <c r="AJ4983" s="3"/>
    </row>
    <row r="4984" spans="3:36" s="6" customFormat="1" ht="11.25" customHeight="1">
      <c r="C4984" s="4"/>
      <c r="D4984" s="4"/>
      <c r="E4984" s="5"/>
      <c r="G4984" s="31"/>
      <c r="I4984" s="9"/>
      <c r="J4984" s="24"/>
      <c r="K4984" s="9"/>
      <c r="L4984" s="25"/>
      <c r="M4984" s="7"/>
      <c r="N4984" s="8"/>
      <c r="O4984" s="11"/>
      <c r="P4984" s="11"/>
      <c r="Q4984" s="8"/>
      <c r="S4984" s="3"/>
      <c r="T4984" s="3"/>
      <c r="U4984" s="7"/>
      <c r="V4984" s="436"/>
      <c r="X4984" s="8"/>
      <c r="Y4984" s="8"/>
      <c r="AH4984" s="3"/>
      <c r="AI4984" s="3"/>
      <c r="AJ4984" s="3"/>
    </row>
    <row r="4985" spans="3:36" s="6" customFormat="1" ht="11.25" customHeight="1">
      <c r="C4985" s="4"/>
      <c r="D4985" s="4"/>
      <c r="E4985" s="5"/>
      <c r="G4985" s="31"/>
      <c r="I4985" s="9"/>
      <c r="J4985" s="24"/>
      <c r="K4985" s="9"/>
      <c r="L4985" s="25"/>
      <c r="M4985" s="7"/>
      <c r="N4985" s="8"/>
      <c r="O4985" s="11"/>
      <c r="P4985" s="11"/>
      <c r="Q4985" s="8"/>
      <c r="S4985" s="3"/>
      <c r="T4985" s="3"/>
      <c r="U4985" s="7"/>
      <c r="V4985" s="436"/>
      <c r="X4985" s="8"/>
      <c r="Y4985" s="8"/>
      <c r="AH4985" s="3"/>
      <c r="AI4985" s="3"/>
      <c r="AJ4985" s="3"/>
    </row>
    <row r="4986" spans="3:36" s="6" customFormat="1" ht="11.25" customHeight="1">
      <c r="C4986" s="4"/>
      <c r="D4986" s="4"/>
      <c r="E4986" s="5"/>
      <c r="G4986" s="31"/>
      <c r="I4986" s="9"/>
      <c r="J4986" s="24"/>
      <c r="K4986" s="9"/>
      <c r="L4986" s="25"/>
      <c r="M4986" s="7"/>
      <c r="N4986" s="8"/>
      <c r="O4986" s="11"/>
      <c r="P4986" s="11"/>
      <c r="Q4986" s="8"/>
      <c r="S4986" s="3"/>
      <c r="T4986" s="3"/>
      <c r="U4986" s="7"/>
      <c r="V4986" s="436"/>
      <c r="X4986" s="8"/>
      <c r="Y4986" s="8"/>
      <c r="AH4986" s="3"/>
      <c r="AI4986" s="3"/>
      <c r="AJ4986" s="3"/>
    </row>
    <row r="4987" spans="3:36" s="6" customFormat="1" ht="11.25" customHeight="1">
      <c r="C4987" s="4"/>
      <c r="D4987" s="4"/>
      <c r="E4987" s="5"/>
      <c r="G4987" s="31"/>
      <c r="I4987" s="9"/>
      <c r="J4987" s="24"/>
      <c r="K4987" s="9"/>
      <c r="L4987" s="25"/>
      <c r="M4987" s="7"/>
      <c r="N4987" s="8"/>
      <c r="O4987" s="11"/>
      <c r="P4987" s="11"/>
      <c r="Q4987" s="8"/>
      <c r="S4987" s="3"/>
      <c r="T4987" s="3"/>
      <c r="U4987" s="7"/>
      <c r="V4987" s="436"/>
      <c r="X4987" s="8"/>
      <c r="Y4987" s="8"/>
      <c r="AH4987" s="3"/>
      <c r="AI4987" s="3"/>
      <c r="AJ4987" s="3"/>
    </row>
    <row r="4988" spans="3:36" s="6" customFormat="1" ht="11.25" customHeight="1">
      <c r="C4988" s="4"/>
      <c r="D4988" s="4"/>
      <c r="E4988" s="5"/>
      <c r="G4988" s="31"/>
      <c r="I4988" s="9"/>
      <c r="J4988" s="24"/>
      <c r="K4988" s="9"/>
      <c r="L4988" s="25"/>
      <c r="M4988" s="7"/>
      <c r="N4988" s="8"/>
      <c r="O4988" s="11"/>
      <c r="P4988" s="11"/>
      <c r="Q4988" s="8"/>
      <c r="S4988" s="3"/>
      <c r="T4988" s="3"/>
      <c r="U4988" s="7"/>
      <c r="V4988" s="436"/>
      <c r="X4988" s="8"/>
      <c r="Y4988" s="8"/>
      <c r="AH4988" s="3"/>
      <c r="AI4988" s="3"/>
      <c r="AJ4988" s="3"/>
    </row>
    <row r="4989" spans="3:36" s="6" customFormat="1" ht="11.25" customHeight="1">
      <c r="C4989" s="4"/>
      <c r="D4989" s="4"/>
      <c r="E4989" s="5"/>
      <c r="G4989" s="31"/>
      <c r="I4989" s="9"/>
      <c r="J4989" s="24"/>
      <c r="K4989" s="9"/>
      <c r="L4989" s="25"/>
      <c r="M4989" s="7"/>
      <c r="N4989" s="8"/>
      <c r="O4989" s="11"/>
      <c r="P4989" s="11"/>
      <c r="Q4989" s="8"/>
      <c r="S4989" s="3"/>
      <c r="T4989" s="3"/>
      <c r="U4989" s="7"/>
      <c r="V4989" s="436"/>
      <c r="X4989" s="8"/>
      <c r="Y4989" s="8"/>
      <c r="AH4989" s="3"/>
      <c r="AI4989" s="3"/>
      <c r="AJ4989" s="3"/>
    </row>
    <row r="4990" spans="3:36" s="6" customFormat="1" ht="11.25" customHeight="1">
      <c r="C4990" s="4"/>
      <c r="D4990" s="4"/>
      <c r="E4990" s="5"/>
      <c r="G4990" s="31"/>
      <c r="I4990" s="9"/>
      <c r="J4990" s="24"/>
      <c r="K4990" s="9"/>
      <c r="L4990" s="25"/>
      <c r="M4990" s="7"/>
      <c r="N4990" s="8"/>
      <c r="O4990" s="11"/>
      <c r="P4990" s="11"/>
      <c r="Q4990" s="8"/>
      <c r="S4990" s="3"/>
      <c r="T4990" s="3"/>
      <c r="U4990" s="7"/>
      <c r="V4990" s="436"/>
      <c r="X4990" s="8"/>
      <c r="Y4990" s="8"/>
      <c r="AH4990" s="3"/>
      <c r="AI4990" s="3"/>
      <c r="AJ4990" s="3"/>
    </row>
    <row r="4991" spans="3:36" s="6" customFormat="1" ht="11.25" customHeight="1">
      <c r="C4991" s="4"/>
      <c r="D4991" s="4"/>
      <c r="E4991" s="5"/>
      <c r="G4991" s="31"/>
      <c r="I4991" s="9"/>
      <c r="J4991" s="24"/>
      <c r="K4991" s="9"/>
      <c r="L4991" s="25"/>
      <c r="M4991" s="7"/>
      <c r="N4991" s="8"/>
      <c r="O4991" s="11"/>
      <c r="P4991" s="11"/>
      <c r="Q4991" s="8"/>
      <c r="S4991" s="3"/>
      <c r="T4991" s="3"/>
      <c r="U4991" s="7"/>
      <c r="V4991" s="436"/>
      <c r="X4991" s="8"/>
      <c r="Y4991" s="8"/>
      <c r="AH4991" s="3"/>
      <c r="AI4991" s="3"/>
      <c r="AJ4991" s="3"/>
    </row>
    <row r="4992" spans="3:36" s="6" customFormat="1" ht="11.25" customHeight="1">
      <c r="C4992" s="4"/>
      <c r="D4992" s="4"/>
      <c r="E4992" s="5"/>
      <c r="G4992" s="31"/>
      <c r="I4992" s="9"/>
      <c r="J4992" s="24"/>
      <c r="K4992" s="9"/>
      <c r="L4992" s="25"/>
      <c r="M4992" s="7"/>
      <c r="N4992" s="8"/>
      <c r="O4992" s="11"/>
      <c r="P4992" s="11"/>
      <c r="Q4992" s="8"/>
      <c r="S4992" s="3"/>
      <c r="T4992" s="3"/>
      <c r="U4992" s="7"/>
      <c r="V4992" s="436"/>
      <c r="X4992" s="8"/>
      <c r="Y4992" s="8"/>
      <c r="AH4992" s="3"/>
      <c r="AI4992" s="3"/>
      <c r="AJ4992" s="3"/>
    </row>
    <row r="4993" spans="3:36" s="6" customFormat="1" ht="11.25" customHeight="1">
      <c r="C4993" s="4"/>
      <c r="D4993" s="4"/>
      <c r="E4993" s="5"/>
      <c r="G4993" s="31"/>
      <c r="I4993" s="9"/>
      <c r="J4993" s="24"/>
      <c r="K4993" s="9"/>
      <c r="L4993" s="25"/>
      <c r="M4993" s="7"/>
      <c r="N4993" s="8"/>
      <c r="O4993" s="11"/>
      <c r="P4993" s="11"/>
      <c r="Q4993" s="8"/>
      <c r="S4993" s="3"/>
      <c r="T4993" s="3"/>
      <c r="U4993" s="7"/>
      <c r="V4993" s="436"/>
      <c r="X4993" s="8"/>
      <c r="Y4993" s="8"/>
      <c r="AH4993" s="3"/>
      <c r="AI4993" s="3"/>
      <c r="AJ4993" s="3"/>
    </row>
    <row r="4994" spans="3:36" s="6" customFormat="1" ht="11.25" customHeight="1">
      <c r="C4994" s="4"/>
      <c r="D4994" s="4"/>
      <c r="E4994" s="5"/>
      <c r="G4994" s="31"/>
      <c r="I4994" s="9"/>
      <c r="J4994" s="24"/>
      <c r="K4994" s="9"/>
      <c r="L4994" s="25"/>
      <c r="M4994" s="7"/>
      <c r="N4994" s="8"/>
      <c r="O4994" s="11"/>
      <c r="P4994" s="11"/>
      <c r="Q4994" s="8"/>
      <c r="S4994" s="3"/>
      <c r="T4994" s="3"/>
      <c r="U4994" s="7"/>
      <c r="V4994" s="436"/>
      <c r="X4994" s="8"/>
      <c r="Y4994" s="8"/>
      <c r="AH4994" s="3"/>
      <c r="AI4994" s="3"/>
      <c r="AJ4994" s="3"/>
    </row>
    <row r="4995" spans="3:36" s="6" customFormat="1" ht="11.25" customHeight="1">
      <c r="C4995" s="4"/>
      <c r="D4995" s="4"/>
      <c r="E4995" s="5"/>
      <c r="G4995" s="31"/>
      <c r="I4995" s="9"/>
      <c r="J4995" s="24"/>
      <c r="K4995" s="9"/>
      <c r="L4995" s="25"/>
      <c r="M4995" s="7"/>
      <c r="N4995" s="8"/>
      <c r="O4995" s="11"/>
      <c r="P4995" s="11"/>
      <c r="Q4995" s="8"/>
      <c r="S4995" s="3"/>
      <c r="T4995" s="3"/>
      <c r="U4995" s="7"/>
      <c r="V4995" s="436"/>
      <c r="X4995" s="8"/>
      <c r="Y4995" s="8"/>
      <c r="AH4995" s="3"/>
      <c r="AI4995" s="3"/>
      <c r="AJ4995" s="3"/>
    </row>
    <row r="4996" spans="3:36" s="6" customFormat="1" ht="11.25" customHeight="1">
      <c r="C4996" s="4"/>
      <c r="D4996" s="4"/>
      <c r="E4996" s="5"/>
      <c r="G4996" s="31"/>
      <c r="I4996" s="9"/>
      <c r="J4996" s="24"/>
      <c r="K4996" s="9"/>
      <c r="L4996" s="25"/>
      <c r="M4996" s="7"/>
      <c r="N4996" s="8"/>
      <c r="O4996" s="11"/>
      <c r="P4996" s="11"/>
      <c r="Q4996" s="8"/>
      <c r="S4996" s="3"/>
      <c r="T4996" s="3"/>
      <c r="U4996" s="7"/>
      <c r="V4996" s="436"/>
      <c r="X4996" s="8"/>
      <c r="Y4996" s="8"/>
      <c r="AH4996" s="3"/>
      <c r="AI4996" s="3"/>
      <c r="AJ4996" s="3"/>
    </row>
    <row r="4997" spans="3:36" s="6" customFormat="1" ht="11.25" customHeight="1">
      <c r="C4997" s="4"/>
      <c r="D4997" s="4"/>
      <c r="E4997" s="5"/>
      <c r="G4997" s="31"/>
      <c r="I4997" s="9"/>
      <c r="J4997" s="24"/>
      <c r="K4997" s="9"/>
      <c r="L4997" s="25"/>
      <c r="M4997" s="7"/>
      <c r="N4997" s="8"/>
      <c r="O4997" s="11"/>
      <c r="P4997" s="11"/>
      <c r="Q4997" s="8"/>
      <c r="S4997" s="3"/>
      <c r="T4997" s="3"/>
      <c r="U4997" s="7"/>
      <c r="V4997" s="436"/>
      <c r="X4997" s="8"/>
      <c r="Y4997" s="8"/>
      <c r="AH4997" s="3"/>
      <c r="AI4997" s="3"/>
      <c r="AJ4997" s="3"/>
    </row>
    <row r="4998" spans="3:36" s="6" customFormat="1" ht="11.25" customHeight="1">
      <c r="C4998" s="4"/>
      <c r="D4998" s="4"/>
      <c r="E4998" s="5"/>
      <c r="G4998" s="31"/>
      <c r="I4998" s="9"/>
      <c r="J4998" s="24"/>
      <c r="K4998" s="9"/>
      <c r="L4998" s="25"/>
      <c r="M4998" s="7"/>
      <c r="N4998" s="8"/>
      <c r="O4998" s="11"/>
      <c r="P4998" s="11"/>
      <c r="Q4998" s="8"/>
      <c r="S4998" s="3"/>
      <c r="T4998" s="3"/>
      <c r="U4998" s="7"/>
      <c r="V4998" s="436"/>
      <c r="X4998" s="8"/>
      <c r="Y4998" s="8"/>
      <c r="AH4998" s="3"/>
      <c r="AI4998" s="3"/>
      <c r="AJ4998" s="3"/>
    </row>
    <row r="4999" spans="3:36" s="6" customFormat="1" ht="11.25" customHeight="1">
      <c r="C4999" s="4"/>
      <c r="D4999" s="4"/>
      <c r="E4999" s="5"/>
      <c r="G4999" s="31"/>
      <c r="I4999" s="9"/>
      <c r="J4999" s="24"/>
      <c r="K4999" s="9"/>
      <c r="L4999" s="25"/>
      <c r="M4999" s="7"/>
      <c r="N4999" s="8"/>
      <c r="O4999" s="11"/>
      <c r="P4999" s="11"/>
      <c r="Q4999" s="8"/>
      <c r="S4999" s="3"/>
      <c r="T4999" s="3"/>
      <c r="U4999" s="7"/>
      <c r="V4999" s="436"/>
      <c r="X4999" s="8"/>
      <c r="Y4999" s="8"/>
      <c r="AH4999" s="3"/>
      <c r="AI4999" s="3"/>
      <c r="AJ4999" s="3"/>
    </row>
    <row r="5000" spans="3:36" s="6" customFormat="1" ht="11.25" customHeight="1">
      <c r="C5000" s="4"/>
      <c r="D5000" s="4"/>
      <c r="E5000" s="5"/>
      <c r="G5000" s="31"/>
      <c r="I5000" s="9"/>
      <c r="J5000" s="24"/>
      <c r="K5000" s="9"/>
      <c r="L5000" s="25"/>
      <c r="M5000" s="7"/>
      <c r="N5000" s="8"/>
      <c r="O5000" s="11"/>
      <c r="P5000" s="11"/>
      <c r="Q5000" s="8"/>
      <c r="S5000" s="3"/>
      <c r="T5000" s="3"/>
      <c r="U5000" s="7"/>
      <c r="V5000" s="436"/>
      <c r="X5000" s="8"/>
      <c r="Y5000" s="8"/>
      <c r="AH5000" s="3"/>
      <c r="AI5000" s="3"/>
      <c r="AJ5000" s="3"/>
    </row>
    <row r="5001" spans="3:36" s="6" customFormat="1" ht="11.25" customHeight="1">
      <c r="C5001" s="4"/>
      <c r="D5001" s="4"/>
      <c r="E5001" s="5"/>
      <c r="G5001" s="31"/>
      <c r="I5001" s="9"/>
      <c r="J5001" s="24"/>
      <c r="K5001" s="9"/>
      <c r="L5001" s="25"/>
      <c r="M5001" s="7"/>
      <c r="N5001" s="8"/>
      <c r="O5001" s="11"/>
      <c r="P5001" s="11"/>
      <c r="Q5001" s="8"/>
      <c r="S5001" s="3"/>
      <c r="T5001" s="3"/>
      <c r="U5001" s="7"/>
      <c r="V5001" s="436"/>
      <c r="X5001" s="8"/>
      <c r="Y5001" s="8"/>
      <c r="AH5001" s="3"/>
      <c r="AI5001" s="3"/>
      <c r="AJ5001" s="3"/>
    </row>
    <row r="5002" spans="3:36" s="6" customFormat="1" ht="11.25" customHeight="1">
      <c r="C5002" s="4"/>
      <c r="D5002" s="4"/>
      <c r="E5002" s="5"/>
      <c r="G5002" s="31"/>
      <c r="I5002" s="9"/>
      <c r="J5002" s="24"/>
      <c r="K5002" s="9"/>
      <c r="L5002" s="25"/>
      <c r="M5002" s="7"/>
      <c r="N5002" s="8"/>
      <c r="O5002" s="11"/>
      <c r="P5002" s="11"/>
      <c r="Q5002" s="8"/>
      <c r="S5002" s="3"/>
      <c r="T5002" s="3"/>
      <c r="U5002" s="7"/>
      <c r="V5002" s="436"/>
      <c r="X5002" s="8"/>
      <c r="Y5002" s="8"/>
      <c r="AH5002" s="3"/>
      <c r="AI5002" s="3"/>
      <c r="AJ5002" s="3"/>
    </row>
    <row r="5003" spans="3:36" s="6" customFormat="1" ht="11.25" customHeight="1">
      <c r="C5003" s="4"/>
      <c r="D5003" s="4"/>
      <c r="E5003" s="5"/>
      <c r="G5003" s="31"/>
      <c r="I5003" s="9"/>
      <c r="J5003" s="24"/>
      <c r="K5003" s="9"/>
      <c r="L5003" s="25"/>
      <c r="M5003" s="7"/>
      <c r="N5003" s="8"/>
      <c r="O5003" s="11"/>
      <c r="P5003" s="11"/>
      <c r="Q5003" s="8"/>
      <c r="S5003" s="3"/>
      <c r="T5003" s="3"/>
      <c r="U5003" s="7"/>
      <c r="V5003" s="436"/>
      <c r="X5003" s="8"/>
      <c r="Y5003" s="8"/>
      <c r="AH5003" s="3"/>
      <c r="AI5003" s="3"/>
      <c r="AJ5003" s="3"/>
    </row>
    <row r="5004" spans="3:36" s="6" customFormat="1" ht="11.25" customHeight="1">
      <c r="C5004" s="4"/>
      <c r="D5004" s="4"/>
      <c r="E5004" s="5"/>
      <c r="G5004" s="31"/>
      <c r="I5004" s="9"/>
      <c r="J5004" s="24"/>
      <c r="K5004" s="9"/>
      <c r="L5004" s="25"/>
      <c r="M5004" s="7"/>
      <c r="N5004" s="8"/>
      <c r="O5004" s="11"/>
      <c r="P5004" s="11"/>
      <c r="Q5004" s="8"/>
      <c r="S5004" s="3"/>
      <c r="T5004" s="3"/>
      <c r="U5004" s="7"/>
      <c r="V5004" s="436"/>
      <c r="X5004" s="8"/>
      <c r="Y5004" s="8"/>
      <c r="AH5004" s="3"/>
      <c r="AI5004" s="3"/>
      <c r="AJ5004" s="3"/>
    </row>
    <row r="5005" spans="3:36" s="6" customFormat="1" ht="11.25" customHeight="1">
      <c r="C5005" s="4"/>
      <c r="D5005" s="4"/>
      <c r="E5005" s="5"/>
      <c r="G5005" s="31"/>
      <c r="I5005" s="9"/>
      <c r="J5005" s="24"/>
      <c r="K5005" s="9"/>
      <c r="L5005" s="25"/>
      <c r="M5005" s="7"/>
      <c r="N5005" s="8"/>
      <c r="O5005" s="11"/>
      <c r="P5005" s="11"/>
      <c r="Q5005" s="8"/>
      <c r="S5005" s="3"/>
      <c r="T5005" s="3"/>
      <c r="U5005" s="7"/>
      <c r="V5005" s="436"/>
      <c r="X5005" s="8"/>
      <c r="Y5005" s="8"/>
      <c r="AH5005" s="3"/>
      <c r="AI5005" s="3"/>
      <c r="AJ5005" s="3"/>
    </row>
    <row r="5006" spans="3:36" s="6" customFormat="1" ht="11.25" customHeight="1">
      <c r="C5006" s="4"/>
      <c r="D5006" s="4"/>
      <c r="E5006" s="5"/>
      <c r="G5006" s="31"/>
      <c r="I5006" s="9"/>
      <c r="J5006" s="24"/>
      <c r="K5006" s="9"/>
      <c r="L5006" s="25"/>
      <c r="M5006" s="7"/>
      <c r="N5006" s="8"/>
      <c r="O5006" s="11"/>
      <c r="P5006" s="11"/>
      <c r="Q5006" s="8"/>
      <c r="S5006" s="3"/>
      <c r="T5006" s="3"/>
      <c r="U5006" s="7"/>
      <c r="V5006" s="436"/>
      <c r="X5006" s="8"/>
      <c r="Y5006" s="8"/>
      <c r="AH5006" s="3"/>
      <c r="AI5006" s="3"/>
      <c r="AJ5006" s="3"/>
    </row>
    <row r="5007" spans="3:36" s="6" customFormat="1" ht="11.25" customHeight="1">
      <c r="C5007" s="4"/>
      <c r="D5007" s="4"/>
      <c r="E5007" s="5"/>
      <c r="G5007" s="31"/>
      <c r="I5007" s="9"/>
      <c r="J5007" s="24"/>
      <c r="K5007" s="9"/>
      <c r="L5007" s="25"/>
      <c r="M5007" s="7"/>
      <c r="N5007" s="8"/>
      <c r="O5007" s="11"/>
      <c r="P5007" s="11"/>
      <c r="Q5007" s="8"/>
      <c r="S5007" s="3"/>
      <c r="T5007" s="3"/>
      <c r="U5007" s="7"/>
      <c r="V5007" s="436"/>
      <c r="X5007" s="8"/>
      <c r="Y5007" s="8"/>
      <c r="AH5007" s="3"/>
      <c r="AI5007" s="3"/>
      <c r="AJ5007" s="3"/>
    </row>
    <row r="5008" spans="3:36" s="6" customFormat="1" ht="11.25" customHeight="1">
      <c r="C5008" s="4"/>
      <c r="D5008" s="4"/>
      <c r="E5008" s="5"/>
      <c r="G5008" s="31"/>
      <c r="I5008" s="9"/>
      <c r="J5008" s="24"/>
      <c r="K5008" s="9"/>
      <c r="L5008" s="25"/>
      <c r="M5008" s="7"/>
      <c r="N5008" s="8"/>
      <c r="O5008" s="11"/>
      <c r="P5008" s="11"/>
      <c r="Q5008" s="8"/>
      <c r="S5008" s="3"/>
      <c r="T5008" s="3"/>
      <c r="U5008" s="7"/>
      <c r="V5008" s="436"/>
      <c r="X5008" s="8"/>
      <c r="Y5008" s="8"/>
      <c r="AH5008" s="3"/>
      <c r="AI5008" s="3"/>
      <c r="AJ5008" s="3"/>
    </row>
    <row r="5009" spans="3:36" s="6" customFormat="1" ht="11.25" customHeight="1">
      <c r="C5009" s="4"/>
      <c r="D5009" s="4"/>
      <c r="E5009" s="5"/>
      <c r="G5009" s="31"/>
      <c r="I5009" s="9"/>
      <c r="J5009" s="24"/>
      <c r="K5009" s="9"/>
      <c r="L5009" s="25"/>
      <c r="M5009" s="7"/>
      <c r="N5009" s="8"/>
      <c r="O5009" s="11"/>
      <c r="P5009" s="11"/>
      <c r="Q5009" s="8"/>
      <c r="S5009" s="3"/>
      <c r="T5009" s="3"/>
      <c r="U5009" s="7"/>
      <c r="V5009" s="436"/>
      <c r="X5009" s="8"/>
      <c r="Y5009" s="8"/>
      <c r="AH5009" s="3"/>
      <c r="AI5009" s="3"/>
      <c r="AJ5009" s="3"/>
    </row>
    <row r="5010" spans="3:36" s="6" customFormat="1" ht="11.25" customHeight="1">
      <c r="C5010" s="4"/>
      <c r="D5010" s="4"/>
      <c r="E5010" s="5"/>
      <c r="G5010" s="31"/>
      <c r="I5010" s="9"/>
      <c r="J5010" s="24"/>
      <c r="K5010" s="9"/>
      <c r="L5010" s="25"/>
      <c r="M5010" s="7"/>
      <c r="N5010" s="8"/>
      <c r="O5010" s="11"/>
      <c r="P5010" s="11"/>
      <c r="Q5010" s="8"/>
      <c r="S5010" s="3"/>
      <c r="T5010" s="3"/>
      <c r="U5010" s="7"/>
      <c r="V5010" s="436"/>
      <c r="X5010" s="8"/>
      <c r="Y5010" s="8"/>
      <c r="AH5010" s="3"/>
      <c r="AI5010" s="3"/>
      <c r="AJ5010" s="3"/>
    </row>
    <row r="5011" spans="3:36" s="6" customFormat="1" ht="11.25" customHeight="1">
      <c r="C5011" s="4"/>
      <c r="D5011" s="4"/>
      <c r="E5011" s="5"/>
      <c r="G5011" s="31"/>
      <c r="I5011" s="9"/>
      <c r="J5011" s="24"/>
      <c r="K5011" s="9"/>
      <c r="L5011" s="25"/>
      <c r="M5011" s="7"/>
      <c r="N5011" s="8"/>
      <c r="O5011" s="11"/>
      <c r="P5011" s="11"/>
      <c r="Q5011" s="8"/>
      <c r="S5011" s="3"/>
      <c r="T5011" s="3"/>
      <c r="U5011" s="7"/>
      <c r="V5011" s="436"/>
      <c r="X5011" s="8"/>
      <c r="Y5011" s="8"/>
      <c r="AH5011" s="3"/>
      <c r="AI5011" s="3"/>
      <c r="AJ5011" s="3"/>
    </row>
    <row r="5012" spans="3:36" s="6" customFormat="1" ht="11.25" customHeight="1">
      <c r="C5012" s="4"/>
      <c r="D5012" s="4"/>
      <c r="E5012" s="5"/>
      <c r="G5012" s="31"/>
      <c r="I5012" s="9"/>
      <c r="J5012" s="24"/>
      <c r="K5012" s="9"/>
      <c r="L5012" s="25"/>
      <c r="M5012" s="7"/>
      <c r="N5012" s="8"/>
      <c r="O5012" s="11"/>
      <c r="P5012" s="11"/>
      <c r="Q5012" s="8"/>
      <c r="S5012" s="3"/>
      <c r="T5012" s="3"/>
      <c r="U5012" s="7"/>
      <c r="V5012" s="436"/>
      <c r="X5012" s="8"/>
      <c r="Y5012" s="8"/>
      <c r="AH5012" s="3"/>
      <c r="AI5012" s="3"/>
      <c r="AJ5012" s="3"/>
    </row>
    <row r="5013" spans="3:36" s="6" customFormat="1" ht="11.25" customHeight="1">
      <c r="C5013" s="4"/>
      <c r="D5013" s="4"/>
      <c r="E5013" s="5"/>
      <c r="G5013" s="31"/>
      <c r="I5013" s="9"/>
      <c r="J5013" s="24"/>
      <c r="K5013" s="9"/>
      <c r="L5013" s="25"/>
      <c r="M5013" s="7"/>
      <c r="N5013" s="8"/>
      <c r="O5013" s="11"/>
      <c r="P5013" s="11"/>
      <c r="Q5013" s="8"/>
      <c r="S5013" s="3"/>
      <c r="T5013" s="3"/>
      <c r="U5013" s="7"/>
      <c r="V5013" s="436"/>
      <c r="X5013" s="8"/>
      <c r="Y5013" s="8"/>
      <c r="AH5013" s="3"/>
      <c r="AI5013" s="3"/>
      <c r="AJ5013" s="3"/>
    </row>
    <row r="5014" spans="3:36" s="6" customFormat="1" ht="11.25" customHeight="1">
      <c r="C5014" s="4"/>
      <c r="D5014" s="4"/>
      <c r="E5014" s="5"/>
      <c r="G5014" s="31"/>
      <c r="I5014" s="9"/>
      <c r="J5014" s="24"/>
      <c r="K5014" s="9"/>
      <c r="L5014" s="25"/>
      <c r="M5014" s="7"/>
      <c r="N5014" s="8"/>
      <c r="O5014" s="11"/>
      <c r="P5014" s="11"/>
      <c r="Q5014" s="8"/>
      <c r="S5014" s="3"/>
      <c r="T5014" s="3"/>
      <c r="U5014" s="7"/>
      <c r="V5014" s="436"/>
      <c r="X5014" s="8"/>
      <c r="Y5014" s="8"/>
      <c r="AH5014" s="3"/>
      <c r="AI5014" s="3"/>
      <c r="AJ5014" s="3"/>
    </row>
    <row r="5015" spans="3:36" s="6" customFormat="1" ht="11.25" customHeight="1">
      <c r="C5015" s="4"/>
      <c r="D5015" s="4"/>
      <c r="E5015" s="5"/>
      <c r="G5015" s="31"/>
      <c r="I5015" s="9"/>
      <c r="J5015" s="24"/>
      <c r="K5015" s="9"/>
      <c r="L5015" s="25"/>
      <c r="M5015" s="7"/>
      <c r="N5015" s="8"/>
      <c r="O5015" s="11"/>
      <c r="P5015" s="11"/>
      <c r="Q5015" s="8"/>
      <c r="S5015" s="3"/>
      <c r="T5015" s="3"/>
      <c r="U5015" s="7"/>
      <c r="V5015" s="436"/>
      <c r="X5015" s="8"/>
      <c r="Y5015" s="8"/>
      <c r="AH5015" s="3"/>
      <c r="AI5015" s="3"/>
      <c r="AJ5015" s="3"/>
    </row>
    <row r="5016" spans="3:36" s="6" customFormat="1" ht="11.25" customHeight="1">
      <c r="C5016" s="4"/>
      <c r="D5016" s="4"/>
      <c r="E5016" s="5"/>
      <c r="G5016" s="31"/>
      <c r="I5016" s="9"/>
      <c r="J5016" s="24"/>
      <c r="K5016" s="9"/>
      <c r="L5016" s="25"/>
      <c r="M5016" s="7"/>
      <c r="N5016" s="8"/>
      <c r="O5016" s="11"/>
      <c r="P5016" s="11"/>
      <c r="Q5016" s="8"/>
      <c r="S5016" s="3"/>
      <c r="T5016" s="3"/>
      <c r="U5016" s="7"/>
      <c r="V5016" s="436"/>
      <c r="X5016" s="8"/>
      <c r="Y5016" s="8"/>
      <c r="AH5016" s="3"/>
      <c r="AI5016" s="3"/>
      <c r="AJ5016" s="3"/>
    </row>
    <row r="5017" spans="3:36" s="6" customFormat="1" ht="11.25" customHeight="1">
      <c r="C5017" s="4"/>
      <c r="D5017" s="4"/>
      <c r="E5017" s="5"/>
      <c r="G5017" s="31"/>
      <c r="I5017" s="9"/>
      <c r="J5017" s="24"/>
      <c r="K5017" s="9"/>
      <c r="L5017" s="25"/>
      <c r="M5017" s="7"/>
      <c r="N5017" s="8"/>
      <c r="O5017" s="11"/>
      <c r="P5017" s="11"/>
      <c r="Q5017" s="8"/>
      <c r="S5017" s="3"/>
      <c r="T5017" s="3"/>
      <c r="U5017" s="7"/>
      <c r="V5017" s="436"/>
      <c r="X5017" s="8"/>
      <c r="Y5017" s="8"/>
      <c r="AH5017" s="3"/>
      <c r="AI5017" s="3"/>
      <c r="AJ5017" s="3"/>
    </row>
    <row r="5018" spans="3:36" s="6" customFormat="1" ht="11.25" customHeight="1">
      <c r="C5018" s="4"/>
      <c r="D5018" s="4"/>
      <c r="E5018" s="5"/>
      <c r="G5018" s="31"/>
      <c r="I5018" s="9"/>
      <c r="J5018" s="24"/>
      <c r="K5018" s="9"/>
      <c r="L5018" s="25"/>
      <c r="M5018" s="7"/>
      <c r="N5018" s="8"/>
      <c r="O5018" s="11"/>
      <c r="P5018" s="11"/>
      <c r="Q5018" s="8"/>
      <c r="S5018" s="3"/>
      <c r="T5018" s="3"/>
      <c r="U5018" s="7"/>
      <c r="V5018" s="436"/>
      <c r="X5018" s="8"/>
      <c r="Y5018" s="8"/>
      <c r="AH5018" s="3"/>
      <c r="AI5018" s="3"/>
      <c r="AJ5018" s="3"/>
    </row>
    <row r="5019" spans="3:36" s="6" customFormat="1" ht="11.25" customHeight="1">
      <c r="C5019" s="4"/>
      <c r="D5019" s="4"/>
      <c r="E5019" s="5"/>
      <c r="G5019" s="31"/>
      <c r="I5019" s="9"/>
      <c r="J5019" s="24"/>
      <c r="K5019" s="9"/>
      <c r="L5019" s="25"/>
      <c r="M5019" s="7"/>
      <c r="N5019" s="8"/>
      <c r="O5019" s="11"/>
      <c r="P5019" s="11"/>
      <c r="Q5019" s="8"/>
      <c r="S5019" s="3"/>
      <c r="T5019" s="3"/>
      <c r="U5019" s="7"/>
      <c r="V5019" s="436"/>
      <c r="X5019" s="8"/>
      <c r="Y5019" s="8"/>
      <c r="AH5019" s="3"/>
      <c r="AI5019" s="3"/>
      <c r="AJ5019" s="3"/>
    </row>
    <row r="5020" spans="3:36" s="6" customFormat="1" ht="11.25" customHeight="1">
      <c r="C5020" s="4"/>
      <c r="D5020" s="4"/>
      <c r="E5020" s="5"/>
      <c r="G5020" s="31"/>
      <c r="I5020" s="9"/>
      <c r="J5020" s="24"/>
      <c r="K5020" s="9"/>
      <c r="L5020" s="25"/>
      <c r="M5020" s="7"/>
      <c r="N5020" s="8"/>
      <c r="O5020" s="11"/>
      <c r="P5020" s="11"/>
      <c r="Q5020" s="8"/>
      <c r="S5020" s="3"/>
      <c r="T5020" s="3"/>
      <c r="U5020" s="7"/>
      <c r="V5020" s="436"/>
      <c r="X5020" s="8"/>
      <c r="Y5020" s="8"/>
      <c r="AH5020" s="3"/>
      <c r="AI5020" s="3"/>
      <c r="AJ5020" s="3"/>
    </row>
    <row r="5021" spans="3:36" s="6" customFormat="1" ht="11.25" customHeight="1">
      <c r="C5021" s="4"/>
      <c r="D5021" s="4"/>
      <c r="E5021" s="5"/>
      <c r="G5021" s="31"/>
      <c r="I5021" s="9"/>
      <c r="J5021" s="24"/>
      <c r="K5021" s="9"/>
      <c r="L5021" s="25"/>
      <c r="M5021" s="7"/>
      <c r="N5021" s="8"/>
      <c r="O5021" s="11"/>
      <c r="P5021" s="11"/>
      <c r="Q5021" s="8"/>
      <c r="S5021" s="3"/>
      <c r="T5021" s="3"/>
      <c r="U5021" s="7"/>
      <c r="V5021" s="436"/>
      <c r="X5021" s="8"/>
      <c r="Y5021" s="8"/>
      <c r="AH5021" s="3"/>
      <c r="AI5021" s="3"/>
      <c r="AJ5021" s="3"/>
    </row>
    <row r="5022" spans="3:36" s="6" customFormat="1" ht="11.25" customHeight="1">
      <c r="C5022" s="4"/>
      <c r="D5022" s="4"/>
      <c r="E5022" s="5"/>
      <c r="G5022" s="31"/>
      <c r="I5022" s="9"/>
      <c r="J5022" s="24"/>
      <c r="K5022" s="9"/>
      <c r="L5022" s="25"/>
      <c r="M5022" s="7"/>
      <c r="N5022" s="8"/>
      <c r="O5022" s="11"/>
      <c r="P5022" s="11"/>
      <c r="Q5022" s="8"/>
      <c r="S5022" s="3"/>
      <c r="T5022" s="3"/>
      <c r="U5022" s="7"/>
      <c r="V5022" s="436"/>
      <c r="X5022" s="8"/>
      <c r="Y5022" s="8"/>
      <c r="AH5022" s="3"/>
      <c r="AI5022" s="3"/>
      <c r="AJ5022" s="3"/>
    </row>
    <row r="5023" spans="3:36" s="6" customFormat="1" ht="11.25" customHeight="1">
      <c r="C5023" s="4"/>
      <c r="D5023" s="4"/>
      <c r="E5023" s="5"/>
      <c r="G5023" s="31"/>
      <c r="I5023" s="9"/>
      <c r="J5023" s="24"/>
      <c r="K5023" s="9"/>
      <c r="L5023" s="25"/>
      <c r="M5023" s="7"/>
      <c r="N5023" s="8"/>
      <c r="O5023" s="11"/>
      <c r="P5023" s="11"/>
      <c r="Q5023" s="8"/>
      <c r="S5023" s="3"/>
      <c r="T5023" s="3"/>
      <c r="U5023" s="7"/>
      <c r="V5023" s="436"/>
      <c r="X5023" s="8"/>
      <c r="Y5023" s="8"/>
      <c r="AH5023" s="3"/>
      <c r="AI5023" s="3"/>
      <c r="AJ5023" s="3"/>
    </row>
    <row r="5024" spans="3:36" s="6" customFormat="1" ht="11.25" customHeight="1">
      <c r="C5024" s="4"/>
      <c r="D5024" s="4"/>
      <c r="E5024" s="5"/>
      <c r="G5024" s="31"/>
      <c r="I5024" s="9"/>
      <c r="J5024" s="24"/>
      <c r="K5024" s="9"/>
      <c r="L5024" s="25"/>
      <c r="M5024" s="7"/>
      <c r="N5024" s="8"/>
      <c r="O5024" s="11"/>
      <c r="P5024" s="11"/>
      <c r="Q5024" s="8"/>
      <c r="S5024" s="3"/>
      <c r="T5024" s="3"/>
      <c r="U5024" s="7"/>
      <c r="V5024" s="436"/>
      <c r="X5024" s="8"/>
      <c r="Y5024" s="8"/>
      <c r="AH5024" s="3"/>
      <c r="AI5024" s="3"/>
      <c r="AJ5024" s="3"/>
    </row>
    <row r="5025" spans="3:36" s="6" customFormat="1" ht="11.25" customHeight="1">
      <c r="C5025" s="4"/>
      <c r="D5025" s="4"/>
      <c r="E5025" s="5"/>
      <c r="G5025" s="31"/>
      <c r="I5025" s="9"/>
      <c r="J5025" s="24"/>
      <c r="K5025" s="9"/>
      <c r="L5025" s="25"/>
      <c r="M5025" s="7"/>
      <c r="N5025" s="8"/>
      <c r="O5025" s="11"/>
      <c r="P5025" s="11"/>
      <c r="Q5025" s="8"/>
      <c r="S5025" s="3"/>
      <c r="T5025" s="3"/>
      <c r="U5025" s="7"/>
      <c r="V5025" s="436"/>
      <c r="X5025" s="8"/>
      <c r="Y5025" s="8"/>
      <c r="AH5025" s="3"/>
      <c r="AI5025" s="3"/>
      <c r="AJ5025" s="3"/>
    </row>
    <row r="5026" spans="3:36" s="6" customFormat="1" ht="11.25" customHeight="1">
      <c r="C5026" s="4"/>
      <c r="D5026" s="4"/>
      <c r="E5026" s="5"/>
      <c r="G5026" s="31"/>
      <c r="I5026" s="9"/>
      <c r="J5026" s="24"/>
      <c r="K5026" s="9"/>
      <c r="L5026" s="25"/>
      <c r="M5026" s="7"/>
      <c r="N5026" s="8"/>
      <c r="O5026" s="11"/>
      <c r="P5026" s="11"/>
      <c r="Q5026" s="8"/>
      <c r="S5026" s="3"/>
      <c r="T5026" s="3"/>
      <c r="U5026" s="7"/>
      <c r="V5026" s="436"/>
      <c r="X5026" s="8"/>
      <c r="Y5026" s="8"/>
      <c r="AH5026" s="3"/>
      <c r="AI5026" s="3"/>
      <c r="AJ5026" s="3"/>
    </row>
    <row r="5027" spans="3:36" s="6" customFormat="1" ht="11.25" customHeight="1">
      <c r="C5027" s="4"/>
      <c r="D5027" s="4"/>
      <c r="E5027" s="5"/>
      <c r="G5027" s="31"/>
      <c r="I5027" s="9"/>
      <c r="J5027" s="24"/>
      <c r="K5027" s="9"/>
      <c r="L5027" s="25"/>
      <c r="M5027" s="7"/>
      <c r="N5027" s="8"/>
      <c r="O5027" s="11"/>
      <c r="P5027" s="11"/>
      <c r="Q5027" s="8"/>
      <c r="S5027" s="3"/>
      <c r="T5027" s="3"/>
      <c r="U5027" s="7"/>
      <c r="V5027" s="436"/>
      <c r="X5027" s="8"/>
      <c r="Y5027" s="8"/>
      <c r="AH5027" s="3"/>
      <c r="AI5027" s="3"/>
      <c r="AJ5027" s="3"/>
    </row>
    <row r="5028" spans="3:36" s="6" customFormat="1" ht="11.25" customHeight="1">
      <c r="C5028" s="4"/>
      <c r="D5028" s="4"/>
      <c r="E5028" s="5"/>
      <c r="G5028" s="31"/>
      <c r="I5028" s="9"/>
      <c r="J5028" s="24"/>
      <c r="K5028" s="9"/>
      <c r="L5028" s="25"/>
      <c r="M5028" s="7"/>
      <c r="N5028" s="8"/>
      <c r="O5028" s="11"/>
      <c r="P5028" s="11"/>
      <c r="Q5028" s="8"/>
      <c r="S5028" s="3"/>
      <c r="T5028" s="3"/>
      <c r="U5028" s="7"/>
      <c r="V5028" s="436"/>
      <c r="X5028" s="8"/>
      <c r="Y5028" s="8"/>
      <c r="AH5028" s="3"/>
      <c r="AI5028" s="3"/>
      <c r="AJ5028" s="3"/>
    </row>
    <row r="5029" spans="3:36" s="6" customFormat="1" ht="11.25" customHeight="1">
      <c r="C5029" s="4"/>
      <c r="D5029" s="4"/>
      <c r="E5029" s="5"/>
      <c r="G5029" s="31"/>
      <c r="I5029" s="9"/>
      <c r="J5029" s="24"/>
      <c r="K5029" s="9"/>
      <c r="L5029" s="25"/>
      <c r="M5029" s="7"/>
      <c r="N5029" s="8"/>
      <c r="O5029" s="11"/>
      <c r="P5029" s="11"/>
      <c r="Q5029" s="8"/>
      <c r="S5029" s="3"/>
      <c r="T5029" s="3"/>
      <c r="U5029" s="7"/>
      <c r="V5029" s="436"/>
      <c r="X5029" s="8"/>
      <c r="Y5029" s="8"/>
      <c r="AH5029" s="3"/>
      <c r="AI5029" s="3"/>
      <c r="AJ5029" s="3"/>
    </row>
    <row r="5030" spans="3:36" s="6" customFormat="1" ht="11.25" customHeight="1">
      <c r="C5030" s="4"/>
      <c r="D5030" s="4"/>
      <c r="E5030" s="5"/>
      <c r="G5030" s="31"/>
      <c r="I5030" s="9"/>
      <c r="J5030" s="24"/>
      <c r="K5030" s="9"/>
      <c r="L5030" s="25"/>
      <c r="M5030" s="7"/>
      <c r="N5030" s="8"/>
      <c r="O5030" s="11"/>
      <c r="P5030" s="11"/>
      <c r="Q5030" s="8"/>
      <c r="S5030" s="3"/>
      <c r="T5030" s="3"/>
      <c r="U5030" s="7"/>
      <c r="V5030" s="436"/>
      <c r="X5030" s="8"/>
      <c r="Y5030" s="8"/>
      <c r="AH5030" s="3"/>
      <c r="AI5030" s="3"/>
      <c r="AJ5030" s="3"/>
    </row>
    <row r="5031" spans="3:36" s="6" customFormat="1" ht="11.25" customHeight="1">
      <c r="C5031" s="4"/>
      <c r="D5031" s="4"/>
      <c r="E5031" s="5"/>
      <c r="G5031" s="31"/>
      <c r="I5031" s="9"/>
      <c r="J5031" s="24"/>
      <c r="K5031" s="9"/>
      <c r="L5031" s="25"/>
      <c r="M5031" s="7"/>
      <c r="N5031" s="8"/>
      <c r="O5031" s="11"/>
      <c r="P5031" s="11"/>
      <c r="Q5031" s="8"/>
      <c r="S5031" s="3"/>
      <c r="T5031" s="3"/>
      <c r="U5031" s="7"/>
      <c r="V5031" s="436"/>
      <c r="X5031" s="8"/>
      <c r="Y5031" s="8"/>
      <c r="AH5031" s="3"/>
      <c r="AI5031" s="3"/>
      <c r="AJ5031" s="3"/>
    </row>
    <row r="5032" spans="3:36" s="6" customFormat="1" ht="11.25" customHeight="1">
      <c r="C5032" s="4"/>
      <c r="D5032" s="4"/>
      <c r="E5032" s="5"/>
      <c r="G5032" s="31"/>
      <c r="I5032" s="9"/>
      <c r="J5032" s="24"/>
      <c r="K5032" s="9"/>
      <c r="L5032" s="25"/>
      <c r="M5032" s="7"/>
      <c r="N5032" s="8"/>
      <c r="O5032" s="11"/>
      <c r="P5032" s="11"/>
      <c r="Q5032" s="8"/>
      <c r="S5032" s="3"/>
      <c r="T5032" s="3"/>
      <c r="U5032" s="7"/>
      <c r="V5032" s="436"/>
      <c r="X5032" s="8"/>
      <c r="Y5032" s="8"/>
      <c r="AH5032" s="3"/>
      <c r="AI5032" s="3"/>
      <c r="AJ5032" s="3"/>
    </row>
    <row r="5033" spans="3:36" s="6" customFormat="1" ht="11.25" customHeight="1">
      <c r="C5033" s="4"/>
      <c r="D5033" s="4"/>
      <c r="E5033" s="5"/>
      <c r="G5033" s="31"/>
      <c r="I5033" s="9"/>
      <c r="J5033" s="24"/>
      <c r="K5033" s="9"/>
      <c r="L5033" s="25"/>
      <c r="M5033" s="7"/>
      <c r="N5033" s="8"/>
      <c r="O5033" s="11"/>
      <c r="P5033" s="11"/>
      <c r="Q5033" s="8"/>
      <c r="S5033" s="3"/>
      <c r="T5033" s="3"/>
      <c r="U5033" s="7"/>
      <c r="V5033" s="436"/>
      <c r="X5033" s="8"/>
      <c r="Y5033" s="8"/>
      <c r="AH5033" s="3"/>
      <c r="AI5033" s="3"/>
      <c r="AJ5033" s="3"/>
    </row>
    <row r="5034" spans="3:36" s="6" customFormat="1" ht="11.25" customHeight="1">
      <c r="C5034" s="4"/>
      <c r="D5034" s="4"/>
      <c r="E5034" s="5"/>
      <c r="G5034" s="31"/>
      <c r="I5034" s="9"/>
      <c r="J5034" s="24"/>
      <c r="K5034" s="9"/>
      <c r="L5034" s="25"/>
      <c r="M5034" s="7"/>
      <c r="N5034" s="8"/>
      <c r="O5034" s="11"/>
      <c r="P5034" s="11"/>
      <c r="Q5034" s="8"/>
      <c r="S5034" s="3"/>
      <c r="T5034" s="3"/>
      <c r="U5034" s="7"/>
      <c r="V5034" s="436"/>
      <c r="X5034" s="8"/>
      <c r="Y5034" s="8"/>
      <c r="AH5034" s="3"/>
      <c r="AI5034" s="3"/>
      <c r="AJ5034" s="3"/>
    </row>
    <row r="5035" spans="3:36" s="6" customFormat="1" ht="11.25" customHeight="1">
      <c r="C5035" s="4"/>
      <c r="D5035" s="4"/>
      <c r="E5035" s="5"/>
      <c r="G5035" s="31"/>
      <c r="I5035" s="9"/>
      <c r="J5035" s="24"/>
      <c r="K5035" s="9"/>
      <c r="L5035" s="25"/>
      <c r="M5035" s="7"/>
      <c r="N5035" s="8"/>
      <c r="O5035" s="11"/>
      <c r="P5035" s="11"/>
      <c r="Q5035" s="8"/>
      <c r="S5035" s="3"/>
      <c r="T5035" s="3"/>
      <c r="U5035" s="7"/>
      <c r="V5035" s="436"/>
      <c r="X5035" s="8"/>
      <c r="Y5035" s="8"/>
      <c r="AH5035" s="3"/>
      <c r="AI5035" s="3"/>
      <c r="AJ5035" s="3"/>
    </row>
    <row r="5036" spans="3:36" s="6" customFormat="1" ht="11.25" customHeight="1">
      <c r="C5036" s="4"/>
      <c r="D5036" s="4"/>
      <c r="E5036" s="5"/>
      <c r="G5036" s="31"/>
      <c r="I5036" s="9"/>
      <c r="J5036" s="24"/>
      <c r="K5036" s="9"/>
      <c r="L5036" s="25"/>
      <c r="M5036" s="7"/>
      <c r="N5036" s="8"/>
      <c r="O5036" s="11"/>
      <c r="P5036" s="11"/>
      <c r="Q5036" s="8"/>
      <c r="S5036" s="3"/>
      <c r="T5036" s="3"/>
      <c r="U5036" s="7"/>
      <c r="V5036" s="436"/>
      <c r="X5036" s="8"/>
      <c r="Y5036" s="8"/>
      <c r="AH5036" s="3"/>
      <c r="AI5036" s="3"/>
      <c r="AJ5036" s="3"/>
    </row>
    <row r="5037" spans="3:36" s="6" customFormat="1" ht="11.25" customHeight="1">
      <c r="C5037" s="4"/>
      <c r="D5037" s="4"/>
      <c r="E5037" s="5"/>
      <c r="G5037" s="31"/>
      <c r="I5037" s="9"/>
      <c r="J5037" s="24"/>
      <c r="K5037" s="9"/>
      <c r="L5037" s="25"/>
      <c r="M5037" s="7"/>
      <c r="N5037" s="8"/>
      <c r="O5037" s="11"/>
      <c r="P5037" s="11"/>
      <c r="Q5037" s="8"/>
      <c r="S5037" s="3"/>
      <c r="T5037" s="3"/>
      <c r="U5037" s="7"/>
      <c r="V5037" s="436"/>
      <c r="X5037" s="8"/>
      <c r="Y5037" s="8"/>
      <c r="AH5037" s="3"/>
      <c r="AI5037" s="3"/>
      <c r="AJ5037" s="3"/>
    </row>
    <row r="5038" spans="3:36" s="6" customFormat="1" ht="11.25" customHeight="1">
      <c r="C5038" s="4"/>
      <c r="D5038" s="4"/>
      <c r="E5038" s="5"/>
      <c r="G5038" s="31"/>
      <c r="I5038" s="9"/>
      <c r="J5038" s="24"/>
      <c r="K5038" s="9"/>
      <c r="L5038" s="25"/>
      <c r="M5038" s="7"/>
      <c r="N5038" s="8"/>
      <c r="O5038" s="11"/>
      <c r="P5038" s="11"/>
      <c r="Q5038" s="8"/>
      <c r="S5038" s="3"/>
      <c r="T5038" s="3"/>
      <c r="U5038" s="7"/>
      <c r="V5038" s="436"/>
      <c r="X5038" s="8"/>
      <c r="Y5038" s="8"/>
      <c r="AH5038" s="3"/>
      <c r="AI5038" s="3"/>
      <c r="AJ5038" s="3"/>
    </row>
    <row r="5039" spans="3:36" s="6" customFormat="1" ht="11.25" customHeight="1">
      <c r="C5039" s="4"/>
      <c r="D5039" s="4"/>
      <c r="E5039" s="5"/>
      <c r="G5039" s="31"/>
      <c r="I5039" s="9"/>
      <c r="J5039" s="24"/>
      <c r="K5039" s="9"/>
      <c r="L5039" s="25"/>
      <c r="M5039" s="7"/>
      <c r="N5039" s="8"/>
      <c r="O5039" s="11"/>
      <c r="P5039" s="11"/>
      <c r="Q5039" s="8"/>
      <c r="S5039" s="3"/>
      <c r="T5039" s="3"/>
      <c r="U5039" s="7"/>
      <c r="V5039" s="436"/>
      <c r="X5039" s="8"/>
      <c r="Y5039" s="8"/>
      <c r="AH5039" s="3"/>
      <c r="AI5039" s="3"/>
      <c r="AJ5039" s="3"/>
    </row>
    <row r="5040" spans="3:36" s="6" customFormat="1" ht="11.25" customHeight="1">
      <c r="C5040" s="4"/>
      <c r="D5040" s="4"/>
      <c r="E5040" s="5"/>
      <c r="G5040" s="31"/>
      <c r="I5040" s="9"/>
      <c r="J5040" s="24"/>
      <c r="K5040" s="9"/>
      <c r="L5040" s="25"/>
      <c r="M5040" s="7"/>
      <c r="N5040" s="8"/>
      <c r="O5040" s="11"/>
      <c r="P5040" s="11"/>
      <c r="Q5040" s="8"/>
      <c r="S5040" s="3"/>
      <c r="T5040" s="3"/>
      <c r="U5040" s="7"/>
      <c r="V5040" s="436"/>
      <c r="X5040" s="8"/>
      <c r="Y5040" s="8"/>
      <c r="AH5040" s="3"/>
      <c r="AI5040" s="3"/>
      <c r="AJ5040" s="3"/>
    </row>
    <row r="5041" spans="3:36" s="6" customFormat="1" ht="11.25" customHeight="1">
      <c r="C5041" s="4"/>
      <c r="D5041" s="4"/>
      <c r="E5041" s="5"/>
      <c r="G5041" s="31"/>
      <c r="I5041" s="9"/>
      <c r="J5041" s="24"/>
      <c r="K5041" s="9"/>
      <c r="L5041" s="25"/>
      <c r="M5041" s="7"/>
      <c r="N5041" s="8"/>
      <c r="O5041" s="11"/>
      <c r="P5041" s="11"/>
      <c r="Q5041" s="8"/>
      <c r="S5041" s="3"/>
      <c r="T5041" s="3"/>
      <c r="U5041" s="7"/>
      <c r="V5041" s="436"/>
      <c r="X5041" s="8"/>
      <c r="Y5041" s="8"/>
      <c r="AH5041" s="3"/>
      <c r="AI5041" s="3"/>
      <c r="AJ5041" s="3"/>
    </row>
    <row r="5042" spans="3:36" s="6" customFormat="1" ht="11.25" customHeight="1">
      <c r="C5042" s="4"/>
      <c r="D5042" s="4"/>
      <c r="E5042" s="5"/>
      <c r="G5042" s="31"/>
      <c r="I5042" s="9"/>
      <c r="J5042" s="24"/>
      <c r="K5042" s="9"/>
      <c r="L5042" s="25"/>
      <c r="M5042" s="7"/>
      <c r="N5042" s="8"/>
      <c r="O5042" s="11"/>
      <c r="P5042" s="11"/>
      <c r="Q5042" s="8"/>
      <c r="S5042" s="3"/>
      <c r="T5042" s="3"/>
      <c r="U5042" s="7"/>
      <c r="V5042" s="436"/>
      <c r="X5042" s="8"/>
      <c r="Y5042" s="8"/>
      <c r="AH5042" s="3"/>
      <c r="AI5042" s="3"/>
      <c r="AJ5042" s="3"/>
    </row>
    <row r="5043" spans="3:36" s="6" customFormat="1" ht="11.25" customHeight="1">
      <c r="C5043" s="4"/>
      <c r="D5043" s="4"/>
      <c r="E5043" s="5"/>
      <c r="G5043" s="31"/>
      <c r="I5043" s="9"/>
      <c r="J5043" s="24"/>
      <c r="K5043" s="9"/>
      <c r="L5043" s="25"/>
      <c r="M5043" s="7"/>
      <c r="N5043" s="8"/>
      <c r="O5043" s="11"/>
      <c r="P5043" s="11"/>
      <c r="Q5043" s="8"/>
      <c r="S5043" s="3"/>
      <c r="T5043" s="3"/>
      <c r="U5043" s="7"/>
      <c r="V5043" s="436"/>
      <c r="X5043" s="8"/>
      <c r="Y5043" s="8"/>
      <c r="AH5043" s="3"/>
      <c r="AI5043" s="3"/>
      <c r="AJ5043" s="3"/>
    </row>
    <row r="5044" spans="3:36" s="6" customFormat="1" ht="11.25" customHeight="1">
      <c r="C5044" s="4"/>
      <c r="D5044" s="4"/>
      <c r="E5044" s="5"/>
      <c r="G5044" s="31"/>
      <c r="I5044" s="9"/>
      <c r="J5044" s="24"/>
      <c r="K5044" s="9"/>
      <c r="L5044" s="25"/>
      <c r="M5044" s="7"/>
      <c r="N5044" s="8"/>
      <c r="O5044" s="11"/>
      <c r="P5044" s="11"/>
      <c r="Q5044" s="8"/>
      <c r="S5044" s="3"/>
      <c r="T5044" s="3"/>
      <c r="U5044" s="7"/>
      <c r="V5044" s="436"/>
      <c r="X5044" s="8"/>
      <c r="Y5044" s="8"/>
      <c r="AH5044" s="3"/>
      <c r="AI5044" s="3"/>
      <c r="AJ5044" s="3"/>
    </row>
    <row r="5045" spans="3:36" s="6" customFormat="1" ht="11.25" customHeight="1">
      <c r="C5045" s="4"/>
      <c r="D5045" s="4"/>
      <c r="E5045" s="5"/>
      <c r="G5045" s="31"/>
      <c r="I5045" s="9"/>
      <c r="J5045" s="24"/>
      <c r="K5045" s="9"/>
      <c r="L5045" s="25"/>
      <c r="M5045" s="7"/>
      <c r="N5045" s="8"/>
      <c r="O5045" s="11"/>
      <c r="P5045" s="11"/>
      <c r="Q5045" s="8"/>
      <c r="S5045" s="3"/>
      <c r="T5045" s="3"/>
      <c r="U5045" s="7"/>
      <c r="V5045" s="436"/>
      <c r="X5045" s="8"/>
      <c r="Y5045" s="8"/>
      <c r="AH5045" s="3"/>
      <c r="AI5045" s="3"/>
      <c r="AJ5045" s="3"/>
    </row>
    <row r="5046" spans="3:36" s="6" customFormat="1" ht="11.25" customHeight="1">
      <c r="C5046" s="4"/>
      <c r="D5046" s="4"/>
      <c r="E5046" s="5"/>
      <c r="G5046" s="31"/>
      <c r="I5046" s="9"/>
      <c r="J5046" s="24"/>
      <c r="K5046" s="9"/>
      <c r="L5046" s="25"/>
      <c r="M5046" s="7"/>
      <c r="N5046" s="8"/>
      <c r="O5046" s="11"/>
      <c r="P5046" s="11"/>
      <c r="Q5046" s="8"/>
      <c r="S5046" s="3"/>
      <c r="T5046" s="3"/>
      <c r="U5046" s="7"/>
      <c r="V5046" s="436"/>
      <c r="X5046" s="8"/>
      <c r="Y5046" s="8"/>
      <c r="AH5046" s="3"/>
      <c r="AI5046" s="3"/>
      <c r="AJ5046" s="3"/>
    </row>
    <row r="5047" spans="3:36" s="6" customFormat="1" ht="11.25" customHeight="1">
      <c r="C5047" s="4"/>
      <c r="D5047" s="4"/>
      <c r="E5047" s="5"/>
      <c r="G5047" s="31"/>
      <c r="I5047" s="9"/>
      <c r="J5047" s="24"/>
      <c r="K5047" s="9"/>
      <c r="L5047" s="25"/>
      <c r="M5047" s="7"/>
      <c r="N5047" s="8"/>
      <c r="O5047" s="11"/>
      <c r="P5047" s="11"/>
      <c r="Q5047" s="8"/>
      <c r="S5047" s="3"/>
      <c r="T5047" s="3"/>
      <c r="U5047" s="7"/>
      <c r="V5047" s="436"/>
      <c r="X5047" s="8"/>
      <c r="Y5047" s="8"/>
      <c r="AH5047" s="3"/>
      <c r="AI5047" s="3"/>
      <c r="AJ5047" s="3"/>
    </row>
    <row r="5048" spans="3:36" s="6" customFormat="1" ht="11.25" customHeight="1">
      <c r="C5048" s="4"/>
      <c r="D5048" s="4"/>
      <c r="E5048" s="5"/>
      <c r="G5048" s="31"/>
      <c r="I5048" s="9"/>
      <c r="J5048" s="24"/>
      <c r="K5048" s="9"/>
      <c r="L5048" s="25"/>
      <c r="M5048" s="7"/>
      <c r="N5048" s="8"/>
      <c r="O5048" s="11"/>
      <c r="P5048" s="11"/>
      <c r="Q5048" s="8"/>
      <c r="S5048" s="3"/>
      <c r="T5048" s="3"/>
      <c r="U5048" s="7"/>
      <c r="V5048" s="436"/>
      <c r="X5048" s="8"/>
      <c r="Y5048" s="8"/>
      <c r="AH5048" s="3"/>
      <c r="AI5048" s="3"/>
      <c r="AJ5048" s="3"/>
    </row>
    <row r="5049" spans="3:36" s="6" customFormat="1" ht="11.25" customHeight="1">
      <c r="C5049" s="4"/>
      <c r="D5049" s="4"/>
      <c r="E5049" s="5"/>
      <c r="G5049" s="31"/>
      <c r="I5049" s="9"/>
      <c r="J5049" s="24"/>
      <c r="K5049" s="9"/>
      <c r="L5049" s="25"/>
      <c r="M5049" s="7"/>
      <c r="N5049" s="8"/>
      <c r="O5049" s="11"/>
      <c r="P5049" s="11"/>
      <c r="Q5049" s="8"/>
      <c r="S5049" s="3"/>
      <c r="T5049" s="3"/>
      <c r="U5049" s="7"/>
      <c r="V5049" s="436"/>
      <c r="X5049" s="8"/>
      <c r="Y5049" s="8"/>
      <c r="AH5049" s="3"/>
      <c r="AI5049" s="3"/>
      <c r="AJ5049" s="3"/>
    </row>
    <row r="5050" spans="3:36" s="6" customFormat="1" ht="11.25" customHeight="1">
      <c r="C5050" s="4"/>
      <c r="D5050" s="4"/>
      <c r="E5050" s="5"/>
      <c r="G5050" s="31"/>
      <c r="I5050" s="9"/>
      <c r="J5050" s="24"/>
      <c r="K5050" s="9"/>
      <c r="L5050" s="25"/>
      <c r="M5050" s="7"/>
      <c r="N5050" s="8"/>
      <c r="O5050" s="11"/>
      <c r="P5050" s="11"/>
      <c r="Q5050" s="8"/>
      <c r="S5050" s="3"/>
      <c r="T5050" s="3"/>
      <c r="U5050" s="7"/>
      <c r="V5050" s="436"/>
      <c r="X5050" s="8"/>
      <c r="Y5050" s="8"/>
      <c r="AH5050" s="3"/>
      <c r="AI5050" s="3"/>
      <c r="AJ5050" s="3"/>
    </row>
    <row r="5051" spans="3:36" s="6" customFormat="1" ht="11.25" customHeight="1">
      <c r="C5051" s="4"/>
      <c r="D5051" s="4"/>
      <c r="E5051" s="5"/>
      <c r="G5051" s="31"/>
      <c r="I5051" s="9"/>
      <c r="J5051" s="24"/>
      <c r="K5051" s="9"/>
      <c r="L5051" s="25"/>
      <c r="M5051" s="7"/>
      <c r="N5051" s="8"/>
      <c r="O5051" s="11"/>
      <c r="P5051" s="11"/>
      <c r="Q5051" s="8"/>
      <c r="S5051" s="3"/>
      <c r="T5051" s="3"/>
      <c r="U5051" s="7"/>
      <c r="V5051" s="436"/>
      <c r="X5051" s="8"/>
      <c r="Y5051" s="8"/>
      <c r="AH5051" s="3"/>
      <c r="AI5051" s="3"/>
      <c r="AJ5051" s="3"/>
    </row>
    <row r="5052" spans="3:36" s="6" customFormat="1" ht="11.25" customHeight="1">
      <c r="C5052" s="4"/>
      <c r="D5052" s="4"/>
      <c r="E5052" s="5"/>
      <c r="G5052" s="31"/>
      <c r="I5052" s="9"/>
      <c r="J5052" s="24"/>
      <c r="K5052" s="9"/>
      <c r="L5052" s="25"/>
      <c r="M5052" s="7"/>
      <c r="N5052" s="8"/>
      <c r="O5052" s="11"/>
      <c r="P5052" s="11"/>
      <c r="Q5052" s="8"/>
      <c r="S5052" s="3"/>
      <c r="T5052" s="3"/>
      <c r="U5052" s="7"/>
      <c r="V5052" s="436"/>
      <c r="X5052" s="8"/>
      <c r="Y5052" s="8"/>
      <c r="AH5052" s="3"/>
      <c r="AI5052" s="3"/>
      <c r="AJ5052" s="3"/>
    </row>
    <row r="5053" spans="3:36" s="6" customFormat="1" ht="11.25" customHeight="1">
      <c r="C5053" s="4"/>
      <c r="D5053" s="4"/>
      <c r="E5053" s="5"/>
      <c r="G5053" s="31"/>
      <c r="I5053" s="9"/>
      <c r="J5053" s="24"/>
      <c r="K5053" s="9"/>
      <c r="L5053" s="25"/>
      <c r="M5053" s="7"/>
      <c r="N5053" s="8"/>
      <c r="O5053" s="11"/>
      <c r="P5053" s="11"/>
      <c r="Q5053" s="8"/>
      <c r="S5053" s="3"/>
      <c r="T5053" s="3"/>
      <c r="U5053" s="7"/>
      <c r="V5053" s="436"/>
      <c r="X5053" s="8"/>
      <c r="Y5053" s="8"/>
      <c r="AH5053" s="3"/>
      <c r="AI5053" s="3"/>
      <c r="AJ5053" s="3"/>
    </row>
    <row r="5054" spans="3:36" s="6" customFormat="1" ht="11.25" customHeight="1">
      <c r="C5054" s="4"/>
      <c r="D5054" s="4"/>
      <c r="E5054" s="5"/>
      <c r="G5054" s="31"/>
      <c r="I5054" s="9"/>
      <c r="J5054" s="24"/>
      <c r="K5054" s="9"/>
      <c r="L5054" s="25"/>
      <c r="M5054" s="7"/>
      <c r="N5054" s="8"/>
      <c r="O5054" s="11"/>
      <c r="P5054" s="11"/>
      <c r="Q5054" s="8"/>
      <c r="S5054" s="3"/>
      <c r="T5054" s="3"/>
      <c r="U5054" s="7"/>
      <c r="V5054" s="436"/>
      <c r="X5054" s="8"/>
      <c r="Y5054" s="8"/>
      <c r="AH5054" s="3"/>
      <c r="AI5054" s="3"/>
      <c r="AJ5054" s="3"/>
    </row>
    <row r="5055" spans="3:36" s="6" customFormat="1" ht="11.25" customHeight="1">
      <c r="C5055" s="4"/>
      <c r="D5055" s="4"/>
      <c r="E5055" s="5"/>
      <c r="G5055" s="31"/>
      <c r="I5055" s="9"/>
      <c r="J5055" s="24"/>
      <c r="K5055" s="9"/>
      <c r="L5055" s="25"/>
      <c r="M5055" s="7"/>
      <c r="N5055" s="8"/>
      <c r="O5055" s="11"/>
      <c r="P5055" s="11"/>
      <c r="Q5055" s="8"/>
      <c r="S5055" s="3"/>
      <c r="T5055" s="3"/>
      <c r="U5055" s="7"/>
      <c r="V5055" s="436"/>
      <c r="X5055" s="8"/>
      <c r="Y5055" s="8"/>
      <c r="AH5055" s="3"/>
      <c r="AI5055" s="3"/>
      <c r="AJ5055" s="3"/>
    </row>
    <row r="5056" spans="3:36" s="6" customFormat="1" ht="11.25" customHeight="1">
      <c r="C5056" s="4"/>
      <c r="D5056" s="4"/>
      <c r="E5056" s="5"/>
      <c r="G5056" s="31"/>
      <c r="I5056" s="9"/>
      <c r="J5056" s="24"/>
      <c r="K5056" s="9"/>
      <c r="L5056" s="25"/>
      <c r="M5056" s="7"/>
      <c r="N5056" s="8"/>
      <c r="O5056" s="11"/>
      <c r="P5056" s="11"/>
      <c r="Q5056" s="8"/>
      <c r="S5056" s="3"/>
      <c r="T5056" s="3"/>
      <c r="U5056" s="7"/>
      <c r="V5056" s="436"/>
      <c r="X5056" s="8"/>
      <c r="Y5056" s="8"/>
      <c r="AH5056" s="3"/>
      <c r="AI5056" s="3"/>
      <c r="AJ5056" s="3"/>
    </row>
    <row r="5057" spans="3:36" s="6" customFormat="1" ht="11.25" customHeight="1">
      <c r="C5057" s="4"/>
      <c r="D5057" s="4"/>
      <c r="E5057" s="5"/>
      <c r="G5057" s="31"/>
      <c r="I5057" s="9"/>
      <c r="J5057" s="24"/>
      <c r="K5057" s="9"/>
      <c r="L5057" s="25"/>
      <c r="M5057" s="7"/>
      <c r="N5057" s="8"/>
      <c r="O5057" s="11"/>
      <c r="P5057" s="11"/>
      <c r="Q5057" s="8"/>
      <c r="S5057" s="3"/>
      <c r="T5057" s="3"/>
      <c r="U5057" s="7"/>
      <c r="V5057" s="436"/>
      <c r="X5057" s="8"/>
      <c r="Y5057" s="8"/>
      <c r="AH5057" s="3"/>
      <c r="AI5057" s="3"/>
      <c r="AJ5057" s="3"/>
    </row>
    <row r="5058" spans="3:36" s="6" customFormat="1" ht="11.25" customHeight="1">
      <c r="C5058" s="4"/>
      <c r="D5058" s="4"/>
      <c r="E5058" s="5"/>
      <c r="G5058" s="31"/>
      <c r="I5058" s="9"/>
      <c r="J5058" s="24"/>
      <c r="K5058" s="9"/>
      <c r="L5058" s="25"/>
      <c r="M5058" s="7"/>
      <c r="N5058" s="8"/>
      <c r="O5058" s="11"/>
      <c r="P5058" s="11"/>
      <c r="Q5058" s="8"/>
      <c r="S5058" s="3"/>
      <c r="T5058" s="3"/>
      <c r="U5058" s="7"/>
      <c r="V5058" s="436"/>
      <c r="X5058" s="8"/>
      <c r="Y5058" s="8"/>
      <c r="AH5058" s="3"/>
      <c r="AI5058" s="3"/>
      <c r="AJ5058" s="3"/>
    </row>
    <row r="5059" spans="3:36" s="6" customFormat="1" ht="11.25" customHeight="1">
      <c r="C5059" s="4"/>
      <c r="D5059" s="4"/>
      <c r="E5059" s="5"/>
      <c r="G5059" s="31"/>
      <c r="I5059" s="9"/>
      <c r="J5059" s="24"/>
      <c r="K5059" s="9"/>
      <c r="L5059" s="25"/>
      <c r="M5059" s="7"/>
      <c r="N5059" s="8"/>
      <c r="O5059" s="11"/>
      <c r="P5059" s="11"/>
      <c r="Q5059" s="8"/>
      <c r="S5059" s="3"/>
      <c r="T5059" s="3"/>
      <c r="U5059" s="7"/>
      <c r="V5059" s="436"/>
      <c r="X5059" s="8"/>
      <c r="Y5059" s="8"/>
      <c r="AH5059" s="3"/>
      <c r="AI5059" s="3"/>
      <c r="AJ5059" s="3"/>
    </row>
    <row r="5060" spans="3:36" s="6" customFormat="1" ht="11.25" customHeight="1">
      <c r="C5060" s="4"/>
      <c r="D5060" s="4"/>
      <c r="E5060" s="5"/>
      <c r="G5060" s="31"/>
      <c r="I5060" s="9"/>
      <c r="J5060" s="24"/>
      <c r="K5060" s="9"/>
      <c r="L5060" s="25"/>
      <c r="M5060" s="7"/>
      <c r="N5060" s="8"/>
      <c r="O5060" s="11"/>
      <c r="P5060" s="11"/>
      <c r="Q5060" s="8"/>
      <c r="S5060" s="3"/>
      <c r="T5060" s="3"/>
      <c r="U5060" s="7"/>
      <c r="V5060" s="436"/>
      <c r="X5060" s="8"/>
      <c r="Y5060" s="8"/>
      <c r="AH5060" s="3"/>
      <c r="AI5060" s="3"/>
      <c r="AJ5060" s="3"/>
    </row>
    <row r="5061" spans="3:36" s="6" customFormat="1" ht="11.25" customHeight="1">
      <c r="C5061" s="4"/>
      <c r="D5061" s="4"/>
      <c r="E5061" s="5"/>
      <c r="G5061" s="31"/>
      <c r="I5061" s="9"/>
      <c r="J5061" s="24"/>
      <c r="K5061" s="9"/>
      <c r="L5061" s="25"/>
      <c r="M5061" s="7"/>
      <c r="N5061" s="8"/>
      <c r="O5061" s="11"/>
      <c r="P5061" s="11"/>
      <c r="Q5061" s="8"/>
      <c r="S5061" s="3"/>
      <c r="T5061" s="3"/>
      <c r="U5061" s="7"/>
      <c r="V5061" s="436"/>
      <c r="X5061" s="8"/>
      <c r="Y5061" s="8"/>
      <c r="AH5061" s="3"/>
      <c r="AI5061" s="3"/>
      <c r="AJ5061" s="3"/>
    </row>
    <row r="5062" spans="3:36" s="6" customFormat="1" ht="11.25" customHeight="1">
      <c r="C5062" s="4"/>
      <c r="D5062" s="4"/>
      <c r="E5062" s="5"/>
      <c r="G5062" s="31"/>
      <c r="I5062" s="9"/>
      <c r="J5062" s="24"/>
      <c r="K5062" s="9"/>
      <c r="L5062" s="25"/>
      <c r="M5062" s="7"/>
      <c r="N5062" s="8"/>
      <c r="O5062" s="11"/>
      <c r="P5062" s="11"/>
      <c r="Q5062" s="8"/>
      <c r="S5062" s="3"/>
      <c r="T5062" s="3"/>
      <c r="U5062" s="7"/>
      <c r="V5062" s="436"/>
      <c r="X5062" s="8"/>
      <c r="Y5062" s="8"/>
      <c r="AH5062" s="3"/>
      <c r="AI5062" s="3"/>
      <c r="AJ5062" s="3"/>
    </row>
    <row r="5063" spans="3:36" s="6" customFormat="1" ht="11.25" customHeight="1">
      <c r="C5063" s="4"/>
      <c r="D5063" s="4"/>
      <c r="E5063" s="5"/>
      <c r="G5063" s="31"/>
      <c r="I5063" s="9"/>
      <c r="J5063" s="24"/>
      <c r="K5063" s="9"/>
      <c r="L5063" s="25"/>
      <c r="M5063" s="7"/>
      <c r="N5063" s="8"/>
      <c r="O5063" s="11"/>
      <c r="P5063" s="11"/>
      <c r="Q5063" s="8"/>
      <c r="S5063" s="3"/>
      <c r="T5063" s="3"/>
      <c r="U5063" s="7"/>
      <c r="V5063" s="436"/>
      <c r="X5063" s="8"/>
      <c r="Y5063" s="8"/>
      <c r="AH5063" s="3"/>
      <c r="AI5063" s="3"/>
      <c r="AJ5063" s="3"/>
    </row>
    <row r="5064" spans="3:36" s="6" customFormat="1" ht="11.25" customHeight="1">
      <c r="C5064" s="4"/>
      <c r="D5064" s="4"/>
      <c r="E5064" s="5"/>
      <c r="G5064" s="31"/>
      <c r="I5064" s="9"/>
      <c r="J5064" s="24"/>
      <c r="K5064" s="9"/>
      <c r="L5064" s="25"/>
      <c r="M5064" s="7"/>
      <c r="N5064" s="8"/>
      <c r="O5064" s="11"/>
      <c r="P5064" s="11"/>
      <c r="Q5064" s="8"/>
      <c r="S5064" s="3"/>
      <c r="T5064" s="3"/>
      <c r="U5064" s="7"/>
      <c r="V5064" s="436"/>
      <c r="X5064" s="8"/>
      <c r="Y5064" s="8"/>
      <c r="AH5064" s="3"/>
      <c r="AI5064" s="3"/>
      <c r="AJ5064" s="3"/>
    </row>
    <row r="5065" spans="3:36" s="6" customFormat="1" ht="11.25" customHeight="1">
      <c r="C5065" s="4"/>
      <c r="D5065" s="4"/>
      <c r="E5065" s="5"/>
      <c r="G5065" s="31"/>
      <c r="I5065" s="9"/>
      <c r="J5065" s="24"/>
      <c r="K5065" s="9"/>
      <c r="L5065" s="25"/>
      <c r="M5065" s="7"/>
      <c r="N5065" s="8"/>
      <c r="O5065" s="11"/>
      <c r="P5065" s="11"/>
      <c r="Q5065" s="8"/>
      <c r="S5065" s="3"/>
      <c r="T5065" s="3"/>
      <c r="U5065" s="7"/>
      <c r="V5065" s="436"/>
      <c r="X5065" s="8"/>
      <c r="Y5065" s="8"/>
      <c r="AH5065" s="3"/>
      <c r="AI5065" s="3"/>
      <c r="AJ5065" s="3"/>
    </row>
    <row r="5066" spans="3:36" s="6" customFormat="1" ht="11.25" customHeight="1">
      <c r="C5066" s="4"/>
      <c r="D5066" s="4"/>
      <c r="E5066" s="5"/>
      <c r="G5066" s="31"/>
      <c r="I5066" s="9"/>
      <c r="J5066" s="24"/>
      <c r="K5066" s="9"/>
      <c r="L5066" s="25"/>
      <c r="M5066" s="7"/>
      <c r="N5066" s="8"/>
      <c r="O5066" s="11"/>
      <c r="P5066" s="11"/>
      <c r="Q5066" s="8"/>
      <c r="S5066" s="3"/>
      <c r="T5066" s="3"/>
      <c r="U5066" s="7"/>
      <c r="V5066" s="436"/>
      <c r="X5066" s="8"/>
      <c r="Y5066" s="8"/>
      <c r="AH5066" s="3"/>
      <c r="AI5066" s="3"/>
      <c r="AJ5066" s="3"/>
    </row>
    <row r="5067" spans="3:36" s="6" customFormat="1" ht="11.25" customHeight="1">
      <c r="C5067" s="4"/>
      <c r="D5067" s="4"/>
      <c r="E5067" s="5"/>
      <c r="G5067" s="31"/>
      <c r="I5067" s="9"/>
      <c r="J5067" s="24"/>
      <c r="K5067" s="9"/>
      <c r="L5067" s="25"/>
      <c r="M5067" s="7"/>
      <c r="N5067" s="8"/>
      <c r="O5067" s="11"/>
      <c r="P5067" s="11"/>
      <c r="Q5067" s="8"/>
      <c r="S5067" s="3"/>
      <c r="T5067" s="3"/>
      <c r="U5067" s="7"/>
      <c r="V5067" s="436"/>
      <c r="X5067" s="8"/>
      <c r="Y5067" s="8"/>
      <c r="AH5067" s="3"/>
      <c r="AI5067" s="3"/>
      <c r="AJ5067" s="3"/>
    </row>
    <row r="5068" spans="3:36" s="6" customFormat="1" ht="11.25" customHeight="1">
      <c r="C5068" s="4"/>
      <c r="D5068" s="4"/>
      <c r="E5068" s="5"/>
      <c r="G5068" s="31"/>
      <c r="I5068" s="9"/>
      <c r="J5068" s="24"/>
      <c r="K5068" s="9"/>
      <c r="L5068" s="25"/>
      <c r="M5068" s="7"/>
      <c r="N5068" s="8"/>
      <c r="O5068" s="11"/>
      <c r="P5068" s="11"/>
      <c r="Q5068" s="8"/>
      <c r="S5068" s="3"/>
      <c r="T5068" s="3"/>
      <c r="U5068" s="7"/>
      <c r="V5068" s="436"/>
      <c r="X5068" s="8"/>
      <c r="Y5068" s="8"/>
      <c r="AH5068" s="3"/>
      <c r="AI5068" s="3"/>
      <c r="AJ5068" s="3"/>
    </row>
    <row r="5069" spans="3:36" s="6" customFormat="1" ht="11.25" customHeight="1">
      <c r="C5069" s="4"/>
      <c r="D5069" s="4"/>
      <c r="E5069" s="5"/>
      <c r="G5069" s="31"/>
      <c r="I5069" s="9"/>
      <c r="J5069" s="24"/>
      <c r="K5069" s="9"/>
      <c r="L5069" s="25"/>
      <c r="M5069" s="7"/>
      <c r="N5069" s="8"/>
      <c r="O5069" s="11"/>
      <c r="P5069" s="11"/>
      <c r="Q5069" s="8"/>
      <c r="S5069" s="3"/>
      <c r="T5069" s="3"/>
      <c r="U5069" s="7"/>
      <c r="V5069" s="436"/>
      <c r="X5069" s="8"/>
      <c r="Y5069" s="8"/>
      <c r="AH5069" s="3"/>
      <c r="AI5069" s="3"/>
      <c r="AJ5069" s="3"/>
    </row>
    <row r="5070" spans="3:36" s="6" customFormat="1" ht="11.25" customHeight="1">
      <c r="C5070" s="4"/>
      <c r="D5070" s="4"/>
      <c r="E5070" s="5"/>
      <c r="G5070" s="31"/>
      <c r="I5070" s="9"/>
      <c r="J5070" s="24"/>
      <c r="K5070" s="9"/>
      <c r="L5070" s="25"/>
      <c r="M5070" s="7"/>
      <c r="N5070" s="8"/>
      <c r="O5070" s="11"/>
      <c r="P5070" s="11"/>
      <c r="Q5070" s="8"/>
      <c r="S5070" s="3"/>
      <c r="T5070" s="3"/>
      <c r="U5070" s="7"/>
      <c r="V5070" s="436"/>
      <c r="X5070" s="8"/>
      <c r="Y5070" s="8"/>
      <c r="AH5070" s="3"/>
      <c r="AI5070" s="3"/>
      <c r="AJ5070" s="3"/>
    </row>
    <row r="5071" spans="3:36" s="6" customFormat="1" ht="11.25" customHeight="1">
      <c r="C5071" s="4"/>
      <c r="D5071" s="4"/>
      <c r="E5071" s="5"/>
      <c r="G5071" s="31"/>
      <c r="I5071" s="9"/>
      <c r="J5071" s="24"/>
      <c r="K5071" s="9"/>
      <c r="L5071" s="25"/>
      <c r="M5071" s="7"/>
      <c r="N5071" s="8"/>
      <c r="O5071" s="11"/>
      <c r="P5071" s="11"/>
      <c r="Q5071" s="8"/>
      <c r="S5071" s="3"/>
      <c r="T5071" s="3"/>
      <c r="U5071" s="7"/>
      <c r="V5071" s="436"/>
      <c r="X5071" s="8"/>
      <c r="Y5071" s="8"/>
      <c r="AH5071" s="3"/>
      <c r="AI5071" s="3"/>
      <c r="AJ5071" s="3"/>
    </row>
    <row r="5072" spans="3:36" s="6" customFormat="1" ht="11.25" customHeight="1">
      <c r="C5072" s="4"/>
      <c r="D5072" s="4"/>
      <c r="E5072" s="5"/>
      <c r="G5072" s="31"/>
      <c r="I5072" s="9"/>
      <c r="J5072" s="24"/>
      <c r="K5072" s="9"/>
      <c r="L5072" s="25"/>
      <c r="M5072" s="7"/>
      <c r="N5072" s="8"/>
      <c r="O5072" s="11"/>
      <c r="P5072" s="11"/>
      <c r="Q5072" s="8"/>
      <c r="S5072" s="3"/>
      <c r="T5072" s="3"/>
      <c r="U5072" s="7"/>
      <c r="V5072" s="436"/>
      <c r="X5072" s="8"/>
      <c r="Y5072" s="8"/>
      <c r="AH5072" s="3"/>
      <c r="AI5072" s="3"/>
      <c r="AJ5072" s="3"/>
    </row>
    <row r="5073" spans="3:36" s="6" customFormat="1" ht="11.25" customHeight="1">
      <c r="C5073" s="4"/>
      <c r="D5073" s="4"/>
      <c r="E5073" s="5"/>
      <c r="G5073" s="31"/>
      <c r="I5073" s="9"/>
      <c r="J5073" s="24"/>
      <c r="K5073" s="9"/>
      <c r="L5073" s="25"/>
      <c r="M5073" s="7"/>
      <c r="N5073" s="8"/>
      <c r="O5073" s="11"/>
      <c r="P5073" s="11"/>
      <c r="Q5073" s="8"/>
      <c r="S5073" s="3"/>
      <c r="T5073" s="3"/>
      <c r="U5073" s="7"/>
      <c r="V5073" s="436"/>
      <c r="X5073" s="8"/>
      <c r="Y5073" s="8"/>
      <c r="AH5073" s="3"/>
      <c r="AI5073" s="3"/>
      <c r="AJ5073" s="3"/>
    </row>
    <row r="5074" spans="3:36" s="6" customFormat="1" ht="11.25" customHeight="1">
      <c r="C5074" s="4"/>
      <c r="D5074" s="4"/>
      <c r="E5074" s="5"/>
      <c r="G5074" s="31"/>
      <c r="I5074" s="9"/>
      <c r="J5074" s="24"/>
      <c r="K5074" s="9"/>
      <c r="L5074" s="25"/>
      <c r="M5074" s="7"/>
      <c r="N5074" s="8"/>
      <c r="O5074" s="11"/>
      <c r="P5074" s="11"/>
      <c r="Q5074" s="8"/>
      <c r="S5074" s="3"/>
      <c r="T5074" s="3"/>
      <c r="U5074" s="7"/>
      <c r="V5074" s="436"/>
      <c r="X5074" s="8"/>
      <c r="Y5074" s="8"/>
      <c r="AH5074" s="3"/>
      <c r="AI5074" s="3"/>
      <c r="AJ5074" s="3"/>
    </row>
    <row r="5075" spans="3:36" s="6" customFormat="1" ht="11.25" customHeight="1">
      <c r="C5075" s="4"/>
      <c r="D5075" s="4"/>
      <c r="E5075" s="5"/>
      <c r="G5075" s="31"/>
      <c r="I5075" s="9"/>
      <c r="J5075" s="24"/>
      <c r="K5075" s="9"/>
      <c r="L5075" s="25"/>
      <c r="M5075" s="7"/>
      <c r="N5075" s="8"/>
      <c r="O5075" s="11"/>
      <c r="P5075" s="11"/>
      <c r="Q5075" s="8"/>
      <c r="S5075" s="3"/>
      <c r="T5075" s="3"/>
      <c r="U5075" s="7"/>
      <c r="V5075" s="436"/>
      <c r="X5075" s="8"/>
      <c r="Y5075" s="8"/>
      <c r="AH5075" s="3"/>
      <c r="AI5075" s="3"/>
      <c r="AJ5075" s="3"/>
    </row>
    <row r="5076" spans="3:36" s="6" customFormat="1" ht="11.25" customHeight="1">
      <c r="C5076" s="4"/>
      <c r="D5076" s="4"/>
      <c r="E5076" s="5"/>
      <c r="G5076" s="31"/>
      <c r="I5076" s="9"/>
      <c r="J5076" s="24"/>
      <c r="K5076" s="9"/>
      <c r="L5076" s="25"/>
      <c r="M5076" s="7"/>
      <c r="N5076" s="8"/>
      <c r="O5076" s="11"/>
      <c r="P5076" s="11"/>
      <c r="Q5076" s="8"/>
      <c r="S5076" s="3"/>
      <c r="T5076" s="3"/>
      <c r="U5076" s="7"/>
      <c r="V5076" s="436"/>
      <c r="X5076" s="8"/>
      <c r="Y5076" s="8"/>
      <c r="AH5076" s="3"/>
      <c r="AI5076" s="3"/>
      <c r="AJ5076" s="3"/>
    </row>
    <row r="5077" spans="3:36" s="6" customFormat="1" ht="11.25" customHeight="1">
      <c r="C5077" s="4"/>
      <c r="D5077" s="4"/>
      <c r="E5077" s="5"/>
      <c r="G5077" s="31"/>
      <c r="I5077" s="9"/>
      <c r="J5077" s="24"/>
      <c r="K5077" s="9"/>
      <c r="L5077" s="25"/>
      <c r="M5077" s="7"/>
      <c r="N5077" s="8"/>
      <c r="O5077" s="11"/>
      <c r="P5077" s="11"/>
      <c r="Q5077" s="8"/>
      <c r="S5077" s="3"/>
      <c r="T5077" s="3"/>
      <c r="U5077" s="7"/>
      <c r="V5077" s="436"/>
      <c r="X5077" s="8"/>
      <c r="Y5077" s="8"/>
      <c r="AH5077" s="3"/>
      <c r="AI5077" s="3"/>
      <c r="AJ5077" s="3"/>
    </row>
    <row r="5078" spans="3:36" s="6" customFormat="1" ht="11.25" customHeight="1">
      <c r="C5078" s="4"/>
      <c r="D5078" s="4"/>
      <c r="E5078" s="5"/>
      <c r="G5078" s="31"/>
      <c r="I5078" s="9"/>
      <c r="J5078" s="24"/>
      <c r="K5078" s="9"/>
      <c r="L5078" s="25"/>
      <c r="M5078" s="7"/>
      <c r="N5078" s="8"/>
      <c r="O5078" s="11"/>
      <c r="P5078" s="11"/>
      <c r="Q5078" s="8"/>
      <c r="S5078" s="3"/>
      <c r="T5078" s="3"/>
      <c r="U5078" s="7"/>
      <c r="V5078" s="436"/>
      <c r="X5078" s="8"/>
      <c r="Y5078" s="8"/>
      <c r="AH5078" s="3"/>
      <c r="AI5078" s="3"/>
      <c r="AJ5078" s="3"/>
    </row>
    <row r="5079" spans="3:36" s="6" customFormat="1" ht="11.25" customHeight="1">
      <c r="C5079" s="4"/>
      <c r="D5079" s="4"/>
      <c r="E5079" s="5"/>
      <c r="G5079" s="31"/>
      <c r="I5079" s="9"/>
      <c r="J5079" s="24"/>
      <c r="K5079" s="9"/>
      <c r="L5079" s="25"/>
      <c r="M5079" s="7"/>
      <c r="N5079" s="8"/>
      <c r="O5079" s="11"/>
      <c r="P5079" s="11"/>
      <c r="Q5079" s="8"/>
      <c r="S5079" s="3"/>
      <c r="T5079" s="3"/>
      <c r="U5079" s="7"/>
      <c r="V5079" s="436"/>
      <c r="X5079" s="8"/>
      <c r="Y5079" s="8"/>
      <c r="AH5079" s="3"/>
      <c r="AI5079" s="3"/>
      <c r="AJ5079" s="3"/>
    </row>
    <row r="5080" spans="3:36" s="6" customFormat="1" ht="11.25" customHeight="1">
      <c r="C5080" s="4"/>
      <c r="D5080" s="4"/>
      <c r="E5080" s="5"/>
      <c r="G5080" s="31"/>
      <c r="I5080" s="9"/>
      <c r="J5080" s="24"/>
      <c r="K5080" s="9"/>
      <c r="L5080" s="25"/>
      <c r="M5080" s="7"/>
      <c r="N5080" s="8"/>
      <c r="O5080" s="11"/>
      <c r="P5080" s="11"/>
      <c r="Q5080" s="8"/>
      <c r="S5080" s="3"/>
      <c r="T5080" s="3"/>
      <c r="U5080" s="7"/>
      <c r="V5080" s="436"/>
      <c r="X5080" s="8"/>
      <c r="Y5080" s="8"/>
      <c r="AH5080" s="3"/>
      <c r="AI5080" s="3"/>
      <c r="AJ5080" s="3"/>
    </row>
    <row r="5081" spans="3:36" s="6" customFormat="1" ht="11.25" customHeight="1">
      <c r="C5081" s="4"/>
      <c r="D5081" s="4"/>
      <c r="E5081" s="5"/>
      <c r="G5081" s="31"/>
      <c r="I5081" s="9"/>
      <c r="J5081" s="24"/>
      <c r="K5081" s="9"/>
      <c r="L5081" s="25"/>
      <c r="M5081" s="7"/>
      <c r="N5081" s="8"/>
      <c r="O5081" s="11"/>
      <c r="P5081" s="11"/>
      <c r="Q5081" s="8"/>
      <c r="S5081" s="3"/>
      <c r="T5081" s="3"/>
      <c r="U5081" s="7"/>
      <c r="V5081" s="436"/>
      <c r="X5081" s="8"/>
      <c r="Y5081" s="8"/>
      <c r="AH5081" s="3"/>
      <c r="AI5081" s="3"/>
      <c r="AJ5081" s="3"/>
    </row>
    <row r="5082" spans="3:36" s="6" customFormat="1" ht="11.25" customHeight="1">
      <c r="C5082" s="4"/>
      <c r="D5082" s="4"/>
      <c r="E5082" s="5"/>
      <c r="G5082" s="31"/>
      <c r="I5082" s="9"/>
      <c r="J5082" s="24"/>
      <c r="K5082" s="9"/>
      <c r="L5082" s="25"/>
      <c r="M5082" s="7"/>
      <c r="N5082" s="8"/>
      <c r="O5082" s="11"/>
      <c r="P5082" s="11"/>
      <c r="Q5082" s="8"/>
      <c r="S5082" s="3"/>
      <c r="T5082" s="3"/>
      <c r="U5082" s="7"/>
      <c r="V5082" s="436"/>
      <c r="X5082" s="8"/>
      <c r="Y5082" s="8"/>
      <c r="AH5082" s="3"/>
      <c r="AI5082" s="3"/>
      <c r="AJ5082" s="3"/>
    </row>
    <row r="5083" spans="3:36" s="6" customFormat="1" ht="11.25" customHeight="1">
      <c r="C5083" s="4"/>
      <c r="D5083" s="4"/>
      <c r="E5083" s="5"/>
      <c r="G5083" s="31"/>
      <c r="I5083" s="9"/>
      <c r="J5083" s="24"/>
      <c r="K5083" s="9"/>
      <c r="L5083" s="25"/>
      <c r="M5083" s="7"/>
      <c r="N5083" s="8"/>
      <c r="O5083" s="11"/>
      <c r="P5083" s="11"/>
      <c r="Q5083" s="8"/>
      <c r="S5083" s="3"/>
      <c r="T5083" s="3"/>
      <c r="U5083" s="7"/>
      <c r="V5083" s="436"/>
      <c r="X5083" s="8"/>
      <c r="Y5083" s="8"/>
      <c r="AH5083" s="3"/>
      <c r="AI5083" s="3"/>
      <c r="AJ5083" s="3"/>
    </row>
    <row r="5084" spans="3:36" s="6" customFormat="1" ht="11.25" customHeight="1">
      <c r="C5084" s="4"/>
      <c r="D5084" s="4"/>
      <c r="E5084" s="5"/>
      <c r="G5084" s="31"/>
      <c r="I5084" s="9"/>
      <c r="J5084" s="24"/>
      <c r="K5084" s="9"/>
      <c r="L5084" s="25"/>
      <c r="M5084" s="7"/>
      <c r="N5084" s="8"/>
      <c r="O5084" s="11"/>
      <c r="P5084" s="11"/>
      <c r="Q5084" s="8"/>
      <c r="S5084" s="3"/>
      <c r="T5084" s="3"/>
      <c r="U5084" s="7"/>
      <c r="V5084" s="436"/>
      <c r="X5084" s="8"/>
      <c r="Y5084" s="8"/>
      <c r="AH5084" s="3"/>
      <c r="AI5084" s="3"/>
      <c r="AJ5084" s="3"/>
    </row>
    <row r="5085" spans="3:36" s="6" customFormat="1" ht="11.25" customHeight="1">
      <c r="C5085" s="4"/>
      <c r="D5085" s="4"/>
      <c r="E5085" s="5"/>
      <c r="G5085" s="31"/>
      <c r="I5085" s="9"/>
      <c r="J5085" s="24"/>
      <c r="K5085" s="9"/>
      <c r="L5085" s="25"/>
      <c r="M5085" s="7"/>
      <c r="N5085" s="8"/>
      <c r="O5085" s="11"/>
      <c r="P5085" s="11"/>
      <c r="Q5085" s="8"/>
      <c r="S5085" s="3"/>
      <c r="T5085" s="3"/>
      <c r="U5085" s="7"/>
      <c r="V5085" s="436"/>
      <c r="X5085" s="8"/>
      <c r="Y5085" s="8"/>
      <c r="AH5085" s="3"/>
      <c r="AI5085" s="3"/>
      <c r="AJ5085" s="3"/>
    </row>
    <row r="5086" spans="3:36" s="6" customFormat="1" ht="11.25" customHeight="1">
      <c r="C5086" s="4"/>
      <c r="D5086" s="4"/>
      <c r="E5086" s="5"/>
      <c r="G5086" s="31"/>
      <c r="I5086" s="9"/>
      <c r="J5086" s="24"/>
      <c r="K5086" s="9"/>
      <c r="L5086" s="25"/>
      <c r="M5086" s="7"/>
      <c r="N5086" s="8"/>
      <c r="O5086" s="11"/>
      <c r="P5086" s="11"/>
      <c r="Q5086" s="8"/>
      <c r="S5086" s="3"/>
      <c r="T5086" s="3"/>
      <c r="U5086" s="7"/>
      <c r="V5086" s="436"/>
      <c r="X5086" s="8"/>
      <c r="Y5086" s="8"/>
      <c r="AH5086" s="3"/>
      <c r="AI5086" s="3"/>
      <c r="AJ5086" s="3"/>
    </row>
    <row r="5087" spans="3:36" s="6" customFormat="1" ht="11.25" customHeight="1">
      <c r="C5087" s="4"/>
      <c r="D5087" s="4"/>
      <c r="E5087" s="5"/>
      <c r="G5087" s="31"/>
      <c r="I5087" s="9"/>
      <c r="J5087" s="24"/>
      <c r="K5087" s="9"/>
      <c r="L5087" s="25"/>
      <c r="M5087" s="7"/>
      <c r="N5087" s="8"/>
      <c r="O5087" s="11"/>
      <c r="P5087" s="11"/>
      <c r="Q5087" s="8"/>
      <c r="S5087" s="3"/>
      <c r="T5087" s="3"/>
      <c r="U5087" s="7"/>
      <c r="V5087" s="436"/>
      <c r="X5087" s="8"/>
      <c r="Y5087" s="8"/>
      <c r="AH5087" s="3"/>
      <c r="AI5087" s="3"/>
      <c r="AJ5087" s="3"/>
    </row>
    <row r="5088" spans="3:36" s="6" customFormat="1" ht="11.25" customHeight="1">
      <c r="C5088" s="4"/>
      <c r="D5088" s="4"/>
      <c r="E5088" s="5"/>
      <c r="G5088" s="31"/>
      <c r="I5088" s="9"/>
      <c r="J5088" s="24"/>
      <c r="K5088" s="9"/>
      <c r="L5088" s="25"/>
      <c r="M5088" s="7"/>
      <c r="N5088" s="8"/>
      <c r="O5088" s="11"/>
      <c r="P5088" s="11"/>
      <c r="Q5088" s="8"/>
      <c r="S5088" s="3"/>
      <c r="T5088" s="3"/>
      <c r="U5088" s="7"/>
      <c r="V5088" s="436"/>
      <c r="X5088" s="8"/>
      <c r="Y5088" s="8"/>
      <c r="AH5088" s="3"/>
      <c r="AI5088" s="3"/>
      <c r="AJ5088" s="3"/>
    </row>
    <row r="5089" spans="3:36" s="6" customFormat="1" ht="11.25" customHeight="1">
      <c r="C5089" s="4"/>
      <c r="D5089" s="4"/>
      <c r="E5089" s="5"/>
      <c r="G5089" s="31"/>
      <c r="I5089" s="9"/>
      <c r="J5089" s="24"/>
      <c r="K5089" s="9"/>
      <c r="L5089" s="25"/>
      <c r="M5089" s="7"/>
      <c r="N5089" s="8"/>
      <c r="O5089" s="11"/>
      <c r="P5089" s="11"/>
      <c r="Q5089" s="8"/>
      <c r="S5089" s="3"/>
      <c r="T5089" s="3"/>
      <c r="U5089" s="7"/>
      <c r="V5089" s="436"/>
      <c r="X5089" s="8"/>
      <c r="Y5089" s="8"/>
      <c r="AH5089" s="3"/>
      <c r="AI5089" s="3"/>
      <c r="AJ5089" s="3"/>
    </row>
    <row r="5090" spans="3:36" s="6" customFormat="1" ht="11.25" customHeight="1">
      <c r="C5090" s="4"/>
      <c r="D5090" s="4"/>
      <c r="E5090" s="5"/>
      <c r="G5090" s="31"/>
      <c r="I5090" s="9"/>
      <c r="J5090" s="24"/>
      <c r="K5090" s="9"/>
      <c r="L5090" s="25"/>
      <c r="M5090" s="7"/>
      <c r="N5090" s="8"/>
      <c r="O5090" s="11"/>
      <c r="P5090" s="11"/>
      <c r="Q5090" s="8"/>
      <c r="S5090" s="3"/>
      <c r="T5090" s="3"/>
      <c r="U5090" s="7"/>
      <c r="V5090" s="436"/>
      <c r="X5090" s="8"/>
      <c r="Y5090" s="8"/>
      <c r="AH5090" s="3"/>
      <c r="AI5090" s="3"/>
      <c r="AJ5090" s="3"/>
    </row>
    <row r="5091" spans="3:36" s="6" customFormat="1" ht="11.25" customHeight="1">
      <c r="C5091" s="4"/>
      <c r="D5091" s="4"/>
      <c r="E5091" s="5"/>
      <c r="G5091" s="31"/>
      <c r="I5091" s="9"/>
      <c r="J5091" s="24"/>
      <c r="K5091" s="9"/>
      <c r="L5091" s="25"/>
      <c r="M5091" s="7"/>
      <c r="N5091" s="8"/>
      <c r="O5091" s="11"/>
      <c r="P5091" s="11"/>
      <c r="Q5091" s="8"/>
      <c r="S5091" s="3"/>
      <c r="T5091" s="3"/>
      <c r="U5091" s="7"/>
      <c r="V5091" s="436"/>
      <c r="X5091" s="8"/>
      <c r="Y5091" s="8"/>
      <c r="AH5091" s="3"/>
      <c r="AI5091" s="3"/>
      <c r="AJ5091" s="3"/>
    </row>
    <row r="5092" spans="3:36" s="6" customFormat="1" ht="11.25" customHeight="1">
      <c r="C5092" s="4"/>
      <c r="D5092" s="4"/>
      <c r="E5092" s="5"/>
      <c r="G5092" s="31"/>
      <c r="I5092" s="9"/>
      <c r="J5092" s="24"/>
      <c r="K5092" s="9"/>
      <c r="L5092" s="25"/>
      <c r="M5092" s="7"/>
      <c r="N5092" s="8"/>
      <c r="O5092" s="11"/>
      <c r="P5092" s="11"/>
      <c r="Q5092" s="8"/>
      <c r="S5092" s="3"/>
      <c r="T5092" s="3"/>
      <c r="U5092" s="7"/>
      <c r="V5092" s="436"/>
      <c r="X5092" s="8"/>
      <c r="Y5092" s="8"/>
      <c r="AH5092" s="3"/>
      <c r="AI5092" s="3"/>
      <c r="AJ5092" s="3"/>
    </row>
    <row r="5093" spans="3:36" s="6" customFormat="1" ht="11.25" customHeight="1">
      <c r="C5093" s="4"/>
      <c r="D5093" s="4"/>
      <c r="E5093" s="5"/>
      <c r="G5093" s="31"/>
      <c r="I5093" s="9"/>
      <c r="J5093" s="24"/>
      <c r="K5093" s="9"/>
      <c r="L5093" s="25"/>
      <c r="M5093" s="7"/>
      <c r="N5093" s="8"/>
      <c r="O5093" s="11"/>
      <c r="P5093" s="11"/>
      <c r="Q5093" s="8"/>
      <c r="S5093" s="3"/>
      <c r="T5093" s="3"/>
      <c r="U5093" s="7"/>
      <c r="V5093" s="436"/>
      <c r="X5093" s="8"/>
      <c r="Y5093" s="8"/>
      <c r="AH5093" s="3"/>
      <c r="AI5093" s="3"/>
      <c r="AJ5093" s="3"/>
    </row>
    <row r="5094" spans="3:36" s="6" customFormat="1" ht="11.25" customHeight="1">
      <c r="C5094" s="4"/>
      <c r="D5094" s="4"/>
      <c r="E5094" s="5"/>
      <c r="G5094" s="31"/>
      <c r="I5094" s="9"/>
      <c r="J5094" s="24"/>
      <c r="K5094" s="9"/>
      <c r="L5094" s="25"/>
      <c r="M5094" s="7"/>
      <c r="N5094" s="8"/>
      <c r="O5094" s="11"/>
      <c r="P5094" s="11"/>
      <c r="Q5094" s="8"/>
      <c r="S5094" s="3"/>
      <c r="T5094" s="3"/>
      <c r="U5094" s="7"/>
      <c r="V5094" s="436"/>
      <c r="X5094" s="8"/>
      <c r="Y5094" s="8"/>
      <c r="AH5094" s="3"/>
      <c r="AI5094" s="3"/>
      <c r="AJ5094" s="3"/>
    </row>
    <row r="5095" spans="3:36" s="6" customFormat="1" ht="11.25" customHeight="1">
      <c r="C5095" s="4"/>
      <c r="D5095" s="4"/>
      <c r="E5095" s="5"/>
      <c r="G5095" s="31"/>
      <c r="I5095" s="9"/>
      <c r="J5095" s="24"/>
      <c r="K5095" s="9"/>
      <c r="L5095" s="25"/>
      <c r="M5095" s="7"/>
      <c r="N5095" s="8"/>
      <c r="O5095" s="11"/>
      <c r="P5095" s="11"/>
      <c r="Q5095" s="8"/>
      <c r="S5095" s="3"/>
      <c r="T5095" s="3"/>
      <c r="U5095" s="7"/>
      <c r="V5095" s="436"/>
      <c r="X5095" s="8"/>
      <c r="Y5095" s="8"/>
      <c r="AH5095" s="3"/>
      <c r="AI5095" s="3"/>
      <c r="AJ5095" s="3"/>
    </row>
    <row r="5096" spans="3:36" s="6" customFormat="1" ht="11.25" customHeight="1">
      <c r="C5096" s="4"/>
      <c r="D5096" s="4"/>
      <c r="E5096" s="5"/>
      <c r="G5096" s="31"/>
      <c r="I5096" s="9"/>
      <c r="J5096" s="24"/>
      <c r="K5096" s="9"/>
      <c r="L5096" s="25"/>
      <c r="M5096" s="7"/>
      <c r="N5096" s="8"/>
      <c r="O5096" s="11"/>
      <c r="P5096" s="11"/>
      <c r="Q5096" s="8"/>
      <c r="S5096" s="3"/>
      <c r="T5096" s="3"/>
      <c r="U5096" s="7"/>
      <c r="V5096" s="436"/>
      <c r="X5096" s="8"/>
      <c r="Y5096" s="8"/>
      <c r="AH5096" s="3"/>
      <c r="AI5096" s="3"/>
      <c r="AJ5096" s="3"/>
    </row>
    <row r="5097" spans="3:36" s="6" customFormat="1" ht="11.25" customHeight="1">
      <c r="C5097" s="4"/>
      <c r="D5097" s="4"/>
      <c r="E5097" s="5"/>
      <c r="G5097" s="31"/>
      <c r="I5097" s="9"/>
      <c r="J5097" s="24"/>
      <c r="K5097" s="9"/>
      <c r="L5097" s="25"/>
      <c r="M5097" s="7"/>
      <c r="N5097" s="8"/>
      <c r="O5097" s="11"/>
      <c r="P5097" s="11"/>
      <c r="Q5097" s="8"/>
      <c r="S5097" s="3"/>
      <c r="T5097" s="3"/>
      <c r="U5097" s="7"/>
      <c r="V5097" s="436"/>
      <c r="X5097" s="8"/>
      <c r="Y5097" s="8"/>
      <c r="AH5097" s="3"/>
      <c r="AI5097" s="3"/>
      <c r="AJ5097" s="3"/>
    </row>
    <row r="5098" spans="3:36" s="6" customFormat="1" ht="11.25" customHeight="1">
      <c r="C5098" s="4"/>
      <c r="D5098" s="4"/>
      <c r="E5098" s="5"/>
      <c r="G5098" s="31"/>
      <c r="I5098" s="9"/>
      <c r="J5098" s="24"/>
      <c r="K5098" s="9"/>
      <c r="L5098" s="25"/>
      <c r="M5098" s="7"/>
      <c r="N5098" s="8"/>
      <c r="O5098" s="11"/>
      <c r="P5098" s="11"/>
      <c r="Q5098" s="8"/>
      <c r="S5098" s="3"/>
      <c r="T5098" s="3"/>
      <c r="U5098" s="7"/>
      <c r="V5098" s="436"/>
      <c r="X5098" s="8"/>
      <c r="Y5098" s="8"/>
      <c r="AH5098" s="3"/>
      <c r="AI5098" s="3"/>
      <c r="AJ5098" s="3"/>
    </row>
    <row r="5099" spans="3:36" s="6" customFormat="1" ht="11.25" customHeight="1">
      <c r="C5099" s="4"/>
      <c r="D5099" s="4"/>
      <c r="E5099" s="5"/>
      <c r="G5099" s="31"/>
      <c r="I5099" s="9"/>
      <c r="J5099" s="24"/>
      <c r="K5099" s="9"/>
      <c r="L5099" s="25"/>
      <c r="M5099" s="7"/>
      <c r="N5099" s="8"/>
      <c r="O5099" s="11"/>
      <c r="P5099" s="11"/>
      <c r="Q5099" s="8"/>
      <c r="S5099" s="3"/>
      <c r="T5099" s="3"/>
      <c r="U5099" s="7"/>
      <c r="V5099" s="436"/>
      <c r="X5099" s="8"/>
      <c r="Y5099" s="8"/>
      <c r="AH5099" s="3"/>
      <c r="AI5099" s="3"/>
      <c r="AJ5099" s="3"/>
    </row>
    <row r="5100" spans="3:36" s="6" customFormat="1" ht="11.25" customHeight="1">
      <c r="C5100" s="4"/>
      <c r="D5100" s="4"/>
      <c r="E5100" s="5"/>
      <c r="G5100" s="31"/>
      <c r="I5100" s="9"/>
      <c r="J5100" s="24"/>
      <c r="K5100" s="9"/>
      <c r="L5100" s="25"/>
      <c r="M5100" s="7"/>
      <c r="N5100" s="8"/>
      <c r="O5100" s="11"/>
      <c r="P5100" s="11"/>
      <c r="Q5100" s="8"/>
      <c r="S5100" s="3"/>
      <c r="T5100" s="3"/>
      <c r="U5100" s="7"/>
      <c r="V5100" s="436"/>
      <c r="X5100" s="8"/>
      <c r="Y5100" s="8"/>
      <c r="AH5100" s="3"/>
      <c r="AI5100" s="3"/>
      <c r="AJ5100" s="3"/>
    </row>
    <row r="5101" spans="3:36" s="6" customFormat="1" ht="11.25" customHeight="1">
      <c r="C5101" s="4"/>
      <c r="D5101" s="4"/>
      <c r="E5101" s="5"/>
      <c r="G5101" s="31"/>
      <c r="I5101" s="9"/>
      <c r="J5101" s="24"/>
      <c r="K5101" s="9"/>
      <c r="L5101" s="25"/>
      <c r="M5101" s="7"/>
      <c r="N5101" s="8"/>
      <c r="O5101" s="11"/>
      <c r="P5101" s="11"/>
      <c r="Q5101" s="8"/>
      <c r="S5101" s="3"/>
      <c r="T5101" s="3"/>
      <c r="U5101" s="7"/>
      <c r="V5101" s="436"/>
      <c r="X5101" s="8"/>
      <c r="Y5101" s="8"/>
      <c r="AH5101" s="3"/>
      <c r="AI5101" s="3"/>
      <c r="AJ5101" s="3"/>
    </row>
    <row r="5102" spans="3:36" s="6" customFormat="1" ht="11.25" customHeight="1">
      <c r="C5102" s="4"/>
      <c r="D5102" s="4"/>
      <c r="E5102" s="5"/>
      <c r="G5102" s="31"/>
      <c r="I5102" s="9"/>
      <c r="J5102" s="24"/>
      <c r="K5102" s="9"/>
      <c r="L5102" s="25"/>
      <c r="M5102" s="7"/>
      <c r="N5102" s="8"/>
      <c r="O5102" s="11"/>
      <c r="P5102" s="11"/>
      <c r="Q5102" s="8"/>
      <c r="S5102" s="3"/>
      <c r="T5102" s="3"/>
      <c r="U5102" s="7"/>
      <c r="V5102" s="436"/>
      <c r="X5102" s="8"/>
      <c r="Y5102" s="8"/>
      <c r="AH5102" s="3"/>
      <c r="AI5102" s="3"/>
      <c r="AJ5102" s="3"/>
    </row>
    <row r="5103" spans="3:36" s="6" customFormat="1" ht="11.25" customHeight="1">
      <c r="C5103" s="4"/>
      <c r="D5103" s="4"/>
      <c r="E5103" s="5"/>
      <c r="G5103" s="31"/>
      <c r="I5103" s="9"/>
      <c r="J5103" s="24"/>
      <c r="K5103" s="9"/>
      <c r="L5103" s="25"/>
      <c r="M5103" s="7"/>
      <c r="N5103" s="8"/>
      <c r="O5103" s="11"/>
      <c r="P5103" s="11"/>
      <c r="Q5103" s="8"/>
      <c r="S5103" s="3"/>
      <c r="T5103" s="3"/>
      <c r="U5103" s="7"/>
      <c r="V5103" s="436"/>
      <c r="X5103" s="8"/>
      <c r="Y5103" s="8"/>
      <c r="AH5103" s="3"/>
      <c r="AI5103" s="3"/>
      <c r="AJ5103" s="3"/>
    </row>
    <row r="5104" spans="3:36" s="6" customFormat="1" ht="11.25" customHeight="1">
      <c r="C5104" s="4"/>
      <c r="D5104" s="4"/>
      <c r="E5104" s="5"/>
      <c r="G5104" s="31"/>
      <c r="I5104" s="9"/>
      <c r="J5104" s="24"/>
      <c r="K5104" s="9"/>
      <c r="L5104" s="25"/>
      <c r="M5104" s="7"/>
      <c r="N5104" s="8"/>
      <c r="O5104" s="11"/>
      <c r="P5104" s="11"/>
      <c r="Q5104" s="8"/>
      <c r="S5104" s="3"/>
      <c r="T5104" s="3"/>
      <c r="U5104" s="7"/>
      <c r="V5104" s="436"/>
      <c r="X5104" s="8"/>
      <c r="Y5104" s="8"/>
      <c r="AH5104" s="3"/>
      <c r="AI5104" s="3"/>
      <c r="AJ5104" s="3"/>
    </row>
    <row r="5105" spans="3:36" s="6" customFormat="1" ht="11.25" customHeight="1">
      <c r="C5105" s="4"/>
      <c r="D5105" s="4"/>
      <c r="E5105" s="5"/>
      <c r="G5105" s="31"/>
      <c r="I5105" s="9"/>
      <c r="J5105" s="24"/>
      <c r="K5105" s="9"/>
      <c r="L5105" s="25"/>
      <c r="M5105" s="7"/>
      <c r="N5105" s="8"/>
      <c r="O5105" s="11"/>
      <c r="P5105" s="11"/>
      <c r="Q5105" s="8"/>
      <c r="S5105" s="3"/>
      <c r="T5105" s="3"/>
      <c r="U5105" s="7"/>
      <c r="V5105" s="436"/>
      <c r="X5105" s="8"/>
      <c r="Y5105" s="8"/>
      <c r="AH5105" s="3"/>
      <c r="AI5105" s="3"/>
      <c r="AJ5105" s="3"/>
    </row>
    <row r="5106" spans="3:36" s="6" customFormat="1" ht="11.25" customHeight="1">
      <c r="C5106" s="4"/>
      <c r="D5106" s="4"/>
      <c r="E5106" s="5"/>
      <c r="G5106" s="31"/>
      <c r="I5106" s="9"/>
      <c r="J5106" s="24"/>
      <c r="K5106" s="9"/>
      <c r="L5106" s="25"/>
      <c r="M5106" s="7"/>
      <c r="N5106" s="8"/>
      <c r="O5106" s="11"/>
      <c r="P5106" s="11"/>
      <c r="Q5106" s="8"/>
      <c r="S5106" s="3"/>
      <c r="T5106" s="3"/>
      <c r="U5106" s="7"/>
      <c r="V5106" s="436"/>
      <c r="X5106" s="8"/>
      <c r="Y5106" s="8"/>
      <c r="AH5106" s="3"/>
      <c r="AI5106" s="3"/>
      <c r="AJ5106" s="3"/>
    </row>
    <row r="5107" spans="3:36" s="6" customFormat="1" ht="11.25" customHeight="1">
      <c r="C5107" s="4"/>
      <c r="D5107" s="4"/>
      <c r="E5107" s="5"/>
      <c r="G5107" s="31"/>
      <c r="I5107" s="9"/>
      <c r="J5107" s="24"/>
      <c r="K5107" s="9"/>
      <c r="L5107" s="25"/>
      <c r="M5107" s="7"/>
      <c r="N5107" s="8"/>
      <c r="O5107" s="11"/>
      <c r="P5107" s="11"/>
      <c r="Q5107" s="8"/>
      <c r="S5107" s="3"/>
      <c r="T5107" s="3"/>
      <c r="U5107" s="7"/>
      <c r="V5107" s="436"/>
      <c r="X5107" s="8"/>
      <c r="Y5107" s="8"/>
      <c r="AH5107" s="3"/>
      <c r="AI5107" s="3"/>
      <c r="AJ5107" s="3"/>
    </row>
    <row r="5108" spans="3:36" s="6" customFormat="1" ht="11.25" customHeight="1">
      <c r="C5108" s="4"/>
      <c r="D5108" s="4"/>
      <c r="E5108" s="5"/>
      <c r="G5108" s="31"/>
      <c r="I5108" s="9"/>
      <c r="J5108" s="24"/>
      <c r="K5108" s="9"/>
      <c r="L5108" s="25"/>
      <c r="M5108" s="7"/>
      <c r="N5108" s="8"/>
      <c r="O5108" s="11"/>
      <c r="P5108" s="11"/>
      <c r="Q5108" s="8"/>
      <c r="S5108" s="3"/>
      <c r="T5108" s="3"/>
      <c r="U5108" s="7"/>
      <c r="V5108" s="436"/>
      <c r="X5108" s="8"/>
      <c r="Y5108" s="8"/>
      <c r="AH5108" s="3"/>
      <c r="AI5108" s="3"/>
      <c r="AJ5108" s="3"/>
    </row>
    <row r="5109" spans="3:36" s="6" customFormat="1" ht="11.25" customHeight="1">
      <c r="C5109" s="4"/>
      <c r="D5109" s="4"/>
      <c r="E5109" s="5"/>
      <c r="G5109" s="31"/>
      <c r="I5109" s="9"/>
      <c r="J5109" s="24"/>
      <c r="K5109" s="9"/>
      <c r="L5109" s="25"/>
      <c r="M5109" s="7"/>
      <c r="N5109" s="8"/>
      <c r="O5109" s="11"/>
      <c r="P5109" s="11"/>
      <c r="Q5109" s="8"/>
      <c r="S5109" s="3"/>
      <c r="T5109" s="3"/>
      <c r="U5109" s="7"/>
      <c r="V5109" s="436"/>
      <c r="X5109" s="8"/>
      <c r="Y5109" s="8"/>
      <c r="AH5109" s="3"/>
      <c r="AI5109" s="3"/>
      <c r="AJ5109" s="3"/>
    </row>
    <row r="5110" spans="3:36" s="6" customFormat="1" ht="11.25" customHeight="1">
      <c r="C5110" s="4"/>
      <c r="D5110" s="4"/>
      <c r="E5110" s="5"/>
      <c r="G5110" s="31"/>
      <c r="I5110" s="9"/>
      <c r="J5110" s="24"/>
      <c r="K5110" s="9"/>
      <c r="L5110" s="25"/>
      <c r="M5110" s="7"/>
      <c r="N5110" s="8"/>
      <c r="O5110" s="11"/>
      <c r="P5110" s="11"/>
      <c r="Q5110" s="8"/>
      <c r="S5110" s="3"/>
      <c r="T5110" s="3"/>
      <c r="U5110" s="7"/>
      <c r="V5110" s="436"/>
      <c r="X5110" s="8"/>
      <c r="Y5110" s="8"/>
      <c r="AH5110" s="3"/>
      <c r="AI5110" s="3"/>
      <c r="AJ5110" s="3"/>
    </row>
    <row r="5111" spans="3:36" s="6" customFormat="1" ht="11.25" customHeight="1">
      <c r="C5111" s="4"/>
      <c r="D5111" s="4"/>
      <c r="E5111" s="5"/>
      <c r="G5111" s="31"/>
      <c r="I5111" s="9"/>
      <c r="J5111" s="24"/>
      <c r="K5111" s="9"/>
      <c r="L5111" s="25"/>
      <c r="M5111" s="7"/>
      <c r="N5111" s="8"/>
      <c r="O5111" s="11"/>
      <c r="P5111" s="11"/>
      <c r="Q5111" s="8"/>
      <c r="S5111" s="3"/>
      <c r="T5111" s="3"/>
      <c r="U5111" s="7"/>
      <c r="V5111" s="436"/>
      <c r="X5111" s="8"/>
      <c r="Y5111" s="8"/>
      <c r="AH5111" s="3"/>
      <c r="AI5111" s="3"/>
      <c r="AJ5111" s="3"/>
    </row>
    <row r="5112" spans="3:36" s="6" customFormat="1" ht="11.25" customHeight="1">
      <c r="C5112" s="4"/>
      <c r="D5112" s="4"/>
      <c r="E5112" s="5"/>
      <c r="G5112" s="31"/>
      <c r="I5112" s="9"/>
      <c r="J5112" s="24"/>
      <c r="K5112" s="9"/>
      <c r="L5112" s="25"/>
      <c r="M5112" s="7"/>
      <c r="N5112" s="8"/>
      <c r="O5112" s="11"/>
      <c r="P5112" s="11"/>
      <c r="Q5112" s="8"/>
      <c r="S5112" s="3"/>
      <c r="T5112" s="3"/>
      <c r="U5112" s="7"/>
      <c r="V5112" s="436"/>
      <c r="X5112" s="8"/>
      <c r="Y5112" s="8"/>
      <c r="AH5112" s="3"/>
      <c r="AI5112" s="3"/>
      <c r="AJ5112" s="3"/>
    </row>
    <row r="5113" spans="3:36" s="6" customFormat="1" ht="11.25" customHeight="1">
      <c r="C5113" s="4"/>
      <c r="D5113" s="4"/>
      <c r="E5113" s="5"/>
      <c r="G5113" s="31"/>
      <c r="I5113" s="9"/>
      <c r="J5113" s="24"/>
      <c r="K5113" s="9"/>
      <c r="L5113" s="25"/>
      <c r="M5113" s="7"/>
      <c r="N5113" s="8"/>
      <c r="O5113" s="11"/>
      <c r="P5113" s="11"/>
      <c r="Q5113" s="8"/>
      <c r="S5113" s="3"/>
      <c r="T5113" s="3"/>
      <c r="U5113" s="7"/>
      <c r="V5113" s="436"/>
      <c r="X5113" s="8"/>
      <c r="Y5113" s="8"/>
      <c r="AH5113" s="3"/>
      <c r="AI5113" s="3"/>
      <c r="AJ5113" s="3"/>
    </row>
    <row r="5114" spans="3:36" s="6" customFormat="1" ht="11.25" customHeight="1">
      <c r="C5114" s="4"/>
      <c r="D5114" s="4"/>
      <c r="E5114" s="5"/>
      <c r="G5114" s="31"/>
      <c r="I5114" s="9"/>
      <c r="J5114" s="24"/>
      <c r="K5114" s="9"/>
      <c r="L5114" s="25"/>
      <c r="M5114" s="7"/>
      <c r="N5114" s="8"/>
      <c r="O5114" s="11"/>
      <c r="P5114" s="11"/>
      <c r="Q5114" s="8"/>
      <c r="S5114" s="3"/>
      <c r="T5114" s="3"/>
      <c r="U5114" s="7"/>
      <c r="V5114" s="436"/>
      <c r="X5114" s="8"/>
      <c r="Y5114" s="8"/>
      <c r="AH5114" s="3"/>
      <c r="AI5114" s="3"/>
      <c r="AJ5114" s="3"/>
    </row>
    <row r="5115" spans="3:36" s="6" customFormat="1" ht="11.25" customHeight="1">
      <c r="C5115" s="4"/>
      <c r="D5115" s="4"/>
      <c r="E5115" s="5"/>
      <c r="G5115" s="31"/>
      <c r="I5115" s="9"/>
      <c r="J5115" s="24"/>
      <c r="K5115" s="9"/>
      <c r="L5115" s="25"/>
      <c r="M5115" s="7"/>
      <c r="N5115" s="8"/>
      <c r="O5115" s="11"/>
      <c r="P5115" s="11"/>
      <c r="Q5115" s="8"/>
      <c r="S5115" s="3"/>
      <c r="T5115" s="3"/>
      <c r="U5115" s="7"/>
      <c r="V5115" s="436"/>
      <c r="X5115" s="8"/>
      <c r="Y5115" s="8"/>
      <c r="AH5115" s="3"/>
      <c r="AI5115" s="3"/>
      <c r="AJ5115" s="3"/>
    </row>
    <row r="5116" spans="3:36" s="6" customFormat="1" ht="11.25" customHeight="1">
      <c r="C5116" s="4"/>
      <c r="D5116" s="4"/>
      <c r="E5116" s="5"/>
      <c r="G5116" s="31"/>
      <c r="I5116" s="9"/>
      <c r="J5116" s="24"/>
      <c r="K5116" s="9"/>
      <c r="L5116" s="25"/>
      <c r="M5116" s="7"/>
      <c r="N5116" s="8"/>
      <c r="O5116" s="11"/>
      <c r="P5116" s="11"/>
      <c r="Q5116" s="8"/>
      <c r="S5116" s="3"/>
      <c r="T5116" s="3"/>
      <c r="U5116" s="7"/>
      <c r="V5116" s="436"/>
      <c r="X5116" s="8"/>
      <c r="Y5116" s="8"/>
      <c r="AH5116" s="3"/>
      <c r="AI5116" s="3"/>
      <c r="AJ5116" s="3"/>
    </row>
    <row r="5117" spans="3:36" s="6" customFormat="1" ht="11.25" customHeight="1">
      <c r="C5117" s="4"/>
      <c r="D5117" s="4"/>
      <c r="E5117" s="5"/>
      <c r="G5117" s="31"/>
      <c r="I5117" s="9"/>
      <c r="J5117" s="24"/>
      <c r="K5117" s="9"/>
      <c r="L5117" s="25"/>
      <c r="M5117" s="7"/>
      <c r="N5117" s="8"/>
      <c r="O5117" s="11"/>
      <c r="P5117" s="11"/>
      <c r="Q5117" s="8"/>
      <c r="S5117" s="3"/>
      <c r="T5117" s="3"/>
      <c r="U5117" s="7"/>
      <c r="V5117" s="436"/>
      <c r="X5117" s="8"/>
      <c r="Y5117" s="8"/>
      <c r="AH5117" s="3"/>
      <c r="AI5117" s="3"/>
      <c r="AJ5117" s="3"/>
    </row>
    <row r="5118" spans="3:36" s="6" customFormat="1" ht="11.25" customHeight="1">
      <c r="C5118" s="4"/>
      <c r="D5118" s="4"/>
      <c r="E5118" s="5"/>
      <c r="G5118" s="31"/>
      <c r="I5118" s="9"/>
      <c r="J5118" s="24"/>
      <c r="K5118" s="9"/>
      <c r="L5118" s="25"/>
      <c r="M5118" s="7"/>
      <c r="N5118" s="8"/>
      <c r="O5118" s="11"/>
      <c r="P5118" s="11"/>
      <c r="Q5118" s="8"/>
      <c r="S5118" s="3"/>
      <c r="T5118" s="3"/>
      <c r="U5118" s="7"/>
      <c r="V5118" s="436"/>
      <c r="X5118" s="8"/>
      <c r="Y5118" s="8"/>
      <c r="AH5118" s="3"/>
      <c r="AI5118" s="3"/>
      <c r="AJ5118" s="3"/>
    </row>
    <row r="5119" spans="3:36" s="6" customFormat="1" ht="11.25" customHeight="1">
      <c r="C5119" s="4"/>
      <c r="D5119" s="4"/>
      <c r="E5119" s="5"/>
      <c r="G5119" s="31"/>
      <c r="I5119" s="9"/>
      <c r="J5119" s="24"/>
      <c r="K5119" s="9"/>
      <c r="L5119" s="25"/>
      <c r="M5119" s="7"/>
      <c r="N5119" s="8"/>
      <c r="O5119" s="11"/>
      <c r="P5119" s="11"/>
      <c r="Q5119" s="8"/>
      <c r="S5119" s="3"/>
      <c r="T5119" s="3"/>
      <c r="U5119" s="7"/>
      <c r="V5119" s="436"/>
      <c r="X5119" s="8"/>
      <c r="Y5119" s="8"/>
      <c r="AH5119" s="3"/>
      <c r="AI5119" s="3"/>
      <c r="AJ5119" s="3"/>
    </row>
    <row r="5120" spans="3:36" s="6" customFormat="1" ht="11.25" customHeight="1">
      <c r="C5120" s="4"/>
      <c r="D5120" s="4"/>
      <c r="E5120" s="5"/>
      <c r="G5120" s="31"/>
      <c r="I5120" s="9"/>
      <c r="J5120" s="24"/>
      <c r="K5120" s="9"/>
      <c r="L5120" s="25"/>
      <c r="M5120" s="7"/>
      <c r="N5120" s="8"/>
      <c r="O5120" s="11"/>
      <c r="P5120" s="11"/>
      <c r="Q5120" s="8"/>
      <c r="S5120" s="3"/>
      <c r="T5120" s="3"/>
      <c r="U5120" s="7"/>
      <c r="V5120" s="436"/>
      <c r="X5120" s="8"/>
      <c r="Y5120" s="8"/>
      <c r="AH5120" s="3"/>
      <c r="AI5120" s="3"/>
      <c r="AJ5120" s="3"/>
    </row>
    <row r="5121" spans="3:36" s="6" customFormat="1" ht="11.25" customHeight="1">
      <c r="C5121" s="4"/>
      <c r="D5121" s="4"/>
      <c r="E5121" s="5"/>
      <c r="G5121" s="31"/>
      <c r="I5121" s="9"/>
      <c r="J5121" s="24"/>
      <c r="K5121" s="9"/>
      <c r="L5121" s="25"/>
      <c r="M5121" s="7"/>
      <c r="N5121" s="8"/>
      <c r="O5121" s="11"/>
      <c r="P5121" s="11"/>
      <c r="Q5121" s="8"/>
      <c r="S5121" s="3"/>
      <c r="T5121" s="3"/>
      <c r="U5121" s="7"/>
      <c r="V5121" s="436"/>
      <c r="X5121" s="8"/>
      <c r="Y5121" s="8"/>
      <c r="AH5121" s="3"/>
      <c r="AI5121" s="3"/>
      <c r="AJ5121" s="3"/>
    </row>
    <row r="5122" spans="3:36" s="6" customFormat="1" ht="11.25" customHeight="1">
      <c r="C5122" s="4"/>
      <c r="D5122" s="4"/>
      <c r="E5122" s="5"/>
      <c r="G5122" s="31"/>
      <c r="I5122" s="9"/>
      <c r="J5122" s="24"/>
      <c r="K5122" s="9"/>
      <c r="L5122" s="25"/>
      <c r="M5122" s="7"/>
      <c r="N5122" s="8"/>
      <c r="O5122" s="11"/>
      <c r="P5122" s="11"/>
      <c r="Q5122" s="8"/>
      <c r="S5122" s="3"/>
      <c r="T5122" s="3"/>
      <c r="U5122" s="7"/>
      <c r="V5122" s="436"/>
      <c r="X5122" s="8"/>
      <c r="Y5122" s="8"/>
      <c r="AH5122" s="3"/>
      <c r="AI5122" s="3"/>
      <c r="AJ5122" s="3"/>
    </row>
    <row r="5123" spans="3:36" s="6" customFormat="1" ht="11.25" customHeight="1">
      <c r="C5123" s="4"/>
      <c r="D5123" s="4"/>
      <c r="E5123" s="5"/>
      <c r="G5123" s="31"/>
      <c r="I5123" s="9"/>
      <c r="J5123" s="24"/>
      <c r="K5123" s="9"/>
      <c r="L5123" s="25"/>
      <c r="M5123" s="7"/>
      <c r="N5123" s="8"/>
      <c r="O5123" s="11"/>
      <c r="P5123" s="11"/>
      <c r="Q5123" s="8"/>
      <c r="S5123" s="3"/>
      <c r="T5123" s="3"/>
      <c r="U5123" s="7"/>
      <c r="V5123" s="436"/>
      <c r="X5123" s="8"/>
      <c r="Y5123" s="8"/>
      <c r="AH5123" s="3"/>
      <c r="AI5123" s="3"/>
      <c r="AJ5123" s="3"/>
    </row>
    <row r="5124" spans="3:36" s="6" customFormat="1" ht="11.25" customHeight="1">
      <c r="C5124" s="4"/>
      <c r="D5124" s="4"/>
      <c r="E5124" s="5"/>
      <c r="G5124" s="31"/>
      <c r="I5124" s="9"/>
      <c r="J5124" s="24"/>
      <c r="K5124" s="9"/>
      <c r="L5124" s="25"/>
      <c r="M5124" s="7"/>
      <c r="N5124" s="8"/>
      <c r="O5124" s="11"/>
      <c r="P5124" s="11"/>
      <c r="Q5124" s="8"/>
      <c r="S5124" s="3"/>
      <c r="T5124" s="3"/>
      <c r="U5124" s="7"/>
      <c r="V5124" s="436"/>
      <c r="X5124" s="8"/>
      <c r="Y5124" s="8"/>
      <c r="AH5124" s="3"/>
      <c r="AI5124" s="3"/>
      <c r="AJ5124" s="3"/>
    </row>
    <row r="5125" spans="3:36" s="6" customFormat="1" ht="11.25" customHeight="1">
      <c r="C5125" s="4"/>
      <c r="D5125" s="4"/>
      <c r="E5125" s="5"/>
      <c r="G5125" s="31"/>
      <c r="I5125" s="9"/>
      <c r="J5125" s="24"/>
      <c r="K5125" s="9"/>
      <c r="L5125" s="25"/>
      <c r="M5125" s="7"/>
      <c r="N5125" s="8"/>
      <c r="O5125" s="11"/>
      <c r="P5125" s="11"/>
      <c r="Q5125" s="8"/>
      <c r="S5125" s="3"/>
      <c r="T5125" s="3"/>
      <c r="U5125" s="7"/>
      <c r="V5125" s="436"/>
      <c r="X5125" s="8"/>
      <c r="Y5125" s="8"/>
      <c r="AH5125" s="3"/>
      <c r="AI5125" s="3"/>
      <c r="AJ5125" s="3"/>
    </row>
    <row r="5126" spans="3:36" s="6" customFormat="1" ht="11.25" customHeight="1">
      <c r="C5126" s="4"/>
      <c r="D5126" s="4"/>
      <c r="E5126" s="5"/>
      <c r="G5126" s="31"/>
      <c r="I5126" s="9"/>
      <c r="J5126" s="24"/>
      <c r="K5126" s="9"/>
      <c r="L5126" s="25"/>
      <c r="M5126" s="7"/>
      <c r="N5126" s="8"/>
      <c r="O5126" s="11"/>
      <c r="P5126" s="11"/>
      <c r="Q5126" s="8"/>
      <c r="S5126" s="3"/>
      <c r="T5126" s="3"/>
      <c r="U5126" s="7"/>
      <c r="V5126" s="436"/>
      <c r="X5126" s="8"/>
      <c r="Y5126" s="8"/>
      <c r="AH5126" s="3"/>
      <c r="AI5126" s="3"/>
      <c r="AJ5126" s="3"/>
    </row>
    <row r="5127" spans="3:36" s="6" customFormat="1" ht="11.25" customHeight="1">
      <c r="C5127" s="4"/>
      <c r="D5127" s="4"/>
      <c r="E5127" s="5"/>
      <c r="G5127" s="31"/>
      <c r="I5127" s="9"/>
      <c r="J5127" s="24"/>
      <c r="K5127" s="9"/>
      <c r="L5127" s="25"/>
      <c r="M5127" s="7"/>
      <c r="N5127" s="8"/>
      <c r="O5127" s="11"/>
      <c r="P5127" s="11"/>
      <c r="Q5127" s="8"/>
      <c r="S5127" s="3"/>
      <c r="T5127" s="3"/>
      <c r="U5127" s="7"/>
      <c r="V5127" s="436"/>
      <c r="X5127" s="8"/>
      <c r="Y5127" s="8"/>
      <c r="AH5127" s="3"/>
      <c r="AI5127" s="3"/>
      <c r="AJ5127" s="3"/>
    </row>
    <row r="5128" spans="3:36" s="6" customFormat="1" ht="11.25" customHeight="1">
      <c r="C5128" s="4"/>
      <c r="D5128" s="4"/>
      <c r="E5128" s="5"/>
      <c r="G5128" s="31"/>
      <c r="I5128" s="9"/>
      <c r="J5128" s="24"/>
      <c r="K5128" s="9"/>
      <c r="L5128" s="25"/>
      <c r="M5128" s="7"/>
      <c r="N5128" s="8"/>
      <c r="O5128" s="11"/>
      <c r="P5128" s="11"/>
      <c r="Q5128" s="8"/>
      <c r="S5128" s="3"/>
      <c r="T5128" s="3"/>
      <c r="U5128" s="7"/>
      <c r="V5128" s="436"/>
      <c r="X5128" s="8"/>
      <c r="Y5128" s="8"/>
      <c r="AH5128" s="3"/>
      <c r="AI5128" s="3"/>
      <c r="AJ5128" s="3"/>
    </row>
    <row r="5129" spans="3:36" s="6" customFormat="1" ht="11.25" customHeight="1">
      <c r="C5129" s="4"/>
      <c r="D5129" s="4"/>
      <c r="E5129" s="5"/>
      <c r="G5129" s="31"/>
      <c r="I5129" s="9"/>
      <c r="J5129" s="24"/>
      <c r="K5129" s="9"/>
      <c r="L5129" s="25"/>
      <c r="M5129" s="7"/>
      <c r="N5129" s="8"/>
      <c r="O5129" s="11"/>
      <c r="P5129" s="11"/>
      <c r="Q5129" s="8"/>
      <c r="S5129" s="3"/>
      <c r="T5129" s="3"/>
      <c r="U5129" s="7"/>
      <c r="V5129" s="436"/>
      <c r="X5129" s="8"/>
      <c r="Y5129" s="8"/>
      <c r="AH5129" s="3"/>
      <c r="AI5129" s="3"/>
      <c r="AJ5129" s="3"/>
    </row>
    <row r="5130" spans="3:36" s="6" customFormat="1" ht="11.25" customHeight="1">
      <c r="C5130" s="4"/>
      <c r="D5130" s="4"/>
      <c r="E5130" s="5"/>
      <c r="G5130" s="31"/>
      <c r="I5130" s="9"/>
      <c r="J5130" s="24"/>
      <c r="K5130" s="9"/>
      <c r="L5130" s="25"/>
      <c r="M5130" s="7"/>
      <c r="N5130" s="8"/>
      <c r="O5130" s="11"/>
      <c r="P5130" s="11"/>
      <c r="Q5130" s="8"/>
      <c r="S5130" s="3"/>
      <c r="T5130" s="3"/>
      <c r="U5130" s="7"/>
      <c r="V5130" s="436"/>
      <c r="X5130" s="8"/>
      <c r="Y5130" s="8"/>
      <c r="AH5130" s="3"/>
      <c r="AI5130" s="3"/>
      <c r="AJ5130" s="3"/>
    </row>
    <row r="5131" spans="3:36" s="6" customFormat="1" ht="11.25" customHeight="1">
      <c r="C5131" s="4"/>
      <c r="D5131" s="4"/>
      <c r="E5131" s="5"/>
      <c r="G5131" s="31"/>
      <c r="I5131" s="9"/>
      <c r="J5131" s="24"/>
      <c r="K5131" s="9"/>
      <c r="L5131" s="25"/>
      <c r="M5131" s="7"/>
      <c r="N5131" s="8"/>
      <c r="O5131" s="11"/>
      <c r="P5131" s="11"/>
      <c r="Q5131" s="8"/>
      <c r="S5131" s="3"/>
      <c r="T5131" s="3"/>
      <c r="U5131" s="7"/>
      <c r="V5131" s="436"/>
      <c r="X5131" s="8"/>
      <c r="Y5131" s="8"/>
      <c r="AH5131" s="3"/>
      <c r="AI5131" s="3"/>
      <c r="AJ5131" s="3"/>
    </row>
    <row r="5132" spans="3:36" s="6" customFormat="1" ht="11.25" customHeight="1">
      <c r="C5132" s="4"/>
      <c r="D5132" s="4"/>
      <c r="E5132" s="5"/>
      <c r="G5132" s="31"/>
      <c r="I5132" s="9"/>
      <c r="J5132" s="24"/>
      <c r="K5132" s="9"/>
      <c r="L5132" s="25"/>
      <c r="M5132" s="7"/>
      <c r="N5132" s="8"/>
      <c r="O5132" s="11"/>
      <c r="P5132" s="11"/>
      <c r="Q5132" s="8"/>
      <c r="S5132" s="3"/>
      <c r="T5132" s="3"/>
      <c r="U5132" s="7"/>
      <c r="V5132" s="436"/>
      <c r="X5132" s="8"/>
      <c r="Y5132" s="8"/>
      <c r="AH5132" s="3"/>
      <c r="AI5132" s="3"/>
      <c r="AJ5132" s="3"/>
    </row>
    <row r="5133" spans="3:36" s="6" customFormat="1" ht="11.25" customHeight="1">
      <c r="C5133" s="4"/>
      <c r="D5133" s="4"/>
      <c r="E5133" s="5"/>
      <c r="G5133" s="31"/>
      <c r="I5133" s="9"/>
      <c r="J5133" s="24"/>
      <c r="K5133" s="9"/>
      <c r="L5133" s="25"/>
      <c r="M5133" s="7"/>
      <c r="N5133" s="8"/>
      <c r="O5133" s="11"/>
      <c r="P5133" s="11"/>
      <c r="Q5133" s="8"/>
      <c r="S5133" s="3"/>
      <c r="T5133" s="3"/>
      <c r="U5133" s="7"/>
      <c r="V5133" s="436"/>
      <c r="X5133" s="8"/>
      <c r="Y5133" s="8"/>
      <c r="AH5133" s="3"/>
      <c r="AI5133" s="3"/>
      <c r="AJ5133" s="3"/>
    </row>
    <row r="5134" spans="3:36" s="6" customFormat="1" ht="11.25" customHeight="1">
      <c r="C5134" s="4"/>
      <c r="D5134" s="4"/>
      <c r="E5134" s="5"/>
      <c r="G5134" s="31"/>
      <c r="I5134" s="9"/>
      <c r="J5134" s="24"/>
      <c r="K5134" s="9"/>
      <c r="L5134" s="25"/>
      <c r="M5134" s="7"/>
      <c r="N5134" s="8"/>
      <c r="O5134" s="11"/>
      <c r="P5134" s="11"/>
      <c r="Q5134" s="8"/>
      <c r="S5134" s="3"/>
      <c r="T5134" s="3"/>
      <c r="U5134" s="7"/>
      <c r="V5134" s="436"/>
      <c r="X5134" s="8"/>
      <c r="Y5134" s="8"/>
      <c r="AH5134" s="3"/>
      <c r="AI5134" s="3"/>
      <c r="AJ5134" s="3"/>
    </row>
    <row r="5135" spans="3:36" s="6" customFormat="1" ht="11.25" customHeight="1">
      <c r="C5135" s="4"/>
      <c r="D5135" s="4"/>
      <c r="E5135" s="5"/>
      <c r="G5135" s="31"/>
      <c r="I5135" s="9"/>
      <c r="J5135" s="24"/>
      <c r="K5135" s="9"/>
      <c r="L5135" s="25"/>
      <c r="M5135" s="7"/>
      <c r="N5135" s="8"/>
      <c r="O5135" s="11"/>
      <c r="P5135" s="11"/>
      <c r="Q5135" s="8"/>
      <c r="S5135" s="3"/>
      <c r="T5135" s="3"/>
      <c r="U5135" s="7"/>
      <c r="V5135" s="436"/>
      <c r="X5135" s="8"/>
      <c r="Y5135" s="8"/>
      <c r="AH5135" s="3"/>
      <c r="AI5135" s="3"/>
      <c r="AJ5135" s="3"/>
    </row>
    <row r="5136" spans="3:36" s="6" customFormat="1" ht="11.25" customHeight="1">
      <c r="C5136" s="4"/>
      <c r="D5136" s="4"/>
      <c r="E5136" s="5"/>
      <c r="G5136" s="31"/>
      <c r="I5136" s="9"/>
      <c r="J5136" s="24"/>
      <c r="K5136" s="9"/>
      <c r="L5136" s="25"/>
      <c r="M5136" s="7"/>
      <c r="N5136" s="8"/>
      <c r="O5136" s="11"/>
      <c r="P5136" s="11"/>
      <c r="Q5136" s="8"/>
      <c r="S5136" s="3"/>
      <c r="T5136" s="3"/>
      <c r="U5136" s="7"/>
      <c r="V5136" s="436"/>
      <c r="X5136" s="8"/>
      <c r="Y5136" s="8"/>
      <c r="AH5136" s="3"/>
      <c r="AI5136" s="3"/>
      <c r="AJ5136" s="3"/>
    </row>
    <row r="5137" spans="3:36" s="6" customFormat="1" ht="11.25" customHeight="1">
      <c r="C5137" s="4"/>
      <c r="D5137" s="4"/>
      <c r="E5137" s="5"/>
      <c r="G5137" s="31"/>
      <c r="I5137" s="9"/>
      <c r="J5137" s="23"/>
      <c r="K5137" s="9"/>
      <c r="L5137" s="25"/>
      <c r="M5137" s="7"/>
      <c r="N5137" s="8"/>
      <c r="O5137" s="11"/>
      <c r="P5137" s="11"/>
      <c r="Q5137" s="8"/>
      <c r="S5137" s="3"/>
      <c r="T5137" s="3"/>
      <c r="U5137" s="7"/>
      <c r="V5137" s="436"/>
      <c r="X5137" s="8"/>
      <c r="Y5137" s="8"/>
      <c r="AH5137" s="3"/>
      <c r="AI5137" s="3"/>
      <c r="AJ5137" s="3"/>
    </row>
    <row r="5138" spans="3:36" s="6" customFormat="1" ht="11.25" customHeight="1">
      <c r="C5138" s="4"/>
      <c r="D5138" s="4"/>
      <c r="E5138" s="5"/>
      <c r="G5138" s="31"/>
      <c r="I5138" s="9"/>
      <c r="J5138" s="37"/>
      <c r="K5138" s="36"/>
      <c r="L5138" s="25"/>
      <c r="M5138" s="7"/>
      <c r="N5138" s="8"/>
      <c r="O5138" s="11"/>
      <c r="P5138" s="11"/>
      <c r="Q5138" s="8"/>
      <c r="S5138" s="3"/>
      <c r="T5138" s="3"/>
      <c r="U5138" s="7"/>
      <c r="V5138" s="436"/>
      <c r="X5138" s="8"/>
      <c r="Y5138" s="8"/>
      <c r="AH5138" s="3"/>
      <c r="AI5138" s="3"/>
      <c r="AJ5138" s="3"/>
    </row>
    <row r="5139" spans="3:36" s="6" customFormat="1" ht="11.25" customHeight="1">
      <c r="C5139" s="4"/>
      <c r="D5139" s="4"/>
      <c r="E5139" s="5"/>
      <c r="G5139" s="31"/>
      <c r="I5139" s="9"/>
      <c r="J5139" s="23"/>
      <c r="K5139" s="9"/>
      <c r="L5139" s="25"/>
      <c r="M5139" s="7"/>
      <c r="N5139" s="8"/>
      <c r="O5139" s="11"/>
      <c r="P5139" s="11"/>
      <c r="Q5139" s="8"/>
      <c r="S5139" s="3"/>
      <c r="T5139" s="3"/>
      <c r="U5139" s="7"/>
      <c r="V5139" s="436"/>
      <c r="X5139" s="8"/>
      <c r="Y5139" s="8"/>
      <c r="AH5139" s="3"/>
      <c r="AI5139" s="3"/>
      <c r="AJ5139" s="3"/>
    </row>
    <row r="5140" spans="3:36" s="6" customFormat="1" ht="11.25" customHeight="1">
      <c r="C5140" s="4"/>
      <c r="D5140" s="4"/>
      <c r="E5140" s="5"/>
      <c r="G5140" s="31"/>
      <c r="I5140" s="9"/>
      <c r="J5140" s="23"/>
      <c r="K5140" s="9"/>
      <c r="L5140" s="25"/>
      <c r="M5140" s="7"/>
      <c r="N5140" s="8"/>
      <c r="O5140" s="11"/>
      <c r="P5140" s="11"/>
      <c r="Q5140" s="8"/>
      <c r="S5140" s="3"/>
      <c r="T5140" s="3"/>
      <c r="U5140" s="7"/>
      <c r="V5140" s="436"/>
      <c r="X5140" s="8"/>
      <c r="Y5140" s="8"/>
      <c r="AH5140" s="3"/>
      <c r="AI5140" s="3"/>
      <c r="AJ5140" s="3"/>
    </row>
    <row r="5141" spans="3:36" s="6" customFormat="1" ht="11.25" customHeight="1">
      <c r="C5141" s="4"/>
      <c r="D5141" s="4"/>
      <c r="E5141" s="5"/>
      <c r="G5141" s="31"/>
      <c r="I5141" s="9"/>
      <c r="J5141" s="23"/>
      <c r="K5141" s="9"/>
      <c r="L5141" s="25"/>
      <c r="M5141" s="7"/>
      <c r="N5141" s="8"/>
      <c r="O5141" s="11"/>
      <c r="P5141" s="11"/>
      <c r="Q5141" s="8"/>
      <c r="S5141" s="3"/>
      <c r="T5141" s="3"/>
      <c r="U5141" s="7"/>
      <c r="V5141" s="436"/>
      <c r="X5141" s="8"/>
      <c r="Y5141" s="8"/>
      <c r="AH5141" s="3"/>
      <c r="AI5141" s="3"/>
      <c r="AJ5141" s="3"/>
    </row>
    <row r="5142" spans="3:36" s="6" customFormat="1" ht="11.25" customHeight="1">
      <c r="C5142" s="4"/>
      <c r="D5142" s="4"/>
      <c r="E5142" s="5"/>
      <c r="G5142" s="31"/>
      <c r="I5142" s="9"/>
      <c r="J5142" s="23"/>
      <c r="K5142" s="9"/>
      <c r="L5142" s="25"/>
      <c r="M5142" s="7"/>
      <c r="N5142" s="8"/>
      <c r="O5142" s="11"/>
      <c r="P5142" s="11"/>
      <c r="Q5142" s="8"/>
      <c r="S5142" s="3"/>
      <c r="T5142" s="3"/>
      <c r="U5142" s="7"/>
      <c r="V5142" s="436"/>
      <c r="X5142" s="8"/>
      <c r="Y5142" s="8"/>
      <c r="AH5142" s="3"/>
      <c r="AI5142" s="3"/>
      <c r="AJ5142" s="3"/>
    </row>
    <row r="5143" spans="3:36" s="6" customFormat="1" ht="11.25" customHeight="1">
      <c r="C5143" s="4"/>
      <c r="D5143" s="4"/>
      <c r="E5143" s="5"/>
      <c r="G5143" s="31"/>
      <c r="I5143" s="9"/>
      <c r="J5143" s="23"/>
      <c r="K5143" s="9"/>
      <c r="L5143" s="25"/>
      <c r="M5143" s="7"/>
      <c r="N5143" s="8"/>
      <c r="O5143" s="11"/>
      <c r="P5143" s="11"/>
      <c r="Q5143" s="8"/>
      <c r="S5143" s="3"/>
      <c r="T5143" s="3"/>
      <c r="U5143" s="7"/>
      <c r="V5143" s="436"/>
      <c r="X5143" s="8"/>
      <c r="Y5143" s="8"/>
      <c r="AH5143" s="3"/>
      <c r="AI5143" s="3"/>
      <c r="AJ5143" s="3"/>
    </row>
    <row r="5144" spans="3:36" s="6" customFormat="1" ht="11.25" customHeight="1">
      <c r="C5144" s="4"/>
      <c r="D5144" s="4"/>
      <c r="E5144" s="5"/>
      <c r="G5144" s="31"/>
      <c r="I5144" s="9"/>
      <c r="J5144" s="23"/>
      <c r="K5144" s="9"/>
      <c r="L5144" s="25"/>
      <c r="M5144" s="7"/>
      <c r="N5144" s="8"/>
      <c r="O5144" s="11"/>
      <c r="P5144" s="11"/>
      <c r="Q5144" s="8"/>
      <c r="S5144" s="3"/>
      <c r="T5144" s="3"/>
      <c r="U5144" s="7"/>
      <c r="V5144" s="436"/>
      <c r="X5144" s="8"/>
      <c r="Y5144" s="8"/>
      <c r="AH5144" s="3"/>
      <c r="AI5144" s="3"/>
      <c r="AJ5144" s="3"/>
    </row>
    <row r="5145" spans="3:36" s="6" customFormat="1" ht="11.25" customHeight="1">
      <c r="C5145" s="4"/>
      <c r="D5145" s="4"/>
      <c r="E5145" s="5"/>
      <c r="G5145" s="31"/>
      <c r="I5145" s="9"/>
      <c r="J5145" s="23"/>
      <c r="K5145" s="9"/>
      <c r="L5145" s="25"/>
      <c r="M5145" s="7"/>
      <c r="N5145" s="8"/>
      <c r="O5145" s="11"/>
      <c r="P5145" s="11"/>
      <c r="Q5145" s="8"/>
      <c r="S5145" s="3"/>
      <c r="T5145" s="3"/>
      <c r="U5145" s="7"/>
      <c r="V5145" s="436"/>
      <c r="X5145" s="8"/>
      <c r="Y5145" s="8"/>
      <c r="AH5145" s="3"/>
      <c r="AI5145" s="3"/>
      <c r="AJ5145" s="3"/>
    </row>
    <row r="5146" spans="3:36" s="6" customFormat="1" ht="11.25" customHeight="1">
      <c r="C5146" s="4"/>
      <c r="D5146" s="4"/>
      <c r="E5146" s="5"/>
      <c r="G5146" s="31"/>
      <c r="I5146" s="9"/>
      <c r="J5146" s="23"/>
      <c r="K5146" s="9"/>
      <c r="L5146" s="25"/>
      <c r="M5146" s="7"/>
      <c r="N5146" s="8"/>
      <c r="O5146" s="11"/>
      <c r="P5146" s="11"/>
      <c r="Q5146" s="8"/>
      <c r="S5146" s="3"/>
      <c r="T5146" s="3"/>
      <c r="U5146" s="7"/>
      <c r="V5146" s="436"/>
      <c r="X5146" s="8"/>
      <c r="Y5146" s="8"/>
      <c r="AH5146" s="3"/>
      <c r="AI5146" s="3"/>
      <c r="AJ5146" s="3"/>
    </row>
    <row r="5147" spans="3:36" s="6" customFormat="1" ht="11.25" customHeight="1">
      <c r="C5147" s="4"/>
      <c r="D5147" s="4"/>
      <c r="E5147" s="5"/>
      <c r="G5147" s="31"/>
      <c r="I5147" s="9"/>
      <c r="J5147" s="24"/>
      <c r="K5147" s="9"/>
      <c r="L5147" s="25"/>
      <c r="M5147" s="7"/>
      <c r="N5147" s="8"/>
      <c r="O5147" s="11"/>
      <c r="P5147" s="11"/>
      <c r="Q5147" s="8"/>
      <c r="S5147" s="3"/>
      <c r="T5147" s="3"/>
      <c r="U5147" s="7"/>
      <c r="V5147" s="436"/>
      <c r="X5147" s="8"/>
      <c r="Y5147" s="8"/>
      <c r="AH5147" s="3"/>
      <c r="AI5147" s="3"/>
      <c r="AJ5147" s="3"/>
    </row>
    <row r="5148" spans="3:36" s="6" customFormat="1" ht="11.25" customHeight="1">
      <c r="C5148" s="4"/>
      <c r="D5148" s="4"/>
      <c r="E5148" s="5"/>
      <c r="G5148" s="31"/>
      <c r="I5148" s="9"/>
      <c r="J5148" s="24"/>
      <c r="K5148" s="9"/>
      <c r="L5148" s="25"/>
      <c r="M5148" s="7"/>
      <c r="N5148" s="8"/>
      <c r="O5148" s="11"/>
      <c r="P5148" s="11"/>
      <c r="Q5148" s="8"/>
      <c r="S5148" s="3"/>
      <c r="T5148" s="3"/>
      <c r="U5148" s="7"/>
      <c r="V5148" s="436"/>
      <c r="X5148" s="8"/>
      <c r="Y5148" s="8"/>
      <c r="AH5148" s="3"/>
      <c r="AI5148" s="3"/>
      <c r="AJ5148" s="3"/>
    </row>
    <row r="5149" spans="3:36" s="6" customFormat="1" ht="11.25" customHeight="1">
      <c r="C5149" s="4"/>
      <c r="D5149" s="4"/>
      <c r="E5149" s="5"/>
      <c r="G5149" s="31"/>
      <c r="I5149" s="9"/>
      <c r="J5149" s="24"/>
      <c r="K5149" s="9"/>
      <c r="L5149" s="25"/>
      <c r="M5149" s="7"/>
      <c r="N5149" s="8"/>
      <c r="O5149" s="11"/>
      <c r="P5149" s="11"/>
      <c r="Q5149" s="8"/>
      <c r="S5149" s="3"/>
      <c r="T5149" s="3"/>
      <c r="U5149" s="7"/>
      <c r="V5149" s="436"/>
      <c r="X5149" s="8"/>
      <c r="Y5149" s="8"/>
      <c r="AH5149" s="3"/>
      <c r="AI5149" s="3"/>
      <c r="AJ5149" s="3"/>
    </row>
    <row r="5150" spans="3:36" s="6" customFormat="1" ht="11.25" customHeight="1">
      <c r="C5150" s="4"/>
      <c r="D5150" s="4"/>
      <c r="E5150" s="5"/>
      <c r="G5150" s="31"/>
      <c r="I5150" s="9"/>
      <c r="J5150" s="24"/>
      <c r="K5150" s="9"/>
      <c r="L5150" s="25"/>
      <c r="M5150" s="7"/>
      <c r="N5150" s="8"/>
      <c r="O5150" s="11"/>
      <c r="P5150" s="11"/>
      <c r="Q5150" s="8"/>
      <c r="S5150" s="3"/>
      <c r="T5150" s="3"/>
      <c r="U5150" s="7"/>
      <c r="V5150" s="436"/>
      <c r="X5150" s="8"/>
      <c r="Y5150" s="8"/>
      <c r="AH5150" s="3"/>
      <c r="AI5150" s="3"/>
      <c r="AJ5150" s="3"/>
    </row>
    <row r="5151" spans="3:36" s="6" customFormat="1" ht="11.25" customHeight="1">
      <c r="C5151" s="4"/>
      <c r="D5151" s="4"/>
      <c r="E5151" s="5"/>
      <c r="G5151" s="31"/>
      <c r="I5151" s="9"/>
      <c r="J5151" s="24"/>
      <c r="K5151" s="9"/>
      <c r="L5151" s="25"/>
      <c r="M5151" s="7"/>
      <c r="N5151" s="8"/>
      <c r="O5151" s="11"/>
      <c r="P5151" s="11"/>
      <c r="Q5151" s="8"/>
      <c r="S5151" s="3"/>
      <c r="T5151" s="3"/>
      <c r="U5151" s="7"/>
      <c r="V5151" s="436"/>
      <c r="X5151" s="8"/>
      <c r="Y5151" s="8"/>
      <c r="AH5151" s="3"/>
      <c r="AI5151" s="3"/>
      <c r="AJ5151" s="3"/>
    </row>
    <row r="5152" spans="3:36" s="6" customFormat="1" ht="11.25" customHeight="1">
      <c r="C5152" s="4"/>
      <c r="D5152" s="4"/>
      <c r="E5152" s="5"/>
      <c r="G5152" s="31"/>
      <c r="I5152" s="9"/>
      <c r="J5152" s="24"/>
      <c r="K5152" s="9"/>
      <c r="L5152" s="25"/>
      <c r="M5152" s="7"/>
      <c r="N5152" s="8"/>
      <c r="O5152" s="11"/>
      <c r="P5152" s="11"/>
      <c r="Q5152" s="8"/>
      <c r="S5152" s="3"/>
      <c r="T5152" s="3"/>
      <c r="U5152" s="7"/>
      <c r="V5152" s="436"/>
      <c r="X5152" s="8"/>
      <c r="Y5152" s="8"/>
      <c r="AH5152" s="3"/>
      <c r="AI5152" s="3"/>
      <c r="AJ5152" s="3"/>
    </row>
    <row r="5153" spans="3:36" s="6" customFormat="1" ht="11.25" customHeight="1">
      <c r="C5153" s="4"/>
      <c r="D5153" s="4"/>
      <c r="E5153" s="5"/>
      <c r="G5153" s="31"/>
      <c r="I5153" s="9"/>
      <c r="J5153" s="24"/>
      <c r="K5153" s="9"/>
      <c r="L5153" s="25"/>
      <c r="M5153" s="7"/>
      <c r="N5153" s="8"/>
      <c r="O5153" s="11"/>
      <c r="P5153" s="11"/>
      <c r="Q5153" s="8"/>
      <c r="S5153" s="3"/>
      <c r="T5153" s="3"/>
      <c r="U5153" s="7"/>
      <c r="V5153" s="436"/>
      <c r="X5153" s="8"/>
      <c r="Y5153" s="8"/>
      <c r="AH5153" s="3"/>
      <c r="AI5153" s="3"/>
      <c r="AJ5153" s="3"/>
    </row>
    <row r="5154" spans="3:36" s="6" customFormat="1" ht="11.25" customHeight="1">
      <c r="C5154" s="4"/>
      <c r="D5154" s="4"/>
      <c r="E5154" s="5"/>
      <c r="G5154" s="31"/>
      <c r="I5154" s="9"/>
      <c r="J5154" s="24"/>
      <c r="K5154" s="9"/>
      <c r="L5154" s="25"/>
      <c r="M5154" s="7"/>
      <c r="N5154" s="8"/>
      <c r="O5154" s="11"/>
      <c r="P5154" s="11"/>
      <c r="Q5154" s="8"/>
      <c r="S5154" s="3"/>
      <c r="T5154" s="3"/>
      <c r="U5154" s="7"/>
      <c r="V5154" s="436"/>
      <c r="X5154" s="8"/>
      <c r="Y5154" s="8"/>
      <c r="AH5154" s="3"/>
      <c r="AI5154" s="3"/>
      <c r="AJ5154" s="3"/>
    </row>
    <row r="5155" spans="3:36" s="6" customFormat="1" ht="11.25" customHeight="1">
      <c r="C5155" s="4"/>
      <c r="D5155" s="4"/>
      <c r="E5155" s="5"/>
      <c r="G5155" s="31"/>
      <c r="I5155" s="9"/>
      <c r="J5155" s="24"/>
      <c r="K5155" s="9"/>
      <c r="L5155" s="25"/>
      <c r="M5155" s="7"/>
      <c r="N5155" s="8"/>
      <c r="O5155" s="11"/>
      <c r="P5155" s="11"/>
      <c r="Q5155" s="8"/>
      <c r="S5155" s="3"/>
      <c r="T5155" s="3"/>
      <c r="U5155" s="7"/>
      <c r="V5155" s="436"/>
      <c r="X5155" s="8"/>
      <c r="Y5155" s="8"/>
      <c r="AH5155" s="3"/>
      <c r="AI5155" s="3"/>
      <c r="AJ5155" s="3"/>
    </row>
    <row r="5156" spans="3:36" s="6" customFormat="1" ht="11.25" customHeight="1">
      <c r="C5156" s="4"/>
      <c r="D5156" s="4"/>
      <c r="E5156" s="5"/>
      <c r="G5156" s="31"/>
      <c r="I5156" s="9"/>
      <c r="J5156" s="24"/>
      <c r="K5156" s="9"/>
      <c r="L5156" s="25"/>
      <c r="M5156" s="7"/>
      <c r="N5156" s="8"/>
      <c r="O5156" s="11"/>
      <c r="P5156" s="11"/>
      <c r="Q5156" s="8"/>
      <c r="S5156" s="3"/>
      <c r="T5156" s="3"/>
      <c r="U5156" s="7"/>
      <c r="V5156" s="436"/>
      <c r="X5156" s="8"/>
      <c r="Y5156" s="8"/>
      <c r="AH5156" s="3"/>
      <c r="AI5156" s="3"/>
      <c r="AJ5156" s="3"/>
    </row>
    <row r="5157" spans="3:36" s="6" customFormat="1" ht="11.25" customHeight="1">
      <c r="C5157" s="4"/>
      <c r="D5157" s="4"/>
      <c r="E5157" s="5"/>
      <c r="G5157" s="31"/>
      <c r="I5157" s="9"/>
      <c r="J5157" s="24"/>
      <c r="K5157" s="9"/>
      <c r="L5157" s="25"/>
      <c r="M5157" s="7"/>
      <c r="N5157" s="8"/>
      <c r="O5157" s="11"/>
      <c r="P5157" s="11"/>
      <c r="Q5157" s="8"/>
      <c r="S5157" s="3"/>
      <c r="T5157" s="3"/>
      <c r="U5157" s="7"/>
      <c r="V5157" s="436"/>
      <c r="X5157" s="8"/>
      <c r="Y5157" s="8"/>
      <c r="AH5157" s="3"/>
      <c r="AI5157" s="3"/>
      <c r="AJ5157" s="3"/>
    </row>
    <row r="5158" spans="3:36" s="6" customFormat="1" ht="11.25" customHeight="1">
      <c r="C5158" s="4"/>
      <c r="D5158" s="4"/>
      <c r="E5158" s="5"/>
      <c r="G5158" s="31"/>
      <c r="I5158" s="9"/>
      <c r="J5158" s="24"/>
      <c r="K5158" s="9"/>
      <c r="L5158" s="25"/>
      <c r="M5158" s="7"/>
      <c r="N5158" s="8"/>
      <c r="O5158" s="11"/>
      <c r="P5158" s="11"/>
      <c r="Q5158" s="8"/>
      <c r="S5158" s="3"/>
      <c r="T5158" s="3"/>
      <c r="U5158" s="7"/>
      <c r="V5158" s="436"/>
      <c r="X5158" s="8"/>
      <c r="Y5158" s="8"/>
      <c r="AH5158" s="3"/>
      <c r="AI5158" s="3"/>
      <c r="AJ5158" s="3"/>
    </row>
    <row r="5159" spans="3:36" s="6" customFormat="1" ht="11.25" customHeight="1">
      <c r="C5159" s="4"/>
      <c r="D5159" s="4"/>
      <c r="E5159" s="5"/>
      <c r="G5159" s="31"/>
      <c r="I5159" s="9"/>
      <c r="J5159" s="24"/>
      <c r="K5159" s="9"/>
      <c r="L5159" s="25"/>
      <c r="M5159" s="7"/>
      <c r="N5159" s="8"/>
      <c r="O5159" s="11"/>
      <c r="P5159" s="11"/>
      <c r="Q5159" s="8"/>
      <c r="S5159" s="3"/>
      <c r="T5159" s="3"/>
      <c r="U5159" s="7"/>
      <c r="V5159" s="436"/>
      <c r="X5159" s="8"/>
      <c r="Y5159" s="8"/>
      <c r="AH5159" s="3"/>
      <c r="AI5159" s="3"/>
      <c r="AJ5159" s="3"/>
    </row>
    <row r="5160" spans="3:36" s="6" customFormat="1" ht="11.25" customHeight="1">
      <c r="C5160" s="4"/>
      <c r="D5160" s="4"/>
      <c r="E5160" s="5"/>
      <c r="G5160" s="31"/>
      <c r="I5160" s="9"/>
      <c r="J5160" s="24"/>
      <c r="K5160" s="9"/>
      <c r="L5160" s="25"/>
      <c r="M5160" s="7"/>
      <c r="N5160" s="8"/>
      <c r="O5160" s="11"/>
      <c r="P5160" s="11"/>
      <c r="Q5160" s="8"/>
      <c r="S5160" s="3"/>
      <c r="T5160" s="3"/>
      <c r="U5160" s="7"/>
      <c r="V5160" s="436"/>
      <c r="X5160" s="8"/>
      <c r="Y5160" s="8"/>
      <c r="AH5160" s="3"/>
      <c r="AI5160" s="3"/>
      <c r="AJ5160" s="3"/>
    </row>
    <row r="5161" spans="3:36" s="6" customFormat="1" ht="11.25" customHeight="1">
      <c r="C5161" s="4"/>
      <c r="D5161" s="4"/>
      <c r="E5161" s="5"/>
      <c r="G5161" s="31"/>
      <c r="I5161" s="9"/>
      <c r="J5161" s="24"/>
      <c r="K5161" s="9"/>
      <c r="L5161" s="25"/>
      <c r="M5161" s="7"/>
      <c r="N5161" s="8"/>
      <c r="O5161" s="11"/>
      <c r="P5161" s="11"/>
      <c r="Q5161" s="8"/>
      <c r="S5161" s="3"/>
      <c r="T5161" s="3"/>
      <c r="U5161" s="7"/>
      <c r="V5161" s="436"/>
      <c r="X5161" s="8"/>
      <c r="Y5161" s="8"/>
      <c r="AH5161" s="3"/>
      <c r="AI5161" s="3"/>
      <c r="AJ5161" s="3"/>
    </row>
    <row r="5162" spans="3:36" s="6" customFormat="1" ht="11.25" customHeight="1">
      <c r="C5162" s="4"/>
      <c r="D5162" s="4"/>
      <c r="E5162" s="5"/>
      <c r="G5162" s="31"/>
      <c r="I5162" s="9"/>
      <c r="J5162" s="24"/>
      <c r="K5162" s="9"/>
      <c r="L5162" s="25"/>
      <c r="M5162" s="7"/>
      <c r="N5162" s="8"/>
      <c r="O5162" s="11"/>
      <c r="P5162" s="11"/>
      <c r="Q5162" s="8"/>
      <c r="S5162" s="3"/>
      <c r="T5162" s="3"/>
      <c r="U5162" s="7"/>
      <c r="V5162" s="436"/>
      <c r="X5162" s="8"/>
      <c r="Y5162" s="8"/>
      <c r="AH5162" s="3"/>
      <c r="AI5162" s="3"/>
      <c r="AJ5162" s="3"/>
    </row>
    <row r="5163" spans="3:36" s="6" customFormat="1" ht="11.25" customHeight="1">
      <c r="C5163" s="4"/>
      <c r="D5163" s="4"/>
      <c r="E5163" s="5"/>
      <c r="G5163" s="31"/>
      <c r="I5163" s="9"/>
      <c r="J5163" s="24"/>
      <c r="K5163" s="9"/>
      <c r="L5163" s="25"/>
      <c r="M5163" s="7"/>
      <c r="N5163" s="8"/>
      <c r="O5163" s="11"/>
      <c r="P5163" s="11"/>
      <c r="Q5163" s="8"/>
      <c r="S5163" s="3"/>
      <c r="T5163" s="3"/>
      <c r="U5163" s="7"/>
      <c r="V5163" s="436"/>
      <c r="X5163" s="8"/>
      <c r="Y5163" s="8"/>
      <c r="AH5163" s="3"/>
      <c r="AI5163" s="3"/>
      <c r="AJ5163" s="3"/>
    </row>
    <row r="5164" spans="3:36" s="6" customFormat="1" ht="11.25" customHeight="1">
      <c r="C5164" s="4"/>
      <c r="D5164" s="4"/>
      <c r="E5164" s="5"/>
      <c r="G5164" s="31"/>
      <c r="I5164" s="9"/>
      <c r="J5164" s="24"/>
      <c r="K5164" s="9"/>
      <c r="L5164" s="25"/>
      <c r="M5164" s="7"/>
      <c r="N5164" s="8"/>
      <c r="O5164" s="11"/>
      <c r="P5164" s="11"/>
      <c r="Q5164" s="8"/>
      <c r="S5164" s="3"/>
      <c r="T5164" s="3"/>
      <c r="U5164" s="7"/>
      <c r="V5164" s="436"/>
      <c r="X5164" s="8"/>
      <c r="Y5164" s="8"/>
      <c r="AH5164" s="3"/>
      <c r="AI5164" s="3"/>
      <c r="AJ5164" s="3"/>
    </row>
    <row r="5165" spans="3:36" s="6" customFormat="1" ht="11.25" customHeight="1">
      <c r="C5165" s="4"/>
      <c r="D5165" s="4"/>
      <c r="E5165" s="5"/>
      <c r="G5165" s="31"/>
      <c r="I5165" s="9"/>
      <c r="J5165" s="24"/>
      <c r="K5165" s="9"/>
      <c r="L5165" s="25"/>
      <c r="M5165" s="7"/>
      <c r="N5165" s="8"/>
      <c r="O5165" s="11"/>
      <c r="P5165" s="11"/>
      <c r="Q5165" s="8"/>
      <c r="S5165" s="3"/>
      <c r="T5165" s="3"/>
      <c r="U5165" s="7"/>
      <c r="V5165" s="436"/>
      <c r="X5165" s="8"/>
      <c r="Y5165" s="8"/>
      <c r="AH5165" s="3"/>
      <c r="AI5165" s="3"/>
      <c r="AJ5165" s="3"/>
    </row>
    <row r="5166" spans="3:36" s="6" customFormat="1" ht="11.25" customHeight="1">
      <c r="C5166" s="4"/>
      <c r="D5166" s="4"/>
      <c r="E5166" s="5"/>
      <c r="G5166" s="31"/>
      <c r="I5166" s="9"/>
      <c r="J5166" s="24"/>
      <c r="K5166" s="9"/>
      <c r="L5166" s="25"/>
      <c r="M5166" s="7"/>
      <c r="N5166" s="8"/>
      <c r="O5166" s="11"/>
      <c r="P5166" s="11"/>
      <c r="Q5166" s="8"/>
      <c r="S5166" s="3"/>
      <c r="T5166" s="3"/>
      <c r="U5166" s="7"/>
      <c r="V5166" s="436"/>
      <c r="X5166" s="8"/>
      <c r="Y5166" s="8"/>
      <c r="AH5166" s="3"/>
      <c r="AI5166" s="3"/>
      <c r="AJ5166" s="3"/>
    </row>
    <row r="5167" spans="3:36" s="6" customFormat="1" ht="11.25" customHeight="1">
      <c r="C5167" s="4"/>
      <c r="D5167" s="4"/>
      <c r="E5167" s="5"/>
      <c r="G5167" s="31"/>
      <c r="I5167" s="9"/>
      <c r="J5167" s="24"/>
      <c r="K5167" s="9"/>
      <c r="L5167" s="25"/>
      <c r="M5167" s="7"/>
      <c r="N5167" s="8"/>
      <c r="O5167" s="11"/>
      <c r="P5167" s="11"/>
      <c r="Q5167" s="8"/>
      <c r="S5167" s="3"/>
      <c r="T5167" s="3"/>
      <c r="U5167" s="7"/>
      <c r="V5167" s="436"/>
      <c r="X5167" s="8"/>
      <c r="Y5167" s="8"/>
      <c r="AH5167" s="3"/>
      <c r="AI5167" s="3"/>
      <c r="AJ5167" s="3"/>
    </row>
    <row r="5168" spans="3:36" s="6" customFormat="1" ht="11.25" customHeight="1">
      <c r="C5168" s="4"/>
      <c r="D5168" s="4"/>
      <c r="E5168" s="5"/>
      <c r="G5168" s="31"/>
      <c r="I5168" s="9"/>
      <c r="J5168" s="24"/>
      <c r="K5168" s="9"/>
      <c r="L5168" s="25"/>
      <c r="M5168" s="7"/>
      <c r="N5168" s="8"/>
      <c r="O5168" s="11"/>
      <c r="P5168" s="11"/>
      <c r="Q5168" s="8"/>
      <c r="S5168" s="3"/>
      <c r="T5168" s="3"/>
      <c r="U5168" s="7"/>
      <c r="V5168" s="436"/>
      <c r="X5168" s="8"/>
      <c r="Y5168" s="8"/>
      <c r="AH5168" s="3"/>
      <c r="AI5168" s="3"/>
      <c r="AJ5168" s="3"/>
    </row>
    <row r="5169" spans="3:36" s="6" customFormat="1" ht="11.25" customHeight="1">
      <c r="C5169" s="4"/>
      <c r="D5169" s="4"/>
      <c r="E5169" s="5"/>
      <c r="G5169" s="31"/>
      <c r="I5169" s="9"/>
      <c r="J5169" s="23"/>
      <c r="K5169" s="9"/>
      <c r="L5169" s="25"/>
      <c r="M5169" s="7"/>
      <c r="N5169" s="8"/>
      <c r="O5169" s="11"/>
      <c r="P5169" s="11"/>
      <c r="Q5169" s="8"/>
      <c r="S5169" s="3"/>
      <c r="T5169" s="3"/>
      <c r="U5169" s="7"/>
      <c r="V5169" s="436"/>
      <c r="X5169" s="8"/>
      <c r="Y5169" s="8"/>
      <c r="AH5169" s="3"/>
      <c r="AI5169" s="3"/>
      <c r="AJ5169" s="3"/>
    </row>
    <row r="5170" spans="3:36" s="6" customFormat="1" ht="11.25" customHeight="1">
      <c r="C5170" s="4"/>
      <c r="D5170" s="4"/>
      <c r="E5170" s="5"/>
      <c r="G5170" s="31"/>
      <c r="I5170" s="9"/>
      <c r="J5170" s="23"/>
      <c r="K5170" s="9"/>
      <c r="L5170" s="25"/>
      <c r="M5170" s="7"/>
      <c r="N5170" s="8"/>
      <c r="O5170" s="11"/>
      <c r="P5170" s="11"/>
      <c r="Q5170" s="8"/>
      <c r="S5170" s="3"/>
      <c r="T5170" s="3"/>
      <c r="U5170" s="7"/>
      <c r="V5170" s="436"/>
      <c r="X5170" s="8"/>
      <c r="Y5170" s="8"/>
      <c r="AH5170" s="3"/>
      <c r="AI5170" s="3"/>
      <c r="AJ5170" s="3"/>
    </row>
    <row r="5171" spans="3:36" s="6" customFormat="1" ht="11.25" customHeight="1">
      <c r="C5171" s="4"/>
      <c r="D5171" s="4"/>
      <c r="E5171" s="5"/>
      <c r="G5171" s="31"/>
      <c r="I5171" s="9"/>
      <c r="J5171" s="23"/>
      <c r="K5171" s="9"/>
      <c r="L5171" s="25"/>
      <c r="M5171" s="7"/>
      <c r="N5171" s="8"/>
      <c r="O5171" s="11"/>
      <c r="P5171" s="11"/>
      <c r="Q5171" s="8"/>
      <c r="S5171" s="3"/>
      <c r="T5171" s="3"/>
      <c r="U5171" s="7"/>
      <c r="V5171" s="436"/>
      <c r="X5171" s="8"/>
      <c r="Y5171" s="8"/>
      <c r="AH5171" s="3"/>
      <c r="AI5171" s="3"/>
      <c r="AJ5171" s="3"/>
    </row>
    <row r="5172" spans="3:36" s="6" customFormat="1" ht="11.25" customHeight="1">
      <c r="C5172" s="4"/>
      <c r="D5172" s="4"/>
      <c r="E5172" s="5"/>
      <c r="G5172" s="31"/>
      <c r="I5172" s="9"/>
      <c r="J5172" s="24"/>
      <c r="K5172" s="9"/>
      <c r="L5172" s="25"/>
      <c r="M5172" s="7"/>
      <c r="N5172" s="8"/>
      <c r="O5172" s="11"/>
      <c r="P5172" s="11"/>
      <c r="Q5172" s="8"/>
      <c r="S5172" s="3"/>
      <c r="T5172" s="3"/>
      <c r="U5172" s="7"/>
      <c r="V5172" s="436"/>
      <c r="X5172" s="8"/>
      <c r="Y5172" s="8"/>
      <c r="AH5172" s="3"/>
      <c r="AI5172" s="3"/>
      <c r="AJ5172" s="3"/>
    </row>
    <row r="5173" spans="3:36" s="6" customFormat="1" ht="11.25" customHeight="1">
      <c r="C5173" s="4"/>
      <c r="D5173" s="4"/>
      <c r="E5173" s="5"/>
      <c r="G5173" s="31"/>
      <c r="I5173" s="9"/>
      <c r="J5173" s="24"/>
      <c r="K5173" s="9"/>
      <c r="L5173" s="25"/>
      <c r="M5173" s="7"/>
      <c r="N5173" s="8"/>
      <c r="O5173" s="11"/>
      <c r="P5173" s="11"/>
      <c r="Q5173" s="8"/>
      <c r="S5173" s="3"/>
      <c r="T5173" s="3"/>
      <c r="U5173" s="7"/>
      <c r="V5173" s="436"/>
      <c r="X5173" s="8"/>
      <c r="Y5173" s="8"/>
      <c r="AH5173" s="3"/>
      <c r="AI5173" s="3"/>
      <c r="AJ5173" s="3"/>
    </row>
    <row r="5174" spans="3:36" s="6" customFormat="1" ht="11.25" customHeight="1">
      <c r="C5174" s="4"/>
      <c r="D5174" s="4"/>
      <c r="E5174" s="5"/>
      <c r="G5174" s="31"/>
      <c r="I5174" s="9"/>
      <c r="J5174" s="23"/>
      <c r="K5174" s="9"/>
      <c r="L5174" s="25"/>
      <c r="M5174" s="7"/>
      <c r="N5174" s="8"/>
      <c r="O5174" s="11"/>
      <c r="P5174" s="11"/>
      <c r="Q5174" s="8"/>
      <c r="S5174" s="3"/>
      <c r="T5174" s="3"/>
      <c r="U5174" s="7"/>
      <c r="V5174" s="436"/>
      <c r="X5174" s="8"/>
      <c r="Y5174" s="8"/>
      <c r="AH5174" s="3"/>
      <c r="AI5174" s="3"/>
      <c r="AJ5174" s="3"/>
    </row>
    <row r="5175" spans="3:36" s="6" customFormat="1" ht="11.25" customHeight="1">
      <c r="C5175" s="4"/>
      <c r="D5175" s="4"/>
      <c r="E5175" s="5"/>
      <c r="G5175" s="31"/>
      <c r="I5175" s="9"/>
      <c r="J5175" s="23"/>
      <c r="K5175" s="9"/>
      <c r="L5175" s="25"/>
      <c r="M5175" s="7"/>
      <c r="N5175" s="8"/>
      <c r="O5175" s="11"/>
      <c r="P5175" s="11"/>
      <c r="Q5175" s="8"/>
      <c r="S5175" s="3"/>
      <c r="T5175" s="3"/>
      <c r="U5175" s="7"/>
      <c r="V5175" s="436"/>
      <c r="X5175" s="8"/>
      <c r="Y5175" s="8"/>
      <c r="AH5175" s="3"/>
      <c r="AI5175" s="3"/>
      <c r="AJ5175" s="3"/>
    </row>
    <row r="5176" spans="3:36" s="6" customFormat="1" ht="11.25" customHeight="1">
      <c r="C5176" s="4"/>
      <c r="D5176" s="4"/>
      <c r="E5176" s="5"/>
      <c r="G5176" s="31"/>
      <c r="I5176" s="9"/>
      <c r="J5176" s="23"/>
      <c r="K5176" s="9"/>
      <c r="L5176" s="25"/>
      <c r="M5176" s="7"/>
      <c r="N5176" s="8"/>
      <c r="O5176" s="11"/>
      <c r="P5176" s="11"/>
      <c r="Q5176" s="8"/>
      <c r="S5176" s="3"/>
      <c r="T5176" s="3"/>
      <c r="U5176" s="7"/>
      <c r="V5176" s="436"/>
      <c r="X5176" s="8"/>
      <c r="Y5176" s="8"/>
      <c r="AH5176" s="3"/>
      <c r="AI5176" s="3"/>
      <c r="AJ5176" s="3"/>
    </row>
    <row r="5177" spans="3:36" s="6" customFormat="1" ht="11.25" customHeight="1">
      <c r="C5177" s="4"/>
      <c r="D5177" s="4"/>
      <c r="E5177" s="5"/>
      <c r="G5177" s="31"/>
      <c r="I5177" s="9"/>
      <c r="J5177" s="23"/>
      <c r="K5177" s="9"/>
      <c r="L5177" s="25"/>
      <c r="M5177" s="7"/>
      <c r="N5177" s="8"/>
      <c r="O5177" s="11"/>
      <c r="P5177" s="11"/>
      <c r="Q5177" s="8"/>
      <c r="S5177" s="3"/>
      <c r="T5177" s="3"/>
      <c r="U5177" s="7"/>
      <c r="V5177" s="436"/>
      <c r="X5177" s="8"/>
      <c r="Y5177" s="8"/>
      <c r="AH5177" s="3"/>
      <c r="AI5177" s="3"/>
      <c r="AJ5177" s="3"/>
    </row>
    <row r="5178" spans="3:36" s="6" customFormat="1" ht="11.25" customHeight="1">
      <c r="C5178" s="4"/>
      <c r="D5178" s="4"/>
      <c r="E5178" s="5"/>
      <c r="G5178" s="31"/>
      <c r="I5178" s="9"/>
      <c r="J5178" s="23"/>
      <c r="K5178" s="9"/>
      <c r="L5178" s="25"/>
      <c r="M5178" s="7"/>
      <c r="N5178" s="8"/>
      <c r="O5178" s="11"/>
      <c r="P5178" s="11"/>
      <c r="Q5178" s="8"/>
      <c r="S5178" s="3"/>
      <c r="T5178" s="3"/>
      <c r="U5178" s="7"/>
      <c r="V5178" s="436"/>
      <c r="X5178" s="8"/>
      <c r="Y5178" s="8"/>
      <c r="AH5178" s="3"/>
      <c r="AI5178" s="3"/>
      <c r="AJ5178" s="3"/>
    </row>
    <row r="5179" spans="3:36" s="6" customFormat="1" ht="11.25" customHeight="1">
      <c r="C5179" s="4"/>
      <c r="D5179" s="4"/>
      <c r="E5179" s="5"/>
      <c r="G5179" s="31"/>
      <c r="I5179" s="9"/>
      <c r="J5179" s="23"/>
      <c r="K5179" s="9"/>
      <c r="L5179" s="25"/>
      <c r="M5179" s="7"/>
      <c r="N5179" s="8"/>
      <c r="O5179" s="11"/>
      <c r="P5179" s="11"/>
      <c r="Q5179" s="8"/>
      <c r="S5179" s="3"/>
      <c r="T5179" s="3"/>
      <c r="U5179" s="7"/>
      <c r="V5179" s="436"/>
      <c r="X5179" s="8"/>
      <c r="Y5179" s="8"/>
      <c r="AH5179" s="3"/>
      <c r="AI5179" s="3"/>
      <c r="AJ5179" s="3"/>
    </row>
    <row r="5180" spans="3:36" s="6" customFormat="1" ht="11.25" customHeight="1">
      <c r="C5180" s="4"/>
      <c r="D5180" s="4"/>
      <c r="E5180" s="5"/>
      <c r="G5180" s="31"/>
      <c r="I5180" s="9"/>
      <c r="J5180" s="37"/>
      <c r="L5180" s="25"/>
      <c r="M5180" s="7"/>
      <c r="N5180" s="8"/>
      <c r="O5180" s="11"/>
      <c r="P5180" s="11"/>
      <c r="Q5180" s="8"/>
      <c r="S5180" s="3"/>
      <c r="T5180" s="3"/>
      <c r="U5180" s="7"/>
      <c r="V5180" s="436"/>
      <c r="X5180" s="8"/>
      <c r="Y5180" s="8"/>
      <c r="AH5180" s="3"/>
      <c r="AI5180" s="3"/>
      <c r="AJ5180" s="3"/>
    </row>
    <row r="5181" spans="3:36" s="6" customFormat="1" ht="11.25" customHeight="1">
      <c r="C5181" s="4"/>
      <c r="D5181" s="4"/>
      <c r="E5181" s="5"/>
      <c r="G5181" s="31"/>
      <c r="I5181" s="9"/>
      <c r="J5181" s="37"/>
      <c r="L5181" s="25"/>
      <c r="M5181" s="7"/>
      <c r="N5181" s="8"/>
      <c r="O5181" s="11"/>
      <c r="P5181" s="11"/>
      <c r="Q5181" s="8"/>
      <c r="S5181" s="3"/>
      <c r="T5181" s="3"/>
      <c r="U5181" s="7"/>
      <c r="V5181" s="436"/>
      <c r="X5181" s="8"/>
      <c r="Y5181" s="8"/>
      <c r="AH5181" s="3"/>
      <c r="AI5181" s="3"/>
      <c r="AJ5181" s="3"/>
    </row>
    <row r="5182" spans="3:36" s="6" customFormat="1" ht="11.25" customHeight="1">
      <c r="C5182" s="4"/>
      <c r="D5182" s="4"/>
      <c r="E5182" s="5"/>
      <c r="G5182" s="31"/>
      <c r="I5182" s="9"/>
      <c r="J5182" s="37"/>
      <c r="L5182" s="25"/>
      <c r="M5182" s="7"/>
      <c r="N5182" s="8"/>
      <c r="O5182" s="11"/>
      <c r="P5182" s="11"/>
      <c r="Q5182" s="8"/>
      <c r="S5182" s="3"/>
      <c r="T5182" s="3"/>
      <c r="U5182" s="7"/>
      <c r="V5182" s="436"/>
      <c r="X5182" s="8"/>
      <c r="Y5182" s="8"/>
      <c r="AH5182" s="3"/>
      <c r="AI5182" s="3"/>
      <c r="AJ5182" s="3"/>
    </row>
    <row r="5183" spans="3:36" s="6" customFormat="1" ht="11.25" customHeight="1">
      <c r="C5183" s="4"/>
      <c r="D5183" s="4"/>
      <c r="E5183" s="5"/>
      <c r="G5183" s="31"/>
      <c r="I5183" s="9"/>
      <c r="J5183" s="37"/>
      <c r="L5183" s="25"/>
      <c r="M5183" s="7"/>
      <c r="N5183" s="8"/>
      <c r="O5183" s="11"/>
      <c r="P5183" s="11"/>
      <c r="Q5183" s="8"/>
      <c r="S5183" s="3"/>
      <c r="T5183" s="3"/>
      <c r="U5183" s="7"/>
      <c r="V5183" s="436"/>
      <c r="X5183" s="8"/>
      <c r="Y5183" s="8"/>
      <c r="AH5183" s="3"/>
      <c r="AI5183" s="3"/>
      <c r="AJ5183" s="3"/>
    </row>
    <row r="5184" spans="3:36" s="6" customFormat="1" ht="11.25" customHeight="1">
      <c r="C5184" s="4"/>
      <c r="D5184" s="4"/>
      <c r="E5184" s="5"/>
      <c r="G5184" s="31"/>
      <c r="I5184" s="9"/>
      <c r="J5184" s="37"/>
      <c r="L5184" s="25"/>
      <c r="M5184" s="7"/>
      <c r="N5184" s="8"/>
      <c r="O5184" s="11"/>
      <c r="P5184" s="11"/>
      <c r="Q5184" s="8"/>
      <c r="S5184" s="3"/>
      <c r="T5184" s="3"/>
      <c r="U5184" s="7"/>
      <c r="V5184" s="436"/>
      <c r="X5184" s="8"/>
      <c r="Y5184" s="8"/>
      <c r="AH5184" s="3"/>
      <c r="AI5184" s="3"/>
      <c r="AJ5184" s="3"/>
    </row>
    <row r="5185" spans="3:36" s="6" customFormat="1" ht="11.25" customHeight="1">
      <c r="C5185" s="4"/>
      <c r="D5185" s="4"/>
      <c r="E5185" s="5"/>
      <c r="G5185" s="31"/>
      <c r="I5185" s="9"/>
      <c r="J5185" s="37"/>
      <c r="L5185" s="25"/>
      <c r="M5185" s="7"/>
      <c r="N5185" s="8"/>
      <c r="O5185" s="11"/>
      <c r="P5185" s="11"/>
      <c r="Q5185" s="8"/>
      <c r="S5185" s="3"/>
      <c r="T5185" s="3"/>
      <c r="U5185" s="7"/>
      <c r="V5185" s="436"/>
      <c r="X5185" s="8"/>
      <c r="Y5185" s="8"/>
      <c r="AH5185" s="3"/>
      <c r="AI5185" s="3"/>
      <c r="AJ5185" s="3"/>
    </row>
    <row r="5186" spans="3:36" s="6" customFormat="1" ht="11.25" customHeight="1">
      <c r="C5186" s="4"/>
      <c r="D5186" s="4"/>
      <c r="E5186" s="5"/>
      <c r="G5186" s="31"/>
      <c r="I5186" s="9"/>
      <c r="J5186" s="37"/>
      <c r="L5186" s="25"/>
      <c r="M5186" s="7"/>
      <c r="N5186" s="8"/>
      <c r="O5186" s="11"/>
      <c r="P5186" s="11"/>
      <c r="Q5186" s="8"/>
      <c r="S5186" s="3"/>
      <c r="T5186" s="3"/>
      <c r="U5186" s="7"/>
      <c r="V5186" s="436"/>
      <c r="X5186" s="8"/>
      <c r="Y5186" s="8"/>
      <c r="AH5186" s="3"/>
      <c r="AI5186" s="3"/>
      <c r="AJ5186" s="3"/>
    </row>
    <row r="5187" spans="3:36" s="6" customFormat="1" ht="11.25" customHeight="1">
      <c r="C5187" s="4"/>
      <c r="D5187" s="4"/>
      <c r="E5187" s="5"/>
      <c r="G5187" s="31"/>
      <c r="I5187" s="9"/>
      <c r="J5187" s="3"/>
      <c r="L5187" s="25"/>
      <c r="M5187" s="7"/>
      <c r="N5187" s="8"/>
      <c r="O5187" s="11"/>
      <c r="P5187" s="11"/>
      <c r="Q5187" s="8"/>
      <c r="S5187" s="3"/>
      <c r="T5187" s="3"/>
      <c r="U5187" s="7"/>
      <c r="V5187" s="436"/>
      <c r="X5187" s="8"/>
      <c r="Y5187" s="8"/>
      <c r="AH5187" s="3"/>
      <c r="AI5187" s="3"/>
      <c r="AJ5187" s="3"/>
    </row>
    <row r="5188" spans="3:36" s="6" customFormat="1" ht="11.25" customHeight="1">
      <c r="C5188" s="4"/>
      <c r="D5188" s="4"/>
      <c r="E5188" s="5"/>
      <c r="G5188" s="31"/>
      <c r="I5188" s="9"/>
      <c r="J5188" s="3"/>
      <c r="L5188" s="25"/>
      <c r="M5188" s="7"/>
      <c r="N5188" s="8"/>
      <c r="O5188" s="11"/>
      <c r="P5188" s="11"/>
      <c r="Q5188" s="8"/>
      <c r="S5188" s="3"/>
      <c r="T5188" s="3"/>
      <c r="U5188" s="7"/>
      <c r="V5188" s="436"/>
      <c r="X5188" s="8"/>
      <c r="Y5188" s="8"/>
      <c r="AH5188" s="3"/>
      <c r="AI5188" s="3"/>
      <c r="AJ5188" s="3"/>
    </row>
    <row r="5189" spans="3:36" s="6" customFormat="1" ht="11.25" customHeight="1">
      <c r="C5189" s="4"/>
      <c r="D5189" s="4"/>
      <c r="E5189" s="5"/>
      <c r="G5189" s="31"/>
      <c r="I5189" s="9"/>
      <c r="J5189" s="3"/>
      <c r="L5189" s="25"/>
      <c r="M5189" s="7"/>
      <c r="N5189" s="8"/>
      <c r="O5189" s="11"/>
      <c r="P5189" s="11"/>
      <c r="Q5189" s="8"/>
      <c r="S5189" s="3"/>
      <c r="T5189" s="3"/>
      <c r="U5189" s="7"/>
      <c r="V5189" s="436"/>
      <c r="X5189" s="8"/>
      <c r="Y5189" s="8"/>
      <c r="AH5189" s="3"/>
      <c r="AI5189" s="3"/>
      <c r="AJ5189" s="3"/>
    </row>
    <row r="5190" spans="3:36" s="6" customFormat="1" ht="11.25" customHeight="1">
      <c r="C5190" s="4"/>
      <c r="D5190" s="4"/>
      <c r="E5190" s="5"/>
      <c r="G5190" s="31"/>
      <c r="I5190" s="9"/>
      <c r="J5190" s="3"/>
      <c r="L5190" s="25"/>
      <c r="M5190" s="7"/>
      <c r="N5190" s="8"/>
      <c r="O5190" s="11"/>
      <c r="P5190" s="11"/>
      <c r="Q5190" s="8"/>
      <c r="S5190" s="3"/>
      <c r="T5190" s="3"/>
      <c r="U5190" s="7"/>
      <c r="V5190" s="436"/>
      <c r="X5190" s="8"/>
      <c r="Y5190" s="8"/>
      <c r="AH5190" s="3"/>
      <c r="AI5190" s="3"/>
      <c r="AJ5190" s="3"/>
    </row>
    <row r="5191" spans="3:36" s="6" customFormat="1" ht="11.25" customHeight="1">
      <c r="C5191" s="4"/>
      <c r="D5191" s="4"/>
      <c r="E5191" s="5"/>
      <c r="G5191" s="31"/>
      <c r="I5191" s="9"/>
      <c r="J5191" s="3"/>
      <c r="L5191" s="25"/>
      <c r="M5191" s="7"/>
      <c r="N5191" s="8"/>
      <c r="O5191" s="11"/>
      <c r="P5191" s="11"/>
      <c r="Q5191" s="8"/>
      <c r="S5191" s="3"/>
      <c r="T5191" s="3"/>
      <c r="U5191" s="7"/>
      <c r="V5191" s="436"/>
      <c r="X5191" s="8"/>
      <c r="Y5191" s="8"/>
      <c r="AH5191" s="3"/>
      <c r="AI5191" s="3"/>
      <c r="AJ5191" s="3"/>
    </row>
    <row r="5192" spans="3:36" s="6" customFormat="1" ht="11.25" customHeight="1">
      <c r="C5192" s="4"/>
      <c r="D5192" s="4"/>
      <c r="E5192" s="5"/>
      <c r="G5192" s="31"/>
      <c r="I5192" s="9"/>
      <c r="J5192" s="37"/>
      <c r="L5192" s="25"/>
      <c r="M5192" s="7"/>
      <c r="N5192" s="8"/>
      <c r="O5192" s="11"/>
      <c r="P5192" s="11"/>
      <c r="Q5192" s="8"/>
      <c r="S5192" s="3"/>
      <c r="T5192" s="3"/>
      <c r="U5192" s="7"/>
      <c r="V5192" s="436"/>
      <c r="X5192" s="8"/>
      <c r="Y5192" s="8"/>
      <c r="AH5192" s="3"/>
      <c r="AI5192" s="3"/>
      <c r="AJ5192" s="3"/>
    </row>
    <row r="5193" spans="3:36" s="6" customFormat="1" ht="11.25" customHeight="1">
      <c r="C5193" s="4"/>
      <c r="D5193" s="4"/>
      <c r="E5193" s="5"/>
      <c r="G5193" s="31"/>
      <c r="I5193" s="9"/>
      <c r="J5193" s="37"/>
      <c r="L5193" s="25"/>
      <c r="M5193" s="7"/>
      <c r="N5193" s="8"/>
      <c r="O5193" s="11"/>
      <c r="P5193" s="11"/>
      <c r="Q5193" s="8"/>
      <c r="S5193" s="3"/>
      <c r="T5193" s="3"/>
      <c r="U5193" s="7"/>
      <c r="V5193" s="436"/>
      <c r="X5193" s="8"/>
      <c r="Y5193" s="8"/>
      <c r="AH5193" s="3"/>
      <c r="AI5193" s="3"/>
      <c r="AJ5193" s="3"/>
    </row>
    <row r="5194" spans="3:36" s="6" customFormat="1" ht="11.25" customHeight="1">
      <c r="C5194" s="4"/>
      <c r="D5194" s="4"/>
      <c r="E5194" s="5"/>
      <c r="G5194" s="31"/>
      <c r="I5194" s="9"/>
      <c r="J5194" s="37"/>
      <c r="L5194" s="25"/>
      <c r="M5194" s="7"/>
      <c r="N5194" s="8"/>
      <c r="O5194" s="11"/>
      <c r="P5194" s="11"/>
      <c r="Q5194" s="8"/>
      <c r="S5194" s="3"/>
      <c r="T5194" s="3"/>
      <c r="U5194" s="7"/>
      <c r="V5194" s="436"/>
      <c r="X5194" s="8"/>
      <c r="Y5194" s="8"/>
      <c r="AH5194" s="3"/>
      <c r="AI5194" s="3"/>
      <c r="AJ5194" s="3"/>
    </row>
    <row r="5195" spans="3:36" s="6" customFormat="1" ht="11.25" customHeight="1">
      <c r="C5195" s="4"/>
      <c r="D5195" s="4"/>
      <c r="E5195" s="5"/>
      <c r="G5195" s="31"/>
      <c r="I5195" s="9"/>
      <c r="J5195" s="37"/>
      <c r="L5195" s="25"/>
      <c r="M5195" s="7"/>
      <c r="N5195" s="8"/>
      <c r="O5195" s="11"/>
      <c r="P5195" s="11"/>
      <c r="Q5195" s="8"/>
      <c r="S5195" s="3"/>
      <c r="T5195" s="3"/>
      <c r="U5195" s="7"/>
      <c r="V5195" s="436"/>
      <c r="X5195" s="8"/>
      <c r="Y5195" s="8"/>
      <c r="AH5195" s="3"/>
      <c r="AI5195" s="3"/>
      <c r="AJ5195" s="3"/>
    </row>
    <row r="5196" spans="3:36" s="6" customFormat="1" ht="11.25" customHeight="1">
      <c r="C5196" s="4"/>
      <c r="D5196" s="4"/>
      <c r="E5196" s="5"/>
      <c r="G5196" s="31"/>
      <c r="I5196" s="9"/>
      <c r="J5196" s="37"/>
      <c r="L5196" s="25"/>
      <c r="M5196" s="7"/>
      <c r="N5196" s="8"/>
      <c r="O5196" s="11"/>
      <c r="P5196" s="11"/>
      <c r="Q5196" s="8"/>
      <c r="S5196" s="3"/>
      <c r="T5196" s="3"/>
      <c r="U5196" s="7"/>
      <c r="V5196" s="436"/>
      <c r="X5196" s="8"/>
      <c r="Y5196" s="8"/>
      <c r="AH5196" s="3"/>
      <c r="AI5196" s="3"/>
      <c r="AJ5196" s="3"/>
    </row>
    <row r="5197" spans="3:36" s="6" customFormat="1" ht="11.25" customHeight="1">
      <c r="C5197" s="4"/>
      <c r="D5197" s="4"/>
      <c r="E5197" s="5"/>
      <c r="G5197" s="31"/>
      <c r="I5197" s="9"/>
      <c r="J5197" s="37"/>
      <c r="L5197" s="25"/>
      <c r="M5197" s="7"/>
      <c r="N5197" s="8"/>
      <c r="O5197" s="11"/>
      <c r="P5197" s="11"/>
      <c r="Q5197" s="8"/>
      <c r="S5197" s="3"/>
      <c r="T5197" s="3"/>
      <c r="U5197" s="7"/>
      <c r="V5197" s="436"/>
      <c r="X5197" s="8"/>
      <c r="Y5197" s="8"/>
      <c r="AH5197" s="3"/>
      <c r="AI5197" s="3"/>
      <c r="AJ5197" s="3"/>
    </row>
    <row r="5198" spans="3:36" s="6" customFormat="1" ht="11.25" customHeight="1">
      <c r="C5198" s="4"/>
      <c r="D5198" s="4"/>
      <c r="E5198" s="5"/>
      <c r="G5198" s="31"/>
      <c r="I5198" s="9"/>
      <c r="J5198" s="37"/>
      <c r="L5198" s="25"/>
      <c r="M5198" s="7"/>
      <c r="N5198" s="8"/>
      <c r="O5198" s="11"/>
      <c r="P5198" s="11"/>
      <c r="Q5198" s="8"/>
      <c r="S5198" s="3"/>
      <c r="T5198" s="3"/>
      <c r="U5198" s="7"/>
      <c r="V5198" s="436"/>
      <c r="X5198" s="8"/>
      <c r="Y5198" s="8"/>
      <c r="AH5198" s="3"/>
      <c r="AI5198" s="3"/>
      <c r="AJ5198" s="3"/>
    </row>
    <row r="5199" spans="3:36" s="6" customFormat="1" ht="11.25" customHeight="1">
      <c r="C5199" s="4"/>
      <c r="D5199" s="4"/>
      <c r="E5199" s="5"/>
      <c r="G5199" s="31"/>
      <c r="I5199" s="9"/>
      <c r="J5199" s="37"/>
      <c r="L5199" s="25"/>
      <c r="M5199" s="7"/>
      <c r="N5199" s="8"/>
      <c r="O5199" s="11"/>
      <c r="P5199" s="11"/>
      <c r="Q5199" s="8"/>
      <c r="S5199" s="3"/>
      <c r="T5199" s="3"/>
      <c r="U5199" s="7"/>
      <c r="V5199" s="436"/>
      <c r="X5199" s="8"/>
      <c r="Y5199" s="8"/>
      <c r="AH5199" s="3"/>
      <c r="AI5199" s="3"/>
      <c r="AJ5199" s="3"/>
    </row>
    <row r="5200" spans="3:36" s="6" customFormat="1" ht="11.25" customHeight="1">
      <c r="C5200" s="4"/>
      <c r="D5200" s="4"/>
      <c r="E5200" s="5"/>
      <c r="G5200" s="31"/>
      <c r="I5200" s="9"/>
      <c r="J5200" s="37"/>
      <c r="L5200" s="25"/>
      <c r="M5200" s="7"/>
      <c r="N5200" s="8"/>
      <c r="O5200" s="11"/>
      <c r="P5200" s="11"/>
      <c r="Q5200" s="8"/>
      <c r="S5200" s="3"/>
      <c r="T5200" s="3"/>
      <c r="U5200" s="7"/>
      <c r="V5200" s="436"/>
      <c r="X5200" s="8"/>
      <c r="Y5200" s="8"/>
      <c r="AH5200" s="3"/>
      <c r="AI5200" s="3"/>
      <c r="AJ5200" s="3"/>
    </row>
    <row r="5201" spans="3:36" s="6" customFormat="1" ht="11.25" customHeight="1">
      <c r="C5201" s="4"/>
      <c r="D5201" s="4"/>
      <c r="E5201" s="5"/>
      <c r="G5201" s="31"/>
      <c r="I5201" s="9"/>
      <c r="J5201" s="37"/>
      <c r="L5201" s="25"/>
      <c r="M5201" s="7"/>
      <c r="N5201" s="8"/>
      <c r="O5201" s="11"/>
      <c r="P5201" s="11"/>
      <c r="Q5201" s="8"/>
      <c r="S5201" s="3"/>
      <c r="T5201" s="3"/>
      <c r="U5201" s="7"/>
      <c r="V5201" s="436"/>
      <c r="X5201" s="8"/>
      <c r="Y5201" s="8"/>
      <c r="AH5201" s="3"/>
      <c r="AI5201" s="3"/>
      <c r="AJ5201" s="3"/>
    </row>
    <row r="5202" spans="3:36" s="6" customFormat="1" ht="11.25" customHeight="1">
      <c r="C5202" s="4"/>
      <c r="D5202" s="4"/>
      <c r="E5202" s="5"/>
      <c r="G5202" s="31"/>
      <c r="I5202" s="9"/>
      <c r="J5202" s="37"/>
      <c r="L5202" s="25"/>
      <c r="M5202" s="47"/>
      <c r="N5202" s="8"/>
      <c r="O5202" s="11"/>
      <c r="P5202" s="11"/>
      <c r="Q5202" s="8"/>
      <c r="S5202" s="3"/>
      <c r="T5202" s="3"/>
      <c r="U5202" s="7"/>
      <c r="V5202" s="436"/>
      <c r="X5202" s="8"/>
      <c r="Y5202" s="8"/>
      <c r="AH5202" s="3"/>
      <c r="AI5202" s="3"/>
      <c r="AJ5202" s="3"/>
    </row>
    <row r="5203" spans="3:36" s="6" customFormat="1" ht="11.25" customHeight="1">
      <c r="C5203" s="4"/>
      <c r="D5203" s="4"/>
      <c r="E5203" s="5"/>
      <c r="G5203" s="31"/>
      <c r="I5203" s="9"/>
      <c r="J5203" s="37"/>
      <c r="L5203" s="25"/>
      <c r="M5203" s="7"/>
      <c r="N5203" s="8"/>
      <c r="O5203" s="11"/>
      <c r="P5203" s="11"/>
      <c r="Q5203" s="8"/>
      <c r="S5203" s="3"/>
      <c r="T5203" s="3"/>
      <c r="U5203" s="7"/>
      <c r="V5203" s="436"/>
      <c r="X5203" s="8"/>
      <c r="Y5203" s="8"/>
      <c r="AH5203" s="3"/>
      <c r="AI5203" s="3"/>
      <c r="AJ5203" s="3"/>
    </row>
    <row r="5204" spans="3:36" s="6" customFormat="1" ht="11.25" customHeight="1">
      <c r="C5204" s="4"/>
      <c r="D5204" s="4"/>
      <c r="E5204" s="5"/>
      <c r="G5204" s="31"/>
      <c r="I5204" s="9"/>
      <c r="J5204" s="37"/>
      <c r="L5204" s="25"/>
      <c r="M5204" s="7"/>
      <c r="N5204" s="8"/>
      <c r="O5204" s="11"/>
      <c r="P5204" s="11"/>
      <c r="Q5204" s="8"/>
      <c r="S5204" s="3"/>
      <c r="T5204" s="3"/>
      <c r="U5204" s="7"/>
      <c r="V5204" s="436"/>
      <c r="X5204" s="8"/>
      <c r="Y5204" s="8"/>
      <c r="AH5204" s="3"/>
      <c r="AI5204" s="3"/>
      <c r="AJ5204" s="3"/>
    </row>
    <row r="5205" spans="3:36" s="6" customFormat="1" ht="11.25" customHeight="1">
      <c r="C5205" s="4"/>
      <c r="D5205" s="4"/>
      <c r="E5205" s="5"/>
      <c r="G5205" s="31"/>
      <c r="I5205" s="9"/>
      <c r="J5205" s="37"/>
      <c r="L5205" s="25"/>
      <c r="M5205" s="7"/>
      <c r="N5205" s="8"/>
      <c r="O5205" s="11"/>
      <c r="P5205" s="11"/>
      <c r="Q5205" s="8"/>
      <c r="S5205" s="3"/>
      <c r="T5205" s="3"/>
      <c r="U5205" s="7"/>
      <c r="V5205" s="436"/>
      <c r="X5205" s="8"/>
      <c r="Y5205" s="8"/>
      <c r="AH5205" s="3"/>
      <c r="AI5205" s="3"/>
      <c r="AJ5205" s="3"/>
    </row>
    <row r="5206" spans="3:36" s="6" customFormat="1" ht="11.25" customHeight="1">
      <c r="C5206" s="4"/>
      <c r="D5206" s="4"/>
      <c r="E5206" s="5"/>
      <c r="G5206" s="31"/>
      <c r="I5206" s="9"/>
      <c r="J5206" s="37"/>
      <c r="L5206" s="25"/>
      <c r="M5206" s="7"/>
      <c r="N5206" s="8"/>
      <c r="O5206" s="11"/>
      <c r="P5206" s="11"/>
      <c r="Q5206" s="8"/>
      <c r="S5206" s="3"/>
      <c r="T5206" s="3"/>
      <c r="U5206" s="7"/>
      <c r="V5206" s="436"/>
      <c r="X5206" s="8"/>
      <c r="Y5206" s="8"/>
      <c r="AH5206" s="3"/>
      <c r="AI5206" s="3"/>
      <c r="AJ5206" s="3"/>
    </row>
    <row r="5207" spans="3:36" s="6" customFormat="1" ht="11.25" customHeight="1">
      <c r="C5207" s="4"/>
      <c r="D5207" s="4"/>
      <c r="E5207" s="5"/>
      <c r="G5207" s="31"/>
      <c r="I5207" s="9"/>
      <c r="J5207" s="37"/>
      <c r="L5207" s="25"/>
      <c r="M5207" s="7"/>
      <c r="N5207" s="8"/>
      <c r="O5207" s="11"/>
      <c r="P5207" s="11"/>
      <c r="Q5207" s="8"/>
      <c r="S5207" s="3"/>
      <c r="T5207" s="3"/>
      <c r="U5207" s="7"/>
      <c r="V5207" s="436"/>
      <c r="X5207" s="8"/>
      <c r="Y5207" s="8"/>
      <c r="AH5207" s="3"/>
      <c r="AI5207" s="3"/>
      <c r="AJ5207" s="3"/>
    </row>
    <row r="5208" spans="3:36" s="6" customFormat="1" ht="11.25" customHeight="1">
      <c r="C5208" s="4"/>
      <c r="D5208" s="4"/>
      <c r="E5208" s="5"/>
      <c r="G5208" s="31"/>
      <c r="I5208" s="9"/>
      <c r="J5208" s="37"/>
      <c r="L5208" s="25"/>
      <c r="M5208" s="7"/>
      <c r="N5208" s="8"/>
      <c r="O5208" s="11"/>
      <c r="P5208" s="11"/>
      <c r="Q5208" s="8"/>
      <c r="S5208" s="3"/>
      <c r="T5208" s="3"/>
      <c r="U5208" s="7"/>
      <c r="V5208" s="436"/>
      <c r="X5208" s="8"/>
      <c r="Y5208" s="8"/>
      <c r="AH5208" s="3"/>
      <c r="AI5208" s="3"/>
      <c r="AJ5208" s="3"/>
    </row>
    <row r="5209" spans="3:36" s="6" customFormat="1" ht="11.25" customHeight="1">
      <c r="C5209" s="4"/>
      <c r="D5209" s="4"/>
      <c r="E5209" s="5"/>
      <c r="G5209" s="31"/>
      <c r="I5209" s="9"/>
      <c r="J5209" s="37"/>
      <c r="L5209" s="25"/>
      <c r="M5209" s="7"/>
      <c r="N5209" s="8"/>
      <c r="O5209" s="11"/>
      <c r="P5209" s="11"/>
      <c r="Q5209" s="8"/>
      <c r="S5209" s="3"/>
      <c r="T5209" s="3"/>
      <c r="U5209" s="7"/>
      <c r="V5209" s="436"/>
      <c r="X5209" s="8"/>
      <c r="Y5209" s="8"/>
      <c r="AH5209" s="3"/>
      <c r="AI5209" s="3"/>
      <c r="AJ5209" s="3"/>
    </row>
    <row r="5210" spans="3:36" s="6" customFormat="1" ht="11.25" customHeight="1">
      <c r="C5210" s="4"/>
      <c r="D5210" s="4"/>
      <c r="E5210" s="5"/>
      <c r="G5210" s="31"/>
      <c r="I5210" s="9"/>
      <c r="J5210" s="37"/>
      <c r="L5210" s="25"/>
      <c r="M5210" s="7"/>
      <c r="N5210" s="8"/>
      <c r="O5210" s="11"/>
      <c r="P5210" s="11"/>
      <c r="Q5210" s="8"/>
      <c r="S5210" s="3"/>
      <c r="T5210" s="3"/>
      <c r="U5210" s="7"/>
      <c r="V5210" s="436"/>
      <c r="X5210" s="8"/>
      <c r="Y5210" s="8"/>
      <c r="AH5210" s="3"/>
      <c r="AI5210" s="3"/>
      <c r="AJ5210" s="3"/>
    </row>
    <row r="5211" spans="3:36" s="6" customFormat="1" ht="11.25" customHeight="1">
      <c r="C5211" s="4"/>
      <c r="D5211" s="4"/>
      <c r="E5211" s="5"/>
      <c r="G5211" s="31"/>
      <c r="I5211" s="9"/>
      <c r="J5211" s="37"/>
      <c r="L5211" s="25"/>
      <c r="M5211" s="7"/>
      <c r="N5211" s="8"/>
      <c r="O5211" s="11"/>
      <c r="P5211" s="11"/>
      <c r="Q5211" s="8"/>
      <c r="S5211" s="3"/>
      <c r="T5211" s="3"/>
      <c r="U5211" s="7"/>
      <c r="V5211" s="436"/>
      <c r="X5211" s="8"/>
      <c r="Y5211" s="8"/>
      <c r="AH5211" s="3"/>
      <c r="AI5211" s="3"/>
      <c r="AJ5211" s="3"/>
    </row>
    <row r="5212" spans="3:36" s="6" customFormat="1" ht="11.25" customHeight="1">
      <c r="C5212" s="4"/>
      <c r="D5212" s="4"/>
      <c r="E5212" s="5"/>
      <c r="G5212" s="31"/>
      <c r="I5212" s="9"/>
      <c r="J5212" s="37"/>
      <c r="L5212" s="25"/>
      <c r="M5212" s="7"/>
      <c r="N5212" s="8"/>
      <c r="O5212" s="11"/>
      <c r="P5212" s="11"/>
      <c r="Q5212" s="8"/>
      <c r="S5212" s="3"/>
      <c r="T5212" s="3"/>
      <c r="U5212" s="7"/>
      <c r="V5212" s="436"/>
      <c r="X5212" s="8"/>
      <c r="Y5212" s="8"/>
      <c r="AH5212" s="3"/>
      <c r="AI5212" s="3"/>
      <c r="AJ5212" s="3"/>
    </row>
    <row r="5213" spans="3:36" s="6" customFormat="1" ht="11.25" customHeight="1">
      <c r="C5213" s="4"/>
      <c r="D5213" s="4"/>
      <c r="E5213" s="5"/>
      <c r="G5213" s="31"/>
      <c r="I5213" s="9"/>
      <c r="J5213" s="37"/>
      <c r="L5213" s="25"/>
      <c r="M5213" s="7"/>
      <c r="N5213" s="8"/>
      <c r="O5213" s="11"/>
      <c r="P5213" s="11"/>
      <c r="Q5213" s="8"/>
      <c r="S5213" s="3"/>
      <c r="T5213" s="3"/>
      <c r="U5213" s="7"/>
      <c r="V5213" s="436"/>
      <c r="X5213" s="8"/>
      <c r="Y5213" s="8"/>
      <c r="AH5213" s="3"/>
      <c r="AI5213" s="3"/>
      <c r="AJ5213" s="3"/>
    </row>
    <row r="5214" spans="3:36" s="6" customFormat="1" ht="11.25" customHeight="1">
      <c r="C5214" s="4"/>
      <c r="D5214" s="4"/>
      <c r="E5214" s="5"/>
      <c r="G5214" s="31"/>
      <c r="I5214" s="9"/>
      <c r="J5214" s="37"/>
      <c r="L5214" s="25"/>
      <c r="M5214" s="7"/>
      <c r="N5214" s="8"/>
      <c r="O5214" s="11"/>
      <c r="P5214" s="11"/>
      <c r="Q5214" s="8"/>
      <c r="S5214" s="3"/>
      <c r="T5214" s="3"/>
      <c r="U5214" s="7"/>
      <c r="V5214" s="436"/>
      <c r="X5214" s="8"/>
      <c r="Y5214" s="8"/>
      <c r="AH5214" s="3"/>
      <c r="AI5214" s="3"/>
      <c r="AJ5214" s="3"/>
    </row>
    <row r="5215" spans="3:36" s="6" customFormat="1" ht="11.25" customHeight="1">
      <c r="C5215" s="4"/>
      <c r="D5215" s="4"/>
      <c r="E5215" s="5"/>
      <c r="G5215" s="31"/>
      <c r="I5215" s="9"/>
      <c r="J5215" s="37"/>
      <c r="L5215" s="25"/>
      <c r="M5215" s="7"/>
      <c r="N5215" s="8"/>
      <c r="O5215" s="11"/>
      <c r="P5215" s="11"/>
      <c r="Q5215" s="8"/>
      <c r="S5215" s="3"/>
      <c r="T5215" s="3"/>
      <c r="U5215" s="7"/>
      <c r="V5215" s="436"/>
      <c r="X5215" s="8"/>
      <c r="Y5215" s="8"/>
      <c r="AH5215" s="3"/>
      <c r="AI5215" s="3"/>
      <c r="AJ5215" s="3"/>
    </row>
    <row r="5216" spans="3:36" s="6" customFormat="1" ht="11.25" customHeight="1">
      <c r="C5216" s="4"/>
      <c r="D5216" s="4"/>
      <c r="E5216" s="5"/>
      <c r="G5216" s="31"/>
      <c r="I5216" s="9"/>
      <c r="J5216" s="37"/>
      <c r="L5216" s="25"/>
      <c r="M5216" s="7"/>
      <c r="N5216" s="8"/>
      <c r="O5216" s="11"/>
      <c r="P5216" s="11"/>
      <c r="Q5216" s="8"/>
      <c r="S5216" s="3"/>
      <c r="T5216" s="3"/>
      <c r="U5216" s="7"/>
      <c r="V5216" s="436"/>
      <c r="X5216" s="8"/>
      <c r="Y5216" s="8"/>
      <c r="AH5216" s="3"/>
      <c r="AI5216" s="3"/>
      <c r="AJ5216" s="3"/>
    </row>
    <row r="5217" spans="3:36" s="6" customFormat="1" ht="11.25" customHeight="1">
      <c r="C5217" s="4"/>
      <c r="D5217" s="4"/>
      <c r="E5217" s="5"/>
      <c r="G5217" s="31"/>
      <c r="I5217" s="9"/>
      <c r="J5217" s="37"/>
      <c r="L5217" s="25"/>
      <c r="M5217" s="7"/>
      <c r="N5217" s="8"/>
      <c r="O5217" s="11"/>
      <c r="P5217" s="11"/>
      <c r="Q5217" s="8"/>
      <c r="S5217" s="3"/>
      <c r="T5217" s="3"/>
      <c r="U5217" s="7"/>
      <c r="V5217" s="436"/>
      <c r="X5217" s="8"/>
      <c r="Y5217" s="8"/>
      <c r="AH5217" s="3"/>
      <c r="AI5217" s="3"/>
      <c r="AJ5217" s="3"/>
    </row>
    <row r="5218" spans="3:36" s="6" customFormat="1" ht="11.25" customHeight="1">
      <c r="C5218" s="4"/>
      <c r="D5218" s="4"/>
      <c r="E5218" s="5"/>
      <c r="G5218" s="31"/>
      <c r="I5218" s="9"/>
      <c r="J5218" s="37"/>
      <c r="L5218" s="25"/>
      <c r="M5218" s="7"/>
      <c r="N5218" s="8"/>
      <c r="O5218" s="11"/>
      <c r="P5218" s="11"/>
      <c r="Q5218" s="8"/>
      <c r="S5218" s="3"/>
      <c r="T5218" s="3"/>
      <c r="U5218" s="7"/>
      <c r="V5218" s="436"/>
      <c r="X5218" s="8"/>
      <c r="Y5218" s="8"/>
      <c r="AH5218" s="3"/>
      <c r="AI5218" s="3"/>
      <c r="AJ5218" s="3"/>
    </row>
    <row r="5219" spans="3:36" s="6" customFormat="1" ht="11.25" customHeight="1">
      <c r="C5219" s="4"/>
      <c r="D5219" s="4"/>
      <c r="E5219" s="5"/>
      <c r="G5219" s="31"/>
      <c r="I5219" s="9"/>
      <c r="J5219" s="37"/>
      <c r="L5219" s="25"/>
      <c r="M5219" s="7"/>
      <c r="N5219" s="8"/>
      <c r="O5219" s="11"/>
      <c r="P5219" s="11"/>
      <c r="Q5219" s="8"/>
      <c r="S5219" s="3"/>
      <c r="T5219" s="3"/>
      <c r="U5219" s="7"/>
      <c r="V5219" s="436"/>
      <c r="X5219" s="8"/>
      <c r="Y5219" s="8"/>
      <c r="AH5219" s="3"/>
      <c r="AI5219" s="3"/>
      <c r="AJ5219" s="3"/>
    </row>
    <row r="5220" spans="3:36" s="6" customFormat="1" ht="11.25" customHeight="1">
      <c r="C5220" s="4"/>
      <c r="D5220" s="4"/>
      <c r="E5220" s="5"/>
      <c r="G5220" s="31"/>
      <c r="I5220" s="9"/>
      <c r="J5220" s="37"/>
      <c r="L5220" s="25"/>
      <c r="M5220" s="7"/>
      <c r="N5220" s="8"/>
      <c r="O5220" s="11"/>
      <c r="P5220" s="11"/>
      <c r="Q5220" s="8"/>
      <c r="S5220" s="3"/>
      <c r="T5220" s="3"/>
      <c r="U5220" s="7"/>
      <c r="V5220" s="436"/>
      <c r="X5220" s="8"/>
      <c r="Y5220" s="8"/>
      <c r="AH5220" s="3"/>
      <c r="AI5220" s="3"/>
      <c r="AJ5220" s="3"/>
    </row>
    <row r="5221" spans="3:36" s="6" customFormat="1" ht="11.25" customHeight="1">
      <c r="C5221" s="4"/>
      <c r="D5221" s="4"/>
      <c r="E5221" s="5"/>
      <c r="G5221" s="31"/>
      <c r="I5221" s="9"/>
      <c r="J5221" s="37"/>
      <c r="L5221" s="25"/>
      <c r="M5221" s="7"/>
      <c r="N5221" s="8"/>
      <c r="O5221" s="11"/>
      <c r="P5221" s="11"/>
      <c r="Q5221" s="8"/>
      <c r="S5221" s="3"/>
      <c r="T5221" s="3"/>
      <c r="U5221" s="7"/>
      <c r="V5221" s="436"/>
      <c r="X5221" s="8"/>
      <c r="Y5221" s="8"/>
      <c r="AH5221" s="3"/>
      <c r="AI5221" s="3"/>
      <c r="AJ5221" s="3"/>
    </row>
    <row r="5222" spans="3:36" s="6" customFormat="1" ht="11.25" customHeight="1">
      <c r="C5222" s="4"/>
      <c r="D5222" s="4"/>
      <c r="E5222" s="5"/>
      <c r="G5222" s="31"/>
      <c r="I5222" s="9"/>
      <c r="J5222" s="3"/>
      <c r="L5222" s="25"/>
      <c r="M5222" s="7"/>
      <c r="N5222" s="8"/>
      <c r="O5222" s="11"/>
      <c r="P5222" s="11"/>
      <c r="Q5222" s="8"/>
      <c r="S5222" s="3"/>
      <c r="T5222" s="3"/>
      <c r="U5222" s="7"/>
      <c r="V5222" s="436"/>
      <c r="X5222" s="8"/>
      <c r="Y5222" s="8"/>
      <c r="AH5222" s="3"/>
      <c r="AI5222" s="3"/>
      <c r="AJ5222" s="3"/>
    </row>
    <row r="5223" spans="3:36" s="6" customFormat="1" ht="11.25" customHeight="1">
      <c r="C5223" s="4"/>
      <c r="D5223" s="4"/>
      <c r="E5223" s="5"/>
      <c r="G5223" s="31"/>
      <c r="I5223" s="9"/>
      <c r="J5223" s="3"/>
      <c r="L5223" s="25"/>
      <c r="M5223" s="7"/>
      <c r="N5223" s="8"/>
      <c r="O5223" s="11"/>
      <c r="P5223" s="11"/>
      <c r="Q5223" s="8"/>
      <c r="S5223" s="3"/>
      <c r="T5223" s="3"/>
      <c r="U5223" s="7"/>
      <c r="V5223" s="436"/>
      <c r="X5223" s="8"/>
      <c r="Y5223" s="8"/>
      <c r="AH5223" s="3"/>
      <c r="AI5223" s="3"/>
      <c r="AJ5223" s="3"/>
    </row>
    <row r="5224" spans="3:36" s="6" customFormat="1" ht="11.25" customHeight="1">
      <c r="C5224" s="4"/>
      <c r="D5224" s="4"/>
      <c r="E5224" s="5"/>
      <c r="G5224" s="31"/>
      <c r="I5224" s="9"/>
      <c r="J5224" s="37"/>
      <c r="L5224" s="25"/>
      <c r="M5224" s="7"/>
      <c r="N5224" s="8"/>
      <c r="O5224" s="11"/>
      <c r="P5224" s="11"/>
      <c r="Q5224" s="8"/>
      <c r="S5224" s="3"/>
      <c r="T5224" s="3"/>
      <c r="U5224" s="7"/>
      <c r="V5224" s="436"/>
      <c r="X5224" s="8"/>
      <c r="Y5224" s="8"/>
      <c r="AH5224" s="3"/>
      <c r="AI5224" s="3"/>
      <c r="AJ5224" s="3"/>
    </row>
    <row r="5225" spans="3:36" s="6" customFormat="1" ht="11.25" customHeight="1">
      <c r="C5225" s="4"/>
      <c r="D5225" s="4"/>
      <c r="E5225" s="5"/>
      <c r="G5225" s="31"/>
      <c r="I5225" s="9"/>
      <c r="J5225" s="37"/>
      <c r="L5225" s="25"/>
      <c r="M5225" s="47"/>
      <c r="N5225" s="8"/>
      <c r="O5225" s="11"/>
      <c r="P5225" s="11"/>
      <c r="Q5225" s="8"/>
      <c r="S5225" s="3"/>
      <c r="T5225" s="3"/>
      <c r="U5225" s="7"/>
      <c r="V5225" s="436"/>
      <c r="X5225" s="8"/>
      <c r="Y5225" s="8"/>
      <c r="AH5225" s="3"/>
      <c r="AI5225" s="3"/>
      <c r="AJ5225" s="3"/>
    </row>
    <row r="5226" spans="3:36" s="6" customFormat="1" ht="11.25" customHeight="1">
      <c r="C5226" s="4"/>
      <c r="D5226" s="4"/>
      <c r="E5226" s="5"/>
      <c r="G5226" s="31"/>
      <c r="I5226" s="9"/>
      <c r="J5226" s="37"/>
      <c r="L5226" s="25"/>
      <c r="M5226" s="7"/>
      <c r="N5226" s="8"/>
      <c r="O5226" s="11"/>
      <c r="P5226" s="11"/>
      <c r="Q5226" s="8"/>
      <c r="S5226" s="3"/>
      <c r="T5226" s="3"/>
      <c r="U5226" s="7"/>
      <c r="V5226" s="436"/>
      <c r="X5226" s="8"/>
      <c r="Y5226" s="8"/>
      <c r="AH5226" s="3"/>
      <c r="AI5226" s="3"/>
      <c r="AJ5226" s="3"/>
    </row>
    <row r="5227" spans="3:36" s="6" customFormat="1" ht="11.25" customHeight="1">
      <c r="C5227" s="4"/>
      <c r="D5227" s="4"/>
      <c r="E5227" s="5"/>
      <c r="G5227" s="31"/>
      <c r="I5227" s="9"/>
      <c r="J5227" s="37"/>
      <c r="L5227" s="25"/>
      <c r="M5227" s="47"/>
      <c r="N5227" s="8"/>
      <c r="O5227" s="11"/>
      <c r="P5227" s="11"/>
      <c r="Q5227" s="8"/>
      <c r="S5227" s="3"/>
      <c r="T5227" s="3"/>
      <c r="U5227" s="7"/>
      <c r="V5227" s="436"/>
      <c r="X5227" s="8"/>
      <c r="Y5227" s="8"/>
      <c r="AH5227" s="3"/>
      <c r="AI5227" s="3"/>
      <c r="AJ5227" s="3"/>
    </row>
    <row r="5228" spans="3:36" s="6" customFormat="1" ht="11.25" customHeight="1">
      <c r="C5228" s="4"/>
      <c r="D5228" s="4"/>
      <c r="E5228" s="5"/>
      <c r="G5228" s="31"/>
      <c r="I5228" s="9"/>
      <c r="J5228" s="37"/>
      <c r="L5228" s="25"/>
      <c r="M5228" s="7"/>
      <c r="N5228" s="8"/>
      <c r="O5228" s="11"/>
      <c r="P5228" s="11"/>
      <c r="Q5228" s="8"/>
      <c r="S5228" s="3"/>
      <c r="T5228" s="3"/>
      <c r="U5228" s="7"/>
      <c r="V5228" s="436"/>
      <c r="X5228" s="8"/>
      <c r="Y5228" s="8"/>
      <c r="AH5228" s="3"/>
      <c r="AI5228" s="3"/>
      <c r="AJ5228" s="3"/>
    </row>
    <row r="5229" spans="3:36" s="6" customFormat="1" ht="11.25" customHeight="1">
      <c r="C5229" s="4"/>
      <c r="D5229" s="4"/>
      <c r="E5229" s="5"/>
      <c r="G5229" s="31"/>
      <c r="I5229" s="9"/>
      <c r="J5229" s="37"/>
      <c r="L5229" s="25"/>
      <c r="M5229" s="7"/>
      <c r="N5229" s="8"/>
      <c r="O5229" s="11"/>
      <c r="P5229" s="11"/>
      <c r="Q5229" s="8"/>
      <c r="S5229" s="3"/>
      <c r="T5229" s="3"/>
      <c r="U5229" s="7"/>
      <c r="V5229" s="436"/>
      <c r="X5229" s="8"/>
      <c r="Y5229" s="8"/>
      <c r="AH5229" s="3"/>
      <c r="AI5229" s="3"/>
      <c r="AJ5229" s="3"/>
    </row>
    <row r="5230" spans="3:36" s="6" customFormat="1" ht="11.25" customHeight="1">
      <c r="C5230" s="4"/>
      <c r="D5230" s="4"/>
      <c r="E5230" s="5"/>
      <c r="G5230" s="31"/>
      <c r="I5230" s="9"/>
      <c r="J5230" s="37"/>
      <c r="L5230" s="25"/>
      <c r="M5230" s="7"/>
      <c r="N5230" s="8"/>
      <c r="O5230" s="11"/>
      <c r="P5230" s="11"/>
      <c r="Q5230" s="8"/>
      <c r="S5230" s="3"/>
      <c r="T5230" s="3"/>
      <c r="U5230" s="7"/>
      <c r="V5230" s="436"/>
      <c r="X5230" s="8"/>
      <c r="Y5230" s="8"/>
      <c r="AH5230" s="3"/>
      <c r="AI5230" s="3"/>
      <c r="AJ5230" s="3"/>
    </row>
    <row r="5231" spans="3:36" s="6" customFormat="1" ht="11.25" customHeight="1">
      <c r="C5231" s="4"/>
      <c r="D5231" s="4"/>
      <c r="E5231" s="5"/>
      <c r="G5231" s="31"/>
      <c r="I5231" s="9"/>
      <c r="J5231" s="37"/>
      <c r="L5231" s="25"/>
      <c r="M5231" s="7"/>
      <c r="N5231" s="8"/>
      <c r="O5231" s="11"/>
      <c r="P5231" s="11"/>
      <c r="Q5231" s="8"/>
      <c r="S5231" s="3"/>
      <c r="T5231" s="3"/>
      <c r="U5231" s="7"/>
      <c r="V5231" s="436"/>
      <c r="X5231" s="8"/>
      <c r="Y5231" s="8"/>
      <c r="AH5231" s="3"/>
      <c r="AI5231" s="3"/>
      <c r="AJ5231" s="3"/>
    </row>
    <row r="5232" spans="3:36" s="6" customFormat="1" ht="11.25" customHeight="1">
      <c r="C5232" s="4"/>
      <c r="D5232" s="4"/>
      <c r="E5232" s="5"/>
      <c r="G5232" s="31"/>
      <c r="I5232" s="9"/>
      <c r="J5232" s="37"/>
      <c r="L5232" s="25"/>
      <c r="M5232" s="7"/>
      <c r="N5232" s="8"/>
      <c r="O5232" s="11"/>
      <c r="P5232" s="11"/>
      <c r="Q5232" s="8"/>
      <c r="S5232" s="3"/>
      <c r="T5232" s="3"/>
      <c r="U5232" s="7"/>
      <c r="V5232" s="436"/>
      <c r="X5232" s="8"/>
      <c r="Y5232" s="8"/>
      <c r="AH5232" s="3"/>
      <c r="AI5232" s="3"/>
      <c r="AJ5232" s="3"/>
    </row>
    <row r="5233" spans="3:36" s="6" customFormat="1" ht="11.25" customHeight="1">
      <c r="C5233" s="4"/>
      <c r="D5233" s="4"/>
      <c r="E5233" s="5"/>
      <c r="G5233" s="31"/>
      <c r="I5233" s="9"/>
      <c r="J5233" s="37"/>
      <c r="L5233" s="25"/>
      <c r="M5233" s="47"/>
      <c r="N5233" s="8"/>
      <c r="O5233" s="11"/>
      <c r="P5233" s="11"/>
      <c r="Q5233" s="8"/>
      <c r="S5233" s="3"/>
      <c r="T5233" s="3"/>
      <c r="U5233" s="7"/>
      <c r="V5233" s="436"/>
      <c r="X5233" s="8"/>
      <c r="Y5233" s="8"/>
      <c r="AH5233" s="3"/>
      <c r="AI5233" s="3"/>
      <c r="AJ5233" s="3"/>
    </row>
    <row r="5234" spans="3:36" s="6" customFormat="1" ht="11.25" customHeight="1">
      <c r="C5234" s="4"/>
      <c r="D5234" s="4"/>
      <c r="E5234" s="5"/>
      <c r="G5234" s="31"/>
      <c r="I5234" s="9"/>
      <c r="J5234" s="37"/>
      <c r="L5234" s="25"/>
      <c r="M5234" s="7"/>
      <c r="N5234" s="8"/>
      <c r="O5234" s="11"/>
      <c r="P5234" s="11"/>
      <c r="Q5234" s="8"/>
      <c r="S5234" s="3"/>
      <c r="T5234" s="3"/>
      <c r="U5234" s="7"/>
      <c r="V5234" s="436"/>
      <c r="X5234" s="8"/>
      <c r="Y5234" s="8"/>
      <c r="AH5234" s="3"/>
      <c r="AI5234" s="3"/>
      <c r="AJ5234" s="3"/>
    </row>
    <row r="5235" spans="3:36" s="6" customFormat="1" ht="11.25" customHeight="1">
      <c r="C5235" s="4"/>
      <c r="D5235" s="4"/>
      <c r="E5235" s="5"/>
      <c r="G5235" s="31"/>
      <c r="I5235" s="9"/>
      <c r="J5235" s="37"/>
      <c r="L5235" s="25"/>
      <c r="M5235" s="7"/>
      <c r="N5235" s="8"/>
      <c r="O5235" s="11"/>
      <c r="P5235" s="11"/>
      <c r="Q5235" s="8"/>
      <c r="S5235" s="3"/>
      <c r="T5235" s="3"/>
      <c r="U5235" s="7"/>
      <c r="V5235" s="436"/>
      <c r="X5235" s="8"/>
      <c r="Y5235" s="8"/>
      <c r="AH5235" s="3"/>
      <c r="AI5235" s="3"/>
      <c r="AJ5235" s="3"/>
    </row>
    <row r="5236" spans="3:36" s="6" customFormat="1" ht="11.25" customHeight="1">
      <c r="C5236" s="4"/>
      <c r="D5236" s="4"/>
      <c r="E5236" s="5"/>
      <c r="G5236" s="31"/>
      <c r="I5236" s="9"/>
      <c r="J5236" s="37"/>
      <c r="L5236" s="25"/>
      <c r="M5236" s="7"/>
      <c r="N5236" s="8"/>
      <c r="O5236" s="11"/>
      <c r="P5236" s="11"/>
      <c r="Q5236" s="8"/>
      <c r="S5236" s="3"/>
      <c r="T5236" s="3"/>
      <c r="U5236" s="7"/>
      <c r="V5236" s="436"/>
      <c r="X5236" s="8"/>
      <c r="Y5236" s="8"/>
      <c r="AH5236" s="3"/>
      <c r="AI5236" s="3"/>
      <c r="AJ5236" s="3"/>
    </row>
    <row r="5237" spans="3:36" s="6" customFormat="1" ht="11.25" customHeight="1">
      <c r="C5237" s="4"/>
      <c r="D5237" s="4"/>
      <c r="E5237" s="5"/>
      <c r="G5237" s="31"/>
      <c r="I5237" s="9"/>
      <c r="J5237" s="37"/>
      <c r="L5237" s="25"/>
      <c r="M5237" s="7"/>
      <c r="N5237" s="8"/>
      <c r="O5237" s="11"/>
      <c r="P5237" s="11"/>
      <c r="Q5237" s="8"/>
      <c r="S5237" s="3"/>
      <c r="T5237" s="3"/>
      <c r="U5237" s="7"/>
      <c r="V5237" s="436"/>
      <c r="X5237" s="8"/>
      <c r="Y5237" s="8"/>
      <c r="AH5237" s="3"/>
      <c r="AI5237" s="3"/>
      <c r="AJ5237" s="3"/>
    </row>
    <row r="5238" spans="3:36" s="6" customFormat="1" ht="11.25" customHeight="1">
      <c r="C5238" s="4"/>
      <c r="D5238" s="4"/>
      <c r="E5238" s="5"/>
      <c r="G5238" s="31"/>
      <c r="I5238" s="9"/>
      <c r="J5238" s="37"/>
      <c r="L5238" s="25"/>
      <c r="M5238" s="7"/>
      <c r="N5238" s="8"/>
      <c r="O5238" s="11"/>
      <c r="P5238" s="11"/>
      <c r="Q5238" s="8"/>
      <c r="S5238" s="3"/>
      <c r="T5238" s="3"/>
      <c r="U5238" s="7"/>
      <c r="V5238" s="436"/>
      <c r="X5238" s="8"/>
      <c r="Y5238" s="8"/>
      <c r="AH5238" s="3"/>
      <c r="AI5238" s="3"/>
      <c r="AJ5238" s="3"/>
    </row>
    <row r="5239" spans="3:36" s="6" customFormat="1" ht="11.25" customHeight="1">
      <c r="C5239" s="4"/>
      <c r="D5239" s="4"/>
      <c r="E5239" s="5"/>
      <c r="G5239" s="31"/>
      <c r="I5239" s="9"/>
      <c r="J5239" s="37"/>
      <c r="L5239" s="25"/>
      <c r="M5239" s="7"/>
      <c r="N5239" s="8"/>
      <c r="O5239" s="11"/>
      <c r="P5239" s="11"/>
      <c r="Q5239" s="8"/>
      <c r="S5239" s="3"/>
      <c r="T5239" s="3"/>
      <c r="U5239" s="7"/>
      <c r="V5239" s="436"/>
      <c r="X5239" s="8"/>
      <c r="Y5239" s="8"/>
      <c r="AH5239" s="3"/>
      <c r="AI5239" s="3"/>
      <c r="AJ5239" s="3"/>
    </row>
    <row r="5240" spans="3:36" s="6" customFormat="1" ht="11.25" customHeight="1">
      <c r="C5240" s="4"/>
      <c r="D5240" s="4"/>
      <c r="E5240" s="5"/>
      <c r="G5240" s="31"/>
      <c r="I5240" s="9"/>
      <c r="J5240" s="3"/>
      <c r="L5240" s="25"/>
      <c r="M5240" s="7"/>
      <c r="N5240" s="8"/>
      <c r="O5240" s="11"/>
      <c r="P5240" s="11"/>
      <c r="Q5240" s="8"/>
      <c r="S5240" s="3"/>
      <c r="T5240" s="3"/>
      <c r="U5240" s="7"/>
      <c r="V5240" s="436"/>
      <c r="X5240" s="8"/>
      <c r="Y5240" s="8"/>
      <c r="AH5240" s="3"/>
      <c r="AI5240" s="3"/>
      <c r="AJ5240" s="3"/>
    </row>
    <row r="5241" spans="3:36" s="6" customFormat="1" ht="11.25" customHeight="1">
      <c r="C5241" s="4"/>
      <c r="D5241" s="4"/>
      <c r="E5241" s="5"/>
      <c r="G5241" s="31"/>
      <c r="I5241" s="9"/>
      <c r="J5241" s="24"/>
      <c r="K5241" s="9"/>
      <c r="L5241" s="25"/>
      <c r="M5241" s="7"/>
      <c r="N5241" s="8"/>
      <c r="O5241" s="11"/>
      <c r="P5241" s="11"/>
      <c r="Q5241" s="8"/>
      <c r="S5241" s="3"/>
      <c r="T5241" s="3"/>
      <c r="U5241" s="7"/>
      <c r="V5241" s="436"/>
      <c r="X5241" s="8"/>
      <c r="Y5241" s="8"/>
      <c r="AH5241" s="3"/>
      <c r="AI5241" s="3"/>
      <c r="AJ5241" s="3"/>
    </row>
    <row r="5242" spans="3:36" s="6" customFormat="1" ht="11.25" customHeight="1">
      <c r="C5242" s="4"/>
      <c r="D5242" s="4"/>
      <c r="E5242" s="5"/>
      <c r="G5242" s="31"/>
      <c r="I5242" s="9"/>
      <c r="J5242" s="24"/>
      <c r="K5242" s="9"/>
      <c r="L5242" s="25"/>
      <c r="M5242" s="7"/>
      <c r="N5242" s="8"/>
      <c r="O5242" s="11"/>
      <c r="P5242" s="11"/>
      <c r="Q5242" s="8"/>
      <c r="S5242" s="3"/>
      <c r="T5242" s="3"/>
      <c r="U5242" s="7"/>
      <c r="V5242" s="436"/>
      <c r="X5242" s="8"/>
      <c r="Y5242" s="8"/>
      <c r="AH5242" s="3"/>
      <c r="AI5242" s="3"/>
      <c r="AJ5242" s="3"/>
    </row>
    <row r="5243" spans="3:36" s="6" customFormat="1" ht="11.25" customHeight="1">
      <c r="C5243" s="4"/>
      <c r="D5243" s="4"/>
      <c r="E5243" s="5"/>
      <c r="G5243" s="31"/>
      <c r="I5243" s="9"/>
      <c r="J5243" s="24"/>
      <c r="K5243" s="9"/>
      <c r="L5243" s="25"/>
      <c r="M5243" s="7"/>
      <c r="N5243" s="8"/>
      <c r="O5243" s="11"/>
      <c r="P5243" s="11"/>
      <c r="Q5243" s="8"/>
      <c r="S5243" s="3"/>
      <c r="T5243" s="3"/>
      <c r="U5243" s="7"/>
      <c r="V5243" s="436"/>
      <c r="X5243" s="8"/>
      <c r="Y5243" s="8"/>
      <c r="AH5243" s="3"/>
      <c r="AI5243" s="3"/>
      <c r="AJ5243" s="3"/>
    </row>
    <row r="5244" spans="3:36" s="6" customFormat="1" ht="11.25" customHeight="1">
      <c r="C5244" s="4"/>
      <c r="D5244" s="4"/>
      <c r="E5244" s="5"/>
      <c r="G5244" s="31"/>
      <c r="I5244" s="9"/>
      <c r="J5244" s="24"/>
      <c r="K5244" s="9"/>
      <c r="L5244" s="25"/>
      <c r="M5244" s="7"/>
      <c r="N5244" s="8"/>
      <c r="O5244" s="11"/>
      <c r="P5244" s="11"/>
      <c r="Q5244" s="8"/>
      <c r="S5244" s="3"/>
      <c r="T5244" s="3"/>
      <c r="U5244" s="7"/>
      <c r="V5244" s="436"/>
      <c r="X5244" s="8"/>
      <c r="Y5244" s="8"/>
      <c r="AH5244" s="3"/>
      <c r="AI5244" s="3"/>
      <c r="AJ5244" s="3"/>
    </row>
    <row r="5245" spans="3:36" s="6" customFormat="1" ht="11.25" customHeight="1">
      <c r="C5245" s="4"/>
      <c r="D5245" s="4"/>
      <c r="E5245" s="5"/>
      <c r="G5245" s="31"/>
      <c r="I5245" s="9"/>
      <c r="J5245" s="24"/>
      <c r="K5245" s="9"/>
      <c r="L5245" s="25"/>
      <c r="M5245" s="7"/>
      <c r="N5245" s="8"/>
      <c r="O5245" s="11"/>
      <c r="P5245" s="11"/>
      <c r="Q5245" s="8"/>
      <c r="S5245" s="3"/>
      <c r="T5245" s="3"/>
      <c r="U5245" s="7"/>
      <c r="V5245" s="436"/>
      <c r="X5245" s="8"/>
      <c r="Y5245" s="8"/>
      <c r="AH5245" s="3"/>
      <c r="AI5245" s="3"/>
      <c r="AJ5245" s="3"/>
    </row>
    <row r="5246" spans="3:36" s="6" customFormat="1" ht="11.25" customHeight="1">
      <c r="C5246" s="4"/>
      <c r="D5246" s="4"/>
      <c r="E5246" s="5"/>
      <c r="G5246" s="31"/>
      <c r="I5246" s="9"/>
      <c r="J5246" s="24"/>
      <c r="K5246" s="9"/>
      <c r="L5246" s="25"/>
      <c r="M5246" s="7"/>
      <c r="N5246" s="8"/>
      <c r="O5246" s="11"/>
      <c r="P5246" s="11"/>
      <c r="Q5246" s="8"/>
      <c r="S5246" s="3"/>
      <c r="T5246" s="3"/>
      <c r="U5246" s="7"/>
      <c r="V5246" s="436"/>
      <c r="X5246" s="8"/>
      <c r="Y5246" s="8"/>
      <c r="AH5246" s="3"/>
      <c r="AI5246" s="3"/>
      <c r="AJ5246" s="3"/>
    </row>
    <row r="5247" spans="3:36" s="6" customFormat="1" ht="11.25" customHeight="1">
      <c r="C5247" s="4"/>
      <c r="D5247" s="4"/>
      <c r="E5247" s="5"/>
      <c r="G5247" s="31"/>
      <c r="I5247" s="9"/>
      <c r="J5247" s="24"/>
      <c r="K5247" s="9"/>
      <c r="L5247" s="25"/>
      <c r="M5247" s="7"/>
      <c r="N5247" s="8"/>
      <c r="O5247" s="11"/>
      <c r="P5247" s="11"/>
      <c r="Q5247" s="8"/>
      <c r="S5247" s="3"/>
      <c r="T5247" s="3"/>
      <c r="U5247" s="7"/>
      <c r="V5247" s="436"/>
      <c r="X5247" s="8"/>
      <c r="Y5247" s="8"/>
      <c r="AH5247" s="3"/>
      <c r="AI5247" s="3"/>
      <c r="AJ5247" s="3"/>
    </row>
    <row r="5248" spans="3:36" s="6" customFormat="1" ht="11.25" customHeight="1">
      <c r="C5248" s="4"/>
      <c r="D5248" s="4"/>
      <c r="E5248" s="5"/>
      <c r="G5248" s="31"/>
      <c r="I5248" s="9"/>
      <c r="J5248" s="24"/>
      <c r="K5248" s="9"/>
      <c r="L5248" s="25"/>
      <c r="M5248" s="7"/>
      <c r="N5248" s="8"/>
      <c r="O5248" s="11"/>
      <c r="P5248" s="11"/>
      <c r="Q5248" s="8"/>
      <c r="S5248" s="3"/>
      <c r="T5248" s="3"/>
      <c r="U5248" s="7"/>
      <c r="V5248" s="436"/>
      <c r="X5248" s="8"/>
      <c r="Y5248" s="8"/>
      <c r="AH5248" s="3"/>
      <c r="AI5248" s="3"/>
      <c r="AJ5248" s="3"/>
    </row>
    <row r="5249" spans="3:36" s="6" customFormat="1" ht="11.25" customHeight="1">
      <c r="C5249" s="4"/>
      <c r="D5249" s="4"/>
      <c r="E5249" s="5"/>
      <c r="G5249" s="31"/>
      <c r="I5249" s="9"/>
      <c r="J5249" s="24"/>
      <c r="K5249" s="9"/>
      <c r="L5249" s="25"/>
      <c r="M5249" s="7"/>
      <c r="N5249" s="8"/>
      <c r="O5249" s="11"/>
      <c r="P5249" s="11"/>
      <c r="Q5249" s="8"/>
      <c r="S5249" s="3"/>
      <c r="T5249" s="3"/>
      <c r="U5249" s="7"/>
      <c r="V5249" s="436"/>
      <c r="X5249" s="8"/>
      <c r="Y5249" s="8"/>
      <c r="AH5249" s="3"/>
      <c r="AI5249" s="3"/>
      <c r="AJ5249" s="3"/>
    </row>
    <row r="5250" spans="3:36" s="6" customFormat="1" ht="11.25" customHeight="1">
      <c r="C5250" s="4"/>
      <c r="D5250" s="4"/>
      <c r="E5250" s="5"/>
      <c r="G5250" s="31"/>
      <c r="I5250" s="9"/>
      <c r="J5250" s="24"/>
      <c r="K5250" s="9"/>
      <c r="L5250" s="25"/>
      <c r="M5250" s="7"/>
      <c r="N5250" s="8"/>
      <c r="O5250" s="11"/>
      <c r="P5250" s="11"/>
      <c r="Q5250" s="8"/>
      <c r="S5250" s="3"/>
      <c r="T5250" s="3"/>
      <c r="U5250" s="7"/>
      <c r="V5250" s="436"/>
      <c r="X5250" s="8"/>
      <c r="Y5250" s="8"/>
      <c r="AH5250" s="3"/>
      <c r="AI5250" s="3"/>
      <c r="AJ5250" s="3"/>
    </row>
    <row r="5251" spans="3:36" s="6" customFormat="1" ht="11.25" customHeight="1">
      <c r="C5251" s="4"/>
      <c r="D5251" s="4"/>
      <c r="E5251" s="5"/>
      <c r="G5251" s="31"/>
      <c r="I5251" s="9"/>
      <c r="J5251" s="24"/>
      <c r="K5251" s="9"/>
      <c r="L5251" s="25"/>
      <c r="M5251" s="7"/>
      <c r="N5251" s="8"/>
      <c r="O5251" s="11"/>
      <c r="P5251" s="11"/>
      <c r="Q5251" s="8"/>
      <c r="S5251" s="3"/>
      <c r="T5251" s="3"/>
      <c r="U5251" s="7"/>
      <c r="V5251" s="436"/>
      <c r="X5251" s="8"/>
      <c r="Y5251" s="8"/>
      <c r="AH5251" s="3"/>
      <c r="AI5251" s="3"/>
      <c r="AJ5251" s="3"/>
    </row>
    <row r="5252" spans="3:36" s="6" customFormat="1" ht="11.25" customHeight="1">
      <c r="C5252" s="4"/>
      <c r="D5252" s="4"/>
      <c r="E5252" s="5"/>
      <c r="G5252" s="31"/>
      <c r="I5252" s="9"/>
      <c r="J5252" s="24"/>
      <c r="K5252" s="9"/>
      <c r="L5252" s="25"/>
      <c r="M5252" s="7"/>
      <c r="N5252" s="8"/>
      <c r="O5252" s="11"/>
      <c r="P5252" s="11"/>
      <c r="Q5252" s="8"/>
      <c r="S5252" s="3"/>
      <c r="T5252" s="3"/>
      <c r="U5252" s="7"/>
      <c r="V5252" s="436"/>
      <c r="X5252" s="8"/>
      <c r="Y5252" s="8"/>
      <c r="AH5252" s="3"/>
      <c r="AI5252" s="3"/>
      <c r="AJ5252" s="3"/>
    </row>
    <row r="5253" spans="3:36" s="6" customFormat="1" ht="11.25" customHeight="1">
      <c r="C5253" s="4"/>
      <c r="D5253" s="4"/>
      <c r="E5253" s="5"/>
      <c r="G5253" s="31"/>
      <c r="I5253" s="9"/>
      <c r="J5253" s="24"/>
      <c r="K5253" s="9"/>
      <c r="L5253" s="25"/>
      <c r="M5253" s="7"/>
      <c r="N5253" s="8"/>
      <c r="O5253" s="11"/>
      <c r="P5253" s="11"/>
      <c r="Q5253" s="8"/>
      <c r="S5253" s="3"/>
      <c r="T5253" s="3"/>
      <c r="U5253" s="7"/>
      <c r="V5253" s="436"/>
      <c r="X5253" s="8"/>
      <c r="Y5253" s="8"/>
      <c r="AH5253" s="3"/>
      <c r="AI5253" s="3"/>
      <c r="AJ5253" s="3"/>
    </row>
    <row r="5254" spans="3:36" s="6" customFormat="1" ht="11.25" customHeight="1">
      <c r="C5254" s="4"/>
      <c r="D5254" s="4"/>
      <c r="E5254" s="5"/>
      <c r="G5254" s="31"/>
      <c r="I5254" s="9"/>
      <c r="J5254" s="24"/>
      <c r="K5254" s="9"/>
      <c r="L5254" s="25"/>
      <c r="M5254" s="7"/>
      <c r="N5254" s="8"/>
      <c r="O5254" s="11"/>
      <c r="P5254" s="11"/>
      <c r="Q5254" s="8"/>
      <c r="S5254" s="3"/>
      <c r="T5254" s="3"/>
      <c r="U5254" s="7"/>
      <c r="V5254" s="436"/>
      <c r="X5254" s="8"/>
      <c r="Y5254" s="8"/>
      <c r="AH5254" s="3"/>
      <c r="AI5254" s="3"/>
      <c r="AJ5254" s="3"/>
    </row>
    <row r="5255" spans="3:36" s="6" customFormat="1" ht="11.25" customHeight="1">
      <c r="C5255" s="4"/>
      <c r="D5255" s="4"/>
      <c r="E5255" s="5"/>
      <c r="G5255" s="31"/>
      <c r="I5255" s="9"/>
      <c r="J5255" s="24"/>
      <c r="K5255" s="9"/>
      <c r="L5255" s="25"/>
      <c r="M5255" s="7"/>
      <c r="N5255" s="8"/>
      <c r="O5255" s="11"/>
      <c r="P5255" s="11"/>
      <c r="Q5255" s="8"/>
      <c r="S5255" s="3"/>
      <c r="T5255" s="3"/>
      <c r="U5255" s="7"/>
      <c r="V5255" s="436"/>
      <c r="X5255" s="8"/>
      <c r="Y5255" s="8"/>
      <c r="AH5255" s="3"/>
      <c r="AI5255" s="3"/>
      <c r="AJ5255" s="3"/>
    </row>
    <row r="5256" spans="3:36" s="6" customFormat="1" ht="11.25" customHeight="1">
      <c r="C5256" s="4"/>
      <c r="D5256" s="4"/>
      <c r="E5256" s="5"/>
      <c r="G5256" s="31"/>
      <c r="I5256" s="9"/>
      <c r="J5256" s="24"/>
      <c r="K5256" s="9"/>
      <c r="L5256" s="25"/>
      <c r="M5256" s="7"/>
      <c r="N5256" s="8"/>
      <c r="O5256" s="11"/>
      <c r="P5256" s="11"/>
      <c r="Q5256" s="8"/>
      <c r="S5256" s="3"/>
      <c r="T5256" s="3"/>
      <c r="U5256" s="7"/>
      <c r="V5256" s="436"/>
      <c r="X5256" s="8"/>
      <c r="Y5256" s="8"/>
      <c r="AH5256" s="3"/>
      <c r="AI5256" s="3"/>
      <c r="AJ5256" s="3"/>
    </row>
    <row r="5257" spans="3:36" s="6" customFormat="1" ht="11.25" customHeight="1">
      <c r="C5257" s="4"/>
      <c r="D5257" s="4"/>
      <c r="E5257" s="5"/>
      <c r="G5257" s="31"/>
      <c r="I5257" s="9"/>
      <c r="J5257" s="24"/>
      <c r="K5257" s="9"/>
      <c r="L5257" s="25"/>
      <c r="M5257" s="7"/>
      <c r="N5257" s="8"/>
      <c r="O5257" s="11"/>
      <c r="P5257" s="11"/>
      <c r="Q5257" s="8"/>
      <c r="S5257" s="3"/>
      <c r="T5257" s="3"/>
      <c r="U5257" s="7"/>
      <c r="V5257" s="436"/>
      <c r="X5257" s="8"/>
      <c r="Y5257" s="8"/>
      <c r="AH5257" s="3"/>
      <c r="AI5257" s="3"/>
      <c r="AJ5257" s="3"/>
    </row>
    <row r="5258" spans="3:36" s="6" customFormat="1" ht="11.25" customHeight="1">
      <c r="C5258" s="4"/>
      <c r="D5258" s="4"/>
      <c r="E5258" s="5"/>
      <c r="G5258" s="31"/>
      <c r="I5258" s="9"/>
      <c r="J5258" s="24"/>
      <c r="K5258" s="9"/>
      <c r="L5258" s="25"/>
      <c r="M5258" s="7"/>
      <c r="N5258" s="8"/>
      <c r="O5258" s="11"/>
      <c r="P5258" s="11"/>
      <c r="Q5258" s="8"/>
      <c r="S5258" s="3"/>
      <c r="T5258" s="3"/>
      <c r="U5258" s="7"/>
      <c r="V5258" s="436"/>
      <c r="X5258" s="8"/>
      <c r="Y5258" s="8"/>
      <c r="AH5258" s="3"/>
      <c r="AI5258" s="3"/>
      <c r="AJ5258" s="3"/>
    </row>
    <row r="5259" spans="3:36" s="6" customFormat="1" ht="11.25" customHeight="1">
      <c r="C5259" s="4"/>
      <c r="D5259" s="4"/>
      <c r="E5259" s="5"/>
      <c r="G5259" s="31"/>
      <c r="I5259" s="9"/>
      <c r="J5259" s="24"/>
      <c r="K5259" s="9"/>
      <c r="L5259" s="25"/>
      <c r="M5259" s="7"/>
      <c r="N5259" s="8"/>
      <c r="O5259" s="11"/>
      <c r="P5259" s="11"/>
      <c r="Q5259" s="8"/>
      <c r="S5259" s="3"/>
      <c r="T5259" s="3"/>
      <c r="U5259" s="7"/>
      <c r="V5259" s="436"/>
      <c r="X5259" s="8"/>
      <c r="Y5259" s="8"/>
      <c r="AH5259" s="3"/>
      <c r="AI5259" s="3"/>
      <c r="AJ5259" s="3"/>
    </row>
    <row r="5260" spans="3:36" s="6" customFormat="1" ht="11.25" customHeight="1">
      <c r="C5260" s="4"/>
      <c r="D5260" s="4"/>
      <c r="E5260" s="5"/>
      <c r="G5260" s="31"/>
      <c r="I5260" s="9"/>
      <c r="J5260" s="24"/>
      <c r="K5260" s="9"/>
      <c r="L5260" s="25"/>
      <c r="M5260" s="47"/>
      <c r="N5260" s="8"/>
      <c r="O5260" s="11"/>
      <c r="P5260" s="11"/>
      <c r="Q5260" s="8"/>
      <c r="S5260" s="3"/>
      <c r="T5260" s="3"/>
      <c r="U5260" s="7"/>
      <c r="V5260" s="436"/>
      <c r="X5260" s="8"/>
      <c r="Y5260" s="8"/>
      <c r="AH5260" s="3"/>
      <c r="AI5260" s="3"/>
      <c r="AJ5260" s="3"/>
    </row>
    <row r="5261" spans="3:36" s="6" customFormat="1" ht="11.25" customHeight="1">
      <c r="C5261" s="4"/>
      <c r="D5261" s="4"/>
      <c r="E5261" s="5"/>
      <c r="G5261" s="31"/>
      <c r="I5261" s="9"/>
      <c r="J5261" s="24"/>
      <c r="K5261" s="9"/>
      <c r="L5261" s="25"/>
      <c r="M5261" s="47"/>
      <c r="N5261" s="8"/>
      <c r="O5261" s="11"/>
      <c r="P5261" s="11"/>
      <c r="Q5261" s="8"/>
      <c r="S5261" s="3"/>
      <c r="T5261" s="3"/>
      <c r="U5261" s="7"/>
      <c r="V5261" s="436"/>
      <c r="X5261" s="8"/>
      <c r="Y5261" s="8"/>
      <c r="AH5261" s="3"/>
      <c r="AI5261" s="3"/>
      <c r="AJ5261" s="3"/>
    </row>
    <row r="5262" spans="3:36" s="6" customFormat="1" ht="11.25" customHeight="1">
      <c r="C5262" s="4"/>
      <c r="D5262" s="4"/>
      <c r="E5262" s="5"/>
      <c r="G5262" s="31"/>
      <c r="I5262" s="9"/>
      <c r="J5262" s="24"/>
      <c r="K5262" s="9"/>
      <c r="L5262" s="25"/>
      <c r="M5262" s="25"/>
      <c r="N5262" s="8"/>
      <c r="O5262" s="11"/>
      <c r="P5262" s="11"/>
      <c r="Q5262" s="8"/>
      <c r="S5262" s="3"/>
      <c r="T5262" s="3"/>
      <c r="U5262" s="7"/>
      <c r="V5262" s="436"/>
      <c r="X5262" s="8"/>
      <c r="Y5262" s="8"/>
      <c r="AH5262" s="3"/>
      <c r="AI5262" s="3"/>
      <c r="AJ5262" s="3"/>
    </row>
    <row r="5263" spans="3:36" s="6" customFormat="1" ht="11.25" customHeight="1">
      <c r="C5263" s="4"/>
      <c r="D5263" s="4"/>
      <c r="E5263" s="5"/>
      <c r="G5263" s="31"/>
      <c r="I5263" s="9"/>
      <c r="J5263" s="24"/>
      <c r="K5263" s="9"/>
      <c r="L5263" s="25"/>
      <c r="M5263" s="25"/>
      <c r="N5263" s="8"/>
      <c r="O5263" s="11"/>
      <c r="P5263" s="11"/>
      <c r="Q5263" s="8"/>
      <c r="S5263" s="3"/>
      <c r="T5263" s="3"/>
      <c r="U5263" s="7"/>
      <c r="V5263" s="436"/>
      <c r="X5263" s="8"/>
      <c r="Y5263" s="8"/>
      <c r="AH5263" s="3"/>
      <c r="AI5263" s="3"/>
      <c r="AJ5263" s="3"/>
    </row>
    <row r="5264" spans="3:36" s="6" customFormat="1" ht="11.25" customHeight="1">
      <c r="C5264" s="4"/>
      <c r="D5264" s="4"/>
      <c r="E5264" s="5"/>
      <c r="G5264" s="31"/>
      <c r="I5264" s="9"/>
      <c r="J5264" s="24"/>
      <c r="K5264" s="9"/>
      <c r="L5264" s="25"/>
      <c r="M5264" s="25"/>
      <c r="N5264" s="8"/>
      <c r="O5264" s="11"/>
      <c r="P5264" s="11"/>
      <c r="Q5264" s="8"/>
      <c r="S5264" s="3"/>
      <c r="T5264" s="3"/>
      <c r="U5264" s="7"/>
      <c r="V5264" s="436"/>
      <c r="X5264" s="8"/>
      <c r="Y5264" s="8"/>
      <c r="AH5264" s="3"/>
      <c r="AI5264" s="3"/>
      <c r="AJ5264" s="3"/>
    </row>
    <row r="5265" spans="3:36" s="6" customFormat="1" ht="11.25" customHeight="1">
      <c r="C5265" s="4"/>
      <c r="D5265" s="4"/>
      <c r="E5265" s="5"/>
      <c r="G5265" s="31"/>
      <c r="I5265" s="9"/>
      <c r="J5265" s="24"/>
      <c r="K5265" s="9"/>
      <c r="L5265" s="25"/>
      <c r="M5265" s="25"/>
      <c r="N5265" s="8"/>
      <c r="O5265" s="11"/>
      <c r="P5265" s="11"/>
      <c r="Q5265" s="8"/>
      <c r="S5265" s="3"/>
      <c r="T5265" s="3"/>
      <c r="U5265" s="7"/>
      <c r="V5265" s="436"/>
      <c r="X5265" s="8"/>
      <c r="Y5265" s="8"/>
      <c r="AH5265" s="3"/>
      <c r="AI5265" s="3"/>
      <c r="AJ5265" s="3"/>
    </row>
    <row r="5266" spans="3:36" s="6" customFormat="1" ht="11.25" customHeight="1">
      <c r="C5266" s="4"/>
      <c r="D5266" s="4"/>
      <c r="E5266" s="5"/>
      <c r="G5266" s="31"/>
      <c r="I5266" s="9"/>
      <c r="J5266" s="24"/>
      <c r="K5266" s="9"/>
      <c r="L5266" s="25"/>
      <c r="M5266" s="25"/>
      <c r="N5266" s="8"/>
      <c r="O5266" s="11"/>
      <c r="P5266" s="11"/>
      <c r="Q5266" s="8"/>
      <c r="S5266" s="3"/>
      <c r="T5266" s="3"/>
      <c r="U5266" s="7"/>
      <c r="V5266" s="436"/>
      <c r="X5266" s="8"/>
      <c r="Y5266" s="8"/>
      <c r="AH5266" s="3"/>
      <c r="AI5266" s="3"/>
      <c r="AJ5266" s="3"/>
    </row>
    <row r="5267" spans="3:36" s="6" customFormat="1" ht="11.25" customHeight="1">
      <c r="C5267" s="4"/>
      <c r="D5267" s="4"/>
      <c r="E5267" s="5"/>
      <c r="G5267" s="31"/>
      <c r="I5267" s="9"/>
      <c r="J5267" s="24"/>
      <c r="K5267" s="9"/>
      <c r="L5267" s="25"/>
      <c r="M5267" s="25"/>
      <c r="N5267" s="8"/>
      <c r="O5267" s="11"/>
      <c r="P5267" s="11"/>
      <c r="Q5267" s="8"/>
      <c r="S5267" s="3"/>
      <c r="T5267" s="3"/>
      <c r="U5267" s="7"/>
      <c r="V5267" s="436"/>
      <c r="X5267" s="8"/>
      <c r="Y5267" s="8"/>
      <c r="AH5267" s="3"/>
      <c r="AI5267" s="3"/>
      <c r="AJ5267" s="3"/>
    </row>
    <row r="5268" spans="3:36" s="6" customFormat="1" ht="11.25" customHeight="1">
      <c r="C5268" s="4"/>
      <c r="D5268" s="4"/>
      <c r="E5268" s="5"/>
      <c r="G5268" s="31"/>
      <c r="I5268" s="9"/>
      <c r="J5268" s="24"/>
      <c r="K5268" s="9"/>
      <c r="L5268" s="25"/>
      <c r="M5268" s="25"/>
      <c r="N5268" s="8"/>
      <c r="O5268" s="11"/>
      <c r="P5268" s="11"/>
      <c r="Q5268" s="8"/>
      <c r="S5268" s="3"/>
      <c r="T5268" s="3"/>
      <c r="U5268" s="7"/>
      <c r="V5268" s="436"/>
      <c r="X5268" s="8"/>
      <c r="Y5268" s="8"/>
      <c r="AH5268" s="3"/>
      <c r="AI5268" s="3"/>
      <c r="AJ5268" s="3"/>
    </row>
    <row r="5269" spans="3:36" s="6" customFormat="1" ht="11.25" customHeight="1">
      <c r="C5269" s="4"/>
      <c r="D5269" s="4"/>
      <c r="E5269" s="5"/>
      <c r="G5269" s="31"/>
      <c r="I5269" s="9"/>
      <c r="J5269" s="24"/>
      <c r="K5269" s="9"/>
      <c r="L5269" s="25"/>
      <c r="M5269" s="25"/>
      <c r="N5269" s="8"/>
      <c r="O5269" s="11"/>
      <c r="P5269" s="11"/>
      <c r="Q5269" s="8"/>
      <c r="S5269" s="3"/>
      <c r="T5269" s="3"/>
      <c r="U5269" s="7"/>
      <c r="V5269" s="436"/>
      <c r="X5269" s="8"/>
      <c r="Y5269" s="8"/>
      <c r="AH5269" s="3"/>
      <c r="AI5269" s="3"/>
      <c r="AJ5269" s="3"/>
    </row>
    <row r="5270" spans="3:36" s="6" customFormat="1" ht="11.25" customHeight="1">
      <c r="C5270" s="4"/>
      <c r="D5270" s="4"/>
      <c r="E5270" s="5"/>
      <c r="G5270" s="31"/>
      <c r="I5270" s="9"/>
      <c r="J5270" s="24"/>
      <c r="K5270" s="9"/>
      <c r="L5270" s="25"/>
      <c r="M5270" s="25"/>
      <c r="N5270" s="8"/>
      <c r="O5270" s="11"/>
      <c r="P5270" s="11"/>
      <c r="Q5270" s="8"/>
      <c r="S5270" s="3"/>
      <c r="T5270" s="3"/>
      <c r="U5270" s="7"/>
      <c r="V5270" s="436"/>
      <c r="X5270" s="8"/>
      <c r="Y5270" s="8"/>
      <c r="AH5270" s="3"/>
      <c r="AI5270" s="3"/>
      <c r="AJ5270" s="3"/>
    </row>
    <row r="5271" spans="3:36" s="6" customFormat="1" ht="11.25" customHeight="1">
      <c r="C5271" s="4"/>
      <c r="D5271" s="4"/>
      <c r="E5271" s="5"/>
      <c r="G5271" s="31"/>
      <c r="I5271" s="9"/>
      <c r="J5271" s="24"/>
      <c r="K5271" s="9"/>
      <c r="L5271" s="25"/>
      <c r="M5271" s="47"/>
      <c r="N5271" s="8"/>
      <c r="O5271" s="11"/>
      <c r="P5271" s="11"/>
      <c r="Q5271" s="8"/>
      <c r="S5271" s="3"/>
      <c r="T5271" s="3"/>
      <c r="U5271" s="7"/>
      <c r="V5271" s="436"/>
      <c r="X5271" s="8"/>
      <c r="Y5271" s="8"/>
      <c r="AH5271" s="3"/>
      <c r="AI5271" s="3"/>
      <c r="AJ5271" s="3"/>
    </row>
    <row r="5272" spans="3:36" s="6" customFormat="1" ht="11.25" customHeight="1">
      <c r="C5272" s="4"/>
      <c r="D5272" s="4"/>
      <c r="E5272" s="5"/>
      <c r="G5272" s="31"/>
      <c r="I5272" s="9"/>
      <c r="J5272" s="24"/>
      <c r="K5272" s="9"/>
      <c r="L5272" s="25"/>
      <c r="M5272" s="25"/>
      <c r="N5272" s="8"/>
      <c r="O5272" s="11"/>
      <c r="P5272" s="11"/>
      <c r="Q5272" s="8"/>
      <c r="S5272" s="3"/>
      <c r="T5272" s="3"/>
      <c r="U5272" s="7"/>
      <c r="V5272" s="436"/>
      <c r="X5272" s="8"/>
      <c r="Y5272" s="8"/>
      <c r="AH5272" s="3"/>
      <c r="AI5272" s="3"/>
      <c r="AJ5272" s="3"/>
    </row>
    <row r="5273" spans="3:36" s="6" customFormat="1" ht="11.25" customHeight="1">
      <c r="C5273" s="4"/>
      <c r="D5273" s="4"/>
      <c r="E5273" s="5"/>
      <c r="G5273" s="31"/>
      <c r="I5273" s="9"/>
      <c r="J5273" s="24"/>
      <c r="K5273" s="9"/>
      <c r="L5273" s="25"/>
      <c r="M5273" s="25"/>
      <c r="N5273" s="8"/>
      <c r="O5273" s="11"/>
      <c r="P5273" s="11"/>
      <c r="Q5273" s="8"/>
      <c r="S5273" s="3"/>
      <c r="T5273" s="3"/>
      <c r="U5273" s="7"/>
      <c r="V5273" s="436"/>
      <c r="X5273" s="8"/>
      <c r="Y5273" s="8"/>
      <c r="AH5273" s="3"/>
      <c r="AI5273" s="3"/>
      <c r="AJ5273" s="3"/>
    </row>
    <row r="5274" spans="3:36" s="6" customFormat="1" ht="11.25" customHeight="1">
      <c r="C5274" s="4"/>
      <c r="D5274" s="4"/>
      <c r="E5274" s="5"/>
      <c r="G5274" s="31"/>
      <c r="I5274" s="9"/>
      <c r="J5274" s="24"/>
      <c r="K5274" s="9"/>
      <c r="L5274" s="25"/>
      <c r="M5274" s="25"/>
      <c r="N5274" s="8"/>
      <c r="O5274" s="11"/>
      <c r="P5274" s="11"/>
      <c r="Q5274" s="8"/>
      <c r="S5274" s="3"/>
      <c r="T5274" s="3"/>
      <c r="U5274" s="7"/>
      <c r="V5274" s="436"/>
      <c r="X5274" s="8"/>
      <c r="Y5274" s="8"/>
      <c r="AH5274" s="3"/>
      <c r="AI5274" s="3"/>
      <c r="AJ5274" s="3"/>
    </row>
    <row r="5275" spans="3:36" s="6" customFormat="1" ht="11.25" customHeight="1">
      <c r="C5275" s="4"/>
      <c r="D5275" s="4"/>
      <c r="E5275" s="5"/>
      <c r="G5275" s="31"/>
      <c r="I5275" s="9"/>
      <c r="J5275" s="24"/>
      <c r="K5275" s="9"/>
      <c r="L5275" s="25"/>
      <c r="M5275" s="25"/>
      <c r="N5275" s="8"/>
      <c r="O5275" s="11"/>
      <c r="P5275" s="11"/>
      <c r="Q5275" s="8"/>
      <c r="S5275" s="3"/>
      <c r="T5275" s="3"/>
      <c r="U5275" s="7"/>
      <c r="V5275" s="436"/>
      <c r="X5275" s="8"/>
      <c r="Y5275" s="8"/>
      <c r="AH5275" s="3"/>
      <c r="AI5275" s="3"/>
      <c r="AJ5275" s="3"/>
    </row>
    <row r="5276" spans="3:36" s="6" customFormat="1" ht="11.25" customHeight="1">
      <c r="C5276" s="4"/>
      <c r="D5276" s="4"/>
      <c r="E5276" s="5"/>
      <c r="G5276" s="31"/>
      <c r="I5276" s="9"/>
      <c r="J5276" s="24"/>
      <c r="K5276" s="9"/>
      <c r="L5276" s="25"/>
      <c r="M5276" s="25"/>
      <c r="N5276" s="8"/>
      <c r="O5276" s="11"/>
      <c r="P5276" s="11"/>
      <c r="Q5276" s="8"/>
      <c r="S5276" s="3"/>
      <c r="T5276" s="3"/>
      <c r="U5276" s="7"/>
      <c r="V5276" s="436"/>
      <c r="X5276" s="8"/>
      <c r="Y5276" s="8"/>
      <c r="AH5276" s="3"/>
      <c r="AI5276" s="3"/>
      <c r="AJ5276" s="3"/>
    </row>
    <row r="5277" spans="3:36" s="6" customFormat="1" ht="11.25" customHeight="1">
      <c r="C5277" s="4"/>
      <c r="D5277" s="4"/>
      <c r="E5277" s="5"/>
      <c r="G5277" s="31"/>
      <c r="I5277" s="9"/>
      <c r="J5277" s="24"/>
      <c r="K5277" s="9"/>
      <c r="L5277" s="25"/>
      <c r="M5277" s="25"/>
      <c r="N5277" s="8"/>
      <c r="O5277" s="11"/>
      <c r="P5277" s="11"/>
      <c r="Q5277" s="8"/>
      <c r="S5277" s="3"/>
      <c r="T5277" s="3"/>
      <c r="U5277" s="7"/>
      <c r="V5277" s="436"/>
      <c r="X5277" s="8"/>
      <c r="Y5277" s="8"/>
      <c r="AH5277" s="3"/>
      <c r="AI5277" s="3"/>
      <c r="AJ5277" s="3"/>
    </row>
    <row r="5278" spans="3:36" s="6" customFormat="1" ht="11.25" customHeight="1">
      <c r="C5278" s="4"/>
      <c r="D5278" s="4"/>
      <c r="E5278" s="5"/>
      <c r="G5278" s="31"/>
      <c r="I5278" s="9"/>
      <c r="J5278" s="24"/>
      <c r="K5278" s="9"/>
      <c r="L5278" s="25"/>
      <c r="M5278" s="25"/>
      <c r="N5278" s="8"/>
      <c r="O5278" s="11"/>
      <c r="P5278" s="11"/>
      <c r="Q5278" s="8"/>
      <c r="S5278" s="3"/>
      <c r="T5278" s="3"/>
      <c r="U5278" s="7"/>
      <c r="V5278" s="436"/>
      <c r="X5278" s="8"/>
      <c r="Y5278" s="8"/>
      <c r="AH5278" s="3"/>
      <c r="AI5278" s="3"/>
      <c r="AJ5278" s="3"/>
    </row>
    <row r="5279" spans="3:36" s="6" customFormat="1" ht="11.25" customHeight="1">
      <c r="C5279" s="4"/>
      <c r="D5279" s="4"/>
      <c r="E5279" s="5"/>
      <c r="G5279" s="31"/>
      <c r="I5279" s="9"/>
      <c r="J5279" s="24"/>
      <c r="K5279" s="9"/>
      <c r="L5279" s="25"/>
      <c r="M5279" s="25"/>
      <c r="N5279" s="8"/>
      <c r="O5279" s="11"/>
      <c r="P5279" s="11"/>
      <c r="Q5279" s="8"/>
      <c r="S5279" s="3"/>
      <c r="T5279" s="3"/>
      <c r="U5279" s="7"/>
      <c r="V5279" s="436"/>
      <c r="X5279" s="8"/>
      <c r="Y5279" s="8"/>
      <c r="AH5279" s="3"/>
      <c r="AI5279" s="3"/>
      <c r="AJ5279" s="3"/>
    </row>
    <row r="5280" spans="3:36" s="6" customFormat="1" ht="11.25" customHeight="1">
      <c r="C5280" s="4"/>
      <c r="D5280" s="4"/>
      <c r="E5280" s="5"/>
      <c r="G5280" s="31"/>
      <c r="I5280" s="9"/>
      <c r="J5280" s="24"/>
      <c r="K5280" s="9"/>
      <c r="L5280" s="25"/>
      <c r="M5280" s="25"/>
      <c r="N5280" s="8"/>
      <c r="O5280" s="11"/>
      <c r="P5280" s="11"/>
      <c r="Q5280" s="8"/>
      <c r="S5280" s="3"/>
      <c r="T5280" s="3"/>
      <c r="U5280" s="7"/>
      <c r="V5280" s="436"/>
      <c r="X5280" s="8"/>
      <c r="Y5280" s="8"/>
      <c r="AH5280" s="3"/>
      <c r="AI5280" s="3"/>
      <c r="AJ5280" s="3"/>
    </row>
    <row r="5281" spans="3:36" s="6" customFormat="1" ht="11.25" customHeight="1">
      <c r="C5281" s="4"/>
      <c r="D5281" s="4"/>
      <c r="E5281" s="5"/>
      <c r="G5281" s="31"/>
      <c r="I5281" s="9"/>
      <c r="J5281" s="24"/>
      <c r="K5281" s="9"/>
      <c r="L5281" s="25"/>
      <c r="M5281" s="25"/>
      <c r="N5281" s="8"/>
      <c r="O5281" s="11"/>
      <c r="P5281" s="11"/>
      <c r="Q5281" s="8"/>
      <c r="S5281" s="3"/>
      <c r="T5281" s="3"/>
      <c r="U5281" s="7"/>
      <c r="V5281" s="436"/>
      <c r="X5281" s="8"/>
      <c r="Y5281" s="8"/>
      <c r="AH5281" s="3"/>
      <c r="AI5281" s="3"/>
      <c r="AJ5281" s="3"/>
    </row>
    <row r="5282" spans="3:36" s="6" customFormat="1" ht="11.25" customHeight="1">
      <c r="C5282" s="4"/>
      <c r="D5282" s="4"/>
      <c r="E5282" s="5"/>
      <c r="G5282" s="31"/>
      <c r="I5282" s="9"/>
      <c r="J5282" s="24"/>
      <c r="K5282" s="9"/>
      <c r="L5282" s="25"/>
      <c r="M5282" s="25"/>
      <c r="N5282" s="8"/>
      <c r="O5282" s="11"/>
      <c r="P5282" s="11"/>
      <c r="Q5282" s="8"/>
      <c r="S5282" s="3"/>
      <c r="T5282" s="3"/>
      <c r="U5282" s="7"/>
      <c r="V5282" s="436"/>
      <c r="X5282" s="8"/>
      <c r="Y5282" s="8"/>
      <c r="AH5282" s="3"/>
      <c r="AI5282" s="3"/>
      <c r="AJ5282" s="3"/>
    </row>
    <row r="5283" spans="3:36" s="6" customFormat="1" ht="11.25" customHeight="1">
      <c r="C5283" s="4"/>
      <c r="D5283" s="4"/>
      <c r="E5283" s="5"/>
      <c r="G5283" s="31"/>
      <c r="I5283" s="9"/>
      <c r="J5283" s="24"/>
      <c r="K5283" s="9"/>
      <c r="L5283" s="25"/>
      <c r="M5283" s="25"/>
      <c r="N5283" s="8"/>
      <c r="O5283" s="11"/>
      <c r="P5283" s="11"/>
      <c r="Q5283" s="8"/>
      <c r="S5283" s="3"/>
      <c r="T5283" s="3"/>
      <c r="U5283" s="7"/>
      <c r="V5283" s="436"/>
      <c r="X5283" s="8"/>
      <c r="Y5283" s="8"/>
      <c r="AH5283" s="3"/>
      <c r="AI5283" s="3"/>
      <c r="AJ5283" s="3"/>
    </row>
    <row r="5284" spans="3:36" s="6" customFormat="1" ht="11.25" customHeight="1">
      <c r="C5284" s="4"/>
      <c r="D5284" s="4"/>
      <c r="E5284" s="5"/>
      <c r="G5284" s="31"/>
      <c r="I5284" s="9"/>
      <c r="J5284" s="24"/>
      <c r="K5284" s="9"/>
      <c r="L5284" s="25"/>
      <c r="M5284" s="25"/>
      <c r="N5284" s="8"/>
      <c r="O5284" s="11"/>
      <c r="P5284" s="11"/>
      <c r="Q5284" s="8"/>
      <c r="S5284" s="3"/>
      <c r="T5284" s="3"/>
      <c r="U5284" s="7"/>
      <c r="V5284" s="436"/>
      <c r="X5284" s="8"/>
      <c r="Y5284" s="8"/>
      <c r="AH5284" s="3"/>
      <c r="AI5284" s="3"/>
      <c r="AJ5284" s="3"/>
    </row>
    <row r="5285" spans="3:36" s="6" customFormat="1" ht="11.25" customHeight="1">
      <c r="C5285" s="4"/>
      <c r="D5285" s="4"/>
      <c r="E5285" s="5"/>
      <c r="G5285" s="31"/>
      <c r="I5285" s="9"/>
      <c r="J5285" s="24"/>
      <c r="K5285" s="9"/>
      <c r="L5285" s="25"/>
      <c r="M5285" s="25"/>
      <c r="N5285" s="8"/>
      <c r="O5285" s="11"/>
      <c r="P5285" s="11"/>
      <c r="Q5285" s="8"/>
      <c r="S5285" s="3"/>
      <c r="T5285" s="3"/>
      <c r="U5285" s="7"/>
      <c r="V5285" s="436"/>
      <c r="X5285" s="8"/>
      <c r="Y5285" s="8"/>
      <c r="AH5285" s="3"/>
      <c r="AI5285" s="3"/>
      <c r="AJ5285" s="3"/>
    </row>
    <row r="5286" spans="3:36" s="6" customFormat="1" ht="11.25" customHeight="1">
      <c r="C5286" s="4"/>
      <c r="D5286" s="4"/>
      <c r="E5286" s="5"/>
      <c r="G5286" s="31"/>
      <c r="I5286" s="9"/>
      <c r="J5286" s="24"/>
      <c r="K5286" s="9"/>
      <c r="L5286" s="25"/>
      <c r="M5286" s="25"/>
      <c r="N5286" s="8"/>
      <c r="O5286" s="11"/>
      <c r="P5286" s="11"/>
      <c r="Q5286" s="8"/>
      <c r="S5286" s="3"/>
      <c r="T5286" s="3"/>
      <c r="U5286" s="7"/>
      <c r="V5286" s="436"/>
      <c r="X5286" s="8"/>
      <c r="Y5286" s="8"/>
      <c r="AH5286" s="3"/>
      <c r="AI5286" s="3"/>
      <c r="AJ5286" s="3"/>
    </row>
    <row r="5287" spans="3:36" s="6" customFormat="1" ht="11.25" customHeight="1">
      <c r="C5287" s="4"/>
      <c r="D5287" s="4"/>
      <c r="E5287" s="5"/>
      <c r="G5287" s="31"/>
      <c r="I5287" s="9"/>
      <c r="J5287" s="24"/>
      <c r="K5287" s="9"/>
      <c r="L5287" s="25"/>
      <c r="M5287" s="25"/>
      <c r="N5287" s="8"/>
      <c r="O5287" s="11"/>
      <c r="P5287" s="11"/>
      <c r="Q5287" s="8"/>
      <c r="S5287" s="3"/>
      <c r="T5287" s="3"/>
      <c r="U5287" s="7"/>
      <c r="V5287" s="436"/>
      <c r="X5287" s="8"/>
      <c r="Y5287" s="8"/>
      <c r="AH5287" s="3"/>
      <c r="AI5287" s="3"/>
      <c r="AJ5287" s="3"/>
    </row>
    <row r="5288" spans="3:36" s="6" customFormat="1" ht="11.25" customHeight="1">
      <c r="C5288" s="4"/>
      <c r="D5288" s="4"/>
      <c r="E5288" s="5"/>
      <c r="G5288" s="31"/>
      <c r="I5288" s="9"/>
      <c r="J5288" s="24"/>
      <c r="K5288" s="9"/>
      <c r="L5288" s="25"/>
      <c r="M5288" s="25"/>
      <c r="N5288" s="8"/>
      <c r="O5288" s="11"/>
      <c r="P5288" s="11"/>
      <c r="Q5288" s="8"/>
      <c r="S5288" s="3"/>
      <c r="T5288" s="3"/>
      <c r="U5288" s="7"/>
      <c r="V5288" s="436"/>
      <c r="X5288" s="8"/>
      <c r="Y5288" s="8"/>
      <c r="AH5288" s="3"/>
      <c r="AI5288" s="3"/>
      <c r="AJ5288" s="3"/>
    </row>
    <row r="5289" spans="3:36" s="6" customFormat="1" ht="11.25" customHeight="1">
      <c r="C5289" s="4"/>
      <c r="D5289" s="4"/>
      <c r="E5289" s="5"/>
      <c r="G5289" s="31"/>
      <c r="I5289" s="9"/>
      <c r="J5289" s="24"/>
      <c r="K5289" s="9"/>
      <c r="L5289" s="25"/>
      <c r="M5289" s="25"/>
      <c r="N5289" s="8"/>
      <c r="O5289" s="11"/>
      <c r="P5289" s="11"/>
      <c r="Q5289" s="8"/>
      <c r="S5289" s="3"/>
      <c r="T5289" s="3"/>
      <c r="U5289" s="7"/>
      <c r="V5289" s="436"/>
      <c r="X5289" s="8"/>
      <c r="Y5289" s="8"/>
      <c r="AH5289" s="3"/>
      <c r="AI5289" s="3"/>
      <c r="AJ5289" s="3"/>
    </row>
    <row r="5290" spans="3:36" s="6" customFormat="1" ht="11.25" customHeight="1">
      <c r="C5290" s="4"/>
      <c r="D5290" s="4"/>
      <c r="E5290" s="5"/>
      <c r="G5290" s="31"/>
      <c r="I5290" s="9"/>
      <c r="J5290" s="24"/>
      <c r="K5290" s="9"/>
      <c r="L5290" s="25"/>
      <c r="M5290" s="25"/>
      <c r="N5290" s="8"/>
      <c r="O5290" s="11"/>
      <c r="P5290" s="11"/>
      <c r="Q5290" s="8"/>
      <c r="S5290" s="3"/>
      <c r="T5290" s="3"/>
      <c r="U5290" s="7"/>
      <c r="V5290" s="436"/>
      <c r="X5290" s="8"/>
      <c r="Y5290" s="8"/>
      <c r="AH5290" s="3"/>
      <c r="AI5290" s="3"/>
      <c r="AJ5290" s="3"/>
    </row>
    <row r="5291" spans="3:36" s="6" customFormat="1" ht="11.25" customHeight="1">
      <c r="C5291" s="4"/>
      <c r="D5291" s="4"/>
      <c r="E5291" s="5"/>
      <c r="G5291" s="31"/>
      <c r="I5291" s="9"/>
      <c r="J5291" s="24"/>
      <c r="K5291" s="9"/>
      <c r="L5291" s="25"/>
      <c r="M5291" s="25"/>
      <c r="N5291" s="8"/>
      <c r="O5291" s="11"/>
      <c r="P5291" s="11"/>
      <c r="Q5291" s="8"/>
      <c r="S5291" s="3"/>
      <c r="T5291" s="3"/>
      <c r="U5291" s="7"/>
      <c r="V5291" s="436"/>
      <c r="X5291" s="8"/>
      <c r="Y5291" s="8"/>
      <c r="AH5291" s="3"/>
      <c r="AI5291" s="3"/>
      <c r="AJ5291" s="3"/>
    </row>
    <row r="5292" spans="3:36" s="6" customFormat="1" ht="11.25" customHeight="1">
      <c r="C5292" s="4"/>
      <c r="D5292" s="4"/>
      <c r="E5292" s="5"/>
      <c r="G5292" s="31"/>
      <c r="I5292" s="9"/>
      <c r="J5292" s="24"/>
      <c r="K5292" s="9"/>
      <c r="L5292" s="25"/>
      <c r="M5292" s="25"/>
      <c r="N5292" s="8"/>
      <c r="O5292" s="11"/>
      <c r="P5292" s="11"/>
      <c r="Q5292" s="8"/>
      <c r="S5292" s="3"/>
      <c r="T5292" s="3"/>
      <c r="U5292" s="7"/>
      <c r="V5292" s="436"/>
      <c r="X5292" s="8"/>
      <c r="Y5292" s="8"/>
      <c r="AH5292" s="3"/>
      <c r="AI5292" s="3"/>
      <c r="AJ5292" s="3"/>
    </row>
    <row r="5293" spans="3:36" s="6" customFormat="1" ht="11.25" customHeight="1">
      <c r="C5293" s="4"/>
      <c r="D5293" s="4"/>
      <c r="E5293" s="5"/>
      <c r="G5293" s="31"/>
      <c r="I5293" s="9"/>
      <c r="J5293" s="24"/>
      <c r="K5293" s="9"/>
      <c r="L5293" s="25"/>
      <c r="M5293" s="25"/>
      <c r="N5293" s="8"/>
      <c r="O5293" s="11"/>
      <c r="P5293" s="11"/>
      <c r="Q5293" s="8"/>
      <c r="S5293" s="3"/>
      <c r="T5293" s="3"/>
      <c r="U5293" s="7"/>
      <c r="V5293" s="436"/>
      <c r="X5293" s="8"/>
      <c r="Y5293" s="8"/>
      <c r="AH5293" s="3"/>
      <c r="AI5293" s="3"/>
      <c r="AJ5293" s="3"/>
    </row>
    <row r="5294" spans="3:36" s="6" customFormat="1" ht="11.25" customHeight="1">
      <c r="C5294" s="4"/>
      <c r="D5294" s="4"/>
      <c r="E5294" s="5"/>
      <c r="G5294" s="31"/>
      <c r="I5294" s="9"/>
      <c r="J5294" s="24"/>
      <c r="K5294" s="9"/>
      <c r="L5294" s="25"/>
      <c r="M5294" s="25"/>
      <c r="N5294" s="8"/>
      <c r="O5294" s="11"/>
      <c r="P5294" s="11"/>
      <c r="Q5294" s="8"/>
      <c r="S5294" s="3"/>
      <c r="T5294" s="3"/>
      <c r="U5294" s="7"/>
      <c r="V5294" s="436"/>
      <c r="X5294" s="8"/>
      <c r="Y5294" s="8"/>
      <c r="AH5294" s="3"/>
      <c r="AI5294" s="3"/>
      <c r="AJ5294" s="3"/>
    </row>
    <row r="5295" spans="3:36" s="6" customFormat="1" ht="11.25" customHeight="1">
      <c r="C5295" s="4"/>
      <c r="D5295" s="4"/>
      <c r="E5295" s="5"/>
      <c r="G5295" s="31"/>
      <c r="I5295" s="9"/>
      <c r="J5295" s="24"/>
      <c r="K5295" s="9"/>
      <c r="L5295" s="25"/>
      <c r="M5295" s="25"/>
      <c r="N5295" s="8"/>
      <c r="O5295" s="11"/>
      <c r="P5295" s="11"/>
      <c r="Q5295" s="8"/>
      <c r="S5295" s="3"/>
      <c r="T5295" s="3"/>
      <c r="U5295" s="7"/>
      <c r="V5295" s="436"/>
      <c r="X5295" s="8"/>
      <c r="Y5295" s="8"/>
      <c r="AH5295" s="3"/>
      <c r="AI5295" s="3"/>
      <c r="AJ5295" s="3"/>
    </row>
    <row r="5296" spans="3:36" s="6" customFormat="1" ht="11.25" customHeight="1">
      <c r="C5296" s="4"/>
      <c r="D5296" s="4"/>
      <c r="E5296" s="5"/>
      <c r="G5296" s="31"/>
      <c r="I5296" s="9"/>
      <c r="J5296" s="24"/>
      <c r="K5296" s="9"/>
      <c r="L5296" s="25"/>
      <c r="M5296" s="25"/>
      <c r="N5296" s="8"/>
      <c r="O5296" s="11"/>
      <c r="P5296" s="11"/>
      <c r="Q5296" s="8"/>
      <c r="S5296" s="3"/>
      <c r="T5296" s="3"/>
      <c r="U5296" s="7"/>
      <c r="V5296" s="436"/>
      <c r="X5296" s="8"/>
      <c r="Y5296" s="8"/>
      <c r="AH5296" s="3"/>
      <c r="AI5296" s="3"/>
      <c r="AJ5296" s="3"/>
    </row>
    <row r="5297" spans="3:36" s="6" customFormat="1" ht="11.25" customHeight="1">
      <c r="C5297" s="4"/>
      <c r="D5297" s="4"/>
      <c r="E5297" s="5"/>
      <c r="G5297" s="31"/>
      <c r="I5297" s="9"/>
      <c r="J5297" s="24"/>
      <c r="K5297" s="9"/>
      <c r="L5297" s="25"/>
      <c r="M5297" s="25"/>
      <c r="N5297" s="8"/>
      <c r="O5297" s="11"/>
      <c r="P5297" s="11"/>
      <c r="Q5297" s="8"/>
      <c r="S5297" s="3"/>
      <c r="T5297" s="3"/>
      <c r="U5297" s="7"/>
      <c r="V5297" s="436"/>
      <c r="X5297" s="8"/>
      <c r="Y5297" s="8"/>
      <c r="AH5297" s="3"/>
      <c r="AI5297" s="3"/>
      <c r="AJ5297" s="3"/>
    </row>
    <row r="5298" spans="3:36" s="6" customFormat="1" ht="11.25" customHeight="1">
      <c r="C5298" s="4"/>
      <c r="D5298" s="4"/>
      <c r="E5298" s="5"/>
      <c r="G5298" s="31"/>
      <c r="I5298" s="9"/>
      <c r="J5298" s="24"/>
      <c r="K5298" s="9"/>
      <c r="L5298" s="25"/>
      <c r="M5298" s="25"/>
      <c r="N5298" s="8"/>
      <c r="O5298" s="11"/>
      <c r="P5298" s="11"/>
      <c r="Q5298" s="8"/>
      <c r="S5298" s="3"/>
      <c r="T5298" s="3"/>
      <c r="U5298" s="7"/>
      <c r="V5298" s="436"/>
      <c r="X5298" s="8"/>
      <c r="Y5298" s="8"/>
      <c r="AH5298" s="3"/>
      <c r="AI5298" s="3"/>
      <c r="AJ5298" s="3"/>
    </row>
    <row r="5299" spans="3:36" s="6" customFormat="1" ht="11.25" customHeight="1">
      <c r="C5299" s="4"/>
      <c r="D5299" s="4"/>
      <c r="E5299" s="5"/>
      <c r="G5299" s="31"/>
      <c r="I5299" s="9"/>
      <c r="J5299" s="24"/>
      <c r="K5299" s="9"/>
      <c r="L5299" s="25"/>
      <c r="M5299" s="25"/>
      <c r="N5299" s="8"/>
      <c r="O5299" s="11"/>
      <c r="P5299" s="11"/>
      <c r="Q5299" s="8"/>
      <c r="S5299" s="3"/>
      <c r="T5299" s="3"/>
      <c r="U5299" s="7"/>
      <c r="V5299" s="436"/>
      <c r="X5299" s="8"/>
      <c r="Y5299" s="8"/>
      <c r="AH5299" s="3"/>
      <c r="AI5299" s="3"/>
      <c r="AJ5299" s="3"/>
    </row>
    <row r="5300" spans="3:36" s="6" customFormat="1" ht="11.25" customHeight="1">
      <c r="C5300" s="4"/>
      <c r="D5300" s="4"/>
      <c r="E5300" s="5"/>
      <c r="G5300" s="31"/>
      <c r="I5300" s="9"/>
      <c r="J5300" s="24"/>
      <c r="K5300" s="9"/>
      <c r="L5300" s="25"/>
      <c r="M5300" s="25"/>
      <c r="N5300" s="8"/>
      <c r="O5300" s="11"/>
      <c r="P5300" s="11"/>
      <c r="Q5300" s="8"/>
      <c r="S5300" s="3"/>
      <c r="T5300" s="3"/>
      <c r="U5300" s="7"/>
      <c r="V5300" s="436"/>
      <c r="X5300" s="8"/>
      <c r="Y5300" s="8"/>
      <c r="AH5300" s="3"/>
      <c r="AI5300" s="3"/>
      <c r="AJ5300" s="3"/>
    </row>
    <row r="5301" spans="3:36" s="6" customFormat="1" ht="11.25" customHeight="1">
      <c r="C5301" s="4"/>
      <c r="D5301" s="4"/>
      <c r="E5301" s="5"/>
      <c r="G5301" s="31"/>
      <c r="I5301" s="9"/>
      <c r="J5301" s="24"/>
      <c r="K5301" s="9"/>
      <c r="L5301" s="25"/>
      <c r="M5301" s="25"/>
      <c r="N5301" s="8"/>
      <c r="O5301" s="11"/>
      <c r="P5301" s="11"/>
      <c r="Q5301" s="8"/>
      <c r="S5301" s="3"/>
      <c r="T5301" s="3"/>
      <c r="U5301" s="7"/>
      <c r="V5301" s="436"/>
      <c r="X5301" s="8"/>
      <c r="Y5301" s="8"/>
      <c r="AH5301" s="3"/>
      <c r="AI5301" s="3"/>
      <c r="AJ5301" s="3"/>
    </row>
    <row r="5302" spans="3:36" s="6" customFormat="1" ht="11.25" customHeight="1">
      <c r="C5302" s="4"/>
      <c r="D5302" s="4"/>
      <c r="E5302" s="5"/>
      <c r="G5302" s="31"/>
      <c r="I5302" s="9"/>
      <c r="J5302" s="24"/>
      <c r="K5302" s="9"/>
      <c r="L5302" s="25"/>
      <c r="M5302" s="25"/>
      <c r="N5302" s="8"/>
      <c r="O5302" s="11"/>
      <c r="P5302" s="11"/>
      <c r="Q5302" s="8"/>
      <c r="S5302" s="3"/>
      <c r="T5302" s="3"/>
      <c r="U5302" s="7"/>
      <c r="V5302" s="436"/>
      <c r="X5302" s="8"/>
      <c r="Y5302" s="8"/>
      <c r="AH5302" s="3"/>
      <c r="AI5302" s="3"/>
      <c r="AJ5302" s="3"/>
    </row>
    <row r="5303" spans="3:36" s="6" customFormat="1" ht="11.25" customHeight="1">
      <c r="C5303" s="4"/>
      <c r="D5303" s="4"/>
      <c r="E5303" s="5"/>
      <c r="G5303" s="31"/>
      <c r="I5303" s="9"/>
      <c r="J5303" s="24"/>
      <c r="K5303" s="9"/>
      <c r="L5303" s="25"/>
      <c r="M5303" s="25"/>
      <c r="N5303" s="8"/>
      <c r="O5303" s="11"/>
      <c r="P5303" s="11"/>
      <c r="Q5303" s="8"/>
      <c r="S5303" s="3"/>
      <c r="T5303" s="3"/>
      <c r="U5303" s="7"/>
      <c r="V5303" s="436"/>
      <c r="X5303" s="8"/>
      <c r="Y5303" s="8"/>
      <c r="AH5303" s="3"/>
      <c r="AI5303" s="3"/>
      <c r="AJ5303" s="3"/>
    </row>
    <row r="5304" spans="3:36" s="6" customFormat="1" ht="11.25" customHeight="1">
      <c r="C5304" s="4"/>
      <c r="D5304" s="4"/>
      <c r="E5304" s="5"/>
      <c r="G5304" s="31"/>
      <c r="I5304" s="9"/>
      <c r="J5304" s="24"/>
      <c r="K5304" s="9"/>
      <c r="L5304" s="25"/>
      <c r="M5304" s="25"/>
      <c r="N5304" s="8"/>
      <c r="O5304" s="11"/>
      <c r="P5304" s="11"/>
      <c r="Q5304" s="8"/>
      <c r="S5304" s="3"/>
      <c r="T5304" s="3"/>
      <c r="U5304" s="7"/>
      <c r="V5304" s="436"/>
      <c r="X5304" s="8"/>
      <c r="Y5304" s="8"/>
      <c r="AH5304" s="3"/>
      <c r="AI5304" s="3"/>
      <c r="AJ5304" s="3"/>
    </row>
    <row r="5305" spans="3:36" s="6" customFormat="1" ht="11.25" customHeight="1">
      <c r="C5305" s="4"/>
      <c r="D5305" s="4"/>
      <c r="E5305" s="5"/>
      <c r="G5305" s="31"/>
      <c r="I5305" s="9"/>
      <c r="J5305" s="24"/>
      <c r="K5305" s="9"/>
      <c r="L5305" s="25"/>
      <c r="M5305" s="25"/>
      <c r="N5305" s="8"/>
      <c r="O5305" s="11"/>
      <c r="P5305" s="11"/>
      <c r="Q5305" s="8"/>
      <c r="S5305" s="3"/>
      <c r="T5305" s="3"/>
      <c r="U5305" s="7"/>
      <c r="V5305" s="436"/>
      <c r="X5305" s="8"/>
      <c r="Y5305" s="8"/>
      <c r="AH5305" s="3"/>
      <c r="AI5305" s="3"/>
      <c r="AJ5305" s="3"/>
    </row>
    <row r="5306" spans="3:36" s="6" customFormat="1" ht="11.25" customHeight="1">
      <c r="C5306" s="4"/>
      <c r="D5306" s="4"/>
      <c r="E5306" s="5"/>
      <c r="G5306" s="31"/>
      <c r="I5306" s="9"/>
      <c r="J5306" s="24"/>
      <c r="K5306" s="9"/>
      <c r="L5306" s="25"/>
      <c r="M5306" s="47"/>
      <c r="N5306" s="8"/>
      <c r="O5306" s="11"/>
      <c r="P5306" s="11"/>
      <c r="Q5306" s="8"/>
      <c r="S5306" s="3"/>
      <c r="T5306" s="3"/>
      <c r="U5306" s="7"/>
      <c r="V5306" s="436"/>
      <c r="X5306" s="8"/>
      <c r="Y5306" s="8"/>
      <c r="AH5306" s="3"/>
      <c r="AI5306" s="3"/>
      <c r="AJ5306" s="3"/>
    </row>
    <row r="5307" spans="3:36" s="6" customFormat="1" ht="11.25" customHeight="1">
      <c r="C5307" s="4"/>
      <c r="D5307" s="4"/>
      <c r="E5307" s="5"/>
      <c r="G5307" s="31"/>
      <c r="I5307" s="9"/>
      <c r="J5307" s="24"/>
      <c r="K5307" s="9"/>
      <c r="L5307" s="25"/>
      <c r="M5307" s="25"/>
      <c r="N5307" s="8"/>
      <c r="O5307" s="11"/>
      <c r="P5307" s="11"/>
      <c r="Q5307" s="8"/>
      <c r="S5307" s="3"/>
      <c r="T5307" s="3"/>
      <c r="U5307" s="7"/>
      <c r="V5307" s="436"/>
      <c r="X5307" s="8"/>
      <c r="Y5307" s="8"/>
      <c r="AH5307" s="3"/>
      <c r="AI5307" s="3"/>
      <c r="AJ5307" s="3"/>
    </row>
    <row r="5308" spans="3:36" s="6" customFormat="1" ht="11.25" customHeight="1">
      <c r="C5308" s="4"/>
      <c r="D5308" s="4"/>
      <c r="E5308" s="5"/>
      <c r="G5308" s="31"/>
      <c r="I5308" s="9"/>
      <c r="J5308" s="24"/>
      <c r="K5308" s="9"/>
      <c r="L5308" s="25"/>
      <c r="M5308" s="25"/>
      <c r="N5308" s="8"/>
      <c r="O5308" s="11"/>
      <c r="P5308" s="11"/>
      <c r="Q5308" s="8"/>
      <c r="S5308" s="3"/>
      <c r="T5308" s="3"/>
      <c r="U5308" s="7"/>
      <c r="V5308" s="436"/>
      <c r="X5308" s="8"/>
      <c r="Y5308" s="8"/>
      <c r="AH5308" s="3"/>
      <c r="AI5308" s="3"/>
      <c r="AJ5308" s="3"/>
    </row>
    <row r="5309" spans="3:36" s="6" customFormat="1" ht="11.25" customHeight="1">
      <c r="C5309" s="4"/>
      <c r="D5309" s="4"/>
      <c r="E5309" s="5"/>
      <c r="G5309" s="31"/>
      <c r="I5309" s="9"/>
      <c r="J5309" s="24"/>
      <c r="K5309" s="9"/>
      <c r="L5309" s="25"/>
      <c r="M5309" s="25"/>
      <c r="N5309" s="8"/>
      <c r="O5309" s="11"/>
      <c r="P5309" s="11"/>
      <c r="Q5309" s="8"/>
      <c r="S5309" s="3"/>
      <c r="T5309" s="3"/>
      <c r="U5309" s="7"/>
      <c r="V5309" s="436"/>
      <c r="X5309" s="8"/>
      <c r="Y5309" s="8"/>
      <c r="AH5309" s="3"/>
      <c r="AI5309" s="3"/>
      <c r="AJ5309" s="3"/>
    </row>
    <row r="5310" spans="3:36" s="6" customFormat="1" ht="11.25" customHeight="1">
      <c r="C5310" s="4"/>
      <c r="D5310" s="4"/>
      <c r="E5310" s="5"/>
      <c r="G5310" s="31"/>
      <c r="I5310" s="9"/>
      <c r="J5310" s="24"/>
      <c r="K5310" s="9"/>
      <c r="L5310" s="25"/>
      <c r="M5310" s="25"/>
      <c r="N5310" s="8"/>
      <c r="O5310" s="11"/>
      <c r="P5310" s="11"/>
      <c r="Q5310" s="8"/>
      <c r="S5310" s="3"/>
      <c r="T5310" s="3"/>
      <c r="U5310" s="7"/>
      <c r="V5310" s="436"/>
      <c r="X5310" s="8"/>
      <c r="Y5310" s="8"/>
      <c r="AH5310" s="3"/>
      <c r="AI5310" s="3"/>
      <c r="AJ5310" s="3"/>
    </row>
    <row r="5311" spans="3:36" s="6" customFormat="1" ht="11.25" customHeight="1">
      <c r="C5311" s="4"/>
      <c r="D5311" s="4"/>
      <c r="E5311" s="5"/>
      <c r="G5311" s="31"/>
      <c r="I5311" s="9"/>
      <c r="J5311" s="24"/>
      <c r="K5311" s="9"/>
      <c r="L5311" s="25"/>
      <c r="M5311" s="25"/>
      <c r="N5311" s="8"/>
      <c r="O5311" s="11"/>
      <c r="P5311" s="11"/>
      <c r="Q5311" s="8"/>
      <c r="S5311" s="3"/>
      <c r="T5311" s="3"/>
      <c r="U5311" s="7"/>
      <c r="V5311" s="436"/>
      <c r="X5311" s="8"/>
      <c r="Y5311" s="8"/>
      <c r="AH5311" s="3"/>
      <c r="AI5311" s="3"/>
      <c r="AJ5311" s="3"/>
    </row>
    <row r="5312" spans="3:36" s="6" customFormat="1" ht="11.25" customHeight="1">
      <c r="C5312" s="4"/>
      <c r="D5312" s="4"/>
      <c r="E5312" s="5"/>
      <c r="G5312" s="31"/>
      <c r="I5312" s="9"/>
      <c r="J5312" s="24"/>
      <c r="K5312" s="9"/>
      <c r="L5312" s="25"/>
      <c r="M5312" s="25"/>
      <c r="N5312" s="8"/>
      <c r="O5312" s="11"/>
      <c r="P5312" s="11"/>
      <c r="Q5312" s="8"/>
      <c r="S5312" s="3"/>
      <c r="T5312" s="3"/>
      <c r="U5312" s="7"/>
      <c r="V5312" s="436"/>
      <c r="X5312" s="8"/>
      <c r="Y5312" s="8"/>
      <c r="AH5312" s="3"/>
      <c r="AI5312" s="3"/>
      <c r="AJ5312" s="3"/>
    </row>
    <row r="5313" spans="3:36" s="6" customFormat="1" ht="11.25" customHeight="1">
      <c r="C5313" s="4"/>
      <c r="D5313" s="4"/>
      <c r="E5313" s="5"/>
      <c r="G5313" s="31"/>
      <c r="I5313" s="9"/>
      <c r="J5313" s="24"/>
      <c r="K5313" s="9"/>
      <c r="L5313" s="25"/>
      <c r="M5313" s="25"/>
      <c r="N5313" s="8"/>
      <c r="O5313" s="11"/>
      <c r="P5313" s="11"/>
      <c r="Q5313" s="8"/>
      <c r="S5313" s="3"/>
      <c r="T5313" s="3"/>
      <c r="U5313" s="7"/>
      <c r="V5313" s="436"/>
      <c r="X5313" s="8"/>
      <c r="Y5313" s="8"/>
      <c r="AH5313" s="3"/>
      <c r="AI5313" s="3"/>
      <c r="AJ5313" s="3"/>
    </row>
    <row r="5314" spans="3:36" s="6" customFormat="1" ht="11.25" customHeight="1">
      <c r="C5314" s="4"/>
      <c r="D5314" s="4"/>
      <c r="E5314" s="5"/>
      <c r="G5314" s="31"/>
      <c r="I5314" s="9"/>
      <c r="J5314" s="24"/>
      <c r="K5314" s="9"/>
      <c r="L5314" s="25"/>
      <c r="M5314" s="25"/>
      <c r="N5314" s="8"/>
      <c r="O5314" s="11"/>
      <c r="P5314" s="11"/>
      <c r="Q5314" s="8"/>
      <c r="S5314" s="3"/>
      <c r="T5314" s="3"/>
      <c r="U5314" s="7"/>
      <c r="V5314" s="436"/>
      <c r="X5314" s="8"/>
      <c r="Y5314" s="8"/>
      <c r="AH5314" s="3"/>
      <c r="AI5314" s="3"/>
      <c r="AJ5314" s="3"/>
    </row>
    <row r="5315" spans="3:36" s="6" customFormat="1" ht="11.25" customHeight="1">
      <c r="C5315" s="4"/>
      <c r="D5315" s="4"/>
      <c r="E5315" s="5"/>
      <c r="G5315" s="31"/>
      <c r="I5315" s="9"/>
      <c r="J5315" s="24"/>
      <c r="K5315" s="9"/>
      <c r="L5315" s="25"/>
      <c r="M5315" s="25"/>
      <c r="N5315" s="8"/>
      <c r="O5315" s="11"/>
      <c r="P5315" s="11"/>
      <c r="Q5315" s="8"/>
      <c r="S5315" s="3"/>
      <c r="T5315" s="3"/>
      <c r="U5315" s="7"/>
      <c r="V5315" s="436"/>
      <c r="X5315" s="8"/>
      <c r="Y5315" s="8"/>
      <c r="AH5315" s="3"/>
      <c r="AI5315" s="3"/>
      <c r="AJ5315" s="3"/>
    </row>
    <row r="5316" spans="3:36" s="6" customFormat="1" ht="11.25" customHeight="1">
      <c r="C5316" s="4"/>
      <c r="D5316" s="4"/>
      <c r="E5316" s="5"/>
      <c r="G5316" s="31"/>
      <c r="I5316" s="9"/>
      <c r="J5316" s="24"/>
      <c r="K5316" s="9"/>
      <c r="L5316" s="25"/>
      <c r="M5316" s="25"/>
      <c r="N5316" s="8"/>
      <c r="O5316" s="11"/>
      <c r="P5316" s="11"/>
      <c r="Q5316" s="8"/>
      <c r="S5316" s="3"/>
      <c r="T5316" s="3"/>
      <c r="U5316" s="7"/>
      <c r="V5316" s="436"/>
      <c r="X5316" s="8"/>
      <c r="Y5316" s="8"/>
      <c r="AH5316" s="3"/>
      <c r="AI5316" s="3"/>
      <c r="AJ5316" s="3"/>
    </row>
    <row r="5317" spans="3:36" s="6" customFormat="1" ht="11.25" customHeight="1">
      <c r="C5317" s="4"/>
      <c r="D5317" s="4"/>
      <c r="E5317" s="5"/>
      <c r="G5317" s="31"/>
      <c r="I5317" s="9"/>
      <c r="J5317" s="24"/>
      <c r="K5317" s="9"/>
      <c r="L5317" s="25"/>
      <c r="M5317" s="25"/>
      <c r="N5317" s="8"/>
      <c r="O5317" s="11"/>
      <c r="P5317" s="11"/>
      <c r="Q5317" s="8"/>
      <c r="S5317" s="3"/>
      <c r="T5317" s="3"/>
      <c r="U5317" s="7"/>
      <c r="V5317" s="436"/>
      <c r="X5317" s="8"/>
      <c r="Y5317" s="8"/>
      <c r="AH5317" s="3"/>
      <c r="AI5317" s="3"/>
      <c r="AJ5317" s="3"/>
    </row>
    <row r="5318" spans="3:36" s="6" customFormat="1" ht="11.25" customHeight="1">
      <c r="C5318" s="4"/>
      <c r="D5318" s="4"/>
      <c r="E5318" s="5"/>
      <c r="G5318" s="31"/>
      <c r="I5318" s="9"/>
      <c r="J5318" s="24"/>
      <c r="K5318" s="9"/>
      <c r="L5318" s="25"/>
      <c r="M5318" s="25"/>
      <c r="N5318" s="8"/>
      <c r="O5318" s="11"/>
      <c r="P5318" s="11"/>
      <c r="Q5318" s="8"/>
      <c r="S5318" s="3"/>
      <c r="T5318" s="3"/>
      <c r="U5318" s="7"/>
      <c r="V5318" s="436"/>
      <c r="X5318" s="8"/>
      <c r="Y5318" s="8"/>
      <c r="AH5318" s="3"/>
      <c r="AI5318" s="3"/>
      <c r="AJ5318" s="3"/>
    </row>
    <row r="5319" spans="3:36" s="6" customFormat="1" ht="11.25" customHeight="1">
      <c r="C5319" s="4"/>
      <c r="D5319" s="4"/>
      <c r="E5319" s="5"/>
      <c r="G5319" s="31"/>
      <c r="I5319" s="9"/>
      <c r="J5319" s="24"/>
      <c r="K5319" s="9"/>
      <c r="L5319" s="25"/>
      <c r="M5319" s="25"/>
      <c r="N5319" s="8"/>
      <c r="O5319" s="11"/>
      <c r="P5319" s="11"/>
      <c r="Q5319" s="8"/>
      <c r="S5319" s="3"/>
      <c r="T5319" s="3"/>
      <c r="U5319" s="7"/>
      <c r="V5319" s="436"/>
      <c r="X5319" s="8"/>
      <c r="Y5319" s="8"/>
      <c r="AH5319" s="3"/>
      <c r="AI5319" s="3"/>
      <c r="AJ5319" s="3"/>
    </row>
    <row r="5320" spans="3:36" s="6" customFormat="1" ht="11.25" customHeight="1">
      <c r="C5320" s="4"/>
      <c r="D5320" s="4"/>
      <c r="E5320" s="5"/>
      <c r="G5320" s="31"/>
      <c r="I5320" s="9"/>
      <c r="J5320" s="24"/>
      <c r="K5320" s="9"/>
      <c r="L5320" s="25"/>
      <c r="M5320" s="25"/>
      <c r="N5320" s="8"/>
      <c r="O5320" s="11"/>
      <c r="P5320" s="11"/>
      <c r="Q5320" s="8"/>
      <c r="S5320" s="3"/>
      <c r="T5320" s="3"/>
      <c r="U5320" s="7"/>
      <c r="V5320" s="436"/>
      <c r="X5320" s="8"/>
      <c r="Y5320" s="8"/>
      <c r="AH5320" s="3"/>
      <c r="AI5320" s="3"/>
      <c r="AJ5320" s="3"/>
    </row>
    <row r="5321" spans="3:36" s="6" customFormat="1" ht="11.25" customHeight="1">
      <c r="C5321" s="4"/>
      <c r="D5321" s="4"/>
      <c r="E5321" s="5"/>
      <c r="G5321" s="31"/>
      <c r="I5321" s="9"/>
      <c r="J5321" s="24"/>
      <c r="K5321" s="9"/>
      <c r="L5321" s="25"/>
      <c r="M5321" s="25"/>
      <c r="N5321" s="8"/>
      <c r="O5321" s="11"/>
      <c r="P5321" s="11"/>
      <c r="Q5321" s="8"/>
      <c r="S5321" s="3"/>
      <c r="T5321" s="3"/>
      <c r="U5321" s="7"/>
      <c r="V5321" s="436"/>
      <c r="X5321" s="8"/>
      <c r="Y5321" s="8"/>
      <c r="AH5321" s="3"/>
      <c r="AI5321" s="3"/>
      <c r="AJ5321" s="3"/>
    </row>
    <row r="5322" spans="3:36" s="6" customFormat="1" ht="11.25" customHeight="1">
      <c r="C5322" s="4"/>
      <c r="D5322" s="4"/>
      <c r="E5322" s="5"/>
      <c r="G5322" s="31"/>
      <c r="I5322" s="9"/>
      <c r="J5322" s="24"/>
      <c r="K5322" s="9"/>
      <c r="L5322" s="25"/>
      <c r="M5322" s="25"/>
      <c r="N5322" s="8"/>
      <c r="O5322" s="11"/>
      <c r="P5322" s="11"/>
      <c r="Q5322" s="8"/>
      <c r="S5322" s="3"/>
      <c r="T5322" s="3"/>
      <c r="U5322" s="7"/>
      <c r="V5322" s="436"/>
      <c r="X5322" s="8"/>
      <c r="Y5322" s="8"/>
      <c r="AH5322" s="3"/>
      <c r="AI5322" s="3"/>
      <c r="AJ5322" s="3"/>
    </row>
    <row r="5323" spans="3:36" s="6" customFormat="1" ht="11.25" customHeight="1">
      <c r="C5323" s="4"/>
      <c r="D5323" s="4"/>
      <c r="E5323" s="5"/>
      <c r="G5323" s="31"/>
      <c r="I5323" s="9"/>
      <c r="J5323" s="24"/>
      <c r="K5323" s="9"/>
      <c r="L5323" s="25"/>
      <c r="M5323" s="25"/>
      <c r="N5323" s="8"/>
      <c r="O5323" s="11"/>
      <c r="P5323" s="11"/>
      <c r="Q5323" s="8"/>
      <c r="S5323" s="3"/>
      <c r="T5323" s="3"/>
      <c r="U5323" s="7"/>
      <c r="V5323" s="436"/>
      <c r="X5323" s="8"/>
      <c r="Y5323" s="8"/>
      <c r="AH5323" s="3"/>
      <c r="AI5323" s="3"/>
      <c r="AJ5323" s="3"/>
    </row>
    <row r="5324" spans="3:36" s="6" customFormat="1" ht="11.25" customHeight="1">
      <c r="C5324" s="4"/>
      <c r="D5324" s="4"/>
      <c r="E5324" s="5"/>
      <c r="G5324" s="31"/>
      <c r="I5324" s="9"/>
      <c r="J5324" s="24"/>
      <c r="K5324" s="9"/>
      <c r="L5324" s="25"/>
      <c r="M5324" s="47"/>
      <c r="N5324" s="8"/>
      <c r="O5324" s="11"/>
      <c r="P5324" s="11"/>
      <c r="Q5324" s="8"/>
      <c r="S5324" s="3"/>
      <c r="T5324" s="3"/>
      <c r="U5324" s="7"/>
      <c r="V5324" s="436"/>
      <c r="X5324" s="8"/>
      <c r="Y5324" s="8"/>
      <c r="AH5324" s="3"/>
      <c r="AI5324" s="3"/>
      <c r="AJ5324" s="3"/>
    </row>
    <row r="5325" spans="3:36" s="6" customFormat="1" ht="11.25" customHeight="1">
      <c r="C5325" s="4"/>
      <c r="D5325" s="4"/>
      <c r="E5325" s="5"/>
      <c r="G5325" s="31"/>
      <c r="I5325" s="9"/>
      <c r="J5325" s="24"/>
      <c r="K5325" s="9"/>
      <c r="L5325" s="25"/>
      <c r="M5325" s="47"/>
      <c r="N5325" s="8"/>
      <c r="O5325" s="11"/>
      <c r="P5325" s="11"/>
      <c r="Q5325" s="8"/>
      <c r="S5325" s="3"/>
      <c r="T5325" s="3"/>
      <c r="U5325" s="7"/>
      <c r="V5325" s="436"/>
      <c r="X5325" s="8"/>
      <c r="Y5325" s="8"/>
      <c r="AH5325" s="3"/>
      <c r="AI5325" s="3"/>
      <c r="AJ5325" s="3"/>
    </row>
    <row r="5326" spans="3:36" s="6" customFormat="1" ht="11.25" customHeight="1">
      <c r="C5326" s="4"/>
      <c r="D5326" s="4"/>
      <c r="E5326" s="5"/>
      <c r="G5326" s="31"/>
      <c r="I5326" s="9"/>
      <c r="J5326" s="24"/>
      <c r="K5326" s="9"/>
      <c r="L5326" s="25"/>
      <c r="M5326" s="47"/>
      <c r="N5326" s="8"/>
      <c r="O5326" s="11"/>
      <c r="P5326" s="11"/>
      <c r="Q5326" s="8"/>
      <c r="S5326" s="3"/>
      <c r="T5326" s="3"/>
      <c r="U5326" s="7"/>
      <c r="V5326" s="436"/>
      <c r="X5326" s="8"/>
      <c r="Y5326" s="8"/>
      <c r="AH5326" s="3"/>
      <c r="AI5326" s="3"/>
      <c r="AJ5326" s="3"/>
    </row>
    <row r="5327" spans="3:36" s="6" customFormat="1" ht="11.25" customHeight="1">
      <c r="C5327" s="4"/>
      <c r="D5327" s="4"/>
      <c r="E5327" s="5"/>
      <c r="G5327" s="31"/>
      <c r="I5327" s="9"/>
      <c r="J5327" s="24"/>
      <c r="K5327" s="9"/>
      <c r="L5327" s="25"/>
      <c r="M5327" s="25"/>
      <c r="N5327" s="8"/>
      <c r="O5327" s="11"/>
      <c r="P5327" s="11"/>
      <c r="Q5327" s="8"/>
      <c r="S5327" s="3"/>
      <c r="T5327" s="3"/>
      <c r="U5327" s="7"/>
      <c r="V5327" s="436"/>
      <c r="X5327" s="8"/>
      <c r="Y5327" s="8"/>
      <c r="AH5327" s="3"/>
      <c r="AI5327" s="3"/>
      <c r="AJ5327" s="3"/>
    </row>
    <row r="5328" spans="3:36" s="6" customFormat="1" ht="11.25" customHeight="1">
      <c r="C5328" s="4"/>
      <c r="D5328" s="4"/>
      <c r="E5328" s="5"/>
      <c r="G5328" s="31"/>
      <c r="I5328" s="9"/>
      <c r="J5328" s="24"/>
      <c r="K5328" s="9"/>
      <c r="L5328" s="25"/>
      <c r="M5328" s="25"/>
      <c r="N5328" s="8"/>
      <c r="O5328" s="11"/>
      <c r="P5328" s="11"/>
      <c r="Q5328" s="8"/>
      <c r="S5328" s="3"/>
      <c r="T5328" s="3"/>
      <c r="U5328" s="7"/>
      <c r="V5328" s="436"/>
      <c r="X5328" s="8"/>
      <c r="Y5328" s="8"/>
      <c r="AH5328" s="3"/>
      <c r="AI5328" s="3"/>
      <c r="AJ5328" s="3"/>
    </row>
    <row r="5329" spans="3:36" s="6" customFormat="1" ht="11.25" customHeight="1">
      <c r="C5329" s="4"/>
      <c r="D5329" s="4"/>
      <c r="E5329" s="5"/>
      <c r="G5329" s="31"/>
      <c r="I5329" s="9"/>
      <c r="J5329" s="24"/>
      <c r="K5329" s="9"/>
      <c r="L5329" s="25"/>
      <c r="M5329" s="25"/>
      <c r="N5329" s="8"/>
      <c r="O5329" s="11"/>
      <c r="P5329" s="11"/>
      <c r="Q5329" s="8"/>
      <c r="S5329" s="3"/>
      <c r="T5329" s="3"/>
      <c r="U5329" s="7"/>
      <c r="V5329" s="436"/>
      <c r="X5329" s="8"/>
      <c r="Y5329" s="8"/>
      <c r="AH5329" s="3"/>
      <c r="AI5329" s="3"/>
      <c r="AJ5329" s="3"/>
    </row>
    <row r="5330" spans="3:36" s="6" customFormat="1" ht="11.25" customHeight="1">
      <c r="C5330" s="4"/>
      <c r="D5330" s="4"/>
      <c r="E5330" s="5"/>
      <c r="G5330" s="31"/>
      <c r="I5330" s="9"/>
      <c r="J5330" s="24"/>
      <c r="K5330" s="9"/>
      <c r="L5330" s="25"/>
      <c r="M5330" s="25"/>
      <c r="N5330" s="8"/>
      <c r="O5330" s="11"/>
      <c r="P5330" s="11"/>
      <c r="Q5330" s="8"/>
      <c r="S5330" s="3"/>
      <c r="T5330" s="3"/>
      <c r="U5330" s="7"/>
      <c r="V5330" s="436"/>
      <c r="X5330" s="8"/>
      <c r="Y5330" s="8"/>
      <c r="AH5330" s="3"/>
      <c r="AI5330" s="3"/>
      <c r="AJ5330" s="3"/>
    </row>
    <row r="5331" spans="3:36" s="6" customFormat="1" ht="11.25" customHeight="1">
      <c r="C5331" s="4"/>
      <c r="D5331" s="4"/>
      <c r="E5331" s="5"/>
      <c r="G5331" s="31"/>
      <c r="I5331" s="9"/>
      <c r="J5331" s="24"/>
      <c r="K5331" s="9"/>
      <c r="L5331" s="25"/>
      <c r="M5331" s="25"/>
      <c r="N5331" s="8"/>
      <c r="O5331" s="11"/>
      <c r="P5331" s="11"/>
      <c r="Q5331" s="8"/>
      <c r="S5331" s="3"/>
      <c r="T5331" s="3"/>
      <c r="U5331" s="7"/>
      <c r="V5331" s="436"/>
      <c r="X5331" s="8"/>
      <c r="Y5331" s="8"/>
      <c r="AH5331" s="3"/>
      <c r="AI5331" s="3"/>
      <c r="AJ5331" s="3"/>
    </row>
    <row r="5332" spans="3:36" s="6" customFormat="1" ht="11.25" customHeight="1">
      <c r="C5332" s="4"/>
      <c r="D5332" s="4"/>
      <c r="E5332" s="5"/>
      <c r="G5332" s="31"/>
      <c r="I5332" s="9"/>
      <c r="J5332" s="24"/>
      <c r="K5332" s="9"/>
      <c r="L5332" s="25"/>
      <c r="M5332" s="25"/>
      <c r="N5332" s="8"/>
      <c r="O5332" s="11"/>
      <c r="P5332" s="11"/>
      <c r="Q5332" s="8"/>
      <c r="S5332" s="3"/>
      <c r="T5332" s="3"/>
      <c r="U5332" s="7"/>
      <c r="V5332" s="436"/>
      <c r="X5332" s="8"/>
      <c r="Y5332" s="8"/>
      <c r="AH5332" s="3"/>
      <c r="AI5332" s="3"/>
      <c r="AJ5332" s="3"/>
    </row>
    <row r="5333" spans="3:36" s="6" customFormat="1" ht="11.25" customHeight="1">
      <c r="C5333" s="4"/>
      <c r="D5333" s="4"/>
      <c r="E5333" s="5"/>
      <c r="G5333" s="31"/>
      <c r="I5333" s="9"/>
      <c r="J5333" s="24"/>
      <c r="K5333" s="9"/>
      <c r="L5333" s="25"/>
      <c r="M5333" s="25"/>
      <c r="N5333" s="8"/>
      <c r="O5333" s="11"/>
      <c r="P5333" s="11"/>
      <c r="Q5333" s="8"/>
      <c r="S5333" s="3"/>
      <c r="T5333" s="3"/>
      <c r="U5333" s="7"/>
      <c r="V5333" s="436"/>
      <c r="X5333" s="8"/>
      <c r="Y5333" s="8"/>
      <c r="AH5333" s="3"/>
      <c r="AI5333" s="3"/>
      <c r="AJ5333" s="3"/>
    </row>
    <row r="5334" spans="3:36" s="6" customFormat="1" ht="11.25" customHeight="1">
      <c r="C5334" s="4"/>
      <c r="D5334" s="4"/>
      <c r="E5334" s="5"/>
      <c r="G5334" s="31"/>
      <c r="I5334" s="9"/>
      <c r="J5334" s="24"/>
      <c r="K5334" s="9"/>
      <c r="L5334" s="25"/>
      <c r="M5334" s="25"/>
      <c r="N5334" s="8"/>
      <c r="O5334" s="11"/>
      <c r="P5334" s="11"/>
      <c r="Q5334" s="8"/>
      <c r="S5334" s="3"/>
      <c r="T5334" s="3"/>
      <c r="U5334" s="7"/>
      <c r="V5334" s="436"/>
      <c r="X5334" s="8"/>
      <c r="Y5334" s="8"/>
      <c r="AH5334" s="3"/>
      <c r="AI5334" s="3"/>
      <c r="AJ5334" s="3"/>
    </row>
    <row r="5335" spans="3:36" s="6" customFormat="1" ht="11.25" customHeight="1">
      <c r="C5335" s="4"/>
      <c r="D5335" s="4"/>
      <c r="E5335" s="5"/>
      <c r="G5335" s="31"/>
      <c r="I5335" s="9"/>
      <c r="J5335" s="24"/>
      <c r="K5335" s="9"/>
      <c r="L5335" s="25"/>
      <c r="M5335" s="25"/>
      <c r="N5335" s="8"/>
      <c r="O5335" s="11"/>
      <c r="P5335" s="11"/>
      <c r="Q5335" s="8"/>
      <c r="S5335" s="3"/>
      <c r="T5335" s="3"/>
      <c r="U5335" s="7"/>
      <c r="V5335" s="436"/>
      <c r="X5335" s="8"/>
      <c r="Y5335" s="8"/>
      <c r="AH5335" s="3"/>
      <c r="AI5335" s="3"/>
      <c r="AJ5335" s="3"/>
    </row>
    <row r="5336" spans="3:36" s="6" customFormat="1" ht="11.25" customHeight="1">
      <c r="C5336" s="4"/>
      <c r="D5336" s="4"/>
      <c r="E5336" s="5"/>
      <c r="G5336" s="31"/>
      <c r="I5336" s="9"/>
      <c r="J5336" s="24"/>
      <c r="K5336" s="9"/>
      <c r="L5336" s="25"/>
      <c r="M5336" s="25"/>
      <c r="N5336" s="8"/>
      <c r="O5336" s="11"/>
      <c r="P5336" s="11"/>
      <c r="Q5336" s="8"/>
      <c r="S5336" s="3"/>
      <c r="T5336" s="3"/>
      <c r="U5336" s="7"/>
      <c r="V5336" s="436"/>
      <c r="X5336" s="8"/>
      <c r="Y5336" s="8"/>
      <c r="AH5336" s="3"/>
      <c r="AI5336" s="3"/>
      <c r="AJ5336" s="3"/>
    </row>
    <row r="5337" spans="3:36" s="6" customFormat="1" ht="11.25" customHeight="1">
      <c r="C5337" s="4"/>
      <c r="D5337" s="4"/>
      <c r="E5337" s="5"/>
      <c r="G5337" s="31"/>
      <c r="I5337" s="9"/>
      <c r="J5337" s="24"/>
      <c r="K5337" s="9"/>
      <c r="L5337" s="25"/>
      <c r="M5337" s="25"/>
      <c r="N5337" s="8"/>
      <c r="O5337" s="11"/>
      <c r="P5337" s="11"/>
      <c r="Q5337" s="8"/>
      <c r="S5337" s="3"/>
      <c r="T5337" s="3"/>
      <c r="U5337" s="7"/>
      <c r="V5337" s="436"/>
      <c r="X5337" s="8"/>
      <c r="Y5337" s="8"/>
      <c r="AH5337" s="3"/>
      <c r="AI5337" s="3"/>
      <c r="AJ5337" s="3"/>
    </row>
    <row r="5338" spans="3:36" s="6" customFormat="1" ht="11.25" customHeight="1">
      <c r="C5338" s="4"/>
      <c r="D5338" s="4"/>
      <c r="E5338" s="5"/>
      <c r="G5338" s="31"/>
      <c r="I5338" s="9"/>
      <c r="J5338" s="24"/>
      <c r="K5338" s="9"/>
      <c r="L5338" s="25"/>
      <c r="M5338" s="25"/>
      <c r="N5338" s="8"/>
      <c r="O5338" s="11"/>
      <c r="P5338" s="11"/>
      <c r="Q5338" s="8"/>
      <c r="S5338" s="3"/>
      <c r="T5338" s="3"/>
      <c r="U5338" s="7"/>
      <c r="V5338" s="436"/>
      <c r="X5338" s="8"/>
      <c r="Y5338" s="8"/>
      <c r="AH5338" s="3"/>
      <c r="AI5338" s="3"/>
      <c r="AJ5338" s="3"/>
    </row>
    <row r="5339" spans="3:36" s="6" customFormat="1" ht="11.25" customHeight="1">
      <c r="C5339" s="4"/>
      <c r="D5339" s="4"/>
      <c r="E5339" s="5"/>
      <c r="G5339" s="31"/>
      <c r="I5339" s="9"/>
      <c r="J5339" s="24"/>
      <c r="K5339" s="9"/>
      <c r="L5339" s="25"/>
      <c r="M5339" s="25"/>
      <c r="N5339" s="8"/>
      <c r="O5339" s="11"/>
      <c r="P5339" s="11"/>
      <c r="Q5339" s="8"/>
      <c r="S5339" s="3"/>
      <c r="T5339" s="3"/>
      <c r="U5339" s="7"/>
      <c r="V5339" s="436"/>
      <c r="X5339" s="8"/>
      <c r="Y5339" s="8"/>
      <c r="AH5339" s="3"/>
      <c r="AI5339" s="3"/>
      <c r="AJ5339" s="3"/>
    </row>
    <row r="5340" spans="3:36" s="6" customFormat="1" ht="11.25" customHeight="1">
      <c r="C5340" s="4"/>
      <c r="D5340" s="4"/>
      <c r="E5340" s="5"/>
      <c r="G5340" s="31"/>
      <c r="I5340" s="9"/>
      <c r="J5340" s="24"/>
      <c r="K5340" s="9"/>
      <c r="L5340" s="25"/>
      <c r="M5340" s="25"/>
      <c r="N5340" s="8"/>
      <c r="O5340" s="11"/>
      <c r="P5340" s="11"/>
      <c r="Q5340" s="8"/>
      <c r="S5340" s="3"/>
      <c r="T5340" s="3"/>
      <c r="U5340" s="7"/>
      <c r="V5340" s="436"/>
      <c r="X5340" s="8"/>
      <c r="Y5340" s="8"/>
      <c r="AH5340" s="3"/>
      <c r="AI5340" s="3"/>
      <c r="AJ5340" s="3"/>
    </row>
    <row r="5341" spans="3:36" s="6" customFormat="1" ht="11.25" customHeight="1">
      <c r="C5341" s="4"/>
      <c r="D5341" s="4"/>
      <c r="E5341" s="5"/>
      <c r="G5341" s="31"/>
      <c r="I5341" s="9"/>
      <c r="J5341" s="24"/>
      <c r="K5341" s="9"/>
      <c r="L5341" s="25"/>
      <c r="M5341" s="25"/>
      <c r="N5341" s="8"/>
      <c r="O5341" s="11"/>
      <c r="P5341" s="11"/>
      <c r="Q5341" s="8"/>
      <c r="S5341" s="3"/>
      <c r="T5341" s="3"/>
      <c r="U5341" s="7"/>
      <c r="V5341" s="436"/>
      <c r="X5341" s="8"/>
      <c r="Y5341" s="8"/>
      <c r="AH5341" s="3"/>
      <c r="AI5341" s="3"/>
      <c r="AJ5341" s="3"/>
    </row>
    <row r="5342" spans="3:36" s="6" customFormat="1" ht="11.25" customHeight="1">
      <c r="C5342" s="4"/>
      <c r="D5342" s="4"/>
      <c r="E5342" s="5"/>
      <c r="G5342" s="31"/>
      <c r="I5342" s="9"/>
      <c r="J5342" s="24"/>
      <c r="K5342" s="9"/>
      <c r="L5342" s="25"/>
      <c r="M5342" s="25"/>
      <c r="N5342" s="8"/>
      <c r="O5342" s="11"/>
      <c r="P5342" s="11"/>
      <c r="Q5342" s="8"/>
      <c r="S5342" s="3"/>
      <c r="T5342" s="3"/>
      <c r="U5342" s="7"/>
      <c r="V5342" s="436"/>
      <c r="X5342" s="8"/>
      <c r="Y5342" s="8"/>
      <c r="AH5342" s="3"/>
      <c r="AI5342" s="3"/>
      <c r="AJ5342" s="3"/>
    </row>
    <row r="5343" spans="3:36" s="6" customFormat="1" ht="11.25" customHeight="1">
      <c r="C5343" s="4"/>
      <c r="D5343" s="4"/>
      <c r="E5343" s="5"/>
      <c r="G5343" s="31"/>
      <c r="I5343" s="9"/>
      <c r="J5343" s="24"/>
      <c r="K5343" s="9"/>
      <c r="L5343" s="25"/>
      <c r="M5343" s="25"/>
      <c r="N5343" s="8"/>
      <c r="O5343" s="11"/>
      <c r="P5343" s="11"/>
      <c r="Q5343" s="8"/>
      <c r="S5343" s="3"/>
      <c r="T5343" s="3"/>
      <c r="U5343" s="7"/>
      <c r="V5343" s="436"/>
      <c r="X5343" s="8"/>
      <c r="Y5343" s="8"/>
      <c r="AH5343" s="3"/>
      <c r="AI5343" s="3"/>
      <c r="AJ5343" s="3"/>
    </row>
    <row r="5344" spans="3:36" s="6" customFormat="1" ht="11.25" customHeight="1">
      <c r="C5344" s="4"/>
      <c r="D5344" s="4"/>
      <c r="E5344" s="5"/>
      <c r="G5344" s="31"/>
      <c r="I5344" s="9"/>
      <c r="J5344" s="24"/>
      <c r="K5344" s="9"/>
      <c r="L5344" s="25"/>
      <c r="M5344" s="25"/>
      <c r="N5344" s="8"/>
      <c r="O5344" s="11"/>
      <c r="P5344" s="11"/>
      <c r="Q5344" s="8"/>
      <c r="S5344" s="3"/>
      <c r="T5344" s="3"/>
      <c r="U5344" s="7"/>
      <c r="V5344" s="436"/>
      <c r="X5344" s="8"/>
      <c r="Y5344" s="8"/>
      <c r="AH5344" s="3"/>
      <c r="AI5344" s="3"/>
      <c r="AJ5344" s="3"/>
    </row>
    <row r="5345" spans="3:36" s="6" customFormat="1" ht="11.25" customHeight="1">
      <c r="C5345" s="4"/>
      <c r="D5345" s="4"/>
      <c r="E5345" s="5"/>
      <c r="G5345" s="31"/>
      <c r="I5345" s="9"/>
      <c r="J5345" s="24"/>
      <c r="K5345" s="9"/>
      <c r="L5345" s="25"/>
      <c r="M5345" s="25"/>
      <c r="N5345" s="8"/>
      <c r="O5345" s="11"/>
      <c r="P5345" s="11"/>
      <c r="Q5345" s="8"/>
      <c r="S5345" s="3"/>
      <c r="T5345" s="3"/>
      <c r="U5345" s="7"/>
      <c r="V5345" s="436"/>
      <c r="X5345" s="8"/>
      <c r="Y5345" s="8"/>
      <c r="AH5345" s="3"/>
      <c r="AI5345" s="3"/>
      <c r="AJ5345" s="3"/>
    </row>
    <row r="5346" spans="3:36" s="6" customFormat="1" ht="11.25" customHeight="1">
      <c r="C5346" s="4"/>
      <c r="D5346" s="4"/>
      <c r="E5346" s="5"/>
      <c r="G5346" s="31"/>
      <c r="I5346" s="9"/>
      <c r="J5346" s="24"/>
      <c r="K5346" s="9"/>
      <c r="L5346" s="25"/>
      <c r="M5346" s="25"/>
      <c r="N5346" s="8"/>
      <c r="O5346" s="11"/>
      <c r="P5346" s="11"/>
      <c r="Q5346" s="8"/>
      <c r="S5346" s="3"/>
      <c r="T5346" s="3"/>
      <c r="U5346" s="7"/>
      <c r="V5346" s="436"/>
      <c r="X5346" s="8"/>
      <c r="Y5346" s="8"/>
      <c r="AH5346" s="3"/>
      <c r="AI5346" s="3"/>
      <c r="AJ5346" s="3"/>
    </row>
    <row r="5347" spans="3:36" s="6" customFormat="1" ht="11.25" customHeight="1">
      <c r="C5347" s="4"/>
      <c r="D5347" s="4"/>
      <c r="E5347" s="5"/>
      <c r="G5347" s="31"/>
      <c r="I5347" s="9"/>
      <c r="J5347" s="24"/>
      <c r="K5347" s="9"/>
      <c r="L5347" s="25"/>
      <c r="M5347" s="25"/>
      <c r="N5347" s="8"/>
      <c r="O5347" s="11"/>
      <c r="P5347" s="11"/>
      <c r="Q5347" s="8"/>
      <c r="S5347" s="3"/>
      <c r="T5347" s="3"/>
      <c r="U5347" s="7"/>
      <c r="V5347" s="436"/>
      <c r="X5347" s="8"/>
      <c r="Y5347" s="8"/>
      <c r="AH5347" s="3"/>
      <c r="AI5347" s="3"/>
      <c r="AJ5347" s="3"/>
    </row>
    <row r="5348" spans="3:36" s="6" customFormat="1" ht="11.25" customHeight="1">
      <c r="C5348" s="4"/>
      <c r="D5348" s="4"/>
      <c r="E5348" s="5"/>
      <c r="G5348" s="31"/>
      <c r="I5348" s="9"/>
      <c r="J5348" s="24"/>
      <c r="K5348" s="9"/>
      <c r="L5348" s="25"/>
      <c r="M5348" s="25"/>
      <c r="N5348" s="8"/>
      <c r="O5348" s="11"/>
      <c r="P5348" s="11"/>
      <c r="Q5348" s="8"/>
      <c r="S5348" s="3"/>
      <c r="T5348" s="3"/>
      <c r="U5348" s="7"/>
      <c r="V5348" s="436"/>
      <c r="X5348" s="8"/>
      <c r="Y5348" s="8"/>
      <c r="AH5348" s="3"/>
      <c r="AI5348" s="3"/>
      <c r="AJ5348" s="3"/>
    </row>
    <row r="5349" spans="3:36" s="6" customFormat="1" ht="11.25" customHeight="1">
      <c r="C5349" s="4"/>
      <c r="D5349" s="4"/>
      <c r="E5349" s="5"/>
      <c r="G5349" s="31"/>
      <c r="I5349" s="9"/>
      <c r="J5349" s="24"/>
      <c r="K5349" s="9"/>
      <c r="L5349" s="25"/>
      <c r="M5349" s="25"/>
      <c r="N5349" s="8"/>
      <c r="O5349" s="11"/>
      <c r="P5349" s="11"/>
      <c r="Q5349" s="8"/>
      <c r="S5349" s="3"/>
      <c r="T5349" s="3"/>
      <c r="U5349" s="7"/>
      <c r="V5349" s="436"/>
      <c r="X5349" s="8"/>
      <c r="Y5349" s="8"/>
      <c r="AH5349" s="3"/>
      <c r="AI5349" s="3"/>
      <c r="AJ5349" s="3"/>
    </row>
    <row r="5350" spans="3:36" s="6" customFormat="1" ht="11.25" customHeight="1">
      <c r="C5350" s="4"/>
      <c r="D5350" s="4"/>
      <c r="E5350" s="5"/>
      <c r="G5350" s="31"/>
      <c r="I5350" s="9"/>
      <c r="J5350" s="24"/>
      <c r="K5350" s="9"/>
      <c r="L5350" s="25"/>
      <c r="M5350" s="25"/>
      <c r="N5350" s="8"/>
      <c r="O5350" s="11"/>
      <c r="P5350" s="11"/>
      <c r="Q5350" s="8"/>
      <c r="S5350" s="3"/>
      <c r="T5350" s="3"/>
      <c r="U5350" s="7"/>
      <c r="V5350" s="436"/>
      <c r="X5350" s="8"/>
      <c r="Y5350" s="8"/>
      <c r="AH5350" s="3"/>
      <c r="AI5350" s="3"/>
      <c r="AJ5350" s="3"/>
    </row>
    <row r="5351" spans="3:36" s="6" customFormat="1" ht="11.25" customHeight="1">
      <c r="C5351" s="4"/>
      <c r="D5351" s="4"/>
      <c r="E5351" s="5"/>
      <c r="G5351" s="31"/>
      <c r="I5351" s="9"/>
      <c r="J5351" s="24"/>
      <c r="K5351" s="9"/>
      <c r="L5351" s="25"/>
      <c r="M5351" s="47"/>
      <c r="N5351" s="8"/>
      <c r="O5351" s="11"/>
      <c r="P5351" s="11"/>
      <c r="Q5351" s="8"/>
      <c r="S5351" s="3"/>
      <c r="T5351" s="3"/>
      <c r="U5351" s="7"/>
      <c r="V5351" s="436"/>
      <c r="X5351" s="8"/>
      <c r="Y5351" s="8"/>
      <c r="AH5351" s="3"/>
      <c r="AI5351" s="3"/>
      <c r="AJ5351" s="3"/>
    </row>
    <row r="5352" spans="3:36" s="6" customFormat="1" ht="11.25" customHeight="1">
      <c r="C5352" s="4"/>
      <c r="D5352" s="4"/>
      <c r="E5352" s="5"/>
      <c r="G5352" s="31"/>
      <c r="I5352" s="9"/>
      <c r="J5352" s="24"/>
      <c r="K5352" s="9"/>
      <c r="L5352" s="25"/>
      <c r="M5352" s="25"/>
      <c r="N5352" s="8"/>
      <c r="O5352" s="11"/>
      <c r="P5352" s="11"/>
      <c r="Q5352" s="8"/>
      <c r="S5352" s="3"/>
      <c r="T5352" s="3"/>
      <c r="U5352" s="7"/>
      <c r="V5352" s="436"/>
      <c r="X5352" s="8"/>
      <c r="Y5352" s="8"/>
      <c r="AH5352" s="3"/>
      <c r="AI5352" s="3"/>
      <c r="AJ5352" s="3"/>
    </row>
    <row r="5353" spans="3:36" s="6" customFormat="1" ht="11.25" customHeight="1">
      <c r="C5353" s="4"/>
      <c r="D5353" s="4"/>
      <c r="E5353" s="5"/>
      <c r="G5353" s="31"/>
      <c r="I5353" s="9"/>
      <c r="J5353" s="24"/>
      <c r="K5353" s="9"/>
      <c r="L5353" s="25"/>
      <c r="M5353" s="25"/>
      <c r="N5353" s="8"/>
      <c r="O5353" s="11"/>
      <c r="P5353" s="11"/>
      <c r="Q5353" s="8"/>
      <c r="S5353" s="3"/>
      <c r="T5353" s="3"/>
      <c r="U5353" s="7"/>
      <c r="V5353" s="436"/>
      <c r="X5353" s="8"/>
      <c r="Y5353" s="8"/>
      <c r="AH5353" s="3"/>
      <c r="AI5353" s="3"/>
      <c r="AJ5353" s="3"/>
    </row>
    <row r="5354" spans="3:36" s="6" customFormat="1" ht="11.25" customHeight="1">
      <c r="C5354" s="4"/>
      <c r="D5354" s="4"/>
      <c r="E5354" s="5"/>
      <c r="G5354" s="31"/>
      <c r="I5354" s="9"/>
      <c r="J5354" s="24"/>
      <c r="K5354" s="9"/>
      <c r="L5354" s="25"/>
      <c r="M5354" s="25"/>
      <c r="N5354" s="8"/>
      <c r="O5354" s="11"/>
      <c r="P5354" s="11"/>
      <c r="Q5354" s="8"/>
      <c r="S5354" s="3"/>
      <c r="T5354" s="3"/>
      <c r="U5354" s="7"/>
      <c r="V5354" s="436"/>
      <c r="X5354" s="8"/>
      <c r="Y5354" s="8"/>
      <c r="AH5354" s="3"/>
      <c r="AI5354" s="3"/>
      <c r="AJ5354" s="3"/>
    </row>
    <row r="5355" spans="3:36" s="6" customFormat="1" ht="11.25" customHeight="1">
      <c r="C5355" s="4"/>
      <c r="D5355" s="4"/>
      <c r="E5355" s="5"/>
      <c r="G5355" s="31"/>
      <c r="I5355" s="9"/>
      <c r="J5355" s="24"/>
      <c r="K5355" s="9"/>
      <c r="L5355" s="25"/>
      <c r="M5355" s="25"/>
      <c r="N5355" s="8"/>
      <c r="O5355" s="11"/>
      <c r="P5355" s="11"/>
      <c r="Q5355" s="8"/>
      <c r="S5355" s="3"/>
      <c r="T5355" s="3"/>
      <c r="U5355" s="7"/>
      <c r="V5355" s="436"/>
      <c r="X5355" s="8"/>
      <c r="Y5355" s="8"/>
      <c r="AH5355" s="3"/>
      <c r="AI5355" s="3"/>
      <c r="AJ5355" s="3"/>
    </row>
    <row r="5356" spans="3:36" s="6" customFormat="1" ht="11.25" customHeight="1">
      <c r="C5356" s="4"/>
      <c r="D5356" s="4"/>
      <c r="E5356" s="5"/>
      <c r="G5356" s="31"/>
      <c r="I5356" s="9"/>
      <c r="J5356" s="24"/>
      <c r="K5356" s="9"/>
      <c r="L5356" s="25"/>
      <c r="M5356" s="25"/>
      <c r="N5356" s="8"/>
      <c r="O5356" s="11"/>
      <c r="P5356" s="11"/>
      <c r="Q5356" s="8"/>
      <c r="S5356" s="3"/>
      <c r="T5356" s="3"/>
      <c r="U5356" s="7"/>
      <c r="V5356" s="436"/>
      <c r="X5356" s="8"/>
      <c r="Y5356" s="8"/>
      <c r="AH5356" s="3"/>
      <c r="AI5356" s="3"/>
      <c r="AJ5356" s="3"/>
    </row>
    <row r="5357" spans="3:36" s="6" customFormat="1" ht="11.25" customHeight="1">
      <c r="C5357" s="4"/>
      <c r="D5357" s="4"/>
      <c r="E5357" s="5"/>
      <c r="G5357" s="31"/>
      <c r="I5357" s="9"/>
      <c r="J5357" s="24"/>
      <c r="K5357" s="9"/>
      <c r="L5357" s="25"/>
      <c r="M5357" s="25"/>
      <c r="N5357" s="8"/>
      <c r="O5357" s="11"/>
      <c r="P5357" s="11"/>
      <c r="Q5357" s="8"/>
      <c r="S5357" s="3"/>
      <c r="T5357" s="3"/>
      <c r="U5357" s="7"/>
      <c r="V5357" s="436"/>
      <c r="X5357" s="8"/>
      <c r="Y5357" s="8"/>
      <c r="AH5357" s="3"/>
      <c r="AI5357" s="3"/>
      <c r="AJ5357" s="3"/>
    </row>
    <row r="5358" spans="3:36" s="6" customFormat="1" ht="11.25" customHeight="1">
      <c r="C5358" s="4"/>
      <c r="D5358" s="4"/>
      <c r="E5358" s="5"/>
      <c r="G5358" s="31"/>
      <c r="I5358" s="9"/>
      <c r="J5358" s="24"/>
      <c r="K5358" s="9"/>
      <c r="L5358" s="25"/>
      <c r="M5358" s="25"/>
      <c r="N5358" s="8"/>
      <c r="O5358" s="11"/>
      <c r="P5358" s="11"/>
      <c r="Q5358" s="8"/>
      <c r="S5358" s="3"/>
      <c r="T5358" s="3"/>
      <c r="U5358" s="7"/>
      <c r="V5358" s="436"/>
      <c r="X5358" s="8"/>
      <c r="Y5358" s="8"/>
      <c r="AH5358" s="3"/>
      <c r="AI5358" s="3"/>
      <c r="AJ5358" s="3"/>
    </row>
    <row r="5359" spans="3:36" s="6" customFormat="1" ht="11.25" customHeight="1">
      <c r="C5359" s="4"/>
      <c r="D5359" s="4"/>
      <c r="E5359" s="5"/>
      <c r="G5359" s="31"/>
      <c r="I5359" s="9"/>
      <c r="J5359" s="24"/>
      <c r="K5359" s="9"/>
      <c r="L5359" s="25"/>
      <c r="M5359" s="25"/>
      <c r="N5359" s="8"/>
      <c r="O5359" s="11"/>
      <c r="P5359" s="11"/>
      <c r="Q5359" s="8"/>
      <c r="S5359" s="3"/>
      <c r="T5359" s="3"/>
      <c r="U5359" s="7"/>
      <c r="V5359" s="436"/>
      <c r="X5359" s="8"/>
      <c r="Y5359" s="8"/>
      <c r="AH5359" s="3"/>
      <c r="AI5359" s="3"/>
      <c r="AJ5359" s="3"/>
    </row>
    <row r="5360" spans="3:36" s="6" customFormat="1" ht="11.25" customHeight="1">
      <c r="C5360" s="4"/>
      <c r="D5360" s="4"/>
      <c r="E5360" s="5"/>
      <c r="G5360" s="31"/>
      <c r="I5360" s="9"/>
      <c r="J5360" s="24"/>
      <c r="K5360" s="9"/>
      <c r="L5360" s="25"/>
      <c r="M5360" s="25"/>
      <c r="N5360" s="8"/>
      <c r="O5360" s="11"/>
      <c r="P5360" s="11"/>
      <c r="Q5360" s="8"/>
      <c r="S5360" s="3"/>
      <c r="T5360" s="3"/>
      <c r="U5360" s="7"/>
      <c r="V5360" s="436"/>
      <c r="X5360" s="8"/>
      <c r="Y5360" s="8"/>
      <c r="AH5360" s="3"/>
      <c r="AI5360" s="3"/>
      <c r="AJ5360" s="3"/>
    </row>
    <row r="5361" spans="3:36" s="6" customFormat="1" ht="11.25" customHeight="1">
      <c r="C5361" s="4"/>
      <c r="D5361" s="4"/>
      <c r="E5361" s="5"/>
      <c r="G5361" s="31"/>
      <c r="I5361" s="9"/>
      <c r="J5361" s="24"/>
      <c r="K5361" s="9"/>
      <c r="L5361" s="25"/>
      <c r="M5361" s="25"/>
      <c r="N5361" s="8"/>
      <c r="O5361" s="11"/>
      <c r="P5361" s="11"/>
      <c r="Q5361" s="8"/>
      <c r="S5361" s="3"/>
      <c r="T5361" s="3"/>
      <c r="U5361" s="7"/>
      <c r="V5361" s="436"/>
      <c r="X5361" s="8"/>
      <c r="Y5361" s="8"/>
      <c r="AH5361" s="3"/>
      <c r="AI5361" s="3"/>
      <c r="AJ5361" s="3"/>
    </row>
    <row r="5362" spans="3:36" s="6" customFormat="1" ht="11.25" customHeight="1">
      <c r="C5362" s="4"/>
      <c r="D5362" s="4"/>
      <c r="E5362" s="5"/>
      <c r="G5362" s="31"/>
      <c r="I5362" s="9"/>
      <c r="J5362" s="24"/>
      <c r="K5362" s="9"/>
      <c r="L5362" s="25"/>
      <c r="M5362" s="25"/>
      <c r="N5362" s="8"/>
      <c r="O5362" s="11"/>
      <c r="P5362" s="11"/>
      <c r="Q5362" s="8"/>
      <c r="S5362" s="3"/>
      <c r="T5362" s="3"/>
      <c r="U5362" s="7"/>
      <c r="V5362" s="436"/>
      <c r="X5362" s="8"/>
      <c r="Y5362" s="8"/>
      <c r="AH5362" s="3"/>
      <c r="AI5362" s="3"/>
      <c r="AJ5362" s="3"/>
    </row>
    <row r="5363" spans="3:36" s="6" customFormat="1" ht="11.25" customHeight="1">
      <c r="C5363" s="4"/>
      <c r="D5363" s="4"/>
      <c r="E5363" s="5"/>
      <c r="G5363" s="31"/>
      <c r="I5363" s="9"/>
      <c r="J5363" s="24"/>
      <c r="K5363" s="9"/>
      <c r="L5363" s="25"/>
      <c r="M5363" s="47"/>
      <c r="N5363" s="8"/>
      <c r="O5363" s="11"/>
      <c r="P5363" s="11"/>
      <c r="Q5363" s="8"/>
      <c r="S5363" s="3"/>
      <c r="T5363" s="3"/>
      <c r="U5363" s="7"/>
      <c r="V5363" s="436"/>
      <c r="X5363" s="8"/>
      <c r="Y5363" s="8"/>
      <c r="AH5363" s="3"/>
      <c r="AI5363" s="3"/>
      <c r="AJ5363" s="3"/>
    </row>
    <row r="5364" spans="3:36" s="6" customFormat="1" ht="11.25" customHeight="1">
      <c r="C5364" s="4"/>
      <c r="D5364" s="4"/>
      <c r="E5364" s="5"/>
      <c r="G5364" s="31"/>
      <c r="I5364" s="9"/>
      <c r="J5364" s="24"/>
      <c r="K5364" s="9"/>
      <c r="L5364" s="25"/>
      <c r="M5364" s="25"/>
      <c r="N5364" s="8"/>
      <c r="O5364" s="11"/>
      <c r="P5364" s="11"/>
      <c r="Q5364" s="8"/>
      <c r="S5364" s="3"/>
      <c r="T5364" s="3"/>
      <c r="U5364" s="7"/>
      <c r="V5364" s="436"/>
      <c r="X5364" s="8"/>
      <c r="Y5364" s="8"/>
      <c r="AH5364" s="3"/>
      <c r="AI5364" s="3"/>
      <c r="AJ5364" s="3"/>
    </row>
    <row r="5365" spans="3:36" s="6" customFormat="1" ht="11.25" customHeight="1">
      <c r="C5365" s="4"/>
      <c r="D5365" s="4"/>
      <c r="E5365" s="5"/>
      <c r="G5365" s="31"/>
      <c r="I5365" s="9"/>
      <c r="J5365" s="24"/>
      <c r="K5365" s="9"/>
      <c r="L5365" s="25"/>
      <c r="M5365" s="47"/>
      <c r="N5365" s="8"/>
      <c r="O5365" s="11"/>
      <c r="P5365" s="11"/>
      <c r="Q5365" s="8"/>
      <c r="S5365" s="3"/>
      <c r="T5365" s="3"/>
      <c r="U5365" s="7"/>
      <c r="V5365" s="436"/>
      <c r="X5365" s="8"/>
      <c r="Y5365" s="8"/>
      <c r="AH5365" s="3"/>
      <c r="AI5365" s="3"/>
      <c r="AJ5365" s="3"/>
    </row>
    <row r="5366" spans="3:36" s="6" customFormat="1" ht="11.25" customHeight="1">
      <c r="C5366" s="4"/>
      <c r="D5366" s="4"/>
      <c r="E5366" s="5"/>
      <c r="G5366" s="31"/>
      <c r="I5366" s="9"/>
      <c r="J5366" s="24"/>
      <c r="K5366" s="9"/>
      <c r="L5366" s="25"/>
      <c r="M5366" s="25"/>
      <c r="N5366" s="8"/>
      <c r="O5366" s="11"/>
      <c r="P5366" s="11"/>
      <c r="Q5366" s="8"/>
      <c r="S5366" s="3"/>
      <c r="T5366" s="3"/>
      <c r="U5366" s="7"/>
      <c r="V5366" s="436"/>
      <c r="X5366" s="8"/>
      <c r="Y5366" s="8"/>
      <c r="AH5366" s="3"/>
      <c r="AI5366" s="3"/>
      <c r="AJ5366" s="3"/>
    </row>
    <row r="5367" spans="3:36" s="6" customFormat="1" ht="11.25" customHeight="1">
      <c r="C5367" s="4"/>
      <c r="D5367" s="4"/>
      <c r="E5367" s="5"/>
      <c r="G5367" s="31"/>
      <c r="I5367" s="9"/>
      <c r="J5367" s="24"/>
      <c r="K5367" s="9"/>
      <c r="L5367" s="25"/>
      <c r="M5367" s="25"/>
      <c r="N5367" s="8"/>
      <c r="O5367" s="11"/>
      <c r="P5367" s="11"/>
      <c r="Q5367" s="8"/>
      <c r="S5367" s="3"/>
      <c r="T5367" s="3"/>
      <c r="U5367" s="7"/>
      <c r="V5367" s="436"/>
      <c r="X5367" s="8"/>
      <c r="Y5367" s="8"/>
      <c r="AH5367" s="3"/>
      <c r="AI5367" s="3"/>
      <c r="AJ5367" s="3"/>
    </row>
    <row r="5368" spans="3:36" s="6" customFormat="1" ht="11.25" customHeight="1">
      <c r="C5368" s="4"/>
      <c r="D5368" s="4"/>
      <c r="E5368" s="5"/>
      <c r="G5368" s="31"/>
      <c r="I5368" s="9"/>
      <c r="J5368" s="24"/>
      <c r="K5368" s="9"/>
      <c r="L5368" s="25"/>
      <c r="M5368" s="25"/>
      <c r="N5368" s="8"/>
      <c r="O5368" s="11"/>
      <c r="P5368" s="11"/>
      <c r="Q5368" s="8"/>
      <c r="S5368" s="3"/>
      <c r="T5368" s="3"/>
      <c r="U5368" s="7"/>
      <c r="V5368" s="436"/>
      <c r="X5368" s="8"/>
      <c r="Y5368" s="8"/>
      <c r="AH5368" s="3"/>
      <c r="AI5368" s="3"/>
      <c r="AJ5368" s="3"/>
    </row>
    <row r="5369" spans="3:36" s="6" customFormat="1" ht="11.25" customHeight="1">
      <c r="C5369" s="4"/>
      <c r="D5369" s="4"/>
      <c r="E5369" s="5"/>
      <c r="G5369" s="31"/>
      <c r="I5369" s="9"/>
      <c r="J5369" s="24"/>
      <c r="K5369" s="9"/>
      <c r="L5369" s="25"/>
      <c r="M5369" s="25"/>
      <c r="N5369" s="8"/>
      <c r="O5369" s="11"/>
      <c r="P5369" s="11"/>
      <c r="Q5369" s="8"/>
      <c r="S5369" s="3"/>
      <c r="T5369" s="3"/>
      <c r="U5369" s="7"/>
      <c r="V5369" s="436"/>
      <c r="X5369" s="8"/>
      <c r="Y5369" s="8"/>
      <c r="AH5369" s="3"/>
      <c r="AI5369" s="3"/>
      <c r="AJ5369" s="3"/>
    </row>
    <row r="5370" spans="3:36" s="6" customFormat="1" ht="11.25" customHeight="1">
      <c r="C5370" s="4"/>
      <c r="D5370" s="4"/>
      <c r="E5370" s="5"/>
      <c r="G5370" s="31"/>
      <c r="I5370" s="9"/>
      <c r="J5370" s="24"/>
      <c r="K5370" s="9"/>
      <c r="L5370" s="25"/>
      <c r="M5370" s="25"/>
      <c r="N5370" s="8"/>
      <c r="O5370" s="11"/>
      <c r="P5370" s="11"/>
      <c r="Q5370" s="8"/>
      <c r="S5370" s="3"/>
      <c r="T5370" s="3"/>
      <c r="U5370" s="7"/>
      <c r="V5370" s="436"/>
      <c r="X5370" s="8"/>
      <c r="Y5370" s="8"/>
      <c r="AH5370" s="3"/>
      <c r="AI5370" s="3"/>
      <c r="AJ5370" s="3"/>
    </row>
    <row r="5371" spans="3:36" s="6" customFormat="1" ht="11.25" customHeight="1">
      <c r="C5371" s="4"/>
      <c r="D5371" s="4"/>
      <c r="E5371" s="5"/>
      <c r="G5371" s="31"/>
      <c r="I5371" s="9"/>
      <c r="J5371" s="24"/>
      <c r="K5371" s="9"/>
      <c r="L5371" s="25"/>
      <c r="M5371" s="25"/>
      <c r="N5371" s="8"/>
      <c r="O5371" s="11"/>
      <c r="P5371" s="11"/>
      <c r="Q5371" s="8"/>
      <c r="S5371" s="3"/>
      <c r="T5371" s="3"/>
      <c r="U5371" s="7"/>
      <c r="V5371" s="436"/>
      <c r="X5371" s="8"/>
      <c r="Y5371" s="8"/>
      <c r="AH5371" s="3"/>
      <c r="AI5371" s="3"/>
      <c r="AJ5371" s="3"/>
    </row>
    <row r="5372" spans="3:36" s="6" customFormat="1" ht="11.25" customHeight="1">
      <c r="C5372" s="4"/>
      <c r="D5372" s="4"/>
      <c r="E5372" s="5"/>
      <c r="G5372" s="31"/>
      <c r="I5372" s="9"/>
      <c r="J5372" s="24"/>
      <c r="K5372" s="9"/>
      <c r="L5372" s="25"/>
      <c r="M5372" s="25"/>
      <c r="N5372" s="8"/>
      <c r="O5372" s="11"/>
      <c r="P5372" s="11"/>
      <c r="Q5372" s="8"/>
      <c r="S5372" s="3"/>
      <c r="T5372" s="3"/>
      <c r="U5372" s="7"/>
      <c r="V5372" s="436"/>
      <c r="X5372" s="8"/>
      <c r="Y5372" s="8"/>
      <c r="AH5372" s="3"/>
      <c r="AI5372" s="3"/>
      <c r="AJ5372" s="3"/>
    </row>
    <row r="5373" spans="3:36" s="6" customFormat="1" ht="11.25" customHeight="1">
      <c r="C5373" s="4"/>
      <c r="D5373" s="4"/>
      <c r="E5373" s="5"/>
      <c r="G5373" s="31"/>
      <c r="I5373" s="9"/>
      <c r="J5373" s="24"/>
      <c r="K5373" s="9"/>
      <c r="L5373" s="25"/>
      <c r="M5373" s="25"/>
      <c r="N5373" s="8"/>
      <c r="O5373" s="11"/>
      <c r="P5373" s="11"/>
      <c r="Q5373" s="8"/>
      <c r="S5373" s="3"/>
      <c r="T5373" s="3"/>
      <c r="U5373" s="7"/>
      <c r="V5373" s="436"/>
      <c r="X5373" s="8"/>
      <c r="Y5373" s="8"/>
      <c r="AH5373" s="3"/>
      <c r="AI5373" s="3"/>
      <c r="AJ5373" s="3"/>
    </row>
    <row r="5374" spans="3:36" s="6" customFormat="1" ht="11.25" customHeight="1">
      <c r="C5374" s="4"/>
      <c r="D5374" s="4"/>
      <c r="E5374" s="5"/>
      <c r="G5374" s="31"/>
      <c r="I5374" s="9"/>
      <c r="J5374" s="24"/>
      <c r="K5374" s="9"/>
      <c r="L5374" s="25"/>
      <c r="M5374" s="25"/>
      <c r="N5374" s="8"/>
      <c r="O5374" s="11"/>
      <c r="P5374" s="11"/>
      <c r="Q5374" s="8"/>
      <c r="S5374" s="3"/>
      <c r="T5374" s="3"/>
      <c r="U5374" s="7"/>
      <c r="V5374" s="436"/>
      <c r="X5374" s="8"/>
      <c r="Y5374" s="8"/>
      <c r="AH5374" s="3"/>
      <c r="AI5374" s="3"/>
      <c r="AJ5374" s="3"/>
    </row>
    <row r="5375" spans="3:36" s="6" customFormat="1" ht="11.25" customHeight="1">
      <c r="C5375" s="4"/>
      <c r="D5375" s="4"/>
      <c r="E5375" s="5"/>
      <c r="G5375" s="31"/>
      <c r="I5375" s="9"/>
      <c r="J5375" s="24"/>
      <c r="K5375" s="9"/>
      <c r="L5375" s="25"/>
      <c r="M5375" s="25"/>
      <c r="N5375" s="8"/>
      <c r="O5375" s="11"/>
      <c r="P5375" s="11"/>
      <c r="Q5375" s="8"/>
      <c r="S5375" s="3"/>
      <c r="T5375" s="3"/>
      <c r="U5375" s="7"/>
      <c r="V5375" s="436"/>
      <c r="X5375" s="8"/>
      <c r="Y5375" s="8"/>
      <c r="AH5375" s="3"/>
      <c r="AI5375" s="3"/>
      <c r="AJ5375" s="3"/>
    </row>
    <row r="5376" spans="3:36" s="6" customFormat="1" ht="11.25" customHeight="1">
      <c r="C5376" s="4"/>
      <c r="D5376" s="4"/>
      <c r="E5376" s="5"/>
      <c r="G5376" s="31"/>
      <c r="I5376" s="9"/>
      <c r="J5376" s="24"/>
      <c r="K5376" s="9"/>
      <c r="L5376" s="25"/>
      <c r="M5376" s="25"/>
      <c r="N5376" s="8"/>
      <c r="O5376" s="11"/>
      <c r="P5376" s="11"/>
      <c r="Q5376" s="8"/>
      <c r="S5376" s="3"/>
      <c r="T5376" s="3"/>
      <c r="U5376" s="7"/>
      <c r="V5376" s="436"/>
      <c r="X5376" s="8"/>
      <c r="Y5376" s="8"/>
      <c r="AH5376" s="3"/>
      <c r="AI5376" s="3"/>
      <c r="AJ5376" s="3"/>
    </row>
    <row r="5377" spans="3:36" s="6" customFormat="1" ht="11.25" customHeight="1">
      <c r="C5377" s="4"/>
      <c r="D5377" s="4"/>
      <c r="E5377" s="5"/>
      <c r="G5377" s="31"/>
      <c r="I5377" s="9"/>
      <c r="J5377" s="24"/>
      <c r="K5377" s="9"/>
      <c r="L5377" s="25"/>
      <c r="M5377" s="25"/>
      <c r="N5377" s="8"/>
      <c r="O5377" s="11"/>
      <c r="P5377" s="11"/>
      <c r="Q5377" s="8"/>
      <c r="S5377" s="3"/>
      <c r="T5377" s="3"/>
      <c r="U5377" s="7"/>
      <c r="V5377" s="436"/>
      <c r="X5377" s="8"/>
      <c r="Y5377" s="8"/>
      <c r="AH5377" s="3"/>
      <c r="AI5377" s="3"/>
      <c r="AJ5377" s="3"/>
    </row>
    <row r="5378" spans="3:36" s="13" customFormat="1" ht="11.25" customHeight="1">
      <c r="C5378" s="4"/>
      <c r="D5378" s="4"/>
      <c r="E5378" s="5"/>
      <c r="F5378" s="6"/>
      <c r="G5378" s="31"/>
      <c r="H5378" s="6"/>
      <c r="I5378" s="9"/>
      <c r="J5378" s="24"/>
      <c r="K5378" s="9"/>
      <c r="L5378" s="25"/>
      <c r="M5378" s="25"/>
      <c r="N5378" s="8"/>
      <c r="O5378" s="11"/>
      <c r="P5378" s="11"/>
      <c r="Q5378" s="8"/>
      <c r="R5378" s="6"/>
      <c r="S5378" s="3"/>
      <c r="T5378" s="3"/>
      <c r="U5378" s="7"/>
      <c r="V5378" s="436"/>
      <c r="W5378" s="6"/>
      <c r="X5378" s="8"/>
      <c r="Y5378" s="8"/>
      <c r="AH5378" s="325"/>
      <c r="AI5378" s="325"/>
      <c r="AJ5378" s="325"/>
    </row>
    <row r="5379" spans="3:36" s="13" customFormat="1" ht="11.25" customHeight="1">
      <c r="C5379" s="4"/>
      <c r="D5379" s="4"/>
      <c r="E5379" s="5"/>
      <c r="F5379" s="6"/>
      <c r="G5379" s="31"/>
      <c r="H5379" s="6"/>
      <c r="I5379" s="9"/>
      <c r="J5379" s="24"/>
      <c r="K5379" s="9"/>
      <c r="L5379" s="25"/>
      <c r="M5379" s="7"/>
      <c r="N5379" s="8"/>
      <c r="O5379" s="11"/>
      <c r="P5379" s="11"/>
      <c r="Q5379" s="8"/>
      <c r="R5379" s="6"/>
      <c r="S5379" s="3"/>
      <c r="T5379" s="3"/>
      <c r="U5379" s="7"/>
      <c r="V5379" s="436"/>
      <c r="W5379" s="6"/>
      <c r="X5379" s="8"/>
      <c r="Y5379" s="8"/>
      <c r="AH5379" s="325"/>
      <c r="AI5379" s="325"/>
      <c r="AJ5379" s="325"/>
    </row>
    <row r="5380" spans="3:36" s="13" customFormat="1" ht="11.25" customHeight="1">
      <c r="C5380" s="4"/>
      <c r="D5380" s="4"/>
      <c r="E5380" s="5"/>
      <c r="F5380" s="6"/>
      <c r="G5380" s="31"/>
      <c r="H5380" s="6"/>
      <c r="I5380" s="9"/>
      <c r="J5380" s="24"/>
      <c r="K5380" s="9"/>
      <c r="L5380" s="25"/>
      <c r="M5380" s="7"/>
      <c r="N5380" s="8"/>
      <c r="O5380" s="11"/>
      <c r="P5380" s="11"/>
      <c r="Q5380" s="8"/>
      <c r="R5380" s="6"/>
      <c r="S5380" s="3"/>
      <c r="T5380" s="3"/>
      <c r="U5380" s="7"/>
      <c r="V5380" s="436"/>
      <c r="W5380" s="6"/>
      <c r="X5380" s="8"/>
      <c r="Y5380" s="8"/>
      <c r="AH5380" s="325"/>
      <c r="AI5380" s="325"/>
      <c r="AJ5380" s="325"/>
    </row>
    <row r="5381" spans="3:36" s="13" customFormat="1" ht="11.25" customHeight="1">
      <c r="C5381" s="4"/>
      <c r="D5381" s="4"/>
      <c r="E5381" s="5"/>
      <c r="F5381" s="6"/>
      <c r="G5381" s="31"/>
      <c r="H5381" s="6"/>
      <c r="I5381" s="9"/>
      <c r="J5381" s="24"/>
      <c r="K5381" s="9"/>
      <c r="L5381" s="25"/>
      <c r="M5381" s="7"/>
      <c r="N5381" s="8"/>
      <c r="O5381" s="11"/>
      <c r="P5381" s="11"/>
      <c r="Q5381" s="8"/>
      <c r="R5381" s="6"/>
      <c r="S5381" s="3"/>
      <c r="T5381" s="3"/>
      <c r="U5381" s="7"/>
      <c r="V5381" s="436"/>
      <c r="W5381" s="6"/>
      <c r="X5381" s="8"/>
      <c r="Y5381" s="8"/>
      <c r="AH5381" s="325"/>
      <c r="AI5381" s="325"/>
      <c r="AJ5381" s="325"/>
    </row>
    <row r="5382" spans="3:36" s="13" customFormat="1" ht="11.25" customHeight="1">
      <c r="C5382" s="4"/>
      <c r="D5382" s="4"/>
      <c r="E5382" s="5"/>
      <c r="F5382" s="6"/>
      <c r="G5382" s="31"/>
      <c r="H5382" s="6"/>
      <c r="I5382" s="9"/>
      <c r="J5382" s="24"/>
      <c r="K5382" s="9"/>
      <c r="L5382" s="25"/>
      <c r="M5382" s="7"/>
      <c r="N5382" s="8"/>
      <c r="O5382" s="11"/>
      <c r="P5382" s="11"/>
      <c r="Q5382" s="8"/>
      <c r="R5382" s="6"/>
      <c r="S5382" s="3"/>
      <c r="T5382" s="3"/>
      <c r="U5382" s="7"/>
      <c r="V5382" s="436"/>
      <c r="W5382" s="6"/>
      <c r="X5382" s="8"/>
      <c r="Y5382" s="8"/>
      <c r="AH5382" s="325"/>
      <c r="AI5382" s="325"/>
      <c r="AJ5382" s="325"/>
    </row>
    <row r="5383" spans="3:36" s="13" customFormat="1" ht="11.25" customHeight="1">
      <c r="C5383" s="4"/>
      <c r="D5383" s="4"/>
      <c r="E5383" s="5"/>
      <c r="F5383" s="6"/>
      <c r="G5383" s="31"/>
      <c r="H5383" s="6"/>
      <c r="I5383" s="9"/>
      <c r="J5383" s="24"/>
      <c r="K5383" s="9"/>
      <c r="L5383" s="25"/>
      <c r="M5383" s="7"/>
      <c r="N5383" s="8"/>
      <c r="O5383" s="11"/>
      <c r="P5383" s="11"/>
      <c r="Q5383" s="8"/>
      <c r="R5383" s="6"/>
      <c r="S5383" s="3"/>
      <c r="T5383" s="3"/>
      <c r="U5383" s="7"/>
      <c r="V5383" s="436"/>
      <c r="W5383" s="6"/>
      <c r="X5383" s="8"/>
      <c r="Y5383" s="8"/>
      <c r="AH5383" s="325"/>
      <c r="AI5383" s="325"/>
      <c r="AJ5383" s="325"/>
    </row>
    <row r="5384" spans="3:36" s="13" customFormat="1" ht="11.25" customHeight="1">
      <c r="C5384" s="4"/>
      <c r="D5384" s="4"/>
      <c r="E5384" s="5"/>
      <c r="F5384" s="6"/>
      <c r="G5384" s="31"/>
      <c r="H5384" s="6"/>
      <c r="I5384" s="9"/>
      <c r="J5384" s="24"/>
      <c r="K5384" s="9"/>
      <c r="L5384" s="25"/>
      <c r="M5384" s="7"/>
      <c r="N5384" s="8"/>
      <c r="O5384" s="11"/>
      <c r="P5384" s="11"/>
      <c r="Q5384" s="8"/>
      <c r="R5384" s="6"/>
      <c r="S5384" s="3"/>
      <c r="T5384" s="3"/>
      <c r="U5384" s="7"/>
      <c r="V5384" s="436"/>
      <c r="W5384" s="6"/>
      <c r="X5384" s="8"/>
      <c r="Y5384" s="8"/>
      <c r="AH5384" s="325"/>
      <c r="AI5384" s="325"/>
      <c r="AJ5384" s="325"/>
    </row>
    <row r="5385" spans="3:36" s="13" customFormat="1" ht="11.25" customHeight="1">
      <c r="C5385" s="4"/>
      <c r="D5385" s="4"/>
      <c r="E5385" s="5"/>
      <c r="F5385" s="6"/>
      <c r="G5385" s="31"/>
      <c r="H5385" s="6"/>
      <c r="I5385" s="9"/>
      <c r="J5385" s="24"/>
      <c r="K5385" s="9"/>
      <c r="L5385" s="25"/>
      <c r="M5385" s="7"/>
      <c r="N5385" s="8"/>
      <c r="O5385" s="11"/>
      <c r="P5385" s="11"/>
      <c r="Q5385" s="8"/>
      <c r="R5385" s="6"/>
      <c r="S5385" s="3"/>
      <c r="T5385" s="3"/>
      <c r="U5385" s="7"/>
      <c r="V5385" s="436"/>
      <c r="W5385" s="6"/>
      <c r="X5385" s="8"/>
      <c r="Y5385" s="8"/>
      <c r="AH5385" s="325"/>
      <c r="AI5385" s="325"/>
      <c r="AJ5385" s="325"/>
    </row>
    <row r="5386" spans="3:36" s="13" customFormat="1" ht="11.25" customHeight="1">
      <c r="C5386" s="4"/>
      <c r="D5386" s="4"/>
      <c r="E5386" s="5"/>
      <c r="F5386" s="6"/>
      <c r="G5386" s="31"/>
      <c r="H5386" s="6"/>
      <c r="I5386" s="9"/>
      <c r="J5386" s="24"/>
      <c r="K5386" s="9"/>
      <c r="L5386" s="25"/>
      <c r="M5386" s="7"/>
      <c r="N5386" s="8"/>
      <c r="O5386" s="11"/>
      <c r="P5386" s="11"/>
      <c r="Q5386" s="8"/>
      <c r="R5386" s="6"/>
      <c r="S5386" s="3"/>
      <c r="T5386" s="3"/>
      <c r="U5386" s="7"/>
      <c r="V5386" s="436"/>
      <c r="W5386" s="6"/>
      <c r="X5386" s="8"/>
      <c r="Y5386" s="8"/>
      <c r="AH5386" s="325"/>
      <c r="AI5386" s="325"/>
      <c r="AJ5386" s="325"/>
    </row>
    <row r="5387" spans="3:36" s="13" customFormat="1" ht="11.25" customHeight="1">
      <c r="C5387" s="4"/>
      <c r="D5387" s="4"/>
      <c r="E5387" s="5"/>
      <c r="F5387" s="6"/>
      <c r="G5387" s="31"/>
      <c r="H5387" s="6"/>
      <c r="I5387" s="9"/>
      <c r="J5387" s="24"/>
      <c r="K5387" s="9"/>
      <c r="L5387" s="25"/>
      <c r="M5387" s="7"/>
      <c r="N5387" s="8"/>
      <c r="O5387" s="11"/>
      <c r="P5387" s="11"/>
      <c r="Q5387" s="8"/>
      <c r="R5387" s="6"/>
      <c r="S5387" s="3"/>
      <c r="T5387" s="3"/>
      <c r="U5387" s="7"/>
      <c r="V5387" s="436"/>
      <c r="W5387" s="6"/>
      <c r="X5387" s="8"/>
      <c r="Y5387" s="8"/>
      <c r="AH5387" s="325"/>
      <c r="AI5387" s="325"/>
      <c r="AJ5387" s="325"/>
    </row>
    <row r="5388" spans="3:36" s="13" customFormat="1" ht="11.25" customHeight="1">
      <c r="C5388" s="4"/>
      <c r="D5388" s="4"/>
      <c r="E5388" s="5"/>
      <c r="F5388" s="6"/>
      <c r="G5388" s="31"/>
      <c r="H5388" s="6"/>
      <c r="I5388" s="9"/>
      <c r="J5388" s="24"/>
      <c r="K5388" s="9"/>
      <c r="L5388" s="25"/>
      <c r="M5388" s="47"/>
      <c r="N5388" s="8"/>
      <c r="O5388" s="11"/>
      <c r="P5388" s="11"/>
      <c r="Q5388" s="8"/>
      <c r="R5388" s="6"/>
      <c r="S5388" s="3"/>
      <c r="T5388" s="3"/>
      <c r="U5388" s="7"/>
      <c r="V5388" s="436"/>
      <c r="W5388" s="6"/>
      <c r="X5388" s="8"/>
      <c r="Y5388" s="8"/>
      <c r="AH5388" s="325"/>
      <c r="AI5388" s="325"/>
      <c r="AJ5388" s="325"/>
    </row>
    <row r="5389" spans="3:36" s="13" customFormat="1" ht="11.25" customHeight="1">
      <c r="C5389" s="4"/>
      <c r="D5389" s="4"/>
      <c r="E5389" s="5"/>
      <c r="F5389" s="6"/>
      <c r="G5389" s="31"/>
      <c r="H5389" s="6"/>
      <c r="I5389" s="9"/>
      <c r="J5389" s="24"/>
      <c r="K5389" s="9"/>
      <c r="L5389" s="25"/>
      <c r="M5389" s="7"/>
      <c r="N5389" s="8"/>
      <c r="O5389" s="11"/>
      <c r="P5389" s="11"/>
      <c r="Q5389" s="8"/>
      <c r="R5389" s="6"/>
      <c r="S5389" s="3"/>
      <c r="T5389" s="3"/>
      <c r="U5389" s="7"/>
      <c r="V5389" s="436"/>
      <c r="W5389" s="6"/>
      <c r="X5389" s="8"/>
      <c r="Y5389" s="8"/>
      <c r="AH5389" s="325"/>
      <c r="AI5389" s="325"/>
      <c r="AJ5389" s="325"/>
    </row>
    <row r="5390" spans="3:36" s="13" customFormat="1" ht="11.25" customHeight="1">
      <c r="C5390" s="4"/>
      <c r="D5390" s="4"/>
      <c r="E5390" s="5"/>
      <c r="F5390" s="6"/>
      <c r="G5390" s="31"/>
      <c r="H5390" s="6"/>
      <c r="I5390" s="9"/>
      <c r="J5390" s="24"/>
      <c r="K5390" s="9"/>
      <c r="L5390" s="25"/>
      <c r="M5390" s="7"/>
      <c r="N5390" s="8"/>
      <c r="O5390" s="11"/>
      <c r="P5390" s="11"/>
      <c r="Q5390" s="8"/>
      <c r="R5390" s="6"/>
      <c r="S5390" s="3"/>
      <c r="T5390" s="3"/>
      <c r="U5390" s="7"/>
      <c r="V5390" s="436"/>
      <c r="W5390" s="6"/>
      <c r="X5390" s="8"/>
      <c r="Y5390" s="8"/>
      <c r="AH5390" s="325"/>
      <c r="AI5390" s="325"/>
      <c r="AJ5390" s="325"/>
    </row>
    <row r="5391" spans="3:36" s="13" customFormat="1" ht="11.25" customHeight="1">
      <c r="C5391" s="4"/>
      <c r="D5391" s="4"/>
      <c r="E5391" s="5"/>
      <c r="F5391" s="6"/>
      <c r="G5391" s="31"/>
      <c r="H5391" s="6"/>
      <c r="I5391" s="9"/>
      <c r="J5391" s="24"/>
      <c r="K5391" s="9"/>
      <c r="L5391" s="25"/>
      <c r="M5391" s="7"/>
      <c r="N5391" s="8"/>
      <c r="O5391" s="11"/>
      <c r="P5391" s="11"/>
      <c r="Q5391" s="8"/>
      <c r="R5391" s="6"/>
      <c r="S5391" s="3"/>
      <c r="T5391" s="3"/>
      <c r="U5391" s="7"/>
      <c r="V5391" s="436"/>
      <c r="W5391" s="6"/>
      <c r="X5391" s="8"/>
      <c r="Y5391" s="8"/>
      <c r="AH5391" s="325"/>
      <c r="AI5391" s="325"/>
      <c r="AJ5391" s="325"/>
    </row>
    <row r="5392" spans="3:36" s="13" customFormat="1" ht="11.25" customHeight="1">
      <c r="C5392" s="4"/>
      <c r="D5392" s="4"/>
      <c r="E5392" s="5"/>
      <c r="F5392" s="6"/>
      <c r="G5392" s="31"/>
      <c r="H5392" s="6"/>
      <c r="I5392" s="9"/>
      <c r="J5392" s="24"/>
      <c r="K5392" s="9"/>
      <c r="L5392" s="25"/>
      <c r="M5392" s="7"/>
      <c r="N5392" s="8"/>
      <c r="O5392" s="11"/>
      <c r="P5392" s="11"/>
      <c r="Q5392" s="8"/>
      <c r="R5392" s="6"/>
      <c r="S5392" s="3"/>
      <c r="T5392" s="3"/>
      <c r="U5392" s="7"/>
      <c r="V5392" s="436"/>
      <c r="W5392" s="6"/>
      <c r="X5392" s="8"/>
      <c r="Y5392" s="8"/>
      <c r="AH5392" s="325"/>
      <c r="AI5392" s="325"/>
      <c r="AJ5392" s="325"/>
    </row>
    <row r="5393" spans="3:36" s="13" customFormat="1" ht="11.25" customHeight="1">
      <c r="C5393" s="4"/>
      <c r="D5393" s="4"/>
      <c r="E5393" s="5"/>
      <c r="F5393" s="6"/>
      <c r="G5393" s="31"/>
      <c r="H5393" s="6"/>
      <c r="I5393" s="9"/>
      <c r="J5393" s="24"/>
      <c r="K5393" s="9"/>
      <c r="L5393" s="25"/>
      <c r="M5393" s="7"/>
      <c r="N5393" s="8"/>
      <c r="O5393" s="11"/>
      <c r="P5393" s="11"/>
      <c r="Q5393" s="8"/>
      <c r="R5393" s="6"/>
      <c r="S5393" s="3"/>
      <c r="T5393" s="3"/>
      <c r="U5393" s="7"/>
      <c r="V5393" s="436"/>
      <c r="W5393" s="6"/>
      <c r="X5393" s="8"/>
      <c r="Y5393" s="8"/>
      <c r="AH5393" s="325"/>
      <c r="AI5393" s="325"/>
      <c r="AJ5393" s="325"/>
    </row>
    <row r="5394" spans="3:36" s="13" customFormat="1" ht="11.25" customHeight="1">
      <c r="C5394" s="4"/>
      <c r="D5394" s="4"/>
      <c r="E5394" s="5"/>
      <c r="F5394" s="6"/>
      <c r="G5394" s="31"/>
      <c r="H5394" s="6"/>
      <c r="I5394" s="9"/>
      <c r="J5394" s="24"/>
      <c r="K5394" s="9"/>
      <c r="L5394" s="25"/>
      <c r="M5394" s="7"/>
      <c r="N5394" s="8"/>
      <c r="O5394" s="11"/>
      <c r="P5394" s="11"/>
      <c r="Q5394" s="8"/>
      <c r="R5394" s="6"/>
      <c r="S5394" s="3"/>
      <c r="T5394" s="3"/>
      <c r="U5394" s="7"/>
      <c r="V5394" s="436"/>
      <c r="W5394" s="6"/>
      <c r="X5394" s="8"/>
      <c r="Y5394" s="8"/>
      <c r="AH5394" s="325"/>
      <c r="AI5394" s="325"/>
      <c r="AJ5394" s="325"/>
    </row>
    <row r="5395" spans="3:36" s="13" customFormat="1" ht="11.25" customHeight="1">
      <c r="C5395" s="4"/>
      <c r="D5395" s="4"/>
      <c r="E5395" s="5"/>
      <c r="F5395" s="6"/>
      <c r="G5395" s="31"/>
      <c r="H5395" s="6"/>
      <c r="I5395" s="9"/>
      <c r="J5395" s="24"/>
      <c r="K5395" s="9"/>
      <c r="L5395" s="25"/>
      <c r="M5395" s="7"/>
      <c r="N5395" s="8"/>
      <c r="O5395" s="11"/>
      <c r="P5395" s="11"/>
      <c r="Q5395" s="8"/>
      <c r="R5395" s="6"/>
      <c r="S5395" s="3"/>
      <c r="T5395" s="3"/>
      <c r="U5395" s="7"/>
      <c r="V5395" s="436"/>
      <c r="W5395" s="6"/>
      <c r="X5395" s="8"/>
      <c r="Y5395" s="8"/>
      <c r="AH5395" s="325"/>
      <c r="AI5395" s="325"/>
      <c r="AJ5395" s="325"/>
    </row>
    <row r="5396" spans="3:36" s="13" customFormat="1" ht="11.25" customHeight="1">
      <c r="C5396" s="4"/>
      <c r="D5396" s="4"/>
      <c r="E5396" s="5"/>
      <c r="F5396" s="6"/>
      <c r="G5396" s="31"/>
      <c r="H5396" s="6"/>
      <c r="I5396" s="9"/>
      <c r="J5396" s="24"/>
      <c r="K5396" s="9"/>
      <c r="L5396" s="25"/>
      <c r="M5396" s="7"/>
      <c r="N5396" s="8"/>
      <c r="O5396" s="11"/>
      <c r="P5396" s="11"/>
      <c r="Q5396" s="8"/>
      <c r="R5396" s="6"/>
      <c r="S5396" s="3"/>
      <c r="T5396" s="3"/>
      <c r="U5396" s="7"/>
      <c r="V5396" s="436"/>
      <c r="W5396" s="6"/>
      <c r="X5396" s="8"/>
      <c r="Y5396" s="8"/>
      <c r="AH5396" s="325"/>
      <c r="AI5396" s="325"/>
      <c r="AJ5396" s="325"/>
    </row>
    <row r="5397" spans="3:36" s="13" customFormat="1" ht="11.25" customHeight="1">
      <c r="C5397" s="4"/>
      <c r="D5397" s="4"/>
      <c r="E5397" s="5"/>
      <c r="F5397" s="6"/>
      <c r="G5397" s="31"/>
      <c r="H5397" s="6"/>
      <c r="I5397" s="9"/>
      <c r="J5397" s="24"/>
      <c r="K5397" s="9"/>
      <c r="L5397" s="25"/>
      <c r="M5397" s="7"/>
      <c r="N5397" s="8"/>
      <c r="O5397" s="11"/>
      <c r="P5397" s="11"/>
      <c r="Q5397" s="8"/>
      <c r="R5397" s="6"/>
      <c r="S5397" s="3"/>
      <c r="T5397" s="3"/>
      <c r="U5397" s="7"/>
      <c r="V5397" s="436"/>
      <c r="W5397" s="6"/>
      <c r="X5397" s="8"/>
      <c r="Y5397" s="8"/>
      <c r="AH5397" s="325"/>
      <c r="AI5397" s="325"/>
      <c r="AJ5397" s="325"/>
    </row>
    <row r="5398" spans="3:36" s="13" customFormat="1" ht="11.25" customHeight="1">
      <c r="C5398" s="4"/>
      <c r="D5398" s="4"/>
      <c r="E5398" s="5"/>
      <c r="F5398" s="6"/>
      <c r="G5398" s="31"/>
      <c r="H5398" s="6"/>
      <c r="I5398" s="9"/>
      <c r="J5398" s="24"/>
      <c r="K5398" s="9"/>
      <c r="L5398" s="25"/>
      <c r="M5398" s="7"/>
      <c r="N5398" s="8"/>
      <c r="O5398" s="11"/>
      <c r="P5398" s="11"/>
      <c r="Q5398" s="8"/>
      <c r="R5398" s="6"/>
      <c r="S5398" s="3"/>
      <c r="T5398" s="3"/>
      <c r="U5398" s="7"/>
      <c r="V5398" s="436"/>
      <c r="W5398" s="6"/>
      <c r="X5398" s="8"/>
      <c r="Y5398" s="8"/>
      <c r="AH5398" s="325"/>
      <c r="AI5398" s="325"/>
      <c r="AJ5398" s="325"/>
    </row>
    <row r="5399" spans="3:36" s="13" customFormat="1" ht="11.25" customHeight="1">
      <c r="C5399" s="4"/>
      <c r="D5399" s="4"/>
      <c r="E5399" s="5"/>
      <c r="F5399" s="6"/>
      <c r="G5399" s="31"/>
      <c r="H5399" s="6"/>
      <c r="I5399" s="9"/>
      <c r="J5399" s="24"/>
      <c r="K5399" s="9"/>
      <c r="L5399" s="25"/>
      <c r="M5399" s="7"/>
      <c r="N5399" s="8"/>
      <c r="O5399" s="11"/>
      <c r="P5399" s="11"/>
      <c r="Q5399" s="8"/>
      <c r="R5399" s="6"/>
      <c r="S5399" s="3"/>
      <c r="T5399" s="3"/>
      <c r="U5399" s="7"/>
      <c r="V5399" s="436"/>
      <c r="W5399" s="6"/>
      <c r="X5399" s="8"/>
      <c r="Y5399" s="8"/>
      <c r="AH5399" s="325"/>
      <c r="AI5399" s="325"/>
      <c r="AJ5399" s="325"/>
    </row>
    <row r="5400" spans="3:36" s="13" customFormat="1" ht="11.25" customHeight="1">
      <c r="C5400" s="4"/>
      <c r="D5400" s="4"/>
      <c r="E5400" s="5"/>
      <c r="F5400" s="6"/>
      <c r="G5400" s="31"/>
      <c r="H5400" s="6"/>
      <c r="I5400" s="9"/>
      <c r="J5400" s="24"/>
      <c r="K5400" s="9"/>
      <c r="L5400" s="25"/>
      <c r="M5400" s="7"/>
      <c r="N5400" s="8"/>
      <c r="O5400" s="11"/>
      <c r="P5400" s="11"/>
      <c r="Q5400" s="8"/>
      <c r="R5400" s="6"/>
      <c r="S5400" s="3"/>
      <c r="T5400" s="3"/>
      <c r="U5400" s="7"/>
      <c r="V5400" s="436"/>
      <c r="W5400" s="6"/>
      <c r="X5400" s="8"/>
      <c r="Y5400" s="8"/>
      <c r="AH5400" s="325"/>
      <c r="AI5400" s="325"/>
      <c r="AJ5400" s="325"/>
    </row>
    <row r="5401" spans="3:36" s="13" customFormat="1" ht="11.25" customHeight="1">
      <c r="C5401" s="4"/>
      <c r="D5401" s="4"/>
      <c r="E5401" s="5"/>
      <c r="F5401" s="6"/>
      <c r="G5401" s="31"/>
      <c r="H5401" s="6"/>
      <c r="I5401" s="9"/>
      <c r="J5401" s="24"/>
      <c r="K5401" s="9"/>
      <c r="L5401" s="25"/>
      <c r="M5401" s="7"/>
      <c r="N5401" s="8"/>
      <c r="O5401" s="11"/>
      <c r="P5401" s="11"/>
      <c r="Q5401" s="8"/>
      <c r="R5401" s="6"/>
      <c r="S5401" s="3"/>
      <c r="T5401" s="3"/>
      <c r="U5401" s="7"/>
      <c r="V5401" s="436"/>
      <c r="W5401" s="6"/>
      <c r="X5401" s="8"/>
      <c r="Y5401" s="8"/>
      <c r="AH5401" s="325"/>
      <c r="AI5401" s="325"/>
      <c r="AJ5401" s="325"/>
    </row>
    <row r="5402" spans="3:36" s="13" customFormat="1" ht="11.25" customHeight="1">
      <c r="C5402" s="4"/>
      <c r="D5402" s="4"/>
      <c r="E5402" s="5"/>
      <c r="F5402" s="6"/>
      <c r="G5402" s="31"/>
      <c r="H5402" s="6"/>
      <c r="I5402" s="9"/>
      <c r="J5402" s="24"/>
      <c r="K5402" s="9"/>
      <c r="L5402" s="25"/>
      <c r="M5402" s="7"/>
      <c r="N5402" s="8"/>
      <c r="O5402" s="11"/>
      <c r="P5402" s="11"/>
      <c r="Q5402" s="8"/>
      <c r="R5402" s="6"/>
      <c r="S5402" s="3"/>
      <c r="T5402" s="3"/>
      <c r="U5402" s="7"/>
      <c r="V5402" s="436"/>
      <c r="W5402" s="6"/>
      <c r="X5402" s="8"/>
      <c r="Y5402" s="8"/>
      <c r="AH5402" s="325"/>
      <c r="AI5402" s="325"/>
      <c r="AJ5402" s="325"/>
    </row>
    <row r="5403" spans="3:36" s="13" customFormat="1" ht="11.25" customHeight="1">
      <c r="C5403" s="4"/>
      <c r="D5403" s="4"/>
      <c r="E5403" s="5"/>
      <c r="F5403" s="6"/>
      <c r="G5403" s="31"/>
      <c r="H5403" s="6"/>
      <c r="I5403" s="9"/>
      <c r="J5403" s="24"/>
      <c r="K5403" s="9"/>
      <c r="L5403" s="25"/>
      <c r="M5403" s="7"/>
      <c r="N5403" s="8"/>
      <c r="O5403" s="11"/>
      <c r="P5403" s="11"/>
      <c r="Q5403" s="8"/>
      <c r="R5403" s="6"/>
      <c r="S5403" s="3"/>
      <c r="T5403" s="3"/>
      <c r="U5403" s="7"/>
      <c r="V5403" s="436"/>
      <c r="W5403" s="6"/>
      <c r="X5403" s="8"/>
      <c r="Y5403" s="8"/>
      <c r="AH5403" s="325"/>
      <c r="AI5403" s="325"/>
      <c r="AJ5403" s="325"/>
    </row>
    <row r="5404" spans="3:36" s="13" customFormat="1" ht="11.25" customHeight="1">
      <c r="C5404" s="4"/>
      <c r="D5404" s="4"/>
      <c r="E5404" s="5"/>
      <c r="F5404" s="6"/>
      <c r="G5404" s="31"/>
      <c r="H5404" s="6"/>
      <c r="I5404" s="9"/>
      <c r="J5404" s="24"/>
      <c r="K5404" s="9"/>
      <c r="L5404" s="25"/>
      <c r="M5404" s="7"/>
      <c r="N5404" s="8"/>
      <c r="O5404" s="11"/>
      <c r="P5404" s="11"/>
      <c r="Q5404" s="8"/>
      <c r="R5404" s="6"/>
      <c r="S5404" s="3"/>
      <c r="T5404" s="3"/>
      <c r="U5404" s="7"/>
      <c r="V5404" s="436"/>
      <c r="W5404" s="6"/>
      <c r="X5404" s="8"/>
      <c r="Y5404" s="8"/>
      <c r="AH5404" s="325"/>
      <c r="AI5404" s="325"/>
      <c r="AJ5404" s="325"/>
    </row>
    <row r="5405" spans="3:36" s="13" customFormat="1" ht="11.25" customHeight="1">
      <c r="C5405" s="4"/>
      <c r="D5405" s="4"/>
      <c r="E5405" s="5"/>
      <c r="F5405" s="6"/>
      <c r="G5405" s="31"/>
      <c r="H5405" s="6"/>
      <c r="I5405" s="9"/>
      <c r="J5405" s="24"/>
      <c r="K5405" s="9"/>
      <c r="L5405" s="25"/>
      <c r="M5405" s="7"/>
      <c r="N5405" s="8"/>
      <c r="O5405" s="11"/>
      <c r="P5405" s="11"/>
      <c r="Q5405" s="8"/>
      <c r="R5405" s="6"/>
      <c r="S5405" s="3"/>
      <c r="T5405" s="3"/>
      <c r="U5405" s="7"/>
      <c r="V5405" s="436"/>
      <c r="W5405" s="6"/>
      <c r="X5405" s="8"/>
      <c r="Y5405" s="8"/>
      <c r="AH5405" s="325"/>
      <c r="AI5405" s="325"/>
      <c r="AJ5405" s="325"/>
    </row>
    <row r="5406" spans="3:36" s="13" customFormat="1" ht="11.25" customHeight="1">
      <c r="C5406" s="4"/>
      <c r="D5406" s="4"/>
      <c r="E5406" s="5"/>
      <c r="F5406" s="6"/>
      <c r="G5406" s="31"/>
      <c r="H5406" s="6"/>
      <c r="I5406" s="9"/>
      <c r="J5406" s="24"/>
      <c r="K5406" s="9"/>
      <c r="L5406" s="25"/>
      <c r="M5406" s="7"/>
      <c r="N5406" s="8"/>
      <c r="O5406" s="11"/>
      <c r="P5406" s="11"/>
      <c r="Q5406" s="8"/>
      <c r="R5406" s="6"/>
      <c r="S5406" s="3"/>
      <c r="T5406" s="3"/>
      <c r="U5406" s="7"/>
      <c r="V5406" s="436"/>
      <c r="W5406" s="6"/>
      <c r="X5406" s="8"/>
      <c r="Y5406" s="8"/>
      <c r="AH5406" s="325"/>
      <c r="AI5406" s="325"/>
      <c r="AJ5406" s="325"/>
    </row>
    <row r="5407" spans="3:36" s="13" customFormat="1" ht="11.25" customHeight="1">
      <c r="C5407" s="4"/>
      <c r="D5407" s="4"/>
      <c r="E5407" s="5"/>
      <c r="F5407" s="6"/>
      <c r="G5407" s="31"/>
      <c r="H5407" s="6"/>
      <c r="I5407" s="9"/>
      <c r="J5407" s="24"/>
      <c r="K5407" s="9"/>
      <c r="L5407" s="25"/>
      <c r="M5407" s="47"/>
      <c r="N5407" s="8"/>
      <c r="O5407" s="11"/>
      <c r="P5407" s="11"/>
      <c r="Q5407" s="8"/>
      <c r="R5407" s="6"/>
      <c r="S5407" s="3"/>
      <c r="T5407" s="3"/>
      <c r="U5407" s="7"/>
      <c r="V5407" s="436"/>
      <c r="W5407" s="6"/>
      <c r="X5407" s="8"/>
      <c r="Y5407" s="8"/>
      <c r="AH5407" s="325"/>
      <c r="AI5407" s="325"/>
      <c r="AJ5407" s="325"/>
    </row>
    <row r="5408" spans="3:36" s="13" customFormat="1" ht="11.25" customHeight="1">
      <c r="C5408" s="4"/>
      <c r="D5408" s="4"/>
      <c r="E5408" s="5"/>
      <c r="F5408" s="6"/>
      <c r="G5408" s="31"/>
      <c r="H5408" s="6"/>
      <c r="I5408" s="9"/>
      <c r="J5408" s="24"/>
      <c r="K5408" s="9"/>
      <c r="L5408" s="25"/>
      <c r="M5408" s="7"/>
      <c r="N5408" s="8"/>
      <c r="O5408" s="11"/>
      <c r="P5408" s="11"/>
      <c r="Q5408" s="8"/>
      <c r="R5408" s="6"/>
      <c r="S5408" s="3"/>
      <c r="T5408" s="3"/>
      <c r="U5408" s="7"/>
      <c r="V5408" s="436"/>
      <c r="W5408" s="6"/>
      <c r="X5408" s="8"/>
      <c r="Y5408" s="8"/>
      <c r="AH5408" s="325"/>
      <c r="AI5408" s="325"/>
      <c r="AJ5408" s="325"/>
    </row>
    <row r="5409" spans="3:36" s="13" customFormat="1" ht="11.25" customHeight="1">
      <c r="C5409" s="4"/>
      <c r="D5409" s="4"/>
      <c r="E5409" s="5"/>
      <c r="F5409" s="6"/>
      <c r="G5409" s="31"/>
      <c r="H5409" s="6"/>
      <c r="I5409" s="9"/>
      <c r="J5409" s="24"/>
      <c r="K5409" s="9"/>
      <c r="L5409" s="25"/>
      <c r="M5409" s="7"/>
      <c r="N5409" s="8"/>
      <c r="O5409" s="11"/>
      <c r="P5409" s="11"/>
      <c r="Q5409" s="8"/>
      <c r="R5409" s="6"/>
      <c r="S5409" s="3"/>
      <c r="T5409" s="3"/>
      <c r="U5409" s="7"/>
      <c r="V5409" s="436"/>
      <c r="W5409" s="6"/>
      <c r="X5409" s="8"/>
      <c r="Y5409" s="8"/>
      <c r="AH5409" s="325"/>
      <c r="AI5409" s="325"/>
      <c r="AJ5409" s="325"/>
    </row>
    <row r="5410" spans="3:36" s="13" customFormat="1" ht="11.25" customHeight="1">
      <c r="C5410" s="4"/>
      <c r="D5410" s="4"/>
      <c r="E5410" s="5"/>
      <c r="F5410" s="6"/>
      <c r="G5410" s="31"/>
      <c r="H5410" s="6"/>
      <c r="I5410" s="9"/>
      <c r="J5410" s="24"/>
      <c r="K5410" s="10"/>
      <c r="L5410" s="25"/>
      <c r="M5410" s="7"/>
      <c r="N5410" s="8"/>
      <c r="O5410" s="11"/>
      <c r="P5410" s="11"/>
      <c r="Q5410" s="8"/>
      <c r="R5410" s="6"/>
      <c r="S5410" s="3"/>
      <c r="T5410" s="3"/>
      <c r="U5410" s="7"/>
      <c r="V5410" s="436"/>
      <c r="W5410" s="6"/>
      <c r="X5410" s="8"/>
      <c r="Y5410" s="8"/>
      <c r="AH5410" s="325"/>
      <c r="AI5410" s="325"/>
      <c r="AJ5410" s="325"/>
    </row>
    <row r="5411" spans="3:36" s="13" customFormat="1" ht="11.25" customHeight="1">
      <c r="C5411" s="4"/>
      <c r="D5411" s="4"/>
      <c r="E5411" s="5"/>
      <c r="F5411" s="6"/>
      <c r="G5411" s="31"/>
      <c r="H5411" s="6"/>
      <c r="I5411" s="9"/>
      <c r="J5411" s="24"/>
      <c r="K5411" s="9"/>
      <c r="L5411" s="25"/>
      <c r="M5411" s="7"/>
      <c r="N5411" s="8"/>
      <c r="O5411" s="11"/>
      <c r="P5411" s="11"/>
      <c r="Q5411" s="8"/>
      <c r="R5411" s="6"/>
      <c r="S5411" s="3"/>
      <c r="T5411" s="3"/>
      <c r="U5411" s="7"/>
      <c r="V5411" s="436"/>
      <c r="W5411" s="6"/>
      <c r="X5411" s="8"/>
      <c r="Y5411" s="8"/>
      <c r="AH5411" s="325"/>
      <c r="AI5411" s="325"/>
      <c r="AJ5411" s="325"/>
    </row>
    <row r="5412" spans="3:36" s="13" customFormat="1" ht="11.25" customHeight="1">
      <c r="C5412" s="4"/>
      <c r="D5412" s="4"/>
      <c r="E5412" s="5"/>
      <c r="F5412" s="6"/>
      <c r="G5412" s="31"/>
      <c r="H5412" s="6"/>
      <c r="I5412" s="9"/>
      <c r="J5412" s="24"/>
      <c r="K5412" s="9"/>
      <c r="L5412" s="25"/>
      <c r="M5412" s="7"/>
      <c r="N5412" s="8"/>
      <c r="O5412" s="11"/>
      <c r="P5412" s="11"/>
      <c r="Q5412" s="8"/>
      <c r="R5412" s="6"/>
      <c r="S5412" s="3"/>
      <c r="T5412" s="3"/>
      <c r="U5412" s="7"/>
      <c r="V5412" s="436"/>
      <c r="W5412" s="6"/>
      <c r="X5412" s="8"/>
      <c r="Y5412" s="8"/>
      <c r="AH5412" s="325"/>
      <c r="AI5412" s="325"/>
      <c r="AJ5412" s="325"/>
    </row>
    <row r="5413" spans="3:36" s="13" customFormat="1" ht="11.25" customHeight="1">
      <c r="C5413" s="4"/>
      <c r="D5413" s="4"/>
      <c r="E5413" s="5"/>
      <c r="F5413" s="6"/>
      <c r="G5413" s="31"/>
      <c r="H5413" s="6"/>
      <c r="I5413" s="9"/>
      <c r="J5413" s="24"/>
      <c r="K5413" s="9"/>
      <c r="L5413" s="25"/>
      <c r="M5413" s="7"/>
      <c r="N5413" s="8"/>
      <c r="O5413" s="11"/>
      <c r="P5413" s="11"/>
      <c r="Q5413" s="8"/>
      <c r="R5413" s="6"/>
      <c r="S5413" s="3"/>
      <c r="T5413" s="3"/>
      <c r="U5413" s="7"/>
      <c r="V5413" s="436"/>
      <c r="W5413" s="6"/>
      <c r="X5413" s="8"/>
      <c r="Y5413" s="8"/>
      <c r="AH5413" s="325"/>
      <c r="AI5413" s="325"/>
      <c r="AJ5413" s="325"/>
    </row>
    <row r="5414" spans="3:36" s="13" customFormat="1" ht="11.25" customHeight="1">
      <c r="C5414" s="4"/>
      <c r="D5414" s="4"/>
      <c r="E5414" s="5"/>
      <c r="F5414" s="6"/>
      <c r="G5414" s="31"/>
      <c r="H5414" s="6"/>
      <c r="I5414" s="9"/>
      <c r="J5414" s="24"/>
      <c r="K5414" s="9"/>
      <c r="L5414" s="25"/>
      <c r="M5414" s="7"/>
      <c r="N5414" s="8"/>
      <c r="O5414" s="11"/>
      <c r="P5414" s="11"/>
      <c r="Q5414" s="8"/>
      <c r="R5414" s="6"/>
      <c r="S5414" s="3"/>
      <c r="T5414" s="3"/>
      <c r="U5414" s="7"/>
      <c r="V5414" s="436"/>
      <c r="W5414" s="6"/>
      <c r="X5414" s="8"/>
      <c r="Y5414" s="8"/>
      <c r="AH5414" s="325"/>
      <c r="AI5414" s="325"/>
      <c r="AJ5414" s="325"/>
    </row>
    <row r="5415" spans="3:36" s="13" customFormat="1" ht="11.25" customHeight="1">
      <c r="C5415" s="4"/>
      <c r="D5415" s="4"/>
      <c r="E5415" s="5"/>
      <c r="F5415" s="6"/>
      <c r="G5415" s="31"/>
      <c r="H5415" s="6"/>
      <c r="I5415" s="9"/>
      <c r="J5415" s="24"/>
      <c r="K5415" s="9"/>
      <c r="L5415" s="25"/>
      <c r="M5415" s="7"/>
      <c r="N5415" s="8"/>
      <c r="O5415" s="11"/>
      <c r="P5415" s="11"/>
      <c r="Q5415" s="8"/>
      <c r="R5415" s="6"/>
      <c r="S5415" s="3"/>
      <c r="T5415" s="3"/>
      <c r="U5415" s="7"/>
      <c r="V5415" s="436"/>
      <c r="W5415" s="6"/>
      <c r="X5415" s="8"/>
      <c r="Y5415" s="8"/>
      <c r="AH5415" s="325"/>
      <c r="AI5415" s="325"/>
      <c r="AJ5415" s="325"/>
    </row>
    <row r="5416" spans="3:36" s="13" customFormat="1" ht="11.25" customHeight="1">
      <c r="C5416" s="4"/>
      <c r="D5416" s="4"/>
      <c r="E5416" s="5"/>
      <c r="F5416" s="6"/>
      <c r="G5416" s="31"/>
      <c r="H5416" s="6"/>
      <c r="I5416" s="9"/>
      <c r="J5416" s="24"/>
      <c r="K5416" s="9"/>
      <c r="L5416" s="25"/>
      <c r="M5416" s="7"/>
      <c r="N5416" s="8"/>
      <c r="O5416" s="11"/>
      <c r="P5416" s="11"/>
      <c r="Q5416" s="8"/>
      <c r="R5416" s="6"/>
      <c r="S5416" s="3"/>
      <c r="T5416" s="3"/>
      <c r="U5416" s="7"/>
      <c r="V5416" s="436"/>
      <c r="W5416" s="6"/>
      <c r="X5416" s="8"/>
      <c r="Y5416" s="8"/>
      <c r="AH5416" s="325"/>
      <c r="AI5416" s="325"/>
      <c r="AJ5416" s="325"/>
    </row>
    <row r="5417" spans="3:36" s="13" customFormat="1" ht="11.25" customHeight="1">
      <c r="C5417" s="4"/>
      <c r="D5417" s="4"/>
      <c r="E5417" s="5"/>
      <c r="F5417" s="6"/>
      <c r="G5417" s="31"/>
      <c r="H5417" s="6"/>
      <c r="I5417" s="9"/>
      <c r="J5417" s="24"/>
      <c r="K5417" s="9"/>
      <c r="L5417" s="25"/>
      <c r="M5417" s="7"/>
      <c r="N5417" s="8"/>
      <c r="O5417" s="11"/>
      <c r="P5417" s="11"/>
      <c r="Q5417" s="8"/>
      <c r="R5417" s="6"/>
      <c r="S5417" s="3"/>
      <c r="T5417" s="3"/>
      <c r="U5417" s="7"/>
      <c r="V5417" s="436"/>
      <c r="W5417" s="6"/>
      <c r="X5417" s="8"/>
      <c r="Y5417" s="8"/>
      <c r="AH5417" s="325"/>
      <c r="AI5417" s="325"/>
      <c r="AJ5417" s="325"/>
    </row>
    <row r="5418" spans="3:36" s="13" customFormat="1" ht="11.25" customHeight="1">
      <c r="C5418" s="4"/>
      <c r="D5418" s="4"/>
      <c r="E5418" s="5"/>
      <c r="F5418" s="6"/>
      <c r="G5418" s="31"/>
      <c r="H5418" s="6"/>
      <c r="I5418" s="9"/>
      <c r="J5418" s="24"/>
      <c r="K5418" s="9"/>
      <c r="L5418" s="25"/>
      <c r="M5418" s="7"/>
      <c r="N5418" s="8"/>
      <c r="O5418" s="11"/>
      <c r="P5418" s="11"/>
      <c r="Q5418" s="8"/>
      <c r="R5418" s="6"/>
      <c r="S5418" s="3"/>
      <c r="T5418" s="3"/>
      <c r="U5418" s="7"/>
      <c r="V5418" s="436"/>
      <c r="W5418" s="6"/>
      <c r="X5418" s="8"/>
      <c r="Y5418" s="8"/>
      <c r="AH5418" s="325"/>
      <c r="AI5418" s="325"/>
      <c r="AJ5418" s="325"/>
    </row>
    <row r="5419" spans="3:36" s="13" customFormat="1" ht="11.25" customHeight="1">
      <c r="C5419" s="4"/>
      <c r="D5419" s="4"/>
      <c r="E5419" s="5"/>
      <c r="F5419" s="6"/>
      <c r="G5419" s="31"/>
      <c r="H5419" s="6"/>
      <c r="I5419" s="9"/>
      <c r="J5419" s="24"/>
      <c r="K5419" s="9"/>
      <c r="L5419" s="25"/>
      <c r="M5419" s="7"/>
      <c r="N5419" s="8"/>
      <c r="O5419" s="11"/>
      <c r="P5419" s="11"/>
      <c r="Q5419" s="8"/>
      <c r="R5419" s="6"/>
      <c r="S5419" s="3"/>
      <c r="T5419" s="3"/>
      <c r="U5419" s="7"/>
      <c r="V5419" s="436"/>
      <c r="W5419" s="6"/>
      <c r="X5419" s="8"/>
      <c r="Y5419" s="8"/>
      <c r="AH5419" s="325"/>
      <c r="AI5419" s="325"/>
      <c r="AJ5419" s="325"/>
    </row>
    <row r="5420" spans="3:36" s="13" customFormat="1" ht="11.25" customHeight="1">
      <c r="C5420" s="4"/>
      <c r="D5420" s="4"/>
      <c r="E5420" s="5"/>
      <c r="F5420" s="6"/>
      <c r="G5420" s="31"/>
      <c r="H5420" s="6"/>
      <c r="I5420" s="9"/>
      <c r="J5420" s="24"/>
      <c r="K5420" s="9"/>
      <c r="L5420" s="25"/>
      <c r="M5420" s="7"/>
      <c r="N5420" s="8"/>
      <c r="O5420" s="11"/>
      <c r="P5420" s="11"/>
      <c r="Q5420" s="8"/>
      <c r="R5420" s="6"/>
      <c r="S5420" s="3"/>
      <c r="T5420" s="3"/>
      <c r="U5420" s="7"/>
      <c r="V5420" s="436"/>
      <c r="W5420" s="6"/>
      <c r="X5420" s="8"/>
      <c r="Y5420" s="8"/>
      <c r="AH5420" s="325"/>
      <c r="AI5420" s="325"/>
      <c r="AJ5420" s="325"/>
    </row>
    <row r="5421" spans="3:36" s="13" customFormat="1" ht="11.25" customHeight="1">
      <c r="C5421" s="4"/>
      <c r="D5421" s="4"/>
      <c r="E5421" s="5"/>
      <c r="F5421" s="6"/>
      <c r="G5421" s="31"/>
      <c r="H5421" s="6"/>
      <c r="I5421" s="9"/>
      <c r="J5421" s="24"/>
      <c r="K5421" s="9"/>
      <c r="L5421" s="25"/>
      <c r="M5421" s="47"/>
      <c r="N5421" s="8"/>
      <c r="O5421" s="11"/>
      <c r="P5421" s="11"/>
      <c r="Q5421" s="8"/>
      <c r="R5421" s="6"/>
      <c r="S5421" s="3"/>
      <c r="T5421" s="3"/>
      <c r="U5421" s="7"/>
      <c r="V5421" s="436"/>
      <c r="W5421" s="6"/>
      <c r="X5421" s="8"/>
      <c r="Y5421" s="8"/>
      <c r="AH5421" s="325"/>
      <c r="AI5421" s="325"/>
      <c r="AJ5421" s="325"/>
    </row>
    <row r="5422" spans="3:36" s="13" customFormat="1" ht="11.25" customHeight="1">
      <c r="C5422" s="4"/>
      <c r="D5422" s="4"/>
      <c r="E5422" s="5"/>
      <c r="F5422" s="6"/>
      <c r="G5422" s="31"/>
      <c r="H5422" s="6"/>
      <c r="I5422" s="9"/>
      <c r="J5422" s="24"/>
      <c r="K5422" s="9"/>
      <c r="L5422" s="25"/>
      <c r="M5422" s="7"/>
      <c r="N5422" s="8"/>
      <c r="O5422" s="11"/>
      <c r="P5422" s="11"/>
      <c r="Q5422" s="8"/>
      <c r="R5422" s="6"/>
      <c r="S5422" s="3"/>
      <c r="T5422" s="3"/>
      <c r="U5422" s="7"/>
      <c r="V5422" s="436"/>
      <c r="W5422" s="6"/>
      <c r="X5422" s="8"/>
      <c r="Y5422" s="8"/>
      <c r="AH5422" s="325"/>
      <c r="AI5422" s="325"/>
      <c r="AJ5422" s="325"/>
    </row>
    <row r="5423" spans="3:36" s="13" customFormat="1" ht="11.25" customHeight="1">
      <c r="C5423" s="4"/>
      <c r="D5423" s="4"/>
      <c r="E5423" s="5"/>
      <c r="F5423" s="6"/>
      <c r="G5423" s="31"/>
      <c r="H5423" s="6"/>
      <c r="I5423" s="9"/>
      <c r="J5423" s="24"/>
      <c r="K5423" s="9"/>
      <c r="L5423" s="25"/>
      <c r="M5423" s="7"/>
      <c r="N5423" s="8"/>
      <c r="O5423" s="11"/>
      <c r="P5423" s="11"/>
      <c r="Q5423" s="8"/>
      <c r="R5423" s="6"/>
      <c r="S5423" s="3"/>
      <c r="T5423" s="3"/>
      <c r="U5423" s="7"/>
      <c r="V5423" s="436"/>
      <c r="W5423" s="6"/>
      <c r="X5423" s="8"/>
      <c r="Y5423" s="8"/>
      <c r="AH5423" s="325"/>
      <c r="AI5423" s="325"/>
      <c r="AJ5423" s="325"/>
    </row>
    <row r="5424" spans="3:36" s="13" customFormat="1" ht="11.25" customHeight="1">
      <c r="C5424" s="4"/>
      <c r="D5424" s="4"/>
      <c r="E5424" s="5"/>
      <c r="F5424" s="6"/>
      <c r="G5424" s="31"/>
      <c r="H5424" s="6"/>
      <c r="I5424" s="9"/>
      <c r="J5424" s="24"/>
      <c r="K5424" s="9"/>
      <c r="L5424" s="25"/>
      <c r="M5424" s="7"/>
      <c r="N5424" s="8"/>
      <c r="O5424" s="11"/>
      <c r="P5424" s="11"/>
      <c r="Q5424" s="8"/>
      <c r="R5424" s="6"/>
      <c r="S5424" s="3"/>
      <c r="T5424" s="3"/>
      <c r="U5424" s="7"/>
      <c r="V5424" s="436"/>
      <c r="W5424" s="6"/>
      <c r="X5424" s="8"/>
      <c r="Y5424" s="8"/>
      <c r="AH5424" s="325"/>
      <c r="AI5424" s="325"/>
      <c r="AJ5424" s="325"/>
    </row>
    <row r="5425" spans="3:36" s="13" customFormat="1" ht="11.25" customHeight="1">
      <c r="C5425" s="4"/>
      <c r="D5425" s="4"/>
      <c r="E5425" s="5"/>
      <c r="F5425" s="6"/>
      <c r="G5425" s="31"/>
      <c r="H5425" s="6"/>
      <c r="I5425" s="9"/>
      <c r="J5425" s="24"/>
      <c r="K5425" s="9"/>
      <c r="L5425" s="25"/>
      <c r="M5425" s="7"/>
      <c r="N5425" s="8"/>
      <c r="O5425" s="11"/>
      <c r="P5425" s="11"/>
      <c r="Q5425" s="8"/>
      <c r="R5425" s="6"/>
      <c r="S5425" s="3"/>
      <c r="T5425" s="3"/>
      <c r="U5425" s="7"/>
      <c r="V5425" s="436"/>
      <c r="W5425" s="6"/>
      <c r="X5425" s="8"/>
      <c r="Y5425" s="8"/>
      <c r="AH5425" s="325"/>
      <c r="AI5425" s="325"/>
      <c r="AJ5425" s="325"/>
    </row>
    <row r="5426" spans="3:36" s="13" customFormat="1" ht="11.25" customHeight="1">
      <c r="C5426" s="4"/>
      <c r="D5426" s="4"/>
      <c r="E5426" s="5"/>
      <c r="F5426" s="6"/>
      <c r="G5426" s="31"/>
      <c r="H5426" s="6"/>
      <c r="I5426" s="9"/>
      <c r="J5426" s="24"/>
      <c r="K5426" s="9"/>
      <c r="L5426" s="25"/>
      <c r="M5426" s="7"/>
      <c r="N5426" s="8"/>
      <c r="O5426" s="11"/>
      <c r="P5426" s="11"/>
      <c r="Q5426" s="8"/>
      <c r="R5426" s="6"/>
      <c r="S5426" s="3"/>
      <c r="T5426" s="3"/>
      <c r="U5426" s="7"/>
      <c r="V5426" s="436"/>
      <c r="W5426" s="6"/>
      <c r="X5426" s="8"/>
      <c r="Y5426" s="8"/>
      <c r="AH5426" s="325"/>
      <c r="AI5426" s="325"/>
      <c r="AJ5426" s="325"/>
    </row>
    <row r="5427" spans="3:36" s="13" customFormat="1" ht="11.25" customHeight="1">
      <c r="C5427" s="4"/>
      <c r="D5427" s="4"/>
      <c r="E5427" s="5"/>
      <c r="F5427" s="6"/>
      <c r="G5427" s="31"/>
      <c r="H5427" s="6"/>
      <c r="I5427" s="9"/>
      <c r="J5427" s="24"/>
      <c r="K5427" s="10"/>
      <c r="L5427" s="25"/>
      <c r="M5427" s="7"/>
      <c r="N5427" s="8"/>
      <c r="O5427" s="11"/>
      <c r="P5427" s="11"/>
      <c r="Q5427" s="8"/>
      <c r="R5427" s="6"/>
      <c r="S5427" s="3"/>
      <c r="T5427" s="3"/>
      <c r="U5427" s="7"/>
      <c r="V5427" s="436"/>
      <c r="W5427" s="6"/>
      <c r="X5427" s="8"/>
      <c r="Y5427" s="8"/>
      <c r="AH5427" s="325"/>
      <c r="AI5427" s="325"/>
      <c r="AJ5427" s="325"/>
    </row>
    <row r="5428" spans="3:36" s="13" customFormat="1" ht="11.25" customHeight="1">
      <c r="C5428" s="4"/>
      <c r="D5428" s="4"/>
      <c r="E5428" s="5"/>
      <c r="F5428" s="6"/>
      <c r="G5428" s="31"/>
      <c r="H5428" s="6"/>
      <c r="I5428" s="9"/>
      <c r="J5428" s="24"/>
      <c r="K5428" s="9"/>
      <c r="L5428" s="25"/>
      <c r="M5428" s="7"/>
      <c r="N5428" s="8"/>
      <c r="O5428" s="11"/>
      <c r="P5428" s="11"/>
      <c r="Q5428" s="8"/>
      <c r="R5428" s="6"/>
      <c r="S5428" s="3"/>
      <c r="T5428" s="3"/>
      <c r="U5428" s="7"/>
      <c r="V5428" s="436"/>
      <c r="W5428" s="6"/>
      <c r="X5428" s="8"/>
      <c r="Y5428" s="8"/>
      <c r="AH5428" s="325"/>
      <c r="AI5428" s="325"/>
      <c r="AJ5428" s="325"/>
    </row>
    <row r="5429" spans="3:36" s="13" customFormat="1" ht="11.25" customHeight="1">
      <c r="C5429" s="4"/>
      <c r="D5429" s="4"/>
      <c r="E5429" s="5"/>
      <c r="F5429" s="6"/>
      <c r="G5429" s="31"/>
      <c r="H5429" s="6"/>
      <c r="I5429" s="9"/>
      <c r="J5429" s="24"/>
      <c r="K5429" s="9"/>
      <c r="L5429" s="25"/>
      <c r="M5429" s="7"/>
      <c r="N5429" s="8"/>
      <c r="O5429" s="11"/>
      <c r="P5429" s="11"/>
      <c r="Q5429" s="8"/>
      <c r="R5429" s="6"/>
      <c r="S5429" s="3"/>
      <c r="T5429" s="3"/>
      <c r="U5429" s="7"/>
      <c r="V5429" s="436"/>
      <c r="W5429" s="6"/>
      <c r="X5429" s="8"/>
      <c r="Y5429" s="8"/>
      <c r="AH5429" s="325"/>
      <c r="AI5429" s="325"/>
      <c r="AJ5429" s="325"/>
    </row>
    <row r="5430" spans="3:36" s="13" customFormat="1" ht="11.25" customHeight="1">
      <c r="C5430" s="4"/>
      <c r="D5430" s="4"/>
      <c r="E5430" s="5"/>
      <c r="F5430" s="6"/>
      <c r="G5430" s="31"/>
      <c r="H5430" s="6"/>
      <c r="I5430" s="9"/>
      <c r="J5430" s="24"/>
      <c r="K5430" s="9"/>
      <c r="L5430" s="25"/>
      <c r="M5430" s="7"/>
      <c r="N5430" s="8"/>
      <c r="O5430" s="11"/>
      <c r="P5430" s="11"/>
      <c r="Q5430" s="8"/>
      <c r="R5430" s="6"/>
      <c r="S5430" s="3"/>
      <c r="T5430" s="3"/>
      <c r="U5430" s="7"/>
      <c r="V5430" s="436"/>
      <c r="W5430" s="6"/>
      <c r="X5430" s="8"/>
      <c r="Y5430" s="8"/>
      <c r="AH5430" s="325"/>
      <c r="AI5430" s="325"/>
      <c r="AJ5430" s="325"/>
    </row>
    <row r="5431" spans="3:36" s="13" customFormat="1" ht="11.25" customHeight="1">
      <c r="C5431" s="4"/>
      <c r="D5431" s="4"/>
      <c r="E5431" s="5"/>
      <c r="F5431" s="6"/>
      <c r="G5431" s="31"/>
      <c r="H5431" s="6"/>
      <c r="I5431" s="9"/>
      <c r="J5431" s="24"/>
      <c r="K5431" s="9"/>
      <c r="L5431" s="25"/>
      <c r="M5431" s="7"/>
      <c r="N5431" s="8"/>
      <c r="O5431" s="11"/>
      <c r="P5431" s="11"/>
      <c r="Q5431" s="8"/>
      <c r="R5431" s="6"/>
      <c r="S5431" s="3"/>
      <c r="T5431" s="3"/>
      <c r="U5431" s="7"/>
      <c r="V5431" s="436"/>
      <c r="W5431" s="6"/>
      <c r="X5431" s="8"/>
      <c r="Y5431" s="8"/>
      <c r="AH5431" s="325"/>
      <c r="AI5431" s="325"/>
      <c r="AJ5431" s="325"/>
    </row>
    <row r="5432" spans="3:36" s="13" customFormat="1" ht="11.25" customHeight="1">
      <c r="C5432" s="4"/>
      <c r="D5432" s="4"/>
      <c r="E5432" s="5"/>
      <c r="F5432" s="6"/>
      <c r="G5432" s="31"/>
      <c r="H5432" s="6"/>
      <c r="I5432" s="9"/>
      <c r="J5432" s="24"/>
      <c r="K5432" s="9"/>
      <c r="L5432" s="25"/>
      <c r="M5432" s="7"/>
      <c r="N5432" s="8"/>
      <c r="O5432" s="11"/>
      <c r="P5432" s="11"/>
      <c r="Q5432" s="8"/>
      <c r="R5432" s="6"/>
      <c r="S5432" s="3"/>
      <c r="T5432" s="3"/>
      <c r="U5432" s="7"/>
      <c r="V5432" s="436"/>
      <c r="W5432" s="6"/>
      <c r="X5432" s="8"/>
      <c r="Y5432" s="8"/>
      <c r="AH5432" s="325"/>
      <c r="AI5432" s="325"/>
      <c r="AJ5432" s="325"/>
    </row>
    <row r="5433" spans="3:36" s="13" customFormat="1" ht="11.25" customHeight="1">
      <c r="C5433" s="4"/>
      <c r="D5433" s="4"/>
      <c r="E5433" s="5"/>
      <c r="F5433" s="6"/>
      <c r="G5433" s="31"/>
      <c r="H5433" s="6"/>
      <c r="I5433" s="9"/>
      <c r="J5433" s="24"/>
      <c r="K5433" s="9"/>
      <c r="L5433" s="25"/>
      <c r="M5433" s="7"/>
      <c r="N5433" s="8"/>
      <c r="O5433" s="11"/>
      <c r="P5433" s="11"/>
      <c r="Q5433" s="8"/>
      <c r="R5433" s="6"/>
      <c r="S5433" s="3"/>
      <c r="T5433" s="3"/>
      <c r="U5433" s="7"/>
      <c r="V5433" s="436"/>
      <c r="W5433" s="6"/>
      <c r="X5433" s="8"/>
      <c r="Y5433" s="8"/>
      <c r="AH5433" s="325"/>
      <c r="AI5433" s="325"/>
      <c r="AJ5433" s="325"/>
    </row>
    <row r="5434" spans="3:36" s="13" customFormat="1" ht="11.25" customHeight="1">
      <c r="C5434" s="4"/>
      <c r="D5434" s="4"/>
      <c r="E5434" s="5"/>
      <c r="F5434" s="6"/>
      <c r="G5434" s="31"/>
      <c r="H5434" s="6"/>
      <c r="I5434" s="9"/>
      <c r="J5434" s="24"/>
      <c r="K5434" s="9"/>
      <c r="L5434" s="25"/>
      <c r="M5434" s="7"/>
      <c r="N5434" s="8"/>
      <c r="O5434" s="11"/>
      <c r="P5434" s="11"/>
      <c r="Q5434" s="8"/>
      <c r="R5434" s="6"/>
      <c r="S5434" s="3"/>
      <c r="T5434" s="3"/>
      <c r="U5434" s="7"/>
      <c r="V5434" s="436"/>
      <c r="W5434" s="6"/>
      <c r="X5434" s="8"/>
      <c r="Y5434" s="8"/>
      <c r="AH5434" s="325"/>
      <c r="AI5434" s="325"/>
      <c r="AJ5434" s="325"/>
    </row>
    <row r="5435" spans="3:36" s="13" customFormat="1" ht="11.25" customHeight="1">
      <c r="C5435" s="4"/>
      <c r="D5435" s="4"/>
      <c r="E5435" s="5"/>
      <c r="F5435" s="6"/>
      <c r="G5435" s="31"/>
      <c r="H5435" s="6"/>
      <c r="I5435" s="9"/>
      <c r="J5435" s="24"/>
      <c r="K5435" s="9"/>
      <c r="L5435" s="25"/>
      <c r="M5435" s="7"/>
      <c r="N5435" s="8"/>
      <c r="O5435" s="11"/>
      <c r="P5435" s="11"/>
      <c r="Q5435" s="8"/>
      <c r="R5435" s="6"/>
      <c r="S5435" s="3"/>
      <c r="T5435" s="3"/>
      <c r="U5435" s="7"/>
      <c r="V5435" s="436"/>
      <c r="W5435" s="6"/>
      <c r="X5435" s="8"/>
      <c r="Y5435" s="8"/>
      <c r="AH5435" s="325"/>
      <c r="AI5435" s="325"/>
      <c r="AJ5435" s="325"/>
    </row>
    <row r="5436" spans="3:36" s="13" customFormat="1" ht="11.25" customHeight="1">
      <c r="C5436" s="4"/>
      <c r="D5436" s="4"/>
      <c r="E5436" s="5"/>
      <c r="F5436" s="6"/>
      <c r="G5436" s="31"/>
      <c r="H5436" s="6"/>
      <c r="I5436" s="9"/>
      <c r="J5436" s="24"/>
      <c r="K5436" s="9"/>
      <c r="L5436" s="25"/>
      <c r="M5436" s="7"/>
      <c r="N5436" s="8"/>
      <c r="O5436" s="11"/>
      <c r="P5436" s="11"/>
      <c r="Q5436" s="8"/>
      <c r="R5436" s="6"/>
      <c r="S5436" s="3"/>
      <c r="T5436" s="3"/>
      <c r="U5436" s="7"/>
      <c r="V5436" s="436"/>
      <c r="W5436" s="6"/>
      <c r="X5436" s="8"/>
      <c r="Y5436" s="8"/>
      <c r="AH5436" s="325"/>
      <c r="AI5436" s="325"/>
      <c r="AJ5436" s="325"/>
    </row>
    <row r="5437" spans="3:36" s="13" customFormat="1" ht="11.25" customHeight="1">
      <c r="C5437" s="4"/>
      <c r="D5437" s="4"/>
      <c r="E5437" s="5"/>
      <c r="F5437" s="6"/>
      <c r="G5437" s="31"/>
      <c r="H5437" s="6"/>
      <c r="I5437" s="9"/>
      <c r="J5437" s="24"/>
      <c r="K5437" s="9"/>
      <c r="L5437" s="25"/>
      <c r="M5437" s="7"/>
      <c r="N5437" s="8"/>
      <c r="O5437" s="11"/>
      <c r="P5437" s="11"/>
      <c r="Q5437" s="8"/>
      <c r="R5437" s="6"/>
      <c r="S5437" s="3"/>
      <c r="T5437" s="3"/>
      <c r="U5437" s="7"/>
      <c r="V5437" s="436"/>
      <c r="W5437" s="6"/>
      <c r="X5437" s="8"/>
      <c r="Y5437" s="8"/>
      <c r="AH5437" s="325"/>
      <c r="AI5437" s="325"/>
      <c r="AJ5437" s="325"/>
    </row>
    <row r="5438" spans="3:36" s="30" customFormat="1" ht="11.25" customHeight="1">
      <c r="C5438" s="4"/>
      <c r="D5438" s="4"/>
      <c r="E5438" s="5"/>
      <c r="F5438" s="6"/>
      <c r="G5438" s="31"/>
      <c r="H5438" s="6"/>
      <c r="I5438" s="9"/>
      <c r="J5438" s="24"/>
      <c r="K5438" s="9"/>
      <c r="L5438" s="25"/>
      <c r="M5438" s="7"/>
      <c r="N5438" s="8"/>
      <c r="O5438" s="11"/>
      <c r="P5438" s="11"/>
      <c r="Q5438" s="8"/>
      <c r="R5438" s="6"/>
      <c r="S5438" s="3"/>
      <c r="T5438" s="3"/>
      <c r="U5438" s="7"/>
      <c r="V5438" s="436"/>
      <c r="W5438" s="6"/>
      <c r="X5438" s="8"/>
      <c r="Y5438" s="8"/>
      <c r="AH5438" s="326"/>
      <c r="AI5438" s="326"/>
      <c r="AJ5438" s="326"/>
    </row>
    <row r="5439" spans="3:36" s="13" customFormat="1" ht="11.25" customHeight="1">
      <c r="C5439" s="4"/>
      <c r="D5439" s="4"/>
      <c r="E5439" s="5"/>
      <c r="F5439" s="6"/>
      <c r="G5439" s="31"/>
      <c r="H5439" s="6"/>
      <c r="I5439" s="9"/>
      <c r="J5439" s="24"/>
      <c r="K5439" s="9"/>
      <c r="L5439" s="25"/>
      <c r="M5439" s="7"/>
      <c r="N5439" s="8"/>
      <c r="O5439" s="11"/>
      <c r="P5439" s="11"/>
      <c r="Q5439" s="8"/>
      <c r="R5439" s="6"/>
      <c r="S5439" s="3"/>
      <c r="T5439" s="3"/>
      <c r="U5439" s="7"/>
      <c r="V5439" s="436"/>
      <c r="W5439" s="6"/>
      <c r="X5439" s="8"/>
      <c r="Y5439" s="8"/>
      <c r="AH5439" s="325"/>
      <c r="AI5439" s="325"/>
      <c r="AJ5439" s="325"/>
    </row>
    <row r="5440" spans="3:36" s="13" customFormat="1" ht="11.25" customHeight="1">
      <c r="C5440" s="4"/>
      <c r="D5440" s="4"/>
      <c r="E5440" s="5"/>
      <c r="F5440" s="6"/>
      <c r="G5440" s="31"/>
      <c r="H5440" s="6"/>
      <c r="I5440" s="9"/>
      <c r="J5440" s="24"/>
      <c r="K5440" s="9"/>
      <c r="L5440" s="25"/>
      <c r="M5440" s="7"/>
      <c r="N5440" s="8"/>
      <c r="O5440" s="11"/>
      <c r="P5440" s="11"/>
      <c r="Q5440" s="8"/>
      <c r="R5440" s="6"/>
      <c r="S5440" s="3"/>
      <c r="T5440" s="3"/>
      <c r="U5440" s="7"/>
      <c r="V5440" s="436"/>
      <c r="W5440" s="6"/>
      <c r="X5440" s="8"/>
      <c r="Y5440" s="8"/>
      <c r="AH5440" s="325"/>
      <c r="AI5440" s="325"/>
      <c r="AJ5440" s="325"/>
    </row>
    <row r="5441" spans="3:36" s="13" customFormat="1" ht="11.25" customHeight="1">
      <c r="C5441" s="4"/>
      <c r="D5441" s="4"/>
      <c r="E5441" s="5"/>
      <c r="F5441" s="6"/>
      <c r="G5441" s="31"/>
      <c r="H5441" s="6"/>
      <c r="I5441" s="9"/>
      <c r="J5441" s="24"/>
      <c r="K5441" s="9"/>
      <c r="L5441" s="25"/>
      <c r="M5441" s="7"/>
      <c r="N5441" s="8"/>
      <c r="O5441" s="11"/>
      <c r="P5441" s="11"/>
      <c r="Q5441" s="8"/>
      <c r="R5441" s="6"/>
      <c r="S5441" s="3"/>
      <c r="T5441" s="3"/>
      <c r="U5441" s="7"/>
      <c r="V5441" s="436"/>
      <c r="W5441" s="6"/>
      <c r="X5441" s="8"/>
      <c r="Y5441" s="8"/>
      <c r="AH5441" s="325"/>
      <c r="AI5441" s="325"/>
      <c r="AJ5441" s="325"/>
    </row>
    <row r="5442" spans="3:36" s="13" customFormat="1" ht="11.25" customHeight="1">
      <c r="C5442" s="4"/>
      <c r="D5442" s="4"/>
      <c r="E5442" s="5"/>
      <c r="F5442" s="6"/>
      <c r="G5442" s="31"/>
      <c r="H5442" s="6"/>
      <c r="I5442" s="9"/>
      <c r="J5442" s="24"/>
      <c r="K5442" s="9"/>
      <c r="L5442" s="25"/>
      <c r="M5442" s="7"/>
      <c r="N5442" s="8"/>
      <c r="O5442" s="11"/>
      <c r="P5442" s="11"/>
      <c r="Q5442" s="8"/>
      <c r="R5442" s="6"/>
      <c r="S5442" s="3"/>
      <c r="T5442" s="3"/>
      <c r="U5442" s="7"/>
      <c r="V5442" s="436"/>
      <c r="W5442" s="6"/>
      <c r="X5442" s="8"/>
      <c r="Y5442" s="8"/>
      <c r="AH5442" s="325"/>
      <c r="AI5442" s="325"/>
      <c r="AJ5442" s="325"/>
    </row>
    <row r="5443" spans="3:36" s="13" customFormat="1" ht="11.25" customHeight="1">
      <c r="C5443" s="4"/>
      <c r="D5443" s="4"/>
      <c r="E5443" s="5"/>
      <c r="F5443" s="6"/>
      <c r="G5443" s="31"/>
      <c r="H5443" s="6"/>
      <c r="I5443" s="9"/>
      <c r="J5443" s="24"/>
      <c r="K5443" s="9"/>
      <c r="L5443" s="25"/>
      <c r="M5443" s="7"/>
      <c r="N5443" s="8"/>
      <c r="O5443" s="11"/>
      <c r="P5443" s="11"/>
      <c r="Q5443" s="8"/>
      <c r="R5443" s="6"/>
      <c r="S5443" s="3"/>
      <c r="T5443" s="3"/>
      <c r="U5443" s="7"/>
      <c r="V5443" s="436"/>
      <c r="W5443" s="6"/>
      <c r="X5443" s="8"/>
      <c r="Y5443" s="8"/>
      <c r="AH5443" s="325"/>
      <c r="AI5443" s="325"/>
      <c r="AJ5443" s="325"/>
    </row>
    <row r="5444" spans="3:36" s="13" customFormat="1" ht="11.25" customHeight="1">
      <c r="C5444" s="4"/>
      <c r="D5444" s="4"/>
      <c r="E5444" s="5"/>
      <c r="F5444" s="6"/>
      <c r="G5444" s="31"/>
      <c r="H5444" s="6"/>
      <c r="I5444" s="9"/>
      <c r="J5444" s="24"/>
      <c r="K5444" s="9"/>
      <c r="L5444" s="25"/>
      <c r="M5444" s="7"/>
      <c r="N5444" s="8"/>
      <c r="O5444" s="11"/>
      <c r="P5444" s="11"/>
      <c r="Q5444" s="8"/>
      <c r="R5444" s="6"/>
      <c r="S5444" s="3"/>
      <c r="T5444" s="3"/>
      <c r="U5444" s="7"/>
      <c r="V5444" s="436"/>
      <c r="W5444" s="6"/>
      <c r="X5444" s="8"/>
      <c r="Y5444" s="8"/>
      <c r="AH5444" s="325"/>
      <c r="AI5444" s="325"/>
      <c r="AJ5444" s="325"/>
    </row>
    <row r="5445" spans="3:36" s="13" customFormat="1" ht="11.25" customHeight="1">
      <c r="C5445" s="4"/>
      <c r="D5445" s="4"/>
      <c r="E5445" s="5"/>
      <c r="F5445" s="6"/>
      <c r="G5445" s="31"/>
      <c r="H5445" s="6"/>
      <c r="I5445" s="9"/>
      <c r="J5445" s="24"/>
      <c r="K5445" s="9"/>
      <c r="L5445" s="25"/>
      <c r="M5445" s="7"/>
      <c r="N5445" s="8"/>
      <c r="O5445" s="11"/>
      <c r="P5445" s="11"/>
      <c r="Q5445" s="8"/>
      <c r="R5445" s="6"/>
      <c r="S5445" s="3"/>
      <c r="T5445" s="3"/>
      <c r="U5445" s="7"/>
      <c r="V5445" s="436"/>
      <c r="W5445" s="6"/>
      <c r="X5445" s="8"/>
      <c r="Y5445" s="8"/>
      <c r="AH5445" s="325"/>
      <c r="AI5445" s="325"/>
      <c r="AJ5445" s="325"/>
    </row>
    <row r="5446" spans="3:36" s="13" customFormat="1" ht="11.25" customHeight="1">
      <c r="C5446" s="4"/>
      <c r="D5446" s="4"/>
      <c r="E5446" s="5"/>
      <c r="F5446" s="6"/>
      <c r="G5446" s="31"/>
      <c r="H5446" s="6"/>
      <c r="I5446" s="9"/>
      <c r="J5446" s="24"/>
      <c r="K5446" s="9"/>
      <c r="L5446" s="25"/>
      <c r="M5446" s="7"/>
      <c r="N5446" s="8"/>
      <c r="O5446" s="11"/>
      <c r="P5446" s="11"/>
      <c r="Q5446" s="8"/>
      <c r="R5446" s="6"/>
      <c r="S5446" s="3"/>
      <c r="T5446" s="3"/>
      <c r="U5446" s="7"/>
      <c r="V5446" s="436"/>
      <c r="W5446" s="6"/>
      <c r="X5446" s="8"/>
      <c r="Y5446" s="8"/>
      <c r="AH5446" s="325"/>
      <c r="AI5446" s="325"/>
      <c r="AJ5446" s="325"/>
    </row>
    <row r="5447" spans="3:36" s="13" customFormat="1" ht="11.25" customHeight="1">
      <c r="C5447" s="4"/>
      <c r="D5447" s="4"/>
      <c r="E5447" s="5"/>
      <c r="F5447" s="6"/>
      <c r="G5447" s="31"/>
      <c r="H5447" s="6"/>
      <c r="I5447" s="9"/>
      <c r="J5447" s="24"/>
      <c r="K5447" s="9"/>
      <c r="L5447" s="25"/>
      <c r="M5447" s="7"/>
      <c r="N5447" s="8"/>
      <c r="O5447" s="11"/>
      <c r="P5447" s="11"/>
      <c r="Q5447" s="8"/>
      <c r="R5447" s="6"/>
      <c r="S5447" s="3"/>
      <c r="T5447" s="3"/>
      <c r="U5447" s="7"/>
      <c r="V5447" s="436"/>
      <c r="W5447" s="6"/>
      <c r="X5447" s="8"/>
      <c r="Y5447" s="8"/>
      <c r="AH5447" s="325"/>
      <c r="AI5447" s="325"/>
      <c r="AJ5447" s="325"/>
    </row>
    <row r="5448" spans="3:36" s="13" customFormat="1" ht="11.25" customHeight="1">
      <c r="C5448" s="4"/>
      <c r="D5448" s="4"/>
      <c r="E5448" s="5"/>
      <c r="F5448" s="6"/>
      <c r="G5448" s="31"/>
      <c r="H5448" s="6"/>
      <c r="I5448" s="9"/>
      <c r="J5448" s="24"/>
      <c r="K5448" s="9"/>
      <c r="L5448" s="25"/>
      <c r="M5448" s="47"/>
      <c r="N5448" s="8"/>
      <c r="O5448" s="11"/>
      <c r="P5448" s="11"/>
      <c r="Q5448" s="8"/>
      <c r="R5448" s="6"/>
      <c r="S5448" s="3"/>
      <c r="T5448" s="3"/>
      <c r="U5448" s="7"/>
      <c r="V5448" s="436"/>
      <c r="W5448" s="6"/>
      <c r="X5448" s="8"/>
      <c r="Y5448" s="8"/>
      <c r="AH5448" s="325"/>
      <c r="AI5448" s="325"/>
      <c r="AJ5448" s="325"/>
    </row>
    <row r="5449" spans="3:36" s="13" customFormat="1" ht="11.25" customHeight="1">
      <c r="C5449" s="4"/>
      <c r="D5449" s="4"/>
      <c r="E5449" s="5"/>
      <c r="F5449" s="6"/>
      <c r="G5449" s="31"/>
      <c r="H5449" s="6"/>
      <c r="I5449" s="9"/>
      <c r="J5449" s="24"/>
      <c r="K5449" s="9"/>
      <c r="L5449" s="25"/>
      <c r="M5449" s="47"/>
      <c r="N5449" s="8"/>
      <c r="O5449" s="11"/>
      <c r="P5449" s="11"/>
      <c r="Q5449" s="8"/>
      <c r="R5449" s="6"/>
      <c r="S5449" s="3"/>
      <c r="T5449" s="3"/>
      <c r="U5449" s="7"/>
      <c r="V5449" s="436"/>
      <c r="W5449" s="6"/>
      <c r="X5449" s="8"/>
      <c r="Y5449" s="8"/>
      <c r="AH5449" s="325"/>
      <c r="AI5449" s="325"/>
      <c r="AJ5449" s="325"/>
    </row>
    <row r="5450" spans="3:36" s="13" customFormat="1" ht="11.25" customHeight="1">
      <c r="C5450" s="4"/>
      <c r="D5450" s="4"/>
      <c r="E5450" s="5"/>
      <c r="F5450" s="6"/>
      <c r="G5450" s="31"/>
      <c r="H5450" s="6"/>
      <c r="I5450" s="9"/>
      <c r="J5450" s="24"/>
      <c r="K5450" s="9"/>
      <c r="L5450" s="25"/>
      <c r="M5450" s="7"/>
      <c r="N5450" s="8"/>
      <c r="O5450" s="11"/>
      <c r="P5450" s="11"/>
      <c r="Q5450" s="8"/>
      <c r="R5450" s="6"/>
      <c r="S5450" s="3"/>
      <c r="T5450" s="3"/>
      <c r="U5450" s="7"/>
      <c r="V5450" s="436"/>
      <c r="W5450" s="6"/>
      <c r="X5450" s="8"/>
      <c r="Y5450" s="8"/>
      <c r="AH5450" s="325"/>
      <c r="AI5450" s="325"/>
      <c r="AJ5450" s="325"/>
    </row>
    <row r="5451" spans="3:36" s="13" customFormat="1" ht="11.25" customHeight="1">
      <c r="C5451" s="4"/>
      <c r="D5451" s="4"/>
      <c r="E5451" s="5"/>
      <c r="F5451" s="6"/>
      <c r="G5451" s="31"/>
      <c r="H5451" s="6"/>
      <c r="I5451" s="9"/>
      <c r="J5451" s="24"/>
      <c r="K5451" s="9"/>
      <c r="L5451" s="25"/>
      <c r="M5451" s="47"/>
      <c r="N5451" s="8"/>
      <c r="O5451" s="11"/>
      <c r="P5451" s="11"/>
      <c r="Q5451" s="8"/>
      <c r="R5451" s="6"/>
      <c r="S5451" s="3"/>
      <c r="T5451" s="3"/>
      <c r="U5451" s="7"/>
      <c r="V5451" s="436"/>
      <c r="W5451" s="6"/>
      <c r="X5451" s="8"/>
      <c r="Y5451" s="8"/>
      <c r="AH5451" s="325"/>
      <c r="AI5451" s="325"/>
      <c r="AJ5451" s="325"/>
    </row>
    <row r="5452" spans="3:36" s="13" customFormat="1" ht="11.25" customHeight="1">
      <c r="C5452" s="4"/>
      <c r="D5452" s="4"/>
      <c r="E5452" s="5"/>
      <c r="F5452" s="6"/>
      <c r="G5452" s="31"/>
      <c r="H5452" s="6"/>
      <c r="I5452" s="9"/>
      <c r="J5452" s="24"/>
      <c r="K5452" s="9"/>
      <c r="L5452" s="25"/>
      <c r="M5452" s="25"/>
      <c r="N5452" s="8"/>
      <c r="O5452" s="11"/>
      <c r="P5452" s="11"/>
      <c r="Q5452" s="8"/>
      <c r="R5452" s="6"/>
      <c r="S5452" s="3"/>
      <c r="T5452" s="3"/>
      <c r="U5452" s="7"/>
      <c r="V5452" s="436"/>
      <c r="W5452" s="6"/>
      <c r="X5452" s="8"/>
      <c r="Y5452" s="8"/>
      <c r="AH5452" s="325"/>
      <c r="AI5452" s="325"/>
      <c r="AJ5452" s="325"/>
    </row>
    <row r="5453" spans="3:36" s="13" customFormat="1" ht="11.25" customHeight="1">
      <c r="C5453" s="4"/>
      <c r="D5453" s="4"/>
      <c r="E5453" s="5"/>
      <c r="F5453" s="6"/>
      <c r="G5453" s="31"/>
      <c r="H5453" s="6"/>
      <c r="I5453" s="9"/>
      <c r="J5453" s="24"/>
      <c r="K5453" s="9"/>
      <c r="L5453" s="25"/>
      <c r="M5453" s="25"/>
      <c r="N5453" s="8"/>
      <c r="O5453" s="11"/>
      <c r="P5453" s="11"/>
      <c r="Q5453" s="8"/>
      <c r="R5453" s="6"/>
      <c r="S5453" s="3"/>
      <c r="T5453" s="3"/>
      <c r="U5453" s="7"/>
      <c r="V5453" s="436"/>
      <c r="W5453" s="6"/>
      <c r="X5453" s="8"/>
      <c r="Y5453" s="8"/>
      <c r="AH5453" s="325"/>
      <c r="AI5453" s="325"/>
      <c r="AJ5453" s="325"/>
    </row>
    <row r="5454" spans="3:36" s="13" customFormat="1" ht="11.25" customHeight="1">
      <c r="C5454" s="4"/>
      <c r="D5454" s="4"/>
      <c r="E5454" s="5"/>
      <c r="F5454" s="6"/>
      <c r="G5454" s="31"/>
      <c r="H5454" s="6"/>
      <c r="I5454" s="9"/>
      <c r="J5454" s="24"/>
      <c r="K5454" s="9"/>
      <c r="L5454" s="25"/>
      <c r="M5454" s="25"/>
      <c r="N5454" s="8"/>
      <c r="O5454" s="11"/>
      <c r="P5454" s="11"/>
      <c r="Q5454" s="8"/>
      <c r="R5454" s="6"/>
      <c r="S5454" s="3"/>
      <c r="T5454" s="3"/>
      <c r="U5454" s="7"/>
      <c r="V5454" s="436"/>
      <c r="W5454" s="6"/>
      <c r="X5454" s="8"/>
      <c r="Y5454" s="8"/>
      <c r="AH5454" s="325"/>
      <c r="AI5454" s="325"/>
      <c r="AJ5454" s="325"/>
    </row>
    <row r="5455" spans="3:36" s="13" customFormat="1" ht="11.25" customHeight="1">
      <c r="C5455" s="4"/>
      <c r="D5455" s="4"/>
      <c r="E5455" s="5"/>
      <c r="F5455" s="6"/>
      <c r="G5455" s="31"/>
      <c r="H5455" s="6"/>
      <c r="I5455" s="9"/>
      <c r="J5455" s="24"/>
      <c r="K5455" s="9"/>
      <c r="L5455" s="25"/>
      <c r="M5455" s="25"/>
      <c r="N5455" s="8"/>
      <c r="O5455" s="11"/>
      <c r="P5455" s="11"/>
      <c r="Q5455" s="8"/>
      <c r="R5455" s="6"/>
      <c r="S5455" s="3"/>
      <c r="T5455" s="3"/>
      <c r="U5455" s="7"/>
      <c r="V5455" s="436"/>
      <c r="W5455" s="6"/>
      <c r="X5455" s="8"/>
      <c r="Y5455" s="8"/>
      <c r="AH5455" s="325"/>
      <c r="AI5455" s="325"/>
      <c r="AJ5455" s="325"/>
    </row>
    <row r="5456" spans="3:36" s="13" customFormat="1" ht="11.25" customHeight="1">
      <c r="C5456" s="4"/>
      <c r="D5456" s="4"/>
      <c r="E5456" s="5"/>
      <c r="F5456" s="6"/>
      <c r="G5456" s="31"/>
      <c r="H5456" s="6"/>
      <c r="I5456" s="9"/>
      <c r="J5456" s="24"/>
      <c r="K5456" s="9"/>
      <c r="L5456" s="25"/>
      <c r="M5456" s="25"/>
      <c r="N5456" s="8"/>
      <c r="O5456" s="11"/>
      <c r="P5456" s="11"/>
      <c r="Q5456" s="8"/>
      <c r="R5456" s="6"/>
      <c r="S5456" s="3"/>
      <c r="T5456" s="3"/>
      <c r="U5456" s="7"/>
      <c r="V5456" s="436"/>
      <c r="W5456" s="6"/>
      <c r="X5456" s="8"/>
      <c r="Y5456" s="8"/>
      <c r="AH5456" s="325"/>
      <c r="AI5456" s="325"/>
      <c r="AJ5456" s="325"/>
    </row>
    <row r="5457" spans="3:36" s="13" customFormat="1" ht="11.25" customHeight="1">
      <c r="C5457" s="4"/>
      <c r="D5457" s="4"/>
      <c r="E5457" s="5"/>
      <c r="F5457" s="6"/>
      <c r="G5457" s="31"/>
      <c r="H5457" s="6"/>
      <c r="I5457" s="9"/>
      <c r="J5457" s="24"/>
      <c r="K5457" s="9"/>
      <c r="L5457" s="25"/>
      <c r="M5457" s="25"/>
      <c r="N5457" s="8"/>
      <c r="O5457" s="11"/>
      <c r="P5457" s="11"/>
      <c r="Q5457" s="8"/>
      <c r="R5457" s="6"/>
      <c r="S5457" s="3"/>
      <c r="T5457" s="3"/>
      <c r="U5457" s="7"/>
      <c r="V5457" s="436"/>
      <c r="W5457" s="6"/>
      <c r="X5457" s="8"/>
      <c r="Y5457" s="8"/>
      <c r="AH5457" s="325"/>
      <c r="AI5457" s="325"/>
      <c r="AJ5457" s="325"/>
    </row>
    <row r="5458" spans="3:36" s="13" customFormat="1" ht="11.25" customHeight="1">
      <c r="C5458" s="4"/>
      <c r="D5458" s="4"/>
      <c r="E5458" s="5"/>
      <c r="F5458" s="6"/>
      <c r="G5458" s="31"/>
      <c r="H5458" s="6"/>
      <c r="I5458" s="9"/>
      <c r="J5458" s="24"/>
      <c r="K5458" s="9"/>
      <c r="L5458" s="25"/>
      <c r="M5458" s="25"/>
      <c r="N5458" s="8"/>
      <c r="O5458" s="11"/>
      <c r="P5458" s="11"/>
      <c r="Q5458" s="8"/>
      <c r="R5458" s="6"/>
      <c r="S5458" s="3"/>
      <c r="T5458" s="3"/>
      <c r="U5458" s="7"/>
      <c r="V5458" s="436"/>
      <c r="W5458" s="6"/>
      <c r="X5458" s="8"/>
      <c r="Y5458" s="8"/>
      <c r="AH5458" s="325"/>
      <c r="AI5458" s="325"/>
      <c r="AJ5458" s="325"/>
    </row>
    <row r="5459" spans="3:36" s="13" customFormat="1" ht="11.25" customHeight="1">
      <c r="C5459" s="4"/>
      <c r="D5459" s="4"/>
      <c r="E5459" s="5"/>
      <c r="F5459" s="6"/>
      <c r="G5459" s="31"/>
      <c r="H5459" s="6"/>
      <c r="I5459" s="9"/>
      <c r="J5459" s="24"/>
      <c r="K5459" s="9"/>
      <c r="L5459" s="25"/>
      <c r="M5459" s="25"/>
      <c r="N5459" s="8"/>
      <c r="O5459" s="11"/>
      <c r="P5459" s="11"/>
      <c r="Q5459" s="8"/>
      <c r="R5459" s="6"/>
      <c r="S5459" s="3"/>
      <c r="T5459" s="3"/>
      <c r="U5459" s="7"/>
      <c r="V5459" s="436"/>
      <c r="W5459" s="6"/>
      <c r="X5459" s="8"/>
      <c r="Y5459" s="8"/>
      <c r="AH5459" s="325"/>
      <c r="AI5459" s="325"/>
      <c r="AJ5459" s="325"/>
    </row>
    <row r="5460" spans="3:36" s="13" customFormat="1" ht="11.25" customHeight="1">
      <c r="C5460" s="4"/>
      <c r="D5460" s="4"/>
      <c r="E5460" s="5"/>
      <c r="F5460" s="6"/>
      <c r="G5460" s="31"/>
      <c r="H5460" s="6"/>
      <c r="I5460" s="9"/>
      <c r="J5460" s="24"/>
      <c r="K5460" s="9"/>
      <c r="L5460" s="25"/>
      <c r="M5460" s="47"/>
      <c r="N5460" s="8"/>
      <c r="O5460" s="11"/>
      <c r="P5460" s="11"/>
      <c r="Q5460" s="8"/>
      <c r="R5460" s="6"/>
      <c r="S5460" s="3"/>
      <c r="T5460" s="3"/>
      <c r="U5460" s="7"/>
      <c r="V5460" s="436"/>
      <c r="W5460" s="6"/>
      <c r="X5460" s="8"/>
      <c r="Y5460" s="8"/>
      <c r="AH5460" s="325"/>
      <c r="AI5460" s="325"/>
      <c r="AJ5460" s="325"/>
    </row>
    <row r="5461" spans="3:36" s="13" customFormat="1" ht="11.25" customHeight="1">
      <c r="C5461" s="4"/>
      <c r="D5461" s="4"/>
      <c r="E5461" s="5"/>
      <c r="F5461" s="6"/>
      <c r="G5461" s="31"/>
      <c r="H5461" s="6"/>
      <c r="I5461" s="9"/>
      <c r="J5461" s="24"/>
      <c r="K5461" s="9"/>
      <c r="L5461" s="25"/>
      <c r="M5461" s="25"/>
      <c r="N5461" s="8"/>
      <c r="O5461" s="11"/>
      <c r="P5461" s="11"/>
      <c r="Q5461" s="8"/>
      <c r="R5461" s="6"/>
      <c r="S5461" s="3"/>
      <c r="T5461" s="3"/>
      <c r="U5461" s="7"/>
      <c r="V5461" s="436"/>
      <c r="W5461" s="6"/>
      <c r="X5461" s="8"/>
      <c r="Y5461" s="8"/>
      <c r="AH5461" s="325"/>
      <c r="AI5461" s="325"/>
      <c r="AJ5461" s="325"/>
    </row>
    <row r="5462" spans="3:36" s="13" customFormat="1" ht="11.25" customHeight="1">
      <c r="C5462" s="4"/>
      <c r="D5462" s="4"/>
      <c r="E5462" s="5"/>
      <c r="F5462" s="6"/>
      <c r="G5462" s="31"/>
      <c r="H5462" s="6"/>
      <c r="I5462" s="9"/>
      <c r="J5462" s="24"/>
      <c r="K5462" s="9"/>
      <c r="L5462" s="25"/>
      <c r="M5462" s="7"/>
      <c r="N5462" s="8"/>
      <c r="O5462" s="11"/>
      <c r="P5462" s="11"/>
      <c r="Q5462" s="8"/>
      <c r="R5462" s="6"/>
      <c r="S5462" s="3"/>
      <c r="T5462" s="3"/>
      <c r="U5462" s="7"/>
      <c r="V5462" s="436"/>
      <c r="W5462" s="6"/>
      <c r="X5462" s="8"/>
      <c r="Y5462" s="8"/>
      <c r="AH5462" s="325"/>
      <c r="AI5462" s="325"/>
      <c r="AJ5462" s="325"/>
    </row>
    <row r="5463" spans="3:36" s="13" customFormat="1" ht="11.25" customHeight="1">
      <c r="C5463" s="4"/>
      <c r="D5463" s="4"/>
      <c r="E5463" s="5"/>
      <c r="F5463" s="6"/>
      <c r="G5463" s="31"/>
      <c r="H5463" s="6"/>
      <c r="I5463" s="9"/>
      <c r="J5463" s="24"/>
      <c r="K5463" s="9"/>
      <c r="L5463" s="25"/>
      <c r="M5463" s="7"/>
      <c r="N5463" s="8"/>
      <c r="O5463" s="11"/>
      <c r="P5463" s="11"/>
      <c r="Q5463" s="8"/>
      <c r="R5463" s="6"/>
      <c r="S5463" s="3"/>
      <c r="T5463" s="3"/>
      <c r="U5463" s="7"/>
      <c r="V5463" s="436"/>
      <c r="W5463" s="6"/>
      <c r="X5463" s="8"/>
      <c r="Y5463" s="8"/>
      <c r="AH5463" s="325"/>
      <c r="AI5463" s="325"/>
      <c r="AJ5463" s="325"/>
    </row>
    <row r="5464" spans="3:36" s="13" customFormat="1" ht="11.25" customHeight="1">
      <c r="C5464" s="4"/>
      <c r="D5464" s="4"/>
      <c r="E5464" s="5"/>
      <c r="F5464" s="6"/>
      <c r="G5464" s="31"/>
      <c r="H5464" s="6"/>
      <c r="I5464" s="9"/>
      <c r="J5464" s="24"/>
      <c r="K5464" s="9"/>
      <c r="L5464" s="25"/>
      <c r="M5464" s="7"/>
      <c r="N5464" s="8"/>
      <c r="O5464" s="11"/>
      <c r="P5464" s="11"/>
      <c r="Q5464" s="8"/>
      <c r="R5464" s="6"/>
      <c r="S5464" s="3"/>
      <c r="T5464" s="3"/>
      <c r="U5464" s="7"/>
      <c r="V5464" s="436"/>
      <c r="W5464" s="6"/>
      <c r="X5464" s="8"/>
      <c r="Y5464" s="8"/>
      <c r="AH5464" s="325"/>
      <c r="AI5464" s="325"/>
      <c r="AJ5464" s="325"/>
    </row>
    <row r="5465" spans="3:36" s="13" customFormat="1" ht="11.25" customHeight="1">
      <c r="C5465" s="4"/>
      <c r="D5465" s="4"/>
      <c r="E5465" s="5"/>
      <c r="F5465" s="6"/>
      <c r="G5465" s="31"/>
      <c r="H5465" s="6"/>
      <c r="I5465" s="9"/>
      <c r="J5465" s="24"/>
      <c r="K5465" s="9"/>
      <c r="L5465" s="25"/>
      <c r="M5465" s="7"/>
      <c r="N5465" s="8"/>
      <c r="O5465" s="11"/>
      <c r="P5465" s="11"/>
      <c r="Q5465" s="8"/>
      <c r="R5465" s="6"/>
      <c r="S5465" s="3"/>
      <c r="T5465" s="3"/>
      <c r="U5465" s="7"/>
      <c r="V5465" s="436"/>
      <c r="W5465" s="6"/>
      <c r="X5465" s="8"/>
      <c r="Y5465" s="8"/>
      <c r="AH5465" s="325"/>
      <c r="AI5465" s="325"/>
      <c r="AJ5465" s="325"/>
    </row>
    <row r="5466" spans="3:36" s="13" customFormat="1" ht="11.25" customHeight="1">
      <c r="C5466" s="4"/>
      <c r="D5466" s="4"/>
      <c r="E5466" s="5"/>
      <c r="F5466" s="6"/>
      <c r="G5466" s="31"/>
      <c r="H5466" s="6"/>
      <c r="I5466" s="9"/>
      <c r="J5466" s="24"/>
      <c r="K5466" s="40"/>
      <c r="L5466" s="25"/>
      <c r="M5466" s="7"/>
      <c r="N5466" s="8"/>
      <c r="O5466" s="11"/>
      <c r="P5466" s="11"/>
      <c r="Q5466" s="8"/>
      <c r="R5466" s="6"/>
      <c r="S5466" s="3"/>
      <c r="T5466" s="3"/>
      <c r="U5466" s="7"/>
      <c r="V5466" s="436"/>
      <c r="W5466" s="6"/>
      <c r="X5466" s="8"/>
      <c r="Y5466" s="8"/>
      <c r="AH5466" s="325"/>
      <c r="AI5466" s="325"/>
      <c r="AJ5466" s="325"/>
    </row>
    <row r="5467" spans="3:36" s="13" customFormat="1" ht="11.25" customHeight="1">
      <c r="C5467" s="4"/>
      <c r="D5467" s="4"/>
      <c r="E5467" s="5"/>
      <c r="F5467" s="6"/>
      <c r="G5467" s="31"/>
      <c r="H5467" s="6"/>
      <c r="I5467" s="9"/>
      <c r="J5467" s="24"/>
      <c r="K5467" s="9"/>
      <c r="L5467" s="25"/>
      <c r="M5467" s="7"/>
      <c r="N5467" s="8"/>
      <c r="O5467" s="11"/>
      <c r="P5467" s="11"/>
      <c r="Q5467" s="8"/>
      <c r="R5467" s="6"/>
      <c r="S5467" s="3"/>
      <c r="T5467" s="3"/>
      <c r="U5467" s="7"/>
      <c r="V5467" s="436"/>
      <c r="W5467" s="6"/>
      <c r="X5467" s="8"/>
      <c r="Y5467" s="8"/>
      <c r="AH5467" s="325"/>
      <c r="AI5467" s="325"/>
      <c r="AJ5467" s="325"/>
    </row>
    <row r="5468" spans="3:36" s="13" customFormat="1" ht="11.25" customHeight="1">
      <c r="C5468" s="4"/>
      <c r="D5468" s="4"/>
      <c r="E5468" s="5"/>
      <c r="F5468" s="6"/>
      <c r="G5468" s="31"/>
      <c r="H5468" s="6"/>
      <c r="I5468" s="9"/>
      <c r="J5468" s="24"/>
      <c r="K5468" s="9"/>
      <c r="L5468" s="25"/>
      <c r="M5468" s="7"/>
      <c r="N5468" s="8"/>
      <c r="O5468" s="11"/>
      <c r="P5468" s="11"/>
      <c r="Q5468" s="8"/>
      <c r="R5468" s="6"/>
      <c r="S5468" s="3"/>
      <c r="T5468" s="3"/>
      <c r="U5468" s="7"/>
      <c r="V5468" s="436"/>
      <c r="W5468" s="6"/>
      <c r="X5468" s="8"/>
      <c r="Y5468" s="8"/>
      <c r="AH5468" s="325"/>
      <c r="AI5468" s="325"/>
      <c r="AJ5468" s="325"/>
    </row>
    <row r="5469" spans="3:36" s="13" customFormat="1" ht="12.75" customHeight="1">
      <c r="C5469" s="4"/>
      <c r="D5469" s="4"/>
      <c r="E5469" s="5"/>
      <c r="F5469" s="6"/>
      <c r="G5469" s="31"/>
      <c r="H5469" s="6"/>
      <c r="I5469" s="9"/>
      <c r="J5469" s="24"/>
      <c r="K5469" s="9"/>
      <c r="L5469" s="25"/>
      <c r="M5469" s="7"/>
      <c r="N5469" s="8"/>
      <c r="O5469" s="11"/>
      <c r="P5469" s="11"/>
      <c r="Q5469" s="8"/>
      <c r="R5469" s="6"/>
      <c r="S5469" s="3"/>
      <c r="T5469" s="3"/>
      <c r="U5469" s="7"/>
      <c r="V5469" s="436"/>
      <c r="W5469" s="6"/>
      <c r="X5469" s="8"/>
      <c r="Y5469" s="8"/>
      <c r="AH5469" s="325"/>
      <c r="AI5469" s="325"/>
      <c r="AJ5469" s="325"/>
    </row>
    <row r="5470" spans="3:36" s="13" customFormat="1" ht="11.25" customHeight="1">
      <c r="C5470" s="4"/>
      <c r="D5470" s="4"/>
      <c r="E5470" s="5"/>
      <c r="F5470" s="6"/>
      <c r="G5470" s="31"/>
      <c r="H5470" s="6"/>
      <c r="I5470" s="9"/>
      <c r="J5470" s="24"/>
      <c r="K5470" s="9"/>
      <c r="L5470" s="25"/>
      <c r="M5470" s="7"/>
      <c r="N5470" s="8"/>
      <c r="O5470" s="11"/>
      <c r="P5470" s="11"/>
      <c r="Q5470" s="8"/>
      <c r="R5470" s="6"/>
      <c r="S5470" s="3"/>
      <c r="T5470" s="3"/>
      <c r="U5470" s="7"/>
      <c r="V5470" s="436"/>
      <c r="W5470" s="6"/>
      <c r="X5470" s="8"/>
      <c r="Y5470" s="8"/>
      <c r="AH5470" s="325"/>
      <c r="AI5470" s="325"/>
      <c r="AJ5470" s="325"/>
    </row>
    <row r="5471" spans="3:36" s="13" customFormat="1" ht="11.25" customHeight="1">
      <c r="C5471" s="4"/>
      <c r="D5471" s="4"/>
      <c r="E5471" s="5"/>
      <c r="F5471" s="6"/>
      <c r="G5471" s="31"/>
      <c r="H5471" s="6"/>
      <c r="I5471" s="9"/>
      <c r="J5471" s="24"/>
      <c r="K5471" s="9"/>
      <c r="L5471" s="25"/>
      <c r="M5471" s="7"/>
      <c r="N5471" s="8"/>
      <c r="O5471" s="11"/>
      <c r="P5471" s="11"/>
      <c r="Q5471" s="8"/>
      <c r="R5471" s="6"/>
      <c r="S5471" s="3"/>
      <c r="T5471" s="3"/>
      <c r="U5471" s="7"/>
      <c r="V5471" s="436"/>
      <c r="W5471" s="6"/>
      <c r="X5471" s="8"/>
      <c r="Y5471" s="8"/>
      <c r="AH5471" s="325"/>
      <c r="AI5471" s="325"/>
      <c r="AJ5471" s="325"/>
    </row>
    <row r="5472" spans="3:36" s="13" customFormat="1" ht="11.25" customHeight="1">
      <c r="C5472" s="4"/>
      <c r="D5472" s="4"/>
      <c r="E5472" s="5"/>
      <c r="F5472" s="6"/>
      <c r="G5472" s="31"/>
      <c r="H5472" s="6"/>
      <c r="I5472" s="9"/>
      <c r="J5472" s="24"/>
      <c r="K5472" s="9"/>
      <c r="L5472" s="25"/>
      <c r="M5472" s="7"/>
      <c r="N5472" s="8"/>
      <c r="O5472" s="11"/>
      <c r="P5472" s="11"/>
      <c r="Q5472" s="8"/>
      <c r="R5472" s="6"/>
      <c r="S5472" s="3"/>
      <c r="T5472" s="3"/>
      <c r="U5472" s="7"/>
      <c r="V5472" s="436"/>
      <c r="W5472" s="6"/>
      <c r="X5472" s="8"/>
      <c r="Y5472" s="8"/>
      <c r="AH5472" s="325"/>
      <c r="AI5472" s="325"/>
      <c r="AJ5472" s="325"/>
    </row>
    <row r="5473" spans="3:36" s="13" customFormat="1" ht="11.25" customHeight="1">
      <c r="C5473" s="4"/>
      <c r="D5473" s="4"/>
      <c r="E5473" s="5"/>
      <c r="F5473" s="6"/>
      <c r="G5473" s="31"/>
      <c r="H5473" s="6"/>
      <c r="I5473" s="9"/>
      <c r="J5473" s="24"/>
      <c r="K5473" s="9"/>
      <c r="L5473" s="25"/>
      <c r="M5473" s="7"/>
      <c r="N5473" s="8"/>
      <c r="O5473" s="11"/>
      <c r="P5473" s="11"/>
      <c r="Q5473" s="8"/>
      <c r="R5473" s="6"/>
      <c r="S5473" s="3"/>
      <c r="T5473" s="3"/>
      <c r="U5473" s="7"/>
      <c r="V5473" s="436"/>
      <c r="W5473" s="6"/>
      <c r="X5473" s="8"/>
      <c r="Y5473" s="8"/>
      <c r="AH5473" s="325"/>
      <c r="AI5473" s="325"/>
      <c r="AJ5473" s="325"/>
    </row>
    <row r="5474" spans="3:36" s="13" customFormat="1" ht="11.25" customHeight="1">
      <c r="C5474" s="4"/>
      <c r="D5474" s="4"/>
      <c r="E5474" s="5"/>
      <c r="F5474" s="6"/>
      <c r="G5474" s="31"/>
      <c r="H5474" s="6"/>
      <c r="I5474" s="9"/>
      <c r="J5474" s="24"/>
      <c r="K5474" s="9"/>
      <c r="L5474" s="25"/>
      <c r="M5474" s="7"/>
      <c r="N5474" s="8"/>
      <c r="O5474" s="11"/>
      <c r="P5474" s="11"/>
      <c r="Q5474" s="8"/>
      <c r="R5474" s="6"/>
      <c r="S5474" s="3"/>
      <c r="T5474" s="3"/>
      <c r="U5474" s="7"/>
      <c r="V5474" s="436"/>
      <c r="W5474" s="6"/>
      <c r="X5474" s="8"/>
      <c r="Y5474" s="8"/>
      <c r="AH5474" s="325"/>
      <c r="AI5474" s="325"/>
      <c r="AJ5474" s="325"/>
    </row>
    <row r="5475" spans="3:36" s="13" customFormat="1" ht="11.25" customHeight="1">
      <c r="C5475" s="4"/>
      <c r="D5475" s="4"/>
      <c r="E5475" s="5"/>
      <c r="F5475" s="6"/>
      <c r="G5475" s="31"/>
      <c r="H5475" s="6"/>
      <c r="I5475" s="9"/>
      <c r="J5475" s="24"/>
      <c r="K5475" s="9"/>
      <c r="L5475" s="25"/>
      <c r="M5475" s="7"/>
      <c r="N5475" s="8"/>
      <c r="O5475" s="11"/>
      <c r="P5475" s="11"/>
      <c r="Q5475" s="8"/>
      <c r="R5475" s="6"/>
      <c r="S5475" s="3"/>
      <c r="T5475" s="3"/>
      <c r="U5475" s="7"/>
      <c r="V5475" s="436"/>
      <c r="W5475" s="6"/>
      <c r="X5475" s="8"/>
      <c r="Y5475" s="8"/>
      <c r="AH5475" s="325"/>
      <c r="AI5475" s="325"/>
      <c r="AJ5475" s="325"/>
    </row>
    <row r="5476" spans="3:36" s="13" customFormat="1" ht="11.25" customHeight="1">
      <c r="C5476" s="4"/>
      <c r="D5476" s="4"/>
      <c r="E5476" s="5"/>
      <c r="F5476" s="6"/>
      <c r="G5476" s="31"/>
      <c r="H5476" s="6"/>
      <c r="I5476" s="9"/>
      <c r="J5476" s="24"/>
      <c r="K5476" s="9"/>
      <c r="L5476" s="25"/>
      <c r="M5476" s="47"/>
      <c r="N5476" s="8"/>
      <c r="O5476" s="11"/>
      <c r="P5476" s="11"/>
      <c r="Q5476" s="8"/>
      <c r="R5476" s="6"/>
      <c r="S5476" s="3"/>
      <c r="T5476" s="3"/>
      <c r="U5476" s="7"/>
      <c r="V5476" s="436"/>
      <c r="W5476" s="6"/>
      <c r="X5476" s="8"/>
      <c r="Y5476" s="8"/>
      <c r="AH5476" s="325"/>
      <c r="AI5476" s="325"/>
      <c r="AJ5476" s="325"/>
    </row>
    <row r="5477" spans="3:36" s="13" customFormat="1" ht="11.25" customHeight="1">
      <c r="C5477" s="4"/>
      <c r="D5477" s="4"/>
      <c r="E5477" s="5"/>
      <c r="F5477" s="6"/>
      <c r="G5477" s="31"/>
      <c r="H5477" s="6"/>
      <c r="I5477" s="9"/>
      <c r="J5477" s="24"/>
      <c r="K5477" s="9"/>
      <c r="L5477" s="25"/>
      <c r="M5477" s="7"/>
      <c r="N5477" s="8"/>
      <c r="O5477" s="11"/>
      <c r="P5477" s="11"/>
      <c r="Q5477" s="8"/>
      <c r="R5477" s="6"/>
      <c r="S5477" s="3"/>
      <c r="T5477" s="3"/>
      <c r="U5477" s="7"/>
      <c r="V5477" s="436"/>
      <c r="W5477" s="6"/>
      <c r="X5477" s="8"/>
      <c r="Y5477" s="8"/>
      <c r="AH5477" s="325"/>
      <c r="AI5477" s="325"/>
      <c r="AJ5477" s="325"/>
    </row>
    <row r="5478" spans="3:36" s="13" customFormat="1" ht="11.25" customHeight="1">
      <c r="C5478" s="4"/>
      <c r="D5478" s="38"/>
      <c r="E5478" s="5"/>
      <c r="F5478" s="6"/>
      <c r="G5478" s="31"/>
      <c r="H5478" s="6"/>
      <c r="I5478" s="9"/>
      <c r="J5478" s="24"/>
      <c r="K5478" s="9"/>
      <c r="L5478" s="25"/>
      <c r="M5478" s="7"/>
      <c r="N5478" s="8"/>
      <c r="O5478" s="11"/>
      <c r="P5478" s="11"/>
      <c r="Q5478" s="8"/>
      <c r="R5478" s="6"/>
      <c r="S5478" s="3"/>
      <c r="T5478" s="3"/>
      <c r="U5478" s="7"/>
      <c r="V5478" s="436"/>
      <c r="W5478" s="6"/>
      <c r="X5478" s="8"/>
      <c r="Y5478" s="8"/>
      <c r="AH5478" s="325"/>
      <c r="AI5478" s="325"/>
      <c r="AJ5478" s="325"/>
    </row>
    <row r="5479" spans="3:36" s="13" customFormat="1" ht="11.25" customHeight="1">
      <c r="C5479" s="4"/>
      <c r="D5479" s="38"/>
      <c r="E5479" s="5"/>
      <c r="F5479" s="6"/>
      <c r="G5479" s="31"/>
      <c r="H5479" s="6"/>
      <c r="I5479" s="9"/>
      <c r="J5479" s="24"/>
      <c r="K5479" s="9"/>
      <c r="L5479" s="25"/>
      <c r="M5479" s="7"/>
      <c r="N5479" s="8"/>
      <c r="O5479" s="11"/>
      <c r="P5479" s="11"/>
      <c r="Q5479" s="8"/>
      <c r="R5479" s="6"/>
      <c r="S5479" s="3"/>
      <c r="T5479" s="3"/>
      <c r="U5479" s="7"/>
      <c r="V5479" s="436"/>
      <c r="W5479" s="6"/>
      <c r="X5479" s="8"/>
      <c r="Y5479" s="8"/>
      <c r="AH5479" s="325"/>
      <c r="AI5479" s="325"/>
      <c r="AJ5479" s="325"/>
    </row>
    <row r="5480" spans="3:36" s="13" customFormat="1" ht="11.25" customHeight="1">
      <c r="C5480" s="4"/>
      <c r="D5480" s="21"/>
      <c r="E5480" s="5"/>
      <c r="F5480" s="6"/>
      <c r="G5480" s="31"/>
      <c r="H5480" s="6"/>
      <c r="I5480" s="9"/>
      <c r="J5480" s="24"/>
      <c r="K5480" s="9"/>
      <c r="L5480" s="25"/>
      <c r="M5480" s="7"/>
      <c r="N5480" s="8"/>
      <c r="O5480" s="11"/>
      <c r="P5480" s="11"/>
      <c r="Q5480" s="8"/>
      <c r="R5480" s="6"/>
      <c r="S5480" s="3"/>
      <c r="T5480" s="3"/>
      <c r="U5480" s="7"/>
      <c r="V5480" s="436"/>
      <c r="W5480" s="6"/>
      <c r="X5480" s="8"/>
      <c r="Y5480" s="8"/>
      <c r="AH5480" s="325"/>
      <c r="AI5480" s="325"/>
      <c r="AJ5480" s="325"/>
    </row>
    <row r="5481" spans="3:36" s="13" customFormat="1" ht="11.25" customHeight="1">
      <c r="C5481" s="4"/>
      <c r="D5481" s="21"/>
      <c r="E5481" s="5"/>
      <c r="F5481" s="6"/>
      <c r="G5481" s="31"/>
      <c r="H5481" s="6"/>
      <c r="I5481" s="9"/>
      <c r="J5481" s="24"/>
      <c r="K5481" s="9"/>
      <c r="L5481" s="25"/>
      <c r="M5481" s="7"/>
      <c r="N5481" s="8"/>
      <c r="O5481" s="11"/>
      <c r="P5481" s="11"/>
      <c r="Q5481" s="8"/>
      <c r="R5481" s="6"/>
      <c r="S5481" s="3"/>
      <c r="T5481" s="3"/>
      <c r="U5481" s="7"/>
      <c r="V5481" s="436"/>
      <c r="W5481" s="6"/>
      <c r="X5481" s="8"/>
      <c r="Y5481" s="8"/>
      <c r="AH5481" s="325"/>
      <c r="AI5481" s="325"/>
      <c r="AJ5481" s="325"/>
    </row>
    <row r="5482" spans="3:36" s="13" customFormat="1" ht="11.25" customHeight="1">
      <c r="C5482" s="4"/>
      <c r="D5482" s="38"/>
      <c r="E5482" s="5"/>
      <c r="F5482" s="6"/>
      <c r="G5482" s="31"/>
      <c r="H5482" s="6"/>
      <c r="I5482" s="9"/>
      <c r="J5482" s="24"/>
      <c r="K5482" s="9"/>
      <c r="L5482" s="25"/>
      <c r="M5482" s="7"/>
      <c r="N5482" s="8"/>
      <c r="O5482" s="11"/>
      <c r="P5482" s="11"/>
      <c r="Q5482" s="8"/>
      <c r="R5482" s="6"/>
      <c r="S5482" s="3"/>
      <c r="T5482" s="3"/>
      <c r="U5482" s="7"/>
      <c r="V5482" s="436"/>
      <c r="W5482" s="6"/>
      <c r="X5482" s="8"/>
      <c r="Y5482" s="8"/>
      <c r="AH5482" s="325"/>
      <c r="AI5482" s="325"/>
      <c r="AJ5482" s="325"/>
    </row>
    <row r="5483" spans="3:36" s="13" customFormat="1" ht="11.25" customHeight="1">
      <c r="C5483" s="4"/>
      <c r="D5483" s="21"/>
      <c r="E5483" s="5"/>
      <c r="F5483" s="6"/>
      <c r="G5483" s="31"/>
      <c r="H5483" s="6"/>
      <c r="I5483" s="9"/>
      <c r="J5483" s="24"/>
      <c r="K5483" s="9"/>
      <c r="L5483" s="25"/>
      <c r="M5483" s="7"/>
      <c r="N5483" s="8"/>
      <c r="O5483" s="11"/>
      <c r="P5483" s="11"/>
      <c r="Q5483" s="8"/>
      <c r="R5483" s="6"/>
      <c r="S5483" s="3"/>
      <c r="T5483" s="3"/>
      <c r="U5483" s="7"/>
      <c r="V5483" s="436"/>
      <c r="W5483" s="6"/>
      <c r="X5483" s="8"/>
      <c r="Y5483" s="8"/>
      <c r="AH5483" s="325"/>
      <c r="AI5483" s="325"/>
      <c r="AJ5483" s="325"/>
    </row>
    <row r="5484" spans="3:36" s="13" customFormat="1" ht="11.25" customHeight="1">
      <c r="C5484" s="4"/>
      <c r="D5484" s="21"/>
      <c r="E5484" s="5"/>
      <c r="F5484" s="6"/>
      <c r="G5484" s="31"/>
      <c r="H5484" s="6"/>
      <c r="I5484" s="9"/>
      <c r="J5484" s="24"/>
      <c r="K5484" s="9"/>
      <c r="L5484" s="25"/>
      <c r="M5484" s="7"/>
      <c r="N5484" s="8"/>
      <c r="O5484" s="11"/>
      <c r="P5484" s="11"/>
      <c r="Q5484" s="8"/>
      <c r="R5484" s="6"/>
      <c r="S5484" s="3"/>
      <c r="T5484" s="3"/>
      <c r="U5484" s="7"/>
      <c r="V5484" s="436"/>
      <c r="W5484" s="6"/>
      <c r="X5484" s="8"/>
      <c r="Y5484" s="8"/>
      <c r="AH5484" s="325"/>
      <c r="AI5484" s="325"/>
      <c r="AJ5484" s="325"/>
    </row>
    <row r="5485" spans="3:36" s="13" customFormat="1" ht="11.25" customHeight="1">
      <c r="C5485" s="4"/>
      <c r="D5485" s="21"/>
      <c r="E5485" s="5"/>
      <c r="F5485" s="6"/>
      <c r="G5485" s="31"/>
      <c r="H5485" s="6"/>
      <c r="I5485" s="9"/>
      <c r="J5485" s="24"/>
      <c r="K5485" s="9"/>
      <c r="L5485" s="25"/>
      <c r="M5485" s="7"/>
      <c r="N5485" s="8"/>
      <c r="O5485" s="11"/>
      <c r="P5485" s="11"/>
      <c r="Q5485" s="8"/>
      <c r="R5485" s="6"/>
      <c r="S5485" s="3"/>
      <c r="T5485" s="3"/>
      <c r="U5485" s="7"/>
      <c r="V5485" s="436"/>
      <c r="W5485" s="6"/>
      <c r="X5485" s="8"/>
      <c r="Y5485" s="8"/>
      <c r="AH5485" s="325"/>
      <c r="AI5485" s="325"/>
      <c r="AJ5485" s="325"/>
    </row>
    <row r="5486" spans="3:36" s="13" customFormat="1" ht="11.25" customHeight="1">
      <c r="C5486" s="4"/>
      <c r="D5486" s="21"/>
      <c r="E5486" s="5"/>
      <c r="F5486" s="6"/>
      <c r="G5486" s="31"/>
      <c r="H5486" s="6"/>
      <c r="I5486" s="9"/>
      <c r="J5486" s="24"/>
      <c r="K5486" s="9"/>
      <c r="L5486" s="25"/>
      <c r="M5486" s="7"/>
      <c r="N5486" s="8"/>
      <c r="O5486" s="11"/>
      <c r="P5486" s="11"/>
      <c r="Q5486" s="8"/>
      <c r="R5486" s="6"/>
      <c r="S5486" s="3"/>
      <c r="T5486" s="3"/>
      <c r="U5486" s="7"/>
      <c r="V5486" s="436"/>
      <c r="W5486" s="6"/>
      <c r="X5486" s="8"/>
      <c r="Y5486" s="8"/>
      <c r="AH5486" s="325"/>
      <c r="AI5486" s="325"/>
      <c r="AJ5486" s="325"/>
    </row>
    <row r="5487" spans="3:36" s="13" customFormat="1" ht="11.25" customHeight="1">
      <c r="C5487" s="4"/>
      <c r="D5487" s="21"/>
      <c r="E5487" s="5"/>
      <c r="F5487" s="6"/>
      <c r="G5487" s="31"/>
      <c r="H5487" s="6"/>
      <c r="I5487" s="9"/>
      <c r="J5487" s="24"/>
      <c r="K5487" s="9"/>
      <c r="L5487" s="25"/>
      <c r="M5487" s="7"/>
      <c r="N5487" s="8"/>
      <c r="O5487" s="11"/>
      <c r="P5487" s="11"/>
      <c r="Q5487" s="8"/>
      <c r="R5487" s="6"/>
      <c r="S5487" s="3"/>
      <c r="T5487" s="3"/>
      <c r="U5487" s="7"/>
      <c r="V5487" s="436"/>
      <c r="W5487" s="6"/>
      <c r="X5487" s="8"/>
      <c r="Y5487" s="8"/>
      <c r="AH5487" s="325"/>
      <c r="AI5487" s="325"/>
      <c r="AJ5487" s="325"/>
    </row>
    <row r="5488" spans="3:36" s="13" customFormat="1" ht="11.25" customHeight="1">
      <c r="C5488" s="4"/>
      <c r="D5488" s="21"/>
      <c r="E5488" s="5"/>
      <c r="F5488" s="6"/>
      <c r="G5488" s="31"/>
      <c r="H5488" s="6"/>
      <c r="I5488" s="9"/>
      <c r="J5488" s="24"/>
      <c r="K5488" s="9"/>
      <c r="L5488" s="25"/>
      <c r="M5488" s="7"/>
      <c r="N5488" s="8"/>
      <c r="O5488" s="11"/>
      <c r="P5488" s="11"/>
      <c r="Q5488" s="8"/>
      <c r="R5488" s="6"/>
      <c r="S5488" s="3"/>
      <c r="T5488" s="3"/>
      <c r="U5488" s="7"/>
      <c r="V5488" s="436"/>
      <c r="W5488" s="6"/>
      <c r="X5488" s="8"/>
      <c r="Y5488" s="8"/>
      <c r="AH5488" s="325"/>
      <c r="AI5488" s="325"/>
      <c r="AJ5488" s="325"/>
    </row>
    <row r="5489" spans="3:36" s="13" customFormat="1" ht="11.25" customHeight="1">
      <c r="C5489" s="4"/>
      <c r="D5489" s="21"/>
      <c r="E5489" s="5"/>
      <c r="F5489" s="6"/>
      <c r="G5489" s="31"/>
      <c r="H5489" s="6"/>
      <c r="I5489" s="9"/>
      <c r="J5489" s="24"/>
      <c r="K5489" s="9"/>
      <c r="L5489" s="25"/>
      <c r="M5489" s="7"/>
      <c r="N5489" s="8"/>
      <c r="O5489" s="11"/>
      <c r="P5489" s="11"/>
      <c r="Q5489" s="8"/>
      <c r="R5489" s="6"/>
      <c r="S5489" s="3"/>
      <c r="T5489" s="3"/>
      <c r="U5489" s="7"/>
      <c r="V5489" s="436"/>
      <c r="W5489" s="6"/>
      <c r="X5489" s="8"/>
      <c r="Y5489" s="8"/>
      <c r="AH5489" s="325"/>
      <c r="AI5489" s="325"/>
      <c r="AJ5489" s="325"/>
    </row>
    <row r="5490" spans="3:36" s="13" customFormat="1" ht="11.25" customHeight="1">
      <c r="C5490" s="4"/>
      <c r="D5490" s="21"/>
      <c r="E5490" s="5"/>
      <c r="F5490" s="6"/>
      <c r="G5490" s="31"/>
      <c r="H5490" s="6"/>
      <c r="I5490" s="9"/>
      <c r="J5490" s="24"/>
      <c r="K5490" s="9"/>
      <c r="L5490" s="25"/>
      <c r="M5490" s="7"/>
      <c r="N5490" s="8"/>
      <c r="O5490" s="11"/>
      <c r="P5490" s="11"/>
      <c r="Q5490" s="8"/>
      <c r="R5490" s="6"/>
      <c r="S5490" s="3"/>
      <c r="T5490" s="3"/>
      <c r="U5490" s="7"/>
      <c r="V5490" s="436"/>
      <c r="W5490" s="6"/>
      <c r="X5490" s="8"/>
      <c r="Y5490" s="8"/>
      <c r="AH5490" s="325"/>
      <c r="AI5490" s="325"/>
      <c r="AJ5490" s="325"/>
    </row>
    <row r="5491" spans="3:36" s="13" customFormat="1" ht="11.25" customHeight="1">
      <c r="C5491" s="4"/>
      <c r="D5491" s="21"/>
      <c r="E5491" s="5"/>
      <c r="F5491" s="6"/>
      <c r="G5491" s="31"/>
      <c r="H5491" s="6"/>
      <c r="I5491" s="9"/>
      <c r="J5491" s="24"/>
      <c r="K5491" s="9"/>
      <c r="L5491" s="25"/>
      <c r="M5491" s="7"/>
      <c r="N5491" s="8"/>
      <c r="O5491" s="11"/>
      <c r="P5491" s="11"/>
      <c r="Q5491" s="8"/>
      <c r="R5491" s="6"/>
      <c r="S5491" s="3"/>
      <c r="T5491" s="3"/>
      <c r="U5491" s="7"/>
      <c r="V5491" s="436"/>
      <c r="W5491" s="6"/>
      <c r="X5491" s="8"/>
      <c r="Y5491" s="8"/>
      <c r="AH5491" s="325"/>
      <c r="AI5491" s="325"/>
      <c r="AJ5491" s="325"/>
    </row>
    <row r="5492" spans="3:36" s="13" customFormat="1" ht="11.25" customHeight="1">
      <c r="C5492" s="4"/>
      <c r="D5492" s="21"/>
      <c r="E5492" s="5"/>
      <c r="F5492" s="6"/>
      <c r="G5492" s="31"/>
      <c r="H5492" s="6"/>
      <c r="I5492" s="9"/>
      <c r="J5492" s="24"/>
      <c r="K5492" s="9"/>
      <c r="L5492" s="25"/>
      <c r="M5492" s="7"/>
      <c r="N5492" s="8"/>
      <c r="O5492" s="11"/>
      <c r="P5492" s="11"/>
      <c r="Q5492" s="8"/>
      <c r="R5492" s="6"/>
      <c r="S5492" s="3"/>
      <c r="T5492" s="3"/>
      <c r="U5492" s="7"/>
      <c r="V5492" s="436"/>
      <c r="W5492" s="6"/>
      <c r="X5492" s="8"/>
      <c r="Y5492" s="8"/>
      <c r="AH5492" s="325"/>
      <c r="AI5492" s="325"/>
      <c r="AJ5492" s="325"/>
    </row>
    <row r="5493" spans="3:36" s="13" customFormat="1" ht="11.25" customHeight="1">
      <c r="C5493" s="4"/>
      <c r="D5493" s="21"/>
      <c r="E5493" s="5"/>
      <c r="F5493" s="6"/>
      <c r="G5493" s="31"/>
      <c r="H5493" s="6"/>
      <c r="I5493" s="9"/>
      <c r="J5493" s="24"/>
      <c r="K5493" s="9"/>
      <c r="L5493" s="25"/>
      <c r="M5493" s="7"/>
      <c r="N5493" s="8"/>
      <c r="O5493" s="11"/>
      <c r="P5493" s="11"/>
      <c r="Q5493" s="8"/>
      <c r="R5493" s="6"/>
      <c r="S5493" s="3"/>
      <c r="T5493" s="3"/>
      <c r="U5493" s="7"/>
      <c r="V5493" s="436"/>
      <c r="W5493" s="6"/>
      <c r="X5493" s="8"/>
      <c r="Y5493" s="8"/>
      <c r="AH5493" s="325"/>
      <c r="AI5493" s="325"/>
      <c r="AJ5493" s="325"/>
    </row>
    <row r="5494" spans="3:36" s="13" customFormat="1" ht="11.25" customHeight="1">
      <c r="C5494" s="4"/>
      <c r="D5494" s="21"/>
      <c r="E5494" s="5"/>
      <c r="F5494" s="6"/>
      <c r="G5494" s="31"/>
      <c r="H5494" s="6"/>
      <c r="I5494" s="9"/>
      <c r="J5494" s="24"/>
      <c r="K5494" s="9"/>
      <c r="L5494" s="25"/>
      <c r="M5494" s="7"/>
      <c r="N5494" s="8"/>
      <c r="O5494" s="11"/>
      <c r="P5494" s="11"/>
      <c r="Q5494" s="8"/>
      <c r="R5494" s="6"/>
      <c r="S5494" s="3"/>
      <c r="T5494" s="3"/>
      <c r="U5494" s="7"/>
      <c r="V5494" s="436"/>
      <c r="W5494" s="6"/>
      <c r="X5494" s="8"/>
      <c r="Y5494" s="8"/>
      <c r="AH5494" s="325"/>
      <c r="AI5494" s="325"/>
      <c r="AJ5494" s="325"/>
    </row>
    <row r="5495" spans="3:36" s="13" customFormat="1" ht="11.25" customHeight="1">
      <c r="C5495" s="4"/>
      <c r="D5495" s="21"/>
      <c r="E5495" s="5"/>
      <c r="F5495" s="6"/>
      <c r="G5495" s="31"/>
      <c r="H5495" s="6"/>
      <c r="I5495" s="9"/>
      <c r="J5495" s="24"/>
      <c r="K5495" s="9"/>
      <c r="L5495" s="25"/>
      <c r="M5495" s="7"/>
      <c r="N5495" s="8"/>
      <c r="O5495" s="11"/>
      <c r="P5495" s="11"/>
      <c r="Q5495" s="8"/>
      <c r="R5495" s="6"/>
      <c r="S5495" s="3"/>
      <c r="T5495" s="3"/>
      <c r="U5495" s="7"/>
      <c r="V5495" s="436"/>
      <c r="W5495" s="6"/>
      <c r="X5495" s="8"/>
      <c r="Y5495" s="8"/>
      <c r="AH5495" s="325"/>
      <c r="AI5495" s="325"/>
      <c r="AJ5495" s="325"/>
    </row>
    <row r="5496" spans="3:36" s="13" customFormat="1" ht="11.25" customHeight="1">
      <c r="C5496" s="4"/>
      <c r="D5496" s="21"/>
      <c r="E5496" s="5"/>
      <c r="F5496" s="6"/>
      <c r="G5496" s="31"/>
      <c r="H5496" s="6"/>
      <c r="I5496" s="9"/>
      <c r="J5496" s="24"/>
      <c r="K5496" s="9"/>
      <c r="L5496" s="25"/>
      <c r="M5496" s="7"/>
      <c r="N5496" s="8"/>
      <c r="O5496" s="11"/>
      <c r="P5496" s="11"/>
      <c r="Q5496" s="8"/>
      <c r="R5496" s="6"/>
      <c r="S5496" s="3"/>
      <c r="T5496" s="3"/>
      <c r="U5496" s="7"/>
      <c r="V5496" s="436"/>
      <c r="W5496" s="6"/>
      <c r="X5496" s="8"/>
      <c r="Y5496" s="8"/>
      <c r="AH5496" s="325"/>
      <c r="AI5496" s="325"/>
      <c r="AJ5496" s="325"/>
    </row>
    <row r="5497" spans="3:36" s="13" customFormat="1" ht="11.25" customHeight="1">
      <c r="C5497" s="4"/>
      <c r="D5497" s="21"/>
      <c r="E5497" s="5"/>
      <c r="F5497" s="6"/>
      <c r="G5497" s="31"/>
      <c r="H5497" s="6"/>
      <c r="I5497" s="9"/>
      <c r="J5497" s="24"/>
      <c r="K5497" s="9"/>
      <c r="L5497" s="25"/>
      <c r="M5497" s="7"/>
      <c r="N5497" s="8"/>
      <c r="O5497" s="11"/>
      <c r="P5497" s="11"/>
      <c r="Q5497" s="8"/>
      <c r="R5497" s="6"/>
      <c r="S5497" s="3"/>
      <c r="T5497" s="3"/>
      <c r="U5497" s="7"/>
      <c r="V5497" s="436"/>
      <c r="W5497" s="6"/>
      <c r="X5497" s="8"/>
      <c r="Y5497" s="8"/>
      <c r="AH5497" s="325"/>
      <c r="AI5497" s="325"/>
      <c r="AJ5497" s="325"/>
    </row>
    <row r="5498" spans="3:36" s="13" customFormat="1" ht="11.25" customHeight="1">
      <c r="C5498" s="4"/>
      <c r="D5498" s="21"/>
      <c r="E5498" s="5"/>
      <c r="F5498" s="6"/>
      <c r="G5498" s="31"/>
      <c r="H5498" s="6"/>
      <c r="I5498" s="9"/>
      <c r="J5498" s="24"/>
      <c r="K5498" s="9"/>
      <c r="L5498" s="25"/>
      <c r="M5498" s="7"/>
      <c r="N5498" s="8"/>
      <c r="O5498" s="11"/>
      <c r="P5498" s="11"/>
      <c r="Q5498" s="8"/>
      <c r="R5498" s="6"/>
      <c r="S5498" s="3"/>
      <c r="T5498" s="3"/>
      <c r="U5498" s="7"/>
      <c r="V5498" s="436"/>
      <c r="W5498" s="6"/>
      <c r="X5498" s="8"/>
      <c r="Y5498" s="8"/>
      <c r="AH5498" s="325"/>
      <c r="AI5498" s="325"/>
      <c r="AJ5498" s="325"/>
    </row>
    <row r="5499" spans="3:36" s="13" customFormat="1" ht="11.25" customHeight="1">
      <c r="C5499" s="4"/>
      <c r="D5499" s="21"/>
      <c r="E5499" s="5"/>
      <c r="F5499" s="6"/>
      <c r="G5499" s="31"/>
      <c r="H5499" s="6"/>
      <c r="I5499" s="9"/>
      <c r="J5499" s="24"/>
      <c r="K5499" s="9"/>
      <c r="L5499" s="25"/>
      <c r="M5499" s="7"/>
      <c r="N5499" s="8"/>
      <c r="O5499" s="11"/>
      <c r="P5499" s="11"/>
      <c r="Q5499" s="8"/>
      <c r="R5499" s="6"/>
      <c r="S5499" s="3"/>
      <c r="T5499" s="3"/>
      <c r="U5499" s="7"/>
      <c r="V5499" s="436"/>
      <c r="W5499" s="6"/>
      <c r="X5499" s="8"/>
      <c r="Y5499" s="8"/>
      <c r="AH5499" s="325"/>
      <c r="AI5499" s="325"/>
      <c r="AJ5499" s="325"/>
    </row>
    <row r="5500" spans="3:36" s="13" customFormat="1" ht="11.25" customHeight="1">
      <c r="C5500" s="4"/>
      <c r="D5500" s="21"/>
      <c r="E5500" s="5"/>
      <c r="F5500" s="6"/>
      <c r="G5500" s="31"/>
      <c r="H5500" s="6"/>
      <c r="I5500" s="9"/>
      <c r="J5500" s="24"/>
      <c r="K5500" s="9"/>
      <c r="L5500" s="25"/>
      <c r="M5500" s="7"/>
      <c r="N5500" s="8"/>
      <c r="O5500" s="11"/>
      <c r="P5500" s="11"/>
      <c r="Q5500" s="8"/>
      <c r="R5500" s="6"/>
      <c r="S5500" s="3"/>
      <c r="T5500" s="3"/>
      <c r="U5500" s="7"/>
      <c r="V5500" s="436"/>
      <c r="W5500" s="6"/>
      <c r="X5500" s="8"/>
      <c r="Y5500" s="8"/>
      <c r="AH5500" s="325"/>
      <c r="AI5500" s="325"/>
      <c r="AJ5500" s="325"/>
    </row>
    <row r="5501" spans="3:36" s="13" customFormat="1" ht="11.25" customHeight="1">
      <c r="C5501" s="4"/>
      <c r="D5501" s="21"/>
      <c r="E5501" s="5"/>
      <c r="F5501" s="6"/>
      <c r="G5501" s="31"/>
      <c r="H5501" s="6"/>
      <c r="I5501" s="9"/>
      <c r="J5501" s="24"/>
      <c r="K5501" s="9"/>
      <c r="L5501" s="25"/>
      <c r="M5501" s="7"/>
      <c r="N5501" s="8"/>
      <c r="O5501" s="11"/>
      <c r="P5501" s="11"/>
      <c r="Q5501" s="8"/>
      <c r="R5501" s="6"/>
      <c r="S5501" s="3"/>
      <c r="T5501" s="3"/>
      <c r="U5501" s="7"/>
      <c r="V5501" s="436"/>
      <c r="W5501" s="6"/>
      <c r="X5501" s="8"/>
      <c r="Y5501" s="8"/>
      <c r="AH5501" s="325"/>
      <c r="AI5501" s="325"/>
      <c r="AJ5501" s="325"/>
    </row>
    <row r="5502" spans="3:36" s="13" customFormat="1" ht="11.25" customHeight="1">
      <c r="C5502" s="4"/>
      <c r="D5502" s="21"/>
      <c r="E5502" s="5"/>
      <c r="F5502" s="6"/>
      <c r="G5502" s="31"/>
      <c r="H5502" s="6"/>
      <c r="I5502" s="9"/>
      <c r="J5502" s="24"/>
      <c r="K5502" s="9"/>
      <c r="L5502" s="25"/>
      <c r="M5502" s="47"/>
      <c r="N5502" s="8"/>
      <c r="O5502" s="11"/>
      <c r="P5502" s="11"/>
      <c r="Q5502" s="8"/>
      <c r="R5502" s="6"/>
      <c r="S5502" s="3"/>
      <c r="T5502" s="3"/>
      <c r="U5502" s="7"/>
      <c r="V5502" s="436"/>
      <c r="W5502" s="6"/>
      <c r="X5502" s="8"/>
      <c r="Y5502" s="8"/>
      <c r="AH5502" s="325"/>
      <c r="AI5502" s="325"/>
      <c r="AJ5502" s="325"/>
    </row>
    <row r="5503" spans="3:36" s="13" customFormat="1" ht="11.25" customHeight="1">
      <c r="C5503" s="4"/>
      <c r="D5503" s="21"/>
      <c r="E5503" s="5"/>
      <c r="F5503" s="6"/>
      <c r="G5503" s="31"/>
      <c r="H5503" s="6"/>
      <c r="I5503" s="9"/>
      <c r="J5503" s="24"/>
      <c r="K5503" s="9"/>
      <c r="L5503" s="25"/>
      <c r="M5503" s="7"/>
      <c r="N5503" s="8"/>
      <c r="O5503" s="11"/>
      <c r="P5503" s="11"/>
      <c r="Q5503" s="8"/>
      <c r="R5503" s="6"/>
      <c r="S5503" s="3"/>
      <c r="T5503" s="3"/>
      <c r="U5503" s="7"/>
      <c r="V5503" s="436"/>
      <c r="W5503" s="6"/>
      <c r="X5503" s="8"/>
      <c r="Y5503" s="8"/>
      <c r="AH5503" s="325"/>
      <c r="AI5503" s="325"/>
      <c r="AJ5503" s="325"/>
    </row>
    <row r="5504" spans="3:36" s="13" customFormat="1" ht="11.25" customHeight="1">
      <c r="C5504" s="4"/>
      <c r="D5504" s="21"/>
      <c r="E5504" s="5"/>
      <c r="F5504" s="6"/>
      <c r="G5504" s="31"/>
      <c r="H5504" s="6"/>
      <c r="I5504" s="9"/>
      <c r="J5504" s="24"/>
      <c r="K5504" s="9"/>
      <c r="L5504" s="25"/>
      <c r="M5504" s="7"/>
      <c r="N5504" s="8"/>
      <c r="O5504" s="11"/>
      <c r="P5504" s="11"/>
      <c r="Q5504" s="8"/>
      <c r="R5504" s="6"/>
      <c r="S5504" s="3"/>
      <c r="T5504" s="3"/>
      <c r="U5504" s="7"/>
      <c r="V5504" s="436"/>
      <c r="W5504" s="6"/>
      <c r="X5504" s="8"/>
      <c r="Y5504" s="8"/>
      <c r="AH5504" s="325"/>
      <c r="AI5504" s="325"/>
      <c r="AJ5504" s="325"/>
    </row>
    <row r="5505" spans="3:36" s="13" customFormat="1" ht="11.25" customHeight="1">
      <c r="C5505" s="4"/>
      <c r="D5505" s="38"/>
      <c r="E5505" s="5"/>
      <c r="F5505" s="6"/>
      <c r="G5505" s="31"/>
      <c r="H5505" s="6"/>
      <c r="I5505" s="9"/>
      <c r="J5505" s="24"/>
      <c r="K5505" s="9"/>
      <c r="L5505" s="25"/>
      <c r="M5505" s="7"/>
      <c r="N5505" s="8"/>
      <c r="O5505" s="11"/>
      <c r="P5505" s="11"/>
      <c r="Q5505" s="8"/>
      <c r="R5505" s="6"/>
      <c r="S5505" s="3"/>
      <c r="T5505" s="3"/>
      <c r="U5505" s="7"/>
      <c r="V5505" s="436"/>
      <c r="W5505" s="6"/>
      <c r="X5505" s="8"/>
      <c r="Y5505" s="8"/>
      <c r="AH5505" s="325"/>
      <c r="AI5505" s="325"/>
      <c r="AJ5505" s="325"/>
    </row>
    <row r="5506" spans="3:36" s="13" customFormat="1" ht="11.25" customHeight="1">
      <c r="C5506" s="4"/>
      <c r="D5506" s="21"/>
      <c r="E5506" s="5"/>
      <c r="F5506" s="6"/>
      <c r="G5506" s="31"/>
      <c r="H5506" s="6"/>
      <c r="I5506" s="9"/>
      <c r="J5506" s="24"/>
      <c r="K5506" s="9"/>
      <c r="L5506" s="25"/>
      <c r="M5506" s="7"/>
      <c r="N5506" s="8"/>
      <c r="O5506" s="11"/>
      <c r="P5506" s="11"/>
      <c r="Q5506" s="8"/>
      <c r="R5506" s="6"/>
      <c r="S5506" s="3"/>
      <c r="T5506" s="3"/>
      <c r="U5506" s="7"/>
      <c r="V5506" s="436"/>
      <c r="W5506" s="6"/>
      <c r="X5506" s="8"/>
      <c r="Y5506" s="8"/>
      <c r="AH5506" s="325"/>
      <c r="AI5506" s="325"/>
      <c r="AJ5506" s="325"/>
    </row>
    <row r="5507" spans="3:36" s="13" customFormat="1" ht="11.25" customHeight="1">
      <c r="C5507" s="4"/>
      <c r="D5507" s="21"/>
      <c r="E5507" s="5"/>
      <c r="F5507" s="6"/>
      <c r="G5507" s="31"/>
      <c r="H5507" s="6"/>
      <c r="I5507" s="9"/>
      <c r="J5507" s="24"/>
      <c r="K5507" s="9"/>
      <c r="L5507" s="25"/>
      <c r="M5507" s="7"/>
      <c r="N5507" s="8"/>
      <c r="O5507" s="11"/>
      <c r="P5507" s="11"/>
      <c r="Q5507" s="8"/>
      <c r="R5507" s="6"/>
      <c r="S5507" s="3"/>
      <c r="T5507" s="3"/>
      <c r="U5507" s="7"/>
      <c r="V5507" s="436"/>
      <c r="W5507" s="6"/>
      <c r="X5507" s="8"/>
      <c r="Y5507" s="8"/>
      <c r="AH5507" s="325"/>
      <c r="AI5507" s="325"/>
      <c r="AJ5507" s="325"/>
    </row>
    <row r="5508" spans="3:36" s="13" customFormat="1" ht="11.25" customHeight="1">
      <c r="C5508" s="4"/>
      <c r="D5508" s="4"/>
      <c r="E5508" s="5"/>
      <c r="F5508" s="6"/>
      <c r="G5508" s="31"/>
      <c r="H5508" s="6"/>
      <c r="I5508" s="9"/>
      <c r="J5508" s="24"/>
      <c r="K5508" s="9"/>
      <c r="L5508" s="25"/>
      <c r="M5508" s="7"/>
      <c r="N5508" s="8"/>
      <c r="O5508" s="11"/>
      <c r="P5508" s="11"/>
      <c r="Q5508" s="8"/>
      <c r="R5508" s="6"/>
      <c r="S5508" s="3"/>
      <c r="T5508" s="3"/>
      <c r="U5508" s="7"/>
      <c r="V5508" s="436"/>
      <c r="W5508" s="6"/>
      <c r="X5508" s="8"/>
      <c r="Y5508" s="8"/>
      <c r="AH5508" s="325"/>
      <c r="AI5508" s="325"/>
      <c r="AJ5508" s="325"/>
    </row>
    <row r="5509" spans="3:36" s="13" customFormat="1" ht="11.25" customHeight="1">
      <c r="C5509" s="4"/>
      <c r="D5509" s="4"/>
      <c r="E5509" s="5"/>
      <c r="F5509" s="6"/>
      <c r="G5509" s="31"/>
      <c r="H5509" s="6"/>
      <c r="I5509" s="9"/>
      <c r="J5509" s="24"/>
      <c r="K5509" s="9"/>
      <c r="L5509" s="7"/>
      <c r="M5509" s="7"/>
      <c r="N5509" s="8"/>
      <c r="O5509" s="11"/>
      <c r="P5509" s="11"/>
      <c r="Q5509" s="8"/>
      <c r="R5509" s="6"/>
      <c r="S5509" s="3"/>
      <c r="T5509" s="3"/>
      <c r="U5509" s="7"/>
      <c r="V5509" s="436"/>
      <c r="W5509" s="6"/>
      <c r="X5509" s="8"/>
      <c r="Y5509" s="8"/>
      <c r="AH5509" s="325"/>
      <c r="AI5509" s="325"/>
      <c r="AJ5509" s="325"/>
    </row>
    <row r="5510" spans="3:36" s="13" customFormat="1" ht="11.25" customHeight="1">
      <c r="C5510" s="4"/>
      <c r="D5510" s="4"/>
      <c r="E5510" s="5"/>
      <c r="F5510" s="6"/>
      <c r="G5510" s="31"/>
      <c r="H5510" s="6"/>
      <c r="I5510" s="9"/>
      <c r="J5510" s="24"/>
      <c r="K5510" s="9"/>
      <c r="L5510" s="7"/>
      <c r="M5510" s="7"/>
      <c r="N5510" s="8"/>
      <c r="O5510" s="11"/>
      <c r="P5510" s="11"/>
      <c r="Q5510" s="8"/>
      <c r="R5510" s="6"/>
      <c r="S5510" s="3"/>
      <c r="T5510" s="3"/>
      <c r="U5510" s="7"/>
      <c r="V5510" s="436"/>
      <c r="W5510" s="6"/>
      <c r="X5510" s="8"/>
      <c r="Y5510" s="8"/>
      <c r="AH5510" s="325"/>
      <c r="AI5510" s="325"/>
      <c r="AJ5510" s="325"/>
    </row>
    <row r="5511" spans="3:36" s="13" customFormat="1" ht="11.25" customHeight="1">
      <c r="C5511" s="4"/>
      <c r="D5511" s="4"/>
      <c r="E5511" s="5"/>
      <c r="F5511" s="6"/>
      <c r="G5511" s="31"/>
      <c r="H5511" s="6"/>
      <c r="I5511" s="9"/>
      <c r="J5511" s="24"/>
      <c r="K5511" s="9"/>
      <c r="L5511" s="25"/>
      <c r="M5511" s="7"/>
      <c r="N5511" s="8"/>
      <c r="O5511" s="11"/>
      <c r="P5511" s="11"/>
      <c r="Q5511" s="8"/>
      <c r="R5511" s="6"/>
      <c r="S5511" s="3"/>
      <c r="T5511" s="3"/>
      <c r="U5511" s="7"/>
      <c r="V5511" s="436"/>
      <c r="W5511" s="6"/>
      <c r="X5511" s="8"/>
      <c r="Y5511" s="8"/>
      <c r="AH5511" s="325"/>
      <c r="AI5511" s="325"/>
      <c r="AJ5511" s="325"/>
    </row>
    <row r="5512" spans="3:36" s="13" customFormat="1" ht="11.25" customHeight="1">
      <c r="C5512" s="4"/>
      <c r="D5512" s="4"/>
      <c r="E5512" s="5"/>
      <c r="F5512" s="6"/>
      <c r="G5512" s="31"/>
      <c r="H5512" s="6"/>
      <c r="I5512" s="9"/>
      <c r="J5512" s="24"/>
      <c r="K5512" s="9"/>
      <c r="L5512" s="25"/>
      <c r="M5512" s="7"/>
      <c r="N5512" s="8"/>
      <c r="O5512" s="11"/>
      <c r="P5512" s="11"/>
      <c r="Q5512" s="8"/>
      <c r="R5512" s="6"/>
      <c r="S5512" s="3"/>
      <c r="T5512" s="3"/>
      <c r="U5512" s="7"/>
      <c r="V5512" s="436"/>
      <c r="W5512" s="6"/>
      <c r="X5512" s="8"/>
      <c r="Y5512" s="8"/>
      <c r="AH5512" s="325"/>
      <c r="AI5512" s="325"/>
      <c r="AJ5512" s="325"/>
    </row>
    <row r="5513" spans="3:36" s="13" customFormat="1" ht="11.25" customHeight="1">
      <c r="C5513" s="4"/>
      <c r="D5513" s="4"/>
      <c r="E5513" s="5"/>
      <c r="F5513" s="6"/>
      <c r="G5513" s="31"/>
      <c r="H5513" s="6"/>
      <c r="I5513" s="9"/>
      <c r="J5513" s="24"/>
      <c r="K5513" s="9"/>
      <c r="L5513" s="25"/>
      <c r="M5513" s="7"/>
      <c r="N5513" s="8"/>
      <c r="O5513" s="11"/>
      <c r="P5513" s="11"/>
      <c r="Q5513" s="8"/>
      <c r="R5513" s="6"/>
      <c r="S5513" s="3"/>
      <c r="T5513" s="3"/>
      <c r="U5513" s="7"/>
      <c r="V5513" s="436"/>
      <c r="W5513" s="6"/>
      <c r="X5513" s="8"/>
      <c r="Y5513" s="8"/>
      <c r="AH5513" s="325"/>
      <c r="AI5513" s="325"/>
      <c r="AJ5513" s="325"/>
    </row>
    <row r="5514" spans="3:36" s="13" customFormat="1" ht="11.25" customHeight="1">
      <c r="C5514" s="4"/>
      <c r="D5514" s="4"/>
      <c r="E5514" s="5"/>
      <c r="F5514" s="6"/>
      <c r="G5514" s="31"/>
      <c r="H5514" s="6"/>
      <c r="I5514" s="9"/>
      <c r="J5514" s="24"/>
      <c r="K5514" s="9"/>
      <c r="L5514" s="25"/>
      <c r="M5514" s="7"/>
      <c r="N5514" s="8"/>
      <c r="O5514" s="11"/>
      <c r="P5514" s="11"/>
      <c r="Q5514" s="8"/>
      <c r="R5514" s="6"/>
      <c r="S5514" s="3"/>
      <c r="T5514" s="3"/>
      <c r="U5514" s="7"/>
      <c r="V5514" s="436"/>
      <c r="W5514" s="6"/>
      <c r="X5514" s="8"/>
      <c r="Y5514" s="8"/>
      <c r="AH5514" s="325"/>
      <c r="AI5514" s="325"/>
      <c r="AJ5514" s="325"/>
    </row>
    <row r="5515" spans="3:36" s="13" customFormat="1" ht="11.25" customHeight="1">
      <c r="C5515" s="4"/>
      <c r="D5515" s="4"/>
      <c r="E5515" s="5"/>
      <c r="F5515" s="6"/>
      <c r="G5515" s="31"/>
      <c r="H5515" s="6"/>
      <c r="I5515" s="9"/>
      <c r="J5515" s="24"/>
      <c r="K5515" s="9"/>
      <c r="L5515" s="7"/>
      <c r="M5515" s="7"/>
      <c r="N5515" s="8"/>
      <c r="O5515" s="11"/>
      <c r="P5515" s="11"/>
      <c r="Q5515" s="8"/>
      <c r="R5515" s="6"/>
      <c r="S5515" s="3"/>
      <c r="T5515" s="3"/>
      <c r="U5515" s="7"/>
      <c r="V5515" s="436"/>
      <c r="W5515" s="6"/>
      <c r="X5515" s="8"/>
      <c r="Y5515" s="8"/>
      <c r="AH5515" s="325"/>
      <c r="AI5515" s="325"/>
      <c r="AJ5515" s="325"/>
    </row>
    <row r="5516" spans="3:36" s="13" customFormat="1" ht="11.25" customHeight="1">
      <c r="C5516" s="4"/>
      <c r="D5516" s="4"/>
      <c r="E5516" s="5"/>
      <c r="F5516" s="6"/>
      <c r="G5516" s="31"/>
      <c r="H5516" s="6"/>
      <c r="I5516" s="9"/>
      <c r="J5516" s="24"/>
      <c r="K5516" s="9"/>
      <c r="L5516" s="25"/>
      <c r="M5516" s="7"/>
      <c r="N5516" s="8"/>
      <c r="O5516" s="11"/>
      <c r="P5516" s="11"/>
      <c r="Q5516" s="8"/>
      <c r="R5516" s="6"/>
      <c r="S5516" s="3"/>
      <c r="T5516" s="3"/>
      <c r="U5516" s="7"/>
      <c r="V5516" s="436"/>
      <c r="W5516" s="6"/>
      <c r="X5516" s="8"/>
      <c r="Y5516" s="8"/>
      <c r="AH5516" s="325"/>
      <c r="AI5516" s="325"/>
      <c r="AJ5516" s="325"/>
    </row>
    <row r="5517" spans="3:36" s="13" customFormat="1" ht="11.25" customHeight="1">
      <c r="C5517" s="4"/>
      <c r="D5517" s="4"/>
      <c r="E5517" s="5"/>
      <c r="F5517" s="6"/>
      <c r="G5517" s="31"/>
      <c r="H5517" s="6"/>
      <c r="I5517" s="9"/>
      <c r="J5517" s="24"/>
      <c r="K5517" s="9"/>
      <c r="L5517" s="25"/>
      <c r="M5517" s="7"/>
      <c r="N5517" s="8"/>
      <c r="O5517" s="11"/>
      <c r="P5517" s="11"/>
      <c r="Q5517" s="8"/>
      <c r="R5517" s="6"/>
      <c r="S5517" s="3"/>
      <c r="T5517" s="3"/>
      <c r="U5517" s="7"/>
      <c r="V5517" s="436"/>
      <c r="W5517" s="6"/>
      <c r="X5517" s="8"/>
      <c r="Y5517" s="8"/>
      <c r="AH5517" s="325"/>
      <c r="AI5517" s="325"/>
      <c r="AJ5517" s="325"/>
    </row>
    <row r="5518" spans="3:36" s="13" customFormat="1" ht="11.25" customHeight="1">
      <c r="C5518" s="4"/>
      <c r="D5518" s="4"/>
      <c r="E5518" s="5"/>
      <c r="F5518" s="6"/>
      <c r="G5518" s="31"/>
      <c r="H5518" s="6"/>
      <c r="I5518" s="9"/>
      <c r="J5518" s="24"/>
      <c r="K5518" s="9"/>
      <c r="L5518" s="7"/>
      <c r="M5518" s="7"/>
      <c r="N5518" s="8"/>
      <c r="O5518" s="11"/>
      <c r="P5518" s="11"/>
      <c r="Q5518" s="8"/>
      <c r="R5518" s="6"/>
      <c r="S5518" s="3"/>
      <c r="T5518" s="3"/>
      <c r="U5518" s="7"/>
      <c r="V5518" s="436"/>
      <c r="W5518" s="6"/>
      <c r="X5518" s="8"/>
      <c r="Y5518" s="8"/>
      <c r="AH5518" s="325"/>
      <c r="AI5518" s="325"/>
      <c r="AJ5518" s="325"/>
    </row>
    <row r="5519" spans="3:36" s="13" customFormat="1" ht="11.25" customHeight="1">
      <c r="C5519" s="4"/>
      <c r="D5519" s="4"/>
      <c r="E5519" s="5"/>
      <c r="F5519" s="6"/>
      <c r="G5519" s="31"/>
      <c r="H5519" s="6"/>
      <c r="I5519" s="9"/>
      <c r="J5519" s="24"/>
      <c r="K5519" s="9"/>
      <c r="L5519" s="25"/>
      <c r="M5519" s="7"/>
      <c r="N5519" s="8"/>
      <c r="O5519" s="11"/>
      <c r="P5519" s="11"/>
      <c r="Q5519" s="8"/>
      <c r="R5519" s="6"/>
      <c r="S5519" s="3"/>
      <c r="T5519" s="3"/>
      <c r="U5519" s="7"/>
      <c r="V5519" s="436"/>
      <c r="W5519" s="6"/>
      <c r="X5519" s="8"/>
      <c r="Y5519" s="8"/>
      <c r="AH5519" s="325"/>
      <c r="AI5519" s="325"/>
      <c r="AJ5519" s="325"/>
    </row>
    <row r="5520" spans="3:36" s="13" customFormat="1" ht="11.25" customHeight="1">
      <c r="C5520" s="4"/>
      <c r="D5520" s="4"/>
      <c r="E5520" s="5"/>
      <c r="F5520" s="6"/>
      <c r="G5520" s="31"/>
      <c r="H5520" s="6"/>
      <c r="I5520" s="9"/>
      <c r="J5520" s="24"/>
      <c r="K5520" s="9"/>
      <c r="L5520" s="25"/>
      <c r="M5520" s="7"/>
      <c r="N5520" s="8"/>
      <c r="O5520" s="11"/>
      <c r="P5520" s="11"/>
      <c r="Q5520" s="8"/>
      <c r="R5520" s="6"/>
      <c r="S5520" s="3"/>
      <c r="T5520" s="3"/>
      <c r="U5520" s="7"/>
      <c r="V5520" s="436"/>
      <c r="W5520" s="6"/>
      <c r="X5520" s="8"/>
      <c r="Y5520" s="8"/>
      <c r="AH5520" s="325"/>
      <c r="AI5520" s="325"/>
      <c r="AJ5520" s="325"/>
    </row>
    <row r="5521" spans="3:36" s="13" customFormat="1" ht="11.25" customHeight="1">
      <c r="C5521" s="4"/>
      <c r="D5521" s="4"/>
      <c r="E5521" s="5"/>
      <c r="F5521" s="6"/>
      <c r="G5521" s="31"/>
      <c r="H5521" s="6"/>
      <c r="I5521" s="9"/>
      <c r="J5521" s="24"/>
      <c r="K5521" s="9"/>
      <c r="L5521" s="7"/>
      <c r="M5521" s="7"/>
      <c r="N5521" s="8"/>
      <c r="O5521" s="11"/>
      <c r="P5521" s="11"/>
      <c r="Q5521" s="8"/>
      <c r="R5521" s="6"/>
      <c r="S5521" s="3"/>
      <c r="T5521" s="3"/>
      <c r="U5521" s="7"/>
      <c r="V5521" s="436"/>
      <c r="W5521" s="6"/>
      <c r="X5521" s="8"/>
      <c r="Y5521" s="8"/>
      <c r="AH5521" s="325"/>
      <c r="AI5521" s="325"/>
      <c r="AJ5521" s="325"/>
    </row>
    <row r="5522" spans="3:36" s="13" customFormat="1" ht="11.25" customHeight="1">
      <c r="C5522" s="4"/>
      <c r="D5522" s="4"/>
      <c r="E5522" s="5"/>
      <c r="F5522" s="6"/>
      <c r="G5522" s="31"/>
      <c r="H5522" s="6"/>
      <c r="I5522" s="9"/>
      <c r="J5522" s="24"/>
      <c r="K5522" s="9"/>
      <c r="L5522" s="25"/>
      <c r="M5522" s="7"/>
      <c r="N5522" s="8"/>
      <c r="O5522" s="11"/>
      <c r="P5522" s="11"/>
      <c r="Q5522" s="8"/>
      <c r="R5522" s="6"/>
      <c r="S5522" s="3"/>
      <c r="T5522" s="3"/>
      <c r="U5522" s="7"/>
      <c r="V5522" s="436"/>
      <c r="W5522" s="6"/>
      <c r="X5522" s="8"/>
      <c r="Y5522" s="8"/>
      <c r="AH5522" s="325"/>
      <c r="AI5522" s="325"/>
      <c r="AJ5522" s="325"/>
    </row>
    <row r="5523" spans="3:36" s="13" customFormat="1" ht="11.25" customHeight="1">
      <c r="C5523" s="4"/>
      <c r="D5523" s="4"/>
      <c r="E5523" s="5"/>
      <c r="F5523" s="6"/>
      <c r="G5523" s="31"/>
      <c r="H5523" s="6"/>
      <c r="I5523" s="9"/>
      <c r="J5523" s="24"/>
      <c r="K5523" s="9"/>
      <c r="L5523" s="25"/>
      <c r="M5523" s="7"/>
      <c r="N5523" s="8"/>
      <c r="O5523" s="11"/>
      <c r="P5523" s="11"/>
      <c r="Q5523" s="8"/>
      <c r="R5523" s="6"/>
      <c r="S5523" s="3"/>
      <c r="T5523" s="3"/>
      <c r="U5523" s="7"/>
      <c r="V5523" s="436"/>
      <c r="W5523" s="6"/>
      <c r="X5523" s="8"/>
      <c r="Y5523" s="8"/>
      <c r="AH5523" s="325"/>
      <c r="AI5523" s="325"/>
      <c r="AJ5523" s="325"/>
    </row>
    <row r="5524" spans="3:36" s="13" customFormat="1" ht="11.25" customHeight="1">
      <c r="C5524" s="4"/>
      <c r="D5524" s="4"/>
      <c r="E5524" s="5"/>
      <c r="F5524" s="6"/>
      <c r="G5524" s="31"/>
      <c r="H5524" s="6"/>
      <c r="I5524" s="9"/>
      <c r="J5524" s="24"/>
      <c r="K5524" s="9"/>
      <c r="L5524" s="25"/>
      <c r="M5524" s="7"/>
      <c r="N5524" s="8"/>
      <c r="O5524" s="11"/>
      <c r="P5524" s="11"/>
      <c r="Q5524" s="8"/>
      <c r="R5524" s="6"/>
      <c r="S5524" s="3"/>
      <c r="T5524" s="3"/>
      <c r="U5524" s="7"/>
      <c r="V5524" s="436"/>
      <c r="W5524" s="6"/>
      <c r="X5524" s="8"/>
      <c r="Y5524" s="8"/>
      <c r="AH5524" s="325"/>
      <c r="AI5524" s="325"/>
      <c r="AJ5524" s="325"/>
    </row>
    <row r="5525" spans="3:36" s="13" customFormat="1" ht="11.25" customHeight="1">
      <c r="C5525" s="4"/>
      <c r="D5525" s="4"/>
      <c r="E5525" s="5"/>
      <c r="F5525" s="6"/>
      <c r="G5525" s="31"/>
      <c r="H5525" s="6"/>
      <c r="I5525" s="9"/>
      <c r="J5525" s="24"/>
      <c r="K5525" s="9"/>
      <c r="L5525" s="25"/>
      <c r="M5525" s="7"/>
      <c r="N5525" s="8"/>
      <c r="O5525" s="11"/>
      <c r="P5525" s="11"/>
      <c r="Q5525" s="8"/>
      <c r="R5525" s="6"/>
      <c r="S5525" s="3"/>
      <c r="T5525" s="3"/>
      <c r="U5525" s="7"/>
      <c r="V5525" s="436"/>
      <c r="W5525" s="6"/>
      <c r="X5525" s="8"/>
      <c r="Y5525" s="8"/>
      <c r="AH5525" s="325"/>
      <c r="AI5525" s="325"/>
      <c r="AJ5525" s="325"/>
    </row>
    <row r="5526" spans="3:36" s="13" customFormat="1" ht="11.25" customHeight="1">
      <c r="C5526" s="4"/>
      <c r="D5526" s="4"/>
      <c r="E5526" s="5"/>
      <c r="F5526" s="6"/>
      <c r="G5526" s="31"/>
      <c r="H5526" s="6"/>
      <c r="I5526" s="9"/>
      <c r="J5526" s="24"/>
      <c r="K5526" s="9"/>
      <c r="L5526" s="48"/>
      <c r="M5526" s="7"/>
      <c r="N5526" s="8"/>
      <c r="O5526" s="11"/>
      <c r="P5526" s="11"/>
      <c r="Q5526" s="8"/>
      <c r="R5526" s="6"/>
      <c r="S5526" s="3"/>
      <c r="T5526" s="3"/>
      <c r="U5526" s="7"/>
      <c r="V5526" s="436"/>
      <c r="W5526" s="6"/>
      <c r="X5526" s="8"/>
      <c r="Y5526" s="8"/>
      <c r="AH5526" s="325"/>
      <c r="AI5526" s="325"/>
      <c r="AJ5526" s="325"/>
    </row>
    <row r="5527" spans="3:36" s="13" customFormat="1" ht="11.25" customHeight="1">
      <c r="C5527" s="4"/>
      <c r="D5527" s="4"/>
      <c r="E5527" s="5"/>
      <c r="F5527" s="6"/>
      <c r="G5527" s="31"/>
      <c r="H5527" s="6"/>
      <c r="I5527" s="9"/>
      <c r="J5527" s="24"/>
      <c r="K5527" s="9"/>
      <c r="L5527" s="25"/>
      <c r="M5527" s="7"/>
      <c r="N5527" s="8"/>
      <c r="O5527" s="11"/>
      <c r="P5527" s="11"/>
      <c r="Q5527" s="8"/>
      <c r="R5527" s="6"/>
      <c r="S5527" s="3"/>
      <c r="T5527" s="3"/>
      <c r="U5527" s="7"/>
      <c r="V5527" s="436"/>
      <c r="W5527" s="6"/>
      <c r="X5527" s="8"/>
      <c r="Y5527" s="8"/>
      <c r="AH5527" s="325"/>
      <c r="AI5527" s="325"/>
      <c r="AJ5527" s="325"/>
    </row>
    <row r="5528" spans="3:36" s="13" customFormat="1" ht="11.25" customHeight="1">
      <c r="C5528" s="4"/>
      <c r="D5528" s="4"/>
      <c r="E5528" s="5"/>
      <c r="F5528" s="6"/>
      <c r="G5528" s="31"/>
      <c r="H5528" s="6"/>
      <c r="I5528" s="9"/>
      <c r="J5528" s="24"/>
      <c r="K5528" s="9"/>
      <c r="L5528" s="25"/>
      <c r="M5528" s="7"/>
      <c r="N5528" s="8"/>
      <c r="O5528" s="11"/>
      <c r="P5528" s="11"/>
      <c r="Q5528" s="8"/>
      <c r="R5528" s="6"/>
      <c r="S5528" s="3"/>
      <c r="T5528" s="3"/>
      <c r="U5528" s="7"/>
      <c r="V5528" s="436"/>
      <c r="W5528" s="6"/>
      <c r="X5528" s="8"/>
      <c r="Y5528" s="8"/>
      <c r="AH5528" s="325"/>
      <c r="AI5528" s="325"/>
      <c r="AJ5528" s="325"/>
    </row>
    <row r="5529" spans="3:36" s="13" customFormat="1" ht="11.25" customHeight="1">
      <c r="C5529" s="4"/>
      <c r="D5529" s="4"/>
      <c r="E5529" s="5"/>
      <c r="F5529" s="6"/>
      <c r="G5529" s="31"/>
      <c r="H5529" s="6"/>
      <c r="I5529" s="9"/>
      <c r="J5529" s="24"/>
      <c r="K5529" s="9"/>
      <c r="L5529" s="25"/>
      <c r="M5529" s="7"/>
      <c r="N5529" s="8"/>
      <c r="O5529" s="11"/>
      <c r="P5529" s="11"/>
      <c r="Q5529" s="8"/>
      <c r="R5529" s="6"/>
      <c r="S5529" s="3"/>
      <c r="T5529" s="3"/>
      <c r="U5529" s="7"/>
      <c r="V5529" s="436"/>
      <c r="W5529" s="6"/>
      <c r="X5529" s="8"/>
      <c r="Y5529" s="8"/>
      <c r="AH5529" s="325"/>
      <c r="AI5529" s="325"/>
      <c r="AJ5529" s="325"/>
    </row>
    <row r="5530" spans="3:36" s="13" customFormat="1" ht="11.25" customHeight="1">
      <c r="C5530" s="4"/>
      <c r="D5530" s="4"/>
      <c r="E5530" s="5"/>
      <c r="F5530" s="6"/>
      <c r="G5530" s="31"/>
      <c r="H5530" s="6"/>
      <c r="I5530" s="9"/>
      <c r="J5530" s="24"/>
      <c r="K5530" s="9"/>
      <c r="L5530" s="25"/>
      <c r="M5530" s="7"/>
      <c r="N5530" s="8"/>
      <c r="O5530" s="11"/>
      <c r="P5530" s="11"/>
      <c r="Q5530" s="8"/>
      <c r="R5530" s="6"/>
      <c r="S5530" s="3"/>
      <c r="T5530" s="3"/>
      <c r="U5530" s="7"/>
      <c r="V5530" s="436"/>
      <c r="W5530" s="6"/>
      <c r="X5530" s="8"/>
      <c r="Y5530" s="8"/>
      <c r="AH5530" s="325"/>
      <c r="AI5530" s="325"/>
      <c r="AJ5530" s="325"/>
    </row>
    <row r="5531" spans="3:36" s="13" customFormat="1" ht="11.25" customHeight="1">
      <c r="C5531" s="4"/>
      <c r="D5531" s="4"/>
      <c r="E5531" s="5"/>
      <c r="F5531" s="6"/>
      <c r="G5531" s="31"/>
      <c r="H5531" s="6"/>
      <c r="I5531" s="9"/>
      <c r="J5531" s="24"/>
      <c r="K5531" s="9"/>
      <c r="L5531" s="25"/>
      <c r="M5531" s="7"/>
      <c r="N5531" s="8"/>
      <c r="O5531" s="11"/>
      <c r="P5531" s="11"/>
      <c r="Q5531" s="8"/>
      <c r="R5531" s="6"/>
      <c r="S5531" s="3"/>
      <c r="T5531" s="3"/>
      <c r="U5531" s="7"/>
      <c r="V5531" s="436"/>
      <c r="W5531" s="6"/>
      <c r="X5531" s="8"/>
      <c r="Y5531" s="8"/>
      <c r="AH5531" s="325"/>
      <c r="AI5531" s="325"/>
      <c r="AJ5531" s="325"/>
    </row>
    <row r="5532" spans="3:36" s="13" customFormat="1" ht="11.25" customHeight="1">
      <c r="C5532" s="4"/>
      <c r="D5532" s="4"/>
      <c r="E5532" s="5"/>
      <c r="F5532" s="6"/>
      <c r="G5532" s="31"/>
      <c r="H5532" s="6"/>
      <c r="I5532" s="9"/>
      <c r="J5532" s="24"/>
      <c r="K5532" s="9"/>
      <c r="L5532" s="7"/>
      <c r="M5532" s="7"/>
      <c r="N5532" s="8"/>
      <c r="O5532" s="11"/>
      <c r="P5532" s="11"/>
      <c r="Q5532" s="8"/>
      <c r="R5532" s="6"/>
      <c r="S5532" s="3"/>
      <c r="T5532" s="3"/>
      <c r="U5532" s="7"/>
      <c r="V5532" s="436"/>
      <c r="W5532" s="6"/>
      <c r="X5532" s="8"/>
      <c r="Y5532" s="8"/>
      <c r="AH5532" s="325"/>
      <c r="AI5532" s="325"/>
      <c r="AJ5532" s="325"/>
    </row>
    <row r="5533" spans="3:36" s="13" customFormat="1" ht="11.25" customHeight="1">
      <c r="C5533" s="4"/>
      <c r="D5533" s="4"/>
      <c r="E5533" s="5"/>
      <c r="F5533" s="6"/>
      <c r="G5533" s="31"/>
      <c r="H5533" s="6"/>
      <c r="I5533" s="9"/>
      <c r="J5533" s="24"/>
      <c r="K5533" s="9"/>
      <c r="L5533" s="25"/>
      <c r="M5533" s="7"/>
      <c r="N5533" s="8"/>
      <c r="O5533" s="11"/>
      <c r="P5533" s="11"/>
      <c r="Q5533" s="8"/>
      <c r="R5533" s="6"/>
      <c r="S5533" s="3"/>
      <c r="T5533" s="3"/>
      <c r="U5533" s="7"/>
      <c r="V5533" s="436"/>
      <c r="W5533" s="6"/>
      <c r="X5533" s="8"/>
      <c r="Y5533" s="8"/>
      <c r="AH5533" s="325"/>
      <c r="AI5533" s="325"/>
      <c r="AJ5533" s="325"/>
    </row>
    <row r="5534" spans="3:36" s="13" customFormat="1" ht="11.25" customHeight="1">
      <c r="C5534" s="4"/>
      <c r="D5534" s="4"/>
      <c r="E5534" s="5"/>
      <c r="F5534" s="6"/>
      <c r="G5534" s="31"/>
      <c r="H5534" s="6"/>
      <c r="I5534" s="9"/>
      <c r="J5534" s="24"/>
      <c r="K5534" s="9"/>
      <c r="L5534" s="25"/>
      <c r="M5534" s="7"/>
      <c r="N5534" s="8"/>
      <c r="O5534" s="11"/>
      <c r="P5534" s="11"/>
      <c r="Q5534" s="8"/>
      <c r="R5534" s="6"/>
      <c r="S5534" s="3"/>
      <c r="T5534" s="3"/>
      <c r="U5534" s="7"/>
      <c r="V5534" s="436"/>
      <c r="W5534" s="6"/>
      <c r="X5534" s="8"/>
      <c r="Y5534" s="8"/>
      <c r="AH5534" s="325"/>
      <c r="AI5534" s="325"/>
      <c r="AJ5534" s="325"/>
    </row>
    <row r="5535" spans="3:36" s="13" customFormat="1" ht="11.25" customHeight="1">
      <c r="C5535" s="4"/>
      <c r="D5535" s="4"/>
      <c r="E5535" s="5"/>
      <c r="F5535" s="6"/>
      <c r="G5535" s="31"/>
      <c r="H5535" s="6"/>
      <c r="I5535" s="9"/>
      <c r="J5535" s="24"/>
      <c r="K5535" s="9"/>
      <c r="L5535" s="25"/>
      <c r="M5535" s="7"/>
      <c r="N5535" s="8"/>
      <c r="O5535" s="11"/>
      <c r="P5535" s="11"/>
      <c r="Q5535" s="8"/>
      <c r="R5535" s="6"/>
      <c r="S5535" s="3"/>
      <c r="T5535" s="3"/>
      <c r="U5535" s="7"/>
      <c r="V5535" s="436"/>
      <c r="W5535" s="6"/>
      <c r="X5535" s="8"/>
      <c r="Y5535" s="8"/>
      <c r="AH5535" s="325"/>
      <c r="AI5535" s="325"/>
      <c r="AJ5535" s="325"/>
    </row>
    <row r="5536" spans="3:36" s="13" customFormat="1" ht="11.25" customHeight="1">
      <c r="C5536" s="4"/>
      <c r="D5536" s="4"/>
      <c r="E5536" s="5"/>
      <c r="F5536" s="6"/>
      <c r="G5536" s="31"/>
      <c r="H5536" s="6"/>
      <c r="I5536" s="9"/>
      <c r="J5536" s="24"/>
      <c r="K5536" s="9"/>
      <c r="L5536" s="25"/>
      <c r="M5536" s="7"/>
      <c r="N5536" s="8"/>
      <c r="O5536" s="11"/>
      <c r="P5536" s="11"/>
      <c r="Q5536" s="8"/>
      <c r="R5536" s="6"/>
      <c r="S5536" s="3"/>
      <c r="T5536" s="3"/>
      <c r="U5536" s="7"/>
      <c r="V5536" s="436"/>
      <c r="W5536" s="6"/>
      <c r="X5536" s="8"/>
      <c r="Y5536" s="8"/>
      <c r="AH5536" s="325"/>
      <c r="AI5536" s="325"/>
      <c r="AJ5536" s="325"/>
    </row>
    <row r="5537" spans="3:36" s="13" customFormat="1" ht="11.25" customHeight="1">
      <c r="C5537" s="4"/>
      <c r="D5537" s="4"/>
      <c r="E5537" s="5"/>
      <c r="F5537" s="6"/>
      <c r="G5537" s="31"/>
      <c r="H5537" s="6"/>
      <c r="I5537" s="9"/>
      <c r="J5537" s="24"/>
      <c r="K5537" s="9"/>
      <c r="L5537" s="25"/>
      <c r="M5537" s="7"/>
      <c r="N5537" s="8"/>
      <c r="O5537" s="11"/>
      <c r="P5537" s="11"/>
      <c r="Q5537" s="8"/>
      <c r="R5537" s="6"/>
      <c r="S5537" s="3"/>
      <c r="T5537" s="3"/>
      <c r="U5537" s="7"/>
      <c r="V5537" s="436"/>
      <c r="W5537" s="6"/>
      <c r="X5537" s="8"/>
      <c r="Y5537" s="8"/>
      <c r="AH5537" s="325"/>
      <c r="AI5537" s="325"/>
      <c r="AJ5537" s="325"/>
    </row>
    <row r="5538" spans="3:36" s="13" customFormat="1" ht="11.25" customHeight="1">
      <c r="C5538" s="4"/>
      <c r="D5538" s="4"/>
      <c r="E5538" s="5"/>
      <c r="F5538" s="6"/>
      <c r="G5538" s="31"/>
      <c r="H5538" s="6"/>
      <c r="I5538" s="9"/>
      <c r="J5538" s="24"/>
      <c r="K5538" s="9"/>
      <c r="L5538" s="25"/>
      <c r="M5538" s="25"/>
      <c r="N5538" s="8"/>
      <c r="O5538" s="11"/>
      <c r="P5538" s="11"/>
      <c r="Q5538" s="8"/>
      <c r="R5538" s="6"/>
      <c r="S5538" s="3"/>
      <c r="T5538" s="3"/>
      <c r="U5538" s="7"/>
      <c r="V5538" s="436"/>
      <c r="W5538" s="6"/>
      <c r="X5538" s="8"/>
      <c r="Y5538" s="8"/>
      <c r="AH5538" s="325"/>
      <c r="AI5538" s="325"/>
      <c r="AJ5538" s="325"/>
    </row>
    <row r="5539" spans="3:36" s="13" customFormat="1" ht="11.25" customHeight="1">
      <c r="C5539" s="4"/>
      <c r="D5539" s="4"/>
      <c r="E5539" s="5"/>
      <c r="F5539" s="6"/>
      <c r="G5539" s="31"/>
      <c r="H5539" s="6"/>
      <c r="I5539" s="9"/>
      <c r="J5539" s="24"/>
      <c r="K5539" s="9"/>
      <c r="L5539" s="25"/>
      <c r="M5539" s="7"/>
      <c r="N5539" s="8"/>
      <c r="O5539" s="11"/>
      <c r="P5539" s="11"/>
      <c r="Q5539" s="8"/>
      <c r="R5539" s="6"/>
      <c r="S5539" s="3"/>
      <c r="T5539" s="3"/>
      <c r="U5539" s="7"/>
      <c r="V5539" s="436"/>
      <c r="W5539" s="6"/>
      <c r="X5539" s="8"/>
      <c r="Y5539" s="8"/>
      <c r="AH5539" s="325"/>
      <c r="AI5539" s="325"/>
      <c r="AJ5539" s="325"/>
    </row>
    <row r="5540" spans="3:36" s="13" customFormat="1" ht="11.25" customHeight="1">
      <c r="C5540" s="4"/>
      <c r="D5540" s="4"/>
      <c r="E5540" s="5"/>
      <c r="F5540" s="6"/>
      <c r="G5540" s="31"/>
      <c r="H5540" s="6"/>
      <c r="I5540" s="9"/>
      <c r="J5540" s="24"/>
      <c r="K5540" s="9"/>
      <c r="L5540" s="25"/>
      <c r="M5540" s="7"/>
      <c r="N5540" s="8"/>
      <c r="O5540" s="11"/>
      <c r="P5540" s="11"/>
      <c r="Q5540" s="8"/>
      <c r="R5540" s="6"/>
      <c r="S5540" s="3"/>
      <c r="T5540" s="3"/>
      <c r="U5540" s="7"/>
      <c r="V5540" s="436"/>
      <c r="W5540" s="6"/>
      <c r="X5540" s="8"/>
      <c r="Y5540" s="8"/>
      <c r="AH5540" s="325"/>
      <c r="AI5540" s="325"/>
      <c r="AJ5540" s="325"/>
    </row>
    <row r="5541" spans="3:36" s="13" customFormat="1" ht="11.25" customHeight="1">
      <c r="C5541" s="4"/>
      <c r="D5541" s="4"/>
      <c r="E5541" s="5"/>
      <c r="F5541" s="6"/>
      <c r="G5541" s="31"/>
      <c r="H5541" s="6"/>
      <c r="I5541" s="9"/>
      <c r="J5541" s="24"/>
      <c r="K5541" s="9"/>
      <c r="L5541" s="25"/>
      <c r="M5541" s="7"/>
      <c r="N5541" s="8"/>
      <c r="O5541" s="11"/>
      <c r="P5541" s="11"/>
      <c r="Q5541" s="8"/>
      <c r="R5541" s="6"/>
      <c r="S5541" s="3"/>
      <c r="T5541" s="3"/>
      <c r="U5541" s="7"/>
      <c r="V5541" s="436"/>
      <c r="W5541" s="6"/>
      <c r="X5541" s="8"/>
      <c r="Y5541" s="8"/>
      <c r="AH5541" s="325"/>
      <c r="AI5541" s="325"/>
      <c r="AJ5541" s="325"/>
    </row>
    <row r="5542" spans="3:36" s="13" customFormat="1" ht="11.25" customHeight="1">
      <c r="C5542" s="4"/>
      <c r="D5542" s="4"/>
      <c r="E5542" s="5"/>
      <c r="F5542" s="6"/>
      <c r="G5542" s="31"/>
      <c r="H5542" s="6"/>
      <c r="I5542" s="9"/>
      <c r="J5542" s="24"/>
      <c r="K5542" s="9"/>
      <c r="L5542" s="25"/>
      <c r="M5542" s="7"/>
      <c r="N5542" s="8"/>
      <c r="O5542" s="11"/>
      <c r="P5542" s="11"/>
      <c r="Q5542" s="8"/>
      <c r="R5542" s="6"/>
      <c r="S5542" s="3"/>
      <c r="T5542" s="3"/>
      <c r="U5542" s="7"/>
      <c r="V5542" s="436"/>
      <c r="W5542" s="6"/>
      <c r="X5542" s="8"/>
      <c r="Y5542" s="8"/>
      <c r="AH5542" s="325"/>
      <c r="AI5542" s="325"/>
      <c r="AJ5542" s="325"/>
    </row>
    <row r="5543" spans="3:36" s="13" customFormat="1" ht="11.25" customHeight="1">
      <c r="C5543" s="4"/>
      <c r="D5543" s="4"/>
      <c r="E5543" s="5"/>
      <c r="F5543" s="6"/>
      <c r="G5543" s="31"/>
      <c r="H5543" s="6"/>
      <c r="I5543" s="9"/>
      <c r="J5543" s="24"/>
      <c r="K5543" s="9"/>
      <c r="L5543" s="25"/>
      <c r="M5543" s="7"/>
      <c r="N5543" s="8"/>
      <c r="O5543" s="11"/>
      <c r="P5543" s="11"/>
      <c r="Q5543" s="8"/>
      <c r="R5543" s="6"/>
      <c r="S5543" s="3"/>
      <c r="T5543" s="3"/>
      <c r="U5543" s="7"/>
      <c r="V5543" s="436"/>
      <c r="W5543" s="6"/>
      <c r="X5543" s="8"/>
      <c r="Y5543" s="8"/>
      <c r="AH5543" s="325"/>
      <c r="AI5543" s="325"/>
      <c r="AJ5543" s="325"/>
    </row>
    <row r="5544" spans="3:36" s="13" customFormat="1" ht="11.25" customHeight="1">
      <c r="C5544" s="4"/>
      <c r="D5544" s="4"/>
      <c r="E5544" s="5"/>
      <c r="F5544" s="6"/>
      <c r="G5544" s="31"/>
      <c r="H5544" s="6"/>
      <c r="I5544" s="9"/>
      <c r="J5544" s="24"/>
      <c r="K5544" s="9"/>
      <c r="L5544" s="25"/>
      <c r="M5544" s="7"/>
      <c r="N5544" s="8"/>
      <c r="O5544" s="11"/>
      <c r="P5544" s="11"/>
      <c r="Q5544" s="8"/>
      <c r="R5544" s="6"/>
      <c r="S5544" s="3"/>
      <c r="T5544" s="3"/>
      <c r="U5544" s="7"/>
      <c r="V5544" s="436"/>
      <c r="W5544" s="6"/>
      <c r="X5544" s="8"/>
      <c r="Y5544" s="8"/>
      <c r="AH5544" s="325"/>
      <c r="AI5544" s="325"/>
      <c r="AJ5544" s="325"/>
    </row>
    <row r="5545" spans="3:36" s="13" customFormat="1" ht="11.25" customHeight="1">
      <c r="C5545" s="4"/>
      <c r="D5545" s="4"/>
      <c r="E5545" s="5"/>
      <c r="F5545" s="6"/>
      <c r="G5545" s="31"/>
      <c r="H5545" s="6"/>
      <c r="I5545" s="9"/>
      <c r="J5545" s="24"/>
      <c r="K5545" s="9"/>
      <c r="L5545" s="25"/>
      <c r="M5545" s="7"/>
      <c r="N5545" s="8"/>
      <c r="O5545" s="11"/>
      <c r="P5545" s="11"/>
      <c r="Q5545" s="8"/>
      <c r="R5545" s="6"/>
      <c r="S5545" s="3"/>
      <c r="T5545" s="3"/>
      <c r="U5545" s="7"/>
      <c r="V5545" s="436"/>
      <c r="W5545" s="6"/>
      <c r="X5545" s="8"/>
      <c r="Y5545" s="8"/>
      <c r="AH5545" s="325"/>
      <c r="AI5545" s="325"/>
      <c r="AJ5545" s="325"/>
    </row>
    <row r="5546" spans="3:36" s="13" customFormat="1" ht="11.25" customHeight="1">
      <c r="C5546" s="4"/>
      <c r="D5546" s="4"/>
      <c r="E5546" s="5"/>
      <c r="F5546" s="6"/>
      <c r="G5546" s="31"/>
      <c r="H5546" s="6"/>
      <c r="I5546" s="9"/>
      <c r="J5546" s="24"/>
      <c r="K5546" s="9"/>
      <c r="L5546" s="25"/>
      <c r="M5546" s="7"/>
      <c r="N5546" s="8"/>
      <c r="O5546" s="11"/>
      <c r="P5546" s="11"/>
      <c r="Q5546" s="8"/>
      <c r="R5546" s="6"/>
      <c r="S5546" s="3"/>
      <c r="T5546" s="3"/>
      <c r="U5546" s="7"/>
      <c r="V5546" s="436"/>
      <c r="W5546" s="6"/>
      <c r="X5546" s="8"/>
      <c r="Y5546" s="8"/>
      <c r="AH5546" s="325"/>
      <c r="AI5546" s="325"/>
      <c r="AJ5546" s="325"/>
    </row>
    <row r="5547" spans="3:36" s="13" customFormat="1" ht="11.25" customHeight="1">
      <c r="C5547" s="4"/>
      <c r="D5547" s="4"/>
      <c r="E5547" s="5"/>
      <c r="F5547" s="6"/>
      <c r="G5547" s="31"/>
      <c r="H5547" s="6"/>
      <c r="I5547" s="9"/>
      <c r="J5547" s="24"/>
      <c r="K5547" s="9"/>
      <c r="L5547" s="25"/>
      <c r="M5547" s="7"/>
      <c r="N5547" s="8"/>
      <c r="O5547" s="11"/>
      <c r="P5547" s="11"/>
      <c r="Q5547" s="8"/>
      <c r="R5547" s="6"/>
      <c r="S5547" s="3"/>
      <c r="T5547" s="3"/>
      <c r="U5547" s="7"/>
      <c r="V5547" s="436"/>
      <c r="W5547" s="6"/>
      <c r="X5547" s="8"/>
      <c r="Y5547" s="8"/>
      <c r="AH5547" s="325"/>
      <c r="AI5547" s="325"/>
      <c r="AJ5547" s="325"/>
    </row>
    <row r="5548" spans="3:36" s="13" customFormat="1" ht="11.25" customHeight="1">
      <c r="C5548" s="4"/>
      <c r="D5548" s="4"/>
      <c r="E5548" s="5"/>
      <c r="F5548" s="6"/>
      <c r="G5548" s="31"/>
      <c r="H5548" s="6"/>
      <c r="I5548" s="9"/>
      <c r="J5548" s="24"/>
      <c r="K5548" s="9"/>
      <c r="L5548" s="25"/>
      <c r="M5548" s="7"/>
      <c r="N5548" s="8"/>
      <c r="O5548" s="11"/>
      <c r="P5548" s="11"/>
      <c r="Q5548" s="8"/>
      <c r="R5548" s="6"/>
      <c r="S5548" s="3"/>
      <c r="T5548" s="3"/>
      <c r="U5548" s="7"/>
      <c r="V5548" s="436"/>
      <c r="W5548" s="6"/>
      <c r="X5548" s="8"/>
      <c r="Y5548" s="8"/>
      <c r="AH5548" s="325"/>
      <c r="AI5548" s="325"/>
      <c r="AJ5548" s="325"/>
    </row>
    <row r="5549" spans="3:36" s="13" customFormat="1" ht="11.25" customHeight="1">
      <c r="C5549" s="4"/>
      <c r="D5549" s="4"/>
      <c r="E5549" s="5"/>
      <c r="F5549" s="6"/>
      <c r="G5549" s="31"/>
      <c r="H5549" s="6"/>
      <c r="I5549" s="9"/>
      <c r="J5549" s="24"/>
      <c r="K5549" s="9"/>
      <c r="L5549" s="25"/>
      <c r="M5549" s="7"/>
      <c r="N5549" s="8"/>
      <c r="O5549" s="11"/>
      <c r="P5549" s="11"/>
      <c r="Q5549" s="8"/>
      <c r="R5549" s="6"/>
      <c r="S5549" s="3"/>
      <c r="T5549" s="3"/>
      <c r="U5549" s="7"/>
      <c r="V5549" s="436"/>
      <c r="W5549" s="6"/>
      <c r="X5549" s="8"/>
      <c r="Y5549" s="8"/>
      <c r="AH5549" s="325"/>
      <c r="AI5549" s="325"/>
      <c r="AJ5549" s="325"/>
    </row>
    <row r="5550" spans="3:36" s="13" customFormat="1" ht="11.25" customHeight="1">
      <c r="C5550" s="4"/>
      <c r="D5550" s="4"/>
      <c r="E5550" s="5"/>
      <c r="F5550" s="6"/>
      <c r="G5550" s="31"/>
      <c r="H5550" s="6"/>
      <c r="I5550" s="9"/>
      <c r="J5550" s="24"/>
      <c r="K5550" s="9"/>
      <c r="L5550" s="25"/>
      <c r="M5550" s="7"/>
      <c r="N5550" s="8"/>
      <c r="O5550" s="11"/>
      <c r="P5550" s="11"/>
      <c r="Q5550" s="8"/>
      <c r="R5550" s="6"/>
      <c r="S5550" s="3"/>
      <c r="T5550" s="3"/>
      <c r="U5550" s="7"/>
      <c r="V5550" s="436"/>
      <c r="W5550" s="6"/>
      <c r="X5550" s="8"/>
      <c r="Y5550" s="8"/>
      <c r="AH5550" s="325"/>
      <c r="AI5550" s="325"/>
      <c r="AJ5550" s="325"/>
    </row>
    <row r="5551" spans="3:36" s="13" customFormat="1" ht="11.25" customHeight="1">
      <c r="C5551" s="4"/>
      <c r="D5551" s="4"/>
      <c r="E5551" s="5"/>
      <c r="F5551" s="6"/>
      <c r="G5551" s="31"/>
      <c r="H5551" s="6"/>
      <c r="I5551" s="9"/>
      <c r="J5551" s="24"/>
      <c r="K5551" s="9"/>
      <c r="L5551" s="25"/>
      <c r="M5551" s="7"/>
      <c r="N5551" s="8"/>
      <c r="O5551" s="11"/>
      <c r="P5551" s="11"/>
      <c r="Q5551" s="8"/>
      <c r="R5551" s="6"/>
      <c r="S5551" s="3"/>
      <c r="T5551" s="3"/>
      <c r="U5551" s="7"/>
      <c r="V5551" s="436"/>
      <c r="W5551" s="6"/>
      <c r="X5551" s="8"/>
      <c r="Y5551" s="8"/>
      <c r="AH5551" s="325"/>
      <c r="AI5551" s="325"/>
      <c r="AJ5551" s="325"/>
    </row>
    <row r="5552" spans="3:36" s="13" customFormat="1" ht="11.25" customHeight="1">
      <c r="C5552" s="4"/>
      <c r="D5552" s="4"/>
      <c r="E5552" s="5"/>
      <c r="F5552" s="6"/>
      <c r="G5552" s="31"/>
      <c r="H5552" s="6"/>
      <c r="I5552" s="9"/>
      <c r="J5552" s="24"/>
      <c r="K5552" s="9"/>
      <c r="L5552" s="25"/>
      <c r="M5552" s="7"/>
      <c r="N5552" s="8"/>
      <c r="O5552" s="11"/>
      <c r="P5552" s="11"/>
      <c r="Q5552" s="8"/>
      <c r="R5552" s="6"/>
      <c r="S5552" s="3"/>
      <c r="T5552" s="3"/>
      <c r="U5552" s="7"/>
      <c r="V5552" s="436"/>
      <c r="W5552" s="6"/>
      <c r="X5552" s="8"/>
      <c r="Y5552" s="8"/>
      <c r="AH5552" s="325"/>
      <c r="AI5552" s="325"/>
      <c r="AJ5552" s="325"/>
    </row>
    <row r="5553" spans="3:36" s="13" customFormat="1" ht="11.25" customHeight="1">
      <c r="C5553" s="4"/>
      <c r="D5553" s="4"/>
      <c r="E5553" s="5"/>
      <c r="F5553" s="6"/>
      <c r="G5553" s="31"/>
      <c r="H5553" s="6"/>
      <c r="I5553" s="9"/>
      <c r="J5553" s="24"/>
      <c r="K5553" s="9"/>
      <c r="L5553" s="25"/>
      <c r="M5553" s="7"/>
      <c r="N5553" s="8"/>
      <c r="O5553" s="11"/>
      <c r="P5553" s="11"/>
      <c r="Q5553" s="8"/>
      <c r="R5553" s="6"/>
      <c r="S5553" s="3"/>
      <c r="T5553" s="3"/>
      <c r="U5553" s="7"/>
      <c r="V5553" s="436"/>
      <c r="W5553" s="6"/>
      <c r="X5553" s="8"/>
      <c r="Y5553" s="8"/>
      <c r="AH5553" s="325"/>
      <c r="AI5553" s="325"/>
      <c r="AJ5553" s="325"/>
    </row>
    <row r="5554" spans="3:36" s="13" customFormat="1" ht="11.25" customHeight="1">
      <c r="C5554" s="4"/>
      <c r="D5554" s="4"/>
      <c r="E5554" s="5"/>
      <c r="F5554" s="6"/>
      <c r="G5554" s="31"/>
      <c r="H5554" s="6"/>
      <c r="I5554" s="9"/>
      <c r="J5554" s="24"/>
      <c r="K5554" s="9"/>
      <c r="L5554" s="25"/>
      <c r="M5554" s="7"/>
      <c r="N5554" s="8"/>
      <c r="O5554" s="11"/>
      <c r="P5554" s="11"/>
      <c r="Q5554" s="8"/>
      <c r="R5554" s="6"/>
      <c r="S5554" s="3"/>
      <c r="T5554" s="3"/>
      <c r="U5554" s="7"/>
      <c r="V5554" s="436"/>
      <c r="W5554" s="6"/>
      <c r="X5554" s="8"/>
      <c r="Y5554" s="8"/>
      <c r="AH5554" s="325"/>
      <c r="AI5554" s="325"/>
      <c r="AJ5554" s="325"/>
    </row>
    <row r="5555" spans="3:36" s="13" customFormat="1" ht="11.25" customHeight="1">
      <c r="C5555" s="4"/>
      <c r="D5555" s="4"/>
      <c r="E5555" s="5"/>
      <c r="F5555" s="6"/>
      <c r="G5555" s="31"/>
      <c r="H5555" s="6"/>
      <c r="I5555" s="9"/>
      <c r="J5555" s="24"/>
      <c r="K5555" s="9"/>
      <c r="L5555" s="25"/>
      <c r="M5555" s="7"/>
      <c r="N5555" s="8"/>
      <c r="O5555" s="11"/>
      <c r="P5555" s="11"/>
      <c r="Q5555" s="8"/>
      <c r="R5555" s="6"/>
      <c r="S5555" s="3"/>
      <c r="T5555" s="3"/>
      <c r="U5555" s="7"/>
      <c r="V5555" s="436"/>
      <c r="W5555" s="6"/>
      <c r="X5555" s="8"/>
      <c r="Y5555" s="8"/>
      <c r="AH5555" s="325"/>
      <c r="AI5555" s="325"/>
      <c r="AJ5555" s="325"/>
    </row>
    <row r="5556" spans="3:36" s="13" customFormat="1" ht="11.25" customHeight="1">
      <c r="C5556" s="4"/>
      <c r="D5556" s="4"/>
      <c r="E5556" s="5"/>
      <c r="F5556" s="6"/>
      <c r="G5556" s="31"/>
      <c r="H5556" s="6"/>
      <c r="I5556" s="9"/>
      <c r="J5556" s="24"/>
      <c r="K5556" s="9"/>
      <c r="L5556" s="25"/>
      <c r="M5556" s="7"/>
      <c r="N5556" s="8"/>
      <c r="O5556" s="11"/>
      <c r="P5556" s="11"/>
      <c r="Q5556" s="8"/>
      <c r="R5556" s="6"/>
      <c r="S5556" s="3"/>
      <c r="T5556" s="3"/>
      <c r="U5556" s="7"/>
      <c r="V5556" s="436"/>
      <c r="W5556" s="6"/>
      <c r="X5556" s="8"/>
      <c r="Y5556" s="8"/>
      <c r="AH5556" s="325"/>
      <c r="AI5556" s="325"/>
      <c r="AJ5556" s="325"/>
    </row>
    <row r="5557" spans="3:36" s="13" customFormat="1" ht="11.25" customHeight="1">
      <c r="C5557" s="4"/>
      <c r="D5557" s="4"/>
      <c r="E5557" s="5"/>
      <c r="F5557" s="6"/>
      <c r="G5557" s="31"/>
      <c r="H5557" s="9"/>
      <c r="I5557" s="9"/>
      <c r="J5557" s="24"/>
      <c r="K5557" s="9"/>
      <c r="L5557" s="7"/>
      <c r="M5557" s="7"/>
      <c r="N5557" s="8"/>
      <c r="O5557" s="11"/>
      <c r="P5557" s="11"/>
      <c r="Q5557" s="8"/>
      <c r="R5557" s="6"/>
      <c r="S5557" s="3"/>
      <c r="T5557" s="3"/>
      <c r="U5557" s="7"/>
      <c r="V5557" s="436"/>
      <c r="W5557" s="6"/>
      <c r="X5557" s="8"/>
      <c r="Y5557" s="8"/>
      <c r="AH5557" s="325"/>
      <c r="AI5557" s="325"/>
      <c r="AJ5557" s="325"/>
    </row>
    <row r="5558" spans="3:36" s="13" customFormat="1" ht="11.25" customHeight="1">
      <c r="C5558" s="4"/>
      <c r="D5558" s="4"/>
      <c r="E5558" s="5"/>
      <c r="F5558" s="6"/>
      <c r="G5558" s="31"/>
      <c r="H5558" s="9"/>
      <c r="I5558" s="9"/>
      <c r="J5558" s="24"/>
      <c r="K5558" s="9"/>
      <c r="L5558" s="7"/>
      <c r="M5558" s="7"/>
      <c r="N5558" s="8"/>
      <c r="O5558" s="11"/>
      <c r="P5558" s="11"/>
      <c r="Q5558" s="8"/>
      <c r="R5558" s="6"/>
      <c r="S5558" s="3"/>
      <c r="T5558" s="3"/>
      <c r="U5558" s="7"/>
      <c r="V5558" s="436"/>
      <c r="W5558" s="6"/>
      <c r="X5558" s="8"/>
      <c r="Y5558" s="8"/>
      <c r="AH5558" s="325"/>
      <c r="AI5558" s="325"/>
      <c r="AJ5558" s="325"/>
    </row>
    <row r="5559" spans="3:36" s="13" customFormat="1" ht="11.25" customHeight="1">
      <c r="C5559" s="4"/>
      <c r="D5559" s="4"/>
      <c r="E5559" s="5"/>
      <c r="F5559" s="6"/>
      <c r="G5559" s="31"/>
      <c r="H5559" s="6"/>
      <c r="I5559" s="9"/>
      <c r="J5559" s="24"/>
      <c r="K5559" s="9"/>
      <c r="L5559" s="25"/>
      <c r="M5559" s="7"/>
      <c r="N5559" s="8"/>
      <c r="O5559" s="11"/>
      <c r="P5559" s="11"/>
      <c r="Q5559" s="8"/>
      <c r="R5559" s="6"/>
      <c r="S5559" s="3"/>
      <c r="T5559" s="3"/>
      <c r="U5559" s="7"/>
      <c r="V5559" s="436"/>
      <c r="W5559" s="6"/>
      <c r="X5559" s="8"/>
      <c r="Y5559" s="8"/>
      <c r="AH5559" s="325"/>
      <c r="AI5559" s="325"/>
      <c r="AJ5559" s="325"/>
    </row>
    <row r="5560" spans="3:36" s="13" customFormat="1" ht="11.25" customHeight="1">
      <c r="C5560" s="4"/>
      <c r="D5560" s="4"/>
      <c r="E5560" s="5"/>
      <c r="F5560" s="6"/>
      <c r="G5560" s="31"/>
      <c r="H5560" s="6"/>
      <c r="I5560" s="9"/>
      <c r="J5560" s="24"/>
      <c r="K5560" s="9"/>
      <c r="L5560" s="25"/>
      <c r="M5560" s="7"/>
      <c r="N5560" s="8"/>
      <c r="O5560" s="11"/>
      <c r="P5560" s="11"/>
      <c r="Q5560" s="8"/>
      <c r="R5560" s="6"/>
      <c r="S5560" s="3"/>
      <c r="T5560" s="3"/>
      <c r="U5560" s="7"/>
      <c r="V5560" s="436"/>
      <c r="W5560" s="6"/>
      <c r="X5560" s="8"/>
      <c r="Y5560" s="8"/>
      <c r="AH5560" s="325"/>
      <c r="AI5560" s="325"/>
      <c r="AJ5560" s="325"/>
    </row>
    <row r="5561" spans="3:36" s="13" customFormat="1" ht="11.25" customHeight="1">
      <c r="C5561" s="4"/>
      <c r="D5561" s="4"/>
      <c r="E5561" s="5"/>
      <c r="F5561" s="6"/>
      <c r="G5561" s="31"/>
      <c r="H5561" s="6"/>
      <c r="I5561" s="9"/>
      <c r="J5561" s="24"/>
      <c r="K5561" s="9"/>
      <c r="L5561" s="25"/>
      <c r="M5561" s="7"/>
      <c r="N5561" s="8"/>
      <c r="O5561" s="11"/>
      <c r="P5561" s="11"/>
      <c r="Q5561" s="8"/>
      <c r="R5561" s="6"/>
      <c r="S5561" s="3"/>
      <c r="T5561" s="3"/>
      <c r="U5561" s="7"/>
      <c r="V5561" s="436"/>
      <c r="W5561" s="6"/>
      <c r="X5561" s="8"/>
      <c r="Y5561" s="8"/>
      <c r="AH5561" s="325"/>
      <c r="AI5561" s="325"/>
      <c r="AJ5561" s="325"/>
    </row>
    <row r="5562" spans="3:36" s="13" customFormat="1" ht="11.25" customHeight="1">
      <c r="C5562" s="4"/>
      <c r="D5562" s="4"/>
      <c r="E5562" s="5"/>
      <c r="F5562" s="6"/>
      <c r="G5562" s="31"/>
      <c r="H5562" s="6"/>
      <c r="I5562" s="9"/>
      <c r="J5562" s="24"/>
      <c r="K5562" s="9"/>
      <c r="L5562" s="25"/>
      <c r="M5562" s="7"/>
      <c r="N5562" s="8"/>
      <c r="O5562" s="11"/>
      <c r="P5562" s="11"/>
      <c r="Q5562" s="8"/>
      <c r="R5562" s="6"/>
      <c r="S5562" s="3"/>
      <c r="T5562" s="3"/>
      <c r="U5562" s="7"/>
      <c r="V5562" s="436"/>
      <c r="W5562" s="6"/>
      <c r="X5562" s="8"/>
      <c r="Y5562" s="8"/>
      <c r="AH5562" s="325"/>
      <c r="AI5562" s="325"/>
      <c r="AJ5562" s="325"/>
    </row>
    <row r="5563" spans="3:36" s="13" customFormat="1" ht="11.25" customHeight="1">
      <c r="C5563" s="4"/>
      <c r="D5563" s="4"/>
      <c r="E5563" s="5"/>
      <c r="F5563" s="6"/>
      <c r="G5563" s="31"/>
      <c r="H5563" s="6"/>
      <c r="I5563" s="9"/>
      <c r="J5563" s="24"/>
      <c r="K5563" s="9"/>
      <c r="L5563" s="25"/>
      <c r="M5563" s="7"/>
      <c r="N5563" s="8"/>
      <c r="O5563" s="11"/>
      <c r="P5563" s="11"/>
      <c r="Q5563" s="8"/>
      <c r="R5563" s="6"/>
      <c r="S5563" s="3"/>
      <c r="T5563" s="3"/>
      <c r="U5563" s="7"/>
      <c r="V5563" s="436"/>
      <c r="W5563" s="6"/>
      <c r="X5563" s="8"/>
      <c r="Y5563" s="8"/>
      <c r="AH5563" s="325"/>
      <c r="AI5563" s="325"/>
      <c r="AJ5563" s="325"/>
    </row>
    <row r="5564" spans="3:36" s="13" customFormat="1" ht="11.25" customHeight="1">
      <c r="C5564" s="4"/>
      <c r="D5564" s="4"/>
      <c r="E5564" s="5"/>
      <c r="F5564" s="6"/>
      <c r="G5564" s="31"/>
      <c r="H5564" s="6"/>
      <c r="I5564" s="9"/>
      <c r="J5564" s="24"/>
      <c r="K5564" s="9"/>
      <c r="L5564" s="25"/>
      <c r="M5564" s="7"/>
      <c r="N5564" s="8"/>
      <c r="O5564" s="11"/>
      <c r="P5564" s="11"/>
      <c r="Q5564" s="8"/>
      <c r="R5564" s="6"/>
      <c r="S5564" s="3"/>
      <c r="T5564" s="3"/>
      <c r="U5564" s="7"/>
      <c r="V5564" s="436"/>
      <c r="W5564" s="6"/>
      <c r="X5564" s="8"/>
      <c r="Y5564" s="8"/>
      <c r="AH5564" s="325"/>
      <c r="AI5564" s="325"/>
      <c r="AJ5564" s="325"/>
    </row>
    <row r="5565" spans="3:36" s="13" customFormat="1" ht="11.25" customHeight="1">
      <c r="C5565" s="4"/>
      <c r="D5565" s="4"/>
      <c r="E5565" s="5"/>
      <c r="F5565" s="6"/>
      <c r="G5565" s="31"/>
      <c r="H5565" s="6"/>
      <c r="I5565" s="9"/>
      <c r="J5565" s="24"/>
      <c r="K5565" s="9"/>
      <c r="L5565" s="25"/>
      <c r="M5565" s="7"/>
      <c r="N5565" s="8"/>
      <c r="O5565" s="11"/>
      <c r="P5565" s="11"/>
      <c r="Q5565" s="8"/>
      <c r="R5565" s="6"/>
      <c r="S5565" s="3"/>
      <c r="T5565" s="3"/>
      <c r="U5565" s="7"/>
      <c r="V5565" s="436"/>
      <c r="W5565" s="6"/>
      <c r="X5565" s="8"/>
      <c r="Y5565" s="8"/>
      <c r="AH5565" s="325"/>
      <c r="AI5565" s="325"/>
      <c r="AJ5565" s="325"/>
    </row>
    <row r="5566" spans="3:36" s="13" customFormat="1" ht="11.25" customHeight="1">
      <c r="C5566" s="4"/>
      <c r="D5566" s="4"/>
      <c r="E5566" s="5"/>
      <c r="F5566" s="6"/>
      <c r="G5566" s="31"/>
      <c r="H5566" s="6"/>
      <c r="I5566" s="9"/>
      <c r="J5566" s="24"/>
      <c r="K5566" s="9"/>
      <c r="L5566" s="25"/>
      <c r="M5566" s="7"/>
      <c r="N5566" s="8"/>
      <c r="O5566" s="11"/>
      <c r="P5566" s="11"/>
      <c r="Q5566" s="8"/>
      <c r="R5566" s="6"/>
      <c r="S5566" s="3"/>
      <c r="T5566" s="3"/>
      <c r="U5566" s="7"/>
      <c r="V5566" s="436"/>
      <c r="W5566" s="6"/>
      <c r="X5566" s="8"/>
      <c r="Y5566" s="8"/>
      <c r="AH5566" s="325"/>
      <c r="AI5566" s="325"/>
      <c r="AJ5566" s="325"/>
    </row>
    <row r="5567" spans="3:36" s="13" customFormat="1" ht="11.25" customHeight="1">
      <c r="C5567" s="4"/>
      <c r="D5567" s="4"/>
      <c r="E5567" s="5"/>
      <c r="F5567" s="6"/>
      <c r="G5567" s="31"/>
      <c r="H5567" s="6"/>
      <c r="I5567" s="9"/>
      <c r="J5567" s="24"/>
      <c r="K5567" s="9"/>
      <c r="L5567" s="25"/>
      <c r="M5567" s="7"/>
      <c r="N5567" s="8"/>
      <c r="O5567" s="11"/>
      <c r="P5567" s="11"/>
      <c r="Q5567" s="8"/>
      <c r="R5567" s="6"/>
      <c r="S5567" s="3"/>
      <c r="T5567" s="3"/>
      <c r="U5567" s="7"/>
      <c r="V5567" s="436"/>
      <c r="W5567" s="6"/>
      <c r="X5567" s="8"/>
      <c r="Y5567" s="8"/>
      <c r="AH5567" s="325"/>
      <c r="AI5567" s="325"/>
      <c r="AJ5567" s="325"/>
    </row>
    <row r="5568" spans="3:36" s="13" customFormat="1" ht="11.25" customHeight="1">
      <c r="C5568" s="4"/>
      <c r="D5568" s="4"/>
      <c r="E5568" s="5"/>
      <c r="F5568" s="6"/>
      <c r="G5568" s="31"/>
      <c r="H5568" s="6"/>
      <c r="I5568" s="9"/>
      <c r="J5568" s="24"/>
      <c r="K5568" s="9"/>
      <c r="L5568" s="25"/>
      <c r="M5568" s="7"/>
      <c r="N5568" s="8"/>
      <c r="O5568" s="11"/>
      <c r="P5568" s="11"/>
      <c r="Q5568" s="8"/>
      <c r="R5568" s="6"/>
      <c r="S5568" s="3"/>
      <c r="T5568" s="3"/>
      <c r="U5568" s="7"/>
      <c r="V5568" s="436"/>
      <c r="W5568" s="6"/>
      <c r="X5568" s="8"/>
      <c r="Y5568" s="8"/>
      <c r="AH5568" s="325"/>
      <c r="AI5568" s="325"/>
      <c r="AJ5568" s="325"/>
    </row>
    <row r="5569" spans="3:36" s="13" customFormat="1" ht="11.25" customHeight="1">
      <c r="C5569" s="4"/>
      <c r="D5569" s="4"/>
      <c r="E5569" s="5"/>
      <c r="F5569" s="6"/>
      <c r="G5569" s="31"/>
      <c r="H5569" s="6"/>
      <c r="I5569" s="9"/>
      <c r="J5569" s="24"/>
      <c r="K5569" s="9"/>
      <c r="L5569" s="25"/>
      <c r="M5569" s="7"/>
      <c r="N5569" s="8"/>
      <c r="O5569" s="11"/>
      <c r="P5569" s="11"/>
      <c r="Q5569" s="8"/>
      <c r="R5569" s="6"/>
      <c r="S5569" s="3"/>
      <c r="T5569" s="3"/>
      <c r="U5569" s="7"/>
      <c r="V5569" s="436"/>
      <c r="W5569" s="6"/>
      <c r="X5569" s="8"/>
      <c r="Y5569" s="8"/>
      <c r="AH5569" s="325"/>
      <c r="AI5569" s="325"/>
      <c r="AJ5569" s="325"/>
    </row>
    <row r="5570" spans="3:36" s="13" customFormat="1" ht="11.25" customHeight="1">
      <c r="C5570" s="4"/>
      <c r="D5570" s="4"/>
      <c r="E5570" s="5"/>
      <c r="F5570" s="6"/>
      <c r="G5570" s="31"/>
      <c r="H5570" s="6"/>
      <c r="I5570" s="9"/>
      <c r="J5570" s="24"/>
      <c r="K5570" s="9"/>
      <c r="L5570" s="25"/>
      <c r="M5570" s="7"/>
      <c r="N5570" s="8"/>
      <c r="O5570" s="11"/>
      <c r="P5570" s="11"/>
      <c r="Q5570" s="8"/>
      <c r="R5570" s="6"/>
      <c r="S5570" s="3"/>
      <c r="T5570" s="3"/>
      <c r="U5570" s="7"/>
      <c r="V5570" s="436"/>
      <c r="W5570" s="6"/>
      <c r="X5570" s="8"/>
      <c r="Y5570" s="8"/>
      <c r="AH5570" s="325"/>
      <c r="AI5570" s="325"/>
      <c r="AJ5570" s="325"/>
    </row>
    <row r="5571" spans="3:36" s="13" customFormat="1" ht="11.25" customHeight="1">
      <c r="C5571" s="4"/>
      <c r="D5571" s="4"/>
      <c r="E5571" s="5"/>
      <c r="F5571" s="6"/>
      <c r="G5571" s="31"/>
      <c r="H5571" s="6"/>
      <c r="I5571" s="9"/>
      <c r="J5571" s="24"/>
      <c r="K5571" s="9"/>
      <c r="L5571" s="25"/>
      <c r="M5571" s="7"/>
      <c r="N5571" s="8"/>
      <c r="O5571" s="11"/>
      <c r="P5571" s="11"/>
      <c r="Q5571" s="8"/>
      <c r="R5571" s="6"/>
      <c r="S5571" s="3"/>
      <c r="T5571" s="3"/>
      <c r="U5571" s="7"/>
      <c r="V5571" s="436"/>
      <c r="W5571" s="6"/>
      <c r="X5571" s="8"/>
      <c r="Y5571" s="8"/>
      <c r="AH5571" s="325"/>
      <c r="AI5571" s="325"/>
      <c r="AJ5571" s="325"/>
    </row>
    <row r="5572" spans="3:36" s="13" customFormat="1" ht="11.25" customHeight="1">
      <c r="C5572" s="4"/>
      <c r="D5572" s="4"/>
      <c r="E5572" s="5"/>
      <c r="F5572" s="6"/>
      <c r="G5572" s="31"/>
      <c r="H5572" s="6"/>
      <c r="I5572" s="9"/>
      <c r="J5572" s="24"/>
      <c r="K5572" s="9"/>
      <c r="L5572" s="25"/>
      <c r="M5572" s="7"/>
      <c r="N5572" s="8"/>
      <c r="O5572" s="11"/>
      <c r="P5572" s="11"/>
      <c r="Q5572" s="8"/>
      <c r="R5572" s="6"/>
      <c r="S5572" s="3"/>
      <c r="T5572" s="3"/>
      <c r="U5572" s="7"/>
      <c r="V5572" s="436"/>
      <c r="W5572" s="6"/>
      <c r="X5572" s="8"/>
      <c r="Y5572" s="8"/>
      <c r="AH5572" s="325"/>
      <c r="AI5572" s="325"/>
      <c r="AJ5572" s="325"/>
    </row>
    <row r="5573" spans="3:36" s="13" customFormat="1" ht="11.25" customHeight="1">
      <c r="C5573" s="4"/>
      <c r="D5573" s="4"/>
      <c r="E5573" s="5"/>
      <c r="F5573" s="6"/>
      <c r="G5573" s="31"/>
      <c r="H5573" s="6"/>
      <c r="I5573" s="9"/>
      <c r="J5573" s="24"/>
      <c r="K5573" s="9"/>
      <c r="L5573" s="25"/>
      <c r="M5573" s="7"/>
      <c r="N5573" s="8"/>
      <c r="O5573" s="11"/>
      <c r="P5573" s="11"/>
      <c r="Q5573" s="8"/>
      <c r="R5573" s="6"/>
      <c r="S5573" s="3"/>
      <c r="T5573" s="3"/>
      <c r="U5573" s="7"/>
      <c r="V5573" s="436"/>
      <c r="W5573" s="6"/>
      <c r="X5573" s="8"/>
      <c r="Y5573" s="8"/>
      <c r="AH5573" s="325"/>
      <c r="AI5573" s="325"/>
      <c r="AJ5573" s="325"/>
    </row>
    <row r="5574" spans="3:36" s="13" customFormat="1" ht="11.25" customHeight="1">
      <c r="C5574" s="4"/>
      <c r="D5574" s="4"/>
      <c r="E5574" s="5"/>
      <c r="F5574" s="6"/>
      <c r="G5574" s="31"/>
      <c r="H5574" s="6"/>
      <c r="I5574" s="9"/>
      <c r="J5574" s="24"/>
      <c r="K5574" s="9"/>
      <c r="L5574" s="25"/>
      <c r="M5574" s="7"/>
      <c r="N5574" s="8"/>
      <c r="O5574" s="11"/>
      <c r="P5574" s="11"/>
      <c r="Q5574" s="8"/>
      <c r="R5574" s="6"/>
      <c r="S5574" s="3"/>
      <c r="T5574" s="3"/>
      <c r="U5574" s="7"/>
      <c r="V5574" s="436"/>
      <c r="W5574" s="6"/>
      <c r="X5574" s="8"/>
      <c r="Y5574" s="8"/>
      <c r="AH5574" s="325"/>
      <c r="AI5574" s="325"/>
      <c r="AJ5574" s="325"/>
    </row>
    <row r="5575" spans="3:36" s="13" customFormat="1" ht="11.25" customHeight="1">
      <c r="C5575" s="4"/>
      <c r="D5575" s="4"/>
      <c r="E5575" s="5"/>
      <c r="F5575" s="6"/>
      <c r="G5575" s="31"/>
      <c r="H5575" s="6"/>
      <c r="I5575" s="9"/>
      <c r="J5575" s="24"/>
      <c r="K5575" s="9"/>
      <c r="L5575" s="25"/>
      <c r="M5575" s="7"/>
      <c r="N5575" s="8"/>
      <c r="O5575" s="11"/>
      <c r="P5575" s="11"/>
      <c r="Q5575" s="8"/>
      <c r="R5575" s="6"/>
      <c r="S5575" s="3"/>
      <c r="T5575" s="3"/>
      <c r="U5575" s="7"/>
      <c r="V5575" s="436"/>
      <c r="W5575" s="6"/>
      <c r="X5575" s="8"/>
      <c r="Y5575" s="8"/>
      <c r="AH5575" s="325"/>
      <c r="AI5575" s="325"/>
      <c r="AJ5575" s="325"/>
    </row>
    <row r="5576" spans="3:36" s="13" customFormat="1" ht="11.25" customHeight="1">
      <c r="C5576" s="4"/>
      <c r="D5576" s="4"/>
      <c r="E5576" s="5"/>
      <c r="F5576" s="6"/>
      <c r="G5576" s="31"/>
      <c r="H5576" s="6"/>
      <c r="I5576" s="9"/>
      <c r="J5576" s="24"/>
      <c r="K5576" s="9"/>
      <c r="L5576" s="7"/>
      <c r="M5576" s="7"/>
      <c r="N5576" s="8"/>
      <c r="O5576" s="11"/>
      <c r="P5576" s="11"/>
      <c r="Q5576" s="8"/>
      <c r="R5576" s="6"/>
      <c r="S5576" s="3"/>
      <c r="T5576" s="3"/>
      <c r="U5576" s="7"/>
      <c r="V5576" s="436"/>
      <c r="W5576" s="6"/>
      <c r="X5576" s="8"/>
      <c r="Y5576" s="8"/>
      <c r="AH5576" s="325"/>
      <c r="AI5576" s="325"/>
      <c r="AJ5576" s="325"/>
    </row>
    <row r="5577" spans="3:36" s="13" customFormat="1" ht="11.25" customHeight="1">
      <c r="C5577" s="4"/>
      <c r="D5577" s="4"/>
      <c r="E5577" s="5"/>
      <c r="F5577" s="6"/>
      <c r="G5577" s="31"/>
      <c r="H5577" s="6"/>
      <c r="I5577" s="9"/>
      <c r="J5577" s="24"/>
      <c r="K5577" s="9"/>
      <c r="L5577" s="7"/>
      <c r="M5577" s="7"/>
      <c r="N5577" s="8"/>
      <c r="O5577" s="11"/>
      <c r="P5577" s="11"/>
      <c r="Q5577" s="8"/>
      <c r="R5577" s="6"/>
      <c r="S5577" s="3"/>
      <c r="T5577" s="3"/>
      <c r="U5577" s="7"/>
      <c r="V5577" s="436"/>
      <c r="W5577" s="6"/>
      <c r="X5577" s="8"/>
      <c r="Y5577" s="8"/>
      <c r="AH5577" s="325"/>
      <c r="AI5577" s="325"/>
      <c r="AJ5577" s="325"/>
    </row>
    <row r="5578" spans="3:36" s="13" customFormat="1" ht="11.25" customHeight="1">
      <c r="C5578" s="4"/>
      <c r="D5578" s="4"/>
      <c r="E5578" s="5"/>
      <c r="F5578" s="6"/>
      <c r="G5578" s="31"/>
      <c r="H5578" s="6"/>
      <c r="I5578" s="9"/>
      <c r="J5578" s="24"/>
      <c r="K5578" s="9"/>
      <c r="L5578" s="25"/>
      <c r="M5578" s="7"/>
      <c r="N5578" s="8"/>
      <c r="O5578" s="11"/>
      <c r="P5578" s="11"/>
      <c r="Q5578" s="8"/>
      <c r="R5578" s="6"/>
      <c r="S5578" s="3"/>
      <c r="T5578" s="3"/>
      <c r="U5578" s="7"/>
      <c r="V5578" s="436"/>
      <c r="W5578" s="6"/>
      <c r="X5578" s="8"/>
      <c r="Y5578" s="8"/>
      <c r="AH5578" s="325"/>
      <c r="AI5578" s="325"/>
      <c r="AJ5578" s="325"/>
    </row>
    <row r="5579" spans="3:36" s="13" customFormat="1" ht="11.25" customHeight="1">
      <c r="C5579" s="4"/>
      <c r="D5579" s="4"/>
      <c r="E5579" s="5"/>
      <c r="F5579" s="6"/>
      <c r="G5579" s="31"/>
      <c r="H5579" s="6"/>
      <c r="I5579" s="9"/>
      <c r="J5579" s="24"/>
      <c r="K5579" s="9"/>
      <c r="L5579" s="25"/>
      <c r="M5579" s="7"/>
      <c r="N5579" s="8"/>
      <c r="O5579" s="11"/>
      <c r="P5579" s="11"/>
      <c r="Q5579" s="8"/>
      <c r="R5579" s="6"/>
      <c r="S5579" s="3"/>
      <c r="T5579" s="3"/>
      <c r="U5579" s="7"/>
      <c r="V5579" s="436"/>
      <c r="W5579" s="6"/>
      <c r="X5579" s="8"/>
      <c r="Y5579" s="8"/>
      <c r="AH5579" s="325"/>
      <c r="AI5579" s="325"/>
      <c r="AJ5579" s="325"/>
    </row>
    <row r="5580" spans="3:36" s="13" customFormat="1" ht="11.25" customHeight="1">
      <c r="C5580" s="4"/>
      <c r="D5580" s="4"/>
      <c r="E5580" s="5"/>
      <c r="F5580" s="6"/>
      <c r="G5580" s="31"/>
      <c r="H5580" s="6"/>
      <c r="I5580" s="9"/>
      <c r="J5580" s="24"/>
      <c r="K5580" s="9"/>
      <c r="L5580" s="25"/>
      <c r="M5580" s="7"/>
      <c r="N5580" s="8"/>
      <c r="O5580" s="11"/>
      <c r="P5580" s="11"/>
      <c r="Q5580" s="6"/>
      <c r="R5580" s="6"/>
      <c r="S5580" s="3"/>
      <c r="T5580" s="3"/>
      <c r="U5580" s="7"/>
      <c r="V5580" s="436"/>
      <c r="W5580" s="6"/>
      <c r="X5580" s="8"/>
      <c r="Y5580" s="8"/>
      <c r="AH5580" s="325"/>
      <c r="AI5580" s="325"/>
      <c r="AJ5580" s="325"/>
    </row>
    <row r="5581" spans="3:36" s="13" customFormat="1" ht="11.25" customHeight="1">
      <c r="C5581" s="4"/>
      <c r="D5581" s="4"/>
      <c r="E5581" s="5"/>
      <c r="F5581" s="6"/>
      <c r="G5581" s="31"/>
      <c r="H5581" s="6"/>
      <c r="I5581" s="9"/>
      <c r="J5581" s="24"/>
      <c r="K5581" s="9"/>
      <c r="L5581" s="25"/>
      <c r="M5581" s="7"/>
      <c r="N5581" s="8"/>
      <c r="O5581" s="11"/>
      <c r="P5581" s="11"/>
      <c r="Q5581" s="8"/>
      <c r="R5581" s="6"/>
      <c r="S5581" s="3"/>
      <c r="T5581" s="3"/>
      <c r="U5581" s="7"/>
      <c r="V5581" s="436"/>
      <c r="W5581" s="6"/>
      <c r="X5581" s="8"/>
      <c r="Y5581" s="8"/>
      <c r="AH5581" s="325"/>
      <c r="AI5581" s="325"/>
      <c r="AJ5581" s="325"/>
    </row>
    <row r="5582" spans="3:36" s="13" customFormat="1" ht="11.25" customHeight="1">
      <c r="C5582" s="4"/>
      <c r="D5582" s="4"/>
      <c r="E5582" s="5"/>
      <c r="F5582" s="6"/>
      <c r="G5582" s="31"/>
      <c r="H5582" s="6"/>
      <c r="I5582" s="9"/>
      <c r="J5582" s="24"/>
      <c r="K5582" s="9"/>
      <c r="L5582" s="25"/>
      <c r="M5582" s="7"/>
      <c r="N5582" s="8"/>
      <c r="O5582" s="11"/>
      <c r="P5582" s="11"/>
      <c r="Q5582" s="6"/>
      <c r="R5582" s="6"/>
      <c r="S5582" s="3"/>
      <c r="T5582" s="3"/>
      <c r="U5582" s="7"/>
      <c r="V5582" s="436"/>
      <c r="W5582" s="6"/>
      <c r="X5582" s="8"/>
      <c r="Y5582" s="8"/>
      <c r="AH5582" s="325"/>
      <c r="AI5582" s="325"/>
      <c r="AJ5582" s="325"/>
    </row>
    <row r="5583" spans="3:36" s="13" customFormat="1" ht="11.25" customHeight="1">
      <c r="C5583" s="4"/>
      <c r="D5583" s="4"/>
      <c r="E5583" s="5"/>
      <c r="F5583" s="6"/>
      <c r="G5583" s="31"/>
      <c r="H5583" s="6"/>
      <c r="I5583" s="9"/>
      <c r="J5583" s="24"/>
      <c r="K5583" s="9"/>
      <c r="L5583" s="25"/>
      <c r="M5583" s="7"/>
      <c r="N5583" s="8"/>
      <c r="O5583" s="11"/>
      <c r="P5583" s="11"/>
      <c r="Q5583" s="8"/>
      <c r="R5583" s="6"/>
      <c r="S5583" s="3"/>
      <c r="T5583" s="3"/>
      <c r="U5583" s="7"/>
      <c r="V5583" s="436"/>
      <c r="W5583" s="6"/>
      <c r="X5583" s="8"/>
      <c r="Y5583" s="8"/>
      <c r="AH5583" s="325"/>
      <c r="AI5583" s="325"/>
      <c r="AJ5583" s="325"/>
    </row>
    <row r="5584" spans="3:36" s="13" customFormat="1" ht="11.25" customHeight="1">
      <c r="C5584" s="4"/>
      <c r="D5584" s="4"/>
      <c r="E5584" s="5"/>
      <c r="F5584" s="6"/>
      <c r="G5584" s="31"/>
      <c r="H5584" s="6"/>
      <c r="I5584" s="9"/>
      <c r="J5584" s="24"/>
      <c r="K5584" s="9"/>
      <c r="L5584" s="25"/>
      <c r="M5584" s="7"/>
      <c r="N5584" s="8"/>
      <c r="O5584" s="11"/>
      <c r="P5584" s="11"/>
      <c r="Q5584" s="8"/>
      <c r="R5584" s="6"/>
      <c r="S5584" s="3"/>
      <c r="T5584" s="3"/>
      <c r="U5584" s="7"/>
      <c r="V5584" s="436"/>
      <c r="W5584" s="6"/>
      <c r="X5584" s="8"/>
      <c r="Y5584" s="8"/>
      <c r="AH5584" s="325"/>
      <c r="AI5584" s="325"/>
      <c r="AJ5584" s="325"/>
    </row>
    <row r="5585" spans="3:36" s="13" customFormat="1" ht="11.25" customHeight="1">
      <c r="C5585" s="4"/>
      <c r="D5585" s="4"/>
      <c r="E5585" s="5"/>
      <c r="F5585" s="6"/>
      <c r="G5585" s="31"/>
      <c r="H5585" s="6"/>
      <c r="I5585" s="9"/>
      <c r="J5585" s="24"/>
      <c r="K5585" s="9"/>
      <c r="L5585" s="25"/>
      <c r="M5585" s="7"/>
      <c r="N5585" s="8"/>
      <c r="O5585" s="11"/>
      <c r="P5585" s="11"/>
      <c r="Q5585" s="8"/>
      <c r="R5585" s="6"/>
      <c r="S5585" s="3"/>
      <c r="T5585" s="3"/>
      <c r="U5585" s="7"/>
      <c r="V5585" s="436"/>
      <c r="W5585" s="6"/>
      <c r="X5585" s="8"/>
      <c r="Y5585" s="8"/>
      <c r="AH5585" s="325"/>
      <c r="AI5585" s="325"/>
      <c r="AJ5585" s="325"/>
    </row>
    <row r="5586" spans="3:36" s="13" customFormat="1" ht="11.25" customHeight="1">
      <c r="C5586" s="4"/>
      <c r="D5586" s="4"/>
      <c r="E5586" s="5"/>
      <c r="F5586" s="6"/>
      <c r="G5586" s="31"/>
      <c r="H5586" s="6"/>
      <c r="I5586" s="9"/>
      <c r="J5586" s="24"/>
      <c r="K5586" s="9"/>
      <c r="L5586" s="25"/>
      <c r="M5586" s="7"/>
      <c r="N5586" s="8"/>
      <c r="O5586" s="11"/>
      <c r="P5586" s="11"/>
      <c r="Q5586" s="8"/>
      <c r="R5586" s="6"/>
      <c r="S5586" s="3"/>
      <c r="T5586" s="3"/>
      <c r="U5586" s="7"/>
      <c r="V5586" s="436"/>
      <c r="W5586" s="6"/>
      <c r="X5586" s="8"/>
      <c r="Y5586" s="8"/>
      <c r="AH5586" s="325"/>
      <c r="AI5586" s="325"/>
      <c r="AJ5586" s="325"/>
    </row>
    <row r="5587" spans="3:36" s="13" customFormat="1" ht="11.25" customHeight="1">
      <c r="C5587" s="4"/>
      <c r="D5587" s="4"/>
      <c r="E5587" s="5"/>
      <c r="F5587" s="6"/>
      <c r="G5587" s="31"/>
      <c r="H5587" s="6"/>
      <c r="I5587" s="9"/>
      <c r="J5587" s="24"/>
      <c r="K5587" s="9"/>
      <c r="L5587" s="25"/>
      <c r="M5587" s="7"/>
      <c r="N5587" s="8"/>
      <c r="O5587" s="11"/>
      <c r="P5587" s="11"/>
      <c r="Q5587" s="8"/>
      <c r="R5587" s="6"/>
      <c r="S5587" s="3"/>
      <c r="T5587" s="3"/>
      <c r="U5587" s="7"/>
      <c r="V5587" s="436"/>
      <c r="W5587" s="6"/>
      <c r="X5587" s="8"/>
      <c r="Y5587" s="8"/>
      <c r="AH5587" s="325"/>
      <c r="AI5587" s="325"/>
      <c r="AJ5587" s="325"/>
    </row>
    <row r="5588" spans="3:36" s="13" customFormat="1" ht="11.25" customHeight="1">
      <c r="C5588" s="4"/>
      <c r="D5588" s="4"/>
      <c r="E5588" s="5"/>
      <c r="F5588" s="6"/>
      <c r="G5588" s="31"/>
      <c r="H5588" s="6"/>
      <c r="I5588" s="9"/>
      <c r="J5588" s="24"/>
      <c r="K5588" s="9"/>
      <c r="L5588" s="25"/>
      <c r="M5588" s="7"/>
      <c r="N5588" s="8"/>
      <c r="O5588" s="11"/>
      <c r="P5588" s="11"/>
      <c r="Q5588" s="8"/>
      <c r="R5588" s="6"/>
      <c r="S5588" s="3"/>
      <c r="T5588" s="3"/>
      <c r="U5588" s="7"/>
      <c r="V5588" s="436"/>
      <c r="W5588" s="6"/>
      <c r="X5588" s="8"/>
      <c r="Y5588" s="8"/>
      <c r="AH5588" s="325"/>
      <c r="AI5588" s="325"/>
      <c r="AJ5588" s="325"/>
    </row>
    <row r="5589" spans="3:36" s="13" customFormat="1" ht="11.25" customHeight="1">
      <c r="C5589" s="3"/>
      <c r="D5589" s="3"/>
      <c r="E5589" s="5"/>
      <c r="F5589" s="6"/>
      <c r="G5589" s="31"/>
      <c r="H5589" s="6"/>
      <c r="I5589" s="9"/>
      <c r="J5589" s="24"/>
      <c r="K5589" s="9"/>
      <c r="L5589" s="25"/>
      <c r="M5589" s="7"/>
      <c r="N5589" s="8"/>
      <c r="O5589" s="11"/>
      <c r="P5589" s="11"/>
      <c r="Q5589" s="8"/>
      <c r="R5589" s="6"/>
      <c r="S5589" s="3"/>
      <c r="T5589" s="3"/>
      <c r="U5589" s="7"/>
      <c r="V5589" s="436"/>
      <c r="W5589" s="6"/>
      <c r="X5589" s="8"/>
      <c r="Y5589" s="8"/>
      <c r="AH5589" s="325"/>
      <c r="AI5589" s="325"/>
      <c r="AJ5589" s="325"/>
    </row>
    <row r="5590" spans="3:36" s="13" customFormat="1" ht="11.25" customHeight="1">
      <c r="C5590" s="4"/>
      <c r="D5590" s="4"/>
      <c r="E5590" s="5"/>
      <c r="F5590" s="6"/>
      <c r="G5590" s="31"/>
      <c r="H5590" s="6"/>
      <c r="I5590" s="9"/>
      <c r="J5590" s="24"/>
      <c r="K5590" s="19"/>
      <c r="L5590" s="7"/>
      <c r="M5590" s="7"/>
      <c r="N5590" s="8"/>
      <c r="O5590" s="11"/>
      <c r="P5590" s="11"/>
      <c r="Q5590" s="8"/>
      <c r="R5590" s="6"/>
      <c r="S5590" s="3"/>
      <c r="T5590" s="3"/>
      <c r="U5590" s="7"/>
      <c r="V5590" s="436"/>
      <c r="W5590" s="6"/>
      <c r="X5590" s="8"/>
      <c r="Y5590" s="8"/>
      <c r="AH5590" s="325"/>
      <c r="AI5590" s="325"/>
      <c r="AJ5590" s="325"/>
    </row>
    <row r="5591" spans="3:36" s="13" customFormat="1" ht="11.25" customHeight="1">
      <c r="C5591" s="4"/>
      <c r="D5591" s="4"/>
      <c r="E5591" s="5"/>
      <c r="F5591" s="6"/>
      <c r="G5591" s="31"/>
      <c r="H5591" s="6"/>
      <c r="I5591" s="9"/>
      <c r="J5591" s="24"/>
      <c r="K5591" s="10"/>
      <c r="L5591" s="25"/>
      <c r="M5591" s="7"/>
      <c r="N5591" s="8"/>
      <c r="O5591" s="11"/>
      <c r="P5591" s="11"/>
      <c r="Q5591" s="8"/>
      <c r="R5591" s="6"/>
      <c r="S5591" s="3"/>
      <c r="T5591" s="3"/>
      <c r="U5591" s="7"/>
      <c r="V5591" s="436"/>
      <c r="W5591" s="6"/>
      <c r="X5591" s="8"/>
      <c r="Y5591" s="8"/>
      <c r="AH5591" s="325"/>
      <c r="AI5591" s="325"/>
      <c r="AJ5591" s="325"/>
    </row>
    <row r="5592" spans="3:36" s="13" customFormat="1" ht="11.25" customHeight="1">
      <c r="C5592" s="4"/>
      <c r="D5592" s="4"/>
      <c r="E5592" s="5"/>
      <c r="F5592" s="6"/>
      <c r="G5592" s="31"/>
      <c r="H5592" s="6"/>
      <c r="I5592" s="9"/>
      <c r="J5592" s="24"/>
      <c r="K5592" s="10"/>
      <c r="L5592" s="25"/>
      <c r="M5592" s="7"/>
      <c r="N5592" s="8"/>
      <c r="O5592" s="11"/>
      <c r="P5592" s="11"/>
      <c r="Q5592" s="8"/>
      <c r="R5592" s="6"/>
      <c r="S5592" s="3"/>
      <c r="T5592" s="3"/>
      <c r="U5592" s="7"/>
      <c r="V5592" s="436"/>
      <c r="W5592" s="6"/>
      <c r="X5592" s="8"/>
      <c r="Y5592" s="8"/>
      <c r="AH5592" s="325"/>
      <c r="AI5592" s="325"/>
      <c r="AJ5592" s="325"/>
    </row>
    <row r="5593" spans="3:36" s="13" customFormat="1" ht="11.25" customHeight="1">
      <c r="C5593" s="4"/>
      <c r="D5593" s="4"/>
      <c r="E5593" s="5"/>
      <c r="F5593" s="6"/>
      <c r="G5593" s="31"/>
      <c r="H5593" s="6"/>
      <c r="I5593" s="9"/>
      <c r="J5593" s="24"/>
      <c r="K5593" s="10"/>
      <c r="L5593" s="25"/>
      <c r="M5593" s="7"/>
      <c r="N5593" s="8"/>
      <c r="O5593" s="11"/>
      <c r="P5593" s="11"/>
      <c r="Q5593" s="8"/>
      <c r="R5593" s="6"/>
      <c r="S5593" s="3"/>
      <c r="T5593" s="3"/>
      <c r="U5593" s="7"/>
      <c r="V5593" s="436"/>
      <c r="W5593" s="6"/>
      <c r="X5593" s="8"/>
      <c r="Y5593" s="8"/>
      <c r="AH5593" s="325"/>
      <c r="AI5593" s="325"/>
      <c r="AJ5593" s="325"/>
    </row>
    <row r="5594" spans="3:36" s="13" customFormat="1" ht="11.25" customHeight="1">
      <c r="C5594" s="3"/>
      <c r="D5594" s="3"/>
      <c r="E5594" s="5"/>
      <c r="F5594" s="6"/>
      <c r="G5594" s="31"/>
      <c r="H5594" s="6"/>
      <c r="I5594" s="9"/>
      <c r="J5594" s="24"/>
      <c r="K5594" s="10"/>
      <c r="L5594" s="25"/>
      <c r="M5594" s="7"/>
      <c r="N5594" s="8"/>
      <c r="O5594" s="11"/>
      <c r="P5594" s="11"/>
      <c r="Q5594" s="8"/>
      <c r="R5594" s="6"/>
      <c r="S5594" s="3"/>
      <c r="T5594" s="3"/>
      <c r="U5594" s="7"/>
      <c r="V5594" s="436"/>
      <c r="W5594" s="6"/>
      <c r="X5594" s="8"/>
      <c r="Y5594" s="8"/>
      <c r="AH5594" s="325"/>
      <c r="AI5594" s="325"/>
      <c r="AJ5594" s="325"/>
    </row>
    <row r="5595" spans="3:36" s="13" customFormat="1" ht="11.25" customHeight="1">
      <c r="C5595" s="4"/>
      <c r="D5595" s="4"/>
      <c r="E5595" s="5"/>
      <c r="F5595" s="6"/>
      <c r="G5595" s="31"/>
      <c r="H5595" s="6"/>
      <c r="I5595" s="9"/>
      <c r="J5595" s="24"/>
      <c r="K5595" s="10"/>
      <c r="L5595" s="7"/>
      <c r="M5595" s="7"/>
      <c r="N5595" s="8"/>
      <c r="O5595" s="11"/>
      <c r="P5595" s="11"/>
      <c r="Q5595" s="8"/>
      <c r="R5595" s="6"/>
      <c r="S5595" s="3"/>
      <c r="T5595" s="3"/>
      <c r="U5595" s="7"/>
      <c r="V5595" s="436"/>
      <c r="W5595" s="6"/>
      <c r="X5595" s="8"/>
      <c r="Y5595" s="8"/>
      <c r="AH5595" s="325"/>
      <c r="AI5595" s="325"/>
      <c r="AJ5595" s="325"/>
    </row>
    <row r="5596" spans="3:36" s="13" customFormat="1" ht="11.25" customHeight="1">
      <c r="C5596" s="4"/>
      <c r="D5596" s="4"/>
      <c r="E5596" s="5"/>
      <c r="F5596" s="6"/>
      <c r="G5596" s="31"/>
      <c r="H5596" s="6"/>
      <c r="I5596" s="9"/>
      <c r="J5596" s="24"/>
      <c r="K5596" s="10"/>
      <c r="L5596" s="25"/>
      <c r="M5596" s="7"/>
      <c r="N5596" s="8"/>
      <c r="O5596" s="11"/>
      <c r="P5596" s="11"/>
      <c r="Q5596" s="8"/>
      <c r="R5596" s="6"/>
      <c r="S5596" s="3"/>
      <c r="T5596" s="3"/>
      <c r="U5596" s="7"/>
      <c r="V5596" s="436"/>
      <c r="W5596" s="6"/>
      <c r="X5596" s="8"/>
      <c r="Y5596" s="8"/>
      <c r="AH5596" s="325"/>
      <c r="AI5596" s="325"/>
      <c r="AJ5596" s="325"/>
    </row>
    <row r="5597" spans="3:36" s="13" customFormat="1" ht="11.25" customHeight="1">
      <c r="C5597" s="4"/>
      <c r="D5597" s="4"/>
      <c r="E5597" s="5"/>
      <c r="F5597" s="6"/>
      <c r="G5597" s="31"/>
      <c r="H5597" s="6"/>
      <c r="I5597" s="9"/>
      <c r="J5597" s="24"/>
      <c r="K5597" s="10"/>
      <c r="L5597" s="25"/>
      <c r="M5597" s="7"/>
      <c r="N5597" s="8"/>
      <c r="O5597" s="11"/>
      <c r="P5597" s="11"/>
      <c r="Q5597" s="8"/>
      <c r="R5597" s="6"/>
      <c r="S5597" s="3"/>
      <c r="T5597" s="3"/>
      <c r="U5597" s="7"/>
      <c r="V5597" s="436"/>
      <c r="W5597" s="6"/>
      <c r="X5597" s="8"/>
      <c r="Y5597" s="8"/>
      <c r="AH5597" s="325"/>
      <c r="AI5597" s="325"/>
      <c r="AJ5597" s="325"/>
    </row>
    <row r="5598" spans="3:36" s="13" customFormat="1" ht="11.25" customHeight="1">
      <c r="C5598" s="4"/>
      <c r="D5598" s="4"/>
      <c r="E5598" s="5"/>
      <c r="F5598" s="6"/>
      <c r="G5598" s="31"/>
      <c r="H5598" s="6"/>
      <c r="I5598" s="9"/>
      <c r="J5598" s="24"/>
      <c r="K5598" s="10"/>
      <c r="L5598" s="25"/>
      <c r="M5598" s="7"/>
      <c r="N5598" s="8"/>
      <c r="O5598" s="11"/>
      <c r="P5598" s="11"/>
      <c r="Q5598" s="8"/>
      <c r="R5598" s="6"/>
      <c r="S5598" s="3"/>
      <c r="T5598" s="3"/>
      <c r="U5598" s="7"/>
      <c r="V5598" s="436"/>
      <c r="W5598" s="6"/>
      <c r="X5598" s="8"/>
      <c r="Y5598" s="8"/>
      <c r="AH5598" s="325"/>
      <c r="AI5598" s="325"/>
      <c r="AJ5598" s="325"/>
    </row>
    <row r="5599" spans="3:36" s="13" customFormat="1" ht="11.25" customHeight="1">
      <c r="C5599" s="3"/>
      <c r="D5599" s="3"/>
      <c r="E5599" s="5"/>
      <c r="F5599" s="6"/>
      <c r="G5599" s="31"/>
      <c r="H5599" s="6"/>
      <c r="I5599" s="9"/>
      <c r="J5599" s="24"/>
      <c r="K5599" s="10"/>
      <c r="L5599" s="25"/>
      <c r="M5599" s="7"/>
      <c r="N5599" s="8"/>
      <c r="O5599" s="11"/>
      <c r="P5599" s="11"/>
      <c r="Q5599" s="8"/>
      <c r="R5599" s="6"/>
      <c r="S5599" s="3"/>
      <c r="T5599" s="3"/>
      <c r="U5599" s="7"/>
      <c r="V5599" s="436"/>
      <c r="W5599" s="6"/>
      <c r="X5599" s="8"/>
      <c r="Y5599" s="8"/>
      <c r="AH5599" s="325"/>
      <c r="AI5599" s="325"/>
      <c r="AJ5599" s="325"/>
    </row>
    <row r="5600" spans="3:36" s="13" customFormat="1" ht="11.25" customHeight="1">
      <c r="C5600" s="4"/>
      <c r="D5600" s="4"/>
      <c r="E5600" s="5"/>
      <c r="F5600" s="6"/>
      <c r="G5600" s="31"/>
      <c r="H5600" s="6"/>
      <c r="I5600" s="9"/>
      <c r="J5600" s="24"/>
      <c r="K5600" s="10"/>
      <c r="L5600" s="25"/>
      <c r="M5600" s="7"/>
      <c r="N5600" s="8"/>
      <c r="O5600" s="11"/>
      <c r="P5600" s="11"/>
      <c r="Q5600" s="8"/>
      <c r="R5600" s="6"/>
      <c r="S5600" s="3"/>
      <c r="T5600" s="3"/>
      <c r="U5600" s="7"/>
      <c r="V5600" s="436"/>
      <c r="W5600" s="6"/>
      <c r="X5600" s="8"/>
      <c r="Y5600" s="8"/>
      <c r="AH5600" s="325"/>
      <c r="AI5600" s="325"/>
      <c r="AJ5600" s="325"/>
    </row>
    <row r="5601" spans="3:36" s="13" customFormat="1" ht="11.25" customHeight="1">
      <c r="C5601" s="4"/>
      <c r="D5601" s="4"/>
      <c r="E5601" s="5"/>
      <c r="F5601" s="6"/>
      <c r="G5601" s="31"/>
      <c r="H5601" s="6"/>
      <c r="I5601" s="9"/>
      <c r="J5601" s="24"/>
      <c r="K5601" s="10"/>
      <c r="L5601" s="25"/>
      <c r="M5601" s="7"/>
      <c r="N5601" s="8"/>
      <c r="O5601" s="11"/>
      <c r="P5601" s="11"/>
      <c r="Q5601" s="8"/>
      <c r="R5601" s="6"/>
      <c r="S5601" s="3"/>
      <c r="T5601" s="3"/>
      <c r="U5601" s="7"/>
      <c r="V5601" s="436"/>
      <c r="W5601" s="6"/>
      <c r="X5601" s="8"/>
      <c r="Y5601" s="8"/>
      <c r="AH5601" s="325"/>
      <c r="AI5601" s="325"/>
      <c r="AJ5601" s="325"/>
    </row>
    <row r="5602" spans="3:36" s="13" customFormat="1" ht="11.25" customHeight="1">
      <c r="C5602" s="3"/>
      <c r="D5602" s="3"/>
      <c r="E5602" s="5"/>
      <c r="F5602" s="6"/>
      <c r="G5602" s="31"/>
      <c r="H5602" s="6"/>
      <c r="I5602" s="9"/>
      <c r="J5602" s="24"/>
      <c r="K5602" s="10"/>
      <c r="L5602" s="25"/>
      <c r="M5602" s="7"/>
      <c r="N5602" s="8"/>
      <c r="O5602" s="11"/>
      <c r="P5602" s="11"/>
      <c r="Q5602" s="8"/>
      <c r="R5602" s="6"/>
      <c r="S5602" s="3"/>
      <c r="T5602" s="3"/>
      <c r="U5602" s="7"/>
      <c r="V5602" s="436"/>
      <c r="W5602" s="6"/>
      <c r="X5602" s="8"/>
      <c r="Y5602" s="8"/>
      <c r="AH5602" s="325"/>
      <c r="AI5602" s="325"/>
      <c r="AJ5602" s="325"/>
    </row>
    <row r="5603" spans="3:36" s="13" customFormat="1" ht="11.25" customHeight="1">
      <c r="C5603" s="4"/>
      <c r="D5603" s="4"/>
      <c r="E5603" s="5"/>
      <c r="F5603" s="6"/>
      <c r="G5603" s="31"/>
      <c r="H5603" s="6"/>
      <c r="I5603" s="9"/>
      <c r="J5603" s="24"/>
      <c r="K5603" s="10"/>
      <c r="L5603" s="25"/>
      <c r="M5603" s="7"/>
      <c r="N5603" s="8"/>
      <c r="O5603" s="11"/>
      <c r="P5603" s="11"/>
      <c r="Q5603" s="8"/>
      <c r="R5603" s="6"/>
      <c r="S5603" s="3"/>
      <c r="T5603" s="3"/>
      <c r="U5603" s="7"/>
      <c r="V5603" s="436"/>
      <c r="W5603" s="6"/>
      <c r="X5603" s="8"/>
      <c r="Y5603" s="8"/>
      <c r="AH5603" s="325"/>
      <c r="AI5603" s="325"/>
      <c r="AJ5603" s="325"/>
    </row>
    <row r="5604" spans="3:36" s="13" customFormat="1" ht="11.25" customHeight="1">
      <c r="C5604" s="4"/>
      <c r="D5604" s="4"/>
      <c r="E5604" s="5"/>
      <c r="F5604" s="6"/>
      <c r="G5604" s="31"/>
      <c r="H5604" s="6"/>
      <c r="I5604" s="9"/>
      <c r="J5604" s="24"/>
      <c r="K5604" s="10"/>
      <c r="L5604" s="25"/>
      <c r="M5604" s="7"/>
      <c r="N5604" s="8"/>
      <c r="O5604" s="11"/>
      <c r="P5604" s="11"/>
      <c r="Q5604" s="8"/>
      <c r="R5604" s="6"/>
      <c r="S5604" s="3"/>
      <c r="T5604" s="3"/>
      <c r="U5604" s="7"/>
      <c r="V5604" s="436"/>
      <c r="W5604" s="6"/>
      <c r="X5604" s="8"/>
      <c r="Y5604" s="8"/>
      <c r="AH5604" s="325"/>
      <c r="AI5604" s="325"/>
      <c r="AJ5604" s="325"/>
    </row>
    <row r="5605" spans="3:36" s="13" customFormat="1" ht="11.25" customHeight="1">
      <c r="C5605" s="4"/>
      <c r="D5605" s="4"/>
      <c r="E5605" s="5"/>
      <c r="F5605" s="6"/>
      <c r="G5605" s="31"/>
      <c r="H5605" s="6"/>
      <c r="I5605" s="9"/>
      <c r="J5605" s="24"/>
      <c r="K5605" s="10"/>
      <c r="L5605" s="25"/>
      <c r="M5605" s="7"/>
      <c r="N5605" s="8"/>
      <c r="O5605" s="11"/>
      <c r="P5605" s="11"/>
      <c r="Q5605" s="8"/>
      <c r="R5605" s="6"/>
      <c r="S5605" s="3"/>
      <c r="T5605" s="3"/>
      <c r="U5605" s="7"/>
      <c r="V5605" s="436"/>
      <c r="W5605" s="6"/>
      <c r="X5605" s="8"/>
      <c r="Y5605" s="8"/>
      <c r="AH5605" s="325"/>
      <c r="AI5605" s="325"/>
      <c r="AJ5605" s="325"/>
    </row>
    <row r="5606" spans="3:36" s="13" customFormat="1" ht="11.25" customHeight="1">
      <c r="C5606" s="4"/>
      <c r="D5606" s="4"/>
      <c r="E5606" s="5"/>
      <c r="F5606" s="6"/>
      <c r="G5606" s="31"/>
      <c r="H5606" s="6"/>
      <c r="I5606" s="9"/>
      <c r="J5606" s="24"/>
      <c r="K5606" s="10"/>
      <c r="L5606" s="25"/>
      <c r="M5606" s="7"/>
      <c r="N5606" s="8"/>
      <c r="O5606" s="11"/>
      <c r="P5606" s="11"/>
      <c r="Q5606" s="8"/>
      <c r="R5606" s="6"/>
      <c r="S5606" s="3"/>
      <c r="T5606" s="3"/>
      <c r="U5606" s="7"/>
      <c r="V5606" s="436"/>
      <c r="W5606" s="6"/>
      <c r="X5606" s="8"/>
      <c r="Y5606" s="8"/>
      <c r="AH5606" s="325"/>
      <c r="AI5606" s="325"/>
      <c r="AJ5606" s="325"/>
    </row>
    <row r="5607" spans="3:36" s="13" customFormat="1" ht="11.25" customHeight="1">
      <c r="C5607" s="3"/>
      <c r="D5607" s="3"/>
      <c r="E5607" s="5"/>
      <c r="F5607" s="6"/>
      <c r="G5607" s="31"/>
      <c r="H5607" s="6"/>
      <c r="I5607" s="9"/>
      <c r="J5607" s="24"/>
      <c r="K5607" s="10"/>
      <c r="L5607" s="25"/>
      <c r="M5607" s="7"/>
      <c r="N5607" s="8"/>
      <c r="O5607" s="11"/>
      <c r="P5607" s="11"/>
      <c r="Q5607" s="8"/>
      <c r="R5607" s="6"/>
      <c r="S5607" s="3"/>
      <c r="T5607" s="3"/>
      <c r="U5607" s="7"/>
      <c r="V5607" s="436"/>
      <c r="W5607" s="6"/>
      <c r="X5607" s="8"/>
      <c r="Y5607" s="8"/>
      <c r="AH5607" s="325"/>
      <c r="AI5607" s="325"/>
      <c r="AJ5607" s="325"/>
    </row>
    <row r="5608" spans="3:36" s="13" customFormat="1" ht="11.25" customHeight="1">
      <c r="C5608" s="4"/>
      <c r="D5608" s="4"/>
      <c r="E5608" s="5"/>
      <c r="F5608" s="6"/>
      <c r="G5608" s="31"/>
      <c r="H5608" s="6"/>
      <c r="I5608" s="9"/>
      <c r="J5608" s="24"/>
      <c r="K5608" s="10"/>
      <c r="L5608" s="25"/>
      <c r="M5608" s="7"/>
      <c r="N5608" s="8"/>
      <c r="O5608" s="11"/>
      <c r="P5608" s="11"/>
      <c r="Q5608" s="8"/>
      <c r="R5608" s="6"/>
      <c r="S5608" s="3"/>
      <c r="T5608" s="3"/>
      <c r="U5608" s="7"/>
      <c r="V5608" s="436"/>
      <c r="W5608" s="6"/>
      <c r="X5608" s="8"/>
      <c r="Y5608" s="8"/>
      <c r="AH5608" s="325"/>
      <c r="AI5608" s="325"/>
      <c r="AJ5608" s="325"/>
    </row>
    <row r="5609" spans="3:36" s="13" customFormat="1" ht="11.25" customHeight="1">
      <c r="C5609" s="4"/>
      <c r="D5609" s="4"/>
      <c r="E5609" s="5"/>
      <c r="F5609" s="6"/>
      <c r="G5609" s="31"/>
      <c r="H5609" s="6"/>
      <c r="I5609" s="9"/>
      <c r="J5609" s="24"/>
      <c r="K5609" s="10"/>
      <c r="L5609" s="25"/>
      <c r="M5609" s="7"/>
      <c r="N5609" s="8"/>
      <c r="O5609" s="11"/>
      <c r="P5609" s="11"/>
      <c r="Q5609" s="8"/>
      <c r="R5609" s="6"/>
      <c r="S5609" s="3"/>
      <c r="T5609" s="3"/>
      <c r="U5609" s="7"/>
      <c r="V5609" s="436"/>
      <c r="W5609" s="6"/>
      <c r="X5609" s="8"/>
      <c r="Y5609" s="8"/>
      <c r="AH5609" s="325"/>
      <c r="AI5609" s="325"/>
      <c r="AJ5609" s="325"/>
    </row>
    <row r="5610" spans="3:36" s="13" customFormat="1" ht="11.25" customHeight="1">
      <c r="C5610" s="4"/>
      <c r="D5610" s="4"/>
      <c r="E5610" s="5"/>
      <c r="F5610" s="6"/>
      <c r="G5610" s="31"/>
      <c r="H5610" s="6"/>
      <c r="I5610" s="9"/>
      <c r="J5610" s="24"/>
      <c r="K5610" s="10"/>
      <c r="L5610" s="25"/>
      <c r="M5610" s="7"/>
      <c r="N5610" s="8"/>
      <c r="O5610" s="11"/>
      <c r="P5610" s="11"/>
      <c r="Q5610" s="8"/>
      <c r="R5610" s="6"/>
      <c r="S5610" s="3"/>
      <c r="T5610" s="3"/>
      <c r="U5610" s="7"/>
      <c r="V5610" s="436"/>
      <c r="W5610" s="6"/>
      <c r="X5610" s="8"/>
      <c r="Y5610" s="8"/>
      <c r="AH5610" s="325"/>
      <c r="AI5610" s="325"/>
      <c r="AJ5610" s="325"/>
    </row>
    <row r="5611" spans="3:36" s="13" customFormat="1" ht="11.25" customHeight="1">
      <c r="C5611" s="4"/>
      <c r="D5611" s="4"/>
      <c r="E5611" s="5"/>
      <c r="F5611" s="6"/>
      <c r="G5611" s="31"/>
      <c r="H5611" s="6"/>
      <c r="I5611" s="9"/>
      <c r="J5611" s="24"/>
      <c r="K5611" s="10"/>
      <c r="L5611" s="25"/>
      <c r="M5611" s="7"/>
      <c r="N5611" s="8"/>
      <c r="O5611" s="11"/>
      <c r="P5611" s="11"/>
      <c r="Q5611" s="8"/>
      <c r="R5611" s="6"/>
      <c r="S5611" s="3"/>
      <c r="T5611" s="3"/>
      <c r="U5611" s="7"/>
      <c r="V5611" s="436"/>
      <c r="W5611" s="6"/>
      <c r="X5611" s="8"/>
      <c r="Y5611" s="8"/>
      <c r="AH5611" s="325"/>
      <c r="AI5611" s="325"/>
      <c r="AJ5611" s="325"/>
    </row>
    <row r="5612" spans="3:36" s="13" customFormat="1" ht="11.25" customHeight="1">
      <c r="C5612" s="4"/>
      <c r="D5612" s="4"/>
      <c r="E5612" s="5"/>
      <c r="F5612" s="6"/>
      <c r="G5612" s="31"/>
      <c r="H5612" s="6"/>
      <c r="I5612" s="9"/>
      <c r="J5612" s="24"/>
      <c r="K5612" s="10"/>
      <c r="L5612" s="25"/>
      <c r="M5612" s="7"/>
      <c r="N5612" s="8"/>
      <c r="O5612" s="11"/>
      <c r="P5612" s="11"/>
      <c r="Q5612" s="8"/>
      <c r="R5612" s="6"/>
      <c r="S5612" s="3"/>
      <c r="T5612" s="3"/>
      <c r="U5612" s="7"/>
      <c r="V5612" s="436"/>
      <c r="W5612" s="6"/>
      <c r="X5612" s="8"/>
      <c r="Y5612" s="8"/>
      <c r="AH5612" s="325"/>
      <c r="AI5612" s="325"/>
      <c r="AJ5612" s="325"/>
    </row>
    <row r="5613" spans="3:36" s="13" customFormat="1" ht="11.25" customHeight="1">
      <c r="C5613" s="3"/>
      <c r="D5613" s="3"/>
      <c r="E5613" s="5"/>
      <c r="F5613" s="6"/>
      <c r="G5613" s="31"/>
      <c r="H5613" s="6"/>
      <c r="I5613" s="9"/>
      <c r="J5613" s="24"/>
      <c r="K5613" s="10"/>
      <c r="L5613" s="25"/>
      <c r="M5613" s="7"/>
      <c r="N5613" s="8"/>
      <c r="O5613" s="11"/>
      <c r="P5613" s="11"/>
      <c r="Q5613" s="8"/>
      <c r="R5613" s="6"/>
      <c r="S5613" s="3"/>
      <c r="T5613" s="3"/>
      <c r="U5613" s="7"/>
      <c r="V5613" s="436"/>
      <c r="W5613" s="6"/>
      <c r="X5613" s="8"/>
      <c r="Y5613" s="8"/>
      <c r="AH5613" s="325"/>
      <c r="AI5613" s="325"/>
      <c r="AJ5613" s="325"/>
    </row>
    <row r="5614" spans="3:36" s="13" customFormat="1" ht="11.25" customHeight="1">
      <c r="C5614" s="4"/>
      <c r="D5614" s="4"/>
      <c r="E5614" s="5"/>
      <c r="F5614" s="6"/>
      <c r="G5614" s="31"/>
      <c r="H5614" s="6"/>
      <c r="I5614" s="9"/>
      <c r="J5614" s="24"/>
      <c r="K5614" s="10"/>
      <c r="L5614" s="25"/>
      <c r="M5614" s="7"/>
      <c r="N5614" s="8"/>
      <c r="O5614" s="11"/>
      <c r="P5614" s="11"/>
      <c r="Q5614" s="8"/>
      <c r="R5614" s="6"/>
      <c r="S5614" s="3"/>
      <c r="T5614" s="3"/>
      <c r="U5614" s="7"/>
      <c r="V5614" s="436"/>
      <c r="W5614" s="6"/>
      <c r="X5614" s="8"/>
      <c r="Y5614" s="8"/>
      <c r="AH5614" s="325"/>
      <c r="AI5614" s="325"/>
      <c r="AJ5614" s="325"/>
    </row>
    <row r="5615" spans="3:36" s="13" customFormat="1" ht="10.5" customHeight="1">
      <c r="C5615" s="4"/>
      <c r="D5615" s="4"/>
      <c r="E5615" s="5"/>
      <c r="F5615" s="6"/>
      <c r="G5615" s="31"/>
      <c r="H5615" s="6"/>
      <c r="I5615" s="9"/>
      <c r="J5615" s="24"/>
      <c r="K5615" s="10"/>
      <c r="L5615" s="25"/>
      <c r="M5615" s="7"/>
      <c r="N5615" s="8"/>
      <c r="O5615" s="11"/>
      <c r="P5615" s="11"/>
      <c r="Q5615" s="8"/>
      <c r="R5615" s="6"/>
      <c r="S5615" s="3"/>
      <c r="T5615" s="3"/>
      <c r="U5615" s="7"/>
      <c r="V5615" s="436"/>
      <c r="W5615" s="6"/>
      <c r="X5615" s="8"/>
      <c r="Y5615" s="8"/>
      <c r="AH5615" s="325"/>
      <c r="AI5615" s="325"/>
      <c r="AJ5615" s="325"/>
    </row>
    <row r="5616" spans="3:36" s="13" customFormat="1" ht="11.25" customHeight="1">
      <c r="C5616" s="3"/>
      <c r="D5616" s="3"/>
      <c r="E5616" s="5"/>
      <c r="F5616" s="6"/>
      <c r="G5616" s="31"/>
      <c r="H5616" s="6"/>
      <c r="I5616" s="9"/>
      <c r="J5616" s="24"/>
      <c r="K5616" s="10"/>
      <c r="L5616" s="25"/>
      <c r="M5616" s="7"/>
      <c r="N5616" s="8"/>
      <c r="O5616" s="11"/>
      <c r="P5616" s="11"/>
      <c r="Q5616" s="8"/>
      <c r="R5616" s="6"/>
      <c r="S5616" s="3"/>
      <c r="T5616" s="3"/>
      <c r="U5616" s="7"/>
      <c r="V5616" s="436"/>
      <c r="W5616" s="6"/>
      <c r="X5616" s="8"/>
      <c r="Y5616" s="8"/>
      <c r="AH5616" s="325"/>
      <c r="AI5616" s="325"/>
      <c r="AJ5616" s="325"/>
    </row>
    <row r="5617" spans="1:36" s="13" customFormat="1" ht="11.25" customHeight="1">
      <c r="C5617" s="4"/>
      <c r="D5617" s="4"/>
      <c r="E5617" s="5"/>
      <c r="F5617" s="6"/>
      <c r="G5617" s="31"/>
      <c r="H5617" s="6"/>
      <c r="I5617" s="9"/>
      <c r="J5617" s="24"/>
      <c r="K5617" s="10"/>
      <c r="L5617" s="25"/>
      <c r="M5617" s="7"/>
      <c r="N5617" s="8"/>
      <c r="O5617" s="11"/>
      <c r="P5617" s="11"/>
      <c r="Q5617" s="8"/>
      <c r="R5617" s="6"/>
      <c r="S5617" s="3"/>
      <c r="T5617" s="3"/>
      <c r="U5617" s="7"/>
      <c r="V5617" s="436"/>
      <c r="W5617" s="6"/>
      <c r="X5617" s="8"/>
      <c r="Y5617" s="8"/>
      <c r="AH5617" s="325"/>
      <c r="AI5617" s="325"/>
      <c r="AJ5617" s="325"/>
    </row>
    <row r="5618" spans="1:36" s="13" customFormat="1" ht="11.25" customHeight="1">
      <c r="C5618" s="4"/>
      <c r="D5618" s="4"/>
      <c r="E5618" s="5"/>
      <c r="F5618" s="6"/>
      <c r="G5618" s="31"/>
      <c r="H5618" s="6"/>
      <c r="I5618" s="9"/>
      <c r="J5618" s="24"/>
      <c r="K5618" s="10"/>
      <c r="L5618" s="25"/>
      <c r="M5618" s="7"/>
      <c r="N5618" s="8"/>
      <c r="O5618" s="11"/>
      <c r="P5618" s="11"/>
      <c r="Q5618" s="8"/>
      <c r="R5618" s="6"/>
      <c r="S5618" s="3"/>
      <c r="T5618" s="3"/>
      <c r="U5618" s="7"/>
      <c r="V5618" s="436"/>
      <c r="W5618" s="6"/>
      <c r="X5618" s="8"/>
      <c r="Y5618" s="8"/>
      <c r="AH5618" s="325"/>
      <c r="AI5618" s="325"/>
      <c r="AJ5618" s="325"/>
    </row>
    <row r="5619" spans="1:36" s="13" customFormat="1" ht="11.25" customHeight="1">
      <c r="C5619" s="3"/>
      <c r="D5619" s="3"/>
      <c r="E5619" s="5"/>
      <c r="F5619" s="6"/>
      <c r="G5619" s="31"/>
      <c r="H5619" s="6"/>
      <c r="I5619" s="9"/>
      <c r="J5619" s="24"/>
      <c r="K5619" s="10"/>
      <c r="L5619" s="7"/>
      <c r="M5619" s="7"/>
      <c r="N5619" s="8"/>
      <c r="O5619" s="11"/>
      <c r="P5619" s="11"/>
      <c r="Q5619" s="8"/>
      <c r="R5619" s="6"/>
      <c r="S5619" s="3"/>
      <c r="T5619" s="3"/>
      <c r="U5619" s="7"/>
      <c r="V5619" s="436"/>
      <c r="W5619" s="6"/>
      <c r="X5619" s="8"/>
      <c r="Y5619" s="8"/>
      <c r="AH5619" s="325"/>
      <c r="AI5619" s="325"/>
      <c r="AJ5619" s="325"/>
    </row>
    <row r="5620" spans="1:36" s="13" customFormat="1" ht="11.25" customHeight="1">
      <c r="C5620" s="3"/>
      <c r="D5620" s="3"/>
      <c r="E5620" s="5"/>
      <c r="F5620" s="6"/>
      <c r="G5620" s="31"/>
      <c r="H5620" s="6"/>
      <c r="I5620" s="9"/>
      <c r="J5620" s="24"/>
      <c r="K5620" s="10"/>
      <c r="L5620" s="7"/>
      <c r="M5620" s="7"/>
      <c r="N5620" s="8"/>
      <c r="O5620" s="11"/>
      <c r="P5620" s="11"/>
      <c r="Q5620" s="8"/>
      <c r="R5620" s="6"/>
      <c r="S5620" s="3"/>
      <c r="T5620" s="3"/>
      <c r="U5620" s="7"/>
      <c r="V5620" s="436"/>
      <c r="W5620" s="6"/>
      <c r="X5620" s="8"/>
      <c r="Y5620" s="8"/>
      <c r="AH5620" s="325"/>
      <c r="AI5620" s="325"/>
      <c r="AJ5620" s="325"/>
    </row>
    <row r="5621" spans="1:36" s="13" customFormat="1" ht="11.25" customHeight="1">
      <c r="C5621" s="4"/>
      <c r="D5621" s="4"/>
      <c r="E5621" s="5"/>
      <c r="F5621" s="6"/>
      <c r="G5621" s="31"/>
      <c r="H5621" s="6"/>
      <c r="I5621" s="9"/>
      <c r="J5621" s="24"/>
      <c r="K5621" s="10"/>
      <c r="L5621" s="25"/>
      <c r="M5621" s="7"/>
      <c r="N5621" s="8"/>
      <c r="O5621" s="11"/>
      <c r="P5621" s="11"/>
      <c r="Q5621" s="8"/>
      <c r="R5621" s="6"/>
      <c r="S5621" s="3"/>
      <c r="T5621" s="3"/>
      <c r="U5621" s="7"/>
      <c r="V5621" s="436"/>
      <c r="W5621" s="6"/>
      <c r="X5621" s="8"/>
      <c r="Y5621" s="8"/>
      <c r="AH5621" s="325"/>
      <c r="AI5621" s="325"/>
      <c r="AJ5621" s="325"/>
    </row>
    <row r="5622" spans="1:36" s="13" customFormat="1" ht="11.25" customHeight="1">
      <c r="C5622" s="4"/>
      <c r="D5622" s="4"/>
      <c r="E5622" s="5"/>
      <c r="F5622" s="6"/>
      <c r="G5622" s="31"/>
      <c r="H5622" s="6"/>
      <c r="I5622" s="9"/>
      <c r="J5622" s="24"/>
      <c r="K5622" s="10"/>
      <c r="L5622" s="25"/>
      <c r="M5622" s="7"/>
      <c r="N5622" s="8"/>
      <c r="O5622" s="11"/>
      <c r="P5622" s="11"/>
      <c r="Q5622" s="8"/>
      <c r="R5622" s="6"/>
      <c r="S5622" s="3"/>
      <c r="T5622" s="3"/>
      <c r="U5622" s="7"/>
      <c r="V5622" s="436"/>
      <c r="W5622" s="6"/>
      <c r="X5622" s="8"/>
      <c r="Y5622" s="8"/>
      <c r="AH5622" s="325"/>
      <c r="AI5622" s="325"/>
      <c r="AJ5622" s="325"/>
    </row>
    <row r="5623" spans="1:36" s="13" customFormat="1" ht="11.25" customHeight="1">
      <c r="C5623" s="4"/>
      <c r="D5623" s="4"/>
      <c r="E5623" s="5"/>
      <c r="F5623" s="6"/>
      <c r="G5623" s="31"/>
      <c r="H5623" s="6"/>
      <c r="I5623" s="9"/>
      <c r="J5623" s="24"/>
      <c r="K5623" s="10"/>
      <c r="L5623" s="25"/>
      <c r="M5623" s="7"/>
      <c r="N5623" s="8"/>
      <c r="O5623" s="11"/>
      <c r="P5623" s="11"/>
      <c r="Q5623" s="8"/>
      <c r="R5623" s="6"/>
      <c r="S5623" s="3"/>
      <c r="T5623" s="3"/>
      <c r="U5623" s="7"/>
      <c r="V5623" s="436"/>
      <c r="W5623" s="6"/>
      <c r="X5623" s="8"/>
      <c r="Y5623" s="8"/>
      <c r="AH5623" s="325"/>
      <c r="AI5623" s="325"/>
      <c r="AJ5623" s="325"/>
    </row>
    <row r="5624" spans="1:36" s="13" customFormat="1" ht="11.25" customHeight="1">
      <c r="C5624" s="4"/>
      <c r="D5624" s="4"/>
      <c r="E5624" s="5"/>
      <c r="F5624" s="6"/>
      <c r="G5624" s="31"/>
      <c r="H5624" s="6"/>
      <c r="I5624" s="9"/>
      <c r="J5624" s="24"/>
      <c r="K5624" s="10"/>
      <c r="L5624" s="25"/>
      <c r="M5624" s="7"/>
      <c r="N5624" s="8"/>
      <c r="O5624" s="11"/>
      <c r="P5624" s="11"/>
      <c r="Q5624" s="8"/>
      <c r="R5624" s="6"/>
      <c r="S5624" s="3"/>
      <c r="T5624" s="3"/>
      <c r="U5624" s="7"/>
      <c r="V5624" s="436"/>
      <c r="W5624" s="6"/>
      <c r="X5624" s="8"/>
      <c r="Y5624" s="8"/>
      <c r="AH5624" s="325"/>
      <c r="AI5624" s="325"/>
      <c r="AJ5624" s="325"/>
    </row>
    <row r="5625" spans="1:36" s="13" customFormat="1" ht="11.25" customHeight="1">
      <c r="C5625" s="4"/>
      <c r="D5625" s="4"/>
      <c r="E5625" s="5"/>
      <c r="F5625" s="6"/>
      <c r="G5625" s="31"/>
      <c r="H5625" s="6"/>
      <c r="I5625" s="9"/>
      <c r="J5625" s="24"/>
      <c r="K5625" s="10"/>
      <c r="L5625" s="25"/>
      <c r="M5625" s="7"/>
      <c r="N5625" s="8"/>
      <c r="O5625" s="11"/>
      <c r="P5625" s="11"/>
      <c r="Q5625" s="8"/>
      <c r="R5625" s="6"/>
      <c r="S5625" s="3"/>
      <c r="T5625" s="3"/>
      <c r="U5625" s="7"/>
      <c r="V5625" s="436"/>
      <c r="W5625" s="6"/>
      <c r="X5625" s="41"/>
      <c r="Y5625" s="8"/>
      <c r="AH5625" s="325"/>
      <c r="AI5625" s="325"/>
      <c r="AJ5625" s="325"/>
    </row>
    <row r="5626" spans="1:36" s="13" customFormat="1" ht="11.25" customHeight="1">
      <c r="C5626" s="4"/>
      <c r="D5626" s="4"/>
      <c r="E5626" s="5"/>
      <c r="F5626" s="39"/>
      <c r="G5626" s="31"/>
      <c r="H5626" s="6"/>
      <c r="I5626" s="9"/>
      <c r="J5626" s="24"/>
      <c r="K5626" s="10"/>
      <c r="L5626" s="25"/>
      <c r="M5626" s="7"/>
      <c r="N5626" s="8"/>
      <c r="O5626" s="11"/>
      <c r="P5626" s="11"/>
      <c r="Q5626" s="8"/>
      <c r="R5626" s="6"/>
      <c r="S5626" s="3"/>
      <c r="T5626" s="3"/>
      <c r="U5626" s="7"/>
      <c r="V5626" s="436"/>
      <c r="W5626" s="6"/>
      <c r="X5626" s="41"/>
      <c r="Y5626" s="8"/>
      <c r="AH5626" s="325"/>
      <c r="AI5626" s="325"/>
      <c r="AJ5626" s="325"/>
    </row>
    <row r="5627" spans="1:36" s="13" customFormat="1" ht="11.25" customHeight="1">
      <c r="C5627" s="4"/>
      <c r="D5627" s="4"/>
      <c r="E5627" s="5"/>
      <c r="F5627" s="6"/>
      <c r="G5627" s="31"/>
      <c r="H5627" s="6"/>
      <c r="I5627" s="9"/>
      <c r="J5627" s="24"/>
      <c r="K5627" s="10"/>
      <c r="L5627" s="25"/>
      <c r="M5627" s="7"/>
      <c r="N5627" s="8"/>
      <c r="O5627" s="11"/>
      <c r="P5627" s="11"/>
      <c r="Q5627" s="8"/>
      <c r="R5627" s="6"/>
      <c r="S5627" s="3"/>
      <c r="T5627" s="3"/>
      <c r="U5627" s="7"/>
      <c r="V5627" s="436"/>
      <c r="W5627" s="6"/>
      <c r="X5627" s="41"/>
      <c r="Y5627" s="8"/>
      <c r="AH5627" s="325"/>
      <c r="AI5627" s="325"/>
      <c r="AJ5627" s="325"/>
    </row>
    <row r="5628" spans="1:36" s="13" customFormat="1" ht="11.25" customHeight="1">
      <c r="C5628" s="4"/>
      <c r="D5628" s="4"/>
      <c r="E5628" s="5"/>
      <c r="F5628" s="6"/>
      <c r="G5628" s="31"/>
      <c r="H5628" s="6"/>
      <c r="I5628" s="9"/>
      <c r="J5628" s="24"/>
      <c r="K5628" s="10"/>
      <c r="L5628" s="25"/>
      <c r="M5628" s="7"/>
      <c r="N5628" s="8"/>
      <c r="O5628" s="11"/>
      <c r="P5628" s="11"/>
      <c r="Q5628" s="8"/>
      <c r="R5628" s="6"/>
      <c r="S5628" s="3"/>
      <c r="T5628" s="3"/>
      <c r="U5628" s="7"/>
      <c r="V5628" s="436"/>
      <c r="W5628" s="6"/>
      <c r="X5628" s="41"/>
      <c r="Y5628" s="8"/>
      <c r="AH5628" s="325"/>
      <c r="AI5628" s="325"/>
      <c r="AJ5628" s="325"/>
    </row>
    <row r="5629" spans="1:36" s="14" customFormat="1" ht="11.25" customHeight="1">
      <c r="A5629" s="13"/>
      <c r="B5629" s="13"/>
      <c r="C5629" s="4"/>
      <c r="D5629" s="4"/>
      <c r="E5629" s="5"/>
      <c r="F5629" s="6"/>
      <c r="G5629" s="31"/>
      <c r="H5629" s="6"/>
      <c r="I5629" s="9"/>
      <c r="J5629" s="24"/>
      <c r="K5629" s="10"/>
      <c r="L5629" s="25"/>
      <c r="M5629" s="7"/>
      <c r="N5629" s="8"/>
      <c r="O5629" s="11"/>
      <c r="P5629" s="11"/>
      <c r="Q5629" s="8"/>
      <c r="R5629" s="6"/>
      <c r="S5629" s="3"/>
      <c r="T5629" s="3"/>
      <c r="U5629" s="7"/>
      <c r="V5629" s="436"/>
      <c r="W5629" s="6"/>
      <c r="X5629" s="41"/>
      <c r="Y5629" s="8"/>
      <c r="AH5629" s="327"/>
      <c r="AI5629" s="327"/>
      <c r="AJ5629" s="327"/>
    </row>
    <row r="5630" spans="1:36" s="14" customFormat="1" ht="11.25" customHeight="1">
      <c r="A5630" s="13"/>
      <c r="B5630" s="13"/>
      <c r="C5630" s="4"/>
      <c r="D5630" s="4"/>
      <c r="E5630" s="5"/>
      <c r="F5630" s="6"/>
      <c r="G5630" s="31"/>
      <c r="H5630" s="6"/>
      <c r="I5630" s="9"/>
      <c r="J5630" s="24"/>
      <c r="K5630" s="10"/>
      <c r="L5630" s="25"/>
      <c r="M5630" s="7"/>
      <c r="N5630" s="8"/>
      <c r="O5630" s="11"/>
      <c r="P5630" s="11"/>
      <c r="Q5630" s="8"/>
      <c r="R5630" s="6"/>
      <c r="S5630" s="3"/>
      <c r="T5630" s="3"/>
      <c r="U5630" s="7"/>
      <c r="V5630" s="436"/>
      <c r="W5630" s="6"/>
      <c r="X5630" s="41"/>
      <c r="Y5630" s="8"/>
      <c r="AH5630" s="327"/>
      <c r="AI5630" s="327"/>
      <c r="AJ5630" s="327"/>
    </row>
    <row r="5631" spans="1:36" s="14" customFormat="1" ht="11.25" customHeight="1">
      <c r="A5631" s="13"/>
      <c r="B5631" s="13"/>
      <c r="C5631" s="4"/>
      <c r="D5631" s="4"/>
      <c r="E5631" s="5"/>
      <c r="F5631" s="6"/>
      <c r="G5631" s="31"/>
      <c r="H5631" s="6"/>
      <c r="I5631" s="9"/>
      <c r="J5631" s="24"/>
      <c r="K5631" s="10"/>
      <c r="L5631" s="25"/>
      <c r="M5631" s="7"/>
      <c r="N5631" s="8"/>
      <c r="O5631" s="11"/>
      <c r="P5631" s="11"/>
      <c r="Q5631" s="8"/>
      <c r="R5631" s="6"/>
      <c r="S5631" s="3"/>
      <c r="T5631" s="3"/>
      <c r="U5631" s="7"/>
      <c r="V5631" s="436"/>
      <c r="W5631" s="6"/>
      <c r="X5631" s="8"/>
      <c r="Y5631" s="8"/>
      <c r="AH5631" s="327"/>
      <c r="AI5631" s="327"/>
      <c r="AJ5631" s="327"/>
    </row>
    <row r="5632" spans="1:36" ht="11.25" customHeight="1">
      <c r="C5632" s="4"/>
      <c r="D5632" s="4"/>
      <c r="E5632" s="5"/>
      <c r="F5632" s="6"/>
      <c r="G5632" s="31"/>
      <c r="H5632" s="6"/>
      <c r="I5632" s="9"/>
      <c r="J5632" s="24"/>
      <c r="K5632" s="10"/>
      <c r="L5632" s="25"/>
      <c r="M5632" s="7"/>
      <c r="N5632" s="8"/>
      <c r="O5632" s="11"/>
      <c r="P5632" s="11"/>
      <c r="Q5632" s="8"/>
      <c r="R5632" s="6"/>
      <c r="S5632" s="3"/>
      <c r="T5632" s="3"/>
      <c r="U5632" s="7"/>
      <c r="V5632" s="436"/>
      <c r="W5632" s="6"/>
      <c r="X5632" s="8"/>
      <c r="Y5632" s="8"/>
    </row>
    <row r="5633" spans="1:36" ht="11.25" customHeight="1">
      <c r="C5633" s="4"/>
      <c r="D5633" s="4"/>
      <c r="E5633" s="5"/>
      <c r="F5633" s="6"/>
      <c r="G5633" s="31"/>
      <c r="H5633" s="6"/>
      <c r="I5633" s="9"/>
      <c r="J5633" s="24"/>
      <c r="K5633" s="10"/>
      <c r="L5633" s="25"/>
      <c r="M5633" s="7"/>
      <c r="N5633" s="8"/>
      <c r="O5633" s="11"/>
      <c r="P5633" s="11"/>
      <c r="Q5633" s="8"/>
      <c r="R5633" s="6"/>
      <c r="S5633" s="3"/>
      <c r="T5633" s="3"/>
      <c r="U5633" s="7"/>
      <c r="V5633" s="436"/>
      <c r="W5633" s="6"/>
      <c r="X5633" s="8"/>
      <c r="Y5633" s="8"/>
    </row>
    <row r="5634" spans="1:36" s="14" customFormat="1" ht="11.25" customHeight="1">
      <c r="A5634" s="13"/>
      <c r="B5634" s="13"/>
      <c r="C5634" s="4"/>
      <c r="D5634" s="4"/>
      <c r="E5634" s="5"/>
      <c r="F5634" s="6"/>
      <c r="G5634" s="31"/>
      <c r="H5634" s="6"/>
      <c r="I5634" s="9"/>
      <c r="J5634" s="24"/>
      <c r="K5634" s="10"/>
      <c r="L5634" s="25"/>
      <c r="M5634" s="7"/>
      <c r="N5634" s="8"/>
      <c r="O5634" s="11"/>
      <c r="P5634" s="11"/>
      <c r="Q5634" s="8"/>
      <c r="R5634" s="6"/>
      <c r="S5634" s="3"/>
      <c r="T5634" s="3"/>
      <c r="U5634" s="7"/>
      <c r="V5634" s="436"/>
      <c r="W5634" s="6"/>
      <c r="X5634" s="8"/>
      <c r="Y5634" s="8"/>
      <c r="AH5634" s="327"/>
      <c r="AI5634" s="327"/>
      <c r="AJ5634" s="327"/>
    </row>
    <row r="5635" spans="1:36" s="14" customFormat="1" ht="11.25" customHeight="1">
      <c r="A5635" s="13"/>
      <c r="B5635" s="13"/>
      <c r="C5635" s="4"/>
      <c r="D5635" s="4"/>
      <c r="E5635" s="5"/>
      <c r="F5635" s="6"/>
      <c r="G5635" s="31"/>
      <c r="H5635" s="6"/>
      <c r="I5635" s="9"/>
      <c r="J5635" s="24"/>
      <c r="K5635" s="10"/>
      <c r="L5635" s="25"/>
      <c r="M5635" s="7"/>
      <c r="N5635" s="8"/>
      <c r="O5635" s="11"/>
      <c r="P5635" s="11"/>
      <c r="Q5635" s="8"/>
      <c r="R5635" s="6"/>
      <c r="S5635" s="3"/>
      <c r="T5635" s="3"/>
      <c r="U5635" s="7"/>
      <c r="V5635" s="436"/>
      <c r="W5635" s="6"/>
      <c r="X5635" s="8"/>
      <c r="Y5635" s="8"/>
      <c r="AH5635" s="327"/>
      <c r="AI5635" s="327"/>
      <c r="AJ5635" s="327"/>
    </row>
    <row r="5636" spans="1:36" ht="11.25" customHeight="1">
      <c r="C5636" s="4"/>
      <c r="D5636" s="4"/>
      <c r="E5636" s="5"/>
      <c r="F5636" s="6"/>
      <c r="G5636" s="31"/>
      <c r="H5636" s="6"/>
      <c r="I5636" s="9"/>
      <c r="J5636" s="24"/>
      <c r="K5636" s="10"/>
      <c r="L5636" s="25"/>
      <c r="M5636" s="7"/>
      <c r="N5636" s="8"/>
      <c r="O5636" s="11"/>
      <c r="P5636" s="11"/>
      <c r="Q5636" s="8"/>
      <c r="R5636" s="6"/>
      <c r="S5636" s="3"/>
      <c r="T5636" s="3"/>
      <c r="U5636" s="7"/>
      <c r="V5636" s="436"/>
      <c r="W5636" s="6"/>
      <c r="X5636" s="8"/>
      <c r="Y5636" s="8"/>
    </row>
    <row r="5637" spans="1:36" ht="11.25" customHeight="1">
      <c r="C5637" s="4"/>
      <c r="D5637" s="4"/>
      <c r="E5637" s="5"/>
      <c r="F5637" s="6"/>
      <c r="G5637" s="31"/>
      <c r="H5637" s="6"/>
      <c r="I5637" s="9"/>
      <c r="J5637" s="24"/>
      <c r="K5637" s="10"/>
      <c r="L5637" s="25"/>
      <c r="M5637" s="7"/>
      <c r="N5637" s="8"/>
      <c r="O5637" s="11"/>
      <c r="P5637" s="11"/>
      <c r="Q5637" s="8"/>
      <c r="R5637" s="6"/>
      <c r="S5637" s="3"/>
      <c r="T5637" s="3"/>
      <c r="U5637" s="7"/>
      <c r="V5637" s="436"/>
      <c r="W5637" s="6"/>
      <c r="X5637" s="8"/>
      <c r="Y5637" s="8"/>
    </row>
    <row r="5638" spans="1:36" s="14" customFormat="1" ht="11.25" customHeight="1">
      <c r="A5638" s="13"/>
      <c r="B5638" s="13"/>
      <c r="C5638" s="4"/>
      <c r="D5638" s="4"/>
      <c r="E5638" s="5"/>
      <c r="F5638" s="6"/>
      <c r="G5638" s="31"/>
      <c r="H5638" s="6"/>
      <c r="I5638" s="9"/>
      <c r="J5638" s="24"/>
      <c r="K5638" s="10"/>
      <c r="L5638" s="25"/>
      <c r="M5638" s="7"/>
      <c r="N5638" s="8"/>
      <c r="O5638" s="11"/>
      <c r="P5638" s="11"/>
      <c r="Q5638" s="8"/>
      <c r="R5638" s="6"/>
      <c r="S5638" s="3"/>
      <c r="T5638" s="3"/>
      <c r="U5638" s="7"/>
      <c r="V5638" s="436"/>
      <c r="W5638" s="6"/>
      <c r="X5638" s="8"/>
      <c r="Y5638" s="8"/>
      <c r="AH5638" s="327"/>
      <c r="AI5638" s="327"/>
      <c r="AJ5638" s="327"/>
    </row>
    <row r="5639" spans="1:36" ht="11.25" customHeight="1">
      <c r="C5639" s="4"/>
      <c r="D5639" s="4"/>
      <c r="E5639" s="5"/>
      <c r="F5639" s="6"/>
      <c r="G5639" s="31"/>
      <c r="H5639" s="6"/>
      <c r="I5639" s="9"/>
      <c r="J5639" s="24"/>
      <c r="K5639" s="10"/>
      <c r="L5639" s="25"/>
      <c r="M5639" s="7"/>
      <c r="N5639" s="8"/>
      <c r="O5639" s="11"/>
      <c r="P5639" s="11"/>
      <c r="Q5639" s="8"/>
      <c r="R5639" s="6"/>
      <c r="S5639" s="3"/>
      <c r="T5639" s="3"/>
      <c r="U5639" s="7"/>
      <c r="V5639" s="436"/>
      <c r="W5639" s="6"/>
      <c r="X5639" s="8"/>
      <c r="Y5639" s="8"/>
    </row>
    <row r="5640" spans="1:36" ht="11.25" customHeight="1">
      <c r="C5640" s="4"/>
      <c r="D5640" s="4"/>
      <c r="E5640" s="5"/>
      <c r="F5640" s="6"/>
      <c r="G5640" s="31"/>
      <c r="H5640" s="6"/>
      <c r="I5640" s="9"/>
      <c r="J5640" s="24"/>
      <c r="K5640" s="10"/>
      <c r="L5640" s="25"/>
      <c r="M5640" s="7"/>
      <c r="N5640" s="8"/>
      <c r="O5640" s="11"/>
      <c r="P5640" s="11"/>
      <c r="Q5640" s="8"/>
      <c r="R5640" s="6"/>
      <c r="S5640" s="3"/>
      <c r="T5640" s="3"/>
      <c r="U5640" s="7"/>
      <c r="V5640" s="436"/>
      <c r="W5640" s="6"/>
      <c r="X5640" s="8"/>
      <c r="Y5640" s="8"/>
    </row>
    <row r="5641" spans="1:36" s="14" customFormat="1" ht="11.25" customHeight="1">
      <c r="A5641" s="13"/>
      <c r="B5641" s="13"/>
      <c r="C5641" s="4"/>
      <c r="D5641" s="4"/>
      <c r="E5641" s="5"/>
      <c r="F5641" s="6"/>
      <c r="G5641" s="31"/>
      <c r="H5641" s="6"/>
      <c r="I5641" s="9"/>
      <c r="J5641" s="24"/>
      <c r="K5641" s="10"/>
      <c r="L5641" s="25"/>
      <c r="M5641" s="7"/>
      <c r="N5641" s="8"/>
      <c r="O5641" s="11"/>
      <c r="P5641" s="11"/>
      <c r="Q5641" s="8"/>
      <c r="R5641" s="6"/>
      <c r="S5641" s="3"/>
      <c r="T5641" s="3"/>
      <c r="U5641" s="7"/>
      <c r="V5641" s="436"/>
      <c r="W5641" s="6"/>
      <c r="X5641" s="8"/>
      <c r="Y5641" s="8"/>
      <c r="AH5641" s="327"/>
      <c r="AI5641" s="327"/>
      <c r="AJ5641" s="327"/>
    </row>
    <row r="5642" spans="1:36" s="14" customFormat="1" ht="11.25" customHeight="1">
      <c r="A5642" s="13"/>
      <c r="B5642" s="13"/>
      <c r="C5642" s="4"/>
      <c r="D5642" s="4"/>
      <c r="E5642" s="5"/>
      <c r="F5642" s="6"/>
      <c r="G5642" s="31"/>
      <c r="H5642" s="6"/>
      <c r="I5642" s="9"/>
      <c r="J5642" s="24"/>
      <c r="K5642" s="10"/>
      <c r="L5642" s="25"/>
      <c r="M5642" s="7"/>
      <c r="N5642" s="8"/>
      <c r="O5642" s="11"/>
      <c r="P5642" s="11"/>
      <c r="Q5642" s="8"/>
      <c r="R5642" s="6"/>
      <c r="S5642" s="3"/>
      <c r="T5642" s="3"/>
      <c r="U5642" s="7"/>
      <c r="V5642" s="436"/>
      <c r="W5642" s="6"/>
      <c r="X5642" s="8"/>
      <c r="Y5642" s="8"/>
      <c r="AH5642" s="327"/>
      <c r="AI5642" s="327"/>
      <c r="AJ5642" s="327"/>
    </row>
    <row r="5643" spans="1:36" s="14" customFormat="1" ht="11.25" customHeight="1">
      <c r="A5643" s="13"/>
      <c r="B5643" s="13"/>
      <c r="C5643" s="4"/>
      <c r="D5643" s="4"/>
      <c r="E5643" s="5"/>
      <c r="F5643" s="6"/>
      <c r="G5643" s="31"/>
      <c r="H5643" s="6"/>
      <c r="I5643" s="9"/>
      <c r="J5643" s="24"/>
      <c r="K5643" s="10"/>
      <c r="L5643" s="25"/>
      <c r="M5643" s="7"/>
      <c r="N5643" s="8"/>
      <c r="O5643" s="11"/>
      <c r="P5643" s="11"/>
      <c r="Q5643" s="8"/>
      <c r="R5643" s="6"/>
      <c r="S5643" s="3"/>
      <c r="T5643" s="3"/>
      <c r="U5643" s="7"/>
      <c r="V5643" s="436"/>
      <c r="W5643" s="6"/>
      <c r="X5643" s="8"/>
      <c r="Y5643" s="8"/>
      <c r="AH5643" s="327"/>
      <c r="AI5643" s="327"/>
      <c r="AJ5643" s="327"/>
    </row>
    <row r="5644" spans="1:36" s="14" customFormat="1" ht="11.25" customHeight="1">
      <c r="A5644" s="13"/>
      <c r="B5644" s="13"/>
      <c r="C5644" s="4"/>
      <c r="D5644" s="4"/>
      <c r="E5644" s="5"/>
      <c r="F5644" s="6"/>
      <c r="G5644" s="31"/>
      <c r="H5644" s="6"/>
      <c r="I5644" s="9"/>
      <c r="J5644" s="24"/>
      <c r="K5644" s="10"/>
      <c r="L5644" s="25"/>
      <c r="M5644" s="7"/>
      <c r="N5644" s="8"/>
      <c r="O5644" s="11"/>
      <c r="P5644" s="11"/>
      <c r="Q5644" s="8"/>
      <c r="R5644" s="6"/>
      <c r="S5644" s="3"/>
      <c r="T5644" s="3"/>
      <c r="U5644" s="7"/>
      <c r="V5644" s="436"/>
      <c r="W5644" s="6"/>
      <c r="X5644" s="8"/>
      <c r="Y5644" s="8"/>
      <c r="AH5644" s="327"/>
      <c r="AI5644" s="327"/>
      <c r="AJ5644" s="327"/>
    </row>
    <row r="5645" spans="1:36" s="14" customFormat="1" ht="11.25" customHeight="1">
      <c r="A5645" s="13"/>
      <c r="B5645" s="13"/>
      <c r="C5645" s="4"/>
      <c r="D5645" s="4"/>
      <c r="E5645" s="5"/>
      <c r="F5645" s="6"/>
      <c r="G5645" s="31"/>
      <c r="H5645" s="6"/>
      <c r="I5645" s="9"/>
      <c r="J5645" s="24"/>
      <c r="K5645" s="10"/>
      <c r="L5645" s="7"/>
      <c r="M5645" s="7"/>
      <c r="N5645" s="8"/>
      <c r="O5645" s="11"/>
      <c r="P5645" s="11"/>
      <c r="Q5645" s="8"/>
      <c r="R5645" s="6"/>
      <c r="S5645" s="3"/>
      <c r="T5645" s="3"/>
      <c r="U5645" s="7"/>
      <c r="V5645" s="436"/>
      <c r="W5645" s="6"/>
      <c r="X5645" s="8"/>
      <c r="Y5645" s="8"/>
      <c r="AH5645" s="327"/>
      <c r="AI5645" s="327"/>
      <c r="AJ5645" s="327"/>
    </row>
    <row r="5646" spans="1:36" ht="11.25" customHeight="1">
      <c r="C5646" s="4"/>
      <c r="D5646" s="4"/>
      <c r="E5646" s="5"/>
      <c r="F5646" s="6"/>
      <c r="G5646" s="31"/>
      <c r="H5646" s="6"/>
      <c r="I5646" s="9"/>
      <c r="J5646" s="24"/>
      <c r="K5646" s="10"/>
      <c r="L5646" s="7"/>
      <c r="M5646" s="7"/>
      <c r="N5646" s="8"/>
      <c r="O5646" s="11"/>
      <c r="P5646" s="11"/>
      <c r="Q5646" s="8"/>
      <c r="R5646" s="6"/>
      <c r="S5646" s="3"/>
      <c r="T5646" s="3"/>
      <c r="U5646" s="7"/>
      <c r="V5646" s="436"/>
      <c r="W5646" s="6"/>
      <c r="X5646" s="8"/>
      <c r="Y5646" s="8"/>
    </row>
    <row r="5647" spans="1:36" ht="11.25" customHeight="1">
      <c r="C5647" s="4"/>
      <c r="D5647" s="4"/>
      <c r="E5647" s="5"/>
      <c r="F5647" s="6"/>
      <c r="G5647" s="31"/>
      <c r="H5647" s="6"/>
      <c r="I5647" s="9"/>
      <c r="J5647" s="24"/>
      <c r="K5647" s="10"/>
      <c r="L5647" s="7"/>
      <c r="M5647" s="7"/>
      <c r="N5647" s="8"/>
      <c r="O5647" s="11"/>
      <c r="P5647" s="11"/>
      <c r="Q5647" s="8"/>
      <c r="R5647" s="6"/>
      <c r="S5647" s="3"/>
      <c r="T5647" s="3"/>
      <c r="U5647" s="7"/>
      <c r="V5647" s="436"/>
      <c r="W5647" s="6"/>
      <c r="X5647" s="8"/>
      <c r="Y5647" s="8"/>
    </row>
    <row r="5648" spans="1:36" ht="11.25" customHeight="1">
      <c r="C5648" s="4"/>
      <c r="D5648" s="4"/>
      <c r="E5648" s="5"/>
      <c r="F5648" s="6"/>
      <c r="G5648" s="31"/>
      <c r="H5648" s="6"/>
      <c r="I5648" s="9"/>
      <c r="J5648" s="24"/>
      <c r="K5648" s="10"/>
      <c r="L5648" s="7"/>
      <c r="M5648" s="7"/>
      <c r="N5648" s="8"/>
      <c r="O5648" s="11"/>
      <c r="P5648" s="11"/>
      <c r="Q5648" s="8"/>
      <c r="R5648" s="6"/>
      <c r="S5648" s="3"/>
      <c r="T5648" s="3"/>
      <c r="U5648" s="7"/>
      <c r="V5648" s="436"/>
      <c r="W5648" s="6"/>
      <c r="X5648" s="8"/>
      <c r="Y5648" s="8"/>
    </row>
    <row r="5649" spans="1:36" s="12" customFormat="1" ht="11.25" customHeight="1">
      <c r="A5649" s="13"/>
      <c r="B5649" s="13"/>
      <c r="C5649" s="4"/>
      <c r="D5649" s="4"/>
      <c r="E5649" s="5"/>
      <c r="F5649" s="6"/>
      <c r="G5649" s="31"/>
      <c r="H5649" s="6"/>
      <c r="I5649" s="9"/>
      <c r="J5649" s="24"/>
      <c r="K5649" s="10"/>
      <c r="L5649" s="7"/>
      <c r="M5649" s="7"/>
      <c r="N5649" s="8"/>
      <c r="O5649" s="11"/>
      <c r="P5649" s="11"/>
      <c r="Q5649" s="8"/>
      <c r="R5649" s="6"/>
      <c r="S5649" s="3"/>
      <c r="T5649" s="3"/>
      <c r="U5649" s="7"/>
      <c r="V5649" s="436"/>
      <c r="W5649" s="6"/>
      <c r="X5649" s="8"/>
      <c r="Y5649" s="8"/>
      <c r="AH5649" s="328"/>
      <c r="AI5649" s="328"/>
      <c r="AJ5649" s="328"/>
    </row>
    <row r="5650" spans="1:36" s="12" customFormat="1" ht="11.25" customHeight="1">
      <c r="A5650" s="13"/>
      <c r="B5650" s="13"/>
      <c r="C5650" s="4"/>
      <c r="D5650" s="4"/>
      <c r="E5650" s="5"/>
      <c r="F5650" s="6"/>
      <c r="G5650" s="31"/>
      <c r="H5650" s="6"/>
      <c r="I5650" s="9"/>
      <c r="J5650" s="24"/>
      <c r="K5650" s="10"/>
      <c r="L5650" s="25"/>
      <c r="M5650" s="7"/>
      <c r="N5650" s="8"/>
      <c r="O5650" s="11"/>
      <c r="P5650" s="11"/>
      <c r="Q5650" s="8"/>
      <c r="R5650" s="6"/>
      <c r="S5650" s="3"/>
      <c r="T5650" s="3"/>
      <c r="U5650" s="7"/>
      <c r="V5650" s="436"/>
      <c r="W5650" s="6"/>
      <c r="X5650" s="8"/>
      <c r="Y5650" s="8"/>
      <c r="AH5650" s="328"/>
      <c r="AI5650" s="328"/>
      <c r="AJ5650" s="328"/>
    </row>
    <row r="5651" spans="1:36" ht="11.25" customHeight="1">
      <c r="C5651" s="4"/>
      <c r="D5651" s="4"/>
      <c r="E5651" s="5"/>
      <c r="F5651" s="6"/>
      <c r="G5651" s="31"/>
      <c r="H5651" s="6"/>
      <c r="I5651" s="9"/>
      <c r="J5651" s="24"/>
      <c r="K5651" s="10"/>
      <c r="L5651" s="25"/>
      <c r="M5651" s="7"/>
      <c r="N5651" s="8"/>
      <c r="O5651" s="11"/>
      <c r="P5651" s="11"/>
      <c r="Q5651" s="8"/>
      <c r="R5651" s="6"/>
      <c r="S5651" s="3"/>
      <c r="T5651" s="3"/>
      <c r="U5651" s="7"/>
      <c r="V5651" s="436"/>
      <c r="W5651" s="6"/>
      <c r="X5651" s="8"/>
      <c r="Y5651" s="8"/>
    </row>
    <row r="5652" spans="1:36" ht="11.25" customHeight="1">
      <c r="C5652" s="4"/>
      <c r="D5652" s="4"/>
      <c r="E5652" s="5"/>
      <c r="F5652" s="6"/>
      <c r="G5652" s="31"/>
      <c r="H5652" s="6"/>
      <c r="I5652" s="9"/>
      <c r="J5652" s="24"/>
      <c r="K5652" s="10"/>
      <c r="L5652" s="25"/>
      <c r="M5652" s="7"/>
      <c r="N5652" s="8"/>
      <c r="O5652" s="11"/>
      <c r="P5652" s="11"/>
      <c r="Q5652" s="8"/>
      <c r="R5652" s="6"/>
      <c r="S5652" s="3"/>
      <c r="T5652" s="3"/>
      <c r="U5652" s="7"/>
      <c r="V5652" s="436"/>
      <c r="W5652" s="6"/>
      <c r="X5652" s="8"/>
      <c r="Y5652" s="8"/>
    </row>
    <row r="5653" spans="1:36" ht="11.25" customHeight="1">
      <c r="C5653" s="4"/>
      <c r="D5653" s="4"/>
      <c r="E5653" s="5"/>
      <c r="F5653" s="6"/>
      <c r="G5653" s="31"/>
      <c r="H5653" s="6"/>
      <c r="I5653" s="9"/>
      <c r="J5653" s="24"/>
      <c r="K5653" s="10"/>
      <c r="L5653" s="25"/>
      <c r="M5653" s="7"/>
      <c r="N5653" s="8"/>
      <c r="O5653" s="11"/>
      <c r="P5653" s="11"/>
      <c r="Q5653" s="8"/>
      <c r="R5653" s="6"/>
      <c r="S5653" s="3"/>
      <c r="T5653" s="3"/>
      <c r="U5653" s="7"/>
      <c r="V5653" s="436"/>
      <c r="W5653" s="6"/>
      <c r="X5653" s="8"/>
      <c r="Y5653" s="8"/>
    </row>
    <row r="5654" spans="1:36" ht="11.25" customHeight="1">
      <c r="C5654" s="4"/>
      <c r="D5654" s="4"/>
      <c r="E5654" s="5"/>
      <c r="F5654" s="6"/>
      <c r="G5654" s="31"/>
      <c r="H5654" s="6"/>
      <c r="I5654" s="9"/>
      <c r="J5654" s="24"/>
      <c r="K5654" s="10"/>
      <c r="L5654" s="25"/>
      <c r="M5654" s="7"/>
      <c r="N5654" s="8"/>
      <c r="O5654" s="11"/>
      <c r="P5654" s="11"/>
      <c r="Q5654" s="8"/>
      <c r="R5654" s="6"/>
      <c r="S5654" s="3"/>
      <c r="T5654" s="3"/>
      <c r="U5654" s="7"/>
      <c r="V5654" s="436"/>
      <c r="W5654" s="6"/>
      <c r="X5654" s="8"/>
      <c r="Y5654" s="8"/>
    </row>
    <row r="5655" spans="1:36" ht="11.25" customHeight="1">
      <c r="C5655" s="4"/>
      <c r="D5655" s="4"/>
      <c r="E5655" s="5"/>
      <c r="F5655" s="6"/>
      <c r="G5655" s="31"/>
      <c r="H5655" s="6"/>
      <c r="I5655" s="9"/>
      <c r="J5655" s="24"/>
      <c r="K5655" s="10"/>
      <c r="L5655" s="25"/>
      <c r="M5655" s="7"/>
      <c r="N5655" s="8"/>
      <c r="O5655" s="11"/>
      <c r="P5655" s="11"/>
      <c r="Q5655" s="8"/>
      <c r="R5655" s="6"/>
      <c r="S5655" s="3"/>
      <c r="T5655" s="3"/>
      <c r="U5655" s="7"/>
      <c r="V5655" s="436"/>
      <c r="W5655" s="6"/>
      <c r="X5655" s="8"/>
      <c r="Y5655" s="8"/>
    </row>
    <row r="5656" spans="1:36" ht="11.25" customHeight="1">
      <c r="C5656" s="4"/>
      <c r="D5656" s="4"/>
      <c r="E5656" s="5"/>
      <c r="F5656" s="6"/>
      <c r="G5656" s="31"/>
      <c r="H5656" s="6"/>
      <c r="I5656" s="9"/>
      <c r="J5656" s="24"/>
      <c r="K5656" s="9"/>
      <c r="L5656" s="25"/>
      <c r="M5656" s="7"/>
      <c r="N5656" s="8"/>
      <c r="O5656" s="11"/>
      <c r="P5656" s="11"/>
      <c r="Q5656" s="8"/>
      <c r="R5656" s="6"/>
      <c r="S5656" s="3"/>
      <c r="T5656" s="3"/>
      <c r="U5656" s="7"/>
      <c r="V5656" s="436"/>
      <c r="W5656" s="6"/>
      <c r="X5656" s="8"/>
      <c r="Y5656" s="8"/>
    </row>
    <row r="5657" spans="1:36" ht="11.25" customHeight="1">
      <c r="C5657" s="4"/>
      <c r="D5657" s="4"/>
      <c r="E5657" s="5"/>
      <c r="F5657" s="6"/>
      <c r="G5657" s="31"/>
      <c r="H5657" s="6"/>
      <c r="I5657" s="9"/>
      <c r="J5657" s="24"/>
      <c r="K5657" s="9"/>
      <c r="L5657" s="25"/>
      <c r="M5657" s="7"/>
      <c r="N5657" s="8"/>
      <c r="O5657" s="11"/>
      <c r="P5657" s="11"/>
      <c r="Q5657" s="8"/>
      <c r="R5657" s="6"/>
      <c r="S5657" s="3"/>
      <c r="T5657" s="3"/>
      <c r="U5657" s="7"/>
      <c r="V5657" s="436"/>
      <c r="W5657" s="6"/>
      <c r="X5657" s="8"/>
      <c r="Y5657" s="8"/>
    </row>
    <row r="5658" spans="1:36" ht="11.25" customHeight="1">
      <c r="C5658" s="4"/>
      <c r="D5658" s="4"/>
      <c r="E5658" s="5"/>
      <c r="F5658" s="6"/>
      <c r="G5658" s="31"/>
      <c r="H5658" s="6"/>
      <c r="I5658" s="9"/>
      <c r="J5658" s="24"/>
      <c r="K5658" s="9"/>
      <c r="L5658" s="25"/>
      <c r="M5658" s="7"/>
      <c r="N5658" s="8"/>
      <c r="O5658" s="11"/>
      <c r="P5658" s="11"/>
      <c r="Q5658" s="8"/>
      <c r="R5658" s="6"/>
      <c r="S5658" s="3"/>
      <c r="T5658" s="3"/>
      <c r="U5658" s="7"/>
      <c r="V5658" s="436"/>
      <c r="W5658" s="6"/>
      <c r="X5658" s="8"/>
      <c r="Y5658" s="8"/>
    </row>
    <row r="5659" spans="1:36" ht="11.25" customHeight="1">
      <c r="C5659" s="4"/>
      <c r="D5659" s="4"/>
      <c r="E5659" s="5"/>
      <c r="F5659" s="6"/>
      <c r="G5659" s="31"/>
      <c r="H5659" s="6"/>
      <c r="I5659" s="9"/>
      <c r="J5659" s="24"/>
      <c r="K5659" s="9"/>
      <c r="L5659" s="25"/>
      <c r="M5659" s="7"/>
      <c r="N5659" s="8"/>
      <c r="O5659" s="11"/>
      <c r="P5659" s="11"/>
      <c r="Q5659" s="8"/>
      <c r="R5659" s="6"/>
      <c r="S5659" s="3"/>
      <c r="T5659" s="3"/>
      <c r="U5659" s="7"/>
      <c r="V5659" s="436"/>
      <c r="W5659" s="6"/>
      <c r="X5659" s="8"/>
      <c r="Y5659" s="8"/>
    </row>
    <row r="5660" spans="1:36" ht="11.25" customHeight="1">
      <c r="C5660" s="4"/>
      <c r="D5660" s="4"/>
      <c r="E5660" s="5"/>
      <c r="F5660" s="6"/>
      <c r="G5660" s="31"/>
      <c r="H5660" s="6"/>
      <c r="I5660" s="9"/>
      <c r="J5660" s="24"/>
      <c r="K5660" s="9"/>
      <c r="L5660" s="25"/>
      <c r="M5660" s="7"/>
      <c r="N5660" s="8"/>
      <c r="O5660" s="11"/>
      <c r="P5660" s="11"/>
      <c r="Q5660" s="8"/>
      <c r="R5660" s="6"/>
      <c r="S5660" s="3"/>
      <c r="T5660" s="3"/>
      <c r="U5660" s="7"/>
      <c r="V5660" s="436"/>
      <c r="W5660" s="6"/>
      <c r="X5660" s="8"/>
      <c r="Y5660" s="8"/>
    </row>
    <row r="5661" spans="1:36" ht="11.25" customHeight="1">
      <c r="C5661" s="4"/>
      <c r="D5661" s="4"/>
      <c r="E5661" s="5"/>
      <c r="F5661" s="6"/>
      <c r="G5661" s="31"/>
      <c r="H5661" s="6"/>
      <c r="I5661" s="9"/>
      <c r="J5661" s="24"/>
      <c r="K5661" s="9"/>
      <c r="L5661" s="25"/>
      <c r="M5661" s="7"/>
      <c r="N5661" s="8"/>
      <c r="O5661" s="11"/>
      <c r="P5661" s="11"/>
      <c r="Q5661" s="8"/>
      <c r="R5661" s="6"/>
      <c r="S5661" s="3"/>
      <c r="T5661" s="3"/>
      <c r="U5661" s="7"/>
      <c r="V5661" s="436"/>
      <c r="W5661" s="6"/>
      <c r="X5661" s="8"/>
      <c r="Y5661" s="8"/>
    </row>
    <row r="5662" spans="1:36" ht="11.25" customHeight="1">
      <c r="C5662" s="4"/>
      <c r="D5662" s="4"/>
      <c r="E5662" s="5"/>
      <c r="F5662" s="6"/>
      <c r="G5662" s="31"/>
      <c r="H5662" s="6"/>
      <c r="I5662" s="9"/>
      <c r="J5662" s="24"/>
      <c r="K5662" s="9"/>
      <c r="L5662" s="25"/>
      <c r="M5662" s="7"/>
      <c r="N5662" s="8"/>
      <c r="O5662" s="11"/>
      <c r="P5662" s="11"/>
      <c r="Q5662" s="8"/>
      <c r="R5662" s="6"/>
      <c r="S5662" s="3"/>
      <c r="T5662" s="3"/>
      <c r="U5662" s="7"/>
      <c r="V5662" s="436"/>
      <c r="W5662" s="6"/>
      <c r="X5662" s="8"/>
      <c r="Y5662" s="8"/>
    </row>
    <row r="5663" spans="1:36" ht="11.25" customHeight="1">
      <c r="C5663" s="4"/>
      <c r="D5663" s="4"/>
      <c r="E5663" s="5"/>
      <c r="F5663" s="6"/>
      <c r="G5663" s="31"/>
      <c r="H5663" s="6"/>
      <c r="I5663" s="9"/>
      <c r="J5663" s="24"/>
      <c r="K5663" s="9"/>
      <c r="L5663" s="25"/>
      <c r="M5663" s="7"/>
      <c r="N5663" s="8"/>
      <c r="O5663" s="11"/>
      <c r="P5663" s="11"/>
      <c r="Q5663" s="8"/>
      <c r="R5663" s="6"/>
      <c r="S5663" s="3"/>
      <c r="T5663" s="3"/>
      <c r="U5663" s="7"/>
      <c r="V5663" s="436"/>
      <c r="W5663" s="6"/>
      <c r="X5663" s="8"/>
      <c r="Y5663" s="8"/>
    </row>
    <row r="5664" spans="1:36" ht="11.25" customHeight="1">
      <c r="C5664" s="4"/>
      <c r="D5664" s="4"/>
      <c r="E5664" s="5"/>
      <c r="F5664" s="6"/>
      <c r="G5664" s="31"/>
      <c r="H5664" s="6"/>
      <c r="I5664" s="9"/>
      <c r="J5664" s="24"/>
      <c r="K5664" s="9"/>
      <c r="L5664" s="25"/>
      <c r="M5664" s="7"/>
      <c r="N5664" s="8"/>
      <c r="O5664" s="11"/>
      <c r="P5664" s="11"/>
      <c r="Q5664" s="8"/>
      <c r="R5664" s="6"/>
      <c r="S5664" s="3"/>
      <c r="T5664" s="3"/>
      <c r="U5664" s="7"/>
      <c r="V5664" s="436"/>
      <c r="W5664" s="6"/>
      <c r="X5664" s="8"/>
      <c r="Y5664" s="8"/>
    </row>
    <row r="5665" spans="1:36" ht="11.25" customHeight="1">
      <c r="C5665" s="4"/>
      <c r="D5665" s="4"/>
      <c r="E5665" s="5"/>
      <c r="F5665" s="6"/>
      <c r="G5665" s="31"/>
      <c r="H5665" s="6"/>
      <c r="I5665" s="9"/>
      <c r="J5665" s="24"/>
      <c r="K5665" s="9"/>
      <c r="L5665" s="25"/>
      <c r="M5665" s="7"/>
      <c r="N5665" s="8"/>
      <c r="O5665" s="11"/>
      <c r="P5665" s="11"/>
      <c r="Q5665" s="8"/>
      <c r="R5665" s="6"/>
      <c r="S5665" s="3"/>
      <c r="T5665" s="3"/>
      <c r="U5665" s="7"/>
      <c r="V5665" s="436"/>
      <c r="W5665" s="6"/>
      <c r="X5665" s="8"/>
      <c r="Y5665" s="8"/>
    </row>
    <row r="5666" spans="1:36" ht="11.25" customHeight="1">
      <c r="C5666" s="4"/>
      <c r="D5666" s="4"/>
      <c r="E5666" s="5"/>
      <c r="F5666" s="6"/>
      <c r="G5666" s="31"/>
      <c r="H5666" s="6"/>
      <c r="I5666" s="9"/>
      <c r="J5666" s="24"/>
      <c r="K5666" s="9"/>
      <c r="L5666" s="25"/>
      <c r="M5666" s="7"/>
      <c r="N5666" s="8"/>
      <c r="O5666" s="11"/>
      <c r="P5666" s="11"/>
      <c r="Q5666" s="8"/>
      <c r="R5666" s="6"/>
      <c r="S5666" s="3"/>
      <c r="T5666" s="3"/>
      <c r="U5666" s="7"/>
      <c r="V5666" s="436"/>
      <c r="W5666" s="6"/>
      <c r="X5666" s="8"/>
      <c r="Y5666" s="8"/>
    </row>
    <row r="5667" spans="1:36" ht="11.25" customHeight="1">
      <c r="C5667" s="4"/>
      <c r="D5667" s="4"/>
      <c r="E5667" s="5"/>
      <c r="F5667" s="6"/>
      <c r="G5667" s="31"/>
      <c r="H5667" s="6"/>
      <c r="I5667" s="9"/>
      <c r="J5667" s="24"/>
      <c r="K5667" s="9"/>
      <c r="L5667" s="25"/>
      <c r="M5667" s="7"/>
      <c r="N5667" s="8"/>
      <c r="O5667" s="11"/>
      <c r="P5667" s="11"/>
      <c r="Q5667" s="8"/>
      <c r="R5667" s="6"/>
      <c r="S5667" s="3"/>
      <c r="T5667" s="3"/>
      <c r="U5667" s="7"/>
      <c r="V5667" s="436"/>
      <c r="W5667" s="6"/>
      <c r="X5667" s="8"/>
      <c r="Y5667" s="8"/>
    </row>
    <row r="5668" spans="1:36" s="12" customFormat="1" ht="11.25" customHeight="1">
      <c r="A5668" s="13"/>
      <c r="B5668" s="13"/>
      <c r="C5668" s="4"/>
      <c r="D5668" s="4"/>
      <c r="E5668" s="5"/>
      <c r="F5668" s="6"/>
      <c r="G5668" s="31"/>
      <c r="H5668" s="6"/>
      <c r="I5668" s="9"/>
      <c r="J5668" s="24"/>
      <c r="K5668" s="9"/>
      <c r="L5668" s="25"/>
      <c r="M5668" s="7"/>
      <c r="N5668" s="8"/>
      <c r="O5668" s="11"/>
      <c r="P5668" s="11"/>
      <c r="Q5668" s="8"/>
      <c r="R5668" s="6"/>
      <c r="S5668" s="3"/>
      <c r="T5668" s="3"/>
      <c r="U5668" s="7"/>
      <c r="V5668" s="436"/>
      <c r="W5668" s="6"/>
      <c r="X5668" s="8"/>
      <c r="Y5668" s="8"/>
      <c r="AH5668" s="328"/>
      <c r="AI5668" s="328"/>
      <c r="AJ5668" s="328"/>
    </row>
    <row r="5669" spans="1:36" s="12" customFormat="1" ht="11.25" customHeight="1">
      <c r="A5669" s="13"/>
      <c r="B5669" s="13"/>
      <c r="C5669" s="4"/>
      <c r="D5669" s="4"/>
      <c r="E5669" s="5"/>
      <c r="F5669" s="6"/>
      <c r="G5669" s="31"/>
      <c r="H5669" s="6"/>
      <c r="I5669" s="9"/>
      <c r="J5669" s="24"/>
      <c r="K5669" s="9"/>
      <c r="L5669" s="25"/>
      <c r="M5669" s="7"/>
      <c r="N5669" s="8"/>
      <c r="O5669" s="11"/>
      <c r="P5669" s="11"/>
      <c r="Q5669" s="8"/>
      <c r="R5669" s="6"/>
      <c r="S5669" s="3"/>
      <c r="T5669" s="3"/>
      <c r="U5669" s="7"/>
      <c r="V5669" s="436"/>
      <c r="W5669" s="6"/>
      <c r="X5669" s="8"/>
      <c r="Y5669" s="8"/>
      <c r="AH5669" s="328"/>
      <c r="AI5669" s="328"/>
      <c r="AJ5669" s="328"/>
    </row>
    <row r="5670" spans="1:36" s="12" customFormat="1" ht="11.25" customHeight="1">
      <c r="A5670" s="13"/>
      <c r="B5670" s="13"/>
      <c r="C5670" s="4"/>
      <c r="D5670" s="4"/>
      <c r="E5670" s="5"/>
      <c r="F5670" s="6"/>
      <c r="G5670" s="31"/>
      <c r="H5670" s="6"/>
      <c r="I5670" s="9"/>
      <c r="J5670" s="24"/>
      <c r="K5670" s="9"/>
      <c r="L5670" s="25"/>
      <c r="M5670" s="7"/>
      <c r="N5670" s="8"/>
      <c r="O5670" s="11"/>
      <c r="P5670" s="11"/>
      <c r="Q5670" s="8"/>
      <c r="R5670" s="6"/>
      <c r="S5670" s="3"/>
      <c r="T5670" s="3"/>
      <c r="U5670" s="7"/>
      <c r="V5670" s="436"/>
      <c r="W5670" s="6"/>
      <c r="X5670" s="8"/>
      <c r="Y5670" s="8"/>
      <c r="AH5670" s="328"/>
      <c r="AI5670" s="328"/>
      <c r="AJ5670" s="328"/>
    </row>
    <row r="5671" spans="1:36" s="12" customFormat="1" ht="11.25" customHeight="1">
      <c r="A5671" s="13"/>
      <c r="B5671" s="13"/>
      <c r="C5671" s="4"/>
      <c r="D5671" s="4"/>
      <c r="E5671" s="5"/>
      <c r="F5671" s="6"/>
      <c r="G5671" s="31"/>
      <c r="H5671" s="6"/>
      <c r="I5671" s="9"/>
      <c r="J5671" s="24"/>
      <c r="K5671" s="9"/>
      <c r="L5671" s="25"/>
      <c r="M5671" s="7"/>
      <c r="N5671" s="8"/>
      <c r="O5671" s="11"/>
      <c r="P5671" s="11"/>
      <c r="Q5671" s="8"/>
      <c r="R5671" s="6"/>
      <c r="S5671" s="3"/>
      <c r="T5671" s="3"/>
      <c r="U5671" s="7"/>
      <c r="V5671" s="436"/>
      <c r="W5671" s="6"/>
      <c r="X5671" s="8"/>
      <c r="Y5671" s="8"/>
      <c r="AH5671" s="328"/>
      <c r="AI5671" s="328"/>
      <c r="AJ5671" s="328"/>
    </row>
    <row r="5672" spans="1:36" s="12" customFormat="1" ht="11.25" customHeight="1">
      <c r="A5672" s="13"/>
      <c r="B5672" s="13"/>
      <c r="C5672" s="4"/>
      <c r="D5672" s="4"/>
      <c r="E5672" s="5"/>
      <c r="F5672" s="6"/>
      <c r="G5672" s="31"/>
      <c r="H5672" s="6"/>
      <c r="I5672" s="9"/>
      <c r="J5672" s="24"/>
      <c r="K5672" s="9"/>
      <c r="L5672" s="25"/>
      <c r="M5672" s="7"/>
      <c r="N5672" s="8"/>
      <c r="O5672" s="11"/>
      <c r="P5672" s="11"/>
      <c r="Q5672" s="8"/>
      <c r="R5672" s="6"/>
      <c r="S5672" s="3"/>
      <c r="T5672" s="3"/>
      <c r="U5672" s="7"/>
      <c r="V5672" s="436"/>
      <c r="W5672" s="6"/>
      <c r="X5672" s="8"/>
      <c r="Y5672" s="8"/>
      <c r="AH5672" s="328"/>
      <c r="AI5672" s="328"/>
      <c r="AJ5672" s="328"/>
    </row>
    <row r="5673" spans="1:36" s="12" customFormat="1" ht="11.25" customHeight="1">
      <c r="A5673" s="13"/>
      <c r="B5673" s="13"/>
      <c r="C5673" s="4"/>
      <c r="D5673" s="4"/>
      <c r="E5673" s="5"/>
      <c r="F5673" s="6"/>
      <c r="G5673" s="31"/>
      <c r="H5673" s="6"/>
      <c r="I5673" s="9"/>
      <c r="J5673" s="24"/>
      <c r="K5673" s="9"/>
      <c r="L5673" s="25"/>
      <c r="M5673" s="7"/>
      <c r="N5673" s="8"/>
      <c r="O5673" s="11"/>
      <c r="P5673" s="11"/>
      <c r="Q5673" s="8"/>
      <c r="R5673" s="6"/>
      <c r="S5673" s="3"/>
      <c r="T5673" s="3"/>
      <c r="U5673" s="7"/>
      <c r="V5673" s="436"/>
      <c r="W5673" s="6"/>
      <c r="X5673" s="8"/>
      <c r="Y5673" s="8"/>
      <c r="AH5673" s="328"/>
      <c r="AI5673" s="328"/>
      <c r="AJ5673" s="328"/>
    </row>
    <row r="5674" spans="1:36" ht="11.25" customHeight="1">
      <c r="C5674" s="4"/>
      <c r="D5674" s="4"/>
      <c r="E5674" s="5"/>
      <c r="F5674" s="6"/>
      <c r="G5674" s="31"/>
      <c r="H5674" s="6"/>
      <c r="I5674" s="9"/>
      <c r="J5674" s="24"/>
      <c r="K5674" s="9"/>
      <c r="L5674" s="25"/>
      <c r="M5674" s="7"/>
      <c r="N5674" s="8"/>
      <c r="O5674" s="11"/>
      <c r="P5674" s="11"/>
      <c r="Q5674" s="8"/>
      <c r="R5674" s="6"/>
      <c r="S5674" s="3"/>
      <c r="T5674" s="3"/>
      <c r="U5674" s="7"/>
      <c r="V5674" s="436"/>
      <c r="W5674" s="6"/>
      <c r="X5674" s="8"/>
      <c r="Y5674" s="8"/>
    </row>
    <row r="5675" spans="1:36" ht="11.25" customHeight="1">
      <c r="C5675" s="4"/>
      <c r="D5675" s="4"/>
      <c r="E5675" s="5"/>
      <c r="F5675" s="6"/>
      <c r="G5675" s="31"/>
      <c r="H5675" s="6"/>
      <c r="I5675" s="9"/>
      <c r="J5675" s="24"/>
      <c r="K5675" s="9"/>
      <c r="L5675" s="25"/>
      <c r="M5675" s="7"/>
      <c r="N5675" s="8"/>
      <c r="O5675" s="11"/>
      <c r="P5675" s="11"/>
      <c r="Q5675" s="8"/>
      <c r="R5675" s="6"/>
      <c r="S5675" s="3"/>
      <c r="T5675" s="3"/>
      <c r="U5675" s="7"/>
      <c r="V5675" s="436"/>
      <c r="W5675" s="6"/>
      <c r="X5675" s="8"/>
      <c r="Y5675" s="8"/>
    </row>
    <row r="5676" spans="1:36" s="12" customFormat="1" ht="11.25" customHeight="1">
      <c r="A5676" s="13"/>
      <c r="B5676" s="13"/>
      <c r="C5676" s="4"/>
      <c r="D5676" s="4"/>
      <c r="E5676" s="5"/>
      <c r="F5676" s="6"/>
      <c r="G5676" s="31"/>
      <c r="H5676" s="6"/>
      <c r="I5676" s="9"/>
      <c r="J5676" s="24"/>
      <c r="K5676" s="9"/>
      <c r="L5676" s="25"/>
      <c r="M5676" s="7"/>
      <c r="N5676" s="8"/>
      <c r="O5676" s="11"/>
      <c r="P5676" s="11"/>
      <c r="Q5676" s="8"/>
      <c r="R5676" s="6"/>
      <c r="S5676" s="3"/>
      <c r="T5676" s="3"/>
      <c r="U5676" s="7"/>
      <c r="V5676" s="436"/>
      <c r="W5676" s="6"/>
      <c r="X5676" s="8"/>
      <c r="Y5676" s="8"/>
      <c r="AH5676" s="328"/>
      <c r="AI5676" s="328"/>
      <c r="AJ5676" s="328"/>
    </row>
    <row r="5677" spans="1:36" s="12" customFormat="1" ht="11.25" customHeight="1">
      <c r="A5677" s="13"/>
      <c r="B5677" s="13"/>
      <c r="C5677" s="4"/>
      <c r="D5677" s="4"/>
      <c r="E5677" s="5"/>
      <c r="F5677" s="6"/>
      <c r="G5677" s="31"/>
      <c r="H5677" s="6"/>
      <c r="I5677" s="9"/>
      <c r="J5677" s="24"/>
      <c r="K5677" s="9"/>
      <c r="L5677" s="25"/>
      <c r="M5677" s="7"/>
      <c r="N5677" s="8"/>
      <c r="O5677" s="11"/>
      <c r="P5677" s="11"/>
      <c r="Q5677" s="8"/>
      <c r="R5677" s="6"/>
      <c r="S5677" s="3"/>
      <c r="T5677" s="3"/>
      <c r="U5677" s="7"/>
      <c r="V5677" s="436"/>
      <c r="W5677" s="6"/>
      <c r="X5677" s="8"/>
      <c r="Y5677" s="8"/>
      <c r="AH5677" s="328"/>
      <c r="AI5677" s="328"/>
      <c r="AJ5677" s="328"/>
    </row>
    <row r="5678" spans="1:36" s="12" customFormat="1" ht="11.25" customHeight="1">
      <c r="A5678" s="13"/>
      <c r="B5678" s="13"/>
      <c r="C5678" s="4"/>
      <c r="D5678" s="4"/>
      <c r="E5678" s="5"/>
      <c r="F5678" s="6"/>
      <c r="G5678" s="31"/>
      <c r="H5678" s="6"/>
      <c r="I5678" s="9"/>
      <c r="J5678" s="24"/>
      <c r="K5678" s="9"/>
      <c r="L5678" s="25"/>
      <c r="M5678" s="7"/>
      <c r="N5678" s="8"/>
      <c r="O5678" s="11"/>
      <c r="P5678" s="11"/>
      <c r="Q5678" s="8"/>
      <c r="R5678" s="6"/>
      <c r="S5678" s="3"/>
      <c r="T5678" s="3"/>
      <c r="U5678" s="7"/>
      <c r="V5678" s="436"/>
      <c r="W5678" s="6"/>
      <c r="X5678" s="8"/>
      <c r="Y5678" s="8"/>
      <c r="AH5678" s="328"/>
      <c r="AI5678" s="328"/>
      <c r="AJ5678" s="328"/>
    </row>
    <row r="5679" spans="1:36" s="12" customFormat="1" ht="11.25" customHeight="1">
      <c r="A5679" s="13"/>
      <c r="B5679" s="13"/>
      <c r="C5679" s="4"/>
      <c r="D5679" s="4"/>
      <c r="E5679" s="5"/>
      <c r="F5679" s="6"/>
      <c r="G5679" s="31"/>
      <c r="H5679" s="6"/>
      <c r="I5679" s="9"/>
      <c r="J5679" s="24"/>
      <c r="K5679" s="9"/>
      <c r="L5679" s="25"/>
      <c r="M5679" s="7"/>
      <c r="N5679" s="8"/>
      <c r="O5679" s="11"/>
      <c r="P5679" s="11"/>
      <c r="Q5679" s="8"/>
      <c r="R5679" s="6"/>
      <c r="S5679" s="3"/>
      <c r="T5679" s="3"/>
      <c r="U5679" s="7"/>
      <c r="V5679" s="436"/>
      <c r="W5679" s="6"/>
      <c r="X5679" s="8"/>
      <c r="Y5679" s="8"/>
      <c r="AH5679" s="328"/>
      <c r="AI5679" s="328"/>
      <c r="AJ5679" s="328"/>
    </row>
    <row r="5680" spans="1:36" s="12" customFormat="1" ht="11.25" customHeight="1">
      <c r="A5680" s="13"/>
      <c r="B5680" s="13"/>
      <c r="C5680" s="4"/>
      <c r="D5680" s="4"/>
      <c r="E5680" s="5"/>
      <c r="F5680" s="6"/>
      <c r="G5680" s="31"/>
      <c r="H5680" s="6"/>
      <c r="I5680" s="9"/>
      <c r="J5680" s="24"/>
      <c r="K5680" s="9"/>
      <c r="L5680" s="25"/>
      <c r="M5680" s="47"/>
      <c r="N5680" s="8"/>
      <c r="O5680" s="11"/>
      <c r="P5680" s="11"/>
      <c r="Q5680" s="8"/>
      <c r="R5680" s="6"/>
      <c r="S5680" s="3"/>
      <c r="T5680" s="3"/>
      <c r="U5680" s="7"/>
      <c r="V5680" s="436"/>
      <c r="W5680" s="6"/>
      <c r="X5680" s="8"/>
      <c r="Y5680" s="8"/>
      <c r="AH5680" s="328"/>
      <c r="AI5680" s="328"/>
      <c r="AJ5680" s="328"/>
    </row>
    <row r="5681" spans="1:36" s="12" customFormat="1" ht="11.25" customHeight="1">
      <c r="A5681" s="13"/>
      <c r="B5681" s="13"/>
      <c r="C5681" s="4"/>
      <c r="D5681" s="4"/>
      <c r="E5681" s="5"/>
      <c r="F5681" s="6"/>
      <c r="G5681" s="31"/>
      <c r="H5681" s="6"/>
      <c r="I5681" s="9"/>
      <c r="J5681" s="24"/>
      <c r="K5681" s="9"/>
      <c r="L5681" s="25"/>
      <c r="M5681" s="7"/>
      <c r="N5681" s="8"/>
      <c r="O5681" s="11"/>
      <c r="P5681" s="11"/>
      <c r="Q5681" s="8"/>
      <c r="R5681" s="6"/>
      <c r="S5681" s="3"/>
      <c r="T5681" s="3"/>
      <c r="U5681" s="7"/>
      <c r="V5681" s="436"/>
      <c r="W5681" s="6"/>
      <c r="X5681" s="8"/>
      <c r="Y5681" s="8"/>
      <c r="AH5681" s="328"/>
      <c r="AI5681" s="328"/>
      <c r="AJ5681" s="328"/>
    </row>
    <row r="5682" spans="1:36" s="12" customFormat="1" ht="11.25" customHeight="1">
      <c r="A5682" s="13"/>
      <c r="B5682" s="13"/>
      <c r="C5682" s="4"/>
      <c r="D5682" s="4"/>
      <c r="E5682" s="5"/>
      <c r="F5682" s="6"/>
      <c r="G5682" s="31"/>
      <c r="H5682" s="6"/>
      <c r="I5682" s="9"/>
      <c r="J5682" s="24"/>
      <c r="K5682" s="9"/>
      <c r="L5682" s="25"/>
      <c r="M5682" s="7"/>
      <c r="N5682" s="8"/>
      <c r="O5682" s="11"/>
      <c r="P5682" s="11"/>
      <c r="Q5682" s="8"/>
      <c r="R5682" s="6"/>
      <c r="S5682" s="3"/>
      <c r="T5682" s="3"/>
      <c r="U5682" s="7"/>
      <c r="V5682" s="436"/>
      <c r="W5682" s="6"/>
      <c r="X5682" s="8"/>
      <c r="Y5682" s="8"/>
      <c r="AH5682" s="328"/>
      <c r="AI5682" s="328"/>
      <c r="AJ5682" s="328"/>
    </row>
    <row r="5683" spans="1:36" ht="11.25" customHeight="1">
      <c r="C5683" s="4"/>
      <c r="D5683" s="4"/>
      <c r="E5683" s="5"/>
      <c r="F5683" s="6"/>
      <c r="G5683" s="31"/>
      <c r="H5683" s="6"/>
      <c r="I5683" s="9"/>
      <c r="J5683" s="24"/>
      <c r="K5683" s="9"/>
      <c r="L5683" s="25"/>
      <c r="M5683" s="7"/>
      <c r="N5683" s="8"/>
      <c r="O5683" s="11"/>
      <c r="P5683" s="11"/>
      <c r="Q5683" s="8"/>
      <c r="R5683" s="6"/>
      <c r="S5683" s="3"/>
      <c r="T5683" s="3"/>
      <c r="U5683" s="7"/>
      <c r="V5683" s="436"/>
      <c r="W5683" s="6"/>
      <c r="X5683" s="8"/>
      <c r="Y5683" s="8"/>
    </row>
    <row r="5684" spans="1:36" ht="11.25" customHeight="1">
      <c r="C5684" s="4"/>
      <c r="D5684" s="4"/>
      <c r="E5684" s="5"/>
      <c r="F5684" s="6"/>
      <c r="G5684" s="31"/>
      <c r="H5684" s="6"/>
      <c r="I5684" s="9"/>
      <c r="J5684" s="24"/>
      <c r="K5684" s="9"/>
      <c r="L5684" s="25"/>
      <c r="M5684" s="7"/>
      <c r="N5684" s="8"/>
      <c r="O5684" s="11"/>
      <c r="P5684" s="11"/>
      <c r="Q5684" s="8"/>
      <c r="R5684" s="6"/>
      <c r="S5684" s="3"/>
      <c r="T5684" s="3"/>
      <c r="U5684" s="7"/>
      <c r="V5684" s="436"/>
      <c r="W5684" s="6"/>
      <c r="X5684" s="8"/>
      <c r="Y5684" s="8"/>
    </row>
    <row r="5685" spans="1:36" ht="11.25" customHeight="1">
      <c r="C5685" s="4"/>
      <c r="D5685" s="4"/>
      <c r="E5685" s="5"/>
      <c r="F5685" s="6"/>
      <c r="G5685" s="31"/>
      <c r="H5685" s="6"/>
      <c r="I5685" s="9"/>
      <c r="J5685" s="24"/>
      <c r="K5685" s="9"/>
      <c r="L5685" s="25"/>
      <c r="M5685" s="7"/>
      <c r="N5685" s="8"/>
      <c r="O5685" s="11"/>
      <c r="P5685" s="11"/>
      <c r="Q5685" s="8"/>
      <c r="R5685" s="6"/>
      <c r="S5685" s="3"/>
      <c r="T5685" s="3"/>
      <c r="U5685" s="7"/>
      <c r="V5685" s="436"/>
      <c r="W5685" s="6"/>
      <c r="X5685" s="8"/>
      <c r="Y5685" s="8"/>
    </row>
    <row r="5686" spans="1:36" ht="11.25" customHeight="1">
      <c r="C5686" s="4"/>
      <c r="D5686" s="4"/>
      <c r="E5686" s="5"/>
      <c r="F5686" s="6"/>
      <c r="G5686" s="31"/>
      <c r="H5686" s="6"/>
      <c r="I5686" s="9"/>
      <c r="J5686" s="24"/>
      <c r="K5686" s="9"/>
      <c r="L5686" s="25"/>
      <c r="M5686" s="47"/>
      <c r="N5686" s="8"/>
      <c r="O5686" s="11"/>
      <c r="P5686" s="11"/>
      <c r="Q5686" s="8"/>
      <c r="R5686" s="6"/>
      <c r="S5686" s="3"/>
      <c r="T5686" s="3"/>
      <c r="U5686" s="7"/>
      <c r="V5686" s="436"/>
      <c r="W5686" s="6"/>
      <c r="X5686" s="8"/>
      <c r="Y5686" s="8"/>
    </row>
    <row r="5687" spans="1:36" ht="11.25" customHeight="1">
      <c r="C5687" s="4"/>
      <c r="D5687" s="4"/>
      <c r="E5687" s="5"/>
      <c r="F5687" s="6"/>
      <c r="G5687" s="31"/>
      <c r="H5687" s="6"/>
      <c r="I5687" s="9"/>
      <c r="J5687" s="24"/>
      <c r="K5687" s="9"/>
      <c r="L5687" s="25"/>
      <c r="M5687" s="7"/>
      <c r="N5687" s="8"/>
      <c r="O5687" s="11"/>
      <c r="P5687" s="11"/>
      <c r="Q5687" s="8"/>
      <c r="R5687" s="6"/>
      <c r="S5687" s="3"/>
      <c r="T5687" s="3"/>
      <c r="U5687" s="7"/>
      <c r="V5687" s="436"/>
      <c r="W5687" s="6"/>
      <c r="X5687" s="8"/>
      <c r="Y5687" s="8"/>
    </row>
    <row r="5688" spans="1:36" s="18" customFormat="1" ht="11.25" customHeight="1">
      <c r="A5688" s="13"/>
      <c r="B5688" s="13"/>
      <c r="C5688" s="4"/>
      <c r="D5688" s="4"/>
      <c r="E5688" s="5"/>
      <c r="F5688" s="6"/>
      <c r="G5688" s="31"/>
      <c r="H5688" s="6"/>
      <c r="I5688" s="9"/>
      <c r="J5688" s="24"/>
      <c r="K5688" s="9"/>
      <c r="L5688" s="25"/>
      <c r="M5688" s="7"/>
      <c r="N5688" s="8"/>
      <c r="O5688" s="11"/>
      <c r="P5688" s="11"/>
      <c r="Q5688" s="8"/>
      <c r="R5688" s="6"/>
      <c r="S5688" s="3"/>
      <c r="T5688" s="3"/>
      <c r="U5688" s="7"/>
      <c r="V5688" s="436"/>
      <c r="W5688" s="6"/>
      <c r="X5688" s="8"/>
      <c r="Y5688" s="8"/>
      <c r="AH5688" s="329"/>
      <c r="AI5688" s="329"/>
      <c r="AJ5688" s="329"/>
    </row>
    <row r="5689" spans="1:36" s="18" customFormat="1" ht="11.25" customHeight="1">
      <c r="A5689" s="13"/>
      <c r="B5689" s="13"/>
      <c r="C5689" s="4"/>
      <c r="D5689" s="4"/>
      <c r="E5689" s="5"/>
      <c r="F5689" s="6"/>
      <c r="G5689" s="31"/>
      <c r="H5689" s="6"/>
      <c r="I5689" s="9"/>
      <c r="J5689" s="24"/>
      <c r="K5689" s="9"/>
      <c r="L5689" s="25"/>
      <c r="M5689" s="7"/>
      <c r="N5689" s="8"/>
      <c r="O5689" s="11"/>
      <c r="P5689" s="11"/>
      <c r="Q5689" s="8"/>
      <c r="R5689" s="6"/>
      <c r="S5689" s="3"/>
      <c r="T5689" s="3"/>
      <c r="U5689" s="7"/>
      <c r="V5689" s="436"/>
      <c r="W5689" s="6"/>
      <c r="X5689" s="8"/>
      <c r="Y5689" s="8"/>
      <c r="AH5689" s="329"/>
      <c r="AI5689" s="329"/>
      <c r="AJ5689" s="329"/>
    </row>
    <row r="5690" spans="1:36" s="18" customFormat="1" ht="11.25" customHeight="1">
      <c r="A5690" s="13"/>
      <c r="B5690" s="13"/>
      <c r="C5690" s="4"/>
      <c r="D5690" s="4"/>
      <c r="E5690" s="5"/>
      <c r="F5690" s="6"/>
      <c r="G5690" s="31"/>
      <c r="H5690" s="6"/>
      <c r="I5690" s="9"/>
      <c r="J5690" s="24"/>
      <c r="K5690" s="9"/>
      <c r="L5690" s="25"/>
      <c r="M5690" s="7"/>
      <c r="N5690" s="8"/>
      <c r="O5690" s="11"/>
      <c r="P5690" s="11"/>
      <c r="Q5690" s="8"/>
      <c r="R5690" s="6"/>
      <c r="S5690" s="3"/>
      <c r="T5690" s="3"/>
      <c r="U5690" s="7"/>
      <c r="V5690" s="436"/>
      <c r="W5690" s="6"/>
      <c r="X5690" s="8"/>
      <c r="Y5690" s="8"/>
      <c r="AH5690" s="329"/>
      <c r="AI5690" s="329"/>
      <c r="AJ5690" s="329"/>
    </row>
    <row r="5691" spans="1:36" ht="11.25" customHeight="1">
      <c r="C5691" s="4"/>
      <c r="D5691" s="4"/>
      <c r="E5691" s="5"/>
      <c r="F5691" s="6"/>
      <c r="G5691" s="31"/>
      <c r="H5691" s="6"/>
      <c r="I5691" s="9"/>
      <c r="J5691" s="24"/>
      <c r="K5691" s="9"/>
      <c r="L5691" s="25"/>
      <c r="M5691" s="7"/>
      <c r="N5691" s="8"/>
      <c r="O5691" s="11"/>
      <c r="P5691" s="11"/>
      <c r="Q5691" s="8"/>
      <c r="R5691" s="6"/>
      <c r="S5691" s="3"/>
      <c r="T5691" s="3"/>
      <c r="U5691" s="7"/>
      <c r="V5691" s="436"/>
      <c r="W5691" s="6"/>
      <c r="X5691" s="8"/>
      <c r="Y5691" s="8"/>
    </row>
    <row r="5692" spans="1:36" ht="11.25" customHeight="1">
      <c r="C5692" s="4"/>
      <c r="D5692" s="4"/>
      <c r="E5692" s="5"/>
      <c r="F5692" s="6"/>
      <c r="G5692" s="31"/>
      <c r="H5692" s="6"/>
      <c r="I5692" s="9"/>
      <c r="J5692" s="24"/>
      <c r="K5692" s="9"/>
      <c r="L5692" s="25"/>
      <c r="M5692" s="7"/>
      <c r="N5692" s="8"/>
      <c r="O5692" s="11"/>
      <c r="P5692" s="11"/>
      <c r="Q5692" s="8"/>
      <c r="R5692" s="6"/>
      <c r="S5692" s="3"/>
      <c r="T5692" s="3"/>
      <c r="U5692" s="7"/>
      <c r="V5692" s="436"/>
      <c r="W5692" s="6"/>
      <c r="X5692" s="8"/>
      <c r="Y5692" s="8"/>
    </row>
    <row r="5693" spans="1:36" ht="11.25" customHeight="1">
      <c r="C5693" s="4"/>
      <c r="D5693" s="4"/>
      <c r="E5693" s="5"/>
      <c r="F5693" s="6"/>
      <c r="G5693" s="31"/>
      <c r="H5693" s="6"/>
      <c r="I5693" s="9"/>
      <c r="J5693" s="24"/>
      <c r="K5693" s="9"/>
      <c r="L5693" s="25"/>
      <c r="M5693" s="7"/>
      <c r="N5693" s="8"/>
      <c r="O5693" s="11"/>
      <c r="P5693" s="11"/>
      <c r="Q5693" s="8"/>
      <c r="R5693" s="6"/>
      <c r="S5693" s="3"/>
      <c r="T5693" s="3"/>
      <c r="U5693" s="7"/>
      <c r="V5693" s="436"/>
      <c r="W5693" s="6"/>
      <c r="X5693" s="8"/>
      <c r="Y5693" s="8"/>
    </row>
    <row r="5694" spans="1:36" ht="11.25" customHeight="1">
      <c r="C5694" s="4"/>
      <c r="D5694" s="4"/>
      <c r="E5694" s="5"/>
      <c r="F5694" s="6"/>
      <c r="G5694" s="31"/>
      <c r="H5694" s="6"/>
      <c r="I5694" s="9"/>
      <c r="J5694" s="24"/>
      <c r="K5694" s="9"/>
      <c r="L5694" s="25"/>
      <c r="M5694" s="7"/>
      <c r="N5694" s="8"/>
      <c r="O5694" s="11"/>
      <c r="P5694" s="11"/>
      <c r="Q5694" s="8"/>
      <c r="R5694" s="6"/>
      <c r="S5694" s="3"/>
      <c r="T5694" s="3"/>
      <c r="U5694" s="7"/>
      <c r="V5694" s="436"/>
      <c r="W5694" s="6"/>
      <c r="X5694" s="8"/>
      <c r="Y5694" s="8"/>
    </row>
    <row r="5695" spans="1:36" ht="11.25" customHeight="1">
      <c r="C5695" s="4"/>
      <c r="D5695" s="4"/>
      <c r="E5695" s="5"/>
      <c r="F5695" s="6"/>
      <c r="G5695" s="31"/>
      <c r="H5695" s="6"/>
      <c r="I5695" s="9"/>
      <c r="J5695" s="24"/>
      <c r="K5695" s="9"/>
      <c r="L5695" s="25"/>
      <c r="M5695" s="7"/>
      <c r="N5695" s="8"/>
      <c r="O5695" s="11"/>
      <c r="P5695" s="11"/>
      <c r="Q5695" s="8"/>
      <c r="R5695" s="6"/>
      <c r="S5695" s="3"/>
      <c r="T5695" s="3"/>
      <c r="U5695" s="7"/>
      <c r="V5695" s="436"/>
      <c r="W5695" s="6"/>
      <c r="X5695" s="8"/>
      <c r="Y5695" s="8"/>
    </row>
    <row r="5696" spans="1:36" ht="11.25" customHeight="1">
      <c r="C5696" s="4"/>
      <c r="D5696" s="4"/>
      <c r="E5696" s="5"/>
      <c r="F5696" s="6"/>
      <c r="G5696" s="31"/>
      <c r="H5696" s="6"/>
      <c r="I5696" s="9"/>
      <c r="J5696" s="24"/>
      <c r="K5696" s="9"/>
      <c r="L5696" s="25"/>
      <c r="M5696" s="7"/>
      <c r="N5696" s="8"/>
      <c r="O5696" s="11"/>
      <c r="P5696" s="11"/>
      <c r="Q5696" s="8"/>
      <c r="R5696" s="6"/>
      <c r="S5696" s="3"/>
      <c r="T5696" s="3"/>
      <c r="U5696" s="7"/>
      <c r="V5696" s="436"/>
      <c r="W5696" s="6"/>
      <c r="X5696" s="8"/>
      <c r="Y5696" s="8"/>
    </row>
    <row r="5697" spans="1:36" ht="11.25" customHeight="1">
      <c r="C5697" s="4"/>
      <c r="D5697" s="4"/>
      <c r="E5697" s="5"/>
      <c r="F5697" s="6"/>
      <c r="G5697" s="31"/>
      <c r="H5697" s="6"/>
      <c r="I5697" s="9"/>
      <c r="J5697" s="24"/>
      <c r="K5697" s="9"/>
      <c r="L5697" s="25"/>
      <c r="M5697" s="7"/>
      <c r="N5697" s="8"/>
      <c r="O5697" s="11"/>
      <c r="P5697" s="11"/>
      <c r="Q5697" s="8"/>
      <c r="R5697" s="6"/>
      <c r="S5697" s="3"/>
      <c r="T5697" s="3"/>
      <c r="U5697" s="7"/>
      <c r="V5697" s="436"/>
      <c r="W5697" s="6"/>
      <c r="X5697" s="8"/>
      <c r="Y5697" s="8"/>
    </row>
    <row r="5698" spans="1:36" s="12" customFormat="1" ht="11.25" customHeight="1">
      <c r="A5698" s="13"/>
      <c r="B5698" s="13"/>
      <c r="C5698" s="4"/>
      <c r="D5698" s="4"/>
      <c r="E5698" s="5"/>
      <c r="F5698" s="6"/>
      <c r="G5698" s="31"/>
      <c r="H5698" s="6"/>
      <c r="I5698" s="9"/>
      <c r="J5698" s="24"/>
      <c r="K5698" s="9"/>
      <c r="L5698" s="25"/>
      <c r="M5698" s="7"/>
      <c r="N5698" s="8"/>
      <c r="O5698" s="11"/>
      <c r="P5698" s="11"/>
      <c r="Q5698" s="8"/>
      <c r="R5698" s="6"/>
      <c r="S5698" s="3"/>
      <c r="T5698" s="3"/>
      <c r="U5698" s="7"/>
      <c r="V5698" s="436"/>
      <c r="W5698" s="6"/>
      <c r="X5698" s="8"/>
      <c r="Y5698" s="8"/>
      <c r="AH5698" s="328"/>
      <c r="AI5698" s="328"/>
      <c r="AJ5698" s="328"/>
    </row>
    <row r="5699" spans="1:36" s="18" customFormat="1" ht="12" customHeight="1">
      <c r="A5699" s="13"/>
      <c r="B5699" s="13"/>
      <c r="C5699" s="4"/>
      <c r="D5699" s="4"/>
      <c r="E5699" s="5"/>
      <c r="F5699" s="6"/>
      <c r="G5699" s="31"/>
      <c r="H5699" s="6"/>
      <c r="I5699" s="9"/>
      <c r="J5699" s="24"/>
      <c r="K5699" s="9"/>
      <c r="L5699" s="25"/>
      <c r="M5699" s="7"/>
      <c r="N5699" s="8"/>
      <c r="O5699" s="11"/>
      <c r="P5699" s="11"/>
      <c r="Q5699" s="8"/>
      <c r="R5699" s="6"/>
      <c r="S5699" s="3"/>
      <c r="T5699" s="3"/>
      <c r="U5699" s="7"/>
      <c r="V5699" s="436"/>
      <c r="W5699" s="6"/>
      <c r="X5699" s="8"/>
      <c r="Y5699" s="8"/>
      <c r="AH5699" s="329"/>
      <c r="AI5699" s="329"/>
      <c r="AJ5699" s="329"/>
    </row>
    <row r="5700" spans="1:36" s="18" customFormat="1" ht="12" customHeight="1">
      <c r="A5700" s="13"/>
      <c r="B5700" s="13"/>
      <c r="C5700" s="4"/>
      <c r="D5700" s="4"/>
      <c r="E5700" s="5"/>
      <c r="F5700" s="6"/>
      <c r="G5700" s="31"/>
      <c r="H5700" s="6"/>
      <c r="I5700" s="9"/>
      <c r="J5700" s="24"/>
      <c r="K5700" s="9"/>
      <c r="L5700" s="25"/>
      <c r="M5700" s="7"/>
      <c r="N5700" s="8"/>
      <c r="O5700" s="11"/>
      <c r="P5700" s="11"/>
      <c r="Q5700" s="8"/>
      <c r="R5700" s="6"/>
      <c r="S5700" s="3"/>
      <c r="T5700" s="3"/>
      <c r="U5700" s="7"/>
      <c r="V5700" s="436"/>
      <c r="W5700" s="6"/>
      <c r="X5700" s="8"/>
      <c r="Y5700" s="8"/>
      <c r="AH5700" s="329"/>
      <c r="AI5700" s="329"/>
      <c r="AJ5700" s="329"/>
    </row>
    <row r="5701" spans="1:36" s="18" customFormat="1" ht="12" customHeight="1">
      <c r="A5701" s="13"/>
      <c r="B5701" s="13"/>
      <c r="C5701" s="4"/>
      <c r="D5701" s="4"/>
      <c r="E5701" s="5"/>
      <c r="F5701" s="6"/>
      <c r="G5701" s="31"/>
      <c r="H5701" s="6"/>
      <c r="I5701" s="9"/>
      <c r="J5701" s="24"/>
      <c r="K5701" s="10"/>
      <c r="L5701" s="25"/>
      <c r="M5701" s="7"/>
      <c r="N5701" s="8"/>
      <c r="O5701" s="11"/>
      <c r="P5701" s="11"/>
      <c r="Q5701" s="8"/>
      <c r="R5701" s="6"/>
      <c r="S5701" s="3"/>
      <c r="T5701" s="3"/>
      <c r="U5701" s="7"/>
      <c r="V5701" s="436"/>
      <c r="W5701" s="6"/>
      <c r="X5701" s="8"/>
      <c r="Y5701" s="8"/>
      <c r="AH5701" s="329"/>
      <c r="AI5701" s="329"/>
      <c r="AJ5701" s="329"/>
    </row>
    <row r="5702" spans="1:36" s="12" customFormat="1" ht="12" customHeight="1">
      <c r="A5702" s="13"/>
      <c r="B5702" s="13"/>
      <c r="C5702" s="4"/>
      <c r="D5702" s="4"/>
      <c r="E5702" s="5"/>
      <c r="F5702" s="6"/>
      <c r="G5702" s="31"/>
      <c r="H5702" s="6"/>
      <c r="I5702" s="9"/>
      <c r="J5702" s="24"/>
      <c r="K5702" s="9"/>
      <c r="L5702" s="25"/>
      <c r="M5702" s="7"/>
      <c r="N5702" s="8"/>
      <c r="O5702" s="11"/>
      <c r="P5702" s="11"/>
      <c r="Q5702" s="8"/>
      <c r="R5702" s="6"/>
      <c r="S5702" s="3"/>
      <c r="T5702" s="3"/>
      <c r="U5702" s="7"/>
      <c r="V5702" s="436"/>
      <c r="W5702" s="6"/>
      <c r="X5702" s="8"/>
      <c r="Y5702" s="8"/>
      <c r="AH5702" s="328"/>
      <c r="AI5702" s="328"/>
      <c r="AJ5702" s="328"/>
    </row>
    <row r="5703" spans="1:36" s="12" customFormat="1" ht="12" customHeight="1">
      <c r="A5703" s="13"/>
      <c r="B5703" s="13"/>
      <c r="C5703" s="4"/>
      <c r="D5703" s="4"/>
      <c r="E5703" s="5"/>
      <c r="F5703" s="6"/>
      <c r="G5703" s="31"/>
      <c r="H5703" s="6"/>
      <c r="I5703" s="9"/>
      <c r="J5703" s="24"/>
      <c r="K5703" s="9"/>
      <c r="L5703" s="25"/>
      <c r="M5703" s="7"/>
      <c r="N5703" s="8"/>
      <c r="O5703" s="11"/>
      <c r="P5703" s="11"/>
      <c r="Q5703" s="8"/>
      <c r="R5703" s="6"/>
      <c r="S5703" s="3"/>
      <c r="T5703" s="3"/>
      <c r="U5703" s="7"/>
      <c r="V5703" s="436"/>
      <c r="W5703" s="6"/>
      <c r="X5703" s="8"/>
      <c r="Y5703" s="8"/>
      <c r="AH5703" s="328"/>
      <c r="AI5703" s="328"/>
      <c r="AJ5703" s="328"/>
    </row>
    <row r="5704" spans="1:36" s="12" customFormat="1" ht="12" customHeight="1">
      <c r="A5704" s="13"/>
      <c r="B5704" s="13"/>
      <c r="C5704" s="4"/>
      <c r="D5704" s="4"/>
      <c r="E5704" s="5"/>
      <c r="F5704" s="6"/>
      <c r="G5704" s="31"/>
      <c r="H5704" s="6"/>
      <c r="I5704" s="9"/>
      <c r="J5704" s="24"/>
      <c r="K5704" s="9"/>
      <c r="L5704" s="25"/>
      <c r="M5704" s="7"/>
      <c r="N5704" s="8"/>
      <c r="O5704" s="11"/>
      <c r="P5704" s="11"/>
      <c r="Q5704" s="8"/>
      <c r="R5704" s="6"/>
      <c r="S5704" s="3"/>
      <c r="T5704" s="3"/>
      <c r="U5704" s="7"/>
      <c r="V5704" s="436"/>
      <c r="W5704" s="6"/>
      <c r="X5704" s="8"/>
      <c r="Y5704" s="8"/>
      <c r="AH5704" s="328"/>
      <c r="AI5704" s="328"/>
      <c r="AJ5704" s="328"/>
    </row>
    <row r="5705" spans="1:36" s="12" customFormat="1" ht="12" customHeight="1">
      <c r="A5705" s="13"/>
      <c r="B5705" s="13"/>
      <c r="C5705" s="4"/>
      <c r="D5705" s="4"/>
      <c r="E5705" s="5"/>
      <c r="F5705" s="6"/>
      <c r="G5705" s="31"/>
      <c r="H5705" s="6"/>
      <c r="I5705" s="9"/>
      <c r="J5705" s="24"/>
      <c r="K5705" s="9"/>
      <c r="L5705" s="25"/>
      <c r="M5705" s="7"/>
      <c r="N5705" s="8"/>
      <c r="O5705" s="11"/>
      <c r="P5705" s="11"/>
      <c r="Q5705" s="8"/>
      <c r="R5705" s="6"/>
      <c r="S5705" s="3"/>
      <c r="T5705" s="3"/>
      <c r="U5705" s="7"/>
      <c r="V5705" s="436"/>
      <c r="W5705" s="6"/>
      <c r="X5705" s="8"/>
      <c r="Y5705" s="8"/>
      <c r="AH5705" s="328"/>
      <c r="AI5705" s="328"/>
      <c r="AJ5705" s="328"/>
    </row>
    <row r="5706" spans="1:36" s="12" customFormat="1" ht="12" customHeight="1">
      <c r="A5706" s="13"/>
      <c r="B5706" s="13"/>
      <c r="C5706" s="4"/>
      <c r="D5706" s="4"/>
      <c r="E5706" s="5"/>
      <c r="F5706" s="6"/>
      <c r="G5706" s="31"/>
      <c r="H5706" s="6"/>
      <c r="I5706" s="9"/>
      <c r="J5706" s="24"/>
      <c r="K5706" s="9"/>
      <c r="L5706" s="25"/>
      <c r="M5706" s="7"/>
      <c r="N5706" s="8"/>
      <c r="O5706" s="11"/>
      <c r="P5706" s="11"/>
      <c r="Q5706" s="8"/>
      <c r="R5706" s="6"/>
      <c r="S5706" s="3"/>
      <c r="T5706" s="3"/>
      <c r="U5706" s="7"/>
      <c r="V5706" s="436"/>
      <c r="W5706" s="6"/>
      <c r="X5706" s="8"/>
      <c r="Y5706" s="8"/>
      <c r="AH5706" s="328"/>
      <c r="AI5706" s="328"/>
      <c r="AJ5706" s="328"/>
    </row>
    <row r="5707" spans="1:36" s="12" customFormat="1" ht="12" customHeight="1">
      <c r="A5707" s="13"/>
      <c r="B5707" s="13"/>
      <c r="C5707" s="4"/>
      <c r="D5707" s="4"/>
      <c r="E5707" s="5"/>
      <c r="F5707" s="6"/>
      <c r="G5707" s="31"/>
      <c r="H5707" s="6"/>
      <c r="I5707" s="9"/>
      <c r="J5707" s="24"/>
      <c r="K5707" s="9"/>
      <c r="L5707" s="25"/>
      <c r="M5707" s="7"/>
      <c r="N5707" s="8"/>
      <c r="O5707" s="11"/>
      <c r="P5707" s="11"/>
      <c r="Q5707" s="8"/>
      <c r="R5707" s="6"/>
      <c r="S5707" s="3"/>
      <c r="T5707" s="3"/>
      <c r="U5707" s="7"/>
      <c r="V5707" s="436"/>
      <c r="W5707" s="6"/>
      <c r="X5707" s="8"/>
      <c r="Y5707" s="8"/>
      <c r="AH5707" s="328"/>
      <c r="AI5707" s="328"/>
      <c r="AJ5707" s="328"/>
    </row>
    <row r="5708" spans="1:36" ht="12" customHeight="1">
      <c r="C5708" s="4"/>
      <c r="D5708" s="4"/>
      <c r="E5708" s="5"/>
      <c r="F5708" s="6"/>
      <c r="G5708" s="31"/>
      <c r="H5708" s="6"/>
      <c r="I5708" s="9"/>
      <c r="J5708" s="24"/>
      <c r="K5708" s="9"/>
      <c r="L5708" s="25"/>
      <c r="M5708" s="7"/>
      <c r="N5708" s="8"/>
      <c r="O5708" s="11"/>
      <c r="P5708" s="11"/>
      <c r="Q5708" s="8"/>
      <c r="R5708" s="6"/>
      <c r="S5708" s="3"/>
      <c r="T5708" s="3"/>
      <c r="U5708" s="7"/>
      <c r="V5708" s="436"/>
      <c r="W5708" s="6"/>
      <c r="X5708" s="8"/>
      <c r="Y5708" s="8"/>
    </row>
    <row r="5709" spans="1:36" ht="12" customHeight="1">
      <c r="C5709" s="4"/>
      <c r="D5709" s="4"/>
      <c r="E5709" s="5"/>
      <c r="F5709" s="6"/>
      <c r="G5709" s="31"/>
      <c r="H5709" s="6"/>
      <c r="I5709" s="9"/>
      <c r="J5709" s="24"/>
      <c r="K5709" s="9"/>
      <c r="L5709" s="25"/>
      <c r="M5709" s="7"/>
      <c r="N5709" s="8"/>
      <c r="O5709" s="11"/>
      <c r="P5709" s="11"/>
      <c r="Q5709" s="8"/>
      <c r="R5709" s="6"/>
      <c r="S5709" s="3"/>
      <c r="T5709" s="3"/>
      <c r="U5709" s="7"/>
      <c r="V5709" s="436"/>
      <c r="W5709" s="6"/>
      <c r="X5709" s="8"/>
      <c r="Y5709" s="8"/>
    </row>
    <row r="5710" spans="1:36" s="16" customFormat="1" ht="12.75" customHeight="1">
      <c r="A5710" s="13"/>
      <c r="B5710" s="13"/>
      <c r="C5710" s="4"/>
      <c r="D5710" s="4"/>
      <c r="E5710" s="5"/>
      <c r="F5710" s="6"/>
      <c r="G5710" s="31"/>
      <c r="H5710" s="6"/>
      <c r="I5710" s="9"/>
      <c r="J5710" s="24"/>
      <c r="K5710" s="9"/>
      <c r="L5710" s="25"/>
      <c r="M5710" s="7"/>
      <c r="N5710" s="8"/>
      <c r="O5710" s="11"/>
      <c r="P5710" s="11"/>
      <c r="Q5710" s="8"/>
      <c r="R5710" s="6"/>
      <c r="S5710" s="3"/>
      <c r="T5710" s="3"/>
      <c r="U5710" s="7"/>
      <c r="V5710" s="436"/>
      <c r="W5710" s="6"/>
      <c r="X5710" s="8"/>
      <c r="Y5710" s="8"/>
      <c r="AH5710" s="330"/>
      <c r="AI5710" s="330"/>
      <c r="AJ5710" s="330"/>
    </row>
    <row r="5711" spans="1:36" s="16" customFormat="1" ht="12.75" customHeight="1">
      <c r="A5711" s="13"/>
      <c r="B5711" s="13"/>
      <c r="C5711" s="4"/>
      <c r="D5711" s="4"/>
      <c r="E5711" s="5"/>
      <c r="F5711" s="6"/>
      <c r="G5711" s="31"/>
      <c r="H5711" s="6"/>
      <c r="I5711" s="9"/>
      <c r="J5711" s="24"/>
      <c r="K5711" s="9"/>
      <c r="L5711" s="25"/>
      <c r="M5711" s="7"/>
      <c r="N5711" s="8"/>
      <c r="O5711" s="11"/>
      <c r="P5711" s="11"/>
      <c r="Q5711" s="8"/>
      <c r="R5711" s="6"/>
      <c r="S5711" s="3"/>
      <c r="T5711" s="3"/>
      <c r="U5711" s="7"/>
      <c r="V5711" s="436"/>
      <c r="W5711" s="6"/>
      <c r="X5711" s="8"/>
      <c r="Y5711" s="8"/>
      <c r="AH5711" s="330"/>
      <c r="AI5711" s="330"/>
      <c r="AJ5711" s="330"/>
    </row>
    <row r="5712" spans="1:36" s="16" customFormat="1" ht="12.75" customHeight="1">
      <c r="A5712" s="13"/>
      <c r="B5712" s="13"/>
      <c r="C5712" s="4"/>
      <c r="D5712" s="4"/>
      <c r="E5712" s="5"/>
      <c r="F5712" s="6"/>
      <c r="G5712" s="31"/>
      <c r="H5712" s="6"/>
      <c r="I5712" s="9"/>
      <c r="J5712" s="24"/>
      <c r="K5712" s="9"/>
      <c r="L5712" s="25"/>
      <c r="M5712" s="7"/>
      <c r="N5712" s="8"/>
      <c r="O5712" s="11"/>
      <c r="P5712" s="11"/>
      <c r="Q5712" s="8"/>
      <c r="R5712" s="6"/>
      <c r="S5712" s="3"/>
      <c r="T5712" s="3"/>
      <c r="U5712" s="7"/>
      <c r="V5712" s="436"/>
      <c r="W5712" s="6"/>
      <c r="X5712" s="8"/>
      <c r="Y5712" s="8"/>
      <c r="AH5712" s="330"/>
      <c r="AI5712" s="330"/>
      <c r="AJ5712" s="330"/>
    </row>
    <row r="5713" spans="1:36" s="16" customFormat="1" ht="12" customHeight="1">
      <c r="A5713" s="13"/>
      <c r="B5713" s="13"/>
      <c r="C5713" s="4"/>
      <c r="D5713" s="4"/>
      <c r="E5713" s="5"/>
      <c r="F5713" s="6"/>
      <c r="G5713" s="31"/>
      <c r="H5713" s="6"/>
      <c r="I5713" s="9"/>
      <c r="J5713" s="24"/>
      <c r="K5713" s="9"/>
      <c r="L5713" s="25"/>
      <c r="M5713" s="7"/>
      <c r="N5713" s="8"/>
      <c r="O5713" s="11"/>
      <c r="P5713" s="11"/>
      <c r="Q5713" s="8"/>
      <c r="R5713" s="6"/>
      <c r="S5713" s="3"/>
      <c r="T5713" s="3"/>
      <c r="U5713" s="7"/>
      <c r="V5713" s="436"/>
      <c r="W5713" s="6"/>
      <c r="X5713" s="8"/>
      <c r="Y5713" s="8"/>
      <c r="AH5713" s="330"/>
      <c r="AI5713" s="330"/>
      <c r="AJ5713" s="330"/>
    </row>
    <row r="5714" spans="1:36" ht="12" customHeight="1">
      <c r="C5714" s="4"/>
      <c r="D5714" s="4"/>
      <c r="E5714" s="5"/>
      <c r="F5714" s="6"/>
      <c r="G5714" s="31"/>
      <c r="H5714" s="6"/>
      <c r="I5714" s="9"/>
      <c r="J5714" s="24"/>
      <c r="K5714" s="9"/>
      <c r="L5714" s="25"/>
      <c r="M5714" s="7"/>
      <c r="N5714" s="8"/>
      <c r="O5714" s="11"/>
      <c r="P5714" s="11"/>
      <c r="Q5714" s="8"/>
      <c r="R5714" s="6"/>
      <c r="S5714" s="3"/>
      <c r="T5714" s="3"/>
      <c r="U5714" s="7"/>
      <c r="V5714" s="436"/>
      <c r="W5714" s="6"/>
      <c r="X5714" s="8"/>
      <c r="Y5714" s="8"/>
    </row>
    <row r="5715" spans="1:36" ht="12" customHeight="1">
      <c r="C5715" s="4"/>
      <c r="D5715" s="4"/>
      <c r="E5715" s="5"/>
      <c r="F5715" s="6"/>
      <c r="G5715" s="31"/>
      <c r="H5715" s="6"/>
      <c r="I5715" s="9"/>
      <c r="J5715" s="24"/>
      <c r="K5715" s="9"/>
      <c r="L5715" s="25"/>
      <c r="M5715" s="7"/>
      <c r="N5715" s="8"/>
      <c r="O5715" s="11"/>
      <c r="P5715" s="11"/>
      <c r="Q5715" s="8"/>
      <c r="R5715" s="6"/>
      <c r="S5715" s="3"/>
      <c r="T5715" s="3"/>
      <c r="U5715" s="7"/>
      <c r="V5715" s="436"/>
      <c r="W5715" s="6"/>
      <c r="X5715" s="8"/>
      <c r="Y5715" s="8"/>
    </row>
    <row r="5716" spans="1:36" ht="12" customHeight="1">
      <c r="C5716" s="4"/>
      <c r="D5716" s="4"/>
      <c r="E5716" s="5"/>
      <c r="F5716" s="6"/>
      <c r="G5716" s="31"/>
      <c r="H5716" s="6"/>
      <c r="I5716" s="9"/>
      <c r="J5716" s="24"/>
      <c r="K5716" s="9"/>
      <c r="L5716" s="25"/>
      <c r="M5716" s="7"/>
      <c r="N5716" s="8"/>
      <c r="O5716" s="11"/>
      <c r="P5716" s="11"/>
      <c r="Q5716" s="8"/>
      <c r="R5716" s="6"/>
      <c r="S5716" s="3"/>
      <c r="T5716" s="3"/>
      <c r="U5716" s="7"/>
      <c r="V5716" s="436"/>
      <c r="W5716" s="6"/>
      <c r="X5716" s="8"/>
      <c r="Y5716" s="8"/>
    </row>
    <row r="5717" spans="1:36" ht="12" customHeight="1">
      <c r="C5717" s="4"/>
      <c r="D5717" s="4"/>
      <c r="E5717" s="5"/>
      <c r="F5717" s="6"/>
      <c r="G5717" s="31"/>
      <c r="H5717" s="6"/>
      <c r="I5717" s="9"/>
      <c r="J5717" s="24"/>
      <c r="K5717" s="9"/>
      <c r="L5717" s="25"/>
      <c r="M5717" s="7"/>
      <c r="N5717" s="8"/>
      <c r="O5717" s="11"/>
      <c r="P5717" s="11"/>
      <c r="Q5717" s="8"/>
      <c r="R5717" s="6"/>
      <c r="S5717" s="3"/>
      <c r="T5717" s="3"/>
      <c r="U5717" s="7"/>
      <c r="V5717" s="436"/>
      <c r="W5717" s="6"/>
      <c r="X5717" s="8"/>
      <c r="Y5717" s="8"/>
    </row>
    <row r="5718" spans="1:36" ht="12" customHeight="1">
      <c r="C5718" s="4"/>
      <c r="D5718" s="4"/>
      <c r="E5718" s="5"/>
      <c r="F5718" s="6"/>
      <c r="G5718" s="31"/>
      <c r="H5718" s="6"/>
      <c r="I5718" s="9"/>
      <c r="J5718" s="24"/>
      <c r="K5718" s="9"/>
      <c r="L5718" s="25"/>
      <c r="M5718" s="7"/>
      <c r="N5718" s="8"/>
      <c r="O5718" s="11"/>
      <c r="P5718" s="11"/>
      <c r="Q5718" s="8"/>
      <c r="R5718" s="6"/>
      <c r="S5718" s="3"/>
      <c r="T5718" s="3"/>
      <c r="U5718" s="7"/>
      <c r="V5718" s="436"/>
      <c r="W5718" s="6"/>
      <c r="X5718" s="8"/>
      <c r="Y5718" s="8"/>
    </row>
    <row r="5719" spans="1:36" ht="12" customHeight="1">
      <c r="C5719" s="4"/>
      <c r="D5719" s="4"/>
      <c r="E5719" s="5"/>
      <c r="F5719" s="6"/>
      <c r="G5719" s="31"/>
      <c r="H5719" s="6"/>
      <c r="I5719" s="9"/>
      <c r="J5719" s="24"/>
      <c r="K5719" s="9"/>
      <c r="L5719" s="25"/>
      <c r="M5719" s="7"/>
      <c r="N5719" s="8"/>
      <c r="O5719" s="11"/>
      <c r="P5719" s="11"/>
      <c r="Q5719" s="8"/>
      <c r="R5719" s="6"/>
      <c r="S5719" s="3"/>
      <c r="T5719" s="3"/>
      <c r="U5719" s="7"/>
      <c r="V5719" s="436"/>
      <c r="W5719" s="6"/>
      <c r="X5719" s="8"/>
      <c r="Y5719" s="8"/>
    </row>
    <row r="5720" spans="1:36" ht="12" customHeight="1">
      <c r="C5720" s="4"/>
      <c r="D5720" s="4"/>
      <c r="E5720" s="5"/>
      <c r="F5720" s="6"/>
      <c r="G5720" s="31"/>
      <c r="H5720" s="6"/>
      <c r="I5720" s="9"/>
      <c r="J5720" s="24"/>
      <c r="K5720" s="9"/>
      <c r="L5720" s="25"/>
      <c r="M5720" s="47"/>
      <c r="N5720" s="8"/>
      <c r="O5720" s="11"/>
      <c r="P5720" s="11"/>
      <c r="Q5720" s="8"/>
      <c r="R5720" s="6"/>
      <c r="S5720" s="3"/>
      <c r="T5720" s="3"/>
      <c r="U5720" s="7"/>
      <c r="V5720" s="436"/>
      <c r="W5720" s="6"/>
      <c r="X5720" s="8"/>
      <c r="Y5720" s="8"/>
    </row>
    <row r="5721" spans="1:36" ht="12" customHeight="1">
      <c r="C5721" s="4"/>
      <c r="D5721" s="4"/>
      <c r="E5721" s="5"/>
      <c r="F5721" s="6"/>
      <c r="G5721" s="31"/>
      <c r="H5721" s="6"/>
      <c r="I5721" s="9"/>
      <c r="J5721" s="24"/>
      <c r="K5721" s="9"/>
      <c r="L5721" s="25"/>
      <c r="M5721" s="7"/>
      <c r="N5721" s="8"/>
      <c r="O5721" s="11"/>
      <c r="P5721" s="11"/>
      <c r="Q5721" s="8"/>
      <c r="R5721" s="6"/>
      <c r="S5721" s="3"/>
      <c r="T5721" s="3"/>
      <c r="U5721" s="7"/>
      <c r="V5721" s="436"/>
      <c r="W5721" s="6"/>
      <c r="X5721" s="8"/>
      <c r="Y5721" s="8"/>
    </row>
    <row r="5722" spans="1:36" ht="12" customHeight="1">
      <c r="C5722" s="4"/>
      <c r="D5722" s="4"/>
      <c r="E5722" s="5"/>
      <c r="F5722" s="6"/>
      <c r="G5722" s="31"/>
      <c r="H5722" s="6"/>
      <c r="I5722" s="9"/>
      <c r="J5722" s="24"/>
      <c r="K5722" s="9"/>
      <c r="L5722" s="25"/>
      <c r="M5722" s="7"/>
      <c r="N5722" s="8"/>
      <c r="O5722" s="11"/>
      <c r="P5722" s="11"/>
      <c r="Q5722" s="8"/>
      <c r="R5722" s="6"/>
      <c r="S5722" s="3"/>
      <c r="T5722" s="3"/>
      <c r="U5722" s="7"/>
      <c r="V5722" s="436"/>
      <c r="W5722" s="6"/>
      <c r="X5722" s="8"/>
      <c r="Y5722" s="8"/>
    </row>
    <row r="5723" spans="1:36" ht="12" customHeight="1">
      <c r="C5723" s="4"/>
      <c r="D5723" s="4"/>
      <c r="E5723" s="5"/>
      <c r="F5723" s="6"/>
      <c r="G5723" s="31"/>
      <c r="H5723" s="6"/>
      <c r="I5723" s="9"/>
      <c r="J5723" s="24"/>
      <c r="K5723" s="9"/>
      <c r="L5723" s="25"/>
      <c r="M5723" s="7"/>
      <c r="N5723" s="8"/>
      <c r="O5723" s="11"/>
      <c r="P5723" s="11"/>
      <c r="Q5723" s="8"/>
      <c r="R5723" s="6"/>
      <c r="S5723" s="3"/>
      <c r="T5723" s="3"/>
      <c r="U5723" s="7"/>
      <c r="V5723" s="436"/>
      <c r="W5723" s="6"/>
      <c r="X5723" s="8"/>
      <c r="Y5723" s="8"/>
    </row>
    <row r="5724" spans="1:36" ht="12" customHeight="1">
      <c r="C5724" s="4"/>
      <c r="D5724" s="4"/>
      <c r="E5724" s="5"/>
      <c r="F5724" s="6"/>
      <c r="G5724" s="31"/>
      <c r="H5724" s="6"/>
      <c r="I5724" s="9"/>
      <c r="J5724" s="24"/>
      <c r="K5724" s="9"/>
      <c r="L5724" s="25"/>
      <c r="M5724" s="7"/>
      <c r="N5724" s="8"/>
      <c r="O5724" s="11"/>
      <c r="P5724" s="11"/>
      <c r="Q5724" s="8"/>
      <c r="R5724" s="6"/>
      <c r="S5724" s="3"/>
      <c r="T5724" s="3"/>
      <c r="U5724" s="7"/>
      <c r="V5724" s="436"/>
      <c r="W5724" s="6"/>
      <c r="X5724" s="8"/>
      <c r="Y5724" s="8"/>
    </row>
    <row r="5725" spans="1:36" ht="12" customHeight="1">
      <c r="C5725" s="4"/>
      <c r="D5725" s="4"/>
      <c r="E5725" s="5"/>
      <c r="F5725" s="6"/>
      <c r="G5725" s="31"/>
      <c r="H5725" s="6"/>
      <c r="I5725" s="9"/>
      <c r="J5725" s="24"/>
      <c r="K5725" s="9"/>
      <c r="L5725" s="25"/>
      <c r="M5725" s="7"/>
      <c r="N5725" s="8"/>
      <c r="O5725" s="11"/>
      <c r="P5725" s="11"/>
      <c r="Q5725" s="8"/>
      <c r="R5725" s="6"/>
      <c r="S5725" s="3"/>
      <c r="T5725" s="3"/>
      <c r="U5725" s="7"/>
      <c r="V5725" s="436"/>
      <c r="W5725" s="6"/>
      <c r="X5725" s="8"/>
      <c r="Y5725" s="8"/>
    </row>
    <row r="5726" spans="1:36" ht="12" customHeight="1">
      <c r="C5726" s="4"/>
      <c r="D5726" s="4"/>
      <c r="E5726" s="5"/>
      <c r="F5726" s="6"/>
      <c r="G5726" s="31"/>
      <c r="H5726" s="6"/>
      <c r="I5726" s="9"/>
      <c r="J5726" s="24"/>
      <c r="K5726" s="9"/>
      <c r="L5726" s="25"/>
      <c r="M5726" s="7"/>
      <c r="N5726" s="8"/>
      <c r="O5726" s="11"/>
      <c r="P5726" s="11"/>
      <c r="Q5726" s="8"/>
      <c r="R5726" s="6"/>
      <c r="S5726" s="3"/>
      <c r="T5726" s="3"/>
      <c r="U5726" s="7"/>
      <c r="V5726" s="436"/>
      <c r="W5726" s="6"/>
      <c r="X5726" s="8"/>
      <c r="Y5726" s="8"/>
    </row>
    <row r="5727" spans="1:36" ht="12" customHeight="1">
      <c r="C5727" s="4"/>
      <c r="D5727" s="4"/>
      <c r="E5727" s="5"/>
      <c r="F5727" s="6"/>
      <c r="G5727" s="31"/>
      <c r="H5727" s="6"/>
      <c r="I5727" s="9"/>
      <c r="J5727" s="24"/>
      <c r="K5727" s="9"/>
      <c r="L5727" s="25"/>
      <c r="M5727" s="7"/>
      <c r="N5727" s="8"/>
      <c r="O5727" s="11"/>
      <c r="P5727" s="11"/>
      <c r="Q5727" s="8"/>
      <c r="R5727" s="6"/>
      <c r="S5727" s="3"/>
      <c r="T5727" s="3"/>
      <c r="U5727" s="7"/>
      <c r="V5727" s="436"/>
      <c r="W5727" s="6"/>
      <c r="X5727" s="8"/>
      <c r="Y5727" s="8"/>
    </row>
    <row r="5728" spans="1:36" ht="12" customHeight="1">
      <c r="C5728" s="4"/>
      <c r="D5728" s="4"/>
      <c r="E5728" s="5"/>
      <c r="F5728" s="6"/>
      <c r="G5728" s="31"/>
      <c r="H5728" s="6"/>
      <c r="I5728" s="9"/>
      <c r="J5728" s="24"/>
      <c r="K5728" s="9"/>
      <c r="L5728" s="25"/>
      <c r="M5728" s="7"/>
      <c r="N5728" s="8"/>
      <c r="O5728" s="11"/>
      <c r="P5728" s="11"/>
      <c r="Q5728" s="8"/>
      <c r="R5728" s="6"/>
      <c r="S5728" s="3"/>
      <c r="T5728" s="3"/>
      <c r="U5728" s="7"/>
      <c r="V5728" s="436"/>
      <c r="W5728" s="6"/>
      <c r="X5728" s="8"/>
      <c r="Y5728" s="8"/>
    </row>
    <row r="5729" spans="3:25" ht="12" customHeight="1">
      <c r="C5729" s="4"/>
      <c r="D5729" s="4"/>
      <c r="E5729" s="5"/>
      <c r="F5729" s="6"/>
      <c r="G5729" s="31"/>
      <c r="H5729" s="6"/>
      <c r="I5729" s="9"/>
      <c r="J5729" s="24"/>
      <c r="K5729" s="9"/>
      <c r="L5729" s="25"/>
      <c r="M5729" s="7"/>
      <c r="N5729" s="8"/>
      <c r="O5729" s="11"/>
      <c r="P5729" s="11"/>
      <c r="Q5729" s="8"/>
      <c r="R5729" s="6"/>
      <c r="S5729" s="3"/>
      <c r="T5729" s="3"/>
      <c r="U5729" s="7"/>
      <c r="V5729" s="436"/>
      <c r="W5729" s="6"/>
      <c r="X5729" s="8"/>
      <c r="Y5729" s="8"/>
    </row>
    <row r="5730" spans="3:25" ht="12" customHeight="1">
      <c r="C5730" s="4"/>
      <c r="D5730" s="4"/>
      <c r="E5730" s="5"/>
      <c r="F5730" s="6"/>
      <c r="G5730" s="31"/>
      <c r="H5730" s="6"/>
      <c r="I5730" s="9"/>
      <c r="J5730" s="24"/>
      <c r="K5730" s="9"/>
      <c r="L5730" s="25"/>
      <c r="M5730" s="7"/>
      <c r="N5730" s="8"/>
      <c r="O5730" s="11"/>
      <c r="P5730" s="11"/>
      <c r="Q5730" s="8"/>
      <c r="R5730" s="6"/>
      <c r="S5730" s="3"/>
      <c r="T5730" s="3"/>
      <c r="U5730" s="7"/>
      <c r="V5730" s="436"/>
      <c r="W5730" s="6"/>
      <c r="X5730" s="8"/>
      <c r="Y5730" s="8"/>
    </row>
    <row r="5731" spans="3:25" ht="12" customHeight="1">
      <c r="C5731" s="4"/>
      <c r="D5731" s="4"/>
      <c r="E5731" s="5"/>
      <c r="F5731" s="6"/>
      <c r="G5731" s="31"/>
      <c r="H5731" s="6"/>
      <c r="I5731" s="9"/>
      <c r="J5731" s="24"/>
      <c r="K5731" s="9"/>
      <c r="L5731" s="25"/>
      <c r="M5731" s="7"/>
      <c r="N5731" s="8"/>
      <c r="O5731" s="11"/>
      <c r="P5731" s="11"/>
      <c r="Q5731" s="8"/>
      <c r="R5731" s="6"/>
      <c r="S5731" s="3"/>
      <c r="T5731" s="3"/>
      <c r="U5731" s="7"/>
      <c r="V5731" s="436"/>
      <c r="W5731" s="6"/>
      <c r="X5731" s="8"/>
      <c r="Y5731" s="8"/>
    </row>
    <row r="5732" spans="3:25" ht="12" customHeight="1">
      <c r="C5732" s="4"/>
      <c r="D5732" s="4"/>
      <c r="E5732" s="5"/>
      <c r="F5732" s="6"/>
      <c r="G5732" s="31"/>
      <c r="H5732" s="6"/>
      <c r="I5732" s="9"/>
      <c r="J5732" s="24"/>
      <c r="K5732" s="9"/>
      <c r="L5732" s="25"/>
      <c r="M5732" s="7"/>
      <c r="N5732" s="8"/>
      <c r="O5732" s="11"/>
      <c r="P5732" s="11"/>
      <c r="Q5732" s="8"/>
      <c r="R5732" s="6"/>
      <c r="S5732" s="3"/>
      <c r="T5732" s="3"/>
      <c r="U5732" s="7"/>
      <c r="V5732" s="436"/>
      <c r="W5732" s="6"/>
      <c r="X5732" s="8"/>
      <c r="Y5732" s="8"/>
    </row>
    <row r="5733" spans="3:25" ht="12" customHeight="1">
      <c r="C5733" s="4"/>
      <c r="D5733" s="4"/>
      <c r="E5733" s="5"/>
      <c r="F5733" s="6"/>
      <c r="G5733" s="31"/>
      <c r="H5733" s="6"/>
      <c r="I5733" s="9"/>
      <c r="J5733" s="24"/>
      <c r="K5733" s="9"/>
      <c r="L5733" s="25"/>
      <c r="M5733" s="7"/>
      <c r="N5733" s="8"/>
      <c r="O5733" s="11"/>
      <c r="P5733" s="11"/>
      <c r="Q5733" s="8"/>
      <c r="R5733" s="6"/>
      <c r="S5733" s="3"/>
      <c r="T5733" s="3"/>
      <c r="U5733" s="7"/>
      <c r="V5733" s="436"/>
      <c r="W5733" s="6"/>
      <c r="X5733" s="8"/>
      <c r="Y5733" s="8"/>
    </row>
    <row r="5734" spans="3:25" ht="12" customHeight="1">
      <c r="C5734" s="4"/>
      <c r="D5734" s="4"/>
      <c r="E5734" s="5"/>
      <c r="F5734" s="6"/>
      <c r="G5734" s="31"/>
      <c r="H5734" s="6"/>
      <c r="I5734" s="9"/>
      <c r="J5734" s="24"/>
      <c r="K5734" s="9"/>
      <c r="L5734" s="25"/>
      <c r="M5734" s="7"/>
      <c r="N5734" s="8"/>
      <c r="O5734" s="11"/>
      <c r="P5734" s="11"/>
      <c r="Q5734" s="8"/>
      <c r="R5734" s="6"/>
      <c r="S5734" s="3"/>
      <c r="T5734" s="3"/>
      <c r="U5734" s="7"/>
      <c r="V5734" s="436"/>
      <c r="W5734" s="6"/>
      <c r="X5734" s="8"/>
      <c r="Y5734" s="8"/>
    </row>
    <row r="5735" spans="3:25" ht="12" customHeight="1">
      <c r="C5735" s="4"/>
      <c r="D5735" s="4"/>
      <c r="E5735" s="5"/>
      <c r="F5735" s="6"/>
      <c r="G5735" s="31"/>
      <c r="H5735" s="6"/>
      <c r="I5735" s="9"/>
      <c r="J5735" s="24"/>
      <c r="K5735" s="9"/>
      <c r="L5735" s="25"/>
      <c r="M5735" s="7"/>
      <c r="N5735" s="8"/>
      <c r="O5735" s="11"/>
      <c r="P5735" s="11"/>
      <c r="Q5735" s="8"/>
      <c r="R5735" s="6"/>
      <c r="S5735" s="3"/>
      <c r="T5735" s="3"/>
      <c r="U5735" s="7"/>
      <c r="V5735" s="436"/>
      <c r="W5735" s="6"/>
      <c r="X5735" s="8"/>
      <c r="Y5735" s="8"/>
    </row>
    <row r="5736" spans="3:25" ht="12" customHeight="1">
      <c r="C5736" s="4"/>
      <c r="D5736" s="4"/>
      <c r="E5736" s="5"/>
      <c r="F5736" s="6"/>
      <c r="G5736" s="31"/>
      <c r="H5736" s="6"/>
      <c r="I5736" s="9"/>
      <c r="J5736" s="24"/>
      <c r="K5736" s="9"/>
      <c r="L5736" s="25"/>
      <c r="M5736" s="7"/>
      <c r="N5736" s="8"/>
      <c r="O5736" s="11"/>
      <c r="P5736" s="11"/>
      <c r="Q5736" s="8"/>
      <c r="R5736" s="6"/>
      <c r="S5736" s="3"/>
      <c r="T5736" s="3"/>
      <c r="U5736" s="7"/>
      <c r="V5736" s="436"/>
      <c r="W5736" s="6"/>
      <c r="X5736" s="8"/>
      <c r="Y5736" s="8"/>
    </row>
    <row r="5737" spans="3:25" ht="12" customHeight="1">
      <c r="C5737" s="4"/>
      <c r="D5737" s="4"/>
      <c r="E5737" s="5"/>
      <c r="F5737" s="6"/>
      <c r="G5737" s="31"/>
      <c r="H5737" s="6"/>
      <c r="I5737" s="9"/>
      <c r="J5737" s="24"/>
      <c r="K5737" s="9"/>
      <c r="L5737" s="25"/>
      <c r="M5737" s="7"/>
      <c r="N5737" s="8"/>
      <c r="O5737" s="11"/>
      <c r="P5737" s="11"/>
      <c r="Q5737" s="8"/>
      <c r="R5737" s="6"/>
      <c r="S5737" s="3"/>
      <c r="T5737" s="3"/>
      <c r="U5737" s="7"/>
      <c r="V5737" s="436"/>
      <c r="W5737" s="6"/>
      <c r="X5737" s="8"/>
      <c r="Y5737" s="8"/>
    </row>
    <row r="5738" spans="3:25" ht="12" customHeight="1">
      <c r="C5738" s="4"/>
      <c r="D5738" s="4"/>
      <c r="E5738" s="5"/>
      <c r="F5738" s="6"/>
      <c r="G5738" s="31"/>
      <c r="H5738" s="6"/>
      <c r="I5738" s="9"/>
      <c r="J5738" s="24"/>
      <c r="K5738" s="9"/>
      <c r="L5738" s="25"/>
      <c r="M5738" s="7"/>
      <c r="N5738" s="8"/>
      <c r="O5738" s="11"/>
      <c r="P5738" s="11"/>
      <c r="Q5738" s="8"/>
      <c r="R5738" s="6"/>
      <c r="S5738" s="3"/>
      <c r="T5738" s="3"/>
      <c r="U5738" s="7"/>
      <c r="V5738" s="436"/>
      <c r="W5738" s="6"/>
      <c r="X5738" s="8"/>
      <c r="Y5738" s="8"/>
    </row>
    <row r="5739" spans="3:25" ht="12" customHeight="1">
      <c r="C5739" s="4"/>
      <c r="D5739" s="4"/>
      <c r="E5739" s="5"/>
      <c r="F5739" s="6"/>
      <c r="G5739" s="31"/>
      <c r="H5739" s="6"/>
      <c r="I5739" s="9"/>
      <c r="J5739" s="24"/>
      <c r="K5739" s="9"/>
      <c r="L5739" s="25"/>
      <c r="M5739" s="7"/>
      <c r="N5739" s="8"/>
      <c r="O5739" s="11"/>
      <c r="P5739" s="11"/>
      <c r="Q5739" s="8"/>
      <c r="R5739" s="6"/>
      <c r="S5739" s="3"/>
      <c r="T5739" s="3"/>
      <c r="U5739" s="7"/>
      <c r="V5739" s="436"/>
      <c r="W5739" s="6"/>
      <c r="X5739" s="8"/>
      <c r="Y5739" s="8"/>
    </row>
    <row r="5740" spans="3:25" ht="12" customHeight="1">
      <c r="C5740" s="4"/>
      <c r="D5740" s="4"/>
      <c r="E5740" s="5"/>
      <c r="F5740" s="6"/>
      <c r="G5740" s="31"/>
      <c r="H5740" s="6"/>
      <c r="I5740" s="9"/>
      <c r="J5740" s="24"/>
      <c r="K5740" s="9"/>
      <c r="L5740" s="25"/>
      <c r="M5740" s="7"/>
      <c r="N5740" s="8"/>
      <c r="O5740" s="11"/>
      <c r="P5740" s="11"/>
      <c r="Q5740" s="8"/>
      <c r="R5740" s="6"/>
      <c r="S5740" s="3"/>
      <c r="T5740" s="3"/>
      <c r="U5740" s="7"/>
      <c r="V5740" s="436"/>
      <c r="W5740" s="6"/>
      <c r="X5740" s="8"/>
      <c r="Y5740" s="8"/>
    </row>
    <row r="5741" spans="3:25" ht="12" customHeight="1">
      <c r="C5741" s="4"/>
      <c r="D5741" s="4"/>
      <c r="E5741" s="5"/>
      <c r="F5741" s="6"/>
      <c r="G5741" s="31"/>
      <c r="H5741" s="6"/>
      <c r="I5741" s="9"/>
      <c r="J5741" s="24"/>
      <c r="K5741" s="9"/>
      <c r="L5741" s="25"/>
      <c r="M5741" s="25"/>
      <c r="N5741" s="8"/>
      <c r="O5741" s="11"/>
      <c r="P5741" s="11"/>
      <c r="Q5741" s="8"/>
      <c r="R5741" s="6"/>
      <c r="S5741" s="3"/>
      <c r="T5741" s="3"/>
      <c r="U5741" s="7"/>
      <c r="V5741" s="436"/>
      <c r="W5741" s="6"/>
      <c r="X5741" s="8"/>
      <c r="Y5741" s="8"/>
    </row>
    <row r="5742" spans="3:25" ht="12" customHeight="1">
      <c r="C5742" s="4"/>
      <c r="D5742" s="4"/>
      <c r="E5742" s="5"/>
      <c r="F5742" s="6"/>
      <c r="G5742" s="31"/>
      <c r="H5742" s="6"/>
      <c r="I5742" s="9"/>
      <c r="J5742" s="24"/>
      <c r="K5742" s="9"/>
      <c r="L5742" s="25"/>
      <c r="M5742" s="25"/>
      <c r="N5742" s="8"/>
      <c r="O5742" s="11"/>
      <c r="P5742" s="11"/>
      <c r="Q5742" s="8"/>
      <c r="R5742" s="6"/>
      <c r="S5742" s="3"/>
      <c r="T5742" s="3"/>
      <c r="U5742" s="7"/>
      <c r="V5742" s="436"/>
      <c r="W5742" s="6"/>
      <c r="X5742" s="8"/>
      <c r="Y5742" s="8"/>
    </row>
    <row r="5743" spans="3:25" ht="12" customHeight="1">
      <c r="C5743" s="4"/>
      <c r="D5743" s="4"/>
      <c r="E5743" s="5"/>
      <c r="F5743" s="6"/>
      <c r="G5743" s="31"/>
      <c r="H5743" s="6"/>
      <c r="I5743" s="9"/>
      <c r="J5743" s="24"/>
      <c r="K5743" s="9"/>
      <c r="L5743" s="25"/>
      <c r="M5743" s="47"/>
      <c r="N5743" s="8"/>
      <c r="O5743" s="11"/>
      <c r="P5743" s="11"/>
      <c r="Q5743" s="8"/>
      <c r="R5743" s="6"/>
      <c r="S5743" s="3"/>
      <c r="T5743" s="3"/>
      <c r="U5743" s="7"/>
      <c r="V5743" s="436"/>
      <c r="W5743" s="6"/>
      <c r="X5743" s="8"/>
      <c r="Y5743" s="8"/>
    </row>
    <row r="5744" spans="3:25" ht="12" customHeight="1">
      <c r="C5744" s="4"/>
      <c r="D5744" s="4"/>
      <c r="E5744" s="5"/>
      <c r="F5744" s="6"/>
      <c r="G5744" s="31"/>
      <c r="H5744" s="6"/>
      <c r="I5744" s="9"/>
      <c r="J5744" s="24"/>
      <c r="K5744" s="9"/>
      <c r="L5744" s="25"/>
      <c r="M5744" s="7"/>
      <c r="N5744" s="8"/>
      <c r="O5744" s="11"/>
      <c r="P5744" s="11"/>
      <c r="Q5744" s="8"/>
      <c r="R5744" s="6"/>
      <c r="S5744" s="3"/>
      <c r="T5744" s="3"/>
      <c r="U5744" s="7"/>
      <c r="V5744" s="436"/>
      <c r="W5744" s="6"/>
      <c r="X5744" s="8"/>
      <c r="Y5744" s="8"/>
    </row>
    <row r="5745" spans="3:25" ht="12" customHeight="1">
      <c r="C5745" s="4"/>
      <c r="D5745" s="4"/>
      <c r="E5745" s="5"/>
      <c r="F5745" s="6"/>
      <c r="G5745" s="31"/>
      <c r="H5745" s="6"/>
      <c r="I5745" s="9"/>
      <c r="J5745" s="24"/>
      <c r="K5745" s="9"/>
      <c r="L5745" s="25"/>
      <c r="M5745" s="47"/>
      <c r="N5745" s="8"/>
      <c r="O5745" s="11"/>
      <c r="P5745" s="11"/>
      <c r="Q5745" s="8"/>
      <c r="R5745" s="6"/>
      <c r="S5745" s="3"/>
      <c r="T5745" s="3"/>
      <c r="U5745" s="7"/>
      <c r="V5745" s="436"/>
      <c r="W5745" s="6"/>
      <c r="X5745" s="8"/>
      <c r="Y5745" s="8"/>
    </row>
    <row r="5746" spans="3:25" ht="12" customHeight="1">
      <c r="C5746" s="4"/>
      <c r="D5746" s="4"/>
      <c r="E5746" s="5"/>
      <c r="F5746" s="6"/>
      <c r="G5746" s="31"/>
      <c r="H5746" s="6"/>
      <c r="I5746" s="9"/>
      <c r="J5746" s="24"/>
      <c r="K5746" s="9"/>
      <c r="L5746" s="25"/>
      <c r="M5746" s="7"/>
      <c r="N5746" s="8"/>
      <c r="O5746" s="11"/>
      <c r="P5746" s="11"/>
      <c r="Q5746" s="8"/>
      <c r="R5746" s="6"/>
      <c r="S5746" s="3"/>
      <c r="T5746" s="3"/>
      <c r="U5746" s="7"/>
      <c r="V5746" s="436"/>
      <c r="W5746" s="6"/>
      <c r="X5746" s="8"/>
      <c r="Y5746" s="8"/>
    </row>
    <row r="5747" spans="3:25" ht="12" customHeight="1">
      <c r="C5747" s="4"/>
      <c r="D5747" s="4"/>
      <c r="E5747" s="5"/>
      <c r="F5747" s="6"/>
      <c r="G5747" s="31"/>
      <c r="H5747" s="6"/>
      <c r="I5747" s="9"/>
      <c r="J5747" s="24"/>
      <c r="K5747" s="9"/>
      <c r="L5747" s="25"/>
      <c r="M5747" s="7"/>
      <c r="N5747" s="8"/>
      <c r="O5747" s="11"/>
      <c r="P5747" s="11"/>
      <c r="Q5747" s="8"/>
      <c r="R5747" s="6"/>
      <c r="S5747" s="3"/>
      <c r="T5747" s="3"/>
      <c r="U5747" s="7"/>
      <c r="V5747" s="436"/>
      <c r="W5747" s="6"/>
      <c r="X5747" s="8"/>
      <c r="Y5747" s="8"/>
    </row>
    <row r="5748" spans="3:25" ht="12" customHeight="1">
      <c r="C5748" s="4"/>
      <c r="D5748" s="4"/>
      <c r="E5748" s="5"/>
      <c r="F5748" s="6"/>
      <c r="G5748" s="31"/>
      <c r="H5748" s="6"/>
      <c r="I5748" s="9"/>
      <c r="J5748" s="24"/>
      <c r="K5748" s="9"/>
      <c r="L5748" s="25"/>
      <c r="M5748" s="7"/>
      <c r="N5748" s="8"/>
      <c r="O5748" s="11"/>
      <c r="P5748" s="11"/>
      <c r="Q5748" s="8"/>
      <c r="R5748" s="6"/>
      <c r="S5748" s="3"/>
      <c r="T5748" s="3"/>
      <c r="U5748" s="7"/>
      <c r="V5748" s="436"/>
      <c r="W5748" s="6"/>
      <c r="X5748" s="8"/>
      <c r="Y5748" s="8"/>
    </row>
    <row r="5749" spans="3:25" ht="12" customHeight="1">
      <c r="C5749" s="4"/>
      <c r="D5749" s="4"/>
      <c r="E5749" s="5"/>
      <c r="F5749" s="6"/>
      <c r="G5749" s="31"/>
      <c r="H5749" s="6"/>
      <c r="I5749" s="9"/>
      <c r="J5749" s="24"/>
      <c r="K5749" s="9"/>
      <c r="L5749" s="25"/>
      <c r="M5749" s="7"/>
      <c r="N5749" s="8"/>
      <c r="O5749" s="11"/>
      <c r="P5749" s="11"/>
      <c r="Q5749" s="8"/>
      <c r="R5749" s="6"/>
      <c r="S5749" s="3"/>
      <c r="T5749" s="3"/>
      <c r="U5749" s="7"/>
      <c r="V5749" s="436"/>
      <c r="W5749" s="6"/>
      <c r="X5749" s="8"/>
      <c r="Y5749" s="8"/>
    </row>
    <row r="5750" spans="3:25" ht="12" customHeight="1">
      <c r="C5750" s="4"/>
      <c r="D5750" s="4"/>
      <c r="E5750" s="5"/>
      <c r="F5750" s="6"/>
      <c r="G5750" s="31"/>
      <c r="H5750" s="6"/>
      <c r="I5750" s="9"/>
      <c r="J5750" s="24"/>
      <c r="K5750" s="9"/>
      <c r="L5750" s="25"/>
      <c r="M5750" s="7"/>
      <c r="N5750" s="8"/>
      <c r="O5750" s="11"/>
      <c r="P5750" s="11"/>
      <c r="Q5750" s="8"/>
      <c r="R5750" s="6"/>
      <c r="S5750" s="3"/>
      <c r="T5750" s="3"/>
      <c r="U5750" s="7"/>
      <c r="V5750" s="436"/>
      <c r="W5750" s="6"/>
      <c r="X5750" s="8"/>
      <c r="Y5750" s="8"/>
    </row>
    <row r="5751" spans="3:25" ht="12" customHeight="1">
      <c r="C5751" s="4"/>
      <c r="D5751" s="4"/>
      <c r="E5751" s="5"/>
      <c r="F5751" s="6"/>
      <c r="G5751" s="31"/>
      <c r="H5751" s="6"/>
      <c r="I5751" s="9"/>
      <c r="J5751" s="24"/>
      <c r="K5751" s="9"/>
      <c r="L5751" s="25"/>
      <c r="M5751" s="7"/>
      <c r="N5751" s="8"/>
      <c r="O5751" s="11"/>
      <c r="P5751" s="11"/>
      <c r="Q5751" s="8"/>
      <c r="R5751" s="6"/>
      <c r="S5751" s="3"/>
      <c r="T5751" s="3"/>
      <c r="U5751" s="7"/>
      <c r="V5751" s="436"/>
      <c r="W5751" s="6"/>
      <c r="X5751" s="8"/>
      <c r="Y5751" s="8"/>
    </row>
    <row r="5752" spans="3:25" ht="12" customHeight="1">
      <c r="C5752" s="4"/>
      <c r="D5752" s="4"/>
      <c r="E5752" s="5"/>
      <c r="F5752" s="6"/>
      <c r="G5752" s="31"/>
      <c r="H5752" s="6"/>
      <c r="I5752" s="9"/>
      <c r="J5752" s="24"/>
      <c r="K5752" s="9"/>
      <c r="L5752" s="25"/>
      <c r="M5752" s="7"/>
      <c r="N5752" s="8"/>
      <c r="O5752" s="11"/>
      <c r="P5752" s="11"/>
      <c r="Q5752" s="8"/>
      <c r="R5752" s="6"/>
      <c r="S5752" s="3"/>
      <c r="T5752" s="3"/>
      <c r="U5752" s="7"/>
      <c r="V5752" s="436"/>
      <c r="W5752" s="6"/>
      <c r="X5752" s="8"/>
      <c r="Y5752" s="8"/>
    </row>
    <row r="5753" spans="3:25" ht="12" customHeight="1">
      <c r="C5753" s="4"/>
      <c r="D5753" s="4"/>
      <c r="E5753" s="5"/>
      <c r="F5753" s="6"/>
      <c r="G5753" s="31"/>
      <c r="H5753" s="6"/>
      <c r="I5753" s="9"/>
      <c r="J5753" s="24"/>
      <c r="K5753" s="9"/>
      <c r="L5753" s="25"/>
      <c r="M5753" s="7"/>
      <c r="N5753" s="8"/>
      <c r="O5753" s="11"/>
      <c r="P5753" s="11"/>
      <c r="Q5753" s="8"/>
      <c r="R5753" s="6"/>
      <c r="S5753" s="3"/>
      <c r="T5753" s="3"/>
      <c r="U5753" s="7"/>
      <c r="V5753" s="436"/>
      <c r="W5753" s="6"/>
      <c r="X5753" s="8"/>
      <c r="Y5753" s="8"/>
    </row>
    <row r="5754" spans="3:25" ht="12" customHeight="1">
      <c r="C5754" s="4"/>
      <c r="D5754" s="4"/>
      <c r="E5754" s="5"/>
      <c r="F5754" s="6"/>
      <c r="G5754" s="31"/>
      <c r="H5754" s="6"/>
      <c r="I5754" s="9"/>
      <c r="J5754" s="24"/>
      <c r="K5754" s="9"/>
      <c r="L5754" s="25"/>
      <c r="M5754" s="7"/>
      <c r="N5754" s="8"/>
      <c r="O5754" s="11"/>
      <c r="P5754" s="11"/>
      <c r="Q5754" s="8"/>
      <c r="R5754" s="6"/>
      <c r="S5754" s="3"/>
      <c r="T5754" s="3"/>
      <c r="U5754" s="7"/>
      <c r="V5754" s="436"/>
      <c r="W5754" s="6"/>
      <c r="X5754" s="8"/>
      <c r="Y5754" s="8"/>
    </row>
    <row r="5755" spans="3:25" ht="12" customHeight="1">
      <c r="C5755" s="4"/>
      <c r="D5755" s="4"/>
      <c r="E5755" s="5"/>
      <c r="F5755" s="6"/>
      <c r="G5755" s="31"/>
      <c r="H5755" s="6"/>
      <c r="I5755" s="9"/>
      <c r="J5755" s="24"/>
      <c r="K5755" s="9"/>
      <c r="L5755" s="25"/>
      <c r="M5755" s="7"/>
      <c r="N5755" s="8"/>
      <c r="O5755" s="11"/>
      <c r="P5755" s="11"/>
      <c r="Q5755" s="8"/>
      <c r="R5755" s="6"/>
      <c r="S5755" s="3"/>
      <c r="T5755" s="3"/>
      <c r="U5755" s="7"/>
      <c r="V5755" s="436"/>
      <c r="W5755" s="6"/>
      <c r="X5755" s="8"/>
      <c r="Y5755" s="8"/>
    </row>
    <row r="5756" spans="3:25" ht="12" customHeight="1">
      <c r="C5756" s="4"/>
      <c r="D5756" s="4"/>
      <c r="E5756" s="5"/>
      <c r="F5756" s="6"/>
      <c r="G5756" s="31"/>
      <c r="H5756" s="6"/>
      <c r="I5756" s="9"/>
      <c r="J5756" s="24"/>
      <c r="K5756" s="9"/>
      <c r="L5756" s="25"/>
      <c r="M5756" s="7"/>
      <c r="N5756" s="8"/>
      <c r="O5756" s="11"/>
      <c r="P5756" s="11"/>
      <c r="Q5756" s="8"/>
      <c r="R5756" s="6"/>
      <c r="S5756" s="3"/>
      <c r="T5756" s="3"/>
      <c r="U5756" s="7"/>
      <c r="V5756" s="436"/>
      <c r="W5756" s="6"/>
      <c r="X5756" s="8"/>
      <c r="Y5756" s="8"/>
    </row>
    <row r="5757" spans="3:25" ht="12" customHeight="1">
      <c r="C5757" s="4"/>
      <c r="D5757" s="4"/>
      <c r="E5757" s="5"/>
      <c r="F5757" s="6"/>
      <c r="G5757" s="31"/>
      <c r="H5757" s="6"/>
      <c r="I5757" s="9"/>
      <c r="J5757" s="24"/>
      <c r="K5757" s="9"/>
      <c r="L5757" s="25"/>
      <c r="M5757" s="7"/>
      <c r="N5757" s="8"/>
      <c r="O5757" s="11"/>
      <c r="P5757" s="11"/>
      <c r="Q5757" s="8"/>
      <c r="R5757" s="6"/>
      <c r="S5757" s="3"/>
      <c r="T5757" s="3"/>
      <c r="U5757" s="7"/>
      <c r="V5757" s="436"/>
      <c r="W5757" s="6"/>
      <c r="X5757" s="8"/>
      <c r="Y5757" s="8"/>
    </row>
    <row r="5758" spans="3:25" ht="12" customHeight="1">
      <c r="C5758" s="4"/>
      <c r="D5758" s="4"/>
      <c r="E5758" s="5"/>
      <c r="F5758" s="6"/>
      <c r="G5758" s="31"/>
      <c r="H5758" s="6"/>
      <c r="I5758" s="9"/>
      <c r="J5758" s="24"/>
      <c r="K5758" s="9"/>
      <c r="L5758" s="25"/>
      <c r="M5758" s="7"/>
      <c r="N5758" s="8"/>
      <c r="O5758" s="11"/>
      <c r="P5758" s="11"/>
      <c r="Q5758" s="8"/>
      <c r="R5758" s="6"/>
      <c r="S5758" s="3"/>
      <c r="T5758" s="3"/>
      <c r="U5758" s="7"/>
      <c r="V5758" s="436"/>
      <c r="W5758" s="6"/>
      <c r="X5758" s="8"/>
      <c r="Y5758" s="8"/>
    </row>
    <row r="5759" spans="3:25" ht="12" customHeight="1">
      <c r="C5759" s="4"/>
      <c r="D5759" s="4"/>
      <c r="E5759" s="5"/>
      <c r="F5759" s="6"/>
      <c r="G5759" s="31"/>
      <c r="H5759" s="6"/>
      <c r="I5759" s="9"/>
      <c r="J5759" s="24"/>
      <c r="K5759" s="9"/>
      <c r="L5759" s="25"/>
      <c r="M5759" s="7"/>
      <c r="N5759" s="8"/>
      <c r="O5759" s="11"/>
      <c r="P5759" s="11"/>
      <c r="Q5759" s="8"/>
      <c r="R5759" s="6"/>
      <c r="S5759" s="3"/>
      <c r="T5759" s="3"/>
      <c r="U5759" s="7"/>
      <c r="V5759" s="436"/>
      <c r="W5759" s="6"/>
      <c r="X5759" s="8"/>
      <c r="Y5759" s="8"/>
    </row>
    <row r="5760" spans="3:25" ht="12" customHeight="1">
      <c r="C5760" s="4"/>
      <c r="D5760" s="4"/>
      <c r="E5760" s="5"/>
      <c r="F5760" s="6"/>
      <c r="G5760" s="31"/>
      <c r="H5760" s="6"/>
      <c r="I5760" s="9"/>
      <c r="J5760" s="24"/>
      <c r="K5760" s="9"/>
      <c r="L5760" s="25"/>
      <c r="M5760" s="7"/>
      <c r="N5760" s="8"/>
      <c r="O5760" s="11"/>
      <c r="P5760" s="11"/>
      <c r="Q5760" s="8"/>
      <c r="R5760" s="6"/>
      <c r="S5760" s="3"/>
      <c r="T5760" s="3"/>
      <c r="U5760" s="7"/>
      <c r="V5760" s="436"/>
      <c r="W5760" s="6"/>
      <c r="X5760" s="8"/>
      <c r="Y5760" s="8"/>
    </row>
    <row r="5761" spans="3:25" ht="12" customHeight="1">
      <c r="C5761" s="4"/>
      <c r="D5761" s="4"/>
      <c r="E5761" s="5"/>
      <c r="F5761" s="6"/>
      <c r="G5761" s="31"/>
      <c r="H5761" s="6"/>
      <c r="I5761" s="9"/>
      <c r="J5761" s="24"/>
      <c r="K5761" s="9"/>
      <c r="L5761" s="25"/>
      <c r="M5761" s="7"/>
      <c r="N5761" s="8"/>
      <c r="O5761" s="11"/>
      <c r="P5761" s="11"/>
      <c r="Q5761" s="8"/>
      <c r="R5761" s="6"/>
      <c r="S5761" s="3"/>
      <c r="T5761" s="3"/>
      <c r="U5761" s="7"/>
      <c r="V5761" s="436"/>
      <c r="W5761" s="6"/>
      <c r="X5761" s="8"/>
      <c r="Y5761" s="8"/>
    </row>
    <row r="5762" spans="3:25" ht="12" customHeight="1">
      <c r="C5762" s="4"/>
      <c r="D5762" s="4"/>
      <c r="E5762" s="5"/>
      <c r="F5762" s="6"/>
      <c r="G5762" s="31"/>
      <c r="H5762" s="6"/>
      <c r="I5762" s="9"/>
      <c r="J5762" s="24"/>
      <c r="K5762" s="9"/>
      <c r="L5762" s="25"/>
      <c r="M5762" s="7"/>
      <c r="N5762" s="8"/>
      <c r="O5762" s="11"/>
      <c r="P5762" s="11"/>
      <c r="Q5762" s="8"/>
      <c r="R5762" s="6"/>
      <c r="S5762" s="3"/>
      <c r="T5762" s="3"/>
      <c r="U5762" s="7"/>
      <c r="V5762" s="436"/>
      <c r="W5762" s="6"/>
      <c r="X5762" s="8"/>
      <c r="Y5762" s="8"/>
    </row>
    <row r="5763" spans="3:25" ht="12" customHeight="1">
      <c r="C5763" s="4"/>
      <c r="D5763" s="4"/>
      <c r="E5763" s="5"/>
      <c r="F5763" s="6"/>
      <c r="G5763" s="31"/>
      <c r="H5763" s="6"/>
      <c r="I5763" s="9"/>
      <c r="J5763" s="24"/>
      <c r="K5763" s="9"/>
      <c r="L5763" s="25"/>
      <c r="M5763" s="7"/>
      <c r="N5763" s="8"/>
      <c r="O5763" s="11"/>
      <c r="P5763" s="11"/>
      <c r="Q5763" s="8"/>
      <c r="R5763" s="6"/>
      <c r="S5763" s="3"/>
      <c r="T5763" s="3"/>
      <c r="U5763" s="7"/>
      <c r="V5763" s="436"/>
      <c r="W5763" s="6"/>
      <c r="X5763" s="8"/>
      <c r="Y5763" s="8"/>
    </row>
    <row r="5764" spans="3:25" ht="12" customHeight="1">
      <c r="C5764" s="4"/>
      <c r="D5764" s="4"/>
      <c r="E5764" s="5"/>
      <c r="F5764" s="6"/>
      <c r="G5764" s="31"/>
      <c r="H5764" s="6"/>
      <c r="I5764" s="9"/>
      <c r="J5764" s="24"/>
      <c r="K5764" s="9"/>
      <c r="L5764" s="25"/>
      <c r="M5764" s="7"/>
      <c r="N5764" s="8"/>
      <c r="O5764" s="11"/>
      <c r="P5764" s="11"/>
      <c r="Q5764" s="8"/>
      <c r="R5764" s="6"/>
      <c r="S5764" s="3"/>
      <c r="T5764" s="3"/>
      <c r="U5764" s="7"/>
      <c r="V5764" s="436"/>
      <c r="W5764" s="6"/>
      <c r="X5764" s="8"/>
      <c r="Y5764" s="8"/>
    </row>
    <row r="5765" spans="3:25" ht="12" customHeight="1">
      <c r="C5765" s="4"/>
      <c r="D5765" s="4"/>
      <c r="E5765" s="5"/>
      <c r="F5765" s="6"/>
      <c r="G5765" s="31"/>
      <c r="H5765" s="6"/>
      <c r="I5765" s="9"/>
      <c r="J5765" s="24"/>
      <c r="K5765" s="9"/>
      <c r="L5765" s="25"/>
      <c r="M5765" s="7"/>
      <c r="N5765" s="8"/>
      <c r="O5765" s="11"/>
      <c r="P5765" s="11"/>
      <c r="Q5765" s="8"/>
      <c r="R5765" s="6"/>
      <c r="S5765" s="3"/>
      <c r="T5765" s="3"/>
      <c r="U5765" s="7"/>
      <c r="V5765" s="436"/>
      <c r="W5765" s="6"/>
      <c r="X5765" s="8"/>
      <c r="Y5765" s="8"/>
    </row>
    <row r="5766" spans="3:25" ht="12" customHeight="1">
      <c r="C5766" s="4"/>
      <c r="D5766" s="4"/>
      <c r="E5766" s="5"/>
      <c r="F5766" s="6"/>
      <c r="G5766" s="31"/>
      <c r="H5766" s="6"/>
      <c r="I5766" s="9"/>
      <c r="J5766" s="24"/>
      <c r="K5766" s="9"/>
      <c r="L5766" s="25"/>
      <c r="M5766" s="7"/>
      <c r="N5766" s="8"/>
      <c r="O5766" s="11"/>
      <c r="P5766" s="11"/>
      <c r="Q5766" s="8"/>
      <c r="R5766" s="6"/>
      <c r="S5766" s="3"/>
      <c r="T5766" s="3"/>
      <c r="U5766" s="7"/>
      <c r="V5766" s="436"/>
      <c r="W5766" s="6"/>
      <c r="X5766" s="8"/>
      <c r="Y5766" s="8"/>
    </row>
    <row r="5767" spans="3:25" ht="12" customHeight="1">
      <c r="C5767" s="4"/>
      <c r="D5767" s="4"/>
      <c r="E5767" s="5"/>
      <c r="F5767" s="6"/>
      <c r="G5767" s="31"/>
      <c r="H5767" s="6"/>
      <c r="I5767" s="9"/>
      <c r="J5767" s="24"/>
      <c r="K5767" s="9"/>
      <c r="L5767" s="25"/>
      <c r="M5767" s="7"/>
      <c r="N5767" s="8"/>
      <c r="O5767" s="11"/>
      <c r="P5767" s="11"/>
      <c r="Q5767" s="8"/>
      <c r="R5767" s="6"/>
      <c r="S5767" s="3"/>
      <c r="T5767" s="3"/>
      <c r="U5767" s="7"/>
      <c r="V5767" s="436"/>
      <c r="W5767" s="6"/>
      <c r="X5767" s="8"/>
      <c r="Y5767" s="8"/>
    </row>
    <row r="5768" spans="3:25" ht="12" customHeight="1">
      <c r="C5768" s="4"/>
      <c r="D5768" s="4"/>
      <c r="E5768" s="5"/>
      <c r="F5768" s="6"/>
      <c r="G5768" s="31"/>
      <c r="H5768" s="6"/>
      <c r="I5768" s="9"/>
      <c r="J5768" s="24"/>
      <c r="K5768" s="9"/>
      <c r="L5768" s="25"/>
      <c r="M5768" s="7"/>
      <c r="N5768" s="8"/>
      <c r="O5768" s="11"/>
      <c r="P5768" s="11"/>
      <c r="Q5768" s="8"/>
      <c r="R5768" s="6"/>
      <c r="S5768" s="3"/>
      <c r="T5768" s="3"/>
      <c r="U5768" s="7"/>
      <c r="V5768" s="436"/>
      <c r="W5768" s="6"/>
      <c r="X5768" s="8"/>
      <c r="Y5768" s="8"/>
    </row>
    <row r="5769" spans="3:25" ht="12" customHeight="1">
      <c r="C5769" s="4"/>
      <c r="D5769" s="4"/>
      <c r="E5769" s="5"/>
      <c r="F5769" s="6"/>
      <c r="G5769" s="31"/>
      <c r="H5769" s="6"/>
      <c r="I5769" s="9"/>
      <c r="J5769" s="24"/>
      <c r="K5769" s="9"/>
      <c r="L5769" s="25"/>
      <c r="M5769" s="7"/>
      <c r="N5769" s="8"/>
      <c r="O5769" s="11"/>
      <c r="P5769" s="11"/>
      <c r="Q5769" s="8"/>
      <c r="R5769" s="6"/>
      <c r="S5769" s="3"/>
      <c r="T5769" s="3"/>
      <c r="U5769" s="7"/>
      <c r="V5769" s="436"/>
      <c r="W5769" s="6"/>
      <c r="X5769" s="8"/>
      <c r="Y5769" s="8"/>
    </row>
    <row r="5770" spans="3:25" ht="12" customHeight="1">
      <c r="C5770" s="4"/>
      <c r="D5770" s="4"/>
      <c r="E5770" s="5"/>
      <c r="F5770" s="6"/>
      <c r="G5770" s="31"/>
      <c r="H5770" s="6"/>
      <c r="I5770" s="9"/>
      <c r="J5770" s="24"/>
      <c r="K5770" s="9"/>
      <c r="L5770" s="25"/>
      <c r="M5770" s="7"/>
      <c r="N5770" s="8"/>
      <c r="O5770" s="11"/>
      <c r="P5770" s="11"/>
      <c r="Q5770" s="8"/>
      <c r="R5770" s="6"/>
      <c r="S5770" s="3"/>
      <c r="T5770" s="3"/>
      <c r="U5770" s="7"/>
      <c r="V5770" s="436"/>
      <c r="W5770" s="6"/>
      <c r="X5770" s="8"/>
      <c r="Y5770" s="8"/>
    </row>
    <row r="5771" spans="3:25" ht="12" customHeight="1">
      <c r="C5771" s="4"/>
      <c r="D5771" s="4"/>
      <c r="E5771" s="5"/>
      <c r="F5771" s="6"/>
      <c r="G5771" s="31"/>
      <c r="H5771" s="6"/>
      <c r="I5771" s="9"/>
      <c r="J5771" s="24"/>
      <c r="K5771" s="9"/>
      <c r="L5771" s="25"/>
      <c r="M5771" s="7"/>
      <c r="N5771" s="8"/>
      <c r="O5771" s="11"/>
      <c r="P5771" s="11"/>
      <c r="Q5771" s="8"/>
      <c r="R5771" s="6"/>
      <c r="S5771" s="3"/>
      <c r="T5771" s="3"/>
      <c r="U5771" s="7"/>
      <c r="V5771" s="436"/>
      <c r="W5771" s="6"/>
      <c r="X5771" s="8"/>
      <c r="Y5771" s="8"/>
    </row>
    <row r="5772" spans="3:25" ht="12" customHeight="1">
      <c r="C5772" s="4"/>
      <c r="D5772" s="4"/>
      <c r="E5772" s="5"/>
      <c r="F5772" s="6"/>
      <c r="G5772" s="31"/>
      <c r="H5772" s="6"/>
      <c r="I5772" s="9"/>
      <c r="J5772" s="24"/>
      <c r="K5772" s="9"/>
      <c r="L5772" s="25"/>
      <c r="M5772" s="7"/>
      <c r="N5772" s="8"/>
      <c r="O5772" s="11"/>
      <c r="P5772" s="11"/>
      <c r="Q5772" s="8"/>
      <c r="R5772" s="6"/>
      <c r="S5772" s="3"/>
      <c r="T5772" s="3"/>
      <c r="U5772" s="7"/>
      <c r="V5772" s="436"/>
      <c r="W5772" s="6"/>
      <c r="X5772" s="8"/>
      <c r="Y5772" s="8"/>
    </row>
    <row r="5773" spans="3:25" ht="12" customHeight="1">
      <c r="C5773" s="4"/>
      <c r="D5773" s="4"/>
      <c r="E5773" s="5"/>
      <c r="F5773" s="6"/>
      <c r="G5773" s="31"/>
      <c r="H5773" s="6"/>
      <c r="I5773" s="9"/>
      <c r="J5773" s="24"/>
      <c r="K5773" s="9"/>
      <c r="L5773" s="25"/>
      <c r="M5773" s="7"/>
      <c r="N5773" s="8"/>
      <c r="O5773" s="11"/>
      <c r="P5773" s="11"/>
      <c r="Q5773" s="8"/>
      <c r="R5773" s="6"/>
      <c r="S5773" s="3"/>
      <c r="T5773" s="3"/>
      <c r="U5773" s="7"/>
      <c r="V5773" s="436"/>
      <c r="W5773" s="6"/>
      <c r="X5773" s="8"/>
      <c r="Y5773" s="8"/>
    </row>
    <row r="5774" spans="3:25" ht="12" customHeight="1">
      <c r="C5774" s="4"/>
      <c r="D5774" s="4"/>
      <c r="E5774" s="5"/>
      <c r="F5774" s="6"/>
      <c r="G5774" s="31"/>
      <c r="H5774" s="6"/>
      <c r="I5774" s="9"/>
      <c r="J5774" s="24"/>
      <c r="K5774" s="9"/>
      <c r="L5774" s="25"/>
      <c r="M5774" s="7"/>
      <c r="N5774" s="8"/>
      <c r="O5774" s="11"/>
      <c r="P5774" s="11"/>
      <c r="Q5774" s="8"/>
      <c r="R5774" s="6"/>
      <c r="S5774" s="3"/>
      <c r="T5774" s="3"/>
      <c r="U5774" s="7"/>
      <c r="V5774" s="436"/>
      <c r="W5774" s="6"/>
      <c r="X5774" s="8"/>
      <c r="Y5774" s="8"/>
    </row>
    <row r="5775" spans="3:25" ht="12" customHeight="1">
      <c r="C5775" s="4"/>
      <c r="D5775" s="4"/>
      <c r="E5775" s="5"/>
      <c r="F5775" s="6"/>
      <c r="G5775" s="31"/>
      <c r="H5775" s="6"/>
      <c r="I5775" s="9"/>
      <c r="J5775" s="24"/>
      <c r="K5775" s="9"/>
      <c r="L5775" s="25"/>
      <c r="M5775" s="7"/>
      <c r="N5775" s="8"/>
      <c r="O5775" s="11"/>
      <c r="P5775" s="11"/>
      <c r="Q5775" s="8"/>
      <c r="R5775" s="6"/>
      <c r="S5775" s="3"/>
      <c r="T5775" s="3"/>
      <c r="U5775" s="7"/>
      <c r="V5775" s="436"/>
      <c r="W5775" s="6"/>
      <c r="X5775" s="8"/>
      <c r="Y5775" s="8"/>
    </row>
    <row r="5776" spans="3:25" ht="12" customHeight="1">
      <c r="C5776" s="4"/>
      <c r="D5776" s="4"/>
      <c r="E5776" s="5"/>
      <c r="F5776" s="6"/>
      <c r="G5776" s="31"/>
      <c r="H5776" s="6"/>
      <c r="I5776" s="9"/>
      <c r="J5776" s="24"/>
      <c r="K5776" s="9"/>
      <c r="L5776" s="25"/>
      <c r="M5776" s="7"/>
      <c r="N5776" s="8"/>
      <c r="O5776" s="11"/>
      <c r="P5776" s="11"/>
      <c r="Q5776" s="8"/>
      <c r="R5776" s="6"/>
      <c r="S5776" s="3"/>
      <c r="T5776" s="3"/>
      <c r="U5776" s="7"/>
      <c r="V5776" s="436"/>
      <c r="W5776" s="6"/>
      <c r="X5776" s="8"/>
      <c r="Y5776" s="8"/>
    </row>
    <row r="5777" spans="3:25" ht="12" customHeight="1">
      <c r="C5777" s="4"/>
      <c r="D5777" s="4"/>
      <c r="E5777" s="5"/>
      <c r="F5777" s="6"/>
      <c r="G5777" s="31"/>
      <c r="H5777" s="6"/>
      <c r="I5777" s="9"/>
      <c r="J5777" s="24"/>
      <c r="K5777" s="9"/>
      <c r="L5777" s="25"/>
      <c r="M5777" s="7"/>
      <c r="N5777" s="8"/>
      <c r="O5777" s="11"/>
      <c r="P5777" s="11"/>
      <c r="Q5777" s="8"/>
      <c r="R5777" s="6"/>
      <c r="S5777" s="3"/>
      <c r="T5777" s="3"/>
      <c r="U5777" s="7"/>
      <c r="V5777" s="436"/>
      <c r="W5777" s="6"/>
      <c r="X5777" s="8"/>
      <c r="Y5777" s="8"/>
    </row>
    <row r="5778" spans="3:25" ht="12" customHeight="1">
      <c r="C5778" s="4"/>
      <c r="D5778" s="4"/>
      <c r="E5778" s="5"/>
      <c r="F5778" s="6"/>
      <c r="G5778" s="31"/>
      <c r="H5778" s="6"/>
      <c r="I5778" s="9"/>
      <c r="J5778" s="24"/>
      <c r="K5778" s="9"/>
      <c r="L5778" s="25"/>
      <c r="M5778" s="7"/>
      <c r="N5778" s="8"/>
      <c r="O5778" s="11"/>
      <c r="P5778" s="11"/>
      <c r="Q5778" s="8"/>
      <c r="R5778" s="6"/>
      <c r="S5778" s="3"/>
      <c r="T5778" s="3"/>
      <c r="U5778" s="7"/>
      <c r="V5778" s="436"/>
      <c r="W5778" s="6"/>
      <c r="X5778" s="8"/>
      <c r="Y5778" s="8"/>
    </row>
    <row r="5779" spans="3:25" ht="12" customHeight="1">
      <c r="C5779" s="4"/>
      <c r="D5779" s="4"/>
      <c r="E5779" s="5"/>
      <c r="F5779" s="6"/>
      <c r="G5779" s="31"/>
      <c r="H5779" s="6"/>
      <c r="I5779" s="9"/>
      <c r="J5779" s="24"/>
      <c r="K5779" s="9"/>
      <c r="L5779" s="25"/>
      <c r="M5779" s="7"/>
      <c r="N5779" s="8"/>
      <c r="O5779" s="11"/>
      <c r="P5779" s="11"/>
      <c r="Q5779" s="8"/>
      <c r="R5779" s="6"/>
      <c r="S5779" s="3"/>
      <c r="T5779" s="3"/>
      <c r="U5779" s="7"/>
      <c r="V5779" s="436"/>
      <c r="W5779" s="6"/>
      <c r="X5779" s="8"/>
      <c r="Y5779" s="8"/>
    </row>
    <row r="5780" spans="3:25" ht="12" customHeight="1">
      <c r="C5780" s="4"/>
      <c r="D5780" s="4"/>
      <c r="E5780" s="5"/>
      <c r="F5780" s="6"/>
      <c r="G5780" s="31"/>
      <c r="H5780" s="6"/>
      <c r="I5780" s="9"/>
      <c r="J5780" s="24"/>
      <c r="K5780" s="9"/>
      <c r="L5780" s="25"/>
      <c r="M5780" s="7"/>
      <c r="N5780" s="8"/>
      <c r="O5780" s="11"/>
      <c r="P5780" s="11"/>
      <c r="Q5780" s="8"/>
      <c r="R5780" s="6"/>
      <c r="S5780" s="3"/>
      <c r="T5780" s="3"/>
      <c r="U5780" s="7"/>
      <c r="V5780" s="436"/>
      <c r="W5780" s="6"/>
      <c r="X5780" s="8"/>
      <c r="Y5780" s="8"/>
    </row>
    <row r="5781" spans="3:25" ht="12" customHeight="1">
      <c r="C5781" s="4"/>
      <c r="D5781" s="4"/>
      <c r="E5781" s="5"/>
      <c r="F5781" s="6"/>
      <c r="G5781" s="31"/>
      <c r="H5781" s="6"/>
      <c r="I5781" s="9"/>
      <c r="J5781" s="24"/>
      <c r="K5781" s="9"/>
      <c r="L5781" s="25"/>
      <c r="M5781" s="7"/>
      <c r="N5781" s="8"/>
      <c r="O5781" s="11"/>
      <c r="P5781" s="11"/>
      <c r="Q5781" s="8"/>
      <c r="R5781" s="6"/>
      <c r="S5781" s="3"/>
      <c r="T5781" s="3"/>
      <c r="U5781" s="7"/>
      <c r="V5781" s="436"/>
      <c r="W5781" s="6"/>
      <c r="X5781" s="8"/>
      <c r="Y5781" s="8"/>
    </row>
    <row r="5782" spans="3:25" ht="12" customHeight="1">
      <c r="C5782" s="4"/>
      <c r="D5782" s="4"/>
      <c r="E5782" s="5"/>
      <c r="F5782" s="6"/>
      <c r="G5782" s="31"/>
      <c r="H5782" s="6"/>
      <c r="I5782" s="9"/>
      <c r="J5782" s="24"/>
      <c r="K5782" s="9"/>
      <c r="L5782" s="25"/>
      <c r="M5782" s="7"/>
      <c r="N5782" s="8"/>
      <c r="O5782" s="11"/>
      <c r="P5782" s="11"/>
      <c r="Q5782" s="8"/>
      <c r="R5782" s="6"/>
      <c r="S5782" s="3"/>
      <c r="T5782" s="3"/>
      <c r="U5782" s="7"/>
      <c r="V5782" s="436"/>
      <c r="W5782" s="6"/>
      <c r="X5782" s="8"/>
      <c r="Y5782" s="8"/>
    </row>
    <row r="5783" spans="3:25" ht="12" customHeight="1">
      <c r="C5783" s="4"/>
      <c r="D5783" s="4"/>
      <c r="E5783" s="5"/>
      <c r="F5783" s="6"/>
      <c r="G5783" s="31"/>
      <c r="H5783" s="6"/>
      <c r="I5783" s="9"/>
      <c r="J5783" s="24"/>
      <c r="K5783" s="9"/>
      <c r="L5783" s="25"/>
      <c r="M5783" s="7"/>
      <c r="N5783" s="8"/>
      <c r="O5783" s="11"/>
      <c r="P5783" s="11"/>
      <c r="Q5783" s="8"/>
      <c r="R5783" s="6"/>
      <c r="S5783" s="3"/>
      <c r="T5783" s="3"/>
      <c r="U5783" s="7"/>
      <c r="V5783" s="436"/>
      <c r="W5783" s="6"/>
      <c r="X5783" s="8"/>
      <c r="Y5783" s="8"/>
    </row>
    <row r="5784" spans="3:25" ht="12" customHeight="1">
      <c r="C5784" s="4"/>
      <c r="D5784" s="4"/>
      <c r="E5784" s="5"/>
      <c r="F5784" s="6"/>
      <c r="G5784" s="31"/>
      <c r="H5784" s="6"/>
      <c r="I5784" s="9"/>
      <c r="J5784" s="24"/>
      <c r="K5784" s="9"/>
      <c r="L5784" s="25"/>
      <c r="M5784" s="7"/>
      <c r="N5784" s="8"/>
      <c r="O5784" s="11"/>
      <c r="P5784" s="11"/>
      <c r="Q5784" s="8"/>
      <c r="R5784" s="6"/>
      <c r="S5784" s="3"/>
      <c r="T5784" s="3"/>
      <c r="U5784" s="7"/>
      <c r="V5784" s="436"/>
      <c r="W5784" s="6"/>
      <c r="X5784" s="8"/>
      <c r="Y5784" s="8"/>
    </row>
    <row r="5785" spans="3:25" ht="12" customHeight="1">
      <c r="C5785" s="4"/>
      <c r="D5785" s="4"/>
      <c r="E5785" s="5"/>
      <c r="F5785" s="6"/>
      <c r="G5785" s="31"/>
      <c r="H5785" s="6"/>
      <c r="I5785" s="9"/>
      <c r="J5785" s="24"/>
      <c r="K5785" s="9"/>
      <c r="L5785" s="25"/>
      <c r="M5785" s="7"/>
      <c r="N5785" s="8"/>
      <c r="O5785" s="11"/>
      <c r="P5785" s="11"/>
      <c r="Q5785" s="8"/>
      <c r="R5785" s="6"/>
      <c r="S5785" s="3"/>
      <c r="T5785" s="3"/>
      <c r="U5785" s="7"/>
      <c r="V5785" s="436"/>
      <c r="W5785" s="6"/>
      <c r="X5785" s="8"/>
      <c r="Y5785" s="8"/>
    </row>
    <row r="5786" spans="3:25" ht="12" customHeight="1">
      <c r="C5786" s="4"/>
      <c r="D5786" s="4"/>
      <c r="E5786" s="5"/>
      <c r="F5786" s="6"/>
      <c r="G5786" s="31"/>
      <c r="H5786" s="6"/>
      <c r="I5786" s="9"/>
      <c r="J5786" s="24"/>
      <c r="K5786" s="9"/>
      <c r="L5786" s="25"/>
      <c r="M5786" s="7"/>
      <c r="N5786" s="8"/>
      <c r="O5786" s="11"/>
      <c r="P5786" s="11"/>
      <c r="Q5786" s="8"/>
      <c r="R5786" s="6"/>
      <c r="S5786" s="3"/>
      <c r="T5786" s="3"/>
      <c r="U5786" s="7"/>
      <c r="V5786" s="436"/>
      <c r="W5786" s="6"/>
      <c r="X5786" s="8"/>
      <c r="Y5786" s="8"/>
    </row>
    <row r="5787" spans="3:25" ht="12" customHeight="1">
      <c r="C5787" s="4"/>
      <c r="D5787" s="4"/>
      <c r="E5787" s="5"/>
      <c r="F5787" s="6"/>
      <c r="G5787" s="31"/>
      <c r="H5787" s="6"/>
      <c r="I5787" s="9"/>
      <c r="J5787" s="24"/>
      <c r="K5787" s="9"/>
      <c r="L5787" s="25"/>
      <c r="M5787" s="7"/>
      <c r="N5787" s="8"/>
      <c r="O5787" s="11"/>
      <c r="P5787" s="11"/>
      <c r="Q5787" s="8"/>
      <c r="R5787" s="6"/>
      <c r="S5787" s="3"/>
      <c r="T5787" s="3"/>
      <c r="U5787" s="7"/>
      <c r="V5787" s="436"/>
      <c r="W5787" s="6"/>
      <c r="X5787" s="8"/>
      <c r="Y5787" s="8"/>
    </row>
    <row r="5788" spans="3:25" ht="12" customHeight="1">
      <c r="C5788" s="4"/>
      <c r="D5788" s="4"/>
      <c r="E5788" s="5"/>
      <c r="F5788" s="6"/>
      <c r="G5788" s="31"/>
      <c r="H5788" s="6"/>
      <c r="I5788" s="9"/>
      <c r="J5788" s="24"/>
      <c r="K5788" s="9"/>
      <c r="L5788" s="25"/>
      <c r="M5788" s="7"/>
      <c r="N5788" s="8"/>
      <c r="O5788" s="11"/>
      <c r="P5788" s="11"/>
      <c r="Q5788" s="8"/>
      <c r="R5788" s="6"/>
      <c r="S5788" s="3"/>
      <c r="T5788" s="3"/>
      <c r="U5788" s="7"/>
      <c r="V5788" s="436"/>
      <c r="W5788" s="6"/>
      <c r="X5788" s="8"/>
      <c r="Y5788" s="8"/>
    </row>
    <row r="5789" spans="3:25" ht="12" customHeight="1">
      <c r="C5789" s="4"/>
      <c r="D5789" s="4"/>
      <c r="E5789" s="5"/>
      <c r="F5789" s="6"/>
      <c r="G5789" s="31"/>
      <c r="H5789" s="6"/>
      <c r="I5789" s="9"/>
      <c r="J5789" s="24"/>
      <c r="K5789" s="9"/>
      <c r="L5789" s="25"/>
      <c r="M5789" s="7"/>
      <c r="N5789" s="8"/>
      <c r="O5789" s="11"/>
      <c r="P5789" s="11"/>
      <c r="Q5789" s="8"/>
      <c r="R5789" s="6"/>
      <c r="S5789" s="3"/>
      <c r="T5789" s="3"/>
      <c r="U5789" s="7"/>
      <c r="V5789" s="436"/>
      <c r="W5789" s="6"/>
      <c r="X5789" s="8"/>
      <c r="Y5789" s="8"/>
    </row>
    <row r="5790" spans="3:25" ht="12" customHeight="1">
      <c r="C5790" s="4"/>
      <c r="D5790" s="4"/>
      <c r="E5790" s="5"/>
      <c r="F5790" s="6"/>
      <c r="G5790" s="31"/>
      <c r="H5790" s="6"/>
      <c r="I5790" s="9"/>
      <c r="J5790" s="24"/>
      <c r="K5790" s="9"/>
      <c r="L5790" s="25"/>
      <c r="M5790" s="7"/>
      <c r="N5790" s="8"/>
      <c r="O5790" s="11"/>
      <c r="P5790" s="11"/>
      <c r="Q5790" s="8"/>
      <c r="R5790" s="6"/>
      <c r="S5790" s="3"/>
      <c r="T5790" s="3"/>
      <c r="U5790" s="7"/>
      <c r="V5790" s="436"/>
      <c r="W5790" s="6"/>
      <c r="X5790" s="8"/>
      <c r="Y5790" s="8"/>
    </row>
    <row r="5791" spans="3:25" ht="12" customHeight="1">
      <c r="C5791" s="4"/>
      <c r="D5791" s="4"/>
      <c r="E5791" s="5"/>
      <c r="F5791" s="6"/>
      <c r="G5791" s="31"/>
      <c r="H5791" s="6"/>
      <c r="I5791" s="9"/>
      <c r="J5791" s="24"/>
      <c r="K5791" s="9"/>
      <c r="L5791" s="25"/>
      <c r="M5791" s="7"/>
      <c r="N5791" s="8"/>
      <c r="O5791" s="11"/>
      <c r="P5791" s="11"/>
      <c r="Q5791" s="8"/>
      <c r="R5791" s="6"/>
      <c r="S5791" s="3"/>
      <c r="T5791" s="3"/>
      <c r="U5791" s="7"/>
      <c r="V5791" s="436"/>
      <c r="W5791" s="6"/>
      <c r="X5791" s="8"/>
      <c r="Y5791" s="8"/>
    </row>
    <row r="5792" spans="3:25" ht="12" customHeight="1">
      <c r="C5792" s="4"/>
      <c r="D5792" s="4"/>
      <c r="E5792" s="5"/>
      <c r="F5792" s="6"/>
      <c r="G5792" s="31"/>
      <c r="H5792" s="6"/>
      <c r="I5792" s="9"/>
      <c r="J5792" s="24"/>
      <c r="K5792" s="9"/>
      <c r="L5792" s="25"/>
      <c r="M5792" s="7"/>
      <c r="N5792" s="8"/>
      <c r="O5792" s="11"/>
      <c r="P5792" s="11"/>
      <c r="Q5792" s="8"/>
      <c r="R5792" s="6"/>
      <c r="S5792" s="3"/>
      <c r="T5792" s="3"/>
      <c r="U5792" s="7"/>
      <c r="V5792" s="436"/>
      <c r="W5792" s="6"/>
      <c r="X5792" s="8"/>
      <c r="Y5792" s="8"/>
    </row>
    <row r="5793" spans="3:25" ht="12" customHeight="1">
      <c r="C5793" s="4"/>
      <c r="D5793" s="4"/>
      <c r="E5793" s="5"/>
      <c r="F5793" s="6"/>
      <c r="G5793" s="31"/>
      <c r="H5793" s="6"/>
      <c r="I5793" s="9"/>
      <c r="J5793" s="24"/>
      <c r="K5793" s="9"/>
      <c r="L5793" s="25"/>
      <c r="M5793" s="7"/>
      <c r="N5793" s="8"/>
      <c r="O5793" s="11"/>
      <c r="P5793" s="11"/>
      <c r="Q5793" s="8"/>
      <c r="R5793" s="6"/>
      <c r="S5793" s="3"/>
      <c r="T5793" s="3"/>
      <c r="U5793" s="7"/>
      <c r="V5793" s="436"/>
      <c r="W5793" s="6"/>
      <c r="X5793" s="8"/>
      <c r="Y5793" s="8"/>
    </row>
    <row r="5794" spans="3:25" ht="12" customHeight="1">
      <c r="C5794" s="4"/>
      <c r="D5794" s="4"/>
      <c r="E5794" s="5"/>
      <c r="F5794" s="6"/>
      <c r="G5794" s="31"/>
      <c r="H5794" s="6"/>
      <c r="I5794" s="9"/>
      <c r="J5794" s="24"/>
      <c r="K5794" s="9"/>
      <c r="L5794" s="25"/>
      <c r="M5794" s="7"/>
      <c r="N5794" s="8"/>
      <c r="O5794" s="11"/>
      <c r="P5794" s="11"/>
      <c r="Q5794" s="8"/>
      <c r="R5794" s="6"/>
      <c r="S5794" s="3"/>
      <c r="T5794" s="3"/>
      <c r="U5794" s="7"/>
      <c r="V5794" s="436"/>
      <c r="W5794" s="6"/>
      <c r="X5794" s="8"/>
      <c r="Y5794" s="8"/>
    </row>
    <row r="5795" spans="3:25" ht="12" customHeight="1">
      <c r="C5795" s="4"/>
      <c r="D5795" s="4"/>
      <c r="E5795" s="5"/>
      <c r="F5795" s="6"/>
      <c r="G5795" s="31"/>
      <c r="H5795" s="6"/>
      <c r="I5795" s="9"/>
      <c r="J5795" s="24"/>
      <c r="K5795" s="9"/>
      <c r="L5795" s="25"/>
      <c r="M5795" s="7"/>
      <c r="N5795" s="8"/>
      <c r="O5795" s="11"/>
      <c r="P5795" s="11"/>
      <c r="Q5795" s="8"/>
      <c r="R5795" s="6"/>
      <c r="S5795" s="3"/>
      <c r="T5795" s="3"/>
      <c r="U5795" s="7"/>
      <c r="V5795" s="436"/>
      <c r="W5795" s="6"/>
      <c r="X5795" s="8"/>
      <c r="Y5795" s="8"/>
    </row>
    <row r="5796" spans="3:25" ht="12" customHeight="1">
      <c r="C5796" s="4"/>
      <c r="D5796" s="4"/>
      <c r="E5796" s="5"/>
      <c r="F5796" s="6"/>
      <c r="G5796" s="31"/>
      <c r="H5796" s="6"/>
      <c r="I5796" s="9"/>
      <c r="J5796" s="24"/>
      <c r="K5796" s="9"/>
      <c r="L5796" s="25"/>
      <c r="M5796" s="7"/>
      <c r="N5796" s="8"/>
      <c r="O5796" s="11"/>
      <c r="P5796" s="11"/>
      <c r="Q5796" s="8"/>
      <c r="R5796" s="6"/>
      <c r="S5796" s="3"/>
      <c r="T5796" s="3"/>
      <c r="U5796" s="7"/>
      <c r="V5796" s="436"/>
      <c r="W5796" s="6"/>
      <c r="X5796" s="8"/>
      <c r="Y5796" s="8"/>
    </row>
    <row r="5797" spans="3:25" ht="12" customHeight="1">
      <c r="C5797" s="4"/>
      <c r="D5797" s="4"/>
      <c r="E5797" s="5"/>
      <c r="F5797" s="6"/>
      <c r="G5797" s="31"/>
      <c r="H5797" s="6"/>
      <c r="I5797" s="9"/>
      <c r="J5797" s="24"/>
      <c r="K5797" s="9"/>
      <c r="L5797" s="25"/>
      <c r="M5797" s="7"/>
      <c r="N5797" s="8"/>
      <c r="O5797" s="11"/>
      <c r="P5797" s="11"/>
      <c r="Q5797" s="8"/>
      <c r="R5797" s="6"/>
      <c r="S5797" s="3"/>
      <c r="T5797" s="3"/>
      <c r="U5797" s="7"/>
      <c r="V5797" s="436"/>
      <c r="W5797" s="6"/>
      <c r="X5797" s="8"/>
      <c r="Y5797" s="8"/>
    </row>
    <row r="5798" spans="3:25" ht="12" customHeight="1">
      <c r="C5798" s="4"/>
      <c r="D5798" s="4"/>
      <c r="E5798" s="5"/>
      <c r="F5798" s="6"/>
      <c r="G5798" s="31"/>
      <c r="H5798" s="6"/>
      <c r="I5798" s="9"/>
      <c r="J5798" s="24"/>
      <c r="K5798" s="9"/>
      <c r="L5798" s="25"/>
      <c r="M5798" s="7"/>
      <c r="N5798" s="8"/>
      <c r="O5798" s="11"/>
      <c r="P5798" s="11"/>
      <c r="Q5798" s="8"/>
      <c r="R5798" s="6"/>
      <c r="S5798" s="3"/>
      <c r="T5798" s="3"/>
      <c r="U5798" s="7"/>
      <c r="V5798" s="436"/>
      <c r="W5798" s="6"/>
      <c r="X5798" s="8"/>
      <c r="Y5798" s="8"/>
    </row>
    <row r="5799" spans="3:25" ht="12" customHeight="1">
      <c r="C5799" s="4"/>
      <c r="D5799" s="4"/>
      <c r="E5799" s="5"/>
      <c r="F5799" s="6"/>
      <c r="G5799" s="31"/>
      <c r="H5799" s="6"/>
      <c r="I5799" s="9"/>
      <c r="J5799" s="24"/>
      <c r="K5799" s="9"/>
      <c r="L5799" s="25"/>
      <c r="M5799" s="47"/>
      <c r="N5799" s="8"/>
      <c r="O5799" s="11"/>
      <c r="P5799" s="11"/>
      <c r="Q5799" s="8"/>
      <c r="R5799" s="6"/>
      <c r="S5799" s="3"/>
      <c r="T5799" s="3"/>
      <c r="U5799" s="7"/>
      <c r="V5799" s="436"/>
      <c r="W5799" s="6"/>
      <c r="X5799" s="8"/>
      <c r="Y5799" s="8"/>
    </row>
    <row r="5800" spans="3:25" ht="12" customHeight="1">
      <c r="C5800" s="4"/>
      <c r="D5800" s="4"/>
      <c r="E5800" s="5"/>
      <c r="F5800" s="6"/>
      <c r="G5800" s="31"/>
      <c r="H5800" s="6"/>
      <c r="I5800" s="9"/>
      <c r="J5800" s="24"/>
      <c r="K5800" s="9"/>
      <c r="L5800" s="25"/>
      <c r="M5800" s="7"/>
      <c r="N5800" s="8"/>
      <c r="O5800" s="11"/>
      <c r="P5800" s="11"/>
      <c r="Q5800" s="8"/>
      <c r="R5800" s="6"/>
      <c r="S5800" s="3"/>
      <c r="T5800" s="3"/>
      <c r="U5800" s="7"/>
      <c r="V5800" s="436"/>
      <c r="W5800" s="6"/>
      <c r="X5800" s="8"/>
      <c r="Y5800" s="8"/>
    </row>
    <row r="5801" spans="3:25" ht="12" customHeight="1">
      <c r="C5801" s="4"/>
      <c r="D5801" s="4"/>
      <c r="E5801" s="5"/>
      <c r="F5801" s="6"/>
      <c r="G5801" s="31"/>
      <c r="H5801" s="6"/>
      <c r="I5801" s="9"/>
      <c r="J5801" s="24"/>
      <c r="K5801" s="9"/>
      <c r="L5801" s="25"/>
      <c r="M5801" s="7"/>
      <c r="N5801" s="8"/>
      <c r="O5801" s="11"/>
      <c r="P5801" s="11"/>
      <c r="Q5801" s="8"/>
      <c r="R5801" s="6"/>
      <c r="S5801" s="3"/>
      <c r="T5801" s="3"/>
      <c r="U5801" s="7"/>
      <c r="V5801" s="436"/>
      <c r="W5801" s="6"/>
      <c r="X5801" s="8"/>
      <c r="Y5801" s="8"/>
    </row>
    <row r="5802" spans="3:25" ht="12" customHeight="1">
      <c r="C5802" s="4"/>
      <c r="D5802" s="4"/>
      <c r="E5802" s="5"/>
      <c r="F5802" s="6"/>
      <c r="G5802" s="31"/>
      <c r="H5802" s="6"/>
      <c r="I5802" s="9"/>
      <c r="J5802" s="24"/>
      <c r="K5802" s="9"/>
      <c r="L5802" s="25"/>
      <c r="M5802" s="7"/>
      <c r="N5802" s="8"/>
      <c r="O5802" s="11"/>
      <c r="P5802" s="11"/>
      <c r="Q5802" s="8"/>
      <c r="R5802" s="6"/>
      <c r="S5802" s="3"/>
      <c r="T5802" s="3"/>
      <c r="U5802" s="7"/>
      <c r="V5802" s="436"/>
      <c r="W5802" s="6"/>
      <c r="X5802" s="8"/>
      <c r="Y5802" s="8"/>
    </row>
    <row r="5803" spans="3:25" ht="12" customHeight="1">
      <c r="C5803" s="4"/>
      <c r="D5803" s="4"/>
      <c r="E5803" s="5"/>
      <c r="F5803" s="6"/>
      <c r="G5803" s="31"/>
      <c r="H5803" s="6"/>
      <c r="I5803" s="9"/>
      <c r="J5803" s="24"/>
      <c r="K5803" s="9"/>
      <c r="L5803" s="25"/>
      <c r="M5803" s="7"/>
      <c r="N5803" s="8"/>
      <c r="O5803" s="11"/>
      <c r="P5803" s="11"/>
      <c r="Q5803" s="8"/>
      <c r="R5803" s="6"/>
      <c r="S5803" s="3"/>
      <c r="T5803" s="3"/>
      <c r="U5803" s="7"/>
      <c r="V5803" s="436"/>
      <c r="W5803" s="6"/>
      <c r="X5803" s="8"/>
      <c r="Y5803" s="8"/>
    </row>
    <row r="5804" spans="3:25" ht="12" customHeight="1">
      <c r="C5804" s="4"/>
      <c r="D5804" s="4"/>
      <c r="E5804" s="5"/>
      <c r="F5804" s="6"/>
      <c r="G5804" s="31"/>
      <c r="H5804" s="6"/>
      <c r="I5804" s="9"/>
      <c r="J5804" s="24"/>
      <c r="K5804" s="9"/>
      <c r="L5804" s="25"/>
      <c r="M5804" s="7"/>
      <c r="N5804" s="8"/>
      <c r="O5804" s="11"/>
      <c r="P5804" s="11"/>
      <c r="Q5804" s="8"/>
      <c r="R5804" s="6"/>
      <c r="S5804" s="3"/>
      <c r="T5804" s="3"/>
      <c r="U5804" s="7"/>
      <c r="V5804" s="436"/>
      <c r="W5804" s="6"/>
      <c r="X5804" s="8"/>
      <c r="Y5804" s="8"/>
    </row>
    <row r="5805" spans="3:25" ht="12" customHeight="1">
      <c r="C5805" s="4"/>
      <c r="D5805" s="4"/>
      <c r="E5805" s="5"/>
      <c r="F5805" s="6"/>
      <c r="G5805" s="31"/>
      <c r="H5805" s="6"/>
      <c r="I5805" s="9"/>
      <c r="J5805" s="24"/>
      <c r="K5805" s="9"/>
      <c r="L5805" s="25"/>
      <c r="M5805" s="47"/>
      <c r="N5805" s="8"/>
      <c r="O5805" s="11"/>
      <c r="P5805" s="11"/>
      <c r="Q5805" s="8"/>
      <c r="R5805" s="6"/>
      <c r="S5805" s="3"/>
      <c r="T5805" s="3"/>
      <c r="U5805" s="7"/>
      <c r="V5805" s="436"/>
      <c r="W5805" s="6"/>
      <c r="X5805" s="8"/>
      <c r="Y5805" s="8"/>
    </row>
    <row r="5806" spans="3:25" ht="12" customHeight="1">
      <c r="C5806" s="4"/>
      <c r="D5806" s="4"/>
      <c r="E5806" s="5"/>
      <c r="F5806" s="6"/>
      <c r="G5806" s="31"/>
      <c r="H5806" s="6"/>
      <c r="I5806" s="9"/>
      <c r="J5806" s="24"/>
      <c r="K5806" s="9"/>
      <c r="L5806" s="25"/>
      <c r="M5806" s="7"/>
      <c r="N5806" s="8"/>
      <c r="O5806" s="11"/>
      <c r="P5806" s="11"/>
      <c r="Q5806" s="8"/>
      <c r="R5806" s="6"/>
      <c r="S5806" s="3"/>
      <c r="T5806" s="3"/>
      <c r="U5806" s="7"/>
      <c r="V5806" s="436"/>
      <c r="W5806" s="6"/>
      <c r="X5806" s="8"/>
      <c r="Y5806" s="8"/>
    </row>
    <row r="5807" spans="3:25" ht="12" customHeight="1">
      <c r="C5807" s="4"/>
      <c r="D5807" s="4"/>
      <c r="E5807" s="5"/>
      <c r="F5807" s="6"/>
      <c r="G5807" s="31"/>
      <c r="H5807" s="6"/>
      <c r="I5807" s="9"/>
      <c r="J5807" s="24"/>
      <c r="K5807" s="9"/>
      <c r="L5807" s="25"/>
      <c r="M5807" s="7"/>
      <c r="N5807" s="8"/>
      <c r="O5807" s="11"/>
      <c r="P5807" s="11"/>
      <c r="Q5807" s="8"/>
      <c r="R5807" s="6"/>
      <c r="S5807" s="3"/>
      <c r="T5807" s="3"/>
      <c r="U5807" s="7"/>
      <c r="V5807" s="436"/>
      <c r="W5807" s="6"/>
      <c r="X5807" s="8"/>
      <c r="Y5807" s="8"/>
    </row>
    <row r="5808" spans="3:25" ht="12" customHeight="1">
      <c r="C5808" s="4"/>
      <c r="D5808" s="4"/>
      <c r="E5808" s="5"/>
      <c r="F5808" s="6"/>
      <c r="G5808" s="31"/>
      <c r="H5808" s="6"/>
      <c r="I5808" s="9"/>
      <c r="J5808" s="24"/>
      <c r="K5808" s="9"/>
      <c r="L5808" s="25"/>
      <c r="M5808" s="7"/>
      <c r="N5808" s="8"/>
      <c r="O5808" s="11"/>
      <c r="P5808" s="11"/>
      <c r="Q5808" s="8"/>
      <c r="R5808" s="6"/>
      <c r="S5808" s="3"/>
      <c r="T5808" s="3"/>
      <c r="U5808" s="7"/>
      <c r="V5808" s="436"/>
      <c r="W5808" s="6"/>
      <c r="X5808" s="8"/>
      <c r="Y5808" s="8"/>
    </row>
    <row r="5809" spans="1:36" ht="12" customHeight="1">
      <c r="C5809" s="4"/>
      <c r="D5809" s="4"/>
      <c r="E5809" s="5"/>
      <c r="F5809" s="6"/>
      <c r="G5809" s="31"/>
      <c r="H5809" s="6"/>
      <c r="I5809" s="9"/>
      <c r="J5809" s="24"/>
      <c r="K5809" s="9"/>
      <c r="L5809" s="25"/>
      <c r="M5809" s="7"/>
      <c r="N5809" s="8"/>
      <c r="O5809" s="11"/>
      <c r="P5809" s="11"/>
      <c r="Q5809" s="8"/>
      <c r="R5809" s="6"/>
      <c r="S5809" s="3"/>
      <c r="T5809" s="3"/>
      <c r="U5809" s="7"/>
      <c r="V5809" s="436"/>
      <c r="W5809" s="6"/>
      <c r="X5809" s="8"/>
      <c r="Y5809" s="8"/>
    </row>
    <row r="5810" spans="1:36" ht="12" customHeight="1">
      <c r="C5810" s="4"/>
      <c r="D5810" s="4"/>
      <c r="E5810" s="5"/>
      <c r="F5810" s="6"/>
      <c r="G5810" s="31"/>
      <c r="H5810" s="6"/>
      <c r="I5810" s="9"/>
      <c r="J5810" s="24"/>
      <c r="K5810" s="9"/>
      <c r="L5810" s="25"/>
      <c r="M5810" s="47"/>
      <c r="N5810" s="8"/>
      <c r="O5810" s="11"/>
      <c r="P5810" s="11"/>
      <c r="Q5810" s="8"/>
      <c r="R5810" s="6"/>
      <c r="S5810" s="3"/>
      <c r="T5810" s="3"/>
      <c r="U5810" s="7"/>
      <c r="V5810" s="436"/>
      <c r="W5810" s="6"/>
      <c r="X5810" s="8"/>
      <c r="Y5810" s="8"/>
    </row>
    <row r="5811" spans="1:36" ht="12" customHeight="1">
      <c r="C5811" s="4"/>
      <c r="D5811" s="4"/>
      <c r="E5811" s="5"/>
      <c r="F5811" s="6"/>
      <c r="G5811" s="31"/>
      <c r="H5811" s="6"/>
      <c r="I5811" s="9"/>
      <c r="J5811" s="24"/>
      <c r="K5811" s="9"/>
      <c r="L5811" s="25"/>
      <c r="M5811" s="7"/>
      <c r="N5811" s="8"/>
      <c r="O5811" s="11"/>
      <c r="P5811" s="11"/>
      <c r="Q5811" s="8"/>
      <c r="R5811" s="6"/>
      <c r="S5811" s="3"/>
      <c r="T5811" s="3"/>
      <c r="U5811" s="7"/>
      <c r="V5811" s="436"/>
      <c r="W5811" s="6"/>
      <c r="X5811" s="8"/>
      <c r="Y5811" s="8"/>
    </row>
    <row r="5812" spans="1:36" ht="12" customHeight="1">
      <c r="C5812" s="4"/>
      <c r="D5812" s="4"/>
      <c r="E5812" s="5"/>
      <c r="F5812" s="6"/>
      <c r="G5812" s="31"/>
      <c r="H5812" s="6"/>
      <c r="I5812" s="9"/>
      <c r="J5812" s="24"/>
      <c r="K5812" s="9"/>
      <c r="L5812" s="25"/>
      <c r="M5812" s="47"/>
      <c r="N5812" s="8"/>
      <c r="O5812" s="11"/>
      <c r="P5812" s="11"/>
      <c r="Q5812" s="8"/>
      <c r="R5812" s="6"/>
      <c r="S5812" s="3"/>
      <c r="T5812" s="3"/>
      <c r="U5812" s="7"/>
      <c r="V5812" s="436"/>
      <c r="W5812" s="6"/>
      <c r="X5812" s="8"/>
      <c r="Y5812" s="8"/>
    </row>
    <row r="5813" spans="1:36" ht="12" customHeight="1">
      <c r="C5813" s="4"/>
      <c r="D5813" s="4"/>
      <c r="E5813" s="5"/>
      <c r="F5813" s="6"/>
      <c r="G5813" s="31"/>
      <c r="H5813" s="6"/>
      <c r="I5813" s="9"/>
      <c r="J5813" s="24"/>
      <c r="K5813" s="9"/>
      <c r="L5813" s="25"/>
      <c r="M5813" s="25"/>
      <c r="N5813" s="8"/>
      <c r="O5813" s="11"/>
      <c r="P5813" s="11"/>
      <c r="Q5813" s="8"/>
      <c r="R5813" s="6"/>
      <c r="S5813" s="3"/>
      <c r="T5813" s="3"/>
      <c r="U5813" s="7"/>
      <c r="V5813" s="436"/>
      <c r="W5813" s="6"/>
      <c r="X5813" s="8"/>
      <c r="Y5813" s="8"/>
    </row>
    <row r="5814" spans="1:36" ht="12" customHeight="1">
      <c r="C5814" s="4"/>
      <c r="D5814" s="4"/>
      <c r="E5814" s="5"/>
      <c r="F5814" s="6"/>
      <c r="G5814" s="31"/>
      <c r="H5814" s="6"/>
      <c r="I5814" s="9"/>
      <c r="J5814" s="24"/>
      <c r="K5814" s="9"/>
      <c r="L5814" s="25"/>
      <c r="M5814" s="25"/>
      <c r="N5814" s="8"/>
      <c r="O5814" s="11"/>
      <c r="P5814" s="11"/>
      <c r="Q5814" s="8"/>
      <c r="R5814" s="6"/>
      <c r="S5814" s="3"/>
      <c r="T5814" s="3"/>
      <c r="U5814" s="7"/>
      <c r="V5814" s="436"/>
      <c r="W5814" s="6"/>
      <c r="X5814" s="8"/>
      <c r="Y5814" s="8"/>
    </row>
    <row r="5815" spans="1:36" ht="12" customHeight="1">
      <c r="C5815" s="4"/>
      <c r="D5815" s="4"/>
      <c r="E5815" s="5"/>
      <c r="F5815" s="6"/>
      <c r="G5815" s="31"/>
      <c r="H5815" s="6"/>
      <c r="I5815" s="9"/>
      <c r="J5815" s="24"/>
      <c r="K5815" s="9"/>
      <c r="L5815" s="25"/>
      <c r="M5815" s="25"/>
      <c r="N5815" s="8"/>
      <c r="O5815" s="11"/>
      <c r="P5815" s="11"/>
      <c r="Q5815" s="8"/>
      <c r="R5815" s="6"/>
      <c r="S5815" s="3"/>
      <c r="T5815" s="3"/>
      <c r="U5815" s="7"/>
      <c r="V5815" s="436"/>
      <c r="W5815" s="6"/>
      <c r="X5815" s="8"/>
      <c r="Y5815" s="8"/>
    </row>
    <row r="5816" spans="1:36" s="12" customFormat="1" ht="11.25" customHeight="1">
      <c r="A5816" s="13"/>
      <c r="B5816" s="13"/>
      <c r="C5816" s="4"/>
      <c r="D5816" s="4"/>
      <c r="E5816" s="5"/>
      <c r="F5816" s="6"/>
      <c r="G5816" s="31"/>
      <c r="H5816" s="6"/>
      <c r="I5816" s="9"/>
      <c r="J5816" s="24"/>
      <c r="K5816" s="9"/>
      <c r="L5816" s="25"/>
      <c r="M5816" s="25"/>
      <c r="N5816" s="8"/>
      <c r="O5816" s="11"/>
      <c r="P5816" s="11"/>
      <c r="Q5816" s="8"/>
      <c r="R5816" s="6"/>
      <c r="S5816" s="3"/>
      <c r="T5816" s="3"/>
      <c r="U5816" s="7"/>
      <c r="V5816" s="436"/>
      <c r="W5816" s="6"/>
      <c r="X5816" s="8"/>
      <c r="Y5816" s="8"/>
      <c r="AH5816" s="328"/>
      <c r="AI5816" s="328"/>
      <c r="AJ5816" s="328"/>
    </row>
    <row r="5817" spans="1:36" s="12" customFormat="1" ht="12" customHeight="1">
      <c r="A5817" s="13"/>
      <c r="B5817" s="13"/>
      <c r="C5817" s="4"/>
      <c r="D5817" s="4"/>
      <c r="E5817" s="5"/>
      <c r="F5817" s="6"/>
      <c r="G5817" s="31"/>
      <c r="H5817" s="6"/>
      <c r="I5817" s="9"/>
      <c r="J5817" s="24"/>
      <c r="K5817" s="9"/>
      <c r="L5817" s="25"/>
      <c r="M5817" s="25"/>
      <c r="N5817" s="8"/>
      <c r="O5817" s="11"/>
      <c r="P5817" s="11"/>
      <c r="Q5817" s="8"/>
      <c r="R5817" s="6"/>
      <c r="S5817" s="3"/>
      <c r="T5817" s="3"/>
      <c r="U5817" s="7"/>
      <c r="V5817" s="436"/>
      <c r="W5817" s="6"/>
      <c r="X5817" s="8"/>
      <c r="Y5817" s="8"/>
      <c r="AH5817" s="328"/>
      <c r="AI5817" s="328"/>
      <c r="AJ5817" s="328"/>
    </row>
    <row r="5818" spans="1:36" ht="12" customHeight="1">
      <c r="C5818" s="4"/>
      <c r="D5818" s="4"/>
      <c r="E5818" s="5"/>
      <c r="F5818" s="6"/>
      <c r="G5818" s="31"/>
      <c r="H5818" s="6"/>
      <c r="I5818" s="9"/>
      <c r="J5818" s="24"/>
      <c r="K5818" s="9"/>
      <c r="L5818" s="25"/>
      <c r="M5818" s="25"/>
      <c r="N5818" s="8"/>
      <c r="O5818" s="11"/>
      <c r="P5818" s="11"/>
      <c r="Q5818" s="8"/>
      <c r="R5818" s="6"/>
      <c r="S5818" s="3"/>
      <c r="T5818" s="3"/>
      <c r="U5818" s="7"/>
      <c r="V5818" s="436"/>
      <c r="W5818" s="6"/>
      <c r="X5818" s="8"/>
      <c r="Y5818" s="8"/>
    </row>
    <row r="5819" spans="1:36" ht="12" customHeight="1">
      <c r="C5819" s="4"/>
      <c r="D5819" s="4"/>
      <c r="E5819" s="5"/>
      <c r="F5819" s="6"/>
      <c r="G5819" s="31"/>
      <c r="H5819" s="6"/>
      <c r="I5819" s="9"/>
      <c r="J5819" s="24"/>
      <c r="K5819" s="9"/>
      <c r="L5819" s="25"/>
      <c r="M5819" s="47"/>
      <c r="N5819" s="8"/>
      <c r="O5819" s="11"/>
      <c r="P5819" s="11"/>
      <c r="Q5819" s="8"/>
      <c r="R5819" s="6"/>
      <c r="S5819" s="3"/>
      <c r="T5819" s="3"/>
      <c r="U5819" s="7"/>
      <c r="V5819" s="436"/>
      <c r="W5819" s="6"/>
      <c r="X5819" s="8"/>
      <c r="Y5819" s="8"/>
    </row>
    <row r="5820" spans="1:36" s="12" customFormat="1" ht="12" customHeight="1">
      <c r="A5820" s="13"/>
      <c r="B5820" s="13"/>
      <c r="C5820" s="4"/>
      <c r="D5820" s="4"/>
      <c r="E5820" s="5"/>
      <c r="F5820" s="6"/>
      <c r="G5820" s="31"/>
      <c r="H5820" s="6"/>
      <c r="I5820" s="9"/>
      <c r="J5820" s="24"/>
      <c r="K5820" s="9"/>
      <c r="L5820" s="25"/>
      <c r="M5820" s="47"/>
      <c r="N5820" s="8"/>
      <c r="O5820" s="11"/>
      <c r="P5820" s="11"/>
      <c r="Q5820" s="8"/>
      <c r="R5820" s="6"/>
      <c r="S5820" s="3"/>
      <c r="T5820" s="3"/>
      <c r="U5820" s="7"/>
      <c r="V5820" s="436"/>
      <c r="W5820" s="6"/>
      <c r="X5820" s="8"/>
      <c r="Y5820" s="8"/>
      <c r="AH5820" s="328"/>
      <c r="AI5820" s="328"/>
      <c r="AJ5820" s="328"/>
    </row>
    <row r="5821" spans="1:36" s="12" customFormat="1" ht="12" customHeight="1">
      <c r="A5821" s="13"/>
      <c r="B5821" s="13"/>
      <c r="C5821" s="4"/>
      <c r="D5821" s="4"/>
      <c r="E5821" s="5"/>
      <c r="F5821" s="6"/>
      <c r="G5821" s="31"/>
      <c r="H5821" s="6"/>
      <c r="I5821" s="9"/>
      <c r="J5821" s="24"/>
      <c r="K5821" s="9"/>
      <c r="L5821" s="25"/>
      <c r="M5821" s="25"/>
      <c r="N5821" s="8"/>
      <c r="O5821" s="11"/>
      <c r="P5821" s="11"/>
      <c r="Q5821" s="8"/>
      <c r="R5821" s="6"/>
      <c r="S5821" s="3"/>
      <c r="T5821" s="3"/>
      <c r="U5821" s="7"/>
      <c r="V5821" s="436"/>
      <c r="W5821" s="6"/>
      <c r="X5821" s="8"/>
      <c r="Y5821" s="8"/>
      <c r="AH5821" s="328"/>
      <c r="AI5821" s="328"/>
      <c r="AJ5821" s="328"/>
    </row>
    <row r="5822" spans="1:36" ht="12" customHeight="1">
      <c r="C5822" s="4"/>
      <c r="D5822" s="4"/>
      <c r="E5822" s="5"/>
      <c r="F5822" s="6"/>
      <c r="G5822" s="31"/>
      <c r="H5822" s="6"/>
      <c r="I5822" s="9"/>
      <c r="J5822" s="24"/>
      <c r="K5822" s="9"/>
      <c r="L5822" s="25"/>
      <c r="M5822" s="25"/>
      <c r="N5822" s="8"/>
      <c r="O5822" s="11"/>
      <c r="P5822" s="11"/>
      <c r="Q5822" s="8"/>
      <c r="R5822" s="6"/>
      <c r="S5822" s="3"/>
      <c r="T5822" s="3"/>
      <c r="U5822" s="7"/>
      <c r="V5822" s="436"/>
      <c r="W5822" s="6"/>
      <c r="X5822" s="8"/>
      <c r="Y5822" s="8"/>
    </row>
    <row r="5823" spans="1:36" ht="12" customHeight="1">
      <c r="C5823" s="4"/>
      <c r="D5823" s="4"/>
      <c r="E5823" s="5"/>
      <c r="F5823" s="6"/>
      <c r="G5823" s="31"/>
      <c r="H5823" s="6"/>
      <c r="I5823" s="9"/>
      <c r="J5823" s="24"/>
      <c r="K5823" s="9"/>
      <c r="L5823" s="25"/>
      <c r="M5823" s="25"/>
      <c r="N5823" s="8"/>
      <c r="O5823" s="11"/>
      <c r="P5823" s="11"/>
      <c r="Q5823" s="8"/>
      <c r="R5823" s="6"/>
      <c r="S5823" s="3"/>
      <c r="T5823" s="3"/>
      <c r="U5823" s="7"/>
      <c r="V5823" s="436"/>
      <c r="W5823" s="6"/>
      <c r="X5823" s="8"/>
      <c r="Y5823" s="8"/>
    </row>
    <row r="5824" spans="1:36" s="12" customFormat="1" ht="12" customHeight="1">
      <c r="A5824" s="13"/>
      <c r="B5824" s="13"/>
      <c r="C5824" s="4"/>
      <c r="D5824" s="4"/>
      <c r="E5824" s="5"/>
      <c r="F5824" s="6"/>
      <c r="G5824" s="31"/>
      <c r="H5824" s="6"/>
      <c r="I5824" s="9"/>
      <c r="J5824" s="24"/>
      <c r="K5824" s="9"/>
      <c r="L5824" s="25"/>
      <c r="M5824" s="25"/>
      <c r="N5824" s="8"/>
      <c r="O5824" s="11"/>
      <c r="P5824" s="11"/>
      <c r="Q5824" s="8"/>
      <c r="R5824" s="6"/>
      <c r="S5824" s="3"/>
      <c r="T5824" s="3"/>
      <c r="U5824" s="7"/>
      <c r="V5824" s="436"/>
      <c r="W5824" s="6"/>
      <c r="X5824" s="8"/>
      <c r="Y5824" s="8"/>
      <c r="AH5824" s="328"/>
      <c r="AI5824" s="328"/>
      <c r="AJ5824" s="328"/>
    </row>
    <row r="5825" spans="1:36" ht="12" customHeight="1">
      <c r="C5825" s="4"/>
      <c r="D5825" s="4"/>
      <c r="E5825" s="5"/>
      <c r="F5825" s="6"/>
      <c r="G5825" s="31"/>
      <c r="H5825" s="6"/>
      <c r="I5825" s="9"/>
      <c r="J5825" s="24"/>
      <c r="K5825" s="9"/>
      <c r="L5825" s="25"/>
      <c r="M5825" s="25"/>
      <c r="N5825" s="8"/>
      <c r="O5825" s="11"/>
      <c r="P5825" s="11"/>
      <c r="Q5825" s="8"/>
      <c r="R5825" s="6"/>
      <c r="S5825" s="3"/>
      <c r="T5825" s="3"/>
      <c r="U5825" s="7"/>
      <c r="V5825" s="436"/>
      <c r="W5825" s="6"/>
      <c r="X5825" s="8"/>
      <c r="Y5825" s="8"/>
    </row>
    <row r="5826" spans="1:36" s="12" customFormat="1" ht="12" customHeight="1">
      <c r="A5826" s="13"/>
      <c r="B5826" s="13"/>
      <c r="C5826" s="4"/>
      <c r="D5826" s="4"/>
      <c r="E5826" s="5"/>
      <c r="F5826" s="6"/>
      <c r="G5826" s="31"/>
      <c r="H5826" s="6"/>
      <c r="I5826" s="9"/>
      <c r="J5826" s="24"/>
      <c r="K5826" s="9"/>
      <c r="L5826" s="25"/>
      <c r="M5826" s="25"/>
      <c r="N5826" s="8"/>
      <c r="O5826" s="11"/>
      <c r="P5826" s="11"/>
      <c r="Q5826" s="8"/>
      <c r="R5826" s="6"/>
      <c r="S5826" s="3"/>
      <c r="T5826" s="3"/>
      <c r="U5826" s="7"/>
      <c r="V5826" s="436"/>
      <c r="W5826" s="6"/>
      <c r="X5826" s="8"/>
      <c r="Y5826" s="8"/>
      <c r="AH5826" s="328"/>
      <c r="AI5826" s="328"/>
      <c r="AJ5826" s="328"/>
    </row>
    <row r="5827" spans="1:36" ht="12" customHeight="1">
      <c r="C5827" s="4"/>
      <c r="D5827" s="4"/>
      <c r="E5827" s="5"/>
      <c r="F5827" s="6"/>
      <c r="G5827" s="31"/>
      <c r="H5827" s="6"/>
      <c r="I5827" s="9"/>
      <c r="J5827" s="24"/>
      <c r="K5827" s="9"/>
      <c r="L5827" s="25"/>
      <c r="M5827" s="25"/>
      <c r="N5827" s="8"/>
      <c r="O5827" s="11"/>
      <c r="P5827" s="11"/>
      <c r="Q5827" s="8"/>
      <c r="R5827" s="6"/>
      <c r="S5827" s="3"/>
      <c r="T5827" s="3"/>
      <c r="U5827" s="7"/>
      <c r="V5827" s="436"/>
      <c r="W5827" s="6"/>
      <c r="X5827" s="8"/>
      <c r="Y5827" s="8"/>
    </row>
    <row r="5828" spans="1:36" s="12" customFormat="1" ht="12" customHeight="1">
      <c r="A5828" s="13"/>
      <c r="B5828" s="13"/>
      <c r="C5828" s="4"/>
      <c r="D5828" s="4"/>
      <c r="E5828" s="5"/>
      <c r="F5828" s="6"/>
      <c r="G5828" s="31"/>
      <c r="H5828" s="6"/>
      <c r="I5828" s="9"/>
      <c r="J5828" s="24"/>
      <c r="K5828" s="9"/>
      <c r="L5828" s="25"/>
      <c r="M5828" s="47"/>
      <c r="N5828" s="8"/>
      <c r="O5828" s="11"/>
      <c r="P5828" s="11"/>
      <c r="Q5828" s="8"/>
      <c r="R5828" s="6"/>
      <c r="S5828" s="3"/>
      <c r="T5828" s="3"/>
      <c r="U5828" s="7"/>
      <c r="V5828" s="436"/>
      <c r="W5828" s="6"/>
      <c r="X5828" s="8"/>
      <c r="Y5828" s="8"/>
      <c r="AH5828" s="328"/>
      <c r="AI5828" s="328"/>
      <c r="AJ5828" s="328"/>
    </row>
    <row r="5829" spans="1:36" ht="12" customHeight="1">
      <c r="C5829" s="4"/>
      <c r="D5829" s="4"/>
      <c r="E5829" s="5"/>
      <c r="F5829" s="6"/>
      <c r="G5829" s="31"/>
      <c r="H5829" s="6"/>
      <c r="I5829" s="9"/>
      <c r="J5829" s="24"/>
      <c r="K5829" s="9"/>
      <c r="L5829" s="25"/>
      <c r="M5829" s="25"/>
      <c r="N5829" s="8"/>
      <c r="O5829" s="11"/>
      <c r="P5829" s="11"/>
      <c r="Q5829" s="8"/>
      <c r="R5829" s="6"/>
      <c r="S5829" s="3"/>
      <c r="T5829" s="3"/>
      <c r="U5829" s="7"/>
      <c r="V5829" s="436"/>
      <c r="W5829" s="6"/>
      <c r="X5829" s="8"/>
      <c r="Y5829" s="8"/>
    </row>
    <row r="5830" spans="1:36" ht="12" customHeight="1">
      <c r="C5830" s="4"/>
      <c r="D5830" s="4"/>
      <c r="E5830" s="5"/>
      <c r="F5830" s="6"/>
      <c r="G5830" s="31"/>
      <c r="H5830" s="6"/>
      <c r="I5830" s="9"/>
      <c r="J5830" s="24"/>
      <c r="K5830" s="9"/>
      <c r="L5830" s="25"/>
      <c r="M5830" s="25"/>
      <c r="N5830" s="8"/>
      <c r="O5830" s="11"/>
      <c r="P5830" s="11"/>
      <c r="Q5830" s="8"/>
      <c r="R5830" s="6"/>
      <c r="S5830" s="3"/>
      <c r="T5830" s="3"/>
      <c r="U5830" s="7"/>
      <c r="V5830" s="436"/>
      <c r="W5830" s="6"/>
      <c r="X5830" s="8"/>
      <c r="Y5830" s="8"/>
    </row>
    <row r="5831" spans="1:36" s="12" customFormat="1" ht="12" customHeight="1">
      <c r="A5831" s="13"/>
      <c r="B5831" s="13"/>
      <c r="C5831" s="4"/>
      <c r="D5831" s="4"/>
      <c r="E5831" s="5"/>
      <c r="F5831" s="6"/>
      <c r="G5831" s="31"/>
      <c r="H5831" s="6"/>
      <c r="I5831" s="9"/>
      <c r="J5831" s="24"/>
      <c r="K5831" s="9"/>
      <c r="L5831" s="25"/>
      <c r="M5831" s="25"/>
      <c r="N5831" s="8"/>
      <c r="O5831" s="11"/>
      <c r="P5831" s="11"/>
      <c r="Q5831" s="8"/>
      <c r="R5831" s="6"/>
      <c r="S5831" s="3"/>
      <c r="T5831" s="3"/>
      <c r="U5831" s="7"/>
      <c r="V5831" s="436"/>
      <c r="W5831" s="6"/>
      <c r="X5831" s="8"/>
      <c r="Y5831" s="8"/>
      <c r="AH5831" s="328"/>
      <c r="AI5831" s="328"/>
      <c r="AJ5831" s="328"/>
    </row>
    <row r="5832" spans="1:36" s="12" customFormat="1" ht="12" customHeight="1">
      <c r="A5832" s="13"/>
      <c r="B5832" s="13"/>
      <c r="C5832" s="4"/>
      <c r="D5832" s="4"/>
      <c r="E5832" s="5"/>
      <c r="F5832" s="6"/>
      <c r="G5832" s="31"/>
      <c r="H5832" s="6"/>
      <c r="I5832" s="9"/>
      <c r="J5832" s="24"/>
      <c r="K5832" s="9"/>
      <c r="L5832" s="25"/>
      <c r="M5832" s="25"/>
      <c r="N5832" s="8"/>
      <c r="O5832" s="11"/>
      <c r="P5832" s="11"/>
      <c r="Q5832" s="8"/>
      <c r="R5832" s="6"/>
      <c r="S5832" s="3"/>
      <c r="T5832" s="3"/>
      <c r="U5832" s="7"/>
      <c r="V5832" s="436"/>
      <c r="W5832" s="6"/>
      <c r="X5832" s="8"/>
      <c r="Y5832" s="8"/>
      <c r="AH5832" s="328"/>
      <c r="AI5832" s="328"/>
      <c r="AJ5832" s="328"/>
    </row>
    <row r="5833" spans="1:36" s="12" customFormat="1" ht="12" customHeight="1">
      <c r="A5833" s="13"/>
      <c r="B5833" s="13"/>
      <c r="C5833" s="4"/>
      <c r="D5833" s="4"/>
      <c r="E5833" s="5"/>
      <c r="F5833" s="6"/>
      <c r="G5833" s="31"/>
      <c r="H5833" s="6"/>
      <c r="I5833" s="9"/>
      <c r="J5833" s="24"/>
      <c r="K5833" s="9"/>
      <c r="L5833" s="25"/>
      <c r="M5833" s="25"/>
      <c r="N5833" s="8"/>
      <c r="O5833" s="11"/>
      <c r="P5833" s="11"/>
      <c r="Q5833" s="8"/>
      <c r="R5833" s="6"/>
      <c r="S5833" s="3"/>
      <c r="T5833" s="3"/>
      <c r="U5833" s="7"/>
      <c r="V5833" s="436"/>
      <c r="W5833" s="6"/>
      <c r="X5833" s="8"/>
      <c r="Y5833" s="8"/>
      <c r="AH5833" s="328"/>
      <c r="AI5833" s="328"/>
      <c r="AJ5833" s="328"/>
    </row>
    <row r="5834" spans="1:36" s="12" customFormat="1" ht="12" customHeight="1">
      <c r="A5834" s="13"/>
      <c r="B5834" s="13"/>
      <c r="C5834" s="4"/>
      <c r="D5834" s="4"/>
      <c r="E5834" s="5"/>
      <c r="F5834" s="6"/>
      <c r="G5834" s="31"/>
      <c r="H5834" s="6"/>
      <c r="I5834" s="9"/>
      <c r="J5834" s="24"/>
      <c r="K5834" s="9"/>
      <c r="L5834" s="25"/>
      <c r="M5834" s="25"/>
      <c r="N5834" s="8"/>
      <c r="O5834" s="11"/>
      <c r="P5834" s="11"/>
      <c r="Q5834" s="8"/>
      <c r="R5834" s="6"/>
      <c r="S5834" s="3"/>
      <c r="T5834" s="3"/>
      <c r="U5834" s="7"/>
      <c r="V5834" s="436"/>
      <c r="W5834" s="6"/>
      <c r="X5834" s="8"/>
      <c r="Y5834" s="8"/>
      <c r="AH5834" s="328"/>
      <c r="AI5834" s="328"/>
      <c r="AJ5834" s="328"/>
    </row>
    <row r="5835" spans="1:36" s="12" customFormat="1" ht="12" customHeight="1">
      <c r="A5835" s="13"/>
      <c r="B5835" s="13"/>
      <c r="C5835" s="4"/>
      <c r="D5835" s="4"/>
      <c r="E5835" s="5"/>
      <c r="F5835" s="6"/>
      <c r="G5835" s="31"/>
      <c r="H5835" s="6"/>
      <c r="I5835" s="9"/>
      <c r="J5835" s="24"/>
      <c r="K5835" s="9"/>
      <c r="L5835" s="25"/>
      <c r="M5835" s="25"/>
      <c r="N5835" s="8"/>
      <c r="O5835" s="11"/>
      <c r="P5835" s="11"/>
      <c r="Q5835" s="8"/>
      <c r="R5835" s="6"/>
      <c r="S5835" s="3"/>
      <c r="T5835" s="3"/>
      <c r="U5835" s="7"/>
      <c r="V5835" s="436"/>
      <c r="W5835" s="6"/>
      <c r="X5835" s="8"/>
      <c r="Y5835" s="8"/>
      <c r="AH5835" s="328"/>
      <c r="AI5835" s="328"/>
      <c r="AJ5835" s="328"/>
    </row>
    <row r="5836" spans="1:36" s="12" customFormat="1" ht="12" customHeight="1">
      <c r="A5836" s="13"/>
      <c r="B5836" s="13"/>
      <c r="C5836" s="4"/>
      <c r="D5836" s="4"/>
      <c r="E5836" s="5"/>
      <c r="F5836" s="6"/>
      <c r="G5836" s="31"/>
      <c r="H5836" s="6"/>
      <c r="I5836" s="9"/>
      <c r="J5836" s="24"/>
      <c r="K5836" s="9"/>
      <c r="L5836" s="25"/>
      <c r="M5836" s="25"/>
      <c r="N5836" s="8"/>
      <c r="O5836" s="11"/>
      <c r="P5836" s="11"/>
      <c r="Q5836" s="8"/>
      <c r="R5836" s="6"/>
      <c r="S5836" s="3"/>
      <c r="T5836" s="3"/>
      <c r="U5836" s="7"/>
      <c r="V5836" s="436"/>
      <c r="W5836" s="6"/>
      <c r="X5836" s="8"/>
      <c r="Y5836" s="8"/>
      <c r="AH5836" s="328"/>
      <c r="AI5836" s="328"/>
      <c r="AJ5836" s="328"/>
    </row>
    <row r="5837" spans="1:36" ht="12" customHeight="1">
      <c r="C5837" s="4"/>
      <c r="D5837" s="4"/>
      <c r="E5837" s="5"/>
      <c r="F5837" s="6"/>
      <c r="G5837" s="31"/>
      <c r="H5837" s="6"/>
      <c r="I5837" s="9"/>
      <c r="J5837" s="24"/>
      <c r="K5837" s="9"/>
      <c r="L5837" s="25"/>
      <c r="M5837" s="25"/>
      <c r="N5837" s="8"/>
      <c r="O5837" s="11"/>
      <c r="P5837" s="11"/>
      <c r="Q5837" s="8"/>
      <c r="R5837" s="6"/>
      <c r="S5837" s="3"/>
      <c r="T5837" s="3"/>
      <c r="U5837" s="7"/>
      <c r="V5837" s="436"/>
      <c r="W5837" s="6"/>
      <c r="X5837" s="8"/>
      <c r="Y5837" s="8"/>
    </row>
    <row r="5838" spans="1:36" ht="12" customHeight="1">
      <c r="C5838" s="4"/>
      <c r="D5838" s="4"/>
      <c r="E5838" s="5"/>
      <c r="F5838" s="6"/>
      <c r="G5838" s="31"/>
      <c r="H5838" s="6"/>
      <c r="I5838" s="9"/>
      <c r="J5838" s="24"/>
      <c r="K5838" s="9"/>
      <c r="L5838" s="25"/>
      <c r="M5838" s="25"/>
      <c r="N5838" s="8"/>
      <c r="O5838" s="11"/>
      <c r="P5838" s="11"/>
      <c r="Q5838" s="8"/>
      <c r="R5838" s="6"/>
      <c r="S5838" s="3"/>
      <c r="T5838" s="3"/>
      <c r="U5838" s="7"/>
      <c r="V5838" s="436"/>
      <c r="W5838" s="6"/>
      <c r="X5838" s="8"/>
      <c r="Y5838" s="8"/>
    </row>
    <row r="5839" spans="1:36" s="12" customFormat="1" ht="12" customHeight="1">
      <c r="A5839" s="13"/>
      <c r="B5839" s="13"/>
      <c r="C5839" s="4"/>
      <c r="D5839" s="4"/>
      <c r="E5839" s="5"/>
      <c r="F5839" s="6"/>
      <c r="G5839" s="31"/>
      <c r="H5839" s="6"/>
      <c r="I5839" s="9"/>
      <c r="J5839" s="24"/>
      <c r="K5839" s="9"/>
      <c r="L5839" s="25"/>
      <c r="M5839" s="25"/>
      <c r="N5839" s="8"/>
      <c r="O5839" s="11"/>
      <c r="P5839" s="11"/>
      <c r="Q5839" s="8"/>
      <c r="R5839" s="6"/>
      <c r="S5839" s="3"/>
      <c r="T5839" s="3"/>
      <c r="U5839" s="7"/>
      <c r="V5839" s="436"/>
      <c r="W5839" s="6"/>
      <c r="X5839" s="8"/>
      <c r="Y5839" s="8"/>
      <c r="AH5839" s="328"/>
      <c r="AI5839" s="328"/>
      <c r="AJ5839" s="328"/>
    </row>
    <row r="5840" spans="1:36" s="16" customFormat="1" ht="12" customHeight="1">
      <c r="A5840" s="13"/>
      <c r="B5840" s="13"/>
      <c r="C5840" s="4"/>
      <c r="D5840" s="4"/>
      <c r="E5840" s="5"/>
      <c r="F5840" s="6"/>
      <c r="G5840" s="31"/>
      <c r="H5840" s="6"/>
      <c r="I5840" s="9"/>
      <c r="J5840" s="24"/>
      <c r="K5840" s="9"/>
      <c r="L5840" s="25"/>
      <c r="M5840" s="25"/>
      <c r="N5840" s="8"/>
      <c r="O5840" s="11"/>
      <c r="P5840" s="11"/>
      <c r="Q5840" s="8"/>
      <c r="R5840" s="6"/>
      <c r="S5840" s="3"/>
      <c r="T5840" s="3"/>
      <c r="U5840" s="7"/>
      <c r="V5840" s="436"/>
      <c r="W5840" s="6"/>
      <c r="X5840" s="8"/>
      <c r="Y5840" s="8"/>
      <c r="AH5840" s="330"/>
      <c r="AI5840" s="330"/>
      <c r="AJ5840" s="330"/>
    </row>
    <row r="5841" spans="1:36" ht="12" customHeight="1">
      <c r="C5841" s="4"/>
      <c r="D5841" s="4"/>
      <c r="E5841" s="5"/>
      <c r="F5841" s="6"/>
      <c r="G5841" s="31"/>
      <c r="H5841" s="6"/>
      <c r="I5841" s="9"/>
      <c r="J5841" s="24"/>
      <c r="K5841" s="9"/>
      <c r="L5841" s="25"/>
      <c r="M5841" s="25"/>
      <c r="N5841" s="8"/>
      <c r="O5841" s="11"/>
      <c r="P5841" s="11"/>
      <c r="Q5841" s="8"/>
      <c r="R5841" s="6"/>
      <c r="S5841" s="3"/>
      <c r="T5841" s="3"/>
      <c r="U5841" s="7"/>
      <c r="V5841" s="436"/>
      <c r="W5841" s="6"/>
      <c r="X5841" s="8"/>
      <c r="Y5841" s="8"/>
    </row>
    <row r="5842" spans="1:36" ht="12" customHeight="1">
      <c r="C5842" s="4"/>
      <c r="D5842" s="4"/>
      <c r="E5842" s="5"/>
      <c r="F5842" s="6"/>
      <c r="G5842" s="31"/>
      <c r="H5842" s="6"/>
      <c r="I5842" s="9"/>
      <c r="J5842" s="24"/>
      <c r="K5842" s="9"/>
      <c r="L5842" s="25"/>
      <c r="M5842" s="25"/>
      <c r="N5842" s="8"/>
      <c r="O5842" s="11"/>
      <c r="P5842" s="11"/>
      <c r="Q5842" s="8"/>
      <c r="R5842" s="6"/>
      <c r="S5842" s="3"/>
      <c r="T5842" s="3"/>
      <c r="U5842" s="7"/>
      <c r="V5842" s="436"/>
      <c r="W5842" s="6"/>
      <c r="X5842" s="8"/>
      <c r="Y5842" s="8"/>
    </row>
    <row r="5843" spans="1:36" s="12" customFormat="1" ht="12" customHeight="1">
      <c r="A5843" s="13"/>
      <c r="B5843" s="13"/>
      <c r="C5843" s="4"/>
      <c r="D5843" s="4"/>
      <c r="E5843" s="5"/>
      <c r="F5843" s="6"/>
      <c r="G5843" s="31"/>
      <c r="H5843" s="6"/>
      <c r="I5843" s="9"/>
      <c r="J5843" s="24"/>
      <c r="K5843" s="9"/>
      <c r="L5843" s="25"/>
      <c r="M5843" s="47"/>
      <c r="N5843" s="8"/>
      <c r="O5843" s="11"/>
      <c r="P5843" s="11"/>
      <c r="Q5843" s="8"/>
      <c r="R5843" s="6"/>
      <c r="S5843" s="3"/>
      <c r="T5843" s="3"/>
      <c r="U5843" s="7"/>
      <c r="V5843" s="436"/>
      <c r="W5843" s="6"/>
      <c r="X5843" s="8"/>
      <c r="Y5843" s="8"/>
      <c r="AH5843" s="328"/>
      <c r="AI5843" s="328"/>
      <c r="AJ5843" s="328"/>
    </row>
    <row r="5844" spans="1:36" ht="12" customHeight="1">
      <c r="C5844" s="4"/>
      <c r="D5844" s="4"/>
      <c r="E5844" s="5"/>
      <c r="F5844" s="6"/>
      <c r="G5844" s="31"/>
      <c r="H5844" s="6"/>
      <c r="I5844" s="9"/>
      <c r="J5844" s="24"/>
      <c r="K5844" s="9"/>
      <c r="L5844" s="25"/>
      <c r="M5844" s="47"/>
      <c r="N5844" s="8"/>
      <c r="O5844" s="11"/>
      <c r="P5844" s="11"/>
      <c r="Q5844" s="8"/>
      <c r="R5844" s="6"/>
      <c r="S5844" s="3"/>
      <c r="T5844" s="3"/>
      <c r="U5844" s="7"/>
      <c r="V5844" s="436"/>
      <c r="W5844" s="6"/>
      <c r="X5844" s="8"/>
      <c r="Y5844" s="8"/>
    </row>
    <row r="5845" spans="1:36" ht="12" customHeight="1">
      <c r="C5845" s="4"/>
      <c r="D5845" s="4"/>
      <c r="E5845" s="5"/>
      <c r="F5845" s="6"/>
      <c r="G5845" s="31"/>
      <c r="H5845" s="6"/>
      <c r="I5845" s="9"/>
      <c r="J5845" s="24"/>
      <c r="K5845" s="9"/>
      <c r="L5845" s="25"/>
      <c r="M5845" s="25"/>
      <c r="N5845" s="8"/>
      <c r="O5845" s="11"/>
      <c r="P5845" s="11"/>
      <c r="Q5845" s="8"/>
      <c r="R5845" s="6"/>
      <c r="S5845" s="3"/>
      <c r="T5845" s="3"/>
      <c r="U5845" s="7"/>
      <c r="V5845" s="436"/>
      <c r="W5845" s="6"/>
      <c r="X5845" s="8"/>
      <c r="Y5845" s="8"/>
    </row>
    <row r="5846" spans="1:36" s="12" customFormat="1" ht="12" customHeight="1">
      <c r="A5846" s="13"/>
      <c r="B5846" s="13"/>
      <c r="C5846" s="4"/>
      <c r="D5846" s="4"/>
      <c r="E5846" s="5"/>
      <c r="F5846" s="6"/>
      <c r="G5846" s="31"/>
      <c r="H5846" s="6"/>
      <c r="I5846" s="9"/>
      <c r="J5846" s="24"/>
      <c r="K5846" s="9"/>
      <c r="L5846" s="25"/>
      <c r="M5846" s="25"/>
      <c r="N5846" s="8"/>
      <c r="O5846" s="11"/>
      <c r="P5846" s="11"/>
      <c r="Q5846" s="8"/>
      <c r="R5846" s="6"/>
      <c r="S5846" s="3"/>
      <c r="T5846" s="3"/>
      <c r="U5846" s="7"/>
      <c r="V5846" s="436"/>
      <c r="W5846" s="6"/>
      <c r="X5846" s="8"/>
      <c r="Y5846" s="8"/>
      <c r="AH5846" s="328"/>
      <c r="AI5846" s="328"/>
      <c r="AJ5846" s="328"/>
    </row>
    <row r="5847" spans="1:36" s="13" customFormat="1" ht="12" customHeight="1">
      <c r="C5847" s="4"/>
      <c r="D5847" s="4"/>
      <c r="E5847" s="5"/>
      <c r="F5847" s="6"/>
      <c r="G5847" s="31"/>
      <c r="H5847" s="6"/>
      <c r="I5847" s="9"/>
      <c r="J5847" s="24"/>
      <c r="K5847" s="9"/>
      <c r="L5847" s="25"/>
      <c r="M5847" s="25"/>
      <c r="N5847" s="8"/>
      <c r="O5847" s="11"/>
      <c r="P5847" s="11"/>
      <c r="Q5847" s="8"/>
      <c r="R5847" s="6"/>
      <c r="S5847" s="3"/>
      <c r="T5847" s="3"/>
      <c r="U5847" s="7"/>
      <c r="V5847" s="436"/>
      <c r="W5847" s="6"/>
      <c r="X5847" s="8"/>
      <c r="Y5847" s="8"/>
      <c r="AH5847" s="325"/>
      <c r="AI5847" s="325"/>
      <c r="AJ5847" s="325"/>
    </row>
    <row r="5848" spans="1:36" s="13" customFormat="1" ht="12" customHeight="1">
      <c r="C5848" s="4"/>
      <c r="D5848" s="4"/>
      <c r="E5848" s="5"/>
      <c r="F5848" s="6"/>
      <c r="G5848" s="31"/>
      <c r="H5848" s="6"/>
      <c r="I5848" s="9"/>
      <c r="J5848" s="24"/>
      <c r="K5848" s="9"/>
      <c r="L5848" s="25"/>
      <c r="M5848" s="25"/>
      <c r="N5848" s="8"/>
      <c r="O5848" s="11"/>
      <c r="P5848" s="11"/>
      <c r="Q5848" s="8"/>
      <c r="R5848" s="6"/>
      <c r="S5848" s="3"/>
      <c r="T5848" s="3"/>
      <c r="U5848" s="7"/>
      <c r="V5848" s="436"/>
      <c r="W5848" s="6"/>
      <c r="X5848" s="8"/>
      <c r="Y5848" s="8"/>
      <c r="AH5848" s="325"/>
      <c r="AI5848" s="325"/>
      <c r="AJ5848" s="325"/>
    </row>
    <row r="5849" spans="1:36" s="12" customFormat="1" ht="12" customHeight="1">
      <c r="A5849" s="13"/>
      <c r="B5849" s="13"/>
      <c r="C5849" s="4"/>
      <c r="D5849" s="4"/>
      <c r="E5849" s="5"/>
      <c r="F5849" s="6"/>
      <c r="G5849" s="31"/>
      <c r="H5849" s="6"/>
      <c r="I5849" s="9"/>
      <c r="J5849" s="24"/>
      <c r="K5849" s="9"/>
      <c r="L5849" s="25"/>
      <c r="M5849" s="25"/>
      <c r="N5849" s="8"/>
      <c r="O5849" s="11"/>
      <c r="P5849" s="11"/>
      <c r="Q5849" s="8"/>
      <c r="R5849" s="6"/>
      <c r="S5849" s="3"/>
      <c r="T5849" s="3"/>
      <c r="U5849" s="7"/>
      <c r="V5849" s="436"/>
      <c r="W5849" s="6"/>
      <c r="X5849" s="8"/>
      <c r="Y5849" s="8"/>
      <c r="AH5849" s="328"/>
      <c r="AI5849" s="328"/>
      <c r="AJ5849" s="328"/>
    </row>
    <row r="5850" spans="1:36" s="12" customFormat="1" ht="12" customHeight="1">
      <c r="A5850" s="13"/>
      <c r="B5850" s="13"/>
      <c r="C5850" s="4"/>
      <c r="D5850" s="4"/>
      <c r="E5850" s="5"/>
      <c r="F5850" s="6"/>
      <c r="G5850" s="31"/>
      <c r="H5850" s="6"/>
      <c r="I5850" s="9"/>
      <c r="J5850" s="24"/>
      <c r="K5850" s="9"/>
      <c r="L5850" s="25"/>
      <c r="M5850" s="25"/>
      <c r="N5850" s="8"/>
      <c r="O5850" s="11"/>
      <c r="P5850" s="11"/>
      <c r="Q5850" s="8"/>
      <c r="R5850" s="6"/>
      <c r="S5850" s="3"/>
      <c r="T5850" s="3"/>
      <c r="U5850" s="7"/>
      <c r="V5850" s="436"/>
      <c r="W5850" s="6"/>
      <c r="X5850" s="8"/>
      <c r="Y5850" s="8"/>
      <c r="AH5850" s="328"/>
      <c r="AI5850" s="328"/>
      <c r="AJ5850" s="328"/>
    </row>
    <row r="5851" spans="1:36" s="13" customFormat="1" ht="12" customHeight="1">
      <c r="C5851" s="4"/>
      <c r="D5851" s="4"/>
      <c r="E5851" s="5"/>
      <c r="F5851" s="6"/>
      <c r="G5851" s="31"/>
      <c r="H5851" s="6"/>
      <c r="I5851" s="9"/>
      <c r="J5851" s="24"/>
      <c r="K5851" s="9"/>
      <c r="L5851" s="25"/>
      <c r="M5851" s="25"/>
      <c r="N5851" s="8"/>
      <c r="O5851" s="11"/>
      <c r="P5851" s="11"/>
      <c r="Q5851" s="8"/>
      <c r="R5851" s="6"/>
      <c r="S5851" s="3"/>
      <c r="T5851" s="3"/>
      <c r="U5851" s="7"/>
      <c r="V5851" s="436"/>
      <c r="W5851" s="6"/>
      <c r="X5851" s="8"/>
      <c r="Y5851" s="8"/>
      <c r="AH5851" s="325"/>
      <c r="AI5851" s="325"/>
      <c r="AJ5851" s="325"/>
    </row>
    <row r="5852" spans="1:36" s="13" customFormat="1" ht="12" customHeight="1">
      <c r="C5852" s="4"/>
      <c r="D5852" s="4"/>
      <c r="E5852" s="5"/>
      <c r="F5852" s="6"/>
      <c r="G5852" s="31"/>
      <c r="H5852" s="6"/>
      <c r="I5852" s="9"/>
      <c r="J5852" s="24"/>
      <c r="K5852" s="9"/>
      <c r="L5852" s="25"/>
      <c r="M5852" s="25"/>
      <c r="N5852" s="8"/>
      <c r="O5852" s="11"/>
      <c r="P5852" s="11"/>
      <c r="Q5852" s="8"/>
      <c r="R5852" s="6"/>
      <c r="S5852" s="3"/>
      <c r="T5852" s="3"/>
      <c r="U5852" s="7"/>
      <c r="V5852" s="436"/>
      <c r="W5852" s="6"/>
      <c r="X5852" s="8"/>
      <c r="Y5852" s="8"/>
      <c r="AH5852" s="325"/>
      <c r="AI5852" s="325"/>
      <c r="AJ5852" s="325"/>
    </row>
    <row r="5853" spans="1:36" s="12" customFormat="1" ht="12" customHeight="1">
      <c r="A5853" s="13"/>
      <c r="B5853" s="13"/>
      <c r="C5853" s="4"/>
      <c r="D5853" s="4"/>
      <c r="E5853" s="5"/>
      <c r="F5853" s="6"/>
      <c r="G5853" s="31"/>
      <c r="H5853" s="6"/>
      <c r="I5853" s="9"/>
      <c r="J5853" s="24"/>
      <c r="K5853" s="9"/>
      <c r="L5853" s="25"/>
      <c r="M5853" s="25"/>
      <c r="N5853" s="8"/>
      <c r="O5853" s="11"/>
      <c r="P5853" s="11"/>
      <c r="Q5853" s="8"/>
      <c r="R5853" s="6"/>
      <c r="S5853" s="3"/>
      <c r="T5853" s="3"/>
      <c r="U5853" s="7"/>
      <c r="V5853" s="436"/>
      <c r="W5853" s="6"/>
      <c r="X5853" s="8"/>
      <c r="Y5853" s="8"/>
      <c r="AH5853" s="328"/>
      <c r="AI5853" s="328"/>
      <c r="AJ5853" s="328"/>
    </row>
    <row r="5854" spans="1:36" s="13" customFormat="1" ht="12" customHeight="1">
      <c r="C5854" s="4"/>
      <c r="D5854" s="4"/>
      <c r="E5854" s="5"/>
      <c r="F5854" s="6"/>
      <c r="G5854" s="31"/>
      <c r="H5854" s="6"/>
      <c r="I5854" s="9"/>
      <c r="J5854" s="24"/>
      <c r="K5854" s="9"/>
      <c r="L5854" s="25"/>
      <c r="M5854" s="25"/>
      <c r="N5854" s="8"/>
      <c r="O5854" s="11"/>
      <c r="P5854" s="11"/>
      <c r="Q5854" s="8"/>
      <c r="R5854" s="6"/>
      <c r="S5854" s="3"/>
      <c r="T5854" s="3"/>
      <c r="U5854" s="7"/>
      <c r="V5854" s="436"/>
      <c r="W5854" s="6"/>
      <c r="X5854" s="8"/>
      <c r="Y5854" s="8"/>
      <c r="AH5854" s="325"/>
      <c r="AI5854" s="325"/>
      <c r="AJ5854" s="325"/>
    </row>
    <row r="5855" spans="1:36" s="12" customFormat="1" ht="12" customHeight="1">
      <c r="A5855" s="13"/>
      <c r="B5855" s="13"/>
      <c r="C5855" s="4"/>
      <c r="D5855" s="4"/>
      <c r="E5855" s="5"/>
      <c r="F5855" s="6"/>
      <c r="G5855" s="31"/>
      <c r="H5855" s="6"/>
      <c r="I5855" s="9"/>
      <c r="J5855" s="24"/>
      <c r="K5855" s="9"/>
      <c r="L5855" s="25"/>
      <c r="M5855" s="25"/>
      <c r="N5855" s="8"/>
      <c r="O5855" s="11"/>
      <c r="P5855" s="11"/>
      <c r="Q5855" s="8"/>
      <c r="R5855" s="6"/>
      <c r="S5855" s="3"/>
      <c r="T5855" s="3"/>
      <c r="U5855" s="7"/>
      <c r="V5855" s="436"/>
      <c r="W5855" s="6"/>
      <c r="X5855" s="8"/>
      <c r="Y5855" s="8"/>
      <c r="AH5855" s="328"/>
      <c r="AI5855" s="328"/>
      <c r="AJ5855" s="328"/>
    </row>
    <row r="5856" spans="1:36" s="13" customFormat="1" ht="12" customHeight="1">
      <c r="C5856" s="4"/>
      <c r="D5856" s="4"/>
      <c r="E5856" s="5"/>
      <c r="F5856" s="6"/>
      <c r="G5856" s="31"/>
      <c r="H5856" s="6"/>
      <c r="I5856" s="9"/>
      <c r="J5856" s="24"/>
      <c r="K5856" s="9"/>
      <c r="L5856" s="25"/>
      <c r="M5856" s="25"/>
      <c r="N5856" s="8"/>
      <c r="O5856" s="11"/>
      <c r="P5856" s="11"/>
      <c r="Q5856" s="8"/>
      <c r="R5856" s="6"/>
      <c r="S5856" s="3"/>
      <c r="T5856" s="3"/>
      <c r="U5856" s="7"/>
      <c r="V5856" s="436"/>
      <c r="W5856" s="6"/>
      <c r="X5856" s="8"/>
      <c r="Y5856" s="8"/>
      <c r="AH5856" s="325"/>
      <c r="AI5856" s="325"/>
      <c r="AJ5856" s="325"/>
    </row>
    <row r="5857" spans="1:36" s="12" customFormat="1" ht="12" customHeight="1">
      <c r="A5857" s="13"/>
      <c r="B5857" s="13"/>
      <c r="C5857" s="4"/>
      <c r="D5857" s="4"/>
      <c r="E5857" s="5"/>
      <c r="F5857" s="6"/>
      <c r="G5857" s="31"/>
      <c r="H5857" s="6"/>
      <c r="I5857" s="9"/>
      <c r="J5857" s="24"/>
      <c r="K5857" s="9"/>
      <c r="L5857" s="25"/>
      <c r="M5857" s="25"/>
      <c r="N5857" s="8"/>
      <c r="O5857" s="11"/>
      <c r="P5857" s="11"/>
      <c r="Q5857" s="8"/>
      <c r="R5857" s="6"/>
      <c r="S5857" s="3"/>
      <c r="T5857" s="3"/>
      <c r="U5857" s="7"/>
      <c r="V5857" s="436"/>
      <c r="W5857" s="6"/>
      <c r="X5857" s="8"/>
      <c r="Y5857" s="8"/>
      <c r="AH5857" s="328"/>
      <c r="AI5857" s="328"/>
      <c r="AJ5857" s="328"/>
    </row>
    <row r="5858" spans="1:36" s="12" customFormat="1" ht="12" customHeight="1">
      <c r="A5858" s="13"/>
      <c r="B5858" s="13"/>
      <c r="C5858" s="4"/>
      <c r="D5858" s="4"/>
      <c r="E5858" s="5"/>
      <c r="F5858" s="6"/>
      <c r="G5858" s="31"/>
      <c r="H5858" s="6"/>
      <c r="I5858" s="9"/>
      <c r="J5858" s="24"/>
      <c r="K5858" s="9"/>
      <c r="L5858" s="25"/>
      <c r="M5858" s="25"/>
      <c r="N5858" s="8"/>
      <c r="O5858" s="11"/>
      <c r="P5858" s="11"/>
      <c r="Q5858" s="8"/>
      <c r="R5858" s="6"/>
      <c r="S5858" s="3"/>
      <c r="T5858" s="3"/>
      <c r="U5858" s="7"/>
      <c r="V5858" s="436"/>
      <c r="W5858" s="6"/>
      <c r="X5858" s="8"/>
      <c r="Y5858" s="8"/>
      <c r="AH5858" s="328"/>
      <c r="AI5858" s="328"/>
      <c r="AJ5858" s="328"/>
    </row>
    <row r="5859" spans="1:36" s="13" customFormat="1" ht="12" customHeight="1">
      <c r="C5859" s="4"/>
      <c r="D5859" s="4"/>
      <c r="E5859" s="5"/>
      <c r="F5859" s="6"/>
      <c r="G5859" s="31"/>
      <c r="H5859" s="6"/>
      <c r="I5859" s="9"/>
      <c r="J5859" s="24"/>
      <c r="K5859" s="9"/>
      <c r="L5859" s="25"/>
      <c r="M5859" s="25"/>
      <c r="N5859" s="8"/>
      <c r="O5859" s="11"/>
      <c r="P5859" s="11"/>
      <c r="Q5859" s="8"/>
      <c r="R5859" s="6"/>
      <c r="S5859" s="3"/>
      <c r="T5859" s="3"/>
      <c r="U5859" s="7"/>
      <c r="V5859" s="436"/>
      <c r="W5859" s="6"/>
      <c r="X5859" s="8"/>
      <c r="Y5859" s="8"/>
      <c r="AH5859" s="325"/>
      <c r="AI5859" s="325"/>
      <c r="AJ5859" s="325"/>
    </row>
    <row r="5860" spans="1:36" s="13" customFormat="1" ht="12" customHeight="1">
      <c r="C5860" s="4"/>
      <c r="D5860" s="4"/>
      <c r="E5860" s="5"/>
      <c r="F5860" s="6"/>
      <c r="G5860" s="31"/>
      <c r="H5860" s="6"/>
      <c r="I5860" s="9"/>
      <c r="J5860" s="24"/>
      <c r="K5860" s="9"/>
      <c r="L5860" s="25"/>
      <c r="M5860" s="25"/>
      <c r="N5860" s="8"/>
      <c r="O5860" s="11"/>
      <c r="P5860" s="11"/>
      <c r="Q5860" s="8"/>
      <c r="R5860" s="6"/>
      <c r="S5860" s="3"/>
      <c r="T5860" s="3"/>
      <c r="U5860" s="7"/>
      <c r="V5860" s="436"/>
      <c r="W5860" s="6"/>
      <c r="X5860" s="8"/>
      <c r="Y5860" s="8"/>
      <c r="AH5860" s="325"/>
      <c r="AI5860" s="325"/>
      <c r="AJ5860" s="325"/>
    </row>
    <row r="5861" spans="1:36" s="13" customFormat="1" ht="12" customHeight="1">
      <c r="C5861" s="4"/>
      <c r="D5861" s="4"/>
      <c r="E5861" s="5"/>
      <c r="F5861" s="6"/>
      <c r="G5861" s="31"/>
      <c r="H5861" s="6"/>
      <c r="I5861" s="9"/>
      <c r="J5861" s="24"/>
      <c r="K5861" s="9"/>
      <c r="L5861" s="25"/>
      <c r="M5861" s="25"/>
      <c r="N5861" s="8"/>
      <c r="O5861" s="11"/>
      <c r="P5861" s="11"/>
      <c r="Q5861" s="8"/>
      <c r="R5861" s="6"/>
      <c r="S5861" s="3"/>
      <c r="T5861" s="3"/>
      <c r="U5861" s="7"/>
      <c r="V5861" s="436"/>
      <c r="W5861" s="6"/>
      <c r="X5861" s="8"/>
      <c r="Y5861" s="8"/>
      <c r="AH5861" s="325"/>
      <c r="AI5861" s="325"/>
      <c r="AJ5861" s="325"/>
    </row>
    <row r="5862" spans="1:36" s="13" customFormat="1" ht="12" customHeight="1">
      <c r="C5862" s="4"/>
      <c r="D5862" s="4"/>
      <c r="E5862" s="5"/>
      <c r="F5862" s="6"/>
      <c r="G5862" s="31"/>
      <c r="H5862" s="6"/>
      <c r="I5862" s="9"/>
      <c r="J5862" s="24"/>
      <c r="K5862" s="9"/>
      <c r="L5862" s="25"/>
      <c r="M5862" s="25"/>
      <c r="N5862" s="8"/>
      <c r="O5862" s="11"/>
      <c r="P5862" s="11"/>
      <c r="Q5862" s="8"/>
      <c r="R5862" s="6"/>
      <c r="S5862" s="3"/>
      <c r="T5862" s="3"/>
      <c r="U5862" s="7"/>
      <c r="V5862" s="436"/>
      <c r="W5862" s="6"/>
      <c r="X5862" s="8"/>
      <c r="Y5862" s="8"/>
      <c r="AH5862" s="325"/>
      <c r="AI5862" s="325"/>
      <c r="AJ5862" s="325"/>
    </row>
    <row r="5863" spans="1:36" s="13" customFormat="1" ht="12" customHeight="1">
      <c r="C5863" s="4"/>
      <c r="D5863" s="4"/>
      <c r="E5863" s="5"/>
      <c r="F5863" s="6"/>
      <c r="G5863" s="31"/>
      <c r="H5863" s="6"/>
      <c r="I5863" s="9"/>
      <c r="J5863" s="24"/>
      <c r="K5863" s="9"/>
      <c r="L5863" s="25"/>
      <c r="M5863" s="25"/>
      <c r="N5863" s="8"/>
      <c r="O5863" s="11"/>
      <c r="P5863" s="11"/>
      <c r="Q5863" s="8"/>
      <c r="R5863" s="6"/>
      <c r="S5863" s="3"/>
      <c r="T5863" s="3"/>
      <c r="U5863" s="7"/>
      <c r="V5863" s="436"/>
      <c r="W5863" s="6"/>
      <c r="X5863" s="8"/>
      <c r="Y5863" s="8"/>
      <c r="AH5863" s="325"/>
      <c r="AI5863" s="325"/>
      <c r="AJ5863" s="325"/>
    </row>
    <row r="5864" spans="1:36" s="12" customFormat="1" ht="12" customHeight="1">
      <c r="A5864" s="13"/>
      <c r="B5864" s="13"/>
      <c r="C5864" s="4"/>
      <c r="D5864" s="4"/>
      <c r="E5864" s="5"/>
      <c r="F5864" s="6"/>
      <c r="G5864" s="31"/>
      <c r="H5864" s="6"/>
      <c r="I5864" s="9"/>
      <c r="J5864" s="24"/>
      <c r="K5864" s="9"/>
      <c r="L5864" s="25"/>
      <c r="M5864" s="25"/>
      <c r="N5864" s="8"/>
      <c r="O5864" s="11"/>
      <c r="P5864" s="11"/>
      <c r="Q5864" s="8"/>
      <c r="R5864" s="6"/>
      <c r="S5864" s="3"/>
      <c r="T5864" s="3"/>
      <c r="U5864" s="7"/>
      <c r="V5864" s="436"/>
      <c r="W5864" s="6"/>
      <c r="X5864" s="8"/>
      <c r="Y5864" s="8"/>
      <c r="AH5864" s="328"/>
      <c r="AI5864" s="328"/>
      <c r="AJ5864" s="328"/>
    </row>
    <row r="5865" spans="1:36" s="13" customFormat="1" ht="12" customHeight="1">
      <c r="C5865" s="4"/>
      <c r="D5865" s="4"/>
      <c r="E5865" s="5"/>
      <c r="F5865" s="6"/>
      <c r="G5865" s="31"/>
      <c r="H5865" s="6"/>
      <c r="I5865" s="9"/>
      <c r="J5865" s="24"/>
      <c r="K5865" s="9"/>
      <c r="L5865" s="25"/>
      <c r="M5865" s="25"/>
      <c r="N5865" s="8"/>
      <c r="O5865" s="11"/>
      <c r="P5865" s="11"/>
      <c r="Q5865" s="8"/>
      <c r="R5865" s="6"/>
      <c r="S5865" s="3"/>
      <c r="T5865" s="3"/>
      <c r="U5865" s="7"/>
      <c r="V5865" s="436"/>
      <c r="W5865" s="6"/>
      <c r="X5865" s="8"/>
      <c r="Y5865" s="8"/>
      <c r="AH5865" s="325"/>
      <c r="AI5865" s="325"/>
      <c r="AJ5865" s="325"/>
    </row>
    <row r="5866" spans="1:36" s="13" customFormat="1" ht="12" customHeight="1">
      <c r="C5866" s="4"/>
      <c r="D5866" s="4"/>
      <c r="E5866" s="5"/>
      <c r="F5866" s="6"/>
      <c r="G5866" s="31"/>
      <c r="H5866" s="6"/>
      <c r="I5866" s="9"/>
      <c r="J5866" s="24"/>
      <c r="K5866" s="9"/>
      <c r="L5866" s="25"/>
      <c r="M5866" s="25"/>
      <c r="N5866" s="8"/>
      <c r="O5866" s="11"/>
      <c r="P5866" s="11"/>
      <c r="Q5866" s="8"/>
      <c r="R5866" s="6"/>
      <c r="S5866" s="3"/>
      <c r="T5866" s="3"/>
      <c r="U5866" s="7"/>
      <c r="V5866" s="436"/>
      <c r="W5866" s="6"/>
      <c r="X5866" s="8"/>
      <c r="Y5866" s="8"/>
      <c r="AH5866" s="325"/>
      <c r="AI5866" s="325"/>
      <c r="AJ5866" s="325"/>
    </row>
    <row r="5867" spans="1:36" s="13" customFormat="1" ht="12" customHeight="1">
      <c r="C5867" s="4"/>
      <c r="D5867" s="4"/>
      <c r="E5867" s="5"/>
      <c r="F5867" s="6"/>
      <c r="G5867" s="31"/>
      <c r="H5867" s="6"/>
      <c r="I5867" s="9"/>
      <c r="J5867" s="24"/>
      <c r="K5867" s="9"/>
      <c r="L5867" s="25"/>
      <c r="M5867" s="25"/>
      <c r="N5867" s="8"/>
      <c r="O5867" s="11"/>
      <c r="P5867" s="11"/>
      <c r="Q5867" s="8"/>
      <c r="R5867" s="6"/>
      <c r="S5867" s="3"/>
      <c r="T5867" s="3"/>
      <c r="U5867" s="7"/>
      <c r="V5867" s="436"/>
      <c r="W5867" s="6"/>
      <c r="X5867" s="8"/>
      <c r="Y5867" s="8"/>
      <c r="AH5867" s="325"/>
      <c r="AI5867" s="325"/>
      <c r="AJ5867" s="325"/>
    </row>
    <row r="5868" spans="1:36" s="12" customFormat="1" ht="12" customHeight="1">
      <c r="A5868" s="13"/>
      <c r="B5868" s="13"/>
      <c r="C5868" s="4"/>
      <c r="D5868" s="4"/>
      <c r="E5868" s="5"/>
      <c r="F5868" s="6"/>
      <c r="G5868" s="31"/>
      <c r="H5868" s="6"/>
      <c r="I5868" s="9"/>
      <c r="J5868" s="24"/>
      <c r="K5868" s="9"/>
      <c r="L5868" s="25"/>
      <c r="M5868" s="25"/>
      <c r="N5868" s="8"/>
      <c r="O5868" s="11"/>
      <c r="P5868" s="11"/>
      <c r="Q5868" s="8"/>
      <c r="R5868" s="6"/>
      <c r="S5868" s="3"/>
      <c r="T5868" s="3"/>
      <c r="U5868" s="7"/>
      <c r="V5868" s="436"/>
      <c r="W5868" s="6"/>
      <c r="X5868" s="8"/>
      <c r="Y5868" s="8"/>
      <c r="AH5868" s="328"/>
      <c r="AI5868" s="328"/>
      <c r="AJ5868" s="328"/>
    </row>
    <row r="5869" spans="1:36" s="12" customFormat="1" ht="12" customHeight="1">
      <c r="A5869" s="13"/>
      <c r="B5869" s="13"/>
      <c r="C5869" s="4"/>
      <c r="D5869" s="4"/>
      <c r="E5869" s="5"/>
      <c r="F5869" s="6"/>
      <c r="G5869" s="31"/>
      <c r="H5869" s="6"/>
      <c r="I5869" s="9"/>
      <c r="J5869" s="24"/>
      <c r="K5869" s="9"/>
      <c r="L5869" s="25"/>
      <c r="M5869" s="25"/>
      <c r="N5869" s="8"/>
      <c r="O5869" s="11"/>
      <c r="P5869" s="11"/>
      <c r="Q5869" s="8"/>
      <c r="R5869" s="6"/>
      <c r="S5869" s="3"/>
      <c r="T5869" s="3"/>
      <c r="U5869" s="7"/>
      <c r="V5869" s="436"/>
      <c r="W5869" s="6"/>
      <c r="X5869" s="8"/>
      <c r="Y5869" s="8"/>
      <c r="AH5869" s="328"/>
      <c r="AI5869" s="328"/>
      <c r="AJ5869" s="328"/>
    </row>
    <row r="5870" spans="1:36" s="13" customFormat="1" ht="12" customHeight="1">
      <c r="C5870" s="4"/>
      <c r="D5870" s="4"/>
      <c r="E5870" s="5"/>
      <c r="F5870" s="6"/>
      <c r="G5870" s="31"/>
      <c r="H5870" s="6"/>
      <c r="I5870" s="9"/>
      <c r="J5870" s="24"/>
      <c r="K5870" s="9"/>
      <c r="L5870" s="25"/>
      <c r="M5870" s="25"/>
      <c r="N5870" s="8"/>
      <c r="O5870" s="11"/>
      <c r="P5870" s="11"/>
      <c r="Q5870" s="8"/>
      <c r="R5870" s="6"/>
      <c r="S5870" s="3"/>
      <c r="T5870" s="3"/>
      <c r="U5870" s="7"/>
      <c r="V5870" s="436"/>
      <c r="W5870" s="6"/>
      <c r="X5870" s="8"/>
      <c r="Y5870" s="8"/>
      <c r="AH5870" s="325"/>
      <c r="AI5870" s="325"/>
      <c r="AJ5870" s="325"/>
    </row>
    <row r="5871" spans="1:36" s="12" customFormat="1" ht="12" customHeight="1">
      <c r="A5871" s="13"/>
      <c r="B5871" s="13"/>
      <c r="C5871" s="4"/>
      <c r="D5871" s="4"/>
      <c r="E5871" s="5"/>
      <c r="F5871" s="6"/>
      <c r="G5871" s="31"/>
      <c r="H5871" s="6"/>
      <c r="I5871" s="9"/>
      <c r="J5871" s="24"/>
      <c r="K5871" s="9"/>
      <c r="L5871" s="25"/>
      <c r="M5871" s="25"/>
      <c r="N5871" s="8"/>
      <c r="O5871" s="11"/>
      <c r="P5871" s="11"/>
      <c r="Q5871" s="8"/>
      <c r="R5871" s="6"/>
      <c r="S5871" s="3"/>
      <c r="T5871" s="3"/>
      <c r="U5871" s="7"/>
      <c r="V5871" s="436"/>
      <c r="W5871" s="6"/>
      <c r="X5871" s="8"/>
      <c r="Y5871" s="8"/>
      <c r="AH5871" s="328"/>
      <c r="AI5871" s="328"/>
      <c r="AJ5871" s="328"/>
    </row>
    <row r="5872" spans="1:36" s="12" customFormat="1" ht="12" customHeight="1">
      <c r="A5872" s="13"/>
      <c r="B5872" s="13"/>
      <c r="C5872" s="4"/>
      <c r="D5872" s="4"/>
      <c r="E5872" s="5"/>
      <c r="F5872" s="6"/>
      <c r="G5872" s="31"/>
      <c r="H5872" s="6"/>
      <c r="I5872" s="9"/>
      <c r="J5872" s="24"/>
      <c r="K5872" s="9"/>
      <c r="L5872" s="25"/>
      <c r="M5872" s="25"/>
      <c r="N5872" s="8"/>
      <c r="O5872" s="11"/>
      <c r="P5872" s="11"/>
      <c r="Q5872" s="8"/>
      <c r="R5872" s="6"/>
      <c r="S5872" s="3"/>
      <c r="T5872" s="3"/>
      <c r="U5872" s="7"/>
      <c r="V5872" s="436"/>
      <c r="W5872" s="6"/>
      <c r="X5872" s="8"/>
      <c r="Y5872" s="8"/>
      <c r="AH5872" s="328"/>
      <c r="AI5872" s="328"/>
      <c r="AJ5872" s="328"/>
    </row>
    <row r="5873" spans="1:36" s="12" customFormat="1" ht="12" customHeight="1">
      <c r="A5873" s="13"/>
      <c r="B5873" s="13"/>
      <c r="C5873" s="4"/>
      <c r="D5873" s="4"/>
      <c r="E5873" s="5"/>
      <c r="F5873" s="6"/>
      <c r="G5873" s="31"/>
      <c r="H5873" s="6"/>
      <c r="I5873" s="9"/>
      <c r="J5873" s="24"/>
      <c r="K5873" s="9"/>
      <c r="L5873" s="25"/>
      <c r="M5873" s="25"/>
      <c r="N5873" s="8"/>
      <c r="O5873" s="11"/>
      <c r="P5873" s="11"/>
      <c r="Q5873" s="8"/>
      <c r="R5873" s="6"/>
      <c r="S5873" s="3"/>
      <c r="T5873" s="3"/>
      <c r="U5873" s="7"/>
      <c r="V5873" s="436"/>
      <c r="W5873" s="6"/>
      <c r="X5873" s="8"/>
      <c r="Y5873" s="8"/>
      <c r="AH5873" s="328"/>
      <c r="AI5873" s="328"/>
      <c r="AJ5873" s="328"/>
    </row>
    <row r="5874" spans="1:36" s="13" customFormat="1" ht="12" customHeight="1">
      <c r="C5874" s="4"/>
      <c r="D5874" s="4"/>
      <c r="E5874" s="5"/>
      <c r="F5874" s="6"/>
      <c r="G5874" s="31"/>
      <c r="H5874" s="6"/>
      <c r="I5874" s="9"/>
      <c r="J5874" s="24"/>
      <c r="K5874" s="9"/>
      <c r="L5874" s="25"/>
      <c r="M5874" s="47"/>
      <c r="N5874" s="8"/>
      <c r="O5874" s="11"/>
      <c r="P5874" s="11"/>
      <c r="Q5874" s="8"/>
      <c r="R5874" s="6"/>
      <c r="S5874" s="3"/>
      <c r="T5874" s="3"/>
      <c r="U5874" s="7"/>
      <c r="V5874" s="436"/>
      <c r="W5874" s="6"/>
      <c r="X5874" s="8"/>
      <c r="Y5874" s="8"/>
      <c r="AH5874" s="325"/>
      <c r="AI5874" s="325"/>
      <c r="AJ5874" s="325"/>
    </row>
    <row r="5875" spans="1:36" s="13" customFormat="1" ht="12" customHeight="1">
      <c r="C5875" s="4"/>
      <c r="D5875" s="4"/>
      <c r="E5875" s="5"/>
      <c r="F5875" s="6"/>
      <c r="G5875" s="31"/>
      <c r="H5875" s="6"/>
      <c r="I5875" s="9"/>
      <c r="J5875" s="24"/>
      <c r="K5875" s="9"/>
      <c r="L5875" s="25"/>
      <c r="M5875" s="25"/>
      <c r="N5875" s="8"/>
      <c r="O5875" s="11"/>
      <c r="P5875" s="11"/>
      <c r="Q5875" s="8"/>
      <c r="R5875" s="6"/>
      <c r="S5875" s="3"/>
      <c r="T5875" s="3"/>
      <c r="U5875" s="7"/>
      <c r="V5875" s="436"/>
      <c r="W5875" s="6"/>
      <c r="X5875" s="8"/>
      <c r="Y5875" s="8"/>
      <c r="AH5875" s="325"/>
      <c r="AI5875" s="325"/>
      <c r="AJ5875" s="325"/>
    </row>
    <row r="5876" spans="1:36" s="12" customFormat="1" ht="12" customHeight="1">
      <c r="A5876" s="13"/>
      <c r="B5876" s="13"/>
      <c r="C5876" s="4"/>
      <c r="D5876" s="4"/>
      <c r="E5876" s="5"/>
      <c r="F5876" s="6"/>
      <c r="G5876" s="31"/>
      <c r="H5876" s="6"/>
      <c r="I5876" s="9"/>
      <c r="J5876" s="24"/>
      <c r="K5876" s="9"/>
      <c r="L5876" s="25"/>
      <c r="M5876" s="25"/>
      <c r="N5876" s="8"/>
      <c r="O5876" s="11"/>
      <c r="P5876" s="11"/>
      <c r="Q5876" s="8"/>
      <c r="R5876" s="6"/>
      <c r="S5876" s="3"/>
      <c r="T5876" s="3"/>
      <c r="U5876" s="7"/>
      <c r="V5876" s="436"/>
      <c r="W5876" s="6"/>
      <c r="X5876" s="8"/>
      <c r="Y5876" s="8"/>
      <c r="AH5876" s="328"/>
      <c r="AI5876" s="328"/>
      <c r="AJ5876" s="328"/>
    </row>
    <row r="5877" spans="1:36" s="12" customFormat="1" ht="12" customHeight="1">
      <c r="A5877" s="13"/>
      <c r="B5877" s="13"/>
      <c r="C5877" s="4"/>
      <c r="D5877" s="4"/>
      <c r="E5877" s="5"/>
      <c r="F5877" s="6"/>
      <c r="G5877" s="31"/>
      <c r="H5877" s="6"/>
      <c r="I5877" s="9"/>
      <c r="J5877" s="24"/>
      <c r="K5877" s="9"/>
      <c r="L5877" s="25"/>
      <c r="M5877" s="25"/>
      <c r="N5877" s="8"/>
      <c r="O5877" s="11"/>
      <c r="P5877" s="11"/>
      <c r="Q5877" s="8"/>
      <c r="R5877" s="6"/>
      <c r="S5877" s="3"/>
      <c r="T5877" s="3"/>
      <c r="U5877" s="7"/>
      <c r="V5877" s="436"/>
      <c r="W5877" s="6"/>
      <c r="X5877" s="8"/>
      <c r="Y5877" s="8"/>
      <c r="AH5877" s="328"/>
      <c r="AI5877" s="328"/>
      <c r="AJ5877" s="328"/>
    </row>
    <row r="5878" spans="1:36" s="12" customFormat="1" ht="12" customHeight="1">
      <c r="A5878" s="13"/>
      <c r="B5878" s="13"/>
      <c r="C5878" s="4"/>
      <c r="D5878" s="4"/>
      <c r="E5878" s="5"/>
      <c r="F5878" s="6"/>
      <c r="G5878" s="31"/>
      <c r="H5878" s="6"/>
      <c r="I5878" s="9"/>
      <c r="J5878" s="24"/>
      <c r="K5878" s="9"/>
      <c r="L5878" s="25"/>
      <c r="M5878" s="25"/>
      <c r="N5878" s="8"/>
      <c r="O5878" s="11"/>
      <c r="P5878" s="11"/>
      <c r="Q5878" s="8"/>
      <c r="R5878" s="6"/>
      <c r="S5878" s="3"/>
      <c r="T5878" s="3"/>
      <c r="U5878" s="7"/>
      <c r="V5878" s="436"/>
      <c r="W5878" s="6"/>
      <c r="X5878" s="8"/>
      <c r="Y5878" s="8"/>
      <c r="AH5878" s="328"/>
      <c r="AI5878" s="328"/>
      <c r="AJ5878" s="328"/>
    </row>
    <row r="5879" spans="1:36" s="13" customFormat="1" ht="12" customHeight="1">
      <c r="C5879" s="4"/>
      <c r="D5879" s="4"/>
      <c r="E5879" s="5"/>
      <c r="F5879" s="6"/>
      <c r="G5879" s="31"/>
      <c r="H5879" s="6"/>
      <c r="I5879" s="9"/>
      <c r="J5879" s="24"/>
      <c r="K5879" s="9"/>
      <c r="L5879" s="25"/>
      <c r="M5879" s="25"/>
      <c r="N5879" s="8"/>
      <c r="O5879" s="11"/>
      <c r="P5879" s="11"/>
      <c r="Q5879" s="8"/>
      <c r="R5879" s="6"/>
      <c r="S5879" s="3"/>
      <c r="T5879" s="3"/>
      <c r="U5879" s="7"/>
      <c r="V5879" s="436"/>
      <c r="W5879" s="6"/>
      <c r="X5879" s="8"/>
      <c r="Y5879" s="8"/>
      <c r="AH5879" s="325"/>
      <c r="AI5879" s="325"/>
      <c r="AJ5879" s="325"/>
    </row>
    <row r="5880" spans="1:36" s="13" customFormat="1" ht="12" customHeight="1">
      <c r="C5880" s="4"/>
      <c r="D5880" s="4"/>
      <c r="E5880" s="5"/>
      <c r="F5880" s="6"/>
      <c r="G5880" s="31"/>
      <c r="H5880" s="6"/>
      <c r="I5880" s="9"/>
      <c r="J5880" s="24"/>
      <c r="K5880" s="40"/>
      <c r="L5880" s="25"/>
      <c r="M5880" s="25"/>
      <c r="N5880" s="41"/>
      <c r="O5880" s="11"/>
      <c r="P5880" s="11"/>
      <c r="Q5880" s="41"/>
      <c r="R5880" s="6"/>
      <c r="S5880" s="3"/>
      <c r="T5880" s="3"/>
      <c r="U5880" s="7"/>
      <c r="V5880" s="436"/>
      <c r="W5880" s="6"/>
      <c r="X5880" s="8"/>
      <c r="Y5880" s="8"/>
      <c r="AH5880" s="325"/>
      <c r="AI5880" s="325"/>
      <c r="AJ5880" s="325"/>
    </row>
    <row r="5881" spans="1:36" s="13" customFormat="1" ht="12" customHeight="1">
      <c r="C5881" s="4"/>
      <c r="D5881" s="39"/>
      <c r="E5881" s="5"/>
      <c r="F5881" s="6"/>
      <c r="G5881" s="31"/>
      <c r="H5881" s="6"/>
      <c r="I5881" s="9"/>
      <c r="J5881" s="24"/>
      <c r="K5881" s="9"/>
      <c r="L5881" s="25"/>
      <c r="M5881" s="25"/>
      <c r="N5881" s="41"/>
      <c r="O5881" s="11"/>
      <c r="P5881" s="11"/>
      <c r="Q5881" s="41"/>
      <c r="R5881" s="6"/>
      <c r="S5881" s="3"/>
      <c r="T5881" s="3"/>
      <c r="U5881" s="7"/>
      <c r="V5881" s="436"/>
      <c r="W5881" s="6"/>
      <c r="X5881" s="8"/>
      <c r="Y5881" s="8"/>
      <c r="AH5881" s="325"/>
      <c r="AI5881" s="325"/>
      <c r="AJ5881" s="325"/>
    </row>
    <row r="5882" spans="1:36" s="13" customFormat="1" ht="12" customHeight="1">
      <c r="C5882" s="4"/>
      <c r="D5882" s="39"/>
      <c r="E5882" s="5"/>
      <c r="F5882" s="6"/>
      <c r="G5882" s="31"/>
      <c r="H5882" s="6"/>
      <c r="I5882" s="9"/>
      <c r="J5882" s="24"/>
      <c r="K5882" s="9"/>
      <c r="L5882" s="25"/>
      <c r="M5882" s="25"/>
      <c r="N5882" s="41"/>
      <c r="O5882" s="11"/>
      <c r="P5882" s="11"/>
      <c r="Q5882" s="41"/>
      <c r="R5882" s="6"/>
      <c r="S5882" s="3"/>
      <c r="T5882" s="3"/>
      <c r="U5882" s="7"/>
      <c r="V5882" s="436"/>
      <c r="W5882" s="6"/>
      <c r="X5882" s="8"/>
      <c r="Y5882" s="8"/>
      <c r="AH5882" s="325"/>
      <c r="AI5882" s="325"/>
      <c r="AJ5882" s="325"/>
    </row>
    <row r="5883" spans="1:36" s="13" customFormat="1" ht="12" customHeight="1">
      <c r="C5883" s="4"/>
      <c r="D5883" s="39"/>
      <c r="E5883" s="5"/>
      <c r="F5883" s="6"/>
      <c r="G5883" s="31"/>
      <c r="H5883" s="6"/>
      <c r="I5883" s="9"/>
      <c r="J5883" s="24"/>
      <c r="K5883" s="9"/>
      <c r="L5883" s="25"/>
      <c r="M5883" s="25"/>
      <c r="N5883" s="41"/>
      <c r="O5883" s="11"/>
      <c r="P5883" s="11"/>
      <c r="Q5883" s="41"/>
      <c r="R5883" s="6"/>
      <c r="S5883" s="3"/>
      <c r="T5883" s="3"/>
      <c r="U5883" s="7"/>
      <c r="V5883" s="436"/>
      <c r="W5883" s="6"/>
      <c r="X5883" s="8"/>
      <c r="Y5883" s="8"/>
      <c r="AH5883" s="325"/>
      <c r="AI5883" s="325"/>
      <c r="AJ5883" s="325"/>
    </row>
    <row r="5884" spans="1:36" s="13" customFormat="1" ht="12" customHeight="1">
      <c r="C5884" s="4"/>
      <c r="D5884" s="39"/>
      <c r="E5884" s="5"/>
      <c r="F5884" s="6"/>
      <c r="G5884" s="31"/>
      <c r="H5884" s="6"/>
      <c r="I5884" s="9"/>
      <c r="J5884" s="24"/>
      <c r="K5884" s="40"/>
      <c r="L5884" s="25"/>
      <c r="M5884" s="47"/>
      <c r="N5884" s="41"/>
      <c r="O5884" s="11"/>
      <c r="P5884" s="11"/>
      <c r="Q5884" s="41"/>
      <c r="R5884" s="6"/>
      <c r="S5884" s="3"/>
      <c r="T5884" s="3"/>
      <c r="U5884" s="7"/>
      <c r="V5884" s="436"/>
      <c r="W5884" s="6"/>
      <c r="X5884" s="8"/>
      <c r="Y5884" s="8"/>
      <c r="AH5884" s="325"/>
      <c r="AI5884" s="325"/>
      <c r="AJ5884" s="325"/>
    </row>
    <row r="5885" spans="1:36" s="13" customFormat="1" ht="12" customHeight="1">
      <c r="C5885" s="4"/>
      <c r="D5885" s="39"/>
      <c r="E5885" s="5"/>
      <c r="F5885" s="6"/>
      <c r="G5885" s="31"/>
      <c r="H5885" s="6"/>
      <c r="I5885" s="9"/>
      <c r="J5885" s="24"/>
      <c r="K5885" s="40"/>
      <c r="L5885" s="25"/>
      <c r="M5885" s="47"/>
      <c r="N5885" s="41"/>
      <c r="O5885" s="11"/>
      <c r="P5885" s="11"/>
      <c r="Q5885" s="41"/>
      <c r="R5885" s="6"/>
      <c r="S5885" s="3"/>
      <c r="T5885" s="3"/>
      <c r="U5885" s="7"/>
      <c r="V5885" s="436"/>
      <c r="W5885" s="6"/>
      <c r="X5885" s="8"/>
      <c r="Y5885" s="8"/>
      <c r="AH5885" s="325"/>
      <c r="AI5885" s="325"/>
      <c r="AJ5885" s="325"/>
    </row>
    <row r="5886" spans="1:36" s="18" customFormat="1" ht="10.5" customHeight="1">
      <c r="A5886" s="13"/>
      <c r="B5886" s="13"/>
      <c r="C5886" s="4"/>
      <c r="D5886" s="4"/>
      <c r="E5886" s="5"/>
      <c r="F5886" s="6"/>
      <c r="G5886" s="31"/>
      <c r="H5886" s="6"/>
      <c r="I5886" s="9"/>
      <c r="J5886" s="24"/>
      <c r="K5886" s="9"/>
      <c r="L5886" s="25"/>
      <c r="M5886" s="25"/>
      <c r="N5886" s="8"/>
      <c r="O5886" s="11"/>
      <c r="P5886" s="11"/>
      <c r="Q5886" s="8"/>
      <c r="R5886" s="6"/>
      <c r="S5886" s="3"/>
      <c r="T5886" s="3"/>
      <c r="U5886" s="7"/>
      <c r="V5886" s="436"/>
      <c r="W5886" s="6"/>
      <c r="X5886" s="8"/>
      <c r="Y5886" s="8"/>
      <c r="AH5886" s="329"/>
      <c r="AI5886" s="329"/>
      <c r="AJ5886" s="329"/>
    </row>
    <row r="5887" spans="1:36" s="18" customFormat="1" ht="10.5" customHeight="1">
      <c r="A5887" s="13"/>
      <c r="B5887" s="13"/>
      <c r="C5887" s="4"/>
      <c r="D5887" s="4"/>
      <c r="E5887" s="5"/>
      <c r="F5887" s="6"/>
      <c r="G5887" s="31"/>
      <c r="H5887" s="6"/>
      <c r="I5887" s="9"/>
      <c r="J5887" s="24"/>
      <c r="K5887" s="9"/>
      <c r="L5887" s="25"/>
      <c r="M5887" s="25"/>
      <c r="N5887" s="8"/>
      <c r="O5887" s="11"/>
      <c r="P5887" s="11"/>
      <c r="Q5887" s="8"/>
      <c r="R5887" s="6"/>
      <c r="S5887" s="3"/>
      <c r="T5887" s="3"/>
      <c r="U5887" s="7"/>
      <c r="V5887" s="436"/>
      <c r="W5887" s="6"/>
      <c r="X5887" s="8"/>
      <c r="Y5887" s="8"/>
      <c r="AH5887" s="329"/>
      <c r="AI5887" s="329"/>
      <c r="AJ5887" s="329"/>
    </row>
    <row r="5888" spans="1:36" s="13" customFormat="1" ht="10.5" customHeight="1">
      <c r="C5888" s="4"/>
      <c r="D5888" s="4"/>
      <c r="E5888" s="5"/>
      <c r="F5888" s="6"/>
      <c r="G5888" s="31"/>
      <c r="H5888" s="6"/>
      <c r="I5888" s="9"/>
      <c r="J5888" s="24"/>
      <c r="K5888" s="9"/>
      <c r="L5888" s="25"/>
      <c r="M5888" s="25"/>
      <c r="N5888" s="8"/>
      <c r="O5888" s="11"/>
      <c r="P5888" s="11"/>
      <c r="Q5888" s="8"/>
      <c r="R5888" s="6"/>
      <c r="S5888" s="3"/>
      <c r="T5888" s="3"/>
      <c r="U5888" s="7"/>
      <c r="V5888" s="436"/>
      <c r="W5888" s="6"/>
      <c r="X5888" s="8"/>
      <c r="Y5888" s="8"/>
      <c r="AH5888" s="325"/>
      <c r="AI5888" s="325"/>
      <c r="AJ5888" s="325"/>
    </row>
    <row r="5889" spans="1:36" s="13" customFormat="1" ht="10.5" customHeight="1">
      <c r="C5889" s="4"/>
      <c r="D5889" s="4"/>
      <c r="E5889" s="5"/>
      <c r="F5889" s="6"/>
      <c r="G5889" s="31"/>
      <c r="H5889" s="6"/>
      <c r="I5889" s="9"/>
      <c r="J5889" s="24"/>
      <c r="K5889" s="9"/>
      <c r="L5889" s="25"/>
      <c r="M5889" s="25"/>
      <c r="N5889" s="8"/>
      <c r="O5889" s="11"/>
      <c r="P5889" s="11"/>
      <c r="Q5889" s="8"/>
      <c r="R5889" s="6"/>
      <c r="S5889" s="3"/>
      <c r="T5889" s="3"/>
      <c r="U5889" s="7"/>
      <c r="V5889" s="436"/>
      <c r="W5889" s="6"/>
      <c r="X5889" s="8"/>
      <c r="Y5889" s="8"/>
      <c r="AH5889" s="325"/>
      <c r="AI5889" s="325"/>
      <c r="AJ5889" s="325"/>
    </row>
    <row r="5890" spans="1:36" s="13" customFormat="1" ht="10.5" customHeight="1">
      <c r="C5890" s="4"/>
      <c r="D5890" s="4"/>
      <c r="E5890" s="5"/>
      <c r="F5890" s="6"/>
      <c r="G5890" s="31"/>
      <c r="H5890" s="6"/>
      <c r="I5890" s="9"/>
      <c r="J5890" s="24"/>
      <c r="K5890" s="9"/>
      <c r="L5890" s="25"/>
      <c r="M5890" s="47"/>
      <c r="N5890" s="8"/>
      <c r="O5890" s="11"/>
      <c r="P5890" s="11"/>
      <c r="Q5890" s="8"/>
      <c r="R5890" s="6"/>
      <c r="S5890" s="3"/>
      <c r="T5890" s="3"/>
      <c r="U5890" s="7"/>
      <c r="V5890" s="436"/>
      <c r="W5890" s="6"/>
      <c r="X5890" s="8"/>
      <c r="Y5890" s="8"/>
      <c r="AH5890" s="325"/>
      <c r="AI5890" s="325"/>
      <c r="AJ5890" s="325"/>
    </row>
    <row r="5891" spans="1:36" s="13" customFormat="1" ht="10.5" customHeight="1">
      <c r="C5891" s="4"/>
      <c r="D5891" s="4"/>
      <c r="E5891" s="5"/>
      <c r="F5891" s="6"/>
      <c r="G5891" s="31"/>
      <c r="H5891" s="6"/>
      <c r="I5891" s="9"/>
      <c r="J5891" s="24"/>
      <c r="K5891" s="9"/>
      <c r="L5891" s="25"/>
      <c r="M5891" s="47"/>
      <c r="N5891" s="8"/>
      <c r="O5891" s="11"/>
      <c r="P5891" s="11"/>
      <c r="Q5891" s="8"/>
      <c r="R5891" s="6"/>
      <c r="S5891" s="3"/>
      <c r="T5891" s="3"/>
      <c r="U5891" s="7"/>
      <c r="V5891" s="436"/>
      <c r="W5891" s="6"/>
      <c r="X5891" s="8"/>
      <c r="Y5891" s="8"/>
      <c r="AH5891" s="325"/>
      <c r="AI5891" s="325"/>
      <c r="AJ5891" s="325"/>
    </row>
    <row r="5892" spans="1:36" s="13" customFormat="1" ht="10.5" customHeight="1">
      <c r="C5892" s="4"/>
      <c r="D5892" s="4"/>
      <c r="E5892" s="5"/>
      <c r="F5892" s="6"/>
      <c r="G5892" s="31"/>
      <c r="H5892" s="6"/>
      <c r="I5892" s="9"/>
      <c r="J5892" s="24"/>
      <c r="K5892" s="9"/>
      <c r="L5892" s="25"/>
      <c r="M5892" s="25"/>
      <c r="N5892" s="8"/>
      <c r="O5892" s="11"/>
      <c r="P5892" s="11"/>
      <c r="Q5892" s="8"/>
      <c r="R5892" s="6"/>
      <c r="S5892" s="3"/>
      <c r="T5892" s="3"/>
      <c r="U5892" s="7"/>
      <c r="V5892" s="436"/>
      <c r="W5892" s="6"/>
      <c r="X5892" s="8"/>
      <c r="Y5892" s="8"/>
      <c r="AH5892" s="325"/>
      <c r="AI5892" s="325"/>
      <c r="AJ5892" s="325"/>
    </row>
    <row r="5893" spans="1:36" s="13" customFormat="1" ht="10.5" customHeight="1">
      <c r="C5893" s="4"/>
      <c r="D5893" s="4"/>
      <c r="E5893" s="5"/>
      <c r="F5893" s="6"/>
      <c r="G5893" s="31"/>
      <c r="H5893" s="6"/>
      <c r="I5893" s="9"/>
      <c r="J5893" s="24"/>
      <c r="K5893" s="9"/>
      <c r="L5893" s="25"/>
      <c r="M5893" s="25"/>
      <c r="N5893" s="8"/>
      <c r="O5893" s="11"/>
      <c r="P5893" s="11"/>
      <c r="Q5893" s="8"/>
      <c r="R5893" s="6"/>
      <c r="S5893" s="3"/>
      <c r="T5893" s="3"/>
      <c r="U5893" s="7"/>
      <c r="V5893" s="436"/>
      <c r="W5893" s="6"/>
      <c r="X5893" s="8"/>
      <c r="Y5893" s="8"/>
      <c r="AH5893" s="325"/>
      <c r="AI5893" s="325"/>
      <c r="AJ5893" s="325"/>
    </row>
    <row r="5894" spans="1:36" s="13" customFormat="1" ht="10.5" customHeight="1">
      <c r="C5894" s="4"/>
      <c r="D5894" s="4"/>
      <c r="E5894" s="5"/>
      <c r="F5894" s="6"/>
      <c r="G5894" s="31"/>
      <c r="H5894" s="6"/>
      <c r="I5894" s="9"/>
      <c r="J5894" s="24"/>
      <c r="K5894" s="9"/>
      <c r="L5894" s="25"/>
      <c r="M5894" s="25"/>
      <c r="N5894" s="8"/>
      <c r="O5894" s="11"/>
      <c r="P5894" s="11"/>
      <c r="Q5894" s="8"/>
      <c r="R5894" s="6"/>
      <c r="S5894" s="3"/>
      <c r="T5894" s="3"/>
      <c r="U5894" s="7"/>
      <c r="V5894" s="436"/>
      <c r="W5894" s="6"/>
      <c r="X5894" s="8"/>
      <c r="Y5894" s="8"/>
      <c r="AH5894" s="325"/>
      <c r="AI5894" s="325"/>
      <c r="AJ5894" s="325"/>
    </row>
    <row r="5895" spans="1:36" s="13" customFormat="1" ht="10.5" customHeight="1">
      <c r="C5895" s="4"/>
      <c r="D5895" s="4"/>
      <c r="E5895" s="5"/>
      <c r="F5895" s="6"/>
      <c r="G5895" s="31"/>
      <c r="H5895" s="6"/>
      <c r="I5895" s="9"/>
      <c r="J5895" s="24"/>
      <c r="K5895" s="9"/>
      <c r="L5895" s="25"/>
      <c r="M5895" s="47"/>
      <c r="N5895" s="8"/>
      <c r="O5895" s="11"/>
      <c r="P5895" s="11"/>
      <c r="Q5895" s="8"/>
      <c r="R5895" s="6"/>
      <c r="S5895" s="3"/>
      <c r="T5895" s="3"/>
      <c r="U5895" s="7"/>
      <c r="V5895" s="436"/>
      <c r="W5895" s="6"/>
      <c r="X5895" s="8"/>
      <c r="Y5895" s="8"/>
      <c r="AH5895" s="325"/>
      <c r="AI5895" s="325"/>
      <c r="AJ5895" s="325"/>
    </row>
    <row r="5896" spans="1:36" s="13" customFormat="1" ht="10.5" customHeight="1">
      <c r="C5896" s="4"/>
      <c r="D5896" s="4"/>
      <c r="E5896" s="5"/>
      <c r="F5896" s="6"/>
      <c r="G5896" s="31"/>
      <c r="H5896" s="6"/>
      <c r="I5896" s="9"/>
      <c r="J5896" s="24"/>
      <c r="K5896" s="9"/>
      <c r="L5896" s="25"/>
      <c r="M5896" s="25"/>
      <c r="N5896" s="8"/>
      <c r="O5896" s="11"/>
      <c r="P5896" s="11"/>
      <c r="Q5896" s="8"/>
      <c r="R5896" s="6"/>
      <c r="S5896" s="3"/>
      <c r="T5896" s="3"/>
      <c r="U5896" s="7"/>
      <c r="V5896" s="436"/>
      <c r="W5896" s="6"/>
      <c r="X5896" s="8"/>
      <c r="Y5896" s="8"/>
      <c r="AH5896" s="325"/>
      <c r="AI5896" s="325"/>
      <c r="AJ5896" s="325"/>
    </row>
    <row r="5897" spans="1:36" s="13" customFormat="1" ht="10.5" customHeight="1">
      <c r="C5897" s="4"/>
      <c r="D5897" s="4"/>
      <c r="E5897" s="5"/>
      <c r="F5897" s="6"/>
      <c r="G5897" s="31"/>
      <c r="H5897" s="6"/>
      <c r="I5897" s="9"/>
      <c r="J5897" s="24"/>
      <c r="K5897" s="9"/>
      <c r="L5897" s="25"/>
      <c r="M5897" s="25"/>
      <c r="N5897" s="8"/>
      <c r="O5897" s="11"/>
      <c r="P5897" s="11"/>
      <c r="Q5897" s="8"/>
      <c r="R5897" s="6"/>
      <c r="S5897" s="3"/>
      <c r="T5897" s="3"/>
      <c r="U5897" s="7"/>
      <c r="V5897" s="436"/>
      <c r="W5897" s="6"/>
      <c r="X5897" s="8"/>
      <c r="Y5897" s="8"/>
      <c r="AH5897" s="325"/>
      <c r="AI5897" s="325"/>
      <c r="AJ5897" s="325"/>
    </row>
    <row r="5898" spans="1:36" s="13" customFormat="1" ht="10.5" customHeight="1">
      <c r="C5898" s="4"/>
      <c r="D5898" s="4"/>
      <c r="E5898" s="5"/>
      <c r="F5898" s="6"/>
      <c r="G5898" s="31"/>
      <c r="H5898" s="6"/>
      <c r="I5898" s="9"/>
      <c r="J5898" s="24"/>
      <c r="K5898" s="9"/>
      <c r="L5898" s="25"/>
      <c r="M5898" s="25"/>
      <c r="N5898" s="8"/>
      <c r="O5898" s="11"/>
      <c r="P5898" s="11"/>
      <c r="Q5898" s="8"/>
      <c r="R5898" s="6"/>
      <c r="S5898" s="3"/>
      <c r="T5898" s="3"/>
      <c r="U5898" s="7"/>
      <c r="V5898" s="436"/>
      <c r="W5898" s="6"/>
      <c r="X5898" s="8"/>
      <c r="Y5898" s="8"/>
      <c r="AH5898" s="325"/>
      <c r="AI5898" s="325"/>
      <c r="AJ5898" s="325"/>
    </row>
    <row r="5899" spans="1:36" s="12" customFormat="1" ht="10.5" customHeight="1">
      <c r="A5899" s="13"/>
      <c r="B5899" s="13"/>
      <c r="C5899" s="4"/>
      <c r="D5899" s="4"/>
      <c r="E5899" s="5"/>
      <c r="F5899" s="6"/>
      <c r="G5899" s="31"/>
      <c r="H5899" s="6"/>
      <c r="I5899" s="9"/>
      <c r="J5899" s="24"/>
      <c r="K5899" s="9"/>
      <c r="L5899" s="25"/>
      <c r="M5899" s="25"/>
      <c r="N5899" s="8"/>
      <c r="O5899" s="11"/>
      <c r="P5899" s="11"/>
      <c r="Q5899" s="8"/>
      <c r="R5899" s="6"/>
      <c r="S5899" s="3"/>
      <c r="T5899" s="3"/>
      <c r="U5899" s="7"/>
      <c r="V5899" s="436"/>
      <c r="W5899" s="6"/>
      <c r="X5899" s="8"/>
      <c r="Y5899" s="8"/>
      <c r="AH5899" s="328"/>
      <c r="AI5899" s="328"/>
      <c r="AJ5899" s="328"/>
    </row>
    <row r="5900" spans="1:36" s="12" customFormat="1" ht="10.5" customHeight="1">
      <c r="A5900" s="13"/>
      <c r="B5900" s="13"/>
      <c r="C5900" s="4"/>
      <c r="D5900" s="4"/>
      <c r="E5900" s="5"/>
      <c r="F5900" s="6"/>
      <c r="G5900" s="31"/>
      <c r="H5900" s="6"/>
      <c r="I5900" s="9"/>
      <c r="J5900" s="24"/>
      <c r="K5900" s="9"/>
      <c r="L5900" s="25"/>
      <c r="M5900" s="25"/>
      <c r="N5900" s="8"/>
      <c r="O5900" s="11"/>
      <c r="P5900" s="11"/>
      <c r="Q5900" s="8"/>
      <c r="R5900" s="6"/>
      <c r="S5900" s="3"/>
      <c r="T5900" s="3"/>
      <c r="U5900" s="7"/>
      <c r="V5900" s="436"/>
      <c r="W5900" s="6"/>
      <c r="X5900" s="8"/>
      <c r="Y5900" s="8"/>
      <c r="AH5900" s="328"/>
      <c r="AI5900" s="328"/>
      <c r="AJ5900" s="328"/>
    </row>
    <row r="5901" spans="1:36" s="13" customFormat="1" ht="10.5" customHeight="1">
      <c r="C5901" s="4"/>
      <c r="D5901" s="4"/>
      <c r="E5901" s="5"/>
      <c r="F5901" s="6"/>
      <c r="G5901" s="31"/>
      <c r="H5901" s="6"/>
      <c r="I5901" s="9"/>
      <c r="J5901" s="24"/>
      <c r="K5901" s="9"/>
      <c r="L5901" s="25"/>
      <c r="M5901" s="25"/>
      <c r="N5901" s="8"/>
      <c r="O5901" s="11"/>
      <c r="P5901" s="11"/>
      <c r="Q5901" s="8"/>
      <c r="R5901" s="6"/>
      <c r="S5901" s="3"/>
      <c r="T5901" s="3"/>
      <c r="U5901" s="7"/>
      <c r="V5901" s="436"/>
      <c r="W5901" s="6"/>
      <c r="X5901" s="8"/>
      <c r="Y5901" s="8"/>
      <c r="AH5901" s="325"/>
      <c r="AI5901" s="325"/>
      <c r="AJ5901" s="325"/>
    </row>
    <row r="5902" spans="1:36" s="13" customFormat="1" ht="10.5" customHeight="1">
      <c r="C5902" s="4"/>
      <c r="D5902" s="4"/>
      <c r="E5902" s="5"/>
      <c r="F5902" s="6"/>
      <c r="G5902" s="31"/>
      <c r="H5902" s="6"/>
      <c r="I5902" s="9"/>
      <c r="J5902" s="24"/>
      <c r="K5902" s="9"/>
      <c r="L5902" s="25"/>
      <c r="M5902" s="25"/>
      <c r="N5902" s="8"/>
      <c r="O5902" s="11"/>
      <c r="P5902" s="11"/>
      <c r="Q5902" s="8"/>
      <c r="R5902" s="6"/>
      <c r="S5902" s="3"/>
      <c r="T5902" s="3"/>
      <c r="U5902" s="7"/>
      <c r="V5902" s="436"/>
      <c r="W5902" s="6"/>
      <c r="X5902" s="8"/>
      <c r="Y5902" s="8"/>
      <c r="AH5902" s="325"/>
      <c r="AI5902" s="325"/>
      <c r="AJ5902" s="325"/>
    </row>
    <row r="5903" spans="1:36" s="13" customFormat="1" ht="10.5" customHeight="1">
      <c r="C5903" s="4"/>
      <c r="D5903" s="4"/>
      <c r="E5903" s="5"/>
      <c r="F5903" s="6"/>
      <c r="G5903" s="31"/>
      <c r="H5903" s="6"/>
      <c r="I5903" s="9"/>
      <c r="J5903" s="24"/>
      <c r="K5903" s="9"/>
      <c r="L5903" s="25"/>
      <c r="M5903" s="25"/>
      <c r="N5903" s="8"/>
      <c r="O5903" s="11"/>
      <c r="P5903" s="11"/>
      <c r="Q5903" s="8"/>
      <c r="R5903" s="6"/>
      <c r="S5903" s="3"/>
      <c r="T5903" s="3"/>
      <c r="U5903" s="7"/>
      <c r="V5903" s="436"/>
      <c r="W5903" s="6"/>
      <c r="X5903" s="8"/>
      <c r="Y5903" s="8"/>
      <c r="AH5903" s="325"/>
      <c r="AI5903" s="325"/>
      <c r="AJ5903" s="325"/>
    </row>
    <row r="5904" spans="1:36" s="13" customFormat="1" ht="10.5" customHeight="1">
      <c r="C5904" s="4"/>
      <c r="D5904" s="4"/>
      <c r="E5904" s="5"/>
      <c r="F5904" s="6"/>
      <c r="G5904" s="31"/>
      <c r="H5904" s="6"/>
      <c r="I5904" s="9"/>
      <c r="J5904" s="24"/>
      <c r="K5904" s="9"/>
      <c r="L5904" s="25"/>
      <c r="M5904" s="25"/>
      <c r="N5904" s="8"/>
      <c r="O5904" s="11"/>
      <c r="P5904" s="11"/>
      <c r="Q5904" s="8"/>
      <c r="R5904" s="6"/>
      <c r="S5904" s="3"/>
      <c r="T5904" s="3"/>
      <c r="U5904" s="7"/>
      <c r="V5904" s="436"/>
      <c r="W5904" s="6"/>
      <c r="X5904" s="8"/>
      <c r="Y5904" s="8"/>
      <c r="AH5904" s="325"/>
      <c r="AI5904" s="325"/>
      <c r="AJ5904" s="325"/>
    </row>
    <row r="5905" spans="1:36" s="12" customFormat="1" ht="10.5" customHeight="1">
      <c r="A5905" s="13"/>
      <c r="B5905" s="13"/>
      <c r="C5905" s="4"/>
      <c r="D5905" s="4"/>
      <c r="E5905" s="5"/>
      <c r="F5905" s="6"/>
      <c r="G5905" s="31"/>
      <c r="H5905" s="6"/>
      <c r="I5905" s="9"/>
      <c r="J5905" s="24"/>
      <c r="K5905" s="9"/>
      <c r="L5905" s="25"/>
      <c r="M5905" s="25"/>
      <c r="N5905" s="8"/>
      <c r="O5905" s="11"/>
      <c r="P5905" s="11"/>
      <c r="Q5905" s="8"/>
      <c r="R5905" s="6"/>
      <c r="S5905" s="3"/>
      <c r="T5905" s="3"/>
      <c r="U5905" s="7"/>
      <c r="V5905" s="436"/>
      <c r="W5905" s="6"/>
      <c r="X5905" s="8"/>
      <c r="Y5905" s="8"/>
      <c r="AH5905" s="328"/>
      <c r="AI5905" s="328"/>
      <c r="AJ5905" s="328"/>
    </row>
    <row r="5906" spans="1:36" s="12" customFormat="1" ht="10.5" customHeight="1">
      <c r="A5906" s="13"/>
      <c r="B5906" s="13"/>
      <c r="C5906" s="4"/>
      <c r="D5906" s="4"/>
      <c r="E5906" s="5"/>
      <c r="F5906" s="6"/>
      <c r="G5906" s="31"/>
      <c r="H5906" s="6"/>
      <c r="I5906" s="9"/>
      <c r="J5906" s="24"/>
      <c r="K5906" s="9"/>
      <c r="L5906" s="25"/>
      <c r="M5906" s="25"/>
      <c r="N5906" s="8"/>
      <c r="O5906" s="11"/>
      <c r="P5906" s="11"/>
      <c r="Q5906" s="8"/>
      <c r="R5906" s="6"/>
      <c r="S5906" s="3"/>
      <c r="T5906" s="3"/>
      <c r="U5906" s="7"/>
      <c r="V5906" s="436"/>
      <c r="W5906" s="6"/>
      <c r="X5906" s="8"/>
      <c r="Y5906" s="8"/>
      <c r="AH5906" s="328"/>
      <c r="AI5906" s="328"/>
      <c r="AJ5906" s="328"/>
    </row>
    <row r="5907" spans="1:36" s="12" customFormat="1" ht="10.5" customHeight="1">
      <c r="A5907" s="13"/>
      <c r="B5907" s="13"/>
      <c r="C5907" s="4"/>
      <c r="D5907" s="4"/>
      <c r="E5907" s="5"/>
      <c r="F5907" s="6"/>
      <c r="G5907" s="31"/>
      <c r="H5907" s="6"/>
      <c r="I5907" s="9"/>
      <c r="J5907" s="24"/>
      <c r="K5907" s="9"/>
      <c r="L5907" s="25"/>
      <c r="M5907" s="25"/>
      <c r="N5907" s="8"/>
      <c r="O5907" s="11"/>
      <c r="P5907" s="11"/>
      <c r="Q5907" s="8"/>
      <c r="R5907" s="6"/>
      <c r="S5907" s="3"/>
      <c r="T5907" s="3"/>
      <c r="U5907" s="7"/>
      <c r="V5907" s="436"/>
      <c r="W5907" s="6"/>
      <c r="X5907" s="8"/>
      <c r="Y5907" s="8"/>
      <c r="AH5907" s="328"/>
      <c r="AI5907" s="328"/>
      <c r="AJ5907" s="328"/>
    </row>
    <row r="5908" spans="1:36" s="12" customFormat="1" ht="10.5" customHeight="1">
      <c r="A5908" s="13"/>
      <c r="B5908" s="13"/>
      <c r="C5908" s="4"/>
      <c r="D5908" s="4"/>
      <c r="E5908" s="5"/>
      <c r="F5908" s="6"/>
      <c r="G5908" s="31"/>
      <c r="H5908" s="6"/>
      <c r="I5908" s="9"/>
      <c r="J5908" s="24"/>
      <c r="K5908" s="9"/>
      <c r="L5908" s="25"/>
      <c r="M5908" s="25"/>
      <c r="N5908" s="8"/>
      <c r="O5908" s="11"/>
      <c r="P5908" s="11"/>
      <c r="Q5908" s="8"/>
      <c r="R5908" s="6"/>
      <c r="S5908" s="3"/>
      <c r="T5908" s="3"/>
      <c r="U5908" s="7"/>
      <c r="V5908" s="436"/>
      <c r="W5908" s="6"/>
      <c r="X5908" s="8"/>
      <c r="Y5908" s="8"/>
      <c r="AH5908" s="328"/>
      <c r="AI5908" s="328"/>
      <c r="AJ5908" s="328"/>
    </row>
    <row r="5909" spans="1:36" s="12" customFormat="1" ht="10.5" customHeight="1">
      <c r="A5909" s="13"/>
      <c r="B5909" s="13"/>
      <c r="C5909" s="4"/>
      <c r="D5909" s="4"/>
      <c r="E5909" s="5"/>
      <c r="F5909" s="6"/>
      <c r="G5909" s="31"/>
      <c r="H5909" s="6"/>
      <c r="I5909" s="9"/>
      <c r="J5909" s="24"/>
      <c r="K5909" s="9"/>
      <c r="L5909" s="25"/>
      <c r="M5909" s="25"/>
      <c r="N5909" s="8"/>
      <c r="O5909" s="11"/>
      <c r="P5909" s="11"/>
      <c r="Q5909" s="8"/>
      <c r="R5909" s="6"/>
      <c r="S5909" s="3"/>
      <c r="T5909" s="3"/>
      <c r="U5909" s="7"/>
      <c r="V5909" s="436"/>
      <c r="W5909" s="6"/>
      <c r="X5909" s="8"/>
      <c r="Y5909" s="8"/>
      <c r="AH5909" s="328"/>
      <c r="AI5909" s="328"/>
      <c r="AJ5909" s="328"/>
    </row>
    <row r="5910" spans="1:36" s="13" customFormat="1" ht="10.5" customHeight="1">
      <c r="C5910" s="4"/>
      <c r="D5910" s="4"/>
      <c r="E5910" s="5"/>
      <c r="F5910" s="6"/>
      <c r="G5910" s="31"/>
      <c r="H5910" s="6"/>
      <c r="I5910" s="9"/>
      <c r="J5910" s="24"/>
      <c r="K5910" s="9"/>
      <c r="L5910" s="25"/>
      <c r="M5910" s="25"/>
      <c r="N5910" s="8"/>
      <c r="O5910" s="11"/>
      <c r="P5910" s="11"/>
      <c r="Q5910" s="8"/>
      <c r="R5910" s="6"/>
      <c r="S5910" s="3"/>
      <c r="T5910" s="3"/>
      <c r="U5910" s="7"/>
      <c r="V5910" s="436"/>
      <c r="W5910" s="6"/>
      <c r="X5910" s="8"/>
      <c r="Y5910" s="8"/>
      <c r="AH5910" s="325"/>
      <c r="AI5910" s="325"/>
      <c r="AJ5910" s="325"/>
    </row>
    <row r="5911" spans="1:36" s="13" customFormat="1" ht="10.5" customHeight="1">
      <c r="C5911" s="4"/>
      <c r="D5911" s="4"/>
      <c r="E5911" s="5"/>
      <c r="F5911" s="6"/>
      <c r="G5911" s="31"/>
      <c r="H5911" s="6"/>
      <c r="I5911" s="9"/>
      <c r="J5911" s="24"/>
      <c r="K5911" s="9"/>
      <c r="L5911" s="25"/>
      <c r="M5911" s="25"/>
      <c r="N5911" s="8"/>
      <c r="O5911" s="11"/>
      <c r="P5911" s="11"/>
      <c r="Q5911" s="8"/>
      <c r="R5911" s="6"/>
      <c r="S5911" s="3"/>
      <c r="T5911" s="3"/>
      <c r="U5911" s="7"/>
      <c r="V5911" s="436"/>
      <c r="W5911" s="6"/>
      <c r="X5911" s="8"/>
      <c r="Y5911" s="8"/>
      <c r="AH5911" s="325"/>
      <c r="AI5911" s="325"/>
      <c r="AJ5911" s="325"/>
    </row>
    <row r="5912" spans="1:36" s="13" customFormat="1" ht="10.5" customHeight="1">
      <c r="C5912" s="4"/>
      <c r="D5912" s="4"/>
      <c r="E5912" s="5"/>
      <c r="F5912" s="6"/>
      <c r="G5912" s="31"/>
      <c r="H5912" s="6"/>
      <c r="I5912" s="9"/>
      <c r="J5912" s="24"/>
      <c r="K5912" s="9"/>
      <c r="L5912" s="25"/>
      <c r="M5912" s="25"/>
      <c r="N5912" s="8"/>
      <c r="O5912" s="11"/>
      <c r="P5912" s="11"/>
      <c r="Q5912" s="8"/>
      <c r="R5912" s="6"/>
      <c r="S5912" s="3"/>
      <c r="T5912" s="3"/>
      <c r="U5912" s="7"/>
      <c r="V5912" s="436"/>
      <c r="W5912" s="6"/>
      <c r="X5912" s="8"/>
      <c r="Y5912" s="8"/>
      <c r="AH5912" s="325"/>
      <c r="AI5912" s="325"/>
      <c r="AJ5912" s="325"/>
    </row>
    <row r="5913" spans="1:36" s="13" customFormat="1" ht="10.5" customHeight="1">
      <c r="C5913" s="4"/>
      <c r="D5913" s="4"/>
      <c r="E5913" s="5"/>
      <c r="F5913" s="6"/>
      <c r="G5913" s="31"/>
      <c r="H5913" s="6"/>
      <c r="I5913" s="9"/>
      <c r="J5913" s="24"/>
      <c r="K5913" s="9"/>
      <c r="L5913" s="25"/>
      <c r="M5913" s="25"/>
      <c r="N5913" s="8"/>
      <c r="O5913" s="11"/>
      <c r="P5913" s="11"/>
      <c r="Q5913" s="8"/>
      <c r="R5913" s="6"/>
      <c r="S5913" s="3"/>
      <c r="T5913" s="3"/>
      <c r="U5913" s="7"/>
      <c r="V5913" s="436"/>
      <c r="W5913" s="6"/>
      <c r="X5913" s="8"/>
      <c r="Y5913" s="8"/>
      <c r="AH5913" s="325"/>
      <c r="AI5913" s="325"/>
      <c r="AJ5913" s="325"/>
    </row>
    <row r="5914" spans="1:36" s="12" customFormat="1" ht="10.5" customHeight="1">
      <c r="A5914" s="13"/>
      <c r="B5914" s="13"/>
      <c r="C5914" s="4"/>
      <c r="D5914" s="4"/>
      <c r="E5914" s="5"/>
      <c r="F5914" s="6"/>
      <c r="G5914" s="31"/>
      <c r="H5914" s="6"/>
      <c r="I5914" s="9"/>
      <c r="J5914" s="24"/>
      <c r="K5914" s="9"/>
      <c r="L5914" s="25"/>
      <c r="M5914" s="25"/>
      <c r="N5914" s="8"/>
      <c r="O5914" s="11"/>
      <c r="P5914" s="11"/>
      <c r="Q5914" s="8"/>
      <c r="R5914" s="6"/>
      <c r="S5914" s="3"/>
      <c r="T5914" s="3"/>
      <c r="U5914" s="7"/>
      <c r="V5914" s="436"/>
      <c r="W5914" s="6"/>
      <c r="X5914" s="8"/>
      <c r="Y5914" s="8"/>
      <c r="AH5914" s="328"/>
      <c r="AI5914" s="328"/>
      <c r="AJ5914" s="328"/>
    </row>
    <row r="5915" spans="1:36" s="12" customFormat="1" ht="10.5" customHeight="1">
      <c r="A5915" s="13"/>
      <c r="B5915" s="13"/>
      <c r="C5915" s="4"/>
      <c r="D5915" s="4"/>
      <c r="E5915" s="5"/>
      <c r="F5915" s="6"/>
      <c r="G5915" s="31"/>
      <c r="H5915" s="6"/>
      <c r="I5915" s="9"/>
      <c r="J5915" s="24"/>
      <c r="K5915" s="9"/>
      <c r="L5915" s="25"/>
      <c r="M5915" s="25"/>
      <c r="N5915" s="8"/>
      <c r="O5915" s="11"/>
      <c r="P5915" s="11"/>
      <c r="Q5915" s="8"/>
      <c r="R5915" s="6"/>
      <c r="S5915" s="3"/>
      <c r="T5915" s="3"/>
      <c r="U5915" s="7"/>
      <c r="V5915" s="436"/>
      <c r="W5915" s="6"/>
      <c r="X5915" s="8"/>
      <c r="Y5915" s="8"/>
      <c r="AH5915" s="328"/>
      <c r="AI5915" s="328"/>
      <c r="AJ5915" s="328"/>
    </row>
    <row r="5916" spans="1:36" s="12" customFormat="1" ht="10.5" customHeight="1">
      <c r="A5916" s="13"/>
      <c r="B5916" s="13"/>
      <c r="C5916" s="4"/>
      <c r="D5916" s="4"/>
      <c r="E5916" s="5"/>
      <c r="F5916" s="6"/>
      <c r="G5916" s="31"/>
      <c r="H5916" s="6"/>
      <c r="I5916" s="9"/>
      <c r="J5916" s="24"/>
      <c r="K5916" s="9"/>
      <c r="L5916" s="25"/>
      <c r="M5916" s="25"/>
      <c r="N5916" s="8"/>
      <c r="O5916" s="11"/>
      <c r="P5916" s="11"/>
      <c r="Q5916" s="8"/>
      <c r="R5916" s="6"/>
      <c r="S5916" s="3"/>
      <c r="T5916" s="3"/>
      <c r="U5916" s="7"/>
      <c r="V5916" s="436"/>
      <c r="W5916" s="6"/>
      <c r="X5916" s="8"/>
      <c r="Y5916" s="8"/>
      <c r="AH5916" s="328"/>
      <c r="AI5916" s="328"/>
      <c r="AJ5916" s="328"/>
    </row>
    <row r="5917" spans="1:36" s="13" customFormat="1" ht="10.5" customHeight="1">
      <c r="C5917" s="4"/>
      <c r="D5917" s="4"/>
      <c r="E5917" s="5"/>
      <c r="F5917" s="6"/>
      <c r="G5917" s="31"/>
      <c r="H5917" s="6"/>
      <c r="I5917" s="9"/>
      <c r="J5917" s="24"/>
      <c r="K5917" s="9"/>
      <c r="L5917" s="25"/>
      <c r="M5917" s="25"/>
      <c r="N5917" s="8"/>
      <c r="O5917" s="11"/>
      <c r="P5917" s="11"/>
      <c r="Q5917" s="8"/>
      <c r="R5917" s="6"/>
      <c r="S5917" s="3"/>
      <c r="T5917" s="3"/>
      <c r="U5917" s="7"/>
      <c r="V5917" s="436"/>
      <c r="W5917" s="6"/>
      <c r="X5917" s="8"/>
      <c r="Y5917" s="8"/>
      <c r="AH5917" s="325"/>
      <c r="AI5917" s="325"/>
      <c r="AJ5917" s="325"/>
    </row>
    <row r="5918" spans="1:36" s="13" customFormat="1" ht="10.5" customHeight="1">
      <c r="C5918" s="4"/>
      <c r="D5918" s="4"/>
      <c r="E5918" s="5"/>
      <c r="F5918" s="6"/>
      <c r="G5918" s="31"/>
      <c r="H5918" s="6"/>
      <c r="I5918" s="9"/>
      <c r="J5918" s="24"/>
      <c r="K5918" s="9"/>
      <c r="L5918" s="25"/>
      <c r="M5918" s="25"/>
      <c r="N5918" s="8"/>
      <c r="O5918" s="11"/>
      <c r="P5918" s="11"/>
      <c r="Q5918" s="8"/>
      <c r="R5918" s="6"/>
      <c r="S5918" s="3"/>
      <c r="T5918" s="3"/>
      <c r="U5918" s="7"/>
      <c r="V5918" s="436"/>
      <c r="W5918" s="6"/>
      <c r="X5918" s="8"/>
      <c r="Y5918" s="8"/>
      <c r="AH5918" s="325"/>
      <c r="AI5918" s="325"/>
      <c r="AJ5918" s="325"/>
    </row>
    <row r="5919" spans="1:36" s="13" customFormat="1" ht="10.5" customHeight="1">
      <c r="C5919" s="4"/>
      <c r="D5919" s="4"/>
      <c r="E5919" s="5"/>
      <c r="F5919" s="6"/>
      <c r="G5919" s="31"/>
      <c r="H5919" s="6"/>
      <c r="I5919" s="9"/>
      <c r="J5919" s="24"/>
      <c r="K5919" s="9"/>
      <c r="L5919" s="25"/>
      <c r="M5919" s="25"/>
      <c r="N5919" s="8"/>
      <c r="O5919" s="11"/>
      <c r="P5919" s="11"/>
      <c r="Q5919" s="8"/>
      <c r="R5919" s="6"/>
      <c r="S5919" s="3"/>
      <c r="T5919" s="3"/>
      <c r="U5919" s="7"/>
      <c r="V5919" s="436"/>
      <c r="W5919" s="6"/>
      <c r="X5919" s="8"/>
      <c r="Y5919" s="8"/>
      <c r="AH5919" s="325"/>
      <c r="AI5919" s="325"/>
      <c r="AJ5919" s="325"/>
    </row>
    <row r="5920" spans="1:36" s="13" customFormat="1" ht="10.5" customHeight="1">
      <c r="C5920" s="4"/>
      <c r="D5920" s="4"/>
      <c r="E5920" s="5"/>
      <c r="F5920" s="6"/>
      <c r="G5920" s="31"/>
      <c r="H5920" s="6"/>
      <c r="I5920" s="9"/>
      <c r="J5920" s="24"/>
      <c r="K5920" s="9"/>
      <c r="L5920" s="25"/>
      <c r="M5920" s="25"/>
      <c r="N5920" s="8"/>
      <c r="O5920" s="11"/>
      <c r="P5920" s="11"/>
      <c r="Q5920" s="8"/>
      <c r="R5920" s="6"/>
      <c r="S5920" s="3"/>
      <c r="T5920" s="3"/>
      <c r="U5920" s="7"/>
      <c r="V5920" s="436"/>
      <c r="W5920" s="6"/>
      <c r="X5920" s="8"/>
      <c r="Y5920" s="8"/>
      <c r="AH5920" s="325"/>
      <c r="AI5920" s="325"/>
      <c r="AJ5920" s="325"/>
    </row>
    <row r="5921" spans="1:36" s="13" customFormat="1" ht="10.5" customHeight="1">
      <c r="C5921" s="4"/>
      <c r="D5921" s="4"/>
      <c r="E5921" s="5"/>
      <c r="F5921" s="6"/>
      <c r="G5921" s="31"/>
      <c r="H5921" s="6"/>
      <c r="I5921" s="9"/>
      <c r="J5921" s="24"/>
      <c r="K5921" s="9"/>
      <c r="L5921" s="25"/>
      <c r="M5921" s="25"/>
      <c r="N5921" s="8"/>
      <c r="O5921" s="11"/>
      <c r="P5921" s="11"/>
      <c r="Q5921" s="8"/>
      <c r="R5921" s="6"/>
      <c r="S5921" s="3"/>
      <c r="T5921" s="3"/>
      <c r="U5921" s="7"/>
      <c r="V5921" s="436"/>
      <c r="W5921" s="6"/>
      <c r="X5921" s="8"/>
      <c r="Y5921" s="8"/>
      <c r="AH5921" s="325"/>
      <c r="AI5921" s="325"/>
      <c r="AJ5921" s="325"/>
    </row>
    <row r="5922" spans="1:36" s="12" customFormat="1" ht="10.5" customHeight="1">
      <c r="A5922" s="13"/>
      <c r="B5922" s="13"/>
      <c r="C5922" s="4"/>
      <c r="D5922" s="4"/>
      <c r="E5922" s="5"/>
      <c r="F5922" s="6"/>
      <c r="G5922" s="31"/>
      <c r="H5922" s="6"/>
      <c r="I5922" s="9"/>
      <c r="J5922" s="24"/>
      <c r="K5922" s="9"/>
      <c r="L5922" s="25"/>
      <c r="M5922" s="25"/>
      <c r="N5922" s="8"/>
      <c r="O5922" s="11"/>
      <c r="P5922" s="11"/>
      <c r="Q5922" s="8"/>
      <c r="R5922" s="6"/>
      <c r="S5922" s="3"/>
      <c r="T5922" s="3"/>
      <c r="U5922" s="7"/>
      <c r="V5922" s="436"/>
      <c r="W5922" s="6"/>
      <c r="X5922" s="8"/>
      <c r="Y5922" s="8"/>
      <c r="AH5922" s="328"/>
      <c r="AI5922" s="328"/>
      <c r="AJ5922" s="328"/>
    </row>
    <row r="5923" spans="1:36" s="12" customFormat="1" ht="10.5" customHeight="1">
      <c r="A5923" s="13"/>
      <c r="B5923" s="13"/>
      <c r="C5923" s="4"/>
      <c r="D5923" s="4"/>
      <c r="E5923" s="5"/>
      <c r="F5923" s="6"/>
      <c r="G5923" s="31"/>
      <c r="H5923" s="6"/>
      <c r="I5923" s="9"/>
      <c r="J5923" s="24"/>
      <c r="K5923" s="9"/>
      <c r="L5923" s="25"/>
      <c r="M5923" s="25"/>
      <c r="N5923" s="8"/>
      <c r="O5923" s="11"/>
      <c r="P5923" s="11"/>
      <c r="Q5923" s="8"/>
      <c r="R5923" s="6"/>
      <c r="S5923" s="3"/>
      <c r="T5923" s="3"/>
      <c r="U5923" s="7"/>
      <c r="V5923" s="436"/>
      <c r="W5923" s="6"/>
      <c r="X5923" s="8"/>
      <c r="Y5923" s="8"/>
      <c r="AH5923" s="328"/>
      <c r="AI5923" s="328"/>
      <c r="AJ5923" s="328"/>
    </row>
    <row r="5924" spans="1:36" s="12" customFormat="1" ht="10.5" customHeight="1">
      <c r="A5924" s="13"/>
      <c r="B5924" s="13"/>
      <c r="C5924" s="4"/>
      <c r="D5924" s="4"/>
      <c r="E5924" s="5"/>
      <c r="F5924" s="6"/>
      <c r="G5924" s="31"/>
      <c r="H5924" s="6"/>
      <c r="I5924" s="9"/>
      <c r="J5924" s="24"/>
      <c r="K5924" s="9"/>
      <c r="L5924" s="25"/>
      <c r="M5924" s="25"/>
      <c r="N5924" s="8"/>
      <c r="O5924" s="11"/>
      <c r="P5924" s="11"/>
      <c r="Q5924" s="8"/>
      <c r="R5924" s="6"/>
      <c r="S5924" s="3"/>
      <c r="T5924" s="3"/>
      <c r="U5924" s="7"/>
      <c r="V5924" s="436"/>
      <c r="W5924" s="6"/>
      <c r="X5924" s="8"/>
      <c r="Y5924" s="8"/>
      <c r="AH5924" s="328"/>
      <c r="AI5924" s="328"/>
      <c r="AJ5924" s="328"/>
    </row>
    <row r="5925" spans="1:36" s="12" customFormat="1" ht="10.5" customHeight="1">
      <c r="A5925" s="13"/>
      <c r="B5925" s="13"/>
      <c r="C5925" s="4"/>
      <c r="D5925" s="4"/>
      <c r="E5925" s="5"/>
      <c r="F5925" s="6"/>
      <c r="G5925" s="31"/>
      <c r="H5925" s="6"/>
      <c r="I5925" s="9"/>
      <c r="J5925" s="24"/>
      <c r="K5925" s="9"/>
      <c r="L5925" s="25"/>
      <c r="M5925" s="25"/>
      <c r="N5925" s="8"/>
      <c r="O5925" s="11"/>
      <c r="P5925" s="11"/>
      <c r="Q5925" s="8"/>
      <c r="R5925" s="6"/>
      <c r="S5925" s="3"/>
      <c r="T5925" s="3"/>
      <c r="U5925" s="7"/>
      <c r="V5925" s="436"/>
      <c r="W5925" s="6"/>
      <c r="X5925" s="8"/>
      <c r="Y5925" s="8"/>
      <c r="AH5925" s="328"/>
      <c r="AI5925" s="328"/>
      <c r="AJ5925" s="328"/>
    </row>
    <row r="5926" spans="1:36" s="12" customFormat="1" ht="10.5" customHeight="1">
      <c r="A5926" s="13"/>
      <c r="B5926" s="13"/>
      <c r="C5926" s="4"/>
      <c r="D5926" s="4"/>
      <c r="E5926" s="5"/>
      <c r="F5926" s="6"/>
      <c r="G5926" s="31"/>
      <c r="H5926" s="6"/>
      <c r="I5926" s="9"/>
      <c r="J5926" s="24"/>
      <c r="K5926" s="9"/>
      <c r="L5926" s="25"/>
      <c r="M5926" s="25"/>
      <c r="N5926" s="8"/>
      <c r="O5926" s="11"/>
      <c r="P5926" s="11"/>
      <c r="Q5926" s="8"/>
      <c r="R5926" s="6"/>
      <c r="S5926" s="3"/>
      <c r="T5926" s="3"/>
      <c r="U5926" s="7"/>
      <c r="V5926" s="436"/>
      <c r="W5926" s="6"/>
      <c r="X5926" s="8"/>
      <c r="Y5926" s="8"/>
      <c r="AH5926" s="328"/>
      <c r="AI5926" s="328"/>
      <c r="AJ5926" s="328"/>
    </row>
    <row r="5927" spans="1:36" s="12" customFormat="1" ht="10.5" customHeight="1">
      <c r="A5927" s="13"/>
      <c r="B5927" s="13"/>
      <c r="C5927" s="4"/>
      <c r="D5927" s="4"/>
      <c r="E5927" s="5"/>
      <c r="F5927" s="6"/>
      <c r="G5927" s="31"/>
      <c r="H5927" s="6"/>
      <c r="I5927" s="9"/>
      <c r="J5927" s="24"/>
      <c r="K5927" s="9"/>
      <c r="L5927" s="25"/>
      <c r="M5927" s="25"/>
      <c r="N5927" s="8"/>
      <c r="O5927" s="11"/>
      <c r="P5927" s="11"/>
      <c r="Q5927" s="8"/>
      <c r="R5927" s="6"/>
      <c r="S5927" s="3"/>
      <c r="T5927" s="3"/>
      <c r="U5927" s="7"/>
      <c r="V5927" s="436"/>
      <c r="W5927" s="6"/>
      <c r="X5927" s="8"/>
      <c r="Y5927" s="8"/>
      <c r="AH5927" s="328"/>
      <c r="AI5927" s="328"/>
      <c r="AJ5927" s="328"/>
    </row>
    <row r="5928" spans="1:36" s="12" customFormat="1" ht="10.5" customHeight="1">
      <c r="A5928" s="13"/>
      <c r="B5928" s="13"/>
      <c r="C5928" s="4"/>
      <c r="D5928" s="4"/>
      <c r="E5928" s="5"/>
      <c r="F5928" s="6"/>
      <c r="G5928" s="31"/>
      <c r="H5928" s="6"/>
      <c r="I5928" s="9"/>
      <c r="J5928" s="24"/>
      <c r="K5928" s="9"/>
      <c r="L5928" s="25"/>
      <c r="M5928" s="25"/>
      <c r="N5928" s="8"/>
      <c r="O5928" s="11"/>
      <c r="P5928" s="11"/>
      <c r="Q5928" s="8"/>
      <c r="R5928" s="6"/>
      <c r="S5928" s="3"/>
      <c r="T5928" s="3"/>
      <c r="U5928" s="7"/>
      <c r="V5928" s="436"/>
      <c r="W5928" s="6"/>
      <c r="X5928" s="8"/>
      <c r="Y5928" s="8"/>
      <c r="AH5928" s="328"/>
      <c r="AI5928" s="328"/>
      <c r="AJ5928" s="328"/>
    </row>
    <row r="5929" spans="1:36" s="12" customFormat="1" ht="10.5" customHeight="1">
      <c r="A5929" s="13"/>
      <c r="B5929" s="13"/>
      <c r="C5929" s="4"/>
      <c r="D5929" s="4"/>
      <c r="E5929" s="5"/>
      <c r="F5929" s="6"/>
      <c r="G5929" s="31"/>
      <c r="H5929" s="6"/>
      <c r="I5929" s="9"/>
      <c r="J5929" s="24"/>
      <c r="K5929" s="9"/>
      <c r="L5929" s="25"/>
      <c r="M5929" s="25"/>
      <c r="N5929" s="8"/>
      <c r="O5929" s="11"/>
      <c r="P5929" s="11"/>
      <c r="Q5929" s="8"/>
      <c r="R5929" s="6"/>
      <c r="S5929" s="3"/>
      <c r="T5929" s="3"/>
      <c r="U5929" s="7"/>
      <c r="V5929" s="436"/>
      <c r="W5929" s="6"/>
      <c r="X5929" s="8"/>
      <c r="Y5929" s="8"/>
      <c r="AH5929" s="328"/>
      <c r="AI5929" s="328"/>
      <c r="AJ5929" s="328"/>
    </row>
    <row r="5930" spans="1:36" s="12" customFormat="1" ht="10.5" customHeight="1">
      <c r="A5930" s="13"/>
      <c r="B5930" s="13"/>
      <c r="C5930" s="4"/>
      <c r="D5930" s="4"/>
      <c r="E5930" s="5"/>
      <c r="F5930" s="6"/>
      <c r="G5930" s="31"/>
      <c r="H5930" s="6"/>
      <c r="I5930" s="9"/>
      <c r="J5930" s="24"/>
      <c r="K5930" s="9"/>
      <c r="L5930" s="25"/>
      <c r="M5930" s="25"/>
      <c r="N5930" s="8"/>
      <c r="O5930" s="11"/>
      <c r="P5930" s="11"/>
      <c r="Q5930" s="8"/>
      <c r="R5930" s="6"/>
      <c r="S5930" s="3"/>
      <c r="T5930" s="3"/>
      <c r="U5930" s="7"/>
      <c r="V5930" s="436"/>
      <c r="W5930" s="6"/>
      <c r="X5930" s="8"/>
      <c r="Y5930" s="8"/>
      <c r="AH5930" s="328"/>
      <c r="AI5930" s="328"/>
      <c r="AJ5930" s="328"/>
    </row>
    <row r="5931" spans="1:36" s="12" customFormat="1" ht="10.5" customHeight="1">
      <c r="A5931" s="13"/>
      <c r="B5931" s="13"/>
      <c r="C5931" s="4"/>
      <c r="D5931" s="4"/>
      <c r="E5931" s="5"/>
      <c r="F5931" s="6"/>
      <c r="G5931" s="31"/>
      <c r="H5931" s="6"/>
      <c r="I5931" s="9"/>
      <c r="J5931" s="24"/>
      <c r="K5931" s="9"/>
      <c r="L5931" s="25"/>
      <c r="M5931" s="25"/>
      <c r="N5931" s="8"/>
      <c r="O5931" s="11"/>
      <c r="P5931" s="11"/>
      <c r="Q5931" s="8"/>
      <c r="R5931" s="6"/>
      <c r="S5931" s="3"/>
      <c r="T5931" s="3"/>
      <c r="U5931" s="7"/>
      <c r="V5931" s="436"/>
      <c r="W5931" s="6"/>
      <c r="X5931" s="8"/>
      <c r="Y5931" s="8"/>
      <c r="AH5931" s="328"/>
      <c r="AI5931" s="328"/>
      <c r="AJ5931" s="328"/>
    </row>
    <row r="5932" spans="1:36" s="12" customFormat="1" ht="10.5" customHeight="1">
      <c r="A5932" s="13"/>
      <c r="B5932" s="13"/>
      <c r="C5932" s="4"/>
      <c r="D5932" s="4"/>
      <c r="E5932" s="5"/>
      <c r="F5932" s="6"/>
      <c r="G5932" s="31"/>
      <c r="H5932" s="6"/>
      <c r="I5932" s="9"/>
      <c r="J5932" s="24"/>
      <c r="K5932" s="9"/>
      <c r="L5932" s="25"/>
      <c r="M5932" s="25"/>
      <c r="N5932" s="8"/>
      <c r="O5932" s="11"/>
      <c r="P5932" s="11"/>
      <c r="Q5932" s="8"/>
      <c r="R5932" s="6"/>
      <c r="S5932" s="3"/>
      <c r="T5932" s="3"/>
      <c r="U5932" s="7"/>
      <c r="V5932" s="436"/>
      <c r="W5932" s="6"/>
      <c r="X5932" s="8"/>
      <c r="Y5932" s="8"/>
      <c r="AH5932" s="328"/>
      <c r="AI5932" s="328"/>
      <c r="AJ5932" s="328"/>
    </row>
    <row r="5933" spans="1:36" s="12" customFormat="1" ht="10.5" customHeight="1">
      <c r="A5933" s="13"/>
      <c r="B5933" s="13"/>
      <c r="C5933" s="4"/>
      <c r="D5933" s="4"/>
      <c r="E5933" s="5"/>
      <c r="F5933" s="6"/>
      <c r="G5933" s="31"/>
      <c r="H5933" s="6"/>
      <c r="I5933" s="9"/>
      <c r="J5933" s="24"/>
      <c r="K5933" s="9"/>
      <c r="L5933" s="25"/>
      <c r="M5933" s="25"/>
      <c r="N5933" s="8"/>
      <c r="O5933" s="11"/>
      <c r="P5933" s="11"/>
      <c r="Q5933" s="8"/>
      <c r="R5933" s="6"/>
      <c r="S5933" s="3"/>
      <c r="T5933" s="3"/>
      <c r="U5933" s="7"/>
      <c r="V5933" s="436"/>
      <c r="W5933" s="6"/>
      <c r="X5933" s="8"/>
      <c r="Y5933" s="8"/>
      <c r="AH5933" s="328"/>
      <c r="AI5933" s="328"/>
      <c r="AJ5933" s="328"/>
    </row>
    <row r="5934" spans="1:36" s="13" customFormat="1" ht="10.5" customHeight="1">
      <c r="C5934" s="4"/>
      <c r="D5934" s="4"/>
      <c r="E5934" s="5"/>
      <c r="F5934" s="6"/>
      <c r="G5934" s="31"/>
      <c r="H5934" s="6"/>
      <c r="I5934" s="9"/>
      <c r="J5934" s="24"/>
      <c r="K5934" s="9"/>
      <c r="L5934" s="25"/>
      <c r="M5934" s="25"/>
      <c r="N5934" s="8"/>
      <c r="O5934" s="11"/>
      <c r="P5934" s="11"/>
      <c r="Q5934" s="8"/>
      <c r="R5934" s="6"/>
      <c r="S5934" s="3"/>
      <c r="T5934" s="3"/>
      <c r="U5934" s="7"/>
      <c r="V5934" s="436"/>
      <c r="W5934" s="6"/>
      <c r="X5934" s="8"/>
      <c r="Y5934" s="8"/>
      <c r="AH5934" s="325"/>
      <c r="AI5934" s="325"/>
      <c r="AJ5934" s="325"/>
    </row>
    <row r="5935" spans="1:36" s="13" customFormat="1" ht="12" customHeight="1">
      <c r="C5935" s="4"/>
      <c r="D5935" s="4"/>
      <c r="E5935" s="5"/>
      <c r="F5935" s="6"/>
      <c r="G5935" s="31"/>
      <c r="H5935" s="6"/>
      <c r="I5935" s="9"/>
      <c r="J5935" s="24"/>
      <c r="K5935" s="9"/>
      <c r="L5935" s="25"/>
      <c r="M5935" s="25"/>
      <c r="N5935" s="8"/>
      <c r="O5935" s="11"/>
      <c r="P5935" s="11"/>
      <c r="Q5935" s="8"/>
      <c r="R5935" s="6"/>
      <c r="S5935" s="3"/>
      <c r="T5935" s="3"/>
      <c r="U5935" s="7"/>
      <c r="V5935" s="436"/>
      <c r="W5935" s="6"/>
      <c r="X5935" s="8"/>
      <c r="Y5935" s="8"/>
      <c r="AH5935" s="325"/>
      <c r="AI5935" s="325"/>
      <c r="AJ5935" s="325"/>
    </row>
    <row r="5936" spans="1:36" s="13" customFormat="1" ht="12" customHeight="1">
      <c r="C5936" s="4"/>
      <c r="D5936" s="4"/>
      <c r="E5936" s="5"/>
      <c r="F5936" s="6"/>
      <c r="G5936" s="31"/>
      <c r="H5936" s="6"/>
      <c r="I5936" s="9"/>
      <c r="J5936" s="24"/>
      <c r="K5936" s="9"/>
      <c r="L5936" s="25"/>
      <c r="M5936" s="25"/>
      <c r="N5936" s="8"/>
      <c r="O5936" s="11"/>
      <c r="P5936" s="11"/>
      <c r="Q5936" s="8"/>
      <c r="R5936" s="6"/>
      <c r="S5936" s="3"/>
      <c r="T5936" s="3"/>
      <c r="U5936" s="7"/>
      <c r="V5936" s="436"/>
      <c r="W5936" s="6"/>
      <c r="X5936" s="8"/>
      <c r="Y5936" s="8"/>
      <c r="AH5936" s="325"/>
      <c r="AI5936" s="325"/>
      <c r="AJ5936" s="325"/>
    </row>
    <row r="5937" spans="3:36" s="13" customFormat="1" ht="12" customHeight="1">
      <c r="C5937" s="4"/>
      <c r="D5937" s="4"/>
      <c r="E5937" s="5"/>
      <c r="F5937" s="6"/>
      <c r="G5937" s="31"/>
      <c r="H5937" s="6"/>
      <c r="I5937" s="9"/>
      <c r="J5937" s="24"/>
      <c r="K5937" s="9"/>
      <c r="L5937" s="25"/>
      <c r="M5937" s="25"/>
      <c r="N5937" s="8"/>
      <c r="O5937" s="11"/>
      <c r="P5937" s="11"/>
      <c r="Q5937" s="8"/>
      <c r="R5937" s="6"/>
      <c r="S5937" s="3"/>
      <c r="T5937" s="3"/>
      <c r="U5937" s="7"/>
      <c r="V5937" s="436"/>
      <c r="W5937" s="6"/>
      <c r="X5937" s="8"/>
      <c r="Y5937" s="8"/>
      <c r="AH5937" s="325"/>
      <c r="AI5937" s="325"/>
      <c r="AJ5937" s="325"/>
    </row>
    <row r="5938" spans="3:36" s="13" customFormat="1" ht="12" customHeight="1">
      <c r="C5938" s="4"/>
      <c r="D5938" s="4"/>
      <c r="E5938" s="5"/>
      <c r="F5938" s="6"/>
      <c r="G5938" s="31"/>
      <c r="H5938" s="6"/>
      <c r="I5938" s="9"/>
      <c r="J5938" s="24"/>
      <c r="K5938" s="9"/>
      <c r="L5938" s="25"/>
      <c r="M5938" s="25"/>
      <c r="N5938" s="8"/>
      <c r="O5938" s="11"/>
      <c r="P5938" s="11"/>
      <c r="Q5938" s="8"/>
      <c r="R5938" s="6"/>
      <c r="S5938" s="3"/>
      <c r="T5938" s="3"/>
      <c r="U5938" s="7"/>
      <c r="V5938" s="436"/>
      <c r="W5938" s="6"/>
      <c r="X5938" s="8"/>
      <c r="Y5938" s="8"/>
      <c r="AH5938" s="325"/>
      <c r="AI5938" s="325"/>
      <c r="AJ5938" s="325"/>
    </row>
    <row r="5939" spans="3:36" s="13" customFormat="1" ht="12" customHeight="1">
      <c r="C5939" s="4"/>
      <c r="D5939" s="4"/>
      <c r="E5939" s="5"/>
      <c r="F5939" s="6"/>
      <c r="G5939" s="31"/>
      <c r="H5939" s="6"/>
      <c r="I5939" s="9"/>
      <c r="J5939" s="24"/>
      <c r="K5939" s="9"/>
      <c r="L5939" s="25"/>
      <c r="M5939" s="25"/>
      <c r="N5939" s="8"/>
      <c r="O5939" s="11"/>
      <c r="P5939" s="11"/>
      <c r="Q5939" s="8"/>
      <c r="R5939" s="6"/>
      <c r="S5939" s="3"/>
      <c r="T5939" s="3"/>
      <c r="U5939" s="7"/>
      <c r="V5939" s="436"/>
      <c r="W5939" s="6"/>
      <c r="X5939" s="8"/>
      <c r="Y5939" s="8"/>
      <c r="AH5939" s="325"/>
      <c r="AI5939" s="325"/>
      <c r="AJ5939" s="325"/>
    </row>
    <row r="5940" spans="3:36" s="13" customFormat="1" ht="12" customHeight="1">
      <c r="C5940" s="4"/>
      <c r="D5940" s="4"/>
      <c r="E5940" s="5"/>
      <c r="F5940" s="6"/>
      <c r="G5940" s="31"/>
      <c r="H5940" s="6"/>
      <c r="I5940" s="9"/>
      <c r="J5940" s="24"/>
      <c r="K5940" s="9"/>
      <c r="L5940" s="25"/>
      <c r="M5940" s="25"/>
      <c r="N5940" s="8"/>
      <c r="O5940" s="11"/>
      <c r="P5940" s="11"/>
      <c r="Q5940" s="8"/>
      <c r="R5940" s="6"/>
      <c r="S5940" s="3"/>
      <c r="T5940" s="3"/>
      <c r="U5940" s="7"/>
      <c r="V5940" s="436"/>
      <c r="W5940" s="6"/>
      <c r="X5940" s="8"/>
      <c r="Y5940" s="8"/>
      <c r="AH5940" s="325"/>
      <c r="AI5940" s="325"/>
      <c r="AJ5940" s="325"/>
    </row>
    <row r="5941" spans="3:36" s="13" customFormat="1" ht="12" customHeight="1">
      <c r="C5941" s="4"/>
      <c r="D5941" s="4"/>
      <c r="E5941" s="5"/>
      <c r="F5941" s="6"/>
      <c r="G5941" s="31"/>
      <c r="H5941" s="6"/>
      <c r="I5941" s="9"/>
      <c r="J5941" s="24"/>
      <c r="K5941" s="9"/>
      <c r="L5941" s="25"/>
      <c r="M5941" s="25"/>
      <c r="N5941" s="8"/>
      <c r="O5941" s="11"/>
      <c r="P5941" s="11"/>
      <c r="Q5941" s="8"/>
      <c r="R5941" s="6"/>
      <c r="S5941" s="3"/>
      <c r="T5941" s="3"/>
      <c r="U5941" s="7"/>
      <c r="V5941" s="436"/>
      <c r="W5941" s="6"/>
      <c r="X5941" s="8"/>
      <c r="Y5941" s="8"/>
      <c r="AH5941" s="325"/>
      <c r="AI5941" s="325"/>
      <c r="AJ5941" s="325"/>
    </row>
    <row r="5942" spans="3:36" s="13" customFormat="1" ht="12" customHeight="1">
      <c r="C5942" s="4"/>
      <c r="D5942" s="4"/>
      <c r="E5942" s="5"/>
      <c r="F5942" s="6"/>
      <c r="G5942" s="31"/>
      <c r="H5942" s="6"/>
      <c r="I5942" s="9"/>
      <c r="J5942" s="24"/>
      <c r="K5942" s="9"/>
      <c r="L5942" s="25"/>
      <c r="M5942" s="7"/>
      <c r="N5942" s="8"/>
      <c r="O5942" s="11"/>
      <c r="P5942" s="11"/>
      <c r="Q5942" s="8"/>
      <c r="R5942" s="6"/>
      <c r="S5942" s="3"/>
      <c r="T5942" s="3"/>
      <c r="U5942" s="7"/>
      <c r="V5942" s="436"/>
      <c r="W5942" s="6"/>
      <c r="X5942" s="8"/>
      <c r="Y5942" s="8"/>
      <c r="AH5942" s="325"/>
      <c r="AI5942" s="325"/>
      <c r="AJ5942" s="325"/>
    </row>
    <row r="5943" spans="3:36" s="13" customFormat="1" ht="12" customHeight="1">
      <c r="C5943" s="4"/>
      <c r="D5943" s="4"/>
      <c r="E5943" s="5"/>
      <c r="F5943" s="6"/>
      <c r="G5943" s="31"/>
      <c r="H5943" s="6"/>
      <c r="I5943" s="9"/>
      <c r="J5943" s="24"/>
      <c r="K5943" s="9"/>
      <c r="L5943" s="25"/>
      <c r="M5943" s="7"/>
      <c r="N5943" s="8"/>
      <c r="O5943" s="11"/>
      <c r="P5943" s="11"/>
      <c r="Q5943" s="8"/>
      <c r="R5943" s="6"/>
      <c r="S5943" s="3"/>
      <c r="T5943" s="3"/>
      <c r="U5943" s="7"/>
      <c r="V5943" s="436"/>
      <c r="W5943" s="6"/>
      <c r="X5943" s="8"/>
      <c r="Y5943" s="8"/>
      <c r="AH5943" s="325"/>
      <c r="AI5943" s="325"/>
      <c r="AJ5943" s="325"/>
    </row>
    <row r="5944" spans="3:36" s="13" customFormat="1" ht="12" customHeight="1">
      <c r="C5944" s="4"/>
      <c r="D5944" s="4"/>
      <c r="E5944" s="5"/>
      <c r="F5944" s="6"/>
      <c r="G5944" s="31"/>
      <c r="H5944" s="6"/>
      <c r="I5944" s="9"/>
      <c r="J5944" s="24"/>
      <c r="K5944" s="9"/>
      <c r="L5944" s="25"/>
      <c r="M5944" s="7"/>
      <c r="N5944" s="8"/>
      <c r="O5944" s="11"/>
      <c r="P5944" s="11"/>
      <c r="Q5944" s="8"/>
      <c r="R5944" s="6"/>
      <c r="S5944" s="3"/>
      <c r="T5944" s="3"/>
      <c r="U5944" s="7"/>
      <c r="V5944" s="436"/>
      <c r="W5944" s="6"/>
      <c r="X5944" s="8"/>
      <c r="Y5944" s="8"/>
      <c r="AH5944" s="325"/>
      <c r="AI5944" s="325"/>
      <c r="AJ5944" s="325"/>
    </row>
    <row r="5945" spans="3:36" s="13" customFormat="1" ht="12" customHeight="1">
      <c r="C5945" s="4"/>
      <c r="D5945" s="4"/>
      <c r="E5945" s="5"/>
      <c r="F5945" s="6"/>
      <c r="G5945" s="31"/>
      <c r="H5945" s="6"/>
      <c r="I5945" s="9"/>
      <c r="J5945" s="24"/>
      <c r="K5945" s="9"/>
      <c r="L5945" s="25"/>
      <c r="M5945" s="7"/>
      <c r="N5945" s="8"/>
      <c r="O5945" s="11"/>
      <c r="P5945" s="11"/>
      <c r="Q5945" s="8"/>
      <c r="R5945" s="6"/>
      <c r="S5945" s="3"/>
      <c r="T5945" s="3"/>
      <c r="U5945" s="7"/>
      <c r="V5945" s="436"/>
      <c r="W5945" s="6"/>
      <c r="X5945" s="8"/>
      <c r="Y5945" s="8"/>
      <c r="AH5945" s="325"/>
      <c r="AI5945" s="325"/>
      <c r="AJ5945" s="325"/>
    </row>
    <row r="5946" spans="3:36" s="13" customFormat="1" ht="12" customHeight="1">
      <c r="C5946" s="4"/>
      <c r="D5946" s="4"/>
      <c r="E5946" s="5"/>
      <c r="F5946" s="6"/>
      <c r="G5946" s="31"/>
      <c r="H5946" s="6"/>
      <c r="I5946" s="9"/>
      <c r="J5946" s="24"/>
      <c r="K5946" s="9"/>
      <c r="L5946" s="25"/>
      <c r="M5946" s="7"/>
      <c r="N5946" s="8"/>
      <c r="O5946" s="11"/>
      <c r="P5946" s="11"/>
      <c r="Q5946" s="8"/>
      <c r="R5946" s="6"/>
      <c r="S5946" s="3"/>
      <c r="T5946" s="3"/>
      <c r="U5946" s="7"/>
      <c r="V5946" s="436"/>
      <c r="W5946" s="6"/>
      <c r="X5946" s="8"/>
      <c r="Y5946" s="8"/>
      <c r="AH5946" s="325"/>
      <c r="AI5946" s="325"/>
      <c r="AJ5946" s="325"/>
    </row>
    <row r="5947" spans="3:36" s="13" customFormat="1" ht="12" customHeight="1">
      <c r="C5947" s="4"/>
      <c r="D5947" s="4"/>
      <c r="E5947" s="5"/>
      <c r="F5947" s="6"/>
      <c r="G5947" s="31"/>
      <c r="H5947" s="6"/>
      <c r="I5947" s="9"/>
      <c r="J5947" s="24"/>
      <c r="K5947" s="9"/>
      <c r="L5947" s="25"/>
      <c r="M5947" s="7"/>
      <c r="N5947" s="8"/>
      <c r="O5947" s="11"/>
      <c r="P5947" s="11"/>
      <c r="Q5947" s="8"/>
      <c r="R5947" s="6"/>
      <c r="S5947" s="3"/>
      <c r="T5947" s="3"/>
      <c r="U5947" s="7"/>
      <c r="V5947" s="436"/>
      <c r="W5947" s="6"/>
      <c r="X5947" s="8"/>
      <c r="Y5947" s="8"/>
      <c r="AH5947" s="325"/>
      <c r="AI5947" s="325"/>
      <c r="AJ5947" s="325"/>
    </row>
    <row r="5948" spans="3:36" s="13" customFormat="1" ht="12" customHeight="1">
      <c r="C5948" s="4"/>
      <c r="D5948" s="4"/>
      <c r="E5948" s="5"/>
      <c r="F5948" s="6"/>
      <c r="G5948" s="31"/>
      <c r="H5948" s="6"/>
      <c r="I5948" s="9"/>
      <c r="J5948" s="24"/>
      <c r="K5948" s="9"/>
      <c r="L5948" s="25"/>
      <c r="M5948" s="7"/>
      <c r="N5948" s="8"/>
      <c r="O5948" s="11"/>
      <c r="P5948" s="11"/>
      <c r="Q5948" s="8"/>
      <c r="R5948" s="6"/>
      <c r="S5948" s="3"/>
      <c r="T5948" s="3"/>
      <c r="U5948" s="7"/>
      <c r="V5948" s="436"/>
      <c r="W5948" s="6"/>
      <c r="X5948" s="8"/>
      <c r="Y5948" s="8"/>
      <c r="AH5948" s="325"/>
      <c r="AI5948" s="325"/>
      <c r="AJ5948" s="325"/>
    </row>
    <row r="5949" spans="3:36" s="13" customFormat="1" ht="12" customHeight="1">
      <c r="C5949" s="4"/>
      <c r="D5949" s="4"/>
      <c r="E5949" s="5"/>
      <c r="F5949" s="6"/>
      <c r="G5949" s="31"/>
      <c r="H5949" s="6"/>
      <c r="I5949" s="9"/>
      <c r="J5949" s="24"/>
      <c r="K5949" s="9"/>
      <c r="L5949" s="25"/>
      <c r="M5949" s="7"/>
      <c r="N5949" s="8"/>
      <c r="O5949" s="11"/>
      <c r="P5949" s="11"/>
      <c r="Q5949" s="8"/>
      <c r="R5949" s="6"/>
      <c r="S5949" s="3"/>
      <c r="T5949" s="3"/>
      <c r="U5949" s="7"/>
      <c r="V5949" s="436"/>
      <c r="W5949" s="6"/>
      <c r="X5949" s="8"/>
      <c r="Y5949" s="8"/>
      <c r="AH5949" s="325"/>
      <c r="AI5949" s="325"/>
      <c r="AJ5949" s="325"/>
    </row>
    <row r="5950" spans="3:36" s="13" customFormat="1" ht="12" customHeight="1">
      <c r="C5950" s="4"/>
      <c r="D5950" s="4"/>
      <c r="E5950" s="5"/>
      <c r="F5950" s="6"/>
      <c r="G5950" s="31"/>
      <c r="H5950" s="6"/>
      <c r="I5950" s="9"/>
      <c r="J5950" s="24"/>
      <c r="K5950" s="9"/>
      <c r="L5950" s="25"/>
      <c r="M5950" s="7"/>
      <c r="N5950" s="8"/>
      <c r="O5950" s="11"/>
      <c r="P5950" s="11"/>
      <c r="Q5950" s="8"/>
      <c r="R5950" s="6"/>
      <c r="S5950" s="3"/>
      <c r="T5950" s="3"/>
      <c r="U5950" s="7"/>
      <c r="V5950" s="436"/>
      <c r="W5950" s="6"/>
      <c r="X5950" s="8"/>
      <c r="Y5950" s="8"/>
      <c r="AH5950" s="325"/>
      <c r="AI5950" s="325"/>
      <c r="AJ5950" s="325"/>
    </row>
    <row r="5951" spans="3:36" s="13" customFormat="1" ht="12" customHeight="1">
      <c r="C5951" s="4"/>
      <c r="D5951" s="4"/>
      <c r="E5951" s="5"/>
      <c r="F5951" s="6"/>
      <c r="G5951" s="31"/>
      <c r="H5951" s="6"/>
      <c r="I5951" s="9"/>
      <c r="J5951" s="24"/>
      <c r="K5951" s="9"/>
      <c r="L5951" s="25"/>
      <c r="M5951" s="7"/>
      <c r="N5951" s="8"/>
      <c r="O5951" s="11"/>
      <c r="P5951" s="11"/>
      <c r="Q5951" s="8"/>
      <c r="R5951" s="6"/>
      <c r="S5951" s="3"/>
      <c r="T5951" s="3"/>
      <c r="U5951" s="7"/>
      <c r="V5951" s="436"/>
      <c r="W5951" s="6"/>
      <c r="X5951" s="8"/>
      <c r="Y5951" s="8"/>
      <c r="AH5951" s="325"/>
      <c r="AI5951" s="325"/>
      <c r="AJ5951" s="325"/>
    </row>
    <row r="5952" spans="3:36" s="13" customFormat="1" ht="12" customHeight="1">
      <c r="C5952" s="4"/>
      <c r="D5952" s="4"/>
      <c r="E5952" s="5"/>
      <c r="F5952" s="6"/>
      <c r="G5952" s="31"/>
      <c r="H5952" s="6"/>
      <c r="I5952" s="9"/>
      <c r="J5952" s="24"/>
      <c r="K5952" s="9"/>
      <c r="L5952" s="25"/>
      <c r="M5952" s="7"/>
      <c r="N5952" s="8"/>
      <c r="O5952" s="11"/>
      <c r="P5952" s="11"/>
      <c r="Q5952" s="8"/>
      <c r="R5952" s="6"/>
      <c r="S5952" s="3"/>
      <c r="T5952" s="3"/>
      <c r="U5952" s="7"/>
      <c r="V5952" s="436"/>
      <c r="W5952" s="6"/>
      <c r="X5952" s="8"/>
      <c r="Y5952" s="8"/>
      <c r="AH5952" s="325"/>
      <c r="AI5952" s="325"/>
      <c r="AJ5952" s="325"/>
    </row>
    <row r="5953" spans="3:36" s="13" customFormat="1" ht="12" customHeight="1">
      <c r="C5953" s="4"/>
      <c r="D5953" s="4"/>
      <c r="E5953" s="5"/>
      <c r="F5953" s="6"/>
      <c r="G5953" s="31"/>
      <c r="H5953" s="6"/>
      <c r="I5953" s="9"/>
      <c r="J5953" s="24"/>
      <c r="K5953" s="9"/>
      <c r="L5953" s="25"/>
      <c r="M5953" s="7"/>
      <c r="N5953" s="8"/>
      <c r="O5953" s="11"/>
      <c r="P5953" s="11"/>
      <c r="Q5953" s="8"/>
      <c r="R5953" s="6"/>
      <c r="S5953" s="3"/>
      <c r="T5953" s="3"/>
      <c r="U5953" s="7"/>
      <c r="V5953" s="436"/>
      <c r="W5953" s="6"/>
      <c r="X5953" s="8"/>
      <c r="Y5953" s="8"/>
      <c r="AH5953" s="325"/>
      <c r="AI5953" s="325"/>
      <c r="AJ5953" s="325"/>
    </row>
    <row r="5954" spans="3:36" s="13" customFormat="1" ht="12" customHeight="1">
      <c r="C5954" s="4"/>
      <c r="D5954" s="4"/>
      <c r="E5954" s="5"/>
      <c r="F5954" s="6"/>
      <c r="G5954" s="31"/>
      <c r="H5954" s="6"/>
      <c r="I5954" s="9"/>
      <c r="J5954" s="24"/>
      <c r="K5954" s="9"/>
      <c r="L5954" s="25"/>
      <c r="M5954" s="7"/>
      <c r="N5954" s="8"/>
      <c r="O5954" s="11"/>
      <c r="P5954" s="11"/>
      <c r="Q5954" s="8"/>
      <c r="R5954" s="6"/>
      <c r="S5954" s="3"/>
      <c r="T5954" s="3"/>
      <c r="U5954" s="7"/>
      <c r="V5954" s="436"/>
      <c r="W5954" s="6"/>
      <c r="X5954" s="8"/>
      <c r="Y5954" s="8"/>
      <c r="AH5954" s="325"/>
      <c r="AI5954" s="325"/>
      <c r="AJ5954" s="325"/>
    </row>
    <row r="5955" spans="3:36" s="13" customFormat="1" ht="12" customHeight="1">
      <c r="C5955" s="4"/>
      <c r="D5955" s="4"/>
      <c r="E5955" s="5"/>
      <c r="F5955" s="6"/>
      <c r="G5955" s="31"/>
      <c r="H5955" s="6"/>
      <c r="I5955" s="9"/>
      <c r="J5955" s="24"/>
      <c r="K5955" s="9"/>
      <c r="L5955" s="25"/>
      <c r="M5955" s="7"/>
      <c r="N5955" s="8"/>
      <c r="O5955" s="11"/>
      <c r="P5955" s="11"/>
      <c r="Q5955" s="8"/>
      <c r="R5955" s="6"/>
      <c r="S5955" s="3"/>
      <c r="T5955" s="3"/>
      <c r="U5955" s="7"/>
      <c r="V5955" s="436"/>
      <c r="W5955" s="6"/>
      <c r="X5955" s="8"/>
      <c r="Y5955" s="8"/>
      <c r="AH5955" s="325"/>
      <c r="AI5955" s="325"/>
      <c r="AJ5955" s="325"/>
    </row>
    <row r="5956" spans="3:36" s="13" customFormat="1" ht="12" customHeight="1">
      <c r="C5956" s="4"/>
      <c r="D5956" s="4"/>
      <c r="E5956" s="5"/>
      <c r="F5956" s="6"/>
      <c r="G5956" s="31"/>
      <c r="H5956" s="6"/>
      <c r="I5956" s="9"/>
      <c r="J5956" s="24"/>
      <c r="K5956" s="9"/>
      <c r="L5956" s="25"/>
      <c r="M5956" s="7"/>
      <c r="N5956" s="8"/>
      <c r="O5956" s="11"/>
      <c r="P5956" s="11"/>
      <c r="Q5956" s="8"/>
      <c r="R5956" s="6"/>
      <c r="S5956" s="3"/>
      <c r="T5956" s="3"/>
      <c r="U5956" s="7"/>
      <c r="V5956" s="436"/>
      <c r="W5956" s="6"/>
      <c r="X5956" s="8"/>
      <c r="Y5956" s="8"/>
      <c r="AH5956" s="325"/>
      <c r="AI5956" s="325"/>
      <c r="AJ5956" s="325"/>
    </row>
    <row r="5957" spans="3:36" s="13" customFormat="1" ht="12" customHeight="1">
      <c r="C5957" s="4"/>
      <c r="D5957" s="4"/>
      <c r="E5957" s="5"/>
      <c r="F5957" s="6"/>
      <c r="G5957" s="31"/>
      <c r="H5957" s="6"/>
      <c r="I5957" s="9"/>
      <c r="J5957" s="24"/>
      <c r="K5957" s="9"/>
      <c r="L5957" s="25"/>
      <c r="M5957" s="7"/>
      <c r="N5957" s="8"/>
      <c r="O5957" s="11"/>
      <c r="P5957" s="11"/>
      <c r="Q5957" s="8"/>
      <c r="R5957" s="6"/>
      <c r="S5957" s="3"/>
      <c r="T5957" s="3"/>
      <c r="U5957" s="7"/>
      <c r="V5957" s="436"/>
      <c r="W5957" s="6"/>
      <c r="X5957" s="8"/>
      <c r="Y5957" s="8"/>
      <c r="AH5957" s="325"/>
      <c r="AI5957" s="325"/>
      <c r="AJ5957" s="325"/>
    </row>
    <row r="5958" spans="3:36" s="13" customFormat="1" ht="12" customHeight="1">
      <c r="C5958" s="4"/>
      <c r="D5958" s="4"/>
      <c r="E5958" s="5"/>
      <c r="F5958" s="6"/>
      <c r="G5958" s="31"/>
      <c r="H5958" s="6"/>
      <c r="I5958" s="9"/>
      <c r="J5958" s="24"/>
      <c r="K5958" s="9"/>
      <c r="L5958" s="25"/>
      <c r="M5958" s="7"/>
      <c r="N5958" s="8"/>
      <c r="O5958" s="11"/>
      <c r="P5958" s="11"/>
      <c r="Q5958" s="8"/>
      <c r="R5958" s="6"/>
      <c r="S5958" s="3"/>
      <c r="T5958" s="3"/>
      <c r="U5958" s="7"/>
      <c r="V5958" s="436"/>
      <c r="W5958" s="6"/>
      <c r="X5958" s="8"/>
      <c r="Y5958" s="8"/>
      <c r="AH5958" s="325"/>
      <c r="AI5958" s="325"/>
      <c r="AJ5958" s="325"/>
    </row>
    <row r="5959" spans="3:36" s="13" customFormat="1" ht="12" customHeight="1">
      <c r="C5959" s="4"/>
      <c r="D5959" s="4"/>
      <c r="E5959" s="5"/>
      <c r="F5959" s="6"/>
      <c r="G5959" s="31"/>
      <c r="H5959" s="6"/>
      <c r="I5959" s="9"/>
      <c r="J5959" s="24"/>
      <c r="K5959" s="9"/>
      <c r="L5959" s="25"/>
      <c r="M5959" s="7"/>
      <c r="N5959" s="8"/>
      <c r="O5959" s="11"/>
      <c r="P5959" s="11"/>
      <c r="Q5959" s="8"/>
      <c r="R5959" s="6"/>
      <c r="S5959" s="3"/>
      <c r="T5959" s="3"/>
      <c r="U5959" s="7"/>
      <c r="V5959" s="436"/>
      <c r="W5959" s="6"/>
      <c r="X5959" s="8"/>
      <c r="Y5959" s="8"/>
      <c r="AH5959" s="325"/>
      <c r="AI5959" s="325"/>
      <c r="AJ5959" s="325"/>
    </row>
    <row r="5960" spans="3:36" s="13" customFormat="1" ht="12" customHeight="1">
      <c r="C5960" s="4"/>
      <c r="D5960" s="4"/>
      <c r="E5960" s="5"/>
      <c r="F5960" s="6"/>
      <c r="G5960" s="31"/>
      <c r="H5960" s="6"/>
      <c r="I5960" s="9"/>
      <c r="J5960" s="24"/>
      <c r="K5960" s="9"/>
      <c r="L5960" s="25"/>
      <c r="M5960" s="7"/>
      <c r="N5960" s="8"/>
      <c r="O5960" s="11"/>
      <c r="P5960" s="11"/>
      <c r="Q5960" s="8"/>
      <c r="R5960" s="6"/>
      <c r="S5960" s="3"/>
      <c r="T5960" s="3"/>
      <c r="U5960" s="7"/>
      <c r="V5960" s="436"/>
      <c r="W5960" s="6"/>
      <c r="X5960" s="8"/>
      <c r="Y5960" s="8"/>
      <c r="AH5960" s="325"/>
      <c r="AI5960" s="325"/>
      <c r="AJ5960" s="325"/>
    </row>
    <row r="5961" spans="3:36" s="13" customFormat="1" ht="12" customHeight="1">
      <c r="C5961" s="4"/>
      <c r="D5961" s="4"/>
      <c r="E5961" s="5"/>
      <c r="F5961" s="6"/>
      <c r="G5961" s="31"/>
      <c r="H5961" s="6"/>
      <c r="I5961" s="9"/>
      <c r="J5961" s="24"/>
      <c r="K5961" s="9"/>
      <c r="L5961" s="25"/>
      <c r="M5961" s="7"/>
      <c r="N5961" s="8"/>
      <c r="O5961" s="11"/>
      <c r="P5961" s="11"/>
      <c r="Q5961" s="8"/>
      <c r="R5961" s="6"/>
      <c r="S5961" s="3"/>
      <c r="T5961" s="3"/>
      <c r="U5961" s="7"/>
      <c r="V5961" s="436"/>
      <c r="W5961" s="6"/>
      <c r="X5961" s="8"/>
      <c r="Y5961" s="8"/>
      <c r="AH5961" s="325"/>
      <c r="AI5961" s="325"/>
      <c r="AJ5961" s="325"/>
    </row>
    <row r="5962" spans="3:36" s="13" customFormat="1" ht="12" customHeight="1">
      <c r="C5962" s="4"/>
      <c r="D5962" s="4"/>
      <c r="E5962" s="5"/>
      <c r="F5962" s="6"/>
      <c r="G5962" s="31"/>
      <c r="H5962" s="6"/>
      <c r="I5962" s="9"/>
      <c r="J5962" s="24"/>
      <c r="K5962" s="9"/>
      <c r="L5962" s="25"/>
      <c r="M5962" s="7"/>
      <c r="N5962" s="8"/>
      <c r="O5962" s="11"/>
      <c r="P5962" s="11"/>
      <c r="Q5962" s="8"/>
      <c r="R5962" s="6"/>
      <c r="S5962" s="3"/>
      <c r="T5962" s="3"/>
      <c r="U5962" s="7"/>
      <c r="V5962" s="436"/>
      <c r="W5962" s="6"/>
      <c r="X5962" s="8"/>
      <c r="Y5962" s="8"/>
      <c r="AH5962" s="325"/>
      <c r="AI5962" s="325"/>
      <c r="AJ5962" s="325"/>
    </row>
    <row r="5963" spans="3:36" s="13" customFormat="1" ht="12" customHeight="1">
      <c r="C5963" s="4"/>
      <c r="D5963" s="4"/>
      <c r="E5963" s="5"/>
      <c r="F5963" s="6"/>
      <c r="G5963" s="31"/>
      <c r="H5963" s="6"/>
      <c r="I5963" s="9"/>
      <c r="J5963" s="24"/>
      <c r="K5963" s="9"/>
      <c r="L5963" s="25"/>
      <c r="M5963" s="7"/>
      <c r="N5963" s="8"/>
      <c r="O5963" s="11"/>
      <c r="P5963" s="11"/>
      <c r="Q5963" s="8"/>
      <c r="R5963" s="6"/>
      <c r="S5963" s="3"/>
      <c r="T5963" s="3"/>
      <c r="U5963" s="7"/>
      <c r="V5963" s="436"/>
      <c r="W5963" s="6"/>
      <c r="X5963" s="8"/>
      <c r="Y5963" s="8"/>
      <c r="AH5963" s="325"/>
      <c r="AI5963" s="325"/>
      <c r="AJ5963" s="325"/>
    </row>
    <row r="5964" spans="3:36" s="13" customFormat="1" ht="12" customHeight="1">
      <c r="C5964" s="4"/>
      <c r="D5964" s="4"/>
      <c r="E5964" s="5"/>
      <c r="F5964" s="6"/>
      <c r="G5964" s="31"/>
      <c r="H5964" s="6"/>
      <c r="I5964" s="9"/>
      <c r="J5964" s="24"/>
      <c r="K5964" s="9"/>
      <c r="L5964" s="25"/>
      <c r="M5964" s="7"/>
      <c r="N5964" s="8"/>
      <c r="O5964" s="11"/>
      <c r="P5964" s="11"/>
      <c r="Q5964" s="8"/>
      <c r="R5964" s="6"/>
      <c r="S5964" s="3"/>
      <c r="T5964" s="3"/>
      <c r="U5964" s="7"/>
      <c r="V5964" s="436"/>
      <c r="W5964" s="6"/>
      <c r="X5964" s="8"/>
      <c r="Y5964" s="8"/>
      <c r="AH5964" s="325"/>
      <c r="AI5964" s="325"/>
      <c r="AJ5964" s="325"/>
    </row>
    <row r="5965" spans="3:36" s="13" customFormat="1" ht="12" customHeight="1">
      <c r="C5965" s="4"/>
      <c r="D5965" s="4"/>
      <c r="E5965" s="5"/>
      <c r="F5965" s="6"/>
      <c r="G5965" s="31"/>
      <c r="H5965" s="6"/>
      <c r="I5965" s="9"/>
      <c r="J5965" s="24"/>
      <c r="K5965" s="9"/>
      <c r="L5965" s="25"/>
      <c r="M5965" s="7"/>
      <c r="N5965" s="8"/>
      <c r="O5965" s="11"/>
      <c r="P5965" s="11"/>
      <c r="Q5965" s="8"/>
      <c r="R5965" s="6"/>
      <c r="S5965" s="3"/>
      <c r="T5965" s="3"/>
      <c r="U5965" s="7"/>
      <c r="V5965" s="436"/>
      <c r="W5965" s="6"/>
      <c r="X5965" s="8"/>
      <c r="Y5965" s="8"/>
      <c r="AH5965" s="325"/>
      <c r="AI5965" s="325"/>
      <c r="AJ5965" s="325"/>
    </row>
    <row r="5966" spans="3:36" s="13" customFormat="1" ht="12" customHeight="1">
      <c r="C5966" s="4"/>
      <c r="D5966" s="4"/>
      <c r="E5966" s="5"/>
      <c r="F5966" s="6"/>
      <c r="G5966" s="31"/>
      <c r="H5966" s="6"/>
      <c r="I5966" s="9"/>
      <c r="J5966" s="24"/>
      <c r="K5966" s="9"/>
      <c r="L5966" s="25"/>
      <c r="M5966" s="7"/>
      <c r="N5966" s="8"/>
      <c r="O5966" s="11"/>
      <c r="P5966" s="11"/>
      <c r="Q5966" s="8"/>
      <c r="R5966" s="6"/>
      <c r="S5966" s="3"/>
      <c r="T5966" s="3"/>
      <c r="U5966" s="7"/>
      <c r="V5966" s="436"/>
      <c r="W5966" s="6"/>
      <c r="X5966" s="8"/>
      <c r="Y5966" s="8"/>
      <c r="AH5966" s="325"/>
      <c r="AI5966" s="325"/>
      <c r="AJ5966" s="325"/>
    </row>
    <row r="5967" spans="3:36" s="13" customFormat="1" ht="12" customHeight="1">
      <c r="C5967" s="4"/>
      <c r="D5967" s="4"/>
      <c r="E5967" s="5"/>
      <c r="F5967" s="6"/>
      <c r="G5967" s="31"/>
      <c r="H5967" s="6"/>
      <c r="I5967" s="9"/>
      <c r="J5967" s="24"/>
      <c r="K5967" s="19"/>
      <c r="L5967" s="25"/>
      <c r="M5967" s="7"/>
      <c r="N5967" s="8"/>
      <c r="O5967" s="11"/>
      <c r="P5967" s="11"/>
      <c r="Q5967" s="8"/>
      <c r="R5967" s="6"/>
      <c r="S5967" s="3"/>
      <c r="T5967" s="3"/>
      <c r="U5967" s="7"/>
      <c r="V5967" s="436"/>
      <c r="W5967" s="6"/>
      <c r="X5967" s="8"/>
      <c r="Y5967" s="8"/>
      <c r="AH5967" s="325"/>
      <c r="AI5967" s="325"/>
      <c r="AJ5967" s="325"/>
    </row>
    <row r="5968" spans="3:36" s="13" customFormat="1" ht="12" customHeight="1">
      <c r="C5968" s="4"/>
      <c r="D5968" s="4"/>
      <c r="E5968" s="5"/>
      <c r="F5968" s="6"/>
      <c r="G5968" s="31"/>
      <c r="H5968" s="6"/>
      <c r="I5968" s="9"/>
      <c r="J5968" s="24"/>
      <c r="K5968" s="19"/>
      <c r="L5968" s="25"/>
      <c r="M5968" s="7"/>
      <c r="N5968" s="8"/>
      <c r="O5968" s="11"/>
      <c r="P5968" s="11"/>
      <c r="Q5968" s="8"/>
      <c r="R5968" s="6"/>
      <c r="S5968" s="3"/>
      <c r="T5968" s="3"/>
      <c r="U5968" s="7"/>
      <c r="V5968" s="436"/>
      <c r="W5968" s="6"/>
      <c r="X5968" s="8"/>
      <c r="Y5968" s="8"/>
      <c r="AH5968" s="325"/>
      <c r="AI5968" s="325"/>
      <c r="AJ5968" s="325"/>
    </row>
    <row r="5969" spans="3:36" s="13" customFormat="1" ht="12" customHeight="1">
      <c r="C5969" s="4"/>
      <c r="D5969" s="4"/>
      <c r="E5969" s="5"/>
      <c r="F5969" s="6"/>
      <c r="G5969" s="31"/>
      <c r="H5969" s="6"/>
      <c r="I5969" s="9"/>
      <c r="J5969" s="24"/>
      <c r="K5969" s="10"/>
      <c r="L5969" s="25"/>
      <c r="M5969" s="7"/>
      <c r="N5969" s="8"/>
      <c r="O5969" s="11"/>
      <c r="P5969" s="11"/>
      <c r="Q5969" s="8"/>
      <c r="R5969" s="6"/>
      <c r="S5969" s="3"/>
      <c r="T5969" s="3"/>
      <c r="U5969" s="7"/>
      <c r="V5969" s="436"/>
      <c r="W5969" s="6"/>
      <c r="X5969" s="8"/>
      <c r="Y5969" s="8"/>
      <c r="AH5969" s="325"/>
      <c r="AI5969" s="325"/>
      <c r="AJ5969" s="325"/>
    </row>
    <row r="5970" spans="3:36" s="13" customFormat="1" ht="12" customHeight="1">
      <c r="C5970" s="4"/>
      <c r="D5970" s="4"/>
      <c r="E5970" s="5"/>
      <c r="F5970" s="6"/>
      <c r="G5970" s="31"/>
      <c r="H5970" s="6"/>
      <c r="I5970" s="9"/>
      <c r="J5970" s="24"/>
      <c r="K5970" s="9"/>
      <c r="L5970" s="25"/>
      <c r="M5970" s="7"/>
      <c r="N5970" s="8"/>
      <c r="O5970" s="11"/>
      <c r="P5970" s="11"/>
      <c r="Q5970" s="8"/>
      <c r="R5970" s="6"/>
      <c r="S5970" s="3"/>
      <c r="T5970" s="3"/>
      <c r="U5970" s="7"/>
      <c r="V5970" s="436"/>
      <c r="W5970" s="6"/>
      <c r="X5970" s="8"/>
      <c r="Y5970" s="8"/>
      <c r="AH5970" s="325"/>
      <c r="AI5970" s="325"/>
      <c r="AJ5970" s="325"/>
    </row>
    <row r="5971" spans="3:36" s="13" customFormat="1" ht="12" customHeight="1">
      <c r="C5971" s="4"/>
      <c r="D5971" s="4"/>
      <c r="E5971" s="5"/>
      <c r="F5971" s="6"/>
      <c r="G5971" s="31"/>
      <c r="H5971" s="6"/>
      <c r="I5971" s="9"/>
      <c r="J5971" s="24"/>
      <c r="K5971" s="9"/>
      <c r="L5971" s="25"/>
      <c r="M5971" s="47"/>
      <c r="N5971" s="8"/>
      <c r="O5971" s="11"/>
      <c r="P5971" s="11"/>
      <c r="Q5971" s="8"/>
      <c r="R5971" s="6"/>
      <c r="S5971" s="3"/>
      <c r="T5971" s="3"/>
      <c r="U5971" s="7"/>
      <c r="V5971" s="436"/>
      <c r="W5971" s="6"/>
      <c r="X5971" s="8"/>
      <c r="Y5971" s="8"/>
      <c r="AH5971" s="325"/>
      <c r="AI5971" s="325"/>
      <c r="AJ5971" s="325"/>
    </row>
    <row r="5972" spans="3:36" s="13" customFormat="1" ht="12" customHeight="1">
      <c r="C5972" s="4"/>
      <c r="D5972" s="4"/>
      <c r="E5972" s="5"/>
      <c r="F5972" s="6"/>
      <c r="G5972" s="31"/>
      <c r="H5972" s="6"/>
      <c r="I5972" s="9"/>
      <c r="J5972" s="24"/>
      <c r="K5972" s="26"/>
      <c r="L5972" s="25"/>
      <c r="M5972" s="7"/>
      <c r="N5972" s="8"/>
      <c r="O5972" s="11"/>
      <c r="P5972" s="11"/>
      <c r="Q5972" s="8"/>
      <c r="R5972" s="6"/>
      <c r="S5972" s="3"/>
      <c r="T5972" s="3"/>
      <c r="U5972" s="7"/>
      <c r="V5972" s="436"/>
      <c r="W5972" s="6"/>
      <c r="X5972" s="8"/>
      <c r="Y5972" s="8"/>
      <c r="AH5972" s="325"/>
      <c r="AI5972" s="325"/>
      <c r="AJ5972" s="325"/>
    </row>
    <row r="5973" spans="3:36" s="13" customFormat="1" ht="12" customHeight="1">
      <c r="C5973" s="4"/>
      <c r="D5973" s="4"/>
      <c r="E5973" s="5"/>
      <c r="F5973" s="6"/>
      <c r="G5973" s="31"/>
      <c r="H5973" s="6"/>
      <c r="I5973" s="9"/>
      <c r="J5973" s="24"/>
      <c r="K5973" s="10"/>
      <c r="L5973" s="25"/>
      <c r="M5973" s="7"/>
      <c r="N5973" s="8"/>
      <c r="O5973" s="11"/>
      <c r="P5973" s="11"/>
      <c r="Q5973" s="8"/>
      <c r="R5973" s="6"/>
      <c r="S5973" s="3"/>
      <c r="T5973" s="3"/>
      <c r="U5973" s="7"/>
      <c r="V5973" s="436"/>
      <c r="W5973" s="6"/>
      <c r="X5973" s="8"/>
      <c r="Y5973" s="8"/>
      <c r="AH5973" s="325"/>
      <c r="AI5973" s="325"/>
      <c r="AJ5973" s="325"/>
    </row>
    <row r="5974" spans="3:36" s="13" customFormat="1" ht="12" customHeight="1">
      <c r="C5974" s="4"/>
      <c r="D5974" s="4"/>
      <c r="E5974" s="5"/>
      <c r="F5974" s="6"/>
      <c r="G5974" s="31"/>
      <c r="H5974" s="6"/>
      <c r="I5974" s="9"/>
      <c r="J5974" s="24"/>
      <c r="K5974" s="10"/>
      <c r="L5974" s="25"/>
      <c r="M5974" s="7"/>
      <c r="N5974" s="8"/>
      <c r="O5974" s="11"/>
      <c r="P5974" s="11"/>
      <c r="Q5974" s="8"/>
      <c r="R5974" s="6"/>
      <c r="S5974" s="3"/>
      <c r="T5974" s="3"/>
      <c r="U5974" s="7"/>
      <c r="V5974" s="436"/>
      <c r="W5974" s="6"/>
      <c r="X5974" s="8"/>
      <c r="Y5974" s="8"/>
      <c r="AH5974" s="325"/>
      <c r="AI5974" s="325"/>
      <c r="AJ5974" s="325"/>
    </row>
    <row r="5975" spans="3:36" s="13" customFormat="1" ht="12" customHeight="1">
      <c r="C5975" s="4"/>
      <c r="D5975" s="4"/>
      <c r="E5975" s="5"/>
      <c r="F5975" s="6"/>
      <c r="G5975" s="31"/>
      <c r="H5975" s="6"/>
      <c r="I5975" s="9"/>
      <c r="J5975" s="24"/>
      <c r="K5975" s="10"/>
      <c r="L5975" s="25"/>
      <c r="M5975" s="7"/>
      <c r="N5975" s="8"/>
      <c r="O5975" s="11"/>
      <c r="P5975" s="11"/>
      <c r="Q5975" s="8"/>
      <c r="R5975" s="6"/>
      <c r="S5975" s="3"/>
      <c r="T5975" s="3"/>
      <c r="U5975" s="7"/>
      <c r="V5975" s="436"/>
      <c r="W5975" s="6"/>
      <c r="X5975" s="8"/>
      <c r="Y5975" s="8"/>
      <c r="AH5975" s="325"/>
      <c r="AI5975" s="325"/>
      <c r="AJ5975" s="325"/>
    </row>
    <row r="5976" spans="3:36" s="13" customFormat="1" ht="12" customHeight="1">
      <c r="C5976" s="4"/>
      <c r="D5976" s="4"/>
      <c r="E5976" s="5"/>
      <c r="F5976" s="6"/>
      <c r="G5976" s="31"/>
      <c r="H5976" s="6"/>
      <c r="I5976" s="9"/>
      <c r="J5976" s="24"/>
      <c r="K5976" s="9"/>
      <c r="L5976" s="25"/>
      <c r="M5976" s="7"/>
      <c r="N5976" s="8"/>
      <c r="O5976" s="11"/>
      <c r="P5976" s="11"/>
      <c r="Q5976" s="8"/>
      <c r="R5976" s="6"/>
      <c r="S5976" s="3"/>
      <c r="T5976" s="3"/>
      <c r="U5976" s="7"/>
      <c r="V5976" s="436"/>
      <c r="W5976" s="6"/>
      <c r="X5976" s="8"/>
      <c r="Y5976" s="8"/>
      <c r="AH5976" s="325"/>
      <c r="AI5976" s="325"/>
      <c r="AJ5976" s="325"/>
    </row>
    <row r="5977" spans="3:36" s="13" customFormat="1" ht="12" customHeight="1">
      <c r="C5977" s="4"/>
      <c r="D5977" s="4"/>
      <c r="E5977" s="5"/>
      <c r="F5977" s="6"/>
      <c r="G5977" s="31"/>
      <c r="H5977" s="6"/>
      <c r="I5977" s="9"/>
      <c r="J5977" s="24"/>
      <c r="K5977" s="9"/>
      <c r="L5977" s="25"/>
      <c r="M5977" s="7"/>
      <c r="N5977" s="8"/>
      <c r="O5977" s="11"/>
      <c r="P5977" s="11"/>
      <c r="Q5977" s="8"/>
      <c r="R5977" s="6"/>
      <c r="S5977" s="3"/>
      <c r="T5977" s="3"/>
      <c r="U5977" s="7"/>
      <c r="V5977" s="436"/>
      <c r="W5977" s="6"/>
      <c r="X5977" s="8"/>
      <c r="Y5977" s="8"/>
      <c r="AH5977" s="325"/>
      <c r="AI5977" s="325"/>
      <c r="AJ5977" s="325"/>
    </row>
    <row r="5978" spans="3:36" s="13" customFormat="1" ht="12" customHeight="1">
      <c r="C5978" s="4"/>
      <c r="D5978" s="4"/>
      <c r="E5978" s="5"/>
      <c r="F5978" s="6"/>
      <c r="G5978" s="31"/>
      <c r="H5978" s="6"/>
      <c r="I5978" s="9"/>
      <c r="J5978" s="24"/>
      <c r="K5978" s="9"/>
      <c r="L5978" s="25"/>
      <c r="M5978" s="7"/>
      <c r="N5978" s="8"/>
      <c r="O5978" s="11"/>
      <c r="P5978" s="11"/>
      <c r="Q5978" s="8"/>
      <c r="R5978" s="6"/>
      <c r="S5978" s="3"/>
      <c r="T5978" s="3"/>
      <c r="U5978" s="7"/>
      <c r="V5978" s="436"/>
      <c r="W5978" s="6"/>
      <c r="X5978" s="8"/>
      <c r="Y5978" s="8"/>
      <c r="AH5978" s="325"/>
      <c r="AI5978" s="325"/>
      <c r="AJ5978" s="325"/>
    </row>
    <row r="5979" spans="3:36" s="13" customFormat="1" ht="12" customHeight="1">
      <c r="C5979" s="4"/>
      <c r="D5979" s="4"/>
      <c r="E5979" s="5"/>
      <c r="F5979" s="6"/>
      <c r="G5979" s="31"/>
      <c r="H5979" s="6"/>
      <c r="I5979" s="9"/>
      <c r="J5979" s="24"/>
      <c r="K5979" s="9"/>
      <c r="L5979" s="25"/>
      <c r="M5979" s="7"/>
      <c r="N5979" s="8"/>
      <c r="O5979" s="11"/>
      <c r="P5979" s="11"/>
      <c r="Q5979" s="8"/>
      <c r="R5979" s="6"/>
      <c r="S5979" s="3"/>
      <c r="T5979" s="3"/>
      <c r="U5979" s="7"/>
      <c r="V5979" s="436"/>
      <c r="W5979" s="6"/>
      <c r="X5979" s="8"/>
      <c r="Y5979" s="8"/>
      <c r="AH5979" s="325"/>
      <c r="AI5979" s="325"/>
      <c r="AJ5979" s="325"/>
    </row>
    <row r="5980" spans="3:36" s="13" customFormat="1" ht="12" customHeight="1">
      <c r="C5980" s="4"/>
      <c r="D5980" s="4"/>
      <c r="E5980" s="5"/>
      <c r="F5980" s="6"/>
      <c r="G5980" s="31"/>
      <c r="H5980" s="6"/>
      <c r="I5980" s="9"/>
      <c r="J5980" s="24"/>
      <c r="K5980" s="9"/>
      <c r="L5980" s="25"/>
      <c r="M5980" s="7"/>
      <c r="N5980" s="8"/>
      <c r="O5980" s="11"/>
      <c r="P5980" s="11"/>
      <c r="Q5980" s="8"/>
      <c r="R5980" s="6"/>
      <c r="S5980" s="3"/>
      <c r="T5980" s="3"/>
      <c r="U5980" s="7"/>
      <c r="V5980" s="436"/>
      <c r="W5980" s="6"/>
      <c r="X5980" s="8"/>
      <c r="Y5980" s="8"/>
      <c r="AH5980" s="325"/>
      <c r="AI5980" s="325"/>
      <c r="AJ5980" s="325"/>
    </row>
    <row r="5981" spans="3:36" s="13" customFormat="1" ht="12" customHeight="1">
      <c r="C5981" s="4"/>
      <c r="D5981" s="4"/>
      <c r="E5981" s="5"/>
      <c r="F5981" s="6"/>
      <c r="G5981" s="31"/>
      <c r="H5981" s="6"/>
      <c r="I5981" s="9"/>
      <c r="J5981" s="24"/>
      <c r="K5981" s="9"/>
      <c r="L5981" s="25"/>
      <c r="M5981" s="7"/>
      <c r="N5981" s="8"/>
      <c r="O5981" s="11"/>
      <c r="P5981" s="11"/>
      <c r="Q5981" s="8"/>
      <c r="R5981" s="6"/>
      <c r="S5981" s="3"/>
      <c r="T5981" s="3"/>
      <c r="U5981" s="7"/>
      <c r="V5981" s="436"/>
      <c r="W5981" s="6"/>
      <c r="X5981" s="8"/>
      <c r="Y5981" s="8"/>
      <c r="AH5981" s="325"/>
      <c r="AI5981" s="325"/>
      <c r="AJ5981" s="325"/>
    </row>
    <row r="5982" spans="3:36" s="13" customFormat="1" ht="12" customHeight="1">
      <c r="C5982" s="4"/>
      <c r="D5982" s="4"/>
      <c r="E5982" s="5"/>
      <c r="F5982" s="6"/>
      <c r="G5982" s="31"/>
      <c r="H5982" s="6"/>
      <c r="I5982" s="9"/>
      <c r="J5982" s="24"/>
      <c r="K5982" s="9"/>
      <c r="L5982" s="25"/>
      <c r="M5982" s="7"/>
      <c r="N5982" s="8"/>
      <c r="O5982" s="11"/>
      <c r="P5982" s="11"/>
      <c r="Q5982" s="8"/>
      <c r="R5982" s="6"/>
      <c r="S5982" s="3"/>
      <c r="T5982" s="3"/>
      <c r="U5982" s="7"/>
      <c r="V5982" s="436"/>
      <c r="W5982" s="6"/>
      <c r="X5982" s="8"/>
      <c r="Y5982" s="8"/>
      <c r="AH5982" s="325"/>
      <c r="AI5982" s="325"/>
      <c r="AJ5982" s="325"/>
    </row>
    <row r="5983" spans="3:36" s="13" customFormat="1" ht="12" customHeight="1">
      <c r="C5983" s="4"/>
      <c r="D5983" s="4"/>
      <c r="E5983" s="5"/>
      <c r="F5983" s="6"/>
      <c r="G5983" s="31"/>
      <c r="H5983" s="6"/>
      <c r="I5983" s="9"/>
      <c r="J5983" s="24"/>
      <c r="K5983" s="9"/>
      <c r="L5983" s="25"/>
      <c r="M5983" s="7"/>
      <c r="N5983" s="8"/>
      <c r="O5983" s="11"/>
      <c r="P5983" s="11"/>
      <c r="Q5983" s="8"/>
      <c r="R5983" s="6"/>
      <c r="S5983" s="3"/>
      <c r="T5983" s="3"/>
      <c r="U5983" s="7"/>
      <c r="V5983" s="436"/>
      <c r="W5983" s="6"/>
      <c r="X5983" s="8"/>
      <c r="Y5983" s="8"/>
      <c r="AH5983" s="325"/>
      <c r="AI5983" s="325"/>
      <c r="AJ5983" s="325"/>
    </row>
    <row r="5984" spans="3:36" s="13" customFormat="1" ht="12" customHeight="1">
      <c r="C5984" s="4"/>
      <c r="D5984" s="4"/>
      <c r="E5984" s="5"/>
      <c r="F5984" s="6"/>
      <c r="G5984" s="31"/>
      <c r="H5984" s="6"/>
      <c r="I5984" s="9"/>
      <c r="J5984" s="24"/>
      <c r="K5984" s="9"/>
      <c r="L5984" s="25"/>
      <c r="M5984" s="7"/>
      <c r="N5984" s="8"/>
      <c r="O5984" s="11"/>
      <c r="P5984" s="11"/>
      <c r="Q5984" s="8"/>
      <c r="R5984" s="6"/>
      <c r="S5984" s="3"/>
      <c r="T5984" s="3"/>
      <c r="U5984" s="7"/>
      <c r="V5984" s="436"/>
      <c r="W5984" s="6"/>
      <c r="X5984" s="8"/>
      <c r="Y5984" s="8"/>
      <c r="AH5984" s="325"/>
      <c r="AI5984" s="325"/>
      <c r="AJ5984" s="325"/>
    </row>
    <row r="5985" spans="3:36" s="13" customFormat="1" ht="12" customHeight="1">
      <c r="C5985" s="4"/>
      <c r="D5985" s="4"/>
      <c r="E5985" s="5"/>
      <c r="F5985" s="6"/>
      <c r="G5985" s="31"/>
      <c r="H5985" s="6"/>
      <c r="I5985" s="9"/>
      <c r="J5985" s="24"/>
      <c r="K5985" s="9"/>
      <c r="L5985" s="25"/>
      <c r="M5985" s="7"/>
      <c r="N5985" s="8"/>
      <c r="O5985" s="11"/>
      <c r="P5985" s="11"/>
      <c r="Q5985" s="8"/>
      <c r="R5985" s="6"/>
      <c r="S5985" s="3"/>
      <c r="T5985" s="3"/>
      <c r="U5985" s="7"/>
      <c r="V5985" s="436"/>
      <c r="W5985" s="6"/>
      <c r="X5985" s="8"/>
      <c r="Y5985" s="8"/>
      <c r="AH5985" s="325"/>
      <c r="AI5985" s="325"/>
      <c r="AJ5985" s="325"/>
    </row>
    <row r="5986" spans="3:36" s="13" customFormat="1" ht="12" customHeight="1">
      <c r="C5986" s="4"/>
      <c r="D5986" s="4"/>
      <c r="E5986" s="5"/>
      <c r="F5986" s="6"/>
      <c r="G5986" s="31"/>
      <c r="H5986" s="6"/>
      <c r="I5986" s="9"/>
      <c r="J5986" s="24"/>
      <c r="K5986" s="9"/>
      <c r="L5986" s="25"/>
      <c r="M5986" s="7"/>
      <c r="N5986" s="8"/>
      <c r="O5986" s="11"/>
      <c r="P5986" s="11"/>
      <c r="Q5986" s="8"/>
      <c r="R5986" s="6"/>
      <c r="S5986" s="3"/>
      <c r="T5986" s="3"/>
      <c r="U5986" s="7"/>
      <c r="V5986" s="436"/>
      <c r="W5986" s="6"/>
      <c r="X5986" s="8"/>
      <c r="Y5986" s="8"/>
      <c r="AH5986" s="325"/>
      <c r="AI5986" s="325"/>
      <c r="AJ5986" s="325"/>
    </row>
    <row r="5987" spans="3:36" s="13" customFormat="1" ht="12" customHeight="1">
      <c r="C5987" s="4"/>
      <c r="D5987" s="4"/>
      <c r="E5987" s="5"/>
      <c r="F5987" s="6"/>
      <c r="G5987" s="31"/>
      <c r="H5987" s="6"/>
      <c r="I5987" s="9"/>
      <c r="J5987" s="24"/>
      <c r="K5987" s="9"/>
      <c r="L5987" s="25"/>
      <c r="M5987" s="7"/>
      <c r="N5987" s="8"/>
      <c r="O5987" s="11"/>
      <c r="P5987" s="11"/>
      <c r="Q5987" s="8"/>
      <c r="R5987" s="6"/>
      <c r="S5987" s="3"/>
      <c r="T5987" s="3"/>
      <c r="U5987" s="7"/>
      <c r="V5987" s="436"/>
      <c r="W5987" s="6"/>
      <c r="X5987" s="8"/>
      <c r="Y5987" s="8"/>
      <c r="AH5987" s="325"/>
      <c r="AI5987" s="325"/>
      <c r="AJ5987" s="325"/>
    </row>
    <row r="5988" spans="3:36" s="13" customFormat="1" ht="12" customHeight="1">
      <c r="C5988" s="4"/>
      <c r="D5988" s="4"/>
      <c r="E5988" s="5"/>
      <c r="F5988" s="6"/>
      <c r="G5988" s="31"/>
      <c r="H5988" s="6"/>
      <c r="I5988" s="9"/>
      <c r="J5988" s="24"/>
      <c r="K5988" s="9"/>
      <c r="L5988" s="25"/>
      <c r="M5988" s="7"/>
      <c r="N5988" s="8"/>
      <c r="O5988" s="11"/>
      <c r="P5988" s="11"/>
      <c r="Q5988" s="8"/>
      <c r="R5988" s="6"/>
      <c r="S5988" s="3"/>
      <c r="T5988" s="3"/>
      <c r="U5988" s="7"/>
      <c r="V5988" s="436"/>
      <c r="W5988" s="6"/>
      <c r="X5988" s="8"/>
      <c r="Y5988" s="8"/>
      <c r="AH5988" s="325"/>
      <c r="AI5988" s="325"/>
      <c r="AJ5988" s="325"/>
    </row>
    <row r="5989" spans="3:36" s="13" customFormat="1" ht="12" customHeight="1">
      <c r="C5989" s="4"/>
      <c r="D5989" s="4"/>
      <c r="E5989" s="5"/>
      <c r="F5989" s="6"/>
      <c r="G5989" s="31"/>
      <c r="H5989" s="6"/>
      <c r="I5989" s="9"/>
      <c r="J5989" s="24"/>
      <c r="K5989" s="9"/>
      <c r="L5989" s="25"/>
      <c r="M5989" s="7"/>
      <c r="N5989" s="8"/>
      <c r="O5989" s="11"/>
      <c r="P5989" s="11"/>
      <c r="Q5989" s="8"/>
      <c r="R5989" s="6"/>
      <c r="S5989" s="3"/>
      <c r="T5989" s="3"/>
      <c r="U5989" s="7"/>
      <c r="V5989" s="436"/>
      <c r="W5989" s="6"/>
      <c r="X5989" s="8"/>
      <c r="Y5989" s="8"/>
      <c r="AH5989" s="325"/>
      <c r="AI5989" s="325"/>
      <c r="AJ5989" s="325"/>
    </row>
    <row r="5990" spans="3:36" s="13" customFormat="1" ht="12" customHeight="1">
      <c r="C5990" s="4"/>
      <c r="D5990" s="4"/>
      <c r="E5990" s="5"/>
      <c r="F5990" s="6"/>
      <c r="G5990" s="31"/>
      <c r="H5990" s="6"/>
      <c r="I5990" s="9"/>
      <c r="J5990" s="24"/>
      <c r="K5990" s="9"/>
      <c r="L5990" s="25"/>
      <c r="M5990" s="7"/>
      <c r="N5990" s="8"/>
      <c r="O5990" s="11"/>
      <c r="P5990" s="11"/>
      <c r="Q5990" s="8"/>
      <c r="R5990" s="6"/>
      <c r="S5990" s="3"/>
      <c r="T5990" s="3"/>
      <c r="U5990" s="7"/>
      <c r="V5990" s="436"/>
      <c r="W5990" s="6"/>
      <c r="X5990" s="8"/>
      <c r="Y5990" s="8"/>
      <c r="AH5990" s="325"/>
      <c r="AI5990" s="325"/>
      <c r="AJ5990" s="325"/>
    </row>
    <row r="5991" spans="3:36" s="13" customFormat="1" ht="12" customHeight="1">
      <c r="C5991" s="4"/>
      <c r="D5991" s="4"/>
      <c r="E5991" s="5"/>
      <c r="F5991" s="6"/>
      <c r="G5991" s="31"/>
      <c r="H5991" s="6"/>
      <c r="I5991" s="9"/>
      <c r="J5991" s="24"/>
      <c r="K5991" s="9"/>
      <c r="L5991" s="25"/>
      <c r="M5991" s="7"/>
      <c r="N5991" s="8"/>
      <c r="O5991" s="11"/>
      <c r="P5991" s="11"/>
      <c r="Q5991" s="8"/>
      <c r="R5991" s="6"/>
      <c r="S5991" s="3"/>
      <c r="T5991" s="3"/>
      <c r="U5991" s="7"/>
      <c r="V5991" s="436"/>
      <c r="W5991" s="6"/>
      <c r="X5991" s="8"/>
      <c r="Y5991" s="8"/>
      <c r="AH5991" s="325"/>
      <c r="AI5991" s="325"/>
      <c r="AJ5991" s="325"/>
    </row>
    <row r="5992" spans="3:36" s="13" customFormat="1" ht="12" customHeight="1">
      <c r="C5992" s="4"/>
      <c r="D5992" s="4"/>
      <c r="E5992" s="5"/>
      <c r="F5992" s="6"/>
      <c r="G5992" s="31"/>
      <c r="H5992" s="6"/>
      <c r="I5992" s="9"/>
      <c r="J5992" s="24"/>
      <c r="K5992" s="9"/>
      <c r="L5992" s="25"/>
      <c r="M5992" s="7"/>
      <c r="N5992" s="8"/>
      <c r="O5992" s="11"/>
      <c r="P5992" s="11"/>
      <c r="Q5992" s="8"/>
      <c r="R5992" s="6"/>
      <c r="S5992" s="3"/>
      <c r="T5992" s="3"/>
      <c r="U5992" s="7"/>
      <c r="V5992" s="436"/>
      <c r="W5992" s="6"/>
      <c r="X5992" s="8"/>
      <c r="Y5992" s="8"/>
      <c r="AH5992" s="325"/>
      <c r="AI5992" s="325"/>
      <c r="AJ5992" s="325"/>
    </row>
    <row r="5993" spans="3:36" s="13" customFormat="1" ht="12" customHeight="1">
      <c r="C5993" s="4"/>
      <c r="D5993" s="4"/>
      <c r="E5993" s="5"/>
      <c r="F5993" s="6"/>
      <c r="G5993" s="31"/>
      <c r="H5993" s="6"/>
      <c r="I5993" s="9"/>
      <c r="J5993" s="24"/>
      <c r="K5993" s="9"/>
      <c r="L5993" s="25"/>
      <c r="M5993" s="7"/>
      <c r="N5993" s="8"/>
      <c r="O5993" s="11"/>
      <c r="P5993" s="11"/>
      <c r="Q5993" s="8"/>
      <c r="R5993" s="6"/>
      <c r="S5993" s="3"/>
      <c r="T5993" s="3"/>
      <c r="U5993" s="7"/>
      <c r="V5993" s="436"/>
      <c r="W5993" s="6"/>
      <c r="X5993" s="8"/>
      <c r="Y5993" s="8"/>
      <c r="AH5993" s="325"/>
      <c r="AI5993" s="325"/>
      <c r="AJ5993" s="325"/>
    </row>
    <row r="5994" spans="3:36" s="13" customFormat="1" ht="12" customHeight="1">
      <c r="C5994" s="4"/>
      <c r="D5994" s="4"/>
      <c r="E5994" s="5"/>
      <c r="F5994" s="6"/>
      <c r="G5994" s="31"/>
      <c r="H5994" s="6"/>
      <c r="I5994" s="9"/>
      <c r="J5994" s="24"/>
      <c r="K5994" s="9"/>
      <c r="L5994" s="25"/>
      <c r="M5994" s="47"/>
      <c r="N5994" s="8"/>
      <c r="O5994" s="11"/>
      <c r="P5994" s="11"/>
      <c r="Q5994" s="8"/>
      <c r="R5994" s="6"/>
      <c r="S5994" s="3"/>
      <c r="T5994" s="3"/>
      <c r="U5994" s="7"/>
      <c r="V5994" s="436"/>
      <c r="W5994" s="6"/>
      <c r="X5994" s="8"/>
      <c r="Y5994" s="8"/>
      <c r="AH5994" s="325"/>
      <c r="AI5994" s="325"/>
      <c r="AJ5994" s="325"/>
    </row>
    <row r="5995" spans="3:36" s="13" customFormat="1" ht="12" customHeight="1">
      <c r="C5995" s="4"/>
      <c r="D5995" s="4"/>
      <c r="E5995" s="5"/>
      <c r="F5995" s="6"/>
      <c r="G5995" s="31"/>
      <c r="H5995" s="6"/>
      <c r="I5995" s="9"/>
      <c r="J5995" s="24"/>
      <c r="K5995" s="9"/>
      <c r="L5995" s="25"/>
      <c r="M5995" s="7"/>
      <c r="N5995" s="8"/>
      <c r="O5995" s="11"/>
      <c r="P5995" s="11"/>
      <c r="Q5995" s="8"/>
      <c r="R5995" s="6"/>
      <c r="S5995" s="3"/>
      <c r="T5995" s="3"/>
      <c r="U5995" s="7"/>
      <c r="V5995" s="436"/>
      <c r="W5995" s="6"/>
      <c r="X5995" s="8"/>
      <c r="Y5995" s="8"/>
      <c r="AH5995" s="325"/>
      <c r="AI5995" s="325"/>
      <c r="AJ5995" s="325"/>
    </row>
    <row r="5996" spans="3:36" s="13" customFormat="1" ht="12" customHeight="1">
      <c r="C5996" s="4"/>
      <c r="D5996" s="4"/>
      <c r="E5996" s="5"/>
      <c r="F5996" s="6"/>
      <c r="G5996" s="31"/>
      <c r="H5996" s="6"/>
      <c r="I5996" s="9"/>
      <c r="J5996" s="24"/>
      <c r="K5996" s="9"/>
      <c r="L5996" s="25"/>
      <c r="M5996" s="7"/>
      <c r="N5996" s="8"/>
      <c r="O5996" s="11"/>
      <c r="P5996" s="11"/>
      <c r="Q5996" s="8"/>
      <c r="R5996" s="6"/>
      <c r="S5996" s="3"/>
      <c r="T5996" s="3"/>
      <c r="U5996" s="7"/>
      <c r="V5996" s="436"/>
      <c r="W5996" s="6"/>
      <c r="X5996" s="8"/>
      <c r="Y5996" s="8"/>
      <c r="AH5996" s="325"/>
      <c r="AI5996" s="325"/>
      <c r="AJ5996" s="325"/>
    </row>
    <row r="5997" spans="3:36" s="13" customFormat="1" ht="12" customHeight="1">
      <c r="C5997" s="4"/>
      <c r="D5997" s="4"/>
      <c r="E5997" s="5"/>
      <c r="F5997" s="6"/>
      <c r="G5997" s="31"/>
      <c r="H5997" s="6"/>
      <c r="I5997" s="9"/>
      <c r="J5997" s="24"/>
      <c r="K5997" s="9"/>
      <c r="L5997" s="25"/>
      <c r="M5997" s="7"/>
      <c r="N5997" s="8"/>
      <c r="O5997" s="11"/>
      <c r="P5997" s="11"/>
      <c r="Q5997" s="8"/>
      <c r="R5997" s="6"/>
      <c r="S5997" s="3"/>
      <c r="T5997" s="3"/>
      <c r="U5997" s="7"/>
      <c r="V5997" s="436"/>
      <c r="W5997" s="6"/>
      <c r="X5997" s="8"/>
      <c r="Y5997" s="8"/>
      <c r="AH5997" s="325"/>
      <c r="AI5997" s="325"/>
      <c r="AJ5997" s="325"/>
    </row>
    <row r="5998" spans="3:36" s="13" customFormat="1" ht="12" customHeight="1">
      <c r="C5998" s="4"/>
      <c r="D5998" s="4"/>
      <c r="E5998" s="5"/>
      <c r="F5998" s="6"/>
      <c r="G5998" s="31"/>
      <c r="H5998" s="6"/>
      <c r="I5998" s="9"/>
      <c r="J5998" s="24"/>
      <c r="K5998" s="9"/>
      <c r="L5998" s="25"/>
      <c r="M5998" s="7"/>
      <c r="N5998" s="8"/>
      <c r="O5998" s="11"/>
      <c r="P5998" s="11"/>
      <c r="Q5998" s="8"/>
      <c r="R5998" s="6"/>
      <c r="S5998" s="3"/>
      <c r="T5998" s="3"/>
      <c r="U5998" s="7"/>
      <c r="V5998" s="436"/>
      <c r="W5998" s="6"/>
      <c r="X5998" s="8"/>
      <c r="Y5998" s="8"/>
      <c r="AH5998" s="325"/>
      <c r="AI5998" s="325"/>
      <c r="AJ5998" s="325"/>
    </row>
    <row r="5999" spans="3:36" s="13" customFormat="1" ht="12" customHeight="1">
      <c r="C5999" s="4"/>
      <c r="D5999" s="4"/>
      <c r="E5999" s="5"/>
      <c r="F5999" s="6"/>
      <c r="G5999" s="31"/>
      <c r="H5999" s="6"/>
      <c r="I5999" s="9"/>
      <c r="J5999" s="24"/>
      <c r="K5999" s="9"/>
      <c r="L5999" s="25"/>
      <c r="M5999" s="7"/>
      <c r="N5999" s="8"/>
      <c r="O5999" s="11"/>
      <c r="P5999" s="11"/>
      <c r="Q5999" s="8"/>
      <c r="R5999" s="6"/>
      <c r="S5999" s="3"/>
      <c r="T5999" s="3"/>
      <c r="U5999" s="7"/>
      <c r="V5999" s="436"/>
      <c r="W5999" s="6"/>
      <c r="X5999" s="8"/>
      <c r="Y5999" s="8"/>
      <c r="AH5999" s="325"/>
      <c r="AI5999" s="325"/>
      <c r="AJ5999" s="325"/>
    </row>
    <row r="6000" spans="3:36" s="13" customFormat="1" ht="12" customHeight="1">
      <c r="C6000" s="4"/>
      <c r="D6000" s="4"/>
      <c r="E6000" s="5"/>
      <c r="F6000" s="6"/>
      <c r="G6000" s="31"/>
      <c r="H6000" s="6"/>
      <c r="I6000" s="9"/>
      <c r="J6000" s="24"/>
      <c r="K6000" s="9"/>
      <c r="L6000" s="25"/>
      <c r="M6000" s="7"/>
      <c r="N6000" s="8"/>
      <c r="O6000" s="11"/>
      <c r="P6000" s="11"/>
      <c r="Q6000" s="8"/>
      <c r="R6000" s="6"/>
      <c r="S6000" s="3"/>
      <c r="T6000" s="3"/>
      <c r="U6000" s="7"/>
      <c r="V6000" s="436"/>
      <c r="W6000" s="6"/>
      <c r="X6000" s="8"/>
      <c r="Y6000" s="8"/>
      <c r="AH6000" s="325"/>
      <c r="AI6000" s="325"/>
      <c r="AJ6000" s="325"/>
    </row>
    <row r="6001" spans="3:36" s="13" customFormat="1" ht="12" customHeight="1">
      <c r="C6001" s="4"/>
      <c r="D6001" s="4"/>
      <c r="E6001" s="5"/>
      <c r="F6001" s="6"/>
      <c r="G6001" s="31"/>
      <c r="H6001" s="6"/>
      <c r="I6001" s="9"/>
      <c r="J6001" s="24"/>
      <c r="K6001" s="9"/>
      <c r="L6001" s="25"/>
      <c r="M6001" s="7"/>
      <c r="N6001" s="8"/>
      <c r="O6001" s="11"/>
      <c r="P6001" s="11"/>
      <c r="Q6001" s="8"/>
      <c r="R6001" s="6"/>
      <c r="S6001" s="3"/>
      <c r="T6001" s="3"/>
      <c r="U6001" s="7"/>
      <c r="V6001" s="436"/>
      <c r="W6001" s="6"/>
      <c r="X6001" s="8"/>
      <c r="Y6001" s="8"/>
      <c r="AH6001" s="325"/>
      <c r="AI6001" s="325"/>
      <c r="AJ6001" s="325"/>
    </row>
    <row r="6002" spans="3:36" s="13" customFormat="1" ht="12" customHeight="1">
      <c r="C6002" s="4"/>
      <c r="D6002" s="4"/>
      <c r="E6002" s="5"/>
      <c r="F6002" s="6"/>
      <c r="G6002" s="31"/>
      <c r="H6002" s="6"/>
      <c r="I6002" s="9"/>
      <c r="J6002" s="24"/>
      <c r="K6002" s="9"/>
      <c r="L6002" s="25"/>
      <c r="M6002" s="7"/>
      <c r="N6002" s="8"/>
      <c r="O6002" s="11"/>
      <c r="P6002" s="11"/>
      <c r="Q6002" s="8"/>
      <c r="R6002" s="6"/>
      <c r="S6002" s="3"/>
      <c r="T6002" s="3"/>
      <c r="U6002" s="7"/>
      <c r="V6002" s="436"/>
      <c r="W6002" s="6"/>
      <c r="X6002" s="8"/>
      <c r="Y6002" s="8"/>
      <c r="AH6002" s="325"/>
      <c r="AI6002" s="325"/>
      <c r="AJ6002" s="325"/>
    </row>
    <row r="6003" spans="3:36" s="13" customFormat="1" ht="12" customHeight="1">
      <c r="C6003" s="4"/>
      <c r="D6003" s="4"/>
      <c r="E6003" s="5"/>
      <c r="F6003" s="6"/>
      <c r="G6003" s="31"/>
      <c r="H6003" s="6"/>
      <c r="I6003" s="9"/>
      <c r="J6003" s="24"/>
      <c r="K6003" s="9"/>
      <c r="L6003" s="25"/>
      <c r="M6003" s="7"/>
      <c r="N6003" s="8"/>
      <c r="O6003" s="11"/>
      <c r="P6003" s="11"/>
      <c r="Q6003" s="8"/>
      <c r="R6003" s="6"/>
      <c r="S6003" s="3"/>
      <c r="T6003" s="3"/>
      <c r="U6003" s="7"/>
      <c r="V6003" s="436"/>
      <c r="W6003" s="6"/>
      <c r="X6003" s="8"/>
      <c r="Y6003" s="8"/>
      <c r="AH6003" s="325"/>
      <c r="AI6003" s="325"/>
      <c r="AJ6003" s="325"/>
    </row>
    <row r="6004" spans="3:36" s="13" customFormat="1" ht="12" customHeight="1">
      <c r="C6004" s="4"/>
      <c r="D6004" s="4"/>
      <c r="E6004" s="5"/>
      <c r="F6004" s="6"/>
      <c r="G6004" s="31"/>
      <c r="H6004" s="6"/>
      <c r="I6004" s="9"/>
      <c r="J6004" s="24"/>
      <c r="K6004" s="9"/>
      <c r="L6004" s="25"/>
      <c r="M6004" s="7"/>
      <c r="N6004" s="8"/>
      <c r="O6004" s="11"/>
      <c r="P6004" s="11"/>
      <c r="Q6004" s="8"/>
      <c r="R6004" s="6"/>
      <c r="S6004" s="3"/>
      <c r="T6004" s="3"/>
      <c r="U6004" s="7"/>
      <c r="V6004" s="436"/>
      <c r="W6004" s="6"/>
      <c r="X6004" s="8"/>
      <c r="Y6004" s="8"/>
      <c r="AH6004" s="325"/>
      <c r="AI6004" s="325"/>
      <c r="AJ6004" s="325"/>
    </row>
    <row r="6005" spans="3:36" s="13" customFormat="1" ht="12" customHeight="1">
      <c r="C6005" s="4"/>
      <c r="D6005" s="4"/>
      <c r="E6005" s="5"/>
      <c r="F6005" s="6"/>
      <c r="G6005" s="31"/>
      <c r="H6005" s="6"/>
      <c r="I6005" s="9"/>
      <c r="J6005" s="24"/>
      <c r="K6005" s="9"/>
      <c r="L6005" s="25"/>
      <c r="M6005" s="7"/>
      <c r="N6005" s="8"/>
      <c r="O6005" s="11"/>
      <c r="P6005" s="11"/>
      <c r="Q6005" s="8"/>
      <c r="R6005" s="6"/>
      <c r="S6005" s="3"/>
      <c r="T6005" s="3"/>
      <c r="U6005" s="7"/>
      <c r="V6005" s="436"/>
      <c r="W6005" s="6"/>
      <c r="X6005" s="8"/>
      <c r="Y6005" s="8"/>
      <c r="AH6005" s="325"/>
      <c r="AI6005" s="325"/>
      <c r="AJ6005" s="325"/>
    </row>
    <row r="6006" spans="3:36" s="13" customFormat="1" ht="12" customHeight="1">
      <c r="C6006" s="4"/>
      <c r="D6006" s="4"/>
      <c r="E6006" s="5"/>
      <c r="F6006" s="6"/>
      <c r="G6006" s="31"/>
      <c r="H6006" s="6"/>
      <c r="I6006" s="9"/>
      <c r="J6006" s="24"/>
      <c r="K6006" s="9"/>
      <c r="L6006" s="25"/>
      <c r="M6006" s="7"/>
      <c r="N6006" s="8"/>
      <c r="O6006" s="11"/>
      <c r="P6006" s="11"/>
      <c r="Q6006" s="8"/>
      <c r="R6006" s="6"/>
      <c r="S6006" s="3"/>
      <c r="T6006" s="3"/>
      <c r="U6006" s="7"/>
      <c r="V6006" s="436"/>
      <c r="W6006" s="6"/>
      <c r="X6006" s="8"/>
      <c r="Y6006" s="8"/>
      <c r="AH6006" s="325"/>
      <c r="AI6006" s="325"/>
      <c r="AJ6006" s="325"/>
    </row>
    <row r="6007" spans="3:36" s="13" customFormat="1" ht="12" customHeight="1">
      <c r="C6007" s="4"/>
      <c r="D6007" s="4"/>
      <c r="E6007" s="5"/>
      <c r="F6007" s="6"/>
      <c r="G6007" s="31"/>
      <c r="H6007" s="6"/>
      <c r="I6007" s="9"/>
      <c r="J6007" s="24"/>
      <c r="K6007" s="40"/>
      <c r="L6007" s="25"/>
      <c r="M6007" s="7"/>
      <c r="N6007" s="8"/>
      <c r="O6007" s="11"/>
      <c r="P6007" s="11"/>
      <c r="Q6007" s="8"/>
      <c r="R6007" s="6"/>
      <c r="S6007" s="3"/>
      <c r="T6007" s="3"/>
      <c r="U6007" s="7"/>
      <c r="V6007" s="436"/>
      <c r="W6007" s="6"/>
      <c r="X6007" s="8"/>
      <c r="Y6007" s="8"/>
      <c r="AH6007" s="325"/>
      <c r="AI6007" s="325"/>
      <c r="AJ6007" s="325"/>
    </row>
    <row r="6008" spans="3:36" s="13" customFormat="1" ht="12" customHeight="1">
      <c r="C6008" s="4"/>
      <c r="D6008" s="4"/>
      <c r="E6008" s="5"/>
      <c r="F6008" s="6"/>
      <c r="G6008" s="31"/>
      <c r="H6008" s="6"/>
      <c r="I6008" s="9"/>
      <c r="J6008" s="24"/>
      <c r="K6008" s="40"/>
      <c r="L6008" s="25"/>
      <c r="M6008" s="7"/>
      <c r="N6008" s="8"/>
      <c r="O6008" s="11"/>
      <c r="P6008" s="11"/>
      <c r="Q6008" s="8"/>
      <c r="R6008" s="6"/>
      <c r="S6008" s="3"/>
      <c r="T6008" s="3"/>
      <c r="U6008" s="7"/>
      <c r="V6008" s="436"/>
      <c r="W6008" s="6"/>
      <c r="X6008" s="8"/>
      <c r="Y6008" s="8"/>
      <c r="AH6008" s="325"/>
      <c r="AI6008" s="325"/>
      <c r="AJ6008" s="325"/>
    </row>
    <row r="6009" spans="3:36" s="13" customFormat="1" ht="12" customHeight="1">
      <c r="C6009" s="4"/>
      <c r="D6009" s="4"/>
      <c r="E6009" s="5"/>
      <c r="F6009" s="6"/>
      <c r="G6009" s="31"/>
      <c r="H6009" s="6"/>
      <c r="I6009" s="9"/>
      <c r="J6009" s="24"/>
      <c r="K6009" s="40"/>
      <c r="L6009" s="25"/>
      <c r="M6009" s="7"/>
      <c r="N6009" s="8"/>
      <c r="O6009" s="11"/>
      <c r="P6009" s="11"/>
      <c r="Q6009" s="8"/>
      <c r="R6009" s="6"/>
      <c r="S6009" s="3"/>
      <c r="T6009" s="3"/>
      <c r="U6009" s="7"/>
      <c r="V6009" s="436"/>
      <c r="W6009" s="6"/>
      <c r="X6009" s="8"/>
      <c r="Y6009" s="8"/>
      <c r="AH6009" s="325"/>
      <c r="AI6009" s="325"/>
      <c r="AJ6009" s="325"/>
    </row>
    <row r="6010" spans="3:36" s="13" customFormat="1" ht="12" customHeight="1">
      <c r="C6010" s="4"/>
      <c r="D6010" s="4"/>
      <c r="E6010" s="5"/>
      <c r="F6010" s="6"/>
      <c r="G6010" s="31"/>
      <c r="H6010" s="6"/>
      <c r="I6010" s="9"/>
      <c r="J6010" s="24"/>
      <c r="K6010" s="9"/>
      <c r="L6010" s="25"/>
      <c r="M6010" s="7"/>
      <c r="N6010" s="8"/>
      <c r="O6010" s="11"/>
      <c r="P6010" s="11"/>
      <c r="Q6010" s="8"/>
      <c r="R6010" s="6"/>
      <c r="S6010" s="3"/>
      <c r="T6010" s="3"/>
      <c r="U6010" s="7"/>
      <c r="V6010" s="436"/>
      <c r="W6010" s="6"/>
      <c r="X6010" s="8"/>
      <c r="Y6010" s="8"/>
      <c r="AH6010" s="325"/>
      <c r="AI6010" s="325"/>
      <c r="AJ6010" s="325"/>
    </row>
    <row r="6011" spans="3:36" s="13" customFormat="1" ht="12" customHeight="1">
      <c r="C6011" s="4"/>
      <c r="D6011" s="4"/>
      <c r="E6011" s="5"/>
      <c r="F6011" s="6"/>
      <c r="G6011" s="31"/>
      <c r="H6011" s="6"/>
      <c r="I6011" s="9"/>
      <c r="J6011" s="24"/>
      <c r="K6011" s="9"/>
      <c r="L6011" s="25"/>
      <c r="M6011" s="7"/>
      <c r="N6011" s="8"/>
      <c r="O6011" s="11"/>
      <c r="P6011" s="11"/>
      <c r="Q6011" s="8"/>
      <c r="R6011" s="6"/>
      <c r="S6011" s="3"/>
      <c r="T6011" s="3"/>
      <c r="U6011" s="7"/>
      <c r="V6011" s="436"/>
      <c r="W6011" s="6"/>
      <c r="X6011" s="8"/>
      <c r="Y6011" s="8"/>
      <c r="AH6011" s="325"/>
      <c r="AI6011" s="325"/>
      <c r="AJ6011" s="325"/>
    </row>
    <row r="6012" spans="3:36" s="13" customFormat="1" ht="12" customHeight="1">
      <c r="C6012" s="4"/>
      <c r="D6012" s="4"/>
      <c r="E6012" s="5"/>
      <c r="F6012" s="6"/>
      <c r="G6012" s="31"/>
      <c r="H6012" s="6"/>
      <c r="I6012" s="9"/>
      <c r="J6012" s="24"/>
      <c r="K6012" s="9"/>
      <c r="L6012" s="25"/>
      <c r="M6012" s="7"/>
      <c r="N6012" s="8"/>
      <c r="O6012" s="11"/>
      <c r="P6012" s="11"/>
      <c r="Q6012" s="8"/>
      <c r="R6012" s="6"/>
      <c r="S6012" s="3"/>
      <c r="T6012" s="3"/>
      <c r="U6012" s="7"/>
      <c r="V6012" s="436"/>
      <c r="W6012" s="6"/>
      <c r="X6012" s="8"/>
      <c r="Y6012" s="8"/>
      <c r="AH6012" s="325"/>
      <c r="AI6012" s="325"/>
      <c r="AJ6012" s="325"/>
    </row>
    <row r="6013" spans="3:36" s="13" customFormat="1" ht="12" customHeight="1">
      <c r="C6013" s="4"/>
      <c r="D6013" s="4"/>
      <c r="E6013" s="5"/>
      <c r="F6013" s="6"/>
      <c r="G6013" s="31"/>
      <c r="H6013" s="6"/>
      <c r="I6013" s="9"/>
      <c r="J6013" s="24"/>
      <c r="K6013" s="9"/>
      <c r="L6013" s="25"/>
      <c r="M6013" s="7"/>
      <c r="N6013" s="8"/>
      <c r="O6013" s="11"/>
      <c r="P6013" s="11"/>
      <c r="Q6013" s="8"/>
      <c r="R6013" s="6"/>
      <c r="S6013" s="3"/>
      <c r="T6013" s="3"/>
      <c r="U6013" s="7"/>
      <c r="V6013" s="436"/>
      <c r="W6013" s="6"/>
      <c r="X6013" s="8"/>
      <c r="Y6013" s="8"/>
      <c r="AH6013" s="325"/>
      <c r="AI6013" s="325"/>
      <c r="AJ6013" s="325"/>
    </row>
    <row r="6014" spans="3:36" s="13" customFormat="1" ht="12" customHeight="1">
      <c r="C6014" s="4"/>
      <c r="D6014" s="4"/>
      <c r="E6014" s="5"/>
      <c r="F6014" s="6"/>
      <c r="G6014" s="31"/>
      <c r="H6014" s="6"/>
      <c r="I6014" s="9"/>
      <c r="J6014" s="24"/>
      <c r="K6014" s="9"/>
      <c r="L6014" s="25"/>
      <c r="M6014" s="7"/>
      <c r="N6014" s="8"/>
      <c r="O6014" s="11"/>
      <c r="P6014" s="11"/>
      <c r="Q6014" s="8"/>
      <c r="R6014" s="6"/>
      <c r="S6014" s="3"/>
      <c r="T6014" s="3"/>
      <c r="U6014" s="7"/>
      <c r="V6014" s="436"/>
      <c r="W6014" s="6"/>
      <c r="X6014" s="8"/>
      <c r="Y6014" s="8"/>
      <c r="AH6014" s="325"/>
      <c r="AI6014" s="325"/>
      <c r="AJ6014" s="325"/>
    </row>
    <row r="6015" spans="3:36" s="13" customFormat="1" ht="12" customHeight="1">
      <c r="C6015" s="4"/>
      <c r="D6015" s="4"/>
      <c r="E6015" s="5"/>
      <c r="F6015" s="6"/>
      <c r="G6015" s="31"/>
      <c r="H6015" s="6"/>
      <c r="I6015" s="9"/>
      <c r="J6015" s="24"/>
      <c r="K6015" s="9"/>
      <c r="L6015" s="25"/>
      <c r="M6015" s="7"/>
      <c r="N6015" s="8"/>
      <c r="O6015" s="11"/>
      <c r="P6015" s="11"/>
      <c r="Q6015" s="8"/>
      <c r="R6015" s="6"/>
      <c r="S6015" s="3"/>
      <c r="T6015" s="3"/>
      <c r="U6015" s="7"/>
      <c r="V6015" s="436"/>
      <c r="W6015" s="6"/>
      <c r="X6015" s="8"/>
      <c r="Y6015" s="8"/>
      <c r="AH6015" s="325"/>
      <c r="AI6015" s="325"/>
      <c r="AJ6015" s="325"/>
    </row>
    <row r="6016" spans="3:36" s="13" customFormat="1" ht="12" customHeight="1">
      <c r="C6016" s="4"/>
      <c r="D6016" s="4"/>
      <c r="E6016" s="5"/>
      <c r="F6016" s="6"/>
      <c r="G6016" s="31"/>
      <c r="H6016" s="6"/>
      <c r="I6016" s="9"/>
      <c r="J6016" s="24"/>
      <c r="K6016" s="9"/>
      <c r="L6016" s="25"/>
      <c r="M6016" s="7"/>
      <c r="N6016" s="8"/>
      <c r="O6016" s="11"/>
      <c r="P6016" s="11"/>
      <c r="Q6016" s="8"/>
      <c r="R6016" s="6"/>
      <c r="S6016" s="3"/>
      <c r="T6016" s="3"/>
      <c r="U6016" s="7"/>
      <c r="V6016" s="436"/>
      <c r="W6016" s="6"/>
      <c r="X6016" s="8"/>
      <c r="Y6016" s="8"/>
      <c r="AH6016" s="325"/>
      <c r="AI6016" s="325"/>
      <c r="AJ6016" s="325"/>
    </row>
    <row r="6017" spans="3:36" s="13" customFormat="1" ht="12" customHeight="1">
      <c r="C6017" s="4"/>
      <c r="D6017" s="4"/>
      <c r="E6017" s="5"/>
      <c r="F6017" s="6"/>
      <c r="G6017" s="31"/>
      <c r="H6017" s="6"/>
      <c r="I6017" s="9"/>
      <c r="J6017" s="24"/>
      <c r="K6017" s="9"/>
      <c r="L6017" s="25"/>
      <c r="M6017" s="7"/>
      <c r="N6017" s="8"/>
      <c r="O6017" s="11"/>
      <c r="P6017" s="11"/>
      <c r="Q6017" s="8"/>
      <c r="R6017" s="6"/>
      <c r="S6017" s="3"/>
      <c r="T6017" s="3"/>
      <c r="U6017" s="7"/>
      <c r="V6017" s="436"/>
      <c r="W6017" s="6"/>
      <c r="X6017" s="8"/>
      <c r="Y6017" s="8"/>
      <c r="AH6017" s="325"/>
      <c r="AI6017" s="325"/>
      <c r="AJ6017" s="325"/>
    </row>
    <row r="6018" spans="3:36" s="13" customFormat="1" ht="12" customHeight="1">
      <c r="C6018" s="4"/>
      <c r="D6018" s="4"/>
      <c r="E6018" s="5"/>
      <c r="F6018" s="6"/>
      <c r="G6018" s="31"/>
      <c r="H6018" s="6"/>
      <c r="I6018" s="9"/>
      <c r="J6018" s="24"/>
      <c r="K6018" s="9"/>
      <c r="L6018" s="25"/>
      <c r="M6018" s="7"/>
      <c r="N6018" s="8"/>
      <c r="O6018" s="11"/>
      <c r="P6018" s="11"/>
      <c r="Q6018" s="8"/>
      <c r="R6018" s="6"/>
      <c r="S6018" s="3"/>
      <c r="T6018" s="3"/>
      <c r="U6018" s="7"/>
      <c r="V6018" s="436"/>
      <c r="W6018" s="6"/>
      <c r="X6018" s="8"/>
      <c r="Y6018" s="8"/>
      <c r="AH6018" s="325"/>
      <c r="AI6018" s="325"/>
      <c r="AJ6018" s="325"/>
    </row>
    <row r="6019" spans="3:36" s="13" customFormat="1" ht="12" customHeight="1">
      <c r="C6019" s="4"/>
      <c r="D6019" s="4"/>
      <c r="E6019" s="5"/>
      <c r="F6019" s="6"/>
      <c r="G6019" s="31"/>
      <c r="H6019" s="6"/>
      <c r="I6019" s="9"/>
      <c r="J6019" s="24"/>
      <c r="K6019" s="9"/>
      <c r="L6019" s="25"/>
      <c r="M6019" s="7"/>
      <c r="N6019" s="8"/>
      <c r="O6019" s="11"/>
      <c r="P6019" s="11"/>
      <c r="Q6019" s="8"/>
      <c r="R6019" s="6"/>
      <c r="S6019" s="3"/>
      <c r="T6019" s="3"/>
      <c r="U6019" s="7"/>
      <c r="V6019" s="436"/>
      <c r="W6019" s="6"/>
      <c r="X6019" s="8"/>
      <c r="Y6019" s="8"/>
      <c r="AH6019" s="325"/>
      <c r="AI6019" s="325"/>
      <c r="AJ6019" s="325"/>
    </row>
    <row r="6020" spans="3:36" s="13" customFormat="1" ht="12" customHeight="1">
      <c r="C6020" s="4"/>
      <c r="D6020" s="4"/>
      <c r="E6020" s="5"/>
      <c r="F6020" s="6"/>
      <c r="G6020" s="31"/>
      <c r="H6020" s="6"/>
      <c r="I6020" s="9"/>
      <c r="J6020" s="24"/>
      <c r="K6020" s="9"/>
      <c r="L6020" s="25"/>
      <c r="M6020" s="7"/>
      <c r="N6020" s="8"/>
      <c r="O6020" s="11"/>
      <c r="P6020" s="11"/>
      <c r="Q6020" s="8"/>
      <c r="R6020" s="6"/>
      <c r="S6020" s="3"/>
      <c r="T6020" s="3"/>
      <c r="U6020" s="7"/>
      <c r="V6020" s="436"/>
      <c r="W6020" s="6"/>
      <c r="X6020" s="8"/>
      <c r="Y6020" s="8"/>
      <c r="AH6020" s="325"/>
      <c r="AI6020" s="325"/>
      <c r="AJ6020" s="325"/>
    </row>
    <row r="6021" spans="3:36" s="13" customFormat="1" ht="12" customHeight="1">
      <c r="C6021" s="4"/>
      <c r="D6021" s="4"/>
      <c r="E6021" s="5"/>
      <c r="F6021" s="6"/>
      <c r="G6021" s="31"/>
      <c r="H6021" s="6"/>
      <c r="I6021" s="9"/>
      <c r="J6021" s="24"/>
      <c r="K6021" s="10"/>
      <c r="L6021" s="25"/>
      <c r="M6021" s="7"/>
      <c r="N6021" s="8"/>
      <c r="O6021" s="11"/>
      <c r="P6021" s="11"/>
      <c r="Q6021" s="8"/>
      <c r="R6021" s="6"/>
      <c r="S6021" s="3"/>
      <c r="T6021" s="3"/>
      <c r="U6021" s="7"/>
      <c r="V6021" s="436"/>
      <c r="W6021" s="6"/>
      <c r="X6021" s="8"/>
      <c r="Y6021" s="8"/>
      <c r="AH6021" s="325"/>
      <c r="AI6021" s="325"/>
      <c r="AJ6021" s="325"/>
    </row>
    <row r="6022" spans="3:36" s="13" customFormat="1" ht="12" customHeight="1">
      <c r="C6022" s="4"/>
      <c r="D6022" s="4"/>
      <c r="E6022" s="5"/>
      <c r="F6022" s="6"/>
      <c r="G6022" s="31"/>
      <c r="H6022" s="6"/>
      <c r="I6022" s="9"/>
      <c r="J6022" s="24"/>
      <c r="K6022" s="10"/>
      <c r="L6022" s="25"/>
      <c r="M6022" s="7"/>
      <c r="N6022" s="8"/>
      <c r="O6022" s="11"/>
      <c r="P6022" s="11"/>
      <c r="Q6022" s="8"/>
      <c r="R6022" s="6"/>
      <c r="S6022" s="3"/>
      <c r="T6022" s="3"/>
      <c r="U6022" s="7"/>
      <c r="V6022" s="436"/>
      <c r="W6022" s="6"/>
      <c r="X6022" s="8"/>
      <c r="Y6022" s="8"/>
      <c r="AH6022" s="325"/>
      <c r="AI6022" s="325"/>
      <c r="AJ6022" s="325"/>
    </row>
    <row r="6023" spans="3:36" s="13" customFormat="1" ht="12" customHeight="1">
      <c r="C6023" s="4"/>
      <c r="D6023" s="4"/>
      <c r="E6023" s="5"/>
      <c r="F6023" s="6"/>
      <c r="G6023" s="31"/>
      <c r="H6023" s="6"/>
      <c r="I6023" s="9"/>
      <c r="J6023" s="24"/>
      <c r="K6023" s="9"/>
      <c r="L6023" s="25"/>
      <c r="M6023" s="7"/>
      <c r="N6023" s="8"/>
      <c r="O6023" s="11"/>
      <c r="P6023" s="11"/>
      <c r="Q6023" s="8"/>
      <c r="R6023" s="6"/>
      <c r="S6023" s="3"/>
      <c r="T6023" s="3"/>
      <c r="U6023" s="7"/>
      <c r="V6023" s="436"/>
      <c r="W6023" s="6"/>
      <c r="X6023" s="8"/>
      <c r="Y6023" s="8"/>
      <c r="AH6023" s="325"/>
      <c r="AI6023" s="325"/>
      <c r="AJ6023" s="325"/>
    </row>
    <row r="6024" spans="3:36" s="13" customFormat="1" ht="12" customHeight="1">
      <c r="C6024" s="4"/>
      <c r="D6024" s="4"/>
      <c r="E6024" s="5"/>
      <c r="F6024" s="6"/>
      <c r="G6024" s="31"/>
      <c r="H6024" s="6"/>
      <c r="I6024" s="9"/>
      <c r="J6024" s="24"/>
      <c r="K6024" s="42"/>
      <c r="L6024" s="25"/>
      <c r="M6024" s="7"/>
      <c r="N6024" s="8"/>
      <c r="O6024" s="11"/>
      <c r="P6024" s="11"/>
      <c r="Q6024" s="8"/>
      <c r="R6024" s="6"/>
      <c r="S6024" s="3"/>
      <c r="T6024" s="3"/>
      <c r="U6024" s="7"/>
      <c r="V6024" s="436"/>
      <c r="W6024" s="6"/>
      <c r="X6024" s="8"/>
      <c r="Y6024" s="8"/>
      <c r="AH6024" s="325"/>
      <c r="AI6024" s="325"/>
      <c r="AJ6024" s="325"/>
    </row>
    <row r="6025" spans="3:36" s="13" customFormat="1" ht="12" customHeight="1">
      <c r="C6025" s="4"/>
      <c r="D6025" s="4"/>
      <c r="E6025" s="5"/>
      <c r="F6025" s="6"/>
      <c r="G6025" s="31"/>
      <c r="H6025" s="6"/>
      <c r="I6025" s="9"/>
      <c r="J6025" s="24"/>
      <c r="K6025" s="9"/>
      <c r="L6025" s="25"/>
      <c r="M6025" s="7"/>
      <c r="N6025" s="8"/>
      <c r="O6025" s="11"/>
      <c r="P6025" s="11"/>
      <c r="Q6025" s="8"/>
      <c r="R6025" s="6"/>
      <c r="S6025" s="3"/>
      <c r="T6025" s="3"/>
      <c r="U6025" s="7"/>
      <c r="V6025" s="436"/>
      <c r="W6025" s="6"/>
      <c r="X6025" s="8"/>
      <c r="Y6025" s="8"/>
      <c r="AH6025" s="325"/>
      <c r="AI6025" s="325"/>
      <c r="AJ6025" s="325"/>
    </row>
    <row r="6026" spans="3:36" s="13" customFormat="1" ht="12" customHeight="1">
      <c r="C6026" s="4"/>
      <c r="D6026" s="4"/>
      <c r="E6026" s="5"/>
      <c r="F6026" s="6"/>
      <c r="G6026" s="31"/>
      <c r="H6026" s="6"/>
      <c r="I6026" s="9"/>
      <c r="J6026" s="24"/>
      <c r="K6026" s="9"/>
      <c r="L6026" s="25"/>
      <c r="M6026" s="7"/>
      <c r="N6026" s="8"/>
      <c r="O6026" s="11"/>
      <c r="P6026" s="11"/>
      <c r="Q6026" s="8"/>
      <c r="R6026" s="6"/>
      <c r="S6026" s="3"/>
      <c r="T6026" s="3"/>
      <c r="U6026" s="7"/>
      <c r="V6026" s="436"/>
      <c r="W6026" s="6"/>
      <c r="X6026" s="8"/>
      <c r="Y6026" s="8"/>
      <c r="AH6026" s="325"/>
      <c r="AI6026" s="325"/>
      <c r="AJ6026" s="325"/>
    </row>
    <row r="6027" spans="3:36" s="13" customFormat="1" ht="12" customHeight="1">
      <c r="C6027" s="4"/>
      <c r="D6027" s="4"/>
      <c r="E6027" s="5"/>
      <c r="F6027" s="6"/>
      <c r="G6027" s="31"/>
      <c r="H6027" s="6"/>
      <c r="I6027" s="9"/>
      <c r="J6027" s="24"/>
      <c r="K6027" s="9"/>
      <c r="L6027" s="25"/>
      <c r="M6027" s="7"/>
      <c r="N6027" s="8"/>
      <c r="O6027" s="11"/>
      <c r="P6027" s="11"/>
      <c r="Q6027" s="8"/>
      <c r="R6027" s="6"/>
      <c r="S6027" s="3"/>
      <c r="T6027" s="3"/>
      <c r="U6027" s="7"/>
      <c r="V6027" s="436"/>
      <c r="W6027" s="6"/>
      <c r="X6027" s="8"/>
      <c r="Y6027" s="8"/>
      <c r="AH6027" s="325"/>
      <c r="AI6027" s="325"/>
      <c r="AJ6027" s="325"/>
    </row>
    <row r="6028" spans="3:36" s="13" customFormat="1" ht="12" customHeight="1">
      <c r="C6028" s="4"/>
      <c r="D6028" s="4"/>
      <c r="E6028" s="5"/>
      <c r="F6028" s="6"/>
      <c r="G6028" s="31"/>
      <c r="H6028" s="6"/>
      <c r="I6028" s="9"/>
      <c r="J6028" s="24"/>
      <c r="K6028" s="9"/>
      <c r="L6028" s="25"/>
      <c r="M6028" s="7"/>
      <c r="N6028" s="8"/>
      <c r="O6028" s="11"/>
      <c r="P6028" s="11"/>
      <c r="Q6028" s="8"/>
      <c r="R6028" s="6"/>
      <c r="S6028" s="3"/>
      <c r="T6028" s="3"/>
      <c r="U6028" s="7"/>
      <c r="V6028" s="436"/>
      <c r="W6028" s="6"/>
      <c r="X6028" s="8"/>
      <c r="Y6028" s="8"/>
      <c r="AH6028" s="325"/>
      <c r="AI6028" s="325"/>
      <c r="AJ6028" s="325"/>
    </row>
    <row r="6029" spans="3:36" s="13" customFormat="1" ht="12" customHeight="1">
      <c r="C6029" s="4"/>
      <c r="D6029" s="4"/>
      <c r="E6029" s="5"/>
      <c r="F6029" s="6"/>
      <c r="G6029" s="31"/>
      <c r="H6029" s="6"/>
      <c r="I6029" s="9"/>
      <c r="J6029" s="24"/>
      <c r="K6029" s="9"/>
      <c r="L6029" s="25"/>
      <c r="M6029" s="7"/>
      <c r="N6029" s="8"/>
      <c r="O6029" s="11"/>
      <c r="P6029" s="11"/>
      <c r="Q6029" s="8"/>
      <c r="R6029" s="6"/>
      <c r="S6029" s="3"/>
      <c r="T6029" s="3"/>
      <c r="U6029" s="7"/>
      <c r="V6029" s="436"/>
      <c r="W6029" s="6"/>
      <c r="X6029" s="8"/>
      <c r="Y6029" s="8"/>
      <c r="AH6029" s="325"/>
      <c r="AI6029" s="325"/>
      <c r="AJ6029" s="325"/>
    </row>
    <row r="6030" spans="3:36" s="13" customFormat="1" ht="12" customHeight="1">
      <c r="C6030" s="4"/>
      <c r="D6030" s="4"/>
      <c r="E6030" s="5"/>
      <c r="F6030" s="6"/>
      <c r="G6030" s="31"/>
      <c r="H6030" s="6"/>
      <c r="I6030" s="9"/>
      <c r="J6030" s="24"/>
      <c r="K6030" s="9"/>
      <c r="L6030" s="25"/>
      <c r="M6030" s="7"/>
      <c r="N6030" s="8"/>
      <c r="O6030" s="11"/>
      <c r="P6030" s="11"/>
      <c r="Q6030" s="8"/>
      <c r="R6030" s="6"/>
      <c r="S6030" s="3"/>
      <c r="T6030" s="3"/>
      <c r="U6030" s="7"/>
      <c r="V6030" s="436"/>
      <c r="W6030" s="6"/>
      <c r="X6030" s="8"/>
      <c r="Y6030" s="8"/>
      <c r="AH6030" s="325"/>
      <c r="AI6030" s="325"/>
      <c r="AJ6030" s="325"/>
    </row>
    <row r="6031" spans="3:36" s="13" customFormat="1" ht="12" customHeight="1">
      <c r="C6031" s="4"/>
      <c r="D6031" s="4"/>
      <c r="E6031" s="5"/>
      <c r="F6031" s="6"/>
      <c r="G6031" s="31"/>
      <c r="H6031" s="6"/>
      <c r="I6031" s="9"/>
      <c r="J6031" s="24"/>
      <c r="K6031" s="9"/>
      <c r="L6031" s="25"/>
      <c r="M6031" s="7"/>
      <c r="N6031" s="8"/>
      <c r="O6031" s="11"/>
      <c r="P6031" s="11"/>
      <c r="Q6031" s="8"/>
      <c r="R6031" s="6"/>
      <c r="S6031" s="3"/>
      <c r="T6031" s="3"/>
      <c r="U6031" s="7"/>
      <c r="V6031" s="436"/>
      <c r="W6031" s="6"/>
      <c r="X6031" s="8"/>
      <c r="Y6031" s="8"/>
      <c r="AH6031" s="325"/>
      <c r="AI6031" s="325"/>
      <c r="AJ6031" s="325"/>
    </row>
    <row r="6032" spans="3:36" s="13" customFormat="1" ht="12" customHeight="1">
      <c r="C6032" s="4"/>
      <c r="D6032" s="4"/>
      <c r="E6032" s="5"/>
      <c r="F6032" s="6"/>
      <c r="G6032" s="31"/>
      <c r="H6032" s="6"/>
      <c r="I6032" s="9"/>
      <c r="J6032" s="24"/>
      <c r="K6032" s="9"/>
      <c r="L6032" s="25"/>
      <c r="M6032" s="7"/>
      <c r="N6032" s="8"/>
      <c r="O6032" s="11"/>
      <c r="P6032" s="11"/>
      <c r="Q6032" s="8"/>
      <c r="R6032" s="6"/>
      <c r="S6032" s="3"/>
      <c r="T6032" s="3"/>
      <c r="U6032" s="7"/>
      <c r="V6032" s="436"/>
      <c r="W6032" s="6"/>
      <c r="X6032" s="8"/>
      <c r="Y6032" s="8"/>
      <c r="AH6032" s="325"/>
      <c r="AI6032" s="325"/>
      <c r="AJ6032" s="325"/>
    </row>
    <row r="6033" spans="3:36" s="13" customFormat="1" ht="12" customHeight="1">
      <c r="C6033" s="4"/>
      <c r="D6033" s="4"/>
      <c r="E6033" s="5"/>
      <c r="F6033" s="6"/>
      <c r="G6033" s="31"/>
      <c r="H6033" s="6"/>
      <c r="I6033" s="9"/>
      <c r="J6033" s="24"/>
      <c r="K6033" s="10"/>
      <c r="L6033" s="25"/>
      <c r="M6033" s="7"/>
      <c r="N6033" s="8"/>
      <c r="O6033" s="11"/>
      <c r="P6033" s="11"/>
      <c r="Q6033" s="8"/>
      <c r="R6033" s="6"/>
      <c r="S6033" s="3"/>
      <c r="T6033" s="3"/>
      <c r="U6033" s="7"/>
      <c r="V6033" s="436"/>
      <c r="W6033" s="6"/>
      <c r="X6033" s="8"/>
      <c r="Y6033" s="8"/>
      <c r="AH6033" s="325"/>
      <c r="AI6033" s="325"/>
      <c r="AJ6033" s="325"/>
    </row>
    <row r="6034" spans="3:36" s="13" customFormat="1" ht="12" customHeight="1">
      <c r="C6034" s="4"/>
      <c r="D6034" s="4"/>
      <c r="E6034" s="5"/>
      <c r="F6034" s="6"/>
      <c r="G6034" s="31"/>
      <c r="H6034" s="6"/>
      <c r="I6034" s="9"/>
      <c r="J6034" s="24"/>
      <c r="K6034" s="9"/>
      <c r="L6034" s="25"/>
      <c r="M6034" s="7"/>
      <c r="N6034" s="8"/>
      <c r="O6034" s="11"/>
      <c r="P6034" s="11"/>
      <c r="Q6034" s="8"/>
      <c r="R6034" s="6"/>
      <c r="S6034" s="3"/>
      <c r="T6034" s="3"/>
      <c r="U6034" s="7"/>
      <c r="V6034" s="436"/>
      <c r="W6034" s="6"/>
      <c r="X6034" s="8"/>
      <c r="Y6034" s="8"/>
      <c r="AH6034" s="325"/>
      <c r="AI6034" s="325"/>
      <c r="AJ6034" s="325"/>
    </row>
    <row r="6035" spans="3:36" s="13" customFormat="1" ht="12" customHeight="1">
      <c r="C6035" s="4"/>
      <c r="D6035" s="4"/>
      <c r="E6035" s="5"/>
      <c r="F6035" s="6"/>
      <c r="G6035" s="31"/>
      <c r="H6035" s="6"/>
      <c r="I6035" s="9"/>
      <c r="J6035" s="24"/>
      <c r="K6035" s="9"/>
      <c r="L6035" s="25"/>
      <c r="M6035" s="7"/>
      <c r="N6035" s="8"/>
      <c r="O6035" s="11"/>
      <c r="P6035" s="11"/>
      <c r="Q6035" s="8"/>
      <c r="R6035" s="6"/>
      <c r="S6035" s="3"/>
      <c r="T6035" s="3"/>
      <c r="U6035" s="7"/>
      <c r="V6035" s="436"/>
      <c r="W6035" s="6"/>
      <c r="X6035" s="8"/>
      <c r="Y6035" s="8"/>
      <c r="AH6035" s="325"/>
      <c r="AI6035" s="325"/>
      <c r="AJ6035" s="325"/>
    </row>
    <row r="6036" spans="3:36" s="13" customFormat="1" ht="12" customHeight="1">
      <c r="C6036" s="4"/>
      <c r="D6036" s="4"/>
      <c r="E6036" s="5"/>
      <c r="F6036" s="6"/>
      <c r="G6036" s="31"/>
      <c r="H6036" s="6"/>
      <c r="I6036" s="9"/>
      <c r="J6036" s="24"/>
      <c r="K6036" s="9"/>
      <c r="L6036" s="25"/>
      <c r="M6036" s="7"/>
      <c r="N6036" s="8"/>
      <c r="O6036" s="11"/>
      <c r="P6036" s="11"/>
      <c r="Q6036" s="8"/>
      <c r="R6036" s="6"/>
      <c r="S6036" s="3"/>
      <c r="T6036" s="3"/>
      <c r="U6036" s="7"/>
      <c r="V6036" s="436"/>
      <c r="W6036" s="6"/>
      <c r="X6036" s="8"/>
      <c r="Y6036" s="8"/>
      <c r="AH6036" s="325"/>
      <c r="AI6036" s="325"/>
      <c r="AJ6036" s="325"/>
    </row>
    <row r="6037" spans="3:36" s="13" customFormat="1" ht="12" customHeight="1">
      <c r="C6037" s="4"/>
      <c r="D6037" s="4"/>
      <c r="E6037" s="5"/>
      <c r="F6037" s="6"/>
      <c r="G6037" s="31"/>
      <c r="H6037" s="6"/>
      <c r="I6037" s="9"/>
      <c r="J6037" s="24"/>
      <c r="K6037" s="9"/>
      <c r="L6037" s="25"/>
      <c r="M6037" s="7"/>
      <c r="N6037" s="8"/>
      <c r="O6037" s="11"/>
      <c r="P6037" s="11"/>
      <c r="Q6037" s="8"/>
      <c r="R6037" s="6"/>
      <c r="S6037" s="3"/>
      <c r="T6037" s="3"/>
      <c r="U6037" s="7"/>
      <c r="V6037" s="436"/>
      <c r="W6037" s="6"/>
      <c r="X6037" s="8"/>
      <c r="Y6037" s="8"/>
      <c r="AH6037" s="325"/>
      <c r="AI6037" s="325"/>
      <c r="AJ6037" s="325"/>
    </row>
    <row r="6038" spans="3:36" s="13" customFormat="1" ht="12" customHeight="1">
      <c r="C6038" s="4"/>
      <c r="D6038" s="4"/>
      <c r="E6038" s="5"/>
      <c r="F6038" s="6"/>
      <c r="G6038" s="31"/>
      <c r="H6038" s="6"/>
      <c r="I6038" s="9"/>
      <c r="J6038" s="24"/>
      <c r="K6038" s="9"/>
      <c r="L6038" s="25"/>
      <c r="M6038" s="47"/>
      <c r="N6038" s="8"/>
      <c r="O6038" s="11"/>
      <c r="P6038" s="11"/>
      <c r="Q6038" s="8"/>
      <c r="R6038" s="6"/>
      <c r="S6038" s="3"/>
      <c r="T6038" s="3"/>
      <c r="U6038" s="7"/>
      <c r="V6038" s="436"/>
      <c r="W6038" s="6"/>
      <c r="X6038" s="8"/>
      <c r="Y6038" s="8"/>
      <c r="AH6038" s="325"/>
      <c r="AI6038" s="325"/>
      <c r="AJ6038" s="325"/>
    </row>
    <row r="6039" spans="3:36" s="13" customFormat="1" ht="12" customHeight="1">
      <c r="C6039" s="4"/>
      <c r="D6039" s="4"/>
      <c r="E6039" s="5"/>
      <c r="F6039" s="6"/>
      <c r="G6039" s="31"/>
      <c r="H6039" s="6"/>
      <c r="I6039" s="9"/>
      <c r="J6039" s="24"/>
      <c r="K6039" s="9"/>
      <c r="L6039" s="25"/>
      <c r="M6039" s="7"/>
      <c r="N6039" s="8"/>
      <c r="O6039" s="11"/>
      <c r="P6039" s="11"/>
      <c r="Q6039" s="8"/>
      <c r="R6039" s="6"/>
      <c r="S6039" s="3"/>
      <c r="T6039" s="3"/>
      <c r="U6039" s="7"/>
      <c r="V6039" s="436"/>
      <c r="W6039" s="6"/>
      <c r="X6039" s="8"/>
      <c r="Y6039" s="8"/>
      <c r="AH6039" s="325"/>
      <c r="AI6039" s="325"/>
      <c r="AJ6039" s="325"/>
    </row>
    <row r="6040" spans="3:36" s="13" customFormat="1" ht="12" customHeight="1">
      <c r="C6040" s="4"/>
      <c r="D6040" s="4"/>
      <c r="E6040" s="5"/>
      <c r="F6040" s="6"/>
      <c r="G6040" s="31"/>
      <c r="H6040" s="6"/>
      <c r="I6040" s="9"/>
      <c r="J6040" s="24"/>
      <c r="K6040" s="9"/>
      <c r="L6040" s="25"/>
      <c r="M6040" s="7"/>
      <c r="N6040" s="8"/>
      <c r="O6040" s="11"/>
      <c r="P6040" s="11"/>
      <c r="Q6040" s="8"/>
      <c r="R6040" s="6"/>
      <c r="S6040" s="3"/>
      <c r="T6040" s="3"/>
      <c r="U6040" s="7"/>
      <c r="V6040" s="436"/>
      <c r="W6040" s="6"/>
      <c r="X6040" s="8"/>
      <c r="Y6040" s="8"/>
      <c r="AH6040" s="325"/>
      <c r="AI6040" s="325"/>
      <c r="AJ6040" s="325"/>
    </row>
    <row r="6041" spans="3:36" s="13" customFormat="1" ht="12" customHeight="1">
      <c r="C6041" s="4"/>
      <c r="D6041" s="4"/>
      <c r="E6041" s="5"/>
      <c r="F6041" s="6"/>
      <c r="G6041" s="31"/>
      <c r="H6041" s="6"/>
      <c r="I6041" s="9"/>
      <c r="J6041" s="24"/>
      <c r="K6041" s="9"/>
      <c r="L6041" s="25"/>
      <c r="M6041" s="7"/>
      <c r="N6041" s="8"/>
      <c r="O6041" s="11"/>
      <c r="P6041" s="11"/>
      <c r="Q6041" s="8"/>
      <c r="R6041" s="6"/>
      <c r="S6041" s="3"/>
      <c r="T6041" s="3"/>
      <c r="U6041" s="7"/>
      <c r="V6041" s="436"/>
      <c r="W6041" s="6"/>
      <c r="X6041" s="8"/>
      <c r="Y6041" s="8"/>
      <c r="AH6041" s="325"/>
      <c r="AI6041" s="325"/>
      <c r="AJ6041" s="325"/>
    </row>
    <row r="6042" spans="3:36" s="13" customFormat="1" ht="12" customHeight="1">
      <c r="C6042" s="4"/>
      <c r="D6042" s="4"/>
      <c r="E6042" s="5"/>
      <c r="F6042" s="6"/>
      <c r="G6042" s="31"/>
      <c r="H6042" s="6"/>
      <c r="I6042" s="9"/>
      <c r="J6042" s="24"/>
      <c r="K6042" s="9"/>
      <c r="L6042" s="25"/>
      <c r="M6042" s="7"/>
      <c r="N6042" s="8"/>
      <c r="O6042" s="11"/>
      <c r="P6042" s="11"/>
      <c r="Q6042" s="8"/>
      <c r="R6042" s="6"/>
      <c r="S6042" s="3"/>
      <c r="T6042" s="3"/>
      <c r="U6042" s="7"/>
      <c r="V6042" s="436"/>
      <c r="W6042" s="6"/>
      <c r="X6042" s="8"/>
      <c r="Y6042" s="8"/>
      <c r="AH6042" s="325"/>
      <c r="AI6042" s="325"/>
      <c r="AJ6042" s="325"/>
    </row>
    <row r="6043" spans="3:36" s="13" customFormat="1" ht="12" customHeight="1">
      <c r="C6043" s="4"/>
      <c r="D6043" s="4"/>
      <c r="E6043" s="5"/>
      <c r="F6043" s="6"/>
      <c r="G6043" s="31"/>
      <c r="H6043" s="6"/>
      <c r="I6043" s="9"/>
      <c r="J6043" s="24"/>
      <c r="K6043" s="9"/>
      <c r="L6043" s="25"/>
      <c r="M6043" s="7"/>
      <c r="N6043" s="8"/>
      <c r="O6043" s="11"/>
      <c r="P6043" s="11"/>
      <c r="Q6043" s="8"/>
      <c r="R6043" s="6"/>
      <c r="S6043" s="3"/>
      <c r="T6043" s="3"/>
      <c r="U6043" s="7"/>
      <c r="V6043" s="436"/>
      <c r="W6043" s="6"/>
      <c r="X6043" s="8"/>
      <c r="Y6043" s="8"/>
      <c r="AH6043" s="325"/>
      <c r="AI6043" s="325"/>
      <c r="AJ6043" s="325"/>
    </row>
    <row r="6044" spans="3:36" s="13" customFormat="1" ht="12" customHeight="1">
      <c r="C6044" s="4"/>
      <c r="D6044" s="4"/>
      <c r="E6044" s="5"/>
      <c r="F6044" s="6"/>
      <c r="G6044" s="31"/>
      <c r="H6044" s="6"/>
      <c r="I6044" s="9"/>
      <c r="J6044" s="24"/>
      <c r="K6044" s="9"/>
      <c r="L6044" s="25"/>
      <c r="M6044" s="47"/>
      <c r="N6044" s="8"/>
      <c r="O6044" s="11"/>
      <c r="P6044" s="11"/>
      <c r="Q6044" s="8"/>
      <c r="R6044" s="6"/>
      <c r="S6044" s="3"/>
      <c r="T6044" s="3"/>
      <c r="U6044" s="7"/>
      <c r="V6044" s="436"/>
      <c r="W6044" s="6"/>
      <c r="X6044" s="8"/>
      <c r="Y6044" s="8"/>
      <c r="AH6044" s="325"/>
      <c r="AI6044" s="325"/>
      <c r="AJ6044" s="325"/>
    </row>
    <row r="6045" spans="3:36" s="13" customFormat="1" ht="12" customHeight="1">
      <c r="C6045" s="4"/>
      <c r="D6045" s="4"/>
      <c r="E6045" s="5"/>
      <c r="F6045" s="6"/>
      <c r="G6045" s="31"/>
      <c r="H6045" s="6"/>
      <c r="I6045" s="9"/>
      <c r="J6045" s="24"/>
      <c r="K6045" s="9"/>
      <c r="L6045" s="25"/>
      <c r="M6045" s="7"/>
      <c r="N6045" s="8"/>
      <c r="O6045" s="11"/>
      <c r="P6045" s="11"/>
      <c r="Q6045" s="8"/>
      <c r="R6045" s="6"/>
      <c r="S6045" s="3"/>
      <c r="T6045" s="3"/>
      <c r="U6045" s="7"/>
      <c r="V6045" s="436"/>
      <c r="W6045" s="6"/>
      <c r="X6045" s="8"/>
      <c r="Y6045" s="8"/>
      <c r="AH6045" s="325"/>
      <c r="AI6045" s="325"/>
      <c r="AJ6045" s="325"/>
    </row>
    <row r="6046" spans="3:36" s="13" customFormat="1" ht="12" customHeight="1">
      <c r="C6046" s="4"/>
      <c r="D6046" s="4"/>
      <c r="E6046" s="5"/>
      <c r="F6046" s="6"/>
      <c r="G6046" s="31"/>
      <c r="H6046" s="6"/>
      <c r="I6046" s="9"/>
      <c r="J6046" s="24"/>
      <c r="K6046" s="9"/>
      <c r="L6046" s="25"/>
      <c r="M6046" s="7"/>
      <c r="N6046" s="8"/>
      <c r="O6046" s="11"/>
      <c r="P6046" s="11"/>
      <c r="Q6046" s="8"/>
      <c r="R6046" s="6"/>
      <c r="S6046" s="3"/>
      <c r="T6046" s="3"/>
      <c r="U6046" s="7"/>
      <c r="V6046" s="436"/>
      <c r="W6046" s="6"/>
      <c r="X6046" s="8"/>
      <c r="Y6046" s="8"/>
      <c r="AH6046" s="325"/>
      <c r="AI6046" s="325"/>
      <c r="AJ6046" s="325"/>
    </row>
    <row r="6047" spans="3:36" s="13" customFormat="1" ht="12" customHeight="1">
      <c r="C6047" s="4"/>
      <c r="D6047" s="4"/>
      <c r="E6047" s="5"/>
      <c r="F6047" s="6"/>
      <c r="G6047" s="31"/>
      <c r="H6047" s="6"/>
      <c r="I6047" s="9"/>
      <c r="J6047" s="24"/>
      <c r="K6047" s="9"/>
      <c r="L6047" s="25"/>
      <c r="M6047" s="7"/>
      <c r="N6047" s="8"/>
      <c r="O6047" s="11"/>
      <c r="P6047" s="11"/>
      <c r="Q6047" s="8"/>
      <c r="R6047" s="6"/>
      <c r="S6047" s="3"/>
      <c r="T6047" s="3"/>
      <c r="U6047" s="7"/>
      <c r="V6047" s="436"/>
      <c r="W6047" s="6"/>
      <c r="X6047" s="8"/>
      <c r="Y6047" s="8"/>
      <c r="AH6047" s="325"/>
      <c r="AI6047" s="325"/>
      <c r="AJ6047" s="325"/>
    </row>
    <row r="6048" spans="3:36" s="13" customFormat="1" ht="12" customHeight="1">
      <c r="C6048" s="4"/>
      <c r="D6048" s="4"/>
      <c r="E6048" s="5"/>
      <c r="F6048" s="6"/>
      <c r="G6048" s="31"/>
      <c r="H6048" s="6"/>
      <c r="I6048" s="9"/>
      <c r="J6048" s="24"/>
      <c r="K6048" s="9"/>
      <c r="L6048" s="25"/>
      <c r="M6048" s="7"/>
      <c r="N6048" s="8"/>
      <c r="O6048" s="11"/>
      <c r="P6048" s="11"/>
      <c r="Q6048" s="8"/>
      <c r="R6048" s="6"/>
      <c r="S6048" s="3"/>
      <c r="T6048" s="3"/>
      <c r="U6048" s="7"/>
      <c r="V6048" s="436"/>
      <c r="W6048" s="6"/>
      <c r="X6048" s="8"/>
      <c r="Y6048" s="8"/>
      <c r="AH6048" s="325"/>
      <c r="AI6048" s="325"/>
      <c r="AJ6048" s="325"/>
    </row>
    <row r="6049" spans="3:36" s="13" customFormat="1" ht="12" customHeight="1">
      <c r="C6049" s="4"/>
      <c r="D6049" s="4"/>
      <c r="E6049" s="5"/>
      <c r="F6049" s="6"/>
      <c r="G6049" s="31"/>
      <c r="H6049" s="6"/>
      <c r="I6049" s="9"/>
      <c r="J6049" s="24"/>
      <c r="K6049" s="9"/>
      <c r="L6049" s="25"/>
      <c r="M6049" s="7"/>
      <c r="N6049" s="8"/>
      <c r="O6049" s="11"/>
      <c r="P6049" s="11"/>
      <c r="Q6049" s="8"/>
      <c r="R6049" s="6"/>
      <c r="S6049" s="3"/>
      <c r="T6049" s="3"/>
      <c r="U6049" s="7"/>
      <c r="V6049" s="436"/>
      <c r="W6049" s="6"/>
      <c r="X6049" s="8"/>
      <c r="Y6049" s="8"/>
      <c r="AH6049" s="325"/>
      <c r="AI6049" s="325"/>
      <c r="AJ6049" s="325"/>
    </row>
    <row r="6050" spans="3:36" s="13" customFormat="1" ht="12" customHeight="1">
      <c r="C6050" s="4"/>
      <c r="D6050" s="4"/>
      <c r="E6050" s="5"/>
      <c r="F6050" s="6"/>
      <c r="G6050" s="31"/>
      <c r="H6050" s="6"/>
      <c r="I6050" s="9"/>
      <c r="J6050" s="24"/>
      <c r="K6050" s="9"/>
      <c r="L6050" s="25"/>
      <c r="M6050" s="7"/>
      <c r="N6050" s="8"/>
      <c r="O6050" s="11"/>
      <c r="P6050" s="11"/>
      <c r="Q6050" s="8"/>
      <c r="R6050" s="6"/>
      <c r="S6050" s="3"/>
      <c r="T6050" s="3"/>
      <c r="U6050" s="7"/>
      <c r="V6050" s="436"/>
      <c r="W6050" s="6"/>
      <c r="X6050" s="8"/>
      <c r="Y6050" s="8"/>
      <c r="AH6050" s="325"/>
      <c r="AI6050" s="325"/>
      <c r="AJ6050" s="325"/>
    </row>
    <row r="6051" spans="3:36" s="13" customFormat="1" ht="12" customHeight="1">
      <c r="C6051" s="4"/>
      <c r="D6051" s="4"/>
      <c r="E6051" s="5"/>
      <c r="F6051" s="6"/>
      <c r="G6051" s="31"/>
      <c r="H6051" s="6"/>
      <c r="I6051" s="9"/>
      <c r="J6051" s="24"/>
      <c r="K6051" s="10"/>
      <c r="L6051" s="25"/>
      <c r="M6051" s="7"/>
      <c r="N6051" s="8"/>
      <c r="O6051" s="11"/>
      <c r="P6051" s="11"/>
      <c r="Q6051" s="8"/>
      <c r="R6051" s="6"/>
      <c r="S6051" s="3"/>
      <c r="T6051" s="3"/>
      <c r="U6051" s="7"/>
      <c r="V6051" s="436"/>
      <c r="W6051" s="6"/>
      <c r="X6051" s="8"/>
      <c r="Y6051" s="8"/>
      <c r="AH6051" s="325"/>
      <c r="AI6051" s="325"/>
      <c r="AJ6051" s="325"/>
    </row>
    <row r="6052" spans="3:36" s="13" customFormat="1" ht="12" customHeight="1">
      <c r="C6052" s="4"/>
      <c r="D6052" s="4"/>
      <c r="E6052" s="5"/>
      <c r="F6052" s="6"/>
      <c r="G6052" s="31"/>
      <c r="H6052" s="6"/>
      <c r="I6052" s="9"/>
      <c r="J6052" s="24"/>
      <c r="K6052" s="10"/>
      <c r="L6052" s="25"/>
      <c r="M6052" s="7"/>
      <c r="N6052" s="8"/>
      <c r="O6052" s="11"/>
      <c r="P6052" s="11"/>
      <c r="Q6052" s="8"/>
      <c r="R6052" s="6"/>
      <c r="S6052" s="3"/>
      <c r="T6052" s="3"/>
      <c r="U6052" s="7"/>
      <c r="V6052" s="436"/>
      <c r="W6052" s="6"/>
      <c r="X6052" s="8"/>
      <c r="Y6052" s="8"/>
      <c r="AH6052" s="325"/>
      <c r="AI6052" s="325"/>
      <c r="AJ6052" s="325"/>
    </row>
    <row r="6053" spans="3:36" s="13" customFormat="1" ht="12" customHeight="1">
      <c r="C6053" s="4"/>
      <c r="D6053" s="4"/>
      <c r="E6053" s="5"/>
      <c r="F6053" s="6"/>
      <c r="G6053" s="31"/>
      <c r="H6053" s="6"/>
      <c r="I6053" s="9"/>
      <c r="J6053" s="24"/>
      <c r="K6053" s="10"/>
      <c r="L6053" s="25"/>
      <c r="M6053" s="7"/>
      <c r="N6053" s="8"/>
      <c r="O6053" s="11"/>
      <c r="P6053" s="11"/>
      <c r="Q6053" s="8"/>
      <c r="R6053" s="6"/>
      <c r="S6053" s="3"/>
      <c r="T6053" s="3"/>
      <c r="U6053" s="7"/>
      <c r="V6053" s="436"/>
      <c r="W6053" s="6"/>
      <c r="X6053" s="8"/>
      <c r="Y6053" s="8"/>
      <c r="AH6053" s="325"/>
      <c r="AI6053" s="325"/>
      <c r="AJ6053" s="325"/>
    </row>
    <row r="6054" spans="3:36" s="13" customFormat="1" ht="12" customHeight="1">
      <c r="C6054" s="4"/>
      <c r="D6054" s="4"/>
      <c r="E6054" s="5"/>
      <c r="F6054" s="6"/>
      <c r="G6054" s="31"/>
      <c r="H6054" s="6"/>
      <c r="I6054" s="9"/>
      <c r="J6054" s="24"/>
      <c r="K6054" s="10"/>
      <c r="L6054" s="25"/>
      <c r="M6054" s="7"/>
      <c r="N6054" s="8"/>
      <c r="O6054" s="11"/>
      <c r="P6054" s="11"/>
      <c r="Q6054" s="8"/>
      <c r="R6054" s="6"/>
      <c r="S6054" s="3"/>
      <c r="T6054" s="3"/>
      <c r="U6054" s="7"/>
      <c r="V6054" s="436"/>
      <c r="W6054" s="6"/>
      <c r="X6054" s="8"/>
      <c r="Y6054" s="8"/>
      <c r="AH6054" s="325"/>
      <c r="AI6054" s="325"/>
      <c r="AJ6054" s="325"/>
    </row>
    <row r="6055" spans="3:36" s="13" customFormat="1" ht="12" customHeight="1">
      <c r="C6055" s="4"/>
      <c r="D6055" s="4"/>
      <c r="E6055" s="5"/>
      <c r="F6055" s="6"/>
      <c r="G6055" s="31"/>
      <c r="H6055" s="6"/>
      <c r="I6055" s="9"/>
      <c r="J6055" s="24"/>
      <c r="K6055" s="9"/>
      <c r="L6055" s="25"/>
      <c r="M6055" s="7"/>
      <c r="N6055" s="8"/>
      <c r="O6055" s="11"/>
      <c r="P6055" s="11"/>
      <c r="Q6055" s="8"/>
      <c r="R6055" s="6"/>
      <c r="S6055" s="3"/>
      <c r="T6055" s="3"/>
      <c r="U6055" s="7"/>
      <c r="V6055" s="436"/>
      <c r="W6055" s="6"/>
      <c r="X6055" s="8"/>
      <c r="Y6055" s="8"/>
      <c r="AH6055" s="325"/>
      <c r="AI6055" s="325"/>
      <c r="AJ6055" s="325"/>
    </row>
    <row r="6056" spans="3:36" s="13" customFormat="1" ht="12" customHeight="1">
      <c r="C6056" s="4"/>
      <c r="D6056" s="4"/>
      <c r="E6056" s="5"/>
      <c r="F6056" s="6"/>
      <c r="G6056" s="31"/>
      <c r="H6056" s="6"/>
      <c r="I6056" s="9"/>
      <c r="J6056" s="24"/>
      <c r="K6056" s="9"/>
      <c r="L6056" s="25"/>
      <c r="M6056" s="7"/>
      <c r="N6056" s="8"/>
      <c r="O6056" s="11"/>
      <c r="P6056" s="11"/>
      <c r="Q6056" s="8"/>
      <c r="R6056" s="6"/>
      <c r="S6056" s="3"/>
      <c r="T6056" s="3"/>
      <c r="U6056" s="7"/>
      <c r="V6056" s="436"/>
      <c r="W6056" s="6"/>
      <c r="X6056" s="8"/>
      <c r="Y6056" s="8"/>
      <c r="AH6056" s="325"/>
      <c r="AI6056" s="325"/>
      <c r="AJ6056" s="325"/>
    </row>
    <row r="6057" spans="3:36" s="13" customFormat="1" ht="12" customHeight="1">
      <c r="C6057" s="4"/>
      <c r="D6057" s="4"/>
      <c r="E6057" s="5"/>
      <c r="F6057" s="6"/>
      <c r="G6057" s="31"/>
      <c r="H6057" s="6"/>
      <c r="I6057" s="9"/>
      <c r="J6057" s="24"/>
      <c r="K6057" s="9"/>
      <c r="L6057" s="25"/>
      <c r="M6057" s="7"/>
      <c r="N6057" s="8"/>
      <c r="O6057" s="11"/>
      <c r="P6057" s="11"/>
      <c r="Q6057" s="8"/>
      <c r="R6057" s="6"/>
      <c r="S6057" s="3"/>
      <c r="T6057" s="3"/>
      <c r="U6057" s="7"/>
      <c r="V6057" s="436"/>
      <c r="W6057" s="6"/>
      <c r="X6057" s="8"/>
      <c r="Y6057" s="8"/>
      <c r="AH6057" s="325"/>
      <c r="AI6057" s="325"/>
      <c r="AJ6057" s="325"/>
    </row>
    <row r="6058" spans="3:36" ht="12" customHeight="1">
      <c r="C6058" s="4"/>
      <c r="D6058" s="4"/>
      <c r="E6058" s="5"/>
      <c r="F6058" s="6"/>
      <c r="G6058" s="31"/>
      <c r="H6058" s="6"/>
      <c r="I6058" s="9"/>
      <c r="J6058" s="24"/>
      <c r="K6058" s="9"/>
      <c r="L6058" s="25"/>
      <c r="M6058" s="7"/>
      <c r="N6058" s="8"/>
      <c r="O6058" s="11"/>
      <c r="P6058" s="11"/>
      <c r="Q6058" s="8"/>
      <c r="R6058" s="6"/>
      <c r="S6058" s="3"/>
      <c r="T6058" s="3"/>
      <c r="U6058" s="7"/>
      <c r="V6058" s="436"/>
      <c r="W6058" s="6"/>
      <c r="X6058" s="8"/>
      <c r="Y6058" s="8"/>
    </row>
    <row r="6059" spans="3:36" ht="12" customHeight="1">
      <c r="C6059" s="4"/>
      <c r="D6059" s="4"/>
      <c r="E6059" s="5"/>
      <c r="F6059" s="6"/>
      <c r="G6059" s="31"/>
      <c r="H6059" s="6"/>
      <c r="I6059" s="9"/>
      <c r="J6059" s="24"/>
      <c r="K6059" s="9"/>
      <c r="L6059" s="25"/>
      <c r="M6059" s="7"/>
      <c r="N6059" s="8"/>
      <c r="O6059" s="11"/>
      <c r="P6059" s="11"/>
      <c r="Q6059" s="8"/>
      <c r="R6059" s="6"/>
      <c r="S6059" s="3"/>
      <c r="T6059" s="3"/>
      <c r="U6059" s="7"/>
      <c r="V6059" s="436"/>
      <c r="W6059" s="6"/>
      <c r="X6059" s="8"/>
      <c r="Y6059" s="8"/>
    </row>
    <row r="6060" spans="3:36" ht="12" customHeight="1">
      <c r="C6060" s="4"/>
      <c r="D6060" s="4"/>
      <c r="E6060" s="5"/>
      <c r="F6060" s="6"/>
      <c r="G6060" s="31"/>
      <c r="H6060" s="6"/>
      <c r="I6060" s="9"/>
      <c r="J6060" s="24"/>
      <c r="K6060" s="9"/>
      <c r="L6060" s="25"/>
      <c r="M6060" s="7"/>
      <c r="N6060" s="8"/>
      <c r="O6060" s="11"/>
      <c r="P6060" s="11"/>
      <c r="Q6060" s="8"/>
      <c r="R6060" s="6"/>
      <c r="S6060" s="3"/>
      <c r="T6060" s="3"/>
      <c r="U6060" s="7"/>
      <c r="V6060" s="436"/>
      <c r="W6060" s="6"/>
      <c r="X6060" s="8"/>
      <c r="Y6060" s="8"/>
    </row>
    <row r="6061" spans="3:36" ht="12" customHeight="1">
      <c r="C6061" s="4"/>
      <c r="D6061" s="4"/>
      <c r="E6061" s="5"/>
      <c r="F6061" s="6"/>
      <c r="G6061" s="31"/>
      <c r="H6061" s="6"/>
      <c r="I6061" s="9"/>
      <c r="J6061" s="24"/>
      <c r="K6061" s="9"/>
      <c r="L6061" s="25"/>
      <c r="M6061" s="7"/>
      <c r="N6061" s="8"/>
      <c r="O6061" s="11"/>
      <c r="P6061" s="11"/>
      <c r="Q6061" s="8"/>
      <c r="R6061" s="6"/>
      <c r="S6061" s="3"/>
      <c r="T6061" s="3"/>
      <c r="U6061" s="7"/>
      <c r="V6061" s="436"/>
      <c r="W6061" s="6"/>
      <c r="X6061" s="8"/>
      <c r="Y6061" s="8"/>
    </row>
    <row r="6062" spans="3:36" ht="12" customHeight="1">
      <c r="C6062" s="4"/>
      <c r="D6062" s="4"/>
      <c r="E6062" s="5"/>
      <c r="F6062" s="6"/>
      <c r="G6062" s="31"/>
      <c r="H6062" s="6"/>
      <c r="I6062" s="9"/>
      <c r="J6062" s="24"/>
      <c r="K6062" s="10"/>
      <c r="L6062" s="25"/>
      <c r="M6062" s="7"/>
      <c r="N6062" s="8"/>
      <c r="O6062" s="11"/>
      <c r="P6062" s="11"/>
      <c r="Q6062" s="8"/>
      <c r="R6062" s="6"/>
      <c r="S6062" s="3"/>
      <c r="T6062" s="3"/>
      <c r="U6062" s="7"/>
      <c r="V6062" s="436"/>
      <c r="W6062" s="6"/>
      <c r="X6062" s="8"/>
      <c r="Y6062" s="8"/>
    </row>
    <row r="6063" spans="3:36" ht="12" customHeight="1">
      <c r="C6063" s="4"/>
      <c r="D6063" s="4"/>
      <c r="E6063" s="5"/>
      <c r="F6063" s="6"/>
      <c r="G6063" s="31"/>
      <c r="H6063" s="6"/>
      <c r="I6063" s="9"/>
      <c r="J6063" s="24"/>
      <c r="K6063" s="10"/>
      <c r="L6063" s="25"/>
      <c r="M6063" s="7"/>
      <c r="N6063" s="8"/>
      <c r="O6063" s="11"/>
      <c r="P6063" s="11"/>
      <c r="Q6063" s="8"/>
      <c r="R6063" s="6"/>
      <c r="S6063" s="3"/>
      <c r="T6063" s="3"/>
      <c r="U6063" s="7"/>
      <c r="V6063" s="436"/>
      <c r="W6063" s="6"/>
      <c r="X6063" s="8"/>
      <c r="Y6063" s="8"/>
    </row>
    <row r="6064" spans="3:36" ht="12" customHeight="1">
      <c r="C6064" s="4"/>
      <c r="D6064" s="4"/>
      <c r="E6064" s="5"/>
      <c r="F6064" s="6"/>
      <c r="G6064" s="31"/>
      <c r="H6064" s="6"/>
      <c r="I6064" s="9"/>
      <c r="J6064" s="24"/>
      <c r="K6064" s="10"/>
      <c r="L6064" s="25"/>
      <c r="M6064" s="7"/>
      <c r="N6064" s="8"/>
      <c r="O6064" s="11"/>
      <c r="P6064" s="11"/>
      <c r="Q6064" s="8"/>
      <c r="R6064" s="6"/>
      <c r="S6064" s="3"/>
      <c r="T6064" s="3"/>
      <c r="U6064" s="7"/>
      <c r="V6064" s="436"/>
      <c r="W6064" s="6"/>
      <c r="X6064" s="8"/>
      <c r="Y6064" s="8"/>
    </row>
    <row r="6065" spans="3:25" ht="12" customHeight="1">
      <c r="C6065" s="4"/>
      <c r="D6065" s="4"/>
      <c r="E6065" s="5"/>
      <c r="F6065" s="6"/>
      <c r="G6065" s="31"/>
      <c r="H6065" s="6"/>
      <c r="I6065" s="9"/>
      <c r="J6065" s="24"/>
      <c r="K6065" s="9"/>
      <c r="L6065" s="25"/>
      <c r="M6065" s="7"/>
      <c r="N6065" s="8"/>
      <c r="O6065" s="11"/>
      <c r="P6065" s="11"/>
      <c r="Q6065" s="8"/>
      <c r="R6065" s="6"/>
      <c r="S6065" s="3"/>
      <c r="T6065" s="3"/>
      <c r="U6065" s="7"/>
      <c r="V6065" s="436"/>
      <c r="W6065" s="6"/>
      <c r="X6065" s="8"/>
      <c r="Y6065" s="8"/>
    </row>
    <row r="6066" spans="3:25" ht="12" customHeight="1">
      <c r="C6066" s="4"/>
      <c r="D6066" s="4"/>
      <c r="E6066" s="5"/>
      <c r="F6066" s="6"/>
      <c r="G6066" s="31"/>
      <c r="H6066" s="6"/>
      <c r="I6066" s="9"/>
      <c r="J6066" s="24"/>
      <c r="K6066" s="9"/>
      <c r="L6066" s="25"/>
      <c r="M6066" s="7"/>
      <c r="N6066" s="8"/>
      <c r="O6066" s="11"/>
      <c r="P6066" s="11"/>
      <c r="Q6066" s="8"/>
      <c r="R6066" s="6"/>
      <c r="S6066" s="3"/>
      <c r="T6066" s="3"/>
      <c r="U6066" s="7"/>
      <c r="V6066" s="436"/>
      <c r="W6066" s="6"/>
      <c r="X6066" s="8"/>
      <c r="Y6066" s="8"/>
    </row>
    <row r="6067" spans="3:25" ht="12" customHeight="1">
      <c r="C6067" s="4"/>
      <c r="D6067" s="4"/>
      <c r="E6067" s="5"/>
      <c r="F6067" s="6"/>
      <c r="G6067" s="31"/>
      <c r="H6067" s="6"/>
      <c r="I6067" s="9"/>
      <c r="J6067" s="24"/>
      <c r="K6067" s="9"/>
      <c r="L6067" s="25"/>
      <c r="M6067" s="7"/>
      <c r="N6067" s="8"/>
      <c r="O6067" s="11"/>
      <c r="P6067" s="11"/>
      <c r="Q6067" s="8"/>
      <c r="R6067" s="6"/>
      <c r="S6067" s="3"/>
      <c r="T6067" s="3"/>
      <c r="U6067" s="7"/>
      <c r="V6067" s="436"/>
      <c r="W6067" s="6"/>
      <c r="X6067" s="8"/>
      <c r="Y6067" s="8"/>
    </row>
    <row r="6068" spans="3:25" ht="12" customHeight="1">
      <c r="C6068" s="4"/>
      <c r="D6068" s="4"/>
      <c r="E6068" s="5"/>
      <c r="F6068" s="6"/>
      <c r="G6068" s="31"/>
      <c r="H6068" s="6"/>
      <c r="I6068" s="9"/>
      <c r="J6068" s="24"/>
      <c r="K6068" s="10"/>
      <c r="L6068" s="25"/>
      <c r="M6068" s="7"/>
      <c r="N6068" s="8"/>
      <c r="O6068" s="11"/>
      <c r="P6068" s="11"/>
      <c r="Q6068" s="8"/>
      <c r="R6068" s="6"/>
      <c r="S6068" s="3"/>
      <c r="T6068" s="3"/>
      <c r="U6068" s="7"/>
      <c r="V6068" s="436"/>
      <c r="W6068" s="6"/>
      <c r="X6068" s="8"/>
      <c r="Y6068" s="8"/>
    </row>
    <row r="6069" spans="3:25" ht="12" customHeight="1">
      <c r="C6069" s="4"/>
      <c r="D6069" s="4"/>
      <c r="E6069" s="5"/>
      <c r="F6069" s="6"/>
      <c r="G6069" s="31"/>
      <c r="H6069" s="6"/>
      <c r="I6069" s="9"/>
      <c r="J6069" s="24"/>
      <c r="K6069" s="10"/>
      <c r="L6069" s="25"/>
      <c r="M6069" s="7"/>
      <c r="N6069" s="8"/>
      <c r="O6069" s="11"/>
      <c r="P6069" s="11"/>
      <c r="Q6069" s="8"/>
      <c r="R6069" s="6"/>
      <c r="S6069" s="3"/>
      <c r="T6069" s="3"/>
      <c r="U6069" s="7"/>
      <c r="V6069" s="436"/>
      <c r="W6069" s="6"/>
      <c r="X6069" s="8"/>
      <c r="Y6069" s="8"/>
    </row>
    <row r="6070" spans="3:25" ht="12" customHeight="1">
      <c r="C6070" s="4"/>
      <c r="D6070" s="4"/>
      <c r="E6070" s="5"/>
      <c r="F6070" s="6"/>
      <c r="G6070" s="31"/>
      <c r="H6070" s="6"/>
      <c r="I6070" s="9"/>
      <c r="J6070" s="24"/>
      <c r="K6070" s="10"/>
      <c r="L6070" s="25"/>
      <c r="M6070" s="7"/>
      <c r="N6070" s="8"/>
      <c r="O6070" s="11"/>
      <c r="P6070" s="11"/>
      <c r="Q6070" s="8"/>
      <c r="R6070" s="6"/>
      <c r="S6070" s="3"/>
      <c r="T6070" s="3"/>
      <c r="U6070" s="7"/>
      <c r="V6070" s="436"/>
      <c r="W6070" s="6"/>
      <c r="X6070" s="8"/>
      <c r="Y6070" s="8"/>
    </row>
    <row r="6071" spans="3:25" ht="12" customHeight="1">
      <c r="C6071" s="4"/>
      <c r="D6071" s="4"/>
      <c r="E6071" s="5"/>
      <c r="F6071" s="6"/>
      <c r="G6071" s="31"/>
      <c r="H6071" s="6"/>
      <c r="I6071" s="9"/>
      <c r="J6071" s="24"/>
      <c r="K6071" s="9"/>
      <c r="L6071" s="25"/>
      <c r="M6071" s="7"/>
      <c r="N6071" s="8"/>
      <c r="O6071" s="11"/>
      <c r="P6071" s="11"/>
      <c r="Q6071" s="8"/>
      <c r="R6071" s="6"/>
      <c r="S6071" s="3"/>
      <c r="T6071" s="3"/>
      <c r="U6071" s="7"/>
      <c r="V6071" s="436"/>
      <c r="W6071" s="6"/>
      <c r="X6071" s="8"/>
      <c r="Y6071" s="8"/>
    </row>
    <row r="6072" spans="3:25" ht="12" customHeight="1">
      <c r="C6072" s="4"/>
      <c r="D6072" s="4"/>
      <c r="E6072" s="5"/>
      <c r="F6072" s="6"/>
      <c r="G6072" s="31"/>
      <c r="H6072" s="6"/>
      <c r="I6072" s="9"/>
      <c r="J6072" s="24"/>
      <c r="K6072" s="9"/>
      <c r="L6072" s="25"/>
      <c r="M6072" s="7"/>
      <c r="N6072" s="8"/>
      <c r="O6072" s="11"/>
      <c r="P6072" s="11"/>
      <c r="Q6072" s="8"/>
      <c r="R6072" s="6"/>
      <c r="S6072" s="3"/>
      <c r="T6072" s="3"/>
      <c r="U6072" s="7"/>
      <c r="V6072" s="436"/>
      <c r="W6072" s="6"/>
      <c r="X6072" s="8"/>
      <c r="Y6072" s="8"/>
    </row>
    <row r="6073" spans="3:25" ht="12" customHeight="1">
      <c r="C6073" s="4"/>
      <c r="D6073" s="4"/>
      <c r="E6073" s="5"/>
      <c r="F6073" s="6"/>
      <c r="G6073" s="31"/>
      <c r="H6073" s="6"/>
      <c r="I6073" s="9"/>
      <c r="J6073" s="24"/>
      <c r="K6073" s="9"/>
      <c r="L6073" s="25"/>
      <c r="M6073" s="7"/>
      <c r="N6073" s="8"/>
      <c r="O6073" s="11"/>
      <c r="P6073" s="11"/>
      <c r="Q6073" s="8"/>
      <c r="R6073" s="6"/>
      <c r="S6073" s="3"/>
      <c r="T6073" s="3"/>
      <c r="U6073" s="7"/>
      <c r="V6073" s="436"/>
      <c r="W6073" s="6"/>
      <c r="X6073" s="8"/>
      <c r="Y6073" s="8"/>
    </row>
    <row r="6074" spans="3:25" ht="12" customHeight="1">
      <c r="C6074" s="4"/>
      <c r="D6074" s="4"/>
      <c r="E6074" s="5"/>
      <c r="F6074" s="6"/>
      <c r="G6074" s="31"/>
      <c r="H6074" s="6"/>
      <c r="I6074" s="9"/>
      <c r="J6074" s="24"/>
      <c r="K6074" s="9"/>
      <c r="L6074" s="25"/>
      <c r="M6074" s="7"/>
      <c r="N6074" s="8"/>
      <c r="O6074" s="11"/>
      <c r="P6074" s="11"/>
      <c r="Q6074" s="8"/>
      <c r="R6074" s="6"/>
      <c r="S6074" s="3"/>
      <c r="T6074" s="3"/>
      <c r="U6074" s="7"/>
      <c r="V6074" s="436"/>
      <c r="W6074" s="6"/>
      <c r="X6074" s="8"/>
      <c r="Y6074" s="8"/>
    </row>
    <row r="6075" spans="3:25" ht="12" customHeight="1">
      <c r="C6075" s="4"/>
      <c r="D6075" s="4"/>
      <c r="E6075" s="5"/>
      <c r="F6075" s="6"/>
      <c r="G6075" s="31"/>
      <c r="H6075" s="6"/>
      <c r="I6075" s="9"/>
      <c r="J6075" s="24"/>
      <c r="K6075" s="9"/>
      <c r="L6075" s="25"/>
      <c r="M6075" s="7"/>
      <c r="N6075" s="8"/>
      <c r="O6075" s="11"/>
      <c r="P6075" s="11"/>
      <c r="Q6075" s="8"/>
      <c r="R6075" s="6"/>
      <c r="S6075" s="3"/>
      <c r="T6075" s="3"/>
      <c r="U6075" s="7"/>
      <c r="V6075" s="436"/>
      <c r="W6075" s="6"/>
      <c r="X6075" s="8"/>
      <c r="Y6075" s="8"/>
    </row>
    <row r="6076" spans="3:25" ht="12" customHeight="1">
      <c r="C6076" s="4"/>
      <c r="D6076" s="4"/>
      <c r="E6076" s="5"/>
      <c r="F6076" s="6"/>
      <c r="G6076" s="31"/>
      <c r="H6076" s="6"/>
      <c r="I6076" s="9"/>
      <c r="J6076" s="24"/>
      <c r="K6076" s="9"/>
      <c r="L6076" s="25"/>
      <c r="M6076" s="7"/>
      <c r="N6076" s="8"/>
      <c r="O6076" s="11"/>
      <c r="P6076" s="11"/>
      <c r="Q6076" s="8"/>
      <c r="R6076" s="6"/>
      <c r="S6076" s="3"/>
      <c r="T6076" s="3"/>
      <c r="U6076" s="7"/>
      <c r="V6076" s="436"/>
      <c r="W6076" s="6"/>
      <c r="X6076" s="8"/>
      <c r="Y6076" s="8"/>
    </row>
    <row r="6077" spans="3:25" ht="12" customHeight="1">
      <c r="C6077" s="4"/>
      <c r="D6077" s="4"/>
      <c r="E6077" s="5"/>
      <c r="F6077" s="6"/>
      <c r="G6077" s="31"/>
      <c r="H6077" s="6"/>
      <c r="I6077" s="9"/>
      <c r="J6077" s="24"/>
      <c r="K6077" s="9"/>
      <c r="L6077" s="25"/>
      <c r="M6077" s="7"/>
      <c r="N6077" s="8"/>
      <c r="O6077" s="11"/>
      <c r="P6077" s="11"/>
      <c r="Q6077" s="8"/>
      <c r="R6077" s="6"/>
      <c r="S6077" s="3"/>
      <c r="T6077" s="3"/>
      <c r="U6077" s="7"/>
      <c r="V6077" s="436"/>
      <c r="W6077" s="6"/>
      <c r="X6077" s="8"/>
      <c r="Y6077" s="8"/>
    </row>
    <row r="6078" spans="3:25" ht="12" customHeight="1">
      <c r="C6078" s="4"/>
      <c r="D6078" s="4"/>
      <c r="E6078" s="5"/>
      <c r="F6078" s="6"/>
      <c r="G6078" s="31"/>
      <c r="H6078" s="6"/>
      <c r="I6078" s="9"/>
      <c r="J6078" s="24"/>
      <c r="K6078" s="9"/>
      <c r="L6078" s="25"/>
      <c r="M6078" s="7"/>
      <c r="N6078" s="8"/>
      <c r="O6078" s="11"/>
      <c r="P6078" s="11"/>
      <c r="Q6078" s="8"/>
      <c r="R6078" s="6"/>
      <c r="S6078" s="3"/>
      <c r="T6078" s="3"/>
      <c r="U6078" s="7"/>
      <c r="V6078" s="436"/>
      <c r="W6078" s="6"/>
      <c r="X6078" s="8"/>
      <c r="Y6078" s="8"/>
    </row>
    <row r="6079" spans="3:25" ht="12" customHeight="1">
      <c r="C6079" s="4"/>
      <c r="D6079" s="4"/>
      <c r="E6079" s="5"/>
      <c r="F6079" s="6"/>
      <c r="G6079" s="31"/>
      <c r="H6079" s="6"/>
      <c r="I6079" s="9"/>
      <c r="J6079" s="24"/>
      <c r="K6079" s="9"/>
      <c r="L6079" s="25"/>
      <c r="M6079" s="7"/>
      <c r="N6079" s="8"/>
      <c r="O6079" s="11"/>
      <c r="P6079" s="11"/>
      <c r="Q6079" s="8"/>
      <c r="R6079" s="6"/>
      <c r="S6079" s="3"/>
      <c r="T6079" s="3"/>
      <c r="U6079" s="7"/>
      <c r="V6079" s="436"/>
      <c r="W6079" s="6"/>
      <c r="X6079" s="8"/>
      <c r="Y6079" s="8"/>
    </row>
    <row r="6080" spans="3:25" ht="12" customHeight="1">
      <c r="C6080" s="4"/>
      <c r="D6080" s="4"/>
      <c r="E6080" s="5"/>
      <c r="F6080" s="6"/>
      <c r="G6080" s="31"/>
      <c r="H6080" s="6"/>
      <c r="I6080" s="9"/>
      <c r="J6080" s="24"/>
      <c r="K6080" s="9"/>
      <c r="L6080" s="25"/>
      <c r="M6080" s="7"/>
      <c r="N6080" s="8"/>
      <c r="O6080" s="11"/>
      <c r="P6080" s="11"/>
      <c r="Q6080" s="8"/>
      <c r="R6080" s="6"/>
      <c r="S6080" s="3"/>
      <c r="T6080" s="3"/>
      <c r="U6080" s="7"/>
      <c r="V6080" s="436"/>
      <c r="W6080" s="6"/>
      <c r="X6080" s="8"/>
      <c r="Y6080" s="8"/>
    </row>
    <row r="6081" spans="3:25" ht="12" customHeight="1">
      <c r="C6081" s="4"/>
      <c r="D6081" s="4"/>
      <c r="E6081" s="5"/>
      <c r="F6081" s="6"/>
      <c r="G6081" s="31"/>
      <c r="H6081" s="6"/>
      <c r="I6081" s="9"/>
      <c r="J6081" s="24"/>
      <c r="K6081" s="9"/>
      <c r="L6081" s="25"/>
      <c r="M6081" s="47"/>
      <c r="N6081" s="8"/>
      <c r="O6081" s="11"/>
      <c r="P6081" s="11"/>
      <c r="Q6081" s="8"/>
      <c r="R6081" s="6"/>
      <c r="S6081" s="3"/>
      <c r="T6081" s="3"/>
      <c r="U6081" s="7"/>
      <c r="V6081" s="436"/>
      <c r="W6081" s="6"/>
      <c r="X6081" s="8"/>
      <c r="Y6081" s="8"/>
    </row>
    <row r="6082" spans="3:25" ht="12" customHeight="1">
      <c r="C6082" s="4"/>
      <c r="D6082" s="4"/>
      <c r="E6082" s="5"/>
      <c r="F6082" s="6"/>
      <c r="G6082" s="31"/>
      <c r="H6082" s="6"/>
      <c r="I6082" s="9"/>
      <c r="J6082" s="24"/>
      <c r="K6082" s="9"/>
      <c r="L6082" s="25"/>
      <c r="M6082" s="7"/>
      <c r="N6082" s="8"/>
      <c r="O6082" s="11"/>
      <c r="P6082" s="11"/>
      <c r="Q6082" s="8"/>
      <c r="R6082" s="6"/>
      <c r="S6082" s="3"/>
      <c r="T6082" s="3"/>
      <c r="U6082" s="7"/>
      <c r="V6082" s="436"/>
      <c r="W6082" s="6"/>
      <c r="X6082" s="8"/>
      <c r="Y6082" s="8"/>
    </row>
    <row r="6083" spans="3:25" ht="12" customHeight="1">
      <c r="C6083" s="4"/>
      <c r="D6083" s="4"/>
      <c r="E6083" s="5"/>
      <c r="F6083" s="6"/>
      <c r="G6083" s="31"/>
      <c r="H6083" s="6"/>
      <c r="I6083" s="9"/>
      <c r="J6083" s="24"/>
      <c r="K6083" s="9"/>
      <c r="L6083" s="25"/>
      <c r="M6083" s="7"/>
      <c r="N6083" s="8"/>
      <c r="O6083" s="11"/>
      <c r="P6083" s="11"/>
      <c r="Q6083" s="8"/>
      <c r="R6083" s="6"/>
      <c r="S6083" s="3"/>
      <c r="T6083" s="3"/>
      <c r="U6083" s="7"/>
      <c r="V6083" s="436"/>
      <c r="W6083" s="6"/>
      <c r="X6083" s="8"/>
      <c r="Y6083" s="8"/>
    </row>
    <row r="6084" spans="3:25" ht="12" customHeight="1">
      <c r="C6084" s="4"/>
      <c r="D6084" s="4"/>
      <c r="E6084" s="5"/>
      <c r="F6084" s="6"/>
      <c r="G6084" s="31"/>
      <c r="H6084" s="6"/>
      <c r="I6084" s="9"/>
      <c r="J6084" s="24"/>
      <c r="K6084" s="9"/>
      <c r="L6084" s="25"/>
      <c r="M6084" s="7"/>
      <c r="N6084" s="8"/>
      <c r="O6084" s="11"/>
      <c r="P6084" s="11"/>
      <c r="Q6084" s="8"/>
      <c r="R6084" s="6"/>
      <c r="S6084" s="3"/>
      <c r="T6084" s="3"/>
      <c r="U6084" s="7"/>
      <c r="V6084" s="436"/>
      <c r="W6084" s="6"/>
      <c r="X6084" s="8"/>
      <c r="Y6084" s="8"/>
    </row>
    <row r="6085" spans="3:25" ht="12" customHeight="1">
      <c r="C6085" s="4"/>
      <c r="D6085" s="4"/>
      <c r="E6085" s="5"/>
      <c r="F6085" s="6"/>
      <c r="G6085" s="31"/>
      <c r="H6085" s="6"/>
      <c r="I6085" s="9"/>
      <c r="J6085" s="24"/>
      <c r="K6085" s="9"/>
      <c r="L6085" s="25"/>
      <c r="M6085" s="7"/>
      <c r="N6085" s="8"/>
      <c r="O6085" s="11"/>
      <c r="P6085" s="11"/>
      <c r="Q6085" s="8"/>
      <c r="R6085" s="6"/>
      <c r="S6085" s="3"/>
      <c r="T6085" s="3"/>
      <c r="U6085" s="7"/>
      <c r="V6085" s="436"/>
      <c r="W6085" s="6"/>
      <c r="X6085" s="8"/>
      <c r="Y6085" s="8"/>
    </row>
    <row r="6086" spans="3:25" ht="12" customHeight="1">
      <c r="C6086" s="4"/>
      <c r="D6086" s="4"/>
      <c r="E6086" s="5"/>
      <c r="F6086" s="6"/>
      <c r="G6086" s="31"/>
      <c r="H6086" s="6"/>
      <c r="I6086" s="9"/>
      <c r="J6086" s="24"/>
      <c r="K6086" s="9"/>
      <c r="L6086" s="25"/>
      <c r="M6086" s="7"/>
      <c r="N6086" s="8"/>
      <c r="O6086" s="11"/>
      <c r="P6086" s="11"/>
      <c r="Q6086" s="8"/>
      <c r="R6086" s="6"/>
      <c r="S6086" s="3"/>
      <c r="T6086" s="3"/>
      <c r="U6086" s="7"/>
      <c r="V6086" s="436"/>
      <c r="W6086" s="6"/>
      <c r="X6086" s="8"/>
      <c r="Y6086" s="8"/>
    </row>
    <row r="6087" spans="3:25" ht="12" customHeight="1">
      <c r="C6087" s="4"/>
      <c r="D6087" s="4"/>
      <c r="E6087" s="5"/>
      <c r="F6087" s="6"/>
      <c r="G6087" s="31"/>
      <c r="H6087" s="6"/>
      <c r="I6087" s="9"/>
      <c r="J6087" s="24"/>
      <c r="K6087" s="9"/>
      <c r="L6087" s="25"/>
      <c r="M6087" s="7"/>
      <c r="N6087" s="8"/>
      <c r="O6087" s="11"/>
      <c r="P6087" s="11"/>
      <c r="Q6087" s="8"/>
      <c r="R6087" s="6"/>
      <c r="S6087" s="3"/>
      <c r="T6087" s="3"/>
      <c r="U6087" s="7"/>
      <c r="V6087" s="436"/>
      <c r="W6087" s="6"/>
      <c r="X6087" s="8"/>
      <c r="Y6087" s="8"/>
    </row>
    <row r="6088" spans="3:25" ht="12" customHeight="1">
      <c r="C6088" s="4"/>
      <c r="D6088" s="4"/>
      <c r="E6088" s="5"/>
      <c r="F6088" s="6"/>
      <c r="G6088" s="31"/>
      <c r="H6088" s="6"/>
      <c r="I6088" s="9"/>
      <c r="J6088" s="24"/>
      <c r="K6088" s="9"/>
      <c r="L6088" s="25"/>
      <c r="M6088" s="7"/>
      <c r="N6088" s="8"/>
      <c r="O6088" s="11"/>
      <c r="P6088" s="11"/>
      <c r="Q6088" s="8"/>
      <c r="R6088" s="6"/>
      <c r="S6088" s="3"/>
      <c r="T6088" s="3"/>
      <c r="U6088" s="7"/>
      <c r="V6088" s="436"/>
      <c r="W6088" s="6"/>
      <c r="X6088" s="8"/>
      <c r="Y6088" s="8"/>
    </row>
    <row r="6089" spans="3:25" ht="12" customHeight="1">
      <c r="C6089" s="4"/>
      <c r="D6089" s="4"/>
      <c r="E6089" s="5"/>
      <c r="F6089" s="6"/>
      <c r="G6089" s="31"/>
      <c r="H6089" s="6"/>
      <c r="I6089" s="9"/>
      <c r="J6089" s="24"/>
      <c r="K6089" s="9"/>
      <c r="L6089" s="25"/>
      <c r="M6089" s="7"/>
      <c r="N6089" s="8"/>
      <c r="O6089" s="11"/>
      <c r="P6089" s="11"/>
      <c r="Q6089" s="8"/>
      <c r="R6089" s="6"/>
      <c r="S6089" s="3"/>
      <c r="T6089" s="3"/>
      <c r="U6089" s="7"/>
      <c r="V6089" s="436"/>
      <c r="W6089" s="6"/>
      <c r="X6089" s="8"/>
      <c r="Y6089" s="8"/>
    </row>
    <row r="6090" spans="3:25" ht="12" customHeight="1">
      <c r="C6090" s="4"/>
      <c r="D6090" s="4"/>
      <c r="E6090" s="5"/>
      <c r="F6090" s="6"/>
      <c r="G6090" s="31"/>
      <c r="H6090" s="6"/>
      <c r="I6090" s="9"/>
      <c r="J6090" s="24"/>
      <c r="K6090" s="9"/>
      <c r="L6090" s="25"/>
      <c r="M6090" s="7"/>
      <c r="N6090" s="8"/>
      <c r="O6090" s="11"/>
      <c r="P6090" s="11"/>
      <c r="Q6090" s="8"/>
      <c r="R6090" s="6"/>
      <c r="S6090" s="3"/>
      <c r="T6090" s="3"/>
      <c r="U6090" s="7"/>
      <c r="V6090" s="436"/>
      <c r="W6090" s="6"/>
      <c r="X6090" s="8"/>
      <c r="Y6090" s="8"/>
    </row>
    <row r="6091" spans="3:25" ht="12" customHeight="1">
      <c r="C6091" s="4"/>
      <c r="D6091" s="4"/>
      <c r="E6091" s="5"/>
      <c r="F6091" s="6"/>
      <c r="G6091" s="31"/>
      <c r="H6091" s="6"/>
      <c r="I6091" s="9"/>
      <c r="J6091" s="24"/>
      <c r="K6091" s="10"/>
      <c r="L6091" s="25"/>
      <c r="M6091" s="7"/>
      <c r="N6091" s="8"/>
      <c r="O6091" s="11"/>
      <c r="P6091" s="11"/>
      <c r="Q6091" s="8"/>
      <c r="R6091" s="6"/>
      <c r="S6091" s="3"/>
      <c r="T6091" s="3"/>
      <c r="U6091" s="7"/>
      <c r="V6091" s="436"/>
      <c r="W6091" s="6"/>
      <c r="X6091" s="8"/>
      <c r="Y6091" s="8"/>
    </row>
    <row r="6092" spans="3:25" ht="12" customHeight="1">
      <c r="C6092" s="4"/>
      <c r="D6092" s="4"/>
      <c r="E6092" s="5"/>
      <c r="F6092" s="6"/>
      <c r="G6092" s="31"/>
      <c r="H6092" s="6"/>
      <c r="I6092" s="9"/>
      <c r="J6092" s="24"/>
      <c r="K6092" s="10"/>
      <c r="L6092" s="25"/>
      <c r="M6092" s="7"/>
      <c r="N6092" s="8"/>
      <c r="O6092" s="11"/>
      <c r="P6092" s="11"/>
      <c r="Q6092" s="8"/>
      <c r="R6092" s="6"/>
      <c r="S6092" s="3"/>
      <c r="T6092" s="3"/>
      <c r="U6092" s="7"/>
      <c r="V6092" s="436"/>
      <c r="W6092" s="6"/>
      <c r="X6092" s="8"/>
      <c r="Y6092" s="8"/>
    </row>
    <row r="6093" spans="3:25" ht="12" customHeight="1">
      <c r="C6093" s="4"/>
      <c r="D6093" s="4"/>
      <c r="E6093" s="5"/>
      <c r="F6093" s="6"/>
      <c r="G6093" s="31"/>
      <c r="H6093" s="6"/>
      <c r="I6093" s="9"/>
      <c r="J6093" s="24"/>
      <c r="K6093" s="10"/>
      <c r="L6093" s="25"/>
      <c r="M6093" s="7"/>
      <c r="N6093" s="8"/>
      <c r="O6093" s="11"/>
      <c r="P6093" s="11"/>
      <c r="Q6093" s="8"/>
      <c r="R6093" s="6"/>
      <c r="S6093" s="3"/>
      <c r="T6093" s="3"/>
      <c r="U6093" s="7"/>
      <c r="V6093" s="436"/>
      <c r="W6093" s="6"/>
      <c r="X6093" s="8"/>
      <c r="Y6093" s="8"/>
    </row>
    <row r="6094" spans="3:25" ht="12" customHeight="1">
      <c r="C6094" s="4"/>
      <c r="D6094" s="4"/>
      <c r="E6094" s="5"/>
      <c r="F6094" s="6"/>
      <c r="G6094" s="31"/>
      <c r="H6094" s="6"/>
      <c r="I6094" s="9"/>
      <c r="J6094" s="24"/>
      <c r="K6094" s="9"/>
      <c r="L6094" s="25"/>
      <c r="M6094" s="7"/>
      <c r="N6094" s="8"/>
      <c r="O6094" s="11"/>
      <c r="P6094" s="11"/>
      <c r="Q6094" s="8"/>
      <c r="R6094" s="6"/>
      <c r="S6094" s="3"/>
      <c r="T6094" s="3"/>
      <c r="U6094" s="7"/>
      <c r="V6094" s="436"/>
      <c r="W6094" s="6"/>
      <c r="X6094" s="8"/>
      <c r="Y6094" s="8"/>
    </row>
    <row r="6095" spans="3:25" ht="12" customHeight="1">
      <c r="C6095" s="4"/>
      <c r="D6095" s="4"/>
      <c r="E6095" s="5"/>
      <c r="F6095" s="6"/>
      <c r="G6095" s="31"/>
      <c r="H6095" s="6"/>
      <c r="I6095" s="9"/>
      <c r="J6095" s="24"/>
      <c r="K6095" s="9"/>
      <c r="L6095" s="25"/>
      <c r="M6095" s="7"/>
      <c r="N6095" s="8"/>
      <c r="O6095" s="11"/>
      <c r="P6095" s="11"/>
      <c r="Q6095" s="8"/>
      <c r="R6095" s="6"/>
      <c r="S6095" s="3"/>
      <c r="T6095" s="3"/>
      <c r="U6095" s="7"/>
      <c r="V6095" s="436"/>
      <c r="W6095" s="6"/>
      <c r="X6095" s="8"/>
      <c r="Y6095" s="8"/>
    </row>
    <row r="6096" spans="3:25" ht="12" customHeight="1">
      <c r="C6096" s="4"/>
      <c r="D6096" s="4"/>
      <c r="E6096" s="5"/>
      <c r="F6096" s="6"/>
      <c r="G6096" s="31"/>
      <c r="H6096" s="6"/>
      <c r="I6096" s="9"/>
      <c r="J6096" s="24"/>
      <c r="K6096" s="9"/>
      <c r="L6096" s="25"/>
      <c r="M6096" s="7"/>
      <c r="N6096" s="8"/>
      <c r="O6096" s="11"/>
      <c r="P6096" s="11"/>
      <c r="Q6096" s="8"/>
      <c r="R6096" s="6"/>
      <c r="S6096" s="3"/>
      <c r="T6096" s="3"/>
      <c r="U6096" s="7"/>
      <c r="V6096" s="436"/>
      <c r="W6096" s="6"/>
      <c r="X6096" s="8"/>
      <c r="Y6096" s="8"/>
    </row>
    <row r="6097" spans="3:25" ht="12" customHeight="1">
      <c r="C6097" s="4"/>
      <c r="D6097" s="4"/>
      <c r="E6097" s="5"/>
      <c r="F6097" s="6"/>
      <c r="G6097" s="31"/>
      <c r="H6097" s="6"/>
      <c r="I6097" s="9"/>
      <c r="J6097" s="24"/>
      <c r="K6097" s="9"/>
      <c r="L6097" s="25"/>
      <c r="M6097" s="7"/>
      <c r="N6097" s="8"/>
      <c r="O6097" s="11"/>
      <c r="P6097" s="11"/>
      <c r="Q6097" s="8"/>
      <c r="R6097" s="6"/>
      <c r="S6097" s="3"/>
      <c r="T6097" s="3"/>
      <c r="U6097" s="7"/>
      <c r="V6097" s="436"/>
      <c r="W6097" s="6"/>
      <c r="X6097" s="8"/>
      <c r="Y6097" s="8"/>
    </row>
    <row r="6098" spans="3:25" ht="12" customHeight="1">
      <c r="C6098" s="4"/>
      <c r="D6098" s="4"/>
      <c r="E6098" s="5"/>
      <c r="F6098" s="6"/>
      <c r="G6098" s="31"/>
      <c r="H6098" s="6"/>
      <c r="I6098" s="9"/>
      <c r="J6098" s="24"/>
      <c r="K6098" s="9"/>
      <c r="L6098" s="25"/>
      <c r="M6098" s="7"/>
      <c r="N6098" s="8"/>
      <c r="O6098" s="11"/>
      <c r="P6098" s="11"/>
      <c r="Q6098" s="8"/>
      <c r="R6098" s="6"/>
      <c r="S6098" s="3"/>
      <c r="T6098" s="3"/>
      <c r="U6098" s="7"/>
      <c r="V6098" s="436"/>
      <c r="W6098" s="6"/>
      <c r="X6098" s="8"/>
      <c r="Y6098" s="8"/>
    </row>
    <row r="6099" spans="3:25" ht="12" customHeight="1">
      <c r="C6099" s="4"/>
      <c r="D6099" s="4"/>
      <c r="E6099" s="5"/>
      <c r="F6099" s="6"/>
      <c r="G6099" s="31"/>
      <c r="H6099" s="6"/>
      <c r="I6099" s="9"/>
      <c r="J6099" s="24"/>
      <c r="K6099" s="9"/>
      <c r="L6099" s="25"/>
      <c r="M6099" s="7"/>
      <c r="N6099" s="8"/>
      <c r="O6099" s="11"/>
      <c r="P6099" s="11"/>
      <c r="Q6099" s="8"/>
      <c r="R6099" s="6"/>
      <c r="S6099" s="3"/>
      <c r="T6099" s="3"/>
      <c r="U6099" s="7"/>
      <c r="V6099" s="436"/>
      <c r="W6099" s="6"/>
      <c r="X6099" s="8"/>
      <c r="Y6099" s="8"/>
    </row>
    <row r="6100" spans="3:25" ht="12" customHeight="1">
      <c r="C6100" s="4"/>
      <c r="D6100" s="4"/>
      <c r="E6100" s="5"/>
      <c r="F6100" s="6"/>
      <c r="G6100" s="31"/>
      <c r="H6100" s="6"/>
      <c r="I6100" s="9"/>
      <c r="J6100" s="24"/>
      <c r="K6100" s="10"/>
      <c r="L6100" s="25"/>
      <c r="M6100" s="7"/>
      <c r="N6100" s="8"/>
      <c r="O6100" s="11"/>
      <c r="P6100" s="11"/>
      <c r="Q6100" s="8"/>
      <c r="R6100" s="6"/>
      <c r="S6100" s="3"/>
      <c r="T6100" s="3"/>
      <c r="U6100" s="7"/>
      <c r="V6100" s="436"/>
      <c r="W6100" s="6"/>
      <c r="X6100" s="8"/>
      <c r="Y6100" s="8"/>
    </row>
    <row r="6101" spans="3:25" ht="12" customHeight="1">
      <c r="C6101" s="4"/>
      <c r="D6101" s="4"/>
      <c r="E6101" s="5"/>
      <c r="F6101" s="6"/>
      <c r="G6101" s="31"/>
      <c r="H6101" s="6"/>
      <c r="I6101" s="9"/>
      <c r="J6101" s="24"/>
      <c r="K6101" s="10"/>
      <c r="L6101" s="25"/>
      <c r="M6101" s="7"/>
      <c r="N6101" s="8"/>
      <c r="O6101" s="11"/>
      <c r="P6101" s="11"/>
      <c r="Q6101" s="8"/>
      <c r="R6101" s="6"/>
      <c r="S6101" s="3"/>
      <c r="T6101" s="3"/>
      <c r="U6101" s="7"/>
      <c r="V6101" s="436"/>
      <c r="W6101" s="6"/>
      <c r="X6101" s="8"/>
      <c r="Y6101" s="8"/>
    </row>
    <row r="6102" spans="3:25" ht="12" customHeight="1">
      <c r="C6102" s="4"/>
      <c r="D6102" s="4"/>
      <c r="E6102" s="5"/>
      <c r="F6102" s="6"/>
      <c r="G6102" s="31"/>
      <c r="H6102" s="6"/>
      <c r="I6102" s="9"/>
      <c r="J6102" s="24"/>
      <c r="K6102" s="10"/>
      <c r="L6102" s="25"/>
      <c r="M6102" s="7"/>
      <c r="N6102" s="8"/>
      <c r="O6102" s="11"/>
      <c r="P6102" s="11"/>
      <c r="Q6102" s="8"/>
      <c r="R6102" s="6"/>
      <c r="S6102" s="3"/>
      <c r="T6102" s="3"/>
      <c r="U6102" s="7"/>
      <c r="V6102" s="436"/>
      <c r="W6102" s="6"/>
      <c r="X6102" s="8"/>
      <c r="Y6102" s="8"/>
    </row>
    <row r="6103" spans="3:25" ht="12" customHeight="1">
      <c r="C6103" s="4"/>
      <c r="D6103" s="4"/>
      <c r="E6103" s="5"/>
      <c r="F6103" s="6"/>
      <c r="G6103" s="31"/>
      <c r="H6103" s="6"/>
      <c r="I6103" s="9"/>
      <c r="J6103" s="24"/>
      <c r="K6103" s="10"/>
      <c r="L6103" s="25"/>
      <c r="M6103" s="7"/>
      <c r="N6103" s="8"/>
      <c r="O6103" s="11"/>
      <c r="P6103" s="11"/>
      <c r="Q6103" s="8"/>
      <c r="R6103" s="6"/>
      <c r="S6103" s="3"/>
      <c r="T6103" s="3"/>
      <c r="U6103" s="7"/>
      <c r="V6103" s="436"/>
      <c r="W6103" s="6"/>
      <c r="X6103" s="8"/>
      <c r="Y6103" s="8"/>
    </row>
    <row r="6104" spans="3:25" ht="12" customHeight="1">
      <c r="C6104" s="4"/>
      <c r="D6104" s="4"/>
      <c r="E6104" s="5"/>
      <c r="F6104" s="6"/>
      <c r="G6104" s="31"/>
      <c r="H6104" s="6"/>
      <c r="I6104" s="9"/>
      <c r="J6104" s="24"/>
      <c r="K6104" s="10"/>
      <c r="L6104" s="25"/>
      <c r="M6104" s="7"/>
      <c r="N6104" s="8"/>
      <c r="O6104" s="11"/>
      <c r="P6104" s="11"/>
      <c r="Q6104" s="8"/>
      <c r="R6104" s="6"/>
      <c r="S6104" s="3"/>
      <c r="T6104" s="3"/>
      <c r="U6104" s="7"/>
      <c r="V6104" s="436"/>
      <c r="W6104" s="6"/>
      <c r="X6104" s="8"/>
      <c r="Y6104" s="8"/>
    </row>
    <row r="6105" spans="3:25" ht="12" customHeight="1">
      <c r="C6105" s="4"/>
      <c r="D6105" s="4"/>
      <c r="E6105" s="5"/>
      <c r="F6105" s="6"/>
      <c r="G6105" s="31"/>
      <c r="H6105" s="6"/>
      <c r="I6105" s="9"/>
      <c r="J6105" s="24"/>
      <c r="K6105" s="9"/>
      <c r="L6105" s="25"/>
      <c r="M6105" s="7"/>
      <c r="N6105" s="8"/>
      <c r="O6105" s="11"/>
      <c r="P6105" s="11"/>
      <c r="Q6105" s="8"/>
      <c r="R6105" s="6"/>
      <c r="S6105" s="3"/>
      <c r="T6105" s="3"/>
      <c r="U6105" s="7"/>
      <c r="V6105" s="436"/>
      <c r="W6105" s="6"/>
      <c r="X6105" s="8"/>
      <c r="Y6105" s="8"/>
    </row>
    <row r="6106" spans="3:25" ht="12" customHeight="1">
      <c r="C6106" s="4"/>
      <c r="D6106" s="4"/>
      <c r="E6106" s="5"/>
      <c r="F6106" s="6"/>
      <c r="G6106" s="31"/>
      <c r="H6106" s="6"/>
      <c r="I6106" s="9"/>
      <c r="J6106" s="24"/>
      <c r="K6106" s="10"/>
      <c r="L6106" s="25"/>
      <c r="M6106" s="7"/>
      <c r="N6106" s="8"/>
      <c r="O6106" s="11"/>
      <c r="P6106" s="11"/>
      <c r="Q6106" s="8"/>
      <c r="R6106" s="6"/>
      <c r="S6106" s="3"/>
      <c r="T6106" s="3"/>
      <c r="U6106" s="7"/>
      <c r="V6106" s="436"/>
      <c r="W6106" s="6"/>
      <c r="X6106" s="8"/>
      <c r="Y6106" s="8"/>
    </row>
    <row r="6107" spans="3:25" ht="12" customHeight="1">
      <c r="C6107" s="4"/>
      <c r="D6107" s="4"/>
      <c r="E6107" s="5"/>
      <c r="F6107" s="6"/>
      <c r="G6107" s="31"/>
      <c r="H6107" s="6"/>
      <c r="I6107" s="9"/>
      <c r="J6107" s="24"/>
      <c r="K6107" s="10"/>
      <c r="L6107" s="25"/>
      <c r="M6107" s="7"/>
      <c r="N6107" s="8"/>
      <c r="O6107" s="11"/>
      <c r="P6107" s="11"/>
      <c r="Q6107" s="8"/>
      <c r="R6107" s="6"/>
      <c r="S6107" s="3"/>
      <c r="T6107" s="3"/>
      <c r="U6107" s="7"/>
      <c r="V6107" s="436"/>
      <c r="W6107" s="6"/>
      <c r="X6107" s="8"/>
      <c r="Y6107" s="8"/>
    </row>
    <row r="6108" spans="3:25" ht="12" customHeight="1">
      <c r="C6108" s="4"/>
      <c r="D6108" s="4"/>
      <c r="E6108" s="5"/>
      <c r="F6108" s="6"/>
      <c r="G6108" s="31"/>
      <c r="H6108" s="6"/>
      <c r="I6108" s="9"/>
      <c r="J6108" s="24"/>
      <c r="K6108" s="10"/>
      <c r="L6108" s="25"/>
      <c r="M6108" s="7"/>
      <c r="N6108" s="8"/>
      <c r="O6108" s="11"/>
      <c r="P6108" s="11"/>
      <c r="Q6108" s="8"/>
      <c r="R6108" s="6"/>
      <c r="S6108" s="3"/>
      <c r="T6108" s="3"/>
      <c r="U6108" s="7"/>
      <c r="V6108" s="436"/>
      <c r="W6108" s="6"/>
      <c r="X6108" s="8"/>
      <c r="Y6108" s="8"/>
    </row>
    <row r="6109" spans="3:25" ht="12" customHeight="1">
      <c r="C6109" s="4"/>
      <c r="D6109" s="4"/>
      <c r="E6109" s="5"/>
      <c r="F6109" s="6"/>
      <c r="G6109" s="31"/>
      <c r="H6109" s="6"/>
      <c r="I6109" s="9"/>
      <c r="J6109" s="24"/>
      <c r="K6109" s="10"/>
      <c r="L6109" s="25"/>
      <c r="M6109" s="47"/>
      <c r="N6109" s="8"/>
      <c r="O6109" s="11"/>
      <c r="P6109" s="11"/>
      <c r="Q6109" s="8"/>
      <c r="R6109" s="6"/>
      <c r="S6109" s="3"/>
      <c r="T6109" s="3"/>
      <c r="U6109" s="7"/>
      <c r="V6109" s="436"/>
      <c r="W6109" s="6"/>
      <c r="X6109" s="8"/>
      <c r="Y6109" s="8"/>
    </row>
    <row r="6110" spans="3:25" ht="12" customHeight="1">
      <c r="C6110" s="4"/>
      <c r="D6110" s="4"/>
      <c r="E6110" s="5"/>
      <c r="F6110" s="6"/>
      <c r="G6110" s="31"/>
      <c r="H6110" s="6"/>
      <c r="I6110" s="9"/>
      <c r="J6110" s="24"/>
      <c r="K6110" s="9"/>
      <c r="L6110" s="25"/>
      <c r="M6110" s="47"/>
      <c r="N6110" s="8"/>
      <c r="O6110" s="11"/>
      <c r="P6110" s="11"/>
      <c r="Q6110" s="8"/>
      <c r="R6110" s="6"/>
      <c r="S6110" s="3"/>
      <c r="T6110" s="3"/>
      <c r="U6110" s="7"/>
      <c r="V6110" s="436"/>
      <c r="W6110" s="6"/>
      <c r="X6110" s="8"/>
      <c r="Y6110" s="8"/>
    </row>
    <row r="6111" spans="3:25" ht="12" customHeight="1">
      <c r="C6111" s="4"/>
      <c r="D6111" s="4"/>
      <c r="E6111" s="5"/>
      <c r="F6111" s="6"/>
      <c r="G6111" s="31"/>
      <c r="H6111" s="6"/>
      <c r="I6111" s="9"/>
      <c r="J6111" s="24"/>
      <c r="K6111" s="9"/>
      <c r="L6111" s="25"/>
      <c r="M6111" s="7"/>
      <c r="N6111" s="8"/>
      <c r="O6111" s="11"/>
      <c r="P6111" s="11"/>
      <c r="Q6111" s="8"/>
      <c r="R6111" s="6"/>
      <c r="S6111" s="3"/>
      <c r="T6111" s="3"/>
      <c r="U6111" s="7"/>
      <c r="V6111" s="436"/>
      <c r="W6111" s="6"/>
      <c r="X6111" s="8"/>
      <c r="Y6111" s="8"/>
    </row>
    <row r="6112" spans="3:25" ht="12" customHeight="1">
      <c r="C6112" s="4"/>
      <c r="D6112" s="4"/>
      <c r="E6112" s="5"/>
      <c r="F6112" s="6"/>
      <c r="G6112" s="31"/>
      <c r="H6112" s="6"/>
      <c r="I6112" s="9"/>
      <c r="J6112" s="24"/>
      <c r="K6112" s="9"/>
      <c r="L6112" s="25"/>
      <c r="M6112" s="7"/>
      <c r="N6112" s="8"/>
      <c r="O6112" s="11"/>
      <c r="P6112" s="11"/>
      <c r="Q6112" s="8"/>
      <c r="R6112" s="6"/>
      <c r="S6112" s="3"/>
      <c r="T6112" s="3"/>
      <c r="U6112" s="7"/>
      <c r="V6112" s="436"/>
      <c r="W6112" s="6"/>
      <c r="X6112" s="8"/>
      <c r="Y6112" s="8"/>
    </row>
    <row r="6113" spans="3:25" ht="12" customHeight="1">
      <c r="C6113" s="4"/>
      <c r="D6113" s="4"/>
      <c r="E6113" s="5"/>
      <c r="F6113" s="6"/>
      <c r="G6113" s="31"/>
      <c r="H6113" s="6"/>
      <c r="I6113" s="9"/>
      <c r="J6113" s="24"/>
      <c r="K6113" s="9"/>
      <c r="L6113" s="25"/>
      <c r="M6113" s="47"/>
      <c r="N6113" s="8"/>
      <c r="O6113" s="11"/>
      <c r="P6113" s="11"/>
      <c r="Q6113" s="8"/>
      <c r="R6113" s="6"/>
      <c r="S6113" s="3"/>
      <c r="T6113" s="3"/>
      <c r="U6113" s="7"/>
      <c r="V6113" s="436"/>
      <c r="W6113" s="6"/>
      <c r="X6113" s="8"/>
      <c r="Y6113" s="8"/>
    </row>
    <row r="6114" spans="3:25" ht="12" customHeight="1">
      <c r="C6114" s="4"/>
      <c r="D6114" s="4"/>
      <c r="E6114" s="5"/>
      <c r="F6114" s="6"/>
      <c r="G6114" s="31"/>
      <c r="H6114" s="6"/>
      <c r="I6114" s="9"/>
      <c r="J6114" s="24"/>
      <c r="K6114" s="9"/>
      <c r="L6114" s="25"/>
      <c r="M6114" s="47"/>
      <c r="N6114" s="8"/>
      <c r="O6114" s="11"/>
      <c r="P6114" s="11"/>
      <c r="Q6114" s="8"/>
      <c r="R6114" s="6"/>
      <c r="S6114" s="3"/>
      <c r="T6114" s="3"/>
      <c r="U6114" s="7"/>
      <c r="V6114" s="436"/>
      <c r="W6114" s="6"/>
      <c r="X6114" s="8"/>
      <c r="Y6114" s="8"/>
    </row>
    <row r="6115" spans="3:25" ht="12" customHeight="1">
      <c r="C6115" s="4"/>
      <c r="D6115" s="4"/>
      <c r="E6115" s="5"/>
      <c r="F6115" s="6"/>
      <c r="G6115" s="31"/>
      <c r="H6115" s="6"/>
      <c r="I6115" s="9"/>
      <c r="J6115" s="24"/>
      <c r="K6115" s="9"/>
      <c r="L6115" s="25"/>
      <c r="M6115" s="47"/>
      <c r="N6115" s="8"/>
      <c r="O6115" s="11"/>
      <c r="P6115" s="11"/>
      <c r="Q6115" s="8"/>
      <c r="R6115" s="6"/>
      <c r="S6115" s="3"/>
      <c r="T6115" s="3"/>
      <c r="U6115" s="7"/>
      <c r="V6115" s="436"/>
      <c r="W6115" s="6"/>
      <c r="X6115" s="8"/>
      <c r="Y6115" s="8"/>
    </row>
    <row r="6116" spans="3:25" ht="12" customHeight="1">
      <c r="C6116" s="4"/>
      <c r="D6116" s="4"/>
      <c r="E6116" s="5"/>
      <c r="F6116" s="6"/>
      <c r="G6116" s="31"/>
      <c r="H6116" s="6"/>
      <c r="I6116" s="9"/>
      <c r="J6116" s="24"/>
      <c r="K6116" s="10"/>
      <c r="L6116" s="25"/>
      <c r="M6116" s="7"/>
      <c r="N6116" s="8"/>
      <c r="O6116" s="11"/>
      <c r="P6116" s="11"/>
      <c r="Q6116" s="8"/>
      <c r="R6116" s="6"/>
      <c r="S6116" s="3"/>
      <c r="T6116" s="3"/>
      <c r="U6116" s="7"/>
      <c r="V6116" s="436"/>
      <c r="W6116" s="6"/>
      <c r="X6116" s="8"/>
      <c r="Y6116" s="8"/>
    </row>
    <row r="6117" spans="3:25" ht="12" customHeight="1">
      <c r="C6117" s="4"/>
      <c r="D6117" s="4"/>
      <c r="E6117" s="5"/>
      <c r="F6117" s="6"/>
      <c r="G6117" s="31"/>
      <c r="H6117" s="6"/>
      <c r="I6117" s="9"/>
      <c r="J6117" s="24"/>
      <c r="K6117" s="10"/>
      <c r="L6117" s="25"/>
      <c r="M6117" s="7"/>
      <c r="N6117" s="8"/>
      <c r="O6117" s="11"/>
      <c r="P6117" s="11"/>
      <c r="Q6117" s="8"/>
      <c r="R6117" s="6"/>
      <c r="S6117" s="3"/>
      <c r="T6117" s="3"/>
      <c r="U6117" s="7"/>
      <c r="V6117" s="436"/>
      <c r="W6117" s="6"/>
      <c r="X6117" s="8"/>
      <c r="Y6117" s="8"/>
    </row>
    <row r="6118" spans="3:25" ht="12" customHeight="1">
      <c r="C6118" s="4"/>
      <c r="D6118" s="4"/>
      <c r="E6118" s="5"/>
      <c r="F6118" s="6"/>
      <c r="G6118" s="31"/>
      <c r="H6118" s="6"/>
      <c r="I6118" s="9"/>
      <c r="J6118" s="24"/>
      <c r="K6118" s="9"/>
      <c r="L6118" s="25"/>
      <c r="M6118" s="7"/>
      <c r="N6118" s="8"/>
      <c r="O6118" s="11"/>
      <c r="P6118" s="11"/>
      <c r="Q6118" s="8"/>
      <c r="R6118" s="6"/>
      <c r="S6118" s="3"/>
      <c r="T6118" s="3"/>
      <c r="U6118" s="7"/>
      <c r="V6118" s="436"/>
      <c r="W6118" s="6"/>
      <c r="X6118" s="8"/>
      <c r="Y6118" s="8"/>
    </row>
    <row r="6119" spans="3:25" ht="12" customHeight="1">
      <c r="C6119" s="4"/>
      <c r="D6119" s="4"/>
      <c r="E6119" s="5"/>
      <c r="F6119" s="6"/>
      <c r="G6119" s="31"/>
      <c r="H6119" s="6"/>
      <c r="I6119" s="9"/>
      <c r="J6119" s="24"/>
      <c r="K6119" s="9"/>
      <c r="L6119" s="25"/>
      <c r="M6119" s="7"/>
      <c r="N6119" s="8"/>
      <c r="O6119" s="11"/>
      <c r="P6119" s="11"/>
      <c r="Q6119" s="8"/>
      <c r="R6119" s="6"/>
      <c r="S6119" s="3"/>
      <c r="T6119" s="3"/>
      <c r="U6119" s="7"/>
      <c r="V6119" s="436"/>
      <c r="W6119" s="6"/>
      <c r="X6119" s="8"/>
      <c r="Y6119" s="8"/>
    </row>
    <row r="6120" spans="3:25" ht="12" customHeight="1">
      <c r="C6120" s="4"/>
      <c r="D6120" s="4"/>
      <c r="E6120" s="5"/>
      <c r="F6120" s="6"/>
      <c r="G6120" s="31"/>
      <c r="H6120" s="6"/>
      <c r="I6120" s="9"/>
      <c r="J6120" s="24"/>
      <c r="K6120" s="9"/>
      <c r="L6120" s="25"/>
      <c r="M6120" s="7"/>
      <c r="N6120" s="8"/>
      <c r="O6120" s="11"/>
      <c r="P6120" s="11"/>
      <c r="Q6120" s="8"/>
      <c r="R6120" s="6"/>
      <c r="S6120" s="3"/>
      <c r="T6120" s="3"/>
      <c r="U6120" s="7"/>
      <c r="V6120" s="436"/>
      <c r="W6120" s="6"/>
      <c r="X6120" s="8"/>
      <c r="Y6120" s="8"/>
    </row>
    <row r="6121" spans="3:25" ht="12" customHeight="1">
      <c r="C6121" s="4"/>
      <c r="D6121" s="4"/>
      <c r="E6121" s="5"/>
      <c r="F6121" s="6"/>
      <c r="G6121" s="31"/>
      <c r="H6121" s="6"/>
      <c r="I6121" s="9"/>
      <c r="J6121" s="24"/>
      <c r="K6121" s="9"/>
      <c r="L6121" s="25"/>
      <c r="M6121" s="7"/>
      <c r="N6121" s="8"/>
      <c r="O6121" s="11"/>
      <c r="P6121" s="11"/>
      <c r="Q6121" s="8"/>
      <c r="R6121" s="6"/>
      <c r="S6121" s="3"/>
      <c r="T6121" s="3"/>
      <c r="U6121" s="7"/>
      <c r="V6121" s="436"/>
      <c r="W6121" s="6"/>
      <c r="X6121" s="8"/>
      <c r="Y6121" s="8"/>
    </row>
    <row r="6122" spans="3:25" ht="12" customHeight="1">
      <c r="C6122" s="4"/>
      <c r="D6122" s="4"/>
      <c r="E6122" s="5"/>
      <c r="F6122" s="6"/>
      <c r="G6122" s="31"/>
      <c r="H6122" s="6"/>
      <c r="I6122" s="9"/>
      <c r="J6122" s="24"/>
      <c r="K6122" s="9"/>
      <c r="L6122" s="25"/>
      <c r="M6122" s="7"/>
      <c r="N6122" s="8"/>
      <c r="O6122" s="11"/>
      <c r="P6122" s="11"/>
      <c r="Q6122" s="8"/>
      <c r="R6122" s="6"/>
      <c r="S6122" s="3"/>
      <c r="T6122" s="3"/>
      <c r="U6122" s="7"/>
      <c r="V6122" s="436"/>
      <c r="W6122" s="6"/>
      <c r="X6122" s="8"/>
      <c r="Y6122" s="8"/>
    </row>
    <row r="6123" spans="3:25" ht="12" customHeight="1">
      <c r="C6123" s="4"/>
      <c r="D6123" s="4"/>
      <c r="E6123" s="5"/>
      <c r="F6123" s="6"/>
      <c r="G6123" s="31"/>
      <c r="H6123" s="6"/>
      <c r="I6123" s="9"/>
      <c r="J6123" s="24"/>
      <c r="K6123" s="9"/>
      <c r="L6123" s="25"/>
      <c r="M6123" s="7"/>
      <c r="N6123" s="8"/>
      <c r="O6123" s="11"/>
      <c r="P6123" s="11"/>
      <c r="Q6123" s="8"/>
      <c r="R6123" s="6"/>
      <c r="S6123" s="3"/>
      <c r="T6123" s="3"/>
      <c r="U6123" s="7"/>
      <c r="V6123" s="436"/>
      <c r="W6123" s="6"/>
      <c r="X6123" s="8"/>
      <c r="Y6123" s="8"/>
    </row>
    <row r="6124" spans="3:25" ht="12" customHeight="1">
      <c r="C6124" s="4"/>
      <c r="D6124" s="4"/>
      <c r="E6124" s="5"/>
      <c r="F6124" s="6"/>
      <c r="G6124" s="31"/>
      <c r="H6124" s="6"/>
      <c r="I6124" s="9"/>
      <c r="J6124" s="24"/>
      <c r="K6124" s="9"/>
      <c r="L6124" s="25"/>
      <c r="M6124" s="7"/>
      <c r="N6124" s="8"/>
      <c r="O6124" s="11"/>
      <c r="P6124" s="11"/>
      <c r="Q6124" s="8"/>
      <c r="R6124" s="6"/>
      <c r="S6124" s="3"/>
      <c r="T6124" s="3"/>
      <c r="U6124" s="7"/>
      <c r="V6124" s="436"/>
      <c r="W6124" s="6"/>
      <c r="X6124" s="8"/>
      <c r="Y6124" s="8"/>
    </row>
    <row r="6125" spans="3:25" ht="12" customHeight="1">
      <c r="C6125" s="4"/>
      <c r="D6125" s="4"/>
      <c r="E6125" s="5"/>
      <c r="F6125" s="6"/>
      <c r="G6125" s="31"/>
      <c r="H6125" s="6"/>
      <c r="I6125" s="9"/>
      <c r="J6125" s="24"/>
      <c r="K6125" s="9"/>
      <c r="L6125" s="25"/>
      <c r="M6125" s="7"/>
      <c r="N6125" s="8"/>
      <c r="O6125" s="11"/>
      <c r="P6125" s="11"/>
      <c r="Q6125" s="8"/>
      <c r="R6125" s="6"/>
      <c r="S6125" s="3"/>
      <c r="T6125" s="3"/>
      <c r="U6125" s="7"/>
      <c r="V6125" s="436"/>
      <c r="W6125" s="6"/>
      <c r="X6125" s="8"/>
      <c r="Y6125" s="8"/>
    </row>
    <row r="6126" spans="3:25" ht="12" customHeight="1">
      <c r="C6126" s="4"/>
      <c r="D6126" s="4"/>
      <c r="E6126" s="5"/>
      <c r="F6126" s="6"/>
      <c r="G6126" s="31"/>
      <c r="H6126" s="6"/>
      <c r="I6126" s="9"/>
      <c r="J6126" s="24"/>
      <c r="K6126" s="9"/>
      <c r="L6126" s="25"/>
      <c r="M6126" s="7"/>
      <c r="N6126" s="8"/>
      <c r="O6126" s="11"/>
      <c r="P6126" s="11"/>
      <c r="Q6126" s="8"/>
      <c r="R6126" s="6"/>
      <c r="S6126" s="3"/>
      <c r="T6126" s="3"/>
      <c r="U6126" s="7"/>
      <c r="V6126" s="436"/>
      <c r="W6126" s="6"/>
      <c r="X6126" s="8"/>
      <c r="Y6126" s="8"/>
    </row>
    <row r="6127" spans="3:25" ht="12" customHeight="1">
      <c r="C6127" s="4"/>
      <c r="D6127" s="4"/>
      <c r="E6127" s="5"/>
      <c r="F6127" s="6"/>
      <c r="G6127" s="31"/>
      <c r="H6127" s="6"/>
      <c r="I6127" s="9"/>
      <c r="J6127" s="24"/>
      <c r="K6127" s="9"/>
      <c r="L6127" s="25"/>
      <c r="M6127" s="7"/>
      <c r="N6127" s="8"/>
      <c r="O6127" s="11"/>
      <c r="P6127" s="11"/>
      <c r="Q6127" s="8"/>
      <c r="R6127" s="6"/>
      <c r="S6127" s="3"/>
      <c r="T6127" s="3"/>
      <c r="U6127" s="7"/>
      <c r="V6127" s="436"/>
      <c r="W6127" s="6"/>
      <c r="X6127" s="8"/>
      <c r="Y6127" s="8"/>
    </row>
    <row r="6128" spans="3:25" ht="12" customHeight="1">
      <c r="C6128" s="4"/>
      <c r="D6128" s="4"/>
      <c r="E6128" s="5"/>
      <c r="F6128" s="6"/>
      <c r="G6128" s="31"/>
      <c r="H6128" s="6"/>
      <c r="I6128" s="9"/>
      <c r="J6128" s="24"/>
      <c r="K6128" s="9"/>
      <c r="L6128" s="25"/>
      <c r="M6128" s="7"/>
      <c r="N6128" s="8"/>
      <c r="O6128" s="11"/>
      <c r="P6128" s="11"/>
      <c r="Q6128" s="8"/>
      <c r="R6128" s="6"/>
      <c r="S6128" s="3"/>
      <c r="T6128" s="3"/>
      <c r="U6128" s="7"/>
      <c r="V6128" s="436"/>
      <c r="W6128" s="6"/>
      <c r="X6128" s="8"/>
      <c r="Y6128" s="8"/>
    </row>
    <row r="6129" spans="3:25" ht="12" customHeight="1">
      <c r="C6129" s="4"/>
      <c r="D6129" s="4"/>
      <c r="E6129" s="5"/>
      <c r="F6129" s="6"/>
      <c r="G6129" s="31"/>
      <c r="H6129" s="6"/>
      <c r="I6129" s="9"/>
      <c r="J6129" s="24"/>
      <c r="K6129" s="9"/>
      <c r="L6129" s="25"/>
      <c r="M6129" s="7"/>
      <c r="N6129" s="8"/>
      <c r="O6129" s="11"/>
      <c r="P6129" s="11"/>
      <c r="Q6129" s="8"/>
      <c r="R6129" s="6"/>
      <c r="S6129" s="3"/>
      <c r="T6129" s="3"/>
      <c r="U6129" s="7"/>
      <c r="V6129" s="436"/>
      <c r="W6129" s="6"/>
      <c r="X6129" s="8"/>
      <c r="Y6129" s="8"/>
    </row>
    <row r="6130" spans="3:25" ht="12" customHeight="1">
      <c r="C6130" s="4"/>
      <c r="D6130" s="4"/>
      <c r="E6130" s="5"/>
      <c r="F6130" s="6"/>
      <c r="G6130" s="31"/>
      <c r="H6130" s="6"/>
      <c r="I6130" s="9"/>
      <c r="J6130" s="24"/>
      <c r="K6130" s="9"/>
      <c r="L6130" s="25"/>
      <c r="M6130" s="47"/>
      <c r="N6130" s="8"/>
      <c r="O6130" s="11"/>
      <c r="P6130" s="11"/>
      <c r="Q6130" s="8"/>
      <c r="R6130" s="6"/>
      <c r="S6130" s="3"/>
      <c r="T6130" s="3"/>
      <c r="U6130" s="7"/>
      <c r="V6130" s="436"/>
      <c r="W6130" s="6"/>
      <c r="X6130" s="8"/>
      <c r="Y6130" s="8"/>
    </row>
    <row r="6131" spans="3:25" ht="12" customHeight="1">
      <c r="C6131" s="4"/>
      <c r="D6131" s="4"/>
      <c r="E6131" s="5"/>
      <c r="F6131" s="6"/>
      <c r="G6131" s="31"/>
      <c r="H6131" s="6"/>
      <c r="I6131" s="9"/>
      <c r="J6131" s="24"/>
      <c r="K6131" s="9"/>
      <c r="L6131" s="25"/>
      <c r="M6131" s="7"/>
      <c r="N6131" s="8"/>
      <c r="O6131" s="11"/>
      <c r="P6131" s="11"/>
      <c r="Q6131" s="8"/>
      <c r="R6131" s="6"/>
      <c r="S6131" s="3"/>
      <c r="T6131" s="3"/>
      <c r="U6131" s="7"/>
      <c r="V6131" s="436"/>
      <c r="W6131" s="6"/>
      <c r="X6131" s="8"/>
      <c r="Y6131" s="8"/>
    </row>
    <row r="6132" spans="3:25" ht="12" customHeight="1">
      <c r="C6132" s="4"/>
      <c r="D6132" s="4"/>
      <c r="E6132" s="5"/>
      <c r="F6132" s="6"/>
      <c r="G6132" s="31"/>
      <c r="H6132" s="6"/>
      <c r="I6132" s="9"/>
      <c r="J6132" s="24"/>
      <c r="K6132" s="9"/>
      <c r="L6132" s="25"/>
      <c r="M6132" s="7"/>
      <c r="N6132" s="8"/>
      <c r="O6132" s="11"/>
      <c r="P6132" s="11"/>
      <c r="Q6132" s="8"/>
      <c r="R6132" s="6"/>
      <c r="S6132" s="3"/>
      <c r="T6132" s="3"/>
      <c r="U6132" s="7"/>
      <c r="V6132" s="436"/>
      <c r="W6132" s="6"/>
      <c r="X6132" s="8"/>
      <c r="Y6132" s="8"/>
    </row>
    <row r="6133" spans="3:25" ht="12" customHeight="1">
      <c r="C6133" s="4"/>
      <c r="D6133" s="4"/>
      <c r="E6133" s="5"/>
      <c r="F6133" s="6"/>
      <c r="G6133" s="31"/>
      <c r="H6133" s="6"/>
      <c r="I6133" s="9"/>
      <c r="J6133" s="24"/>
      <c r="K6133" s="9"/>
      <c r="L6133" s="25"/>
      <c r="M6133" s="7"/>
      <c r="N6133" s="8"/>
      <c r="O6133" s="11"/>
      <c r="P6133" s="11"/>
      <c r="Q6133" s="8"/>
      <c r="R6133" s="6"/>
      <c r="S6133" s="3"/>
      <c r="T6133" s="3"/>
      <c r="U6133" s="7"/>
      <c r="V6133" s="436"/>
      <c r="W6133" s="6"/>
      <c r="X6133" s="8"/>
      <c r="Y6133" s="8"/>
    </row>
    <row r="6134" spans="3:25" ht="12" customHeight="1">
      <c r="C6134" s="4"/>
      <c r="D6134" s="4"/>
      <c r="E6134" s="5"/>
      <c r="F6134" s="6"/>
      <c r="G6134" s="31"/>
      <c r="H6134" s="6"/>
      <c r="I6134" s="9"/>
      <c r="J6134" s="24"/>
      <c r="K6134" s="9"/>
      <c r="L6134" s="25"/>
      <c r="M6134" s="7"/>
      <c r="N6134" s="8"/>
      <c r="O6134" s="11"/>
      <c r="P6134" s="11"/>
      <c r="Q6134" s="8"/>
      <c r="R6134" s="6"/>
      <c r="S6134" s="3"/>
      <c r="T6134" s="3"/>
      <c r="U6134" s="7"/>
      <c r="V6134" s="436"/>
      <c r="W6134" s="6"/>
      <c r="X6134" s="8"/>
      <c r="Y6134" s="8"/>
    </row>
    <row r="6135" spans="3:25" ht="12" customHeight="1">
      <c r="C6135" s="4"/>
      <c r="D6135" s="4"/>
      <c r="E6135" s="5"/>
      <c r="F6135" s="6"/>
      <c r="G6135" s="31"/>
      <c r="H6135" s="6"/>
      <c r="I6135" s="9"/>
      <c r="J6135" s="24"/>
      <c r="K6135" s="9"/>
      <c r="L6135" s="25"/>
      <c r="M6135" s="7"/>
      <c r="N6135" s="8"/>
      <c r="O6135" s="11"/>
      <c r="P6135" s="11"/>
      <c r="Q6135" s="8"/>
      <c r="R6135" s="6"/>
      <c r="S6135" s="3"/>
      <c r="T6135" s="3"/>
      <c r="U6135" s="7"/>
      <c r="V6135" s="436"/>
      <c r="W6135" s="6"/>
      <c r="X6135" s="8"/>
      <c r="Y6135" s="8"/>
    </row>
    <row r="6136" spans="3:25" ht="12" customHeight="1">
      <c r="C6136" s="4"/>
      <c r="D6136" s="4"/>
      <c r="E6136" s="5"/>
      <c r="F6136" s="6"/>
      <c r="G6136" s="31"/>
      <c r="H6136" s="6"/>
      <c r="I6136" s="9"/>
      <c r="J6136" s="24"/>
      <c r="K6136" s="9"/>
      <c r="L6136" s="25"/>
      <c r="M6136" s="7"/>
      <c r="N6136" s="8"/>
      <c r="O6136" s="11"/>
      <c r="P6136" s="11"/>
      <c r="Q6136" s="8"/>
      <c r="R6136" s="6"/>
      <c r="S6136" s="3"/>
      <c r="T6136" s="3"/>
      <c r="U6136" s="7"/>
      <c r="V6136" s="436"/>
      <c r="W6136" s="6"/>
      <c r="X6136" s="8"/>
      <c r="Y6136" s="8"/>
    </row>
    <row r="6137" spans="3:25" ht="12" customHeight="1">
      <c r="C6137" s="4"/>
      <c r="D6137" s="4"/>
      <c r="E6137" s="5"/>
      <c r="F6137" s="6"/>
      <c r="G6137" s="31"/>
      <c r="H6137" s="6"/>
      <c r="I6137" s="9"/>
      <c r="J6137" s="24"/>
      <c r="K6137" s="9"/>
      <c r="L6137" s="25"/>
      <c r="M6137" s="7"/>
      <c r="N6137" s="8"/>
      <c r="O6137" s="11"/>
      <c r="P6137" s="11"/>
      <c r="Q6137" s="8"/>
      <c r="R6137" s="6"/>
      <c r="S6137" s="3"/>
      <c r="T6137" s="3"/>
      <c r="U6137" s="7"/>
      <c r="V6137" s="436"/>
      <c r="W6137" s="6"/>
      <c r="X6137" s="8"/>
      <c r="Y6137" s="8"/>
    </row>
    <row r="6138" spans="3:25" ht="12" customHeight="1">
      <c r="C6138" s="4"/>
      <c r="D6138" s="4"/>
      <c r="E6138" s="5"/>
      <c r="F6138" s="6"/>
      <c r="G6138" s="31"/>
      <c r="H6138" s="6"/>
      <c r="I6138" s="9"/>
      <c r="J6138" s="24"/>
      <c r="K6138" s="9"/>
      <c r="L6138" s="25"/>
      <c r="M6138" s="7"/>
      <c r="N6138" s="8"/>
      <c r="O6138" s="11"/>
      <c r="P6138" s="11"/>
      <c r="Q6138" s="8"/>
      <c r="R6138" s="6"/>
      <c r="S6138" s="3"/>
      <c r="T6138" s="3"/>
      <c r="U6138" s="7"/>
      <c r="V6138" s="436"/>
      <c r="W6138" s="6"/>
      <c r="X6138" s="8"/>
      <c r="Y6138" s="8"/>
    </row>
    <row r="6139" spans="3:25" ht="12" customHeight="1">
      <c r="C6139" s="4"/>
      <c r="D6139" s="4"/>
      <c r="E6139" s="5"/>
      <c r="F6139" s="6"/>
      <c r="G6139" s="31"/>
      <c r="H6139" s="6"/>
      <c r="I6139" s="9"/>
      <c r="J6139" s="24"/>
      <c r="K6139" s="9"/>
      <c r="L6139" s="25"/>
      <c r="M6139" s="7"/>
      <c r="N6139" s="8"/>
      <c r="O6139" s="11"/>
      <c r="P6139" s="11"/>
      <c r="Q6139" s="8"/>
      <c r="R6139" s="6"/>
      <c r="S6139" s="3"/>
      <c r="T6139" s="3"/>
      <c r="U6139" s="7"/>
      <c r="V6139" s="436"/>
      <c r="W6139" s="6"/>
      <c r="X6139" s="8"/>
      <c r="Y6139" s="8"/>
    </row>
    <row r="6140" spans="3:25" ht="12" customHeight="1">
      <c r="C6140" s="4"/>
      <c r="D6140" s="4"/>
      <c r="E6140" s="5"/>
      <c r="F6140" s="6"/>
      <c r="G6140" s="31"/>
      <c r="H6140" s="6"/>
      <c r="I6140" s="9"/>
      <c r="J6140" s="24"/>
      <c r="K6140" s="9"/>
      <c r="L6140" s="25"/>
      <c r="M6140" s="7"/>
      <c r="N6140" s="8"/>
      <c r="O6140" s="11"/>
      <c r="P6140" s="11"/>
      <c r="Q6140" s="8"/>
      <c r="R6140" s="6"/>
      <c r="S6140" s="3"/>
      <c r="T6140" s="3"/>
      <c r="U6140" s="7"/>
      <c r="V6140" s="436"/>
      <c r="W6140" s="6"/>
      <c r="X6140" s="8"/>
      <c r="Y6140" s="8"/>
    </row>
    <row r="6141" spans="3:25" ht="12" customHeight="1">
      <c r="C6141" s="4"/>
      <c r="D6141" s="4"/>
      <c r="E6141" s="5"/>
      <c r="F6141" s="6"/>
      <c r="G6141" s="31"/>
      <c r="H6141" s="6"/>
      <c r="I6141" s="9"/>
      <c r="J6141" s="24"/>
      <c r="K6141" s="9"/>
      <c r="L6141" s="25"/>
      <c r="M6141" s="7"/>
      <c r="N6141" s="8"/>
      <c r="O6141" s="11"/>
      <c r="P6141" s="11"/>
      <c r="Q6141" s="8"/>
      <c r="R6141" s="6"/>
      <c r="S6141" s="3"/>
      <c r="T6141" s="3"/>
      <c r="U6141" s="7"/>
      <c r="V6141" s="436"/>
      <c r="W6141" s="6"/>
      <c r="X6141" s="8"/>
      <c r="Y6141" s="8"/>
    </row>
    <row r="6142" spans="3:25" ht="12" customHeight="1">
      <c r="C6142" s="4"/>
      <c r="D6142" s="4"/>
      <c r="E6142" s="5"/>
      <c r="F6142" s="6"/>
      <c r="G6142" s="31"/>
      <c r="H6142" s="6"/>
      <c r="I6142" s="9"/>
      <c r="J6142" s="24"/>
      <c r="K6142" s="10"/>
      <c r="L6142" s="25"/>
      <c r="M6142" s="7"/>
      <c r="N6142" s="8"/>
      <c r="O6142" s="11"/>
      <c r="P6142" s="11"/>
      <c r="Q6142" s="8"/>
      <c r="R6142" s="6"/>
      <c r="S6142" s="3"/>
      <c r="T6142" s="3"/>
      <c r="U6142" s="7"/>
      <c r="V6142" s="436"/>
      <c r="W6142" s="6"/>
      <c r="X6142" s="8"/>
      <c r="Y6142" s="8"/>
    </row>
    <row r="6143" spans="3:25" ht="12" customHeight="1">
      <c r="C6143" s="4"/>
      <c r="D6143" s="4"/>
      <c r="E6143" s="5"/>
      <c r="F6143" s="6"/>
      <c r="G6143" s="31"/>
      <c r="H6143" s="6"/>
      <c r="I6143" s="9"/>
      <c r="J6143" s="24"/>
      <c r="K6143" s="10"/>
      <c r="L6143" s="25"/>
      <c r="M6143" s="7"/>
      <c r="N6143" s="8"/>
      <c r="O6143" s="11"/>
      <c r="P6143" s="11"/>
      <c r="Q6143" s="8"/>
      <c r="R6143" s="6"/>
      <c r="S6143" s="3"/>
      <c r="T6143" s="3"/>
      <c r="U6143" s="7"/>
      <c r="V6143" s="436"/>
      <c r="W6143" s="6"/>
      <c r="X6143" s="8"/>
      <c r="Y6143" s="8"/>
    </row>
    <row r="6144" spans="3:25" ht="12" customHeight="1">
      <c r="C6144" s="4"/>
      <c r="D6144" s="4"/>
      <c r="E6144" s="5"/>
      <c r="F6144" s="6"/>
      <c r="G6144" s="31"/>
      <c r="H6144" s="6"/>
      <c r="I6144" s="9"/>
      <c r="J6144" s="24"/>
      <c r="K6144" s="19"/>
      <c r="L6144" s="25"/>
      <c r="M6144" s="7"/>
      <c r="N6144" s="8"/>
      <c r="O6144" s="11"/>
      <c r="P6144" s="11"/>
      <c r="Q6144" s="8"/>
      <c r="R6144" s="6"/>
      <c r="S6144" s="3"/>
      <c r="T6144" s="3"/>
      <c r="U6144" s="7"/>
      <c r="V6144" s="436"/>
      <c r="W6144" s="6"/>
      <c r="X6144" s="8"/>
      <c r="Y6144" s="8"/>
    </row>
    <row r="6145" spans="3:25" ht="12" customHeight="1">
      <c r="C6145" s="4"/>
      <c r="D6145" s="4"/>
      <c r="E6145" s="5"/>
      <c r="F6145" s="6"/>
      <c r="G6145" s="31"/>
      <c r="H6145" s="6"/>
      <c r="I6145" s="9"/>
      <c r="J6145" s="24"/>
      <c r="K6145" s="19"/>
      <c r="L6145" s="25"/>
      <c r="M6145" s="7"/>
      <c r="N6145" s="8"/>
      <c r="O6145" s="11"/>
      <c r="P6145" s="11"/>
      <c r="Q6145" s="8"/>
      <c r="R6145" s="6"/>
      <c r="S6145" s="3"/>
      <c r="T6145" s="3"/>
      <c r="U6145" s="7"/>
      <c r="V6145" s="436"/>
      <c r="W6145" s="6"/>
      <c r="X6145" s="8"/>
      <c r="Y6145" s="8"/>
    </row>
    <row r="6146" spans="3:25" ht="12" customHeight="1">
      <c r="C6146" s="4"/>
      <c r="D6146" s="4"/>
      <c r="E6146" s="5"/>
      <c r="F6146" s="6"/>
      <c r="G6146" s="31"/>
      <c r="H6146" s="6"/>
      <c r="I6146" s="9"/>
      <c r="J6146" s="24"/>
      <c r="K6146" s="19"/>
      <c r="L6146" s="25"/>
      <c r="M6146" s="7"/>
      <c r="N6146" s="8"/>
      <c r="O6146" s="11"/>
      <c r="P6146" s="11"/>
      <c r="Q6146" s="8"/>
      <c r="R6146" s="6"/>
      <c r="S6146" s="3"/>
      <c r="T6146" s="3"/>
      <c r="U6146" s="7"/>
      <c r="V6146" s="436"/>
      <c r="W6146" s="6"/>
      <c r="X6146" s="8"/>
      <c r="Y6146" s="8"/>
    </row>
    <row r="6147" spans="3:25" ht="12" customHeight="1">
      <c r="C6147" s="4"/>
      <c r="D6147" s="4"/>
      <c r="E6147" s="5"/>
      <c r="F6147" s="6"/>
      <c r="G6147" s="31"/>
      <c r="H6147" s="6"/>
      <c r="I6147" s="9"/>
      <c r="J6147" s="24"/>
      <c r="K6147" s="19"/>
      <c r="L6147" s="25"/>
      <c r="M6147" s="7"/>
      <c r="N6147" s="8"/>
      <c r="O6147" s="11"/>
      <c r="P6147" s="11"/>
      <c r="Q6147" s="8"/>
      <c r="R6147" s="6"/>
      <c r="S6147" s="3"/>
      <c r="T6147" s="3"/>
      <c r="U6147" s="7"/>
      <c r="V6147" s="436"/>
      <c r="W6147" s="6"/>
      <c r="X6147" s="8"/>
      <c r="Y6147" s="8"/>
    </row>
    <row r="6148" spans="3:25" ht="12" customHeight="1">
      <c r="C6148" s="4"/>
      <c r="D6148" s="4"/>
      <c r="E6148" s="5"/>
      <c r="F6148" s="6"/>
      <c r="G6148" s="31"/>
      <c r="H6148" s="6"/>
      <c r="I6148" s="9"/>
      <c r="J6148" s="24"/>
      <c r="K6148" s="19"/>
      <c r="L6148" s="25"/>
      <c r="M6148" s="7"/>
      <c r="N6148" s="8"/>
      <c r="O6148" s="11"/>
      <c r="P6148" s="11"/>
      <c r="Q6148" s="8"/>
      <c r="R6148" s="6"/>
      <c r="S6148" s="3"/>
      <c r="T6148" s="3"/>
      <c r="U6148" s="7"/>
      <c r="V6148" s="436"/>
      <c r="W6148" s="6"/>
      <c r="X6148" s="8"/>
      <c r="Y6148" s="8"/>
    </row>
    <row r="6149" spans="3:25" ht="12" customHeight="1">
      <c r="C6149" s="4"/>
      <c r="D6149" s="4"/>
      <c r="E6149" s="5"/>
      <c r="F6149" s="6"/>
      <c r="G6149" s="31"/>
      <c r="H6149" s="6"/>
      <c r="I6149" s="9"/>
      <c r="J6149" s="24"/>
      <c r="K6149" s="19"/>
      <c r="L6149" s="25"/>
      <c r="M6149" s="7"/>
      <c r="N6149" s="8"/>
      <c r="O6149" s="11"/>
      <c r="P6149" s="11"/>
      <c r="Q6149" s="8"/>
      <c r="R6149" s="6"/>
      <c r="S6149" s="3"/>
      <c r="T6149" s="3"/>
      <c r="U6149" s="7"/>
      <c r="V6149" s="436"/>
      <c r="W6149" s="6"/>
      <c r="X6149" s="8"/>
      <c r="Y6149" s="8"/>
    </row>
    <row r="6150" spans="3:25" ht="12" customHeight="1">
      <c r="C6150" s="4"/>
      <c r="D6150" s="4"/>
      <c r="E6150" s="5"/>
      <c r="F6150" s="6"/>
      <c r="G6150" s="31"/>
      <c r="H6150" s="6"/>
      <c r="I6150" s="9"/>
      <c r="J6150" s="24"/>
      <c r="K6150" s="19"/>
      <c r="L6150" s="25"/>
      <c r="M6150" s="7"/>
      <c r="N6150" s="8"/>
      <c r="O6150" s="11"/>
      <c r="P6150" s="11"/>
      <c r="Q6150" s="8"/>
      <c r="R6150" s="6"/>
      <c r="S6150" s="3"/>
      <c r="T6150" s="3"/>
      <c r="U6150" s="7"/>
      <c r="V6150" s="436"/>
      <c r="W6150" s="6"/>
      <c r="X6150" s="8"/>
      <c r="Y6150" s="8"/>
    </row>
    <row r="6151" spans="3:25" ht="12" customHeight="1">
      <c r="C6151" s="4"/>
      <c r="D6151" s="4"/>
      <c r="E6151" s="5"/>
      <c r="F6151" s="6"/>
      <c r="G6151" s="31"/>
      <c r="H6151" s="6"/>
      <c r="I6151" s="9"/>
      <c r="J6151" s="24"/>
      <c r="K6151" s="19"/>
      <c r="L6151" s="25"/>
      <c r="M6151" s="7"/>
      <c r="N6151" s="8"/>
      <c r="O6151" s="11"/>
      <c r="P6151" s="11"/>
      <c r="Q6151" s="8"/>
      <c r="R6151" s="6"/>
      <c r="S6151" s="3"/>
      <c r="T6151" s="3"/>
      <c r="U6151" s="7"/>
      <c r="V6151" s="436"/>
      <c r="W6151" s="6"/>
      <c r="X6151" s="8"/>
      <c r="Y6151" s="8"/>
    </row>
    <row r="6152" spans="3:25" ht="12" customHeight="1">
      <c r="C6152" s="4"/>
      <c r="D6152" s="4"/>
      <c r="E6152" s="5"/>
      <c r="F6152" s="6"/>
      <c r="G6152" s="31"/>
      <c r="H6152" s="6"/>
      <c r="I6152" s="9"/>
      <c r="J6152" s="24"/>
      <c r="K6152" s="19"/>
      <c r="L6152" s="25"/>
      <c r="M6152" s="7"/>
      <c r="N6152" s="8"/>
      <c r="O6152" s="11"/>
      <c r="P6152" s="11"/>
      <c r="Q6152" s="8"/>
      <c r="R6152" s="6"/>
      <c r="S6152" s="3"/>
      <c r="T6152" s="3"/>
      <c r="U6152" s="7"/>
      <c r="V6152" s="436"/>
      <c r="W6152" s="6"/>
      <c r="X6152" s="8"/>
      <c r="Y6152" s="8"/>
    </row>
    <row r="6153" spans="3:25" ht="12" customHeight="1">
      <c r="C6153" s="4"/>
      <c r="D6153" s="4"/>
      <c r="E6153" s="5"/>
      <c r="F6153" s="6"/>
      <c r="G6153" s="31"/>
      <c r="H6153" s="6"/>
      <c r="I6153" s="9"/>
      <c r="J6153" s="24"/>
      <c r="K6153" s="19"/>
      <c r="L6153" s="25"/>
      <c r="M6153" s="7"/>
      <c r="N6153" s="8"/>
      <c r="O6153" s="11"/>
      <c r="P6153" s="11"/>
      <c r="Q6153" s="8"/>
      <c r="R6153" s="6"/>
      <c r="S6153" s="3"/>
      <c r="T6153" s="3"/>
      <c r="U6153" s="7"/>
      <c r="V6153" s="436"/>
      <c r="W6153" s="6"/>
      <c r="X6153" s="8"/>
      <c r="Y6153" s="8"/>
    </row>
    <row r="6154" spans="3:25" ht="12" customHeight="1">
      <c r="C6154" s="4"/>
      <c r="D6154" s="4"/>
      <c r="E6154" s="5"/>
      <c r="F6154" s="6"/>
      <c r="G6154" s="31"/>
      <c r="H6154" s="6"/>
      <c r="I6154" s="9"/>
      <c r="J6154" s="24"/>
      <c r="K6154" s="19"/>
      <c r="L6154" s="25"/>
      <c r="M6154" s="7"/>
      <c r="N6154" s="8"/>
      <c r="O6154" s="11"/>
      <c r="P6154" s="11"/>
      <c r="Q6154" s="8"/>
      <c r="R6154" s="6"/>
      <c r="S6154" s="3"/>
      <c r="T6154" s="3"/>
      <c r="U6154" s="7"/>
      <c r="V6154" s="436"/>
      <c r="W6154" s="6"/>
      <c r="X6154" s="8"/>
      <c r="Y6154" s="8"/>
    </row>
    <row r="6155" spans="3:25" ht="12" customHeight="1">
      <c r="C6155" s="4"/>
      <c r="D6155" s="4"/>
      <c r="E6155" s="5"/>
      <c r="F6155" s="6"/>
      <c r="G6155" s="31"/>
      <c r="H6155" s="6"/>
      <c r="I6155" s="9"/>
      <c r="J6155" s="24"/>
      <c r="K6155" s="19"/>
      <c r="L6155" s="25"/>
      <c r="M6155" s="7"/>
      <c r="N6155" s="8"/>
      <c r="O6155" s="11"/>
      <c r="P6155" s="11"/>
      <c r="Q6155" s="8"/>
      <c r="R6155" s="6"/>
      <c r="S6155" s="3"/>
      <c r="T6155" s="3"/>
      <c r="U6155" s="7"/>
      <c r="V6155" s="436"/>
      <c r="W6155" s="6"/>
      <c r="X6155" s="8"/>
      <c r="Y6155" s="8"/>
    </row>
    <row r="6156" spans="3:25" ht="12" customHeight="1">
      <c r="C6156" s="4"/>
      <c r="D6156" s="4"/>
      <c r="E6156" s="5"/>
      <c r="F6156" s="6"/>
      <c r="G6156" s="31"/>
      <c r="H6156" s="6"/>
      <c r="I6156" s="9"/>
      <c r="J6156" s="24"/>
      <c r="K6156" s="19"/>
      <c r="L6156" s="25"/>
      <c r="M6156" s="7"/>
      <c r="N6156" s="8"/>
      <c r="O6156" s="11"/>
      <c r="P6156" s="11"/>
      <c r="Q6156" s="8"/>
      <c r="R6156" s="6"/>
      <c r="S6156" s="3"/>
      <c r="T6156" s="3"/>
      <c r="U6156" s="7"/>
      <c r="V6156" s="436"/>
      <c r="W6156" s="6"/>
      <c r="X6156" s="8"/>
      <c r="Y6156" s="8"/>
    </row>
    <row r="6157" spans="3:25" ht="12" customHeight="1">
      <c r="C6157" s="4"/>
      <c r="D6157" s="4"/>
      <c r="E6157" s="5"/>
      <c r="F6157" s="6"/>
      <c r="G6157" s="31"/>
      <c r="H6157" s="6"/>
      <c r="I6157" s="9"/>
      <c r="J6157" s="24"/>
      <c r="K6157" s="19"/>
      <c r="L6157" s="25"/>
      <c r="M6157" s="47"/>
      <c r="N6157" s="8"/>
      <c r="O6157" s="11"/>
      <c r="P6157" s="11"/>
      <c r="Q6157" s="8"/>
      <c r="R6157" s="6"/>
      <c r="S6157" s="3"/>
      <c r="T6157" s="3"/>
      <c r="U6157" s="7"/>
      <c r="V6157" s="436"/>
      <c r="W6157" s="6"/>
      <c r="X6157" s="8"/>
      <c r="Y6157" s="8"/>
    </row>
    <row r="6158" spans="3:25" ht="12" customHeight="1">
      <c r="C6158" s="4"/>
      <c r="D6158" s="4"/>
      <c r="E6158" s="5"/>
      <c r="F6158" s="6"/>
      <c r="G6158" s="31"/>
      <c r="H6158" s="6"/>
      <c r="I6158" s="9"/>
      <c r="J6158" s="24"/>
      <c r="K6158" s="19"/>
      <c r="L6158" s="25"/>
      <c r="M6158" s="7"/>
      <c r="N6158" s="8"/>
      <c r="O6158" s="11"/>
      <c r="P6158" s="11"/>
      <c r="Q6158" s="8"/>
      <c r="R6158" s="6"/>
      <c r="S6158" s="3"/>
      <c r="T6158" s="3"/>
      <c r="U6158" s="7"/>
      <c r="V6158" s="436"/>
      <c r="W6158" s="6"/>
      <c r="X6158" s="8"/>
      <c r="Y6158" s="8"/>
    </row>
    <row r="6159" spans="3:25" ht="12" customHeight="1">
      <c r="C6159" s="4"/>
      <c r="D6159" s="4"/>
      <c r="E6159" s="5"/>
      <c r="F6159" s="6"/>
      <c r="G6159" s="31"/>
      <c r="H6159" s="6"/>
      <c r="I6159" s="9"/>
      <c r="J6159" s="24"/>
      <c r="K6159" s="19"/>
      <c r="L6159" s="25"/>
      <c r="M6159" s="7"/>
      <c r="N6159" s="8"/>
      <c r="O6159" s="11"/>
      <c r="P6159" s="11"/>
      <c r="Q6159" s="8"/>
      <c r="R6159" s="6"/>
      <c r="S6159" s="3"/>
      <c r="T6159" s="3"/>
      <c r="U6159" s="7"/>
      <c r="V6159" s="436"/>
      <c r="W6159" s="6"/>
      <c r="X6159" s="8"/>
      <c r="Y6159" s="8"/>
    </row>
    <row r="6160" spans="3:25" ht="12" customHeight="1">
      <c r="C6160" s="4"/>
      <c r="D6160" s="4"/>
      <c r="E6160" s="5"/>
      <c r="F6160" s="6"/>
      <c r="G6160" s="31"/>
      <c r="H6160" s="6"/>
      <c r="I6160" s="9"/>
      <c r="J6160" s="24"/>
      <c r="K6160" s="19"/>
      <c r="L6160" s="25"/>
      <c r="M6160" s="7"/>
      <c r="N6160" s="8"/>
      <c r="O6160" s="11"/>
      <c r="P6160" s="11"/>
      <c r="Q6160" s="8"/>
      <c r="R6160" s="6"/>
      <c r="S6160" s="3"/>
      <c r="T6160" s="3"/>
      <c r="U6160" s="7"/>
      <c r="V6160" s="436"/>
      <c r="W6160" s="6"/>
      <c r="X6160" s="8"/>
      <c r="Y6160" s="8"/>
    </row>
    <row r="6161" spans="3:25" ht="12" customHeight="1">
      <c r="C6161" s="4"/>
      <c r="D6161" s="4"/>
      <c r="E6161" s="5"/>
      <c r="F6161" s="6"/>
      <c r="G6161" s="31"/>
      <c r="H6161" s="6"/>
      <c r="I6161" s="9"/>
      <c r="J6161" s="24"/>
      <c r="K6161" s="19"/>
      <c r="L6161" s="25"/>
      <c r="M6161" s="7"/>
      <c r="N6161" s="8"/>
      <c r="O6161" s="11"/>
      <c r="P6161" s="11"/>
      <c r="Q6161" s="8"/>
      <c r="R6161" s="6"/>
      <c r="S6161" s="3"/>
      <c r="T6161" s="3"/>
      <c r="U6161" s="7"/>
      <c r="V6161" s="436"/>
      <c r="W6161" s="6"/>
      <c r="X6161" s="8"/>
      <c r="Y6161" s="8"/>
    </row>
    <row r="6162" spans="3:25" ht="12" customHeight="1">
      <c r="C6162" s="4"/>
      <c r="D6162" s="4"/>
      <c r="E6162" s="5"/>
      <c r="F6162" s="6"/>
      <c r="G6162" s="31"/>
      <c r="H6162" s="6"/>
      <c r="I6162" s="9"/>
      <c r="J6162" s="24"/>
      <c r="K6162" s="19"/>
      <c r="L6162" s="25"/>
      <c r="M6162" s="7"/>
      <c r="N6162" s="8"/>
      <c r="O6162" s="11"/>
      <c r="P6162" s="11"/>
      <c r="Q6162" s="8"/>
      <c r="R6162" s="6"/>
      <c r="S6162" s="3"/>
      <c r="T6162" s="3"/>
      <c r="U6162" s="7"/>
      <c r="V6162" s="436"/>
      <c r="W6162" s="6"/>
      <c r="X6162" s="8"/>
      <c r="Y6162" s="8"/>
    </row>
    <row r="6163" spans="3:25" ht="12" customHeight="1">
      <c r="C6163" s="4"/>
      <c r="D6163" s="4"/>
      <c r="E6163" s="5"/>
      <c r="F6163" s="6"/>
      <c r="G6163" s="31"/>
      <c r="H6163" s="6"/>
      <c r="I6163" s="9"/>
      <c r="J6163" s="24"/>
      <c r="K6163" s="19"/>
      <c r="L6163" s="25"/>
      <c r="M6163" s="7"/>
      <c r="N6163" s="8"/>
      <c r="O6163" s="11"/>
      <c r="P6163" s="11"/>
      <c r="Q6163" s="8"/>
      <c r="R6163" s="6"/>
      <c r="S6163" s="3"/>
      <c r="T6163" s="3"/>
      <c r="U6163" s="7"/>
      <c r="V6163" s="436"/>
      <c r="W6163" s="6"/>
      <c r="X6163" s="8"/>
      <c r="Y6163" s="8"/>
    </row>
    <row r="6164" spans="3:25" ht="12" customHeight="1">
      <c r="C6164" s="4"/>
      <c r="D6164" s="4"/>
      <c r="E6164" s="5"/>
      <c r="F6164" s="6"/>
      <c r="G6164" s="31"/>
      <c r="H6164" s="6"/>
      <c r="I6164" s="9"/>
      <c r="J6164" s="24"/>
      <c r="K6164" s="19"/>
      <c r="L6164" s="25"/>
      <c r="M6164" s="7"/>
      <c r="N6164" s="8"/>
      <c r="O6164" s="11"/>
      <c r="P6164" s="11"/>
      <c r="Q6164" s="8"/>
      <c r="R6164" s="6"/>
      <c r="S6164" s="3"/>
      <c r="T6164" s="3"/>
      <c r="U6164" s="7"/>
      <c r="V6164" s="436"/>
      <c r="W6164" s="6"/>
      <c r="X6164" s="8"/>
      <c r="Y6164" s="8"/>
    </row>
    <row r="6165" spans="3:25" ht="12" customHeight="1">
      <c r="C6165" s="4"/>
      <c r="D6165" s="4"/>
      <c r="E6165" s="5"/>
      <c r="F6165" s="6"/>
      <c r="G6165" s="31"/>
      <c r="H6165" s="6"/>
      <c r="I6165" s="9"/>
      <c r="J6165" s="24"/>
      <c r="K6165" s="19"/>
      <c r="L6165" s="25"/>
      <c r="M6165" s="47"/>
      <c r="N6165" s="8"/>
      <c r="O6165" s="11"/>
      <c r="P6165" s="11"/>
      <c r="Q6165" s="8"/>
      <c r="R6165" s="6"/>
      <c r="S6165" s="3"/>
      <c r="T6165" s="3"/>
      <c r="U6165" s="7"/>
      <c r="V6165" s="436"/>
      <c r="W6165" s="6"/>
      <c r="X6165" s="8"/>
      <c r="Y6165" s="8"/>
    </row>
    <row r="6166" spans="3:25" ht="12" customHeight="1">
      <c r="C6166" s="4"/>
      <c r="D6166" s="4"/>
      <c r="E6166" s="5"/>
      <c r="F6166" s="6"/>
      <c r="G6166" s="31"/>
      <c r="H6166" s="6"/>
      <c r="I6166" s="9"/>
      <c r="J6166" s="24"/>
      <c r="K6166" s="19"/>
      <c r="L6166" s="25"/>
      <c r="M6166" s="7"/>
      <c r="N6166" s="8"/>
      <c r="O6166" s="11"/>
      <c r="P6166" s="11"/>
      <c r="Q6166" s="8"/>
      <c r="R6166" s="6"/>
      <c r="S6166" s="3"/>
      <c r="T6166" s="3"/>
      <c r="U6166" s="7"/>
      <c r="V6166" s="436"/>
      <c r="W6166" s="6"/>
      <c r="X6166" s="8"/>
      <c r="Y6166" s="8"/>
    </row>
    <row r="6167" spans="3:25" ht="12" customHeight="1">
      <c r="C6167" s="4"/>
      <c r="D6167" s="4"/>
      <c r="E6167" s="5"/>
      <c r="F6167" s="6"/>
      <c r="G6167" s="31"/>
      <c r="H6167" s="6"/>
      <c r="I6167" s="9"/>
      <c r="J6167" s="24"/>
      <c r="K6167" s="9"/>
      <c r="L6167" s="25"/>
      <c r="M6167" s="7"/>
      <c r="N6167" s="8"/>
      <c r="O6167" s="11"/>
      <c r="P6167" s="11"/>
      <c r="Q6167" s="8"/>
      <c r="R6167" s="6"/>
      <c r="S6167" s="3"/>
      <c r="T6167" s="3"/>
      <c r="U6167" s="7"/>
      <c r="V6167" s="436"/>
      <c r="W6167" s="6"/>
      <c r="X6167" s="8"/>
      <c r="Y6167" s="8"/>
    </row>
    <row r="6168" spans="3:25" ht="12" customHeight="1">
      <c r="C6168" s="4"/>
      <c r="D6168" s="4"/>
      <c r="E6168" s="5"/>
      <c r="F6168" s="6"/>
      <c r="G6168" s="31"/>
      <c r="H6168" s="6"/>
      <c r="I6168" s="9"/>
      <c r="J6168" s="24"/>
      <c r="K6168" s="9"/>
      <c r="L6168" s="25"/>
      <c r="M6168" s="7"/>
      <c r="N6168" s="8"/>
      <c r="O6168" s="11"/>
      <c r="P6168" s="11"/>
      <c r="Q6168" s="8"/>
      <c r="R6168" s="6"/>
      <c r="S6168" s="3"/>
      <c r="T6168" s="3"/>
      <c r="U6168" s="7"/>
      <c r="V6168" s="436"/>
      <c r="W6168" s="6"/>
      <c r="X6168" s="8"/>
      <c r="Y6168" s="8"/>
    </row>
    <row r="6169" spans="3:25" ht="12" customHeight="1">
      <c r="C6169" s="4"/>
      <c r="D6169" s="4"/>
      <c r="E6169" s="5"/>
      <c r="F6169" s="6"/>
      <c r="G6169" s="31"/>
      <c r="H6169" s="6"/>
      <c r="I6169" s="9"/>
      <c r="J6169" s="24"/>
      <c r="K6169" s="9"/>
      <c r="L6169" s="25"/>
      <c r="M6169" s="7"/>
      <c r="N6169" s="8"/>
      <c r="O6169" s="11"/>
      <c r="P6169" s="11"/>
      <c r="Q6169" s="8"/>
      <c r="R6169" s="6"/>
      <c r="S6169" s="3"/>
      <c r="T6169" s="3"/>
      <c r="U6169" s="7"/>
      <c r="V6169" s="436"/>
      <c r="W6169" s="6"/>
      <c r="X6169" s="8"/>
      <c r="Y6169" s="8"/>
    </row>
    <row r="6170" spans="3:25" ht="12" customHeight="1">
      <c r="C6170" s="4"/>
      <c r="D6170" s="4"/>
      <c r="E6170" s="5"/>
      <c r="F6170" s="6"/>
      <c r="G6170" s="31"/>
      <c r="H6170" s="6"/>
      <c r="I6170" s="9"/>
      <c r="J6170" s="24"/>
      <c r="K6170" s="9"/>
      <c r="L6170" s="25"/>
      <c r="M6170" s="7"/>
      <c r="N6170" s="8"/>
      <c r="O6170" s="11"/>
      <c r="P6170" s="11"/>
      <c r="Q6170" s="8"/>
      <c r="R6170" s="6"/>
      <c r="S6170" s="3"/>
      <c r="T6170" s="3"/>
      <c r="U6170" s="7"/>
      <c r="V6170" s="436"/>
      <c r="W6170" s="6"/>
      <c r="X6170" s="8"/>
      <c r="Y6170" s="8"/>
    </row>
    <row r="6171" spans="3:25" ht="12" customHeight="1">
      <c r="C6171" s="4"/>
      <c r="D6171" s="4"/>
      <c r="E6171" s="5"/>
      <c r="F6171" s="6"/>
      <c r="G6171" s="31"/>
      <c r="H6171" s="6"/>
      <c r="I6171" s="9"/>
      <c r="J6171" s="24"/>
      <c r="K6171" s="9"/>
      <c r="L6171" s="25"/>
      <c r="M6171" s="7"/>
      <c r="N6171" s="8"/>
      <c r="O6171" s="11"/>
      <c r="P6171" s="11"/>
      <c r="Q6171" s="8"/>
      <c r="R6171" s="6"/>
      <c r="S6171" s="3"/>
      <c r="T6171" s="3"/>
      <c r="U6171" s="7"/>
      <c r="V6171" s="436"/>
      <c r="W6171" s="6"/>
      <c r="X6171" s="8"/>
      <c r="Y6171" s="8"/>
    </row>
    <row r="6172" spans="3:25" ht="12" customHeight="1">
      <c r="C6172" s="4"/>
      <c r="D6172" s="4"/>
      <c r="E6172" s="5"/>
      <c r="F6172" s="6"/>
      <c r="G6172" s="31"/>
      <c r="H6172" s="6"/>
      <c r="I6172" s="9"/>
      <c r="J6172" s="24"/>
      <c r="K6172" s="9"/>
      <c r="L6172" s="25"/>
      <c r="M6172" s="7"/>
      <c r="N6172" s="8"/>
      <c r="O6172" s="11"/>
      <c r="P6172" s="11"/>
      <c r="Q6172" s="8"/>
      <c r="R6172" s="6"/>
      <c r="S6172" s="3"/>
      <c r="T6172" s="3"/>
      <c r="U6172" s="7"/>
      <c r="V6172" s="436"/>
      <c r="W6172" s="6"/>
      <c r="X6172" s="8"/>
      <c r="Y6172" s="8"/>
    </row>
    <row r="6173" spans="3:25" ht="12" customHeight="1">
      <c r="C6173" s="4"/>
      <c r="D6173" s="4"/>
      <c r="E6173" s="5"/>
      <c r="F6173" s="6"/>
      <c r="G6173" s="31"/>
      <c r="H6173" s="6"/>
      <c r="I6173" s="9"/>
      <c r="J6173" s="24"/>
      <c r="K6173" s="9"/>
      <c r="L6173" s="25"/>
      <c r="M6173" s="7"/>
      <c r="N6173" s="8"/>
      <c r="O6173" s="11"/>
      <c r="P6173" s="11"/>
      <c r="Q6173" s="8"/>
      <c r="R6173" s="6"/>
      <c r="S6173" s="3"/>
      <c r="T6173" s="3"/>
      <c r="U6173" s="7"/>
      <c r="V6173" s="436"/>
      <c r="W6173" s="6"/>
      <c r="X6173" s="8"/>
      <c r="Y6173" s="8"/>
    </row>
    <row r="6174" spans="3:25" ht="12" customHeight="1">
      <c r="C6174" s="4"/>
      <c r="D6174" s="4"/>
      <c r="E6174" s="5"/>
      <c r="F6174" s="6"/>
      <c r="G6174" s="31"/>
      <c r="H6174" s="6"/>
      <c r="I6174" s="9"/>
      <c r="J6174" s="24"/>
      <c r="K6174" s="9"/>
      <c r="L6174" s="25"/>
      <c r="M6174" s="7"/>
      <c r="N6174" s="8"/>
      <c r="O6174" s="11"/>
      <c r="P6174" s="11"/>
      <c r="Q6174" s="8"/>
      <c r="R6174" s="6"/>
      <c r="S6174" s="3"/>
      <c r="T6174" s="3"/>
      <c r="U6174" s="7"/>
      <c r="V6174" s="436"/>
      <c r="W6174" s="6"/>
      <c r="X6174" s="8"/>
      <c r="Y6174" s="8"/>
    </row>
    <row r="6175" spans="3:25" ht="12" customHeight="1">
      <c r="C6175" s="4"/>
      <c r="D6175" s="4"/>
      <c r="E6175" s="5"/>
      <c r="F6175" s="6"/>
      <c r="G6175" s="31"/>
      <c r="H6175" s="6"/>
      <c r="I6175" s="9"/>
      <c r="J6175" s="24"/>
      <c r="K6175" s="9"/>
      <c r="L6175" s="25"/>
      <c r="M6175" s="7"/>
      <c r="N6175" s="8"/>
      <c r="O6175" s="11"/>
      <c r="P6175" s="11"/>
      <c r="Q6175" s="8"/>
      <c r="R6175" s="6"/>
      <c r="S6175" s="3"/>
      <c r="T6175" s="3"/>
      <c r="U6175" s="7"/>
      <c r="V6175" s="436"/>
      <c r="W6175" s="6"/>
      <c r="X6175" s="8"/>
      <c r="Y6175" s="8"/>
    </row>
    <row r="6176" spans="3:25" ht="12" customHeight="1">
      <c r="C6176" s="4"/>
      <c r="D6176" s="4"/>
      <c r="E6176" s="5"/>
      <c r="F6176" s="6"/>
      <c r="G6176" s="31"/>
      <c r="H6176" s="6"/>
      <c r="I6176" s="9"/>
      <c r="J6176" s="24"/>
      <c r="K6176" s="9"/>
      <c r="L6176" s="25"/>
      <c r="M6176" s="7"/>
      <c r="N6176" s="8"/>
      <c r="O6176" s="11"/>
      <c r="P6176" s="11"/>
      <c r="Q6176" s="8"/>
      <c r="R6176" s="6"/>
      <c r="S6176" s="3"/>
      <c r="T6176" s="3"/>
      <c r="U6176" s="7"/>
      <c r="V6176" s="436"/>
      <c r="W6176" s="6"/>
      <c r="X6176" s="8"/>
      <c r="Y6176" s="8"/>
    </row>
    <row r="6177" spans="3:25" ht="12" customHeight="1">
      <c r="C6177" s="4"/>
      <c r="D6177" s="4"/>
      <c r="E6177" s="5"/>
      <c r="F6177" s="6"/>
      <c r="G6177" s="31"/>
      <c r="H6177" s="6"/>
      <c r="I6177" s="9"/>
      <c r="J6177" s="24"/>
      <c r="K6177" s="9"/>
      <c r="L6177" s="25"/>
      <c r="M6177" s="7"/>
      <c r="N6177" s="8"/>
      <c r="O6177" s="11"/>
      <c r="P6177" s="11"/>
      <c r="Q6177" s="8"/>
      <c r="R6177" s="6"/>
      <c r="S6177" s="3"/>
      <c r="T6177" s="3"/>
      <c r="U6177" s="7"/>
      <c r="V6177" s="436"/>
      <c r="W6177" s="6"/>
      <c r="X6177" s="8"/>
      <c r="Y6177" s="8"/>
    </row>
    <row r="6178" spans="3:25" ht="12" customHeight="1">
      <c r="C6178" s="4"/>
      <c r="D6178" s="4"/>
      <c r="E6178" s="5"/>
      <c r="F6178" s="6"/>
      <c r="G6178" s="31"/>
      <c r="H6178" s="6"/>
      <c r="I6178" s="9"/>
      <c r="J6178" s="24"/>
      <c r="K6178" s="9"/>
      <c r="L6178" s="25"/>
      <c r="M6178" s="7"/>
      <c r="N6178" s="8"/>
      <c r="O6178" s="11"/>
      <c r="P6178" s="11"/>
      <c r="Q6178" s="8"/>
      <c r="R6178" s="6"/>
      <c r="S6178" s="3"/>
      <c r="T6178" s="3"/>
      <c r="U6178" s="7"/>
      <c r="V6178" s="436"/>
      <c r="W6178" s="6"/>
      <c r="X6178" s="8"/>
      <c r="Y6178" s="8"/>
    </row>
    <row r="6179" spans="3:25" ht="12" customHeight="1">
      <c r="C6179" s="4"/>
      <c r="D6179" s="4"/>
      <c r="E6179" s="5"/>
      <c r="F6179" s="6"/>
      <c r="G6179" s="31"/>
      <c r="H6179" s="6"/>
      <c r="I6179" s="9"/>
      <c r="J6179" s="24"/>
      <c r="K6179" s="9"/>
      <c r="L6179" s="25"/>
      <c r="M6179" s="7"/>
      <c r="N6179" s="8"/>
      <c r="O6179" s="11"/>
      <c r="P6179" s="11"/>
      <c r="Q6179" s="8"/>
      <c r="R6179" s="6"/>
      <c r="S6179" s="3"/>
      <c r="T6179" s="3"/>
      <c r="U6179" s="7"/>
      <c r="V6179" s="436"/>
      <c r="W6179" s="6"/>
      <c r="X6179" s="8"/>
      <c r="Y6179" s="8"/>
    </row>
    <row r="6180" spans="3:25" ht="12" customHeight="1">
      <c r="C6180" s="4"/>
      <c r="D6180" s="4"/>
      <c r="E6180" s="5"/>
      <c r="F6180" s="6"/>
      <c r="G6180" s="31"/>
      <c r="H6180" s="6"/>
      <c r="I6180" s="9"/>
      <c r="J6180" s="24"/>
      <c r="K6180" s="9"/>
      <c r="L6180" s="25"/>
      <c r="M6180" s="7"/>
      <c r="N6180" s="8"/>
      <c r="O6180" s="11"/>
      <c r="P6180" s="11"/>
      <c r="Q6180" s="8"/>
      <c r="R6180" s="6"/>
      <c r="S6180" s="3"/>
      <c r="T6180" s="3"/>
      <c r="U6180" s="7"/>
      <c r="V6180" s="436"/>
      <c r="W6180" s="6"/>
      <c r="X6180" s="8"/>
      <c r="Y6180" s="8"/>
    </row>
    <row r="6181" spans="3:25" ht="12" customHeight="1">
      <c r="C6181" s="4"/>
      <c r="D6181" s="4"/>
      <c r="E6181" s="5"/>
      <c r="F6181" s="6"/>
      <c r="G6181" s="31"/>
      <c r="H6181" s="6"/>
      <c r="I6181" s="9"/>
      <c r="J6181" s="24"/>
      <c r="K6181" s="9"/>
      <c r="L6181" s="25"/>
      <c r="M6181" s="7"/>
      <c r="N6181" s="8"/>
      <c r="O6181" s="11"/>
      <c r="P6181" s="11"/>
      <c r="Q6181" s="8"/>
      <c r="R6181" s="6"/>
      <c r="S6181" s="3"/>
      <c r="T6181" s="3"/>
      <c r="U6181" s="7"/>
      <c r="V6181" s="436"/>
      <c r="W6181" s="6"/>
      <c r="X6181" s="8"/>
      <c r="Y6181" s="8"/>
    </row>
    <row r="6182" spans="3:25" ht="12" customHeight="1">
      <c r="C6182" s="4"/>
      <c r="D6182" s="4"/>
      <c r="E6182" s="5"/>
      <c r="F6182" s="6"/>
      <c r="G6182" s="31"/>
      <c r="H6182" s="6"/>
      <c r="I6182" s="9"/>
      <c r="J6182" s="24"/>
      <c r="K6182" s="9"/>
      <c r="L6182" s="25"/>
      <c r="M6182" s="7"/>
      <c r="N6182" s="8"/>
      <c r="O6182" s="11"/>
      <c r="P6182" s="11"/>
      <c r="Q6182" s="8"/>
      <c r="R6182" s="6"/>
      <c r="S6182" s="3"/>
      <c r="T6182" s="3"/>
      <c r="U6182" s="7"/>
      <c r="V6182" s="436"/>
      <c r="W6182" s="6"/>
      <c r="X6182" s="8"/>
      <c r="Y6182" s="8"/>
    </row>
    <row r="6183" spans="3:25" ht="12" customHeight="1">
      <c r="C6183" s="4"/>
      <c r="D6183" s="4"/>
      <c r="E6183" s="5"/>
      <c r="F6183" s="6"/>
      <c r="G6183" s="31"/>
      <c r="H6183" s="6"/>
      <c r="I6183" s="9"/>
      <c r="J6183" s="24"/>
      <c r="K6183" s="9"/>
      <c r="L6183" s="25"/>
      <c r="M6183" s="47"/>
      <c r="N6183" s="8"/>
      <c r="O6183" s="11"/>
      <c r="P6183" s="11"/>
      <c r="Q6183" s="8"/>
      <c r="R6183" s="6"/>
      <c r="S6183" s="3"/>
      <c r="T6183" s="3"/>
      <c r="U6183" s="7"/>
      <c r="V6183" s="436"/>
      <c r="W6183" s="6"/>
      <c r="X6183" s="8"/>
      <c r="Y6183" s="8"/>
    </row>
    <row r="6184" spans="3:25" ht="12" customHeight="1">
      <c r="C6184" s="4"/>
      <c r="D6184" s="4"/>
      <c r="E6184" s="5"/>
      <c r="F6184" s="6"/>
      <c r="G6184" s="31"/>
      <c r="H6184" s="6"/>
      <c r="I6184" s="9"/>
      <c r="J6184" s="24"/>
      <c r="K6184" s="9"/>
      <c r="L6184" s="25"/>
      <c r="M6184" s="7"/>
      <c r="N6184" s="8"/>
      <c r="O6184" s="11"/>
      <c r="P6184" s="11"/>
      <c r="Q6184" s="8"/>
      <c r="R6184" s="6"/>
      <c r="S6184" s="3"/>
      <c r="T6184" s="3"/>
      <c r="U6184" s="7"/>
      <c r="V6184" s="436"/>
      <c r="W6184" s="6"/>
      <c r="X6184" s="8"/>
      <c r="Y6184" s="8"/>
    </row>
    <row r="6185" spans="3:25" ht="12" customHeight="1">
      <c r="C6185" s="4"/>
      <c r="D6185" s="4"/>
      <c r="E6185" s="5"/>
      <c r="F6185" s="6"/>
      <c r="G6185" s="31"/>
      <c r="H6185" s="6"/>
      <c r="I6185" s="9"/>
      <c r="J6185" s="24"/>
      <c r="K6185" s="9"/>
      <c r="L6185" s="25"/>
      <c r="M6185" s="7"/>
      <c r="N6185" s="8"/>
      <c r="O6185" s="11"/>
      <c r="P6185" s="11"/>
      <c r="Q6185" s="8"/>
      <c r="R6185" s="6"/>
      <c r="S6185" s="3"/>
      <c r="T6185" s="3"/>
      <c r="U6185" s="7"/>
      <c r="V6185" s="436"/>
      <c r="W6185" s="6"/>
      <c r="X6185" s="8"/>
      <c r="Y6185" s="8"/>
    </row>
    <row r="6186" spans="3:25" ht="12" customHeight="1">
      <c r="C6186" s="4"/>
      <c r="D6186" s="4"/>
      <c r="E6186" s="5"/>
      <c r="F6186" s="6"/>
      <c r="G6186" s="31"/>
      <c r="H6186" s="6"/>
      <c r="I6186" s="9"/>
      <c r="J6186" s="24"/>
      <c r="K6186" s="9"/>
      <c r="L6186" s="25"/>
      <c r="M6186" s="47"/>
      <c r="N6186" s="8"/>
      <c r="O6186" s="11"/>
      <c r="P6186" s="11"/>
      <c r="Q6186" s="8"/>
      <c r="R6186" s="6"/>
      <c r="S6186" s="3"/>
      <c r="T6186" s="3"/>
      <c r="U6186" s="7"/>
      <c r="V6186" s="436"/>
      <c r="W6186" s="6"/>
      <c r="X6186" s="8"/>
      <c r="Y6186" s="8"/>
    </row>
    <row r="6187" spans="3:25" ht="12" customHeight="1">
      <c r="C6187" s="4"/>
      <c r="D6187" s="4"/>
      <c r="E6187" s="5"/>
      <c r="F6187" s="6"/>
      <c r="G6187" s="31"/>
      <c r="H6187" s="6"/>
      <c r="I6187" s="9"/>
      <c r="J6187" s="24"/>
      <c r="K6187" s="9"/>
      <c r="L6187" s="25"/>
      <c r="M6187" s="7"/>
      <c r="N6187" s="8"/>
      <c r="O6187" s="11"/>
      <c r="P6187" s="11"/>
      <c r="Q6187" s="8"/>
      <c r="R6187" s="6"/>
      <c r="S6187" s="3"/>
      <c r="T6187" s="3"/>
      <c r="U6187" s="7"/>
      <c r="V6187" s="436"/>
      <c r="W6187" s="6"/>
      <c r="X6187" s="8"/>
      <c r="Y6187" s="8"/>
    </row>
    <row r="6188" spans="3:25" ht="12" customHeight="1">
      <c r="C6188" s="4"/>
      <c r="D6188" s="4"/>
      <c r="E6188" s="5"/>
      <c r="F6188" s="6"/>
      <c r="G6188" s="31"/>
      <c r="H6188" s="6"/>
      <c r="I6188" s="9"/>
      <c r="J6188" s="24"/>
      <c r="K6188" s="9"/>
      <c r="L6188" s="25"/>
      <c r="M6188" s="47"/>
      <c r="N6188" s="8"/>
      <c r="O6188" s="11"/>
      <c r="P6188" s="11"/>
      <c r="Q6188" s="8"/>
      <c r="R6188" s="6"/>
      <c r="S6188" s="3"/>
      <c r="T6188" s="3"/>
      <c r="U6188" s="7"/>
      <c r="V6188" s="436"/>
      <c r="W6188" s="6"/>
      <c r="X6188" s="8"/>
      <c r="Y6188" s="8"/>
    </row>
    <row r="6189" spans="3:25" ht="12" customHeight="1">
      <c r="C6189" s="4"/>
      <c r="D6189" s="4"/>
      <c r="E6189" s="5"/>
      <c r="F6189" s="6"/>
      <c r="G6189" s="31"/>
      <c r="H6189" s="6"/>
      <c r="I6189" s="9"/>
      <c r="J6189" s="24"/>
      <c r="K6189" s="9"/>
      <c r="L6189" s="25"/>
      <c r="M6189" s="7"/>
      <c r="N6189" s="8"/>
      <c r="O6189" s="11"/>
      <c r="P6189" s="11"/>
      <c r="Q6189" s="8"/>
      <c r="R6189" s="6"/>
      <c r="S6189" s="3"/>
      <c r="T6189" s="3"/>
      <c r="U6189" s="7"/>
      <c r="V6189" s="436"/>
      <c r="W6189" s="6"/>
      <c r="X6189" s="8"/>
      <c r="Y6189" s="8"/>
    </row>
    <row r="6190" spans="3:25" ht="12" customHeight="1">
      <c r="C6190" s="4"/>
      <c r="D6190" s="4"/>
      <c r="E6190" s="5"/>
      <c r="F6190" s="6"/>
      <c r="G6190" s="31"/>
      <c r="H6190" s="6"/>
      <c r="I6190" s="9"/>
      <c r="J6190" s="24"/>
      <c r="K6190" s="9"/>
      <c r="L6190" s="25"/>
      <c r="M6190" s="7"/>
      <c r="N6190" s="8"/>
      <c r="O6190" s="11"/>
      <c r="P6190" s="11"/>
      <c r="Q6190" s="8"/>
      <c r="R6190" s="6"/>
      <c r="S6190" s="3"/>
      <c r="T6190" s="3"/>
      <c r="U6190" s="7"/>
      <c r="V6190" s="436"/>
      <c r="W6190" s="6"/>
      <c r="X6190" s="8"/>
      <c r="Y6190" s="8"/>
    </row>
    <row r="6191" spans="3:25" ht="12" customHeight="1">
      <c r="C6191" s="4"/>
      <c r="D6191" s="4"/>
      <c r="E6191" s="5"/>
      <c r="F6191" s="6"/>
      <c r="G6191" s="31"/>
      <c r="H6191" s="6"/>
      <c r="I6191" s="9"/>
      <c r="J6191" s="24"/>
      <c r="K6191" s="9"/>
      <c r="L6191" s="25"/>
      <c r="M6191" s="47"/>
      <c r="N6191" s="8"/>
      <c r="O6191" s="11"/>
      <c r="P6191" s="11"/>
      <c r="Q6191" s="8"/>
      <c r="R6191" s="6"/>
      <c r="S6191" s="3"/>
      <c r="T6191" s="3"/>
      <c r="U6191" s="7"/>
      <c r="V6191" s="436"/>
      <c r="W6191" s="6"/>
      <c r="X6191" s="8"/>
      <c r="Y6191" s="8"/>
    </row>
    <row r="6192" spans="3:25" ht="12" customHeight="1">
      <c r="C6192" s="4"/>
      <c r="D6192" s="4"/>
      <c r="E6192" s="5"/>
      <c r="F6192" s="6"/>
      <c r="G6192" s="31"/>
      <c r="H6192" s="6"/>
      <c r="I6192" s="9"/>
      <c r="J6192" s="24"/>
      <c r="K6192" s="9"/>
      <c r="L6192" s="25"/>
      <c r="M6192" s="7"/>
      <c r="N6192" s="8"/>
      <c r="O6192" s="11"/>
      <c r="P6192" s="11"/>
      <c r="Q6192" s="8"/>
      <c r="R6192" s="6"/>
      <c r="S6192" s="3"/>
      <c r="T6192" s="3"/>
      <c r="U6192" s="7"/>
      <c r="V6192" s="436"/>
      <c r="W6192" s="6"/>
      <c r="X6192" s="8"/>
      <c r="Y6192" s="8"/>
    </row>
    <row r="6193" spans="3:25" ht="12" customHeight="1">
      <c r="C6193" s="4"/>
      <c r="D6193" s="4"/>
      <c r="E6193" s="5"/>
      <c r="F6193" s="6"/>
      <c r="G6193" s="31"/>
      <c r="H6193" s="6"/>
      <c r="I6193" s="9"/>
      <c r="J6193" s="24"/>
      <c r="K6193" s="9"/>
      <c r="L6193" s="25"/>
      <c r="M6193" s="7"/>
      <c r="N6193" s="8"/>
      <c r="O6193" s="11"/>
      <c r="P6193" s="11"/>
      <c r="Q6193" s="8"/>
      <c r="R6193" s="6"/>
      <c r="S6193" s="3"/>
      <c r="T6193" s="3"/>
      <c r="U6193" s="7"/>
      <c r="V6193" s="436"/>
      <c r="W6193" s="6"/>
      <c r="X6193" s="8"/>
      <c r="Y6193" s="8"/>
    </row>
    <row r="6194" spans="3:25" ht="12" customHeight="1">
      <c r="C6194" s="4"/>
      <c r="D6194" s="4"/>
      <c r="E6194" s="5"/>
      <c r="F6194" s="6"/>
      <c r="G6194" s="31"/>
      <c r="H6194" s="6"/>
      <c r="I6194" s="9"/>
      <c r="J6194" s="24"/>
      <c r="K6194" s="9"/>
      <c r="L6194" s="25"/>
      <c r="M6194" s="7"/>
      <c r="N6194" s="8"/>
      <c r="O6194" s="11"/>
      <c r="P6194" s="11"/>
      <c r="Q6194" s="8"/>
      <c r="R6194" s="6"/>
      <c r="S6194" s="3"/>
      <c r="T6194" s="3"/>
      <c r="U6194" s="7"/>
      <c r="V6194" s="436"/>
      <c r="W6194" s="6"/>
      <c r="X6194" s="8"/>
      <c r="Y6194" s="8"/>
    </row>
    <row r="6195" spans="3:25" ht="12" customHeight="1">
      <c r="C6195" s="4"/>
      <c r="D6195" s="4"/>
      <c r="E6195" s="5"/>
      <c r="F6195" s="6"/>
      <c r="G6195" s="31"/>
      <c r="H6195" s="6"/>
      <c r="I6195" s="9"/>
      <c r="J6195" s="24"/>
      <c r="K6195" s="9"/>
      <c r="L6195" s="25"/>
      <c r="M6195" s="7"/>
      <c r="N6195" s="8"/>
      <c r="O6195" s="11"/>
      <c r="P6195" s="11"/>
      <c r="Q6195" s="8"/>
      <c r="R6195" s="6"/>
      <c r="S6195" s="3"/>
      <c r="T6195" s="3"/>
      <c r="U6195" s="7"/>
      <c r="V6195" s="436"/>
      <c r="W6195" s="6"/>
      <c r="X6195" s="8"/>
      <c r="Y6195" s="8"/>
    </row>
    <row r="6196" spans="3:25" ht="12" customHeight="1">
      <c r="C6196" s="4"/>
      <c r="D6196" s="4"/>
      <c r="E6196" s="5"/>
      <c r="F6196" s="6"/>
      <c r="G6196" s="31"/>
      <c r="H6196" s="6"/>
      <c r="I6196" s="9"/>
      <c r="J6196" s="24"/>
      <c r="K6196" s="9"/>
      <c r="L6196" s="25"/>
      <c r="M6196" s="7"/>
      <c r="N6196" s="8"/>
      <c r="O6196" s="11"/>
      <c r="P6196" s="11"/>
      <c r="Q6196" s="8"/>
      <c r="R6196" s="6"/>
      <c r="S6196" s="3"/>
      <c r="T6196" s="3"/>
      <c r="U6196" s="7"/>
      <c r="V6196" s="436"/>
      <c r="W6196" s="6"/>
      <c r="X6196" s="8"/>
      <c r="Y6196" s="8"/>
    </row>
    <row r="6197" spans="3:25" ht="12" customHeight="1">
      <c r="C6197" s="4"/>
      <c r="D6197" s="4"/>
      <c r="E6197" s="5"/>
      <c r="F6197" s="6"/>
      <c r="G6197" s="31"/>
      <c r="H6197" s="6"/>
      <c r="I6197" s="9"/>
      <c r="J6197" s="24"/>
      <c r="K6197" s="9"/>
      <c r="L6197" s="25"/>
      <c r="M6197" s="7"/>
      <c r="N6197" s="8"/>
      <c r="O6197" s="11"/>
      <c r="P6197" s="11"/>
      <c r="Q6197" s="8"/>
      <c r="R6197" s="6"/>
      <c r="S6197" s="3"/>
      <c r="T6197" s="3"/>
      <c r="U6197" s="7"/>
      <c r="V6197" s="436"/>
      <c r="W6197" s="6"/>
      <c r="X6197" s="8"/>
      <c r="Y6197" s="8"/>
    </row>
    <row r="6198" spans="3:25" ht="12" customHeight="1">
      <c r="C6198" s="4"/>
      <c r="D6198" s="4"/>
      <c r="E6198" s="5"/>
      <c r="F6198" s="6"/>
      <c r="G6198" s="31"/>
      <c r="H6198" s="6"/>
      <c r="I6198" s="9"/>
      <c r="J6198" s="24"/>
      <c r="K6198" s="9"/>
      <c r="L6198" s="25"/>
      <c r="M6198" s="7"/>
      <c r="N6198" s="8"/>
      <c r="O6198" s="11"/>
      <c r="P6198" s="11"/>
      <c r="Q6198" s="8"/>
      <c r="R6198" s="6"/>
      <c r="S6198" s="3"/>
      <c r="T6198" s="3"/>
      <c r="U6198" s="7"/>
      <c r="V6198" s="436"/>
      <c r="W6198" s="6"/>
      <c r="X6198" s="8"/>
      <c r="Y6198" s="8"/>
    </row>
    <row r="6199" spans="3:25" ht="12" customHeight="1">
      <c r="C6199" s="38"/>
      <c r="D6199" s="4"/>
      <c r="E6199" s="5"/>
      <c r="F6199" s="6"/>
      <c r="G6199" s="31"/>
      <c r="H6199" s="6"/>
      <c r="I6199" s="9"/>
      <c r="J6199" s="24"/>
      <c r="K6199" s="9"/>
      <c r="L6199" s="25"/>
      <c r="M6199" s="7"/>
      <c r="N6199" s="8"/>
      <c r="O6199" s="11"/>
      <c r="P6199" s="11"/>
      <c r="Q6199" s="8"/>
      <c r="R6199" s="6"/>
      <c r="S6199" s="3"/>
      <c r="T6199" s="3"/>
      <c r="U6199" s="7"/>
      <c r="V6199" s="436"/>
      <c r="W6199" s="6"/>
      <c r="X6199" s="8"/>
      <c r="Y6199" s="8"/>
    </row>
    <row r="6200" spans="3:25" ht="12" customHeight="1">
      <c r="C6200" s="38"/>
      <c r="D6200" s="4"/>
      <c r="E6200" s="5"/>
      <c r="F6200" s="6"/>
      <c r="G6200" s="31"/>
      <c r="H6200" s="6"/>
      <c r="I6200" s="9"/>
      <c r="J6200" s="24"/>
      <c r="K6200" s="9"/>
      <c r="L6200" s="25"/>
      <c r="M6200" s="7"/>
      <c r="N6200" s="8"/>
      <c r="O6200" s="11"/>
      <c r="P6200" s="11"/>
      <c r="Q6200" s="8"/>
      <c r="R6200" s="6"/>
      <c r="S6200" s="3"/>
      <c r="T6200" s="3"/>
      <c r="U6200" s="7"/>
      <c r="V6200" s="436"/>
      <c r="W6200" s="6"/>
      <c r="X6200" s="8"/>
      <c r="Y6200" s="8"/>
    </row>
    <row r="6201" spans="3:25" ht="12" customHeight="1">
      <c r="C6201" s="4"/>
      <c r="D6201" s="4"/>
      <c r="E6201" s="5"/>
      <c r="F6201" s="6"/>
      <c r="G6201" s="31"/>
      <c r="H6201" s="6"/>
      <c r="I6201" s="9"/>
      <c r="J6201" s="24"/>
      <c r="K6201" s="9"/>
      <c r="L6201" s="25"/>
      <c r="M6201" s="7"/>
      <c r="N6201" s="8"/>
      <c r="O6201" s="11"/>
      <c r="P6201" s="11"/>
      <c r="Q6201" s="8"/>
      <c r="R6201" s="6"/>
      <c r="S6201" s="3"/>
      <c r="T6201" s="3"/>
      <c r="U6201" s="7"/>
      <c r="V6201" s="436"/>
      <c r="W6201" s="6"/>
      <c r="X6201" s="8"/>
      <c r="Y6201" s="8"/>
    </row>
    <row r="6202" spans="3:25" ht="12" customHeight="1">
      <c r="C6202" s="4"/>
      <c r="D6202" s="4"/>
      <c r="E6202" s="5"/>
      <c r="F6202" s="6"/>
      <c r="G6202" s="31"/>
      <c r="H6202" s="6"/>
      <c r="I6202" s="9"/>
      <c r="J6202" s="24"/>
      <c r="K6202" s="10"/>
      <c r="L6202" s="25"/>
      <c r="M6202" s="7"/>
      <c r="N6202" s="8"/>
      <c r="O6202" s="11"/>
      <c r="P6202" s="11"/>
      <c r="Q6202" s="8"/>
      <c r="R6202" s="6"/>
      <c r="S6202" s="3"/>
      <c r="T6202" s="3"/>
      <c r="U6202" s="7"/>
      <c r="V6202" s="436"/>
      <c r="W6202" s="6"/>
      <c r="X6202" s="8"/>
      <c r="Y6202" s="8"/>
    </row>
    <row r="6203" spans="3:25" ht="12" customHeight="1">
      <c r="C6203" s="4"/>
      <c r="D6203" s="4"/>
      <c r="E6203" s="5"/>
      <c r="F6203" s="6"/>
      <c r="G6203" s="31"/>
      <c r="H6203" s="6"/>
      <c r="I6203" s="9"/>
      <c r="J6203" s="24"/>
      <c r="K6203" s="9"/>
      <c r="L6203" s="25"/>
      <c r="M6203" s="7"/>
      <c r="N6203" s="8"/>
      <c r="O6203" s="11"/>
      <c r="P6203" s="11"/>
      <c r="Q6203" s="8"/>
      <c r="R6203" s="6"/>
      <c r="S6203" s="3"/>
      <c r="T6203" s="3"/>
      <c r="U6203" s="7"/>
      <c r="V6203" s="436"/>
      <c r="W6203" s="6"/>
      <c r="X6203" s="8"/>
      <c r="Y6203" s="8"/>
    </row>
    <row r="6204" spans="3:25" ht="12" customHeight="1">
      <c r="C6204" s="4"/>
      <c r="D6204" s="4"/>
      <c r="E6204" s="5"/>
      <c r="F6204" s="6"/>
      <c r="G6204" s="31"/>
      <c r="H6204" s="6"/>
      <c r="I6204" s="9"/>
      <c r="J6204" s="24"/>
      <c r="K6204" s="9"/>
      <c r="L6204" s="25"/>
      <c r="M6204" s="7"/>
      <c r="N6204" s="8"/>
      <c r="O6204" s="11"/>
      <c r="P6204" s="11"/>
      <c r="Q6204" s="8"/>
      <c r="R6204" s="6"/>
      <c r="S6204" s="3"/>
      <c r="T6204" s="3"/>
      <c r="U6204" s="7"/>
      <c r="V6204" s="436"/>
      <c r="W6204" s="6"/>
      <c r="X6204" s="8"/>
      <c r="Y6204" s="8"/>
    </row>
    <row r="6205" spans="3:25" ht="12" customHeight="1">
      <c r="C6205" s="4"/>
      <c r="D6205" s="4"/>
      <c r="E6205" s="5"/>
      <c r="F6205" s="6"/>
      <c r="G6205" s="31"/>
      <c r="H6205" s="6"/>
      <c r="I6205" s="9"/>
      <c r="J6205" s="24"/>
      <c r="K6205" s="9"/>
      <c r="L6205" s="25"/>
      <c r="M6205" s="7"/>
      <c r="N6205" s="8"/>
      <c r="O6205" s="11"/>
      <c r="P6205" s="11"/>
      <c r="Q6205" s="8"/>
      <c r="R6205" s="6"/>
      <c r="S6205" s="3"/>
      <c r="T6205" s="3"/>
      <c r="U6205" s="7"/>
      <c r="V6205" s="436"/>
      <c r="W6205" s="6"/>
      <c r="X6205" s="8"/>
      <c r="Y6205" s="8"/>
    </row>
    <row r="6206" spans="3:25" ht="12" customHeight="1">
      <c r="C6206" s="4"/>
      <c r="D6206" s="4"/>
      <c r="E6206" s="5"/>
      <c r="F6206" s="6"/>
      <c r="G6206" s="31"/>
      <c r="H6206" s="6"/>
      <c r="I6206" s="9"/>
      <c r="J6206" s="24"/>
      <c r="K6206" s="9"/>
      <c r="L6206" s="25"/>
      <c r="M6206" s="7"/>
      <c r="N6206" s="8"/>
      <c r="O6206" s="11"/>
      <c r="P6206" s="11"/>
      <c r="Q6206" s="8"/>
      <c r="R6206" s="6"/>
      <c r="S6206" s="3"/>
      <c r="T6206" s="3"/>
      <c r="U6206" s="7"/>
      <c r="V6206" s="436"/>
      <c r="W6206" s="6"/>
      <c r="X6206" s="8"/>
      <c r="Y6206" s="8"/>
    </row>
    <row r="6207" spans="3:25" ht="12" customHeight="1">
      <c r="C6207" s="4"/>
      <c r="D6207" s="4"/>
      <c r="E6207" s="5"/>
      <c r="F6207" s="6"/>
      <c r="G6207" s="31"/>
      <c r="H6207" s="6"/>
      <c r="I6207" s="9"/>
      <c r="J6207" s="24"/>
      <c r="K6207" s="9"/>
      <c r="L6207" s="25"/>
      <c r="M6207" s="7"/>
      <c r="N6207" s="8"/>
      <c r="O6207" s="11"/>
      <c r="P6207" s="11"/>
      <c r="Q6207" s="8"/>
      <c r="R6207" s="6"/>
      <c r="S6207" s="3"/>
      <c r="T6207" s="3"/>
      <c r="U6207" s="7"/>
      <c r="V6207" s="436"/>
      <c r="W6207" s="6"/>
      <c r="X6207" s="8"/>
      <c r="Y6207" s="8"/>
    </row>
    <row r="6208" spans="3:25" ht="12" customHeight="1">
      <c r="C6208" s="4"/>
      <c r="D6208" s="4"/>
      <c r="E6208" s="5"/>
      <c r="F6208" s="6"/>
      <c r="G6208" s="31"/>
      <c r="H6208" s="6"/>
      <c r="I6208" s="9"/>
      <c r="J6208" s="24"/>
      <c r="K6208" s="9"/>
      <c r="L6208" s="25"/>
      <c r="M6208" s="7"/>
      <c r="N6208" s="8"/>
      <c r="O6208" s="11"/>
      <c r="P6208" s="11"/>
      <c r="Q6208" s="8"/>
      <c r="R6208" s="6"/>
      <c r="S6208" s="3"/>
      <c r="T6208" s="3"/>
      <c r="U6208" s="7"/>
      <c r="V6208" s="436"/>
      <c r="W6208" s="6"/>
      <c r="X6208" s="8"/>
      <c r="Y6208" s="8"/>
    </row>
    <row r="6209" spans="1:36" ht="12" customHeight="1">
      <c r="C6209" s="4"/>
      <c r="D6209" s="4"/>
      <c r="E6209" s="5"/>
      <c r="F6209" s="6"/>
      <c r="G6209" s="31"/>
      <c r="H6209" s="6"/>
      <c r="I6209" s="9"/>
      <c r="J6209" s="24"/>
      <c r="K6209" s="9"/>
      <c r="L6209" s="25"/>
      <c r="M6209" s="7"/>
      <c r="N6209" s="8"/>
      <c r="O6209" s="11"/>
      <c r="P6209" s="11"/>
      <c r="Q6209" s="8"/>
      <c r="R6209" s="6"/>
      <c r="S6209" s="3"/>
      <c r="T6209" s="3"/>
      <c r="U6209" s="7"/>
      <c r="V6209" s="436"/>
      <c r="W6209" s="6"/>
      <c r="X6209" s="8"/>
      <c r="Y6209" s="8"/>
    </row>
    <row r="6210" spans="1:36" ht="12" customHeight="1">
      <c r="C6210" s="4"/>
      <c r="D6210" s="4"/>
      <c r="E6210" s="5"/>
      <c r="F6210" s="6"/>
      <c r="G6210" s="31"/>
      <c r="H6210" s="6"/>
      <c r="I6210" s="9"/>
      <c r="J6210" s="24"/>
      <c r="K6210" s="9"/>
      <c r="L6210" s="25"/>
      <c r="M6210" s="7"/>
      <c r="N6210" s="8"/>
      <c r="O6210" s="11"/>
      <c r="P6210" s="11"/>
      <c r="Q6210" s="8"/>
      <c r="R6210" s="6"/>
      <c r="S6210" s="3"/>
      <c r="T6210" s="3"/>
      <c r="U6210" s="7"/>
      <c r="V6210" s="436"/>
      <c r="W6210" s="6"/>
      <c r="X6210" s="8"/>
      <c r="Y6210" s="8"/>
    </row>
    <row r="6211" spans="1:36" ht="12" customHeight="1">
      <c r="C6211" s="4"/>
      <c r="D6211" s="4"/>
      <c r="E6211" s="5"/>
      <c r="F6211" s="6"/>
      <c r="G6211" s="31"/>
      <c r="H6211" s="6"/>
      <c r="I6211" s="9"/>
      <c r="J6211" s="24"/>
      <c r="K6211" s="9"/>
      <c r="L6211" s="25"/>
      <c r="M6211" s="7"/>
      <c r="N6211" s="8"/>
      <c r="O6211" s="11"/>
      <c r="P6211" s="11"/>
      <c r="Q6211" s="8"/>
      <c r="R6211" s="6"/>
      <c r="S6211" s="3"/>
      <c r="T6211" s="3"/>
      <c r="U6211" s="7"/>
      <c r="V6211" s="436"/>
      <c r="W6211" s="6"/>
      <c r="X6211" s="8"/>
      <c r="Y6211" s="8"/>
    </row>
    <row r="6212" spans="1:36" ht="12" customHeight="1">
      <c r="C6212" s="4"/>
      <c r="D6212" s="4"/>
      <c r="E6212" s="5"/>
      <c r="F6212" s="6"/>
      <c r="G6212" s="31"/>
      <c r="H6212" s="6"/>
      <c r="I6212" s="9"/>
      <c r="J6212" s="24"/>
      <c r="K6212" s="9"/>
      <c r="L6212" s="25"/>
      <c r="M6212" s="7"/>
      <c r="N6212" s="8"/>
      <c r="O6212" s="11"/>
      <c r="P6212" s="11"/>
      <c r="Q6212" s="8"/>
      <c r="R6212" s="6"/>
      <c r="S6212" s="3"/>
      <c r="T6212" s="3"/>
      <c r="U6212" s="7"/>
      <c r="V6212" s="436"/>
      <c r="W6212" s="6"/>
      <c r="X6212" s="8"/>
      <c r="Y6212" s="8"/>
    </row>
    <row r="6213" spans="1:36" ht="12" customHeight="1">
      <c r="C6213" s="4"/>
      <c r="D6213" s="4"/>
      <c r="E6213" s="5"/>
      <c r="F6213" s="6"/>
      <c r="G6213" s="31"/>
      <c r="H6213" s="6"/>
      <c r="I6213" s="9"/>
      <c r="J6213" s="24"/>
      <c r="K6213" s="9"/>
      <c r="L6213" s="25"/>
      <c r="M6213" s="47"/>
      <c r="N6213" s="8"/>
      <c r="O6213" s="11"/>
      <c r="P6213" s="11"/>
      <c r="Q6213" s="8"/>
      <c r="R6213" s="6"/>
      <c r="S6213" s="3"/>
      <c r="T6213" s="3"/>
      <c r="U6213" s="7"/>
      <c r="V6213" s="436"/>
      <c r="W6213" s="6"/>
      <c r="X6213" s="8"/>
      <c r="Y6213" s="8"/>
    </row>
    <row r="6214" spans="1:36" ht="12" customHeight="1">
      <c r="C6214" s="4"/>
      <c r="D6214" s="4"/>
      <c r="E6214" s="5"/>
      <c r="F6214" s="6"/>
      <c r="G6214" s="31"/>
      <c r="H6214" s="6"/>
      <c r="I6214" s="9"/>
      <c r="J6214" s="24"/>
      <c r="K6214" s="10"/>
      <c r="L6214" s="25"/>
      <c r="M6214" s="7"/>
      <c r="N6214" s="8"/>
      <c r="O6214" s="11"/>
      <c r="P6214" s="11"/>
      <c r="Q6214" s="8"/>
      <c r="R6214" s="6"/>
      <c r="S6214" s="3"/>
      <c r="T6214" s="3"/>
      <c r="U6214" s="7"/>
      <c r="V6214" s="436"/>
      <c r="W6214" s="6"/>
      <c r="X6214" s="8"/>
      <c r="Y6214" s="8"/>
    </row>
    <row r="6215" spans="1:36" ht="12" customHeight="1">
      <c r="C6215" s="4"/>
      <c r="D6215" s="4"/>
      <c r="E6215" s="5"/>
      <c r="F6215" s="6"/>
      <c r="G6215" s="31"/>
      <c r="H6215" s="6"/>
      <c r="I6215" s="9"/>
      <c r="J6215" s="24"/>
      <c r="K6215" s="10"/>
      <c r="L6215" s="25"/>
      <c r="M6215" s="7"/>
      <c r="N6215" s="8"/>
      <c r="O6215" s="11"/>
      <c r="P6215" s="11"/>
      <c r="Q6215" s="8"/>
      <c r="R6215" s="6"/>
      <c r="S6215" s="3"/>
      <c r="T6215" s="3"/>
      <c r="U6215" s="7"/>
      <c r="V6215" s="436"/>
      <c r="W6215" s="6"/>
      <c r="X6215" s="8"/>
      <c r="Y6215" s="8"/>
    </row>
    <row r="6216" spans="1:36" ht="12" customHeight="1">
      <c r="C6216" s="4"/>
      <c r="D6216" s="4"/>
      <c r="E6216" s="5"/>
      <c r="F6216" s="6"/>
      <c r="G6216" s="31"/>
      <c r="H6216" s="6"/>
      <c r="I6216" s="9"/>
      <c r="J6216" s="24"/>
      <c r="K6216" s="10"/>
      <c r="L6216" s="25"/>
      <c r="M6216" s="7"/>
      <c r="N6216" s="8"/>
      <c r="O6216" s="11"/>
      <c r="P6216" s="11"/>
      <c r="Q6216" s="8"/>
      <c r="R6216" s="6"/>
      <c r="S6216" s="3"/>
      <c r="T6216" s="3"/>
      <c r="U6216" s="7"/>
      <c r="V6216" s="436"/>
      <c r="W6216" s="6"/>
      <c r="X6216" s="8"/>
      <c r="Y6216" s="8"/>
    </row>
    <row r="6217" spans="1:36" ht="12" customHeight="1">
      <c r="C6217" s="4"/>
      <c r="D6217" s="4"/>
      <c r="E6217" s="5"/>
      <c r="F6217" s="6"/>
      <c r="G6217" s="31"/>
      <c r="H6217" s="6"/>
      <c r="I6217" s="9"/>
      <c r="J6217" s="24"/>
      <c r="K6217" s="9"/>
      <c r="L6217" s="25"/>
      <c r="M6217" s="7"/>
      <c r="N6217" s="8"/>
      <c r="O6217" s="11"/>
      <c r="P6217" s="11"/>
      <c r="Q6217" s="8"/>
      <c r="R6217" s="6"/>
      <c r="S6217" s="3"/>
      <c r="T6217" s="3"/>
      <c r="U6217" s="7"/>
      <c r="V6217" s="436"/>
      <c r="W6217" s="6"/>
      <c r="X6217" s="8"/>
      <c r="Y6217" s="8"/>
    </row>
    <row r="6218" spans="1:36" ht="12" customHeight="1">
      <c r="C6218" s="4"/>
      <c r="D6218" s="4"/>
      <c r="E6218" s="5"/>
      <c r="F6218" s="6"/>
      <c r="G6218" s="31"/>
      <c r="H6218" s="6"/>
      <c r="I6218" s="9"/>
      <c r="J6218" s="24"/>
      <c r="K6218" s="9"/>
      <c r="L6218" s="25"/>
      <c r="M6218" s="7"/>
      <c r="N6218" s="8"/>
      <c r="O6218" s="11"/>
      <c r="P6218" s="11"/>
      <c r="Q6218" s="8"/>
      <c r="R6218" s="6"/>
      <c r="S6218" s="3"/>
      <c r="T6218" s="3"/>
      <c r="U6218" s="7"/>
      <c r="V6218" s="436"/>
      <c r="W6218" s="6"/>
      <c r="X6218" s="8"/>
      <c r="Y6218" s="8"/>
    </row>
    <row r="6219" spans="1:36" ht="12" customHeight="1">
      <c r="C6219" s="4"/>
      <c r="D6219" s="4"/>
      <c r="E6219" s="5"/>
      <c r="F6219" s="6"/>
      <c r="G6219" s="31"/>
      <c r="H6219" s="6"/>
      <c r="I6219" s="9"/>
      <c r="J6219" s="24"/>
      <c r="K6219" s="10"/>
      <c r="L6219" s="25"/>
      <c r="M6219" s="7"/>
      <c r="N6219" s="8"/>
      <c r="O6219" s="11"/>
      <c r="P6219" s="11"/>
      <c r="Q6219" s="8"/>
      <c r="R6219" s="6"/>
      <c r="S6219" s="3"/>
      <c r="T6219" s="3"/>
      <c r="U6219" s="7"/>
      <c r="V6219" s="436"/>
      <c r="W6219" s="6"/>
      <c r="X6219" s="8"/>
      <c r="Y6219" s="8"/>
    </row>
    <row r="6220" spans="1:36" ht="12" customHeight="1">
      <c r="C6220" s="4"/>
      <c r="D6220" s="4"/>
      <c r="E6220" s="5"/>
      <c r="F6220" s="6"/>
      <c r="G6220" s="31"/>
      <c r="H6220" s="6"/>
      <c r="I6220" s="9"/>
      <c r="J6220" s="24"/>
      <c r="K6220" s="9"/>
      <c r="L6220" s="25"/>
      <c r="M6220" s="47"/>
      <c r="N6220" s="8"/>
      <c r="O6220" s="11"/>
      <c r="P6220" s="11"/>
      <c r="Q6220" s="8"/>
      <c r="R6220" s="6"/>
      <c r="S6220" s="3"/>
      <c r="T6220" s="3"/>
      <c r="U6220" s="7"/>
      <c r="V6220" s="436"/>
      <c r="W6220" s="6"/>
      <c r="X6220" s="8"/>
      <c r="Y6220" s="8"/>
    </row>
    <row r="6221" spans="1:36" ht="12" customHeight="1">
      <c r="C6221" s="4"/>
      <c r="D6221" s="4"/>
      <c r="E6221" s="5"/>
      <c r="F6221" s="6"/>
      <c r="G6221" s="31"/>
      <c r="H6221" s="6"/>
      <c r="I6221" s="9"/>
      <c r="J6221" s="24"/>
      <c r="K6221" s="9"/>
      <c r="L6221" s="25"/>
      <c r="M6221" s="7"/>
      <c r="N6221" s="8"/>
      <c r="O6221" s="11"/>
      <c r="P6221" s="11"/>
      <c r="Q6221" s="8"/>
      <c r="R6221" s="6"/>
      <c r="S6221" s="3"/>
      <c r="T6221" s="3"/>
      <c r="U6221" s="7"/>
      <c r="V6221" s="436"/>
      <c r="W6221" s="6"/>
      <c r="X6221" s="8"/>
      <c r="Y6221" s="8"/>
    </row>
    <row r="6222" spans="1:36" ht="12" customHeight="1">
      <c r="C6222" s="4"/>
      <c r="D6222" s="4"/>
      <c r="E6222" s="5"/>
      <c r="F6222" s="6"/>
      <c r="G6222" s="31"/>
      <c r="H6222" s="6"/>
      <c r="I6222" s="9"/>
      <c r="J6222" s="24"/>
      <c r="K6222" s="10"/>
      <c r="L6222" s="25"/>
      <c r="M6222" s="7"/>
      <c r="N6222" s="8"/>
      <c r="O6222" s="11"/>
      <c r="P6222" s="11"/>
      <c r="Q6222" s="8"/>
      <c r="R6222" s="6"/>
      <c r="S6222" s="3"/>
      <c r="T6222" s="3"/>
      <c r="U6222" s="7"/>
      <c r="V6222" s="436"/>
      <c r="W6222" s="6"/>
      <c r="X6222" s="8"/>
      <c r="Y6222" s="8"/>
    </row>
    <row r="6223" spans="1:36" s="16" customFormat="1" ht="12" customHeight="1">
      <c r="A6223" s="13"/>
      <c r="B6223" s="13"/>
      <c r="C6223" s="4"/>
      <c r="D6223" s="4"/>
      <c r="E6223" s="5"/>
      <c r="F6223" s="6"/>
      <c r="G6223" s="31"/>
      <c r="H6223" s="6"/>
      <c r="I6223" s="9"/>
      <c r="J6223" s="24"/>
      <c r="K6223" s="10"/>
      <c r="L6223" s="25"/>
      <c r="M6223" s="7"/>
      <c r="N6223" s="8"/>
      <c r="O6223" s="11"/>
      <c r="P6223" s="11"/>
      <c r="Q6223" s="8"/>
      <c r="R6223" s="6"/>
      <c r="S6223" s="3"/>
      <c r="T6223" s="3"/>
      <c r="U6223" s="7"/>
      <c r="V6223" s="436"/>
      <c r="W6223" s="6"/>
      <c r="X6223" s="8"/>
      <c r="Y6223" s="8"/>
      <c r="AH6223" s="330"/>
      <c r="AI6223" s="330"/>
      <c r="AJ6223" s="330"/>
    </row>
    <row r="6224" spans="1:36" ht="12" customHeight="1">
      <c r="C6224" s="4"/>
      <c r="D6224" s="4"/>
      <c r="E6224" s="5"/>
      <c r="F6224" s="6"/>
      <c r="G6224" s="31"/>
      <c r="H6224" s="6"/>
      <c r="I6224" s="9"/>
      <c r="J6224" s="24"/>
      <c r="K6224" s="10"/>
      <c r="L6224" s="25"/>
      <c r="M6224" s="7"/>
      <c r="N6224" s="8"/>
      <c r="O6224" s="11"/>
      <c r="P6224" s="11"/>
      <c r="Q6224" s="8"/>
      <c r="R6224" s="6"/>
      <c r="S6224" s="3"/>
      <c r="T6224" s="3"/>
      <c r="U6224" s="7"/>
      <c r="V6224" s="436"/>
      <c r="W6224" s="6"/>
      <c r="X6224" s="8"/>
      <c r="Y6224" s="8"/>
    </row>
    <row r="6225" spans="1:36" ht="12" customHeight="1">
      <c r="C6225" s="4"/>
      <c r="D6225" s="4"/>
      <c r="E6225" s="5"/>
      <c r="F6225" s="6"/>
      <c r="G6225" s="31"/>
      <c r="H6225" s="6"/>
      <c r="I6225" s="9"/>
      <c r="J6225" s="24"/>
      <c r="K6225" s="10"/>
      <c r="L6225" s="25"/>
      <c r="M6225" s="7"/>
      <c r="N6225" s="8"/>
      <c r="O6225" s="11"/>
      <c r="P6225" s="11"/>
      <c r="Q6225" s="8"/>
      <c r="R6225" s="6"/>
      <c r="S6225" s="3"/>
      <c r="T6225" s="3"/>
      <c r="U6225" s="7"/>
      <c r="V6225" s="436"/>
      <c r="W6225" s="6"/>
      <c r="X6225" s="8"/>
      <c r="Y6225" s="8"/>
    </row>
    <row r="6226" spans="1:36" s="18" customFormat="1" ht="12" customHeight="1">
      <c r="A6226" s="13"/>
      <c r="B6226" s="13"/>
      <c r="C6226" s="4"/>
      <c r="D6226" s="4"/>
      <c r="E6226" s="5"/>
      <c r="F6226" s="6"/>
      <c r="G6226" s="31"/>
      <c r="H6226" s="6"/>
      <c r="I6226" s="9"/>
      <c r="J6226" s="24"/>
      <c r="K6226" s="10"/>
      <c r="L6226" s="25"/>
      <c r="M6226" s="7"/>
      <c r="N6226" s="8"/>
      <c r="O6226" s="11"/>
      <c r="P6226" s="11"/>
      <c r="Q6226" s="8"/>
      <c r="R6226" s="6"/>
      <c r="S6226" s="3"/>
      <c r="T6226" s="3"/>
      <c r="U6226" s="7"/>
      <c r="V6226" s="436"/>
      <c r="W6226" s="6"/>
      <c r="X6226" s="8"/>
      <c r="Y6226" s="8"/>
      <c r="AH6226" s="329"/>
      <c r="AI6226" s="329"/>
      <c r="AJ6226" s="329"/>
    </row>
    <row r="6227" spans="1:36" ht="12" customHeight="1">
      <c r="C6227" s="4"/>
      <c r="D6227" s="4"/>
      <c r="E6227" s="5"/>
      <c r="F6227" s="6"/>
      <c r="G6227" s="31"/>
      <c r="H6227" s="6"/>
      <c r="I6227" s="9"/>
      <c r="J6227" s="24"/>
      <c r="K6227" s="9"/>
      <c r="L6227" s="25"/>
      <c r="M6227" s="7"/>
      <c r="N6227" s="8"/>
      <c r="O6227" s="11"/>
      <c r="P6227" s="11"/>
      <c r="Q6227" s="8"/>
      <c r="R6227" s="6"/>
      <c r="S6227" s="3"/>
      <c r="T6227" s="3"/>
      <c r="U6227" s="7"/>
      <c r="V6227" s="436"/>
      <c r="W6227" s="6"/>
      <c r="X6227" s="8"/>
      <c r="Y6227" s="8"/>
    </row>
    <row r="6228" spans="1:36" ht="12" customHeight="1">
      <c r="C6228" s="4"/>
      <c r="D6228" s="4"/>
      <c r="E6228" s="5"/>
      <c r="F6228" s="6"/>
      <c r="G6228" s="31"/>
      <c r="H6228" s="6"/>
      <c r="I6228" s="9"/>
      <c r="J6228" s="24"/>
      <c r="K6228" s="10"/>
      <c r="L6228" s="25"/>
      <c r="M6228" s="7"/>
      <c r="N6228" s="8"/>
      <c r="O6228" s="11"/>
      <c r="P6228" s="11"/>
      <c r="Q6228" s="8"/>
      <c r="R6228" s="6"/>
      <c r="S6228" s="3"/>
      <c r="T6228" s="3"/>
      <c r="U6228" s="7"/>
      <c r="V6228" s="436"/>
      <c r="W6228" s="6"/>
      <c r="X6228" s="8"/>
      <c r="Y6228" s="8"/>
    </row>
    <row r="6229" spans="1:36" ht="12" customHeight="1">
      <c r="C6229" s="4"/>
      <c r="D6229" s="4"/>
      <c r="E6229" s="5"/>
      <c r="F6229" s="6"/>
      <c r="G6229" s="31"/>
      <c r="H6229" s="6"/>
      <c r="I6229" s="9"/>
      <c r="J6229" s="24"/>
      <c r="K6229" s="9"/>
      <c r="L6229" s="25"/>
      <c r="M6229" s="7"/>
      <c r="N6229" s="8"/>
      <c r="O6229" s="11"/>
      <c r="P6229" s="11"/>
      <c r="Q6229" s="8"/>
      <c r="R6229" s="6"/>
      <c r="S6229" s="3"/>
      <c r="T6229" s="3"/>
      <c r="U6229" s="7"/>
      <c r="V6229" s="436"/>
      <c r="W6229" s="6"/>
      <c r="X6229" s="8"/>
      <c r="Y6229" s="8"/>
    </row>
    <row r="6230" spans="1:36" ht="12" customHeight="1">
      <c r="C6230" s="4"/>
      <c r="D6230" s="4"/>
      <c r="E6230" s="5"/>
      <c r="F6230" s="6"/>
      <c r="G6230" s="31"/>
      <c r="H6230" s="6"/>
      <c r="I6230" s="9"/>
      <c r="J6230" s="24"/>
      <c r="K6230" s="9"/>
      <c r="L6230" s="25"/>
      <c r="M6230" s="7"/>
      <c r="N6230" s="8"/>
      <c r="O6230" s="11"/>
      <c r="P6230" s="11"/>
      <c r="Q6230" s="8"/>
      <c r="R6230" s="6"/>
      <c r="S6230" s="3"/>
      <c r="T6230" s="3"/>
      <c r="U6230" s="7"/>
      <c r="V6230" s="436"/>
      <c r="W6230" s="6"/>
      <c r="X6230" s="8"/>
      <c r="Y6230" s="8"/>
    </row>
    <row r="6231" spans="1:36" ht="12" customHeight="1">
      <c r="C6231" s="4"/>
      <c r="D6231" s="4"/>
      <c r="E6231" s="5"/>
      <c r="F6231" s="6"/>
      <c r="G6231" s="31"/>
      <c r="H6231" s="6"/>
      <c r="I6231" s="9"/>
      <c r="J6231" s="24"/>
      <c r="K6231" s="9"/>
      <c r="L6231" s="25"/>
      <c r="M6231" s="7"/>
      <c r="N6231" s="8"/>
      <c r="O6231" s="11"/>
      <c r="P6231" s="11"/>
      <c r="Q6231" s="8"/>
      <c r="R6231" s="6"/>
      <c r="S6231" s="3"/>
      <c r="T6231" s="3"/>
      <c r="U6231" s="7"/>
      <c r="V6231" s="436"/>
      <c r="W6231" s="6"/>
      <c r="X6231" s="8"/>
      <c r="Y6231" s="8"/>
    </row>
    <row r="6232" spans="1:36" ht="12" customHeight="1">
      <c r="C6232" s="4"/>
      <c r="D6232" s="4"/>
      <c r="E6232" s="5"/>
      <c r="F6232" s="6"/>
      <c r="G6232" s="31"/>
      <c r="H6232" s="6"/>
      <c r="I6232" s="9"/>
      <c r="J6232" s="24"/>
      <c r="K6232" s="9"/>
      <c r="L6232" s="25"/>
      <c r="M6232" s="7"/>
      <c r="N6232" s="8"/>
      <c r="O6232" s="11"/>
      <c r="P6232" s="11"/>
      <c r="Q6232" s="8"/>
      <c r="R6232" s="6"/>
      <c r="S6232" s="3"/>
      <c r="T6232" s="3"/>
      <c r="U6232" s="7"/>
      <c r="V6232" s="436"/>
      <c r="W6232" s="6"/>
      <c r="X6232" s="8"/>
      <c r="Y6232" s="8"/>
    </row>
    <row r="6233" spans="1:36" ht="12" customHeight="1">
      <c r="C6233" s="4"/>
      <c r="D6233" s="4"/>
      <c r="E6233" s="5"/>
      <c r="F6233" s="6"/>
      <c r="G6233" s="31"/>
      <c r="H6233" s="6"/>
      <c r="I6233" s="9"/>
      <c r="J6233" s="24"/>
      <c r="K6233" s="10"/>
      <c r="L6233" s="25"/>
      <c r="M6233" s="7"/>
      <c r="N6233" s="8"/>
      <c r="O6233" s="11"/>
      <c r="P6233" s="11"/>
      <c r="Q6233" s="8"/>
      <c r="R6233" s="6"/>
      <c r="S6233" s="3"/>
      <c r="T6233" s="3"/>
      <c r="U6233" s="7"/>
      <c r="V6233" s="436"/>
      <c r="W6233" s="6"/>
      <c r="X6233" s="8"/>
      <c r="Y6233" s="8"/>
    </row>
    <row r="6234" spans="1:36" s="2" customFormat="1" ht="12" customHeight="1">
      <c r="A6234" s="6"/>
      <c r="B6234" s="6"/>
      <c r="C6234" s="4"/>
      <c r="D6234" s="4"/>
      <c r="E6234" s="5"/>
      <c r="F6234" s="6"/>
      <c r="G6234" s="31"/>
      <c r="H6234" s="6"/>
      <c r="I6234" s="9"/>
      <c r="J6234" s="24"/>
      <c r="K6234" s="10"/>
      <c r="L6234" s="25"/>
      <c r="M6234" s="7"/>
      <c r="N6234" s="8"/>
      <c r="O6234" s="11"/>
      <c r="P6234" s="11"/>
      <c r="Q6234" s="8"/>
      <c r="R6234" s="6"/>
      <c r="S6234" s="3"/>
      <c r="T6234" s="3"/>
      <c r="U6234" s="7"/>
      <c r="V6234" s="436"/>
      <c r="W6234" s="6"/>
      <c r="X6234" s="8"/>
      <c r="Y6234" s="8"/>
      <c r="AH6234" s="59"/>
      <c r="AI6234" s="59"/>
      <c r="AJ6234" s="59"/>
    </row>
    <row r="6235" spans="1:36" s="17" customFormat="1" ht="12" customHeight="1">
      <c r="A6235" s="6"/>
      <c r="B6235" s="6"/>
      <c r="C6235" s="4"/>
      <c r="D6235" s="4"/>
      <c r="E6235" s="5"/>
      <c r="F6235" s="6"/>
      <c r="G6235" s="31"/>
      <c r="H6235" s="6"/>
      <c r="I6235" s="9"/>
      <c r="J6235" s="24"/>
      <c r="K6235" s="10"/>
      <c r="L6235" s="25"/>
      <c r="M6235" s="7"/>
      <c r="N6235" s="8"/>
      <c r="O6235" s="11"/>
      <c r="P6235" s="11"/>
      <c r="Q6235" s="8"/>
      <c r="R6235" s="6"/>
      <c r="S6235" s="3"/>
      <c r="T6235" s="3"/>
      <c r="U6235" s="7"/>
      <c r="V6235" s="436"/>
      <c r="W6235" s="6"/>
      <c r="X6235" s="8"/>
      <c r="Y6235" s="10"/>
      <c r="AH6235" s="331"/>
      <c r="AI6235" s="331"/>
      <c r="AJ6235" s="331"/>
    </row>
    <row r="6236" spans="1:36" s="2" customFormat="1" ht="12" customHeight="1">
      <c r="A6236" s="6"/>
      <c r="B6236" s="6"/>
      <c r="C6236" s="4"/>
      <c r="D6236" s="4"/>
      <c r="E6236" s="5"/>
      <c r="F6236" s="6"/>
      <c r="G6236" s="31"/>
      <c r="H6236" s="6"/>
      <c r="I6236" s="9"/>
      <c r="J6236" s="24"/>
      <c r="K6236" s="10"/>
      <c r="L6236" s="25"/>
      <c r="M6236" s="7"/>
      <c r="N6236" s="8"/>
      <c r="O6236" s="11"/>
      <c r="P6236" s="11"/>
      <c r="Q6236" s="8"/>
      <c r="R6236" s="6"/>
      <c r="S6236" s="3"/>
      <c r="T6236" s="3"/>
      <c r="U6236" s="7"/>
      <c r="V6236" s="436"/>
      <c r="W6236" s="6"/>
      <c r="X6236" s="8"/>
      <c r="Y6236" s="8"/>
      <c r="AH6236" s="59"/>
      <c r="AI6236" s="59"/>
      <c r="AJ6236" s="59"/>
    </row>
    <row r="6237" spans="1:36" s="2" customFormat="1" ht="12" customHeight="1">
      <c r="A6237" s="6"/>
      <c r="B6237" s="6"/>
      <c r="C6237" s="4"/>
      <c r="D6237" s="4"/>
      <c r="E6237" s="5"/>
      <c r="F6237" s="6"/>
      <c r="G6237" s="31"/>
      <c r="H6237" s="6"/>
      <c r="I6237" s="9"/>
      <c r="J6237" s="24"/>
      <c r="K6237" s="9"/>
      <c r="L6237" s="25"/>
      <c r="M6237" s="7"/>
      <c r="N6237" s="8"/>
      <c r="O6237" s="11"/>
      <c r="P6237" s="11"/>
      <c r="Q6237" s="8"/>
      <c r="R6237" s="6"/>
      <c r="S6237" s="3"/>
      <c r="T6237" s="3"/>
      <c r="U6237" s="7"/>
      <c r="V6237" s="436"/>
      <c r="W6237" s="6"/>
      <c r="X6237" s="8"/>
      <c r="Y6237" s="8"/>
      <c r="AH6237" s="59"/>
      <c r="AI6237" s="59"/>
      <c r="AJ6237" s="59"/>
    </row>
    <row r="6238" spans="1:36" s="2" customFormat="1" ht="12" customHeight="1">
      <c r="A6238" s="6"/>
      <c r="B6238" s="6"/>
      <c r="C6238" s="4"/>
      <c r="D6238" s="4"/>
      <c r="E6238" s="5"/>
      <c r="F6238" s="6"/>
      <c r="G6238" s="31"/>
      <c r="H6238" s="6"/>
      <c r="I6238" s="9"/>
      <c r="J6238" s="24"/>
      <c r="K6238" s="9"/>
      <c r="L6238" s="25"/>
      <c r="M6238" s="7"/>
      <c r="N6238" s="8"/>
      <c r="O6238" s="11"/>
      <c r="P6238" s="11"/>
      <c r="Q6238" s="8"/>
      <c r="R6238" s="6"/>
      <c r="S6238" s="3"/>
      <c r="T6238" s="3"/>
      <c r="U6238" s="7"/>
      <c r="V6238" s="436"/>
      <c r="W6238" s="6"/>
      <c r="X6238" s="8"/>
      <c r="Y6238" s="8"/>
      <c r="AH6238" s="59"/>
      <c r="AI6238" s="59"/>
      <c r="AJ6238" s="59"/>
    </row>
    <row r="6239" spans="1:36" s="2" customFormat="1" ht="12" customHeight="1">
      <c r="A6239" s="6"/>
      <c r="B6239" s="6"/>
      <c r="C6239" s="4"/>
      <c r="D6239" s="4"/>
      <c r="E6239" s="5"/>
      <c r="F6239" s="6"/>
      <c r="G6239" s="31"/>
      <c r="H6239" s="6"/>
      <c r="I6239" s="9"/>
      <c r="J6239" s="24"/>
      <c r="K6239" s="9"/>
      <c r="L6239" s="25"/>
      <c r="M6239" s="7"/>
      <c r="N6239" s="8"/>
      <c r="O6239" s="11"/>
      <c r="P6239" s="11"/>
      <c r="Q6239" s="8"/>
      <c r="R6239" s="6"/>
      <c r="S6239" s="3"/>
      <c r="T6239" s="3"/>
      <c r="U6239" s="7"/>
      <c r="V6239" s="436"/>
      <c r="W6239" s="6"/>
      <c r="X6239" s="8"/>
      <c r="Y6239" s="8"/>
      <c r="AH6239" s="59"/>
      <c r="AI6239" s="59"/>
      <c r="AJ6239" s="59"/>
    </row>
    <row r="6240" spans="1:36" s="2" customFormat="1" ht="12" customHeight="1">
      <c r="A6240" s="6"/>
      <c r="B6240" s="6"/>
      <c r="C6240" s="4"/>
      <c r="D6240" s="4"/>
      <c r="E6240" s="5"/>
      <c r="F6240" s="6"/>
      <c r="G6240" s="31"/>
      <c r="H6240" s="6"/>
      <c r="I6240" s="9"/>
      <c r="J6240" s="24"/>
      <c r="K6240" s="9"/>
      <c r="L6240" s="25"/>
      <c r="M6240" s="7"/>
      <c r="N6240" s="8"/>
      <c r="O6240" s="11"/>
      <c r="P6240" s="11"/>
      <c r="Q6240" s="8"/>
      <c r="R6240" s="6"/>
      <c r="S6240" s="3"/>
      <c r="T6240" s="3"/>
      <c r="U6240" s="7"/>
      <c r="V6240" s="436"/>
      <c r="W6240" s="6"/>
      <c r="X6240" s="8"/>
      <c r="Y6240" s="8"/>
      <c r="AH6240" s="59"/>
      <c r="AI6240" s="59"/>
      <c r="AJ6240" s="59"/>
    </row>
    <row r="6241" spans="1:36" s="2" customFormat="1" ht="12" customHeight="1">
      <c r="A6241" s="6"/>
      <c r="B6241" s="6"/>
      <c r="C6241" s="4"/>
      <c r="D6241" s="4"/>
      <c r="E6241" s="5"/>
      <c r="F6241" s="6"/>
      <c r="G6241" s="31"/>
      <c r="H6241" s="6"/>
      <c r="I6241" s="9"/>
      <c r="J6241" s="24"/>
      <c r="K6241" s="9"/>
      <c r="L6241" s="25"/>
      <c r="M6241" s="7"/>
      <c r="N6241" s="8"/>
      <c r="O6241" s="11"/>
      <c r="P6241" s="11"/>
      <c r="Q6241" s="8"/>
      <c r="R6241" s="6"/>
      <c r="S6241" s="3"/>
      <c r="T6241" s="3"/>
      <c r="U6241" s="7"/>
      <c r="V6241" s="436"/>
      <c r="W6241" s="6"/>
      <c r="X6241" s="8"/>
      <c r="Y6241" s="8"/>
      <c r="AH6241" s="59"/>
      <c r="AI6241" s="59"/>
      <c r="AJ6241" s="59"/>
    </row>
    <row r="6242" spans="1:36" s="2" customFormat="1" ht="12" customHeight="1">
      <c r="A6242" s="6"/>
      <c r="B6242" s="6"/>
      <c r="C6242" s="4"/>
      <c r="D6242" s="4"/>
      <c r="E6242" s="5"/>
      <c r="F6242" s="6"/>
      <c r="G6242" s="31"/>
      <c r="H6242" s="6"/>
      <c r="I6242" s="9"/>
      <c r="J6242" s="24"/>
      <c r="K6242" s="10"/>
      <c r="L6242" s="25"/>
      <c r="M6242" s="7"/>
      <c r="N6242" s="8"/>
      <c r="O6242" s="11"/>
      <c r="P6242" s="11"/>
      <c r="Q6242" s="8"/>
      <c r="R6242" s="6"/>
      <c r="S6242" s="3"/>
      <c r="T6242" s="3"/>
      <c r="U6242" s="7"/>
      <c r="V6242" s="436"/>
      <c r="W6242" s="6"/>
      <c r="X6242" s="8"/>
      <c r="Y6242" s="8"/>
      <c r="AH6242" s="59"/>
      <c r="AI6242" s="59"/>
      <c r="AJ6242" s="59"/>
    </row>
    <row r="6243" spans="1:36" s="2" customFormat="1" ht="12" customHeight="1">
      <c r="A6243" s="6"/>
      <c r="B6243" s="6"/>
      <c r="C6243" s="4"/>
      <c r="D6243" s="4"/>
      <c r="E6243" s="5"/>
      <c r="F6243" s="6"/>
      <c r="G6243" s="31"/>
      <c r="H6243" s="6"/>
      <c r="I6243" s="9"/>
      <c r="J6243" s="24"/>
      <c r="K6243" s="9"/>
      <c r="L6243" s="25"/>
      <c r="M6243" s="7"/>
      <c r="N6243" s="8"/>
      <c r="O6243" s="11"/>
      <c r="P6243" s="11"/>
      <c r="Q6243" s="8"/>
      <c r="R6243" s="6"/>
      <c r="S6243" s="3"/>
      <c r="T6243" s="3"/>
      <c r="U6243" s="7"/>
      <c r="V6243" s="436"/>
      <c r="W6243" s="6"/>
      <c r="X6243" s="8"/>
      <c r="Y6243" s="8"/>
      <c r="AH6243" s="59"/>
      <c r="AI6243" s="59"/>
      <c r="AJ6243" s="59"/>
    </row>
    <row r="6244" spans="1:36" s="2" customFormat="1" ht="12" customHeight="1">
      <c r="A6244" s="6"/>
      <c r="B6244" s="6"/>
      <c r="C6244" s="4"/>
      <c r="D6244" s="4"/>
      <c r="E6244" s="5"/>
      <c r="F6244" s="6"/>
      <c r="G6244" s="31"/>
      <c r="H6244" s="6"/>
      <c r="I6244" s="9"/>
      <c r="J6244" s="24"/>
      <c r="K6244" s="10"/>
      <c r="L6244" s="25"/>
      <c r="M6244" s="7"/>
      <c r="N6244" s="8"/>
      <c r="O6244" s="11"/>
      <c r="P6244" s="11"/>
      <c r="Q6244" s="8"/>
      <c r="R6244" s="6"/>
      <c r="S6244" s="3"/>
      <c r="T6244" s="3"/>
      <c r="U6244" s="7"/>
      <c r="V6244" s="436"/>
      <c r="W6244" s="6"/>
      <c r="X6244" s="8"/>
      <c r="Y6244" s="8"/>
      <c r="AH6244" s="59"/>
      <c r="AI6244" s="59"/>
      <c r="AJ6244" s="59"/>
    </row>
    <row r="6245" spans="1:36" s="2" customFormat="1" ht="12" customHeight="1">
      <c r="A6245" s="6"/>
      <c r="B6245" s="6"/>
      <c r="C6245" s="4"/>
      <c r="D6245" s="4"/>
      <c r="E6245" s="5"/>
      <c r="F6245" s="6"/>
      <c r="G6245" s="31"/>
      <c r="H6245" s="6"/>
      <c r="I6245" s="9"/>
      <c r="J6245" s="24"/>
      <c r="K6245" s="9"/>
      <c r="L6245" s="25"/>
      <c r="M6245" s="7"/>
      <c r="N6245" s="8"/>
      <c r="O6245" s="11"/>
      <c r="P6245" s="11"/>
      <c r="Q6245" s="8"/>
      <c r="R6245" s="6"/>
      <c r="S6245" s="3"/>
      <c r="T6245" s="3"/>
      <c r="U6245" s="7"/>
      <c r="V6245" s="436"/>
      <c r="W6245" s="6"/>
      <c r="X6245" s="8"/>
      <c r="Y6245" s="8"/>
      <c r="AH6245" s="59"/>
      <c r="AI6245" s="59"/>
      <c r="AJ6245" s="59"/>
    </row>
    <row r="6246" spans="1:36" s="15" customFormat="1" ht="12" customHeight="1">
      <c r="A6246" s="6"/>
      <c r="B6246" s="6"/>
      <c r="C6246" s="4"/>
      <c r="D6246" s="4"/>
      <c r="E6246" s="5"/>
      <c r="F6246" s="6"/>
      <c r="G6246" s="31"/>
      <c r="H6246" s="6"/>
      <c r="I6246" s="9"/>
      <c r="J6246" s="24"/>
      <c r="K6246" s="9"/>
      <c r="L6246" s="25"/>
      <c r="M6246" s="7"/>
      <c r="N6246" s="8"/>
      <c r="O6246" s="11"/>
      <c r="P6246" s="11"/>
      <c r="Q6246" s="8"/>
      <c r="R6246" s="6"/>
      <c r="S6246" s="3"/>
      <c r="T6246" s="3"/>
      <c r="U6246" s="7"/>
      <c r="V6246" s="436"/>
      <c r="W6246" s="6"/>
      <c r="X6246" s="8"/>
      <c r="Y6246" s="8"/>
      <c r="AH6246" s="91"/>
      <c r="AI6246" s="91"/>
      <c r="AJ6246" s="91"/>
    </row>
    <row r="6247" spans="1:36" s="2" customFormat="1" ht="12" customHeight="1">
      <c r="A6247" s="6"/>
      <c r="B6247" s="6"/>
      <c r="C6247" s="4"/>
      <c r="D6247" s="4"/>
      <c r="E6247" s="5"/>
      <c r="F6247" s="6"/>
      <c r="G6247" s="31"/>
      <c r="H6247" s="6"/>
      <c r="I6247" s="9"/>
      <c r="J6247" s="24"/>
      <c r="K6247" s="9"/>
      <c r="L6247" s="25"/>
      <c r="M6247" s="7"/>
      <c r="N6247" s="8"/>
      <c r="O6247" s="11"/>
      <c r="P6247" s="11"/>
      <c r="Q6247" s="8"/>
      <c r="R6247" s="6"/>
      <c r="S6247" s="3"/>
      <c r="T6247" s="3"/>
      <c r="U6247" s="7"/>
      <c r="V6247" s="436"/>
      <c r="W6247" s="6"/>
      <c r="X6247" s="8"/>
      <c r="Y6247" s="8"/>
      <c r="AH6247" s="59"/>
      <c r="AI6247" s="59"/>
      <c r="AJ6247" s="59"/>
    </row>
    <row r="6248" spans="1:36" s="2" customFormat="1" ht="12" customHeight="1">
      <c r="A6248" s="6"/>
      <c r="B6248" s="6"/>
      <c r="C6248" s="4"/>
      <c r="D6248" s="4"/>
      <c r="E6248" s="5"/>
      <c r="F6248" s="6"/>
      <c r="G6248" s="31"/>
      <c r="H6248" s="6"/>
      <c r="I6248" s="9"/>
      <c r="J6248" s="24"/>
      <c r="K6248" s="9"/>
      <c r="L6248" s="25"/>
      <c r="M6248" s="7"/>
      <c r="N6248" s="8"/>
      <c r="O6248" s="11"/>
      <c r="P6248" s="11"/>
      <c r="Q6248" s="8"/>
      <c r="R6248" s="6"/>
      <c r="S6248" s="3"/>
      <c r="T6248" s="3"/>
      <c r="U6248" s="7"/>
      <c r="V6248" s="436"/>
      <c r="W6248" s="6"/>
      <c r="X6248" s="8"/>
      <c r="Y6248" s="8"/>
      <c r="AH6248" s="59"/>
      <c r="AI6248" s="59"/>
      <c r="AJ6248" s="59"/>
    </row>
    <row r="6249" spans="1:36" s="2" customFormat="1" ht="12" customHeight="1">
      <c r="A6249" s="6"/>
      <c r="B6249" s="6"/>
      <c r="C6249" s="4"/>
      <c r="D6249" s="4"/>
      <c r="E6249" s="5"/>
      <c r="F6249" s="6"/>
      <c r="G6249" s="31"/>
      <c r="H6249" s="6"/>
      <c r="I6249" s="9"/>
      <c r="J6249" s="24"/>
      <c r="K6249" s="9"/>
      <c r="L6249" s="25"/>
      <c r="M6249" s="7"/>
      <c r="N6249" s="8"/>
      <c r="O6249" s="11"/>
      <c r="P6249" s="11"/>
      <c r="Q6249" s="8"/>
      <c r="R6249" s="6"/>
      <c r="S6249" s="3"/>
      <c r="T6249" s="3"/>
      <c r="U6249" s="7"/>
      <c r="V6249" s="436"/>
      <c r="W6249" s="6"/>
      <c r="X6249" s="8"/>
      <c r="Y6249" s="8"/>
      <c r="AH6249" s="59"/>
      <c r="AI6249" s="59"/>
      <c r="AJ6249" s="59"/>
    </row>
    <row r="6250" spans="1:36" s="2" customFormat="1" ht="12" customHeight="1">
      <c r="A6250" s="6"/>
      <c r="B6250" s="6"/>
      <c r="C6250" s="4"/>
      <c r="D6250" s="4"/>
      <c r="E6250" s="5"/>
      <c r="F6250" s="6"/>
      <c r="G6250" s="31"/>
      <c r="H6250" s="6"/>
      <c r="I6250" s="9"/>
      <c r="J6250" s="24"/>
      <c r="K6250" s="10"/>
      <c r="L6250" s="25"/>
      <c r="M6250" s="7"/>
      <c r="N6250" s="8"/>
      <c r="O6250" s="11"/>
      <c r="P6250" s="11"/>
      <c r="Q6250" s="8"/>
      <c r="R6250" s="6"/>
      <c r="S6250" s="3"/>
      <c r="T6250" s="3"/>
      <c r="U6250" s="7"/>
      <c r="V6250" s="436"/>
      <c r="W6250" s="6"/>
      <c r="X6250" s="8"/>
      <c r="Y6250" s="8"/>
      <c r="AH6250" s="59"/>
      <c r="AI6250" s="59"/>
      <c r="AJ6250" s="59"/>
    </row>
    <row r="6251" spans="1:36" s="2" customFormat="1" ht="12" customHeight="1">
      <c r="A6251" s="6"/>
      <c r="B6251" s="6"/>
      <c r="C6251" s="4"/>
      <c r="D6251" s="4"/>
      <c r="E6251" s="5"/>
      <c r="F6251" s="6"/>
      <c r="G6251" s="31"/>
      <c r="H6251" s="6"/>
      <c r="I6251" s="9"/>
      <c r="J6251" s="24"/>
      <c r="K6251" s="10"/>
      <c r="L6251" s="25"/>
      <c r="M6251" s="7"/>
      <c r="N6251" s="8"/>
      <c r="O6251" s="11"/>
      <c r="P6251" s="11"/>
      <c r="Q6251" s="8"/>
      <c r="R6251" s="6"/>
      <c r="S6251" s="3"/>
      <c r="T6251" s="3"/>
      <c r="U6251" s="7"/>
      <c r="V6251" s="436"/>
      <c r="W6251" s="6"/>
      <c r="X6251" s="8"/>
      <c r="Y6251" s="8"/>
      <c r="AH6251" s="59"/>
      <c r="AI6251" s="59"/>
      <c r="AJ6251" s="59"/>
    </row>
    <row r="6252" spans="1:36" s="2" customFormat="1" ht="12" customHeight="1">
      <c r="A6252" s="6"/>
      <c r="B6252" s="6"/>
      <c r="C6252" s="4"/>
      <c r="D6252" s="4"/>
      <c r="E6252" s="5"/>
      <c r="F6252" s="6"/>
      <c r="G6252" s="31"/>
      <c r="H6252" s="6"/>
      <c r="I6252" s="9"/>
      <c r="J6252" s="24"/>
      <c r="K6252" s="10"/>
      <c r="L6252" s="25"/>
      <c r="M6252" s="7"/>
      <c r="N6252" s="8"/>
      <c r="O6252" s="11"/>
      <c r="P6252" s="11"/>
      <c r="Q6252" s="8"/>
      <c r="R6252" s="6"/>
      <c r="S6252" s="3"/>
      <c r="T6252" s="3"/>
      <c r="U6252" s="7"/>
      <c r="V6252" s="436"/>
      <c r="W6252" s="6"/>
      <c r="X6252" s="8"/>
      <c r="Y6252" s="8"/>
      <c r="AH6252" s="59"/>
      <c r="AI6252" s="59"/>
      <c r="AJ6252" s="59"/>
    </row>
    <row r="6253" spans="1:36" s="2" customFormat="1" ht="12" customHeight="1">
      <c r="A6253" s="6"/>
      <c r="B6253" s="6"/>
      <c r="C6253" s="4"/>
      <c r="D6253" s="4"/>
      <c r="E6253" s="5"/>
      <c r="F6253" s="6"/>
      <c r="G6253" s="31"/>
      <c r="H6253" s="6"/>
      <c r="I6253" s="9"/>
      <c r="J6253" s="24"/>
      <c r="K6253" s="10"/>
      <c r="L6253" s="25"/>
      <c r="M6253" s="47"/>
      <c r="N6253" s="8"/>
      <c r="O6253" s="11"/>
      <c r="P6253" s="11"/>
      <c r="Q6253" s="8"/>
      <c r="R6253" s="6"/>
      <c r="S6253" s="3"/>
      <c r="T6253" s="3"/>
      <c r="U6253" s="7"/>
      <c r="V6253" s="436"/>
      <c r="W6253" s="6"/>
      <c r="X6253" s="8"/>
      <c r="Y6253" s="8"/>
      <c r="AH6253" s="59"/>
      <c r="AI6253" s="59"/>
      <c r="AJ6253" s="59"/>
    </row>
    <row r="6254" spans="1:36" s="2" customFormat="1" ht="12" customHeight="1">
      <c r="A6254" s="6"/>
      <c r="B6254" s="6"/>
      <c r="C6254" s="4"/>
      <c r="D6254" s="4"/>
      <c r="E6254" s="5"/>
      <c r="F6254" s="6"/>
      <c r="G6254" s="31"/>
      <c r="H6254" s="6"/>
      <c r="I6254" s="9"/>
      <c r="J6254" s="24"/>
      <c r="K6254" s="10"/>
      <c r="L6254" s="25"/>
      <c r="M6254" s="7"/>
      <c r="N6254" s="8"/>
      <c r="O6254" s="11"/>
      <c r="P6254" s="11"/>
      <c r="Q6254" s="8"/>
      <c r="R6254" s="6"/>
      <c r="S6254" s="3"/>
      <c r="T6254" s="3"/>
      <c r="U6254" s="7"/>
      <c r="V6254" s="436"/>
      <c r="W6254" s="6"/>
      <c r="X6254" s="8"/>
      <c r="Y6254" s="8"/>
      <c r="AH6254" s="59"/>
      <c r="AI6254" s="59"/>
      <c r="AJ6254" s="59"/>
    </row>
    <row r="6255" spans="1:36" s="2" customFormat="1" ht="12" customHeight="1">
      <c r="A6255" s="6"/>
      <c r="B6255" s="6"/>
      <c r="C6255" s="4"/>
      <c r="D6255" s="4"/>
      <c r="E6255" s="5"/>
      <c r="F6255" s="6"/>
      <c r="G6255" s="31"/>
      <c r="H6255" s="6"/>
      <c r="I6255" s="9"/>
      <c r="J6255" s="24"/>
      <c r="K6255" s="10"/>
      <c r="L6255" s="25"/>
      <c r="M6255" s="7"/>
      <c r="N6255" s="8"/>
      <c r="O6255" s="11"/>
      <c r="P6255" s="11"/>
      <c r="Q6255" s="8"/>
      <c r="R6255" s="6"/>
      <c r="S6255" s="3"/>
      <c r="T6255" s="3"/>
      <c r="U6255" s="7"/>
      <c r="V6255" s="436"/>
      <c r="W6255" s="6"/>
      <c r="X6255" s="8"/>
      <c r="Y6255" s="8"/>
      <c r="AH6255" s="59"/>
      <c r="AI6255" s="59"/>
      <c r="AJ6255" s="59"/>
    </row>
    <row r="6256" spans="1:36" s="2" customFormat="1" ht="12" customHeight="1">
      <c r="A6256" s="6"/>
      <c r="B6256" s="6"/>
      <c r="C6256" s="4"/>
      <c r="D6256" s="4"/>
      <c r="E6256" s="5"/>
      <c r="F6256" s="6"/>
      <c r="G6256" s="31"/>
      <c r="H6256" s="6"/>
      <c r="I6256" s="9"/>
      <c r="J6256" s="24"/>
      <c r="K6256" s="10"/>
      <c r="L6256" s="25"/>
      <c r="M6256" s="7"/>
      <c r="N6256" s="8"/>
      <c r="O6256" s="11"/>
      <c r="P6256" s="11"/>
      <c r="Q6256" s="8"/>
      <c r="R6256" s="6"/>
      <c r="S6256" s="3"/>
      <c r="T6256" s="3"/>
      <c r="U6256" s="7"/>
      <c r="V6256" s="436"/>
      <c r="W6256" s="6"/>
      <c r="X6256" s="8"/>
      <c r="Y6256" s="8"/>
      <c r="AH6256" s="59"/>
      <c r="AI6256" s="59"/>
      <c r="AJ6256" s="59"/>
    </row>
    <row r="6257" spans="1:36" s="2" customFormat="1" ht="12" customHeight="1">
      <c r="A6257" s="6"/>
      <c r="B6257" s="6"/>
      <c r="C6257" s="4"/>
      <c r="D6257" s="4"/>
      <c r="E6257" s="5"/>
      <c r="F6257" s="6"/>
      <c r="G6257" s="31"/>
      <c r="H6257" s="6"/>
      <c r="I6257" s="9"/>
      <c r="J6257" s="24"/>
      <c r="K6257" s="10"/>
      <c r="L6257" s="25"/>
      <c r="M6257" s="7"/>
      <c r="N6257" s="8"/>
      <c r="O6257" s="11"/>
      <c r="P6257" s="11"/>
      <c r="Q6257" s="8"/>
      <c r="R6257" s="6"/>
      <c r="S6257" s="3"/>
      <c r="T6257" s="3"/>
      <c r="U6257" s="7"/>
      <c r="V6257" s="436"/>
      <c r="W6257" s="6"/>
      <c r="X6257" s="8"/>
      <c r="Y6257" s="8"/>
      <c r="AH6257" s="59"/>
      <c r="AI6257" s="59"/>
      <c r="AJ6257" s="59"/>
    </row>
    <row r="6258" spans="1:36" s="2" customFormat="1" ht="12" customHeight="1">
      <c r="A6258" s="6"/>
      <c r="B6258" s="6"/>
      <c r="C6258" s="4"/>
      <c r="D6258" s="4"/>
      <c r="E6258" s="5"/>
      <c r="F6258" s="6"/>
      <c r="G6258" s="31"/>
      <c r="H6258" s="6"/>
      <c r="I6258" s="9"/>
      <c r="J6258" s="24"/>
      <c r="K6258" s="10"/>
      <c r="L6258" s="25"/>
      <c r="M6258" s="7"/>
      <c r="N6258" s="8"/>
      <c r="O6258" s="11"/>
      <c r="P6258" s="11"/>
      <c r="Q6258" s="8"/>
      <c r="R6258" s="6"/>
      <c r="S6258" s="3"/>
      <c r="T6258" s="3"/>
      <c r="U6258" s="7"/>
      <c r="V6258" s="436"/>
      <c r="W6258" s="6"/>
      <c r="X6258" s="8"/>
      <c r="Y6258" s="8"/>
      <c r="AH6258" s="59"/>
      <c r="AI6258" s="59"/>
      <c r="AJ6258" s="59"/>
    </row>
    <row r="6259" spans="1:36" s="2" customFormat="1" ht="12" customHeight="1">
      <c r="A6259" s="6"/>
      <c r="B6259" s="6"/>
      <c r="C6259" s="4"/>
      <c r="D6259" s="4"/>
      <c r="E6259" s="5"/>
      <c r="F6259" s="6"/>
      <c r="G6259" s="31"/>
      <c r="H6259" s="6"/>
      <c r="I6259" s="9"/>
      <c r="J6259" s="24"/>
      <c r="K6259" s="10"/>
      <c r="L6259" s="25"/>
      <c r="M6259" s="7"/>
      <c r="N6259" s="8"/>
      <c r="O6259" s="11"/>
      <c r="P6259" s="11"/>
      <c r="Q6259" s="8"/>
      <c r="R6259" s="6"/>
      <c r="S6259" s="3"/>
      <c r="T6259" s="3"/>
      <c r="U6259" s="7"/>
      <c r="V6259" s="436"/>
      <c r="W6259" s="6"/>
      <c r="X6259" s="8"/>
      <c r="Y6259" s="8"/>
      <c r="AH6259" s="59"/>
      <c r="AI6259" s="59"/>
      <c r="AJ6259" s="59"/>
    </row>
    <row r="6260" spans="1:36" s="2" customFormat="1" ht="12" customHeight="1">
      <c r="A6260" s="6"/>
      <c r="B6260" s="6"/>
      <c r="C6260" s="4"/>
      <c r="D6260" s="4"/>
      <c r="E6260" s="5"/>
      <c r="F6260" s="6"/>
      <c r="G6260" s="31"/>
      <c r="H6260" s="6"/>
      <c r="I6260" s="9"/>
      <c r="J6260" s="24"/>
      <c r="K6260" s="10"/>
      <c r="L6260" s="25"/>
      <c r="M6260" s="7"/>
      <c r="N6260" s="8"/>
      <c r="O6260" s="11"/>
      <c r="P6260" s="11"/>
      <c r="Q6260" s="8"/>
      <c r="R6260" s="6"/>
      <c r="S6260" s="3"/>
      <c r="T6260" s="3"/>
      <c r="U6260" s="7"/>
      <c r="V6260" s="436"/>
      <c r="W6260" s="6"/>
      <c r="X6260" s="8"/>
      <c r="Y6260" s="8"/>
      <c r="AH6260" s="59"/>
      <c r="AI6260" s="59"/>
      <c r="AJ6260" s="59"/>
    </row>
    <row r="6261" spans="1:36" s="2" customFormat="1" ht="12" customHeight="1">
      <c r="A6261" s="6"/>
      <c r="B6261" s="6"/>
      <c r="C6261" s="4"/>
      <c r="D6261" s="4"/>
      <c r="E6261" s="5"/>
      <c r="F6261" s="6"/>
      <c r="G6261" s="31"/>
      <c r="H6261" s="6"/>
      <c r="I6261" s="9"/>
      <c r="J6261" s="24"/>
      <c r="K6261" s="9"/>
      <c r="L6261" s="25"/>
      <c r="M6261" s="7"/>
      <c r="N6261" s="8"/>
      <c r="O6261" s="11"/>
      <c r="P6261" s="11"/>
      <c r="Q6261" s="8"/>
      <c r="R6261" s="6"/>
      <c r="S6261" s="3"/>
      <c r="T6261" s="3"/>
      <c r="U6261" s="7"/>
      <c r="V6261" s="436"/>
      <c r="W6261" s="6"/>
      <c r="X6261" s="8"/>
      <c r="Y6261" s="8"/>
      <c r="AH6261" s="59"/>
      <c r="AI6261" s="59"/>
      <c r="AJ6261" s="59"/>
    </row>
    <row r="6262" spans="1:36" s="2" customFormat="1" ht="12" customHeight="1">
      <c r="A6262" s="6"/>
      <c r="B6262" s="6"/>
      <c r="C6262" s="4"/>
      <c r="D6262" s="4"/>
      <c r="E6262" s="5"/>
      <c r="F6262" s="6"/>
      <c r="G6262" s="31"/>
      <c r="H6262" s="6"/>
      <c r="I6262" s="9"/>
      <c r="J6262" s="24"/>
      <c r="K6262" s="9"/>
      <c r="L6262" s="25"/>
      <c r="M6262" s="7"/>
      <c r="N6262" s="8"/>
      <c r="O6262" s="11"/>
      <c r="P6262" s="11"/>
      <c r="Q6262" s="8"/>
      <c r="R6262" s="6"/>
      <c r="S6262" s="3"/>
      <c r="T6262" s="3"/>
      <c r="U6262" s="7"/>
      <c r="V6262" s="436"/>
      <c r="W6262" s="6"/>
      <c r="X6262" s="8"/>
      <c r="Y6262" s="8"/>
      <c r="AH6262" s="59"/>
      <c r="AI6262" s="59"/>
      <c r="AJ6262" s="59"/>
    </row>
    <row r="6263" spans="1:36" s="2" customFormat="1" ht="12" customHeight="1">
      <c r="A6263" s="6"/>
      <c r="B6263" s="6"/>
      <c r="C6263" s="4"/>
      <c r="D6263" s="4"/>
      <c r="E6263" s="5"/>
      <c r="F6263" s="6"/>
      <c r="G6263" s="31"/>
      <c r="H6263" s="6"/>
      <c r="I6263" s="9"/>
      <c r="J6263" s="24"/>
      <c r="K6263" s="9"/>
      <c r="L6263" s="25"/>
      <c r="M6263" s="7"/>
      <c r="N6263" s="8"/>
      <c r="O6263" s="11"/>
      <c r="P6263" s="11"/>
      <c r="Q6263" s="8"/>
      <c r="R6263" s="6"/>
      <c r="S6263" s="3"/>
      <c r="T6263" s="3"/>
      <c r="U6263" s="7"/>
      <c r="V6263" s="436"/>
      <c r="W6263" s="6"/>
      <c r="X6263" s="8"/>
      <c r="Y6263" s="8"/>
      <c r="AH6263" s="59"/>
      <c r="AI6263" s="59"/>
      <c r="AJ6263" s="59"/>
    </row>
    <row r="6264" spans="1:36" s="2" customFormat="1" ht="12" customHeight="1">
      <c r="A6264" s="6"/>
      <c r="B6264" s="6"/>
      <c r="C6264" s="4"/>
      <c r="D6264" s="4"/>
      <c r="E6264" s="5"/>
      <c r="F6264" s="6"/>
      <c r="G6264" s="31"/>
      <c r="H6264" s="6"/>
      <c r="I6264" s="9"/>
      <c r="J6264" s="24"/>
      <c r="K6264" s="9"/>
      <c r="L6264" s="25"/>
      <c r="M6264" s="7"/>
      <c r="N6264" s="8"/>
      <c r="O6264" s="11"/>
      <c r="P6264" s="11"/>
      <c r="Q6264" s="8"/>
      <c r="R6264" s="6"/>
      <c r="S6264" s="3"/>
      <c r="T6264" s="3"/>
      <c r="U6264" s="7"/>
      <c r="V6264" s="436"/>
      <c r="W6264" s="6"/>
      <c r="X6264" s="8"/>
      <c r="Y6264" s="8"/>
      <c r="AH6264" s="59"/>
      <c r="AI6264" s="59"/>
      <c r="AJ6264" s="59"/>
    </row>
    <row r="6265" spans="1:36" s="2" customFormat="1" ht="12" customHeight="1">
      <c r="A6265" s="6"/>
      <c r="B6265" s="6"/>
      <c r="C6265" s="4"/>
      <c r="D6265" s="4"/>
      <c r="E6265" s="5"/>
      <c r="F6265" s="6"/>
      <c r="G6265" s="31"/>
      <c r="H6265" s="6"/>
      <c r="I6265" s="9"/>
      <c r="J6265" s="24"/>
      <c r="K6265" s="9"/>
      <c r="L6265" s="25"/>
      <c r="M6265" s="7"/>
      <c r="N6265" s="8"/>
      <c r="O6265" s="11"/>
      <c r="P6265" s="11"/>
      <c r="Q6265" s="8"/>
      <c r="R6265" s="6"/>
      <c r="S6265" s="3"/>
      <c r="T6265" s="3"/>
      <c r="U6265" s="7"/>
      <c r="V6265" s="436"/>
      <c r="W6265" s="6"/>
      <c r="X6265" s="8"/>
      <c r="Y6265" s="8"/>
      <c r="AH6265" s="59"/>
      <c r="AI6265" s="59"/>
      <c r="AJ6265" s="59"/>
    </row>
    <row r="6266" spans="1:36" s="2" customFormat="1" ht="12" customHeight="1">
      <c r="A6266" s="6"/>
      <c r="B6266" s="6"/>
      <c r="C6266" s="4"/>
      <c r="D6266" s="4"/>
      <c r="E6266" s="5"/>
      <c r="F6266" s="6"/>
      <c r="G6266" s="31"/>
      <c r="H6266" s="6"/>
      <c r="I6266" s="9"/>
      <c r="J6266" s="24"/>
      <c r="K6266" s="9"/>
      <c r="L6266" s="25"/>
      <c r="M6266" s="47"/>
      <c r="N6266" s="8"/>
      <c r="O6266" s="11"/>
      <c r="P6266" s="11"/>
      <c r="Q6266" s="8"/>
      <c r="R6266" s="6"/>
      <c r="S6266" s="3"/>
      <c r="T6266" s="3"/>
      <c r="U6266" s="7"/>
      <c r="V6266" s="436"/>
      <c r="W6266" s="6"/>
      <c r="X6266" s="8"/>
      <c r="Y6266" s="8"/>
      <c r="AH6266" s="59"/>
      <c r="AI6266" s="59"/>
      <c r="AJ6266" s="59"/>
    </row>
    <row r="6267" spans="1:36" s="2" customFormat="1" ht="12" customHeight="1">
      <c r="A6267" s="6"/>
      <c r="B6267" s="6"/>
      <c r="C6267" s="4"/>
      <c r="D6267" s="4"/>
      <c r="E6267" s="5"/>
      <c r="F6267" s="6"/>
      <c r="G6267" s="31"/>
      <c r="H6267" s="6"/>
      <c r="I6267" s="9"/>
      <c r="J6267" s="24"/>
      <c r="K6267" s="9"/>
      <c r="L6267" s="25"/>
      <c r="M6267" s="7"/>
      <c r="N6267" s="8"/>
      <c r="O6267" s="11"/>
      <c r="P6267" s="11"/>
      <c r="Q6267" s="8"/>
      <c r="R6267" s="6"/>
      <c r="S6267" s="3"/>
      <c r="T6267" s="3"/>
      <c r="U6267" s="7"/>
      <c r="V6267" s="436"/>
      <c r="W6267" s="6"/>
      <c r="X6267" s="8"/>
      <c r="Y6267" s="8"/>
      <c r="AH6267" s="59"/>
      <c r="AI6267" s="59"/>
      <c r="AJ6267" s="59"/>
    </row>
    <row r="6268" spans="1:36" s="2" customFormat="1" ht="12" customHeight="1">
      <c r="A6268" s="6"/>
      <c r="B6268" s="6"/>
      <c r="C6268" s="4"/>
      <c r="D6268" s="4"/>
      <c r="E6268" s="5"/>
      <c r="F6268" s="6"/>
      <c r="G6268" s="31"/>
      <c r="H6268" s="6"/>
      <c r="I6268" s="9"/>
      <c r="J6268" s="24"/>
      <c r="K6268" s="9"/>
      <c r="L6268" s="25"/>
      <c r="M6268" s="7"/>
      <c r="N6268" s="8"/>
      <c r="O6268" s="11"/>
      <c r="P6268" s="11"/>
      <c r="Q6268" s="8"/>
      <c r="R6268" s="6"/>
      <c r="S6268" s="3"/>
      <c r="T6268" s="3"/>
      <c r="U6268" s="7"/>
      <c r="V6268" s="436"/>
      <c r="W6268" s="6"/>
      <c r="X6268" s="8"/>
      <c r="Y6268" s="8"/>
      <c r="AH6268" s="59"/>
      <c r="AI6268" s="59"/>
      <c r="AJ6268" s="59"/>
    </row>
    <row r="6269" spans="1:36" s="2" customFormat="1" ht="12" customHeight="1">
      <c r="A6269" s="6"/>
      <c r="B6269" s="6"/>
      <c r="C6269" s="4"/>
      <c r="D6269" s="4"/>
      <c r="E6269" s="5"/>
      <c r="F6269" s="6"/>
      <c r="G6269" s="31"/>
      <c r="H6269" s="6"/>
      <c r="I6269" s="9"/>
      <c r="J6269" s="24"/>
      <c r="K6269" s="9"/>
      <c r="L6269" s="25"/>
      <c r="M6269" s="7"/>
      <c r="N6269" s="8"/>
      <c r="O6269" s="11"/>
      <c r="P6269" s="11"/>
      <c r="Q6269" s="8"/>
      <c r="R6269" s="6"/>
      <c r="S6269" s="3"/>
      <c r="T6269" s="3"/>
      <c r="U6269" s="7"/>
      <c r="V6269" s="436"/>
      <c r="W6269" s="6"/>
      <c r="X6269" s="8"/>
      <c r="Y6269" s="8"/>
      <c r="AH6269" s="59"/>
      <c r="AI6269" s="59"/>
      <c r="AJ6269" s="59"/>
    </row>
    <row r="6270" spans="1:36" s="2" customFormat="1" ht="12" customHeight="1">
      <c r="A6270" s="6"/>
      <c r="B6270" s="6"/>
      <c r="C6270" s="4"/>
      <c r="D6270" s="4"/>
      <c r="E6270" s="5"/>
      <c r="F6270" s="6"/>
      <c r="G6270" s="31"/>
      <c r="H6270" s="6"/>
      <c r="I6270" s="9"/>
      <c r="J6270" s="24"/>
      <c r="K6270" s="9"/>
      <c r="L6270" s="25"/>
      <c r="M6270" s="7"/>
      <c r="N6270" s="8"/>
      <c r="O6270" s="11"/>
      <c r="P6270" s="11"/>
      <c r="Q6270" s="8"/>
      <c r="R6270" s="6"/>
      <c r="S6270" s="3"/>
      <c r="T6270" s="3"/>
      <c r="U6270" s="7"/>
      <c r="V6270" s="436"/>
      <c r="W6270" s="6"/>
      <c r="X6270" s="8"/>
      <c r="Y6270" s="8"/>
      <c r="AH6270" s="59"/>
      <c r="AI6270" s="59"/>
      <c r="AJ6270" s="59"/>
    </row>
    <row r="6271" spans="1:36" s="2" customFormat="1" ht="12" customHeight="1">
      <c r="A6271" s="6"/>
      <c r="B6271" s="6"/>
      <c r="C6271" s="4"/>
      <c r="D6271" s="4"/>
      <c r="E6271" s="5"/>
      <c r="F6271" s="6"/>
      <c r="G6271" s="31"/>
      <c r="H6271" s="6"/>
      <c r="I6271" s="9"/>
      <c r="J6271" s="24"/>
      <c r="K6271" s="10"/>
      <c r="L6271" s="25"/>
      <c r="M6271" s="7"/>
      <c r="N6271" s="8"/>
      <c r="O6271" s="11"/>
      <c r="P6271" s="11"/>
      <c r="Q6271" s="8"/>
      <c r="R6271" s="6"/>
      <c r="S6271" s="3"/>
      <c r="T6271" s="3"/>
      <c r="U6271" s="7"/>
      <c r="V6271" s="436"/>
      <c r="W6271" s="6"/>
      <c r="X6271" s="8"/>
      <c r="Y6271" s="8"/>
      <c r="AH6271" s="59"/>
      <c r="AI6271" s="59"/>
      <c r="AJ6271" s="59"/>
    </row>
    <row r="6272" spans="1:36" s="2" customFormat="1" ht="12" customHeight="1">
      <c r="A6272" s="6"/>
      <c r="B6272" s="6"/>
      <c r="C6272" s="4"/>
      <c r="D6272" s="4"/>
      <c r="E6272" s="5"/>
      <c r="F6272" s="6"/>
      <c r="G6272" s="31"/>
      <c r="H6272" s="6"/>
      <c r="I6272" s="9"/>
      <c r="J6272" s="24"/>
      <c r="K6272" s="10"/>
      <c r="L6272" s="25"/>
      <c r="M6272" s="7"/>
      <c r="N6272" s="8"/>
      <c r="O6272" s="11"/>
      <c r="P6272" s="11"/>
      <c r="Q6272" s="8"/>
      <c r="R6272" s="6"/>
      <c r="S6272" s="3"/>
      <c r="T6272" s="3"/>
      <c r="U6272" s="7"/>
      <c r="V6272" s="436"/>
      <c r="W6272" s="6"/>
      <c r="X6272" s="8"/>
      <c r="Y6272" s="8"/>
      <c r="AH6272" s="59"/>
      <c r="AI6272" s="59"/>
      <c r="AJ6272" s="59"/>
    </row>
    <row r="6273" spans="1:36" s="2" customFormat="1" ht="12" customHeight="1">
      <c r="A6273" s="6"/>
      <c r="B6273" s="6"/>
      <c r="C6273" s="4"/>
      <c r="D6273" s="4"/>
      <c r="E6273" s="5"/>
      <c r="F6273" s="6"/>
      <c r="G6273" s="31"/>
      <c r="H6273" s="6"/>
      <c r="I6273" s="9"/>
      <c r="J6273" s="24"/>
      <c r="K6273" s="10"/>
      <c r="L6273" s="25"/>
      <c r="M6273" s="7"/>
      <c r="N6273" s="8"/>
      <c r="O6273" s="11"/>
      <c r="P6273" s="11"/>
      <c r="Q6273" s="8"/>
      <c r="R6273" s="6"/>
      <c r="S6273" s="3"/>
      <c r="T6273" s="3"/>
      <c r="U6273" s="7"/>
      <c r="V6273" s="436"/>
      <c r="W6273" s="6"/>
      <c r="X6273" s="8"/>
      <c r="Y6273" s="8"/>
      <c r="AH6273" s="59"/>
      <c r="AI6273" s="59"/>
      <c r="AJ6273" s="59"/>
    </row>
    <row r="6274" spans="1:36" s="2" customFormat="1" ht="12" customHeight="1">
      <c r="A6274" s="6"/>
      <c r="B6274" s="6"/>
      <c r="C6274" s="4"/>
      <c r="D6274" s="4"/>
      <c r="E6274" s="5"/>
      <c r="F6274" s="6"/>
      <c r="G6274" s="31"/>
      <c r="H6274" s="6"/>
      <c r="I6274" s="9"/>
      <c r="J6274" s="24"/>
      <c r="K6274" s="9"/>
      <c r="L6274" s="25"/>
      <c r="M6274" s="7"/>
      <c r="N6274" s="8"/>
      <c r="O6274" s="11"/>
      <c r="P6274" s="11"/>
      <c r="Q6274" s="8"/>
      <c r="R6274" s="6"/>
      <c r="S6274" s="3"/>
      <c r="T6274" s="3"/>
      <c r="U6274" s="7"/>
      <c r="V6274" s="436"/>
      <c r="W6274" s="6"/>
      <c r="X6274" s="8"/>
      <c r="Y6274" s="8"/>
      <c r="AH6274" s="59"/>
      <c r="AI6274" s="59"/>
      <c r="AJ6274" s="59"/>
    </row>
    <row r="6275" spans="1:36" s="2" customFormat="1" ht="12" customHeight="1">
      <c r="A6275" s="6"/>
      <c r="B6275" s="6"/>
      <c r="C6275" s="4"/>
      <c r="D6275" s="4"/>
      <c r="E6275" s="5"/>
      <c r="F6275" s="6"/>
      <c r="G6275" s="31"/>
      <c r="H6275" s="6"/>
      <c r="I6275" s="9"/>
      <c r="J6275" s="24"/>
      <c r="K6275" s="9"/>
      <c r="L6275" s="25"/>
      <c r="M6275" s="7"/>
      <c r="N6275" s="8"/>
      <c r="O6275" s="11"/>
      <c r="P6275" s="11"/>
      <c r="Q6275" s="8"/>
      <c r="R6275" s="6"/>
      <c r="S6275" s="3"/>
      <c r="T6275" s="3"/>
      <c r="U6275" s="7"/>
      <c r="V6275" s="436"/>
      <c r="W6275" s="6"/>
      <c r="X6275" s="8"/>
      <c r="Y6275" s="8"/>
      <c r="AH6275" s="59"/>
      <c r="AI6275" s="59"/>
      <c r="AJ6275" s="59"/>
    </row>
    <row r="6276" spans="1:36" s="2" customFormat="1" ht="12" customHeight="1">
      <c r="A6276" s="6"/>
      <c r="B6276" s="6"/>
      <c r="C6276" s="4"/>
      <c r="D6276" s="4"/>
      <c r="E6276" s="5"/>
      <c r="F6276" s="6"/>
      <c r="G6276" s="31"/>
      <c r="H6276" s="6"/>
      <c r="I6276" s="9"/>
      <c r="J6276" s="24"/>
      <c r="K6276" s="9"/>
      <c r="L6276" s="25"/>
      <c r="M6276" s="7"/>
      <c r="N6276" s="8"/>
      <c r="O6276" s="11"/>
      <c r="P6276" s="11"/>
      <c r="Q6276" s="8"/>
      <c r="R6276" s="6"/>
      <c r="S6276" s="3"/>
      <c r="T6276" s="3"/>
      <c r="U6276" s="7"/>
      <c r="V6276" s="436"/>
      <c r="W6276" s="6"/>
      <c r="X6276" s="8"/>
      <c r="Y6276" s="8"/>
      <c r="AH6276" s="59"/>
      <c r="AI6276" s="59"/>
      <c r="AJ6276" s="59"/>
    </row>
    <row r="6277" spans="1:36" s="2" customFormat="1" ht="12" customHeight="1">
      <c r="A6277" s="6"/>
      <c r="B6277" s="6"/>
      <c r="C6277" s="4"/>
      <c r="D6277" s="4"/>
      <c r="E6277" s="5"/>
      <c r="F6277" s="6"/>
      <c r="G6277" s="31"/>
      <c r="H6277" s="6"/>
      <c r="I6277" s="9"/>
      <c r="J6277" s="24"/>
      <c r="K6277" s="9"/>
      <c r="L6277" s="25"/>
      <c r="M6277" s="7"/>
      <c r="N6277" s="8"/>
      <c r="O6277" s="11"/>
      <c r="P6277" s="11"/>
      <c r="Q6277" s="8"/>
      <c r="R6277" s="6"/>
      <c r="S6277" s="3"/>
      <c r="T6277" s="3"/>
      <c r="U6277" s="7"/>
      <c r="V6277" s="436"/>
      <c r="W6277" s="6"/>
      <c r="X6277" s="8"/>
      <c r="Y6277" s="8"/>
      <c r="AH6277" s="59"/>
      <c r="AI6277" s="59"/>
      <c r="AJ6277" s="59"/>
    </row>
    <row r="6278" spans="1:36" s="2" customFormat="1" ht="12" customHeight="1">
      <c r="A6278" s="6"/>
      <c r="B6278" s="6"/>
      <c r="C6278" s="4"/>
      <c r="D6278" s="4"/>
      <c r="E6278" s="5"/>
      <c r="F6278" s="6"/>
      <c r="G6278" s="31"/>
      <c r="H6278" s="6"/>
      <c r="I6278" s="9"/>
      <c r="J6278" s="24"/>
      <c r="K6278" s="9"/>
      <c r="L6278" s="25"/>
      <c r="M6278" s="7"/>
      <c r="N6278" s="8"/>
      <c r="O6278" s="11"/>
      <c r="P6278" s="11"/>
      <c r="Q6278" s="8"/>
      <c r="R6278" s="6"/>
      <c r="S6278" s="3"/>
      <c r="T6278" s="3"/>
      <c r="U6278" s="7"/>
      <c r="V6278" s="436"/>
      <c r="W6278" s="6"/>
      <c r="X6278" s="8"/>
      <c r="Y6278" s="8"/>
      <c r="AH6278" s="59"/>
      <c r="AI6278" s="59"/>
      <c r="AJ6278" s="59"/>
    </row>
    <row r="6279" spans="1:36" s="2" customFormat="1" ht="12" customHeight="1">
      <c r="A6279" s="6"/>
      <c r="B6279" s="6"/>
      <c r="C6279" s="4"/>
      <c r="D6279" s="4"/>
      <c r="E6279" s="5"/>
      <c r="F6279" s="6"/>
      <c r="G6279" s="31"/>
      <c r="H6279" s="6"/>
      <c r="I6279" s="9"/>
      <c r="J6279" s="24"/>
      <c r="K6279" s="9"/>
      <c r="L6279" s="25"/>
      <c r="M6279" s="7"/>
      <c r="N6279" s="8"/>
      <c r="O6279" s="11"/>
      <c r="P6279" s="11"/>
      <c r="Q6279" s="8"/>
      <c r="R6279" s="6"/>
      <c r="S6279" s="3"/>
      <c r="T6279" s="3"/>
      <c r="U6279" s="7"/>
      <c r="V6279" s="436"/>
      <c r="W6279" s="6"/>
      <c r="X6279" s="8"/>
      <c r="Y6279" s="8"/>
      <c r="AH6279" s="59"/>
      <c r="AI6279" s="59"/>
      <c r="AJ6279" s="59"/>
    </row>
    <row r="6280" spans="1:36" s="2" customFormat="1" ht="12" customHeight="1">
      <c r="A6280" s="6"/>
      <c r="B6280" s="6"/>
      <c r="C6280" s="4"/>
      <c r="D6280" s="4"/>
      <c r="E6280" s="5"/>
      <c r="F6280" s="6"/>
      <c r="G6280" s="31"/>
      <c r="H6280" s="6"/>
      <c r="I6280" s="9"/>
      <c r="J6280" s="24"/>
      <c r="K6280" s="9"/>
      <c r="L6280" s="25"/>
      <c r="M6280" s="47"/>
      <c r="N6280" s="8"/>
      <c r="O6280" s="11"/>
      <c r="P6280" s="11"/>
      <c r="Q6280" s="8"/>
      <c r="R6280" s="6"/>
      <c r="S6280" s="3"/>
      <c r="T6280" s="3"/>
      <c r="U6280" s="7"/>
      <c r="V6280" s="436"/>
      <c r="W6280" s="6"/>
      <c r="X6280" s="8"/>
      <c r="Y6280" s="8"/>
      <c r="AH6280" s="59"/>
      <c r="AI6280" s="59"/>
      <c r="AJ6280" s="59"/>
    </row>
    <row r="6281" spans="1:36" s="2" customFormat="1" ht="12" customHeight="1">
      <c r="A6281" s="6"/>
      <c r="B6281" s="6"/>
      <c r="C6281" s="4"/>
      <c r="D6281" s="4"/>
      <c r="E6281" s="5"/>
      <c r="F6281" s="6"/>
      <c r="G6281" s="31"/>
      <c r="H6281" s="6"/>
      <c r="I6281" s="9"/>
      <c r="J6281" s="24"/>
      <c r="K6281" s="9"/>
      <c r="L6281" s="25"/>
      <c r="M6281" s="7"/>
      <c r="N6281" s="8"/>
      <c r="O6281" s="11"/>
      <c r="P6281" s="11"/>
      <c r="Q6281" s="8"/>
      <c r="R6281" s="6"/>
      <c r="S6281" s="3"/>
      <c r="T6281" s="3"/>
      <c r="U6281" s="7"/>
      <c r="V6281" s="436"/>
      <c r="W6281" s="6"/>
      <c r="X6281" s="8"/>
      <c r="Y6281" s="8"/>
      <c r="AH6281" s="59"/>
      <c r="AI6281" s="59"/>
      <c r="AJ6281" s="59"/>
    </row>
    <row r="6282" spans="1:36" s="2" customFormat="1" ht="12" customHeight="1">
      <c r="A6282" s="6"/>
      <c r="B6282" s="6"/>
      <c r="C6282" s="4"/>
      <c r="D6282" s="4"/>
      <c r="E6282" s="5"/>
      <c r="F6282" s="6"/>
      <c r="G6282" s="31"/>
      <c r="H6282" s="6"/>
      <c r="I6282" s="9"/>
      <c r="J6282" s="24"/>
      <c r="K6282" s="9"/>
      <c r="L6282" s="25"/>
      <c r="M6282" s="7"/>
      <c r="N6282" s="8"/>
      <c r="O6282" s="11"/>
      <c r="P6282" s="11"/>
      <c r="Q6282" s="8"/>
      <c r="R6282" s="6"/>
      <c r="S6282" s="3"/>
      <c r="T6282" s="3"/>
      <c r="U6282" s="7"/>
      <c r="V6282" s="436"/>
      <c r="W6282" s="6"/>
      <c r="X6282" s="8"/>
      <c r="Y6282" s="8"/>
      <c r="AH6282" s="59"/>
      <c r="AI6282" s="59"/>
      <c r="AJ6282" s="59"/>
    </row>
    <row r="6283" spans="1:36" s="2" customFormat="1" ht="12" customHeight="1">
      <c r="A6283" s="6"/>
      <c r="B6283" s="6"/>
      <c r="C6283" s="4"/>
      <c r="D6283" s="4"/>
      <c r="E6283" s="5"/>
      <c r="F6283" s="6"/>
      <c r="G6283" s="31"/>
      <c r="H6283" s="6"/>
      <c r="I6283" s="9"/>
      <c r="J6283" s="24"/>
      <c r="K6283" s="10"/>
      <c r="L6283" s="25"/>
      <c r="M6283" s="7"/>
      <c r="N6283" s="8"/>
      <c r="O6283" s="11"/>
      <c r="P6283" s="11"/>
      <c r="Q6283" s="8"/>
      <c r="R6283" s="6"/>
      <c r="S6283" s="3"/>
      <c r="T6283" s="3"/>
      <c r="U6283" s="7"/>
      <c r="V6283" s="436"/>
      <c r="W6283" s="6"/>
      <c r="X6283" s="8"/>
      <c r="Y6283" s="8"/>
      <c r="AH6283" s="59"/>
      <c r="AI6283" s="59"/>
      <c r="AJ6283" s="59"/>
    </row>
    <row r="6284" spans="1:36" s="2" customFormat="1" ht="12" customHeight="1">
      <c r="A6284" s="6"/>
      <c r="B6284" s="6"/>
      <c r="C6284" s="4"/>
      <c r="D6284" s="4"/>
      <c r="E6284" s="5"/>
      <c r="F6284" s="6"/>
      <c r="G6284" s="31"/>
      <c r="H6284" s="6"/>
      <c r="I6284" s="9"/>
      <c r="J6284" s="24"/>
      <c r="K6284" s="10"/>
      <c r="L6284" s="25"/>
      <c r="M6284" s="7"/>
      <c r="N6284" s="8"/>
      <c r="O6284" s="11"/>
      <c r="P6284" s="11"/>
      <c r="Q6284" s="8"/>
      <c r="R6284" s="6"/>
      <c r="S6284" s="3"/>
      <c r="T6284" s="3"/>
      <c r="U6284" s="7"/>
      <c r="V6284" s="436"/>
      <c r="W6284" s="6"/>
      <c r="X6284" s="8"/>
      <c r="Y6284" s="8"/>
      <c r="AH6284" s="59"/>
      <c r="AI6284" s="59"/>
      <c r="AJ6284" s="59"/>
    </row>
    <row r="6285" spans="1:36" s="2" customFormat="1" ht="12" customHeight="1">
      <c r="A6285" s="6"/>
      <c r="B6285" s="6"/>
      <c r="C6285" s="4"/>
      <c r="D6285" s="4"/>
      <c r="E6285" s="5"/>
      <c r="F6285" s="6"/>
      <c r="G6285" s="31"/>
      <c r="H6285" s="6"/>
      <c r="I6285" s="9"/>
      <c r="J6285" s="24"/>
      <c r="K6285" s="9"/>
      <c r="L6285" s="25"/>
      <c r="M6285" s="7"/>
      <c r="N6285" s="8"/>
      <c r="O6285" s="11"/>
      <c r="P6285" s="11"/>
      <c r="Q6285" s="8"/>
      <c r="R6285" s="6"/>
      <c r="S6285" s="3"/>
      <c r="T6285" s="3"/>
      <c r="U6285" s="7"/>
      <c r="V6285" s="436"/>
      <c r="W6285" s="6"/>
      <c r="X6285" s="8"/>
      <c r="Y6285" s="8"/>
      <c r="AH6285" s="59"/>
      <c r="AI6285" s="59"/>
      <c r="AJ6285" s="59"/>
    </row>
    <row r="6286" spans="1:36" s="2" customFormat="1" ht="12" customHeight="1">
      <c r="A6286" s="6"/>
      <c r="B6286" s="6"/>
      <c r="C6286" s="4"/>
      <c r="D6286" s="4"/>
      <c r="E6286" s="5"/>
      <c r="F6286" s="6"/>
      <c r="G6286" s="31"/>
      <c r="H6286" s="6"/>
      <c r="I6286" s="9"/>
      <c r="J6286" s="24"/>
      <c r="K6286" s="9"/>
      <c r="L6286" s="25"/>
      <c r="M6286" s="7"/>
      <c r="N6286" s="8"/>
      <c r="O6286" s="11"/>
      <c r="P6286" s="11"/>
      <c r="Q6286" s="8"/>
      <c r="R6286" s="6"/>
      <c r="S6286" s="3"/>
      <c r="T6286" s="3"/>
      <c r="U6286" s="7"/>
      <c r="V6286" s="436"/>
      <c r="W6286" s="6"/>
      <c r="X6286" s="8"/>
      <c r="Y6286" s="8"/>
      <c r="AH6286" s="59"/>
      <c r="AI6286" s="59"/>
      <c r="AJ6286" s="59"/>
    </row>
    <row r="6287" spans="1:36" s="2" customFormat="1" ht="12" customHeight="1">
      <c r="A6287" s="6"/>
      <c r="B6287" s="6"/>
      <c r="C6287" s="4"/>
      <c r="D6287" s="4"/>
      <c r="E6287" s="5"/>
      <c r="F6287" s="6"/>
      <c r="G6287" s="31"/>
      <c r="H6287" s="6"/>
      <c r="I6287" s="9"/>
      <c r="J6287" s="24"/>
      <c r="K6287" s="10"/>
      <c r="L6287" s="25"/>
      <c r="M6287" s="7"/>
      <c r="N6287" s="8"/>
      <c r="O6287" s="11"/>
      <c r="P6287" s="11"/>
      <c r="Q6287" s="8"/>
      <c r="R6287" s="6"/>
      <c r="S6287" s="3"/>
      <c r="T6287" s="3"/>
      <c r="U6287" s="7"/>
      <c r="V6287" s="436"/>
      <c r="W6287" s="6"/>
      <c r="X6287" s="8"/>
      <c r="Y6287" s="8"/>
      <c r="AH6287" s="59"/>
      <c r="AI6287" s="59"/>
      <c r="AJ6287" s="59"/>
    </row>
    <row r="6288" spans="1:36" s="2" customFormat="1" ht="12" customHeight="1">
      <c r="A6288" s="6"/>
      <c r="B6288" s="6"/>
      <c r="C6288" s="4"/>
      <c r="D6288" s="4"/>
      <c r="E6288" s="5"/>
      <c r="F6288" s="6"/>
      <c r="G6288" s="31"/>
      <c r="H6288" s="6"/>
      <c r="I6288" s="9"/>
      <c r="J6288" s="24"/>
      <c r="K6288" s="10"/>
      <c r="L6288" s="25"/>
      <c r="M6288" s="7"/>
      <c r="N6288" s="8"/>
      <c r="O6288" s="11"/>
      <c r="P6288" s="11"/>
      <c r="Q6288" s="8"/>
      <c r="R6288" s="6"/>
      <c r="S6288" s="3"/>
      <c r="T6288" s="3"/>
      <c r="U6288" s="7"/>
      <c r="V6288" s="436"/>
      <c r="W6288" s="6"/>
      <c r="X6288" s="8"/>
      <c r="Y6288" s="8"/>
      <c r="AH6288" s="59"/>
      <c r="AI6288" s="59"/>
      <c r="AJ6288" s="59"/>
    </row>
    <row r="6289" spans="1:36" s="2" customFormat="1" ht="12" customHeight="1">
      <c r="A6289" s="6"/>
      <c r="B6289" s="6"/>
      <c r="C6289" s="4"/>
      <c r="D6289" s="4"/>
      <c r="E6289" s="5"/>
      <c r="F6289" s="6"/>
      <c r="G6289" s="31"/>
      <c r="H6289" s="6"/>
      <c r="I6289" s="9"/>
      <c r="J6289" s="24"/>
      <c r="K6289" s="10"/>
      <c r="L6289" s="25"/>
      <c r="M6289" s="7"/>
      <c r="N6289" s="8"/>
      <c r="O6289" s="11"/>
      <c r="P6289" s="11"/>
      <c r="Q6289" s="8"/>
      <c r="R6289" s="6"/>
      <c r="S6289" s="3"/>
      <c r="T6289" s="3"/>
      <c r="U6289" s="7"/>
      <c r="V6289" s="436"/>
      <c r="W6289" s="6"/>
      <c r="X6289" s="8"/>
      <c r="Y6289" s="8"/>
      <c r="AH6289" s="59"/>
      <c r="AI6289" s="59"/>
      <c r="AJ6289" s="59"/>
    </row>
    <row r="6290" spans="1:36" s="2" customFormat="1" ht="12" customHeight="1">
      <c r="A6290" s="6"/>
      <c r="B6290" s="6"/>
      <c r="C6290" s="4"/>
      <c r="D6290" s="4"/>
      <c r="E6290" s="5"/>
      <c r="F6290" s="6"/>
      <c r="G6290" s="31"/>
      <c r="H6290" s="6"/>
      <c r="I6290" s="9"/>
      <c r="J6290" s="24"/>
      <c r="K6290" s="9"/>
      <c r="L6290" s="25"/>
      <c r="M6290" s="7"/>
      <c r="N6290" s="8"/>
      <c r="O6290" s="11"/>
      <c r="P6290" s="11"/>
      <c r="Q6290" s="8"/>
      <c r="R6290" s="6"/>
      <c r="S6290" s="3"/>
      <c r="T6290" s="3"/>
      <c r="U6290" s="7"/>
      <c r="V6290" s="436"/>
      <c r="W6290" s="6"/>
      <c r="X6290" s="8"/>
      <c r="Y6290" s="8"/>
      <c r="AH6290" s="59"/>
      <c r="AI6290" s="59"/>
      <c r="AJ6290" s="59"/>
    </row>
    <row r="6291" spans="1:36" s="2" customFormat="1" ht="12" customHeight="1">
      <c r="A6291" s="6"/>
      <c r="B6291" s="6"/>
      <c r="C6291" s="4"/>
      <c r="D6291" s="4"/>
      <c r="E6291" s="5"/>
      <c r="F6291" s="6"/>
      <c r="G6291" s="31"/>
      <c r="H6291" s="6"/>
      <c r="I6291" s="9"/>
      <c r="J6291" s="24"/>
      <c r="K6291" s="9"/>
      <c r="L6291" s="25"/>
      <c r="M6291" s="7"/>
      <c r="N6291" s="8"/>
      <c r="O6291" s="11"/>
      <c r="P6291" s="11"/>
      <c r="Q6291" s="8"/>
      <c r="R6291" s="6"/>
      <c r="S6291" s="3"/>
      <c r="T6291" s="3"/>
      <c r="U6291" s="7"/>
      <c r="V6291" s="436"/>
      <c r="W6291" s="6"/>
      <c r="X6291" s="8"/>
      <c r="Y6291" s="8"/>
      <c r="AH6291" s="59"/>
      <c r="AI6291" s="59"/>
      <c r="AJ6291" s="59"/>
    </row>
    <row r="6292" spans="1:36" s="2" customFormat="1" ht="12" customHeight="1">
      <c r="A6292" s="6"/>
      <c r="B6292" s="6"/>
      <c r="C6292" s="4"/>
      <c r="D6292" s="4"/>
      <c r="E6292" s="5"/>
      <c r="F6292" s="6"/>
      <c r="G6292" s="31"/>
      <c r="H6292" s="6"/>
      <c r="I6292" s="9"/>
      <c r="J6292" s="24"/>
      <c r="K6292" s="10"/>
      <c r="L6292" s="25"/>
      <c r="M6292" s="7"/>
      <c r="N6292" s="8"/>
      <c r="O6292" s="11"/>
      <c r="P6292" s="11"/>
      <c r="Q6292" s="8"/>
      <c r="R6292" s="6"/>
      <c r="S6292" s="3"/>
      <c r="T6292" s="3"/>
      <c r="U6292" s="7"/>
      <c r="V6292" s="436"/>
      <c r="W6292" s="6"/>
      <c r="X6292" s="8"/>
      <c r="Y6292" s="8"/>
      <c r="AH6292" s="59"/>
      <c r="AI6292" s="59"/>
      <c r="AJ6292" s="59"/>
    </row>
    <row r="6293" spans="1:36" s="2" customFormat="1" ht="12" customHeight="1">
      <c r="A6293" s="6"/>
      <c r="B6293" s="6"/>
      <c r="C6293" s="4"/>
      <c r="D6293" s="4"/>
      <c r="E6293" s="5"/>
      <c r="F6293" s="6"/>
      <c r="G6293" s="31"/>
      <c r="H6293" s="6"/>
      <c r="I6293" s="9"/>
      <c r="J6293" s="24"/>
      <c r="K6293" s="9"/>
      <c r="L6293" s="25"/>
      <c r="M6293" s="7"/>
      <c r="N6293" s="8"/>
      <c r="O6293" s="11"/>
      <c r="P6293" s="11"/>
      <c r="Q6293" s="8"/>
      <c r="R6293" s="6"/>
      <c r="S6293" s="3"/>
      <c r="T6293" s="3"/>
      <c r="U6293" s="7"/>
      <c r="V6293" s="436"/>
      <c r="W6293" s="6"/>
      <c r="X6293" s="8"/>
      <c r="Y6293" s="8"/>
      <c r="AH6293" s="59"/>
      <c r="AI6293" s="59"/>
      <c r="AJ6293" s="59"/>
    </row>
    <row r="6294" spans="1:36" s="2" customFormat="1" ht="12" customHeight="1">
      <c r="A6294" s="6"/>
      <c r="B6294" s="6"/>
      <c r="C6294" s="4"/>
      <c r="D6294" s="4"/>
      <c r="E6294" s="5"/>
      <c r="F6294" s="6"/>
      <c r="G6294" s="31"/>
      <c r="H6294" s="6"/>
      <c r="I6294" s="9"/>
      <c r="J6294" s="24"/>
      <c r="K6294" s="9"/>
      <c r="L6294" s="25"/>
      <c r="M6294" s="47"/>
      <c r="N6294" s="8"/>
      <c r="O6294" s="11"/>
      <c r="P6294" s="11"/>
      <c r="Q6294" s="8"/>
      <c r="R6294" s="6"/>
      <c r="S6294" s="3"/>
      <c r="T6294" s="3"/>
      <c r="U6294" s="7"/>
      <c r="V6294" s="436"/>
      <c r="W6294" s="6"/>
      <c r="X6294" s="8"/>
      <c r="Y6294" s="8"/>
      <c r="AH6294" s="59"/>
      <c r="AI6294" s="59"/>
      <c r="AJ6294" s="59"/>
    </row>
    <row r="6295" spans="1:36" s="2" customFormat="1" ht="12" customHeight="1">
      <c r="A6295" s="6"/>
      <c r="B6295" s="6"/>
      <c r="C6295" s="4"/>
      <c r="D6295" s="4"/>
      <c r="E6295" s="5"/>
      <c r="F6295" s="6"/>
      <c r="G6295" s="31"/>
      <c r="H6295" s="6"/>
      <c r="I6295" s="9"/>
      <c r="J6295" s="24"/>
      <c r="K6295" s="10"/>
      <c r="L6295" s="25"/>
      <c r="M6295" s="7"/>
      <c r="N6295" s="8"/>
      <c r="O6295" s="11"/>
      <c r="P6295" s="11"/>
      <c r="Q6295" s="8"/>
      <c r="R6295" s="6"/>
      <c r="S6295" s="3"/>
      <c r="T6295" s="3"/>
      <c r="U6295" s="7"/>
      <c r="V6295" s="436"/>
      <c r="W6295" s="6"/>
      <c r="X6295" s="8"/>
      <c r="Y6295" s="8"/>
      <c r="AH6295" s="59"/>
      <c r="AI6295" s="59"/>
      <c r="AJ6295" s="59"/>
    </row>
    <row r="6296" spans="1:36" s="2" customFormat="1" ht="12" customHeight="1">
      <c r="A6296" s="6"/>
      <c r="B6296" s="6"/>
      <c r="C6296" s="4"/>
      <c r="D6296" s="4"/>
      <c r="E6296" s="5"/>
      <c r="F6296" s="6"/>
      <c r="G6296" s="31"/>
      <c r="H6296" s="6"/>
      <c r="I6296" s="9"/>
      <c r="J6296" s="24"/>
      <c r="K6296" s="10"/>
      <c r="L6296" s="25"/>
      <c r="M6296" s="7"/>
      <c r="N6296" s="8"/>
      <c r="O6296" s="11"/>
      <c r="P6296" s="11"/>
      <c r="Q6296" s="8"/>
      <c r="R6296" s="6"/>
      <c r="S6296" s="3"/>
      <c r="T6296" s="3"/>
      <c r="U6296" s="7"/>
      <c r="V6296" s="436"/>
      <c r="W6296" s="6"/>
      <c r="X6296" s="8"/>
      <c r="Y6296" s="8"/>
      <c r="AH6296" s="59"/>
      <c r="AI6296" s="59"/>
      <c r="AJ6296" s="59"/>
    </row>
    <row r="6297" spans="1:36" s="2" customFormat="1" ht="12" customHeight="1">
      <c r="A6297" s="6"/>
      <c r="B6297" s="6"/>
      <c r="C6297" s="4"/>
      <c r="D6297" s="4"/>
      <c r="E6297" s="5"/>
      <c r="F6297" s="6"/>
      <c r="G6297" s="31"/>
      <c r="H6297" s="6"/>
      <c r="I6297" s="9"/>
      <c r="J6297" s="24"/>
      <c r="K6297" s="9"/>
      <c r="L6297" s="25"/>
      <c r="M6297" s="7"/>
      <c r="N6297" s="8"/>
      <c r="O6297" s="11"/>
      <c r="P6297" s="11"/>
      <c r="Q6297" s="8"/>
      <c r="R6297" s="6"/>
      <c r="S6297" s="3"/>
      <c r="T6297" s="3"/>
      <c r="U6297" s="7"/>
      <c r="V6297" s="436"/>
      <c r="W6297" s="6"/>
      <c r="X6297" s="8"/>
      <c r="Y6297" s="8"/>
      <c r="AH6297" s="59"/>
      <c r="AI6297" s="59"/>
      <c r="AJ6297" s="59"/>
    </row>
    <row r="6298" spans="1:36" s="2" customFormat="1" ht="12" customHeight="1">
      <c r="A6298" s="6"/>
      <c r="B6298" s="6"/>
      <c r="C6298" s="4"/>
      <c r="D6298" s="4"/>
      <c r="E6298" s="5"/>
      <c r="F6298" s="6"/>
      <c r="G6298" s="31"/>
      <c r="H6298" s="6"/>
      <c r="I6298" s="9"/>
      <c r="J6298" s="24"/>
      <c r="K6298" s="9"/>
      <c r="L6298" s="25"/>
      <c r="M6298" s="7"/>
      <c r="N6298" s="8"/>
      <c r="O6298" s="11"/>
      <c r="P6298" s="11"/>
      <c r="Q6298" s="8"/>
      <c r="R6298" s="6"/>
      <c r="S6298" s="3"/>
      <c r="T6298" s="3"/>
      <c r="U6298" s="7"/>
      <c r="V6298" s="436"/>
      <c r="W6298" s="6"/>
      <c r="X6298" s="8"/>
      <c r="Y6298" s="8"/>
      <c r="AH6298" s="59"/>
      <c r="AI6298" s="59"/>
      <c r="AJ6298" s="59"/>
    </row>
    <row r="6299" spans="1:36" s="2" customFormat="1" ht="12" customHeight="1">
      <c r="A6299" s="6"/>
      <c r="B6299" s="6"/>
      <c r="C6299" s="4"/>
      <c r="D6299" s="4"/>
      <c r="E6299" s="5"/>
      <c r="F6299" s="6"/>
      <c r="G6299" s="31"/>
      <c r="H6299" s="6"/>
      <c r="I6299" s="9"/>
      <c r="J6299" s="24"/>
      <c r="K6299" s="10"/>
      <c r="L6299" s="25"/>
      <c r="M6299" s="7"/>
      <c r="N6299" s="8"/>
      <c r="O6299" s="11"/>
      <c r="P6299" s="11"/>
      <c r="Q6299" s="8"/>
      <c r="R6299" s="6"/>
      <c r="S6299" s="3"/>
      <c r="T6299" s="3"/>
      <c r="U6299" s="7"/>
      <c r="V6299" s="436"/>
      <c r="W6299" s="6"/>
      <c r="X6299" s="8"/>
      <c r="Y6299" s="8"/>
      <c r="AH6299" s="59"/>
      <c r="AI6299" s="59"/>
      <c r="AJ6299" s="59"/>
    </row>
    <row r="6300" spans="1:36" s="2" customFormat="1" ht="12" customHeight="1">
      <c r="A6300" s="6"/>
      <c r="B6300" s="6"/>
      <c r="C6300" s="4"/>
      <c r="D6300" s="4"/>
      <c r="E6300" s="5"/>
      <c r="F6300" s="6"/>
      <c r="G6300" s="31"/>
      <c r="H6300" s="6"/>
      <c r="I6300" s="9"/>
      <c r="J6300" s="24"/>
      <c r="K6300" s="10"/>
      <c r="L6300" s="25"/>
      <c r="M6300" s="7"/>
      <c r="N6300" s="8"/>
      <c r="O6300" s="11"/>
      <c r="P6300" s="11"/>
      <c r="Q6300" s="8"/>
      <c r="R6300" s="6"/>
      <c r="S6300" s="3"/>
      <c r="T6300" s="3"/>
      <c r="U6300" s="7"/>
      <c r="V6300" s="436"/>
      <c r="W6300" s="6"/>
      <c r="X6300" s="8"/>
      <c r="Y6300" s="8"/>
      <c r="AH6300" s="59"/>
      <c r="AI6300" s="59"/>
      <c r="AJ6300" s="59"/>
    </row>
    <row r="6301" spans="1:36" s="2" customFormat="1" ht="12" customHeight="1">
      <c r="A6301" s="6"/>
      <c r="B6301" s="6"/>
      <c r="C6301" s="4"/>
      <c r="D6301" s="4"/>
      <c r="E6301" s="5"/>
      <c r="F6301" s="6"/>
      <c r="G6301" s="31"/>
      <c r="H6301" s="6"/>
      <c r="I6301" s="9"/>
      <c r="J6301" s="24"/>
      <c r="K6301" s="10"/>
      <c r="L6301" s="25"/>
      <c r="M6301" s="7"/>
      <c r="N6301" s="8"/>
      <c r="O6301" s="11"/>
      <c r="P6301" s="11"/>
      <c r="Q6301" s="8"/>
      <c r="R6301" s="6"/>
      <c r="S6301" s="3"/>
      <c r="T6301" s="3"/>
      <c r="U6301" s="7"/>
      <c r="V6301" s="445"/>
      <c r="W6301" s="6"/>
      <c r="X6301" s="8"/>
      <c r="Y6301" s="8"/>
      <c r="AH6301" s="59"/>
      <c r="AI6301" s="59"/>
      <c r="AJ6301" s="59"/>
    </row>
    <row r="6302" spans="1:36" s="2" customFormat="1" ht="12" customHeight="1">
      <c r="A6302" s="6"/>
      <c r="B6302" s="6"/>
      <c r="C6302" s="4"/>
      <c r="D6302" s="4"/>
      <c r="E6302" s="5"/>
      <c r="F6302" s="6"/>
      <c r="G6302" s="31"/>
      <c r="H6302" s="6"/>
      <c r="I6302" s="9"/>
      <c r="J6302" s="24"/>
      <c r="K6302" s="9"/>
      <c r="L6302" s="25"/>
      <c r="M6302" s="7"/>
      <c r="N6302" s="8"/>
      <c r="O6302" s="11"/>
      <c r="P6302" s="11"/>
      <c r="Q6302" s="8"/>
      <c r="R6302" s="6"/>
      <c r="S6302" s="3"/>
      <c r="T6302" s="3"/>
      <c r="U6302" s="7"/>
      <c r="V6302" s="445"/>
      <c r="W6302" s="6"/>
      <c r="X6302" s="8"/>
      <c r="Y6302" s="8"/>
      <c r="AH6302" s="59"/>
      <c r="AI6302" s="59"/>
      <c r="AJ6302" s="59"/>
    </row>
    <row r="6303" spans="1:36" s="2" customFormat="1" ht="12" customHeight="1">
      <c r="A6303" s="6"/>
      <c r="B6303" s="6"/>
      <c r="C6303" s="4"/>
      <c r="D6303" s="4"/>
      <c r="E6303" s="5"/>
      <c r="F6303" s="6"/>
      <c r="G6303" s="31"/>
      <c r="H6303" s="6"/>
      <c r="I6303" s="9"/>
      <c r="J6303" s="24"/>
      <c r="K6303" s="9"/>
      <c r="L6303" s="25"/>
      <c r="M6303" s="7"/>
      <c r="N6303" s="8"/>
      <c r="O6303" s="11"/>
      <c r="P6303" s="11"/>
      <c r="Q6303" s="8"/>
      <c r="R6303" s="6"/>
      <c r="S6303" s="3"/>
      <c r="T6303" s="3"/>
      <c r="U6303" s="7"/>
      <c r="V6303" s="436"/>
      <c r="W6303" s="6"/>
      <c r="X6303" s="8"/>
      <c r="Y6303" s="8"/>
      <c r="AH6303" s="59"/>
      <c r="AI6303" s="59"/>
      <c r="AJ6303" s="59"/>
    </row>
    <row r="6304" spans="1:36" s="2" customFormat="1" ht="12" customHeight="1">
      <c r="A6304" s="6"/>
      <c r="B6304" s="6"/>
      <c r="C6304" s="4"/>
      <c r="D6304" s="4"/>
      <c r="E6304" s="5"/>
      <c r="F6304" s="6"/>
      <c r="G6304" s="31"/>
      <c r="H6304" s="6"/>
      <c r="I6304" s="9"/>
      <c r="J6304" s="24"/>
      <c r="K6304" s="10"/>
      <c r="L6304" s="25"/>
      <c r="M6304" s="7"/>
      <c r="N6304" s="8"/>
      <c r="O6304" s="11"/>
      <c r="P6304" s="11"/>
      <c r="Q6304" s="8"/>
      <c r="R6304" s="6"/>
      <c r="S6304" s="3"/>
      <c r="T6304" s="3"/>
      <c r="U6304" s="7"/>
      <c r="V6304" s="436"/>
      <c r="W6304" s="6"/>
      <c r="X6304" s="8"/>
      <c r="Y6304" s="8"/>
      <c r="AH6304" s="59"/>
      <c r="AI6304" s="59"/>
      <c r="AJ6304" s="59"/>
    </row>
    <row r="6305" spans="1:36" s="2" customFormat="1" ht="12" customHeight="1">
      <c r="A6305" s="6"/>
      <c r="B6305" s="6"/>
      <c r="C6305" s="4"/>
      <c r="D6305" s="4"/>
      <c r="E6305" s="5"/>
      <c r="F6305" s="6"/>
      <c r="G6305" s="31"/>
      <c r="H6305" s="6"/>
      <c r="I6305" s="9"/>
      <c r="J6305" s="24"/>
      <c r="K6305" s="10"/>
      <c r="L6305" s="25"/>
      <c r="M6305" s="7"/>
      <c r="N6305" s="8"/>
      <c r="O6305" s="11"/>
      <c r="P6305" s="11"/>
      <c r="Q6305" s="8"/>
      <c r="R6305" s="6"/>
      <c r="S6305" s="3"/>
      <c r="T6305" s="3"/>
      <c r="U6305" s="7"/>
      <c r="V6305" s="436"/>
      <c r="W6305" s="6"/>
      <c r="X6305" s="8"/>
      <c r="Y6305" s="8"/>
      <c r="AH6305" s="59"/>
      <c r="AI6305" s="59"/>
      <c r="AJ6305" s="59"/>
    </row>
    <row r="6306" spans="1:36" s="2" customFormat="1" ht="12" customHeight="1">
      <c r="A6306" s="6"/>
      <c r="B6306" s="6"/>
      <c r="C6306" s="4"/>
      <c r="D6306" s="4"/>
      <c r="E6306" s="5"/>
      <c r="F6306" s="6"/>
      <c r="G6306" s="31"/>
      <c r="H6306" s="6"/>
      <c r="I6306" s="9"/>
      <c r="J6306" s="24"/>
      <c r="K6306" s="10"/>
      <c r="L6306" s="25"/>
      <c r="M6306" s="7"/>
      <c r="N6306" s="8"/>
      <c r="O6306" s="11"/>
      <c r="P6306" s="11"/>
      <c r="Q6306" s="8"/>
      <c r="R6306" s="6"/>
      <c r="S6306" s="3"/>
      <c r="T6306" s="3"/>
      <c r="U6306" s="7"/>
      <c r="V6306" s="436"/>
      <c r="W6306" s="6"/>
      <c r="X6306" s="8"/>
      <c r="Y6306" s="8"/>
      <c r="AH6306" s="59"/>
      <c r="AI6306" s="59"/>
      <c r="AJ6306" s="59"/>
    </row>
    <row r="6307" spans="1:36" s="2" customFormat="1" ht="12" customHeight="1">
      <c r="A6307" s="6"/>
      <c r="B6307" s="6"/>
      <c r="C6307" s="4"/>
      <c r="D6307" s="4"/>
      <c r="E6307" s="5"/>
      <c r="F6307" s="6"/>
      <c r="G6307" s="31"/>
      <c r="H6307" s="6"/>
      <c r="I6307" s="9"/>
      <c r="J6307" s="24"/>
      <c r="K6307" s="9"/>
      <c r="L6307" s="25"/>
      <c r="M6307" s="7"/>
      <c r="N6307" s="8"/>
      <c r="O6307" s="11"/>
      <c r="P6307" s="11"/>
      <c r="Q6307" s="8"/>
      <c r="R6307" s="6"/>
      <c r="S6307" s="3"/>
      <c r="T6307" s="3"/>
      <c r="U6307" s="7"/>
      <c r="V6307" s="436"/>
      <c r="W6307" s="6"/>
      <c r="X6307" s="8"/>
      <c r="Y6307" s="8"/>
      <c r="AH6307" s="59"/>
      <c r="AI6307" s="59"/>
      <c r="AJ6307" s="59"/>
    </row>
    <row r="6308" spans="1:36" s="2" customFormat="1" ht="12" customHeight="1">
      <c r="A6308" s="6"/>
      <c r="B6308" s="6"/>
      <c r="C6308" s="4"/>
      <c r="D6308" s="4"/>
      <c r="E6308" s="5"/>
      <c r="F6308" s="6"/>
      <c r="G6308" s="31"/>
      <c r="H6308" s="6"/>
      <c r="I6308" s="9"/>
      <c r="J6308" s="24"/>
      <c r="K6308" s="9"/>
      <c r="L6308" s="25"/>
      <c r="M6308" s="7"/>
      <c r="N6308" s="8"/>
      <c r="O6308" s="11"/>
      <c r="P6308" s="11"/>
      <c r="Q6308" s="8"/>
      <c r="R6308" s="6"/>
      <c r="S6308" s="3"/>
      <c r="T6308" s="3"/>
      <c r="U6308" s="7"/>
      <c r="V6308" s="436"/>
      <c r="W6308" s="6"/>
      <c r="X6308" s="8"/>
      <c r="Y6308" s="8"/>
      <c r="AH6308" s="59"/>
      <c r="AI6308" s="59"/>
      <c r="AJ6308" s="59"/>
    </row>
    <row r="6309" spans="1:36" s="2" customFormat="1" ht="12" customHeight="1">
      <c r="A6309" s="6"/>
      <c r="B6309" s="6"/>
      <c r="C6309" s="4"/>
      <c r="D6309" s="4"/>
      <c r="E6309" s="5"/>
      <c r="F6309" s="6"/>
      <c r="G6309" s="31"/>
      <c r="H6309" s="6"/>
      <c r="I6309" s="9"/>
      <c r="J6309" s="24"/>
      <c r="K6309" s="10"/>
      <c r="L6309" s="25"/>
      <c r="M6309" s="7"/>
      <c r="N6309" s="8"/>
      <c r="O6309" s="11"/>
      <c r="P6309" s="11"/>
      <c r="Q6309" s="8"/>
      <c r="R6309" s="6"/>
      <c r="S6309" s="3"/>
      <c r="T6309" s="3"/>
      <c r="U6309" s="7"/>
      <c r="V6309" s="436"/>
      <c r="W6309" s="6"/>
      <c r="X6309" s="8"/>
      <c r="Y6309" s="8"/>
      <c r="AH6309" s="59"/>
      <c r="AI6309" s="59"/>
      <c r="AJ6309" s="59"/>
    </row>
    <row r="6310" spans="1:36" s="2" customFormat="1" ht="12" customHeight="1">
      <c r="A6310" s="6"/>
      <c r="B6310" s="6"/>
      <c r="C6310" s="4"/>
      <c r="D6310" s="4"/>
      <c r="E6310" s="5"/>
      <c r="F6310" s="6"/>
      <c r="G6310" s="31"/>
      <c r="H6310" s="6"/>
      <c r="I6310" s="9"/>
      <c r="J6310" s="24"/>
      <c r="K6310" s="10"/>
      <c r="L6310" s="25"/>
      <c r="M6310" s="7"/>
      <c r="N6310" s="8"/>
      <c r="O6310" s="11"/>
      <c r="P6310" s="11"/>
      <c r="Q6310" s="8"/>
      <c r="R6310" s="6"/>
      <c r="S6310" s="3"/>
      <c r="T6310" s="3"/>
      <c r="U6310" s="7"/>
      <c r="V6310" s="436"/>
      <c r="W6310" s="6"/>
      <c r="X6310" s="8"/>
      <c r="Y6310" s="8"/>
      <c r="AH6310" s="59"/>
      <c r="AI6310" s="59"/>
      <c r="AJ6310" s="59"/>
    </row>
    <row r="6311" spans="1:36" s="2" customFormat="1" ht="12" customHeight="1">
      <c r="A6311" s="6"/>
      <c r="B6311" s="6"/>
      <c r="C6311" s="4"/>
      <c r="D6311" s="4"/>
      <c r="E6311" s="5"/>
      <c r="F6311" s="6"/>
      <c r="G6311" s="31"/>
      <c r="H6311" s="6"/>
      <c r="I6311" s="9"/>
      <c r="J6311" s="24"/>
      <c r="K6311" s="9"/>
      <c r="L6311" s="25"/>
      <c r="M6311" s="7"/>
      <c r="N6311" s="8"/>
      <c r="O6311" s="11"/>
      <c r="P6311" s="11"/>
      <c r="Q6311" s="8"/>
      <c r="R6311" s="6"/>
      <c r="S6311" s="3"/>
      <c r="T6311" s="3"/>
      <c r="U6311" s="7"/>
      <c r="V6311" s="436"/>
      <c r="W6311" s="6"/>
      <c r="X6311" s="8"/>
      <c r="Y6311" s="8"/>
      <c r="AH6311" s="59"/>
      <c r="AI6311" s="59"/>
      <c r="AJ6311" s="59"/>
    </row>
    <row r="6312" spans="1:36" ht="12" customHeight="1">
      <c r="C6312" s="4"/>
      <c r="D6312" s="4"/>
      <c r="E6312" s="5"/>
      <c r="F6312" s="6"/>
      <c r="G6312" s="31"/>
      <c r="H6312" s="6"/>
      <c r="I6312" s="9"/>
      <c r="J6312" s="24"/>
      <c r="K6312" s="9"/>
      <c r="L6312" s="25"/>
      <c r="M6312" s="47"/>
      <c r="N6312" s="8"/>
      <c r="O6312" s="11"/>
      <c r="P6312" s="11"/>
      <c r="Q6312" s="8"/>
      <c r="R6312" s="6"/>
      <c r="S6312" s="3"/>
      <c r="T6312" s="3"/>
      <c r="U6312" s="7"/>
      <c r="V6312" s="436"/>
      <c r="W6312" s="6"/>
      <c r="X6312" s="8"/>
      <c r="Y6312" s="8"/>
    </row>
    <row r="6313" spans="1:36" ht="12" customHeight="1">
      <c r="C6313" s="4"/>
      <c r="D6313" s="4"/>
      <c r="E6313" s="5"/>
      <c r="F6313" s="6"/>
      <c r="G6313" s="31"/>
      <c r="H6313" s="6"/>
      <c r="I6313" s="9"/>
      <c r="J6313" s="24"/>
      <c r="K6313" s="25"/>
      <c r="L6313" s="25"/>
      <c r="M6313" s="7"/>
      <c r="N6313" s="8"/>
      <c r="O6313" s="11"/>
      <c r="P6313" s="11"/>
      <c r="Q6313" s="8"/>
      <c r="R6313" s="6"/>
      <c r="S6313" s="3"/>
      <c r="T6313" s="3"/>
      <c r="U6313" s="7"/>
      <c r="V6313" s="436"/>
      <c r="W6313" s="6"/>
      <c r="X6313" s="8"/>
      <c r="Y6313" s="8"/>
    </row>
    <row r="6314" spans="1:36" ht="12" customHeight="1">
      <c r="C6314" s="4"/>
      <c r="D6314" s="4"/>
      <c r="E6314" s="5"/>
      <c r="F6314" s="6"/>
      <c r="G6314" s="31"/>
      <c r="H6314" s="6"/>
      <c r="I6314" s="9"/>
      <c r="J6314" s="24"/>
      <c r="K6314" s="25"/>
      <c r="L6314" s="25"/>
      <c r="M6314" s="7"/>
      <c r="N6314" s="8"/>
      <c r="O6314" s="11"/>
      <c r="P6314" s="11"/>
      <c r="Q6314" s="8"/>
      <c r="R6314" s="6"/>
      <c r="S6314" s="3"/>
      <c r="T6314" s="3"/>
      <c r="U6314" s="7"/>
      <c r="V6314" s="436"/>
      <c r="W6314" s="6"/>
      <c r="X6314" s="8"/>
      <c r="Y6314" s="8"/>
    </row>
    <row r="6315" spans="1:36">
      <c r="C6315" s="4"/>
      <c r="D6315" s="4"/>
      <c r="E6315" s="5"/>
      <c r="F6315" s="6"/>
      <c r="G6315" s="31"/>
      <c r="H6315" s="6"/>
      <c r="I6315" s="9"/>
      <c r="J6315" s="24"/>
      <c r="K6315" s="25"/>
      <c r="L6315" s="25"/>
      <c r="M6315" s="7"/>
      <c r="N6315" s="8"/>
      <c r="O6315" s="11"/>
      <c r="P6315" s="11"/>
      <c r="Q6315" s="8"/>
      <c r="R6315" s="6"/>
      <c r="S6315" s="3"/>
      <c r="T6315" s="3"/>
      <c r="U6315" s="7"/>
      <c r="V6315" s="436"/>
      <c r="W6315" s="6"/>
      <c r="X6315" s="8"/>
      <c r="Y6315" s="8"/>
    </row>
    <row r="6316" spans="1:36">
      <c r="C6316" s="4"/>
      <c r="D6316" s="4"/>
      <c r="E6316" s="5"/>
      <c r="F6316" s="6"/>
      <c r="G6316" s="31"/>
      <c r="H6316" s="6"/>
      <c r="I6316" s="9"/>
      <c r="J6316" s="24"/>
      <c r="K6316" s="9"/>
      <c r="L6316" s="25"/>
      <c r="M6316" s="7"/>
      <c r="N6316" s="8"/>
      <c r="O6316" s="11"/>
      <c r="P6316" s="11"/>
      <c r="Q6316" s="8"/>
      <c r="R6316" s="6"/>
      <c r="S6316" s="3"/>
      <c r="T6316" s="3"/>
      <c r="U6316" s="7"/>
      <c r="V6316" s="436"/>
      <c r="W6316" s="6"/>
      <c r="X6316" s="8"/>
      <c r="Y6316" s="8"/>
    </row>
    <row r="6317" spans="1:36">
      <c r="C6317" s="4"/>
      <c r="D6317" s="4"/>
      <c r="E6317" s="5"/>
      <c r="F6317" s="6"/>
      <c r="G6317" s="31"/>
      <c r="H6317" s="6"/>
      <c r="I6317" s="9"/>
      <c r="J6317" s="24"/>
      <c r="K6317" s="9"/>
      <c r="L6317" s="25"/>
      <c r="M6317" s="7"/>
      <c r="N6317" s="8"/>
      <c r="O6317" s="11"/>
      <c r="P6317" s="11"/>
      <c r="Q6317" s="8"/>
      <c r="R6317" s="6"/>
      <c r="S6317" s="3"/>
      <c r="T6317" s="3"/>
      <c r="U6317" s="7"/>
      <c r="V6317" s="436"/>
      <c r="W6317" s="6"/>
      <c r="X6317" s="8"/>
      <c r="Y6317" s="8"/>
    </row>
    <row r="6318" spans="1:36">
      <c r="C6318" s="4"/>
      <c r="D6318" s="4"/>
      <c r="E6318" s="5"/>
      <c r="F6318" s="6"/>
      <c r="G6318" s="31"/>
      <c r="H6318" s="6"/>
      <c r="I6318" s="9"/>
      <c r="J6318" s="24"/>
      <c r="K6318" s="9"/>
      <c r="L6318" s="25"/>
      <c r="M6318" s="7"/>
      <c r="N6318" s="8"/>
      <c r="O6318" s="11"/>
      <c r="P6318" s="11"/>
      <c r="Q6318" s="8"/>
      <c r="R6318" s="6"/>
      <c r="S6318" s="3"/>
      <c r="T6318" s="3"/>
      <c r="U6318" s="7"/>
      <c r="V6318" s="436"/>
      <c r="W6318" s="6"/>
      <c r="X6318" s="8"/>
      <c r="Y6318" s="8"/>
    </row>
    <row r="6319" spans="1:36">
      <c r="C6319" s="4"/>
      <c r="D6319" s="4"/>
      <c r="E6319" s="5"/>
      <c r="F6319" s="6"/>
      <c r="G6319" s="31"/>
      <c r="H6319" s="6"/>
      <c r="I6319" s="9"/>
      <c r="J6319" s="24"/>
      <c r="K6319" s="9"/>
      <c r="L6319" s="25"/>
      <c r="M6319" s="7"/>
      <c r="N6319" s="8"/>
      <c r="O6319" s="11"/>
      <c r="P6319" s="11"/>
      <c r="Q6319" s="8"/>
      <c r="R6319" s="6"/>
      <c r="S6319" s="3"/>
      <c r="T6319" s="3"/>
      <c r="U6319" s="7"/>
      <c r="V6319" s="436"/>
      <c r="W6319" s="6"/>
      <c r="X6319" s="8"/>
      <c r="Y6319" s="8"/>
    </row>
    <row r="6320" spans="1:36">
      <c r="C6320" s="4"/>
      <c r="D6320" s="4"/>
      <c r="E6320" s="5"/>
      <c r="F6320" s="6"/>
      <c r="G6320" s="31"/>
      <c r="H6320" s="6"/>
      <c r="I6320" s="9"/>
      <c r="J6320" s="24"/>
      <c r="K6320" s="9"/>
      <c r="L6320" s="25"/>
      <c r="M6320" s="7"/>
      <c r="N6320" s="8"/>
      <c r="O6320" s="11"/>
      <c r="P6320" s="11"/>
      <c r="Q6320" s="8"/>
      <c r="R6320" s="6"/>
      <c r="S6320" s="3"/>
      <c r="T6320" s="3"/>
      <c r="U6320" s="7"/>
      <c r="V6320" s="436"/>
      <c r="W6320" s="6"/>
      <c r="X6320" s="8"/>
      <c r="Y6320" s="8"/>
    </row>
    <row r="6321" spans="3:25">
      <c r="C6321" s="4"/>
      <c r="D6321" s="4"/>
      <c r="E6321" s="5"/>
      <c r="F6321" s="6"/>
      <c r="G6321" s="31"/>
      <c r="H6321" s="6"/>
      <c r="I6321" s="9"/>
      <c r="J6321" s="24"/>
      <c r="K6321" s="10"/>
      <c r="L6321" s="25"/>
      <c r="M6321" s="7"/>
      <c r="N6321" s="8"/>
      <c r="O6321" s="11"/>
      <c r="P6321" s="11"/>
      <c r="Q6321" s="8"/>
      <c r="R6321" s="6"/>
      <c r="S6321" s="3"/>
      <c r="T6321" s="3"/>
      <c r="U6321" s="7"/>
      <c r="V6321" s="436"/>
      <c r="W6321" s="6"/>
      <c r="X6321" s="8"/>
      <c r="Y6321" s="8"/>
    </row>
    <row r="6322" spans="3:25">
      <c r="C6322" s="4"/>
      <c r="D6322" s="4"/>
      <c r="E6322" s="5"/>
      <c r="F6322" s="6"/>
      <c r="G6322" s="31"/>
      <c r="H6322" s="6"/>
      <c r="I6322" s="9"/>
      <c r="J6322" s="24"/>
      <c r="K6322" s="10"/>
      <c r="L6322" s="25"/>
      <c r="M6322" s="7"/>
      <c r="N6322" s="8"/>
      <c r="O6322" s="11"/>
      <c r="P6322" s="11"/>
      <c r="Q6322" s="8"/>
      <c r="R6322" s="6"/>
      <c r="S6322" s="3"/>
      <c r="T6322" s="3"/>
      <c r="U6322" s="7"/>
      <c r="V6322" s="436"/>
      <c r="W6322" s="6"/>
      <c r="X6322" s="8"/>
      <c r="Y6322" s="8"/>
    </row>
    <row r="6323" spans="3:25">
      <c r="C6323" s="4"/>
      <c r="D6323" s="4"/>
      <c r="E6323" s="5"/>
      <c r="F6323" s="6"/>
      <c r="G6323" s="31"/>
      <c r="H6323" s="6"/>
      <c r="I6323" s="9"/>
      <c r="J6323" s="24"/>
      <c r="K6323" s="9"/>
      <c r="L6323" s="25"/>
      <c r="M6323" s="7"/>
      <c r="N6323" s="8"/>
      <c r="O6323" s="11"/>
      <c r="P6323" s="11"/>
      <c r="Q6323" s="8"/>
      <c r="R6323" s="6"/>
      <c r="S6323" s="3"/>
      <c r="T6323" s="3"/>
      <c r="U6323" s="7"/>
      <c r="V6323" s="436"/>
      <c r="W6323" s="6"/>
      <c r="X6323" s="8"/>
      <c r="Y6323" s="8"/>
    </row>
    <row r="6324" spans="3:25">
      <c r="C6324" s="4"/>
      <c r="D6324" s="4"/>
      <c r="E6324" s="5"/>
      <c r="F6324" s="6"/>
      <c r="G6324" s="31"/>
      <c r="H6324" s="6"/>
      <c r="I6324" s="9"/>
      <c r="J6324" s="24"/>
      <c r="K6324" s="9"/>
      <c r="L6324" s="25"/>
      <c r="M6324" s="7"/>
      <c r="N6324" s="8"/>
      <c r="O6324" s="11"/>
      <c r="P6324" s="11"/>
      <c r="Q6324" s="8"/>
      <c r="R6324" s="6"/>
      <c r="S6324" s="3"/>
      <c r="T6324" s="3"/>
      <c r="U6324" s="7"/>
      <c r="V6324" s="436"/>
      <c r="W6324" s="6"/>
      <c r="X6324" s="8"/>
      <c r="Y6324" s="8"/>
    </row>
    <row r="6325" spans="3:25">
      <c r="C6325" s="4"/>
      <c r="D6325" s="4"/>
      <c r="E6325" s="5"/>
      <c r="F6325" s="6"/>
      <c r="G6325" s="31"/>
      <c r="H6325" s="6"/>
      <c r="I6325" s="9"/>
      <c r="J6325" s="24"/>
      <c r="K6325" s="10"/>
      <c r="L6325" s="25"/>
      <c r="M6325" s="7"/>
      <c r="N6325" s="8"/>
      <c r="O6325" s="11"/>
      <c r="P6325" s="11"/>
      <c r="Q6325" s="8"/>
      <c r="R6325" s="6"/>
      <c r="S6325" s="3"/>
      <c r="T6325" s="3"/>
      <c r="U6325" s="7"/>
      <c r="V6325" s="436"/>
      <c r="W6325" s="6"/>
      <c r="X6325" s="8"/>
      <c r="Y6325" s="8"/>
    </row>
    <row r="6326" spans="3:25">
      <c r="C6326" s="4"/>
      <c r="D6326" s="4"/>
      <c r="E6326" s="5"/>
      <c r="F6326" s="6"/>
      <c r="G6326" s="31"/>
      <c r="H6326" s="6"/>
      <c r="I6326" s="9"/>
      <c r="J6326" s="24"/>
      <c r="K6326" s="9"/>
      <c r="L6326" s="25"/>
      <c r="M6326" s="7"/>
      <c r="N6326" s="8"/>
      <c r="O6326" s="11"/>
      <c r="P6326" s="11"/>
      <c r="Q6326" s="8"/>
      <c r="R6326" s="6"/>
      <c r="S6326" s="3"/>
      <c r="T6326" s="3"/>
      <c r="U6326" s="7"/>
      <c r="V6326" s="436"/>
      <c r="W6326" s="6"/>
      <c r="X6326" s="8"/>
      <c r="Y6326" s="8"/>
    </row>
    <row r="6327" spans="3:25">
      <c r="C6327" s="4"/>
      <c r="D6327" s="4"/>
      <c r="E6327" s="5"/>
      <c r="F6327" s="6"/>
      <c r="G6327" s="31"/>
      <c r="H6327" s="6"/>
      <c r="I6327" s="9"/>
      <c r="J6327" s="24"/>
      <c r="K6327" s="10"/>
      <c r="L6327" s="25"/>
      <c r="M6327" s="7"/>
      <c r="N6327" s="8"/>
      <c r="O6327" s="11"/>
      <c r="P6327" s="11"/>
      <c r="Q6327" s="8"/>
      <c r="R6327" s="6"/>
      <c r="S6327" s="3"/>
      <c r="T6327" s="3"/>
      <c r="U6327" s="7"/>
      <c r="V6327" s="436"/>
      <c r="W6327" s="6"/>
      <c r="X6327" s="8"/>
      <c r="Y6327" s="8"/>
    </row>
    <row r="6328" spans="3:25">
      <c r="C6328" s="4"/>
      <c r="D6328" s="4"/>
      <c r="E6328" s="5"/>
      <c r="F6328" s="6"/>
      <c r="G6328" s="31"/>
      <c r="H6328" s="6"/>
      <c r="I6328" s="9"/>
      <c r="J6328" s="24"/>
      <c r="K6328" s="10"/>
      <c r="L6328" s="25"/>
      <c r="M6328" s="7"/>
      <c r="N6328" s="8"/>
      <c r="O6328" s="11"/>
      <c r="P6328" s="11"/>
      <c r="Q6328" s="8"/>
      <c r="R6328" s="6"/>
      <c r="S6328" s="3"/>
      <c r="T6328" s="3"/>
      <c r="U6328" s="7"/>
      <c r="V6328" s="436"/>
      <c r="W6328" s="6"/>
      <c r="X6328" s="8"/>
      <c r="Y6328" s="8"/>
    </row>
    <row r="6329" spans="3:25">
      <c r="C6329" s="4"/>
      <c r="D6329" s="4"/>
      <c r="E6329" s="5"/>
      <c r="F6329" s="6"/>
      <c r="G6329" s="31"/>
      <c r="H6329" s="6"/>
      <c r="I6329" s="9"/>
      <c r="J6329" s="24"/>
      <c r="K6329" s="10"/>
      <c r="L6329" s="25"/>
      <c r="M6329" s="7"/>
      <c r="N6329" s="8"/>
      <c r="O6329" s="11"/>
      <c r="P6329" s="11"/>
      <c r="Q6329" s="8"/>
      <c r="R6329" s="6"/>
      <c r="S6329" s="3"/>
      <c r="T6329" s="3"/>
      <c r="U6329" s="7"/>
      <c r="V6329" s="436"/>
      <c r="W6329" s="6"/>
      <c r="X6329" s="8"/>
      <c r="Y6329" s="8"/>
    </row>
    <row r="6330" spans="3:25">
      <c r="C6330" s="4"/>
      <c r="D6330" s="4"/>
      <c r="E6330" s="5"/>
      <c r="F6330" s="6"/>
      <c r="G6330" s="31"/>
      <c r="H6330" s="6"/>
      <c r="I6330" s="9"/>
      <c r="J6330" s="24"/>
      <c r="K6330" s="10"/>
      <c r="L6330" s="25"/>
      <c r="M6330" s="7"/>
      <c r="N6330" s="8"/>
      <c r="O6330" s="11"/>
      <c r="P6330" s="11"/>
      <c r="Q6330" s="8"/>
      <c r="R6330" s="6"/>
      <c r="S6330" s="3"/>
      <c r="T6330" s="3"/>
      <c r="U6330" s="7"/>
      <c r="V6330" s="436"/>
      <c r="W6330" s="6"/>
      <c r="X6330" s="8"/>
      <c r="Y6330" s="8"/>
    </row>
    <row r="6331" spans="3:25">
      <c r="C6331" s="4"/>
      <c r="D6331" s="4"/>
      <c r="E6331" s="5"/>
      <c r="F6331" s="6"/>
      <c r="G6331" s="31"/>
      <c r="H6331" s="6"/>
      <c r="I6331" s="9"/>
      <c r="J6331" s="24"/>
      <c r="K6331" s="10"/>
      <c r="L6331" s="25"/>
      <c r="M6331" s="7"/>
      <c r="N6331" s="8"/>
      <c r="O6331" s="11"/>
      <c r="P6331" s="11"/>
      <c r="Q6331" s="8"/>
      <c r="R6331" s="6"/>
      <c r="S6331" s="3"/>
      <c r="T6331" s="3"/>
      <c r="U6331" s="7"/>
      <c r="V6331" s="436"/>
      <c r="W6331" s="6"/>
      <c r="X6331" s="8"/>
      <c r="Y6331" s="8"/>
    </row>
    <row r="6332" spans="3:25">
      <c r="C6332" s="4"/>
      <c r="D6332" s="4"/>
      <c r="E6332" s="5"/>
      <c r="F6332" s="6"/>
      <c r="G6332" s="31"/>
      <c r="H6332" s="6"/>
      <c r="I6332" s="9"/>
      <c r="J6332" s="24"/>
      <c r="K6332" s="10"/>
      <c r="L6332" s="25"/>
      <c r="M6332" s="47"/>
      <c r="N6332" s="8"/>
      <c r="O6332" s="11"/>
      <c r="P6332" s="11"/>
      <c r="Q6332" s="8"/>
      <c r="R6332" s="6"/>
      <c r="S6332" s="3"/>
      <c r="T6332" s="3"/>
      <c r="U6332" s="7"/>
      <c r="V6332" s="436"/>
      <c r="W6332" s="6"/>
      <c r="X6332" s="8"/>
      <c r="Y6332" s="8"/>
    </row>
    <row r="6333" spans="3:25">
      <c r="C6333" s="4"/>
      <c r="D6333" s="4"/>
      <c r="E6333" s="5"/>
      <c r="F6333" s="6"/>
      <c r="G6333" s="31"/>
      <c r="H6333" s="6"/>
      <c r="I6333" s="9"/>
      <c r="J6333" s="24"/>
      <c r="K6333" s="10"/>
      <c r="L6333" s="25"/>
      <c r="M6333" s="7"/>
      <c r="N6333" s="8"/>
      <c r="O6333" s="11"/>
      <c r="P6333" s="11"/>
      <c r="Q6333" s="8"/>
      <c r="R6333" s="6"/>
      <c r="S6333" s="3"/>
      <c r="T6333" s="3"/>
      <c r="U6333" s="7"/>
      <c r="V6333" s="436"/>
      <c r="W6333" s="6"/>
      <c r="X6333" s="8"/>
      <c r="Y6333" s="8"/>
    </row>
    <row r="6334" spans="3:25">
      <c r="C6334" s="4"/>
      <c r="D6334" s="4"/>
      <c r="E6334" s="5"/>
      <c r="F6334" s="6"/>
      <c r="G6334" s="31"/>
      <c r="H6334" s="6"/>
      <c r="I6334" s="9"/>
      <c r="J6334" s="24"/>
      <c r="K6334" s="10"/>
      <c r="L6334" s="25"/>
      <c r="M6334" s="7"/>
      <c r="N6334" s="8"/>
      <c r="O6334" s="11"/>
      <c r="P6334" s="11"/>
      <c r="Q6334" s="8"/>
      <c r="R6334" s="6"/>
      <c r="S6334" s="3"/>
      <c r="T6334" s="3"/>
      <c r="U6334" s="7"/>
      <c r="V6334" s="436"/>
      <c r="W6334" s="6"/>
      <c r="X6334" s="8"/>
      <c r="Y6334" s="8"/>
    </row>
    <row r="6335" spans="3:25">
      <c r="C6335" s="4"/>
      <c r="D6335" s="4"/>
      <c r="E6335" s="5"/>
      <c r="F6335" s="6"/>
      <c r="G6335" s="31"/>
      <c r="H6335" s="6"/>
      <c r="I6335" s="9"/>
      <c r="J6335" s="24"/>
      <c r="K6335" s="10"/>
      <c r="L6335" s="25"/>
      <c r="M6335" s="47"/>
      <c r="N6335" s="8"/>
      <c r="O6335" s="11"/>
      <c r="P6335" s="11"/>
      <c r="Q6335" s="8"/>
      <c r="R6335" s="6"/>
      <c r="S6335" s="3"/>
      <c r="T6335" s="3"/>
      <c r="U6335" s="7"/>
      <c r="V6335" s="436"/>
      <c r="W6335" s="6"/>
      <c r="X6335" s="8"/>
      <c r="Y6335" s="8"/>
    </row>
    <row r="6336" spans="3:25">
      <c r="C6336" s="4"/>
      <c r="D6336" s="4"/>
      <c r="E6336" s="5"/>
      <c r="F6336" s="6"/>
      <c r="G6336" s="31"/>
      <c r="H6336" s="6"/>
      <c r="I6336" s="9"/>
      <c r="J6336" s="24"/>
      <c r="K6336" s="10"/>
      <c r="L6336" s="25"/>
      <c r="M6336" s="47"/>
      <c r="N6336" s="8"/>
      <c r="O6336" s="11"/>
      <c r="P6336" s="11"/>
      <c r="Q6336" s="8"/>
      <c r="R6336" s="6"/>
      <c r="S6336" s="3"/>
      <c r="T6336" s="3"/>
      <c r="U6336" s="7"/>
      <c r="V6336" s="436"/>
      <c r="W6336" s="6"/>
      <c r="X6336" s="8"/>
      <c r="Y6336" s="8"/>
    </row>
    <row r="6337" spans="3:25">
      <c r="C6337" s="4"/>
      <c r="D6337" s="4"/>
      <c r="E6337" s="5"/>
      <c r="F6337" s="6"/>
      <c r="G6337" s="31"/>
      <c r="H6337" s="6"/>
      <c r="I6337" s="9"/>
      <c r="J6337" s="24"/>
      <c r="K6337" s="10"/>
      <c r="L6337" s="25"/>
      <c r="M6337" s="47"/>
      <c r="N6337" s="8"/>
      <c r="O6337" s="11"/>
      <c r="P6337" s="11"/>
      <c r="Q6337" s="8"/>
      <c r="R6337" s="6"/>
      <c r="S6337" s="3"/>
      <c r="T6337" s="3"/>
      <c r="U6337" s="7"/>
      <c r="V6337" s="436"/>
      <c r="W6337" s="6"/>
      <c r="X6337" s="8"/>
      <c r="Y6337" s="8"/>
    </row>
    <row r="6338" spans="3:25">
      <c r="C6338" s="4"/>
      <c r="D6338" s="4"/>
      <c r="E6338" s="5"/>
      <c r="F6338" s="6"/>
      <c r="G6338" s="31"/>
      <c r="H6338" s="6"/>
      <c r="I6338" s="9"/>
      <c r="J6338" s="24"/>
      <c r="K6338" s="10"/>
      <c r="L6338" s="25"/>
      <c r="M6338" s="7"/>
      <c r="N6338" s="8"/>
      <c r="O6338" s="11"/>
      <c r="P6338" s="11"/>
      <c r="Q6338" s="8"/>
      <c r="R6338" s="6"/>
      <c r="S6338" s="3"/>
      <c r="T6338" s="3"/>
      <c r="U6338" s="7"/>
      <c r="V6338" s="436"/>
      <c r="W6338" s="6"/>
      <c r="X6338" s="8"/>
      <c r="Y6338" s="8"/>
    </row>
    <row r="6339" spans="3:25">
      <c r="C6339" s="4"/>
      <c r="D6339" s="4"/>
      <c r="E6339" s="5"/>
      <c r="F6339" s="6"/>
      <c r="G6339" s="31"/>
      <c r="H6339" s="6"/>
      <c r="I6339" s="9"/>
      <c r="J6339" s="24"/>
      <c r="K6339" s="10"/>
      <c r="L6339" s="25"/>
      <c r="M6339" s="7"/>
      <c r="N6339" s="8"/>
      <c r="O6339" s="11"/>
      <c r="P6339" s="11"/>
      <c r="Q6339" s="8"/>
      <c r="R6339" s="6"/>
      <c r="S6339" s="3"/>
      <c r="T6339" s="3"/>
      <c r="U6339" s="7"/>
      <c r="V6339" s="436"/>
      <c r="W6339" s="6"/>
      <c r="X6339" s="8"/>
      <c r="Y6339" s="8"/>
    </row>
    <row r="6340" spans="3:25">
      <c r="C6340" s="4"/>
      <c r="D6340" s="4"/>
      <c r="E6340" s="5"/>
      <c r="F6340" s="6"/>
      <c r="G6340" s="31"/>
      <c r="H6340" s="6"/>
      <c r="I6340" s="9"/>
      <c r="J6340" s="24"/>
      <c r="K6340" s="10"/>
      <c r="L6340" s="25"/>
      <c r="M6340" s="7"/>
      <c r="N6340" s="8"/>
      <c r="O6340" s="11"/>
      <c r="P6340" s="11"/>
      <c r="Q6340" s="8"/>
      <c r="R6340" s="6"/>
      <c r="S6340" s="3"/>
      <c r="T6340" s="3"/>
      <c r="U6340" s="7"/>
      <c r="V6340" s="436"/>
      <c r="W6340" s="6"/>
      <c r="X6340" s="8"/>
      <c r="Y6340" s="8"/>
    </row>
    <row r="6341" spans="3:25">
      <c r="C6341" s="4"/>
      <c r="D6341" s="4"/>
      <c r="E6341" s="5"/>
      <c r="F6341" s="6"/>
      <c r="G6341" s="31"/>
      <c r="H6341" s="6"/>
      <c r="I6341" s="9"/>
      <c r="J6341" s="24"/>
      <c r="K6341" s="10"/>
      <c r="L6341" s="25"/>
      <c r="M6341" s="7"/>
      <c r="N6341" s="8"/>
      <c r="O6341" s="11"/>
      <c r="P6341" s="11"/>
      <c r="Q6341" s="8"/>
      <c r="R6341" s="6"/>
      <c r="S6341" s="3"/>
      <c r="T6341" s="3"/>
      <c r="U6341" s="7"/>
      <c r="V6341" s="436"/>
      <c r="W6341" s="6"/>
      <c r="X6341" s="8"/>
      <c r="Y6341" s="8"/>
    </row>
    <row r="6342" spans="3:25">
      <c r="C6342" s="4"/>
      <c r="D6342" s="4"/>
      <c r="E6342" s="5"/>
      <c r="F6342" s="6"/>
      <c r="G6342" s="31"/>
      <c r="H6342" s="6"/>
      <c r="I6342" s="9"/>
      <c r="J6342" s="24"/>
      <c r="K6342" s="10"/>
      <c r="L6342" s="25"/>
      <c r="M6342" s="47"/>
      <c r="N6342" s="8"/>
      <c r="O6342" s="11"/>
      <c r="P6342" s="11"/>
      <c r="Q6342" s="8"/>
      <c r="R6342" s="6"/>
      <c r="S6342" s="3"/>
      <c r="T6342" s="3"/>
      <c r="U6342" s="7"/>
      <c r="V6342" s="436"/>
      <c r="W6342" s="6"/>
      <c r="X6342" s="8"/>
      <c r="Y6342" s="8"/>
    </row>
    <row r="6343" spans="3:25">
      <c r="C6343" s="4"/>
      <c r="D6343" s="4"/>
      <c r="E6343" s="5"/>
      <c r="F6343" s="6"/>
      <c r="G6343" s="31"/>
      <c r="H6343" s="6"/>
      <c r="I6343" s="9"/>
      <c r="J6343" s="24"/>
      <c r="K6343" s="10"/>
      <c r="L6343" s="25"/>
      <c r="M6343" s="47"/>
      <c r="N6343" s="8"/>
      <c r="O6343" s="11"/>
      <c r="P6343" s="11"/>
      <c r="Q6343" s="8"/>
      <c r="R6343" s="6"/>
      <c r="S6343" s="3"/>
      <c r="T6343" s="3"/>
      <c r="U6343" s="7"/>
      <c r="V6343" s="436"/>
      <c r="W6343" s="6"/>
      <c r="X6343" s="8"/>
      <c r="Y6343" s="8"/>
    </row>
    <row r="6344" spans="3:25">
      <c r="C6344" s="4"/>
      <c r="D6344" s="4"/>
      <c r="E6344" s="5"/>
      <c r="F6344" s="6"/>
      <c r="G6344" s="31"/>
      <c r="H6344" s="6"/>
      <c r="I6344" s="9"/>
      <c r="J6344" s="24"/>
      <c r="K6344" s="10"/>
      <c r="L6344" s="25"/>
      <c r="M6344" s="25"/>
      <c r="N6344" s="8"/>
      <c r="O6344" s="11"/>
      <c r="P6344" s="11"/>
      <c r="Q6344" s="8"/>
      <c r="R6344" s="6"/>
      <c r="S6344" s="3"/>
      <c r="T6344" s="3"/>
      <c r="U6344" s="7"/>
      <c r="V6344" s="436"/>
      <c r="W6344" s="6"/>
      <c r="X6344" s="8"/>
      <c r="Y6344" s="8"/>
    </row>
    <row r="6345" spans="3:25">
      <c r="C6345" s="4"/>
      <c r="D6345" s="4"/>
      <c r="E6345" s="5"/>
      <c r="F6345" s="6"/>
      <c r="G6345" s="31"/>
      <c r="H6345" s="6"/>
      <c r="I6345" s="9"/>
      <c r="J6345" s="24"/>
      <c r="K6345" s="10"/>
      <c r="L6345" s="25"/>
      <c r="M6345" s="25"/>
      <c r="N6345" s="8"/>
      <c r="O6345" s="11"/>
      <c r="P6345" s="11"/>
      <c r="Q6345" s="8"/>
      <c r="R6345" s="6"/>
      <c r="S6345" s="3"/>
      <c r="T6345" s="3"/>
      <c r="U6345" s="7"/>
      <c r="V6345" s="436"/>
      <c r="W6345" s="6"/>
      <c r="X6345" s="8"/>
      <c r="Y6345" s="8"/>
    </row>
    <row r="6346" spans="3:25">
      <c r="C6346" s="4"/>
      <c r="D6346" s="4"/>
      <c r="E6346" s="5"/>
      <c r="F6346" s="6"/>
      <c r="G6346" s="31"/>
      <c r="H6346" s="6"/>
      <c r="I6346" s="9"/>
      <c r="J6346" s="24"/>
      <c r="K6346" s="10"/>
      <c r="L6346" s="25"/>
      <c r="M6346" s="25"/>
      <c r="N6346" s="8"/>
      <c r="O6346" s="11"/>
      <c r="P6346" s="11"/>
      <c r="Q6346" s="8"/>
      <c r="R6346" s="6"/>
      <c r="S6346" s="3"/>
      <c r="T6346" s="3"/>
      <c r="U6346" s="7"/>
      <c r="V6346" s="436"/>
      <c r="W6346" s="6"/>
      <c r="X6346" s="8"/>
      <c r="Y6346" s="8"/>
    </row>
    <row r="6347" spans="3:25">
      <c r="C6347" s="4"/>
      <c r="D6347" s="4"/>
      <c r="E6347" s="5"/>
      <c r="F6347" s="6"/>
      <c r="G6347" s="31"/>
      <c r="H6347" s="6"/>
      <c r="I6347" s="9"/>
      <c r="J6347" s="43"/>
      <c r="K6347" s="10"/>
      <c r="L6347" s="25"/>
      <c r="M6347" s="25"/>
      <c r="N6347" s="8"/>
      <c r="O6347" s="11"/>
      <c r="P6347" s="11"/>
      <c r="Q6347" s="8"/>
      <c r="R6347" s="6"/>
      <c r="S6347" s="3"/>
      <c r="T6347" s="3"/>
      <c r="U6347" s="7"/>
      <c r="V6347" s="436"/>
      <c r="W6347" s="6"/>
      <c r="X6347" s="8"/>
      <c r="Y6347" s="8"/>
    </row>
    <row r="6348" spans="3:25">
      <c r="C6348" s="4"/>
      <c r="D6348" s="4"/>
      <c r="E6348" s="5"/>
      <c r="F6348" s="6"/>
      <c r="G6348" s="31"/>
      <c r="H6348" s="6"/>
      <c r="I6348" s="9"/>
      <c r="J6348" s="24"/>
      <c r="K6348" s="10"/>
      <c r="L6348" s="25"/>
      <c r="M6348" s="25"/>
      <c r="N6348" s="8"/>
      <c r="O6348" s="11"/>
      <c r="P6348" s="11"/>
      <c r="Q6348" s="8"/>
      <c r="R6348" s="6"/>
      <c r="S6348" s="3"/>
      <c r="T6348" s="3"/>
      <c r="U6348" s="7"/>
      <c r="V6348" s="436"/>
      <c r="W6348" s="6"/>
      <c r="X6348" s="8"/>
      <c r="Y6348" s="8"/>
    </row>
    <row r="6349" spans="3:25">
      <c r="C6349" s="4"/>
      <c r="D6349" s="4"/>
      <c r="E6349" s="5"/>
      <c r="F6349" s="6"/>
      <c r="G6349" s="31"/>
      <c r="H6349" s="6"/>
      <c r="I6349" s="9"/>
      <c r="J6349" s="24"/>
      <c r="K6349" s="10"/>
      <c r="L6349" s="47"/>
      <c r="M6349" s="25"/>
      <c r="N6349" s="8"/>
      <c r="O6349" s="11"/>
      <c r="P6349" s="11"/>
      <c r="Q6349" s="8"/>
      <c r="R6349" s="6"/>
      <c r="S6349" s="3"/>
      <c r="T6349" s="3"/>
      <c r="U6349" s="7"/>
      <c r="V6349" s="436"/>
      <c r="W6349" s="6"/>
      <c r="X6349" s="8"/>
      <c r="Y6349" s="8"/>
    </row>
    <row r="6350" spans="3:25">
      <c r="C6350" s="4"/>
      <c r="D6350" s="4"/>
      <c r="E6350" s="5"/>
      <c r="F6350" s="6"/>
      <c r="G6350" s="31"/>
      <c r="H6350" s="6"/>
      <c r="I6350" s="9"/>
      <c r="J6350" s="24"/>
      <c r="K6350" s="10"/>
      <c r="L6350" s="25"/>
      <c r="M6350" s="25"/>
      <c r="N6350" s="8"/>
      <c r="O6350" s="11"/>
      <c r="P6350" s="11"/>
      <c r="Q6350" s="8"/>
      <c r="R6350" s="6"/>
      <c r="S6350" s="3"/>
      <c r="T6350" s="3"/>
      <c r="U6350" s="7"/>
      <c r="V6350" s="436"/>
      <c r="W6350" s="6"/>
      <c r="X6350" s="8"/>
      <c r="Y6350" s="8"/>
    </row>
    <row r="6351" spans="3:25">
      <c r="C6351" s="4"/>
      <c r="D6351" s="4"/>
      <c r="E6351" s="5"/>
      <c r="F6351" s="6"/>
      <c r="G6351" s="31"/>
      <c r="H6351" s="6"/>
      <c r="I6351" s="9"/>
      <c r="J6351" s="24"/>
      <c r="K6351" s="10"/>
      <c r="L6351" s="25"/>
      <c r="M6351" s="25"/>
      <c r="N6351" s="8"/>
      <c r="O6351" s="11"/>
      <c r="P6351" s="11"/>
      <c r="Q6351" s="8"/>
      <c r="R6351" s="6"/>
      <c r="S6351" s="3"/>
      <c r="T6351" s="3"/>
      <c r="U6351" s="7"/>
      <c r="V6351" s="436"/>
      <c r="W6351" s="6"/>
      <c r="X6351" s="8"/>
      <c r="Y6351" s="8"/>
    </row>
    <row r="6352" spans="3:25">
      <c r="C6352" s="4"/>
      <c r="D6352" s="4"/>
      <c r="E6352" s="5"/>
      <c r="F6352" s="6"/>
      <c r="G6352" s="31"/>
      <c r="H6352" s="6"/>
      <c r="I6352" s="9"/>
      <c r="J6352" s="24"/>
      <c r="K6352" s="10"/>
      <c r="L6352" s="25"/>
      <c r="M6352" s="25"/>
      <c r="N6352" s="8"/>
      <c r="O6352" s="11"/>
      <c r="P6352" s="11"/>
      <c r="Q6352" s="8"/>
      <c r="R6352" s="6"/>
      <c r="S6352" s="3"/>
      <c r="T6352" s="3"/>
      <c r="U6352" s="7"/>
      <c r="V6352" s="436"/>
      <c r="W6352" s="6"/>
      <c r="X6352" s="8"/>
      <c r="Y6352" s="8"/>
    </row>
    <row r="6353" spans="3:25">
      <c r="C6353" s="4"/>
      <c r="D6353" s="4"/>
      <c r="E6353" s="5"/>
      <c r="F6353" s="6"/>
      <c r="G6353" s="31"/>
      <c r="H6353" s="6"/>
      <c r="I6353" s="9"/>
      <c r="J6353" s="24"/>
      <c r="K6353" s="10"/>
      <c r="L6353" s="25"/>
      <c r="M6353" s="25"/>
      <c r="N6353" s="8"/>
      <c r="O6353" s="11"/>
      <c r="P6353" s="11"/>
      <c r="Q6353" s="8"/>
      <c r="R6353" s="6"/>
      <c r="S6353" s="3"/>
      <c r="T6353" s="3"/>
      <c r="U6353" s="7"/>
      <c r="V6353" s="436"/>
      <c r="W6353" s="6"/>
      <c r="X6353" s="8"/>
      <c r="Y6353" s="8"/>
    </row>
    <row r="6354" spans="3:25">
      <c r="C6354" s="4"/>
      <c r="D6354" s="4"/>
      <c r="E6354" s="5"/>
      <c r="F6354" s="6"/>
      <c r="G6354" s="31"/>
      <c r="H6354" s="6"/>
      <c r="I6354" s="9"/>
      <c r="J6354" s="24"/>
      <c r="K6354" s="10"/>
      <c r="L6354" s="25"/>
      <c r="M6354" s="25"/>
      <c r="N6354" s="8"/>
      <c r="O6354" s="11"/>
      <c r="P6354" s="11"/>
      <c r="Q6354" s="8"/>
      <c r="R6354" s="6"/>
      <c r="S6354" s="3"/>
      <c r="T6354" s="3"/>
      <c r="U6354" s="7"/>
      <c r="V6354" s="436"/>
      <c r="W6354" s="6"/>
      <c r="X6354" s="8"/>
      <c r="Y6354" s="8"/>
    </row>
    <row r="6355" spans="3:25">
      <c r="C6355" s="4"/>
      <c r="D6355" s="4"/>
      <c r="E6355" s="5"/>
      <c r="F6355" s="6"/>
      <c r="G6355" s="31"/>
      <c r="H6355" s="6"/>
      <c r="I6355" s="9"/>
      <c r="J6355" s="24"/>
      <c r="K6355" s="10"/>
      <c r="L6355" s="25"/>
      <c r="M6355" s="25"/>
      <c r="N6355" s="8"/>
      <c r="O6355" s="11"/>
      <c r="P6355" s="11"/>
      <c r="Q6355" s="8"/>
      <c r="R6355" s="6"/>
      <c r="S6355" s="3"/>
      <c r="T6355" s="3"/>
      <c r="U6355" s="7"/>
      <c r="V6355" s="436"/>
      <c r="W6355" s="6"/>
      <c r="X6355" s="8"/>
      <c r="Y6355" s="8"/>
    </row>
    <row r="6356" spans="3:25">
      <c r="C6356" s="4"/>
      <c r="D6356" s="4"/>
      <c r="E6356" s="5"/>
      <c r="F6356" s="6"/>
      <c r="G6356" s="31"/>
      <c r="H6356" s="6"/>
      <c r="I6356" s="9"/>
      <c r="J6356" s="24"/>
      <c r="K6356" s="10"/>
      <c r="L6356" s="25"/>
      <c r="M6356" s="25"/>
      <c r="N6356" s="8"/>
      <c r="O6356" s="11"/>
      <c r="P6356" s="11"/>
      <c r="Q6356" s="8"/>
      <c r="R6356" s="6"/>
      <c r="S6356" s="3"/>
      <c r="T6356" s="3"/>
      <c r="U6356" s="7"/>
      <c r="V6356" s="436"/>
      <c r="W6356" s="6"/>
      <c r="X6356" s="8"/>
      <c r="Y6356" s="8"/>
    </row>
    <row r="6357" spans="3:25">
      <c r="C6357" s="4"/>
      <c r="D6357" s="4"/>
      <c r="E6357" s="5"/>
      <c r="F6357" s="6"/>
      <c r="G6357" s="31"/>
      <c r="H6357" s="6"/>
      <c r="I6357" s="9"/>
      <c r="J6357" s="24"/>
      <c r="K6357" s="10"/>
      <c r="L6357" s="25"/>
      <c r="M6357" s="25"/>
      <c r="N6357" s="8"/>
      <c r="O6357" s="11"/>
      <c r="P6357" s="11"/>
      <c r="Q6357" s="8"/>
      <c r="R6357" s="6"/>
      <c r="S6357" s="3"/>
      <c r="T6357" s="3"/>
      <c r="U6357" s="7"/>
      <c r="V6357" s="436"/>
      <c r="W6357" s="6"/>
      <c r="X6357" s="8"/>
      <c r="Y6357" s="8"/>
    </row>
    <row r="6358" spans="3:25">
      <c r="C6358" s="4"/>
      <c r="D6358" s="4"/>
      <c r="E6358" s="5"/>
      <c r="F6358" s="6"/>
      <c r="G6358" s="31"/>
      <c r="H6358" s="6"/>
      <c r="I6358" s="9"/>
      <c r="J6358" s="24"/>
      <c r="K6358" s="10"/>
      <c r="L6358" s="25"/>
      <c r="M6358" s="25"/>
      <c r="N6358" s="8"/>
      <c r="O6358" s="11"/>
      <c r="P6358" s="11"/>
      <c r="Q6358" s="8"/>
      <c r="R6358" s="6"/>
      <c r="S6358" s="3"/>
      <c r="T6358" s="3"/>
      <c r="U6358" s="7"/>
      <c r="V6358" s="436"/>
      <c r="W6358" s="6"/>
      <c r="X6358" s="8"/>
      <c r="Y6358" s="8"/>
    </row>
    <row r="6359" spans="3:25">
      <c r="C6359" s="4"/>
      <c r="D6359" s="4"/>
      <c r="E6359" s="5"/>
      <c r="F6359" s="6"/>
      <c r="G6359" s="31"/>
      <c r="H6359" s="6"/>
      <c r="I6359" s="9"/>
      <c r="J6359" s="24"/>
      <c r="K6359" s="10"/>
      <c r="L6359" s="25"/>
      <c r="M6359" s="25"/>
      <c r="N6359" s="8"/>
      <c r="O6359" s="11"/>
      <c r="P6359" s="11"/>
      <c r="Q6359" s="8"/>
      <c r="R6359" s="6"/>
      <c r="S6359" s="3"/>
      <c r="T6359" s="3"/>
      <c r="U6359" s="7"/>
      <c r="V6359" s="436"/>
      <c r="W6359" s="6"/>
      <c r="X6359" s="8"/>
      <c r="Y6359" s="8"/>
    </row>
    <row r="6360" spans="3:25">
      <c r="C6360" s="4"/>
      <c r="D6360" s="4"/>
      <c r="E6360" s="5"/>
      <c r="F6360" s="6"/>
      <c r="G6360" s="31"/>
      <c r="H6360" s="6"/>
      <c r="I6360" s="9"/>
      <c r="J6360" s="24"/>
      <c r="K6360" s="10"/>
      <c r="L6360" s="25"/>
      <c r="M6360" s="25"/>
      <c r="N6360" s="8"/>
      <c r="O6360" s="11"/>
      <c r="P6360" s="11"/>
      <c r="Q6360" s="8"/>
      <c r="R6360" s="6"/>
      <c r="S6360" s="3"/>
      <c r="T6360" s="3"/>
      <c r="U6360" s="7"/>
      <c r="V6360" s="436"/>
      <c r="W6360" s="6"/>
      <c r="X6360" s="8"/>
      <c r="Y6360" s="8"/>
    </row>
    <row r="6361" spans="3:25">
      <c r="C6361" s="4"/>
      <c r="D6361" s="4"/>
      <c r="E6361" s="5"/>
      <c r="F6361" s="6"/>
      <c r="G6361" s="31"/>
      <c r="H6361" s="6"/>
      <c r="I6361" s="9"/>
      <c r="J6361" s="24"/>
      <c r="K6361" s="10"/>
      <c r="L6361" s="25"/>
      <c r="M6361" s="25"/>
      <c r="N6361" s="8"/>
      <c r="O6361" s="11"/>
      <c r="P6361" s="11"/>
      <c r="Q6361" s="8"/>
      <c r="R6361" s="6"/>
      <c r="S6361" s="3"/>
      <c r="T6361" s="3"/>
      <c r="U6361" s="7"/>
      <c r="V6361" s="436"/>
      <c r="W6361" s="6"/>
      <c r="X6361" s="8"/>
      <c r="Y6361" s="8"/>
    </row>
    <row r="6362" spans="3:25">
      <c r="C6362" s="4"/>
      <c r="D6362" s="4"/>
      <c r="E6362" s="5"/>
      <c r="F6362" s="6"/>
      <c r="G6362" s="31"/>
      <c r="H6362" s="6"/>
      <c r="I6362" s="9"/>
      <c r="J6362" s="24"/>
      <c r="K6362" s="10"/>
      <c r="L6362" s="25"/>
      <c r="M6362" s="25"/>
      <c r="N6362" s="8"/>
      <c r="O6362" s="11"/>
      <c r="P6362" s="11"/>
      <c r="Q6362" s="8"/>
      <c r="R6362" s="6"/>
      <c r="S6362" s="3"/>
      <c r="T6362" s="3"/>
      <c r="U6362" s="7"/>
      <c r="V6362" s="436"/>
      <c r="W6362" s="6"/>
      <c r="X6362" s="8"/>
      <c r="Y6362" s="8"/>
    </row>
    <row r="6363" spans="3:25">
      <c r="C6363" s="4"/>
      <c r="D6363" s="4"/>
      <c r="E6363" s="5"/>
      <c r="F6363" s="6"/>
      <c r="G6363" s="31"/>
      <c r="H6363" s="6"/>
      <c r="I6363" s="9"/>
      <c r="J6363" s="24"/>
      <c r="K6363" s="10"/>
      <c r="L6363" s="25"/>
      <c r="M6363" s="47"/>
      <c r="N6363" s="8"/>
      <c r="O6363" s="11"/>
      <c r="P6363" s="11"/>
      <c r="Q6363" s="8"/>
      <c r="R6363" s="6"/>
      <c r="S6363" s="3"/>
      <c r="T6363" s="3"/>
      <c r="U6363" s="7"/>
      <c r="V6363" s="436"/>
      <c r="W6363" s="6"/>
      <c r="X6363" s="8"/>
      <c r="Y6363" s="8"/>
    </row>
    <row r="6364" spans="3:25">
      <c r="C6364" s="4"/>
      <c r="D6364" s="4"/>
      <c r="E6364" s="5"/>
      <c r="F6364" s="6"/>
      <c r="G6364" s="31"/>
      <c r="H6364" s="6"/>
      <c r="I6364" s="9"/>
      <c r="J6364" s="24"/>
      <c r="K6364" s="10"/>
      <c r="L6364" s="25"/>
      <c r="M6364" s="25"/>
      <c r="N6364" s="8"/>
      <c r="O6364" s="11"/>
      <c r="P6364" s="11"/>
      <c r="Q6364" s="8"/>
      <c r="R6364" s="6"/>
      <c r="S6364" s="3"/>
      <c r="T6364" s="3"/>
      <c r="U6364" s="7"/>
      <c r="V6364" s="436"/>
      <c r="W6364" s="6"/>
      <c r="X6364" s="8"/>
      <c r="Y6364" s="8"/>
    </row>
    <row r="6365" spans="3:25">
      <c r="C6365" s="4"/>
      <c r="D6365" s="4"/>
      <c r="E6365" s="5"/>
      <c r="F6365" s="6"/>
      <c r="G6365" s="31"/>
      <c r="H6365" s="6"/>
      <c r="I6365" s="9"/>
      <c r="J6365" s="24"/>
      <c r="K6365" s="10"/>
      <c r="L6365" s="25"/>
      <c r="M6365" s="25"/>
      <c r="N6365" s="8"/>
      <c r="O6365" s="11"/>
      <c r="P6365" s="11"/>
      <c r="Q6365" s="8"/>
      <c r="R6365" s="6"/>
      <c r="S6365" s="3"/>
      <c r="T6365" s="3"/>
      <c r="U6365" s="7"/>
      <c r="V6365" s="436"/>
      <c r="W6365" s="6"/>
      <c r="X6365" s="8"/>
      <c r="Y6365" s="8"/>
    </row>
    <row r="6366" spans="3:25">
      <c r="C6366" s="4"/>
      <c r="D6366" s="4"/>
      <c r="E6366" s="5"/>
      <c r="F6366" s="6"/>
      <c r="G6366" s="31"/>
      <c r="H6366" s="6"/>
      <c r="I6366" s="9"/>
      <c r="J6366" s="24"/>
      <c r="K6366" s="10"/>
      <c r="L6366" s="25"/>
      <c r="M6366" s="25"/>
      <c r="N6366" s="8"/>
      <c r="O6366" s="11"/>
      <c r="P6366" s="11"/>
      <c r="Q6366" s="8"/>
      <c r="R6366" s="6"/>
      <c r="S6366" s="3"/>
      <c r="T6366" s="3"/>
      <c r="U6366" s="7"/>
      <c r="V6366" s="436"/>
      <c r="W6366" s="6"/>
      <c r="X6366" s="8"/>
      <c r="Y6366" s="8"/>
    </row>
    <row r="6367" spans="3:25">
      <c r="C6367" s="4"/>
      <c r="D6367" s="4"/>
      <c r="E6367" s="5"/>
      <c r="F6367" s="6"/>
      <c r="G6367" s="31"/>
      <c r="H6367" s="6"/>
      <c r="I6367" s="9"/>
      <c r="J6367" s="24"/>
      <c r="K6367" s="10"/>
      <c r="L6367" s="25"/>
      <c r="M6367" s="25"/>
      <c r="N6367" s="8"/>
      <c r="O6367" s="11"/>
      <c r="P6367" s="11"/>
      <c r="Q6367" s="8"/>
      <c r="R6367" s="6"/>
      <c r="S6367" s="3"/>
      <c r="T6367" s="3"/>
      <c r="U6367" s="7"/>
      <c r="V6367" s="436"/>
      <c r="W6367" s="6"/>
      <c r="X6367" s="8"/>
      <c r="Y6367" s="8"/>
    </row>
    <row r="6368" spans="3:25">
      <c r="C6368" s="4"/>
      <c r="D6368" s="4"/>
      <c r="E6368" s="5"/>
      <c r="F6368" s="6"/>
      <c r="G6368" s="31"/>
      <c r="H6368" s="6"/>
      <c r="I6368" s="9"/>
      <c r="J6368" s="24"/>
      <c r="K6368" s="10"/>
      <c r="L6368" s="25"/>
      <c r="M6368" s="25"/>
      <c r="N6368" s="8"/>
      <c r="O6368" s="11"/>
      <c r="P6368" s="11"/>
      <c r="Q6368" s="8"/>
      <c r="R6368" s="6"/>
      <c r="S6368" s="3"/>
      <c r="T6368" s="3"/>
      <c r="U6368" s="7"/>
      <c r="V6368" s="436"/>
      <c r="W6368" s="6"/>
      <c r="X6368" s="8"/>
      <c r="Y6368" s="8"/>
    </row>
    <row r="6369" spans="3:25">
      <c r="C6369" s="4"/>
      <c r="D6369" s="4"/>
      <c r="E6369" s="5"/>
      <c r="F6369" s="6"/>
      <c r="G6369" s="31"/>
      <c r="H6369" s="6"/>
      <c r="I6369" s="9"/>
      <c r="J6369" s="24"/>
      <c r="K6369" s="10"/>
      <c r="L6369" s="25"/>
      <c r="M6369" s="25"/>
      <c r="N6369" s="8"/>
      <c r="O6369" s="11"/>
      <c r="P6369" s="11"/>
      <c r="Q6369" s="8"/>
      <c r="R6369" s="6"/>
      <c r="S6369" s="3"/>
      <c r="T6369" s="3"/>
      <c r="U6369" s="7"/>
      <c r="V6369" s="436"/>
      <c r="W6369" s="6"/>
      <c r="X6369" s="8"/>
      <c r="Y6369" s="8"/>
    </row>
    <row r="6370" spans="3:25">
      <c r="C6370" s="4"/>
      <c r="D6370" s="4"/>
      <c r="E6370" s="5"/>
      <c r="F6370" s="6"/>
      <c r="G6370" s="31"/>
      <c r="H6370" s="6"/>
      <c r="I6370" s="9"/>
      <c r="J6370" s="24"/>
      <c r="K6370" s="10"/>
      <c r="L6370" s="25"/>
      <c r="M6370" s="25"/>
      <c r="N6370" s="8"/>
      <c r="O6370" s="11"/>
      <c r="P6370" s="11"/>
      <c r="Q6370" s="8"/>
      <c r="R6370" s="6"/>
      <c r="S6370" s="3"/>
      <c r="T6370" s="3"/>
      <c r="U6370" s="7"/>
      <c r="V6370" s="436"/>
      <c r="W6370" s="6"/>
      <c r="X6370" s="8"/>
      <c r="Y6370" s="8"/>
    </row>
    <row r="6371" spans="3:25">
      <c r="C6371" s="4"/>
      <c r="D6371" s="4"/>
      <c r="E6371" s="5"/>
      <c r="F6371" s="6"/>
      <c r="G6371" s="31"/>
      <c r="H6371" s="6"/>
      <c r="I6371" s="9"/>
      <c r="J6371" s="24"/>
      <c r="K6371" s="10"/>
      <c r="L6371" s="25"/>
      <c r="M6371" s="25"/>
      <c r="N6371" s="8"/>
      <c r="O6371" s="11"/>
      <c r="P6371" s="11"/>
      <c r="Q6371" s="8"/>
      <c r="R6371" s="6"/>
      <c r="S6371" s="3"/>
      <c r="T6371" s="3"/>
      <c r="U6371" s="7"/>
      <c r="V6371" s="436"/>
      <c r="W6371" s="6"/>
      <c r="X6371" s="8"/>
      <c r="Y6371" s="8"/>
    </row>
    <row r="6372" spans="3:25">
      <c r="C6372" s="4"/>
      <c r="D6372" s="4"/>
      <c r="E6372" s="5"/>
      <c r="F6372" s="6"/>
      <c r="G6372" s="31"/>
      <c r="H6372" s="6"/>
      <c r="I6372" s="9"/>
      <c r="J6372" s="24"/>
      <c r="K6372" s="10"/>
      <c r="L6372" s="25"/>
      <c r="M6372" s="25"/>
      <c r="N6372" s="8"/>
      <c r="O6372" s="11"/>
      <c r="P6372" s="11"/>
      <c r="Q6372" s="8"/>
      <c r="R6372" s="6"/>
      <c r="S6372" s="3"/>
      <c r="T6372" s="3"/>
      <c r="U6372" s="7"/>
      <c r="V6372" s="436"/>
      <c r="W6372" s="6"/>
      <c r="X6372" s="8"/>
      <c r="Y6372" s="8"/>
    </row>
    <row r="6373" spans="3:25">
      <c r="C6373" s="4"/>
      <c r="D6373" s="4"/>
      <c r="E6373" s="5"/>
      <c r="F6373" s="6"/>
      <c r="G6373" s="31"/>
      <c r="H6373" s="6"/>
      <c r="I6373" s="9"/>
      <c r="J6373" s="24"/>
      <c r="K6373" s="10"/>
      <c r="L6373" s="25"/>
      <c r="M6373" s="25"/>
      <c r="N6373" s="8"/>
      <c r="O6373" s="11"/>
      <c r="P6373" s="11"/>
      <c r="Q6373" s="8"/>
      <c r="R6373" s="6"/>
      <c r="S6373" s="3"/>
      <c r="T6373" s="3"/>
      <c r="U6373" s="7"/>
      <c r="V6373" s="436"/>
      <c r="W6373" s="6"/>
      <c r="X6373" s="8"/>
      <c r="Y6373" s="8"/>
    </row>
    <row r="6374" spans="3:25">
      <c r="C6374" s="4"/>
      <c r="D6374" s="4"/>
      <c r="E6374" s="5"/>
      <c r="F6374" s="6"/>
      <c r="G6374" s="31"/>
      <c r="H6374" s="6"/>
      <c r="I6374" s="9"/>
      <c r="J6374" s="24"/>
      <c r="K6374" s="10"/>
      <c r="L6374" s="25"/>
      <c r="M6374" s="25"/>
      <c r="N6374" s="8"/>
      <c r="O6374" s="11"/>
      <c r="P6374" s="11"/>
      <c r="Q6374" s="8"/>
      <c r="R6374" s="6"/>
      <c r="S6374" s="3"/>
      <c r="T6374" s="3"/>
      <c r="U6374" s="7"/>
      <c r="V6374" s="436"/>
      <c r="W6374" s="6"/>
      <c r="X6374" s="8"/>
      <c r="Y6374" s="8"/>
    </row>
    <row r="6375" spans="3:25">
      <c r="C6375" s="4"/>
      <c r="D6375" s="4"/>
      <c r="E6375" s="5"/>
      <c r="F6375" s="6"/>
      <c r="G6375" s="31"/>
      <c r="H6375" s="6"/>
      <c r="I6375" s="9"/>
      <c r="J6375" s="24"/>
      <c r="K6375" s="10"/>
      <c r="L6375" s="25"/>
      <c r="M6375" s="25"/>
      <c r="N6375" s="8"/>
      <c r="O6375" s="11"/>
      <c r="P6375" s="11"/>
      <c r="Q6375" s="8"/>
      <c r="R6375" s="6"/>
      <c r="S6375" s="3"/>
      <c r="T6375" s="3"/>
      <c r="U6375" s="7"/>
      <c r="V6375" s="436"/>
      <c r="W6375" s="6"/>
      <c r="X6375" s="8"/>
      <c r="Y6375" s="8"/>
    </row>
    <row r="6376" spans="3:25">
      <c r="C6376" s="4"/>
      <c r="D6376" s="4"/>
      <c r="E6376" s="5"/>
      <c r="F6376" s="6"/>
      <c r="G6376" s="31"/>
      <c r="H6376" s="6"/>
      <c r="I6376" s="9"/>
      <c r="J6376" s="24"/>
      <c r="K6376" s="10"/>
      <c r="L6376" s="25"/>
      <c r="M6376" s="25"/>
      <c r="N6376" s="8"/>
      <c r="O6376" s="11"/>
      <c r="P6376" s="11"/>
      <c r="Q6376" s="8"/>
      <c r="R6376" s="6"/>
      <c r="S6376" s="3"/>
      <c r="T6376" s="3"/>
      <c r="U6376" s="7"/>
      <c r="V6376" s="436"/>
      <c r="W6376" s="6"/>
      <c r="X6376" s="8"/>
      <c r="Y6376" s="8"/>
    </row>
    <row r="6377" spans="3:25">
      <c r="C6377" s="4"/>
      <c r="D6377" s="4"/>
      <c r="E6377" s="5"/>
      <c r="F6377" s="6"/>
      <c r="G6377" s="31"/>
      <c r="H6377" s="6"/>
      <c r="I6377" s="9"/>
      <c r="J6377" s="24"/>
      <c r="K6377" s="10"/>
      <c r="L6377" s="25"/>
      <c r="M6377" s="25"/>
      <c r="N6377" s="8"/>
      <c r="O6377" s="11"/>
      <c r="P6377" s="11"/>
      <c r="Q6377" s="8"/>
      <c r="R6377" s="6"/>
      <c r="S6377" s="3"/>
      <c r="T6377" s="3"/>
      <c r="U6377" s="7"/>
      <c r="V6377" s="436"/>
      <c r="W6377" s="6"/>
      <c r="X6377" s="8"/>
      <c r="Y6377" s="8"/>
    </row>
    <row r="6378" spans="3:25">
      <c r="C6378" s="4"/>
      <c r="D6378" s="4"/>
      <c r="E6378" s="5"/>
      <c r="F6378" s="6"/>
      <c r="G6378" s="31"/>
      <c r="H6378" s="6"/>
      <c r="I6378" s="9"/>
      <c r="J6378" s="24"/>
      <c r="K6378" s="10"/>
      <c r="L6378" s="25"/>
      <c r="M6378" s="25"/>
      <c r="N6378" s="8"/>
      <c r="O6378" s="11"/>
      <c r="P6378" s="11"/>
      <c r="Q6378" s="8"/>
      <c r="R6378" s="6"/>
      <c r="S6378" s="3"/>
      <c r="T6378" s="3"/>
      <c r="U6378" s="7"/>
      <c r="V6378" s="436"/>
      <c r="W6378" s="6"/>
      <c r="X6378" s="8"/>
      <c r="Y6378" s="8"/>
    </row>
    <row r="6379" spans="3:25">
      <c r="C6379" s="4"/>
      <c r="D6379" s="4"/>
      <c r="E6379" s="5"/>
      <c r="F6379" s="6"/>
      <c r="G6379" s="31"/>
      <c r="H6379" s="6"/>
      <c r="I6379" s="9"/>
      <c r="J6379" s="24"/>
      <c r="K6379" s="10"/>
      <c r="L6379" s="25"/>
      <c r="M6379" s="25"/>
      <c r="N6379" s="8"/>
      <c r="O6379" s="11"/>
      <c r="P6379" s="11"/>
      <c r="Q6379" s="8"/>
      <c r="R6379" s="6"/>
      <c r="S6379" s="3"/>
      <c r="T6379" s="3"/>
      <c r="U6379" s="7"/>
      <c r="V6379" s="436"/>
      <c r="W6379" s="6"/>
      <c r="X6379" s="8"/>
      <c r="Y6379" s="8"/>
    </row>
    <row r="6380" spans="3:25">
      <c r="C6380" s="4"/>
      <c r="D6380" s="4"/>
      <c r="E6380" s="5"/>
      <c r="F6380" s="6"/>
      <c r="G6380" s="31"/>
      <c r="H6380" s="6"/>
      <c r="I6380" s="9"/>
      <c r="J6380" s="24"/>
      <c r="K6380" s="10"/>
      <c r="L6380" s="25"/>
      <c r="M6380" s="25"/>
      <c r="N6380" s="8"/>
      <c r="O6380" s="11"/>
      <c r="P6380" s="11"/>
      <c r="Q6380" s="8"/>
      <c r="R6380" s="6"/>
      <c r="S6380" s="3"/>
      <c r="T6380" s="3"/>
      <c r="U6380" s="7"/>
      <c r="V6380" s="436"/>
      <c r="W6380" s="6"/>
      <c r="X6380" s="8"/>
      <c r="Y6380" s="8"/>
    </row>
    <row r="6381" spans="3:25">
      <c r="C6381" s="4"/>
      <c r="D6381" s="4"/>
      <c r="E6381" s="5"/>
      <c r="F6381" s="6"/>
      <c r="G6381" s="31"/>
      <c r="H6381" s="6"/>
      <c r="I6381" s="9"/>
      <c r="J6381" s="24"/>
      <c r="K6381" s="10"/>
      <c r="L6381" s="25"/>
      <c r="M6381" s="25"/>
      <c r="N6381" s="8"/>
      <c r="O6381" s="11"/>
      <c r="P6381" s="11"/>
      <c r="Q6381" s="8"/>
      <c r="R6381" s="6"/>
      <c r="S6381" s="3"/>
      <c r="T6381" s="3"/>
      <c r="U6381" s="7"/>
      <c r="V6381" s="436"/>
      <c r="W6381" s="6"/>
      <c r="X6381" s="8"/>
      <c r="Y6381" s="8"/>
    </row>
    <row r="6382" spans="3:25">
      <c r="C6382" s="4"/>
      <c r="D6382" s="4"/>
      <c r="E6382" s="5"/>
      <c r="F6382" s="6"/>
      <c r="G6382" s="31"/>
      <c r="H6382" s="6"/>
      <c r="I6382" s="9"/>
      <c r="J6382" s="24"/>
      <c r="K6382" s="10"/>
      <c r="L6382" s="25"/>
      <c r="M6382" s="25"/>
      <c r="N6382" s="8"/>
      <c r="O6382" s="11"/>
      <c r="P6382" s="11"/>
      <c r="Q6382" s="8"/>
      <c r="R6382" s="6"/>
      <c r="S6382" s="3"/>
      <c r="T6382" s="3"/>
      <c r="U6382" s="7"/>
      <c r="V6382" s="436"/>
      <c r="W6382" s="6"/>
      <c r="X6382" s="8"/>
      <c r="Y6382" s="8"/>
    </row>
    <row r="6383" spans="3:25">
      <c r="C6383" s="4"/>
      <c r="D6383" s="4"/>
      <c r="E6383" s="5"/>
      <c r="F6383" s="6"/>
      <c r="G6383" s="31"/>
      <c r="H6383" s="6"/>
      <c r="I6383" s="9"/>
      <c r="J6383" s="24"/>
      <c r="K6383" s="10"/>
      <c r="L6383" s="25"/>
      <c r="M6383" s="25"/>
      <c r="N6383" s="8"/>
      <c r="O6383" s="11"/>
      <c r="P6383" s="11"/>
      <c r="Q6383" s="8"/>
      <c r="R6383" s="6"/>
      <c r="S6383" s="3"/>
      <c r="T6383" s="3"/>
      <c r="U6383" s="7"/>
      <c r="V6383" s="436"/>
      <c r="W6383" s="6"/>
      <c r="X6383" s="8"/>
      <c r="Y6383" s="8"/>
    </row>
    <row r="6384" spans="3:25">
      <c r="C6384" s="4"/>
      <c r="D6384" s="4"/>
      <c r="E6384" s="5"/>
      <c r="F6384" s="6"/>
      <c r="G6384" s="31"/>
      <c r="H6384" s="6"/>
      <c r="I6384" s="9"/>
      <c r="J6384" s="24"/>
      <c r="K6384" s="10"/>
      <c r="L6384" s="25"/>
      <c r="M6384" s="25"/>
      <c r="N6384" s="8"/>
      <c r="O6384" s="11"/>
      <c r="P6384" s="11"/>
      <c r="Q6384" s="8"/>
      <c r="R6384" s="6"/>
      <c r="S6384" s="3"/>
      <c r="T6384" s="3"/>
      <c r="U6384" s="7"/>
      <c r="V6384" s="436"/>
      <c r="W6384" s="6"/>
      <c r="X6384" s="8"/>
      <c r="Y6384" s="8"/>
    </row>
    <row r="6385" spans="3:25">
      <c r="C6385" s="4"/>
      <c r="D6385" s="4"/>
      <c r="E6385" s="5"/>
      <c r="F6385" s="6"/>
      <c r="G6385" s="31"/>
      <c r="H6385" s="6"/>
      <c r="I6385" s="9"/>
      <c r="J6385" s="24"/>
      <c r="K6385" s="10"/>
      <c r="L6385" s="25"/>
      <c r="M6385" s="25"/>
      <c r="N6385" s="8"/>
      <c r="O6385" s="11"/>
      <c r="P6385" s="11"/>
      <c r="Q6385" s="8"/>
      <c r="R6385" s="6"/>
      <c r="S6385" s="3"/>
      <c r="T6385" s="3"/>
      <c r="U6385" s="7"/>
      <c r="V6385" s="436"/>
      <c r="W6385" s="6"/>
      <c r="X6385" s="8"/>
      <c r="Y6385" s="8"/>
    </row>
    <row r="6386" spans="3:25">
      <c r="C6386" s="4"/>
      <c r="D6386" s="4"/>
      <c r="E6386" s="5"/>
      <c r="F6386" s="6"/>
      <c r="G6386" s="31"/>
      <c r="H6386" s="6"/>
      <c r="I6386" s="9"/>
      <c r="J6386" s="24"/>
      <c r="K6386" s="10"/>
      <c r="L6386" s="25"/>
      <c r="M6386" s="25"/>
      <c r="N6386" s="8"/>
      <c r="O6386" s="11"/>
      <c r="P6386" s="11"/>
      <c r="Q6386" s="8"/>
      <c r="R6386" s="6"/>
      <c r="S6386" s="3"/>
      <c r="T6386" s="3"/>
      <c r="U6386" s="7"/>
      <c r="V6386" s="436"/>
      <c r="W6386" s="6"/>
      <c r="X6386" s="8"/>
      <c r="Y6386" s="8"/>
    </row>
    <row r="6387" spans="3:25">
      <c r="C6387" s="4"/>
      <c r="D6387" s="4"/>
      <c r="E6387" s="5"/>
      <c r="F6387" s="6"/>
      <c r="G6387" s="31"/>
      <c r="H6387" s="6"/>
      <c r="I6387" s="9"/>
      <c r="J6387" s="24"/>
      <c r="K6387" s="10"/>
      <c r="L6387" s="25"/>
      <c r="M6387" s="25"/>
      <c r="N6387" s="8"/>
      <c r="O6387" s="11"/>
      <c r="P6387" s="11"/>
      <c r="Q6387" s="8"/>
      <c r="R6387" s="6"/>
      <c r="S6387" s="3"/>
      <c r="T6387" s="3"/>
      <c r="U6387" s="7"/>
      <c r="V6387" s="436"/>
      <c r="W6387" s="6"/>
      <c r="X6387" s="8"/>
      <c r="Y6387" s="8"/>
    </row>
    <row r="6388" spans="3:25">
      <c r="C6388" s="4"/>
      <c r="D6388" s="4"/>
      <c r="E6388" s="5"/>
      <c r="F6388" s="6"/>
      <c r="G6388" s="31"/>
      <c r="H6388" s="6"/>
      <c r="I6388" s="9"/>
      <c r="J6388" s="24"/>
      <c r="K6388" s="10"/>
      <c r="L6388" s="25"/>
      <c r="M6388" s="25"/>
      <c r="N6388" s="8"/>
      <c r="O6388" s="11"/>
      <c r="P6388" s="11"/>
      <c r="Q6388" s="8"/>
      <c r="R6388" s="6"/>
      <c r="S6388" s="3"/>
      <c r="T6388" s="3"/>
      <c r="U6388" s="7"/>
      <c r="V6388" s="436"/>
      <c r="W6388" s="6"/>
      <c r="X6388" s="8"/>
      <c r="Y6388" s="8"/>
    </row>
    <row r="6389" spans="3:25">
      <c r="C6389" s="4"/>
      <c r="D6389" s="4"/>
      <c r="E6389" s="5"/>
      <c r="F6389" s="6"/>
      <c r="G6389" s="31"/>
      <c r="H6389" s="6"/>
      <c r="I6389" s="9"/>
      <c r="J6389" s="24"/>
      <c r="K6389" s="10"/>
      <c r="L6389" s="25"/>
      <c r="M6389" s="25"/>
      <c r="N6389" s="8"/>
      <c r="O6389" s="11"/>
      <c r="P6389" s="11"/>
      <c r="Q6389" s="8"/>
      <c r="R6389" s="6"/>
      <c r="S6389" s="3"/>
      <c r="T6389" s="3"/>
      <c r="U6389" s="7"/>
      <c r="V6389" s="436"/>
      <c r="W6389" s="6"/>
      <c r="X6389" s="8"/>
      <c r="Y6389" s="8"/>
    </row>
    <row r="6390" spans="3:25">
      <c r="C6390" s="4"/>
      <c r="D6390" s="4"/>
      <c r="E6390" s="5"/>
      <c r="F6390" s="6"/>
      <c r="G6390" s="31"/>
      <c r="H6390" s="6"/>
      <c r="I6390" s="9"/>
      <c r="J6390" s="24"/>
      <c r="K6390" s="10"/>
      <c r="L6390" s="25"/>
      <c r="M6390" s="25"/>
      <c r="N6390" s="8"/>
      <c r="O6390" s="11"/>
      <c r="P6390" s="11"/>
      <c r="Q6390" s="8"/>
      <c r="R6390" s="6"/>
      <c r="S6390" s="3"/>
      <c r="T6390" s="3"/>
      <c r="U6390" s="7"/>
      <c r="V6390" s="436"/>
      <c r="W6390" s="6"/>
      <c r="X6390" s="8"/>
      <c r="Y6390" s="8"/>
    </row>
    <row r="6391" spans="3:25">
      <c r="C6391" s="4"/>
      <c r="D6391" s="4"/>
      <c r="E6391" s="5"/>
      <c r="F6391" s="6"/>
      <c r="G6391" s="31"/>
      <c r="H6391" s="6"/>
      <c r="I6391" s="9"/>
      <c r="J6391" s="24"/>
      <c r="K6391" s="10"/>
      <c r="L6391" s="25"/>
      <c r="M6391" s="25"/>
      <c r="N6391" s="8"/>
      <c r="O6391" s="11"/>
      <c r="P6391" s="11"/>
      <c r="Q6391" s="8"/>
      <c r="R6391" s="6"/>
      <c r="S6391" s="3"/>
      <c r="T6391" s="3"/>
      <c r="U6391" s="7"/>
      <c r="V6391" s="436"/>
      <c r="W6391" s="6"/>
      <c r="X6391" s="8"/>
      <c r="Y6391" s="8"/>
    </row>
    <row r="6392" spans="3:25">
      <c r="C6392" s="4"/>
      <c r="D6392" s="4"/>
      <c r="E6392" s="5"/>
      <c r="F6392" s="6"/>
      <c r="G6392" s="31"/>
      <c r="H6392" s="6"/>
      <c r="I6392" s="9"/>
      <c r="J6392" s="24"/>
      <c r="K6392" s="10"/>
      <c r="L6392" s="25"/>
      <c r="M6392" s="25"/>
      <c r="N6392" s="8"/>
      <c r="O6392" s="11"/>
      <c r="P6392" s="11"/>
      <c r="Q6392" s="8"/>
      <c r="R6392" s="6"/>
      <c r="S6392" s="3"/>
      <c r="T6392" s="3"/>
      <c r="U6392" s="7"/>
      <c r="V6392" s="436"/>
      <c r="W6392" s="6"/>
      <c r="X6392" s="8"/>
      <c r="Y6392" s="8"/>
    </row>
    <row r="6393" spans="3:25">
      <c r="C6393" s="4"/>
      <c r="D6393" s="4"/>
      <c r="E6393" s="5"/>
      <c r="F6393" s="6"/>
      <c r="G6393" s="31"/>
      <c r="H6393" s="6"/>
      <c r="I6393" s="9"/>
      <c r="J6393" s="24"/>
      <c r="K6393" s="10"/>
      <c r="L6393" s="25"/>
      <c r="M6393" s="25"/>
      <c r="N6393" s="8"/>
      <c r="O6393" s="11"/>
      <c r="P6393" s="11"/>
      <c r="Q6393" s="8"/>
      <c r="R6393" s="6"/>
      <c r="S6393" s="3"/>
      <c r="T6393" s="3"/>
      <c r="U6393" s="7"/>
      <c r="V6393" s="436"/>
      <c r="W6393" s="6"/>
      <c r="X6393" s="8"/>
      <c r="Y6393" s="8"/>
    </row>
    <row r="6394" spans="3:25">
      <c r="C6394" s="4"/>
      <c r="D6394" s="4"/>
      <c r="E6394" s="5"/>
      <c r="F6394" s="6"/>
      <c r="G6394" s="31"/>
      <c r="H6394" s="6"/>
      <c r="I6394" s="9"/>
      <c r="J6394" s="24"/>
      <c r="K6394" s="10"/>
      <c r="L6394" s="25"/>
      <c r="M6394" s="25"/>
      <c r="N6394" s="8"/>
      <c r="O6394" s="11"/>
      <c r="P6394" s="11"/>
      <c r="Q6394" s="8"/>
      <c r="R6394" s="6"/>
      <c r="S6394" s="3"/>
      <c r="T6394" s="3"/>
      <c r="U6394" s="7"/>
      <c r="V6394" s="436"/>
      <c r="W6394" s="6"/>
      <c r="X6394" s="8"/>
      <c r="Y6394" s="8"/>
    </row>
    <row r="6395" spans="3:25">
      <c r="C6395" s="4"/>
      <c r="D6395" s="4"/>
      <c r="E6395" s="5"/>
      <c r="F6395" s="6"/>
      <c r="G6395" s="31"/>
      <c r="H6395" s="6"/>
      <c r="I6395" s="9"/>
      <c r="J6395" s="24"/>
      <c r="K6395" s="10"/>
      <c r="L6395" s="25"/>
      <c r="M6395" s="25"/>
      <c r="N6395" s="8"/>
      <c r="O6395" s="11"/>
      <c r="P6395" s="11"/>
      <c r="Q6395" s="8"/>
      <c r="R6395" s="6"/>
      <c r="S6395" s="3"/>
      <c r="T6395" s="3"/>
      <c r="U6395" s="7"/>
      <c r="V6395" s="436"/>
      <c r="W6395" s="6"/>
      <c r="X6395" s="8"/>
      <c r="Y6395" s="8"/>
    </row>
    <row r="6396" spans="3:25">
      <c r="C6396" s="4"/>
      <c r="D6396" s="4"/>
      <c r="E6396" s="5"/>
      <c r="F6396" s="6"/>
      <c r="G6396" s="31"/>
      <c r="H6396" s="6"/>
      <c r="I6396" s="9"/>
      <c r="J6396" s="24"/>
      <c r="K6396" s="10"/>
      <c r="L6396" s="25"/>
      <c r="M6396" s="25"/>
      <c r="N6396" s="8"/>
      <c r="O6396" s="11"/>
      <c r="P6396" s="11"/>
      <c r="Q6396" s="8"/>
      <c r="R6396" s="6"/>
      <c r="S6396" s="3"/>
      <c r="T6396" s="3"/>
      <c r="U6396" s="7"/>
      <c r="V6396" s="436"/>
      <c r="W6396" s="6"/>
      <c r="X6396" s="8"/>
      <c r="Y6396" s="8"/>
    </row>
    <row r="6397" spans="3:25">
      <c r="C6397" s="4"/>
      <c r="D6397" s="4"/>
      <c r="E6397" s="5"/>
      <c r="F6397" s="6"/>
      <c r="G6397" s="31"/>
      <c r="H6397" s="6"/>
      <c r="I6397" s="9"/>
      <c r="J6397" s="24"/>
      <c r="K6397" s="10"/>
      <c r="L6397" s="25"/>
      <c r="M6397" s="25"/>
      <c r="N6397" s="8"/>
      <c r="O6397" s="11"/>
      <c r="P6397" s="11"/>
      <c r="Q6397" s="8"/>
      <c r="R6397" s="6"/>
      <c r="S6397" s="3"/>
      <c r="T6397" s="3"/>
      <c r="U6397" s="7"/>
      <c r="V6397" s="436"/>
      <c r="W6397" s="6"/>
      <c r="X6397" s="8"/>
      <c r="Y6397" s="8"/>
    </row>
    <row r="6398" spans="3:25">
      <c r="C6398" s="4"/>
      <c r="D6398" s="4"/>
      <c r="E6398" s="5"/>
      <c r="F6398" s="6"/>
      <c r="G6398" s="31"/>
      <c r="H6398" s="6"/>
      <c r="I6398" s="9"/>
      <c r="J6398" s="24"/>
      <c r="K6398" s="10"/>
      <c r="L6398" s="25"/>
      <c r="M6398" s="25"/>
      <c r="N6398" s="8"/>
      <c r="O6398" s="11"/>
      <c r="P6398" s="11"/>
      <c r="Q6398" s="8"/>
      <c r="R6398" s="6"/>
      <c r="S6398" s="3"/>
      <c r="T6398" s="3"/>
      <c r="U6398" s="7"/>
      <c r="V6398" s="436"/>
      <c r="W6398" s="6"/>
      <c r="X6398" s="8"/>
      <c r="Y6398" s="8"/>
    </row>
    <row r="6399" spans="3:25">
      <c r="C6399" s="4"/>
      <c r="D6399" s="4"/>
      <c r="E6399" s="5"/>
      <c r="F6399" s="6"/>
      <c r="G6399" s="31"/>
      <c r="H6399" s="6"/>
      <c r="I6399" s="9"/>
      <c r="J6399" s="24"/>
      <c r="K6399" s="10"/>
      <c r="L6399" s="25"/>
      <c r="M6399" s="25"/>
      <c r="N6399" s="8"/>
      <c r="O6399" s="11"/>
      <c r="P6399" s="11"/>
      <c r="Q6399" s="8"/>
      <c r="R6399" s="6"/>
      <c r="S6399" s="3"/>
      <c r="T6399" s="3"/>
      <c r="U6399" s="7"/>
      <c r="V6399" s="436"/>
      <c r="W6399" s="6"/>
      <c r="X6399" s="8"/>
      <c r="Y6399" s="8"/>
    </row>
    <row r="6400" spans="3:25">
      <c r="C6400" s="4"/>
      <c r="D6400" s="4"/>
      <c r="E6400" s="5"/>
      <c r="F6400" s="6"/>
      <c r="G6400" s="31"/>
      <c r="H6400" s="6"/>
      <c r="I6400" s="9"/>
      <c r="J6400" s="24"/>
      <c r="K6400" s="10"/>
      <c r="L6400" s="25"/>
      <c r="M6400" s="25"/>
      <c r="N6400" s="8"/>
      <c r="O6400" s="11"/>
      <c r="P6400" s="11"/>
      <c r="Q6400" s="8"/>
      <c r="R6400" s="6"/>
      <c r="S6400" s="3"/>
      <c r="T6400" s="3"/>
      <c r="U6400" s="7"/>
      <c r="V6400" s="436"/>
      <c r="W6400" s="6"/>
      <c r="X6400" s="8"/>
      <c r="Y6400" s="8"/>
    </row>
    <row r="6401" spans="3:25">
      <c r="C6401" s="4"/>
      <c r="D6401" s="4"/>
      <c r="E6401" s="5"/>
      <c r="F6401" s="6"/>
      <c r="G6401" s="31"/>
      <c r="H6401" s="6"/>
      <c r="I6401" s="9"/>
      <c r="J6401" s="24"/>
      <c r="K6401" s="10"/>
      <c r="L6401" s="25"/>
      <c r="M6401" s="25"/>
      <c r="N6401" s="8"/>
      <c r="O6401" s="11"/>
      <c r="P6401" s="11"/>
      <c r="Q6401" s="8"/>
      <c r="R6401" s="6"/>
      <c r="S6401" s="3"/>
      <c r="T6401" s="3"/>
      <c r="U6401" s="7"/>
      <c r="V6401" s="436"/>
      <c r="W6401" s="6"/>
      <c r="X6401" s="8"/>
      <c r="Y6401" s="8"/>
    </row>
    <row r="6402" spans="3:25">
      <c r="C6402" s="4"/>
      <c r="D6402" s="4"/>
      <c r="E6402" s="5"/>
      <c r="F6402" s="6"/>
      <c r="G6402" s="31"/>
      <c r="H6402" s="6"/>
      <c r="I6402" s="9"/>
      <c r="J6402" s="24"/>
      <c r="K6402" s="10"/>
      <c r="L6402" s="25"/>
      <c r="M6402" s="25"/>
      <c r="N6402" s="8"/>
      <c r="O6402" s="11"/>
      <c r="P6402" s="11"/>
      <c r="Q6402" s="8"/>
      <c r="R6402" s="6"/>
      <c r="S6402" s="3"/>
      <c r="T6402" s="3"/>
      <c r="U6402" s="7"/>
      <c r="V6402" s="436"/>
      <c r="W6402" s="6"/>
      <c r="X6402" s="8"/>
      <c r="Y6402" s="8"/>
    </row>
    <row r="6403" spans="3:25">
      <c r="C6403" s="4"/>
      <c r="D6403" s="4"/>
      <c r="E6403" s="5"/>
      <c r="F6403" s="6"/>
      <c r="G6403" s="31"/>
      <c r="H6403" s="6"/>
      <c r="I6403" s="9"/>
      <c r="J6403" s="24"/>
      <c r="K6403" s="10"/>
      <c r="L6403" s="25"/>
      <c r="M6403" s="25"/>
      <c r="N6403" s="8"/>
      <c r="O6403" s="11"/>
      <c r="P6403" s="11"/>
      <c r="Q6403" s="8"/>
      <c r="R6403" s="6"/>
      <c r="S6403" s="3"/>
      <c r="T6403" s="3"/>
      <c r="U6403" s="7"/>
      <c r="V6403" s="436"/>
      <c r="W6403" s="8"/>
      <c r="X6403" s="8"/>
      <c r="Y6403" s="8"/>
    </row>
    <row r="6404" spans="3:25">
      <c r="C6404" s="4"/>
      <c r="D6404" s="4"/>
      <c r="E6404" s="5"/>
      <c r="F6404" s="6"/>
      <c r="G6404" s="31"/>
      <c r="H6404" s="6"/>
      <c r="I6404" s="9"/>
      <c r="J6404" s="24"/>
      <c r="K6404" s="10"/>
      <c r="L6404" s="25"/>
      <c r="M6404" s="25"/>
      <c r="N6404" s="8"/>
      <c r="O6404" s="11"/>
      <c r="P6404" s="11"/>
      <c r="Q6404" s="8"/>
      <c r="R6404" s="6"/>
      <c r="S6404" s="3"/>
      <c r="T6404" s="3"/>
      <c r="U6404" s="7"/>
      <c r="V6404" s="436"/>
      <c r="W6404" s="6"/>
      <c r="X6404" s="8"/>
      <c r="Y6404" s="8"/>
    </row>
    <row r="6405" spans="3:25">
      <c r="C6405" s="4"/>
      <c r="D6405" s="4"/>
      <c r="E6405" s="5"/>
      <c r="F6405" s="6"/>
      <c r="G6405" s="31"/>
      <c r="H6405" s="6"/>
      <c r="I6405" s="9"/>
      <c r="J6405" s="24"/>
      <c r="K6405" s="10"/>
      <c r="L6405" s="25"/>
      <c r="M6405" s="25"/>
      <c r="N6405" s="8"/>
      <c r="O6405" s="11"/>
      <c r="P6405" s="11"/>
      <c r="Q6405" s="8"/>
      <c r="R6405" s="6"/>
      <c r="S6405" s="3"/>
      <c r="T6405" s="3"/>
      <c r="U6405" s="7"/>
      <c r="V6405" s="436"/>
      <c r="W6405" s="6"/>
      <c r="X6405" s="8"/>
      <c r="Y6405" s="8"/>
    </row>
    <row r="6406" spans="3:25">
      <c r="C6406" s="4"/>
      <c r="D6406" s="4"/>
      <c r="E6406" s="5"/>
      <c r="F6406" s="6"/>
      <c r="G6406" s="31"/>
      <c r="H6406" s="6"/>
      <c r="I6406" s="9"/>
      <c r="J6406" s="24"/>
      <c r="K6406" s="10"/>
      <c r="L6406" s="25"/>
      <c r="M6406" s="25"/>
      <c r="N6406" s="8"/>
      <c r="O6406" s="11"/>
      <c r="P6406" s="11"/>
      <c r="Q6406" s="8"/>
      <c r="R6406" s="6"/>
      <c r="S6406" s="3"/>
      <c r="T6406" s="3"/>
      <c r="U6406" s="7"/>
      <c r="V6406" s="436"/>
      <c r="W6406" s="6"/>
      <c r="X6406" s="8"/>
      <c r="Y6406" s="8"/>
    </row>
    <row r="6407" spans="3:25">
      <c r="C6407" s="4"/>
      <c r="D6407" s="4"/>
      <c r="E6407" s="5"/>
      <c r="F6407" s="6"/>
      <c r="G6407" s="31"/>
      <c r="H6407" s="6"/>
      <c r="I6407" s="9"/>
      <c r="J6407" s="24"/>
      <c r="K6407" s="10"/>
      <c r="L6407" s="25"/>
      <c r="M6407" s="25"/>
      <c r="N6407" s="8"/>
      <c r="O6407" s="11"/>
      <c r="P6407" s="11"/>
      <c r="Q6407" s="8"/>
      <c r="R6407" s="6"/>
      <c r="S6407" s="3"/>
      <c r="T6407" s="3"/>
      <c r="U6407" s="7"/>
      <c r="V6407" s="436"/>
      <c r="W6407" s="6"/>
      <c r="X6407" s="8"/>
      <c r="Y6407" s="8"/>
    </row>
    <row r="6408" spans="3:25">
      <c r="C6408" s="4"/>
      <c r="D6408" s="4"/>
      <c r="E6408" s="5"/>
      <c r="F6408" s="6"/>
      <c r="G6408" s="31"/>
      <c r="H6408" s="6"/>
      <c r="I6408" s="9"/>
      <c r="J6408" s="24"/>
      <c r="K6408" s="10"/>
      <c r="L6408" s="25"/>
      <c r="M6408" s="25"/>
      <c r="N6408" s="8"/>
      <c r="O6408" s="11"/>
      <c r="P6408" s="11"/>
      <c r="Q6408" s="8"/>
      <c r="R6408" s="6"/>
      <c r="S6408" s="3"/>
      <c r="T6408" s="3"/>
      <c r="U6408" s="7"/>
      <c r="V6408" s="436"/>
      <c r="W6408" s="6"/>
      <c r="X6408" s="8"/>
      <c r="Y6408" s="8"/>
    </row>
    <row r="6409" spans="3:25">
      <c r="C6409" s="4"/>
      <c r="D6409" s="4"/>
      <c r="E6409" s="5"/>
      <c r="F6409" s="6"/>
      <c r="G6409" s="31"/>
      <c r="H6409" s="6"/>
      <c r="I6409" s="9"/>
      <c r="J6409" s="24"/>
      <c r="K6409" s="10"/>
      <c r="L6409" s="25"/>
      <c r="M6409" s="25"/>
      <c r="N6409" s="8"/>
      <c r="O6409" s="11"/>
      <c r="P6409" s="11"/>
      <c r="Q6409" s="8"/>
      <c r="R6409" s="6"/>
      <c r="S6409" s="3"/>
      <c r="T6409" s="3"/>
      <c r="U6409" s="7"/>
      <c r="V6409" s="436"/>
      <c r="W6409" s="6"/>
      <c r="X6409" s="8"/>
      <c r="Y6409" s="8"/>
    </row>
    <row r="6410" spans="3:25">
      <c r="C6410" s="4"/>
      <c r="D6410" s="4"/>
      <c r="E6410" s="5"/>
      <c r="F6410" s="6"/>
      <c r="G6410" s="31"/>
      <c r="H6410" s="6"/>
      <c r="I6410" s="9"/>
      <c r="J6410" s="24"/>
      <c r="K6410" s="10"/>
      <c r="L6410" s="25"/>
      <c r="M6410" s="25"/>
      <c r="N6410" s="8"/>
      <c r="O6410" s="11"/>
      <c r="P6410" s="11"/>
      <c r="Q6410" s="8"/>
      <c r="R6410" s="6"/>
      <c r="S6410" s="3"/>
      <c r="T6410" s="3"/>
      <c r="U6410" s="7"/>
      <c r="V6410" s="436"/>
      <c r="W6410" s="6"/>
      <c r="X6410" s="8"/>
      <c r="Y6410" s="8"/>
    </row>
    <row r="6411" spans="3:25">
      <c r="C6411" s="4"/>
      <c r="D6411" s="4"/>
      <c r="E6411" s="5"/>
      <c r="F6411" s="6"/>
      <c r="G6411" s="31"/>
      <c r="H6411" s="6"/>
      <c r="I6411" s="9"/>
      <c r="J6411" s="24"/>
      <c r="K6411" s="10"/>
      <c r="L6411" s="25"/>
      <c r="M6411" s="25"/>
      <c r="N6411" s="8"/>
      <c r="O6411" s="11"/>
      <c r="P6411" s="11"/>
      <c r="Q6411" s="8"/>
      <c r="R6411" s="6"/>
      <c r="S6411" s="3"/>
      <c r="T6411" s="3"/>
      <c r="U6411" s="7"/>
      <c r="V6411" s="445"/>
      <c r="W6411" s="6"/>
      <c r="X6411" s="8"/>
      <c r="Y6411" s="8"/>
    </row>
    <row r="6412" spans="3:25">
      <c r="C6412" s="4"/>
      <c r="D6412" s="4"/>
      <c r="E6412" s="5"/>
      <c r="F6412" s="6"/>
      <c r="G6412" s="31"/>
      <c r="H6412" s="6"/>
      <c r="I6412" s="9"/>
      <c r="J6412" s="24"/>
      <c r="K6412" s="10"/>
      <c r="L6412" s="25"/>
      <c r="M6412" s="25"/>
      <c r="N6412" s="8"/>
      <c r="O6412" s="11"/>
      <c r="P6412" s="11"/>
      <c r="Q6412" s="8"/>
      <c r="R6412" s="6"/>
      <c r="S6412" s="3"/>
      <c r="T6412" s="3"/>
      <c r="U6412" s="7"/>
      <c r="V6412" s="445"/>
      <c r="W6412" s="6"/>
      <c r="X6412" s="8"/>
      <c r="Y6412" s="8"/>
    </row>
    <row r="6413" spans="3:25">
      <c r="C6413" s="4"/>
      <c r="D6413" s="4"/>
      <c r="E6413" s="5"/>
      <c r="F6413" s="6"/>
      <c r="G6413" s="31"/>
      <c r="H6413" s="6"/>
      <c r="I6413" s="9"/>
      <c r="J6413" s="24"/>
      <c r="K6413" s="10"/>
      <c r="L6413" s="25"/>
      <c r="M6413" s="25"/>
      <c r="N6413" s="8"/>
      <c r="O6413" s="11"/>
      <c r="P6413" s="11"/>
      <c r="Q6413" s="8"/>
      <c r="R6413" s="6"/>
      <c r="S6413" s="3"/>
      <c r="T6413" s="3"/>
      <c r="U6413" s="7"/>
      <c r="V6413" s="445"/>
      <c r="W6413" s="6"/>
      <c r="X6413" s="8"/>
      <c r="Y6413" s="8"/>
    </row>
    <row r="6414" spans="3:25">
      <c r="C6414" s="4"/>
      <c r="D6414" s="4"/>
      <c r="E6414" s="5"/>
      <c r="F6414" s="6"/>
      <c r="G6414" s="31"/>
      <c r="H6414" s="6"/>
      <c r="I6414" s="9"/>
      <c r="J6414" s="24"/>
      <c r="K6414" s="10"/>
      <c r="L6414" s="25"/>
      <c r="M6414" s="25"/>
      <c r="N6414" s="8"/>
      <c r="O6414" s="11"/>
      <c r="P6414" s="11"/>
      <c r="Q6414" s="8"/>
      <c r="R6414" s="6"/>
      <c r="S6414" s="3"/>
      <c r="T6414" s="3"/>
      <c r="U6414" s="7"/>
      <c r="V6414" s="445"/>
      <c r="W6414" s="6"/>
      <c r="X6414" s="8"/>
      <c r="Y6414" s="8"/>
    </row>
    <row r="6415" spans="3:25">
      <c r="C6415" s="4"/>
      <c r="D6415" s="4"/>
      <c r="E6415" s="5"/>
      <c r="F6415" s="6"/>
      <c r="G6415" s="31"/>
      <c r="H6415" s="6"/>
      <c r="I6415" s="9"/>
      <c r="J6415" s="24"/>
      <c r="K6415" s="10"/>
      <c r="L6415" s="25"/>
      <c r="M6415" s="25"/>
      <c r="N6415" s="8"/>
      <c r="O6415" s="11"/>
      <c r="P6415" s="11"/>
      <c r="Q6415" s="8"/>
      <c r="R6415" s="6"/>
      <c r="S6415" s="3"/>
      <c r="T6415" s="3"/>
      <c r="U6415" s="7"/>
      <c r="V6415" s="445"/>
      <c r="W6415" s="6"/>
      <c r="X6415" s="8"/>
      <c r="Y6415" s="8"/>
    </row>
    <row r="6416" spans="3:25">
      <c r="C6416" s="4"/>
      <c r="D6416" s="4"/>
      <c r="E6416" s="5"/>
      <c r="F6416" s="6"/>
      <c r="G6416" s="31"/>
      <c r="H6416" s="6"/>
      <c r="I6416" s="9"/>
      <c r="J6416" s="24"/>
      <c r="K6416" s="10"/>
      <c r="L6416" s="25"/>
      <c r="M6416" s="25"/>
      <c r="N6416" s="8"/>
      <c r="O6416" s="11"/>
      <c r="P6416" s="11"/>
      <c r="Q6416" s="8"/>
      <c r="R6416" s="6"/>
      <c r="S6416" s="3"/>
      <c r="T6416" s="3"/>
      <c r="U6416" s="7"/>
      <c r="V6416" s="436"/>
      <c r="W6416" s="6"/>
      <c r="X6416" s="8"/>
      <c r="Y6416" s="8"/>
    </row>
    <row r="6417" spans="3:25">
      <c r="C6417" s="4"/>
      <c r="D6417" s="4"/>
      <c r="E6417" s="5"/>
      <c r="F6417" s="6"/>
      <c r="G6417" s="31"/>
      <c r="H6417" s="6"/>
      <c r="I6417" s="9"/>
      <c r="J6417" s="24"/>
      <c r="K6417" s="10"/>
      <c r="L6417" s="25"/>
      <c r="M6417" s="25"/>
      <c r="N6417" s="8"/>
      <c r="O6417" s="11"/>
      <c r="P6417" s="11"/>
      <c r="Q6417" s="8"/>
      <c r="R6417" s="6"/>
      <c r="S6417" s="3"/>
      <c r="T6417" s="3"/>
      <c r="U6417" s="7"/>
      <c r="V6417" s="436"/>
      <c r="W6417" s="6"/>
      <c r="X6417" s="8"/>
      <c r="Y6417" s="8"/>
    </row>
    <row r="6418" spans="3:25">
      <c r="C6418" s="4"/>
      <c r="D6418" s="4"/>
      <c r="E6418" s="5"/>
      <c r="F6418" s="6"/>
      <c r="G6418" s="31"/>
      <c r="H6418" s="6"/>
      <c r="I6418" s="9"/>
      <c r="J6418" s="24"/>
      <c r="K6418" s="10"/>
      <c r="L6418" s="25"/>
      <c r="M6418" s="25"/>
      <c r="N6418" s="8"/>
      <c r="O6418" s="11"/>
      <c r="P6418" s="11"/>
      <c r="Q6418" s="8"/>
      <c r="R6418" s="6"/>
      <c r="S6418" s="3"/>
      <c r="T6418" s="3"/>
      <c r="U6418" s="7"/>
      <c r="V6418" s="436"/>
      <c r="W6418" s="6"/>
      <c r="X6418" s="8"/>
      <c r="Y6418" s="8"/>
    </row>
    <row r="6419" spans="3:25">
      <c r="C6419" s="4"/>
      <c r="D6419" s="4"/>
      <c r="E6419" s="5"/>
      <c r="F6419" s="6"/>
      <c r="G6419" s="31"/>
      <c r="H6419" s="6"/>
      <c r="I6419" s="9"/>
      <c r="J6419" s="24"/>
      <c r="K6419" s="10"/>
      <c r="L6419" s="25"/>
      <c r="M6419" s="25"/>
      <c r="N6419" s="8"/>
      <c r="O6419" s="11"/>
      <c r="P6419" s="11"/>
      <c r="Q6419" s="8"/>
      <c r="R6419" s="6"/>
      <c r="S6419" s="3"/>
      <c r="T6419" s="3"/>
      <c r="U6419" s="7"/>
      <c r="V6419" s="436"/>
      <c r="W6419" s="6"/>
      <c r="X6419" s="8"/>
      <c r="Y6419" s="8"/>
    </row>
    <row r="6420" spans="3:25">
      <c r="C6420" s="4"/>
      <c r="D6420" s="4"/>
      <c r="E6420" s="5"/>
      <c r="F6420" s="6"/>
      <c r="G6420" s="31"/>
      <c r="H6420" s="6"/>
      <c r="I6420" s="9"/>
      <c r="J6420" s="24"/>
      <c r="K6420" s="10"/>
      <c r="L6420" s="25"/>
      <c r="M6420" s="25"/>
      <c r="N6420" s="8"/>
      <c r="O6420" s="11"/>
      <c r="P6420" s="11"/>
      <c r="Q6420" s="8"/>
      <c r="R6420" s="6"/>
      <c r="S6420" s="3"/>
      <c r="T6420" s="3"/>
      <c r="U6420" s="7"/>
      <c r="V6420" s="436"/>
      <c r="W6420" s="6"/>
      <c r="X6420" s="8"/>
      <c r="Y6420" s="8"/>
    </row>
    <row r="6421" spans="3:25">
      <c r="C6421" s="4"/>
      <c r="D6421" s="4"/>
      <c r="E6421" s="5"/>
      <c r="F6421" s="6"/>
      <c r="G6421" s="31"/>
      <c r="H6421" s="6"/>
      <c r="I6421" s="9"/>
      <c r="J6421" s="24"/>
      <c r="K6421" s="10"/>
      <c r="L6421" s="25"/>
      <c r="M6421" s="25"/>
      <c r="N6421" s="8"/>
      <c r="O6421" s="11"/>
      <c r="P6421" s="11"/>
      <c r="Q6421" s="8"/>
      <c r="R6421" s="6"/>
      <c r="S6421" s="3"/>
      <c r="T6421" s="3"/>
      <c r="U6421" s="7"/>
      <c r="V6421" s="436"/>
      <c r="W6421" s="6"/>
      <c r="X6421" s="8"/>
      <c r="Y6421" s="8"/>
    </row>
    <row r="6422" spans="3:25">
      <c r="C6422" s="4"/>
      <c r="D6422" s="4"/>
      <c r="E6422" s="5"/>
      <c r="F6422" s="6"/>
      <c r="G6422" s="31"/>
      <c r="H6422" s="6"/>
      <c r="I6422" s="9"/>
      <c r="J6422" s="24"/>
      <c r="K6422" s="10"/>
      <c r="L6422" s="25"/>
      <c r="M6422" s="25"/>
      <c r="N6422" s="8"/>
      <c r="O6422" s="11"/>
      <c r="P6422" s="11"/>
      <c r="Q6422" s="8"/>
      <c r="R6422" s="6"/>
      <c r="S6422" s="3"/>
      <c r="T6422" s="3"/>
      <c r="U6422" s="7"/>
      <c r="V6422" s="436"/>
      <c r="W6422" s="6"/>
      <c r="X6422" s="8"/>
      <c r="Y6422" s="8"/>
    </row>
    <row r="6423" spans="3:25">
      <c r="C6423" s="4"/>
      <c r="D6423" s="4"/>
      <c r="E6423" s="5"/>
      <c r="F6423" s="6"/>
      <c r="G6423" s="31"/>
      <c r="H6423" s="6"/>
      <c r="I6423" s="9"/>
      <c r="J6423" s="24"/>
      <c r="K6423" s="10"/>
      <c r="L6423" s="25"/>
      <c r="M6423" s="25"/>
      <c r="N6423" s="8"/>
      <c r="O6423" s="11"/>
      <c r="P6423" s="11"/>
      <c r="Q6423" s="8"/>
      <c r="R6423" s="6"/>
      <c r="S6423" s="3"/>
      <c r="T6423" s="3"/>
      <c r="U6423" s="7"/>
      <c r="V6423" s="436"/>
      <c r="W6423" s="6"/>
      <c r="X6423" s="8"/>
      <c r="Y6423" s="8"/>
    </row>
    <row r="6424" spans="3:25">
      <c r="C6424" s="4"/>
      <c r="D6424" s="4"/>
      <c r="E6424" s="5"/>
      <c r="F6424" s="6"/>
      <c r="G6424" s="31"/>
      <c r="H6424" s="6"/>
      <c r="I6424" s="9"/>
      <c r="J6424" s="24"/>
      <c r="K6424" s="10"/>
      <c r="L6424" s="25"/>
      <c r="M6424" s="25"/>
      <c r="N6424" s="8"/>
      <c r="O6424" s="11"/>
      <c r="P6424" s="11"/>
      <c r="Q6424" s="8"/>
      <c r="R6424" s="6"/>
      <c r="S6424" s="3"/>
      <c r="T6424" s="3"/>
      <c r="U6424" s="7"/>
      <c r="V6424" s="436"/>
      <c r="W6424" s="6"/>
      <c r="X6424" s="8"/>
      <c r="Y6424" s="8"/>
    </row>
    <row r="6425" spans="3:25">
      <c r="C6425" s="4"/>
      <c r="D6425" s="4"/>
      <c r="E6425" s="5"/>
      <c r="F6425" s="6"/>
      <c r="G6425" s="31"/>
      <c r="H6425" s="6"/>
      <c r="I6425" s="9"/>
      <c r="J6425" s="24"/>
      <c r="K6425" s="10"/>
      <c r="L6425" s="25"/>
      <c r="M6425" s="25"/>
      <c r="N6425" s="8"/>
      <c r="O6425" s="11"/>
      <c r="P6425" s="11"/>
      <c r="Q6425" s="8"/>
      <c r="R6425" s="6"/>
      <c r="S6425" s="3"/>
      <c r="T6425" s="3"/>
      <c r="U6425" s="7"/>
      <c r="V6425" s="436"/>
      <c r="W6425" s="6"/>
      <c r="X6425" s="8"/>
      <c r="Y6425" s="8"/>
    </row>
    <row r="6426" spans="3:25">
      <c r="C6426" s="4"/>
      <c r="D6426" s="4"/>
      <c r="E6426" s="5"/>
      <c r="F6426" s="6"/>
      <c r="G6426" s="31"/>
      <c r="H6426" s="6"/>
      <c r="I6426" s="9"/>
      <c r="J6426" s="24"/>
      <c r="K6426" s="10"/>
      <c r="L6426" s="25"/>
      <c r="M6426" s="25"/>
      <c r="N6426" s="8"/>
      <c r="O6426" s="11"/>
      <c r="P6426" s="11"/>
      <c r="Q6426" s="8"/>
      <c r="R6426" s="6"/>
      <c r="S6426" s="3"/>
      <c r="T6426" s="3"/>
      <c r="U6426" s="7"/>
      <c r="V6426" s="436"/>
      <c r="W6426" s="6"/>
      <c r="X6426" s="8"/>
      <c r="Y6426" s="8"/>
    </row>
    <row r="6427" spans="3:25">
      <c r="C6427" s="4"/>
      <c r="D6427" s="4"/>
      <c r="E6427" s="5"/>
      <c r="F6427" s="6"/>
      <c r="G6427" s="31"/>
      <c r="H6427" s="6"/>
      <c r="I6427" s="9"/>
      <c r="J6427" s="24"/>
      <c r="K6427" s="10"/>
      <c r="L6427" s="25"/>
      <c r="M6427" s="25"/>
      <c r="N6427" s="8"/>
      <c r="O6427" s="11"/>
      <c r="P6427" s="11"/>
      <c r="Q6427" s="8"/>
      <c r="R6427" s="6"/>
      <c r="S6427" s="3"/>
      <c r="T6427" s="3"/>
      <c r="U6427" s="7"/>
      <c r="V6427" s="436"/>
      <c r="W6427" s="6"/>
      <c r="X6427" s="8"/>
      <c r="Y6427" s="8"/>
    </row>
    <row r="6428" spans="3:25">
      <c r="C6428" s="4"/>
      <c r="D6428" s="4"/>
      <c r="E6428" s="5"/>
      <c r="F6428" s="6"/>
      <c r="G6428" s="31"/>
      <c r="H6428" s="6"/>
      <c r="I6428" s="9"/>
      <c r="J6428" s="24"/>
      <c r="K6428" s="10"/>
      <c r="L6428" s="25"/>
      <c r="M6428" s="25"/>
      <c r="N6428" s="8"/>
      <c r="O6428" s="11"/>
      <c r="P6428" s="11"/>
      <c r="Q6428" s="8"/>
      <c r="R6428" s="6"/>
      <c r="S6428" s="3"/>
      <c r="T6428" s="3"/>
      <c r="U6428" s="7"/>
      <c r="V6428" s="436"/>
      <c r="W6428" s="6"/>
      <c r="X6428" s="8"/>
      <c r="Y6428" s="8"/>
    </row>
    <row r="6429" spans="3:25">
      <c r="C6429" s="4"/>
      <c r="D6429" s="4"/>
      <c r="E6429" s="5"/>
      <c r="F6429" s="6"/>
      <c r="G6429" s="31"/>
      <c r="H6429" s="6"/>
      <c r="I6429" s="9"/>
      <c r="J6429" s="24"/>
      <c r="K6429" s="10"/>
      <c r="L6429" s="25"/>
      <c r="M6429" s="25"/>
      <c r="N6429" s="8"/>
      <c r="O6429" s="11"/>
      <c r="P6429" s="11"/>
      <c r="Q6429" s="8"/>
      <c r="R6429" s="6"/>
      <c r="S6429" s="3"/>
      <c r="T6429" s="3"/>
      <c r="U6429" s="7"/>
      <c r="V6429" s="436"/>
      <c r="W6429" s="6"/>
      <c r="X6429" s="8"/>
      <c r="Y6429" s="8"/>
    </row>
    <row r="6430" spans="3:25">
      <c r="C6430" s="4"/>
      <c r="D6430" s="4"/>
      <c r="E6430" s="5"/>
      <c r="F6430" s="6"/>
      <c r="G6430" s="31"/>
      <c r="H6430" s="6"/>
      <c r="I6430" s="9"/>
      <c r="J6430" s="24"/>
      <c r="K6430" s="10"/>
      <c r="L6430" s="25"/>
      <c r="M6430" s="47"/>
      <c r="N6430" s="8"/>
      <c r="O6430" s="11"/>
      <c r="P6430" s="11"/>
      <c r="Q6430" s="8"/>
      <c r="R6430" s="6"/>
      <c r="S6430" s="3"/>
      <c r="T6430" s="3"/>
      <c r="U6430" s="7"/>
      <c r="V6430" s="436"/>
      <c r="W6430" s="6"/>
      <c r="X6430" s="8"/>
      <c r="Y6430" s="8"/>
    </row>
    <row r="6431" spans="3:25">
      <c r="C6431" s="4"/>
      <c r="D6431" s="4"/>
      <c r="E6431" s="5"/>
      <c r="F6431" s="6"/>
      <c r="G6431" s="31"/>
      <c r="H6431" s="6"/>
      <c r="I6431" s="9"/>
      <c r="J6431" s="24"/>
      <c r="K6431" s="10"/>
      <c r="L6431" s="25"/>
      <c r="M6431" s="25"/>
      <c r="N6431" s="8"/>
      <c r="O6431" s="11"/>
      <c r="P6431" s="11"/>
      <c r="Q6431" s="8"/>
      <c r="R6431" s="6"/>
      <c r="S6431" s="3"/>
      <c r="T6431" s="3"/>
      <c r="U6431" s="7"/>
      <c r="V6431" s="436"/>
      <c r="W6431" s="6"/>
      <c r="X6431" s="8"/>
      <c r="Y6431" s="8"/>
    </row>
    <row r="6432" spans="3:25">
      <c r="C6432" s="4"/>
      <c r="D6432" s="4"/>
      <c r="E6432" s="5"/>
      <c r="F6432" s="6"/>
      <c r="G6432" s="31"/>
      <c r="H6432" s="6"/>
      <c r="I6432" s="9"/>
      <c r="J6432" s="24"/>
      <c r="K6432" s="10"/>
      <c r="L6432" s="25"/>
      <c r="M6432" s="25"/>
      <c r="N6432" s="8"/>
      <c r="O6432" s="11"/>
      <c r="P6432" s="11"/>
      <c r="Q6432" s="8"/>
      <c r="R6432" s="6"/>
      <c r="S6432" s="3"/>
      <c r="T6432" s="3"/>
      <c r="U6432" s="7"/>
      <c r="V6432" s="436"/>
      <c r="W6432" s="6"/>
      <c r="X6432" s="8"/>
      <c r="Y6432" s="8"/>
    </row>
    <row r="6433" spans="3:25">
      <c r="C6433" s="4"/>
      <c r="D6433" s="4"/>
      <c r="E6433" s="5"/>
      <c r="F6433" s="6"/>
      <c r="G6433" s="31"/>
      <c r="H6433" s="6"/>
      <c r="I6433" s="9"/>
      <c r="J6433" s="24"/>
      <c r="K6433" s="10"/>
      <c r="L6433" s="25"/>
      <c r="M6433" s="47"/>
      <c r="N6433" s="8"/>
      <c r="O6433" s="11"/>
      <c r="P6433" s="11"/>
      <c r="Q6433" s="8"/>
      <c r="R6433" s="6"/>
      <c r="S6433" s="3"/>
      <c r="T6433" s="3"/>
      <c r="U6433" s="7"/>
      <c r="V6433" s="436"/>
      <c r="W6433" s="6"/>
      <c r="X6433" s="8"/>
      <c r="Y6433" s="8"/>
    </row>
    <row r="6434" spans="3:25">
      <c r="C6434" s="4"/>
      <c r="D6434" s="4"/>
      <c r="E6434" s="5"/>
      <c r="F6434" s="6"/>
      <c r="G6434" s="31"/>
      <c r="H6434" s="6"/>
      <c r="I6434" s="9"/>
      <c r="J6434" s="24"/>
      <c r="K6434" s="10"/>
      <c r="L6434" s="25"/>
      <c r="M6434" s="25"/>
      <c r="N6434" s="8"/>
      <c r="O6434" s="11"/>
      <c r="P6434" s="11"/>
      <c r="Q6434" s="8"/>
      <c r="R6434" s="6"/>
      <c r="S6434" s="3"/>
      <c r="T6434" s="3"/>
      <c r="U6434" s="7"/>
      <c r="V6434" s="436"/>
      <c r="W6434" s="6"/>
      <c r="X6434" s="8"/>
      <c r="Y6434" s="8"/>
    </row>
    <row r="6435" spans="3:25">
      <c r="C6435" s="4"/>
      <c r="D6435" s="4"/>
      <c r="E6435" s="5"/>
      <c r="F6435" s="6"/>
      <c r="G6435" s="31"/>
      <c r="H6435" s="6"/>
      <c r="I6435" s="9"/>
      <c r="J6435" s="24"/>
      <c r="K6435" s="10"/>
      <c r="L6435" s="25"/>
      <c r="M6435" s="25"/>
      <c r="N6435" s="8"/>
      <c r="O6435" s="11"/>
      <c r="P6435" s="11"/>
      <c r="Q6435" s="8"/>
      <c r="R6435" s="6"/>
      <c r="S6435" s="3"/>
      <c r="T6435" s="3"/>
      <c r="U6435" s="7"/>
      <c r="V6435" s="436"/>
      <c r="W6435" s="6"/>
      <c r="X6435" s="8"/>
      <c r="Y6435" s="8"/>
    </row>
    <row r="6436" spans="3:25">
      <c r="C6436" s="4"/>
      <c r="D6436" s="4"/>
      <c r="E6436" s="5"/>
      <c r="F6436" s="6"/>
      <c r="G6436" s="31"/>
      <c r="H6436" s="6"/>
      <c r="I6436" s="9"/>
      <c r="J6436" s="24"/>
      <c r="K6436" s="10"/>
      <c r="L6436" s="25"/>
      <c r="M6436" s="25"/>
      <c r="N6436" s="8"/>
      <c r="O6436" s="11"/>
      <c r="P6436" s="11"/>
      <c r="Q6436" s="8"/>
      <c r="R6436" s="6"/>
      <c r="S6436" s="3"/>
      <c r="T6436" s="3"/>
      <c r="U6436" s="7"/>
      <c r="V6436" s="436"/>
      <c r="W6436" s="6"/>
      <c r="X6436" s="8"/>
      <c r="Y6436" s="8"/>
    </row>
    <row r="6437" spans="3:25">
      <c r="C6437" s="4"/>
      <c r="D6437" s="4"/>
      <c r="E6437" s="5"/>
      <c r="F6437" s="6"/>
      <c r="G6437" s="31"/>
      <c r="H6437" s="6"/>
      <c r="I6437" s="9"/>
      <c r="J6437" s="24"/>
      <c r="K6437" s="10"/>
      <c r="L6437" s="25"/>
      <c r="M6437" s="25"/>
      <c r="N6437" s="8"/>
      <c r="O6437" s="11"/>
      <c r="P6437" s="11"/>
      <c r="Q6437" s="8"/>
      <c r="R6437" s="6"/>
      <c r="S6437" s="3"/>
      <c r="T6437" s="3"/>
      <c r="U6437" s="7"/>
      <c r="V6437" s="436"/>
      <c r="W6437" s="6"/>
      <c r="X6437" s="8"/>
      <c r="Y6437" s="8"/>
    </row>
    <row r="6438" spans="3:25">
      <c r="C6438" s="4"/>
      <c r="D6438" s="4"/>
      <c r="E6438" s="5"/>
      <c r="F6438" s="6"/>
      <c r="G6438" s="31"/>
      <c r="H6438" s="6"/>
      <c r="I6438" s="9"/>
      <c r="J6438" s="24"/>
      <c r="K6438" s="10"/>
      <c r="L6438" s="25"/>
      <c r="M6438" s="25"/>
      <c r="N6438" s="8"/>
      <c r="O6438" s="11"/>
      <c r="P6438" s="11"/>
      <c r="Q6438" s="8"/>
      <c r="R6438" s="6"/>
      <c r="S6438" s="3"/>
      <c r="T6438" s="3"/>
      <c r="U6438" s="7"/>
      <c r="V6438" s="436"/>
      <c r="W6438" s="6"/>
      <c r="X6438" s="8"/>
      <c r="Y6438" s="8"/>
    </row>
    <row r="6439" spans="3:25">
      <c r="C6439" s="4"/>
      <c r="D6439" s="4"/>
      <c r="E6439" s="5"/>
      <c r="F6439" s="6"/>
      <c r="G6439" s="31"/>
      <c r="H6439" s="6"/>
      <c r="I6439" s="9"/>
      <c r="J6439" s="24"/>
      <c r="K6439" s="10"/>
      <c r="L6439" s="25"/>
      <c r="M6439" s="25"/>
      <c r="N6439" s="8"/>
      <c r="O6439" s="11"/>
      <c r="P6439" s="11"/>
      <c r="Q6439" s="8"/>
      <c r="R6439" s="6"/>
      <c r="S6439" s="3"/>
      <c r="T6439" s="3"/>
      <c r="U6439" s="7"/>
      <c r="V6439" s="436"/>
      <c r="W6439" s="6"/>
      <c r="X6439" s="8"/>
      <c r="Y6439" s="8"/>
    </row>
    <row r="6440" spans="3:25">
      <c r="C6440" s="4"/>
      <c r="D6440" s="4"/>
      <c r="E6440" s="5"/>
      <c r="F6440" s="6"/>
      <c r="G6440" s="31"/>
      <c r="H6440" s="6"/>
      <c r="I6440" s="9"/>
      <c r="J6440" s="43"/>
      <c r="K6440" s="10"/>
      <c r="L6440" s="47"/>
      <c r="M6440" s="25"/>
      <c r="N6440" s="8"/>
      <c r="O6440" s="11"/>
      <c r="P6440" s="11"/>
      <c r="Q6440" s="8"/>
      <c r="R6440" s="6"/>
      <c r="S6440" s="3"/>
      <c r="T6440" s="3"/>
      <c r="U6440" s="7"/>
      <c r="V6440" s="436"/>
      <c r="W6440" s="6"/>
      <c r="X6440" s="8"/>
      <c r="Y6440" s="8"/>
    </row>
    <row r="6441" spans="3:25">
      <c r="C6441" s="4"/>
      <c r="D6441" s="4"/>
      <c r="E6441" s="5"/>
      <c r="F6441" s="6"/>
      <c r="G6441" s="31"/>
      <c r="H6441" s="6"/>
      <c r="I6441" s="9"/>
      <c r="J6441" s="24"/>
      <c r="K6441" s="10"/>
      <c r="L6441" s="25"/>
      <c r="M6441" s="25"/>
      <c r="N6441" s="8"/>
      <c r="O6441" s="11"/>
      <c r="P6441" s="11"/>
      <c r="Q6441" s="8"/>
      <c r="R6441" s="6"/>
      <c r="S6441" s="3"/>
      <c r="T6441" s="3"/>
      <c r="U6441" s="7"/>
      <c r="V6441" s="436"/>
      <c r="W6441" s="6"/>
      <c r="X6441" s="8"/>
      <c r="Y6441" s="8"/>
    </row>
    <row r="6442" spans="3:25">
      <c r="C6442" s="4"/>
      <c r="D6442" s="4"/>
      <c r="E6442" s="5"/>
      <c r="F6442" s="6"/>
      <c r="G6442" s="31"/>
      <c r="H6442" s="6"/>
      <c r="I6442" s="9"/>
      <c r="J6442" s="24"/>
      <c r="K6442" s="10"/>
      <c r="L6442" s="25"/>
      <c r="M6442" s="25"/>
      <c r="N6442" s="8"/>
      <c r="O6442" s="11"/>
      <c r="P6442" s="11"/>
      <c r="Q6442" s="8"/>
      <c r="R6442" s="6"/>
      <c r="S6442" s="3"/>
      <c r="T6442" s="3"/>
      <c r="U6442" s="7"/>
      <c r="V6442" s="436"/>
      <c r="W6442" s="6"/>
      <c r="X6442" s="8"/>
      <c r="Y6442" s="8"/>
    </row>
    <row r="6443" spans="3:25">
      <c r="C6443" s="4"/>
      <c r="D6443" s="4"/>
      <c r="E6443" s="5"/>
      <c r="F6443" s="6"/>
      <c r="G6443" s="31"/>
      <c r="H6443" s="6"/>
      <c r="I6443" s="9"/>
      <c r="J6443" s="24"/>
      <c r="K6443" s="10"/>
      <c r="L6443" s="25"/>
      <c r="M6443" s="25"/>
      <c r="N6443" s="8"/>
      <c r="O6443" s="11"/>
      <c r="P6443" s="11"/>
      <c r="Q6443" s="8"/>
      <c r="R6443" s="6"/>
      <c r="S6443" s="3"/>
      <c r="T6443" s="3"/>
      <c r="U6443" s="7"/>
      <c r="V6443" s="436"/>
      <c r="W6443" s="6"/>
      <c r="X6443" s="8"/>
      <c r="Y6443" s="8"/>
    </row>
    <row r="6444" spans="3:25">
      <c r="C6444" s="4"/>
      <c r="D6444" s="4"/>
      <c r="E6444" s="5"/>
      <c r="F6444" s="6"/>
      <c r="G6444" s="31"/>
      <c r="H6444" s="6"/>
      <c r="I6444" s="9"/>
      <c r="J6444" s="24"/>
      <c r="K6444" s="10"/>
      <c r="L6444" s="25"/>
      <c r="M6444" s="25"/>
      <c r="N6444" s="8"/>
      <c r="O6444" s="11"/>
      <c r="P6444" s="11"/>
      <c r="Q6444" s="8"/>
      <c r="R6444" s="6"/>
      <c r="S6444" s="3"/>
      <c r="T6444" s="3"/>
      <c r="U6444" s="7"/>
      <c r="V6444" s="436"/>
      <c r="W6444" s="6"/>
      <c r="X6444" s="8"/>
      <c r="Y6444" s="8"/>
    </row>
    <row r="6445" spans="3:25">
      <c r="C6445" s="4"/>
      <c r="D6445" s="4"/>
      <c r="E6445" s="5"/>
      <c r="F6445" s="6"/>
      <c r="G6445" s="31"/>
      <c r="H6445" s="6"/>
      <c r="I6445" s="9"/>
      <c r="J6445" s="43"/>
      <c r="K6445" s="10"/>
      <c r="L6445" s="25"/>
      <c r="M6445" s="25"/>
      <c r="N6445" s="8"/>
      <c r="O6445" s="11"/>
      <c r="P6445" s="11"/>
      <c r="Q6445" s="8"/>
      <c r="R6445" s="6"/>
      <c r="S6445" s="3"/>
      <c r="T6445" s="3"/>
      <c r="U6445" s="7"/>
      <c r="V6445" s="436"/>
      <c r="W6445" s="6"/>
      <c r="X6445" s="8"/>
      <c r="Y6445" s="8"/>
    </row>
    <row r="6446" spans="3:25">
      <c r="C6446" s="4"/>
      <c r="D6446" s="4"/>
      <c r="E6446" s="5"/>
      <c r="F6446" s="6"/>
      <c r="G6446" s="31"/>
      <c r="H6446" s="6"/>
      <c r="I6446" s="9"/>
      <c r="J6446" s="43"/>
      <c r="K6446" s="10"/>
      <c r="L6446" s="47"/>
      <c r="M6446" s="47"/>
      <c r="N6446" s="8"/>
      <c r="O6446" s="11"/>
      <c r="P6446" s="11"/>
      <c r="Q6446" s="8"/>
      <c r="R6446" s="6"/>
      <c r="S6446" s="3"/>
      <c r="T6446" s="3"/>
      <c r="U6446" s="7"/>
      <c r="V6446" s="436"/>
      <c r="W6446" s="6"/>
      <c r="X6446" s="8"/>
      <c r="Y6446" s="8"/>
    </row>
    <row r="6447" spans="3:25">
      <c r="C6447" s="4"/>
      <c r="D6447" s="4"/>
      <c r="E6447" s="5"/>
      <c r="F6447" s="6"/>
      <c r="G6447" s="31"/>
      <c r="H6447" s="6"/>
      <c r="I6447" s="9"/>
      <c r="J6447" s="24"/>
      <c r="K6447" s="10"/>
      <c r="L6447" s="25"/>
      <c r="M6447" s="25"/>
      <c r="N6447" s="8"/>
      <c r="O6447" s="11"/>
      <c r="P6447" s="11"/>
      <c r="Q6447" s="8"/>
      <c r="R6447" s="6"/>
      <c r="S6447" s="3"/>
      <c r="T6447" s="3"/>
      <c r="U6447" s="7"/>
      <c r="V6447" s="436"/>
      <c r="W6447" s="6"/>
      <c r="X6447" s="8"/>
      <c r="Y6447" s="8"/>
    </row>
    <row r="6448" spans="3:25">
      <c r="C6448" s="4"/>
      <c r="D6448" s="4"/>
      <c r="E6448" s="5"/>
      <c r="F6448" s="6"/>
      <c r="G6448" s="31"/>
      <c r="H6448" s="6"/>
      <c r="I6448" s="9"/>
      <c r="J6448" s="43"/>
      <c r="K6448" s="10"/>
      <c r="L6448" s="25"/>
      <c r="M6448" s="25"/>
      <c r="N6448" s="8"/>
      <c r="O6448" s="11"/>
      <c r="P6448" s="11"/>
      <c r="Q6448" s="8"/>
      <c r="R6448" s="6"/>
      <c r="S6448" s="3"/>
      <c r="T6448" s="3"/>
      <c r="U6448" s="7"/>
      <c r="V6448" s="436"/>
      <c r="W6448" s="6"/>
      <c r="X6448" s="8"/>
      <c r="Y6448" s="8"/>
    </row>
    <row r="6449" spans="3:25">
      <c r="C6449" s="4"/>
      <c r="D6449" s="4"/>
      <c r="E6449" s="5"/>
      <c r="F6449" s="6"/>
      <c r="G6449" s="31"/>
      <c r="H6449" s="6"/>
      <c r="I6449" s="9"/>
      <c r="J6449" s="24"/>
      <c r="K6449" s="10"/>
      <c r="L6449" s="25"/>
      <c r="M6449" s="25"/>
      <c r="N6449" s="8"/>
      <c r="O6449" s="11"/>
      <c r="P6449" s="11"/>
      <c r="Q6449" s="8"/>
      <c r="R6449" s="6"/>
      <c r="S6449" s="3"/>
      <c r="T6449" s="3"/>
      <c r="U6449" s="7"/>
      <c r="V6449" s="436"/>
      <c r="W6449" s="6"/>
      <c r="X6449" s="8"/>
      <c r="Y6449" s="8"/>
    </row>
    <row r="6450" spans="3:25">
      <c r="C6450" s="4"/>
      <c r="D6450" s="4"/>
      <c r="E6450" s="5"/>
      <c r="F6450" s="6"/>
      <c r="G6450" s="31"/>
      <c r="H6450" s="6"/>
      <c r="I6450" s="9"/>
      <c r="J6450" s="24"/>
      <c r="K6450" s="10"/>
      <c r="L6450" s="25"/>
      <c r="M6450" s="25"/>
      <c r="N6450" s="8"/>
      <c r="O6450" s="11"/>
      <c r="P6450" s="11"/>
      <c r="Q6450" s="8"/>
      <c r="R6450" s="6"/>
      <c r="S6450" s="3"/>
      <c r="T6450" s="3"/>
      <c r="U6450" s="7"/>
      <c r="V6450" s="436"/>
      <c r="W6450" s="6"/>
      <c r="X6450" s="8"/>
      <c r="Y6450" s="8"/>
    </row>
    <row r="6451" spans="3:25">
      <c r="C6451" s="4"/>
      <c r="D6451" s="4"/>
      <c r="E6451" s="5"/>
      <c r="F6451" s="6"/>
      <c r="G6451" s="31"/>
      <c r="H6451" s="6"/>
      <c r="I6451" s="9"/>
      <c r="J6451" s="24"/>
      <c r="K6451" s="10"/>
      <c r="L6451" s="25"/>
      <c r="M6451" s="25"/>
      <c r="N6451" s="8"/>
      <c r="O6451" s="11"/>
      <c r="P6451" s="11"/>
      <c r="Q6451" s="8"/>
      <c r="R6451" s="6"/>
      <c r="S6451" s="3"/>
      <c r="T6451" s="3"/>
      <c r="U6451" s="7"/>
      <c r="V6451" s="436"/>
      <c r="W6451" s="6"/>
      <c r="X6451" s="8"/>
      <c r="Y6451" s="8"/>
    </row>
    <row r="6452" spans="3:25">
      <c r="C6452" s="4"/>
      <c r="D6452" s="4"/>
      <c r="E6452" s="5"/>
      <c r="F6452" s="6"/>
      <c r="G6452" s="31"/>
      <c r="H6452" s="6"/>
      <c r="I6452" s="9"/>
      <c r="J6452" s="24"/>
      <c r="K6452" s="10"/>
      <c r="L6452" s="25"/>
      <c r="M6452" s="25"/>
      <c r="N6452" s="8"/>
      <c r="O6452" s="11"/>
      <c r="P6452" s="11"/>
      <c r="Q6452" s="8"/>
      <c r="R6452" s="6"/>
      <c r="S6452" s="3"/>
      <c r="T6452" s="3"/>
      <c r="U6452" s="7"/>
      <c r="V6452" s="436"/>
      <c r="W6452" s="6"/>
      <c r="X6452" s="8"/>
      <c r="Y6452" s="8"/>
    </row>
    <row r="6453" spans="3:25">
      <c r="C6453" s="4"/>
      <c r="D6453" s="4"/>
      <c r="E6453" s="5"/>
      <c r="F6453" s="6"/>
      <c r="G6453" s="31"/>
      <c r="H6453" s="6"/>
      <c r="I6453" s="9"/>
      <c r="J6453" s="24"/>
      <c r="K6453" s="10"/>
      <c r="L6453" s="25"/>
      <c r="M6453" s="47"/>
      <c r="N6453" s="8"/>
      <c r="O6453" s="11"/>
      <c r="P6453" s="11"/>
      <c r="Q6453" s="8"/>
      <c r="R6453" s="6"/>
      <c r="S6453" s="3"/>
      <c r="T6453" s="3"/>
      <c r="U6453" s="7"/>
      <c r="V6453" s="436"/>
      <c r="W6453" s="6"/>
      <c r="X6453" s="8"/>
      <c r="Y6453" s="8"/>
    </row>
    <row r="6454" spans="3:25">
      <c r="C6454" s="4"/>
      <c r="D6454" s="4"/>
      <c r="E6454" s="5"/>
      <c r="F6454" s="6"/>
      <c r="G6454" s="31"/>
      <c r="H6454" s="6"/>
      <c r="I6454" s="9"/>
      <c r="J6454" s="24"/>
      <c r="K6454" s="10"/>
      <c r="L6454" s="25"/>
      <c r="M6454" s="7"/>
      <c r="N6454" s="8"/>
      <c r="O6454" s="11"/>
      <c r="P6454" s="11"/>
      <c r="Q6454" s="8"/>
      <c r="R6454" s="6"/>
      <c r="S6454" s="3"/>
      <c r="T6454" s="3"/>
      <c r="U6454" s="7"/>
      <c r="V6454" s="436"/>
      <c r="W6454" s="6"/>
      <c r="X6454" s="8"/>
      <c r="Y6454" s="8"/>
    </row>
    <row r="6455" spans="3:25">
      <c r="C6455" s="4"/>
      <c r="D6455" s="4"/>
      <c r="E6455" s="5"/>
      <c r="F6455" s="6"/>
      <c r="G6455" s="31"/>
      <c r="H6455" s="6"/>
      <c r="I6455" s="9"/>
      <c r="J6455" s="24"/>
      <c r="K6455" s="10"/>
      <c r="L6455" s="25"/>
      <c r="M6455" s="7"/>
      <c r="N6455" s="8"/>
      <c r="O6455" s="11"/>
      <c r="P6455" s="11"/>
      <c r="Q6455" s="8"/>
      <c r="R6455" s="6"/>
      <c r="S6455" s="3"/>
      <c r="T6455" s="3"/>
      <c r="U6455" s="7"/>
      <c r="V6455" s="436"/>
      <c r="W6455" s="6"/>
      <c r="X6455" s="8"/>
      <c r="Y6455" s="8"/>
    </row>
    <row r="6456" spans="3:25">
      <c r="C6456" s="4"/>
      <c r="D6456" s="4"/>
      <c r="E6456" s="5"/>
      <c r="F6456" s="6"/>
      <c r="G6456" s="31"/>
      <c r="H6456" s="6"/>
      <c r="I6456" s="9"/>
      <c r="J6456" s="24"/>
      <c r="K6456" s="10"/>
      <c r="L6456" s="25"/>
      <c r="M6456" s="7"/>
      <c r="N6456" s="8"/>
      <c r="O6456" s="11"/>
      <c r="P6456" s="11"/>
      <c r="Q6456" s="8"/>
      <c r="R6456" s="6"/>
      <c r="S6456" s="3"/>
      <c r="T6456" s="3"/>
      <c r="U6456" s="7"/>
      <c r="V6456" s="436"/>
      <c r="W6456" s="6"/>
      <c r="X6456" s="8"/>
      <c r="Y6456" s="8"/>
    </row>
    <row r="6457" spans="3:25">
      <c r="C6457" s="4"/>
      <c r="D6457" s="4"/>
      <c r="E6457" s="5"/>
      <c r="F6457" s="6"/>
      <c r="G6457" s="31"/>
      <c r="H6457" s="6"/>
      <c r="I6457" s="9"/>
      <c r="J6457" s="24"/>
      <c r="K6457" s="10"/>
      <c r="L6457" s="25"/>
      <c r="M6457" s="7"/>
      <c r="N6457" s="8"/>
      <c r="O6457" s="11"/>
      <c r="P6457" s="11"/>
      <c r="Q6457" s="8"/>
      <c r="R6457" s="6"/>
      <c r="S6457" s="3"/>
      <c r="T6457" s="3"/>
      <c r="U6457" s="7"/>
      <c r="V6457" s="436"/>
      <c r="W6457" s="6"/>
      <c r="X6457" s="8"/>
      <c r="Y6457" s="8"/>
    </row>
    <row r="6458" spans="3:25">
      <c r="C6458" s="4"/>
      <c r="D6458" s="4"/>
      <c r="E6458" s="5"/>
      <c r="F6458" s="6"/>
      <c r="G6458" s="31"/>
      <c r="H6458" s="6"/>
      <c r="I6458" s="9"/>
      <c r="J6458" s="24"/>
      <c r="K6458" s="10"/>
      <c r="L6458" s="25"/>
      <c r="M6458" s="7"/>
      <c r="N6458" s="8"/>
      <c r="O6458" s="11"/>
      <c r="P6458" s="11"/>
      <c r="Q6458" s="8"/>
      <c r="R6458" s="6"/>
      <c r="S6458" s="3"/>
      <c r="T6458" s="3"/>
      <c r="U6458" s="7"/>
      <c r="V6458" s="436"/>
      <c r="W6458" s="6"/>
      <c r="X6458" s="8"/>
      <c r="Y6458" s="8"/>
    </row>
    <row r="6459" spans="3:25">
      <c r="C6459" s="4"/>
      <c r="D6459" s="4"/>
      <c r="E6459" s="5"/>
      <c r="F6459" s="6"/>
      <c r="G6459" s="31"/>
      <c r="H6459" s="6"/>
      <c r="I6459" s="9"/>
      <c r="J6459" s="24"/>
      <c r="K6459" s="10"/>
      <c r="L6459" s="25"/>
      <c r="M6459" s="7"/>
      <c r="N6459" s="8"/>
      <c r="O6459" s="11"/>
      <c r="P6459" s="11"/>
      <c r="Q6459" s="8"/>
      <c r="R6459" s="6"/>
      <c r="S6459" s="3"/>
      <c r="T6459" s="3"/>
      <c r="U6459" s="7"/>
      <c r="V6459" s="436"/>
      <c r="W6459" s="6"/>
      <c r="X6459" s="8"/>
      <c r="Y6459" s="8"/>
    </row>
    <row r="6460" spans="3:25">
      <c r="C6460" s="4"/>
      <c r="D6460" s="4"/>
      <c r="E6460" s="5"/>
      <c r="F6460" s="6"/>
      <c r="G6460" s="31"/>
      <c r="H6460" s="6"/>
      <c r="I6460" s="9"/>
      <c r="J6460" s="24"/>
      <c r="K6460" s="10"/>
      <c r="L6460" s="25"/>
      <c r="M6460" s="7"/>
      <c r="N6460" s="8"/>
      <c r="O6460" s="11"/>
      <c r="P6460" s="11"/>
      <c r="Q6460" s="8"/>
      <c r="R6460" s="6"/>
      <c r="S6460" s="3"/>
      <c r="T6460" s="3"/>
      <c r="U6460" s="7"/>
      <c r="V6460" s="436"/>
      <c r="W6460" s="6"/>
      <c r="X6460" s="8"/>
      <c r="Y6460" s="8"/>
    </row>
    <row r="6461" spans="3:25">
      <c r="C6461" s="4"/>
      <c r="D6461" s="4"/>
      <c r="E6461" s="5"/>
      <c r="F6461" s="6"/>
      <c r="G6461" s="31"/>
      <c r="H6461" s="6"/>
      <c r="I6461" s="9"/>
      <c r="J6461" s="24"/>
      <c r="K6461" s="10"/>
      <c r="L6461" s="25"/>
      <c r="M6461" s="7"/>
      <c r="N6461" s="8"/>
      <c r="O6461" s="11"/>
      <c r="P6461" s="11"/>
      <c r="Q6461" s="8"/>
      <c r="R6461" s="6"/>
      <c r="S6461" s="3"/>
      <c r="T6461" s="3"/>
      <c r="U6461" s="7"/>
      <c r="V6461" s="436"/>
      <c r="W6461" s="6"/>
      <c r="X6461" s="8"/>
      <c r="Y6461" s="8"/>
    </row>
    <row r="6462" spans="3:25">
      <c r="C6462" s="4"/>
      <c r="D6462" s="4"/>
      <c r="E6462" s="5"/>
      <c r="F6462" s="6"/>
      <c r="G6462" s="31"/>
      <c r="H6462" s="6"/>
      <c r="I6462" s="9"/>
      <c r="J6462" s="24"/>
      <c r="K6462" s="10"/>
      <c r="L6462" s="25"/>
      <c r="M6462" s="7"/>
      <c r="N6462" s="8"/>
      <c r="O6462" s="11"/>
      <c r="P6462" s="11"/>
      <c r="Q6462" s="8"/>
      <c r="R6462" s="6"/>
      <c r="S6462" s="3"/>
      <c r="T6462" s="3"/>
      <c r="U6462" s="7"/>
      <c r="V6462" s="436"/>
      <c r="W6462" s="6"/>
      <c r="X6462" s="8"/>
      <c r="Y6462" s="8"/>
    </row>
    <row r="6463" spans="3:25">
      <c r="C6463" s="4"/>
      <c r="D6463" s="4"/>
      <c r="E6463" s="5"/>
      <c r="F6463" s="6"/>
      <c r="G6463" s="31"/>
      <c r="H6463" s="6"/>
      <c r="I6463" s="9"/>
      <c r="J6463" s="24"/>
      <c r="K6463" s="10"/>
      <c r="L6463" s="25"/>
      <c r="M6463" s="7"/>
      <c r="N6463" s="8"/>
      <c r="O6463" s="11"/>
      <c r="P6463" s="11"/>
      <c r="Q6463" s="8"/>
      <c r="R6463" s="6"/>
      <c r="S6463" s="3"/>
      <c r="T6463" s="3"/>
      <c r="U6463" s="7"/>
      <c r="V6463" s="436"/>
      <c r="W6463" s="6"/>
      <c r="X6463" s="8"/>
      <c r="Y6463" s="8"/>
    </row>
    <row r="6464" spans="3:25">
      <c r="C6464" s="4"/>
      <c r="D6464" s="4"/>
      <c r="E6464" s="5"/>
      <c r="F6464" s="6"/>
      <c r="G6464" s="31"/>
      <c r="H6464" s="6"/>
      <c r="I6464" s="9"/>
      <c r="J6464" s="24"/>
      <c r="K6464" s="10"/>
      <c r="L6464" s="25"/>
      <c r="M6464" s="7"/>
      <c r="N6464" s="8"/>
      <c r="O6464" s="11"/>
      <c r="P6464" s="11"/>
      <c r="Q6464" s="8"/>
      <c r="R6464" s="6"/>
      <c r="S6464" s="3"/>
      <c r="T6464" s="3"/>
      <c r="U6464" s="7"/>
      <c r="V6464" s="436"/>
      <c r="W6464" s="6"/>
      <c r="X6464" s="8"/>
      <c r="Y6464" s="8"/>
    </row>
    <row r="6465" spans="3:25">
      <c r="C6465" s="4"/>
      <c r="D6465" s="4"/>
      <c r="E6465" s="5"/>
      <c r="F6465" s="6"/>
      <c r="G6465" s="31"/>
      <c r="H6465" s="6"/>
      <c r="I6465" s="9"/>
      <c r="J6465" s="24"/>
      <c r="K6465" s="9"/>
      <c r="L6465" s="25"/>
      <c r="M6465" s="7"/>
      <c r="N6465" s="8"/>
      <c r="O6465" s="11"/>
      <c r="P6465" s="11"/>
      <c r="Q6465" s="8"/>
      <c r="R6465" s="6"/>
      <c r="S6465" s="3"/>
      <c r="T6465" s="3"/>
      <c r="U6465" s="7"/>
      <c r="V6465" s="436"/>
      <c r="W6465" s="6"/>
      <c r="X6465" s="8"/>
      <c r="Y6465" s="8"/>
    </row>
    <row r="6466" spans="3:25">
      <c r="C6466" s="4"/>
      <c r="D6466" s="4"/>
      <c r="E6466" s="5"/>
      <c r="F6466" s="6"/>
      <c r="G6466" s="31"/>
      <c r="H6466" s="6"/>
      <c r="I6466" s="9"/>
      <c r="J6466" s="24"/>
      <c r="K6466" s="9"/>
      <c r="L6466" s="25"/>
      <c r="M6466" s="7"/>
      <c r="N6466" s="8"/>
      <c r="O6466" s="11"/>
      <c r="P6466" s="11"/>
      <c r="Q6466" s="8"/>
      <c r="R6466" s="6"/>
      <c r="S6466" s="3"/>
      <c r="T6466" s="3"/>
      <c r="U6466" s="7"/>
      <c r="V6466" s="436"/>
      <c r="W6466" s="6"/>
      <c r="X6466" s="8"/>
      <c r="Y6466" s="8"/>
    </row>
    <row r="6467" spans="3:25">
      <c r="C6467" s="4"/>
      <c r="D6467" s="4"/>
      <c r="E6467" s="5"/>
      <c r="F6467" s="6"/>
      <c r="G6467" s="31"/>
      <c r="H6467" s="6"/>
      <c r="I6467" s="9"/>
      <c r="J6467" s="24"/>
      <c r="K6467" s="9"/>
      <c r="L6467" s="25"/>
      <c r="M6467" s="7"/>
      <c r="N6467" s="8"/>
      <c r="O6467" s="11"/>
      <c r="P6467" s="11"/>
      <c r="Q6467" s="8"/>
      <c r="R6467" s="6"/>
      <c r="S6467" s="3"/>
      <c r="T6467" s="3"/>
      <c r="U6467" s="7"/>
      <c r="V6467" s="445"/>
      <c r="W6467" s="6"/>
      <c r="X6467" s="8"/>
      <c r="Y6467" s="8"/>
    </row>
    <row r="6468" spans="3:25">
      <c r="C6468" s="4"/>
      <c r="D6468" s="4"/>
      <c r="E6468" s="5"/>
      <c r="F6468" s="6"/>
      <c r="G6468" s="31"/>
      <c r="H6468" s="6"/>
      <c r="I6468" s="9"/>
      <c r="J6468" s="24"/>
      <c r="K6468" s="10"/>
      <c r="L6468" s="25"/>
      <c r="M6468" s="7"/>
      <c r="N6468" s="8"/>
      <c r="O6468" s="11"/>
      <c r="P6468" s="11"/>
      <c r="Q6468" s="8"/>
      <c r="R6468" s="6"/>
      <c r="S6468" s="3"/>
      <c r="T6468" s="3"/>
      <c r="U6468" s="7"/>
      <c r="V6468" s="436"/>
      <c r="W6468" s="6"/>
      <c r="X6468" s="8"/>
      <c r="Y6468" s="8"/>
    </row>
    <row r="6469" spans="3:25">
      <c r="C6469" s="4"/>
      <c r="D6469" s="4"/>
      <c r="E6469" s="5"/>
      <c r="F6469" s="6"/>
      <c r="G6469" s="31"/>
      <c r="H6469" s="6"/>
      <c r="I6469" s="9"/>
      <c r="J6469" s="24"/>
      <c r="K6469" s="9"/>
      <c r="L6469" s="25"/>
      <c r="M6469" s="7"/>
      <c r="N6469" s="8"/>
      <c r="O6469" s="11"/>
      <c r="P6469" s="11"/>
      <c r="Q6469" s="8"/>
      <c r="R6469" s="6"/>
      <c r="S6469" s="3"/>
      <c r="T6469" s="3"/>
      <c r="U6469" s="7"/>
      <c r="V6469" s="436"/>
      <c r="W6469" s="6"/>
      <c r="X6469" s="8"/>
      <c r="Y6469" s="8"/>
    </row>
    <row r="6470" spans="3:25">
      <c r="C6470" s="4"/>
      <c r="D6470" s="4"/>
      <c r="E6470" s="5"/>
      <c r="F6470" s="6"/>
      <c r="G6470" s="31"/>
      <c r="H6470" s="6"/>
      <c r="I6470" s="9"/>
      <c r="J6470" s="24"/>
      <c r="K6470" s="9"/>
      <c r="L6470" s="25"/>
      <c r="M6470" s="7"/>
      <c r="N6470" s="8"/>
      <c r="O6470" s="11"/>
      <c r="P6470" s="11"/>
      <c r="Q6470" s="8"/>
      <c r="R6470" s="6"/>
      <c r="S6470" s="3"/>
      <c r="T6470" s="3"/>
      <c r="U6470" s="7"/>
      <c r="V6470" s="436"/>
      <c r="W6470" s="6"/>
      <c r="X6470" s="8"/>
      <c r="Y6470" s="8"/>
    </row>
    <row r="6471" spans="3:25">
      <c r="C6471" s="4"/>
      <c r="D6471" s="4"/>
      <c r="E6471" s="5"/>
      <c r="F6471" s="6"/>
      <c r="G6471" s="31"/>
      <c r="H6471" s="6"/>
      <c r="I6471" s="9"/>
      <c r="J6471" s="24"/>
      <c r="K6471" s="9"/>
      <c r="L6471" s="25"/>
      <c r="M6471" s="7"/>
      <c r="N6471" s="8"/>
      <c r="O6471" s="11"/>
      <c r="P6471" s="11"/>
      <c r="Q6471" s="8"/>
      <c r="R6471" s="6"/>
      <c r="S6471" s="3"/>
      <c r="T6471" s="3"/>
      <c r="U6471" s="7"/>
      <c r="V6471" s="436"/>
      <c r="W6471" s="6"/>
      <c r="X6471" s="8"/>
      <c r="Y6471" s="8"/>
    </row>
    <row r="6472" spans="3:25">
      <c r="C6472" s="4"/>
      <c r="D6472" s="4"/>
      <c r="E6472" s="5"/>
      <c r="F6472" s="6"/>
      <c r="G6472" s="31"/>
      <c r="H6472" s="6"/>
      <c r="I6472" s="9"/>
      <c r="J6472" s="24"/>
      <c r="K6472" s="9"/>
      <c r="L6472" s="25"/>
      <c r="M6472" s="7"/>
      <c r="N6472" s="8"/>
      <c r="O6472" s="11"/>
      <c r="P6472" s="11"/>
      <c r="Q6472" s="8"/>
      <c r="R6472" s="6"/>
      <c r="S6472" s="3"/>
      <c r="T6472" s="3"/>
      <c r="U6472" s="7"/>
      <c r="V6472" s="436"/>
      <c r="W6472" s="6"/>
      <c r="X6472" s="8"/>
      <c r="Y6472" s="8"/>
    </row>
    <row r="6473" spans="3:25">
      <c r="C6473" s="4"/>
      <c r="D6473" s="4"/>
      <c r="E6473" s="5"/>
      <c r="F6473" s="6"/>
      <c r="G6473" s="31"/>
      <c r="H6473" s="6"/>
      <c r="I6473" s="9"/>
      <c r="J6473" s="24"/>
      <c r="K6473" s="9"/>
      <c r="L6473" s="25"/>
      <c r="M6473" s="7"/>
      <c r="N6473" s="8"/>
      <c r="O6473" s="11"/>
      <c r="P6473" s="11"/>
      <c r="Q6473" s="8"/>
      <c r="R6473" s="6"/>
      <c r="S6473" s="3"/>
      <c r="T6473" s="3"/>
      <c r="U6473" s="7"/>
      <c r="V6473" s="436"/>
      <c r="W6473" s="6"/>
      <c r="X6473" s="8"/>
      <c r="Y6473" s="8"/>
    </row>
    <row r="6474" spans="3:25">
      <c r="C6474" s="4"/>
      <c r="D6474" s="4"/>
      <c r="E6474" s="5"/>
      <c r="F6474" s="6"/>
      <c r="G6474" s="31"/>
      <c r="H6474" s="6"/>
      <c r="I6474" s="9"/>
      <c r="J6474" s="24"/>
      <c r="K6474" s="9"/>
      <c r="L6474" s="25"/>
      <c r="M6474" s="7"/>
      <c r="N6474" s="8"/>
      <c r="O6474" s="11"/>
      <c r="P6474" s="11"/>
      <c r="Q6474" s="8"/>
      <c r="R6474" s="6"/>
      <c r="S6474" s="3"/>
      <c r="T6474" s="3"/>
      <c r="U6474" s="7"/>
      <c r="V6474" s="436"/>
      <c r="W6474" s="6"/>
      <c r="X6474" s="8"/>
      <c r="Y6474" s="8"/>
    </row>
    <row r="6475" spans="3:25">
      <c r="C6475" s="4"/>
      <c r="D6475" s="4"/>
      <c r="E6475" s="5"/>
      <c r="F6475" s="6"/>
      <c r="G6475" s="31"/>
      <c r="H6475" s="6"/>
      <c r="I6475" s="9"/>
      <c r="J6475" s="24"/>
      <c r="K6475" s="19"/>
      <c r="L6475" s="25"/>
      <c r="M6475" s="7"/>
      <c r="N6475" s="8"/>
      <c r="O6475" s="11"/>
      <c r="P6475" s="11"/>
      <c r="Q6475" s="8"/>
      <c r="R6475" s="6"/>
      <c r="S6475" s="3"/>
      <c r="T6475" s="3"/>
      <c r="U6475" s="7"/>
      <c r="V6475" s="436"/>
      <c r="W6475" s="6"/>
      <c r="X6475" s="8"/>
      <c r="Y6475" s="8"/>
    </row>
    <row r="6476" spans="3:25">
      <c r="C6476" s="4"/>
      <c r="D6476" s="4"/>
      <c r="E6476" s="5"/>
      <c r="F6476" s="6"/>
      <c r="G6476" s="31"/>
      <c r="H6476" s="6"/>
      <c r="I6476" s="9"/>
      <c r="J6476" s="24"/>
      <c r="K6476" s="10"/>
      <c r="L6476" s="25"/>
      <c r="M6476" s="7"/>
      <c r="N6476" s="8"/>
      <c r="O6476" s="11"/>
      <c r="P6476" s="11"/>
      <c r="Q6476" s="8"/>
      <c r="R6476" s="6"/>
      <c r="S6476" s="3"/>
      <c r="T6476" s="3"/>
      <c r="U6476" s="7"/>
      <c r="V6476" s="436"/>
      <c r="W6476" s="6"/>
      <c r="X6476" s="8"/>
      <c r="Y6476" s="8"/>
    </row>
    <row r="6477" spans="3:25">
      <c r="C6477" s="4"/>
      <c r="D6477" s="4"/>
      <c r="E6477" s="5"/>
      <c r="F6477" s="6"/>
      <c r="G6477" s="31"/>
      <c r="H6477" s="6"/>
      <c r="I6477" s="9"/>
      <c r="J6477" s="24"/>
      <c r="K6477" s="10"/>
      <c r="L6477" s="25"/>
      <c r="M6477" s="47"/>
      <c r="N6477" s="8"/>
      <c r="O6477" s="11"/>
      <c r="P6477" s="11"/>
      <c r="Q6477" s="8"/>
      <c r="R6477" s="6"/>
      <c r="S6477" s="3"/>
      <c r="T6477" s="3"/>
      <c r="U6477" s="7"/>
      <c r="V6477" s="436"/>
      <c r="W6477" s="6"/>
      <c r="X6477" s="8"/>
      <c r="Y6477" s="8"/>
    </row>
    <row r="6478" spans="3:25">
      <c r="C6478" s="4"/>
      <c r="D6478" s="4"/>
      <c r="E6478" s="5"/>
      <c r="F6478" s="6"/>
      <c r="G6478" s="31"/>
      <c r="H6478" s="6"/>
      <c r="I6478" s="9"/>
      <c r="J6478" s="24"/>
      <c r="K6478" s="10"/>
      <c r="L6478" s="25"/>
      <c r="M6478" s="7"/>
      <c r="N6478" s="8"/>
      <c r="O6478" s="11"/>
      <c r="P6478" s="11"/>
      <c r="Q6478" s="8"/>
      <c r="R6478" s="6"/>
      <c r="S6478" s="3"/>
      <c r="T6478" s="3"/>
      <c r="U6478" s="7"/>
      <c r="V6478" s="436"/>
      <c r="W6478" s="6"/>
      <c r="X6478" s="8"/>
      <c r="Y6478" s="8"/>
    </row>
    <row r="6479" spans="3:25">
      <c r="C6479" s="4"/>
      <c r="D6479" s="4"/>
      <c r="E6479" s="5"/>
      <c r="F6479" s="6"/>
      <c r="G6479" s="31"/>
      <c r="H6479" s="6"/>
      <c r="I6479" s="9"/>
      <c r="J6479" s="24"/>
      <c r="K6479" s="10"/>
      <c r="L6479" s="25"/>
      <c r="M6479" s="47"/>
      <c r="N6479" s="8"/>
      <c r="O6479" s="11"/>
      <c r="P6479" s="11"/>
      <c r="Q6479" s="8"/>
      <c r="R6479" s="6"/>
      <c r="S6479" s="3"/>
      <c r="T6479" s="3"/>
      <c r="U6479" s="7"/>
      <c r="V6479" s="436"/>
      <c r="W6479" s="6"/>
      <c r="X6479" s="8"/>
      <c r="Y6479" s="8"/>
    </row>
    <row r="6480" spans="3:25">
      <c r="C6480" s="4"/>
      <c r="D6480" s="4"/>
      <c r="E6480" s="5"/>
      <c r="F6480" s="6"/>
      <c r="G6480" s="31"/>
      <c r="H6480" s="6"/>
      <c r="I6480" s="9"/>
      <c r="J6480" s="24"/>
      <c r="K6480" s="10"/>
      <c r="L6480" s="25"/>
      <c r="M6480" s="47"/>
      <c r="N6480" s="8"/>
      <c r="O6480" s="11"/>
      <c r="P6480" s="11"/>
      <c r="Q6480" s="8"/>
      <c r="R6480" s="6"/>
      <c r="S6480" s="3"/>
      <c r="T6480" s="3"/>
      <c r="U6480" s="7"/>
      <c r="V6480" s="436"/>
      <c r="W6480" s="6"/>
      <c r="X6480" s="8"/>
      <c r="Y6480" s="8"/>
    </row>
    <row r="6481" spans="3:25">
      <c r="C6481" s="4"/>
      <c r="D6481" s="4"/>
      <c r="E6481" s="5"/>
      <c r="F6481" s="6"/>
      <c r="G6481" s="31"/>
      <c r="H6481" s="6"/>
      <c r="I6481" s="9"/>
      <c r="J6481" s="24"/>
      <c r="K6481" s="10"/>
      <c r="L6481" s="25"/>
      <c r="M6481" s="7"/>
      <c r="N6481" s="8"/>
      <c r="O6481" s="11"/>
      <c r="P6481" s="11"/>
      <c r="Q6481" s="8"/>
      <c r="R6481" s="6"/>
      <c r="S6481" s="3"/>
      <c r="T6481" s="3"/>
      <c r="U6481" s="7"/>
      <c r="V6481" s="436"/>
      <c r="W6481" s="6"/>
      <c r="X6481" s="8"/>
      <c r="Y6481" s="8"/>
    </row>
    <row r="6482" spans="3:25">
      <c r="C6482" s="4"/>
      <c r="D6482" s="4"/>
      <c r="E6482" s="5"/>
      <c r="F6482" s="6"/>
      <c r="G6482" s="31"/>
      <c r="H6482" s="6"/>
      <c r="I6482" s="9"/>
      <c r="J6482" s="24"/>
      <c r="K6482" s="9"/>
      <c r="L6482" s="25"/>
      <c r="M6482" s="7"/>
      <c r="N6482" s="8"/>
      <c r="O6482" s="11"/>
      <c r="P6482" s="11"/>
      <c r="Q6482" s="8"/>
      <c r="R6482" s="6"/>
      <c r="S6482" s="3"/>
      <c r="T6482" s="3"/>
      <c r="U6482" s="7"/>
      <c r="V6482" s="445"/>
      <c r="W6482" s="6"/>
      <c r="X6482" s="8"/>
      <c r="Y6482" s="8"/>
    </row>
    <row r="6483" spans="3:25">
      <c r="C6483" s="4"/>
      <c r="D6483" s="4"/>
      <c r="E6483" s="5"/>
      <c r="F6483" s="6"/>
      <c r="G6483" s="31"/>
      <c r="H6483" s="6"/>
      <c r="I6483" s="9"/>
      <c r="J6483" s="24"/>
      <c r="K6483" s="10"/>
      <c r="L6483" s="25"/>
      <c r="M6483" s="7"/>
      <c r="N6483" s="8"/>
      <c r="O6483" s="11"/>
      <c r="P6483" s="11"/>
      <c r="Q6483" s="8"/>
      <c r="R6483" s="6"/>
      <c r="S6483" s="3"/>
      <c r="T6483" s="3"/>
      <c r="U6483" s="7"/>
      <c r="V6483" s="445"/>
      <c r="W6483" s="6"/>
      <c r="X6483" s="8"/>
      <c r="Y6483" s="8"/>
    </row>
    <row r="6484" spans="3:25">
      <c r="C6484" s="4"/>
      <c r="D6484" s="4"/>
      <c r="E6484" s="5"/>
      <c r="F6484" s="6"/>
      <c r="G6484" s="31"/>
      <c r="H6484" s="6"/>
      <c r="I6484" s="9"/>
      <c r="J6484" s="24"/>
      <c r="K6484" s="10"/>
      <c r="L6484" s="25"/>
      <c r="M6484" s="47"/>
      <c r="N6484" s="8"/>
      <c r="O6484" s="11"/>
      <c r="P6484" s="11"/>
      <c r="Q6484" s="8"/>
      <c r="R6484" s="6"/>
      <c r="S6484" s="3"/>
      <c r="T6484" s="3"/>
      <c r="U6484" s="7"/>
      <c r="V6484" s="436"/>
      <c r="W6484" s="6"/>
      <c r="X6484" s="8"/>
      <c r="Y6484" s="8"/>
    </row>
    <row r="6485" spans="3:25">
      <c r="C6485" s="4"/>
      <c r="D6485" s="4"/>
      <c r="E6485" s="5"/>
      <c r="F6485" s="6"/>
      <c r="G6485" s="31"/>
      <c r="H6485" s="6"/>
      <c r="I6485" s="9"/>
      <c r="J6485" s="24"/>
      <c r="K6485" s="10"/>
      <c r="L6485" s="25"/>
      <c r="M6485" s="7"/>
      <c r="N6485" s="8"/>
      <c r="O6485" s="11"/>
      <c r="P6485" s="11"/>
      <c r="Q6485" s="8"/>
      <c r="R6485" s="6"/>
      <c r="S6485" s="3"/>
      <c r="T6485" s="3"/>
      <c r="U6485" s="7"/>
      <c r="V6485" s="445"/>
      <c r="W6485" s="6"/>
      <c r="X6485" s="8"/>
      <c r="Y6485" s="8"/>
    </row>
    <row r="6486" spans="3:25">
      <c r="C6486" s="4"/>
      <c r="D6486" s="4"/>
      <c r="E6486" s="5"/>
      <c r="F6486" s="6"/>
      <c r="G6486" s="31"/>
      <c r="H6486" s="6"/>
      <c r="I6486" s="9"/>
      <c r="J6486" s="24"/>
      <c r="K6486" s="10"/>
      <c r="L6486" s="25"/>
      <c r="M6486" s="7"/>
      <c r="N6486" s="8"/>
      <c r="O6486" s="11"/>
      <c r="P6486" s="11"/>
      <c r="Q6486" s="8"/>
      <c r="R6486" s="6"/>
      <c r="S6486" s="3"/>
      <c r="T6486" s="3"/>
      <c r="U6486" s="7"/>
      <c r="V6486" s="445"/>
      <c r="W6486" s="6"/>
      <c r="X6486" s="8"/>
      <c r="Y6486" s="8"/>
    </row>
    <row r="6487" spans="3:25">
      <c r="C6487" s="4"/>
      <c r="D6487" s="4"/>
      <c r="E6487" s="5"/>
      <c r="F6487" s="6"/>
      <c r="G6487" s="31"/>
      <c r="H6487" s="6"/>
      <c r="I6487" s="9"/>
      <c r="J6487" s="24"/>
      <c r="K6487" s="10"/>
      <c r="L6487" s="25"/>
      <c r="M6487" s="7"/>
      <c r="N6487" s="8"/>
      <c r="O6487" s="11"/>
      <c r="P6487" s="11"/>
      <c r="Q6487" s="8"/>
      <c r="R6487" s="6"/>
      <c r="S6487" s="3"/>
      <c r="T6487" s="3"/>
      <c r="U6487" s="7"/>
      <c r="V6487" s="445"/>
      <c r="W6487" s="6"/>
      <c r="X6487" s="8"/>
      <c r="Y6487" s="8"/>
    </row>
    <row r="6488" spans="3:25">
      <c r="C6488" s="4"/>
      <c r="D6488" s="4"/>
      <c r="E6488" s="5"/>
      <c r="F6488" s="6"/>
      <c r="G6488" s="31"/>
      <c r="H6488" s="6"/>
      <c r="I6488" s="9"/>
      <c r="J6488" s="24"/>
      <c r="K6488" s="9"/>
      <c r="L6488" s="25"/>
      <c r="M6488" s="7"/>
      <c r="N6488" s="8"/>
      <c r="O6488" s="11"/>
      <c r="P6488" s="11"/>
      <c r="Q6488" s="8"/>
      <c r="R6488" s="6"/>
      <c r="S6488" s="3"/>
      <c r="T6488" s="3"/>
      <c r="U6488" s="7"/>
      <c r="V6488" s="436"/>
      <c r="W6488" s="6"/>
      <c r="X6488" s="8"/>
      <c r="Y6488" s="8"/>
    </row>
    <row r="6489" spans="3:25">
      <c r="C6489" s="4"/>
      <c r="D6489" s="4"/>
      <c r="E6489" s="5"/>
      <c r="F6489" s="6"/>
      <c r="G6489" s="31"/>
      <c r="H6489" s="6"/>
      <c r="I6489" s="9"/>
      <c r="J6489" s="24"/>
      <c r="K6489" s="9"/>
      <c r="L6489" s="25"/>
      <c r="M6489" s="7"/>
      <c r="N6489" s="8"/>
      <c r="O6489" s="11"/>
      <c r="P6489" s="11"/>
      <c r="Q6489" s="8"/>
      <c r="R6489" s="6"/>
      <c r="S6489" s="3"/>
      <c r="T6489" s="3"/>
      <c r="U6489" s="7"/>
      <c r="V6489" s="436"/>
      <c r="W6489" s="6"/>
      <c r="X6489" s="8"/>
      <c r="Y6489" s="8"/>
    </row>
    <row r="6490" spans="3:25">
      <c r="C6490" s="4"/>
      <c r="D6490" s="4"/>
      <c r="E6490" s="5"/>
      <c r="F6490" s="6"/>
      <c r="G6490" s="31"/>
      <c r="H6490" s="6"/>
      <c r="I6490" s="9"/>
      <c r="J6490" s="24"/>
      <c r="K6490" s="10"/>
      <c r="L6490" s="25"/>
      <c r="M6490" s="7"/>
      <c r="N6490" s="8"/>
      <c r="O6490" s="11"/>
      <c r="P6490" s="11"/>
      <c r="Q6490" s="8"/>
      <c r="R6490" s="6"/>
      <c r="S6490" s="3"/>
      <c r="T6490" s="3"/>
      <c r="U6490" s="7"/>
      <c r="V6490" s="436"/>
      <c r="W6490" s="6"/>
      <c r="X6490" s="8"/>
      <c r="Y6490" s="8"/>
    </row>
    <row r="6491" spans="3:25">
      <c r="C6491" s="4"/>
      <c r="D6491" s="4"/>
      <c r="E6491" s="5"/>
      <c r="F6491" s="6"/>
      <c r="G6491" s="31"/>
      <c r="H6491" s="6"/>
      <c r="I6491" s="9"/>
      <c r="J6491" s="24"/>
      <c r="K6491" s="9"/>
      <c r="L6491" s="25"/>
      <c r="M6491" s="7"/>
      <c r="N6491" s="8"/>
      <c r="O6491" s="11"/>
      <c r="P6491" s="11"/>
      <c r="Q6491" s="8"/>
      <c r="R6491" s="6"/>
      <c r="S6491" s="3"/>
      <c r="T6491" s="3"/>
      <c r="U6491" s="7"/>
      <c r="V6491" s="436"/>
      <c r="W6491" s="6"/>
      <c r="X6491" s="8"/>
      <c r="Y6491" s="8"/>
    </row>
    <row r="6492" spans="3:25">
      <c r="C6492" s="4"/>
      <c r="D6492" s="4"/>
      <c r="E6492" s="5"/>
      <c r="F6492" s="6"/>
      <c r="G6492" s="31"/>
      <c r="H6492" s="6"/>
      <c r="I6492" s="9"/>
      <c r="J6492" s="24"/>
      <c r="K6492" s="9"/>
      <c r="L6492" s="25"/>
      <c r="M6492" s="7"/>
      <c r="N6492" s="8"/>
      <c r="O6492" s="11"/>
      <c r="P6492" s="11"/>
      <c r="Q6492" s="8"/>
      <c r="R6492" s="6"/>
      <c r="S6492" s="3"/>
      <c r="T6492" s="3"/>
      <c r="U6492" s="7"/>
      <c r="V6492" s="436"/>
      <c r="W6492" s="6"/>
      <c r="X6492" s="8"/>
      <c r="Y6492" s="8"/>
    </row>
    <row r="6493" spans="3:25">
      <c r="C6493" s="4"/>
      <c r="D6493" s="4"/>
      <c r="E6493" s="5"/>
      <c r="F6493" s="6"/>
      <c r="G6493" s="31"/>
      <c r="H6493" s="6"/>
      <c r="I6493" s="9"/>
      <c r="J6493" s="45"/>
      <c r="K6493" s="10"/>
      <c r="L6493" s="25"/>
      <c r="M6493" s="25"/>
      <c r="N6493" s="8"/>
      <c r="O6493" s="11"/>
      <c r="P6493" s="11"/>
      <c r="Q6493" s="8"/>
      <c r="R6493" s="6"/>
      <c r="S6493" s="3"/>
      <c r="T6493" s="3"/>
      <c r="U6493" s="7"/>
      <c r="V6493" s="436"/>
      <c r="W6493" s="6"/>
      <c r="X6493" s="8"/>
      <c r="Y6493" s="8"/>
    </row>
    <row r="6494" spans="3:25">
      <c r="C6494" s="4"/>
      <c r="D6494" s="4"/>
      <c r="E6494" s="5"/>
      <c r="F6494" s="6"/>
      <c r="G6494" s="31"/>
      <c r="H6494" s="6"/>
      <c r="I6494" s="9"/>
      <c r="J6494" s="24"/>
      <c r="K6494" s="10"/>
      <c r="L6494" s="25"/>
      <c r="M6494" s="47"/>
      <c r="N6494" s="8"/>
      <c r="O6494" s="11"/>
      <c r="P6494" s="11"/>
      <c r="Q6494" s="8"/>
      <c r="R6494" s="6"/>
      <c r="S6494" s="3"/>
      <c r="T6494" s="3"/>
      <c r="U6494" s="7"/>
      <c r="V6494" s="436"/>
      <c r="W6494" s="6"/>
      <c r="X6494" s="8"/>
      <c r="Y6494" s="8"/>
    </row>
    <row r="6495" spans="3:25">
      <c r="C6495" s="4"/>
      <c r="D6495" s="4"/>
      <c r="E6495" s="5"/>
      <c r="F6495" s="6"/>
      <c r="G6495" s="31"/>
      <c r="H6495" s="6"/>
      <c r="I6495" s="9"/>
      <c r="J6495" s="24"/>
      <c r="K6495" s="10"/>
      <c r="L6495" s="25"/>
      <c r="M6495" s="47"/>
      <c r="N6495" s="8"/>
      <c r="O6495" s="11"/>
      <c r="P6495" s="11"/>
      <c r="Q6495" s="8"/>
      <c r="R6495" s="6"/>
      <c r="S6495" s="3"/>
      <c r="T6495" s="3"/>
      <c r="U6495" s="7"/>
      <c r="V6495" s="436"/>
      <c r="W6495" s="6"/>
      <c r="X6495" s="8"/>
      <c r="Y6495" s="8"/>
    </row>
    <row r="6496" spans="3:25">
      <c r="C6496" s="4"/>
      <c r="D6496" s="4"/>
      <c r="E6496" s="5"/>
      <c r="F6496" s="6"/>
      <c r="G6496" s="31"/>
      <c r="H6496" s="6"/>
      <c r="I6496" s="9"/>
      <c r="J6496" s="24"/>
      <c r="K6496" s="10"/>
      <c r="L6496" s="25"/>
      <c r="M6496" s="47"/>
      <c r="N6496" s="8"/>
      <c r="O6496" s="11"/>
      <c r="P6496" s="11"/>
      <c r="Q6496" s="8"/>
      <c r="R6496" s="6"/>
      <c r="S6496" s="3"/>
      <c r="T6496" s="3"/>
      <c r="U6496" s="7"/>
      <c r="V6496" s="436"/>
      <c r="W6496" s="6"/>
      <c r="X6496" s="8"/>
      <c r="Y6496" s="8"/>
    </row>
    <row r="6497" spans="3:25">
      <c r="C6497" s="4"/>
      <c r="D6497" s="4"/>
      <c r="E6497" s="5"/>
      <c r="F6497" s="6"/>
      <c r="G6497" s="31"/>
      <c r="H6497" s="6"/>
      <c r="I6497" s="9"/>
      <c r="J6497" s="24"/>
      <c r="K6497" s="10"/>
      <c r="L6497" s="25"/>
      <c r="M6497" s="7"/>
      <c r="N6497" s="8"/>
      <c r="O6497" s="11"/>
      <c r="P6497" s="11"/>
      <c r="Q6497" s="8"/>
      <c r="R6497" s="6"/>
      <c r="S6497" s="3"/>
      <c r="T6497" s="3"/>
      <c r="U6497" s="7"/>
      <c r="V6497" s="436"/>
      <c r="W6497" s="6"/>
      <c r="X6497" s="8"/>
      <c r="Y6497" s="8"/>
    </row>
    <row r="6498" spans="3:25">
      <c r="C6498" s="4"/>
      <c r="D6498" s="4"/>
      <c r="E6498" s="5"/>
      <c r="F6498" s="6"/>
      <c r="G6498" s="31"/>
      <c r="H6498" s="6"/>
      <c r="I6498" s="9"/>
      <c r="J6498" s="24"/>
      <c r="K6498" s="10"/>
      <c r="L6498" s="25"/>
      <c r="M6498" s="47"/>
      <c r="N6498" s="8"/>
      <c r="O6498" s="11"/>
      <c r="P6498" s="11"/>
      <c r="Q6498" s="8"/>
      <c r="R6498" s="6"/>
      <c r="S6498" s="3"/>
      <c r="T6498" s="3"/>
      <c r="U6498" s="7"/>
      <c r="V6498" s="436"/>
      <c r="W6498" s="6"/>
      <c r="X6498" s="8"/>
      <c r="Y6498" s="8"/>
    </row>
    <row r="6499" spans="3:25">
      <c r="C6499" s="4"/>
      <c r="D6499" s="4"/>
      <c r="E6499" s="5"/>
      <c r="F6499" s="6"/>
      <c r="G6499" s="31"/>
      <c r="H6499" s="6"/>
      <c r="I6499" s="9"/>
      <c r="J6499" s="24"/>
      <c r="K6499" s="10"/>
      <c r="L6499" s="25"/>
      <c r="M6499" s="7"/>
      <c r="N6499" s="8"/>
      <c r="O6499" s="11"/>
      <c r="P6499" s="11"/>
      <c r="Q6499" s="8"/>
      <c r="R6499" s="6"/>
      <c r="S6499" s="3"/>
      <c r="T6499" s="3"/>
      <c r="U6499" s="7"/>
      <c r="V6499" s="436"/>
      <c r="W6499" s="6"/>
      <c r="X6499" s="8"/>
      <c r="Y6499" s="8"/>
    </row>
    <row r="6500" spans="3:25">
      <c r="C6500" s="4"/>
      <c r="D6500" s="4"/>
      <c r="E6500" s="5"/>
      <c r="F6500" s="6"/>
      <c r="G6500" s="31"/>
      <c r="H6500" s="6"/>
      <c r="I6500" s="9"/>
      <c r="J6500" s="24"/>
      <c r="K6500" s="10"/>
      <c r="L6500" s="25"/>
      <c r="M6500" s="7"/>
      <c r="N6500" s="8"/>
      <c r="O6500" s="11"/>
      <c r="P6500" s="11"/>
      <c r="Q6500" s="8"/>
      <c r="R6500" s="6"/>
      <c r="S6500" s="3"/>
      <c r="T6500" s="3"/>
      <c r="U6500" s="7"/>
      <c r="V6500" s="436"/>
      <c r="W6500" s="6"/>
      <c r="X6500" s="8"/>
      <c r="Y6500" s="8"/>
    </row>
    <row r="6501" spans="3:25">
      <c r="C6501" s="4"/>
      <c r="D6501" s="4"/>
      <c r="E6501" s="5"/>
      <c r="F6501" s="6"/>
      <c r="G6501" s="31"/>
      <c r="H6501" s="6"/>
      <c r="I6501" s="9"/>
      <c r="J6501" s="24"/>
      <c r="K6501" s="10"/>
      <c r="L6501" s="25"/>
      <c r="M6501" s="7"/>
      <c r="N6501" s="8"/>
      <c r="O6501" s="11"/>
      <c r="P6501" s="11"/>
      <c r="Q6501" s="8"/>
      <c r="R6501" s="6"/>
      <c r="S6501" s="3"/>
      <c r="T6501" s="3"/>
      <c r="U6501" s="7"/>
      <c r="V6501" s="436"/>
      <c r="W6501" s="6"/>
      <c r="X6501" s="8"/>
      <c r="Y6501" s="8"/>
    </row>
    <row r="6502" spans="3:25">
      <c r="C6502" s="4"/>
      <c r="D6502" s="4"/>
      <c r="E6502" s="5"/>
      <c r="F6502" s="6"/>
      <c r="G6502" s="31"/>
      <c r="H6502" s="6"/>
      <c r="I6502" s="9"/>
      <c r="J6502" s="24"/>
      <c r="K6502" s="10"/>
      <c r="L6502" s="25"/>
      <c r="M6502" s="7"/>
      <c r="N6502" s="8"/>
      <c r="O6502" s="11"/>
      <c r="P6502" s="11"/>
      <c r="Q6502" s="8"/>
      <c r="R6502" s="6"/>
      <c r="S6502" s="3"/>
      <c r="T6502" s="3"/>
      <c r="U6502" s="7"/>
      <c r="V6502" s="436"/>
      <c r="W6502" s="6"/>
      <c r="X6502" s="8"/>
      <c r="Y6502" s="8"/>
    </row>
    <row r="6503" spans="3:25">
      <c r="C6503" s="4"/>
      <c r="D6503" s="4"/>
      <c r="E6503" s="5"/>
      <c r="F6503" s="6"/>
      <c r="G6503" s="31"/>
      <c r="H6503" s="28"/>
      <c r="I6503" s="9"/>
      <c r="J6503" s="24"/>
      <c r="K6503" s="10"/>
      <c r="L6503" s="25"/>
      <c r="M6503" s="7"/>
      <c r="N6503" s="8"/>
      <c r="O6503" s="11"/>
      <c r="P6503" s="11"/>
      <c r="Q6503" s="8"/>
      <c r="R6503" s="6"/>
      <c r="S6503" s="3"/>
      <c r="T6503" s="3"/>
      <c r="U6503" s="7"/>
      <c r="V6503" s="436"/>
      <c r="W6503" s="6"/>
      <c r="X6503" s="8"/>
      <c r="Y6503" s="8"/>
    </row>
    <row r="6504" spans="3:25">
      <c r="C6504" s="4"/>
      <c r="D6504" s="4"/>
      <c r="E6504" s="5"/>
      <c r="F6504" s="6"/>
      <c r="G6504" s="31"/>
      <c r="H6504" s="6"/>
      <c r="I6504" s="9"/>
      <c r="J6504" s="24"/>
      <c r="K6504" s="10"/>
      <c r="L6504" s="25"/>
      <c r="M6504" s="7"/>
      <c r="N6504" s="8"/>
      <c r="O6504" s="11"/>
      <c r="P6504" s="11"/>
      <c r="Q6504" s="8"/>
      <c r="R6504" s="6"/>
      <c r="S6504" s="3"/>
      <c r="T6504" s="3"/>
      <c r="U6504" s="7"/>
      <c r="V6504" s="436"/>
      <c r="W6504" s="6"/>
      <c r="X6504" s="8"/>
      <c r="Y6504" s="8"/>
    </row>
    <row r="6505" spans="3:25">
      <c r="C6505" s="4"/>
      <c r="D6505" s="4"/>
      <c r="E6505" s="5"/>
      <c r="F6505" s="6"/>
      <c r="G6505" s="31"/>
      <c r="H6505" s="6"/>
      <c r="I6505" s="9"/>
      <c r="J6505" s="24"/>
      <c r="K6505" s="9"/>
      <c r="L6505" s="25"/>
      <c r="M6505" s="47"/>
      <c r="N6505" s="8"/>
      <c r="O6505" s="11"/>
      <c r="P6505" s="11"/>
      <c r="Q6505" s="8"/>
      <c r="R6505" s="6"/>
      <c r="S6505" s="3"/>
      <c r="T6505" s="3"/>
      <c r="U6505" s="7"/>
      <c r="V6505" s="436"/>
      <c r="W6505" s="6"/>
      <c r="X6505" s="8"/>
      <c r="Y6505" s="8"/>
    </row>
    <row r="6506" spans="3:25">
      <c r="C6506" s="4"/>
      <c r="D6506" s="4"/>
      <c r="E6506" s="5"/>
      <c r="F6506" s="6"/>
      <c r="G6506" s="31"/>
      <c r="H6506" s="6"/>
      <c r="I6506" s="9"/>
      <c r="J6506" s="24"/>
      <c r="K6506" s="10"/>
      <c r="L6506" s="25"/>
      <c r="M6506" s="7"/>
      <c r="N6506" s="8"/>
      <c r="O6506" s="11"/>
      <c r="P6506" s="11"/>
      <c r="Q6506" s="8"/>
      <c r="R6506" s="6"/>
      <c r="S6506" s="3"/>
      <c r="T6506" s="3"/>
      <c r="U6506" s="7"/>
      <c r="V6506" s="436"/>
      <c r="W6506" s="6"/>
      <c r="X6506" s="8"/>
      <c r="Y6506" s="8"/>
    </row>
    <row r="6507" spans="3:25">
      <c r="C6507" s="4"/>
      <c r="D6507" s="4"/>
      <c r="E6507" s="5"/>
      <c r="F6507" s="6"/>
      <c r="G6507" s="31"/>
      <c r="H6507" s="6"/>
      <c r="I6507" s="9"/>
      <c r="J6507" s="24"/>
      <c r="K6507" s="10"/>
      <c r="L6507" s="25"/>
      <c r="M6507" s="7"/>
      <c r="N6507" s="8"/>
      <c r="O6507" s="11"/>
      <c r="P6507" s="11"/>
      <c r="Q6507" s="8"/>
      <c r="R6507" s="6"/>
      <c r="S6507" s="3"/>
      <c r="T6507" s="3"/>
      <c r="U6507" s="7"/>
      <c r="V6507" s="436"/>
      <c r="W6507" s="6"/>
      <c r="X6507" s="8"/>
      <c r="Y6507" s="8"/>
    </row>
    <row r="6508" spans="3:25">
      <c r="C6508" s="4"/>
      <c r="D6508" s="4"/>
      <c r="E6508" s="5"/>
      <c r="F6508" s="6"/>
      <c r="G6508" s="31"/>
      <c r="H6508" s="6"/>
      <c r="I6508" s="9"/>
      <c r="J6508" s="24"/>
      <c r="K6508" s="10"/>
      <c r="L6508" s="25"/>
      <c r="M6508" s="7"/>
      <c r="N6508" s="8"/>
      <c r="O6508" s="11"/>
      <c r="P6508" s="11"/>
      <c r="Q6508" s="8"/>
      <c r="R6508" s="6"/>
      <c r="S6508" s="3"/>
      <c r="T6508" s="3"/>
      <c r="U6508" s="7"/>
      <c r="V6508" s="436"/>
      <c r="W6508" s="6"/>
      <c r="X6508" s="8"/>
      <c r="Y6508" s="8"/>
    </row>
    <row r="6509" spans="3:25">
      <c r="C6509" s="4"/>
      <c r="D6509" s="4"/>
      <c r="E6509" s="5"/>
      <c r="F6509" s="6"/>
      <c r="G6509" s="31"/>
      <c r="H6509" s="6"/>
      <c r="I6509" s="9"/>
      <c r="J6509" s="24"/>
      <c r="K6509" s="9"/>
      <c r="L6509" s="25"/>
      <c r="M6509" s="7"/>
      <c r="N6509" s="8"/>
      <c r="O6509" s="11"/>
      <c r="P6509" s="11"/>
      <c r="Q6509" s="8"/>
      <c r="R6509" s="6"/>
      <c r="S6509" s="3"/>
      <c r="T6509" s="3"/>
      <c r="U6509" s="7"/>
      <c r="V6509" s="436"/>
      <c r="W6509" s="6"/>
      <c r="X6509" s="8"/>
      <c r="Y6509" s="8"/>
    </row>
    <row r="6510" spans="3:25">
      <c r="C6510" s="4"/>
      <c r="D6510" s="4"/>
      <c r="E6510" s="5"/>
      <c r="F6510" s="6"/>
      <c r="G6510" s="31"/>
      <c r="H6510" s="6"/>
      <c r="I6510" s="9"/>
      <c r="J6510" s="24"/>
      <c r="K6510" s="9"/>
      <c r="L6510" s="25"/>
      <c r="M6510" s="7"/>
      <c r="N6510" s="8"/>
      <c r="O6510" s="11"/>
      <c r="P6510" s="11"/>
      <c r="Q6510" s="8"/>
      <c r="R6510" s="6"/>
      <c r="S6510" s="3"/>
      <c r="T6510" s="3"/>
      <c r="U6510" s="7"/>
      <c r="V6510" s="436"/>
      <c r="W6510" s="6"/>
      <c r="X6510" s="8"/>
      <c r="Y6510" s="8"/>
    </row>
    <row r="6511" spans="3:25">
      <c r="C6511" s="4"/>
      <c r="D6511" s="4"/>
      <c r="E6511" s="5"/>
      <c r="F6511" s="6"/>
      <c r="G6511" s="31"/>
      <c r="H6511" s="6"/>
      <c r="I6511" s="9"/>
      <c r="J6511" s="24"/>
      <c r="K6511" s="9"/>
      <c r="L6511" s="25"/>
      <c r="M6511" s="25"/>
      <c r="N6511" s="8"/>
      <c r="O6511" s="11"/>
      <c r="P6511" s="11"/>
      <c r="Q6511" s="8"/>
      <c r="R6511" s="6"/>
      <c r="S6511" s="3"/>
      <c r="T6511" s="3"/>
      <c r="U6511" s="7"/>
      <c r="V6511" s="436"/>
      <c r="W6511" s="6"/>
      <c r="X6511" s="8"/>
      <c r="Y6511" s="8"/>
    </row>
    <row r="6512" spans="3:25">
      <c r="C6512" s="4"/>
      <c r="D6512" s="4"/>
      <c r="E6512" s="5"/>
      <c r="F6512" s="6"/>
      <c r="G6512" s="31"/>
      <c r="H6512" s="6"/>
      <c r="I6512" s="9"/>
      <c r="J6512" s="24"/>
      <c r="K6512" s="9"/>
      <c r="L6512" s="25"/>
      <c r="M6512" s="25"/>
      <c r="N6512" s="8"/>
      <c r="O6512" s="11"/>
      <c r="P6512" s="11"/>
      <c r="Q6512" s="8"/>
      <c r="R6512" s="6"/>
      <c r="S6512" s="3"/>
      <c r="T6512" s="3"/>
      <c r="U6512" s="7"/>
      <c r="V6512" s="436"/>
      <c r="W6512" s="6"/>
      <c r="X6512" s="8"/>
      <c r="Y6512" s="8"/>
    </row>
    <row r="6513" spans="3:25">
      <c r="C6513" s="4"/>
      <c r="D6513" s="4"/>
      <c r="E6513" s="5"/>
      <c r="F6513" s="6"/>
      <c r="G6513" s="31"/>
      <c r="H6513" s="6"/>
      <c r="I6513" s="9"/>
      <c r="J6513" s="24"/>
      <c r="K6513" s="9"/>
      <c r="L6513" s="25"/>
      <c r="M6513" s="25"/>
      <c r="N6513" s="8"/>
      <c r="O6513" s="11"/>
      <c r="P6513" s="11"/>
      <c r="Q6513" s="8"/>
      <c r="R6513" s="6"/>
      <c r="S6513" s="3"/>
      <c r="T6513" s="3"/>
      <c r="U6513" s="7"/>
      <c r="V6513" s="436"/>
      <c r="W6513" s="6"/>
      <c r="X6513" s="8"/>
      <c r="Y6513" s="8"/>
    </row>
    <row r="6514" spans="3:25">
      <c r="C6514" s="4"/>
      <c r="D6514" s="4"/>
      <c r="E6514" s="5"/>
      <c r="F6514" s="6"/>
      <c r="G6514" s="31"/>
      <c r="H6514" s="6"/>
      <c r="I6514" s="9"/>
      <c r="J6514" s="24"/>
      <c r="K6514" s="10"/>
      <c r="L6514" s="25"/>
      <c r="M6514" s="7"/>
      <c r="N6514" s="8"/>
      <c r="O6514" s="11"/>
      <c r="P6514" s="11"/>
      <c r="Q6514" s="8"/>
      <c r="R6514" s="6"/>
      <c r="S6514" s="3"/>
      <c r="T6514" s="3"/>
      <c r="U6514" s="7"/>
      <c r="V6514" s="436"/>
      <c r="W6514" s="6"/>
      <c r="X6514" s="8"/>
      <c r="Y6514" s="8"/>
    </row>
    <row r="6515" spans="3:25">
      <c r="C6515" s="4"/>
      <c r="D6515" s="4"/>
      <c r="E6515" s="5"/>
      <c r="F6515" s="6"/>
      <c r="G6515" s="31"/>
      <c r="H6515" s="6"/>
      <c r="I6515" s="9"/>
      <c r="J6515" s="24"/>
      <c r="K6515" s="10"/>
      <c r="L6515" s="25"/>
      <c r="M6515" s="7"/>
      <c r="N6515" s="8"/>
      <c r="O6515" s="11"/>
      <c r="P6515" s="11"/>
      <c r="Q6515" s="8"/>
      <c r="R6515" s="6"/>
      <c r="S6515" s="3"/>
      <c r="T6515" s="3"/>
      <c r="U6515" s="7"/>
      <c r="V6515" s="436"/>
      <c r="W6515" s="6"/>
      <c r="X6515" s="8"/>
      <c r="Y6515" s="8"/>
    </row>
    <row r="6516" spans="3:25">
      <c r="C6516" s="4"/>
      <c r="D6516" s="4"/>
      <c r="E6516" s="5"/>
      <c r="F6516" s="6"/>
      <c r="G6516" s="31"/>
      <c r="H6516" s="6"/>
      <c r="I6516" s="9"/>
      <c r="J6516" s="24"/>
      <c r="K6516" s="10"/>
      <c r="L6516" s="25"/>
      <c r="M6516" s="7"/>
      <c r="N6516" s="8"/>
      <c r="O6516" s="11"/>
      <c r="P6516" s="11"/>
      <c r="Q6516" s="8"/>
      <c r="R6516" s="6"/>
      <c r="S6516" s="3"/>
      <c r="T6516" s="3"/>
      <c r="U6516" s="7"/>
      <c r="V6516" s="436"/>
      <c r="W6516" s="6"/>
      <c r="X6516" s="8"/>
      <c r="Y6516" s="8"/>
    </row>
    <row r="6517" spans="3:25">
      <c r="C6517" s="4"/>
      <c r="D6517" s="4"/>
      <c r="E6517" s="5"/>
      <c r="F6517" s="6"/>
      <c r="G6517" s="31"/>
      <c r="H6517" s="6"/>
      <c r="I6517" s="9"/>
      <c r="J6517" s="24"/>
      <c r="K6517" s="9"/>
      <c r="L6517" s="25"/>
      <c r="M6517" s="7"/>
      <c r="N6517" s="8"/>
      <c r="O6517" s="11"/>
      <c r="P6517" s="6"/>
      <c r="Q6517" s="8"/>
      <c r="R6517" s="6"/>
      <c r="S6517" s="3"/>
      <c r="T6517" s="3"/>
      <c r="U6517" s="7"/>
      <c r="V6517" s="436"/>
      <c r="W6517" s="6"/>
      <c r="X6517" s="8"/>
      <c r="Y6517" s="8"/>
    </row>
    <row r="6518" spans="3:25">
      <c r="C6518" s="4"/>
      <c r="D6518" s="4"/>
      <c r="E6518" s="5"/>
      <c r="F6518" s="6"/>
      <c r="G6518" s="31"/>
      <c r="H6518" s="6"/>
      <c r="I6518" s="9"/>
      <c r="J6518" s="24"/>
      <c r="K6518" s="9"/>
      <c r="L6518" s="25"/>
      <c r="M6518" s="7"/>
      <c r="N6518" s="8"/>
      <c r="O6518" s="11"/>
      <c r="P6518" s="6"/>
      <c r="Q6518" s="8"/>
      <c r="R6518" s="6"/>
      <c r="S6518" s="3"/>
      <c r="T6518" s="3"/>
      <c r="U6518" s="7"/>
      <c r="V6518" s="436"/>
      <c r="W6518" s="6"/>
      <c r="X6518" s="8"/>
      <c r="Y6518" s="8"/>
    </row>
    <row r="6519" spans="3:25">
      <c r="C6519" s="4"/>
      <c r="D6519" s="4"/>
      <c r="E6519" s="5"/>
      <c r="F6519" s="6"/>
      <c r="G6519" s="31"/>
      <c r="H6519" s="6"/>
      <c r="I6519" s="9"/>
      <c r="J6519" s="24"/>
      <c r="K6519" s="9"/>
      <c r="L6519" s="25"/>
      <c r="M6519" s="7"/>
      <c r="N6519" s="8"/>
      <c r="O6519" s="11"/>
      <c r="P6519" s="6"/>
      <c r="Q6519" s="8"/>
      <c r="R6519" s="6"/>
      <c r="S6519" s="3"/>
      <c r="T6519" s="3"/>
      <c r="U6519" s="7"/>
      <c r="V6519" s="436"/>
      <c r="W6519" s="6"/>
      <c r="X6519" s="8"/>
      <c r="Y6519" s="8"/>
    </row>
    <row r="6520" spans="3:25">
      <c r="C6520" s="4"/>
      <c r="D6520" s="4"/>
      <c r="E6520" s="5"/>
      <c r="F6520" s="6"/>
      <c r="G6520" s="31"/>
      <c r="H6520" s="6"/>
      <c r="I6520" s="9"/>
      <c r="J6520" s="24"/>
      <c r="K6520" s="10"/>
      <c r="L6520" s="25"/>
      <c r="M6520" s="7"/>
      <c r="N6520" s="8"/>
      <c r="O6520" s="11"/>
      <c r="P6520" s="11"/>
      <c r="Q6520" s="8"/>
      <c r="R6520" s="6"/>
      <c r="S6520" s="3"/>
      <c r="T6520" s="3"/>
      <c r="U6520" s="7"/>
      <c r="V6520" s="436"/>
      <c r="W6520" s="6"/>
      <c r="X6520" s="8"/>
      <c r="Y6520" s="8"/>
    </row>
    <row r="6521" spans="3:25">
      <c r="C6521" s="4"/>
      <c r="D6521" s="4"/>
      <c r="E6521" s="5"/>
      <c r="F6521" s="6"/>
      <c r="G6521" s="31"/>
      <c r="H6521" s="6"/>
      <c r="I6521" s="9"/>
      <c r="J6521" s="24"/>
      <c r="K6521" s="9"/>
      <c r="L6521" s="25"/>
      <c r="M6521" s="7"/>
      <c r="N6521" s="8"/>
      <c r="O6521" s="11"/>
      <c r="P6521" s="11"/>
      <c r="Q6521" s="8"/>
      <c r="R6521" s="6"/>
      <c r="S6521" s="3"/>
      <c r="T6521" s="3"/>
      <c r="U6521" s="7"/>
      <c r="V6521" s="436"/>
      <c r="W6521" s="6"/>
      <c r="X6521" s="8"/>
      <c r="Y6521" s="8"/>
    </row>
    <row r="6522" spans="3:25">
      <c r="C6522" s="4"/>
      <c r="D6522" s="4"/>
      <c r="E6522" s="5"/>
      <c r="F6522" s="6"/>
      <c r="G6522" s="31"/>
      <c r="H6522" s="6"/>
      <c r="I6522" s="9"/>
      <c r="J6522" s="24"/>
      <c r="K6522" s="9"/>
      <c r="L6522" s="25"/>
      <c r="M6522" s="47"/>
      <c r="N6522" s="8"/>
      <c r="O6522" s="11"/>
      <c r="P6522" s="11"/>
      <c r="Q6522" s="8"/>
      <c r="R6522" s="6"/>
      <c r="S6522" s="3"/>
      <c r="T6522" s="3"/>
      <c r="U6522" s="7"/>
      <c r="V6522" s="436"/>
      <c r="W6522" s="6"/>
      <c r="X6522" s="8"/>
      <c r="Y6522" s="8"/>
    </row>
    <row r="6523" spans="3:25">
      <c r="C6523" s="4"/>
      <c r="D6523" s="4"/>
      <c r="E6523" s="5"/>
      <c r="F6523" s="6"/>
      <c r="G6523" s="31"/>
      <c r="H6523" s="6"/>
      <c r="I6523" s="9"/>
      <c r="J6523" s="24"/>
      <c r="K6523" s="9"/>
      <c r="L6523" s="25"/>
      <c r="M6523" s="7"/>
      <c r="N6523" s="8"/>
      <c r="O6523" s="11"/>
      <c r="P6523" s="11"/>
      <c r="Q6523" s="8"/>
      <c r="R6523" s="6"/>
      <c r="S6523" s="3"/>
      <c r="T6523" s="3"/>
      <c r="U6523" s="7"/>
      <c r="V6523" s="436"/>
      <c r="W6523" s="6"/>
      <c r="X6523" s="8"/>
      <c r="Y6523" s="8"/>
    </row>
    <row r="6524" spans="3:25">
      <c r="C6524" s="4"/>
      <c r="D6524" s="4"/>
      <c r="E6524" s="5"/>
      <c r="F6524" s="6"/>
      <c r="G6524" s="31"/>
      <c r="H6524" s="6"/>
      <c r="I6524" s="9"/>
      <c r="J6524" s="24"/>
      <c r="K6524" s="9"/>
      <c r="L6524" s="25"/>
      <c r="M6524" s="7"/>
      <c r="N6524" s="8"/>
      <c r="O6524" s="11"/>
      <c r="P6524" s="11"/>
      <c r="Q6524" s="8"/>
      <c r="R6524" s="6"/>
      <c r="S6524" s="3"/>
      <c r="T6524" s="3"/>
      <c r="U6524" s="7"/>
      <c r="V6524" s="436"/>
      <c r="W6524" s="6"/>
      <c r="X6524" s="8"/>
      <c r="Y6524" s="8"/>
    </row>
    <row r="6525" spans="3:25">
      <c r="C6525" s="4"/>
      <c r="D6525" s="4"/>
      <c r="E6525" s="5"/>
      <c r="F6525" s="6"/>
      <c r="G6525" s="31"/>
      <c r="H6525" s="6"/>
      <c r="I6525" s="9"/>
      <c r="J6525" s="24"/>
      <c r="K6525" s="9"/>
      <c r="L6525" s="25"/>
      <c r="M6525" s="7"/>
      <c r="N6525" s="8"/>
      <c r="O6525" s="11"/>
      <c r="P6525" s="11"/>
      <c r="Q6525" s="8"/>
      <c r="R6525" s="6"/>
      <c r="S6525" s="3"/>
      <c r="T6525" s="3"/>
      <c r="U6525" s="7"/>
      <c r="V6525" s="436"/>
      <c r="W6525" s="6"/>
      <c r="X6525" s="8"/>
      <c r="Y6525" s="8"/>
    </row>
    <row r="6526" spans="3:25">
      <c r="C6526" s="4"/>
      <c r="D6526" s="4"/>
      <c r="E6526" s="5"/>
      <c r="F6526" s="6"/>
      <c r="G6526" s="31"/>
      <c r="H6526" s="6"/>
      <c r="I6526" s="9"/>
      <c r="J6526" s="24"/>
      <c r="K6526" s="9"/>
      <c r="L6526" s="25"/>
      <c r="M6526" s="7"/>
      <c r="N6526" s="8"/>
      <c r="O6526" s="11"/>
      <c r="P6526" s="11"/>
      <c r="Q6526" s="8"/>
      <c r="R6526" s="6"/>
      <c r="S6526" s="3"/>
      <c r="T6526" s="3"/>
      <c r="U6526" s="7"/>
      <c r="V6526" s="436"/>
      <c r="W6526" s="6"/>
      <c r="X6526" s="8"/>
      <c r="Y6526" s="8"/>
    </row>
    <row r="6527" spans="3:25">
      <c r="C6527" s="4"/>
      <c r="D6527" s="4"/>
      <c r="E6527" s="5"/>
      <c r="F6527" s="6"/>
      <c r="G6527" s="31"/>
      <c r="H6527" s="6"/>
      <c r="I6527" s="9"/>
      <c r="J6527" s="24"/>
      <c r="K6527" s="9"/>
      <c r="L6527" s="25"/>
      <c r="M6527" s="7"/>
      <c r="N6527" s="8"/>
      <c r="O6527" s="11"/>
      <c r="P6527" s="11"/>
      <c r="Q6527" s="8"/>
      <c r="R6527" s="6"/>
      <c r="S6527" s="3"/>
      <c r="T6527" s="3"/>
      <c r="U6527" s="7"/>
      <c r="V6527" s="436"/>
      <c r="W6527" s="6"/>
      <c r="X6527" s="8"/>
      <c r="Y6527" s="8"/>
    </row>
    <row r="6528" spans="3:25">
      <c r="C6528" s="4"/>
      <c r="D6528" s="4"/>
      <c r="E6528" s="5"/>
      <c r="F6528" s="6"/>
      <c r="G6528" s="31"/>
      <c r="H6528" s="6"/>
      <c r="I6528" s="9"/>
      <c r="J6528" s="24"/>
      <c r="K6528" s="9"/>
      <c r="L6528" s="25"/>
      <c r="M6528" s="7"/>
      <c r="N6528" s="8"/>
      <c r="O6528" s="11"/>
      <c r="P6528" s="11"/>
      <c r="Q6528" s="8"/>
      <c r="R6528" s="6"/>
      <c r="S6528" s="3"/>
      <c r="T6528" s="3"/>
      <c r="U6528" s="7"/>
      <c r="V6528" s="436"/>
      <c r="W6528" s="6"/>
      <c r="X6528" s="8"/>
      <c r="Y6528" s="8"/>
    </row>
    <row r="6529" spans="3:25">
      <c r="C6529" s="4"/>
      <c r="D6529" s="4"/>
      <c r="E6529" s="5"/>
      <c r="F6529" s="6"/>
      <c r="G6529" s="31"/>
      <c r="H6529" s="6"/>
      <c r="I6529" s="9"/>
      <c r="J6529" s="24"/>
      <c r="K6529" s="9"/>
      <c r="L6529" s="25"/>
      <c r="M6529" s="7"/>
      <c r="N6529" s="8"/>
      <c r="O6529" s="11"/>
      <c r="P6529" s="11"/>
      <c r="Q6529" s="8"/>
      <c r="R6529" s="6"/>
      <c r="S6529" s="3"/>
      <c r="T6529" s="3"/>
      <c r="U6529" s="7"/>
      <c r="V6529" s="436"/>
      <c r="W6529" s="6"/>
      <c r="X6529" s="8"/>
      <c r="Y6529" s="8"/>
    </row>
    <row r="6530" spans="3:25">
      <c r="C6530" s="4"/>
      <c r="D6530" s="4"/>
      <c r="E6530" s="5"/>
      <c r="F6530" s="6"/>
      <c r="G6530" s="31"/>
      <c r="H6530" s="6"/>
      <c r="I6530" s="9"/>
      <c r="J6530" s="24"/>
      <c r="K6530" s="9"/>
      <c r="L6530" s="25"/>
      <c r="M6530" s="7"/>
      <c r="N6530" s="8"/>
      <c r="O6530" s="11"/>
      <c r="P6530" s="11"/>
      <c r="Q6530" s="8"/>
      <c r="R6530" s="6"/>
      <c r="S6530" s="3"/>
      <c r="T6530" s="3"/>
      <c r="U6530" s="7"/>
      <c r="V6530" s="436"/>
      <c r="W6530" s="6"/>
      <c r="X6530" s="8"/>
      <c r="Y6530" s="8"/>
    </row>
    <row r="6531" spans="3:25">
      <c r="C6531" s="4"/>
      <c r="D6531" s="4"/>
      <c r="E6531" s="5"/>
      <c r="F6531" s="6"/>
      <c r="G6531" s="31"/>
      <c r="H6531" s="6"/>
      <c r="I6531" s="9"/>
      <c r="J6531" s="24"/>
      <c r="K6531" s="9"/>
      <c r="L6531" s="25"/>
      <c r="M6531" s="7"/>
      <c r="N6531" s="8"/>
      <c r="O6531" s="11"/>
      <c r="P6531" s="11"/>
      <c r="Q6531" s="8"/>
      <c r="R6531" s="6"/>
      <c r="S6531" s="3"/>
      <c r="T6531" s="3"/>
      <c r="U6531" s="7"/>
      <c r="V6531" s="436"/>
      <c r="W6531" s="6"/>
      <c r="X6531" s="8"/>
      <c r="Y6531" s="8"/>
    </row>
    <row r="6532" spans="3:25">
      <c r="C6532" s="4"/>
      <c r="D6532" s="4"/>
      <c r="E6532" s="5"/>
      <c r="F6532" s="6"/>
      <c r="G6532" s="31"/>
      <c r="H6532" s="6"/>
      <c r="I6532" s="9"/>
      <c r="J6532" s="24"/>
      <c r="K6532" s="9"/>
      <c r="L6532" s="25"/>
      <c r="M6532" s="7"/>
      <c r="N6532" s="8"/>
      <c r="O6532" s="11"/>
      <c r="P6532" s="11"/>
      <c r="Q6532" s="8"/>
      <c r="R6532" s="6"/>
      <c r="S6532" s="3"/>
      <c r="T6532" s="3"/>
      <c r="U6532" s="7"/>
      <c r="V6532" s="436"/>
      <c r="W6532" s="6"/>
      <c r="X6532" s="8"/>
      <c r="Y6532" s="8"/>
    </row>
    <row r="6533" spans="3:25">
      <c r="C6533" s="4"/>
      <c r="D6533" s="4"/>
      <c r="E6533" s="5"/>
      <c r="F6533" s="6"/>
      <c r="G6533" s="31"/>
      <c r="H6533" s="6"/>
      <c r="I6533" s="9"/>
      <c r="J6533" s="24"/>
      <c r="K6533" s="9"/>
      <c r="L6533" s="25"/>
      <c r="M6533" s="7"/>
      <c r="N6533" s="8"/>
      <c r="O6533" s="11"/>
      <c r="P6533" s="11"/>
      <c r="Q6533" s="8"/>
      <c r="R6533" s="6"/>
      <c r="S6533" s="3"/>
      <c r="T6533" s="3"/>
      <c r="U6533" s="7"/>
      <c r="V6533" s="436"/>
      <c r="W6533" s="6"/>
      <c r="X6533" s="8"/>
      <c r="Y6533" s="8"/>
    </row>
    <row r="6534" spans="3:25">
      <c r="C6534" s="4"/>
      <c r="D6534" s="4"/>
      <c r="E6534" s="5"/>
      <c r="F6534" s="6"/>
      <c r="G6534" s="31"/>
      <c r="H6534" s="6"/>
      <c r="I6534" s="9"/>
      <c r="J6534" s="24"/>
      <c r="K6534" s="9"/>
      <c r="L6534" s="25"/>
      <c r="M6534" s="47"/>
      <c r="N6534" s="8"/>
      <c r="O6534" s="11"/>
      <c r="P6534" s="11"/>
      <c r="Q6534" s="8"/>
      <c r="R6534" s="6"/>
      <c r="S6534" s="3"/>
      <c r="T6534" s="3"/>
      <c r="U6534" s="7"/>
      <c r="V6534" s="436"/>
      <c r="W6534" s="6"/>
      <c r="X6534" s="8"/>
      <c r="Y6534" s="8"/>
    </row>
    <row r="6535" spans="3:25">
      <c r="C6535" s="4"/>
      <c r="D6535" s="4"/>
      <c r="E6535" s="5"/>
      <c r="F6535" s="6"/>
      <c r="G6535" s="31"/>
      <c r="H6535" s="6"/>
      <c r="I6535" s="9"/>
      <c r="J6535" s="24"/>
      <c r="K6535" s="9"/>
      <c r="L6535" s="25"/>
      <c r="M6535" s="7"/>
      <c r="N6535" s="8"/>
      <c r="O6535" s="11"/>
      <c r="P6535" s="11"/>
      <c r="Q6535" s="8"/>
      <c r="R6535" s="6"/>
      <c r="S6535" s="3"/>
      <c r="T6535" s="3"/>
      <c r="U6535" s="7"/>
      <c r="V6535" s="436"/>
      <c r="W6535" s="6"/>
      <c r="X6535" s="8"/>
      <c r="Y6535" s="8"/>
    </row>
    <row r="6536" spans="3:25">
      <c r="C6536" s="4"/>
      <c r="D6536" s="4"/>
      <c r="E6536" s="5"/>
      <c r="F6536" s="6"/>
      <c r="G6536" s="31"/>
      <c r="H6536" s="6"/>
      <c r="I6536" s="9"/>
      <c r="J6536" s="24"/>
      <c r="K6536" s="9"/>
      <c r="L6536" s="25"/>
      <c r="M6536" s="7"/>
      <c r="N6536" s="8"/>
      <c r="O6536" s="11"/>
      <c r="P6536" s="11"/>
      <c r="Q6536" s="8"/>
      <c r="R6536" s="6"/>
      <c r="S6536" s="3"/>
      <c r="T6536" s="3"/>
      <c r="U6536" s="7"/>
      <c r="V6536" s="436"/>
      <c r="W6536" s="6"/>
      <c r="X6536" s="8"/>
      <c r="Y6536" s="8"/>
    </row>
    <row r="6537" spans="3:25">
      <c r="C6537" s="4"/>
      <c r="D6537" s="4"/>
      <c r="E6537" s="5"/>
      <c r="F6537" s="6"/>
      <c r="G6537" s="31"/>
      <c r="H6537" s="6"/>
      <c r="I6537" s="9"/>
      <c r="J6537" s="24"/>
      <c r="K6537" s="9"/>
      <c r="L6537" s="25"/>
      <c r="M6537" s="7"/>
      <c r="N6537" s="8"/>
      <c r="O6537" s="11"/>
      <c r="P6537" s="11"/>
      <c r="Q6537" s="8"/>
      <c r="R6537" s="6"/>
      <c r="S6537" s="3"/>
      <c r="T6537" s="3"/>
      <c r="U6537" s="7"/>
      <c r="V6537" s="436"/>
      <c r="W6537" s="6"/>
      <c r="X6537" s="8"/>
      <c r="Y6537" s="8"/>
    </row>
    <row r="6538" spans="3:25">
      <c r="C6538" s="4"/>
      <c r="D6538" s="4"/>
      <c r="E6538" s="5"/>
      <c r="F6538" s="6"/>
      <c r="G6538" s="31"/>
      <c r="H6538" s="6"/>
      <c r="I6538" s="9"/>
      <c r="J6538" s="24"/>
      <c r="K6538" s="9"/>
      <c r="L6538" s="25"/>
      <c r="M6538" s="7"/>
      <c r="N6538" s="8"/>
      <c r="O6538" s="11"/>
      <c r="P6538" s="11"/>
      <c r="Q6538" s="8"/>
      <c r="R6538" s="6"/>
      <c r="S6538" s="3"/>
      <c r="T6538" s="3"/>
      <c r="U6538" s="7"/>
      <c r="V6538" s="436"/>
      <c r="W6538" s="6"/>
      <c r="X6538" s="8"/>
      <c r="Y6538" s="8"/>
    </row>
    <row r="6539" spans="3:25">
      <c r="C6539" s="4"/>
      <c r="D6539" s="4"/>
      <c r="E6539" s="5"/>
      <c r="F6539" s="6"/>
      <c r="G6539" s="31"/>
      <c r="H6539" s="6"/>
      <c r="I6539" s="9"/>
      <c r="J6539" s="24"/>
      <c r="K6539" s="9"/>
      <c r="L6539" s="25"/>
      <c r="M6539" s="7"/>
      <c r="N6539" s="8"/>
      <c r="O6539" s="11"/>
      <c r="P6539" s="11"/>
      <c r="Q6539" s="8"/>
      <c r="R6539" s="6"/>
      <c r="S6539" s="3"/>
      <c r="T6539" s="3"/>
      <c r="U6539" s="7"/>
      <c r="V6539" s="436"/>
      <c r="W6539" s="6"/>
      <c r="X6539" s="8"/>
      <c r="Y6539" s="8"/>
    </row>
    <row r="6540" spans="3:25">
      <c r="C6540" s="4"/>
      <c r="D6540" s="4"/>
      <c r="E6540" s="5"/>
      <c r="F6540" s="6"/>
      <c r="G6540" s="31"/>
      <c r="H6540" s="6"/>
      <c r="I6540" s="9"/>
      <c r="J6540" s="24"/>
      <c r="K6540" s="9"/>
      <c r="L6540" s="25"/>
      <c r="M6540" s="7"/>
      <c r="N6540" s="8"/>
      <c r="O6540" s="11"/>
      <c r="P6540" s="11"/>
      <c r="Q6540" s="8"/>
      <c r="R6540" s="6"/>
      <c r="S6540" s="3"/>
      <c r="T6540" s="3"/>
      <c r="U6540" s="7"/>
      <c r="V6540" s="436"/>
      <c r="W6540" s="6"/>
      <c r="X6540" s="8"/>
      <c r="Y6540" s="8"/>
    </row>
    <row r="6541" spans="3:25">
      <c r="C6541" s="4"/>
      <c r="D6541" s="4"/>
      <c r="E6541" s="5"/>
      <c r="F6541" s="6"/>
      <c r="G6541" s="31"/>
      <c r="H6541" s="6"/>
      <c r="I6541" s="9"/>
      <c r="J6541" s="24"/>
      <c r="K6541" s="9"/>
      <c r="L6541" s="25"/>
      <c r="M6541" s="7"/>
      <c r="N6541" s="8"/>
      <c r="O6541" s="11"/>
      <c r="P6541" s="11"/>
      <c r="Q6541" s="8"/>
      <c r="R6541" s="6"/>
      <c r="S6541" s="3"/>
      <c r="T6541" s="3"/>
      <c r="U6541" s="7"/>
      <c r="V6541" s="436"/>
      <c r="W6541" s="6"/>
      <c r="X6541" s="8"/>
      <c r="Y6541" s="8"/>
    </row>
    <row r="6542" spans="3:25">
      <c r="C6542" s="4"/>
      <c r="D6542" s="4"/>
      <c r="E6542" s="5"/>
      <c r="F6542" s="6"/>
      <c r="G6542" s="31"/>
      <c r="H6542" s="6"/>
      <c r="I6542" s="9"/>
      <c r="J6542" s="24"/>
      <c r="K6542" s="9"/>
      <c r="L6542" s="25"/>
      <c r="M6542" s="7"/>
      <c r="N6542" s="8"/>
      <c r="O6542" s="11"/>
      <c r="P6542" s="11"/>
      <c r="Q6542" s="8"/>
      <c r="R6542" s="6"/>
      <c r="S6542" s="3"/>
      <c r="T6542" s="3"/>
      <c r="U6542" s="7"/>
      <c r="V6542" s="436"/>
      <c r="W6542" s="6"/>
      <c r="X6542" s="8"/>
      <c r="Y6542" s="8"/>
    </row>
    <row r="6543" spans="3:25">
      <c r="C6543" s="3"/>
      <c r="D6543" s="3"/>
      <c r="E6543" s="5"/>
      <c r="F6543" s="6"/>
      <c r="G6543" s="31"/>
      <c r="H6543" s="6"/>
      <c r="I6543" s="9"/>
      <c r="J6543" s="24"/>
      <c r="K6543" s="9"/>
      <c r="L6543" s="25"/>
      <c r="M6543" s="7"/>
      <c r="N6543" s="8"/>
      <c r="O6543" s="11"/>
      <c r="P6543" s="11"/>
      <c r="Q6543" s="8"/>
      <c r="R6543" s="6"/>
      <c r="S6543" s="3"/>
      <c r="T6543" s="3"/>
      <c r="U6543" s="7"/>
      <c r="V6543" s="436"/>
      <c r="W6543" s="6"/>
      <c r="X6543" s="8"/>
      <c r="Y6543" s="8"/>
    </row>
    <row r="6544" spans="3:25">
      <c r="C6544" s="4"/>
      <c r="D6544" s="4"/>
      <c r="E6544" s="5"/>
      <c r="F6544" s="6"/>
      <c r="G6544" s="31"/>
      <c r="H6544" s="6"/>
      <c r="I6544" s="9"/>
      <c r="J6544" s="24"/>
      <c r="K6544" s="9"/>
      <c r="L6544" s="25"/>
      <c r="M6544" s="7"/>
      <c r="N6544" s="8"/>
      <c r="O6544" s="11"/>
      <c r="P6544" s="11"/>
      <c r="Q6544" s="8"/>
      <c r="R6544" s="6"/>
      <c r="S6544" s="3"/>
      <c r="T6544" s="3"/>
      <c r="U6544" s="7"/>
      <c r="V6544" s="436"/>
      <c r="W6544" s="6"/>
      <c r="X6544" s="8"/>
      <c r="Y6544" s="8"/>
    </row>
    <row r="6545" spans="3:25">
      <c r="C6545" s="4"/>
      <c r="D6545" s="4"/>
      <c r="E6545" s="5"/>
      <c r="F6545" s="6"/>
      <c r="G6545" s="31"/>
      <c r="H6545" s="6"/>
      <c r="I6545" s="9"/>
      <c r="J6545" s="24"/>
      <c r="K6545" s="9"/>
      <c r="L6545" s="25"/>
      <c r="M6545" s="7"/>
      <c r="N6545" s="8"/>
      <c r="O6545" s="11"/>
      <c r="P6545" s="11"/>
      <c r="Q6545" s="8"/>
      <c r="R6545" s="6"/>
      <c r="S6545" s="3"/>
      <c r="T6545" s="3"/>
      <c r="U6545" s="7"/>
      <c r="V6545" s="436"/>
      <c r="W6545" s="6"/>
      <c r="X6545" s="8"/>
      <c r="Y6545" s="8"/>
    </row>
    <row r="6546" spans="3:25">
      <c r="C6546" s="4"/>
      <c r="D6546" s="4"/>
      <c r="E6546" s="5"/>
      <c r="F6546" s="6"/>
      <c r="G6546" s="31"/>
      <c r="H6546" s="6"/>
      <c r="I6546" s="9"/>
      <c r="J6546" s="24"/>
      <c r="K6546" s="9"/>
      <c r="L6546" s="25"/>
      <c r="M6546" s="7"/>
      <c r="N6546" s="8"/>
      <c r="O6546" s="11"/>
      <c r="P6546" s="11"/>
      <c r="Q6546" s="8"/>
      <c r="R6546" s="6"/>
      <c r="S6546" s="3"/>
      <c r="T6546" s="3"/>
      <c r="U6546" s="7"/>
      <c r="V6546" s="436"/>
      <c r="W6546" s="6"/>
      <c r="X6546" s="8"/>
      <c r="Y6546" s="8"/>
    </row>
    <row r="6547" spans="3:25">
      <c r="C6547" s="4"/>
      <c r="D6547" s="4"/>
      <c r="E6547" s="5"/>
      <c r="F6547" s="6"/>
      <c r="G6547" s="31"/>
      <c r="H6547" s="6"/>
      <c r="I6547" s="9"/>
      <c r="J6547" s="24"/>
      <c r="K6547" s="9"/>
      <c r="L6547" s="25"/>
      <c r="M6547" s="25"/>
      <c r="N6547" s="8"/>
      <c r="O6547" s="11"/>
      <c r="P6547" s="11"/>
      <c r="Q6547" s="8"/>
      <c r="R6547" s="6"/>
      <c r="S6547" s="3"/>
      <c r="T6547" s="3"/>
      <c r="U6547" s="7"/>
      <c r="V6547" s="436"/>
      <c r="W6547" s="6"/>
      <c r="X6547" s="8"/>
      <c r="Y6547" s="8"/>
    </row>
    <row r="6548" spans="3:25">
      <c r="C6548" s="4"/>
      <c r="D6548" s="4"/>
      <c r="E6548" s="5"/>
      <c r="F6548" s="6"/>
      <c r="G6548" s="31"/>
      <c r="H6548" s="6"/>
      <c r="I6548" s="9"/>
      <c r="J6548" s="24"/>
      <c r="K6548" s="9"/>
      <c r="L6548" s="25"/>
      <c r="M6548" s="25"/>
      <c r="N6548" s="8"/>
      <c r="O6548" s="11"/>
      <c r="P6548" s="11"/>
      <c r="Q6548" s="8"/>
      <c r="R6548" s="6"/>
      <c r="S6548" s="3"/>
      <c r="T6548" s="3"/>
      <c r="U6548" s="7"/>
      <c r="V6548" s="436"/>
      <c r="W6548" s="6"/>
      <c r="X6548" s="8"/>
      <c r="Y6548" s="8"/>
    </row>
    <row r="6549" spans="3:25">
      <c r="C6549" s="4"/>
      <c r="D6549" s="4"/>
      <c r="E6549" s="5"/>
      <c r="F6549" s="6"/>
      <c r="G6549" s="31"/>
      <c r="H6549" s="6"/>
      <c r="I6549" s="9"/>
      <c r="J6549" s="24"/>
      <c r="K6549" s="9"/>
      <c r="L6549" s="25"/>
      <c r="M6549" s="25"/>
      <c r="N6549" s="8"/>
      <c r="O6549" s="11"/>
      <c r="P6549" s="11"/>
      <c r="Q6549" s="8"/>
      <c r="R6549" s="6"/>
      <c r="S6549" s="3"/>
      <c r="T6549" s="3"/>
      <c r="U6549" s="7"/>
      <c r="V6549" s="436"/>
      <c r="W6549" s="6"/>
      <c r="X6549" s="8"/>
      <c r="Y6549" s="8"/>
    </row>
    <row r="6550" spans="3:25">
      <c r="C6550" s="4"/>
      <c r="D6550" s="4"/>
      <c r="E6550" s="5"/>
      <c r="F6550" s="6"/>
      <c r="G6550" s="31"/>
      <c r="H6550" s="6"/>
      <c r="I6550" s="9"/>
      <c r="J6550" s="24"/>
      <c r="K6550" s="9"/>
      <c r="L6550" s="25"/>
      <c r="M6550" s="7"/>
      <c r="N6550" s="8"/>
      <c r="O6550" s="11"/>
      <c r="P6550" s="11"/>
      <c r="Q6550" s="8"/>
      <c r="R6550" s="6"/>
      <c r="S6550" s="3"/>
      <c r="T6550" s="3"/>
      <c r="U6550" s="7"/>
      <c r="V6550" s="436"/>
      <c r="W6550" s="6"/>
      <c r="X6550" s="8"/>
      <c r="Y6550" s="8"/>
    </row>
    <row r="6551" spans="3:25">
      <c r="C6551" s="4"/>
      <c r="D6551" s="4"/>
      <c r="E6551" s="5"/>
      <c r="F6551" s="6"/>
      <c r="G6551" s="31"/>
      <c r="H6551" s="6"/>
      <c r="I6551" s="9"/>
      <c r="J6551" s="24"/>
      <c r="K6551" s="9"/>
      <c r="L6551" s="25"/>
      <c r="M6551" s="7"/>
      <c r="N6551" s="8"/>
      <c r="O6551" s="11"/>
      <c r="P6551" s="11"/>
      <c r="Q6551" s="8"/>
      <c r="R6551" s="6"/>
      <c r="S6551" s="3"/>
      <c r="T6551" s="3"/>
      <c r="U6551" s="7"/>
      <c r="V6551" s="436"/>
      <c r="W6551" s="6"/>
      <c r="X6551" s="8"/>
      <c r="Y6551" s="8"/>
    </row>
    <row r="6552" spans="3:25">
      <c r="C6552" s="4"/>
      <c r="D6552" s="4"/>
      <c r="E6552" s="5"/>
      <c r="F6552" s="6"/>
      <c r="G6552" s="31"/>
      <c r="H6552" s="6"/>
      <c r="I6552" s="9"/>
      <c r="J6552" s="24"/>
      <c r="K6552" s="9"/>
      <c r="L6552" s="25"/>
      <c r="M6552" s="7"/>
      <c r="N6552" s="8"/>
      <c r="O6552" s="11"/>
      <c r="P6552" s="11"/>
      <c r="Q6552" s="8"/>
      <c r="R6552" s="6"/>
      <c r="S6552" s="3"/>
      <c r="T6552" s="3"/>
      <c r="U6552" s="7"/>
      <c r="V6552" s="436"/>
      <c r="W6552" s="6"/>
      <c r="X6552" s="8"/>
      <c r="Y6552" s="8"/>
    </row>
    <row r="6553" spans="3:25">
      <c r="C6553" s="4"/>
      <c r="D6553" s="4"/>
      <c r="E6553" s="5"/>
      <c r="F6553" s="6"/>
      <c r="G6553" s="31"/>
      <c r="H6553" s="6"/>
      <c r="I6553" s="9"/>
      <c r="J6553" s="24"/>
      <c r="K6553" s="9"/>
      <c r="L6553" s="25"/>
      <c r="M6553" s="7"/>
      <c r="N6553" s="8"/>
      <c r="O6553" s="11"/>
      <c r="P6553" s="11"/>
      <c r="Q6553" s="8"/>
      <c r="R6553" s="6"/>
      <c r="S6553" s="3"/>
      <c r="T6553" s="3"/>
      <c r="U6553" s="7"/>
      <c r="V6553" s="436"/>
      <c r="W6553" s="6"/>
      <c r="X6553" s="8"/>
      <c r="Y6553" s="8"/>
    </row>
    <row r="6554" spans="3:25">
      <c r="C6554" s="4"/>
      <c r="D6554" s="4"/>
      <c r="E6554" s="5"/>
      <c r="F6554" s="6"/>
      <c r="G6554" s="31"/>
      <c r="H6554" s="6"/>
      <c r="I6554" s="9"/>
      <c r="J6554" s="24"/>
      <c r="K6554" s="9"/>
      <c r="L6554" s="25"/>
      <c r="M6554" s="7"/>
      <c r="N6554" s="8"/>
      <c r="O6554" s="11"/>
      <c r="P6554" s="11"/>
      <c r="Q6554" s="8"/>
      <c r="R6554" s="6"/>
      <c r="S6554" s="3"/>
      <c r="T6554" s="3"/>
      <c r="U6554" s="7"/>
      <c r="V6554" s="436"/>
      <c r="W6554" s="6"/>
      <c r="X6554" s="8"/>
      <c r="Y6554" s="8"/>
    </row>
    <row r="6555" spans="3:25">
      <c r="C6555" s="4"/>
      <c r="D6555" s="4"/>
      <c r="E6555" s="5"/>
      <c r="F6555" s="6"/>
      <c r="G6555" s="31"/>
      <c r="H6555" s="6"/>
      <c r="I6555" s="9"/>
      <c r="J6555" s="24"/>
      <c r="K6555" s="9"/>
      <c r="L6555" s="25"/>
      <c r="M6555" s="25"/>
      <c r="N6555" s="8"/>
      <c r="O6555" s="11"/>
      <c r="P6555" s="11"/>
      <c r="Q6555" s="8"/>
      <c r="R6555" s="6"/>
      <c r="S6555" s="3"/>
      <c r="T6555" s="3"/>
      <c r="U6555" s="7"/>
      <c r="V6555" s="436"/>
      <c r="W6555" s="6"/>
      <c r="X6555" s="8"/>
      <c r="Y6555" s="8"/>
    </row>
    <row r="6556" spans="3:25">
      <c r="C6556" s="4"/>
      <c r="D6556" s="4"/>
      <c r="E6556" s="5"/>
      <c r="F6556" s="6"/>
      <c r="G6556" s="31"/>
      <c r="H6556" s="6"/>
      <c r="I6556" s="9"/>
      <c r="J6556" s="24"/>
      <c r="K6556" s="9"/>
      <c r="L6556" s="25"/>
      <c r="M6556" s="7"/>
      <c r="N6556" s="8"/>
      <c r="O6556" s="11"/>
      <c r="P6556" s="11"/>
      <c r="Q6556" s="8"/>
      <c r="R6556" s="6"/>
      <c r="S6556" s="3"/>
      <c r="T6556" s="3"/>
      <c r="U6556" s="7"/>
      <c r="V6556" s="436"/>
      <c r="W6556" s="6"/>
      <c r="X6556" s="8"/>
      <c r="Y6556" s="8"/>
    </row>
    <row r="6557" spans="3:25">
      <c r="C6557" s="4"/>
      <c r="D6557" s="4"/>
      <c r="E6557" s="5"/>
      <c r="F6557" s="6"/>
      <c r="G6557" s="31"/>
      <c r="H6557" s="6"/>
      <c r="I6557" s="9"/>
      <c r="J6557" s="24"/>
      <c r="K6557" s="9"/>
      <c r="L6557" s="25"/>
      <c r="M6557" s="7"/>
      <c r="N6557" s="8"/>
      <c r="O6557" s="11"/>
      <c r="P6557" s="11"/>
      <c r="Q6557" s="8"/>
      <c r="R6557" s="6"/>
      <c r="S6557" s="3"/>
      <c r="T6557" s="3"/>
      <c r="U6557" s="7"/>
      <c r="V6557" s="436"/>
      <c r="W6557" s="6"/>
      <c r="X6557" s="8"/>
      <c r="Y6557" s="8"/>
    </row>
    <row r="6558" spans="3:25">
      <c r="C6558" s="4"/>
      <c r="D6558" s="4"/>
      <c r="E6558" s="5"/>
      <c r="F6558" s="6"/>
      <c r="G6558" s="31"/>
      <c r="H6558" s="6"/>
      <c r="I6558" s="9"/>
      <c r="J6558" s="24"/>
      <c r="K6558" s="9"/>
      <c r="L6558" s="25"/>
      <c r="M6558" s="7"/>
      <c r="N6558" s="8"/>
      <c r="O6558" s="11"/>
      <c r="P6558" s="11"/>
      <c r="Q6558" s="8"/>
      <c r="R6558" s="6"/>
      <c r="S6558" s="3"/>
      <c r="T6558" s="3"/>
      <c r="U6558" s="7"/>
      <c r="V6558" s="436"/>
      <c r="W6558" s="6"/>
      <c r="X6558" s="8"/>
      <c r="Y6558" s="8"/>
    </row>
    <row r="6559" spans="3:25">
      <c r="C6559" s="4"/>
      <c r="D6559" s="4"/>
      <c r="E6559" s="5"/>
      <c r="F6559" s="6"/>
      <c r="G6559" s="31"/>
      <c r="H6559" s="6"/>
      <c r="I6559" s="9"/>
      <c r="J6559" s="24"/>
      <c r="K6559" s="9"/>
      <c r="L6559" s="25"/>
      <c r="M6559" s="7"/>
      <c r="N6559" s="8"/>
      <c r="O6559" s="11"/>
      <c r="P6559" s="11"/>
      <c r="Q6559" s="8"/>
      <c r="R6559" s="6"/>
      <c r="S6559" s="3"/>
      <c r="T6559" s="3"/>
      <c r="U6559" s="7"/>
      <c r="V6559" s="436"/>
      <c r="W6559" s="6"/>
      <c r="X6559" s="8"/>
      <c r="Y6559" s="8"/>
    </row>
    <row r="6560" spans="3:25">
      <c r="C6560" s="4"/>
      <c r="D6560" s="4"/>
      <c r="E6560" s="5"/>
      <c r="F6560" s="6"/>
      <c r="G6560" s="31"/>
      <c r="H6560" s="6"/>
      <c r="I6560" s="9"/>
      <c r="J6560" s="24"/>
      <c r="K6560" s="9"/>
      <c r="L6560" s="25"/>
      <c r="M6560" s="7"/>
      <c r="N6560" s="8"/>
      <c r="O6560" s="11"/>
      <c r="P6560" s="11"/>
      <c r="Q6560" s="8"/>
      <c r="R6560" s="6"/>
      <c r="S6560" s="3"/>
      <c r="T6560" s="3"/>
      <c r="U6560" s="7"/>
      <c r="V6560" s="436"/>
      <c r="W6560" s="6"/>
      <c r="X6560" s="8"/>
      <c r="Y6560" s="8"/>
    </row>
    <row r="6561" spans="3:25">
      <c r="C6561" s="4"/>
      <c r="D6561" s="4"/>
      <c r="E6561" s="5"/>
      <c r="F6561" s="6"/>
      <c r="G6561" s="31"/>
      <c r="H6561" s="6"/>
      <c r="I6561" s="9"/>
      <c r="J6561" s="24"/>
      <c r="K6561" s="9"/>
      <c r="L6561" s="25"/>
      <c r="M6561" s="7"/>
      <c r="N6561" s="8"/>
      <c r="O6561" s="11"/>
      <c r="P6561" s="11"/>
      <c r="Q6561" s="8"/>
      <c r="R6561" s="6"/>
      <c r="S6561" s="3"/>
      <c r="T6561" s="3"/>
      <c r="U6561" s="7"/>
      <c r="V6561" s="436"/>
      <c r="W6561" s="6"/>
      <c r="X6561" s="8"/>
      <c r="Y6561" s="8"/>
    </row>
    <row r="6562" spans="3:25">
      <c r="C6562" s="4"/>
      <c r="D6562" s="4"/>
      <c r="E6562" s="5"/>
      <c r="F6562" s="6"/>
      <c r="G6562" s="31"/>
      <c r="H6562" s="6"/>
      <c r="I6562" s="9"/>
      <c r="J6562" s="24"/>
      <c r="K6562" s="9"/>
      <c r="L6562" s="25"/>
      <c r="M6562" s="7"/>
      <c r="N6562" s="8"/>
      <c r="O6562" s="11"/>
      <c r="P6562" s="11"/>
      <c r="Q6562" s="8"/>
      <c r="R6562" s="6"/>
      <c r="S6562" s="3"/>
      <c r="T6562" s="3"/>
      <c r="U6562" s="7"/>
      <c r="V6562" s="436"/>
      <c r="W6562" s="6"/>
      <c r="X6562" s="8"/>
      <c r="Y6562" s="8"/>
    </row>
    <row r="6563" spans="3:25">
      <c r="C6563" s="4"/>
      <c r="D6563" s="4"/>
      <c r="E6563" s="5"/>
      <c r="F6563" s="6"/>
      <c r="G6563" s="31"/>
      <c r="H6563" s="6"/>
      <c r="I6563" s="9"/>
      <c r="J6563" s="24"/>
      <c r="K6563" s="9"/>
      <c r="L6563" s="25"/>
      <c r="M6563" s="7"/>
      <c r="N6563" s="8"/>
      <c r="O6563" s="11"/>
      <c r="P6563" s="11"/>
      <c r="Q6563" s="8"/>
      <c r="R6563" s="6"/>
      <c r="S6563" s="3"/>
      <c r="T6563" s="3"/>
      <c r="U6563" s="7"/>
      <c r="V6563" s="436"/>
      <c r="W6563" s="6"/>
      <c r="X6563" s="8"/>
      <c r="Y6563" s="8"/>
    </row>
    <row r="6564" spans="3:25">
      <c r="C6564" s="4"/>
      <c r="D6564" s="4"/>
      <c r="E6564" s="5"/>
      <c r="F6564" s="6"/>
      <c r="G6564" s="31"/>
      <c r="H6564" s="6"/>
      <c r="I6564" s="9"/>
      <c r="J6564" s="24"/>
      <c r="K6564" s="9"/>
      <c r="L6564" s="25"/>
      <c r="M6564" s="7"/>
      <c r="N6564" s="8"/>
      <c r="O6564" s="11"/>
      <c r="P6564" s="11"/>
      <c r="Q6564" s="8"/>
      <c r="R6564" s="6"/>
      <c r="S6564" s="3"/>
      <c r="T6564" s="3"/>
      <c r="U6564" s="7"/>
      <c r="V6564" s="436"/>
      <c r="W6564" s="6"/>
      <c r="X6564" s="8"/>
      <c r="Y6564" s="8"/>
    </row>
    <row r="6565" spans="3:25">
      <c r="C6565" s="4"/>
      <c r="D6565" s="4"/>
      <c r="E6565" s="5"/>
      <c r="F6565" s="6"/>
      <c r="G6565" s="31"/>
      <c r="H6565" s="6"/>
      <c r="I6565" s="9"/>
      <c r="J6565" s="24"/>
      <c r="K6565" s="9"/>
      <c r="L6565" s="25"/>
      <c r="M6565" s="7"/>
      <c r="N6565" s="8"/>
      <c r="O6565" s="11"/>
      <c r="P6565" s="11"/>
      <c r="Q6565" s="8"/>
      <c r="R6565" s="6"/>
      <c r="S6565" s="3"/>
      <c r="T6565" s="3"/>
      <c r="U6565" s="7"/>
      <c r="V6565" s="436"/>
      <c r="W6565" s="6"/>
      <c r="X6565" s="8"/>
      <c r="Y6565" s="8"/>
    </row>
    <row r="6566" spans="3:25">
      <c r="C6566" s="4"/>
      <c r="D6566" s="4"/>
      <c r="E6566" s="5"/>
      <c r="F6566" s="6"/>
      <c r="G6566" s="31"/>
      <c r="H6566" s="6"/>
      <c r="I6566" s="9"/>
      <c r="J6566" s="24"/>
      <c r="K6566" s="9"/>
      <c r="L6566" s="25"/>
      <c r="M6566" s="7"/>
      <c r="N6566" s="8"/>
      <c r="O6566" s="11"/>
      <c r="P6566" s="11"/>
      <c r="Q6566" s="8"/>
      <c r="R6566" s="6"/>
      <c r="S6566" s="3"/>
      <c r="T6566" s="3"/>
      <c r="U6566" s="7"/>
      <c r="V6566" s="436"/>
      <c r="W6566" s="6"/>
      <c r="X6566" s="8"/>
      <c r="Y6566" s="8"/>
    </row>
    <row r="6567" spans="3:25">
      <c r="C6567" s="4"/>
      <c r="D6567" s="4"/>
      <c r="E6567" s="5"/>
      <c r="F6567" s="6"/>
      <c r="G6567" s="31"/>
      <c r="H6567" s="6"/>
      <c r="I6567" s="9"/>
      <c r="J6567" s="24"/>
      <c r="K6567" s="9"/>
      <c r="L6567" s="25"/>
      <c r="M6567" s="7"/>
      <c r="N6567" s="8"/>
      <c r="O6567" s="11"/>
      <c r="P6567" s="11"/>
      <c r="Q6567" s="8"/>
      <c r="R6567" s="6"/>
      <c r="S6567" s="3"/>
      <c r="T6567" s="3"/>
      <c r="U6567" s="7"/>
      <c r="V6567" s="436"/>
      <c r="W6567" s="6"/>
      <c r="X6567" s="8"/>
      <c r="Y6567" s="8"/>
    </row>
    <row r="6568" spans="3:25">
      <c r="C6568" s="4"/>
      <c r="D6568" s="4"/>
      <c r="E6568" s="5"/>
      <c r="F6568" s="6"/>
      <c r="G6568" s="31"/>
      <c r="H6568" s="9"/>
      <c r="I6568" s="9"/>
      <c r="J6568" s="24"/>
      <c r="K6568" s="9"/>
      <c r="L6568" s="25"/>
      <c r="M6568" s="25"/>
      <c r="N6568" s="8"/>
      <c r="O6568" s="11"/>
      <c r="P6568" s="11"/>
      <c r="Q6568" s="8"/>
      <c r="R6568" s="6"/>
      <c r="S6568" s="3"/>
      <c r="T6568" s="3"/>
      <c r="U6568" s="7"/>
      <c r="V6568" s="436"/>
      <c r="W6568" s="6"/>
      <c r="X6568" s="8"/>
      <c r="Y6568" s="8"/>
    </row>
    <row r="6569" spans="3:25">
      <c r="C6569" s="4"/>
      <c r="D6569" s="4"/>
      <c r="E6569" s="5"/>
      <c r="F6569" s="6"/>
      <c r="G6569" s="31"/>
      <c r="H6569" s="6"/>
      <c r="I6569" s="9"/>
      <c r="J6569" s="24"/>
      <c r="K6569" s="9"/>
      <c r="L6569" s="25"/>
      <c r="M6569" s="25"/>
      <c r="N6569" s="8"/>
      <c r="O6569" s="11"/>
      <c r="P6569" s="11"/>
      <c r="Q6569" s="8"/>
      <c r="R6569" s="6"/>
      <c r="S6569" s="3"/>
      <c r="T6569" s="3"/>
      <c r="U6569" s="7"/>
      <c r="V6569" s="436"/>
      <c r="W6569" s="6"/>
      <c r="X6569" s="8"/>
      <c r="Y6569" s="8"/>
    </row>
    <row r="6570" spans="3:25">
      <c r="C6570" s="4"/>
      <c r="D6570" s="4"/>
      <c r="E6570" s="5"/>
      <c r="F6570" s="6"/>
      <c r="G6570" s="31"/>
      <c r="H6570" s="6"/>
      <c r="I6570" s="9"/>
      <c r="J6570" s="24"/>
      <c r="K6570" s="9"/>
      <c r="L6570" s="25"/>
      <c r="M6570" s="25"/>
      <c r="N6570" s="8"/>
      <c r="O6570" s="11"/>
      <c r="P6570" s="11"/>
      <c r="Q6570" s="8"/>
      <c r="R6570" s="6"/>
      <c r="S6570" s="3"/>
      <c r="T6570" s="3"/>
      <c r="U6570" s="7"/>
      <c r="V6570" s="436"/>
      <c r="W6570" s="6"/>
      <c r="X6570" s="8"/>
      <c r="Y6570" s="8"/>
    </row>
    <row r="6571" spans="3:25">
      <c r="C6571" s="4"/>
      <c r="D6571" s="4"/>
      <c r="E6571" s="5"/>
      <c r="F6571" s="6"/>
      <c r="G6571" s="31"/>
      <c r="H6571" s="6"/>
      <c r="I6571" s="9"/>
      <c r="J6571" s="24"/>
      <c r="K6571" s="9"/>
      <c r="L6571" s="25"/>
      <c r="M6571" s="25"/>
      <c r="N6571" s="8"/>
      <c r="O6571" s="11"/>
      <c r="P6571" s="11"/>
      <c r="Q6571" s="8"/>
      <c r="R6571" s="6"/>
      <c r="S6571" s="3"/>
      <c r="T6571" s="3"/>
      <c r="U6571" s="7"/>
      <c r="V6571" s="436"/>
      <c r="W6571" s="6"/>
      <c r="X6571" s="8"/>
      <c r="Y6571" s="8"/>
    </row>
    <row r="6572" spans="3:25">
      <c r="C6572" s="4"/>
      <c r="D6572" s="4"/>
      <c r="E6572" s="5"/>
      <c r="F6572" s="6"/>
      <c r="G6572" s="31"/>
      <c r="H6572" s="6"/>
      <c r="I6572" s="9"/>
      <c r="J6572" s="24"/>
      <c r="K6572" s="9"/>
      <c r="L6572" s="25"/>
      <c r="M6572" s="25"/>
      <c r="N6572" s="8"/>
      <c r="O6572" s="11"/>
      <c r="P6572" s="11"/>
      <c r="Q6572" s="8"/>
      <c r="R6572" s="6"/>
      <c r="S6572" s="3"/>
      <c r="T6572" s="3"/>
      <c r="U6572" s="7"/>
      <c r="V6572" s="436"/>
      <c r="W6572" s="6"/>
      <c r="X6572" s="8"/>
      <c r="Y6572" s="8"/>
    </row>
    <row r="6573" spans="3:25">
      <c r="C6573" s="4"/>
      <c r="D6573" s="4"/>
      <c r="E6573" s="5"/>
      <c r="F6573" s="6"/>
      <c r="G6573" s="31"/>
      <c r="H6573" s="6"/>
      <c r="I6573" s="9"/>
      <c r="J6573" s="24"/>
      <c r="K6573" s="9"/>
      <c r="L6573" s="25"/>
      <c r="M6573" s="47"/>
      <c r="N6573" s="8"/>
      <c r="O6573" s="11"/>
      <c r="P6573" s="11"/>
      <c r="Q6573" s="8"/>
      <c r="R6573" s="6"/>
      <c r="S6573" s="3"/>
      <c r="T6573" s="3"/>
      <c r="U6573" s="7"/>
      <c r="V6573" s="436"/>
      <c r="W6573" s="6"/>
      <c r="X6573" s="8"/>
      <c r="Y6573" s="8"/>
    </row>
    <row r="6574" spans="3:25">
      <c r="C6574" s="4"/>
      <c r="D6574" s="4"/>
      <c r="E6574" s="5"/>
      <c r="F6574" s="6"/>
      <c r="G6574" s="31"/>
      <c r="H6574" s="6"/>
      <c r="I6574" s="9"/>
      <c r="J6574" s="24"/>
      <c r="K6574" s="9"/>
      <c r="L6574" s="25"/>
      <c r="M6574" s="47"/>
      <c r="N6574" s="8"/>
      <c r="O6574" s="11"/>
      <c r="P6574" s="11"/>
      <c r="Q6574" s="8"/>
      <c r="R6574" s="6"/>
      <c r="S6574" s="3"/>
      <c r="T6574" s="3"/>
      <c r="U6574" s="7"/>
      <c r="V6574" s="436"/>
      <c r="W6574" s="6"/>
      <c r="X6574" s="8"/>
      <c r="Y6574" s="8"/>
    </row>
    <row r="6575" spans="3:25">
      <c r="C6575" s="4"/>
      <c r="D6575" s="4"/>
      <c r="E6575" s="5"/>
      <c r="F6575" s="6"/>
      <c r="G6575" s="31"/>
      <c r="H6575" s="6"/>
      <c r="I6575" s="9"/>
      <c r="J6575" s="24"/>
      <c r="K6575" s="9"/>
      <c r="L6575" s="25"/>
      <c r="M6575" s="47"/>
      <c r="N6575" s="8"/>
      <c r="O6575" s="11"/>
      <c r="P6575" s="11"/>
      <c r="Q6575" s="8"/>
      <c r="R6575" s="6"/>
      <c r="S6575" s="3"/>
      <c r="T6575" s="3"/>
      <c r="U6575" s="7"/>
      <c r="V6575" s="436"/>
      <c r="W6575" s="6"/>
      <c r="X6575" s="8"/>
      <c r="Y6575" s="8"/>
    </row>
    <row r="6576" spans="3:25">
      <c r="C6576" s="4"/>
      <c r="D6576" s="4"/>
      <c r="E6576" s="5"/>
      <c r="F6576" s="6"/>
      <c r="G6576" s="31"/>
      <c r="H6576" s="6"/>
      <c r="I6576" s="9"/>
      <c r="J6576" s="24"/>
      <c r="K6576" s="9"/>
      <c r="L6576" s="25"/>
      <c r="M6576" s="25"/>
      <c r="N6576" s="8"/>
      <c r="O6576" s="11"/>
      <c r="P6576" s="11"/>
      <c r="Q6576" s="8"/>
      <c r="R6576" s="6"/>
      <c r="S6576" s="3"/>
      <c r="T6576" s="3"/>
      <c r="U6576" s="7"/>
      <c r="V6576" s="436"/>
      <c r="W6576" s="6"/>
      <c r="X6576" s="8"/>
      <c r="Y6576" s="8"/>
    </row>
    <row r="6577" spans="3:25">
      <c r="C6577" s="4"/>
      <c r="D6577" s="4"/>
      <c r="E6577" s="5"/>
      <c r="F6577" s="6"/>
      <c r="G6577" s="31"/>
      <c r="H6577" s="6"/>
      <c r="I6577" s="9"/>
      <c r="J6577" s="24"/>
      <c r="K6577" s="9"/>
      <c r="L6577" s="25"/>
      <c r="M6577" s="25"/>
      <c r="N6577" s="8"/>
      <c r="O6577" s="11"/>
      <c r="P6577" s="11"/>
      <c r="Q6577" s="8"/>
      <c r="R6577" s="6"/>
      <c r="S6577" s="3"/>
      <c r="T6577" s="3"/>
      <c r="U6577" s="7"/>
      <c r="V6577" s="436"/>
      <c r="W6577" s="6"/>
      <c r="X6577" s="8"/>
      <c r="Y6577" s="8"/>
    </row>
    <row r="6578" spans="3:25">
      <c r="C6578" s="4"/>
      <c r="D6578" s="4"/>
      <c r="E6578" s="5"/>
      <c r="F6578" s="6"/>
      <c r="G6578" s="31"/>
      <c r="H6578" s="6"/>
      <c r="I6578" s="9"/>
      <c r="J6578" s="24"/>
      <c r="K6578" s="9"/>
      <c r="L6578" s="25"/>
      <c r="M6578" s="25"/>
      <c r="N6578" s="8"/>
      <c r="O6578" s="11"/>
      <c r="P6578" s="11"/>
      <c r="Q6578" s="8"/>
      <c r="R6578" s="6"/>
      <c r="S6578" s="3"/>
      <c r="T6578" s="3"/>
      <c r="U6578" s="7"/>
      <c r="V6578" s="436"/>
      <c r="W6578" s="6"/>
      <c r="X6578" s="8"/>
      <c r="Y6578" s="8"/>
    </row>
    <row r="6579" spans="3:25">
      <c r="C6579" s="4"/>
      <c r="D6579" s="4"/>
      <c r="E6579" s="5"/>
      <c r="F6579" s="6"/>
      <c r="G6579" s="31"/>
      <c r="H6579" s="6"/>
      <c r="I6579" s="9"/>
      <c r="J6579" s="24"/>
      <c r="K6579" s="9"/>
      <c r="L6579" s="25"/>
      <c r="M6579" s="25"/>
      <c r="N6579" s="8"/>
      <c r="O6579" s="11"/>
      <c r="P6579" s="11"/>
      <c r="Q6579" s="8"/>
      <c r="R6579" s="6"/>
      <c r="S6579" s="3"/>
      <c r="T6579" s="3"/>
      <c r="U6579" s="7"/>
      <c r="V6579" s="436"/>
      <c r="W6579" s="6"/>
      <c r="X6579" s="8"/>
      <c r="Y6579" s="8"/>
    </row>
    <row r="6580" spans="3:25">
      <c r="C6580" s="4"/>
      <c r="D6580" s="4"/>
      <c r="E6580" s="5"/>
      <c r="F6580" s="6"/>
      <c r="G6580" s="31"/>
      <c r="H6580" s="6"/>
      <c r="I6580" s="9"/>
      <c r="J6580" s="24"/>
      <c r="K6580" s="9"/>
      <c r="L6580" s="25"/>
      <c r="M6580" s="25"/>
      <c r="N6580" s="8"/>
      <c r="O6580" s="11"/>
      <c r="P6580" s="11"/>
      <c r="Q6580" s="8"/>
      <c r="R6580" s="6"/>
      <c r="S6580" s="3"/>
      <c r="T6580" s="3"/>
      <c r="U6580" s="7"/>
      <c r="V6580" s="436"/>
      <c r="W6580" s="6"/>
      <c r="X6580" s="8"/>
      <c r="Y6580" s="8"/>
    </row>
    <row r="6581" spans="3:25">
      <c r="C6581" s="4"/>
      <c r="D6581" s="4"/>
      <c r="E6581" s="5"/>
      <c r="F6581" s="6"/>
      <c r="G6581" s="31"/>
      <c r="H6581" s="6"/>
      <c r="I6581" s="9"/>
      <c r="J6581" s="24"/>
      <c r="K6581" s="9"/>
      <c r="L6581" s="25"/>
      <c r="M6581" s="25"/>
      <c r="N6581" s="8"/>
      <c r="O6581" s="11"/>
      <c r="P6581" s="11"/>
      <c r="Q6581" s="8"/>
      <c r="R6581" s="6"/>
      <c r="S6581" s="3"/>
      <c r="T6581" s="3"/>
      <c r="U6581" s="7"/>
      <c r="V6581" s="436"/>
      <c r="W6581" s="6"/>
      <c r="X6581" s="8"/>
      <c r="Y6581" s="8"/>
    </row>
    <row r="6582" spans="3:25">
      <c r="C6582" s="4"/>
      <c r="D6582" s="4"/>
      <c r="E6582" s="5"/>
      <c r="F6582" s="6"/>
      <c r="G6582" s="31"/>
      <c r="H6582" s="6"/>
      <c r="I6582" s="9"/>
      <c r="J6582" s="24"/>
      <c r="K6582" s="9"/>
      <c r="L6582" s="25"/>
      <c r="M6582" s="25"/>
      <c r="N6582" s="8"/>
      <c r="O6582" s="11"/>
      <c r="P6582" s="11"/>
      <c r="Q6582" s="8"/>
      <c r="R6582" s="6"/>
      <c r="S6582" s="3"/>
      <c r="T6582" s="3"/>
      <c r="U6582" s="7"/>
      <c r="V6582" s="436"/>
      <c r="W6582" s="6"/>
      <c r="X6582" s="8"/>
      <c r="Y6582" s="8"/>
    </row>
    <row r="6583" spans="3:25">
      <c r="C6583" s="4"/>
      <c r="D6583" s="4"/>
      <c r="E6583" s="5"/>
      <c r="F6583" s="6"/>
      <c r="G6583" s="31"/>
      <c r="H6583" s="6"/>
      <c r="I6583" s="9"/>
      <c r="J6583" s="24"/>
      <c r="K6583" s="9"/>
      <c r="L6583" s="25"/>
      <c r="M6583" s="7"/>
      <c r="N6583" s="8"/>
      <c r="O6583" s="11"/>
      <c r="P6583" s="11"/>
      <c r="Q6583" s="8"/>
      <c r="R6583" s="6"/>
      <c r="S6583" s="3"/>
      <c r="T6583" s="3"/>
      <c r="U6583" s="7"/>
      <c r="V6583" s="436"/>
      <c r="W6583" s="6"/>
      <c r="X6583" s="8"/>
      <c r="Y6583" s="8"/>
    </row>
    <row r="6584" spans="3:25">
      <c r="C6584" s="4"/>
      <c r="D6584" s="4"/>
      <c r="E6584" s="5"/>
      <c r="F6584" s="6"/>
      <c r="G6584" s="31"/>
      <c r="H6584" s="6"/>
      <c r="I6584" s="9"/>
      <c r="J6584" s="24"/>
      <c r="K6584" s="9"/>
      <c r="L6584" s="25"/>
      <c r="M6584" s="7"/>
      <c r="N6584" s="8"/>
      <c r="O6584" s="11"/>
      <c r="P6584" s="11"/>
      <c r="Q6584" s="8"/>
      <c r="R6584" s="6"/>
      <c r="S6584" s="3"/>
      <c r="T6584" s="3"/>
      <c r="U6584" s="7"/>
      <c r="V6584" s="436"/>
      <c r="W6584" s="6"/>
      <c r="X6584" s="8"/>
      <c r="Y6584" s="8"/>
    </row>
    <row r="6585" spans="3:25">
      <c r="C6585" s="4"/>
      <c r="D6585" s="4"/>
      <c r="E6585" s="5"/>
      <c r="F6585" s="6"/>
      <c r="G6585" s="31"/>
      <c r="H6585" s="6"/>
      <c r="I6585" s="9"/>
      <c r="J6585" s="24"/>
      <c r="K6585" s="9"/>
      <c r="L6585" s="25"/>
      <c r="M6585" s="7"/>
      <c r="N6585" s="8"/>
      <c r="O6585" s="11"/>
      <c r="P6585" s="11"/>
      <c r="Q6585" s="8"/>
      <c r="R6585" s="6"/>
      <c r="S6585" s="3"/>
      <c r="T6585" s="3"/>
      <c r="U6585" s="7"/>
      <c r="V6585" s="436"/>
      <c r="W6585" s="6"/>
      <c r="X6585" s="8"/>
      <c r="Y6585" s="8"/>
    </row>
    <row r="6586" spans="3:25">
      <c r="C6586" s="4"/>
      <c r="D6586" s="4"/>
      <c r="E6586" s="5"/>
      <c r="F6586" s="6"/>
      <c r="G6586" s="31"/>
      <c r="H6586" s="6"/>
      <c r="I6586" s="9"/>
      <c r="J6586" s="24"/>
      <c r="K6586" s="9"/>
      <c r="L6586" s="25"/>
      <c r="M6586" s="7"/>
      <c r="N6586" s="8"/>
      <c r="O6586" s="11"/>
      <c r="P6586" s="11"/>
      <c r="Q6586" s="8"/>
      <c r="R6586" s="6"/>
      <c r="S6586" s="3"/>
      <c r="T6586" s="3"/>
      <c r="U6586" s="7"/>
      <c r="V6586" s="436"/>
      <c r="W6586" s="6"/>
      <c r="X6586" s="8"/>
      <c r="Y6586" s="8"/>
    </row>
    <row r="6587" spans="3:25">
      <c r="C6587" s="4"/>
      <c r="D6587" s="4"/>
      <c r="E6587" s="5"/>
      <c r="F6587" s="6"/>
      <c r="G6587" s="31"/>
      <c r="H6587" s="6"/>
      <c r="I6587" s="9"/>
      <c r="J6587" s="24"/>
      <c r="K6587" s="9"/>
      <c r="L6587" s="25"/>
      <c r="M6587" s="7"/>
      <c r="N6587" s="8"/>
      <c r="O6587" s="11"/>
      <c r="P6587" s="11"/>
      <c r="Q6587" s="8"/>
      <c r="R6587" s="6"/>
      <c r="S6587" s="3"/>
      <c r="T6587" s="3"/>
      <c r="U6587" s="7"/>
      <c r="V6587" s="436"/>
      <c r="W6587" s="6"/>
      <c r="X6587" s="8"/>
      <c r="Y6587" s="8"/>
    </row>
    <row r="6588" spans="3:25">
      <c r="C6588" s="4"/>
      <c r="D6588" s="4"/>
      <c r="E6588" s="5"/>
      <c r="F6588" s="6"/>
      <c r="G6588" s="31"/>
      <c r="H6588" s="6"/>
      <c r="I6588" s="9"/>
      <c r="J6588" s="24"/>
      <c r="K6588" s="9"/>
      <c r="L6588" s="25"/>
      <c r="M6588" s="7"/>
      <c r="N6588" s="8"/>
      <c r="O6588" s="11"/>
      <c r="P6588" s="11"/>
      <c r="Q6588" s="8"/>
      <c r="R6588" s="6"/>
      <c r="S6588" s="3"/>
      <c r="T6588" s="3"/>
      <c r="U6588" s="7"/>
      <c r="V6588" s="436"/>
      <c r="W6588" s="6"/>
      <c r="X6588" s="8"/>
      <c r="Y6588" s="8"/>
    </row>
    <row r="6589" spans="3:25">
      <c r="C6589" s="4"/>
      <c r="D6589" s="4"/>
      <c r="E6589" s="5"/>
      <c r="F6589" s="6"/>
      <c r="G6589" s="31"/>
      <c r="H6589" s="6"/>
      <c r="I6589" s="9"/>
      <c r="J6589" s="24"/>
      <c r="K6589" s="9"/>
      <c r="L6589" s="25"/>
      <c r="M6589" s="7"/>
      <c r="N6589" s="8"/>
      <c r="O6589" s="11"/>
      <c r="P6589" s="11"/>
      <c r="Q6589" s="8"/>
      <c r="R6589" s="6"/>
      <c r="S6589" s="3"/>
      <c r="T6589" s="3"/>
      <c r="U6589" s="7"/>
      <c r="V6589" s="436"/>
      <c r="W6589" s="6"/>
      <c r="X6589" s="8"/>
      <c r="Y6589" s="8"/>
    </row>
    <row r="6590" spans="3:25">
      <c r="C6590" s="4"/>
      <c r="D6590" s="4"/>
      <c r="E6590" s="5"/>
      <c r="F6590" s="6"/>
      <c r="G6590" s="31"/>
      <c r="H6590" s="6"/>
      <c r="I6590" s="9"/>
      <c r="J6590" s="24"/>
      <c r="K6590" s="9"/>
      <c r="L6590" s="25"/>
      <c r="M6590" s="7"/>
      <c r="N6590" s="8"/>
      <c r="O6590" s="11"/>
      <c r="P6590" s="11"/>
      <c r="Q6590" s="8"/>
      <c r="R6590" s="6"/>
      <c r="S6590" s="3"/>
      <c r="T6590" s="3"/>
      <c r="U6590" s="7"/>
      <c r="V6590" s="436"/>
      <c r="W6590" s="6"/>
      <c r="X6590" s="8"/>
      <c r="Y6590" s="8"/>
    </row>
    <row r="6591" spans="3:25">
      <c r="C6591" s="4"/>
      <c r="D6591" s="4"/>
      <c r="E6591" s="5"/>
      <c r="F6591" s="6"/>
      <c r="G6591" s="31"/>
      <c r="H6591" s="6"/>
      <c r="I6591" s="9"/>
      <c r="J6591" s="24"/>
      <c r="K6591" s="9"/>
      <c r="L6591" s="25"/>
      <c r="M6591" s="7"/>
      <c r="N6591" s="8"/>
      <c r="O6591" s="11"/>
      <c r="P6591" s="11"/>
      <c r="Q6591" s="8"/>
      <c r="R6591" s="6"/>
      <c r="S6591" s="3"/>
      <c r="T6591" s="3"/>
      <c r="U6591" s="7"/>
      <c r="V6591" s="436"/>
      <c r="W6591" s="6"/>
      <c r="X6591" s="8"/>
      <c r="Y6591" s="8"/>
    </row>
    <row r="6592" spans="3:25">
      <c r="C6592" s="4"/>
      <c r="D6592" s="4"/>
      <c r="E6592" s="5"/>
      <c r="F6592" s="6"/>
      <c r="G6592" s="31"/>
      <c r="H6592" s="6"/>
      <c r="I6592" s="9"/>
      <c r="J6592" s="24"/>
      <c r="K6592" s="9"/>
      <c r="L6592" s="25"/>
      <c r="M6592" s="7"/>
      <c r="N6592" s="8"/>
      <c r="O6592" s="11"/>
      <c r="P6592" s="11"/>
      <c r="Q6592" s="8"/>
      <c r="R6592" s="6"/>
      <c r="S6592" s="3"/>
      <c r="T6592" s="3"/>
      <c r="U6592" s="7"/>
      <c r="V6592" s="436"/>
      <c r="W6592" s="6"/>
      <c r="X6592" s="8"/>
      <c r="Y6592" s="8"/>
    </row>
    <row r="6593" spans="3:25">
      <c r="C6593" s="4"/>
      <c r="D6593" s="4"/>
      <c r="E6593" s="5"/>
      <c r="F6593" s="6"/>
      <c r="G6593" s="31"/>
      <c r="H6593" s="6"/>
      <c r="I6593" s="9"/>
      <c r="J6593" s="24"/>
      <c r="K6593" s="9"/>
      <c r="L6593" s="25"/>
      <c r="M6593" s="7"/>
      <c r="N6593" s="8"/>
      <c r="O6593" s="11"/>
      <c r="P6593" s="11"/>
      <c r="Q6593" s="8"/>
      <c r="R6593" s="6"/>
      <c r="S6593" s="3"/>
      <c r="T6593" s="3"/>
      <c r="U6593" s="7"/>
      <c r="V6593" s="436"/>
      <c r="W6593" s="6"/>
      <c r="X6593" s="8"/>
      <c r="Y6593" s="8"/>
    </row>
    <row r="6594" spans="3:25">
      <c r="C6594" s="4"/>
      <c r="D6594" s="4"/>
      <c r="E6594" s="5"/>
      <c r="F6594" s="6"/>
      <c r="G6594" s="31"/>
      <c r="H6594" s="6"/>
      <c r="I6594" s="9"/>
      <c r="J6594" s="24"/>
      <c r="K6594" s="9"/>
      <c r="L6594" s="25"/>
      <c r="M6594" s="7"/>
      <c r="N6594" s="8"/>
      <c r="O6594" s="11"/>
      <c r="P6594" s="11"/>
      <c r="Q6594" s="8"/>
      <c r="R6594" s="6"/>
      <c r="S6594" s="3"/>
      <c r="T6594" s="3"/>
      <c r="U6594" s="7"/>
      <c r="V6594" s="436"/>
      <c r="W6594" s="6"/>
      <c r="X6594" s="8"/>
      <c r="Y6594" s="8"/>
    </row>
    <row r="6595" spans="3:25">
      <c r="C6595" s="4"/>
      <c r="D6595" s="4"/>
      <c r="E6595" s="5"/>
      <c r="F6595" s="6"/>
      <c r="G6595" s="31"/>
      <c r="H6595" s="6"/>
      <c r="I6595" s="9"/>
      <c r="J6595" s="24"/>
      <c r="K6595" s="9"/>
      <c r="L6595" s="25"/>
      <c r="M6595" s="7"/>
      <c r="N6595" s="8"/>
      <c r="O6595" s="11"/>
      <c r="P6595" s="11"/>
      <c r="Q6595" s="8"/>
      <c r="R6595" s="6"/>
      <c r="S6595" s="3"/>
      <c r="T6595" s="3"/>
      <c r="U6595" s="7"/>
      <c r="V6595" s="436"/>
      <c r="W6595" s="6"/>
      <c r="X6595" s="8"/>
      <c r="Y6595" s="8"/>
    </row>
    <row r="6596" spans="3:25">
      <c r="C6596" s="4"/>
      <c r="D6596" s="4"/>
      <c r="E6596" s="5"/>
      <c r="F6596" s="6"/>
      <c r="G6596" s="31"/>
      <c r="H6596" s="6"/>
      <c r="I6596" s="9"/>
      <c r="J6596" s="24"/>
      <c r="K6596" s="9"/>
      <c r="L6596" s="25"/>
      <c r="M6596" s="7"/>
      <c r="N6596" s="8"/>
      <c r="O6596" s="11"/>
      <c r="P6596" s="11"/>
      <c r="Q6596" s="8"/>
      <c r="R6596" s="6"/>
      <c r="S6596" s="3"/>
      <c r="T6596" s="3"/>
      <c r="U6596" s="7"/>
      <c r="V6596" s="436"/>
      <c r="W6596" s="6"/>
      <c r="X6596" s="8"/>
      <c r="Y6596" s="8"/>
    </row>
    <row r="6597" spans="3:25">
      <c r="C6597" s="4"/>
      <c r="D6597" s="4"/>
      <c r="E6597" s="5"/>
      <c r="F6597" s="6"/>
      <c r="G6597" s="31"/>
      <c r="H6597" s="6"/>
      <c r="I6597" s="9"/>
      <c r="J6597" s="24"/>
      <c r="K6597" s="9"/>
      <c r="L6597" s="25"/>
      <c r="M6597" s="25"/>
      <c r="N6597" s="8"/>
      <c r="O6597" s="11"/>
      <c r="P6597" s="11"/>
      <c r="Q6597" s="8"/>
      <c r="R6597" s="6"/>
      <c r="S6597" s="3"/>
      <c r="T6597" s="3"/>
      <c r="U6597" s="7"/>
      <c r="V6597" s="436"/>
      <c r="W6597" s="6"/>
      <c r="X6597" s="8"/>
      <c r="Y6597" s="8"/>
    </row>
    <row r="6598" spans="3:25">
      <c r="C6598" s="4"/>
      <c r="D6598" s="4"/>
      <c r="E6598" s="5"/>
      <c r="F6598" s="6"/>
      <c r="G6598" s="31"/>
      <c r="H6598" s="6"/>
      <c r="I6598" s="9"/>
      <c r="J6598" s="24"/>
      <c r="K6598" s="9"/>
      <c r="L6598" s="25"/>
      <c r="M6598" s="25"/>
      <c r="N6598" s="8"/>
      <c r="O6598" s="11"/>
      <c r="P6598" s="11"/>
      <c r="Q6598" s="8"/>
      <c r="R6598" s="6"/>
      <c r="S6598" s="3"/>
      <c r="T6598" s="3"/>
      <c r="U6598" s="7"/>
      <c r="V6598" s="436"/>
      <c r="W6598" s="6"/>
      <c r="X6598" s="8"/>
      <c r="Y6598" s="8"/>
    </row>
    <row r="6599" spans="3:25">
      <c r="C6599" s="4"/>
      <c r="D6599" s="4"/>
      <c r="E6599" s="5"/>
      <c r="F6599" s="6"/>
      <c r="G6599" s="31"/>
      <c r="H6599" s="6"/>
      <c r="I6599" s="9"/>
      <c r="J6599" s="24"/>
      <c r="K6599" s="9"/>
      <c r="L6599" s="25"/>
      <c r="M6599" s="7"/>
      <c r="N6599" s="8"/>
      <c r="O6599" s="11"/>
      <c r="P6599" s="11"/>
      <c r="Q6599" s="8"/>
      <c r="R6599" s="6"/>
      <c r="S6599" s="3"/>
      <c r="T6599" s="3"/>
      <c r="U6599" s="7"/>
      <c r="V6599" s="436"/>
      <c r="W6599" s="6"/>
      <c r="X6599" s="8"/>
      <c r="Y6599" s="8"/>
    </row>
    <row r="6600" spans="3:25">
      <c r="C6600" s="4"/>
      <c r="D6600" s="4"/>
      <c r="E6600" s="5"/>
      <c r="F6600" s="6"/>
      <c r="G6600" s="31"/>
      <c r="H6600" s="6"/>
      <c r="I6600" s="9"/>
      <c r="J6600" s="24"/>
      <c r="K6600" s="9"/>
      <c r="L6600" s="25"/>
      <c r="M6600" s="7"/>
      <c r="N6600" s="8"/>
      <c r="O6600" s="11"/>
      <c r="P6600" s="11"/>
      <c r="Q6600" s="8"/>
      <c r="R6600" s="6"/>
      <c r="S6600" s="3"/>
      <c r="T6600" s="3"/>
      <c r="U6600" s="7"/>
      <c r="V6600" s="436"/>
      <c r="W6600" s="6"/>
      <c r="X6600" s="8"/>
      <c r="Y6600" s="8"/>
    </row>
    <row r="6601" spans="3:25">
      <c r="C6601" s="4"/>
      <c r="D6601" s="4"/>
      <c r="E6601" s="5"/>
      <c r="F6601" s="6"/>
      <c r="G6601" s="31"/>
      <c r="H6601" s="6"/>
      <c r="I6601" s="9"/>
      <c r="J6601" s="24"/>
      <c r="K6601" s="9"/>
      <c r="L6601" s="25"/>
      <c r="M6601" s="7"/>
      <c r="N6601" s="8"/>
      <c r="O6601" s="11"/>
      <c r="P6601" s="11"/>
      <c r="Q6601" s="8"/>
      <c r="R6601" s="6"/>
      <c r="S6601" s="3"/>
      <c r="T6601" s="3"/>
      <c r="U6601" s="7"/>
      <c r="V6601" s="436"/>
      <c r="W6601" s="6"/>
      <c r="X6601" s="8"/>
      <c r="Y6601" s="8"/>
    </row>
    <row r="6602" spans="3:25">
      <c r="C6602" s="4"/>
      <c r="D6602" s="4"/>
      <c r="E6602" s="5"/>
      <c r="F6602" s="6"/>
      <c r="G6602" s="31"/>
      <c r="H6602" s="6"/>
      <c r="I6602" s="9"/>
      <c r="J6602" s="24"/>
      <c r="K6602" s="9"/>
      <c r="L6602" s="25"/>
      <c r="M6602" s="7"/>
      <c r="N6602" s="8"/>
      <c r="O6602" s="11"/>
      <c r="P6602" s="11"/>
      <c r="Q6602" s="8"/>
      <c r="R6602" s="6"/>
      <c r="S6602" s="3"/>
      <c r="T6602" s="3"/>
      <c r="U6602" s="7"/>
      <c r="V6602" s="436"/>
      <c r="W6602" s="6"/>
      <c r="X6602" s="8"/>
      <c r="Y6602" s="8"/>
    </row>
    <row r="6603" spans="3:25">
      <c r="C6603" s="4"/>
      <c r="D6603" s="4"/>
      <c r="E6603" s="5"/>
      <c r="F6603" s="6"/>
      <c r="G6603" s="31"/>
      <c r="H6603" s="6"/>
      <c r="I6603" s="9"/>
      <c r="J6603" s="24"/>
      <c r="K6603" s="9"/>
      <c r="L6603" s="25"/>
      <c r="M6603" s="7"/>
      <c r="N6603" s="8"/>
      <c r="O6603" s="11"/>
      <c r="P6603" s="11"/>
      <c r="Q6603" s="8"/>
      <c r="R6603" s="6"/>
      <c r="S6603" s="3"/>
      <c r="T6603" s="3"/>
      <c r="U6603" s="7"/>
      <c r="V6603" s="436"/>
      <c r="W6603" s="6"/>
      <c r="X6603" s="8"/>
      <c r="Y6603" s="8"/>
    </row>
    <row r="6604" spans="3:25">
      <c r="C6604" s="4"/>
      <c r="D6604" s="4"/>
      <c r="E6604" s="5"/>
      <c r="F6604" s="6"/>
      <c r="G6604" s="31"/>
      <c r="H6604" s="6"/>
      <c r="I6604" s="9"/>
      <c r="J6604" s="24"/>
      <c r="K6604" s="10"/>
      <c r="L6604" s="25"/>
      <c r="M6604" s="7"/>
      <c r="N6604" s="8"/>
      <c r="O6604" s="11"/>
      <c r="P6604" s="11"/>
      <c r="Q6604" s="8"/>
      <c r="R6604" s="6"/>
      <c r="S6604" s="3"/>
      <c r="T6604" s="3"/>
      <c r="U6604" s="7"/>
      <c r="V6604" s="436"/>
      <c r="W6604" s="6"/>
      <c r="X6604" s="8"/>
      <c r="Y6604" s="8"/>
    </row>
    <row r="6605" spans="3:25">
      <c r="C6605" s="4"/>
      <c r="D6605" s="4"/>
      <c r="E6605" s="5"/>
      <c r="F6605" s="6"/>
      <c r="G6605" s="31"/>
      <c r="H6605" s="6"/>
      <c r="I6605" s="9"/>
      <c r="J6605" s="24"/>
      <c r="K6605" s="9"/>
      <c r="L6605" s="25"/>
      <c r="M6605" s="25"/>
      <c r="N6605" s="8"/>
      <c r="O6605" s="11"/>
      <c r="P6605" s="11"/>
      <c r="Q6605" s="8"/>
      <c r="R6605" s="6"/>
      <c r="S6605" s="3"/>
      <c r="T6605" s="3"/>
      <c r="U6605" s="7"/>
      <c r="V6605" s="436"/>
      <c r="W6605" s="6"/>
      <c r="X6605" s="8"/>
      <c r="Y6605" s="8"/>
    </row>
    <row r="6606" spans="3:25">
      <c r="C6606" s="4"/>
      <c r="D6606" s="4"/>
      <c r="E6606" s="5"/>
      <c r="F6606" s="6"/>
      <c r="G6606" s="31"/>
      <c r="H6606" s="6"/>
      <c r="I6606" s="9"/>
      <c r="J6606" s="24"/>
      <c r="K6606" s="9"/>
      <c r="L6606" s="25"/>
      <c r="M6606" s="25"/>
      <c r="N6606" s="8"/>
      <c r="O6606" s="11"/>
      <c r="P6606" s="11"/>
      <c r="Q6606" s="8"/>
      <c r="R6606" s="6"/>
      <c r="S6606" s="3"/>
      <c r="T6606" s="3"/>
      <c r="U6606" s="7"/>
      <c r="V6606" s="436"/>
      <c r="W6606" s="6"/>
      <c r="X6606" s="8"/>
      <c r="Y6606" s="8"/>
    </row>
    <row r="6607" spans="3:25">
      <c r="C6607" s="4"/>
      <c r="D6607" s="4"/>
      <c r="E6607" s="5"/>
      <c r="F6607" s="6"/>
      <c r="G6607" s="31"/>
      <c r="H6607" s="6"/>
      <c r="I6607" s="9"/>
      <c r="J6607" s="24"/>
      <c r="K6607" s="9"/>
      <c r="L6607" s="25"/>
      <c r="M6607" s="25"/>
      <c r="N6607" s="8"/>
      <c r="O6607" s="11"/>
      <c r="P6607" s="11"/>
      <c r="Q6607" s="8"/>
      <c r="R6607" s="6"/>
      <c r="S6607" s="3"/>
      <c r="T6607" s="3"/>
      <c r="U6607" s="7"/>
      <c r="V6607" s="436"/>
      <c r="W6607" s="6"/>
      <c r="X6607" s="8"/>
      <c r="Y6607" s="8"/>
    </row>
    <row r="6608" spans="3:25">
      <c r="C6608" s="4"/>
      <c r="D6608" s="4"/>
      <c r="E6608" s="5"/>
      <c r="F6608" s="6"/>
      <c r="G6608" s="31"/>
      <c r="H6608" s="6"/>
      <c r="I6608" s="9"/>
      <c r="J6608" s="24"/>
      <c r="K6608" s="9"/>
      <c r="L6608" s="25"/>
      <c r="M6608" s="25"/>
      <c r="N6608" s="8"/>
      <c r="O6608" s="11"/>
      <c r="P6608" s="11"/>
      <c r="Q6608" s="8"/>
      <c r="R6608" s="6"/>
      <c r="S6608" s="3"/>
      <c r="T6608" s="3"/>
      <c r="U6608" s="7"/>
      <c r="V6608" s="436"/>
      <c r="W6608" s="6"/>
      <c r="X6608" s="8"/>
      <c r="Y6608" s="8"/>
    </row>
    <row r="6609" spans="3:25">
      <c r="C6609" s="4"/>
      <c r="D6609" s="4"/>
      <c r="E6609" s="5"/>
      <c r="F6609" s="6"/>
      <c r="G6609" s="31"/>
      <c r="H6609" s="6"/>
      <c r="I6609" s="9"/>
      <c r="J6609" s="24"/>
      <c r="K6609" s="9"/>
      <c r="L6609" s="25"/>
      <c r="M6609" s="25"/>
      <c r="N6609" s="8"/>
      <c r="O6609" s="11"/>
      <c r="P6609" s="11"/>
      <c r="Q6609" s="8"/>
      <c r="R6609" s="6"/>
      <c r="S6609" s="3"/>
      <c r="T6609" s="3"/>
      <c r="U6609" s="7"/>
      <c r="V6609" s="436"/>
      <c r="W6609" s="6"/>
      <c r="X6609" s="8"/>
      <c r="Y6609" s="8"/>
    </row>
    <row r="6610" spans="3:25">
      <c r="C6610" s="4"/>
      <c r="D6610" s="4"/>
      <c r="E6610" s="5"/>
      <c r="F6610" s="6"/>
      <c r="G6610" s="31"/>
      <c r="H6610" s="6"/>
      <c r="I6610" s="9"/>
      <c r="J6610" s="24"/>
      <c r="K6610" s="9"/>
      <c r="L6610" s="25"/>
      <c r="M6610" s="25"/>
      <c r="N6610" s="8"/>
      <c r="O6610" s="11"/>
      <c r="P6610" s="11"/>
      <c r="Q6610" s="8"/>
      <c r="R6610" s="6"/>
      <c r="S6610" s="3"/>
      <c r="T6610" s="3"/>
      <c r="U6610" s="7"/>
      <c r="V6610" s="436"/>
      <c r="W6610" s="6"/>
      <c r="X6610" s="8"/>
      <c r="Y6610" s="8"/>
    </row>
    <row r="6611" spans="3:25">
      <c r="C6611" s="4"/>
      <c r="D6611" s="4"/>
      <c r="E6611" s="5"/>
      <c r="F6611" s="6"/>
      <c r="G6611" s="31"/>
      <c r="H6611" s="6"/>
      <c r="I6611" s="9"/>
      <c r="J6611" s="24"/>
      <c r="K6611" s="9"/>
      <c r="L6611" s="25"/>
      <c r="M6611" s="25"/>
      <c r="N6611" s="8"/>
      <c r="O6611" s="11"/>
      <c r="P6611" s="11"/>
      <c r="Q6611" s="8"/>
      <c r="R6611" s="6"/>
      <c r="S6611" s="3"/>
      <c r="T6611" s="3"/>
      <c r="U6611" s="7"/>
      <c r="V6611" s="436"/>
      <c r="W6611" s="6"/>
      <c r="X6611" s="8"/>
      <c r="Y6611" s="8"/>
    </row>
    <row r="6612" spans="3:25">
      <c r="C6612" s="4"/>
      <c r="D6612" s="4"/>
      <c r="E6612" s="5"/>
      <c r="F6612" s="6"/>
      <c r="G6612" s="31"/>
      <c r="H6612" s="6"/>
      <c r="I6612" s="9"/>
      <c r="J6612" s="24"/>
      <c r="K6612" s="9"/>
      <c r="L6612" s="25"/>
      <c r="M6612" s="25"/>
      <c r="N6612" s="8"/>
      <c r="O6612" s="11"/>
      <c r="P6612" s="11"/>
      <c r="Q6612" s="8"/>
      <c r="R6612" s="6"/>
      <c r="S6612" s="3"/>
      <c r="T6612" s="3"/>
      <c r="U6612" s="7"/>
      <c r="V6612" s="436"/>
      <c r="W6612" s="6"/>
      <c r="X6612" s="8"/>
      <c r="Y6612" s="8"/>
    </row>
    <row r="6613" spans="3:25">
      <c r="C6613" s="4"/>
      <c r="D6613" s="4"/>
      <c r="E6613" s="5"/>
      <c r="F6613" s="6"/>
      <c r="G6613" s="31"/>
      <c r="H6613" s="6"/>
      <c r="I6613" s="9"/>
      <c r="J6613" s="24"/>
      <c r="K6613" s="9"/>
      <c r="L6613" s="25"/>
      <c r="M6613" s="25"/>
      <c r="N6613" s="8"/>
      <c r="O6613" s="11"/>
      <c r="P6613" s="11"/>
      <c r="Q6613" s="8"/>
      <c r="R6613" s="6"/>
      <c r="S6613" s="3"/>
      <c r="T6613" s="3"/>
      <c r="U6613" s="7"/>
      <c r="V6613" s="436"/>
      <c r="W6613" s="6"/>
      <c r="X6613" s="8"/>
      <c r="Y6613" s="8"/>
    </row>
    <row r="6614" spans="3:25">
      <c r="C6614" s="4"/>
      <c r="D6614" s="4"/>
      <c r="E6614" s="5"/>
      <c r="F6614" s="6"/>
      <c r="G6614" s="31"/>
      <c r="H6614" s="6"/>
      <c r="I6614" s="9"/>
      <c r="J6614" s="24"/>
      <c r="K6614" s="9"/>
      <c r="L6614" s="25"/>
      <c r="M6614" s="25"/>
      <c r="N6614" s="8"/>
      <c r="O6614" s="11"/>
      <c r="P6614" s="11"/>
      <c r="Q6614" s="8"/>
      <c r="R6614" s="6"/>
      <c r="S6614" s="3"/>
      <c r="T6614" s="3"/>
      <c r="U6614" s="7"/>
      <c r="V6614" s="436"/>
      <c r="W6614" s="6"/>
      <c r="X6614" s="8"/>
      <c r="Y6614" s="8"/>
    </row>
    <row r="6615" spans="3:25">
      <c r="C6615" s="4"/>
      <c r="D6615" s="4"/>
      <c r="E6615" s="5"/>
      <c r="F6615" s="6"/>
      <c r="G6615" s="31"/>
      <c r="H6615" s="6"/>
      <c r="I6615" s="9"/>
      <c r="J6615" s="24"/>
      <c r="K6615" s="9"/>
      <c r="L6615" s="25"/>
      <c r="M6615" s="25"/>
      <c r="N6615" s="8"/>
      <c r="O6615" s="11"/>
      <c r="P6615" s="11"/>
      <c r="Q6615" s="8"/>
      <c r="R6615" s="6"/>
      <c r="S6615" s="3"/>
      <c r="T6615" s="3"/>
      <c r="U6615" s="7"/>
      <c r="V6615" s="436"/>
      <c r="W6615" s="6"/>
      <c r="X6615" s="8"/>
      <c r="Y6615" s="8"/>
    </row>
    <row r="6616" spans="3:25">
      <c r="C6616" s="4"/>
      <c r="D6616" s="4"/>
      <c r="E6616" s="5"/>
      <c r="F6616" s="6"/>
      <c r="G6616" s="31"/>
      <c r="H6616" s="6"/>
      <c r="I6616" s="6"/>
      <c r="J6616" s="24"/>
      <c r="K6616" s="9"/>
      <c r="L6616" s="25"/>
      <c r="M6616" s="25"/>
      <c r="N6616" s="8"/>
      <c r="O6616" s="11"/>
      <c r="P6616" s="11"/>
      <c r="Q6616" s="8"/>
      <c r="R6616" s="6"/>
      <c r="S6616" s="3"/>
      <c r="T6616" s="3"/>
      <c r="U6616" s="7"/>
      <c r="V6616" s="436"/>
      <c r="W6616" s="6"/>
      <c r="X6616" s="8"/>
      <c r="Y6616" s="8"/>
    </row>
    <row r="6617" spans="3:25">
      <c r="C6617" s="4"/>
      <c r="D6617" s="4"/>
      <c r="E6617" s="5"/>
      <c r="F6617" s="6"/>
      <c r="G6617" s="31"/>
      <c r="H6617" s="6"/>
      <c r="I6617" s="9"/>
      <c r="J6617" s="24"/>
      <c r="K6617" s="9"/>
      <c r="L6617" s="25"/>
      <c r="M6617" s="25"/>
      <c r="N6617" s="8"/>
      <c r="O6617" s="11"/>
      <c r="P6617" s="11"/>
      <c r="Q6617" s="8"/>
      <c r="R6617" s="6"/>
      <c r="S6617" s="3"/>
      <c r="T6617" s="3"/>
      <c r="U6617" s="7"/>
      <c r="V6617" s="436"/>
      <c r="W6617" s="6"/>
      <c r="X6617" s="8"/>
      <c r="Y6617" s="8"/>
    </row>
    <row r="6618" spans="3:25">
      <c r="C6618" s="4"/>
      <c r="D6618" s="4"/>
      <c r="E6618" s="5"/>
      <c r="F6618" s="6"/>
      <c r="G6618" s="31"/>
      <c r="H6618" s="6"/>
      <c r="I6618" s="9"/>
      <c r="J6618" s="24"/>
      <c r="K6618" s="9"/>
      <c r="L6618" s="25"/>
      <c r="M6618" s="25"/>
      <c r="N6618" s="8"/>
      <c r="O6618" s="11"/>
      <c r="P6618" s="11"/>
      <c r="Q6618" s="8"/>
      <c r="R6618" s="6"/>
      <c r="S6618" s="3"/>
      <c r="T6618" s="3"/>
      <c r="U6618" s="7"/>
      <c r="V6618" s="436"/>
      <c r="W6618" s="6"/>
      <c r="X6618" s="8"/>
      <c r="Y6618" s="8"/>
    </row>
    <row r="6619" spans="3:25">
      <c r="C6619" s="4"/>
      <c r="D6619" s="4"/>
      <c r="E6619" s="5"/>
      <c r="F6619" s="6"/>
      <c r="G6619" s="31"/>
      <c r="H6619" s="6"/>
      <c r="I6619" s="9"/>
      <c r="J6619" s="24"/>
      <c r="K6619" s="9"/>
      <c r="L6619" s="25"/>
      <c r="M6619" s="25"/>
      <c r="N6619" s="8"/>
      <c r="O6619" s="11"/>
      <c r="P6619" s="11"/>
      <c r="Q6619" s="8"/>
      <c r="R6619" s="6"/>
      <c r="S6619" s="3"/>
      <c r="T6619" s="3"/>
      <c r="U6619" s="7"/>
      <c r="V6619" s="436"/>
      <c r="W6619" s="6"/>
      <c r="X6619" s="8"/>
      <c r="Y6619" s="8"/>
    </row>
    <row r="6620" spans="3:25">
      <c r="C6620" s="4"/>
      <c r="D6620" s="4"/>
      <c r="E6620" s="5"/>
      <c r="F6620" s="6"/>
      <c r="G6620" s="31"/>
      <c r="H6620" s="6"/>
      <c r="I6620" s="9"/>
      <c r="J6620" s="24"/>
      <c r="K6620" s="9"/>
      <c r="L6620" s="25"/>
      <c r="M6620" s="25"/>
      <c r="N6620" s="8"/>
      <c r="O6620" s="11"/>
      <c r="P6620" s="11"/>
      <c r="Q6620" s="8"/>
      <c r="R6620" s="6"/>
      <c r="S6620" s="3"/>
      <c r="T6620" s="3"/>
      <c r="U6620" s="7"/>
      <c r="V6620" s="436"/>
      <c r="W6620" s="6"/>
      <c r="X6620" s="8"/>
      <c r="Y6620" s="8"/>
    </row>
    <row r="6621" spans="3:25">
      <c r="C6621" s="4"/>
      <c r="D6621" s="4"/>
      <c r="E6621" s="5"/>
      <c r="F6621" s="6"/>
      <c r="G6621" s="31"/>
      <c r="H6621" s="6"/>
      <c r="I6621" s="9"/>
      <c r="J6621" s="24"/>
      <c r="K6621" s="9"/>
      <c r="L6621" s="25"/>
      <c r="M6621" s="25"/>
      <c r="N6621" s="8"/>
      <c r="O6621" s="11"/>
      <c r="P6621" s="11"/>
      <c r="Q6621" s="8"/>
      <c r="R6621" s="6"/>
      <c r="S6621" s="3"/>
      <c r="T6621" s="3"/>
      <c r="U6621" s="7"/>
      <c r="V6621" s="436"/>
      <c r="W6621" s="6"/>
      <c r="X6621" s="8"/>
      <c r="Y6621" s="8"/>
    </row>
    <row r="6622" spans="3:25">
      <c r="C6622" s="4"/>
      <c r="D6622" s="4"/>
      <c r="E6622" s="5"/>
      <c r="F6622" s="6"/>
      <c r="G6622" s="31"/>
      <c r="H6622" s="6"/>
      <c r="I6622" s="9"/>
      <c r="J6622" s="24"/>
      <c r="K6622" s="10"/>
      <c r="L6622" s="25"/>
      <c r="M6622" s="25"/>
      <c r="N6622" s="8"/>
      <c r="O6622" s="11"/>
      <c r="P6622" s="11"/>
      <c r="Q6622" s="8"/>
      <c r="R6622" s="6"/>
      <c r="S6622" s="3"/>
      <c r="T6622" s="3"/>
      <c r="U6622" s="7"/>
      <c r="V6622" s="436"/>
      <c r="W6622" s="6"/>
      <c r="X6622" s="8"/>
      <c r="Y6622" s="8"/>
    </row>
    <row r="6623" spans="3:25">
      <c r="C6623" s="4"/>
      <c r="D6623" s="4"/>
      <c r="E6623" s="5"/>
      <c r="F6623" s="6"/>
      <c r="G6623" s="31"/>
      <c r="H6623" s="6"/>
      <c r="I6623" s="9"/>
      <c r="J6623" s="24"/>
      <c r="K6623" s="9"/>
      <c r="L6623" s="25"/>
      <c r="M6623" s="25"/>
      <c r="N6623" s="8"/>
      <c r="O6623" s="11"/>
      <c r="P6623" s="11"/>
      <c r="Q6623" s="8"/>
      <c r="R6623" s="6"/>
      <c r="S6623" s="3"/>
      <c r="T6623" s="3"/>
      <c r="U6623" s="7"/>
      <c r="V6623" s="436"/>
      <c r="W6623" s="6"/>
      <c r="X6623" s="8"/>
      <c r="Y6623" s="8"/>
    </row>
    <row r="6624" spans="3:25">
      <c r="C6624" s="4"/>
      <c r="D6624" s="4"/>
      <c r="E6624" s="5"/>
      <c r="F6624" s="6"/>
      <c r="G6624" s="31"/>
      <c r="H6624" s="6"/>
      <c r="I6624" s="9"/>
      <c r="J6624" s="24"/>
      <c r="K6624" s="9"/>
      <c r="L6624" s="25"/>
      <c r="M6624" s="25"/>
      <c r="N6624" s="8"/>
      <c r="O6624" s="11"/>
      <c r="P6624" s="11"/>
      <c r="Q6624" s="8"/>
      <c r="R6624" s="6"/>
      <c r="S6624" s="3"/>
      <c r="T6624" s="3"/>
      <c r="U6624" s="7"/>
      <c r="V6624" s="436"/>
      <c r="W6624" s="6"/>
      <c r="X6624" s="8"/>
      <c r="Y6624" s="8"/>
    </row>
    <row r="6625" spans="3:25">
      <c r="C6625" s="4"/>
      <c r="D6625" s="4"/>
      <c r="E6625" s="5"/>
      <c r="F6625" s="6"/>
      <c r="G6625" s="31"/>
      <c r="H6625" s="6"/>
      <c r="I6625" s="9"/>
      <c r="J6625" s="24"/>
      <c r="K6625" s="9"/>
      <c r="L6625" s="25"/>
      <c r="M6625" s="25"/>
      <c r="N6625" s="8"/>
      <c r="O6625" s="11"/>
      <c r="P6625" s="11"/>
      <c r="Q6625" s="8"/>
      <c r="R6625" s="6"/>
      <c r="S6625" s="3"/>
      <c r="T6625" s="3"/>
      <c r="U6625" s="7"/>
      <c r="V6625" s="436"/>
      <c r="W6625" s="6"/>
      <c r="X6625" s="8"/>
      <c r="Y6625" s="8"/>
    </row>
    <row r="6626" spans="3:25">
      <c r="C6626" s="4"/>
      <c r="D6626" s="4"/>
      <c r="E6626" s="5"/>
      <c r="F6626" s="6"/>
      <c r="G6626" s="31"/>
      <c r="H6626" s="6"/>
      <c r="I6626" s="9"/>
      <c r="J6626" s="24"/>
      <c r="K6626" s="9"/>
      <c r="L6626" s="25"/>
      <c r="M6626" s="25"/>
      <c r="N6626" s="8"/>
      <c r="O6626" s="11"/>
      <c r="P6626" s="11"/>
      <c r="Q6626" s="8"/>
      <c r="R6626" s="6"/>
      <c r="S6626" s="3"/>
      <c r="T6626" s="3"/>
      <c r="U6626" s="7"/>
      <c r="V6626" s="436"/>
      <c r="W6626" s="6"/>
      <c r="X6626" s="8"/>
      <c r="Y6626" s="8"/>
    </row>
    <row r="6627" spans="3:25">
      <c r="C6627" s="4"/>
      <c r="D6627" s="4"/>
      <c r="E6627" s="5"/>
      <c r="F6627" s="6"/>
      <c r="G6627" s="31"/>
      <c r="H6627" s="6"/>
      <c r="I6627" s="9"/>
      <c r="J6627" s="24"/>
      <c r="K6627" s="9"/>
      <c r="L6627" s="25"/>
      <c r="M6627" s="25"/>
      <c r="N6627" s="8"/>
      <c r="O6627" s="11"/>
      <c r="P6627" s="11"/>
      <c r="Q6627" s="8"/>
      <c r="R6627" s="6"/>
      <c r="S6627" s="3"/>
      <c r="T6627" s="3"/>
      <c r="U6627" s="7"/>
      <c r="V6627" s="436"/>
      <c r="W6627" s="6"/>
      <c r="X6627" s="8"/>
      <c r="Y6627" s="8"/>
    </row>
    <row r="6628" spans="3:25">
      <c r="C6628" s="4"/>
      <c r="D6628" s="4"/>
      <c r="E6628" s="5"/>
      <c r="F6628" s="6"/>
      <c r="G6628" s="31"/>
      <c r="H6628" s="6"/>
      <c r="I6628" s="9"/>
      <c r="J6628" s="24"/>
      <c r="K6628" s="9"/>
      <c r="L6628" s="25"/>
      <c r="M6628" s="25"/>
      <c r="N6628" s="8"/>
      <c r="O6628" s="11"/>
      <c r="P6628" s="11"/>
      <c r="Q6628" s="8"/>
      <c r="R6628" s="6"/>
      <c r="S6628" s="3"/>
      <c r="T6628" s="3"/>
      <c r="U6628" s="7"/>
      <c r="V6628" s="436"/>
      <c r="W6628" s="6"/>
      <c r="X6628" s="8"/>
      <c r="Y6628" s="8"/>
    </row>
    <row r="6629" spans="3:25">
      <c r="C6629" s="4"/>
      <c r="D6629" s="4"/>
      <c r="E6629" s="5"/>
      <c r="F6629" s="6"/>
      <c r="G6629" s="31"/>
      <c r="H6629" s="6"/>
      <c r="I6629" s="9"/>
      <c r="J6629" s="24"/>
      <c r="K6629" s="9"/>
      <c r="L6629" s="25"/>
      <c r="M6629" s="25"/>
      <c r="N6629" s="8"/>
      <c r="O6629" s="11"/>
      <c r="P6629" s="11"/>
      <c r="Q6629" s="8"/>
      <c r="R6629" s="6"/>
      <c r="S6629" s="3"/>
      <c r="T6629" s="3"/>
      <c r="U6629" s="7"/>
      <c r="V6629" s="436"/>
      <c r="W6629" s="6"/>
      <c r="X6629" s="8"/>
      <c r="Y6629" s="8"/>
    </row>
    <row r="6630" spans="3:25">
      <c r="C6630" s="4"/>
      <c r="D6630" s="4"/>
      <c r="E6630" s="5"/>
      <c r="F6630" s="6"/>
      <c r="G6630" s="31"/>
      <c r="H6630" s="6"/>
      <c r="I6630" s="9"/>
      <c r="J6630" s="24"/>
      <c r="K6630" s="9"/>
      <c r="L6630" s="25"/>
      <c r="M6630" s="25"/>
      <c r="N6630" s="8"/>
      <c r="O6630" s="11"/>
      <c r="P6630" s="11"/>
      <c r="Q6630" s="8"/>
      <c r="R6630" s="6"/>
      <c r="S6630" s="3"/>
      <c r="T6630" s="3"/>
      <c r="U6630" s="7"/>
      <c r="V6630" s="436"/>
      <c r="W6630" s="6"/>
      <c r="X6630" s="8"/>
      <c r="Y6630" s="8"/>
    </row>
    <row r="6631" spans="3:25">
      <c r="C6631" s="4"/>
      <c r="D6631" s="4"/>
      <c r="E6631" s="5"/>
      <c r="F6631" s="6"/>
      <c r="G6631" s="31"/>
      <c r="H6631" s="6"/>
      <c r="I6631" s="9"/>
      <c r="J6631" s="24"/>
      <c r="K6631" s="9"/>
      <c r="L6631" s="25"/>
      <c r="M6631" s="25"/>
      <c r="N6631" s="8"/>
      <c r="O6631" s="11"/>
      <c r="P6631" s="11"/>
      <c r="Q6631" s="8"/>
      <c r="R6631" s="6"/>
      <c r="S6631" s="3"/>
      <c r="T6631" s="3"/>
      <c r="U6631" s="7"/>
      <c r="V6631" s="436"/>
      <c r="W6631" s="6"/>
      <c r="X6631" s="8"/>
      <c r="Y6631" s="8"/>
    </row>
    <row r="6632" spans="3:25">
      <c r="C6632" s="4"/>
      <c r="D6632" s="4"/>
      <c r="E6632" s="5"/>
      <c r="F6632" s="6"/>
      <c r="G6632" s="31"/>
      <c r="H6632" s="6"/>
      <c r="I6632" s="9"/>
      <c r="J6632" s="24"/>
      <c r="K6632" s="9"/>
      <c r="L6632" s="25"/>
      <c r="M6632" s="25"/>
      <c r="N6632" s="8"/>
      <c r="O6632" s="11"/>
      <c r="P6632" s="11"/>
      <c r="Q6632" s="8"/>
      <c r="R6632" s="6"/>
      <c r="S6632" s="3"/>
      <c r="T6632" s="3"/>
      <c r="U6632" s="7"/>
      <c r="V6632" s="436"/>
      <c r="W6632" s="6"/>
      <c r="X6632" s="8"/>
      <c r="Y6632" s="8"/>
    </row>
    <row r="6633" spans="3:25">
      <c r="C6633" s="4"/>
      <c r="D6633" s="4"/>
      <c r="E6633" s="5"/>
      <c r="F6633" s="6"/>
      <c r="G6633" s="31"/>
      <c r="H6633" s="6"/>
      <c r="I6633" s="9"/>
      <c r="J6633" s="24"/>
      <c r="K6633" s="9"/>
      <c r="L6633" s="25"/>
      <c r="M6633" s="25"/>
      <c r="N6633" s="8"/>
      <c r="O6633" s="11"/>
      <c r="P6633" s="11"/>
      <c r="Q6633" s="8"/>
      <c r="R6633" s="6"/>
      <c r="S6633" s="3"/>
      <c r="T6633" s="3"/>
      <c r="U6633" s="7"/>
      <c r="V6633" s="436"/>
      <c r="W6633" s="6"/>
      <c r="X6633" s="8"/>
      <c r="Y6633" s="8"/>
    </row>
    <row r="6634" spans="3:25">
      <c r="C6634" s="4"/>
      <c r="D6634" s="4"/>
      <c r="E6634" s="5"/>
      <c r="F6634" s="6"/>
      <c r="G6634" s="31"/>
      <c r="H6634" s="6"/>
      <c r="I6634" s="9"/>
      <c r="J6634" s="24"/>
      <c r="K6634" s="9"/>
      <c r="L6634" s="25"/>
      <c r="M6634" s="25"/>
      <c r="N6634" s="8"/>
      <c r="O6634" s="11"/>
      <c r="P6634" s="11"/>
      <c r="Q6634" s="8"/>
      <c r="R6634" s="6"/>
      <c r="S6634" s="3"/>
      <c r="T6634" s="3"/>
      <c r="U6634" s="7"/>
      <c r="V6634" s="436"/>
      <c r="W6634" s="6"/>
      <c r="X6634" s="8"/>
      <c r="Y6634" s="8"/>
    </row>
    <row r="6635" spans="3:25">
      <c r="C6635" s="4"/>
      <c r="D6635" s="4"/>
      <c r="E6635" s="5"/>
      <c r="F6635" s="6"/>
      <c r="G6635" s="31"/>
      <c r="H6635" s="6"/>
      <c r="I6635" s="9"/>
      <c r="J6635" s="24"/>
      <c r="K6635" s="9"/>
      <c r="L6635" s="25"/>
      <c r="M6635" s="25"/>
      <c r="N6635" s="8"/>
      <c r="O6635" s="11"/>
      <c r="P6635" s="11"/>
      <c r="Q6635" s="8"/>
      <c r="R6635" s="6"/>
      <c r="S6635" s="3"/>
      <c r="T6635" s="3"/>
      <c r="U6635" s="7"/>
      <c r="V6635" s="436"/>
      <c r="W6635" s="6"/>
      <c r="X6635" s="8"/>
      <c r="Y6635" s="8"/>
    </row>
    <row r="6636" spans="3:25">
      <c r="C6636" s="4"/>
      <c r="D6636" s="4"/>
      <c r="E6636" s="5"/>
      <c r="F6636" s="6"/>
      <c r="G6636" s="31"/>
      <c r="H6636" s="6"/>
      <c r="I6636" s="9"/>
      <c r="J6636" s="24"/>
      <c r="K6636" s="9"/>
      <c r="L6636" s="25"/>
      <c r="M6636" s="25"/>
      <c r="N6636" s="8"/>
      <c r="O6636" s="11"/>
      <c r="P6636" s="11"/>
      <c r="Q6636" s="8"/>
      <c r="R6636" s="6"/>
      <c r="S6636" s="3"/>
      <c r="T6636" s="3"/>
      <c r="U6636" s="7"/>
      <c r="V6636" s="436"/>
      <c r="W6636" s="6"/>
      <c r="X6636" s="8"/>
      <c r="Y6636" s="8"/>
    </row>
    <row r="6637" spans="3:25">
      <c r="C6637" s="4"/>
      <c r="D6637" s="4"/>
      <c r="E6637" s="5"/>
      <c r="F6637" s="6"/>
      <c r="G6637" s="31"/>
      <c r="H6637" s="6"/>
      <c r="I6637" s="9"/>
      <c r="J6637" s="24"/>
      <c r="K6637" s="9"/>
      <c r="L6637" s="25"/>
      <c r="M6637" s="25"/>
      <c r="N6637" s="8"/>
      <c r="O6637" s="11"/>
      <c r="P6637" s="11"/>
      <c r="Q6637" s="8"/>
      <c r="R6637" s="6"/>
      <c r="S6637" s="3"/>
      <c r="T6637" s="3"/>
      <c r="U6637" s="7"/>
      <c r="V6637" s="436"/>
      <c r="W6637" s="6"/>
      <c r="X6637" s="8"/>
      <c r="Y6637" s="8"/>
    </row>
    <row r="6638" spans="3:25">
      <c r="C6638" s="4"/>
      <c r="D6638" s="4"/>
      <c r="E6638" s="5"/>
      <c r="F6638" s="6"/>
      <c r="G6638" s="31"/>
      <c r="H6638" s="6"/>
      <c r="I6638" s="9"/>
      <c r="J6638" s="24"/>
      <c r="K6638" s="9"/>
      <c r="L6638" s="25"/>
      <c r="M6638" s="25"/>
      <c r="N6638" s="8"/>
      <c r="O6638" s="11"/>
      <c r="P6638" s="11"/>
      <c r="Q6638" s="8"/>
      <c r="R6638" s="6"/>
      <c r="S6638" s="3"/>
      <c r="T6638" s="3"/>
      <c r="U6638" s="7"/>
      <c r="V6638" s="436"/>
      <c r="W6638" s="6"/>
      <c r="X6638" s="8"/>
      <c r="Y6638" s="8"/>
    </row>
    <row r="6639" spans="3:25">
      <c r="C6639" s="4"/>
      <c r="D6639" s="4"/>
      <c r="E6639" s="5"/>
      <c r="F6639" s="6"/>
      <c r="G6639" s="31"/>
      <c r="H6639" s="6"/>
      <c r="I6639" s="9"/>
      <c r="J6639" s="24"/>
      <c r="K6639" s="9"/>
      <c r="L6639" s="25"/>
      <c r="M6639" s="25"/>
      <c r="N6639" s="8"/>
      <c r="O6639" s="11"/>
      <c r="P6639" s="11"/>
      <c r="Q6639" s="8"/>
      <c r="R6639" s="6"/>
      <c r="S6639" s="3"/>
      <c r="T6639" s="3"/>
      <c r="U6639" s="7"/>
      <c r="V6639" s="436"/>
      <c r="W6639" s="6"/>
      <c r="X6639" s="8"/>
      <c r="Y6639" s="8"/>
    </row>
    <row r="6640" spans="3:25">
      <c r="C6640" s="4"/>
      <c r="D6640" s="4"/>
      <c r="E6640" s="5"/>
      <c r="F6640" s="6"/>
      <c r="G6640" s="31"/>
      <c r="H6640" s="6"/>
      <c r="I6640" s="9"/>
      <c r="J6640" s="24"/>
      <c r="K6640" s="9"/>
      <c r="L6640" s="25"/>
      <c r="M6640" s="25"/>
      <c r="N6640" s="8"/>
      <c r="O6640" s="11"/>
      <c r="P6640" s="11"/>
      <c r="Q6640" s="8"/>
      <c r="R6640" s="6"/>
      <c r="S6640" s="3"/>
      <c r="T6640" s="3"/>
      <c r="U6640" s="7"/>
      <c r="V6640" s="436"/>
      <c r="W6640" s="6"/>
      <c r="X6640" s="8"/>
      <c r="Y6640" s="8"/>
    </row>
    <row r="6641" spans="3:25">
      <c r="C6641" s="4"/>
      <c r="D6641" s="4"/>
      <c r="E6641" s="5"/>
      <c r="F6641" s="6"/>
      <c r="G6641" s="31"/>
      <c r="H6641" s="6"/>
      <c r="I6641" s="9"/>
      <c r="J6641" s="24"/>
      <c r="K6641" s="9"/>
      <c r="L6641" s="25"/>
      <c r="M6641" s="25"/>
      <c r="N6641" s="8"/>
      <c r="O6641" s="11"/>
      <c r="P6641" s="11"/>
      <c r="Q6641" s="8"/>
      <c r="R6641" s="6"/>
      <c r="S6641" s="3"/>
      <c r="T6641" s="3"/>
      <c r="U6641" s="7"/>
      <c r="V6641" s="436"/>
      <c r="W6641" s="6"/>
      <c r="X6641" s="8"/>
      <c r="Y6641" s="8"/>
    </row>
    <row r="6642" spans="3:25">
      <c r="C6642" s="4"/>
      <c r="D6642" s="4"/>
      <c r="E6642" s="5"/>
      <c r="F6642" s="6"/>
      <c r="G6642" s="31"/>
      <c r="H6642" s="6"/>
      <c r="I6642" s="9"/>
      <c r="J6642" s="24"/>
      <c r="K6642" s="9"/>
      <c r="L6642" s="25"/>
      <c r="M6642" s="25"/>
      <c r="N6642" s="8"/>
      <c r="O6642" s="11"/>
      <c r="P6642" s="11"/>
      <c r="Q6642" s="8"/>
      <c r="R6642" s="6"/>
      <c r="S6642" s="3"/>
      <c r="T6642" s="3"/>
      <c r="U6642" s="7"/>
      <c r="V6642" s="436"/>
      <c r="W6642" s="6"/>
      <c r="X6642" s="8"/>
      <c r="Y6642" s="8"/>
    </row>
    <row r="6643" spans="3:25">
      <c r="C6643" s="4"/>
      <c r="D6643" s="4"/>
      <c r="E6643" s="5"/>
      <c r="F6643" s="6"/>
      <c r="G6643" s="31"/>
      <c r="H6643" s="6"/>
      <c r="I6643" s="9"/>
      <c r="J6643" s="24"/>
      <c r="K6643" s="9"/>
      <c r="L6643" s="25"/>
      <c r="M6643" s="25"/>
      <c r="N6643" s="8"/>
      <c r="O6643" s="11"/>
      <c r="P6643" s="11"/>
      <c r="Q6643" s="8"/>
      <c r="R6643" s="6"/>
      <c r="S6643" s="3"/>
      <c r="T6643" s="3"/>
      <c r="U6643" s="7"/>
      <c r="V6643" s="436"/>
      <c r="W6643" s="6"/>
      <c r="X6643" s="8"/>
      <c r="Y6643" s="8"/>
    </row>
    <row r="6644" spans="3:25">
      <c r="C6644" s="4"/>
      <c r="D6644" s="4"/>
      <c r="E6644" s="5"/>
      <c r="F6644" s="6"/>
      <c r="G6644" s="31"/>
      <c r="H6644" s="6"/>
      <c r="I6644" s="9"/>
      <c r="J6644" s="24"/>
      <c r="K6644" s="9"/>
      <c r="L6644" s="25"/>
      <c r="M6644" s="25"/>
      <c r="N6644" s="8"/>
      <c r="O6644" s="11"/>
      <c r="P6644" s="11"/>
      <c r="Q6644" s="8"/>
      <c r="R6644" s="6"/>
      <c r="S6644" s="3"/>
      <c r="T6644" s="3"/>
      <c r="U6644" s="7"/>
      <c r="V6644" s="436"/>
      <c r="W6644" s="6"/>
      <c r="X6644" s="8"/>
      <c r="Y6644" s="8"/>
    </row>
    <row r="6645" spans="3:25">
      <c r="C6645" s="4"/>
      <c r="D6645" s="4"/>
      <c r="E6645" s="5"/>
      <c r="F6645" s="6"/>
      <c r="G6645" s="31"/>
      <c r="H6645" s="6"/>
      <c r="I6645" s="9"/>
      <c r="J6645" s="24"/>
      <c r="K6645" s="9"/>
      <c r="L6645" s="25"/>
      <c r="M6645" s="25"/>
      <c r="N6645" s="8"/>
      <c r="O6645" s="11"/>
      <c r="P6645" s="11"/>
      <c r="Q6645" s="8"/>
      <c r="R6645" s="6"/>
      <c r="S6645" s="3"/>
      <c r="T6645" s="3"/>
      <c r="U6645" s="7"/>
      <c r="V6645" s="436"/>
      <c r="W6645" s="6"/>
      <c r="X6645" s="8"/>
      <c r="Y6645" s="8"/>
    </row>
    <row r="6646" spans="3:25">
      <c r="C6646" s="4"/>
      <c r="D6646" s="4"/>
      <c r="E6646" s="5"/>
      <c r="F6646" s="6"/>
      <c r="G6646" s="31"/>
      <c r="H6646" s="6"/>
      <c r="I6646" s="9"/>
      <c r="J6646" s="24"/>
      <c r="K6646" s="9"/>
      <c r="L6646" s="25"/>
      <c r="M6646" s="25"/>
      <c r="N6646" s="8"/>
      <c r="O6646" s="11"/>
      <c r="P6646" s="11"/>
      <c r="Q6646" s="8"/>
      <c r="R6646" s="6"/>
      <c r="S6646" s="3"/>
      <c r="T6646" s="3"/>
      <c r="U6646" s="7"/>
      <c r="V6646" s="436"/>
      <c r="W6646" s="6"/>
      <c r="X6646" s="8"/>
      <c r="Y6646" s="8"/>
    </row>
    <row r="6647" spans="3:25">
      <c r="C6647" s="4"/>
      <c r="D6647" s="4"/>
      <c r="E6647" s="5"/>
      <c r="F6647" s="6"/>
      <c r="G6647" s="31"/>
      <c r="H6647" s="6"/>
      <c r="I6647" s="9"/>
      <c r="J6647" s="24"/>
      <c r="K6647" s="9"/>
      <c r="L6647" s="25"/>
      <c r="M6647" s="25"/>
      <c r="N6647" s="8"/>
      <c r="O6647" s="11"/>
      <c r="P6647" s="11"/>
      <c r="Q6647" s="8"/>
      <c r="R6647" s="6"/>
      <c r="S6647" s="3"/>
      <c r="T6647" s="3"/>
      <c r="U6647" s="7"/>
      <c r="V6647" s="436"/>
      <c r="W6647" s="6"/>
      <c r="X6647" s="8"/>
      <c r="Y6647" s="8"/>
    </row>
    <row r="6648" spans="3:25">
      <c r="C6648" s="4"/>
      <c r="D6648" s="4"/>
      <c r="E6648" s="5"/>
      <c r="F6648" s="6"/>
      <c r="G6648" s="31"/>
      <c r="H6648" s="6"/>
      <c r="I6648" s="9"/>
      <c r="J6648" s="24"/>
      <c r="K6648" s="9"/>
      <c r="L6648" s="25"/>
      <c r="M6648" s="25"/>
      <c r="N6648" s="8"/>
      <c r="O6648" s="11"/>
      <c r="P6648" s="11"/>
      <c r="Q6648" s="8"/>
      <c r="R6648" s="6"/>
      <c r="S6648" s="3"/>
      <c r="T6648" s="3"/>
      <c r="U6648" s="7"/>
      <c r="V6648" s="436"/>
      <c r="W6648" s="6"/>
      <c r="X6648" s="8"/>
      <c r="Y6648" s="8"/>
    </row>
    <row r="6649" spans="3:25">
      <c r="C6649" s="4"/>
      <c r="D6649" s="4"/>
      <c r="E6649" s="5"/>
      <c r="F6649" s="6"/>
      <c r="G6649" s="31"/>
      <c r="H6649" s="6"/>
      <c r="I6649" s="9"/>
      <c r="J6649" s="24"/>
      <c r="K6649" s="9"/>
      <c r="L6649" s="25"/>
      <c r="M6649" s="25"/>
      <c r="N6649" s="8"/>
      <c r="O6649" s="11"/>
      <c r="P6649" s="11"/>
      <c r="Q6649" s="8"/>
      <c r="R6649" s="6"/>
      <c r="S6649" s="3"/>
      <c r="T6649" s="3"/>
      <c r="U6649" s="7"/>
      <c r="V6649" s="436"/>
      <c r="W6649" s="6"/>
      <c r="X6649" s="8"/>
      <c r="Y6649" s="8"/>
    </row>
    <row r="6650" spans="3:25">
      <c r="C6650" s="4"/>
      <c r="D6650" s="4"/>
      <c r="E6650" s="5"/>
      <c r="F6650" s="6"/>
      <c r="G6650" s="31"/>
      <c r="H6650" s="6"/>
      <c r="I6650" s="9"/>
      <c r="J6650" s="24"/>
      <c r="K6650" s="9"/>
      <c r="L6650" s="25"/>
      <c r="M6650" s="25"/>
      <c r="N6650" s="8"/>
      <c r="O6650" s="11"/>
      <c r="P6650" s="11"/>
      <c r="Q6650" s="8"/>
      <c r="R6650" s="6"/>
      <c r="S6650" s="3"/>
      <c r="T6650" s="3"/>
      <c r="U6650" s="7"/>
      <c r="V6650" s="436"/>
      <c r="W6650" s="6"/>
      <c r="X6650" s="8"/>
      <c r="Y6650" s="8"/>
    </row>
    <row r="6651" spans="3:25">
      <c r="C6651" s="4"/>
      <c r="D6651" s="4"/>
      <c r="E6651" s="5"/>
      <c r="F6651" s="6"/>
      <c r="G6651" s="31"/>
      <c r="H6651" s="6"/>
      <c r="I6651" s="9"/>
      <c r="J6651" s="24"/>
      <c r="K6651" s="9"/>
      <c r="L6651" s="25"/>
      <c r="M6651" s="25"/>
      <c r="N6651" s="8"/>
      <c r="O6651" s="11"/>
      <c r="P6651" s="11"/>
      <c r="Q6651" s="8"/>
      <c r="R6651" s="6"/>
      <c r="S6651" s="3"/>
      <c r="T6651" s="3"/>
      <c r="U6651" s="7"/>
      <c r="V6651" s="436"/>
      <c r="W6651" s="6"/>
      <c r="X6651" s="8"/>
      <c r="Y6651" s="8"/>
    </row>
    <row r="6652" spans="3:25">
      <c r="C6652" s="4"/>
      <c r="D6652" s="4"/>
      <c r="E6652" s="5"/>
      <c r="F6652" s="6"/>
      <c r="G6652" s="31"/>
      <c r="H6652" s="6"/>
      <c r="I6652" s="9"/>
      <c r="J6652" s="24"/>
      <c r="K6652" s="9"/>
      <c r="L6652" s="25"/>
      <c r="M6652" s="25"/>
      <c r="N6652" s="8"/>
      <c r="O6652" s="11"/>
      <c r="P6652" s="11"/>
      <c r="Q6652" s="8"/>
      <c r="R6652" s="6"/>
      <c r="S6652" s="3"/>
      <c r="T6652" s="3"/>
      <c r="U6652" s="7"/>
      <c r="V6652" s="436"/>
      <c r="W6652" s="6"/>
      <c r="X6652" s="8"/>
      <c r="Y6652" s="8"/>
    </row>
    <row r="6653" spans="3:25">
      <c r="C6653" s="4"/>
      <c r="D6653" s="4"/>
      <c r="E6653" s="5"/>
      <c r="F6653" s="6"/>
      <c r="G6653" s="31"/>
      <c r="H6653" s="6"/>
      <c r="I6653" s="9"/>
      <c r="J6653" s="24"/>
      <c r="K6653" s="9"/>
      <c r="L6653" s="25"/>
      <c r="M6653" s="25"/>
      <c r="N6653" s="8"/>
      <c r="O6653" s="11"/>
      <c r="P6653" s="11"/>
      <c r="Q6653" s="8"/>
      <c r="R6653" s="6"/>
      <c r="S6653" s="3"/>
      <c r="T6653" s="3"/>
      <c r="U6653" s="7"/>
      <c r="V6653" s="436"/>
      <c r="W6653" s="6"/>
      <c r="X6653" s="8"/>
      <c r="Y6653" s="8"/>
    </row>
    <row r="6654" spans="3:25">
      <c r="C6654" s="4"/>
      <c r="D6654" s="4"/>
      <c r="E6654" s="5"/>
      <c r="F6654" s="6"/>
      <c r="G6654" s="31"/>
      <c r="H6654" s="6"/>
      <c r="I6654" s="9"/>
      <c r="J6654" s="24"/>
      <c r="K6654" s="9"/>
      <c r="L6654" s="25"/>
      <c r="M6654" s="25"/>
      <c r="N6654" s="8"/>
      <c r="O6654" s="11"/>
      <c r="P6654" s="11"/>
      <c r="Q6654" s="8"/>
      <c r="R6654" s="6"/>
      <c r="S6654" s="3"/>
      <c r="T6654" s="3"/>
      <c r="U6654" s="7"/>
      <c r="V6654" s="436"/>
      <c r="W6654" s="6"/>
      <c r="X6654" s="8"/>
      <c r="Y6654" s="8"/>
    </row>
    <row r="6655" spans="3:25">
      <c r="C6655" s="4"/>
      <c r="D6655" s="4"/>
      <c r="E6655" s="5"/>
      <c r="F6655" s="6"/>
      <c r="G6655" s="31"/>
      <c r="H6655" s="6"/>
      <c r="I6655" s="9"/>
      <c r="J6655" s="24"/>
      <c r="K6655" s="9"/>
      <c r="L6655" s="25"/>
      <c r="M6655" s="25"/>
      <c r="N6655" s="8"/>
      <c r="O6655" s="11"/>
      <c r="P6655" s="11"/>
      <c r="Q6655" s="8"/>
      <c r="R6655" s="6"/>
      <c r="S6655" s="3"/>
      <c r="T6655" s="3"/>
      <c r="U6655" s="7"/>
      <c r="V6655" s="436"/>
      <c r="W6655" s="6"/>
      <c r="X6655" s="8"/>
      <c r="Y6655" s="8"/>
    </row>
    <row r="6656" spans="3:25">
      <c r="C6656" s="4"/>
      <c r="D6656" s="4"/>
      <c r="E6656" s="5"/>
      <c r="F6656" s="6"/>
      <c r="G6656" s="31"/>
      <c r="H6656" s="6"/>
      <c r="I6656" s="9"/>
      <c r="J6656" s="24"/>
      <c r="K6656" s="9"/>
      <c r="L6656" s="25"/>
      <c r="M6656" s="25"/>
      <c r="N6656" s="8"/>
      <c r="O6656" s="11"/>
      <c r="P6656" s="11"/>
      <c r="Q6656" s="8"/>
      <c r="R6656" s="6"/>
      <c r="S6656" s="3"/>
      <c r="T6656" s="3"/>
      <c r="U6656" s="7"/>
      <c r="V6656" s="436"/>
      <c r="W6656" s="6"/>
      <c r="X6656" s="8"/>
      <c r="Y6656" s="8"/>
    </row>
    <row r="6657" spans="3:25">
      <c r="C6657" s="4"/>
      <c r="D6657" s="4"/>
      <c r="E6657" s="5"/>
      <c r="F6657" s="6"/>
      <c r="G6657" s="31"/>
      <c r="H6657" s="6"/>
      <c r="I6657" s="9"/>
      <c r="J6657" s="24"/>
      <c r="K6657" s="9"/>
      <c r="L6657" s="25"/>
      <c r="M6657" s="25"/>
      <c r="N6657" s="8"/>
      <c r="O6657" s="11"/>
      <c r="P6657" s="11"/>
      <c r="Q6657" s="8"/>
      <c r="R6657" s="6"/>
      <c r="S6657" s="3"/>
      <c r="T6657" s="3"/>
      <c r="U6657" s="7"/>
      <c r="V6657" s="436"/>
      <c r="W6657" s="6"/>
      <c r="X6657" s="8"/>
      <c r="Y6657" s="8"/>
    </row>
    <row r="6658" spans="3:25">
      <c r="C6658" s="4"/>
      <c r="D6658" s="4"/>
      <c r="E6658" s="5"/>
      <c r="F6658" s="6"/>
      <c r="G6658" s="31"/>
      <c r="H6658" s="6"/>
      <c r="I6658" s="9"/>
      <c r="J6658" s="24"/>
      <c r="K6658" s="9"/>
      <c r="L6658" s="25"/>
      <c r="M6658" s="25"/>
      <c r="N6658" s="8"/>
      <c r="O6658" s="11"/>
      <c r="P6658" s="11"/>
      <c r="Q6658" s="8"/>
      <c r="R6658" s="6"/>
      <c r="S6658" s="3"/>
      <c r="T6658" s="3"/>
      <c r="U6658" s="7"/>
      <c r="V6658" s="436"/>
      <c r="W6658" s="6"/>
      <c r="X6658" s="8"/>
      <c r="Y6658" s="8"/>
    </row>
    <row r="6659" spans="3:25">
      <c r="C6659" s="4"/>
      <c r="D6659" s="4"/>
      <c r="E6659" s="5"/>
      <c r="F6659" s="6"/>
      <c r="G6659" s="31"/>
      <c r="H6659" s="6"/>
      <c r="I6659" s="9"/>
      <c r="J6659" s="24"/>
      <c r="K6659" s="9"/>
      <c r="L6659" s="25"/>
      <c r="M6659" s="25"/>
      <c r="N6659" s="8"/>
      <c r="O6659" s="11"/>
      <c r="P6659" s="11"/>
      <c r="Q6659" s="8"/>
      <c r="R6659" s="6"/>
      <c r="S6659" s="3"/>
      <c r="T6659" s="3"/>
      <c r="U6659" s="7"/>
      <c r="V6659" s="436"/>
      <c r="W6659" s="6"/>
      <c r="X6659" s="8"/>
      <c r="Y6659" s="8"/>
    </row>
    <row r="6660" spans="3:25">
      <c r="C6660" s="4"/>
      <c r="D6660" s="4"/>
      <c r="E6660" s="5"/>
      <c r="F6660" s="6"/>
      <c r="G6660" s="31"/>
      <c r="H6660" s="6"/>
      <c r="I6660" s="9"/>
      <c r="J6660" s="24"/>
      <c r="K6660" s="9"/>
      <c r="L6660" s="25"/>
      <c r="M6660" s="25"/>
      <c r="N6660" s="8"/>
      <c r="O6660" s="11"/>
      <c r="P6660" s="11"/>
      <c r="Q6660" s="8"/>
      <c r="R6660" s="6"/>
      <c r="S6660" s="3"/>
      <c r="T6660" s="3"/>
      <c r="U6660" s="7"/>
      <c r="V6660" s="436"/>
      <c r="W6660" s="6"/>
      <c r="X6660" s="8"/>
      <c r="Y6660" s="8"/>
    </row>
    <row r="6661" spans="3:25">
      <c r="C6661" s="4"/>
      <c r="D6661" s="4"/>
      <c r="E6661" s="5"/>
      <c r="F6661" s="6"/>
      <c r="G6661" s="31"/>
      <c r="H6661" s="6"/>
      <c r="I6661" s="9"/>
      <c r="J6661" s="24"/>
      <c r="K6661" s="9"/>
      <c r="L6661" s="25"/>
      <c r="M6661" s="25"/>
      <c r="N6661" s="8"/>
      <c r="O6661" s="11"/>
      <c r="P6661" s="11"/>
      <c r="Q6661" s="8"/>
      <c r="R6661" s="6"/>
      <c r="S6661" s="3"/>
      <c r="T6661" s="3"/>
      <c r="U6661" s="7"/>
      <c r="V6661" s="436"/>
      <c r="W6661" s="6"/>
      <c r="X6661" s="8"/>
      <c r="Y6661" s="8"/>
    </row>
    <row r="6662" spans="3:25">
      <c r="C6662" s="4"/>
      <c r="D6662" s="4"/>
      <c r="E6662" s="5"/>
      <c r="F6662" s="6"/>
      <c r="G6662" s="31"/>
      <c r="H6662" s="6"/>
      <c r="I6662" s="9"/>
      <c r="J6662" s="24"/>
      <c r="K6662" s="9"/>
      <c r="L6662" s="25"/>
      <c r="M6662" s="25"/>
      <c r="N6662" s="8"/>
      <c r="O6662" s="11"/>
      <c r="P6662" s="11"/>
      <c r="Q6662" s="8"/>
      <c r="R6662" s="6"/>
      <c r="S6662" s="3"/>
      <c r="T6662" s="3"/>
      <c r="U6662" s="7"/>
      <c r="V6662" s="436"/>
      <c r="W6662" s="6"/>
      <c r="X6662" s="8"/>
      <c r="Y6662" s="8"/>
    </row>
    <row r="6663" spans="3:25">
      <c r="C6663" s="4"/>
      <c r="D6663" s="4"/>
      <c r="E6663" s="5"/>
      <c r="F6663" s="6"/>
      <c r="G6663" s="31"/>
      <c r="H6663" s="6"/>
      <c r="I6663" s="9"/>
      <c r="J6663" s="24"/>
      <c r="K6663" s="9"/>
      <c r="L6663" s="25"/>
      <c r="M6663" s="25"/>
      <c r="N6663" s="8"/>
      <c r="O6663" s="11"/>
      <c r="P6663" s="11"/>
      <c r="Q6663" s="8"/>
      <c r="R6663" s="6"/>
      <c r="S6663" s="3"/>
      <c r="T6663" s="3"/>
      <c r="U6663" s="7"/>
      <c r="V6663" s="436"/>
      <c r="W6663" s="6"/>
      <c r="X6663" s="8"/>
      <c r="Y6663" s="8"/>
    </row>
    <row r="6664" spans="3:25">
      <c r="C6664" s="4"/>
      <c r="D6664" s="4"/>
      <c r="E6664" s="5"/>
      <c r="F6664" s="6"/>
      <c r="G6664" s="31"/>
      <c r="H6664" s="6"/>
      <c r="I6664" s="9"/>
      <c r="J6664" s="24"/>
      <c r="K6664" s="10"/>
      <c r="L6664" s="25"/>
      <c r="M6664" s="25"/>
      <c r="N6664" s="8"/>
      <c r="O6664" s="11"/>
      <c r="P6664" s="11"/>
      <c r="Q6664" s="8"/>
      <c r="R6664" s="6"/>
      <c r="S6664" s="3"/>
      <c r="T6664" s="3"/>
      <c r="U6664" s="7"/>
      <c r="V6664" s="436"/>
      <c r="W6664" s="6"/>
      <c r="X6664" s="8"/>
      <c r="Y6664" s="8"/>
    </row>
    <row r="6665" spans="3:25">
      <c r="C6665" s="4"/>
      <c r="D6665" s="4"/>
      <c r="E6665" s="5"/>
      <c r="F6665" s="6"/>
      <c r="G6665" s="31"/>
      <c r="H6665" s="6"/>
      <c r="I6665" s="9"/>
      <c r="J6665" s="24"/>
      <c r="K6665" s="10"/>
      <c r="L6665" s="25"/>
      <c r="M6665" s="25"/>
      <c r="N6665" s="8"/>
      <c r="O6665" s="11"/>
      <c r="P6665" s="11"/>
      <c r="Q6665" s="8"/>
      <c r="R6665" s="6"/>
      <c r="S6665" s="3"/>
      <c r="T6665" s="3"/>
      <c r="U6665" s="7"/>
      <c r="V6665" s="436"/>
      <c r="W6665" s="6"/>
      <c r="X6665" s="8"/>
      <c r="Y6665" s="8"/>
    </row>
    <row r="6666" spans="3:25">
      <c r="C6666" s="4"/>
      <c r="D6666" s="4"/>
      <c r="E6666" s="5"/>
      <c r="F6666" s="6"/>
      <c r="G6666" s="31"/>
      <c r="H6666" s="6"/>
      <c r="I6666" s="9"/>
      <c r="J6666" s="24"/>
      <c r="K6666" s="9"/>
      <c r="L6666" s="25"/>
      <c r="M6666" s="25"/>
      <c r="N6666" s="8"/>
      <c r="O6666" s="11"/>
      <c r="P6666" s="11"/>
      <c r="Q6666" s="8"/>
      <c r="R6666" s="6"/>
      <c r="S6666" s="3"/>
      <c r="T6666" s="3"/>
      <c r="U6666" s="7"/>
      <c r="V6666" s="436"/>
      <c r="W6666" s="6"/>
      <c r="X6666" s="8"/>
      <c r="Y6666" s="8"/>
    </row>
    <row r="6667" spans="3:25">
      <c r="C6667" s="4"/>
      <c r="D6667" s="4"/>
      <c r="E6667" s="5"/>
      <c r="F6667" s="6"/>
      <c r="G6667" s="31"/>
      <c r="H6667" s="6"/>
      <c r="I6667" s="9"/>
      <c r="J6667" s="24"/>
      <c r="K6667" s="10"/>
      <c r="L6667" s="25"/>
      <c r="M6667" s="25"/>
      <c r="N6667" s="8"/>
      <c r="O6667" s="11"/>
      <c r="P6667" s="11"/>
      <c r="Q6667" s="8"/>
      <c r="R6667" s="6"/>
      <c r="S6667" s="3"/>
      <c r="T6667" s="3"/>
      <c r="U6667" s="7"/>
      <c r="V6667" s="436"/>
      <c r="W6667" s="6"/>
      <c r="X6667" s="8"/>
      <c r="Y6667" s="8"/>
    </row>
    <row r="6668" spans="3:25">
      <c r="C6668" s="4"/>
      <c r="D6668" s="4"/>
      <c r="E6668" s="5"/>
      <c r="F6668" s="6"/>
      <c r="G6668" s="31"/>
      <c r="H6668" s="6"/>
      <c r="I6668" s="9"/>
      <c r="J6668" s="24"/>
      <c r="K6668" s="10"/>
      <c r="L6668" s="25"/>
      <c r="M6668" s="25"/>
      <c r="N6668" s="8"/>
      <c r="O6668" s="11"/>
      <c r="P6668" s="11"/>
      <c r="Q6668" s="8"/>
      <c r="R6668" s="6"/>
      <c r="S6668" s="3"/>
      <c r="T6668" s="3"/>
      <c r="U6668" s="7"/>
      <c r="V6668" s="436"/>
      <c r="W6668" s="6"/>
      <c r="X6668" s="8"/>
      <c r="Y6668" s="8"/>
    </row>
    <row r="6669" spans="3:25">
      <c r="C6669" s="4"/>
      <c r="D6669" s="4"/>
      <c r="E6669" s="5"/>
      <c r="F6669" s="6"/>
      <c r="G6669" s="31"/>
      <c r="H6669" s="6"/>
      <c r="I6669" s="9"/>
      <c r="J6669" s="24"/>
      <c r="K6669" s="10"/>
      <c r="L6669" s="25"/>
      <c r="M6669" s="25"/>
      <c r="N6669" s="8"/>
      <c r="O6669" s="11"/>
      <c r="P6669" s="11"/>
      <c r="Q6669" s="8"/>
      <c r="R6669" s="6"/>
      <c r="S6669" s="3"/>
      <c r="T6669" s="3"/>
      <c r="U6669" s="7"/>
      <c r="V6669" s="436"/>
      <c r="W6669" s="6"/>
      <c r="X6669" s="8"/>
      <c r="Y6669" s="8"/>
    </row>
    <row r="6670" spans="3:25">
      <c r="C6670" s="4"/>
      <c r="D6670" s="4"/>
      <c r="E6670" s="5"/>
      <c r="F6670" s="6"/>
      <c r="G6670" s="31"/>
      <c r="H6670" s="6"/>
      <c r="I6670" s="9"/>
      <c r="J6670" s="24"/>
      <c r="K6670" s="10"/>
      <c r="L6670" s="25"/>
      <c r="M6670" s="25"/>
      <c r="N6670" s="8"/>
      <c r="O6670" s="11"/>
      <c r="P6670" s="11"/>
      <c r="Q6670" s="8"/>
      <c r="R6670" s="6"/>
      <c r="S6670" s="3"/>
      <c r="T6670" s="3"/>
      <c r="U6670" s="7"/>
      <c r="V6670" s="436"/>
      <c r="W6670" s="6"/>
      <c r="X6670" s="8"/>
      <c r="Y6670" s="8"/>
    </row>
    <row r="6671" spans="3:25">
      <c r="C6671" s="4"/>
      <c r="D6671" s="4"/>
      <c r="E6671" s="5"/>
      <c r="F6671" s="6"/>
      <c r="G6671" s="3"/>
      <c r="H6671" s="6"/>
      <c r="I6671" s="9"/>
      <c r="J6671" s="24"/>
      <c r="K6671" s="10"/>
      <c r="L6671" s="25"/>
      <c r="M6671" s="25"/>
      <c r="N6671" s="8"/>
      <c r="O6671" s="11"/>
      <c r="P6671" s="11"/>
      <c r="Q6671" s="8"/>
      <c r="R6671" s="6"/>
      <c r="S6671" s="3"/>
      <c r="T6671" s="3"/>
      <c r="U6671" s="7"/>
      <c r="V6671" s="436"/>
      <c r="W6671" s="6"/>
      <c r="X6671" s="8"/>
      <c r="Y6671" s="8"/>
    </row>
    <row r="6672" spans="3:25">
      <c r="C6672" s="4"/>
      <c r="D6672" s="4"/>
      <c r="E6672" s="5"/>
      <c r="F6672" s="6"/>
      <c r="G6672" s="3"/>
      <c r="H6672" s="6"/>
      <c r="I6672" s="9"/>
      <c r="J6672" s="24"/>
      <c r="K6672" s="10"/>
      <c r="L6672" s="25"/>
      <c r="M6672" s="25"/>
      <c r="N6672" s="8"/>
      <c r="O6672" s="11"/>
      <c r="P6672" s="11"/>
      <c r="Q6672" s="8"/>
      <c r="R6672" s="6"/>
      <c r="S6672" s="3"/>
      <c r="T6672" s="3"/>
      <c r="U6672" s="7"/>
      <c r="V6672" s="436"/>
      <c r="W6672" s="6"/>
      <c r="X6672" s="8"/>
      <c r="Y6672" s="8"/>
    </row>
    <row r="6673" spans="3:25">
      <c r="C6673" s="4"/>
      <c r="D6673" s="4"/>
      <c r="E6673" s="5"/>
      <c r="F6673" s="6"/>
      <c r="G6673" s="31"/>
      <c r="H6673" s="6"/>
      <c r="I6673" s="9"/>
      <c r="J6673" s="24"/>
      <c r="K6673" s="10"/>
      <c r="L6673" s="25"/>
      <c r="M6673" s="25"/>
      <c r="N6673" s="8"/>
      <c r="O6673" s="11"/>
      <c r="P6673" s="11"/>
      <c r="Q6673" s="8"/>
      <c r="R6673" s="6"/>
      <c r="S6673" s="3"/>
      <c r="T6673" s="3"/>
      <c r="U6673" s="7"/>
      <c r="V6673" s="436"/>
      <c r="W6673" s="6"/>
      <c r="X6673" s="8"/>
      <c r="Y6673" s="8"/>
    </row>
    <row r="6674" spans="3:25">
      <c r="C6674" s="4"/>
      <c r="D6674" s="4"/>
      <c r="E6674" s="5"/>
      <c r="F6674" s="6"/>
      <c r="G6674" s="31"/>
      <c r="H6674" s="6"/>
      <c r="I6674" s="9"/>
      <c r="J6674" s="24"/>
      <c r="K6674" s="10"/>
      <c r="L6674" s="25"/>
      <c r="M6674" s="25"/>
      <c r="N6674" s="8"/>
      <c r="O6674" s="11"/>
      <c r="P6674" s="11"/>
      <c r="Q6674" s="8"/>
      <c r="R6674" s="6"/>
      <c r="S6674" s="3"/>
      <c r="T6674" s="3"/>
      <c r="U6674" s="7"/>
      <c r="V6674" s="436"/>
      <c r="W6674" s="6"/>
      <c r="X6674" s="8"/>
      <c r="Y6674" s="8"/>
    </row>
    <row r="6675" spans="3:25">
      <c r="C6675" s="4"/>
      <c r="D6675" s="4"/>
      <c r="E6675" s="5"/>
      <c r="F6675" s="6"/>
      <c r="G6675" s="31"/>
      <c r="H6675" s="6"/>
      <c r="I6675" s="9"/>
      <c r="J6675" s="24"/>
      <c r="K6675" s="10"/>
      <c r="L6675" s="25"/>
      <c r="M6675" s="25"/>
      <c r="N6675" s="8"/>
      <c r="O6675" s="11"/>
      <c r="P6675" s="11"/>
      <c r="Q6675" s="8"/>
      <c r="R6675" s="6"/>
      <c r="S6675" s="3"/>
      <c r="T6675" s="3"/>
      <c r="U6675" s="7"/>
      <c r="V6675" s="436"/>
      <c r="W6675" s="6"/>
      <c r="X6675" s="8"/>
      <c r="Y6675" s="8"/>
    </row>
    <row r="6676" spans="3:25">
      <c r="C6676" s="4"/>
      <c r="D6676" s="4"/>
      <c r="E6676" s="5"/>
      <c r="F6676" s="6"/>
      <c r="G6676" s="31"/>
      <c r="H6676" s="6"/>
      <c r="I6676" s="9"/>
      <c r="J6676" s="24"/>
      <c r="K6676" s="10"/>
      <c r="L6676" s="25"/>
      <c r="M6676" s="25"/>
      <c r="N6676" s="8"/>
      <c r="O6676" s="11"/>
      <c r="P6676" s="11"/>
      <c r="Q6676" s="8"/>
      <c r="R6676" s="6"/>
      <c r="S6676" s="3"/>
      <c r="T6676" s="3"/>
      <c r="U6676" s="7"/>
      <c r="V6676" s="436"/>
      <c r="W6676" s="6"/>
      <c r="X6676" s="8"/>
      <c r="Y6676" s="8"/>
    </row>
    <row r="6677" spans="3:25">
      <c r="C6677" s="4"/>
      <c r="D6677" s="4"/>
      <c r="E6677" s="5"/>
      <c r="F6677" s="6"/>
      <c r="G6677" s="31"/>
      <c r="H6677" s="6"/>
      <c r="I6677" s="9"/>
      <c r="J6677" s="24"/>
      <c r="K6677" s="10"/>
      <c r="L6677" s="25"/>
      <c r="M6677" s="25"/>
      <c r="N6677" s="8"/>
      <c r="O6677" s="11"/>
      <c r="P6677" s="11"/>
      <c r="Q6677" s="8"/>
      <c r="R6677" s="6"/>
      <c r="S6677" s="3"/>
      <c r="T6677" s="3"/>
      <c r="U6677" s="7"/>
      <c r="V6677" s="436"/>
      <c r="W6677" s="6"/>
      <c r="X6677" s="8"/>
      <c r="Y6677" s="8"/>
    </row>
    <row r="6678" spans="3:25">
      <c r="C6678" s="4"/>
      <c r="D6678" s="4"/>
      <c r="E6678" s="5"/>
      <c r="F6678" s="6"/>
      <c r="G6678" s="31"/>
      <c r="H6678" s="6"/>
      <c r="I6678" s="9"/>
      <c r="J6678" s="24"/>
      <c r="K6678" s="10"/>
      <c r="L6678" s="25"/>
      <c r="M6678" s="25"/>
      <c r="N6678" s="8"/>
      <c r="O6678" s="11"/>
      <c r="P6678" s="11"/>
      <c r="Q6678" s="8"/>
      <c r="R6678" s="6"/>
      <c r="S6678" s="3"/>
      <c r="T6678" s="3"/>
      <c r="U6678" s="7"/>
      <c r="V6678" s="436"/>
      <c r="W6678" s="6"/>
      <c r="X6678" s="8"/>
      <c r="Y6678" s="8"/>
    </row>
    <row r="6679" spans="3:25">
      <c r="C6679" s="4"/>
      <c r="D6679" s="4"/>
      <c r="E6679" s="5"/>
      <c r="F6679" s="6"/>
      <c r="G6679" s="31"/>
      <c r="H6679" s="6"/>
      <c r="I6679" s="9"/>
      <c r="J6679" s="24"/>
      <c r="K6679" s="10"/>
      <c r="L6679" s="25"/>
      <c r="M6679" s="25"/>
      <c r="N6679" s="8"/>
      <c r="O6679" s="11"/>
      <c r="P6679" s="11"/>
      <c r="Q6679" s="8"/>
      <c r="R6679" s="6"/>
      <c r="S6679" s="3"/>
      <c r="T6679" s="3"/>
      <c r="U6679" s="7"/>
      <c r="V6679" s="436"/>
      <c r="W6679" s="6"/>
      <c r="X6679" s="8"/>
      <c r="Y6679" s="8"/>
    </row>
    <row r="6680" spans="3:25">
      <c r="C6680" s="4"/>
      <c r="D6680" s="4"/>
      <c r="E6680" s="5"/>
      <c r="F6680" s="6"/>
      <c r="G6680" s="31"/>
      <c r="H6680" s="6"/>
      <c r="I6680" s="9"/>
      <c r="J6680" s="24"/>
      <c r="K6680" s="10"/>
      <c r="L6680" s="25"/>
      <c r="M6680" s="25"/>
      <c r="N6680" s="8"/>
      <c r="O6680" s="11"/>
      <c r="P6680" s="11"/>
      <c r="Q6680" s="8"/>
      <c r="R6680" s="6"/>
      <c r="S6680" s="3"/>
      <c r="T6680" s="3"/>
      <c r="U6680" s="7"/>
      <c r="V6680" s="436"/>
      <c r="W6680" s="6"/>
      <c r="X6680" s="8"/>
      <c r="Y6680" s="8"/>
    </row>
    <row r="6681" spans="3:25">
      <c r="C6681" s="4"/>
      <c r="D6681" s="4"/>
      <c r="E6681" s="5"/>
      <c r="F6681" s="6"/>
      <c r="G6681" s="31"/>
      <c r="H6681" s="6"/>
      <c r="I6681" s="9"/>
      <c r="J6681" s="24"/>
      <c r="K6681" s="10"/>
      <c r="L6681" s="25"/>
      <c r="M6681" s="25"/>
      <c r="N6681" s="8"/>
      <c r="O6681" s="11"/>
      <c r="P6681" s="11"/>
      <c r="Q6681" s="8"/>
      <c r="R6681" s="6"/>
      <c r="S6681" s="3"/>
      <c r="T6681" s="3"/>
      <c r="U6681" s="7"/>
      <c r="V6681" s="436"/>
      <c r="W6681" s="6"/>
      <c r="X6681" s="8"/>
      <c r="Y6681" s="8"/>
    </row>
    <row r="6682" spans="3:25">
      <c r="C6682" s="4"/>
      <c r="D6682" s="4"/>
      <c r="E6682" s="5"/>
      <c r="F6682" s="6"/>
      <c r="G6682" s="31"/>
      <c r="H6682" s="6"/>
      <c r="I6682" s="9"/>
      <c r="J6682" s="24"/>
      <c r="K6682" s="10"/>
      <c r="L6682" s="25"/>
      <c r="M6682" s="25"/>
      <c r="N6682" s="8"/>
      <c r="O6682" s="11"/>
      <c r="P6682" s="11"/>
      <c r="Q6682" s="8"/>
      <c r="R6682" s="6"/>
      <c r="S6682" s="3"/>
      <c r="T6682" s="3"/>
      <c r="U6682" s="7"/>
      <c r="V6682" s="436"/>
      <c r="W6682" s="6"/>
      <c r="X6682" s="8"/>
      <c r="Y6682" s="8"/>
    </row>
    <row r="6683" spans="3:25">
      <c r="C6683" s="4"/>
      <c r="D6683" s="4"/>
      <c r="E6683" s="5"/>
      <c r="F6683" s="6"/>
      <c r="G6683" s="3"/>
      <c r="H6683" s="6"/>
      <c r="I6683" s="9"/>
      <c r="J6683" s="24"/>
      <c r="K6683" s="10"/>
      <c r="L6683" s="25"/>
      <c r="M6683" s="25"/>
      <c r="N6683" s="8"/>
      <c r="O6683" s="11"/>
      <c r="P6683" s="11"/>
      <c r="Q6683" s="8"/>
      <c r="R6683" s="6"/>
      <c r="S6683" s="3"/>
      <c r="T6683" s="3"/>
      <c r="U6683" s="7"/>
      <c r="V6683" s="436"/>
      <c r="W6683" s="6"/>
      <c r="X6683" s="8"/>
      <c r="Y6683" s="8"/>
    </row>
    <row r="6684" spans="3:25">
      <c r="C6684" s="4"/>
      <c r="D6684" s="4"/>
      <c r="E6684" s="5"/>
      <c r="F6684" s="6"/>
      <c r="G6684" s="3"/>
      <c r="H6684" s="6"/>
      <c r="I6684" s="9"/>
      <c r="J6684" s="24"/>
      <c r="K6684" s="10"/>
      <c r="L6684" s="25"/>
      <c r="M6684" s="25"/>
      <c r="N6684" s="8"/>
      <c r="O6684" s="11"/>
      <c r="P6684" s="11"/>
      <c r="Q6684" s="8"/>
      <c r="R6684" s="6"/>
      <c r="S6684" s="3"/>
      <c r="T6684" s="3"/>
      <c r="U6684" s="7"/>
      <c r="V6684" s="436"/>
      <c r="W6684" s="6"/>
      <c r="X6684" s="8"/>
      <c r="Y6684" s="8"/>
    </row>
    <row r="6685" spans="3:25">
      <c r="C6685" s="4"/>
      <c r="D6685" s="4"/>
      <c r="E6685" s="5"/>
      <c r="F6685" s="6"/>
      <c r="G6685" s="31"/>
      <c r="H6685" s="6"/>
      <c r="I6685" s="9"/>
      <c r="J6685" s="24"/>
      <c r="K6685" s="9"/>
      <c r="L6685" s="25"/>
      <c r="M6685" s="7"/>
      <c r="N6685" s="8"/>
      <c r="O6685" s="11"/>
      <c r="P6685" s="11"/>
      <c r="Q6685" s="8"/>
      <c r="R6685" s="6"/>
      <c r="S6685" s="3"/>
      <c r="T6685" s="3"/>
      <c r="U6685" s="7"/>
      <c r="V6685" s="436"/>
      <c r="W6685" s="6"/>
      <c r="X6685" s="8"/>
      <c r="Y6685" s="8"/>
    </row>
    <row r="6686" spans="3:25">
      <c r="C6686" s="4"/>
      <c r="D6686" s="4"/>
      <c r="E6686" s="5"/>
      <c r="F6686" s="6"/>
      <c r="G6686" s="31"/>
      <c r="H6686" s="6"/>
      <c r="I6686" s="9"/>
      <c r="J6686" s="24"/>
      <c r="K6686" s="9"/>
      <c r="L6686" s="25"/>
      <c r="M6686" s="7"/>
      <c r="N6686" s="8"/>
      <c r="O6686" s="11"/>
      <c r="P6686" s="11"/>
      <c r="Q6686" s="8"/>
      <c r="R6686" s="6"/>
      <c r="S6686" s="3"/>
      <c r="T6686" s="3"/>
      <c r="U6686" s="7"/>
      <c r="V6686" s="436"/>
      <c r="W6686" s="6"/>
      <c r="X6686" s="8"/>
      <c r="Y6686" s="8"/>
    </row>
    <row r="6687" spans="3:25">
      <c r="C6687" s="4"/>
      <c r="D6687" s="4"/>
      <c r="E6687" s="5"/>
      <c r="F6687" s="6"/>
      <c r="G6687" s="31"/>
      <c r="H6687" s="6"/>
      <c r="I6687" s="9"/>
      <c r="J6687" s="24"/>
      <c r="K6687" s="9"/>
      <c r="L6687" s="25"/>
      <c r="M6687" s="25"/>
      <c r="N6687" s="8"/>
      <c r="O6687" s="11"/>
      <c r="P6687" s="11"/>
      <c r="Q6687" s="8"/>
      <c r="R6687" s="6"/>
      <c r="S6687" s="3"/>
      <c r="T6687" s="3"/>
      <c r="U6687" s="7"/>
      <c r="V6687" s="436"/>
      <c r="W6687" s="6"/>
      <c r="X6687" s="8"/>
      <c r="Y6687" s="8"/>
    </row>
    <row r="6688" spans="3:25">
      <c r="C6688" s="4"/>
      <c r="D6688" s="4"/>
      <c r="E6688" s="5"/>
      <c r="F6688" s="6"/>
      <c r="G6688" s="31"/>
      <c r="H6688" s="6"/>
      <c r="I6688" s="9"/>
      <c r="J6688" s="24"/>
      <c r="K6688" s="9"/>
      <c r="L6688" s="25"/>
      <c r="M6688" s="25"/>
      <c r="N6688" s="8"/>
      <c r="O6688" s="11"/>
      <c r="P6688" s="11"/>
      <c r="Q6688" s="8"/>
      <c r="R6688" s="6"/>
      <c r="S6688" s="3"/>
      <c r="T6688" s="3"/>
      <c r="U6688" s="7"/>
      <c r="V6688" s="436"/>
      <c r="W6688" s="6"/>
      <c r="X6688" s="8"/>
      <c r="Y6688" s="8"/>
    </row>
    <row r="6689" spans="3:25">
      <c r="C6689" s="4"/>
      <c r="D6689" s="4"/>
      <c r="E6689" s="5"/>
      <c r="F6689" s="6"/>
      <c r="G6689" s="31"/>
      <c r="H6689" s="6"/>
      <c r="I6689" s="9"/>
      <c r="J6689" s="24"/>
      <c r="K6689" s="9"/>
      <c r="L6689" s="25"/>
      <c r="M6689" s="25"/>
      <c r="N6689" s="8"/>
      <c r="O6689" s="11"/>
      <c r="P6689" s="11"/>
      <c r="Q6689" s="8"/>
      <c r="R6689" s="6"/>
      <c r="S6689" s="3"/>
      <c r="T6689" s="3"/>
      <c r="U6689" s="7"/>
      <c r="V6689" s="436"/>
      <c r="W6689" s="6"/>
      <c r="X6689" s="8"/>
      <c r="Y6689" s="8"/>
    </row>
    <row r="6690" spans="3:25">
      <c r="C6690" s="4"/>
      <c r="D6690" s="4"/>
      <c r="E6690" s="5"/>
      <c r="F6690" s="6"/>
      <c r="G6690" s="31"/>
      <c r="H6690" s="6"/>
      <c r="I6690" s="9"/>
      <c r="J6690" s="24"/>
      <c r="K6690" s="9"/>
      <c r="L6690" s="25"/>
      <c r="M6690" s="25"/>
      <c r="N6690" s="8"/>
      <c r="O6690" s="11"/>
      <c r="P6690" s="11"/>
      <c r="Q6690" s="8"/>
      <c r="R6690" s="6"/>
      <c r="S6690" s="3"/>
      <c r="T6690" s="3"/>
      <c r="U6690" s="7"/>
      <c r="V6690" s="436"/>
      <c r="W6690" s="6"/>
      <c r="X6690" s="8"/>
      <c r="Y6690" s="8"/>
    </row>
    <row r="6691" spans="3:25">
      <c r="C6691" s="4"/>
      <c r="D6691" s="4"/>
      <c r="E6691" s="5"/>
      <c r="F6691" s="6"/>
      <c r="G6691" s="31"/>
      <c r="H6691" s="6"/>
      <c r="I6691" s="9"/>
      <c r="J6691" s="24"/>
      <c r="K6691" s="9"/>
      <c r="L6691" s="25"/>
      <c r="M6691" s="25"/>
      <c r="N6691" s="8"/>
      <c r="O6691" s="11"/>
      <c r="P6691" s="11"/>
      <c r="Q6691" s="8"/>
      <c r="R6691" s="6"/>
      <c r="S6691" s="3"/>
      <c r="T6691" s="3"/>
      <c r="U6691" s="7"/>
      <c r="V6691" s="436"/>
      <c r="W6691" s="6"/>
      <c r="X6691" s="8"/>
      <c r="Y6691" s="8"/>
    </row>
    <row r="6692" spans="3:25">
      <c r="C6692" s="4"/>
      <c r="D6692" s="4"/>
      <c r="E6692" s="5"/>
      <c r="F6692" s="6"/>
      <c r="G6692" s="31"/>
      <c r="H6692" s="6"/>
      <c r="I6692" s="9"/>
      <c r="J6692" s="24"/>
      <c r="K6692" s="9"/>
      <c r="L6692" s="25"/>
      <c r="M6692" s="25"/>
      <c r="N6692" s="8"/>
      <c r="O6692" s="11"/>
      <c r="P6692" s="11"/>
      <c r="Q6692" s="8"/>
      <c r="R6692" s="6"/>
      <c r="S6692" s="3"/>
      <c r="T6692" s="3"/>
      <c r="U6692" s="7"/>
      <c r="V6692" s="436"/>
      <c r="W6692" s="6"/>
      <c r="X6692" s="8"/>
      <c r="Y6692" s="8"/>
    </row>
    <row r="6693" spans="3:25">
      <c r="C6693" s="4"/>
      <c r="D6693" s="4"/>
      <c r="E6693" s="5"/>
      <c r="F6693" s="6"/>
      <c r="G6693" s="31"/>
      <c r="H6693" s="6"/>
      <c r="I6693" s="9"/>
      <c r="J6693" s="24"/>
      <c r="K6693" s="9"/>
      <c r="L6693" s="25"/>
      <c r="M6693" s="25"/>
      <c r="N6693" s="8"/>
      <c r="O6693" s="11"/>
      <c r="P6693" s="11"/>
      <c r="Q6693" s="8"/>
      <c r="R6693" s="6"/>
      <c r="S6693" s="3"/>
      <c r="T6693" s="3"/>
      <c r="U6693" s="25"/>
      <c r="V6693" s="463"/>
      <c r="W6693" s="9"/>
      <c r="X6693" s="10"/>
      <c r="Y6693" s="8"/>
    </row>
    <row r="6694" spans="3:25">
      <c r="C6694" s="4"/>
      <c r="D6694" s="4"/>
      <c r="E6694" s="5"/>
      <c r="F6694" s="6"/>
      <c r="G6694" s="31"/>
      <c r="H6694" s="6"/>
      <c r="I6694" s="9"/>
      <c r="J6694" s="24"/>
      <c r="K6694" s="9"/>
      <c r="L6694" s="25"/>
      <c r="M6694" s="25"/>
      <c r="N6694" s="8"/>
      <c r="O6694" s="11"/>
      <c r="P6694" s="11"/>
      <c r="Q6694" s="8"/>
      <c r="R6694" s="6"/>
      <c r="S6694" s="3"/>
      <c r="T6694" s="3"/>
      <c r="U6694" s="25"/>
      <c r="V6694" s="463"/>
      <c r="W6694" s="9"/>
      <c r="X6694" s="10"/>
      <c r="Y6694" s="8"/>
    </row>
    <row r="6695" spans="3:25">
      <c r="C6695" s="4"/>
      <c r="D6695" s="4"/>
      <c r="E6695" s="5"/>
      <c r="F6695" s="6"/>
      <c r="G6695" s="31"/>
      <c r="H6695" s="6"/>
      <c r="I6695" s="9"/>
      <c r="J6695" s="24"/>
      <c r="K6695" s="9"/>
      <c r="L6695" s="25"/>
      <c r="M6695" s="25"/>
      <c r="N6695" s="8"/>
      <c r="O6695" s="11"/>
      <c r="P6695" s="11"/>
      <c r="Q6695" s="8"/>
      <c r="R6695" s="6"/>
      <c r="S6695" s="3"/>
      <c r="T6695" s="3"/>
      <c r="U6695" s="25"/>
      <c r="V6695" s="463"/>
      <c r="W6695" s="9"/>
      <c r="X6695" s="10"/>
      <c r="Y6695" s="8"/>
    </row>
    <row r="6696" spans="3:25">
      <c r="C6696" s="4"/>
      <c r="D6696" s="4"/>
      <c r="E6696" s="5"/>
      <c r="F6696" s="6"/>
      <c r="G6696" s="31"/>
      <c r="H6696" s="6"/>
      <c r="I6696" s="9"/>
      <c r="J6696" s="24"/>
      <c r="K6696" s="9"/>
      <c r="L6696" s="25"/>
      <c r="M6696" s="25"/>
      <c r="N6696" s="8"/>
      <c r="O6696" s="11"/>
      <c r="P6696" s="11"/>
      <c r="Q6696" s="8"/>
      <c r="R6696" s="6"/>
      <c r="S6696" s="3"/>
      <c r="T6696" s="3"/>
      <c r="U6696" s="7"/>
      <c r="V6696" s="436"/>
      <c r="W6696" s="6"/>
      <c r="X6696" s="8"/>
      <c r="Y6696" s="8"/>
    </row>
    <row r="6697" spans="3:25">
      <c r="C6697" s="4"/>
      <c r="D6697" s="4"/>
      <c r="E6697" s="5"/>
      <c r="F6697" s="6"/>
      <c r="G6697" s="31"/>
      <c r="H6697" s="6"/>
      <c r="I6697" s="9"/>
      <c r="J6697" s="24"/>
      <c r="K6697" s="9"/>
      <c r="L6697" s="25"/>
      <c r="M6697" s="25"/>
      <c r="N6697" s="8"/>
      <c r="O6697" s="11"/>
      <c r="P6697" s="11"/>
      <c r="Q6697" s="8"/>
      <c r="R6697" s="6"/>
      <c r="S6697" s="3"/>
      <c r="T6697" s="3"/>
      <c r="U6697" s="7"/>
      <c r="V6697" s="436"/>
      <c r="W6697" s="6"/>
      <c r="X6697" s="8"/>
      <c r="Y6697" s="8"/>
    </row>
    <row r="6698" spans="3:25">
      <c r="C6698" s="4"/>
      <c r="D6698" s="4"/>
      <c r="E6698" s="5"/>
      <c r="F6698" s="6"/>
      <c r="G6698" s="31"/>
      <c r="H6698" s="6"/>
      <c r="I6698" s="9"/>
      <c r="J6698" s="24"/>
      <c r="K6698" s="9"/>
      <c r="L6698" s="25"/>
      <c r="M6698" s="25"/>
      <c r="N6698" s="8"/>
      <c r="O6698" s="11"/>
      <c r="P6698" s="11"/>
      <c r="Q6698" s="8"/>
      <c r="R6698" s="6"/>
      <c r="S6698" s="3"/>
      <c r="T6698" s="3"/>
      <c r="U6698" s="7"/>
      <c r="V6698" s="436"/>
      <c r="W6698" s="6"/>
      <c r="X6698" s="8"/>
      <c r="Y6698" s="8"/>
    </row>
    <row r="6699" spans="3:25">
      <c r="C6699" s="4"/>
      <c r="D6699" s="4"/>
      <c r="E6699" s="5"/>
      <c r="F6699" s="6"/>
      <c r="G6699" s="31"/>
      <c r="H6699" s="6"/>
      <c r="I6699" s="9"/>
      <c r="J6699" s="24"/>
      <c r="K6699" s="9"/>
      <c r="L6699" s="25"/>
      <c r="M6699" s="25"/>
      <c r="N6699" s="8"/>
      <c r="O6699" s="11"/>
      <c r="P6699" s="11"/>
      <c r="Q6699" s="8"/>
      <c r="R6699" s="6"/>
      <c r="S6699" s="3"/>
      <c r="T6699" s="3"/>
      <c r="U6699" s="7"/>
      <c r="V6699" s="436"/>
      <c r="W6699" s="6"/>
      <c r="X6699" s="8"/>
      <c r="Y6699" s="8"/>
    </row>
    <row r="6700" spans="3:25">
      <c r="C6700" s="4"/>
      <c r="D6700" s="4"/>
      <c r="E6700" s="5"/>
      <c r="F6700" s="6"/>
      <c r="G6700" s="31"/>
      <c r="H6700" s="6"/>
      <c r="I6700" s="9"/>
      <c r="J6700" s="24"/>
      <c r="K6700" s="9"/>
      <c r="L6700" s="25"/>
      <c r="M6700" s="25"/>
      <c r="N6700" s="8"/>
      <c r="O6700" s="11"/>
      <c r="P6700" s="11"/>
      <c r="Q6700" s="8"/>
      <c r="R6700" s="6"/>
      <c r="S6700" s="3"/>
      <c r="T6700" s="3"/>
      <c r="U6700" s="7"/>
      <c r="V6700" s="436"/>
      <c r="W6700" s="6"/>
      <c r="X6700" s="8"/>
      <c r="Y6700" s="8"/>
    </row>
    <row r="6701" spans="3:25">
      <c r="C6701" s="4"/>
      <c r="D6701" s="4"/>
      <c r="E6701" s="5"/>
      <c r="F6701" s="6"/>
      <c r="G6701" s="31"/>
      <c r="H6701" s="6"/>
      <c r="I6701" s="9"/>
      <c r="J6701" s="24"/>
      <c r="K6701" s="9"/>
      <c r="L6701" s="25"/>
      <c r="M6701" s="25"/>
      <c r="N6701" s="8"/>
      <c r="O6701" s="11"/>
      <c r="P6701" s="11"/>
      <c r="Q6701" s="8"/>
      <c r="R6701" s="6"/>
      <c r="S6701" s="3"/>
      <c r="T6701" s="3"/>
      <c r="U6701" s="7"/>
      <c r="V6701" s="436"/>
      <c r="W6701" s="6"/>
      <c r="X6701" s="8"/>
      <c r="Y6701" s="8"/>
    </row>
    <row r="6702" spans="3:25">
      <c r="C6702" s="4"/>
      <c r="D6702" s="4"/>
      <c r="E6702" s="5"/>
      <c r="F6702" s="6"/>
      <c r="G6702" s="31"/>
      <c r="H6702" s="6"/>
      <c r="I6702" s="9"/>
      <c r="J6702" s="24"/>
      <c r="K6702" s="9"/>
      <c r="L6702" s="25"/>
      <c r="M6702" s="25"/>
      <c r="N6702" s="8"/>
      <c r="O6702" s="11"/>
      <c r="P6702" s="11"/>
      <c r="Q6702" s="8"/>
      <c r="R6702" s="6"/>
      <c r="S6702" s="3"/>
      <c r="T6702" s="3"/>
      <c r="U6702" s="7"/>
      <c r="V6702" s="436"/>
      <c r="W6702" s="6"/>
      <c r="X6702" s="8"/>
      <c r="Y6702" s="8"/>
    </row>
    <row r="6703" spans="3:25">
      <c r="C6703" s="4"/>
      <c r="D6703" s="4"/>
      <c r="E6703" s="5"/>
      <c r="F6703" s="6"/>
      <c r="G6703" s="31"/>
      <c r="H6703" s="6"/>
      <c r="I6703" s="9"/>
      <c r="J6703" s="24"/>
      <c r="K6703" s="9"/>
      <c r="L6703" s="25"/>
      <c r="M6703" s="25"/>
      <c r="N6703" s="8"/>
      <c r="O6703" s="11"/>
      <c r="P6703" s="11"/>
      <c r="Q6703" s="8"/>
      <c r="R6703" s="6"/>
      <c r="S6703" s="3"/>
      <c r="T6703" s="3"/>
      <c r="U6703" s="7"/>
      <c r="V6703" s="436"/>
      <c r="W6703" s="6"/>
      <c r="X6703" s="8"/>
      <c r="Y6703" s="8"/>
    </row>
    <row r="6704" spans="3:25">
      <c r="C6704" s="4"/>
      <c r="D6704" s="4"/>
      <c r="E6704" s="5"/>
      <c r="F6704" s="6"/>
      <c r="G6704" s="31"/>
      <c r="H6704" s="6"/>
      <c r="I6704" s="9"/>
      <c r="J6704" s="24"/>
      <c r="K6704" s="9"/>
      <c r="L6704" s="25"/>
      <c r="M6704" s="25"/>
      <c r="N6704" s="8"/>
      <c r="O6704" s="11"/>
      <c r="P6704" s="11"/>
      <c r="Q6704" s="8"/>
      <c r="R6704" s="6"/>
      <c r="S6704" s="3"/>
      <c r="T6704" s="3"/>
      <c r="U6704" s="7"/>
      <c r="V6704" s="436"/>
      <c r="W6704" s="6"/>
      <c r="X6704" s="8"/>
      <c r="Y6704" s="8"/>
    </row>
    <row r="6705" spans="3:25">
      <c r="C6705" s="4"/>
      <c r="D6705" s="4"/>
      <c r="E6705" s="5"/>
      <c r="F6705" s="6"/>
      <c r="G6705" s="31"/>
      <c r="H6705" s="6"/>
      <c r="I6705" s="9"/>
      <c r="J6705" s="24"/>
      <c r="K6705" s="9"/>
      <c r="L6705" s="25"/>
      <c r="M6705" s="25"/>
      <c r="N6705" s="8"/>
      <c r="O6705" s="11"/>
      <c r="P6705" s="11"/>
      <c r="Q6705" s="8"/>
      <c r="R6705" s="6"/>
      <c r="S6705" s="3"/>
      <c r="T6705" s="3"/>
      <c r="U6705" s="7"/>
      <c r="V6705" s="436"/>
      <c r="W6705" s="6"/>
      <c r="X6705" s="8"/>
      <c r="Y6705" s="8"/>
    </row>
    <row r="6706" spans="3:25">
      <c r="C6706" s="4"/>
      <c r="D6706" s="4"/>
      <c r="E6706" s="5"/>
      <c r="F6706" s="6"/>
      <c r="G6706" s="31"/>
      <c r="H6706" s="6"/>
      <c r="I6706" s="9"/>
      <c r="J6706" s="24"/>
      <c r="K6706" s="9"/>
      <c r="L6706" s="25"/>
      <c r="M6706" s="25"/>
      <c r="N6706" s="8"/>
      <c r="O6706" s="11"/>
      <c r="P6706" s="11"/>
      <c r="Q6706" s="8"/>
      <c r="R6706" s="6"/>
      <c r="S6706" s="3"/>
      <c r="T6706" s="3"/>
      <c r="U6706" s="7"/>
      <c r="V6706" s="436"/>
      <c r="W6706" s="6"/>
      <c r="X6706" s="8"/>
      <c r="Y6706" s="8"/>
    </row>
    <row r="6707" spans="3:25">
      <c r="C6707" s="4"/>
      <c r="D6707" s="4"/>
      <c r="E6707" s="5"/>
      <c r="F6707" s="6"/>
      <c r="G6707" s="31"/>
      <c r="H6707" s="9"/>
      <c r="I6707" s="9"/>
      <c r="J6707" s="24"/>
      <c r="K6707" s="9"/>
      <c r="L6707" s="25"/>
      <c r="M6707" s="25"/>
      <c r="N6707" s="8"/>
      <c r="O6707" s="11"/>
      <c r="P6707" s="11"/>
      <c r="Q6707" s="8"/>
      <c r="R6707" s="6"/>
      <c r="S6707" s="3"/>
      <c r="T6707" s="3"/>
      <c r="U6707" s="7"/>
      <c r="V6707" s="436"/>
      <c r="W6707" s="6"/>
      <c r="X6707" s="8"/>
      <c r="Y6707" s="8"/>
    </row>
    <row r="6708" spans="3:25">
      <c r="C6708" s="4"/>
      <c r="D6708" s="4"/>
      <c r="E6708" s="5"/>
      <c r="F6708" s="6"/>
      <c r="G6708" s="31"/>
      <c r="H6708" s="9"/>
      <c r="I6708" s="9"/>
      <c r="J6708" s="24"/>
      <c r="K6708" s="9"/>
      <c r="L6708" s="25"/>
      <c r="M6708" s="25"/>
      <c r="N6708" s="8"/>
      <c r="O6708" s="11"/>
      <c r="P6708" s="11"/>
      <c r="Q6708" s="8"/>
      <c r="R6708" s="6"/>
      <c r="S6708" s="3"/>
      <c r="T6708" s="3"/>
      <c r="U6708" s="7"/>
      <c r="V6708" s="436"/>
      <c r="W6708" s="6"/>
      <c r="X6708" s="8"/>
      <c r="Y6708" s="8"/>
    </row>
    <row r="6709" spans="3:25">
      <c r="C6709" s="4"/>
      <c r="D6709" s="4"/>
      <c r="E6709" s="5"/>
      <c r="F6709" s="6"/>
      <c r="G6709" s="31"/>
      <c r="H6709" s="6"/>
      <c r="I6709" s="9"/>
      <c r="J6709" s="24"/>
      <c r="K6709" s="9"/>
      <c r="L6709" s="25"/>
      <c r="M6709" s="25"/>
      <c r="N6709" s="8"/>
      <c r="O6709" s="11"/>
      <c r="P6709" s="11"/>
      <c r="Q6709" s="8"/>
      <c r="R6709" s="6"/>
      <c r="S6709" s="3"/>
      <c r="T6709" s="3"/>
      <c r="U6709" s="7"/>
      <c r="V6709" s="436"/>
      <c r="W6709" s="6"/>
      <c r="X6709" s="8"/>
      <c r="Y6709" s="8"/>
    </row>
    <row r="6710" spans="3:25">
      <c r="C6710" s="4"/>
      <c r="D6710" s="4"/>
      <c r="E6710" s="5"/>
      <c r="F6710" s="6"/>
      <c r="G6710" s="31"/>
      <c r="H6710" s="6"/>
      <c r="I6710" s="9"/>
      <c r="J6710" s="24"/>
      <c r="K6710" s="9"/>
      <c r="L6710" s="25"/>
      <c r="M6710" s="25"/>
      <c r="N6710" s="8"/>
      <c r="O6710" s="11"/>
      <c r="P6710" s="11"/>
      <c r="Q6710" s="8"/>
      <c r="R6710" s="6"/>
      <c r="S6710" s="3"/>
      <c r="T6710" s="3"/>
      <c r="U6710" s="7"/>
      <c r="V6710" s="436"/>
      <c r="W6710" s="6"/>
      <c r="X6710" s="8"/>
      <c r="Y6710" s="8"/>
    </row>
    <row r="6711" spans="3:25">
      <c r="C6711" s="4"/>
      <c r="D6711" s="4"/>
      <c r="E6711" s="5"/>
      <c r="F6711" s="6"/>
      <c r="G6711" s="31"/>
      <c r="H6711" s="6"/>
      <c r="I6711" s="9"/>
      <c r="J6711" s="24"/>
      <c r="K6711" s="9"/>
      <c r="L6711" s="25"/>
      <c r="M6711" s="25"/>
      <c r="N6711" s="8"/>
      <c r="O6711" s="11"/>
      <c r="P6711" s="11"/>
      <c r="Q6711" s="8"/>
      <c r="R6711" s="6"/>
      <c r="S6711" s="3"/>
      <c r="T6711" s="3"/>
      <c r="U6711" s="7"/>
      <c r="V6711" s="436"/>
      <c r="W6711" s="6"/>
      <c r="X6711" s="8"/>
      <c r="Y6711" s="8"/>
    </row>
    <row r="6712" spans="3:25">
      <c r="C6712" s="4"/>
      <c r="D6712" s="4"/>
      <c r="E6712" s="5"/>
      <c r="F6712" s="6"/>
      <c r="G6712" s="31"/>
      <c r="H6712" s="6"/>
      <c r="I6712" s="9"/>
      <c r="J6712" s="24"/>
      <c r="K6712" s="9"/>
      <c r="L6712" s="25"/>
      <c r="M6712" s="25"/>
      <c r="N6712" s="8"/>
      <c r="O6712" s="11"/>
      <c r="P6712" s="11"/>
      <c r="Q6712" s="8"/>
      <c r="R6712" s="6"/>
      <c r="S6712" s="3"/>
      <c r="T6712" s="3"/>
      <c r="U6712" s="7"/>
      <c r="V6712" s="436"/>
      <c r="W6712" s="6"/>
      <c r="X6712" s="8"/>
      <c r="Y6712" s="8"/>
    </row>
    <row r="6713" spans="3:25">
      <c r="C6713" s="4"/>
      <c r="D6713" s="4"/>
      <c r="E6713" s="5"/>
      <c r="F6713" s="6"/>
      <c r="G6713" s="31"/>
      <c r="H6713" s="6"/>
      <c r="I6713" s="9"/>
      <c r="J6713" s="24"/>
      <c r="K6713" s="9"/>
      <c r="L6713" s="25"/>
      <c r="M6713" s="25"/>
      <c r="N6713" s="8"/>
      <c r="O6713" s="11"/>
      <c r="P6713" s="11"/>
      <c r="Q6713" s="8"/>
      <c r="R6713" s="6"/>
      <c r="S6713" s="3"/>
      <c r="T6713" s="3"/>
      <c r="U6713" s="7"/>
      <c r="V6713" s="436"/>
      <c r="W6713" s="6"/>
      <c r="X6713" s="8"/>
      <c r="Y6713" s="8"/>
    </row>
    <row r="6714" spans="3:25">
      <c r="C6714" s="4"/>
      <c r="D6714" s="4"/>
      <c r="E6714" s="5"/>
      <c r="F6714" s="6"/>
      <c r="G6714" s="31"/>
      <c r="H6714" s="6"/>
      <c r="I6714" s="9"/>
      <c r="J6714" s="24"/>
      <c r="K6714" s="9"/>
      <c r="L6714" s="25"/>
      <c r="M6714" s="25"/>
      <c r="N6714" s="8"/>
      <c r="O6714" s="11"/>
      <c r="P6714" s="11"/>
      <c r="Q6714" s="8"/>
      <c r="R6714" s="6"/>
      <c r="S6714" s="3"/>
      <c r="T6714" s="3"/>
      <c r="U6714" s="7"/>
      <c r="V6714" s="436"/>
      <c r="W6714" s="6"/>
      <c r="X6714" s="8"/>
      <c r="Y6714" s="8"/>
    </row>
    <row r="6715" spans="3:25">
      <c r="C6715" s="4"/>
      <c r="D6715" s="4"/>
      <c r="E6715" s="5"/>
      <c r="F6715" s="6"/>
      <c r="G6715" s="31"/>
      <c r="H6715" s="6"/>
      <c r="I6715" s="9"/>
      <c r="J6715" s="24"/>
      <c r="K6715" s="9"/>
      <c r="L6715" s="25"/>
      <c r="M6715" s="25"/>
      <c r="N6715" s="8"/>
      <c r="O6715" s="11"/>
      <c r="P6715" s="11"/>
      <c r="Q6715" s="8"/>
      <c r="R6715" s="6"/>
      <c r="S6715" s="3"/>
      <c r="T6715" s="3"/>
      <c r="U6715" s="7"/>
      <c r="V6715" s="436"/>
      <c r="W6715" s="6"/>
      <c r="X6715" s="8"/>
      <c r="Y6715" s="8"/>
    </row>
    <row r="6716" spans="3:25">
      <c r="C6716" s="4"/>
      <c r="D6716" s="4"/>
      <c r="E6716" s="5"/>
      <c r="F6716" s="6"/>
      <c r="G6716" s="31"/>
      <c r="H6716" s="6"/>
      <c r="I6716" s="9"/>
      <c r="J6716" s="24"/>
      <c r="K6716" s="9"/>
      <c r="L6716" s="25"/>
      <c r="M6716" s="25"/>
      <c r="N6716" s="8"/>
      <c r="O6716" s="11"/>
      <c r="P6716" s="11"/>
      <c r="Q6716" s="8"/>
      <c r="R6716" s="6"/>
      <c r="S6716" s="3"/>
      <c r="T6716" s="3"/>
      <c r="U6716" s="7"/>
      <c r="V6716" s="436"/>
      <c r="W6716" s="6"/>
      <c r="X6716" s="8"/>
      <c r="Y6716" s="8"/>
    </row>
    <row r="6717" spans="3:25">
      <c r="C6717" s="4"/>
      <c r="D6717" s="4"/>
      <c r="E6717" s="5"/>
      <c r="F6717" s="6"/>
      <c r="G6717" s="31"/>
      <c r="H6717" s="6"/>
      <c r="I6717" s="9"/>
      <c r="J6717" s="24"/>
      <c r="K6717" s="9"/>
      <c r="L6717" s="25"/>
      <c r="M6717" s="25"/>
      <c r="N6717" s="8"/>
      <c r="O6717" s="11"/>
      <c r="P6717" s="11"/>
      <c r="Q6717" s="8"/>
      <c r="R6717" s="6"/>
      <c r="S6717" s="3"/>
      <c r="T6717" s="3"/>
      <c r="U6717" s="7"/>
      <c r="V6717" s="436"/>
      <c r="W6717" s="6"/>
      <c r="X6717" s="8"/>
      <c r="Y6717" s="8"/>
    </row>
    <row r="6718" spans="3:25">
      <c r="C6718" s="4"/>
      <c r="D6718" s="4"/>
      <c r="E6718" s="5"/>
      <c r="F6718" s="6"/>
      <c r="G6718" s="31"/>
      <c r="H6718" s="6"/>
      <c r="I6718" s="9"/>
      <c r="J6718" s="24"/>
      <c r="K6718" s="9"/>
      <c r="L6718" s="25"/>
      <c r="M6718" s="25"/>
      <c r="N6718" s="8"/>
      <c r="O6718" s="11"/>
      <c r="P6718" s="11"/>
      <c r="Q6718" s="8"/>
      <c r="R6718" s="6"/>
      <c r="S6718" s="3"/>
      <c r="T6718" s="3"/>
      <c r="U6718" s="7"/>
      <c r="V6718" s="436"/>
      <c r="W6718" s="6"/>
      <c r="X6718" s="8"/>
      <c r="Y6718" s="8"/>
    </row>
    <row r="6719" spans="3:25">
      <c r="C6719" s="4"/>
      <c r="D6719" s="4"/>
      <c r="E6719" s="5"/>
      <c r="F6719" s="6"/>
      <c r="G6719" s="31"/>
      <c r="H6719" s="6"/>
      <c r="I6719" s="9"/>
      <c r="J6719" s="24"/>
      <c r="K6719" s="9"/>
      <c r="L6719" s="25"/>
      <c r="M6719" s="25"/>
      <c r="N6719" s="8"/>
      <c r="O6719" s="11"/>
      <c r="P6719" s="11"/>
      <c r="Q6719" s="8"/>
      <c r="R6719" s="6"/>
      <c r="S6719" s="3"/>
      <c r="T6719" s="3"/>
      <c r="U6719" s="7"/>
      <c r="V6719" s="436"/>
      <c r="W6719" s="6"/>
      <c r="X6719" s="8"/>
      <c r="Y6719" s="8"/>
    </row>
    <row r="6720" spans="3:25">
      <c r="C6720" s="4"/>
      <c r="D6720" s="4"/>
      <c r="E6720" s="5"/>
      <c r="F6720" s="6"/>
      <c r="G6720" s="31"/>
      <c r="H6720" s="6"/>
      <c r="I6720" s="9"/>
      <c r="J6720" s="24"/>
      <c r="K6720" s="9"/>
      <c r="L6720" s="25"/>
      <c r="M6720" s="25"/>
      <c r="N6720" s="8"/>
      <c r="O6720" s="11"/>
      <c r="P6720" s="11"/>
      <c r="Q6720" s="8"/>
      <c r="R6720" s="6"/>
      <c r="S6720" s="3"/>
      <c r="T6720" s="3"/>
      <c r="U6720" s="7"/>
      <c r="V6720" s="436"/>
      <c r="W6720" s="6"/>
      <c r="X6720" s="8"/>
      <c r="Y6720" s="8"/>
    </row>
    <row r="6721" spans="3:25">
      <c r="C6721" s="4"/>
      <c r="D6721" s="4"/>
      <c r="E6721" s="5"/>
      <c r="F6721" s="6"/>
      <c r="G6721" s="31"/>
      <c r="H6721" s="6"/>
      <c r="I6721" s="9"/>
      <c r="J6721" s="24"/>
      <c r="K6721" s="9"/>
      <c r="L6721" s="25"/>
      <c r="M6721" s="7"/>
      <c r="N6721" s="8"/>
      <c r="O6721" s="11"/>
      <c r="P6721" s="11"/>
      <c r="Q6721" s="8"/>
      <c r="R6721" s="6"/>
      <c r="S6721" s="3"/>
      <c r="T6721" s="3"/>
      <c r="U6721" s="7"/>
      <c r="V6721" s="436"/>
      <c r="W6721" s="6"/>
      <c r="X6721" s="8"/>
      <c r="Y6721" s="8"/>
    </row>
    <row r="6722" spans="3:25">
      <c r="C6722" s="4"/>
      <c r="D6722" s="4"/>
      <c r="E6722" s="5"/>
      <c r="F6722" s="6"/>
      <c r="G6722" s="31"/>
      <c r="H6722" s="6"/>
      <c r="I6722" s="9"/>
      <c r="J6722" s="24"/>
      <c r="K6722" s="9"/>
      <c r="L6722" s="25"/>
      <c r="M6722" s="7"/>
      <c r="N6722" s="8"/>
      <c r="O6722" s="11"/>
      <c r="P6722" s="11"/>
      <c r="Q6722" s="8"/>
      <c r="R6722" s="6"/>
      <c r="S6722" s="3"/>
      <c r="T6722" s="3"/>
      <c r="U6722" s="7"/>
      <c r="V6722" s="436"/>
      <c r="W6722" s="6"/>
      <c r="X6722" s="8"/>
      <c r="Y6722" s="8"/>
    </row>
    <row r="6723" spans="3:25">
      <c r="C6723" s="4"/>
      <c r="D6723" s="4"/>
      <c r="E6723" s="5"/>
      <c r="F6723" s="6"/>
      <c r="G6723" s="31"/>
      <c r="H6723" s="6"/>
      <c r="I6723" s="9"/>
      <c r="J6723" s="24"/>
      <c r="K6723" s="9"/>
      <c r="L6723" s="25"/>
      <c r="M6723" s="7"/>
      <c r="N6723" s="8"/>
      <c r="O6723" s="11"/>
      <c r="P6723" s="11"/>
      <c r="Q6723" s="8"/>
      <c r="R6723" s="6"/>
      <c r="S6723" s="3"/>
      <c r="T6723" s="3"/>
      <c r="U6723" s="7"/>
      <c r="V6723" s="436"/>
      <c r="W6723" s="6"/>
      <c r="X6723" s="8"/>
      <c r="Y6723" s="8"/>
    </row>
    <row r="6724" spans="3:25">
      <c r="C6724" s="4"/>
      <c r="D6724" s="4"/>
      <c r="E6724" s="5"/>
      <c r="F6724" s="6"/>
      <c r="G6724" s="31"/>
      <c r="H6724" s="6"/>
      <c r="I6724" s="9"/>
      <c r="J6724" s="24"/>
      <c r="K6724" s="9"/>
      <c r="L6724" s="25"/>
      <c r="M6724" s="7"/>
      <c r="N6724" s="8"/>
      <c r="O6724" s="11"/>
      <c r="P6724" s="11"/>
      <c r="Q6724" s="8"/>
      <c r="R6724" s="6"/>
      <c r="S6724" s="3"/>
      <c r="T6724" s="3"/>
      <c r="U6724" s="7"/>
      <c r="V6724" s="436"/>
      <c r="W6724" s="6"/>
      <c r="X6724" s="8"/>
      <c r="Y6724" s="8"/>
    </row>
    <row r="6725" spans="3:25">
      <c r="C6725" s="4"/>
      <c r="D6725" s="4"/>
      <c r="E6725" s="5"/>
      <c r="F6725" s="6"/>
      <c r="G6725" s="31"/>
      <c r="H6725" s="6"/>
      <c r="I6725" s="9"/>
      <c r="J6725" s="24"/>
      <c r="K6725" s="9"/>
      <c r="L6725" s="25"/>
      <c r="M6725" s="7"/>
      <c r="N6725" s="8"/>
      <c r="O6725" s="11"/>
      <c r="P6725" s="11"/>
      <c r="Q6725" s="8"/>
      <c r="R6725" s="6"/>
      <c r="S6725" s="3"/>
      <c r="T6725" s="3"/>
      <c r="U6725" s="7"/>
      <c r="V6725" s="436"/>
      <c r="W6725" s="6"/>
      <c r="X6725" s="8"/>
      <c r="Y6725" s="8"/>
    </row>
    <row r="6726" spans="3:25">
      <c r="C6726" s="4"/>
      <c r="D6726" s="4"/>
      <c r="E6726" s="5"/>
      <c r="F6726" s="6"/>
      <c r="G6726" s="31"/>
      <c r="H6726" s="6"/>
      <c r="I6726" s="9"/>
      <c r="J6726" s="24"/>
      <c r="K6726" s="9"/>
      <c r="L6726" s="25"/>
      <c r="M6726" s="7"/>
      <c r="N6726" s="8"/>
      <c r="O6726" s="11"/>
      <c r="P6726" s="11"/>
      <c r="Q6726" s="8"/>
      <c r="R6726" s="6"/>
      <c r="S6726" s="3"/>
      <c r="T6726" s="3"/>
      <c r="U6726" s="7"/>
      <c r="V6726" s="436"/>
      <c r="W6726" s="6"/>
      <c r="X6726" s="8"/>
      <c r="Y6726" s="8"/>
    </row>
    <row r="6727" spans="3:25">
      <c r="C6727" s="4"/>
      <c r="D6727" s="4"/>
      <c r="E6727" s="5"/>
      <c r="F6727" s="6"/>
      <c r="G6727" s="31"/>
      <c r="H6727" s="6"/>
      <c r="I6727" s="9"/>
      <c r="J6727" s="24"/>
      <c r="K6727" s="9"/>
      <c r="L6727" s="25"/>
      <c r="M6727" s="7"/>
      <c r="N6727" s="8"/>
      <c r="O6727" s="11"/>
      <c r="P6727" s="11"/>
      <c r="Q6727" s="8"/>
      <c r="R6727" s="6"/>
      <c r="S6727" s="3"/>
      <c r="T6727" s="3"/>
      <c r="U6727" s="7"/>
      <c r="V6727" s="436"/>
      <c r="W6727" s="6"/>
      <c r="X6727" s="8"/>
      <c r="Y6727" s="8"/>
    </row>
    <row r="6728" spans="3:25">
      <c r="C6728" s="4"/>
      <c r="D6728" s="4"/>
      <c r="E6728" s="5"/>
      <c r="F6728" s="6"/>
      <c r="G6728" s="31"/>
      <c r="H6728" s="6"/>
      <c r="I6728" s="9"/>
      <c r="J6728" s="24"/>
      <c r="K6728" s="9"/>
      <c r="L6728" s="25"/>
      <c r="M6728" s="7"/>
      <c r="N6728" s="8"/>
      <c r="O6728" s="11"/>
      <c r="P6728" s="11"/>
      <c r="Q6728" s="8"/>
      <c r="R6728" s="6"/>
      <c r="S6728" s="3"/>
      <c r="T6728" s="3"/>
      <c r="U6728" s="7"/>
      <c r="V6728" s="436"/>
      <c r="W6728" s="6"/>
      <c r="X6728" s="8"/>
      <c r="Y6728" s="8"/>
    </row>
    <row r="6729" spans="3:25">
      <c r="C6729" s="4"/>
      <c r="D6729" s="4"/>
      <c r="E6729" s="5"/>
      <c r="F6729" s="6"/>
      <c r="G6729" s="31"/>
      <c r="H6729" s="6"/>
      <c r="I6729" s="9"/>
      <c r="J6729" s="24"/>
      <c r="K6729" s="9"/>
      <c r="L6729" s="25"/>
      <c r="M6729" s="7"/>
      <c r="N6729" s="8"/>
      <c r="O6729" s="11"/>
      <c r="P6729" s="11"/>
      <c r="Q6729" s="8"/>
      <c r="R6729" s="6"/>
      <c r="S6729" s="3"/>
      <c r="T6729" s="3"/>
      <c r="U6729" s="7"/>
      <c r="V6729" s="436"/>
      <c r="W6729" s="6"/>
      <c r="X6729" s="8"/>
      <c r="Y6729" s="8"/>
    </row>
    <row r="6730" spans="3:25">
      <c r="C6730" s="4"/>
      <c r="D6730" s="4"/>
      <c r="E6730" s="5"/>
      <c r="F6730" s="6"/>
      <c r="G6730" s="31"/>
      <c r="H6730" s="6"/>
      <c r="I6730" s="9"/>
      <c r="J6730" s="24"/>
      <c r="K6730" s="9"/>
      <c r="L6730" s="25"/>
      <c r="M6730" s="7"/>
      <c r="N6730" s="8"/>
      <c r="O6730" s="11"/>
      <c r="P6730" s="11"/>
      <c r="Q6730" s="8"/>
      <c r="R6730" s="6"/>
      <c r="S6730" s="3"/>
      <c r="T6730" s="3"/>
      <c r="U6730" s="7"/>
      <c r="V6730" s="436"/>
      <c r="W6730" s="6"/>
      <c r="X6730" s="8"/>
      <c r="Y6730" s="8"/>
    </row>
    <row r="6731" spans="3:25">
      <c r="C6731" s="4"/>
      <c r="D6731" s="4"/>
      <c r="E6731" s="5"/>
      <c r="F6731" s="6"/>
      <c r="G6731" s="31"/>
      <c r="H6731" s="6"/>
      <c r="I6731" s="9"/>
      <c r="J6731" s="24"/>
      <c r="K6731" s="9"/>
      <c r="L6731" s="25"/>
      <c r="M6731" s="25"/>
      <c r="N6731" s="8"/>
      <c r="O6731" s="11"/>
      <c r="P6731" s="11"/>
      <c r="Q6731" s="8"/>
      <c r="R6731" s="6"/>
      <c r="S6731" s="3"/>
      <c r="T6731" s="3"/>
      <c r="U6731" s="7"/>
      <c r="V6731" s="436"/>
      <c r="W6731" s="6"/>
      <c r="X6731" s="8"/>
      <c r="Y6731" s="8"/>
    </row>
    <row r="6732" spans="3:25">
      <c r="C6732" s="4"/>
      <c r="D6732" s="4"/>
      <c r="E6732" s="5"/>
      <c r="F6732" s="6"/>
      <c r="G6732" s="31"/>
      <c r="H6732" s="6"/>
      <c r="I6732" s="9"/>
      <c r="J6732" s="24"/>
      <c r="K6732" s="9"/>
      <c r="L6732" s="25"/>
      <c r="M6732" s="7"/>
      <c r="N6732" s="8"/>
      <c r="O6732" s="11"/>
      <c r="P6732" s="11"/>
      <c r="Q6732" s="8"/>
      <c r="R6732" s="6"/>
      <c r="S6732" s="3"/>
      <c r="T6732" s="3"/>
      <c r="U6732" s="7"/>
      <c r="V6732" s="436"/>
      <c r="W6732" s="6"/>
      <c r="X6732" s="8"/>
      <c r="Y6732" s="8"/>
    </row>
    <row r="6733" spans="3:25">
      <c r="C6733" s="4"/>
      <c r="D6733" s="4"/>
      <c r="E6733" s="5"/>
      <c r="F6733" s="6"/>
      <c r="G6733" s="31"/>
      <c r="H6733" s="6"/>
      <c r="I6733" s="9"/>
      <c r="J6733" s="24"/>
      <c r="K6733" s="9"/>
      <c r="L6733" s="25"/>
      <c r="M6733" s="7"/>
      <c r="N6733" s="8"/>
      <c r="O6733" s="11"/>
      <c r="P6733" s="11"/>
      <c r="Q6733" s="8"/>
      <c r="R6733" s="6"/>
      <c r="S6733" s="3"/>
      <c r="T6733" s="3"/>
      <c r="U6733" s="7"/>
      <c r="V6733" s="436"/>
      <c r="W6733" s="6"/>
      <c r="X6733" s="8"/>
      <c r="Y6733" s="8"/>
    </row>
    <row r="6734" spans="3:25">
      <c r="C6734" s="4"/>
      <c r="D6734" s="4"/>
      <c r="E6734" s="5"/>
      <c r="F6734" s="6"/>
      <c r="G6734" s="31"/>
      <c r="H6734" s="6"/>
      <c r="I6734" s="9"/>
      <c r="J6734" s="24"/>
      <c r="K6734" s="9"/>
      <c r="L6734" s="25"/>
      <c r="M6734" s="7"/>
      <c r="N6734" s="8"/>
      <c r="O6734" s="11"/>
      <c r="P6734" s="11"/>
      <c r="Q6734" s="8"/>
      <c r="R6734" s="6"/>
      <c r="S6734" s="3"/>
      <c r="T6734" s="3"/>
      <c r="U6734" s="7"/>
      <c r="V6734" s="436"/>
      <c r="W6734" s="6"/>
      <c r="X6734" s="8"/>
      <c r="Y6734" s="8"/>
    </row>
    <row r="6735" spans="3:25">
      <c r="C6735" s="4"/>
      <c r="D6735" s="4"/>
      <c r="E6735" s="5"/>
      <c r="F6735" s="6"/>
      <c r="G6735" s="31"/>
      <c r="H6735" s="6"/>
      <c r="I6735" s="9"/>
      <c r="J6735" s="24"/>
      <c r="K6735" s="9"/>
      <c r="L6735" s="25"/>
      <c r="M6735" s="7"/>
      <c r="N6735" s="8"/>
      <c r="O6735" s="11"/>
      <c r="P6735" s="11"/>
      <c r="Q6735" s="8"/>
      <c r="R6735" s="6"/>
      <c r="S6735" s="3"/>
      <c r="T6735" s="3"/>
      <c r="U6735" s="7"/>
      <c r="V6735" s="436"/>
      <c r="W6735" s="6"/>
      <c r="X6735" s="8"/>
      <c r="Y6735" s="8"/>
    </row>
    <row r="6736" spans="3:25">
      <c r="C6736" s="4"/>
      <c r="D6736" s="4"/>
      <c r="E6736" s="5"/>
      <c r="F6736" s="6"/>
      <c r="G6736" s="31"/>
      <c r="H6736" s="6"/>
      <c r="I6736" s="9"/>
      <c r="J6736" s="24"/>
      <c r="K6736" s="9"/>
      <c r="L6736" s="25"/>
      <c r="M6736" s="7"/>
      <c r="N6736" s="8"/>
      <c r="O6736" s="11"/>
      <c r="P6736" s="11"/>
      <c r="Q6736" s="8"/>
      <c r="R6736" s="6"/>
      <c r="S6736" s="3"/>
      <c r="T6736" s="3"/>
      <c r="U6736" s="7"/>
      <c r="V6736" s="436"/>
      <c r="W6736" s="6"/>
      <c r="X6736" s="8"/>
      <c r="Y6736" s="8"/>
    </row>
    <row r="6737" spans="3:25">
      <c r="C6737" s="4"/>
      <c r="D6737" s="4"/>
      <c r="E6737" s="5"/>
      <c r="F6737" s="6"/>
      <c r="G6737" s="31"/>
      <c r="H6737" s="6"/>
      <c r="I6737" s="9"/>
      <c r="J6737" s="24"/>
      <c r="K6737" s="9"/>
      <c r="L6737" s="25"/>
      <c r="M6737" s="7"/>
      <c r="N6737" s="8"/>
      <c r="O6737" s="11"/>
      <c r="P6737" s="11"/>
      <c r="Q6737" s="8"/>
      <c r="R6737" s="6"/>
      <c r="S6737" s="3"/>
      <c r="T6737" s="3"/>
      <c r="U6737" s="7"/>
      <c r="V6737" s="436"/>
      <c r="W6737" s="6"/>
      <c r="X6737" s="8"/>
      <c r="Y6737" s="8"/>
    </row>
    <row r="6738" spans="3:25">
      <c r="C6738" s="4"/>
      <c r="D6738" s="4"/>
      <c r="E6738" s="5"/>
      <c r="F6738" s="6"/>
      <c r="G6738" s="31"/>
      <c r="H6738" s="6"/>
      <c r="I6738" s="9"/>
      <c r="J6738" s="24"/>
      <c r="K6738" s="9"/>
      <c r="L6738" s="25"/>
      <c r="M6738" s="7"/>
      <c r="N6738" s="8"/>
      <c r="O6738" s="11"/>
      <c r="P6738" s="11"/>
      <c r="Q6738" s="8"/>
      <c r="R6738" s="6"/>
      <c r="S6738" s="3"/>
      <c r="T6738" s="3"/>
      <c r="U6738" s="7"/>
      <c r="V6738" s="436"/>
      <c r="W6738" s="6"/>
      <c r="X6738" s="8"/>
      <c r="Y6738" s="8"/>
    </row>
    <row r="6739" spans="3:25">
      <c r="C6739" s="4"/>
      <c r="D6739" s="4"/>
      <c r="E6739" s="5"/>
      <c r="F6739" s="6"/>
      <c r="G6739" s="31"/>
      <c r="H6739" s="6"/>
      <c r="I6739" s="9"/>
      <c r="J6739" s="24"/>
      <c r="K6739" s="9"/>
      <c r="L6739" s="25"/>
      <c r="M6739" s="7"/>
      <c r="N6739" s="8"/>
      <c r="O6739" s="11"/>
      <c r="P6739" s="11"/>
      <c r="Q6739" s="8"/>
      <c r="R6739" s="6"/>
      <c r="S6739" s="3"/>
      <c r="T6739" s="3"/>
      <c r="U6739" s="7"/>
      <c r="V6739" s="436"/>
      <c r="W6739" s="6"/>
      <c r="X6739" s="8"/>
      <c r="Y6739" s="8"/>
    </row>
    <row r="6740" spans="3:25">
      <c r="C6740" s="4"/>
      <c r="D6740" s="4"/>
      <c r="E6740" s="5"/>
      <c r="F6740" s="6"/>
      <c r="G6740" s="31"/>
      <c r="H6740" s="6"/>
      <c r="I6740" s="9"/>
      <c r="J6740" s="24"/>
      <c r="K6740" s="9"/>
      <c r="L6740" s="25"/>
      <c r="M6740" s="7"/>
      <c r="N6740" s="8"/>
      <c r="O6740" s="11"/>
      <c r="P6740" s="11"/>
      <c r="Q6740" s="8"/>
      <c r="R6740" s="6"/>
      <c r="S6740" s="3"/>
      <c r="T6740" s="3"/>
      <c r="U6740" s="7"/>
      <c r="V6740" s="436"/>
      <c r="W6740" s="6"/>
      <c r="X6740" s="8"/>
      <c r="Y6740" s="8"/>
    </row>
    <row r="6741" spans="3:25">
      <c r="C6741" s="4"/>
      <c r="D6741" s="4"/>
      <c r="E6741" s="5"/>
      <c r="F6741" s="6"/>
      <c r="G6741" s="31"/>
      <c r="H6741" s="6"/>
      <c r="I6741" s="9"/>
      <c r="J6741" s="24"/>
      <c r="K6741" s="9"/>
      <c r="L6741" s="25"/>
      <c r="M6741" s="7"/>
      <c r="N6741" s="8"/>
      <c r="O6741" s="11"/>
      <c r="P6741" s="11"/>
      <c r="Q6741" s="8"/>
      <c r="R6741" s="6"/>
      <c r="S6741" s="3"/>
      <c r="T6741" s="3"/>
      <c r="U6741" s="7"/>
      <c r="V6741" s="436"/>
      <c r="W6741" s="6"/>
      <c r="X6741" s="8"/>
      <c r="Y6741" s="8"/>
    </row>
    <row r="6742" spans="3:25">
      <c r="C6742" s="4"/>
      <c r="D6742" s="4"/>
      <c r="E6742" s="5"/>
      <c r="F6742" s="6"/>
      <c r="G6742" s="31"/>
      <c r="H6742" s="6"/>
      <c r="I6742" s="9"/>
      <c r="J6742" s="24"/>
      <c r="K6742" s="9"/>
      <c r="L6742" s="25"/>
      <c r="M6742" s="7"/>
      <c r="N6742" s="8"/>
      <c r="O6742" s="11"/>
      <c r="P6742" s="11"/>
      <c r="Q6742" s="8"/>
      <c r="R6742" s="6"/>
      <c r="S6742" s="3"/>
      <c r="T6742" s="3"/>
      <c r="U6742" s="7"/>
      <c r="V6742" s="436"/>
      <c r="W6742" s="6"/>
      <c r="X6742" s="8"/>
      <c r="Y6742" s="8"/>
    </row>
    <row r="6743" spans="3:25">
      <c r="C6743" s="4"/>
      <c r="D6743" s="4"/>
      <c r="E6743" s="5"/>
      <c r="F6743" s="6"/>
      <c r="G6743" s="31"/>
      <c r="H6743" s="6"/>
      <c r="I6743" s="9"/>
      <c r="J6743" s="24"/>
      <c r="K6743" s="9"/>
      <c r="L6743" s="25"/>
      <c r="M6743" s="25"/>
      <c r="N6743" s="8"/>
      <c r="O6743" s="11"/>
      <c r="P6743" s="11"/>
      <c r="Q6743" s="8"/>
      <c r="R6743" s="6"/>
      <c r="S6743" s="3"/>
      <c r="T6743" s="3"/>
      <c r="U6743" s="7"/>
      <c r="V6743" s="436"/>
      <c r="W6743" s="6"/>
      <c r="X6743" s="8"/>
      <c r="Y6743" s="8"/>
    </row>
    <row r="6744" spans="3:25">
      <c r="C6744" s="4"/>
      <c r="D6744" s="4"/>
      <c r="E6744" s="5"/>
      <c r="F6744" s="6"/>
      <c r="G6744" s="31"/>
      <c r="H6744" s="6"/>
      <c r="I6744" s="9"/>
      <c r="J6744" s="24"/>
      <c r="K6744" s="9"/>
      <c r="L6744" s="25"/>
      <c r="M6744" s="25"/>
      <c r="N6744" s="8"/>
      <c r="O6744" s="11"/>
      <c r="P6744" s="11"/>
      <c r="Q6744" s="8"/>
      <c r="R6744" s="6"/>
      <c r="S6744" s="3"/>
      <c r="T6744" s="3"/>
      <c r="U6744" s="7"/>
      <c r="V6744" s="436"/>
      <c r="W6744" s="6"/>
      <c r="X6744" s="8"/>
      <c r="Y6744" s="8"/>
    </row>
    <row r="6745" spans="3:25">
      <c r="C6745" s="4"/>
      <c r="D6745" s="4"/>
      <c r="E6745" s="5"/>
      <c r="F6745" s="6"/>
      <c r="G6745" s="31"/>
      <c r="H6745" s="6"/>
      <c r="I6745" s="9"/>
      <c r="J6745" s="24"/>
      <c r="K6745" s="9"/>
      <c r="L6745" s="25"/>
      <c r="M6745" s="25"/>
      <c r="N6745" s="8"/>
      <c r="O6745" s="11"/>
      <c r="P6745" s="11"/>
      <c r="Q6745" s="8"/>
      <c r="R6745" s="6"/>
      <c r="S6745" s="3"/>
      <c r="T6745" s="3"/>
      <c r="U6745" s="7"/>
      <c r="V6745" s="436"/>
      <c r="W6745" s="6"/>
      <c r="X6745" s="8"/>
      <c r="Y6745" s="8"/>
    </row>
    <row r="6746" spans="3:25">
      <c r="C6746" s="4"/>
      <c r="D6746" s="4"/>
      <c r="E6746" s="5"/>
      <c r="F6746" s="6"/>
      <c r="G6746" s="31"/>
      <c r="H6746" s="6"/>
      <c r="I6746" s="9"/>
      <c r="J6746" s="24"/>
      <c r="K6746" s="9"/>
      <c r="L6746" s="25"/>
      <c r="M6746" s="7"/>
      <c r="N6746" s="8"/>
      <c r="O6746" s="11"/>
      <c r="P6746" s="11"/>
      <c r="Q6746" s="8"/>
      <c r="R6746" s="6"/>
      <c r="S6746" s="3"/>
      <c r="T6746" s="3"/>
      <c r="U6746" s="7"/>
      <c r="V6746" s="436"/>
      <c r="W6746" s="6"/>
      <c r="X6746" s="8"/>
      <c r="Y6746" s="8"/>
    </row>
    <row r="6747" spans="3:25">
      <c r="C6747" s="4"/>
      <c r="D6747" s="4"/>
      <c r="E6747" s="5"/>
      <c r="F6747" s="6"/>
      <c r="G6747" s="31"/>
      <c r="H6747" s="6"/>
      <c r="I6747" s="9"/>
      <c r="J6747" s="24"/>
      <c r="K6747" s="9"/>
      <c r="L6747" s="25"/>
      <c r="M6747" s="7"/>
      <c r="N6747" s="8"/>
      <c r="O6747" s="11"/>
      <c r="P6747" s="11"/>
      <c r="Q6747" s="8"/>
      <c r="R6747" s="6"/>
      <c r="S6747" s="3"/>
      <c r="T6747" s="3"/>
      <c r="U6747" s="7"/>
      <c r="V6747" s="436"/>
      <c r="W6747" s="6"/>
      <c r="X6747" s="8"/>
      <c r="Y6747" s="8"/>
    </row>
    <row r="6748" spans="3:25">
      <c r="C6748" s="4"/>
      <c r="D6748" s="4"/>
      <c r="E6748" s="5"/>
      <c r="F6748" s="6"/>
      <c r="G6748" s="31"/>
      <c r="H6748" s="6"/>
      <c r="I6748" s="9"/>
      <c r="J6748" s="24"/>
      <c r="K6748" s="9"/>
      <c r="L6748" s="25"/>
      <c r="M6748" s="7"/>
      <c r="N6748" s="8"/>
      <c r="O6748" s="11"/>
      <c r="P6748" s="11"/>
      <c r="Q6748" s="8"/>
      <c r="R6748" s="6"/>
      <c r="S6748" s="3"/>
      <c r="T6748" s="3"/>
      <c r="U6748" s="7"/>
      <c r="V6748" s="436"/>
      <c r="W6748" s="6"/>
      <c r="X6748" s="8"/>
      <c r="Y6748" s="8"/>
    </row>
    <row r="6749" spans="3:25">
      <c r="C6749" s="4"/>
      <c r="D6749" s="4"/>
      <c r="E6749" s="5"/>
      <c r="F6749" s="6"/>
      <c r="G6749" s="31"/>
      <c r="H6749" s="6"/>
      <c r="I6749" s="9"/>
      <c r="J6749" s="24"/>
      <c r="K6749" s="9"/>
      <c r="L6749" s="25"/>
      <c r="M6749" s="7"/>
      <c r="N6749" s="8"/>
      <c r="O6749" s="11"/>
      <c r="P6749" s="11"/>
      <c r="Q6749" s="8"/>
      <c r="R6749" s="6"/>
      <c r="S6749" s="3"/>
      <c r="T6749" s="3"/>
      <c r="U6749" s="7"/>
      <c r="V6749" s="436"/>
      <c r="W6749" s="6"/>
      <c r="X6749" s="8"/>
      <c r="Y6749" s="8"/>
    </row>
    <row r="6750" spans="3:25">
      <c r="C6750" s="4"/>
      <c r="D6750" s="4"/>
      <c r="E6750" s="5"/>
      <c r="F6750" s="6"/>
      <c r="G6750" s="31"/>
      <c r="H6750" s="6"/>
      <c r="I6750" s="9"/>
      <c r="J6750" s="24"/>
      <c r="K6750" s="9"/>
      <c r="L6750" s="25"/>
      <c r="M6750" s="7"/>
      <c r="N6750" s="8"/>
      <c r="O6750" s="11"/>
      <c r="P6750" s="11"/>
      <c r="Q6750" s="8"/>
      <c r="R6750" s="6"/>
      <c r="S6750" s="3"/>
      <c r="T6750" s="3"/>
      <c r="U6750" s="7"/>
      <c r="V6750" s="436"/>
      <c r="W6750" s="6"/>
      <c r="X6750" s="8"/>
      <c r="Y6750" s="8"/>
    </row>
    <row r="6751" spans="3:25">
      <c r="C6751" s="4"/>
      <c r="D6751" s="4"/>
      <c r="E6751" s="5"/>
      <c r="F6751" s="6"/>
      <c r="G6751" s="31"/>
      <c r="H6751" s="6"/>
      <c r="I6751" s="9"/>
      <c r="J6751" s="24"/>
      <c r="K6751" s="9"/>
      <c r="L6751" s="25"/>
      <c r="M6751" s="7"/>
      <c r="N6751" s="8"/>
      <c r="O6751" s="11"/>
      <c r="P6751" s="11"/>
      <c r="Q6751" s="8"/>
      <c r="R6751" s="6"/>
      <c r="S6751" s="3"/>
      <c r="T6751" s="3"/>
      <c r="U6751" s="7"/>
      <c r="V6751" s="436"/>
      <c r="W6751" s="6"/>
      <c r="X6751" s="8"/>
      <c r="Y6751" s="8"/>
    </row>
    <row r="6752" spans="3:25">
      <c r="C6752" s="4"/>
      <c r="D6752" s="4"/>
      <c r="E6752" s="5"/>
      <c r="F6752" s="6"/>
      <c r="G6752" s="31"/>
      <c r="H6752" s="6"/>
      <c r="I6752" s="9"/>
      <c r="J6752" s="24"/>
      <c r="K6752" s="9"/>
      <c r="L6752" s="25"/>
      <c r="M6752" s="7"/>
      <c r="N6752" s="8"/>
      <c r="O6752" s="11"/>
      <c r="P6752" s="11"/>
      <c r="Q6752" s="8"/>
      <c r="R6752" s="6"/>
      <c r="S6752" s="3"/>
      <c r="T6752" s="3"/>
      <c r="U6752" s="7"/>
      <c r="V6752" s="436"/>
      <c r="W6752" s="6"/>
      <c r="X6752" s="8"/>
      <c r="Y6752" s="8"/>
    </row>
    <row r="6753" spans="3:25">
      <c r="C6753" s="4"/>
      <c r="D6753" s="4"/>
      <c r="E6753" s="5"/>
      <c r="F6753" s="6"/>
      <c r="G6753" s="31"/>
      <c r="H6753" s="6"/>
      <c r="I6753" s="9"/>
      <c r="J6753" s="24"/>
      <c r="K6753" s="9"/>
      <c r="L6753" s="25"/>
      <c r="M6753" s="7"/>
      <c r="N6753" s="8"/>
      <c r="O6753" s="11"/>
      <c r="P6753" s="11"/>
      <c r="Q6753" s="8"/>
      <c r="R6753" s="6"/>
      <c r="S6753" s="3"/>
      <c r="T6753" s="3"/>
      <c r="U6753" s="7"/>
      <c r="V6753" s="436"/>
      <c r="W6753" s="6"/>
      <c r="X6753" s="8"/>
      <c r="Y6753" s="8"/>
    </row>
    <row r="6754" spans="3:25">
      <c r="C6754" s="4"/>
      <c r="D6754" s="4"/>
      <c r="E6754" s="5"/>
      <c r="F6754" s="6"/>
      <c r="G6754" s="31"/>
      <c r="H6754" s="6"/>
      <c r="I6754" s="9"/>
      <c r="J6754" s="24"/>
      <c r="K6754" s="9"/>
      <c r="L6754" s="25"/>
      <c r="M6754" s="7"/>
      <c r="N6754" s="8"/>
      <c r="O6754" s="11"/>
      <c r="P6754" s="11"/>
      <c r="Q6754" s="8"/>
      <c r="R6754" s="6"/>
      <c r="S6754" s="3"/>
      <c r="T6754" s="3"/>
      <c r="U6754" s="7"/>
      <c r="V6754" s="436"/>
      <c r="W6754" s="6"/>
      <c r="X6754" s="8"/>
      <c r="Y6754" s="8"/>
    </row>
    <row r="6755" spans="3:25">
      <c r="C6755" s="4"/>
      <c r="D6755" s="4"/>
      <c r="E6755" s="5"/>
      <c r="F6755" s="6"/>
      <c r="G6755" s="31"/>
      <c r="H6755" s="6"/>
      <c r="I6755" s="9"/>
      <c r="J6755" s="24"/>
      <c r="K6755" s="9"/>
      <c r="L6755" s="25"/>
      <c r="M6755" s="7"/>
      <c r="N6755" s="8"/>
      <c r="O6755" s="11"/>
      <c r="P6755" s="11"/>
      <c r="Q6755" s="8"/>
      <c r="R6755" s="6"/>
      <c r="S6755" s="3"/>
      <c r="T6755" s="3"/>
      <c r="U6755" s="7"/>
      <c r="V6755" s="436"/>
      <c r="W6755" s="6"/>
      <c r="X6755" s="8"/>
      <c r="Y6755" s="8"/>
    </row>
    <row r="6756" spans="3:25">
      <c r="C6756" s="4"/>
      <c r="D6756" s="4"/>
      <c r="E6756" s="5"/>
      <c r="F6756" s="6"/>
      <c r="G6756" s="31"/>
      <c r="H6756" s="6"/>
      <c r="I6756" s="9"/>
      <c r="J6756" s="24"/>
      <c r="K6756" s="9"/>
      <c r="L6756" s="25"/>
      <c r="M6756" s="46"/>
      <c r="N6756" s="8"/>
      <c r="O6756" s="11"/>
      <c r="P6756" s="11"/>
      <c r="Q6756" s="8"/>
      <c r="R6756" s="6"/>
      <c r="S6756" s="3"/>
      <c r="T6756" s="3"/>
      <c r="U6756" s="7"/>
      <c r="V6756" s="436"/>
      <c r="W6756" s="6"/>
      <c r="X6756" s="8"/>
      <c r="Y6756" s="8"/>
    </row>
    <row r="6757" spans="3:25">
      <c r="C6757" s="4"/>
      <c r="D6757" s="4"/>
      <c r="E6757" s="5"/>
      <c r="F6757" s="6"/>
      <c r="G6757" s="31"/>
      <c r="H6757" s="6"/>
      <c r="I6757" s="9"/>
      <c r="J6757" s="24"/>
      <c r="K6757" s="9"/>
      <c r="L6757" s="25"/>
      <c r="M6757" s="46"/>
      <c r="N6757" s="8"/>
      <c r="O6757" s="11"/>
      <c r="P6757" s="11"/>
      <c r="Q6757" s="8"/>
      <c r="R6757" s="6"/>
      <c r="S6757" s="3"/>
      <c r="T6757" s="3"/>
      <c r="U6757" s="7"/>
      <c r="V6757" s="436"/>
      <c r="W6757" s="6"/>
      <c r="X6757" s="8"/>
      <c r="Y6757" s="8"/>
    </row>
    <row r="6758" spans="3:25">
      <c r="C6758" s="4"/>
      <c r="D6758" s="4"/>
      <c r="E6758" s="5"/>
      <c r="F6758" s="6"/>
      <c r="G6758" s="31"/>
      <c r="H6758" s="6"/>
      <c r="I6758" s="9"/>
      <c r="J6758" s="24"/>
      <c r="K6758" s="9"/>
      <c r="L6758" s="25"/>
      <c r="M6758" s="46"/>
      <c r="N6758" s="8"/>
      <c r="O6758" s="11"/>
      <c r="P6758" s="11"/>
      <c r="Q6758" s="8"/>
      <c r="R6758" s="6"/>
      <c r="S6758" s="3"/>
      <c r="T6758" s="3"/>
      <c r="U6758" s="7"/>
      <c r="V6758" s="436"/>
      <c r="W6758" s="6"/>
      <c r="X6758" s="8"/>
      <c r="Y6758" s="8"/>
    </row>
    <row r="6759" spans="3:25">
      <c r="C6759" s="4"/>
      <c r="D6759" s="4"/>
      <c r="E6759" s="5"/>
      <c r="F6759" s="6"/>
      <c r="G6759" s="31"/>
      <c r="H6759" s="6"/>
      <c r="I6759" s="9"/>
      <c r="J6759" s="24"/>
      <c r="K6759" s="9"/>
      <c r="L6759" s="25"/>
      <c r="M6759" s="46"/>
      <c r="N6759" s="8"/>
      <c r="O6759" s="11"/>
      <c r="P6759" s="11"/>
      <c r="Q6759" s="8"/>
      <c r="R6759" s="6"/>
      <c r="S6759" s="3"/>
      <c r="T6759" s="3"/>
      <c r="U6759" s="7"/>
      <c r="V6759" s="436"/>
      <c r="W6759" s="6"/>
      <c r="X6759" s="8"/>
      <c r="Y6759" s="8"/>
    </row>
    <row r="6760" spans="3:25">
      <c r="C6760" s="4"/>
      <c r="D6760" s="4"/>
      <c r="E6760" s="5"/>
      <c r="F6760" s="6"/>
      <c r="G6760" s="31"/>
      <c r="H6760" s="6"/>
      <c r="I6760" s="9"/>
      <c r="J6760" s="24"/>
      <c r="K6760" s="9"/>
      <c r="L6760" s="25"/>
      <c r="M6760" s="46"/>
      <c r="N6760" s="8"/>
      <c r="O6760" s="11"/>
      <c r="P6760" s="11"/>
      <c r="Q6760" s="8"/>
      <c r="R6760" s="6"/>
      <c r="S6760" s="3"/>
      <c r="T6760" s="3"/>
      <c r="U6760" s="7"/>
      <c r="V6760" s="436"/>
      <c r="W6760" s="6"/>
      <c r="X6760" s="8"/>
      <c r="Y6760" s="8"/>
    </row>
    <row r="6761" spans="3:25">
      <c r="C6761" s="4"/>
      <c r="D6761" s="4"/>
      <c r="E6761" s="5"/>
      <c r="F6761" s="6"/>
      <c r="G6761" s="31"/>
      <c r="H6761" s="6"/>
      <c r="I6761" s="9"/>
      <c r="J6761" s="24"/>
      <c r="K6761" s="9"/>
      <c r="L6761" s="25"/>
      <c r="M6761" s="46"/>
      <c r="N6761" s="8"/>
      <c r="O6761" s="11"/>
      <c r="P6761" s="11"/>
      <c r="Q6761" s="8"/>
      <c r="R6761" s="6"/>
      <c r="S6761" s="3"/>
      <c r="T6761" s="3"/>
      <c r="U6761" s="7"/>
      <c r="V6761" s="436"/>
      <c r="W6761" s="6"/>
      <c r="X6761" s="8"/>
      <c r="Y6761" s="8"/>
    </row>
    <row r="6762" spans="3:25">
      <c r="C6762" s="4"/>
      <c r="D6762" s="4"/>
      <c r="E6762" s="5"/>
      <c r="F6762" s="6"/>
      <c r="G6762" s="31"/>
      <c r="H6762" s="6"/>
      <c r="I6762" s="9"/>
      <c r="J6762" s="24"/>
      <c r="K6762" s="9"/>
      <c r="L6762" s="25"/>
      <c r="M6762" s="46"/>
      <c r="N6762" s="8"/>
      <c r="O6762" s="11"/>
      <c r="P6762" s="11"/>
      <c r="Q6762" s="8"/>
      <c r="R6762" s="6"/>
      <c r="S6762" s="3"/>
      <c r="T6762" s="3"/>
      <c r="U6762" s="7"/>
      <c r="V6762" s="436"/>
      <c r="W6762" s="6"/>
      <c r="X6762" s="8"/>
      <c r="Y6762" s="8"/>
    </row>
    <row r="6763" spans="3:25">
      <c r="C6763" s="4"/>
      <c r="D6763" s="4"/>
      <c r="E6763" s="5"/>
      <c r="F6763" s="6"/>
      <c r="G6763" s="31"/>
      <c r="H6763" s="6"/>
      <c r="I6763" s="9"/>
      <c r="J6763" s="24"/>
      <c r="K6763" s="9"/>
      <c r="L6763" s="25"/>
      <c r="M6763" s="46"/>
      <c r="N6763" s="8"/>
      <c r="O6763" s="11"/>
      <c r="P6763" s="11"/>
      <c r="Q6763" s="8"/>
      <c r="R6763" s="6"/>
      <c r="S6763" s="3"/>
      <c r="T6763" s="3"/>
      <c r="U6763" s="7"/>
      <c r="V6763" s="436"/>
      <c r="W6763" s="6"/>
      <c r="X6763" s="8"/>
      <c r="Y6763" s="8"/>
    </row>
    <row r="6764" spans="3:25">
      <c r="C6764" s="4"/>
      <c r="D6764" s="4"/>
      <c r="E6764" s="5"/>
      <c r="F6764" s="6"/>
      <c r="G6764" s="31"/>
      <c r="H6764" s="6"/>
      <c r="I6764" s="9"/>
      <c r="J6764" s="24"/>
      <c r="K6764" s="9"/>
      <c r="L6764" s="25"/>
      <c r="M6764" s="46"/>
      <c r="N6764" s="8"/>
      <c r="O6764" s="11"/>
      <c r="P6764" s="11"/>
      <c r="Q6764" s="8"/>
      <c r="R6764" s="6"/>
      <c r="S6764" s="3"/>
      <c r="T6764" s="3"/>
      <c r="U6764" s="7"/>
      <c r="V6764" s="436"/>
      <c r="W6764" s="6"/>
      <c r="X6764" s="8"/>
      <c r="Y6764" s="8"/>
    </row>
    <row r="6765" spans="3:25">
      <c r="C6765" s="4"/>
      <c r="D6765" s="4"/>
      <c r="E6765" s="5"/>
      <c r="F6765" s="6"/>
      <c r="G6765" s="31"/>
      <c r="H6765" s="6"/>
      <c r="I6765" s="9"/>
      <c r="J6765" s="24"/>
      <c r="K6765" s="9"/>
      <c r="L6765" s="25"/>
      <c r="M6765" s="46"/>
      <c r="N6765" s="8"/>
      <c r="O6765" s="11"/>
      <c r="P6765" s="11"/>
      <c r="Q6765" s="8"/>
      <c r="R6765" s="6"/>
      <c r="S6765" s="3"/>
      <c r="T6765" s="3"/>
      <c r="U6765" s="7"/>
      <c r="V6765" s="436"/>
      <c r="W6765" s="6"/>
      <c r="X6765" s="8"/>
      <c r="Y6765" s="8"/>
    </row>
    <row r="6766" spans="3:25">
      <c r="C6766" s="4"/>
      <c r="D6766" s="4"/>
      <c r="E6766" s="5"/>
      <c r="F6766" s="6"/>
      <c r="G6766" s="31"/>
      <c r="H6766" s="6"/>
      <c r="I6766" s="9"/>
      <c r="J6766" s="24"/>
      <c r="K6766" s="9"/>
      <c r="L6766" s="25"/>
      <c r="M6766" s="46"/>
      <c r="N6766" s="8"/>
      <c r="O6766" s="11"/>
      <c r="P6766" s="11"/>
      <c r="Q6766" s="8"/>
      <c r="R6766" s="6"/>
      <c r="S6766" s="3"/>
      <c r="T6766" s="3"/>
      <c r="U6766" s="430"/>
      <c r="V6766" s="436"/>
      <c r="W6766" s="6"/>
      <c r="X6766" s="8"/>
      <c r="Y6766" s="8"/>
    </row>
    <row r="6767" spans="3:25">
      <c r="C6767" s="4"/>
      <c r="D6767" s="4"/>
      <c r="E6767" s="5"/>
      <c r="F6767" s="6"/>
      <c r="G6767" s="31"/>
      <c r="H6767" s="6"/>
      <c r="I6767" s="9"/>
      <c r="J6767" s="24"/>
      <c r="K6767" s="9"/>
      <c r="L6767" s="25"/>
      <c r="M6767" s="46"/>
      <c r="N6767" s="8"/>
      <c r="O6767" s="11"/>
      <c r="P6767" s="11"/>
      <c r="Q6767" s="8"/>
      <c r="R6767" s="6"/>
      <c r="S6767" s="3"/>
      <c r="T6767" s="3"/>
      <c r="U6767" s="430"/>
      <c r="V6767" s="436"/>
      <c r="W6767" s="6"/>
      <c r="X6767" s="8"/>
      <c r="Y6767" s="8"/>
    </row>
    <row r="6768" spans="3:25">
      <c r="C6768" s="4"/>
      <c r="D6768" s="4"/>
      <c r="E6768" s="5"/>
      <c r="F6768" s="6"/>
      <c r="G6768" s="31"/>
      <c r="H6768" s="6"/>
      <c r="I6768" s="9"/>
      <c r="J6768" s="24"/>
      <c r="K6768" s="9"/>
      <c r="L6768" s="25"/>
      <c r="M6768" s="46"/>
      <c r="N6768" s="8"/>
      <c r="O6768" s="11"/>
      <c r="P6768" s="11"/>
      <c r="Q6768" s="8"/>
      <c r="R6768" s="6"/>
      <c r="S6768" s="3"/>
      <c r="T6768" s="3"/>
      <c r="U6768" s="7"/>
      <c r="V6768" s="436"/>
      <c r="W6768" s="6"/>
      <c r="X6768" s="8"/>
      <c r="Y6768" s="8"/>
    </row>
    <row r="6769" spans="3:25">
      <c r="C6769" s="4"/>
      <c r="D6769" s="4"/>
      <c r="E6769" s="5"/>
      <c r="F6769" s="6"/>
      <c r="G6769" s="31"/>
      <c r="H6769" s="6"/>
      <c r="I6769" s="9"/>
      <c r="J6769" s="24"/>
      <c r="K6769" s="9"/>
      <c r="L6769" s="25"/>
      <c r="M6769" s="46"/>
      <c r="N6769" s="8"/>
      <c r="O6769" s="11"/>
      <c r="P6769" s="11"/>
      <c r="Q6769" s="8"/>
      <c r="R6769" s="6"/>
      <c r="S6769" s="3"/>
      <c r="T6769" s="3"/>
      <c r="U6769" s="7"/>
      <c r="V6769" s="436"/>
      <c r="W6769" s="6"/>
      <c r="X6769" s="8"/>
      <c r="Y6769" s="8"/>
    </row>
    <row r="6770" spans="3:25">
      <c r="C6770" s="4"/>
      <c r="D6770" s="4"/>
      <c r="E6770" s="5"/>
      <c r="F6770" s="6"/>
      <c r="G6770" s="31"/>
      <c r="H6770" s="6"/>
      <c r="I6770" s="9"/>
      <c r="J6770" s="24"/>
      <c r="K6770" s="9"/>
      <c r="L6770" s="25"/>
      <c r="M6770" s="46"/>
      <c r="N6770" s="8"/>
      <c r="O6770" s="11"/>
      <c r="P6770" s="11"/>
      <c r="Q6770" s="8"/>
      <c r="R6770" s="6"/>
      <c r="S6770" s="3"/>
      <c r="T6770" s="3"/>
      <c r="U6770" s="7"/>
      <c r="V6770" s="436"/>
      <c r="W6770" s="6"/>
      <c r="X6770" s="8"/>
      <c r="Y6770" s="8"/>
    </row>
    <row r="6771" spans="3:25">
      <c r="C6771" s="4"/>
      <c r="D6771" s="4"/>
      <c r="E6771" s="5"/>
      <c r="F6771" s="6"/>
      <c r="G6771" s="31"/>
      <c r="H6771" s="6"/>
      <c r="I6771" s="9"/>
      <c r="J6771" s="24"/>
      <c r="K6771" s="9"/>
      <c r="L6771" s="25"/>
      <c r="M6771" s="46"/>
      <c r="N6771" s="8"/>
      <c r="O6771" s="11"/>
      <c r="P6771" s="11"/>
      <c r="Q6771" s="8"/>
      <c r="R6771" s="6"/>
      <c r="S6771" s="3"/>
      <c r="T6771" s="3"/>
      <c r="U6771" s="7"/>
      <c r="V6771" s="436"/>
      <c r="W6771" s="6"/>
      <c r="X6771" s="8"/>
      <c r="Y6771" s="8"/>
    </row>
    <row r="6772" spans="3:25">
      <c r="C6772" s="4"/>
      <c r="D6772" s="4"/>
      <c r="E6772" s="5"/>
      <c r="F6772" s="6"/>
      <c r="G6772" s="31"/>
      <c r="H6772" s="6"/>
      <c r="I6772" s="9"/>
      <c r="J6772" s="24"/>
      <c r="K6772" s="9"/>
      <c r="L6772" s="25"/>
      <c r="M6772" s="46"/>
      <c r="N6772" s="8"/>
      <c r="O6772" s="11"/>
      <c r="P6772" s="11"/>
      <c r="Q6772" s="8"/>
      <c r="R6772" s="6"/>
      <c r="S6772" s="3"/>
      <c r="T6772" s="3"/>
      <c r="U6772" s="7"/>
      <c r="V6772" s="436"/>
      <c r="W6772" s="6"/>
      <c r="X6772" s="8"/>
      <c r="Y6772" s="8"/>
    </row>
    <row r="6773" spans="3:25">
      <c r="C6773" s="4"/>
      <c r="D6773" s="4"/>
      <c r="E6773" s="5"/>
      <c r="F6773" s="6"/>
      <c r="G6773" s="31"/>
      <c r="H6773" s="6"/>
      <c r="I6773" s="9"/>
      <c r="J6773" s="24"/>
      <c r="K6773" s="9"/>
      <c r="L6773" s="25"/>
      <c r="M6773" s="46"/>
      <c r="N6773" s="8"/>
      <c r="O6773" s="11"/>
      <c r="P6773" s="11"/>
      <c r="Q6773" s="8"/>
      <c r="R6773" s="6"/>
      <c r="S6773" s="3"/>
      <c r="T6773" s="3"/>
      <c r="U6773" s="7"/>
      <c r="V6773" s="436"/>
      <c r="W6773" s="6"/>
      <c r="X6773" s="8"/>
      <c r="Y6773" s="8"/>
    </row>
    <row r="6774" spans="3:25">
      <c r="C6774" s="4"/>
      <c r="D6774" s="4"/>
      <c r="E6774" s="5"/>
      <c r="F6774" s="6"/>
      <c r="G6774" s="31"/>
      <c r="H6774" s="6"/>
      <c r="I6774" s="9"/>
      <c r="J6774" s="24"/>
      <c r="K6774" s="9"/>
      <c r="L6774" s="25"/>
      <c r="M6774" s="46"/>
      <c r="N6774" s="8"/>
      <c r="O6774" s="11"/>
      <c r="P6774" s="11"/>
      <c r="Q6774" s="8"/>
      <c r="R6774" s="6"/>
      <c r="S6774" s="3"/>
      <c r="T6774" s="3"/>
      <c r="U6774" s="7"/>
      <c r="V6774" s="436"/>
      <c r="W6774" s="6"/>
      <c r="X6774" s="8"/>
      <c r="Y6774" s="8"/>
    </row>
    <row r="6775" spans="3:25">
      <c r="C6775" s="4"/>
      <c r="D6775" s="4"/>
      <c r="E6775" s="5"/>
      <c r="F6775" s="6"/>
      <c r="G6775" s="31"/>
      <c r="H6775" s="6"/>
      <c r="I6775" s="9"/>
      <c r="J6775" s="24"/>
      <c r="K6775" s="9"/>
      <c r="L6775" s="25"/>
      <c r="M6775" s="46"/>
      <c r="N6775" s="8"/>
      <c r="O6775" s="11"/>
      <c r="P6775" s="11"/>
      <c r="Q6775" s="8"/>
      <c r="R6775" s="6"/>
      <c r="S6775" s="3"/>
      <c r="T6775" s="3"/>
      <c r="U6775" s="7"/>
      <c r="V6775" s="436"/>
      <c r="W6775" s="6"/>
      <c r="X6775" s="8"/>
      <c r="Y6775" s="8"/>
    </row>
    <row r="6776" spans="3:25">
      <c r="C6776" s="4"/>
      <c r="D6776" s="4"/>
      <c r="E6776" s="5"/>
      <c r="F6776" s="6"/>
      <c r="G6776" s="31"/>
      <c r="H6776" s="6"/>
      <c r="I6776" s="9"/>
      <c r="J6776" s="24"/>
      <c r="K6776" s="9"/>
      <c r="L6776" s="25"/>
      <c r="M6776" s="46"/>
      <c r="N6776" s="8"/>
      <c r="O6776" s="11"/>
      <c r="P6776" s="11"/>
      <c r="Q6776" s="8"/>
      <c r="R6776" s="6"/>
      <c r="S6776" s="3"/>
      <c r="T6776" s="3"/>
      <c r="U6776" s="7"/>
      <c r="V6776" s="436"/>
      <c r="W6776" s="6"/>
      <c r="X6776" s="8"/>
      <c r="Y6776" s="8"/>
    </row>
    <row r="6777" spans="3:25">
      <c r="C6777" s="4"/>
      <c r="D6777" s="4"/>
      <c r="E6777" s="5"/>
      <c r="F6777" s="6"/>
      <c r="G6777" s="31"/>
      <c r="H6777" s="6"/>
      <c r="I6777" s="9"/>
      <c r="J6777" s="24"/>
      <c r="K6777" s="9"/>
      <c r="L6777" s="25"/>
      <c r="M6777" s="46"/>
      <c r="N6777" s="8"/>
      <c r="O6777" s="11"/>
      <c r="P6777" s="11"/>
      <c r="Q6777" s="8"/>
      <c r="R6777" s="6"/>
      <c r="S6777" s="3"/>
      <c r="T6777" s="3"/>
      <c r="U6777" s="7"/>
      <c r="V6777" s="436"/>
      <c r="W6777" s="6"/>
      <c r="X6777" s="8"/>
      <c r="Y6777" s="8"/>
    </row>
    <row r="6778" spans="3:25">
      <c r="C6778" s="4"/>
      <c r="D6778" s="4"/>
      <c r="E6778" s="5"/>
      <c r="F6778" s="6"/>
      <c r="G6778" s="31"/>
      <c r="H6778" s="6"/>
      <c r="I6778" s="9"/>
      <c r="J6778" s="24"/>
      <c r="K6778" s="9"/>
      <c r="L6778" s="25"/>
      <c r="M6778" s="46"/>
      <c r="N6778" s="8"/>
      <c r="O6778" s="11"/>
      <c r="P6778" s="11"/>
      <c r="Q6778" s="8"/>
      <c r="R6778" s="6"/>
      <c r="S6778" s="3"/>
      <c r="T6778" s="3"/>
      <c r="U6778" s="7"/>
      <c r="V6778" s="436"/>
      <c r="W6778" s="6"/>
      <c r="X6778" s="8"/>
      <c r="Y6778" s="8"/>
    </row>
    <row r="6779" spans="3:25">
      <c r="C6779" s="4"/>
      <c r="D6779" s="4"/>
      <c r="E6779" s="5"/>
      <c r="F6779" s="6"/>
      <c r="G6779" s="31"/>
      <c r="H6779" s="6"/>
      <c r="I6779" s="9"/>
      <c r="J6779" s="24"/>
      <c r="K6779" s="9"/>
      <c r="L6779" s="25"/>
      <c r="M6779" s="46"/>
      <c r="N6779" s="8"/>
      <c r="O6779" s="11"/>
      <c r="P6779" s="11"/>
      <c r="Q6779" s="8"/>
      <c r="R6779" s="6"/>
      <c r="S6779" s="3"/>
      <c r="T6779" s="3"/>
      <c r="U6779" s="7"/>
      <c r="V6779" s="436"/>
      <c r="W6779" s="6"/>
      <c r="X6779" s="8"/>
      <c r="Y6779" s="8"/>
    </row>
    <row r="6780" spans="3:25">
      <c r="C6780" s="4"/>
      <c r="D6780" s="4"/>
      <c r="E6780" s="5"/>
      <c r="F6780" s="6"/>
      <c r="G6780" s="31"/>
      <c r="H6780" s="6"/>
      <c r="I6780" s="9"/>
      <c r="J6780" s="24"/>
      <c r="K6780" s="9"/>
      <c r="L6780" s="25"/>
      <c r="M6780" s="46"/>
      <c r="N6780" s="8"/>
      <c r="O6780" s="11"/>
      <c r="P6780" s="11"/>
      <c r="Q6780" s="8"/>
      <c r="R6780" s="6"/>
      <c r="S6780" s="3"/>
      <c r="T6780" s="3"/>
      <c r="U6780" s="7"/>
      <c r="V6780" s="436"/>
      <c r="W6780" s="6"/>
      <c r="X6780" s="8"/>
      <c r="Y6780" s="8"/>
    </row>
    <row r="6781" spans="3:25">
      <c r="C6781" s="4"/>
      <c r="D6781" s="4"/>
      <c r="E6781" s="5"/>
      <c r="F6781" s="6"/>
      <c r="G6781" s="31"/>
      <c r="H6781" s="6"/>
      <c r="I6781" s="9"/>
      <c r="J6781" s="24"/>
      <c r="K6781" s="9"/>
      <c r="L6781" s="25"/>
      <c r="M6781" s="46"/>
      <c r="N6781" s="8"/>
      <c r="O6781" s="11"/>
      <c r="P6781" s="11"/>
      <c r="Q6781" s="8"/>
      <c r="R6781" s="6"/>
      <c r="S6781" s="3"/>
      <c r="T6781" s="3"/>
      <c r="U6781" s="7"/>
      <c r="V6781" s="436"/>
      <c r="W6781" s="6"/>
      <c r="X6781" s="8"/>
      <c r="Y6781" s="8"/>
    </row>
    <row r="6782" spans="3:25">
      <c r="C6782" s="4"/>
      <c r="D6782" s="4"/>
      <c r="E6782" s="5"/>
      <c r="F6782" s="6"/>
      <c r="G6782" s="31"/>
      <c r="H6782" s="6"/>
      <c r="I6782" s="9"/>
      <c r="J6782" s="24"/>
      <c r="K6782" s="9"/>
      <c r="L6782" s="25"/>
      <c r="M6782" s="46"/>
      <c r="N6782" s="8"/>
      <c r="O6782" s="11"/>
      <c r="P6782" s="11"/>
      <c r="Q6782" s="8"/>
      <c r="R6782" s="6"/>
      <c r="S6782" s="3"/>
      <c r="T6782" s="3"/>
      <c r="U6782" s="7"/>
      <c r="V6782" s="436"/>
      <c r="W6782" s="6"/>
      <c r="X6782" s="8"/>
      <c r="Y6782" s="8"/>
    </row>
    <row r="6783" spans="3:25">
      <c r="C6783" s="4"/>
      <c r="D6783" s="4"/>
      <c r="E6783" s="5"/>
      <c r="F6783" s="6"/>
      <c r="G6783" s="31"/>
      <c r="H6783" s="6"/>
      <c r="I6783" s="9"/>
      <c r="J6783" s="24"/>
      <c r="K6783" s="9"/>
      <c r="L6783" s="25"/>
      <c r="M6783" s="46"/>
      <c r="N6783" s="8"/>
      <c r="O6783" s="11"/>
      <c r="P6783" s="11"/>
      <c r="Q6783" s="8"/>
      <c r="R6783" s="6"/>
      <c r="S6783" s="3"/>
      <c r="T6783" s="3"/>
      <c r="U6783" s="7"/>
      <c r="V6783" s="436"/>
      <c r="W6783" s="6"/>
      <c r="X6783" s="8"/>
      <c r="Y6783" s="8"/>
    </row>
    <row r="6784" spans="3:25">
      <c r="C6784" s="4"/>
      <c r="D6784" s="4"/>
      <c r="E6784" s="5"/>
      <c r="F6784" s="6"/>
      <c r="G6784" s="31"/>
      <c r="H6784" s="6"/>
      <c r="I6784" s="9"/>
      <c r="J6784" s="24"/>
      <c r="K6784" s="9"/>
      <c r="L6784" s="25"/>
      <c r="M6784" s="46"/>
      <c r="N6784" s="8"/>
      <c r="O6784" s="11"/>
      <c r="P6784" s="11"/>
      <c r="Q6784" s="8"/>
      <c r="R6784" s="6"/>
      <c r="S6784" s="3"/>
      <c r="T6784" s="3"/>
      <c r="U6784" s="7"/>
      <c r="V6784" s="436"/>
      <c r="W6784" s="6"/>
      <c r="X6784" s="8"/>
      <c r="Y6784" s="8"/>
    </row>
    <row r="6785" spans="3:25">
      <c r="C6785" s="4"/>
      <c r="D6785" s="4"/>
      <c r="E6785" s="5"/>
      <c r="F6785" s="6"/>
      <c r="G6785" s="31"/>
      <c r="H6785" s="6"/>
      <c r="I6785" s="9"/>
      <c r="J6785" s="24"/>
      <c r="K6785" s="9"/>
      <c r="L6785" s="25"/>
      <c r="M6785" s="46"/>
      <c r="N6785" s="8"/>
      <c r="O6785" s="11"/>
      <c r="P6785" s="11"/>
      <c r="Q6785" s="8"/>
      <c r="R6785" s="6"/>
      <c r="S6785" s="3"/>
      <c r="T6785" s="3"/>
      <c r="U6785" s="7"/>
      <c r="V6785" s="436"/>
      <c r="W6785" s="6"/>
      <c r="X6785" s="8"/>
      <c r="Y6785" s="8"/>
    </row>
    <row r="6786" spans="3:25">
      <c r="C6786" s="4"/>
      <c r="D6786" s="4"/>
      <c r="E6786" s="5"/>
      <c r="F6786" s="6"/>
      <c r="G6786" s="31"/>
      <c r="H6786" s="6"/>
      <c r="I6786" s="9"/>
      <c r="J6786" s="24"/>
      <c r="K6786" s="9"/>
      <c r="L6786" s="25"/>
      <c r="M6786" s="46"/>
      <c r="N6786" s="8"/>
      <c r="O6786" s="11"/>
      <c r="P6786" s="11"/>
      <c r="Q6786" s="8"/>
      <c r="R6786" s="6"/>
      <c r="S6786" s="3"/>
      <c r="T6786" s="3"/>
      <c r="U6786" s="7"/>
      <c r="V6786" s="436"/>
      <c r="W6786" s="6"/>
      <c r="X6786" s="8"/>
      <c r="Y6786" s="8"/>
    </row>
    <row r="6787" spans="3:25">
      <c r="C6787" s="4"/>
      <c r="D6787" s="4"/>
      <c r="E6787" s="5"/>
      <c r="F6787" s="6"/>
      <c r="G6787" s="31"/>
      <c r="H6787" s="6"/>
      <c r="I6787" s="9"/>
      <c r="J6787" s="24"/>
      <c r="K6787" s="9"/>
      <c r="L6787" s="25"/>
      <c r="M6787" s="46"/>
      <c r="N6787" s="8"/>
      <c r="O6787" s="11"/>
      <c r="P6787" s="11"/>
      <c r="Q6787" s="8"/>
      <c r="R6787" s="6"/>
      <c r="S6787" s="3"/>
      <c r="T6787" s="3"/>
      <c r="U6787" s="7"/>
      <c r="V6787" s="436"/>
      <c r="W6787" s="6"/>
      <c r="X6787" s="8"/>
      <c r="Y6787" s="8"/>
    </row>
    <row r="6788" spans="3:25">
      <c r="C6788" s="4"/>
      <c r="D6788" s="4"/>
      <c r="E6788" s="5"/>
      <c r="F6788" s="6"/>
      <c r="G6788" s="31"/>
      <c r="H6788" s="6"/>
      <c r="I6788" s="9"/>
      <c r="J6788" s="24"/>
      <c r="K6788" s="9"/>
      <c r="L6788" s="25"/>
      <c r="M6788" s="46"/>
      <c r="N6788" s="8"/>
      <c r="O6788" s="11"/>
      <c r="P6788" s="11"/>
      <c r="Q6788" s="8"/>
      <c r="R6788" s="6"/>
      <c r="S6788" s="3"/>
      <c r="T6788" s="3"/>
      <c r="U6788" s="7"/>
      <c r="V6788" s="436"/>
      <c r="W6788" s="6"/>
      <c r="X6788" s="8"/>
      <c r="Y6788" s="8"/>
    </row>
    <row r="6789" spans="3:25">
      <c r="C6789" s="4"/>
      <c r="D6789" s="4"/>
      <c r="E6789" s="5"/>
      <c r="F6789" s="6"/>
      <c r="G6789" s="31"/>
      <c r="H6789" s="6"/>
      <c r="I6789" s="9"/>
      <c r="J6789" s="24"/>
      <c r="K6789" s="9"/>
      <c r="L6789" s="25"/>
      <c r="M6789" s="46"/>
      <c r="N6789" s="8"/>
      <c r="O6789" s="11"/>
      <c r="P6789" s="11"/>
      <c r="Q6789" s="8"/>
      <c r="R6789" s="6"/>
      <c r="S6789" s="3"/>
      <c r="T6789" s="3"/>
      <c r="U6789" s="7"/>
      <c r="V6789" s="436"/>
      <c r="W6789" s="6"/>
      <c r="X6789" s="8"/>
      <c r="Y6789" s="8"/>
    </row>
    <row r="6790" spans="3:25">
      <c r="C6790" s="4"/>
      <c r="D6790" s="4"/>
      <c r="E6790" s="5"/>
      <c r="F6790" s="6"/>
      <c r="G6790" s="31"/>
      <c r="H6790" s="6"/>
      <c r="I6790" s="9"/>
      <c r="J6790" s="24"/>
      <c r="K6790" s="9"/>
      <c r="L6790" s="25"/>
      <c r="M6790" s="46"/>
      <c r="N6790" s="8"/>
      <c r="O6790" s="11"/>
      <c r="P6790" s="11"/>
      <c r="Q6790" s="8"/>
      <c r="R6790" s="6"/>
      <c r="S6790" s="3"/>
      <c r="T6790" s="3"/>
      <c r="U6790" s="7"/>
      <c r="V6790" s="436"/>
      <c r="W6790" s="6"/>
      <c r="X6790" s="8"/>
      <c r="Y6790" s="8"/>
    </row>
    <row r="6791" spans="3:25">
      <c r="C6791" s="4"/>
      <c r="D6791" s="4"/>
      <c r="E6791" s="5"/>
      <c r="F6791" s="6"/>
      <c r="G6791" s="31"/>
      <c r="H6791" s="6"/>
      <c r="I6791" s="9"/>
      <c r="J6791" s="24"/>
      <c r="K6791" s="9"/>
      <c r="L6791" s="25"/>
      <c r="M6791" s="46"/>
      <c r="N6791" s="8"/>
      <c r="O6791" s="11"/>
      <c r="P6791" s="11"/>
      <c r="Q6791" s="8"/>
      <c r="R6791" s="6"/>
      <c r="S6791" s="3"/>
      <c r="T6791" s="3"/>
      <c r="U6791" s="7"/>
      <c r="V6791" s="436"/>
      <c r="W6791" s="6"/>
      <c r="X6791" s="8"/>
      <c r="Y6791" s="8"/>
    </row>
    <row r="6792" spans="3:25">
      <c r="C6792" s="4"/>
      <c r="D6792" s="4"/>
      <c r="E6792" s="5"/>
      <c r="F6792" s="6"/>
      <c r="G6792" s="31"/>
      <c r="H6792" s="6"/>
      <c r="I6792" s="9"/>
      <c r="J6792" s="24"/>
      <c r="K6792" s="9"/>
      <c r="L6792" s="25"/>
      <c r="M6792" s="46"/>
      <c r="N6792" s="8"/>
      <c r="O6792" s="11"/>
      <c r="P6792" s="11"/>
      <c r="Q6792" s="8"/>
      <c r="R6792" s="6"/>
      <c r="S6792" s="3"/>
      <c r="T6792" s="3"/>
      <c r="U6792" s="7"/>
      <c r="V6792" s="436"/>
      <c r="W6792" s="6"/>
      <c r="X6792" s="8"/>
      <c r="Y6792" s="8"/>
    </row>
    <row r="6793" spans="3:25">
      <c r="C6793" s="4"/>
      <c r="D6793" s="4"/>
      <c r="E6793" s="5"/>
      <c r="F6793" s="6"/>
      <c r="G6793" s="31"/>
      <c r="H6793" s="6"/>
      <c r="I6793" s="9"/>
      <c r="J6793" s="24"/>
      <c r="K6793" s="9"/>
      <c r="L6793" s="25"/>
      <c r="M6793" s="46"/>
      <c r="N6793" s="8"/>
      <c r="O6793" s="11"/>
      <c r="P6793" s="11"/>
      <c r="Q6793" s="8"/>
      <c r="R6793" s="6"/>
      <c r="S6793" s="3"/>
      <c r="T6793" s="3"/>
      <c r="U6793" s="7"/>
      <c r="V6793" s="436"/>
      <c r="W6793" s="6"/>
      <c r="X6793" s="8"/>
      <c r="Y6793" s="8"/>
    </row>
    <row r="6794" spans="3:25">
      <c r="C6794" s="4"/>
      <c r="D6794" s="4"/>
      <c r="E6794" s="5"/>
      <c r="F6794" s="6"/>
      <c r="G6794" s="31"/>
      <c r="H6794" s="6"/>
      <c r="I6794" s="9"/>
      <c r="J6794" s="24"/>
      <c r="K6794" s="9"/>
      <c r="L6794" s="25"/>
      <c r="M6794" s="46"/>
      <c r="N6794" s="8"/>
      <c r="O6794" s="11"/>
      <c r="P6794" s="11"/>
      <c r="Q6794" s="8"/>
      <c r="R6794" s="6"/>
      <c r="S6794" s="3"/>
      <c r="T6794" s="3"/>
      <c r="U6794" s="7"/>
      <c r="V6794" s="436"/>
      <c r="W6794" s="6"/>
      <c r="X6794" s="8"/>
      <c r="Y6794" s="8"/>
    </row>
    <row r="6795" spans="3:25">
      <c r="C6795" s="4"/>
      <c r="D6795" s="4"/>
      <c r="E6795" s="5"/>
      <c r="F6795" s="6"/>
      <c r="G6795" s="31"/>
      <c r="H6795" s="6"/>
      <c r="I6795" s="9"/>
      <c r="J6795" s="24"/>
      <c r="K6795" s="9"/>
      <c r="L6795" s="25"/>
      <c r="M6795" s="46"/>
      <c r="N6795" s="8"/>
      <c r="O6795" s="11"/>
      <c r="P6795" s="11"/>
      <c r="Q6795" s="8"/>
      <c r="R6795" s="6"/>
      <c r="S6795" s="3"/>
      <c r="T6795" s="3"/>
      <c r="U6795" s="7"/>
      <c r="V6795" s="436"/>
      <c r="W6795" s="6"/>
      <c r="X6795" s="8"/>
      <c r="Y6795" s="8"/>
    </row>
    <row r="6796" spans="3:25">
      <c r="C6796" s="4"/>
      <c r="D6796" s="4"/>
      <c r="E6796" s="5"/>
      <c r="F6796" s="6"/>
      <c r="G6796" s="31"/>
      <c r="H6796" s="6"/>
      <c r="I6796" s="9"/>
      <c r="J6796" s="24"/>
      <c r="K6796" s="9"/>
      <c r="L6796" s="25"/>
      <c r="M6796" s="46"/>
      <c r="N6796" s="8"/>
      <c r="O6796" s="11"/>
      <c r="P6796" s="11"/>
      <c r="Q6796" s="8"/>
      <c r="R6796" s="6"/>
      <c r="S6796" s="3"/>
      <c r="T6796" s="3"/>
      <c r="U6796" s="7"/>
      <c r="V6796" s="436"/>
      <c r="W6796" s="6"/>
      <c r="X6796" s="8"/>
      <c r="Y6796" s="8"/>
    </row>
    <row r="6797" spans="3:25">
      <c r="C6797" s="4"/>
      <c r="D6797" s="4"/>
      <c r="E6797" s="5"/>
      <c r="F6797" s="6"/>
      <c r="G6797" s="31"/>
      <c r="H6797" s="6"/>
      <c r="I6797" s="9"/>
      <c r="J6797" s="24"/>
      <c r="K6797" s="9"/>
      <c r="L6797" s="25"/>
      <c r="M6797" s="46"/>
      <c r="N6797" s="8"/>
      <c r="O6797" s="11"/>
      <c r="P6797" s="11"/>
      <c r="Q6797" s="8"/>
      <c r="R6797" s="6"/>
      <c r="S6797" s="3"/>
      <c r="T6797" s="3"/>
      <c r="U6797" s="7"/>
      <c r="V6797" s="436"/>
      <c r="W6797" s="6"/>
      <c r="X6797" s="8"/>
      <c r="Y6797" s="8"/>
    </row>
    <row r="6798" spans="3:25">
      <c r="C6798" s="4"/>
      <c r="D6798" s="4"/>
      <c r="E6798" s="5"/>
      <c r="F6798" s="6"/>
      <c r="G6798" s="31"/>
      <c r="H6798" s="6"/>
      <c r="I6798" s="9"/>
      <c r="J6798" s="24"/>
      <c r="K6798" s="9"/>
      <c r="L6798" s="25"/>
      <c r="M6798" s="46"/>
      <c r="N6798" s="8"/>
      <c r="O6798" s="11"/>
      <c r="P6798" s="11"/>
      <c r="Q6798" s="8"/>
      <c r="R6798" s="6"/>
      <c r="S6798" s="3"/>
      <c r="T6798" s="3"/>
      <c r="U6798" s="7"/>
      <c r="V6798" s="436"/>
      <c r="W6798" s="6"/>
      <c r="X6798" s="8"/>
      <c r="Y6798" s="8"/>
    </row>
    <row r="6799" spans="3:25">
      <c r="C6799" s="4"/>
      <c r="D6799" s="4"/>
      <c r="E6799" s="5"/>
      <c r="F6799" s="6"/>
      <c r="G6799" s="31"/>
      <c r="H6799" s="6"/>
      <c r="I6799" s="9"/>
      <c r="J6799" s="24"/>
      <c r="K6799" s="9"/>
      <c r="L6799" s="25"/>
      <c r="M6799" s="46"/>
      <c r="N6799" s="8"/>
      <c r="O6799" s="11"/>
      <c r="P6799" s="11"/>
      <c r="Q6799" s="8"/>
      <c r="R6799" s="6"/>
      <c r="S6799" s="3"/>
      <c r="T6799" s="3"/>
      <c r="U6799" s="7"/>
      <c r="V6799" s="436"/>
      <c r="W6799" s="6"/>
      <c r="X6799" s="8"/>
      <c r="Y6799" s="8"/>
    </row>
    <row r="6800" spans="3:25">
      <c r="C6800" s="4"/>
      <c r="D6800" s="4"/>
      <c r="E6800" s="5"/>
      <c r="F6800" s="6"/>
      <c r="G6800" s="31"/>
      <c r="H6800" s="6"/>
      <c r="I6800" s="9"/>
      <c r="J6800" s="24"/>
      <c r="K6800" s="9"/>
      <c r="L6800" s="25"/>
      <c r="M6800" s="46"/>
      <c r="N6800" s="8"/>
      <c r="O6800" s="11"/>
      <c r="P6800" s="11"/>
      <c r="Q6800" s="8"/>
      <c r="R6800" s="6"/>
      <c r="S6800" s="3"/>
      <c r="T6800" s="3"/>
      <c r="U6800" s="7"/>
      <c r="V6800" s="436"/>
      <c r="W6800" s="6"/>
      <c r="X6800" s="8"/>
      <c r="Y6800" s="8"/>
    </row>
    <row r="6801" spans="3:25">
      <c r="C6801" s="4"/>
      <c r="D6801" s="4"/>
      <c r="E6801" s="5"/>
      <c r="F6801" s="6"/>
      <c r="G6801" s="31"/>
      <c r="H6801" s="6"/>
      <c r="I6801" s="9"/>
      <c r="J6801" s="24"/>
      <c r="K6801" s="9"/>
      <c r="L6801" s="25"/>
      <c r="M6801" s="46"/>
      <c r="N6801" s="8"/>
      <c r="O6801" s="11"/>
      <c r="P6801" s="11"/>
      <c r="Q6801" s="8"/>
      <c r="R6801" s="6"/>
      <c r="S6801" s="3"/>
      <c r="T6801" s="3"/>
      <c r="U6801" s="7"/>
      <c r="V6801" s="436"/>
      <c r="W6801" s="6"/>
      <c r="X6801" s="8"/>
      <c r="Y6801" s="8"/>
    </row>
    <row r="6802" spans="3:25">
      <c r="C6802" s="4"/>
      <c r="D6802" s="4"/>
      <c r="E6802" s="5"/>
      <c r="F6802" s="6"/>
      <c r="G6802" s="31"/>
      <c r="H6802" s="6"/>
      <c r="I6802" s="9"/>
      <c r="J6802" s="24"/>
      <c r="K6802" s="9"/>
      <c r="L6802" s="25"/>
      <c r="M6802" s="46"/>
      <c r="N6802" s="8"/>
      <c r="O6802" s="11"/>
      <c r="P6802" s="11"/>
      <c r="Q6802" s="8"/>
      <c r="R6802" s="6"/>
      <c r="S6802" s="3"/>
      <c r="T6802" s="3"/>
      <c r="U6802" s="7"/>
      <c r="V6802" s="436"/>
      <c r="W6802" s="6"/>
      <c r="X6802" s="8"/>
      <c r="Y6802" s="8"/>
    </row>
    <row r="6803" spans="3:25">
      <c r="C6803" s="4"/>
      <c r="D6803" s="4"/>
      <c r="E6803" s="5"/>
      <c r="F6803" s="6"/>
      <c r="G6803" s="31"/>
      <c r="H6803" s="6"/>
      <c r="I6803" s="9"/>
      <c r="J6803" s="24"/>
      <c r="K6803" s="9"/>
      <c r="L6803" s="25"/>
      <c r="M6803" s="46"/>
      <c r="N6803" s="8"/>
      <c r="O6803" s="11"/>
      <c r="P6803" s="11"/>
      <c r="Q6803" s="8"/>
      <c r="R6803" s="6"/>
      <c r="S6803" s="3"/>
      <c r="T6803" s="3"/>
      <c r="U6803" s="7"/>
      <c r="V6803" s="436"/>
      <c r="W6803" s="6"/>
      <c r="X6803" s="8"/>
      <c r="Y6803" s="8"/>
    </row>
    <row r="6804" spans="3:25">
      <c r="C6804" s="4"/>
      <c r="D6804" s="4"/>
      <c r="E6804" s="5"/>
      <c r="F6804" s="6"/>
      <c r="G6804" s="31"/>
      <c r="H6804" s="6"/>
      <c r="I6804" s="9"/>
      <c r="J6804" s="24"/>
      <c r="K6804" s="9"/>
      <c r="L6804" s="25"/>
      <c r="M6804" s="46"/>
      <c r="N6804" s="8"/>
      <c r="O6804" s="11"/>
      <c r="P6804" s="11"/>
      <c r="Q6804" s="8"/>
      <c r="R6804" s="6"/>
      <c r="S6804" s="3"/>
      <c r="T6804" s="3"/>
      <c r="U6804" s="7"/>
      <c r="V6804" s="436"/>
      <c r="W6804" s="6"/>
      <c r="X6804" s="8"/>
      <c r="Y6804" s="8"/>
    </row>
    <row r="6805" spans="3:25">
      <c r="C6805" s="4"/>
      <c r="D6805" s="4"/>
      <c r="E6805" s="5"/>
      <c r="F6805" s="6"/>
      <c r="G6805" s="31"/>
      <c r="H6805" s="6"/>
      <c r="I6805" s="9"/>
      <c r="J6805" s="24"/>
      <c r="K6805" s="9"/>
      <c r="L6805" s="25"/>
      <c r="M6805" s="46"/>
      <c r="N6805" s="8"/>
      <c r="O6805" s="11"/>
      <c r="P6805" s="11"/>
      <c r="Q6805" s="8"/>
      <c r="R6805" s="6"/>
      <c r="S6805" s="3"/>
      <c r="T6805" s="3"/>
      <c r="U6805" s="7"/>
      <c r="V6805" s="436"/>
      <c r="W6805" s="6"/>
      <c r="X6805" s="8"/>
      <c r="Y6805" s="8"/>
    </row>
    <row r="6806" spans="3:25">
      <c r="C6806" s="4"/>
      <c r="D6806" s="4"/>
      <c r="E6806" s="5"/>
      <c r="F6806" s="6"/>
      <c r="G6806" s="31"/>
      <c r="H6806" s="6"/>
      <c r="I6806" s="9"/>
      <c r="J6806" s="24"/>
      <c r="K6806" s="9"/>
      <c r="L6806" s="25"/>
      <c r="M6806" s="46"/>
      <c r="N6806" s="8"/>
      <c r="O6806" s="11"/>
      <c r="P6806" s="11"/>
      <c r="Q6806" s="8"/>
      <c r="R6806" s="6"/>
      <c r="S6806" s="3"/>
      <c r="T6806" s="3"/>
      <c r="U6806" s="7"/>
      <c r="V6806" s="436"/>
      <c r="W6806" s="6"/>
      <c r="X6806" s="8"/>
      <c r="Y6806" s="8"/>
    </row>
    <row r="6807" spans="3:25">
      <c r="C6807" s="4"/>
      <c r="D6807" s="4"/>
      <c r="E6807" s="5"/>
      <c r="F6807" s="6"/>
      <c r="G6807" s="31"/>
      <c r="H6807" s="6"/>
      <c r="I6807" s="9"/>
      <c r="J6807" s="24"/>
      <c r="K6807" s="9"/>
      <c r="L6807" s="25"/>
      <c r="M6807" s="46"/>
      <c r="N6807" s="8"/>
      <c r="O6807" s="11"/>
      <c r="P6807" s="11"/>
      <c r="Q6807" s="8"/>
      <c r="R6807" s="6"/>
      <c r="S6807" s="3"/>
      <c r="T6807" s="3"/>
      <c r="U6807" s="7"/>
      <c r="V6807" s="436"/>
      <c r="W6807" s="6"/>
      <c r="X6807" s="8"/>
      <c r="Y6807" s="8"/>
    </row>
    <row r="6808" spans="3:25">
      <c r="C6808" s="4"/>
      <c r="D6808" s="4"/>
      <c r="E6808" s="5"/>
      <c r="F6808" s="6"/>
      <c r="G6808" s="31"/>
      <c r="H6808" s="6"/>
      <c r="I6808" s="52"/>
      <c r="J6808" s="24"/>
      <c r="K6808" s="9"/>
      <c r="L6808" s="25"/>
      <c r="M6808" s="46"/>
      <c r="N6808" s="8"/>
      <c r="O6808" s="11"/>
      <c r="P6808" s="11"/>
      <c r="Q6808" s="8"/>
      <c r="R6808" s="6"/>
      <c r="S6808" s="3"/>
      <c r="T6808" s="3"/>
      <c r="U6808" s="7"/>
      <c r="V6808" s="436"/>
      <c r="W6808" s="6"/>
      <c r="X6808" s="8"/>
      <c r="Y6808" s="8"/>
    </row>
    <row r="6809" spans="3:25">
      <c r="C6809" s="4"/>
      <c r="D6809" s="4"/>
      <c r="E6809" s="5"/>
      <c r="F6809" s="6"/>
      <c r="G6809" s="31"/>
      <c r="H6809" s="6"/>
      <c r="I6809" s="9"/>
      <c r="J6809" s="24"/>
      <c r="K6809" s="9"/>
      <c r="L6809" s="25"/>
      <c r="M6809" s="46"/>
      <c r="N6809" s="8"/>
      <c r="O6809" s="11"/>
      <c r="P6809" s="11"/>
      <c r="Q6809" s="8"/>
      <c r="R6809" s="6"/>
      <c r="S6809" s="3"/>
      <c r="T6809" s="3"/>
      <c r="U6809" s="7"/>
      <c r="V6809" s="436"/>
      <c r="W6809" s="6"/>
      <c r="X6809" s="8"/>
      <c r="Y6809" s="8"/>
    </row>
    <row r="6810" spans="3:25">
      <c r="C6810" s="4"/>
      <c r="D6810" s="4"/>
      <c r="E6810" s="5"/>
      <c r="F6810" s="6"/>
      <c r="G6810" s="31"/>
      <c r="H6810" s="6"/>
      <c r="I6810" s="9"/>
      <c r="J6810" s="24"/>
      <c r="K6810" s="9"/>
      <c r="L6810" s="25"/>
      <c r="M6810" s="46"/>
      <c r="N6810" s="8"/>
      <c r="O6810" s="11"/>
      <c r="P6810" s="11"/>
      <c r="Q6810" s="8"/>
      <c r="R6810" s="6"/>
      <c r="S6810" s="3"/>
      <c r="T6810" s="3"/>
      <c r="U6810" s="7"/>
      <c r="V6810" s="436"/>
      <c r="W6810" s="6"/>
      <c r="X6810" s="8"/>
      <c r="Y6810" s="8"/>
    </row>
    <row r="6811" spans="3:25">
      <c r="C6811" s="4"/>
      <c r="D6811" s="4"/>
      <c r="E6811" s="5"/>
      <c r="F6811" s="6"/>
      <c r="G6811" s="31"/>
      <c r="H6811" s="6"/>
      <c r="I6811" s="9"/>
      <c r="J6811" s="24"/>
      <c r="K6811" s="9"/>
      <c r="L6811" s="25"/>
      <c r="M6811" s="46"/>
      <c r="N6811" s="8"/>
      <c r="O6811" s="11"/>
      <c r="P6811" s="11"/>
      <c r="Q6811" s="8"/>
      <c r="R6811" s="6"/>
      <c r="S6811" s="3"/>
      <c r="T6811" s="3"/>
      <c r="U6811" s="7"/>
      <c r="V6811" s="436"/>
      <c r="W6811" s="6"/>
      <c r="X6811" s="8"/>
      <c r="Y6811" s="8"/>
    </row>
    <row r="6812" spans="3:25">
      <c r="C6812" s="4"/>
      <c r="D6812" s="4"/>
      <c r="E6812" s="5"/>
      <c r="F6812" s="6"/>
      <c r="G6812" s="31"/>
      <c r="H6812" s="6"/>
      <c r="I6812" s="9"/>
      <c r="J6812" s="24"/>
      <c r="K6812" s="9"/>
      <c r="L6812" s="25"/>
      <c r="M6812" s="46"/>
      <c r="N6812" s="8"/>
      <c r="O6812" s="11"/>
      <c r="P6812" s="11"/>
      <c r="Q6812" s="8"/>
      <c r="R6812" s="6"/>
      <c r="S6812" s="3"/>
      <c r="T6812" s="3"/>
      <c r="U6812" s="7"/>
      <c r="V6812" s="436"/>
      <c r="W6812" s="6"/>
      <c r="X6812" s="8"/>
      <c r="Y6812" s="8"/>
    </row>
    <row r="6813" spans="3:25">
      <c r="C6813" s="4"/>
      <c r="D6813" s="4"/>
      <c r="E6813" s="5"/>
      <c r="F6813" s="6"/>
      <c r="G6813" s="31"/>
      <c r="H6813" s="6"/>
      <c r="I6813" s="9"/>
      <c r="J6813" s="24"/>
      <c r="K6813" s="9"/>
      <c r="L6813" s="25"/>
      <c r="M6813" s="46"/>
      <c r="N6813" s="8"/>
      <c r="O6813" s="11"/>
      <c r="P6813" s="11"/>
      <c r="Q6813" s="8"/>
      <c r="R6813" s="6"/>
      <c r="S6813" s="3"/>
      <c r="T6813" s="3"/>
      <c r="U6813" s="7"/>
      <c r="V6813" s="436"/>
      <c r="W6813" s="6"/>
      <c r="X6813" s="8"/>
      <c r="Y6813" s="8"/>
    </row>
    <row r="6814" spans="3:25">
      <c r="C6814" s="4"/>
      <c r="D6814" s="4"/>
      <c r="E6814" s="5"/>
      <c r="F6814" s="6"/>
      <c r="G6814" s="31"/>
      <c r="H6814" s="6"/>
      <c r="I6814" s="9"/>
      <c r="J6814" s="24"/>
      <c r="K6814" s="9"/>
      <c r="L6814" s="25"/>
      <c r="M6814" s="46"/>
      <c r="N6814" s="8"/>
      <c r="O6814" s="11"/>
      <c r="P6814" s="11"/>
      <c r="Q6814" s="8"/>
      <c r="R6814" s="6"/>
      <c r="S6814" s="3"/>
      <c r="T6814" s="3"/>
      <c r="U6814" s="7"/>
      <c r="V6814" s="436"/>
      <c r="W6814" s="6"/>
      <c r="X6814" s="8"/>
      <c r="Y6814" s="8"/>
    </row>
    <row r="6815" spans="3:25">
      <c r="C6815" s="4"/>
      <c r="D6815" s="4"/>
      <c r="E6815" s="5"/>
      <c r="F6815" s="6"/>
      <c r="G6815" s="31"/>
      <c r="H6815" s="6"/>
      <c r="I6815" s="9"/>
      <c r="J6815" s="24"/>
      <c r="K6815" s="9"/>
      <c r="L6815" s="25"/>
      <c r="M6815" s="46"/>
      <c r="N6815" s="8"/>
      <c r="O6815" s="11"/>
      <c r="P6815" s="11"/>
      <c r="Q6815" s="8"/>
      <c r="R6815" s="6"/>
      <c r="S6815" s="3"/>
      <c r="T6815" s="3"/>
      <c r="U6815" s="7"/>
      <c r="V6815" s="436"/>
      <c r="W6815" s="6"/>
      <c r="X6815" s="8"/>
      <c r="Y6815" s="8"/>
    </row>
    <row r="6816" spans="3:25">
      <c r="C6816" s="4"/>
      <c r="D6816" s="4"/>
      <c r="E6816" s="5"/>
      <c r="F6816" s="6"/>
      <c r="G6816" s="31"/>
      <c r="H6816" s="6"/>
      <c r="I6816" s="9"/>
      <c r="J6816" s="24"/>
      <c r="K6816" s="9"/>
      <c r="L6816" s="25"/>
      <c r="M6816" s="46"/>
      <c r="N6816" s="8"/>
      <c r="O6816" s="11"/>
      <c r="P6816" s="11"/>
      <c r="Q6816" s="8"/>
      <c r="R6816" s="6"/>
      <c r="S6816" s="3"/>
      <c r="T6816" s="3"/>
      <c r="U6816" s="7"/>
      <c r="V6816" s="436"/>
      <c r="W6816" s="6"/>
      <c r="X6816" s="8"/>
      <c r="Y6816" s="8"/>
    </row>
    <row r="6817" spans="3:25">
      <c r="C6817" s="4"/>
      <c r="D6817" s="4"/>
      <c r="E6817" s="5"/>
      <c r="F6817" s="6"/>
      <c r="G6817" s="31"/>
      <c r="H6817" s="6"/>
      <c r="I6817" s="9"/>
      <c r="J6817" s="24"/>
      <c r="K6817" s="9"/>
      <c r="L6817" s="25"/>
      <c r="M6817" s="46"/>
      <c r="N6817" s="8"/>
      <c r="O6817" s="11"/>
      <c r="P6817" s="11"/>
      <c r="Q6817" s="8"/>
      <c r="R6817" s="6"/>
      <c r="S6817" s="3"/>
      <c r="T6817" s="3"/>
      <c r="U6817" s="7"/>
      <c r="V6817" s="436"/>
      <c r="W6817" s="6"/>
      <c r="X6817" s="8"/>
      <c r="Y6817" s="8"/>
    </row>
    <row r="6818" spans="3:25">
      <c r="C6818" s="4"/>
      <c r="D6818" s="4"/>
      <c r="E6818" s="5"/>
      <c r="F6818" s="6"/>
      <c r="G6818" s="31"/>
      <c r="H6818" s="6"/>
      <c r="I6818" s="9"/>
      <c r="J6818" s="24"/>
      <c r="K6818" s="9"/>
      <c r="L6818" s="25"/>
      <c r="M6818" s="46"/>
      <c r="N6818" s="8"/>
      <c r="O6818" s="11"/>
      <c r="P6818" s="11"/>
      <c r="Q6818" s="8"/>
      <c r="R6818" s="6"/>
      <c r="S6818" s="3"/>
      <c r="T6818" s="3"/>
      <c r="U6818" s="7"/>
      <c r="V6818" s="436"/>
      <c r="W6818" s="6"/>
      <c r="X6818" s="8"/>
      <c r="Y6818" s="8"/>
    </row>
    <row r="6819" spans="3:25">
      <c r="C6819" s="4"/>
      <c r="D6819" s="4"/>
      <c r="E6819" s="5"/>
      <c r="F6819" s="6"/>
      <c r="G6819" s="31"/>
      <c r="H6819" s="6"/>
      <c r="I6819" s="9"/>
      <c r="J6819" s="43"/>
      <c r="K6819" s="9"/>
      <c r="L6819" s="25"/>
      <c r="M6819" s="46"/>
      <c r="N6819" s="8"/>
      <c r="O6819" s="11"/>
      <c r="P6819" s="11"/>
      <c r="Q6819" s="8"/>
      <c r="R6819" s="6"/>
      <c r="S6819" s="3"/>
      <c r="T6819" s="3"/>
      <c r="U6819" s="7"/>
      <c r="V6819" s="436"/>
      <c r="W6819" s="6"/>
      <c r="X6819" s="8"/>
      <c r="Y6819" s="8"/>
    </row>
    <row r="6820" spans="3:25">
      <c r="C6820" s="4"/>
      <c r="D6820" s="4"/>
      <c r="E6820" s="5"/>
      <c r="F6820" s="6"/>
      <c r="G6820" s="31"/>
      <c r="H6820" s="6"/>
      <c r="I6820" s="9"/>
      <c r="J6820" s="24"/>
      <c r="K6820" s="9"/>
      <c r="L6820" s="25"/>
      <c r="M6820" s="46"/>
      <c r="N6820" s="8"/>
      <c r="O6820" s="11"/>
      <c r="P6820" s="11"/>
      <c r="Q6820" s="8"/>
      <c r="R6820" s="6"/>
      <c r="S6820" s="3"/>
      <c r="T6820" s="3"/>
      <c r="U6820" s="7"/>
      <c r="V6820" s="436"/>
      <c r="W6820" s="6"/>
      <c r="X6820" s="8"/>
      <c r="Y6820" s="8"/>
    </row>
    <row r="6821" spans="3:25">
      <c r="C6821" s="4"/>
      <c r="D6821" s="4"/>
      <c r="E6821" s="5"/>
      <c r="F6821" s="6"/>
      <c r="G6821" s="31"/>
      <c r="H6821" s="6"/>
      <c r="I6821" s="9"/>
      <c r="J6821" s="24"/>
      <c r="K6821" s="9"/>
      <c r="L6821" s="25"/>
      <c r="M6821" s="46"/>
      <c r="N6821" s="8"/>
      <c r="O6821" s="11"/>
      <c r="P6821" s="11"/>
      <c r="Q6821" s="8"/>
      <c r="R6821" s="6"/>
      <c r="S6821" s="3"/>
      <c r="T6821" s="3"/>
      <c r="U6821" s="7"/>
      <c r="V6821" s="436"/>
      <c r="W6821" s="6"/>
      <c r="X6821" s="8"/>
      <c r="Y6821" s="8"/>
    </row>
    <row r="6822" spans="3:25">
      <c r="C6822" s="4"/>
      <c r="D6822" s="4"/>
      <c r="E6822" s="5"/>
      <c r="F6822" s="6"/>
      <c r="G6822" s="31"/>
      <c r="H6822" s="6"/>
      <c r="I6822" s="9"/>
      <c r="J6822" s="24"/>
      <c r="K6822" s="9"/>
      <c r="L6822" s="25"/>
      <c r="M6822" s="46"/>
      <c r="N6822" s="8"/>
      <c r="O6822" s="11"/>
      <c r="P6822" s="11"/>
      <c r="Q6822" s="8"/>
      <c r="R6822" s="6"/>
      <c r="S6822" s="3"/>
      <c r="T6822" s="3"/>
      <c r="U6822" s="7"/>
      <c r="V6822" s="436"/>
      <c r="W6822" s="6"/>
      <c r="X6822" s="8"/>
      <c r="Y6822" s="8"/>
    </row>
    <row r="6823" spans="3:25">
      <c r="C6823" s="4"/>
      <c r="D6823" s="4"/>
      <c r="E6823" s="5"/>
      <c r="F6823" s="6"/>
      <c r="G6823" s="31"/>
      <c r="H6823" s="6"/>
      <c r="I6823" s="9"/>
      <c r="J6823" s="24"/>
      <c r="K6823" s="9"/>
      <c r="L6823" s="25"/>
      <c r="M6823" s="46"/>
      <c r="N6823" s="8"/>
      <c r="O6823" s="11"/>
      <c r="P6823" s="11"/>
      <c r="Q6823" s="8"/>
      <c r="R6823" s="6"/>
      <c r="S6823" s="3"/>
      <c r="T6823" s="3"/>
      <c r="U6823" s="7"/>
      <c r="V6823" s="436"/>
      <c r="W6823" s="6"/>
      <c r="X6823" s="8"/>
      <c r="Y6823" s="8"/>
    </row>
    <row r="6824" spans="3:25">
      <c r="C6824" s="4"/>
      <c r="D6824" s="4"/>
      <c r="E6824" s="5"/>
      <c r="F6824" s="6"/>
      <c r="G6824" s="31"/>
      <c r="H6824" s="6"/>
      <c r="I6824" s="9"/>
      <c r="J6824" s="24"/>
      <c r="K6824" s="9"/>
      <c r="L6824" s="25"/>
      <c r="M6824" s="46"/>
      <c r="N6824" s="8"/>
      <c r="O6824" s="11"/>
      <c r="P6824" s="11"/>
      <c r="Q6824" s="8"/>
      <c r="R6824" s="6"/>
      <c r="S6824" s="3"/>
      <c r="T6824" s="3"/>
      <c r="U6824" s="7"/>
      <c r="V6824" s="436"/>
      <c r="W6824" s="6"/>
      <c r="X6824" s="8"/>
      <c r="Y6824" s="8"/>
    </row>
    <row r="6825" spans="3:25">
      <c r="C6825" s="4"/>
      <c r="D6825" s="4"/>
      <c r="E6825" s="5"/>
      <c r="F6825" s="6"/>
      <c r="G6825" s="31"/>
      <c r="H6825" s="6"/>
      <c r="I6825" s="9"/>
      <c r="J6825" s="24"/>
      <c r="K6825" s="9"/>
      <c r="L6825" s="25"/>
      <c r="M6825" s="46"/>
      <c r="N6825" s="8"/>
      <c r="O6825" s="11"/>
      <c r="P6825" s="11"/>
      <c r="Q6825" s="8"/>
      <c r="R6825" s="6"/>
      <c r="S6825" s="3"/>
      <c r="T6825" s="3"/>
      <c r="U6825" s="7"/>
      <c r="V6825" s="436"/>
      <c r="W6825" s="6"/>
      <c r="X6825" s="8"/>
      <c r="Y6825" s="8"/>
    </row>
    <row r="6826" spans="3:25">
      <c r="C6826" s="4"/>
      <c r="D6826" s="4"/>
      <c r="E6826" s="5"/>
      <c r="F6826" s="6"/>
      <c r="G6826" s="31"/>
      <c r="H6826" s="6"/>
      <c r="I6826" s="9"/>
      <c r="J6826" s="24"/>
      <c r="K6826" s="9"/>
      <c r="L6826" s="25"/>
      <c r="M6826" s="46"/>
      <c r="N6826" s="8"/>
      <c r="O6826" s="11"/>
      <c r="P6826" s="11"/>
      <c r="Q6826" s="8"/>
      <c r="R6826" s="6"/>
      <c r="S6826" s="3"/>
      <c r="T6826" s="3"/>
      <c r="U6826" s="7"/>
      <c r="V6826" s="436"/>
      <c r="W6826" s="6"/>
      <c r="X6826" s="8"/>
      <c r="Y6826" s="8"/>
    </row>
    <row r="6827" spans="3:25">
      <c r="C6827" s="4"/>
      <c r="D6827" s="4"/>
      <c r="E6827" s="5"/>
      <c r="F6827" s="6"/>
      <c r="G6827" s="31"/>
      <c r="H6827" s="6"/>
      <c r="I6827" s="9"/>
      <c r="J6827" s="24"/>
      <c r="K6827" s="9"/>
      <c r="L6827" s="25"/>
      <c r="M6827" s="46"/>
      <c r="N6827" s="8"/>
      <c r="O6827" s="11"/>
      <c r="P6827" s="11"/>
      <c r="Q6827" s="8"/>
      <c r="R6827" s="6"/>
      <c r="S6827" s="3"/>
      <c r="T6827" s="3"/>
      <c r="U6827" s="7"/>
      <c r="V6827" s="436"/>
      <c r="W6827" s="6"/>
      <c r="X6827" s="8"/>
      <c r="Y6827" s="8"/>
    </row>
    <row r="6828" spans="3:25">
      <c r="C6828" s="4"/>
      <c r="D6828" s="4"/>
      <c r="E6828" s="5"/>
      <c r="F6828" s="6"/>
      <c r="G6828" s="31"/>
      <c r="H6828" s="6"/>
      <c r="I6828" s="9"/>
      <c r="J6828" s="24"/>
      <c r="K6828" s="9"/>
      <c r="L6828" s="25"/>
      <c r="M6828" s="46"/>
      <c r="N6828" s="8"/>
      <c r="O6828" s="11"/>
      <c r="P6828" s="11"/>
      <c r="Q6828" s="8"/>
      <c r="R6828" s="6"/>
      <c r="S6828" s="3"/>
      <c r="T6828" s="3"/>
      <c r="U6828" s="7"/>
      <c r="V6828" s="436"/>
      <c r="W6828" s="6"/>
      <c r="X6828" s="8"/>
      <c r="Y6828" s="8"/>
    </row>
    <row r="6829" spans="3:25">
      <c r="C6829" s="4"/>
      <c r="D6829" s="4"/>
      <c r="E6829" s="5"/>
      <c r="F6829" s="6"/>
      <c r="G6829" s="31"/>
      <c r="H6829" s="6"/>
      <c r="I6829" s="9"/>
      <c r="J6829" s="24"/>
      <c r="K6829" s="9"/>
      <c r="L6829" s="25"/>
      <c r="M6829" s="46"/>
      <c r="N6829" s="8"/>
      <c r="O6829" s="11"/>
      <c r="P6829" s="11"/>
      <c r="Q6829" s="8"/>
      <c r="R6829" s="6"/>
      <c r="S6829" s="3"/>
      <c r="T6829" s="3"/>
      <c r="U6829" s="7"/>
      <c r="V6829" s="436"/>
      <c r="W6829" s="6"/>
      <c r="X6829" s="8"/>
      <c r="Y6829" s="8"/>
    </row>
    <row r="6830" spans="3:25">
      <c r="C6830" s="4"/>
      <c r="D6830" s="4"/>
      <c r="E6830" s="5"/>
      <c r="F6830" s="6"/>
      <c r="G6830" s="31"/>
      <c r="H6830" s="6"/>
      <c r="I6830" s="9"/>
      <c r="J6830" s="24"/>
      <c r="K6830" s="9"/>
      <c r="L6830" s="25"/>
      <c r="M6830" s="46"/>
      <c r="N6830" s="8"/>
      <c r="O6830" s="11"/>
      <c r="P6830" s="11"/>
      <c r="Q6830" s="8"/>
      <c r="R6830" s="6"/>
      <c r="S6830" s="3"/>
      <c r="T6830" s="3"/>
      <c r="U6830" s="7"/>
      <c r="V6830" s="436"/>
      <c r="W6830" s="6"/>
      <c r="X6830" s="8"/>
      <c r="Y6830" s="8"/>
    </row>
    <row r="6831" spans="3:25">
      <c r="C6831" s="4"/>
      <c r="D6831" s="4"/>
      <c r="E6831" s="5"/>
      <c r="F6831" s="6"/>
      <c r="G6831" s="31"/>
      <c r="H6831" s="6"/>
      <c r="I6831" s="9"/>
      <c r="J6831" s="24"/>
      <c r="K6831" s="9"/>
      <c r="L6831" s="25"/>
      <c r="M6831" s="46"/>
      <c r="N6831" s="8"/>
      <c r="O6831" s="11"/>
      <c r="P6831" s="11"/>
      <c r="Q6831" s="8"/>
      <c r="R6831" s="6"/>
      <c r="S6831" s="3"/>
      <c r="T6831" s="3"/>
      <c r="U6831" s="7"/>
      <c r="V6831" s="436"/>
      <c r="W6831" s="6"/>
      <c r="X6831" s="8"/>
      <c r="Y6831" s="8"/>
    </row>
    <row r="6832" spans="3:25">
      <c r="C6832" s="4"/>
      <c r="D6832" s="4"/>
      <c r="E6832" s="5"/>
      <c r="F6832" s="6"/>
      <c r="G6832" s="31"/>
      <c r="H6832" s="6"/>
      <c r="I6832" s="9"/>
      <c r="J6832" s="24"/>
      <c r="K6832" s="9"/>
      <c r="L6832" s="25"/>
      <c r="M6832" s="46"/>
      <c r="N6832" s="8"/>
      <c r="O6832" s="11"/>
      <c r="P6832" s="11"/>
      <c r="Q6832" s="8"/>
      <c r="R6832" s="6"/>
      <c r="S6832" s="3"/>
      <c r="T6832" s="3"/>
      <c r="U6832" s="7"/>
      <c r="V6832" s="436"/>
      <c r="W6832" s="6"/>
      <c r="X6832" s="8"/>
      <c r="Y6832" s="8"/>
    </row>
    <row r="6833" spans="3:25">
      <c r="C6833" s="4"/>
      <c r="D6833" s="4"/>
      <c r="E6833" s="5"/>
      <c r="F6833" s="6"/>
      <c r="G6833" s="31"/>
      <c r="H6833" s="6"/>
      <c r="I6833" s="9"/>
      <c r="J6833" s="24"/>
      <c r="K6833" s="9"/>
      <c r="L6833" s="25"/>
      <c r="M6833" s="46"/>
      <c r="N6833" s="8"/>
      <c r="O6833" s="11"/>
      <c r="P6833" s="11"/>
      <c r="Q6833" s="8"/>
      <c r="R6833" s="6"/>
      <c r="S6833" s="3"/>
      <c r="T6833" s="3"/>
      <c r="U6833" s="7"/>
      <c r="V6833" s="436"/>
      <c r="W6833" s="6"/>
      <c r="X6833" s="8"/>
      <c r="Y6833" s="8"/>
    </row>
    <row r="6834" spans="3:25">
      <c r="C6834" s="4"/>
      <c r="D6834" s="4"/>
      <c r="E6834" s="5"/>
      <c r="F6834" s="6"/>
      <c r="G6834" s="31"/>
      <c r="H6834" s="6"/>
      <c r="I6834" s="9"/>
      <c r="J6834" s="24"/>
      <c r="K6834" s="9"/>
      <c r="L6834" s="25"/>
      <c r="M6834" s="46"/>
      <c r="N6834" s="8"/>
      <c r="O6834" s="11"/>
      <c r="P6834" s="11"/>
      <c r="Q6834" s="8"/>
      <c r="R6834" s="6"/>
      <c r="S6834" s="3"/>
      <c r="T6834" s="3"/>
      <c r="U6834" s="7"/>
      <c r="V6834" s="436"/>
      <c r="W6834" s="6"/>
      <c r="X6834" s="8"/>
      <c r="Y6834" s="8"/>
    </row>
    <row r="6835" spans="3:25">
      <c r="C6835" s="4"/>
      <c r="D6835" s="4"/>
      <c r="E6835" s="5"/>
      <c r="F6835" s="6"/>
      <c r="G6835" s="31"/>
      <c r="H6835" s="6"/>
      <c r="I6835" s="9"/>
      <c r="J6835" s="24"/>
      <c r="K6835" s="9"/>
      <c r="L6835" s="25"/>
      <c r="M6835" s="46"/>
      <c r="N6835" s="8"/>
      <c r="O6835" s="11"/>
      <c r="P6835" s="11"/>
      <c r="Q6835" s="8"/>
      <c r="R6835" s="6"/>
      <c r="S6835" s="3"/>
      <c r="T6835" s="3"/>
      <c r="U6835" s="7"/>
      <c r="V6835" s="436"/>
      <c r="W6835" s="6"/>
      <c r="X6835" s="8"/>
      <c r="Y6835" s="8"/>
    </row>
    <row r="6836" spans="3:25">
      <c r="C6836" s="4"/>
      <c r="D6836" s="4"/>
      <c r="E6836" s="5"/>
      <c r="F6836" s="6"/>
      <c r="G6836" s="31"/>
      <c r="H6836" s="6"/>
      <c r="I6836" s="9"/>
      <c r="J6836" s="24"/>
      <c r="K6836" s="9"/>
      <c r="L6836" s="25"/>
      <c r="M6836" s="46"/>
      <c r="N6836" s="8"/>
      <c r="O6836" s="11"/>
      <c r="P6836" s="11"/>
      <c r="Q6836" s="8"/>
      <c r="R6836" s="6"/>
      <c r="S6836" s="3"/>
      <c r="T6836" s="3"/>
      <c r="U6836" s="7"/>
      <c r="V6836" s="436"/>
      <c r="W6836" s="6"/>
      <c r="X6836" s="8"/>
      <c r="Y6836" s="8"/>
    </row>
    <row r="6837" spans="3:25">
      <c r="C6837" s="4"/>
      <c r="D6837" s="4"/>
      <c r="E6837" s="5"/>
      <c r="F6837" s="6"/>
      <c r="G6837" s="31"/>
      <c r="H6837" s="6"/>
      <c r="I6837" s="9"/>
      <c r="J6837" s="24"/>
      <c r="K6837" s="9"/>
      <c r="L6837" s="25"/>
      <c r="M6837" s="46"/>
      <c r="N6837" s="8"/>
      <c r="O6837" s="11"/>
      <c r="P6837" s="11"/>
      <c r="Q6837" s="8"/>
      <c r="R6837" s="6"/>
      <c r="S6837" s="3"/>
      <c r="T6837" s="3"/>
      <c r="U6837" s="7"/>
      <c r="V6837" s="436"/>
      <c r="W6837" s="6"/>
      <c r="X6837" s="8"/>
      <c r="Y6837" s="8"/>
    </row>
    <row r="6838" spans="3:25">
      <c r="C6838" s="4"/>
      <c r="D6838" s="4"/>
      <c r="E6838" s="5"/>
      <c r="F6838" s="6"/>
      <c r="G6838" s="31"/>
      <c r="H6838" s="6"/>
      <c r="I6838" s="9"/>
      <c r="J6838" s="24"/>
      <c r="K6838" s="9"/>
      <c r="L6838" s="25"/>
      <c r="M6838" s="46"/>
      <c r="N6838" s="8"/>
      <c r="O6838" s="11"/>
      <c r="P6838" s="11"/>
      <c r="Q6838" s="8"/>
      <c r="R6838" s="6"/>
      <c r="S6838" s="3"/>
      <c r="T6838" s="3"/>
      <c r="U6838" s="7"/>
      <c r="V6838" s="436"/>
      <c r="W6838" s="6"/>
      <c r="X6838" s="8"/>
      <c r="Y6838" s="8"/>
    </row>
    <row r="6839" spans="3:25">
      <c r="C6839" s="4"/>
      <c r="D6839" s="4"/>
      <c r="E6839" s="5"/>
      <c r="F6839" s="6"/>
      <c r="G6839" s="31"/>
      <c r="H6839" s="6"/>
      <c r="I6839" s="9"/>
      <c r="J6839" s="24"/>
      <c r="K6839" s="9"/>
      <c r="L6839" s="25"/>
      <c r="M6839" s="46"/>
      <c r="N6839" s="8"/>
      <c r="O6839" s="11"/>
      <c r="P6839" s="11"/>
      <c r="Q6839" s="8"/>
      <c r="R6839" s="6"/>
      <c r="S6839" s="3"/>
      <c r="T6839" s="3"/>
      <c r="U6839" s="7"/>
      <c r="V6839" s="436"/>
      <c r="W6839" s="6"/>
      <c r="X6839" s="8"/>
      <c r="Y6839" s="8"/>
    </row>
    <row r="6840" spans="3:25">
      <c r="C6840" s="4"/>
      <c r="D6840" s="4"/>
      <c r="E6840" s="5"/>
      <c r="F6840" s="6"/>
      <c r="G6840" s="31"/>
      <c r="H6840" s="6"/>
      <c r="I6840" s="9"/>
      <c r="J6840" s="24"/>
      <c r="K6840" s="9"/>
      <c r="L6840" s="25"/>
      <c r="M6840" s="46"/>
      <c r="N6840" s="8"/>
      <c r="O6840" s="11"/>
      <c r="P6840" s="11"/>
      <c r="Q6840" s="8"/>
      <c r="R6840" s="6"/>
      <c r="S6840" s="3"/>
      <c r="T6840" s="3"/>
      <c r="U6840" s="7"/>
      <c r="V6840" s="436"/>
      <c r="W6840" s="6"/>
      <c r="X6840" s="8"/>
      <c r="Y6840" s="8"/>
    </row>
    <row r="6841" spans="3:25">
      <c r="C6841" s="4"/>
      <c r="D6841" s="4"/>
      <c r="E6841" s="5"/>
      <c r="F6841" s="6"/>
      <c r="G6841" s="31"/>
      <c r="H6841" s="6"/>
      <c r="I6841" s="9"/>
      <c r="J6841" s="24"/>
      <c r="K6841" s="9"/>
      <c r="L6841" s="25"/>
      <c r="M6841" s="46"/>
      <c r="N6841" s="8"/>
      <c r="O6841" s="11"/>
      <c r="P6841" s="11"/>
      <c r="Q6841" s="8"/>
      <c r="R6841" s="6"/>
      <c r="S6841" s="3"/>
      <c r="T6841" s="3"/>
      <c r="U6841" s="7"/>
      <c r="V6841" s="436"/>
      <c r="W6841" s="6"/>
      <c r="X6841" s="8"/>
      <c r="Y6841" s="8"/>
    </row>
    <row r="6842" spans="3:25">
      <c r="C6842" s="4"/>
      <c r="D6842" s="4"/>
      <c r="E6842" s="5"/>
      <c r="F6842" s="6"/>
      <c r="G6842" s="31"/>
      <c r="H6842" s="6"/>
      <c r="I6842" s="9"/>
      <c r="J6842" s="24"/>
      <c r="K6842" s="9"/>
      <c r="L6842" s="25"/>
      <c r="M6842" s="46"/>
      <c r="N6842" s="8"/>
      <c r="O6842" s="11"/>
      <c r="P6842" s="11"/>
      <c r="Q6842" s="8"/>
      <c r="R6842" s="6"/>
      <c r="S6842" s="3"/>
      <c r="T6842" s="3"/>
      <c r="U6842" s="7"/>
      <c r="V6842" s="436"/>
      <c r="W6842" s="6"/>
      <c r="X6842" s="8"/>
      <c r="Y6842" s="8"/>
    </row>
    <row r="6843" spans="3:25">
      <c r="C6843" s="4"/>
      <c r="D6843" s="4"/>
      <c r="E6843" s="5"/>
      <c r="F6843" s="6"/>
      <c r="G6843" s="31"/>
      <c r="H6843" s="6"/>
      <c r="I6843" s="9"/>
      <c r="J6843" s="24"/>
      <c r="K6843" s="9"/>
      <c r="L6843" s="25"/>
      <c r="M6843" s="46"/>
      <c r="N6843" s="8"/>
      <c r="O6843" s="11"/>
      <c r="P6843" s="11"/>
      <c r="Q6843" s="8"/>
      <c r="R6843" s="6"/>
      <c r="S6843" s="3"/>
      <c r="T6843" s="3"/>
      <c r="U6843" s="7"/>
      <c r="V6843" s="436"/>
      <c r="W6843" s="6"/>
      <c r="X6843" s="8"/>
      <c r="Y6843" s="8"/>
    </row>
    <row r="6844" spans="3:25">
      <c r="C6844" s="4"/>
      <c r="D6844" s="4"/>
      <c r="E6844" s="5"/>
      <c r="F6844" s="6"/>
      <c r="G6844" s="31"/>
      <c r="H6844" s="6"/>
      <c r="I6844" s="9"/>
      <c r="J6844" s="24"/>
      <c r="K6844" s="9"/>
      <c r="L6844" s="25"/>
      <c r="M6844" s="46"/>
      <c r="N6844" s="8"/>
      <c r="O6844" s="11"/>
      <c r="P6844" s="11"/>
      <c r="Q6844" s="8"/>
      <c r="R6844" s="6"/>
      <c r="S6844" s="3"/>
      <c r="T6844" s="3"/>
      <c r="U6844" s="7"/>
      <c r="V6844" s="436"/>
      <c r="W6844" s="6"/>
      <c r="X6844" s="8"/>
      <c r="Y6844" s="8"/>
    </row>
    <row r="6845" spans="3:25">
      <c r="C6845" s="4"/>
      <c r="D6845" s="4"/>
      <c r="E6845" s="5"/>
      <c r="F6845" s="6"/>
      <c r="G6845" s="31"/>
      <c r="H6845" s="6"/>
      <c r="I6845" s="9"/>
      <c r="J6845" s="24"/>
      <c r="K6845" s="9"/>
      <c r="L6845" s="25"/>
      <c r="M6845" s="46"/>
      <c r="N6845" s="8"/>
      <c r="O6845" s="11"/>
      <c r="P6845" s="11"/>
      <c r="Q6845" s="8"/>
      <c r="R6845" s="6"/>
      <c r="S6845" s="3"/>
      <c r="T6845" s="3"/>
      <c r="U6845" s="7"/>
      <c r="V6845" s="436"/>
      <c r="W6845" s="6"/>
      <c r="X6845" s="8"/>
      <c r="Y6845" s="8"/>
    </row>
    <row r="6846" spans="3:25">
      <c r="C6846" s="4"/>
      <c r="D6846" s="4"/>
      <c r="E6846" s="5"/>
      <c r="F6846" s="6"/>
      <c r="G6846" s="31"/>
      <c r="H6846" s="6"/>
      <c r="I6846" s="9"/>
      <c r="J6846" s="24"/>
      <c r="K6846" s="9"/>
      <c r="L6846" s="25"/>
      <c r="M6846" s="46"/>
      <c r="N6846" s="8"/>
      <c r="O6846" s="11"/>
      <c r="P6846" s="11"/>
      <c r="Q6846" s="8"/>
      <c r="R6846" s="6"/>
      <c r="S6846" s="3"/>
      <c r="T6846" s="3"/>
      <c r="U6846" s="7"/>
      <c r="V6846" s="436"/>
      <c r="W6846" s="6"/>
      <c r="X6846" s="8"/>
      <c r="Y6846" s="8"/>
    </row>
    <row r="6847" spans="3:25">
      <c r="C6847" s="4"/>
      <c r="D6847" s="4"/>
      <c r="E6847" s="5"/>
      <c r="F6847" s="6"/>
      <c r="G6847" s="31"/>
      <c r="H6847" s="6"/>
      <c r="I6847" s="9"/>
      <c r="J6847" s="24"/>
      <c r="K6847" s="9"/>
      <c r="L6847" s="25"/>
      <c r="M6847" s="46"/>
      <c r="N6847" s="8"/>
      <c r="O6847" s="11"/>
      <c r="P6847" s="11"/>
      <c r="Q6847" s="8"/>
      <c r="R6847" s="6"/>
      <c r="S6847" s="3"/>
      <c r="T6847" s="3"/>
      <c r="U6847" s="7"/>
      <c r="V6847" s="436"/>
      <c r="W6847" s="6"/>
      <c r="X6847" s="8"/>
      <c r="Y6847" s="8"/>
    </row>
    <row r="6848" spans="3:25">
      <c r="C6848" s="4"/>
      <c r="D6848" s="4"/>
      <c r="E6848" s="5"/>
      <c r="F6848" s="6"/>
      <c r="G6848" s="31"/>
      <c r="H6848" s="6"/>
      <c r="I6848" s="9"/>
      <c r="J6848" s="24"/>
      <c r="K6848" s="9"/>
      <c r="L6848" s="25"/>
      <c r="M6848" s="46"/>
      <c r="N6848" s="8"/>
      <c r="O6848" s="11"/>
      <c r="P6848" s="11"/>
      <c r="Q6848" s="8"/>
      <c r="R6848" s="6"/>
      <c r="S6848" s="3"/>
      <c r="T6848" s="3"/>
      <c r="U6848" s="7"/>
      <c r="V6848" s="436"/>
      <c r="W6848" s="6"/>
      <c r="X6848" s="8"/>
      <c r="Y6848" s="8"/>
    </row>
    <row r="6849" spans="3:25">
      <c r="C6849" s="4"/>
      <c r="D6849" s="4"/>
      <c r="E6849" s="5"/>
      <c r="F6849" s="6"/>
      <c r="G6849" s="31"/>
      <c r="H6849" s="6"/>
      <c r="I6849" s="9"/>
      <c r="J6849" s="24"/>
      <c r="K6849" s="9"/>
      <c r="L6849" s="25"/>
      <c r="M6849" s="46"/>
      <c r="N6849" s="8"/>
      <c r="O6849" s="11"/>
      <c r="P6849" s="11"/>
      <c r="Q6849" s="8"/>
      <c r="R6849" s="6"/>
      <c r="S6849" s="3"/>
      <c r="T6849" s="3"/>
      <c r="U6849" s="7"/>
      <c r="V6849" s="436"/>
      <c r="W6849" s="6"/>
      <c r="X6849" s="8"/>
      <c r="Y6849" s="8"/>
    </row>
    <row r="6850" spans="3:25">
      <c r="C6850" s="4"/>
      <c r="D6850" s="4"/>
      <c r="E6850" s="5"/>
      <c r="F6850" s="6"/>
      <c r="G6850" s="31"/>
      <c r="H6850" s="6"/>
      <c r="I6850" s="9"/>
      <c r="J6850" s="24"/>
      <c r="K6850" s="9"/>
      <c r="L6850" s="25"/>
      <c r="M6850" s="46"/>
      <c r="N6850" s="8"/>
      <c r="O6850" s="11"/>
      <c r="P6850" s="11"/>
      <c r="Q6850" s="8"/>
      <c r="R6850" s="6"/>
      <c r="S6850" s="3"/>
      <c r="T6850" s="3"/>
      <c r="U6850" s="7"/>
      <c r="V6850" s="436"/>
      <c r="W6850" s="6"/>
      <c r="X6850" s="8"/>
      <c r="Y6850" s="8"/>
    </row>
    <row r="6851" spans="3:25">
      <c r="C6851" s="4"/>
      <c r="D6851" s="4"/>
      <c r="E6851" s="5"/>
      <c r="F6851" s="6"/>
      <c r="G6851" s="31"/>
      <c r="H6851" s="6"/>
      <c r="I6851" s="9"/>
      <c r="J6851" s="24"/>
      <c r="K6851" s="9"/>
      <c r="L6851" s="25"/>
      <c r="M6851" s="46"/>
      <c r="N6851" s="8"/>
      <c r="O6851" s="11"/>
      <c r="P6851" s="11"/>
      <c r="Q6851" s="8"/>
      <c r="R6851" s="6"/>
      <c r="S6851" s="3"/>
      <c r="T6851" s="3"/>
      <c r="U6851" s="7"/>
      <c r="V6851" s="436"/>
      <c r="W6851" s="6"/>
      <c r="X6851" s="8"/>
      <c r="Y6851" s="8"/>
    </row>
    <row r="6852" spans="3:25">
      <c r="C6852" s="4"/>
      <c r="D6852" s="4"/>
      <c r="E6852" s="5"/>
      <c r="F6852" s="6"/>
      <c r="G6852" s="31"/>
      <c r="H6852" s="6"/>
      <c r="I6852" s="9"/>
      <c r="J6852" s="24"/>
      <c r="K6852" s="9"/>
      <c r="L6852" s="25"/>
      <c r="M6852" s="46"/>
      <c r="N6852" s="8"/>
      <c r="O6852" s="11"/>
      <c r="P6852" s="11"/>
      <c r="Q6852" s="8"/>
      <c r="R6852" s="6"/>
      <c r="S6852" s="3"/>
      <c r="T6852" s="3"/>
      <c r="U6852" s="7"/>
      <c r="V6852" s="436"/>
      <c r="W6852" s="6"/>
      <c r="X6852" s="8"/>
      <c r="Y6852" s="8"/>
    </row>
    <row r="6853" spans="3:25">
      <c r="C6853" s="4"/>
      <c r="D6853" s="4"/>
      <c r="E6853" s="5"/>
      <c r="F6853" s="6"/>
      <c r="G6853" s="31"/>
      <c r="H6853" s="6"/>
      <c r="I6853" s="9"/>
      <c r="J6853" s="24"/>
      <c r="K6853" s="9"/>
      <c r="L6853" s="25"/>
      <c r="M6853" s="46"/>
      <c r="N6853" s="8"/>
      <c r="O6853" s="11"/>
      <c r="P6853" s="11"/>
      <c r="Q6853" s="8"/>
      <c r="R6853" s="6"/>
      <c r="S6853" s="3"/>
      <c r="T6853" s="3"/>
      <c r="U6853" s="7"/>
      <c r="V6853" s="436"/>
      <c r="W6853" s="6"/>
      <c r="X6853" s="8"/>
      <c r="Y6853" s="8"/>
    </row>
    <row r="6854" spans="3:25">
      <c r="C6854" s="4"/>
      <c r="D6854" s="4"/>
      <c r="E6854" s="5"/>
      <c r="F6854" s="6"/>
      <c r="G6854" s="31"/>
      <c r="H6854" s="6"/>
      <c r="I6854" s="9"/>
      <c r="J6854" s="24"/>
      <c r="K6854" s="9"/>
      <c r="L6854" s="25"/>
      <c r="M6854" s="46"/>
      <c r="N6854" s="8"/>
      <c r="O6854" s="11"/>
      <c r="P6854" s="11"/>
      <c r="Q6854" s="8"/>
      <c r="R6854" s="6"/>
      <c r="S6854" s="3"/>
      <c r="T6854" s="3"/>
      <c r="U6854" s="7"/>
      <c r="V6854" s="436"/>
      <c r="W6854" s="6"/>
      <c r="X6854" s="8"/>
      <c r="Y6854" s="8"/>
    </row>
    <row r="6855" spans="3:25">
      <c r="C6855" s="4"/>
      <c r="D6855" s="4"/>
      <c r="E6855" s="5"/>
      <c r="F6855" s="6"/>
      <c r="G6855" s="31"/>
      <c r="H6855" s="6"/>
      <c r="I6855" s="9"/>
      <c r="J6855" s="24"/>
      <c r="K6855" s="9"/>
      <c r="L6855" s="25"/>
      <c r="M6855" s="46"/>
      <c r="N6855" s="8"/>
      <c r="O6855" s="11"/>
      <c r="P6855" s="11"/>
      <c r="Q6855" s="8"/>
      <c r="R6855" s="6"/>
      <c r="S6855" s="3"/>
      <c r="T6855" s="3"/>
      <c r="U6855" s="7"/>
      <c r="V6855" s="436"/>
      <c r="W6855" s="6"/>
      <c r="X6855" s="8"/>
      <c r="Y6855" s="8"/>
    </row>
    <row r="6856" spans="3:25">
      <c r="C6856" s="4"/>
      <c r="D6856" s="4"/>
      <c r="E6856" s="5"/>
      <c r="F6856" s="6"/>
      <c r="G6856" s="31"/>
      <c r="H6856" s="6"/>
      <c r="I6856" s="9"/>
      <c r="J6856" s="24"/>
      <c r="K6856" s="9"/>
      <c r="L6856" s="25"/>
      <c r="M6856" s="46"/>
      <c r="N6856" s="8"/>
      <c r="O6856" s="11"/>
      <c r="P6856" s="11"/>
      <c r="Q6856" s="8"/>
      <c r="R6856" s="6"/>
      <c r="S6856" s="3"/>
      <c r="T6856" s="3"/>
      <c r="U6856" s="7"/>
      <c r="V6856" s="436"/>
      <c r="W6856" s="6"/>
      <c r="X6856" s="8"/>
      <c r="Y6856" s="8"/>
    </row>
    <row r="6857" spans="3:25">
      <c r="C6857" s="4"/>
      <c r="D6857" s="4"/>
      <c r="E6857" s="5"/>
      <c r="F6857" s="6"/>
      <c r="G6857" s="31"/>
      <c r="H6857" s="6"/>
      <c r="I6857" s="9"/>
      <c r="J6857" s="24"/>
      <c r="K6857" s="9"/>
      <c r="L6857" s="25"/>
      <c r="M6857" s="46"/>
      <c r="N6857" s="8"/>
      <c r="O6857" s="11"/>
      <c r="P6857" s="11"/>
      <c r="Q6857" s="8"/>
      <c r="R6857" s="6"/>
      <c r="S6857" s="3"/>
      <c r="T6857" s="3"/>
      <c r="U6857" s="7"/>
      <c r="V6857" s="436"/>
      <c r="W6857" s="6"/>
      <c r="X6857" s="8"/>
      <c r="Y6857" s="8"/>
    </row>
    <row r="6858" spans="3:25">
      <c r="C6858" s="4"/>
      <c r="D6858" s="4"/>
      <c r="E6858" s="5"/>
      <c r="F6858" s="6"/>
      <c r="G6858" s="31"/>
      <c r="H6858" s="6"/>
      <c r="I6858" s="9"/>
      <c r="J6858" s="24"/>
      <c r="K6858" s="9"/>
      <c r="L6858" s="25"/>
      <c r="M6858" s="46"/>
      <c r="N6858" s="8"/>
      <c r="O6858" s="11"/>
      <c r="P6858" s="11"/>
      <c r="Q6858" s="8"/>
      <c r="R6858" s="6"/>
      <c r="S6858" s="3"/>
      <c r="T6858" s="3"/>
      <c r="U6858" s="7"/>
      <c r="V6858" s="436"/>
      <c r="W6858" s="6"/>
      <c r="X6858" s="8"/>
      <c r="Y6858" s="8"/>
    </row>
    <row r="6859" spans="3:25">
      <c r="C6859" s="4"/>
      <c r="D6859" s="4"/>
      <c r="E6859" s="5"/>
      <c r="F6859" s="6"/>
      <c r="G6859" s="31"/>
      <c r="H6859" s="6"/>
      <c r="I6859" s="9"/>
      <c r="J6859" s="24"/>
      <c r="K6859" s="9"/>
      <c r="L6859" s="25"/>
      <c r="M6859" s="46"/>
      <c r="N6859" s="8"/>
      <c r="O6859" s="11"/>
      <c r="P6859" s="11"/>
      <c r="Q6859" s="8"/>
      <c r="R6859" s="6"/>
      <c r="S6859" s="3"/>
      <c r="T6859" s="3"/>
      <c r="U6859" s="7"/>
      <c r="V6859" s="436"/>
      <c r="W6859" s="6"/>
      <c r="X6859" s="8"/>
      <c r="Y6859" s="8"/>
    </row>
    <row r="6860" spans="3:25">
      <c r="C6860" s="4"/>
      <c r="D6860" s="4"/>
      <c r="E6860" s="5"/>
      <c r="F6860" s="6"/>
      <c r="G6860" s="31"/>
      <c r="H6860" s="6"/>
      <c r="I6860" s="9"/>
      <c r="J6860" s="24"/>
      <c r="K6860" s="9"/>
      <c r="L6860" s="25"/>
      <c r="M6860" s="46"/>
      <c r="N6860" s="8"/>
      <c r="O6860" s="11"/>
      <c r="P6860" s="11"/>
      <c r="Q6860" s="8"/>
      <c r="R6860" s="6"/>
      <c r="S6860" s="3"/>
      <c r="T6860" s="3"/>
      <c r="U6860" s="7"/>
      <c r="V6860" s="436"/>
      <c r="W6860" s="6"/>
      <c r="X6860" s="8"/>
      <c r="Y6860" s="8"/>
    </row>
    <row r="6861" spans="3:25">
      <c r="C6861" s="4"/>
      <c r="D6861" s="4"/>
      <c r="E6861" s="5"/>
      <c r="F6861" s="6"/>
      <c r="G6861" s="31"/>
      <c r="H6861" s="6"/>
      <c r="I6861" s="9"/>
      <c r="J6861" s="24"/>
      <c r="K6861" s="9"/>
      <c r="L6861" s="25"/>
      <c r="M6861" s="46"/>
      <c r="N6861" s="8"/>
      <c r="O6861" s="11"/>
      <c r="P6861" s="11"/>
      <c r="Q6861" s="8"/>
      <c r="R6861" s="6"/>
      <c r="S6861" s="3"/>
      <c r="T6861" s="3"/>
      <c r="U6861" s="7"/>
      <c r="V6861" s="436"/>
      <c r="W6861" s="6"/>
      <c r="X6861" s="8"/>
      <c r="Y6861" s="8"/>
    </row>
    <row r="6862" spans="3:25">
      <c r="C6862" s="4"/>
      <c r="D6862" s="4"/>
      <c r="E6862" s="5"/>
      <c r="F6862" s="6"/>
      <c r="G6862" s="31"/>
      <c r="H6862" s="6"/>
      <c r="I6862" s="9"/>
      <c r="J6862" s="24"/>
      <c r="K6862" s="9"/>
      <c r="L6862" s="25"/>
      <c r="M6862" s="46"/>
      <c r="N6862" s="8"/>
      <c r="O6862" s="11"/>
      <c r="P6862" s="11"/>
      <c r="Q6862" s="8"/>
      <c r="R6862" s="6"/>
      <c r="S6862" s="3"/>
      <c r="T6862" s="3"/>
      <c r="U6862" s="7"/>
      <c r="V6862" s="436"/>
      <c r="W6862" s="6"/>
      <c r="X6862" s="8"/>
      <c r="Y6862" s="8"/>
    </row>
    <row r="6863" spans="3:25">
      <c r="C6863" s="4"/>
      <c r="D6863" s="4"/>
      <c r="E6863" s="5"/>
      <c r="F6863" s="6"/>
      <c r="G6863" s="31"/>
      <c r="H6863" s="6"/>
      <c r="I6863" s="9"/>
      <c r="J6863" s="24"/>
      <c r="K6863" s="9"/>
      <c r="L6863" s="25"/>
      <c r="M6863" s="46"/>
      <c r="N6863" s="8"/>
      <c r="O6863" s="11"/>
      <c r="P6863" s="11"/>
      <c r="Q6863" s="8"/>
      <c r="R6863" s="6"/>
      <c r="S6863" s="3"/>
      <c r="T6863" s="3"/>
      <c r="U6863" s="7"/>
      <c r="V6863" s="436"/>
      <c r="W6863" s="6"/>
      <c r="X6863" s="8"/>
      <c r="Y6863" s="8"/>
    </row>
    <row r="6864" spans="3:25">
      <c r="C6864" s="4"/>
      <c r="D6864" s="4"/>
      <c r="E6864" s="5"/>
      <c r="F6864" s="6"/>
      <c r="G6864" s="31"/>
      <c r="H6864" s="6"/>
      <c r="I6864" s="9"/>
      <c r="J6864" s="24"/>
      <c r="K6864" s="9"/>
      <c r="L6864" s="25"/>
      <c r="M6864" s="46"/>
      <c r="N6864" s="8"/>
      <c r="O6864" s="11"/>
      <c r="P6864" s="11"/>
      <c r="Q6864" s="8"/>
      <c r="R6864" s="6"/>
      <c r="S6864" s="3"/>
      <c r="T6864" s="3"/>
      <c r="U6864" s="7"/>
      <c r="V6864" s="436"/>
      <c r="W6864" s="6"/>
      <c r="X6864" s="8"/>
      <c r="Y6864" s="8"/>
    </row>
    <row r="6865" spans="3:25">
      <c r="C6865" s="4"/>
      <c r="D6865" s="4"/>
      <c r="E6865" s="5"/>
      <c r="F6865" s="6"/>
      <c r="G6865" s="31"/>
      <c r="H6865" s="6"/>
      <c r="I6865" s="9"/>
      <c r="J6865" s="24"/>
      <c r="K6865" s="9"/>
      <c r="L6865" s="25"/>
      <c r="M6865" s="46"/>
      <c r="N6865" s="8"/>
      <c r="O6865" s="11"/>
      <c r="P6865" s="11"/>
      <c r="Q6865" s="8"/>
      <c r="R6865" s="6"/>
      <c r="S6865" s="3"/>
      <c r="T6865" s="3"/>
      <c r="U6865" s="7"/>
      <c r="V6865" s="436"/>
      <c r="W6865" s="6"/>
      <c r="X6865" s="8"/>
      <c r="Y6865" s="8"/>
    </row>
    <row r="6866" spans="3:25">
      <c r="C6866" s="4"/>
      <c r="D6866" s="4"/>
      <c r="E6866" s="5"/>
      <c r="F6866" s="6"/>
      <c r="G6866" s="31"/>
      <c r="H6866" s="6"/>
      <c r="I6866" s="9"/>
      <c r="J6866" s="24"/>
      <c r="K6866" s="9"/>
      <c r="L6866" s="25"/>
      <c r="M6866" s="46"/>
      <c r="N6866" s="8"/>
      <c r="O6866" s="11"/>
      <c r="P6866" s="11"/>
      <c r="Q6866" s="8"/>
      <c r="R6866" s="6"/>
      <c r="S6866" s="3"/>
      <c r="T6866" s="3"/>
      <c r="U6866" s="7"/>
      <c r="V6866" s="436"/>
      <c r="W6866" s="6"/>
      <c r="X6866" s="8"/>
      <c r="Y6866" s="6"/>
    </row>
    <row r="6867" spans="3:25">
      <c r="C6867" s="4"/>
      <c r="D6867" s="4"/>
      <c r="E6867" s="5"/>
      <c r="F6867" s="6"/>
      <c r="G6867" s="31"/>
      <c r="H6867" s="6"/>
      <c r="I6867" s="9"/>
      <c r="J6867" s="24"/>
      <c r="K6867" s="9"/>
      <c r="L6867" s="25"/>
      <c r="M6867" s="46"/>
      <c r="N6867" s="8"/>
      <c r="O6867" s="11"/>
      <c r="P6867" s="11"/>
      <c r="Q6867" s="8"/>
      <c r="R6867" s="6"/>
      <c r="S6867" s="3"/>
      <c r="T6867" s="3"/>
      <c r="U6867" s="7"/>
      <c r="V6867" s="436"/>
      <c r="W6867" s="6"/>
      <c r="X6867" s="8"/>
      <c r="Y6867" s="6"/>
    </row>
    <row r="6868" spans="3:25">
      <c r="C6868" s="4"/>
      <c r="D6868" s="4"/>
      <c r="E6868" s="5"/>
      <c r="F6868" s="6"/>
      <c r="G6868" s="31"/>
      <c r="H6868" s="6"/>
      <c r="I6868" s="9"/>
      <c r="J6868" s="24"/>
      <c r="K6868" s="9"/>
      <c r="L6868" s="25"/>
      <c r="M6868" s="46"/>
      <c r="N6868" s="8"/>
      <c r="O6868" s="11"/>
      <c r="P6868" s="11"/>
      <c r="Q6868" s="8"/>
      <c r="R6868" s="6"/>
      <c r="S6868" s="3"/>
      <c r="T6868" s="3"/>
      <c r="U6868" s="7"/>
      <c r="V6868" s="436"/>
      <c r="W6868" s="6"/>
      <c r="X6868" s="8"/>
      <c r="Y6868" s="6"/>
    </row>
    <row r="6869" spans="3:25">
      <c r="C6869" s="4"/>
      <c r="D6869" s="4"/>
      <c r="E6869" s="5"/>
      <c r="F6869" s="6"/>
      <c r="G6869" s="31"/>
      <c r="H6869" s="6"/>
      <c r="I6869" s="9"/>
      <c r="J6869" s="24"/>
      <c r="K6869" s="9"/>
      <c r="L6869" s="25"/>
      <c r="M6869" s="46"/>
      <c r="N6869" s="8"/>
      <c r="O6869" s="11"/>
      <c r="P6869" s="11"/>
      <c r="Q6869" s="8"/>
      <c r="R6869" s="6"/>
      <c r="S6869" s="3"/>
      <c r="T6869" s="3"/>
      <c r="U6869" s="7"/>
      <c r="V6869" s="436"/>
      <c r="W6869" s="6"/>
      <c r="X6869" s="8"/>
      <c r="Y6869" s="6"/>
    </row>
    <row r="6870" spans="3:25">
      <c r="C6870" s="4"/>
      <c r="D6870" s="4"/>
      <c r="E6870" s="5"/>
      <c r="F6870" s="6"/>
      <c r="G6870" s="31"/>
      <c r="H6870" s="6"/>
      <c r="I6870" s="9"/>
      <c r="J6870" s="24"/>
      <c r="K6870" s="9"/>
      <c r="L6870" s="25"/>
      <c r="M6870" s="46"/>
      <c r="N6870" s="8"/>
      <c r="O6870" s="11"/>
      <c r="P6870" s="11"/>
      <c r="Q6870" s="8"/>
      <c r="R6870" s="6"/>
      <c r="S6870" s="3"/>
      <c r="T6870" s="3"/>
      <c r="U6870" s="7"/>
      <c r="V6870" s="436"/>
      <c r="W6870" s="6"/>
      <c r="X6870" s="8"/>
      <c r="Y6870" s="6"/>
    </row>
    <row r="6871" spans="3:25">
      <c r="C6871" s="4"/>
      <c r="D6871" s="4"/>
      <c r="E6871" s="5"/>
      <c r="F6871" s="6"/>
      <c r="G6871" s="31"/>
      <c r="H6871" s="6"/>
      <c r="I6871" s="9"/>
      <c r="J6871" s="24"/>
      <c r="K6871" s="9"/>
      <c r="L6871" s="25"/>
      <c r="M6871" s="46"/>
      <c r="N6871" s="8"/>
      <c r="O6871" s="11"/>
      <c r="P6871" s="11"/>
      <c r="Q6871" s="8"/>
      <c r="R6871" s="6"/>
      <c r="S6871" s="3"/>
      <c r="T6871" s="3"/>
      <c r="U6871" s="7"/>
      <c r="V6871" s="436"/>
      <c r="W6871" s="6"/>
      <c r="X6871" s="8"/>
      <c r="Y6871" s="6"/>
    </row>
    <row r="6872" spans="3:25">
      <c r="C6872" s="4"/>
      <c r="D6872" s="4"/>
      <c r="E6872" s="5"/>
      <c r="F6872" s="6"/>
      <c r="G6872" s="31"/>
      <c r="H6872" s="6"/>
      <c r="I6872" s="9"/>
      <c r="J6872" s="24"/>
      <c r="K6872" s="9"/>
      <c r="L6872" s="25"/>
      <c r="M6872" s="46"/>
      <c r="N6872" s="8"/>
      <c r="O6872" s="11"/>
      <c r="P6872" s="11"/>
      <c r="Q6872" s="8"/>
      <c r="R6872" s="6"/>
      <c r="S6872" s="3"/>
      <c r="T6872" s="3"/>
      <c r="U6872" s="7"/>
      <c r="V6872" s="436"/>
      <c r="W6872" s="6"/>
      <c r="X6872" s="8"/>
      <c r="Y6872" s="6"/>
    </row>
    <row r="6873" spans="3:25">
      <c r="C6873" s="4"/>
      <c r="D6873" s="4"/>
      <c r="E6873" s="5"/>
      <c r="F6873" s="6"/>
      <c r="G6873" s="31"/>
      <c r="H6873" s="6"/>
      <c r="I6873" s="9"/>
      <c r="J6873" s="24"/>
      <c r="K6873" s="9"/>
      <c r="L6873" s="25"/>
      <c r="M6873" s="46"/>
      <c r="N6873" s="8"/>
      <c r="O6873" s="11"/>
      <c r="P6873" s="11"/>
      <c r="Q6873" s="8"/>
      <c r="R6873" s="6"/>
      <c r="S6873" s="3"/>
      <c r="T6873" s="3"/>
      <c r="U6873" s="7"/>
      <c r="V6873" s="436"/>
      <c r="W6873" s="6"/>
      <c r="X6873" s="8"/>
      <c r="Y6873" s="6"/>
    </row>
    <row r="6874" spans="3:25">
      <c r="C6874" s="4"/>
      <c r="D6874" s="4"/>
      <c r="E6874" s="5"/>
      <c r="F6874" s="6"/>
      <c r="G6874" s="31"/>
      <c r="H6874" s="6"/>
      <c r="I6874" s="9"/>
      <c r="J6874" s="24"/>
      <c r="K6874" s="9"/>
      <c r="L6874" s="25"/>
      <c r="M6874" s="46"/>
      <c r="N6874" s="8"/>
      <c r="O6874" s="11"/>
      <c r="P6874" s="11"/>
      <c r="Q6874" s="8"/>
      <c r="R6874" s="6"/>
      <c r="S6874" s="3"/>
      <c r="T6874" s="3"/>
      <c r="U6874" s="7"/>
      <c r="V6874" s="436"/>
      <c r="W6874" s="6"/>
      <c r="X6874" s="8"/>
      <c r="Y6874" s="6"/>
    </row>
    <row r="6875" spans="3:25">
      <c r="C6875" s="4"/>
      <c r="D6875" s="4"/>
      <c r="E6875" s="5"/>
      <c r="F6875" s="6"/>
      <c r="G6875" s="31"/>
      <c r="H6875" s="6"/>
      <c r="I6875" s="9"/>
      <c r="J6875" s="24"/>
      <c r="K6875" s="9"/>
      <c r="L6875" s="25"/>
      <c r="M6875" s="46"/>
      <c r="N6875" s="8"/>
      <c r="O6875" s="11"/>
      <c r="P6875" s="11"/>
      <c r="Q6875" s="8"/>
      <c r="R6875" s="6"/>
      <c r="S6875" s="3"/>
      <c r="T6875" s="3"/>
      <c r="U6875" s="7"/>
      <c r="V6875" s="436"/>
      <c r="W6875" s="6"/>
      <c r="X6875" s="8"/>
      <c r="Y6875" s="6"/>
    </row>
    <row r="6876" spans="3:25">
      <c r="C6876" s="4"/>
      <c r="D6876" s="4"/>
      <c r="E6876" s="5"/>
      <c r="F6876" s="6"/>
      <c r="G6876" s="31"/>
      <c r="H6876" s="6"/>
      <c r="I6876" s="9"/>
      <c r="J6876" s="24"/>
      <c r="K6876" s="9"/>
      <c r="L6876" s="25"/>
      <c r="M6876" s="46"/>
      <c r="N6876" s="8"/>
      <c r="O6876" s="11"/>
      <c r="P6876" s="11"/>
      <c r="Q6876" s="8"/>
      <c r="R6876" s="6"/>
      <c r="S6876" s="3"/>
      <c r="T6876" s="3"/>
      <c r="U6876" s="7"/>
      <c r="V6876" s="436"/>
      <c r="W6876" s="6"/>
      <c r="X6876" s="8"/>
      <c r="Y6876" s="6"/>
    </row>
    <row r="6877" spans="3:25">
      <c r="C6877" s="4"/>
      <c r="D6877" s="4"/>
      <c r="E6877" s="5"/>
      <c r="F6877" s="6"/>
      <c r="G6877" s="31"/>
      <c r="H6877" s="6"/>
      <c r="I6877" s="9"/>
      <c r="J6877" s="24"/>
      <c r="K6877" s="9"/>
      <c r="L6877" s="25"/>
      <c r="M6877" s="46"/>
      <c r="N6877" s="8"/>
      <c r="O6877" s="11"/>
      <c r="P6877" s="11"/>
      <c r="Q6877" s="8"/>
      <c r="R6877" s="6"/>
      <c r="S6877" s="3"/>
      <c r="T6877" s="3"/>
      <c r="U6877" s="7"/>
      <c r="V6877" s="436"/>
      <c r="W6877" s="6"/>
      <c r="X6877" s="8"/>
      <c r="Y6877" s="6"/>
    </row>
    <row r="6878" spans="3:25">
      <c r="C6878" s="4"/>
      <c r="D6878" s="4"/>
      <c r="E6878" s="5"/>
      <c r="F6878" s="6"/>
      <c r="G6878" s="31"/>
      <c r="H6878" s="6"/>
      <c r="I6878" s="9"/>
      <c r="J6878" s="24"/>
      <c r="K6878" s="9"/>
      <c r="L6878" s="25"/>
      <c r="M6878" s="46"/>
      <c r="N6878" s="8"/>
      <c r="O6878" s="11"/>
      <c r="P6878" s="11"/>
      <c r="Q6878" s="8"/>
      <c r="R6878" s="6"/>
      <c r="S6878" s="3"/>
      <c r="T6878" s="3"/>
      <c r="U6878" s="7"/>
      <c r="V6878" s="436"/>
      <c r="W6878" s="6"/>
      <c r="X6878" s="8"/>
      <c r="Y6878" s="6"/>
    </row>
    <row r="6879" spans="3:25">
      <c r="C6879" s="4"/>
      <c r="D6879" s="4"/>
      <c r="E6879" s="5"/>
      <c r="F6879" s="6"/>
      <c r="G6879" s="31"/>
      <c r="H6879" s="6"/>
      <c r="I6879" s="9"/>
      <c r="J6879" s="24"/>
      <c r="K6879" s="9"/>
      <c r="L6879" s="25"/>
      <c r="M6879" s="46"/>
      <c r="N6879" s="8"/>
      <c r="O6879" s="11"/>
      <c r="P6879" s="11"/>
      <c r="Q6879" s="8"/>
      <c r="R6879" s="6"/>
      <c r="S6879" s="3"/>
      <c r="T6879" s="3"/>
      <c r="U6879" s="7"/>
      <c r="V6879" s="436"/>
      <c r="W6879" s="6"/>
      <c r="X6879" s="8"/>
      <c r="Y6879" s="6"/>
    </row>
    <row r="6880" spans="3:25">
      <c r="C6880" s="4"/>
      <c r="D6880" s="4"/>
      <c r="E6880" s="5"/>
      <c r="F6880" s="6"/>
      <c r="G6880" s="31"/>
      <c r="H6880" s="6"/>
      <c r="I6880" s="9"/>
      <c r="J6880" s="24"/>
      <c r="K6880" s="9"/>
      <c r="L6880" s="25"/>
      <c r="M6880" s="46"/>
      <c r="N6880" s="8"/>
      <c r="O6880" s="11"/>
      <c r="P6880" s="11"/>
      <c r="Q6880" s="8"/>
      <c r="R6880" s="6"/>
      <c r="S6880" s="3"/>
      <c r="T6880" s="3"/>
      <c r="U6880" s="7"/>
      <c r="V6880" s="436"/>
      <c r="W6880" s="6"/>
      <c r="X6880" s="8"/>
      <c r="Y6880" s="6"/>
    </row>
    <row r="6881" spans="3:36">
      <c r="C6881" s="4"/>
      <c r="D6881" s="4"/>
      <c r="E6881" s="5"/>
      <c r="F6881" s="6"/>
      <c r="G6881" s="31"/>
      <c r="H6881" s="6"/>
      <c r="I6881" s="9"/>
      <c r="J6881" s="24"/>
      <c r="K6881" s="9"/>
      <c r="L6881" s="25"/>
      <c r="M6881" s="46"/>
      <c r="N6881" s="8"/>
      <c r="O6881" s="11"/>
      <c r="P6881" s="11"/>
      <c r="Q6881" s="8"/>
      <c r="R6881" s="6"/>
      <c r="S6881" s="3"/>
      <c r="T6881" s="3"/>
      <c r="U6881" s="7"/>
      <c r="V6881" s="436"/>
      <c r="W6881" s="6"/>
      <c r="X6881" s="8"/>
      <c r="Y6881" s="6"/>
    </row>
    <row r="6882" spans="3:36">
      <c r="C6882" s="4"/>
      <c r="D6882" s="4"/>
      <c r="E6882" s="5"/>
      <c r="F6882" s="6"/>
      <c r="G6882" s="31"/>
      <c r="H6882" s="6"/>
      <c r="I6882" s="9"/>
      <c r="J6882" s="24"/>
      <c r="K6882" s="9"/>
      <c r="L6882" s="25"/>
      <c r="M6882" s="46"/>
      <c r="N6882" s="8"/>
      <c r="O6882" s="11"/>
      <c r="P6882" s="11"/>
      <c r="Q6882" s="8"/>
      <c r="R6882" s="6"/>
      <c r="S6882" s="3"/>
      <c r="T6882" s="3"/>
      <c r="U6882" s="7"/>
      <c r="V6882" s="436"/>
      <c r="W6882" s="6"/>
      <c r="X6882" s="8"/>
      <c r="Y6882" s="6"/>
    </row>
    <row r="6883" spans="3:36">
      <c r="C6883" s="4"/>
      <c r="D6883" s="4"/>
      <c r="E6883" s="5"/>
      <c r="F6883" s="6"/>
      <c r="G6883" s="31"/>
      <c r="H6883" s="6"/>
      <c r="I6883" s="9"/>
      <c r="J6883" s="24"/>
      <c r="K6883" s="9"/>
      <c r="L6883" s="25"/>
      <c r="M6883" s="46"/>
      <c r="N6883" s="8"/>
      <c r="O6883" s="11"/>
      <c r="P6883" s="11"/>
      <c r="Q6883" s="8"/>
      <c r="R6883" s="6"/>
      <c r="S6883" s="3"/>
      <c r="T6883" s="3"/>
      <c r="U6883" s="7"/>
      <c r="V6883" s="436"/>
      <c r="W6883" s="6"/>
      <c r="X6883" s="8"/>
      <c r="Y6883" s="6"/>
    </row>
    <row r="6884" spans="3:36">
      <c r="C6884" s="4"/>
      <c r="D6884" s="4"/>
      <c r="E6884" s="5"/>
      <c r="F6884" s="6"/>
      <c r="G6884" s="31"/>
      <c r="H6884" s="6"/>
      <c r="I6884" s="9"/>
      <c r="J6884" s="24"/>
      <c r="K6884" s="9"/>
      <c r="L6884" s="25"/>
      <c r="M6884" s="46"/>
      <c r="N6884" s="8"/>
      <c r="O6884" s="11"/>
      <c r="P6884" s="11"/>
      <c r="Q6884" s="8"/>
      <c r="R6884" s="6"/>
      <c r="S6884" s="3"/>
      <c r="T6884" s="3"/>
      <c r="U6884" s="7"/>
      <c r="V6884" s="436"/>
      <c r="W6884" s="6"/>
      <c r="X6884" s="8"/>
      <c r="Y6884" s="6"/>
    </row>
    <row r="6885" spans="3:36">
      <c r="C6885" s="4"/>
      <c r="D6885" s="4"/>
      <c r="E6885" s="5"/>
      <c r="F6885" s="6"/>
      <c r="G6885" s="31"/>
      <c r="H6885" s="6"/>
      <c r="I6885" s="9"/>
      <c r="J6885" s="24"/>
      <c r="K6885" s="9"/>
      <c r="L6885" s="25"/>
      <c r="M6885" s="46"/>
      <c r="N6885" s="8"/>
      <c r="O6885" s="11"/>
      <c r="P6885" s="11"/>
      <c r="Q6885" s="8"/>
      <c r="R6885" s="6"/>
      <c r="S6885" s="3"/>
      <c r="T6885" s="3"/>
      <c r="U6885" s="7"/>
      <c r="V6885" s="436"/>
      <c r="W6885" s="6"/>
      <c r="X6885" s="8"/>
      <c r="Y6885" s="6"/>
    </row>
    <row r="6886" spans="3:36">
      <c r="C6886" s="4"/>
      <c r="D6886" s="4"/>
      <c r="E6886" s="5"/>
      <c r="F6886" s="6"/>
      <c r="G6886" s="31"/>
      <c r="H6886" s="6"/>
      <c r="I6886" s="9"/>
      <c r="J6886" s="24"/>
      <c r="K6886" s="9"/>
      <c r="L6886" s="25"/>
      <c r="M6886" s="46"/>
      <c r="N6886" s="8"/>
      <c r="O6886" s="11"/>
      <c r="P6886" s="11"/>
      <c r="Q6886" s="8"/>
      <c r="R6886" s="6"/>
      <c r="S6886" s="3"/>
      <c r="T6886" s="3"/>
      <c r="U6886" s="7"/>
      <c r="V6886" s="436"/>
      <c r="W6886" s="6"/>
      <c r="X6886" s="8"/>
      <c r="Y6886" s="6"/>
    </row>
    <row r="6887" spans="3:36">
      <c r="C6887" s="4"/>
      <c r="D6887" s="4"/>
      <c r="E6887" s="5"/>
      <c r="F6887" s="6"/>
      <c r="G6887" s="31"/>
      <c r="H6887" s="6"/>
      <c r="I6887" s="9"/>
      <c r="J6887" s="24"/>
      <c r="K6887" s="9"/>
      <c r="L6887" s="25"/>
      <c r="M6887" s="46"/>
      <c r="N6887" s="8"/>
      <c r="O6887" s="11"/>
      <c r="P6887" s="11"/>
      <c r="Q6887" s="8"/>
      <c r="R6887" s="6"/>
      <c r="S6887" s="3"/>
      <c r="T6887" s="3"/>
      <c r="U6887" s="7"/>
      <c r="V6887" s="436"/>
      <c r="W6887" s="6"/>
      <c r="X6887" s="8"/>
      <c r="Y6887" s="6"/>
    </row>
    <row r="6888" spans="3:36">
      <c r="C6888" s="4"/>
      <c r="D6888" s="4"/>
      <c r="E6888" s="5"/>
      <c r="F6888" s="6"/>
      <c r="G6888" s="31"/>
      <c r="H6888" s="6"/>
      <c r="I6888" s="9"/>
      <c r="J6888" s="24"/>
      <c r="K6888" s="9"/>
      <c r="L6888" s="25"/>
      <c r="M6888" s="46"/>
      <c r="N6888" s="8"/>
      <c r="O6888" s="11"/>
      <c r="P6888" s="11"/>
      <c r="Q6888" s="8"/>
      <c r="R6888" s="6"/>
      <c r="S6888" s="3"/>
      <c r="T6888" s="3"/>
      <c r="U6888" s="7"/>
      <c r="V6888" s="436"/>
      <c r="W6888" s="6"/>
      <c r="X6888" s="8"/>
      <c r="Y6888" s="6"/>
    </row>
    <row r="6889" spans="3:36" s="13" customFormat="1">
      <c r="C6889" s="4"/>
      <c r="D6889" s="4"/>
      <c r="E6889" s="5"/>
      <c r="F6889" s="6"/>
      <c r="G6889" s="31"/>
      <c r="H6889" s="6"/>
      <c r="I6889" s="9"/>
      <c r="J6889" s="24"/>
      <c r="K6889" s="9"/>
      <c r="L6889" s="25"/>
      <c r="M6889" s="46"/>
      <c r="N6889" s="8"/>
      <c r="O6889" s="11"/>
      <c r="P6889" s="11"/>
      <c r="Q6889" s="8"/>
      <c r="R6889" s="6"/>
      <c r="S6889" s="3"/>
      <c r="T6889" s="3"/>
      <c r="U6889" s="7"/>
      <c r="V6889" s="436"/>
      <c r="W6889" s="6"/>
      <c r="X6889" s="8"/>
      <c r="Y6889" s="6"/>
      <c r="AH6889" s="325"/>
      <c r="AI6889" s="325"/>
      <c r="AJ6889" s="325"/>
    </row>
    <row r="6890" spans="3:36">
      <c r="C6890" s="4"/>
      <c r="D6890" s="4"/>
      <c r="E6890" s="5"/>
      <c r="F6890" s="6"/>
      <c r="G6890" s="31"/>
      <c r="H6890" s="6"/>
      <c r="I6890" s="9"/>
      <c r="J6890" s="24"/>
      <c r="K6890" s="9"/>
      <c r="L6890" s="25"/>
      <c r="M6890" s="51"/>
      <c r="N6890" s="8"/>
      <c r="O6890" s="11"/>
      <c r="P6890" s="11"/>
      <c r="Q6890" s="8"/>
      <c r="R6890" s="6"/>
      <c r="S6890" s="3"/>
      <c r="T6890" s="3"/>
      <c r="U6890" s="7"/>
      <c r="V6890" s="436"/>
      <c r="W6890" s="6"/>
      <c r="X6890" s="8"/>
      <c r="Y6890" s="6"/>
    </row>
    <row r="6891" spans="3:36">
      <c r="C6891" s="4"/>
      <c r="D6891" s="4"/>
      <c r="E6891" s="5"/>
      <c r="F6891" s="6"/>
      <c r="G6891" s="31"/>
      <c r="H6891" s="6"/>
      <c r="I6891" s="9"/>
      <c r="J6891" s="24"/>
      <c r="K6891" s="9"/>
      <c r="L6891" s="25"/>
      <c r="M6891" s="51"/>
      <c r="N6891" s="8"/>
      <c r="O6891" s="11"/>
      <c r="P6891" s="11"/>
      <c r="Q6891" s="8"/>
      <c r="R6891" s="6"/>
      <c r="S6891" s="3"/>
      <c r="T6891" s="3"/>
      <c r="U6891" s="7"/>
      <c r="V6891" s="436"/>
      <c r="W6891" s="6"/>
      <c r="X6891" s="8"/>
      <c r="Y6891" s="6"/>
    </row>
    <row r="6892" spans="3:36">
      <c r="C6892" s="4"/>
      <c r="D6892" s="4"/>
      <c r="E6892" s="5"/>
      <c r="F6892" s="6"/>
      <c r="G6892" s="31"/>
      <c r="H6892" s="6"/>
      <c r="I6892" s="9"/>
      <c r="J6892" s="24"/>
      <c r="K6892" s="9"/>
      <c r="L6892" s="25"/>
      <c r="M6892" s="46"/>
      <c r="N6892" s="8"/>
      <c r="O6892" s="11"/>
      <c r="P6892" s="11"/>
      <c r="Q6892" s="8"/>
      <c r="R6892" s="6"/>
      <c r="S6892" s="3"/>
      <c r="T6892" s="3"/>
      <c r="U6892" s="7"/>
      <c r="V6892" s="436"/>
      <c r="W6892" s="6"/>
      <c r="X6892" s="8"/>
      <c r="Y6892" s="6"/>
    </row>
    <row r="6893" spans="3:36">
      <c r="C6893" s="4"/>
      <c r="D6893" s="4"/>
      <c r="E6893" s="5"/>
      <c r="F6893" s="6"/>
      <c r="G6893" s="31"/>
      <c r="H6893" s="6"/>
      <c r="I6893" s="9"/>
      <c r="J6893" s="24"/>
      <c r="K6893" s="9"/>
      <c r="L6893" s="25"/>
      <c r="M6893" s="46"/>
      <c r="N6893" s="8"/>
      <c r="O6893" s="11"/>
      <c r="P6893" s="11"/>
      <c r="Q6893" s="8"/>
      <c r="R6893" s="6"/>
      <c r="S6893" s="3"/>
      <c r="T6893" s="3"/>
      <c r="U6893" s="7"/>
      <c r="V6893" s="436"/>
      <c r="W6893" s="6"/>
      <c r="X6893" s="8"/>
      <c r="Y6893" s="6"/>
    </row>
    <row r="6894" spans="3:36">
      <c r="C6894" s="4"/>
      <c r="D6894" s="4"/>
      <c r="E6894" s="5"/>
      <c r="F6894" s="6"/>
      <c r="G6894" s="31"/>
      <c r="H6894" s="6"/>
      <c r="I6894" s="9"/>
      <c r="J6894" s="24"/>
      <c r="K6894" s="9"/>
      <c r="L6894" s="25"/>
      <c r="M6894" s="51"/>
      <c r="N6894" s="8"/>
      <c r="O6894" s="11"/>
      <c r="P6894" s="11"/>
      <c r="Q6894" s="8"/>
      <c r="R6894" s="6"/>
      <c r="S6894" s="3"/>
      <c r="T6894" s="3"/>
      <c r="U6894" s="7"/>
      <c r="V6894" s="436"/>
      <c r="W6894" s="6"/>
      <c r="X6894" s="8"/>
      <c r="Y6894" s="6"/>
    </row>
    <row r="6895" spans="3:36">
      <c r="C6895" s="4"/>
      <c r="D6895" s="4"/>
      <c r="E6895" s="5"/>
      <c r="F6895" s="6"/>
      <c r="G6895" s="31"/>
      <c r="H6895" s="6"/>
      <c r="I6895" s="9"/>
      <c r="J6895" s="24"/>
      <c r="K6895" s="9"/>
      <c r="L6895" s="25"/>
      <c r="M6895" s="51"/>
      <c r="N6895" s="8"/>
      <c r="O6895" s="11"/>
      <c r="P6895" s="11"/>
      <c r="Q6895" s="8"/>
      <c r="R6895" s="6"/>
      <c r="S6895" s="3"/>
      <c r="T6895" s="3"/>
      <c r="U6895" s="7"/>
      <c r="V6895" s="436"/>
      <c r="W6895" s="6"/>
      <c r="X6895" s="8"/>
      <c r="Y6895" s="6"/>
    </row>
    <row r="6896" spans="3:36">
      <c r="C6896" s="4"/>
      <c r="D6896" s="4"/>
      <c r="E6896" s="5"/>
      <c r="F6896" s="6"/>
      <c r="G6896" s="31"/>
      <c r="H6896" s="6"/>
      <c r="I6896" s="9"/>
      <c r="J6896" s="24"/>
      <c r="K6896" s="9"/>
      <c r="L6896" s="25"/>
      <c r="M6896" s="51"/>
      <c r="N6896" s="8"/>
      <c r="O6896" s="11"/>
      <c r="P6896" s="11"/>
      <c r="Q6896" s="8"/>
      <c r="R6896" s="6"/>
      <c r="S6896" s="3"/>
      <c r="T6896" s="3"/>
      <c r="U6896" s="7"/>
      <c r="V6896" s="436"/>
      <c r="W6896" s="6"/>
      <c r="X6896" s="8"/>
      <c r="Y6896" s="6"/>
    </row>
    <row r="6897" spans="3:25">
      <c r="C6897" s="4"/>
      <c r="D6897" s="4"/>
      <c r="E6897" s="5"/>
      <c r="F6897" s="6"/>
      <c r="G6897" s="31"/>
      <c r="H6897" s="6"/>
      <c r="I6897" s="9"/>
      <c r="J6897" s="24"/>
      <c r="K6897" s="9"/>
      <c r="L6897" s="25"/>
      <c r="M6897" s="51"/>
      <c r="N6897" s="8"/>
      <c r="O6897" s="11"/>
      <c r="P6897" s="11"/>
      <c r="Q6897" s="8"/>
      <c r="R6897" s="6"/>
      <c r="S6897" s="3"/>
      <c r="T6897" s="3"/>
      <c r="U6897" s="7"/>
      <c r="V6897" s="436"/>
      <c r="W6897" s="6"/>
      <c r="X6897" s="8"/>
      <c r="Y6897" s="6"/>
    </row>
    <row r="6898" spans="3:25">
      <c r="C6898" s="4"/>
      <c r="D6898" s="4"/>
      <c r="E6898" s="5"/>
      <c r="F6898" s="6"/>
      <c r="G6898" s="31"/>
      <c r="H6898" s="6"/>
      <c r="I6898" s="9"/>
      <c r="J6898" s="24"/>
      <c r="K6898" s="9"/>
      <c r="L6898" s="25"/>
      <c r="M6898" s="51"/>
      <c r="N6898" s="8"/>
      <c r="O6898" s="11"/>
      <c r="P6898" s="11"/>
      <c r="Q6898" s="8"/>
      <c r="R6898" s="6"/>
      <c r="S6898" s="3"/>
      <c r="T6898" s="3"/>
      <c r="U6898" s="7"/>
      <c r="V6898" s="436"/>
      <c r="W6898" s="6"/>
      <c r="X6898" s="8"/>
      <c r="Y6898" s="6"/>
    </row>
    <row r="6899" spans="3:25">
      <c r="C6899" s="4"/>
      <c r="D6899" s="4"/>
      <c r="E6899" s="5"/>
      <c r="F6899" s="6"/>
      <c r="G6899" s="31"/>
      <c r="H6899" s="6"/>
      <c r="I6899" s="9"/>
      <c r="J6899" s="24"/>
      <c r="K6899" s="9"/>
      <c r="L6899" s="25"/>
      <c r="M6899" s="51"/>
      <c r="N6899" s="8"/>
      <c r="O6899" s="11"/>
      <c r="P6899" s="11"/>
      <c r="Q6899" s="8"/>
      <c r="R6899" s="6"/>
      <c r="S6899" s="3"/>
      <c r="T6899" s="3"/>
      <c r="U6899" s="7"/>
      <c r="V6899" s="436"/>
      <c r="W6899" s="6"/>
      <c r="X6899" s="8"/>
      <c r="Y6899" s="6"/>
    </row>
    <row r="6900" spans="3:25">
      <c r="C6900" s="4"/>
      <c r="D6900" s="4"/>
      <c r="E6900" s="5"/>
      <c r="F6900" s="6"/>
      <c r="G6900" s="31"/>
      <c r="H6900" s="6"/>
      <c r="I6900" s="9"/>
      <c r="J6900" s="24"/>
      <c r="K6900" s="9"/>
      <c r="L6900" s="25"/>
      <c r="M6900" s="51"/>
      <c r="N6900" s="8"/>
      <c r="O6900" s="11"/>
      <c r="P6900" s="11"/>
      <c r="Q6900" s="8"/>
      <c r="R6900" s="6"/>
      <c r="S6900" s="3"/>
      <c r="T6900" s="3"/>
      <c r="U6900" s="7"/>
      <c r="V6900" s="436"/>
      <c r="W6900" s="6"/>
      <c r="X6900" s="8"/>
      <c r="Y6900" s="6"/>
    </row>
    <row r="6901" spans="3:25">
      <c r="C6901" s="4"/>
      <c r="D6901" s="4"/>
      <c r="E6901" s="5"/>
      <c r="F6901" s="6"/>
      <c r="G6901" s="31"/>
      <c r="H6901" s="6"/>
      <c r="I6901" s="9"/>
      <c r="J6901" s="24"/>
      <c r="K6901" s="9"/>
      <c r="L6901" s="25"/>
      <c r="M6901" s="51"/>
      <c r="N6901" s="8"/>
      <c r="O6901" s="11"/>
      <c r="P6901" s="11"/>
      <c r="Q6901" s="8"/>
      <c r="R6901" s="6"/>
      <c r="S6901" s="3"/>
      <c r="T6901" s="3"/>
      <c r="U6901" s="7"/>
      <c r="V6901" s="436"/>
      <c r="W6901" s="6"/>
      <c r="X6901" s="8"/>
      <c r="Y6901" s="6"/>
    </row>
    <row r="6902" spans="3:25">
      <c r="C6902" s="4"/>
      <c r="D6902" s="4"/>
      <c r="E6902" s="5"/>
      <c r="F6902" s="6"/>
      <c r="G6902" s="31"/>
      <c r="H6902" s="6"/>
      <c r="I6902" s="9"/>
      <c r="J6902" s="24"/>
      <c r="K6902" s="9"/>
      <c r="L6902" s="25"/>
      <c r="M6902" s="51"/>
      <c r="N6902" s="8"/>
      <c r="O6902" s="11"/>
      <c r="P6902" s="11"/>
      <c r="Q6902" s="8"/>
      <c r="R6902" s="6"/>
      <c r="S6902" s="3"/>
      <c r="T6902" s="3"/>
      <c r="U6902" s="7"/>
      <c r="V6902" s="436"/>
      <c r="W6902" s="6"/>
      <c r="X6902" s="8"/>
      <c r="Y6902" s="6"/>
    </row>
    <row r="6903" spans="3:25">
      <c r="C6903" s="4"/>
      <c r="D6903" s="4"/>
      <c r="E6903" s="5"/>
      <c r="F6903" s="6"/>
      <c r="G6903" s="31"/>
      <c r="H6903" s="6"/>
      <c r="I6903" s="9"/>
      <c r="J6903" s="24"/>
      <c r="K6903" s="9"/>
      <c r="L6903" s="25"/>
      <c r="M6903" s="51"/>
      <c r="N6903" s="8"/>
      <c r="O6903" s="11"/>
      <c r="P6903" s="11"/>
      <c r="Q6903" s="8"/>
      <c r="R6903" s="6"/>
      <c r="S6903" s="3"/>
      <c r="T6903" s="3"/>
      <c r="U6903" s="7"/>
      <c r="V6903" s="436"/>
      <c r="W6903" s="6"/>
      <c r="X6903" s="8"/>
      <c r="Y6903" s="6"/>
    </row>
    <row r="6904" spans="3:25">
      <c r="C6904" s="4"/>
      <c r="D6904" s="4"/>
      <c r="E6904" s="5"/>
      <c r="F6904" s="6"/>
      <c r="G6904" s="31"/>
      <c r="H6904" s="6"/>
      <c r="I6904" s="9"/>
      <c r="J6904" s="24"/>
      <c r="K6904" s="9"/>
      <c r="L6904" s="25"/>
      <c r="M6904" s="51"/>
      <c r="N6904" s="8"/>
      <c r="O6904" s="11"/>
      <c r="P6904" s="11"/>
      <c r="Q6904" s="8"/>
      <c r="R6904" s="6"/>
      <c r="S6904" s="3"/>
      <c r="T6904" s="3"/>
      <c r="U6904" s="7"/>
      <c r="V6904" s="436"/>
      <c r="W6904" s="6"/>
      <c r="X6904" s="8"/>
      <c r="Y6904" s="6"/>
    </row>
    <row r="6905" spans="3:25">
      <c r="C6905" s="4"/>
      <c r="D6905" s="4"/>
      <c r="E6905" s="5"/>
      <c r="F6905" s="6"/>
      <c r="G6905" s="31"/>
      <c r="H6905" s="6"/>
      <c r="I6905" s="9"/>
      <c r="J6905" s="24"/>
      <c r="K6905" s="9"/>
      <c r="L6905" s="25"/>
      <c r="M6905" s="51"/>
      <c r="N6905" s="8"/>
      <c r="O6905" s="11"/>
      <c r="P6905" s="11"/>
      <c r="Q6905" s="8"/>
      <c r="R6905" s="6"/>
      <c r="S6905" s="3"/>
      <c r="T6905" s="3"/>
      <c r="U6905" s="7"/>
      <c r="V6905" s="436"/>
      <c r="W6905" s="6"/>
      <c r="X6905" s="8"/>
      <c r="Y6905" s="6"/>
    </row>
    <row r="6906" spans="3:25">
      <c r="C6906" s="4"/>
      <c r="D6906" s="4"/>
      <c r="E6906" s="5"/>
      <c r="F6906" s="6"/>
      <c r="G6906" s="31"/>
      <c r="H6906" s="6"/>
      <c r="I6906" s="9"/>
      <c r="J6906" s="24"/>
      <c r="K6906" s="9"/>
      <c r="L6906" s="25"/>
      <c r="M6906" s="51"/>
      <c r="N6906" s="8"/>
      <c r="O6906" s="11"/>
      <c r="P6906" s="11"/>
      <c r="Q6906" s="8"/>
      <c r="R6906" s="6"/>
      <c r="S6906" s="3"/>
      <c r="T6906" s="3"/>
      <c r="U6906" s="7"/>
      <c r="V6906" s="436"/>
      <c r="W6906" s="6"/>
      <c r="X6906" s="8"/>
      <c r="Y6906" s="6"/>
    </row>
    <row r="6907" spans="3:25">
      <c r="C6907" s="4"/>
      <c r="D6907" s="4"/>
      <c r="E6907" s="5"/>
      <c r="F6907" s="6"/>
      <c r="G6907" s="31"/>
      <c r="H6907" s="6"/>
      <c r="I6907" s="9"/>
      <c r="J6907" s="24"/>
      <c r="K6907" s="9"/>
      <c r="L6907" s="25"/>
      <c r="M6907" s="51"/>
      <c r="N6907" s="8"/>
      <c r="O6907" s="11"/>
      <c r="P6907" s="11"/>
      <c r="Q6907" s="8"/>
      <c r="R6907" s="6"/>
      <c r="S6907" s="3"/>
      <c r="T6907" s="3"/>
      <c r="U6907" s="7"/>
      <c r="V6907" s="436"/>
      <c r="W6907" s="6"/>
      <c r="X6907" s="8"/>
      <c r="Y6907" s="6"/>
    </row>
    <row r="6908" spans="3:25">
      <c r="C6908" s="4"/>
      <c r="D6908" s="4"/>
      <c r="E6908" s="5"/>
      <c r="F6908" s="6"/>
      <c r="G6908" s="31"/>
      <c r="H6908" s="6"/>
      <c r="I6908" s="9"/>
      <c r="J6908" s="24"/>
      <c r="K6908" s="9"/>
      <c r="L6908" s="25"/>
      <c r="M6908" s="51"/>
      <c r="N6908" s="8"/>
      <c r="O6908" s="11"/>
      <c r="P6908" s="11"/>
      <c r="Q6908" s="8"/>
      <c r="R6908" s="6"/>
      <c r="S6908" s="3"/>
      <c r="T6908" s="3"/>
      <c r="U6908" s="7"/>
      <c r="V6908" s="436"/>
      <c r="W6908" s="6"/>
      <c r="X6908" s="8"/>
      <c r="Y6908" s="6"/>
    </row>
    <row r="6909" spans="3:25">
      <c r="C6909" s="4"/>
      <c r="D6909" s="4"/>
      <c r="E6909" s="5"/>
      <c r="F6909" s="6"/>
      <c r="G6909" s="31"/>
      <c r="H6909" s="6"/>
      <c r="I6909" s="9"/>
      <c r="J6909" s="24"/>
      <c r="K6909" s="9"/>
      <c r="L6909" s="25"/>
      <c r="M6909" s="51"/>
      <c r="N6909" s="8"/>
      <c r="O6909" s="11"/>
      <c r="P6909" s="11"/>
      <c r="Q6909" s="8"/>
      <c r="R6909" s="6"/>
      <c r="S6909" s="3"/>
      <c r="T6909" s="3"/>
      <c r="U6909" s="7"/>
      <c r="V6909" s="436"/>
      <c r="W6909" s="6"/>
      <c r="X6909" s="8"/>
      <c r="Y6909" s="6"/>
    </row>
    <row r="6910" spans="3:25">
      <c r="C6910" s="4"/>
      <c r="D6910" s="4"/>
      <c r="E6910" s="5"/>
      <c r="F6910" s="6"/>
      <c r="G6910" s="31"/>
      <c r="H6910" s="6"/>
      <c r="I6910" s="9"/>
      <c r="J6910" s="24"/>
      <c r="K6910" s="9"/>
      <c r="L6910" s="25"/>
      <c r="M6910" s="51"/>
      <c r="N6910" s="8"/>
      <c r="O6910" s="11"/>
      <c r="P6910" s="11"/>
      <c r="Q6910" s="8"/>
      <c r="R6910" s="6"/>
      <c r="S6910" s="3"/>
      <c r="T6910" s="3"/>
      <c r="U6910" s="7"/>
      <c r="V6910" s="436"/>
      <c r="W6910" s="6"/>
      <c r="X6910" s="8"/>
      <c r="Y6910" s="6"/>
    </row>
    <row r="6911" spans="3:25">
      <c r="C6911" s="4"/>
      <c r="D6911" s="4"/>
      <c r="E6911" s="5"/>
      <c r="F6911" s="6"/>
      <c r="G6911" s="31"/>
      <c r="H6911" s="6"/>
      <c r="I6911" s="9"/>
      <c r="J6911" s="24"/>
      <c r="K6911" s="9"/>
      <c r="L6911" s="25"/>
      <c r="M6911" s="51"/>
      <c r="N6911" s="8"/>
      <c r="O6911" s="11"/>
      <c r="P6911" s="11"/>
      <c r="Q6911" s="8"/>
      <c r="R6911" s="6"/>
      <c r="S6911" s="3"/>
      <c r="T6911" s="3"/>
      <c r="U6911" s="7"/>
      <c r="V6911" s="436"/>
      <c r="W6911" s="6"/>
      <c r="X6911" s="8"/>
      <c r="Y6911" s="6"/>
    </row>
    <row r="6912" spans="3:25">
      <c r="C6912" s="4"/>
      <c r="D6912" s="4"/>
      <c r="E6912" s="5"/>
      <c r="F6912" s="6"/>
      <c r="G6912" s="31"/>
      <c r="H6912" s="6"/>
      <c r="I6912" s="9"/>
      <c r="J6912" s="24"/>
      <c r="K6912" s="9"/>
      <c r="L6912" s="25"/>
      <c r="M6912" s="51"/>
      <c r="N6912" s="8"/>
      <c r="O6912" s="11"/>
      <c r="P6912" s="11"/>
      <c r="Q6912" s="8"/>
      <c r="R6912" s="6"/>
      <c r="S6912" s="3"/>
      <c r="T6912" s="3"/>
      <c r="U6912" s="7"/>
      <c r="V6912" s="436"/>
      <c r="W6912" s="6"/>
      <c r="X6912" s="8"/>
      <c r="Y6912" s="6"/>
    </row>
    <row r="6913" spans="3:25">
      <c r="C6913" s="4"/>
      <c r="D6913" s="4"/>
      <c r="E6913" s="5"/>
      <c r="F6913" s="6"/>
      <c r="G6913" s="31"/>
      <c r="H6913" s="6"/>
      <c r="I6913" s="9"/>
      <c r="J6913" s="24"/>
      <c r="K6913" s="9"/>
      <c r="L6913" s="25"/>
      <c r="M6913" s="46"/>
      <c r="N6913" s="8"/>
      <c r="O6913" s="11"/>
      <c r="P6913" s="11"/>
      <c r="Q6913" s="8"/>
      <c r="R6913" s="6"/>
      <c r="S6913" s="3"/>
      <c r="T6913" s="3"/>
      <c r="U6913" s="7"/>
      <c r="V6913" s="436"/>
      <c r="W6913" s="6"/>
      <c r="X6913" s="8"/>
      <c r="Y6913" s="6"/>
    </row>
    <row r="6914" spans="3:25">
      <c r="C6914" s="4"/>
      <c r="D6914" s="4"/>
      <c r="E6914" s="5"/>
      <c r="F6914" s="6"/>
      <c r="G6914" s="31"/>
      <c r="H6914" s="6"/>
      <c r="I6914" s="9"/>
      <c r="J6914" s="24"/>
      <c r="K6914" s="9"/>
      <c r="L6914" s="25"/>
      <c r="M6914" s="46"/>
      <c r="N6914" s="8"/>
      <c r="O6914" s="11"/>
      <c r="P6914" s="11"/>
      <c r="Q6914" s="8"/>
      <c r="R6914" s="6"/>
      <c r="S6914" s="3"/>
      <c r="T6914" s="3"/>
      <c r="U6914" s="7"/>
      <c r="V6914" s="436"/>
      <c r="W6914" s="6"/>
      <c r="X6914" s="8"/>
      <c r="Y6914" s="6"/>
    </row>
    <row r="6915" spans="3:25">
      <c r="C6915" s="4"/>
      <c r="D6915" s="4"/>
      <c r="E6915" s="5"/>
      <c r="F6915" s="6"/>
      <c r="G6915" s="31"/>
      <c r="H6915" s="6"/>
      <c r="I6915" s="9"/>
      <c r="J6915" s="24"/>
      <c r="K6915" s="9"/>
      <c r="L6915" s="25"/>
      <c r="M6915" s="51"/>
      <c r="N6915" s="8"/>
      <c r="O6915" s="11"/>
      <c r="P6915" s="11"/>
      <c r="Q6915" s="8"/>
      <c r="R6915" s="6"/>
      <c r="S6915" s="3"/>
      <c r="T6915" s="3"/>
      <c r="U6915" s="7"/>
      <c r="V6915" s="436"/>
      <c r="W6915" s="6"/>
      <c r="X6915" s="8"/>
      <c r="Y6915" s="6"/>
    </row>
    <row r="6916" spans="3:25">
      <c r="C6916" s="4"/>
      <c r="D6916" s="4"/>
      <c r="E6916" s="5"/>
      <c r="F6916" s="6"/>
      <c r="G6916" s="31"/>
      <c r="H6916" s="6"/>
      <c r="I6916" s="9"/>
      <c r="J6916" s="24"/>
      <c r="K6916" s="9"/>
      <c r="L6916" s="25"/>
      <c r="M6916" s="46"/>
      <c r="N6916" s="8"/>
      <c r="O6916" s="11"/>
      <c r="P6916" s="11"/>
      <c r="Q6916" s="8"/>
      <c r="R6916" s="6"/>
      <c r="S6916" s="3"/>
      <c r="T6916" s="3"/>
      <c r="U6916" s="7"/>
      <c r="V6916" s="436"/>
      <c r="W6916" s="6"/>
      <c r="X6916" s="8"/>
      <c r="Y6916" s="6"/>
    </row>
    <row r="6917" spans="3:25">
      <c r="C6917" s="4"/>
      <c r="D6917" s="4"/>
      <c r="E6917" s="5"/>
      <c r="F6917" s="6"/>
      <c r="G6917" s="31"/>
      <c r="H6917" s="6"/>
      <c r="I6917" s="9"/>
      <c r="J6917" s="24"/>
      <c r="K6917" s="9"/>
      <c r="L6917" s="25"/>
      <c r="M6917" s="46"/>
      <c r="N6917" s="8"/>
      <c r="O6917" s="11"/>
      <c r="P6917" s="11"/>
      <c r="Q6917" s="8"/>
      <c r="R6917" s="6"/>
      <c r="S6917" s="3"/>
      <c r="T6917" s="3"/>
      <c r="U6917" s="7"/>
      <c r="V6917" s="436"/>
      <c r="W6917" s="6"/>
      <c r="X6917" s="8"/>
      <c r="Y6917" s="6"/>
    </row>
    <row r="6918" spans="3:25">
      <c r="C6918" s="4"/>
      <c r="D6918" s="4"/>
      <c r="E6918" s="5"/>
      <c r="F6918" s="6"/>
      <c r="G6918" s="31"/>
      <c r="H6918" s="6"/>
      <c r="I6918" s="9"/>
      <c r="J6918" s="24"/>
      <c r="K6918" s="9"/>
      <c r="L6918" s="25"/>
      <c r="M6918" s="46"/>
      <c r="N6918" s="8"/>
      <c r="O6918" s="11"/>
      <c r="P6918" s="11"/>
      <c r="Q6918" s="8"/>
      <c r="R6918" s="6"/>
      <c r="S6918" s="3"/>
      <c r="T6918" s="3"/>
      <c r="U6918" s="7"/>
      <c r="V6918" s="436"/>
      <c r="W6918" s="6"/>
      <c r="X6918" s="8"/>
      <c r="Y6918" s="6"/>
    </row>
    <row r="6919" spans="3:25">
      <c r="C6919" s="4"/>
      <c r="D6919" s="4"/>
      <c r="E6919" s="5"/>
      <c r="F6919" s="6"/>
      <c r="G6919" s="31"/>
      <c r="H6919" s="6"/>
      <c r="I6919" s="9"/>
      <c r="J6919" s="24"/>
      <c r="K6919" s="9"/>
      <c r="L6919" s="25"/>
      <c r="M6919" s="46"/>
      <c r="N6919" s="8"/>
      <c r="O6919" s="11"/>
      <c r="P6919" s="11"/>
      <c r="Q6919" s="8"/>
      <c r="R6919" s="6"/>
      <c r="S6919" s="3"/>
      <c r="T6919" s="3"/>
      <c r="U6919" s="7"/>
      <c r="V6919" s="436"/>
      <c r="W6919" s="6"/>
      <c r="X6919" s="8"/>
      <c r="Y6919" s="6"/>
    </row>
    <row r="6920" spans="3:25">
      <c r="C6920" s="4"/>
      <c r="D6920" s="4"/>
      <c r="E6920" s="5"/>
      <c r="F6920" s="6"/>
      <c r="G6920" s="31"/>
      <c r="H6920" s="6"/>
      <c r="I6920" s="9"/>
      <c r="J6920" s="24"/>
      <c r="K6920" s="9"/>
      <c r="L6920" s="25"/>
      <c r="M6920" s="46"/>
      <c r="N6920" s="8"/>
      <c r="O6920" s="11"/>
      <c r="P6920" s="11"/>
      <c r="Q6920" s="8"/>
      <c r="R6920" s="6"/>
      <c r="S6920" s="3"/>
      <c r="T6920" s="3"/>
      <c r="U6920" s="7"/>
      <c r="V6920" s="436"/>
      <c r="W6920" s="6"/>
      <c r="X6920" s="8"/>
      <c r="Y6920" s="6"/>
    </row>
    <row r="6921" spans="3:25">
      <c r="C6921" s="4"/>
      <c r="D6921" s="4"/>
      <c r="E6921" s="5"/>
      <c r="F6921" s="6"/>
      <c r="G6921" s="31"/>
      <c r="H6921" s="6"/>
      <c r="I6921" s="9"/>
      <c r="J6921" s="24"/>
      <c r="K6921" s="9"/>
      <c r="L6921" s="25"/>
      <c r="M6921" s="46"/>
      <c r="N6921" s="8"/>
      <c r="O6921" s="11"/>
      <c r="P6921" s="11"/>
      <c r="Q6921" s="8"/>
      <c r="R6921" s="6"/>
      <c r="S6921" s="3"/>
      <c r="T6921" s="3"/>
      <c r="U6921" s="7"/>
      <c r="V6921" s="436"/>
      <c r="W6921" s="6"/>
      <c r="X6921" s="8"/>
      <c r="Y6921" s="6"/>
    </row>
    <row r="6922" spans="3:25">
      <c r="C6922" s="4"/>
      <c r="D6922" s="4"/>
      <c r="E6922" s="5"/>
      <c r="F6922" s="6"/>
      <c r="G6922" s="31"/>
      <c r="H6922" s="6"/>
      <c r="I6922" s="9"/>
      <c r="J6922" s="24"/>
      <c r="K6922" s="9"/>
      <c r="L6922" s="25"/>
      <c r="M6922" s="46"/>
      <c r="N6922" s="8"/>
      <c r="O6922" s="11"/>
      <c r="P6922" s="11"/>
      <c r="Q6922" s="8"/>
      <c r="R6922" s="6"/>
      <c r="S6922" s="3"/>
      <c r="T6922" s="3"/>
      <c r="U6922" s="7"/>
      <c r="V6922" s="436"/>
      <c r="W6922" s="6"/>
      <c r="X6922" s="8"/>
      <c r="Y6922" s="6"/>
    </row>
    <row r="6923" spans="3:25">
      <c r="C6923" s="4"/>
      <c r="D6923" s="4"/>
      <c r="E6923" s="5"/>
      <c r="F6923" s="6"/>
      <c r="G6923" s="31"/>
      <c r="H6923" s="6"/>
      <c r="I6923" s="9"/>
      <c r="J6923" s="24"/>
      <c r="K6923" s="9"/>
      <c r="L6923" s="25"/>
      <c r="M6923" s="46"/>
      <c r="N6923" s="8"/>
      <c r="O6923" s="11"/>
      <c r="P6923" s="11"/>
      <c r="Q6923" s="8"/>
      <c r="R6923" s="6"/>
      <c r="S6923" s="3"/>
      <c r="T6923" s="3"/>
      <c r="U6923" s="7"/>
      <c r="V6923" s="436"/>
      <c r="W6923" s="6"/>
      <c r="X6923" s="8"/>
      <c r="Y6923" s="6"/>
    </row>
    <row r="6924" spans="3:25">
      <c r="C6924" s="4"/>
      <c r="D6924" s="4"/>
      <c r="E6924" s="5"/>
      <c r="F6924" s="6"/>
      <c r="G6924" s="31"/>
      <c r="H6924" s="6"/>
      <c r="I6924" s="9"/>
      <c r="J6924" s="24"/>
      <c r="K6924" s="9"/>
      <c r="L6924" s="25"/>
      <c r="M6924" s="46"/>
      <c r="N6924" s="8"/>
      <c r="O6924" s="11"/>
      <c r="P6924" s="11"/>
      <c r="Q6924" s="8"/>
      <c r="R6924" s="6"/>
      <c r="S6924" s="3"/>
      <c r="T6924" s="3"/>
      <c r="U6924" s="7"/>
      <c r="V6924" s="436"/>
      <c r="W6924" s="6"/>
      <c r="X6924" s="8"/>
      <c r="Y6924" s="6"/>
    </row>
    <row r="6925" spans="3:25">
      <c r="C6925" s="4"/>
      <c r="D6925" s="4"/>
      <c r="E6925" s="5"/>
      <c r="F6925" s="6"/>
      <c r="G6925" s="31"/>
      <c r="H6925" s="6"/>
      <c r="I6925" s="9"/>
      <c r="J6925" s="24"/>
      <c r="K6925" s="9"/>
      <c r="L6925" s="25"/>
      <c r="M6925" s="46"/>
      <c r="N6925" s="8"/>
      <c r="O6925" s="11"/>
      <c r="P6925" s="11"/>
      <c r="Q6925" s="8"/>
      <c r="R6925" s="6"/>
      <c r="S6925" s="3"/>
      <c r="T6925" s="3"/>
      <c r="U6925" s="7"/>
      <c r="V6925" s="436"/>
      <c r="W6925" s="6"/>
      <c r="X6925" s="8"/>
      <c r="Y6925" s="6"/>
    </row>
    <row r="6926" spans="3:25">
      <c r="C6926" s="4"/>
      <c r="D6926" s="4"/>
      <c r="E6926" s="5"/>
      <c r="F6926" s="6"/>
      <c r="G6926" s="31"/>
      <c r="H6926" s="6"/>
      <c r="I6926" s="9"/>
      <c r="J6926" s="24"/>
      <c r="K6926" s="9"/>
      <c r="L6926" s="25"/>
      <c r="M6926" s="46"/>
      <c r="N6926" s="8"/>
      <c r="O6926" s="11"/>
      <c r="P6926" s="11"/>
      <c r="Q6926" s="8"/>
      <c r="R6926" s="6"/>
      <c r="S6926" s="3"/>
      <c r="T6926" s="3"/>
      <c r="U6926" s="7"/>
      <c r="V6926" s="436"/>
      <c r="W6926" s="6"/>
      <c r="X6926" s="8"/>
      <c r="Y6926" s="6"/>
    </row>
    <row r="6927" spans="3:25">
      <c r="C6927" s="4"/>
      <c r="D6927" s="4"/>
      <c r="E6927" s="5"/>
      <c r="F6927" s="6"/>
      <c r="G6927" s="31"/>
      <c r="H6927" s="6"/>
      <c r="I6927" s="9"/>
      <c r="J6927" s="24"/>
      <c r="K6927" s="9"/>
      <c r="L6927" s="25"/>
      <c r="M6927" s="46"/>
      <c r="N6927" s="8"/>
      <c r="O6927" s="11"/>
      <c r="P6927" s="11"/>
      <c r="Q6927" s="8"/>
      <c r="R6927" s="6"/>
      <c r="S6927" s="3"/>
      <c r="T6927" s="3"/>
      <c r="U6927" s="7"/>
      <c r="V6927" s="436"/>
      <c r="W6927" s="6"/>
      <c r="X6927" s="8"/>
      <c r="Y6927" s="6"/>
    </row>
    <row r="6928" spans="3:25">
      <c r="C6928" s="4"/>
      <c r="D6928" s="4"/>
      <c r="E6928" s="5"/>
      <c r="F6928" s="6"/>
      <c r="G6928" s="31"/>
      <c r="H6928" s="6"/>
      <c r="I6928" s="9"/>
      <c r="J6928" s="24"/>
      <c r="K6928" s="9"/>
      <c r="L6928" s="25"/>
      <c r="M6928" s="46"/>
      <c r="N6928" s="8"/>
      <c r="O6928" s="11"/>
      <c r="P6928" s="11"/>
      <c r="Q6928" s="8"/>
      <c r="R6928" s="6"/>
      <c r="S6928" s="3"/>
      <c r="T6928" s="3"/>
      <c r="U6928" s="7"/>
      <c r="V6928" s="436"/>
      <c r="W6928" s="6"/>
      <c r="X6928" s="8"/>
      <c r="Y6928" s="6"/>
    </row>
    <row r="6929" spans="3:25">
      <c r="C6929" s="4"/>
      <c r="D6929" s="4"/>
      <c r="E6929" s="5"/>
      <c r="F6929" s="6"/>
      <c r="G6929" s="31"/>
      <c r="H6929" s="6"/>
      <c r="I6929" s="9"/>
      <c r="J6929" s="24"/>
      <c r="K6929" s="9"/>
      <c r="L6929" s="25"/>
      <c r="M6929" s="46"/>
      <c r="N6929" s="8"/>
      <c r="O6929" s="11"/>
      <c r="P6929" s="11"/>
      <c r="Q6929" s="8"/>
      <c r="R6929" s="6"/>
      <c r="S6929" s="3"/>
      <c r="T6929" s="3"/>
      <c r="U6929" s="7"/>
      <c r="V6929" s="436"/>
      <c r="W6929" s="6"/>
      <c r="X6929" s="8"/>
      <c r="Y6929" s="6"/>
    </row>
    <row r="6930" spans="3:25">
      <c r="C6930" s="4"/>
      <c r="D6930" s="4"/>
      <c r="E6930" s="5"/>
      <c r="F6930" s="6"/>
      <c r="G6930" s="31"/>
      <c r="H6930" s="6"/>
      <c r="I6930" s="9"/>
      <c r="J6930" s="24"/>
      <c r="K6930" s="9"/>
      <c r="L6930" s="25"/>
      <c r="M6930" s="46"/>
      <c r="N6930" s="8"/>
      <c r="O6930" s="11"/>
      <c r="P6930" s="11"/>
      <c r="Q6930" s="8"/>
      <c r="R6930" s="6"/>
      <c r="S6930" s="3"/>
      <c r="T6930" s="3"/>
      <c r="U6930" s="7"/>
      <c r="V6930" s="436"/>
      <c r="W6930" s="6"/>
      <c r="X6930" s="8"/>
      <c r="Y6930" s="6"/>
    </row>
    <row r="6931" spans="3:25">
      <c r="C6931" s="4"/>
      <c r="D6931" s="4"/>
      <c r="E6931" s="5"/>
      <c r="F6931" s="6"/>
      <c r="G6931" s="31"/>
      <c r="H6931" s="6"/>
      <c r="I6931" s="9"/>
      <c r="J6931" s="24"/>
      <c r="K6931" s="9"/>
      <c r="L6931" s="25"/>
      <c r="M6931" s="46"/>
      <c r="N6931" s="8"/>
      <c r="O6931" s="11"/>
      <c r="P6931" s="11"/>
      <c r="Q6931" s="8"/>
      <c r="R6931" s="6"/>
      <c r="S6931" s="3"/>
      <c r="T6931" s="3"/>
      <c r="U6931" s="7"/>
      <c r="V6931" s="436"/>
      <c r="W6931" s="6"/>
      <c r="X6931" s="8"/>
      <c r="Y6931" s="6"/>
    </row>
    <row r="6932" spans="3:25">
      <c r="C6932" s="4"/>
      <c r="D6932" s="4"/>
      <c r="E6932" s="5"/>
      <c r="F6932" s="6"/>
      <c r="G6932" s="31"/>
      <c r="H6932" s="6"/>
      <c r="I6932" s="9"/>
      <c r="J6932" s="24"/>
      <c r="K6932" s="9"/>
      <c r="L6932" s="25"/>
      <c r="M6932" s="46"/>
      <c r="N6932" s="8"/>
      <c r="O6932" s="11"/>
      <c r="P6932" s="11"/>
      <c r="Q6932" s="8"/>
      <c r="R6932" s="6"/>
      <c r="S6932" s="3"/>
      <c r="T6932" s="3"/>
      <c r="U6932" s="7"/>
      <c r="V6932" s="436"/>
      <c r="W6932" s="6"/>
      <c r="X6932" s="8"/>
      <c r="Y6932" s="6"/>
    </row>
    <row r="6933" spans="3:25">
      <c r="C6933" s="4"/>
      <c r="D6933" s="4"/>
      <c r="E6933" s="5"/>
      <c r="F6933" s="6"/>
      <c r="G6933" s="31"/>
      <c r="H6933" s="6"/>
      <c r="I6933" s="9"/>
      <c r="J6933" s="24"/>
      <c r="K6933" s="9"/>
      <c r="L6933" s="25"/>
      <c r="M6933" s="46"/>
      <c r="N6933" s="8"/>
      <c r="O6933" s="11"/>
      <c r="P6933" s="11"/>
      <c r="Q6933" s="8"/>
      <c r="R6933" s="6"/>
      <c r="S6933" s="3"/>
      <c r="T6933" s="3"/>
      <c r="U6933" s="7"/>
      <c r="V6933" s="436"/>
      <c r="W6933" s="6"/>
      <c r="X6933" s="8"/>
      <c r="Y6933" s="6"/>
    </row>
    <row r="6934" spans="3:25">
      <c r="C6934" s="4"/>
      <c r="D6934" s="4"/>
      <c r="E6934" s="5"/>
      <c r="F6934" s="6"/>
      <c r="G6934" s="31"/>
      <c r="H6934" s="6"/>
      <c r="I6934" s="9"/>
      <c r="J6934" s="24"/>
      <c r="K6934" s="9"/>
      <c r="L6934" s="25"/>
      <c r="M6934" s="46"/>
      <c r="N6934" s="8"/>
      <c r="O6934" s="11"/>
      <c r="P6934" s="11"/>
      <c r="Q6934" s="8"/>
      <c r="R6934" s="6"/>
      <c r="S6934" s="3"/>
      <c r="T6934" s="3"/>
      <c r="U6934" s="7"/>
      <c r="V6934" s="436"/>
      <c r="W6934" s="6"/>
      <c r="X6934" s="8"/>
      <c r="Y6934" s="6"/>
    </row>
    <row r="6935" spans="3:25">
      <c r="C6935" s="4"/>
      <c r="D6935" s="4"/>
      <c r="E6935" s="5"/>
      <c r="F6935" s="6"/>
      <c r="G6935" s="31"/>
      <c r="H6935" s="6"/>
      <c r="I6935" s="9"/>
      <c r="J6935" s="24"/>
      <c r="K6935" s="9"/>
      <c r="L6935" s="25"/>
      <c r="M6935" s="46"/>
      <c r="N6935" s="8"/>
      <c r="O6935" s="11"/>
      <c r="P6935" s="11"/>
      <c r="Q6935" s="8"/>
      <c r="R6935" s="6"/>
      <c r="S6935" s="3"/>
      <c r="T6935" s="3"/>
      <c r="U6935" s="7"/>
      <c r="V6935" s="436"/>
      <c r="W6935" s="6"/>
      <c r="X6935" s="8"/>
      <c r="Y6935" s="6"/>
    </row>
    <row r="6936" spans="3:25">
      <c r="C6936" s="4"/>
      <c r="D6936" s="4"/>
      <c r="E6936" s="5"/>
      <c r="F6936" s="6"/>
      <c r="G6936" s="31"/>
      <c r="H6936" s="6"/>
      <c r="I6936" s="9"/>
      <c r="J6936" s="24"/>
      <c r="K6936" s="9"/>
      <c r="L6936" s="25"/>
      <c r="M6936" s="46"/>
      <c r="N6936" s="8"/>
      <c r="O6936" s="11"/>
      <c r="P6936" s="11"/>
      <c r="Q6936" s="8"/>
      <c r="R6936" s="6"/>
      <c r="S6936" s="3"/>
      <c r="T6936" s="3"/>
      <c r="U6936" s="7"/>
      <c r="V6936" s="436"/>
      <c r="W6936" s="6"/>
      <c r="X6936" s="8"/>
      <c r="Y6936" s="6"/>
    </row>
    <row r="6937" spans="3:25">
      <c r="C6937" s="4"/>
      <c r="D6937" s="4"/>
      <c r="E6937" s="5"/>
      <c r="F6937" s="6"/>
      <c r="G6937" s="31"/>
      <c r="H6937" s="6"/>
      <c r="I6937" s="9"/>
      <c r="J6937" s="24"/>
      <c r="K6937" s="9"/>
      <c r="L6937" s="25"/>
      <c r="M6937" s="46"/>
      <c r="N6937" s="8"/>
      <c r="O6937" s="11"/>
      <c r="P6937" s="11"/>
      <c r="Q6937" s="8"/>
      <c r="R6937" s="6"/>
      <c r="S6937" s="3"/>
      <c r="T6937" s="3"/>
      <c r="U6937" s="7"/>
      <c r="V6937" s="436"/>
      <c r="W6937" s="6"/>
      <c r="X6937" s="8"/>
      <c r="Y6937" s="6"/>
    </row>
    <row r="6938" spans="3:25">
      <c r="C6938" s="4"/>
      <c r="D6938" s="4"/>
      <c r="E6938" s="5"/>
      <c r="F6938" s="6"/>
      <c r="G6938" s="31"/>
      <c r="H6938" s="6"/>
      <c r="I6938" s="9"/>
      <c r="J6938" s="24"/>
      <c r="K6938" s="9"/>
      <c r="L6938" s="25"/>
      <c r="M6938" s="46"/>
      <c r="N6938" s="8"/>
      <c r="O6938" s="11"/>
      <c r="P6938" s="11"/>
      <c r="Q6938" s="8"/>
      <c r="R6938" s="6"/>
      <c r="S6938" s="3"/>
      <c r="T6938" s="3"/>
      <c r="U6938" s="7"/>
      <c r="V6938" s="436"/>
      <c r="W6938" s="6"/>
      <c r="X6938" s="8"/>
      <c r="Y6938" s="13"/>
    </row>
    <row r="6939" spans="3:25">
      <c r="C6939" s="4"/>
      <c r="D6939" s="4"/>
      <c r="E6939" s="5"/>
      <c r="F6939" s="6"/>
      <c r="G6939" s="31"/>
      <c r="H6939" s="6"/>
      <c r="I6939" s="9"/>
      <c r="J6939" s="24"/>
      <c r="K6939" s="9"/>
      <c r="L6939" s="25"/>
      <c r="M6939" s="46"/>
      <c r="N6939" s="8"/>
      <c r="O6939" s="11"/>
      <c r="P6939" s="11"/>
      <c r="Q6939" s="8"/>
      <c r="R6939" s="6"/>
      <c r="S6939" s="3"/>
      <c r="T6939" s="3"/>
      <c r="U6939" s="7"/>
      <c r="V6939" s="436"/>
      <c r="W6939" s="6"/>
      <c r="X6939" s="8"/>
    </row>
    <row r="6940" spans="3:25">
      <c r="C6940" s="4"/>
      <c r="D6940" s="4"/>
      <c r="E6940" s="5"/>
      <c r="F6940" s="6"/>
      <c r="G6940" s="31"/>
      <c r="H6940" s="6"/>
      <c r="I6940" s="9"/>
      <c r="J6940" s="24"/>
      <c r="K6940" s="9"/>
      <c r="L6940" s="25"/>
      <c r="M6940" s="46"/>
      <c r="N6940" s="8"/>
      <c r="O6940" s="11"/>
      <c r="P6940" s="11"/>
      <c r="Q6940" s="8"/>
      <c r="R6940" s="6"/>
      <c r="S6940" s="3"/>
      <c r="T6940" s="3"/>
      <c r="U6940" s="7"/>
      <c r="V6940" s="436"/>
      <c r="W6940" s="6"/>
      <c r="X6940" s="8"/>
    </row>
    <row r="6941" spans="3:25">
      <c r="C6941" s="4"/>
      <c r="D6941" s="4"/>
      <c r="E6941" s="5"/>
      <c r="F6941" s="6"/>
      <c r="G6941" s="31"/>
      <c r="H6941" s="6"/>
      <c r="I6941" s="9"/>
      <c r="J6941" s="24"/>
      <c r="K6941" s="9"/>
      <c r="L6941" s="25"/>
      <c r="M6941" s="46"/>
      <c r="N6941" s="8"/>
      <c r="O6941" s="11"/>
      <c r="P6941" s="11"/>
      <c r="Q6941" s="8"/>
      <c r="R6941" s="6"/>
      <c r="S6941" s="3"/>
      <c r="T6941" s="3"/>
      <c r="U6941" s="7"/>
      <c r="V6941" s="436"/>
      <c r="W6941" s="6"/>
      <c r="X6941" s="8"/>
    </row>
    <row r="6942" spans="3:25">
      <c r="C6942" s="4"/>
      <c r="D6942" s="4"/>
      <c r="E6942" s="5"/>
      <c r="F6942" s="6"/>
      <c r="G6942" s="31"/>
      <c r="H6942" s="6"/>
      <c r="I6942" s="9"/>
      <c r="J6942" s="24"/>
      <c r="K6942" s="9"/>
      <c r="L6942" s="25"/>
      <c r="M6942" s="46"/>
      <c r="N6942" s="8"/>
      <c r="O6942" s="11"/>
      <c r="P6942" s="11"/>
      <c r="Q6942" s="8"/>
      <c r="R6942" s="6"/>
      <c r="S6942" s="3"/>
      <c r="T6942" s="3"/>
      <c r="U6942" s="7"/>
      <c r="V6942" s="436"/>
      <c r="W6942" s="6"/>
      <c r="X6942" s="8"/>
    </row>
    <row r="6943" spans="3:25">
      <c r="C6943" s="4"/>
      <c r="D6943" s="4"/>
      <c r="E6943" s="5"/>
      <c r="F6943" s="6"/>
      <c r="G6943" s="31"/>
      <c r="H6943" s="6"/>
      <c r="I6943" s="9"/>
      <c r="J6943" s="24"/>
      <c r="K6943" s="9"/>
      <c r="L6943" s="25"/>
      <c r="M6943" s="46"/>
      <c r="N6943" s="8"/>
      <c r="O6943" s="11"/>
      <c r="P6943" s="11"/>
      <c r="Q6943" s="8"/>
      <c r="R6943" s="6"/>
      <c r="S6943" s="3"/>
      <c r="T6943" s="3"/>
      <c r="U6943" s="7"/>
      <c r="V6943" s="436"/>
      <c r="W6943" s="6"/>
      <c r="X6943" s="8"/>
    </row>
    <row r="6944" spans="3:25">
      <c r="C6944" s="4"/>
      <c r="D6944" s="4"/>
      <c r="E6944" s="5"/>
      <c r="F6944" s="6"/>
      <c r="G6944" s="31"/>
      <c r="H6944" s="6"/>
      <c r="I6944" s="9"/>
      <c r="J6944" s="24"/>
      <c r="K6944" s="9"/>
      <c r="L6944" s="25"/>
      <c r="M6944" s="46"/>
      <c r="N6944" s="8"/>
      <c r="O6944" s="11"/>
      <c r="P6944" s="11"/>
      <c r="Q6944" s="8"/>
      <c r="R6944" s="6"/>
      <c r="S6944" s="3"/>
      <c r="T6944" s="3"/>
      <c r="U6944" s="7"/>
      <c r="V6944" s="436"/>
      <c r="W6944" s="6"/>
      <c r="X6944" s="8"/>
    </row>
    <row r="6945" spans="3:24">
      <c r="C6945" s="4"/>
      <c r="D6945" s="4"/>
      <c r="E6945" s="5"/>
      <c r="F6945" s="6"/>
      <c r="G6945" s="31"/>
      <c r="H6945" s="6"/>
      <c r="I6945" s="9"/>
      <c r="J6945" s="24"/>
      <c r="K6945" s="9"/>
      <c r="L6945" s="25"/>
      <c r="M6945" s="46"/>
      <c r="N6945" s="8"/>
      <c r="O6945" s="11"/>
      <c r="P6945" s="11"/>
      <c r="Q6945" s="8"/>
      <c r="R6945" s="6"/>
      <c r="S6945" s="3"/>
      <c r="T6945" s="3"/>
      <c r="U6945" s="7"/>
      <c r="V6945" s="436"/>
      <c r="W6945" s="6"/>
      <c r="X6945" s="8"/>
    </row>
    <row r="6946" spans="3:24">
      <c r="C6946" s="4"/>
      <c r="D6946" s="4"/>
      <c r="E6946" s="5"/>
      <c r="F6946" s="6"/>
      <c r="G6946" s="31"/>
      <c r="H6946" s="6"/>
      <c r="I6946" s="9"/>
      <c r="J6946" s="24"/>
      <c r="K6946" s="9"/>
      <c r="L6946" s="25"/>
      <c r="M6946" s="46"/>
      <c r="N6946" s="8"/>
      <c r="O6946" s="11"/>
      <c r="P6946" s="11"/>
      <c r="Q6946" s="8"/>
      <c r="R6946" s="6"/>
      <c r="S6946" s="3"/>
      <c r="T6946" s="3"/>
      <c r="U6946" s="7"/>
      <c r="V6946" s="436"/>
      <c r="W6946" s="6"/>
      <c r="X6946" s="8"/>
    </row>
    <row r="6947" spans="3:24">
      <c r="C6947" s="4"/>
      <c r="D6947" s="4"/>
      <c r="E6947" s="5"/>
      <c r="F6947" s="6"/>
      <c r="G6947" s="31"/>
      <c r="H6947" s="6"/>
      <c r="I6947" s="9"/>
      <c r="J6947" s="24"/>
      <c r="K6947" s="9"/>
      <c r="L6947" s="25"/>
      <c r="M6947" s="46"/>
      <c r="N6947" s="8"/>
      <c r="O6947" s="11"/>
      <c r="P6947" s="11"/>
      <c r="Q6947" s="8"/>
      <c r="R6947" s="6"/>
      <c r="S6947" s="3"/>
      <c r="T6947" s="3"/>
      <c r="U6947" s="7"/>
      <c r="V6947" s="436"/>
      <c r="W6947" s="6"/>
      <c r="X6947" s="8"/>
    </row>
    <row r="6948" spans="3:24">
      <c r="C6948" s="21"/>
      <c r="D6948" s="21"/>
      <c r="E6948" s="22"/>
      <c r="F6948" s="9"/>
      <c r="G6948" s="32"/>
      <c r="H6948" s="9"/>
      <c r="I6948" s="9"/>
      <c r="J6948" s="24"/>
      <c r="K6948" s="9"/>
      <c r="L6948" s="25"/>
      <c r="M6948" s="51"/>
      <c r="N6948" s="10"/>
      <c r="O6948" s="27"/>
      <c r="P6948" s="27"/>
      <c r="Q6948" s="10"/>
      <c r="R6948" s="9"/>
      <c r="S6948" s="23"/>
      <c r="T6948" s="23"/>
      <c r="U6948" s="7"/>
      <c r="V6948" s="436"/>
      <c r="W6948" s="6"/>
      <c r="X6948" s="8"/>
    </row>
    <row r="6949" spans="3:24">
      <c r="C6949" s="21"/>
      <c r="D6949" s="21"/>
      <c r="E6949" s="22"/>
      <c r="F6949" s="9"/>
      <c r="G6949" s="32"/>
      <c r="H6949" s="9"/>
      <c r="I6949" s="9"/>
      <c r="J6949" s="24"/>
      <c r="K6949" s="9"/>
      <c r="L6949" s="25"/>
      <c r="M6949" s="51"/>
      <c r="N6949" s="10"/>
      <c r="O6949" s="27"/>
      <c r="P6949" s="27"/>
      <c r="Q6949" s="10"/>
      <c r="R6949" s="9"/>
      <c r="S6949" s="23"/>
      <c r="T6949" s="23"/>
      <c r="U6949" s="7"/>
      <c r="V6949" s="436"/>
      <c r="W6949" s="6"/>
      <c r="X6949" s="8"/>
    </row>
    <row r="6950" spans="3:24">
      <c r="C6950" s="21"/>
      <c r="D6950" s="21"/>
      <c r="E6950" s="22"/>
      <c r="F6950" s="9"/>
      <c r="G6950" s="32"/>
      <c r="H6950" s="9"/>
      <c r="I6950" s="9"/>
      <c r="J6950" s="24"/>
      <c r="K6950" s="9"/>
      <c r="L6950" s="25"/>
      <c r="M6950" s="51"/>
      <c r="N6950" s="10"/>
      <c r="O6950" s="27"/>
      <c r="P6950" s="27"/>
      <c r="Q6950" s="10"/>
      <c r="R6950" s="9"/>
      <c r="S6950" s="23"/>
      <c r="T6950" s="23"/>
      <c r="U6950" s="7"/>
      <c r="V6950" s="436"/>
      <c r="W6950" s="6"/>
      <c r="X6950" s="8"/>
    </row>
    <row r="6951" spans="3:24">
      <c r="C6951" s="4"/>
      <c r="D6951" s="4"/>
      <c r="E6951" s="5"/>
      <c r="F6951" s="6"/>
      <c r="G6951" s="31"/>
      <c r="H6951" s="6"/>
      <c r="I6951" s="9"/>
      <c r="J6951" s="24"/>
      <c r="K6951" s="9"/>
      <c r="L6951" s="25"/>
      <c r="M6951" s="46"/>
      <c r="N6951" s="8"/>
      <c r="O6951" s="11"/>
      <c r="P6951" s="11"/>
      <c r="Q6951" s="8"/>
      <c r="R6951" s="6"/>
      <c r="S6951" s="3"/>
      <c r="T6951" s="3"/>
      <c r="U6951" s="7"/>
      <c r="V6951" s="436"/>
      <c r="W6951" s="6"/>
      <c r="X6951" s="8"/>
    </row>
    <row r="6952" spans="3:24">
      <c r="C6952" s="4"/>
      <c r="D6952" s="4"/>
      <c r="E6952" s="5"/>
      <c r="F6952" s="6"/>
      <c r="G6952" s="31"/>
      <c r="H6952" s="6"/>
      <c r="I6952" s="9"/>
      <c r="J6952" s="24"/>
      <c r="K6952" s="9"/>
      <c r="L6952" s="25"/>
      <c r="M6952" s="46"/>
      <c r="N6952" s="8"/>
      <c r="O6952" s="11"/>
      <c r="P6952" s="11"/>
      <c r="Q6952" s="8"/>
      <c r="R6952" s="6"/>
      <c r="S6952" s="3"/>
      <c r="T6952" s="3"/>
      <c r="U6952" s="7"/>
      <c r="V6952" s="436"/>
      <c r="W6952" s="6"/>
      <c r="X6952" s="8"/>
    </row>
    <row r="6953" spans="3:24">
      <c r="C6953" s="4"/>
      <c r="D6953" s="4"/>
      <c r="E6953" s="5"/>
      <c r="F6953" s="6"/>
      <c r="G6953" s="31"/>
      <c r="H6953" s="6"/>
      <c r="I6953" s="9"/>
      <c r="J6953" s="24"/>
      <c r="K6953" s="9"/>
      <c r="L6953" s="25"/>
      <c r="M6953" s="46"/>
      <c r="N6953" s="8"/>
      <c r="O6953" s="11"/>
      <c r="P6953" s="11"/>
      <c r="Q6953" s="8"/>
      <c r="R6953" s="6"/>
      <c r="S6953" s="3"/>
      <c r="T6953" s="3"/>
      <c r="U6953" s="7"/>
      <c r="V6953" s="436"/>
      <c r="W6953" s="6"/>
      <c r="X6953" s="8"/>
    </row>
    <row r="6954" spans="3:24">
      <c r="C6954" s="4"/>
      <c r="D6954" s="4"/>
      <c r="E6954" s="5"/>
      <c r="F6954" s="6"/>
      <c r="G6954" s="31"/>
      <c r="H6954" s="6"/>
      <c r="I6954" s="9"/>
      <c r="J6954" s="24"/>
      <c r="K6954" s="9"/>
      <c r="L6954" s="25"/>
      <c r="M6954" s="46"/>
      <c r="N6954" s="8"/>
      <c r="O6954" s="11"/>
      <c r="P6954" s="11"/>
      <c r="Q6954" s="8"/>
      <c r="R6954" s="6"/>
      <c r="S6954" s="3"/>
      <c r="T6954" s="3"/>
      <c r="U6954" s="7"/>
      <c r="V6954" s="436"/>
      <c r="W6954" s="6"/>
      <c r="X6954" s="8"/>
    </row>
    <row r="6955" spans="3:24">
      <c r="C6955" s="4"/>
      <c r="D6955" s="4"/>
      <c r="E6955" s="5"/>
      <c r="F6955" s="6"/>
      <c r="G6955" s="31"/>
      <c r="H6955" s="6"/>
      <c r="I6955" s="9"/>
      <c r="J6955" s="24"/>
      <c r="K6955" s="9"/>
      <c r="L6955" s="25"/>
      <c r="M6955" s="46"/>
      <c r="N6955" s="8"/>
      <c r="O6955" s="11"/>
      <c r="P6955" s="11"/>
      <c r="Q6955" s="8"/>
      <c r="R6955" s="6"/>
      <c r="S6955" s="3"/>
      <c r="T6955" s="3"/>
      <c r="U6955" s="7"/>
      <c r="V6955" s="436"/>
      <c r="W6955" s="6"/>
      <c r="X6955" s="8"/>
    </row>
    <row r="6956" spans="3:24">
      <c r="C6956" s="4"/>
      <c r="D6956" s="4"/>
      <c r="E6956" s="5"/>
      <c r="F6956" s="6"/>
      <c r="G6956" s="31"/>
      <c r="H6956" s="6"/>
      <c r="I6956" s="9"/>
      <c r="J6956" s="24"/>
      <c r="K6956" s="9"/>
      <c r="L6956" s="25"/>
      <c r="M6956" s="46"/>
      <c r="N6956" s="8"/>
      <c r="O6956" s="11"/>
      <c r="P6956" s="11"/>
      <c r="Q6956" s="8"/>
      <c r="R6956" s="6"/>
      <c r="S6956" s="3"/>
      <c r="T6956" s="3"/>
      <c r="U6956" s="7"/>
      <c r="V6956" s="436"/>
      <c r="W6956" s="6"/>
      <c r="X6956" s="8"/>
    </row>
    <row r="6957" spans="3:24">
      <c r="C6957" s="4"/>
      <c r="D6957" s="4"/>
      <c r="E6957" s="5"/>
      <c r="F6957" s="6"/>
      <c r="G6957" s="31"/>
      <c r="H6957" s="6"/>
      <c r="I6957" s="9"/>
      <c r="J6957" s="24"/>
      <c r="K6957" s="9"/>
      <c r="L6957" s="25"/>
      <c r="M6957" s="46"/>
      <c r="N6957" s="8"/>
      <c r="O6957" s="11"/>
      <c r="P6957" s="11"/>
      <c r="Q6957" s="8"/>
      <c r="R6957" s="6"/>
      <c r="S6957" s="3"/>
      <c r="T6957" s="3"/>
      <c r="U6957" s="7"/>
      <c r="V6957" s="436"/>
      <c r="W6957" s="6"/>
      <c r="X6957" s="8"/>
    </row>
    <row r="6958" spans="3:24">
      <c r="C6958" s="4"/>
      <c r="D6958" s="4"/>
      <c r="E6958" s="5"/>
      <c r="F6958" s="6"/>
      <c r="G6958" s="31"/>
      <c r="H6958" s="6"/>
      <c r="I6958" s="9"/>
      <c r="J6958" s="24"/>
      <c r="K6958" s="9"/>
      <c r="L6958" s="25"/>
      <c r="M6958" s="46"/>
      <c r="N6958" s="8"/>
      <c r="O6958" s="11"/>
      <c r="P6958" s="11"/>
      <c r="Q6958" s="8"/>
      <c r="R6958" s="6"/>
      <c r="S6958" s="3"/>
      <c r="T6958" s="3"/>
      <c r="U6958" s="7"/>
      <c r="V6958" s="436"/>
      <c r="W6958" s="6"/>
      <c r="X6958" s="8"/>
    </row>
    <row r="6959" spans="3:24">
      <c r="C6959" s="4"/>
      <c r="D6959" s="4"/>
      <c r="E6959" s="5"/>
      <c r="F6959" s="6"/>
      <c r="G6959" s="31"/>
      <c r="H6959" s="6"/>
      <c r="I6959" s="9"/>
      <c r="J6959" s="24"/>
      <c r="K6959" s="9"/>
      <c r="L6959" s="25"/>
      <c r="M6959" s="46"/>
      <c r="N6959" s="8"/>
      <c r="O6959" s="11"/>
      <c r="P6959" s="11"/>
      <c r="Q6959" s="8"/>
      <c r="R6959" s="6"/>
      <c r="S6959" s="3"/>
      <c r="T6959" s="3"/>
      <c r="U6959" s="7"/>
      <c r="V6959" s="436"/>
      <c r="W6959" s="6"/>
      <c r="X6959" s="8"/>
    </row>
    <row r="6960" spans="3:24">
      <c r="C6960" s="4"/>
      <c r="D6960" s="4"/>
      <c r="E6960" s="5"/>
      <c r="F6960" s="6"/>
      <c r="G6960" s="31"/>
      <c r="H6960" s="6"/>
      <c r="I6960" s="9"/>
      <c r="J6960" s="24"/>
      <c r="K6960" s="9"/>
      <c r="L6960" s="25"/>
      <c r="M6960" s="46"/>
      <c r="N6960" s="8"/>
      <c r="O6960" s="11"/>
      <c r="P6960" s="11"/>
      <c r="Q6960" s="8"/>
      <c r="R6960" s="6"/>
      <c r="S6960" s="3"/>
      <c r="T6960" s="3"/>
      <c r="U6960" s="7"/>
      <c r="V6960" s="436"/>
      <c r="W6960" s="6"/>
      <c r="X6960" s="8"/>
    </row>
    <row r="6961" spans="3:24">
      <c r="C6961" s="4"/>
      <c r="D6961" s="4"/>
      <c r="E6961" s="5"/>
      <c r="F6961" s="6"/>
      <c r="G6961" s="31"/>
      <c r="H6961" s="6"/>
      <c r="I6961" s="9"/>
      <c r="J6961" s="24"/>
      <c r="K6961" s="9"/>
      <c r="L6961" s="25"/>
      <c r="M6961" s="46"/>
      <c r="N6961" s="8"/>
      <c r="O6961" s="11"/>
      <c r="P6961" s="11"/>
      <c r="Q6961" s="8"/>
      <c r="R6961" s="6"/>
      <c r="S6961" s="3"/>
      <c r="T6961" s="3"/>
      <c r="U6961" s="7"/>
      <c r="V6961" s="436"/>
      <c r="W6961" s="6"/>
      <c r="X6961" s="8"/>
    </row>
    <row r="6962" spans="3:24">
      <c r="C6962" s="4"/>
      <c r="D6962" s="4"/>
      <c r="E6962" s="5"/>
      <c r="F6962" s="6"/>
      <c r="G6962" s="31"/>
      <c r="H6962" s="6"/>
      <c r="I6962" s="9"/>
      <c r="J6962" s="24"/>
      <c r="K6962" s="9"/>
      <c r="L6962" s="25"/>
      <c r="M6962" s="46"/>
      <c r="N6962" s="8"/>
      <c r="O6962" s="11"/>
      <c r="P6962" s="11"/>
      <c r="Q6962" s="8"/>
      <c r="R6962" s="6"/>
      <c r="S6962" s="3"/>
      <c r="T6962" s="3"/>
      <c r="U6962" s="7"/>
      <c r="V6962" s="436"/>
      <c r="W6962" s="6"/>
      <c r="X6962" s="8"/>
    </row>
    <row r="6963" spans="3:24">
      <c r="C6963" s="4"/>
      <c r="D6963" s="4"/>
      <c r="E6963" s="5"/>
      <c r="F6963" s="6"/>
      <c r="G6963" s="31"/>
      <c r="H6963" s="6"/>
      <c r="I6963" s="9"/>
      <c r="J6963" s="24"/>
      <c r="K6963" s="9"/>
      <c r="L6963" s="25"/>
      <c r="M6963" s="53"/>
      <c r="N6963" s="8"/>
      <c r="O6963" s="11"/>
      <c r="P6963" s="11"/>
      <c r="Q6963" s="8"/>
      <c r="R6963" s="6"/>
      <c r="S6963" s="3"/>
      <c r="T6963" s="3"/>
      <c r="U6963" s="7"/>
      <c r="V6963" s="436"/>
      <c r="W6963" s="6"/>
      <c r="X6963" s="8"/>
    </row>
    <row r="6964" spans="3:24">
      <c r="C6964" s="4"/>
      <c r="D6964" s="4"/>
      <c r="E6964" s="5"/>
      <c r="F6964" s="6"/>
      <c r="G6964" s="31"/>
      <c r="H6964" s="6"/>
      <c r="I6964" s="9"/>
      <c r="J6964" s="24"/>
      <c r="K6964" s="9"/>
      <c r="L6964" s="25"/>
      <c r="M6964" s="53"/>
      <c r="N6964" s="8"/>
      <c r="O6964" s="11"/>
      <c r="P6964" s="11"/>
      <c r="Q6964" s="8"/>
      <c r="R6964" s="6"/>
      <c r="S6964" s="3"/>
      <c r="T6964" s="3"/>
      <c r="U6964" s="7"/>
      <c r="V6964" s="436"/>
      <c r="W6964" s="6"/>
      <c r="X6964" s="8"/>
    </row>
    <row r="6965" spans="3:24">
      <c r="C6965" s="4"/>
      <c r="D6965" s="4"/>
      <c r="E6965" s="5"/>
      <c r="F6965" s="6"/>
      <c r="G6965" s="31"/>
      <c r="H6965" s="6"/>
      <c r="I6965" s="9"/>
      <c r="J6965" s="24"/>
      <c r="K6965" s="10"/>
      <c r="L6965" s="25"/>
      <c r="M6965" s="46"/>
      <c r="N6965" s="8"/>
      <c r="O6965" s="11"/>
      <c r="P6965" s="11"/>
      <c r="Q6965" s="8"/>
      <c r="R6965" s="6"/>
      <c r="S6965" s="3"/>
      <c r="T6965" s="3"/>
      <c r="U6965" s="7"/>
      <c r="V6965" s="436"/>
      <c r="W6965" s="6"/>
      <c r="X6965" s="8"/>
    </row>
    <row r="6966" spans="3:24">
      <c r="C6966" s="4"/>
      <c r="D6966" s="4"/>
      <c r="E6966" s="5"/>
      <c r="F6966" s="6"/>
      <c r="G6966" s="31"/>
      <c r="H6966" s="6"/>
      <c r="I6966" s="9"/>
      <c r="J6966" s="24"/>
      <c r="K6966" s="9"/>
      <c r="L6966" s="25"/>
      <c r="M6966" s="46"/>
      <c r="N6966" s="8"/>
      <c r="O6966" s="11"/>
      <c r="P6966" s="11"/>
      <c r="Q6966" s="8"/>
      <c r="R6966" s="6"/>
      <c r="S6966" s="3"/>
      <c r="T6966" s="3"/>
      <c r="U6966" s="7"/>
      <c r="V6966" s="436"/>
      <c r="W6966" s="6"/>
      <c r="X6966" s="8"/>
    </row>
    <row r="6967" spans="3:24">
      <c r="C6967" s="4"/>
      <c r="D6967" s="4"/>
      <c r="E6967" s="5"/>
      <c r="F6967" s="6"/>
      <c r="G6967" s="31"/>
      <c r="H6967" s="6"/>
      <c r="I6967" s="9"/>
      <c r="J6967" s="24"/>
      <c r="K6967" s="9"/>
      <c r="L6967" s="25"/>
      <c r="M6967" s="46"/>
      <c r="N6967" s="8"/>
      <c r="O6967" s="11"/>
      <c r="P6967" s="11"/>
      <c r="Q6967" s="8"/>
      <c r="R6967" s="6"/>
      <c r="S6967" s="3"/>
      <c r="T6967" s="3"/>
      <c r="U6967" s="7"/>
      <c r="V6967" s="436"/>
      <c r="W6967" s="6"/>
      <c r="X6967" s="8"/>
    </row>
    <row r="6968" spans="3:24">
      <c r="C6968" s="4"/>
      <c r="D6968" s="4"/>
      <c r="E6968" s="5"/>
      <c r="F6968" s="6"/>
      <c r="G6968" s="31"/>
      <c r="H6968" s="6"/>
      <c r="I6968" s="9"/>
      <c r="J6968" s="24"/>
      <c r="K6968" s="9"/>
      <c r="L6968" s="25"/>
      <c r="M6968" s="46"/>
      <c r="N6968" s="8"/>
      <c r="O6968" s="11"/>
      <c r="P6968" s="11"/>
      <c r="Q6968" s="8"/>
      <c r="R6968" s="6"/>
      <c r="S6968" s="3"/>
      <c r="T6968" s="3"/>
      <c r="U6968" s="7"/>
      <c r="V6968" s="436"/>
      <c r="W6968" s="6"/>
      <c r="X6968" s="8"/>
    </row>
    <row r="6969" spans="3:24">
      <c r="C6969" s="4"/>
      <c r="D6969" s="4"/>
      <c r="E6969" s="5"/>
      <c r="F6969" s="6"/>
      <c r="G6969" s="31"/>
      <c r="H6969" s="6"/>
      <c r="I6969" s="9"/>
      <c r="J6969" s="24"/>
      <c r="K6969" s="9"/>
      <c r="L6969" s="25"/>
      <c r="M6969" s="46"/>
      <c r="N6969" s="8"/>
      <c r="O6969" s="11"/>
      <c r="P6969" s="11"/>
      <c r="Q6969" s="8"/>
      <c r="R6969" s="6"/>
      <c r="S6969" s="3"/>
      <c r="T6969" s="3"/>
      <c r="U6969" s="7"/>
      <c r="V6969" s="436"/>
      <c r="W6969" s="6"/>
      <c r="X6969" s="8"/>
    </row>
    <row r="6970" spans="3:24">
      <c r="C6970" s="4"/>
      <c r="D6970" s="4"/>
      <c r="E6970" s="5"/>
      <c r="F6970" s="6"/>
      <c r="G6970" s="31"/>
      <c r="H6970" s="6"/>
      <c r="I6970" s="9"/>
      <c r="J6970" s="24"/>
      <c r="K6970" s="9"/>
      <c r="L6970" s="25"/>
      <c r="M6970" s="46"/>
      <c r="N6970" s="8"/>
      <c r="O6970" s="11"/>
      <c r="P6970" s="11"/>
      <c r="Q6970" s="8"/>
      <c r="R6970" s="6"/>
      <c r="S6970" s="3"/>
      <c r="T6970" s="3"/>
      <c r="U6970" s="7"/>
      <c r="V6970" s="436"/>
      <c r="W6970" s="6"/>
      <c r="X6970" s="8"/>
    </row>
    <row r="6971" spans="3:24">
      <c r="C6971" s="4"/>
      <c r="D6971" s="4"/>
      <c r="E6971" s="5"/>
      <c r="F6971" s="6"/>
      <c r="G6971" s="31"/>
      <c r="H6971" s="6"/>
      <c r="I6971" s="9"/>
      <c r="J6971" s="24"/>
      <c r="K6971" s="9"/>
      <c r="L6971" s="25"/>
      <c r="M6971" s="46"/>
      <c r="N6971" s="8"/>
      <c r="O6971" s="11"/>
      <c r="P6971" s="11"/>
      <c r="Q6971" s="8"/>
      <c r="R6971" s="6"/>
      <c r="S6971" s="3"/>
      <c r="T6971" s="3"/>
      <c r="U6971" s="7"/>
      <c r="V6971" s="436"/>
      <c r="W6971" s="6"/>
      <c r="X6971" s="8"/>
    </row>
    <row r="6972" spans="3:24">
      <c r="C6972" s="4"/>
      <c r="D6972" s="4"/>
      <c r="E6972" s="5"/>
      <c r="F6972" s="6"/>
      <c r="G6972" s="31"/>
      <c r="H6972" s="6"/>
      <c r="I6972" s="9"/>
      <c r="J6972" s="24"/>
      <c r="K6972" s="9"/>
      <c r="L6972" s="25"/>
      <c r="M6972" s="46"/>
      <c r="N6972" s="8"/>
      <c r="O6972" s="11"/>
      <c r="P6972" s="11"/>
      <c r="Q6972" s="8"/>
      <c r="R6972" s="6"/>
      <c r="S6972" s="3"/>
      <c r="T6972" s="3"/>
      <c r="U6972" s="7"/>
      <c r="V6972" s="436"/>
      <c r="W6972" s="6"/>
      <c r="X6972" s="8"/>
    </row>
    <row r="6973" spans="3:24">
      <c r="C6973" s="4"/>
      <c r="D6973" s="4"/>
      <c r="E6973" s="5"/>
      <c r="F6973" s="6"/>
      <c r="G6973" s="31"/>
      <c r="H6973" s="6"/>
      <c r="I6973" s="9"/>
      <c r="J6973" s="24"/>
      <c r="K6973" s="9"/>
      <c r="L6973" s="25"/>
      <c r="M6973" s="46"/>
      <c r="N6973" s="8"/>
      <c r="O6973" s="11"/>
      <c r="P6973" s="11"/>
      <c r="Q6973" s="8"/>
      <c r="R6973" s="6"/>
      <c r="S6973" s="3"/>
      <c r="T6973" s="3"/>
      <c r="U6973" s="7"/>
      <c r="V6973" s="436"/>
      <c r="W6973" s="6"/>
      <c r="X6973" s="8"/>
    </row>
    <row r="6974" spans="3:24">
      <c r="C6974" s="4"/>
      <c r="D6974" s="4"/>
      <c r="E6974" s="5"/>
      <c r="F6974" s="6"/>
      <c r="G6974" s="31"/>
      <c r="H6974" s="6"/>
      <c r="I6974" s="9"/>
      <c r="J6974" s="24"/>
      <c r="K6974" s="9"/>
      <c r="L6974" s="25"/>
      <c r="M6974" s="46"/>
      <c r="N6974" s="8"/>
      <c r="O6974" s="11"/>
      <c r="P6974" s="11"/>
      <c r="Q6974" s="8"/>
      <c r="R6974" s="6"/>
      <c r="S6974" s="3"/>
      <c r="T6974" s="3"/>
      <c r="U6974" s="7"/>
      <c r="V6974" s="436"/>
      <c r="W6974" s="6"/>
      <c r="X6974" s="8"/>
    </row>
    <row r="6975" spans="3:24">
      <c r="C6975" s="4"/>
      <c r="D6975" s="4"/>
      <c r="E6975" s="5"/>
      <c r="F6975" s="6"/>
      <c r="G6975" s="31"/>
      <c r="H6975" s="6"/>
      <c r="I6975" s="9"/>
      <c r="J6975" s="24"/>
      <c r="K6975" s="9"/>
      <c r="L6975" s="25"/>
      <c r="M6975" s="46"/>
      <c r="N6975" s="8"/>
      <c r="O6975" s="11"/>
      <c r="P6975" s="11"/>
      <c r="Q6975" s="8"/>
      <c r="R6975" s="6"/>
      <c r="S6975" s="3"/>
      <c r="T6975" s="3"/>
      <c r="U6975" s="7"/>
      <c r="V6975" s="436"/>
      <c r="W6975" s="6"/>
      <c r="X6975" s="8"/>
    </row>
    <row r="6976" spans="3:24">
      <c r="C6976" s="4"/>
      <c r="D6976" s="4"/>
      <c r="E6976" s="5"/>
      <c r="F6976" s="6"/>
      <c r="G6976" s="31"/>
      <c r="H6976" s="6"/>
      <c r="I6976" s="9"/>
      <c r="J6976" s="24"/>
      <c r="K6976" s="9"/>
      <c r="L6976" s="25"/>
      <c r="M6976" s="46"/>
      <c r="N6976" s="8"/>
      <c r="O6976" s="11"/>
      <c r="P6976" s="11"/>
      <c r="Q6976" s="8"/>
      <c r="R6976" s="6"/>
      <c r="S6976" s="3"/>
      <c r="T6976" s="3"/>
      <c r="U6976" s="7"/>
      <c r="V6976" s="436"/>
      <c r="W6976" s="6"/>
      <c r="X6976" s="8"/>
    </row>
    <row r="6977" spans="3:24">
      <c r="C6977" s="4"/>
      <c r="D6977" s="4"/>
      <c r="E6977" s="5"/>
      <c r="F6977" s="6"/>
      <c r="G6977" s="31"/>
      <c r="H6977" s="6"/>
      <c r="I6977" s="9"/>
      <c r="J6977" s="24"/>
      <c r="K6977" s="10"/>
      <c r="L6977" s="25"/>
      <c r="M6977" s="46"/>
      <c r="N6977" s="8"/>
      <c r="O6977" s="11"/>
      <c r="P6977" s="11"/>
      <c r="Q6977" s="8"/>
      <c r="R6977" s="6"/>
      <c r="S6977" s="3"/>
      <c r="T6977" s="3"/>
      <c r="U6977" s="7"/>
      <c r="V6977" s="436"/>
      <c r="W6977" s="6"/>
      <c r="X6977" s="8"/>
    </row>
    <row r="6978" spans="3:24">
      <c r="C6978" s="4"/>
      <c r="D6978" s="4"/>
      <c r="E6978" s="5"/>
      <c r="F6978" s="6"/>
      <c r="G6978" s="31"/>
      <c r="H6978" s="6"/>
      <c r="I6978" s="9"/>
      <c r="J6978" s="24"/>
      <c r="K6978" s="10"/>
      <c r="L6978" s="25"/>
      <c r="M6978" s="46"/>
      <c r="N6978" s="8"/>
      <c r="O6978" s="11"/>
      <c r="P6978" s="11"/>
      <c r="Q6978" s="8"/>
      <c r="R6978" s="6"/>
      <c r="S6978" s="3"/>
      <c r="T6978" s="3"/>
      <c r="U6978" s="7"/>
      <c r="V6978" s="436"/>
      <c r="W6978" s="6"/>
      <c r="X6978" s="8"/>
    </row>
    <row r="6979" spans="3:24">
      <c r="C6979" s="4"/>
      <c r="D6979" s="4"/>
      <c r="E6979" s="5"/>
      <c r="F6979" s="6"/>
      <c r="G6979" s="31"/>
      <c r="H6979" s="6"/>
      <c r="I6979" s="9"/>
      <c r="J6979" s="24"/>
      <c r="K6979" s="10"/>
      <c r="L6979" s="25"/>
      <c r="M6979" s="46"/>
      <c r="N6979" s="8"/>
      <c r="O6979" s="11"/>
      <c r="P6979" s="11"/>
      <c r="Q6979" s="8"/>
      <c r="R6979" s="6"/>
      <c r="S6979" s="3"/>
      <c r="T6979" s="3"/>
      <c r="U6979" s="7"/>
      <c r="V6979" s="436"/>
      <c r="W6979" s="6"/>
      <c r="X6979" s="8"/>
    </row>
    <row r="6980" spans="3:24">
      <c r="C6980" s="4"/>
      <c r="D6980" s="4"/>
      <c r="E6980" s="5"/>
      <c r="F6980" s="6"/>
      <c r="G6980" s="31"/>
      <c r="H6980" s="6"/>
      <c r="I6980" s="9"/>
      <c r="J6980" s="24"/>
      <c r="K6980" s="10"/>
      <c r="L6980" s="25"/>
      <c r="M6980" s="46"/>
      <c r="N6980" s="8"/>
      <c r="O6980" s="11"/>
      <c r="P6980" s="11"/>
      <c r="Q6980" s="8"/>
      <c r="R6980" s="6"/>
      <c r="S6980" s="3"/>
      <c r="T6980" s="3"/>
      <c r="U6980" s="7"/>
      <c r="V6980" s="436"/>
      <c r="W6980" s="6"/>
      <c r="X6980" s="8"/>
    </row>
    <row r="6981" spans="3:24">
      <c r="C6981" s="4"/>
      <c r="D6981" s="4"/>
      <c r="E6981" s="5"/>
      <c r="F6981" s="6"/>
      <c r="G6981" s="31"/>
      <c r="H6981" s="6"/>
      <c r="I6981" s="9"/>
      <c r="J6981" s="24"/>
      <c r="K6981" s="10"/>
      <c r="L6981" s="25"/>
      <c r="M6981" s="46"/>
      <c r="N6981" s="8"/>
      <c r="O6981" s="11"/>
      <c r="P6981" s="11"/>
      <c r="Q6981" s="8"/>
      <c r="R6981" s="6"/>
      <c r="S6981" s="3"/>
      <c r="T6981" s="3"/>
      <c r="U6981" s="7"/>
      <c r="V6981" s="436"/>
      <c r="W6981" s="6"/>
      <c r="X6981" s="8"/>
    </row>
    <row r="6982" spans="3:24">
      <c r="C6982" s="4"/>
      <c r="D6982" s="4"/>
      <c r="E6982" s="5"/>
      <c r="F6982" s="6"/>
      <c r="G6982" s="31"/>
      <c r="H6982" s="6"/>
      <c r="I6982" s="9"/>
      <c r="J6982" s="24"/>
      <c r="K6982" s="9"/>
      <c r="L6982" s="25"/>
      <c r="M6982" s="46"/>
      <c r="N6982" s="8"/>
      <c r="O6982" s="11"/>
      <c r="P6982" s="11"/>
      <c r="Q6982" s="8"/>
      <c r="R6982" s="6"/>
      <c r="S6982" s="3"/>
      <c r="T6982" s="3"/>
      <c r="U6982" s="7"/>
      <c r="V6982" s="436"/>
      <c r="W6982" s="6"/>
      <c r="X6982" s="8"/>
    </row>
    <row r="6983" spans="3:24">
      <c r="C6983" s="4"/>
      <c r="D6983" s="4"/>
      <c r="E6983" s="5"/>
      <c r="F6983" s="6"/>
      <c r="G6983" s="31"/>
      <c r="H6983" s="6"/>
      <c r="I6983" s="9"/>
      <c r="J6983" s="24"/>
      <c r="K6983" s="9"/>
      <c r="L6983" s="25"/>
      <c r="M6983" s="46"/>
      <c r="N6983" s="8"/>
      <c r="O6983" s="11"/>
      <c r="P6983" s="11"/>
      <c r="Q6983" s="8"/>
      <c r="R6983" s="6"/>
      <c r="S6983" s="3"/>
      <c r="T6983" s="3"/>
      <c r="U6983" s="7"/>
      <c r="V6983" s="436"/>
      <c r="W6983" s="6"/>
      <c r="X6983" s="8"/>
    </row>
    <row r="6984" spans="3:24">
      <c r="C6984" s="4"/>
      <c r="D6984" s="4"/>
      <c r="E6984" s="5"/>
      <c r="F6984" s="6"/>
      <c r="G6984" s="31"/>
      <c r="H6984" s="6"/>
      <c r="I6984" s="9"/>
      <c r="J6984" s="24"/>
      <c r="K6984" s="9"/>
      <c r="L6984" s="25"/>
      <c r="M6984" s="46"/>
      <c r="N6984" s="8"/>
      <c r="O6984" s="11"/>
      <c r="P6984" s="11"/>
      <c r="Q6984" s="8"/>
      <c r="R6984" s="6"/>
      <c r="S6984" s="3"/>
      <c r="T6984" s="3"/>
      <c r="U6984" s="7"/>
      <c r="V6984" s="436"/>
      <c r="W6984" s="6"/>
      <c r="X6984" s="8"/>
    </row>
    <row r="6985" spans="3:24">
      <c r="C6985" s="4"/>
      <c r="D6985" s="4"/>
      <c r="E6985" s="5"/>
      <c r="F6985" s="6"/>
      <c r="G6985" s="31"/>
      <c r="H6985" s="6"/>
      <c r="I6985" s="9"/>
      <c r="J6985" s="24"/>
      <c r="K6985" s="9"/>
      <c r="L6985" s="25"/>
      <c r="M6985" s="46"/>
      <c r="N6985" s="8"/>
      <c r="O6985" s="11"/>
      <c r="P6985" s="11"/>
      <c r="Q6985" s="8"/>
      <c r="R6985" s="6"/>
      <c r="S6985" s="3"/>
      <c r="T6985" s="3"/>
      <c r="U6985" s="7"/>
      <c r="V6985" s="436"/>
      <c r="W6985" s="6"/>
      <c r="X6985" s="8"/>
    </row>
    <row r="6986" spans="3:24">
      <c r="C6986" s="4"/>
      <c r="D6986" s="4"/>
      <c r="E6986" s="5"/>
      <c r="F6986" s="6"/>
      <c r="G6986" s="31"/>
      <c r="H6986" s="6"/>
      <c r="I6986" s="9"/>
      <c r="J6986" s="24"/>
      <c r="K6986" s="9"/>
      <c r="L6986" s="25"/>
      <c r="M6986" s="46"/>
      <c r="N6986" s="8"/>
      <c r="O6986" s="11"/>
      <c r="P6986" s="11"/>
      <c r="Q6986" s="8"/>
      <c r="R6986" s="6"/>
      <c r="S6986" s="3"/>
      <c r="T6986" s="3"/>
      <c r="U6986" s="7"/>
      <c r="V6986" s="436"/>
      <c r="W6986" s="6"/>
      <c r="X6986" s="8"/>
    </row>
    <row r="6987" spans="3:24">
      <c r="C6987" s="4"/>
      <c r="D6987" s="4"/>
      <c r="E6987" s="5"/>
      <c r="F6987" s="6"/>
      <c r="G6987" s="31"/>
      <c r="H6987" s="6"/>
      <c r="I6987" s="9"/>
      <c r="J6987" s="24"/>
      <c r="K6987" s="9"/>
      <c r="L6987" s="25"/>
      <c r="M6987" s="46"/>
      <c r="N6987" s="8"/>
      <c r="O6987" s="11"/>
      <c r="P6987" s="11"/>
      <c r="Q6987" s="8"/>
      <c r="R6987" s="6"/>
      <c r="S6987" s="3"/>
      <c r="T6987" s="3"/>
      <c r="U6987" s="7"/>
      <c r="V6987" s="436"/>
      <c r="W6987" s="6"/>
      <c r="X6987" s="8"/>
    </row>
    <row r="6988" spans="3:24">
      <c r="C6988" s="4"/>
      <c r="D6988" s="4"/>
      <c r="E6988" s="5"/>
      <c r="F6988" s="6"/>
      <c r="G6988" s="31"/>
      <c r="H6988" s="6"/>
      <c r="I6988" s="9"/>
      <c r="J6988" s="24"/>
      <c r="K6988" s="9"/>
      <c r="L6988" s="25"/>
      <c r="M6988" s="46"/>
      <c r="N6988" s="8"/>
      <c r="O6988" s="11"/>
      <c r="P6988" s="11"/>
      <c r="Q6988" s="8"/>
      <c r="R6988" s="6"/>
      <c r="S6988" s="3"/>
      <c r="T6988" s="3"/>
      <c r="U6988" s="7"/>
      <c r="V6988" s="436"/>
      <c r="W6988" s="6"/>
      <c r="X6988" s="8"/>
    </row>
    <row r="6989" spans="3:24">
      <c r="C6989" s="4"/>
      <c r="D6989" s="4"/>
      <c r="E6989" s="5"/>
      <c r="F6989" s="6"/>
      <c r="G6989" s="31"/>
      <c r="H6989" s="6"/>
      <c r="I6989" s="9"/>
      <c r="J6989" s="24"/>
      <c r="K6989" s="9"/>
      <c r="L6989" s="25"/>
      <c r="M6989" s="46"/>
      <c r="N6989" s="8"/>
      <c r="O6989" s="11"/>
      <c r="P6989" s="11"/>
      <c r="Q6989" s="8"/>
      <c r="R6989" s="6"/>
      <c r="S6989" s="3"/>
      <c r="T6989" s="3"/>
      <c r="U6989" s="7"/>
      <c r="V6989" s="436"/>
      <c r="W6989" s="6"/>
      <c r="X6989" s="8"/>
    </row>
    <row r="6990" spans="3:24">
      <c r="C6990" s="4"/>
      <c r="D6990" s="4"/>
      <c r="E6990" s="5"/>
      <c r="F6990" s="6"/>
      <c r="G6990" s="31"/>
      <c r="H6990" s="6"/>
      <c r="I6990" s="9"/>
      <c r="J6990" s="24"/>
      <c r="K6990" s="9"/>
      <c r="L6990" s="25"/>
      <c r="M6990" s="46"/>
      <c r="N6990" s="8"/>
      <c r="O6990" s="11"/>
      <c r="P6990" s="11"/>
      <c r="Q6990" s="8"/>
      <c r="R6990" s="6"/>
      <c r="S6990" s="3"/>
      <c r="T6990" s="3"/>
      <c r="U6990" s="7"/>
      <c r="V6990" s="436"/>
      <c r="W6990" s="6"/>
      <c r="X6990" s="8"/>
    </row>
    <row r="6991" spans="3:24">
      <c r="C6991" s="4"/>
      <c r="D6991" s="4"/>
      <c r="E6991" s="5"/>
      <c r="F6991" s="6"/>
      <c r="G6991" s="31"/>
      <c r="H6991" s="6"/>
      <c r="I6991" s="9"/>
      <c r="J6991" s="24"/>
      <c r="K6991" s="9"/>
      <c r="L6991" s="25"/>
      <c r="M6991" s="46"/>
      <c r="N6991" s="8"/>
      <c r="O6991" s="11"/>
      <c r="P6991" s="11"/>
      <c r="Q6991" s="8"/>
      <c r="R6991" s="6"/>
      <c r="S6991" s="3"/>
      <c r="T6991" s="3"/>
      <c r="U6991" s="7"/>
      <c r="V6991" s="436"/>
      <c r="W6991" s="6"/>
      <c r="X6991" s="8"/>
    </row>
    <row r="6992" spans="3:24">
      <c r="C6992" s="4"/>
      <c r="D6992" s="4"/>
      <c r="E6992" s="5"/>
      <c r="F6992" s="6"/>
      <c r="G6992" s="31"/>
      <c r="H6992" s="6"/>
      <c r="I6992" s="9"/>
      <c r="J6992" s="24"/>
      <c r="K6992" s="9"/>
      <c r="L6992" s="25"/>
      <c r="M6992" s="46"/>
      <c r="N6992" s="8"/>
      <c r="O6992" s="11"/>
      <c r="P6992" s="11"/>
      <c r="Q6992" s="8"/>
      <c r="R6992" s="6"/>
      <c r="S6992" s="3"/>
      <c r="T6992" s="3"/>
      <c r="U6992" s="7"/>
      <c r="V6992" s="436"/>
      <c r="W6992" s="6"/>
      <c r="X6992" s="8"/>
    </row>
    <row r="6993" spans="3:24">
      <c r="C6993" s="4"/>
      <c r="D6993" s="4"/>
      <c r="E6993" s="5"/>
      <c r="F6993" s="6"/>
      <c r="G6993" s="31"/>
      <c r="H6993" s="6"/>
      <c r="I6993" s="9"/>
      <c r="J6993" s="24"/>
      <c r="K6993" s="9"/>
      <c r="L6993" s="25"/>
      <c r="M6993" s="46"/>
      <c r="N6993" s="8"/>
      <c r="O6993" s="11"/>
      <c r="P6993" s="11"/>
      <c r="Q6993" s="8"/>
      <c r="R6993" s="6"/>
      <c r="S6993" s="3"/>
      <c r="T6993" s="3"/>
      <c r="U6993" s="7"/>
      <c r="V6993" s="436"/>
      <c r="W6993" s="6"/>
      <c r="X6993" s="8"/>
    </row>
    <row r="6994" spans="3:24">
      <c r="C6994" s="4"/>
      <c r="D6994" s="4"/>
      <c r="E6994" s="5"/>
      <c r="F6994" s="6"/>
      <c r="G6994" s="31"/>
      <c r="H6994" s="6"/>
      <c r="I6994" s="9"/>
      <c r="J6994" s="24"/>
      <c r="K6994" s="9"/>
      <c r="L6994" s="25"/>
      <c r="M6994" s="46"/>
      <c r="N6994" s="8"/>
      <c r="O6994" s="11"/>
      <c r="P6994" s="11"/>
      <c r="Q6994" s="8"/>
      <c r="R6994" s="6"/>
      <c r="S6994" s="3"/>
      <c r="T6994" s="3"/>
      <c r="U6994" s="7"/>
      <c r="V6994" s="436"/>
      <c r="W6994" s="6"/>
      <c r="X6994" s="8"/>
    </row>
    <row r="6995" spans="3:24">
      <c r="C6995" s="4"/>
      <c r="D6995" s="4"/>
      <c r="E6995" s="5"/>
      <c r="F6995" s="6"/>
      <c r="G6995" s="31"/>
      <c r="H6995" s="6"/>
      <c r="I6995" s="9"/>
      <c r="J6995" s="24"/>
      <c r="K6995" s="9"/>
      <c r="L6995" s="25"/>
      <c r="M6995" s="46"/>
      <c r="N6995" s="8"/>
      <c r="O6995" s="11"/>
      <c r="P6995" s="11"/>
      <c r="Q6995" s="8"/>
      <c r="R6995" s="6"/>
      <c r="S6995" s="3"/>
      <c r="T6995" s="3"/>
      <c r="U6995" s="7"/>
      <c r="V6995" s="436"/>
      <c r="W6995" s="6"/>
      <c r="X6995" s="8"/>
    </row>
    <row r="6996" spans="3:24">
      <c r="C6996" s="4"/>
      <c r="D6996" s="4"/>
      <c r="E6996" s="5"/>
      <c r="F6996" s="6"/>
      <c r="G6996" s="31"/>
      <c r="H6996" s="6"/>
      <c r="I6996" s="9"/>
      <c r="J6996" s="24"/>
      <c r="K6996" s="9"/>
      <c r="L6996" s="25"/>
      <c r="M6996" s="46"/>
      <c r="N6996" s="8"/>
      <c r="O6996" s="11"/>
      <c r="P6996" s="11"/>
      <c r="Q6996" s="8"/>
      <c r="R6996" s="6"/>
      <c r="S6996" s="3"/>
      <c r="T6996" s="3"/>
      <c r="U6996" s="7"/>
      <c r="V6996" s="436"/>
      <c r="W6996" s="6"/>
      <c r="X6996" s="8"/>
    </row>
    <row r="6997" spans="3:24">
      <c r="C6997" s="4"/>
      <c r="D6997" s="4"/>
      <c r="E6997" s="5"/>
      <c r="F6997" s="6"/>
      <c r="G6997" s="31"/>
      <c r="H6997" s="6"/>
      <c r="I6997" s="9"/>
      <c r="J6997" s="24"/>
      <c r="K6997" s="9"/>
      <c r="L6997" s="25"/>
      <c r="M6997" s="46"/>
      <c r="N6997" s="8"/>
      <c r="O6997" s="11"/>
      <c r="P6997" s="11"/>
      <c r="Q6997" s="8"/>
      <c r="R6997" s="6"/>
      <c r="S6997" s="3"/>
      <c r="T6997" s="3"/>
      <c r="U6997" s="7"/>
      <c r="V6997" s="436"/>
      <c r="W6997" s="6"/>
      <c r="X6997" s="8"/>
    </row>
    <row r="6998" spans="3:24">
      <c r="C6998" s="4"/>
      <c r="D6998" s="4"/>
      <c r="E6998" s="5"/>
      <c r="F6998" s="6"/>
      <c r="G6998" s="31"/>
      <c r="H6998" s="6"/>
      <c r="I6998" s="9"/>
      <c r="J6998" s="24"/>
      <c r="K6998" s="9"/>
      <c r="L6998" s="25"/>
      <c r="M6998" s="46"/>
      <c r="N6998" s="8"/>
      <c r="O6998" s="11"/>
      <c r="P6998" s="11"/>
      <c r="Q6998" s="8"/>
      <c r="R6998" s="6"/>
      <c r="S6998" s="3"/>
      <c r="T6998" s="3"/>
      <c r="U6998" s="7"/>
      <c r="V6998" s="436"/>
      <c r="W6998" s="6"/>
      <c r="X6998" s="8"/>
    </row>
    <row r="6999" spans="3:24">
      <c r="C6999" s="4"/>
      <c r="D6999" s="4"/>
      <c r="E6999" s="5"/>
      <c r="F6999" s="6"/>
      <c r="G6999" s="31"/>
      <c r="H6999" s="6"/>
      <c r="I6999" s="9"/>
      <c r="J6999" s="24"/>
      <c r="K6999" s="9"/>
      <c r="L6999" s="25"/>
      <c r="M6999" s="46"/>
      <c r="N6999" s="8"/>
      <c r="O6999" s="11"/>
      <c r="P6999" s="11"/>
      <c r="Q6999" s="8"/>
      <c r="R6999" s="6"/>
      <c r="S6999" s="3"/>
      <c r="T6999" s="3"/>
      <c r="U6999" s="7"/>
      <c r="V6999" s="436"/>
      <c r="W6999" s="6"/>
      <c r="X6999" s="8"/>
    </row>
    <row r="7000" spans="3:24">
      <c r="C7000" s="4"/>
      <c r="D7000" s="4"/>
      <c r="E7000" s="5"/>
      <c r="F7000" s="6"/>
      <c r="G7000" s="31"/>
      <c r="H7000" s="6"/>
      <c r="I7000" s="9"/>
      <c r="J7000" s="24"/>
      <c r="K7000" s="9"/>
      <c r="L7000" s="25"/>
      <c r="M7000" s="46"/>
      <c r="N7000" s="8"/>
      <c r="O7000" s="11"/>
      <c r="P7000" s="11"/>
      <c r="Q7000" s="8"/>
      <c r="R7000" s="6"/>
      <c r="S7000" s="3"/>
      <c r="T7000" s="3"/>
      <c r="U7000" s="7"/>
      <c r="V7000" s="436"/>
      <c r="W7000" s="6"/>
      <c r="X7000" s="8"/>
    </row>
    <row r="7001" spans="3:24">
      <c r="C7001" s="4"/>
      <c r="D7001" s="4"/>
      <c r="E7001" s="5"/>
      <c r="F7001" s="6"/>
      <c r="G7001" s="31"/>
      <c r="H7001" s="6"/>
      <c r="I7001" s="9"/>
      <c r="J7001" s="24"/>
      <c r="K7001" s="9"/>
      <c r="L7001" s="25"/>
      <c r="M7001" s="46"/>
      <c r="N7001" s="8"/>
      <c r="O7001" s="11"/>
      <c r="P7001" s="11"/>
      <c r="Q7001" s="8"/>
      <c r="R7001" s="6"/>
      <c r="S7001" s="3"/>
      <c r="T7001" s="3"/>
      <c r="U7001" s="7"/>
      <c r="V7001" s="436"/>
      <c r="W7001" s="6"/>
      <c r="X7001" s="8"/>
    </row>
    <row r="7002" spans="3:24">
      <c r="C7002" s="4"/>
      <c r="D7002" s="4"/>
      <c r="E7002" s="5"/>
      <c r="F7002" s="6"/>
      <c r="G7002" s="31"/>
      <c r="H7002" s="6"/>
      <c r="I7002" s="9"/>
      <c r="J7002" s="24"/>
      <c r="K7002" s="25"/>
      <c r="L7002" s="25"/>
      <c r="M7002" s="46"/>
      <c r="N7002" s="8"/>
      <c r="O7002" s="11"/>
      <c r="P7002" s="11"/>
      <c r="Q7002" s="8"/>
      <c r="R7002" s="6"/>
      <c r="S7002" s="3"/>
      <c r="T7002" s="3"/>
      <c r="U7002" s="7"/>
      <c r="V7002" s="436"/>
      <c r="W7002" s="6"/>
      <c r="X7002" s="8"/>
    </row>
    <row r="7003" spans="3:24">
      <c r="C7003" s="4"/>
      <c r="D7003" s="4"/>
      <c r="E7003" s="5"/>
      <c r="F7003" s="6"/>
      <c r="G7003" s="31"/>
      <c r="H7003" s="6"/>
      <c r="I7003" s="9"/>
      <c r="J7003" s="24"/>
      <c r="K7003" s="9"/>
      <c r="L7003" s="25"/>
      <c r="M7003" s="46"/>
      <c r="N7003" s="8"/>
      <c r="O7003" s="11"/>
      <c r="P7003" s="11"/>
      <c r="Q7003" s="8"/>
      <c r="R7003" s="6"/>
      <c r="S7003" s="3"/>
      <c r="T7003" s="3"/>
      <c r="U7003" s="7"/>
      <c r="V7003" s="436"/>
      <c r="W7003" s="6"/>
      <c r="X7003" s="8"/>
    </row>
    <row r="7004" spans="3:24">
      <c r="C7004" s="4"/>
      <c r="D7004" s="4"/>
      <c r="E7004" s="5"/>
      <c r="F7004" s="6"/>
      <c r="G7004" s="31"/>
      <c r="H7004" s="6"/>
      <c r="I7004" s="9"/>
      <c r="J7004" s="24"/>
      <c r="K7004" s="9"/>
      <c r="L7004" s="25"/>
      <c r="M7004" s="46"/>
      <c r="N7004" s="8"/>
      <c r="O7004" s="11"/>
      <c r="P7004" s="11"/>
      <c r="Q7004" s="8"/>
      <c r="R7004" s="6"/>
      <c r="S7004" s="3"/>
      <c r="T7004" s="3"/>
      <c r="U7004" s="7"/>
      <c r="V7004" s="436"/>
      <c r="W7004" s="6"/>
      <c r="X7004" s="8"/>
    </row>
    <row r="7005" spans="3:24">
      <c r="C7005" s="4"/>
      <c r="D7005" s="4"/>
      <c r="E7005" s="5"/>
      <c r="F7005" s="6"/>
      <c r="G7005" s="31"/>
      <c r="H7005" s="6"/>
      <c r="I7005" s="9"/>
      <c r="J7005" s="24"/>
      <c r="K7005" s="9"/>
      <c r="L7005" s="25"/>
      <c r="M7005" s="46"/>
      <c r="N7005" s="8"/>
      <c r="O7005" s="11"/>
      <c r="P7005" s="11"/>
      <c r="Q7005" s="8"/>
      <c r="R7005" s="6"/>
      <c r="S7005" s="3"/>
      <c r="T7005" s="3"/>
      <c r="U7005" s="7"/>
      <c r="V7005" s="436"/>
      <c r="W7005" s="6"/>
      <c r="X7005" s="8"/>
    </row>
    <row r="7006" spans="3:24">
      <c r="C7006" s="4"/>
      <c r="D7006" s="4"/>
      <c r="E7006" s="5"/>
      <c r="F7006" s="6"/>
      <c r="G7006" s="31"/>
      <c r="H7006" s="6"/>
      <c r="I7006" s="9"/>
      <c r="J7006" s="24"/>
      <c r="K7006" s="9"/>
      <c r="L7006" s="25"/>
      <c r="M7006" s="46"/>
      <c r="N7006" s="8"/>
      <c r="O7006" s="11"/>
      <c r="P7006" s="11"/>
      <c r="Q7006" s="8"/>
      <c r="R7006" s="6"/>
      <c r="S7006" s="3"/>
      <c r="T7006" s="3"/>
      <c r="U7006" s="7"/>
      <c r="V7006" s="436"/>
      <c r="W7006" s="6"/>
      <c r="X7006" s="8"/>
    </row>
    <row r="7007" spans="3:24">
      <c r="C7007" s="4"/>
      <c r="D7007" s="4"/>
      <c r="E7007" s="5"/>
      <c r="F7007" s="6"/>
      <c r="G7007" s="31"/>
      <c r="H7007" s="6"/>
      <c r="I7007" s="9"/>
      <c r="J7007" s="24"/>
      <c r="K7007" s="9"/>
      <c r="L7007" s="25"/>
      <c r="M7007" s="46"/>
      <c r="N7007" s="8"/>
      <c r="O7007" s="11"/>
      <c r="P7007" s="11"/>
      <c r="Q7007" s="8"/>
      <c r="R7007" s="6"/>
      <c r="S7007" s="3"/>
      <c r="T7007" s="3"/>
      <c r="U7007" s="7"/>
      <c r="V7007" s="436"/>
      <c r="W7007" s="6"/>
      <c r="X7007" s="8"/>
    </row>
    <row r="7008" spans="3:24">
      <c r="C7008" s="4"/>
      <c r="D7008" s="4"/>
      <c r="E7008" s="5"/>
      <c r="F7008" s="6"/>
      <c r="G7008" s="31"/>
      <c r="H7008" s="6"/>
      <c r="I7008" s="9"/>
      <c r="J7008" s="24"/>
      <c r="K7008" s="9"/>
      <c r="L7008" s="25"/>
      <c r="M7008" s="46"/>
      <c r="N7008" s="8"/>
      <c r="O7008" s="11"/>
      <c r="P7008" s="11"/>
      <c r="Q7008" s="8"/>
      <c r="R7008" s="6"/>
      <c r="S7008" s="3"/>
      <c r="T7008" s="3"/>
      <c r="U7008" s="7"/>
      <c r="V7008" s="436"/>
      <c r="W7008" s="6"/>
      <c r="X7008" s="8"/>
    </row>
    <row r="7009" spans="3:24">
      <c r="C7009" s="4"/>
      <c r="D7009" s="4"/>
      <c r="E7009" s="5"/>
      <c r="F7009" s="6"/>
      <c r="G7009" s="31"/>
      <c r="H7009" s="6"/>
      <c r="I7009" s="9"/>
      <c r="J7009" s="24"/>
      <c r="K7009" s="9"/>
      <c r="L7009" s="25"/>
      <c r="M7009" s="46"/>
      <c r="N7009" s="8"/>
      <c r="O7009" s="11"/>
      <c r="P7009" s="11"/>
      <c r="Q7009" s="8"/>
      <c r="R7009" s="6"/>
      <c r="S7009" s="3"/>
      <c r="T7009" s="3"/>
      <c r="U7009" s="7"/>
      <c r="V7009" s="436"/>
      <c r="W7009" s="6"/>
      <c r="X7009" s="8"/>
    </row>
    <row r="7010" spans="3:24">
      <c r="C7010" s="4"/>
      <c r="D7010" s="4"/>
      <c r="E7010" s="5"/>
      <c r="F7010" s="6"/>
      <c r="G7010" s="31"/>
      <c r="H7010" s="6"/>
      <c r="I7010" s="9"/>
      <c r="J7010" s="24"/>
      <c r="K7010" s="9"/>
      <c r="L7010" s="25"/>
      <c r="M7010" s="46"/>
      <c r="N7010" s="8"/>
      <c r="O7010" s="11"/>
      <c r="P7010" s="11"/>
      <c r="Q7010" s="8"/>
      <c r="R7010" s="6"/>
      <c r="S7010" s="3"/>
      <c r="T7010" s="3"/>
      <c r="U7010" s="7"/>
      <c r="V7010" s="436"/>
      <c r="W7010" s="6"/>
      <c r="X7010" s="8"/>
    </row>
    <row r="7011" spans="3:24">
      <c r="C7011" s="4"/>
      <c r="D7011" s="4"/>
      <c r="E7011" s="5"/>
      <c r="F7011" s="6"/>
      <c r="G7011" s="31"/>
      <c r="H7011" s="6"/>
      <c r="I7011" s="9"/>
      <c r="J7011" s="24"/>
      <c r="K7011" s="9"/>
      <c r="L7011" s="25"/>
      <c r="M7011" s="46"/>
      <c r="N7011" s="8"/>
      <c r="O7011" s="11"/>
      <c r="P7011" s="11"/>
      <c r="Q7011" s="8"/>
      <c r="R7011" s="6"/>
      <c r="S7011" s="3"/>
      <c r="T7011" s="3"/>
      <c r="U7011" s="7"/>
      <c r="V7011" s="436"/>
      <c r="W7011" s="6"/>
      <c r="X7011" s="8"/>
    </row>
    <row r="7012" spans="3:24">
      <c r="C7012" s="4"/>
      <c r="D7012" s="4"/>
      <c r="E7012" s="5"/>
      <c r="F7012" s="6"/>
      <c r="G7012" s="31"/>
      <c r="H7012" s="6"/>
      <c r="I7012" s="9"/>
      <c r="J7012" s="24"/>
      <c r="K7012" s="9"/>
      <c r="L7012" s="25"/>
      <c r="M7012" s="46"/>
      <c r="N7012" s="8"/>
      <c r="O7012" s="11"/>
      <c r="P7012" s="11"/>
      <c r="Q7012" s="8"/>
      <c r="R7012" s="6"/>
      <c r="S7012" s="3"/>
      <c r="T7012" s="3"/>
      <c r="U7012" s="7"/>
      <c r="V7012" s="436"/>
      <c r="W7012" s="6"/>
      <c r="X7012" s="8"/>
    </row>
    <row r="7013" spans="3:24">
      <c r="C7013" s="4"/>
      <c r="D7013" s="4"/>
      <c r="E7013" s="5"/>
      <c r="F7013" s="6"/>
      <c r="G7013" s="31"/>
      <c r="H7013" s="6"/>
      <c r="I7013" s="9"/>
      <c r="J7013" s="24"/>
      <c r="K7013" s="9"/>
      <c r="L7013" s="25"/>
      <c r="M7013" s="46"/>
      <c r="N7013" s="8"/>
      <c r="O7013" s="11"/>
      <c r="P7013" s="11"/>
      <c r="Q7013" s="8"/>
      <c r="R7013" s="6"/>
      <c r="S7013" s="3"/>
      <c r="T7013" s="3"/>
      <c r="U7013" s="7"/>
      <c r="V7013" s="436"/>
      <c r="W7013" s="6"/>
      <c r="X7013" s="8"/>
    </row>
    <row r="7014" spans="3:24">
      <c r="C7014" s="4"/>
      <c r="D7014" s="4"/>
      <c r="E7014" s="5"/>
      <c r="F7014" s="6"/>
      <c r="G7014" s="31"/>
      <c r="H7014" s="6"/>
      <c r="I7014" s="9"/>
      <c r="J7014" s="24"/>
      <c r="K7014" s="9"/>
      <c r="L7014" s="25"/>
      <c r="M7014" s="46"/>
      <c r="N7014" s="8"/>
      <c r="O7014" s="11"/>
      <c r="P7014" s="11"/>
      <c r="Q7014" s="8"/>
      <c r="R7014" s="6"/>
      <c r="S7014" s="3"/>
      <c r="T7014" s="3"/>
      <c r="U7014" s="7"/>
      <c r="V7014" s="436"/>
      <c r="W7014" s="6"/>
      <c r="X7014" s="8"/>
    </row>
    <row r="7015" spans="3:24">
      <c r="C7015" s="4"/>
      <c r="D7015" s="4"/>
      <c r="E7015" s="5"/>
      <c r="F7015" s="6"/>
      <c r="G7015" s="31"/>
      <c r="H7015" s="6"/>
      <c r="I7015" s="9"/>
      <c r="J7015" s="24"/>
      <c r="K7015" s="9"/>
      <c r="L7015" s="25"/>
      <c r="M7015" s="46"/>
      <c r="N7015" s="8"/>
      <c r="O7015" s="11"/>
      <c r="P7015" s="11"/>
      <c r="Q7015" s="8"/>
      <c r="R7015" s="6"/>
      <c r="S7015" s="3"/>
      <c r="T7015" s="3"/>
      <c r="U7015" s="7"/>
      <c r="V7015" s="436"/>
      <c r="W7015" s="6"/>
      <c r="X7015" s="8"/>
    </row>
    <row r="7016" spans="3:24">
      <c r="C7016" s="4"/>
      <c r="D7016" s="4"/>
      <c r="E7016" s="5"/>
      <c r="F7016" s="6"/>
      <c r="G7016" s="31"/>
      <c r="H7016" s="6"/>
      <c r="I7016" s="9"/>
      <c r="J7016" s="24"/>
      <c r="K7016" s="9"/>
      <c r="L7016" s="25"/>
      <c r="M7016" s="46"/>
      <c r="N7016" s="8"/>
      <c r="O7016" s="11"/>
      <c r="P7016" s="11"/>
      <c r="Q7016" s="8"/>
      <c r="R7016" s="6"/>
      <c r="S7016" s="3"/>
      <c r="T7016" s="3"/>
      <c r="U7016" s="7"/>
      <c r="V7016" s="436"/>
      <c r="W7016" s="6"/>
      <c r="X7016" s="8"/>
    </row>
    <row r="7017" spans="3:24">
      <c r="C7017" s="4"/>
      <c r="D7017" s="4"/>
      <c r="E7017" s="5"/>
      <c r="F7017" s="6"/>
      <c r="G7017" s="31"/>
      <c r="H7017" s="6"/>
      <c r="I7017" s="9"/>
      <c r="J7017" s="24"/>
      <c r="K7017" s="9"/>
      <c r="L7017" s="25"/>
      <c r="M7017" s="46"/>
      <c r="N7017" s="8"/>
      <c r="O7017" s="11"/>
      <c r="P7017" s="11"/>
      <c r="Q7017" s="8"/>
      <c r="R7017" s="6"/>
      <c r="S7017" s="3"/>
      <c r="T7017" s="3"/>
      <c r="U7017" s="7"/>
      <c r="V7017" s="436"/>
      <c r="W7017" s="6"/>
      <c r="X7017" s="8"/>
    </row>
    <row r="7018" spans="3:24">
      <c r="C7018" s="4"/>
      <c r="D7018" s="4"/>
      <c r="E7018" s="5"/>
      <c r="F7018" s="6"/>
      <c r="G7018" s="31"/>
      <c r="H7018" s="6"/>
      <c r="I7018" s="9"/>
      <c r="J7018" s="24"/>
      <c r="K7018" s="9"/>
      <c r="L7018" s="25"/>
      <c r="M7018" s="46"/>
      <c r="N7018" s="8"/>
      <c r="O7018" s="11"/>
      <c r="P7018" s="11"/>
      <c r="Q7018" s="8"/>
      <c r="R7018" s="6"/>
      <c r="S7018" s="3"/>
      <c r="T7018" s="3"/>
      <c r="U7018" s="7"/>
      <c r="V7018" s="436"/>
      <c r="W7018" s="6"/>
      <c r="X7018" s="8"/>
    </row>
    <row r="7019" spans="3:24">
      <c r="C7019" s="4"/>
      <c r="D7019" s="4"/>
      <c r="E7019" s="5"/>
      <c r="F7019" s="6"/>
      <c r="G7019" s="31"/>
      <c r="H7019" s="6"/>
      <c r="I7019" s="9"/>
      <c r="J7019" s="24"/>
      <c r="K7019" s="9"/>
      <c r="L7019" s="25"/>
      <c r="M7019" s="46"/>
      <c r="N7019" s="8"/>
      <c r="O7019" s="11"/>
      <c r="P7019" s="11"/>
      <c r="Q7019" s="8"/>
      <c r="R7019" s="6"/>
      <c r="S7019" s="3"/>
      <c r="T7019" s="3"/>
      <c r="U7019" s="7"/>
      <c r="V7019" s="436"/>
      <c r="W7019" s="6"/>
      <c r="X7019" s="8"/>
    </row>
    <row r="7020" spans="3:24">
      <c r="C7020" s="4"/>
      <c r="D7020" s="4"/>
      <c r="E7020" s="5"/>
      <c r="F7020" s="6"/>
      <c r="G7020" s="31"/>
      <c r="H7020" s="6"/>
      <c r="I7020" s="9"/>
      <c r="J7020" s="24"/>
      <c r="K7020" s="9"/>
      <c r="L7020" s="25"/>
      <c r="M7020" s="46"/>
      <c r="N7020" s="8"/>
      <c r="O7020" s="11"/>
      <c r="P7020" s="11"/>
      <c r="Q7020" s="8"/>
      <c r="R7020" s="6"/>
      <c r="S7020" s="3"/>
      <c r="T7020" s="3"/>
      <c r="U7020" s="7"/>
      <c r="V7020" s="436"/>
      <c r="W7020" s="6"/>
      <c r="X7020" s="8"/>
    </row>
    <row r="7021" spans="3:24">
      <c r="C7021" s="4"/>
      <c r="D7021" s="4"/>
      <c r="E7021" s="5"/>
      <c r="F7021" s="6"/>
      <c r="G7021" s="31"/>
      <c r="H7021" s="6"/>
      <c r="I7021" s="9"/>
      <c r="J7021" s="24"/>
      <c r="K7021" s="9"/>
      <c r="L7021" s="25"/>
      <c r="M7021" s="46"/>
      <c r="N7021" s="8"/>
      <c r="O7021" s="11"/>
      <c r="P7021" s="11"/>
      <c r="Q7021" s="8"/>
      <c r="R7021" s="6"/>
      <c r="S7021" s="3"/>
      <c r="T7021" s="3"/>
      <c r="U7021" s="7"/>
      <c r="V7021" s="436"/>
      <c r="W7021" s="6"/>
      <c r="X7021" s="8"/>
    </row>
    <row r="7022" spans="3:24">
      <c r="C7022" s="4"/>
      <c r="D7022" s="4"/>
      <c r="E7022" s="5"/>
      <c r="F7022" s="6"/>
      <c r="G7022" s="31"/>
      <c r="H7022" s="6"/>
      <c r="I7022" s="9"/>
      <c r="J7022" s="24"/>
      <c r="K7022" s="9"/>
      <c r="L7022" s="25"/>
      <c r="M7022" s="46"/>
      <c r="N7022" s="8"/>
      <c r="O7022" s="11"/>
      <c r="P7022" s="11"/>
      <c r="Q7022" s="8"/>
      <c r="R7022" s="6"/>
      <c r="S7022" s="3"/>
      <c r="T7022" s="3"/>
      <c r="U7022" s="7"/>
      <c r="V7022" s="436"/>
      <c r="W7022" s="6"/>
      <c r="X7022" s="8"/>
    </row>
    <row r="7023" spans="3:24">
      <c r="C7023" s="4"/>
      <c r="D7023" s="4"/>
      <c r="E7023" s="5"/>
      <c r="F7023" s="6"/>
      <c r="G7023" s="31"/>
      <c r="H7023" s="6"/>
      <c r="I7023" s="9"/>
      <c r="J7023" s="24"/>
      <c r="K7023" s="9"/>
      <c r="L7023" s="25"/>
      <c r="M7023" s="46"/>
      <c r="N7023" s="8"/>
      <c r="O7023" s="11"/>
      <c r="P7023" s="11"/>
      <c r="Q7023" s="8"/>
      <c r="R7023" s="6"/>
      <c r="S7023" s="3"/>
      <c r="T7023" s="3"/>
      <c r="U7023" s="7"/>
      <c r="V7023" s="436"/>
      <c r="W7023" s="6"/>
      <c r="X7023" s="8"/>
    </row>
    <row r="7024" spans="3:24">
      <c r="C7024" s="4"/>
      <c r="D7024" s="4"/>
      <c r="E7024" s="5"/>
      <c r="F7024" s="6"/>
      <c r="G7024" s="31"/>
      <c r="H7024" s="6"/>
      <c r="I7024" s="9"/>
      <c r="J7024" s="24"/>
      <c r="K7024" s="9"/>
      <c r="L7024" s="25"/>
      <c r="M7024" s="46"/>
      <c r="N7024" s="8"/>
      <c r="O7024" s="11"/>
      <c r="P7024" s="11"/>
      <c r="Q7024" s="8"/>
      <c r="R7024" s="6"/>
      <c r="S7024" s="3"/>
      <c r="T7024" s="3"/>
      <c r="U7024" s="7"/>
      <c r="V7024" s="436"/>
      <c r="W7024" s="6"/>
      <c r="X7024" s="8"/>
    </row>
    <row r="7025" spans="3:24">
      <c r="C7025" s="4"/>
      <c r="D7025" s="4"/>
      <c r="E7025" s="5"/>
      <c r="F7025" s="6"/>
      <c r="G7025" s="31"/>
      <c r="H7025" s="6"/>
      <c r="I7025" s="9"/>
      <c r="J7025" s="24"/>
      <c r="K7025" s="9"/>
      <c r="L7025" s="25"/>
      <c r="M7025" s="46"/>
      <c r="N7025" s="8"/>
      <c r="O7025" s="11"/>
      <c r="P7025" s="11"/>
      <c r="Q7025" s="8"/>
      <c r="R7025" s="6"/>
      <c r="S7025" s="3"/>
      <c r="T7025" s="3"/>
      <c r="U7025" s="7"/>
      <c r="V7025" s="436"/>
      <c r="W7025" s="6"/>
      <c r="X7025" s="8"/>
    </row>
    <row r="7026" spans="3:24">
      <c r="C7026" s="4"/>
      <c r="D7026" s="4"/>
      <c r="E7026" s="5"/>
      <c r="F7026" s="6"/>
      <c r="G7026" s="31"/>
      <c r="H7026" s="6"/>
      <c r="I7026" s="9"/>
      <c r="J7026" s="24"/>
      <c r="K7026" s="9"/>
      <c r="L7026" s="25"/>
      <c r="M7026" s="46"/>
      <c r="N7026" s="8"/>
      <c r="O7026" s="11"/>
      <c r="P7026" s="11"/>
      <c r="Q7026" s="8"/>
      <c r="R7026" s="6"/>
      <c r="S7026" s="3"/>
      <c r="T7026" s="3"/>
      <c r="U7026" s="7"/>
      <c r="V7026" s="436"/>
      <c r="W7026" s="6"/>
      <c r="X7026" s="8"/>
    </row>
    <row r="7027" spans="3:24">
      <c r="C7027" s="4"/>
      <c r="D7027" s="4"/>
      <c r="E7027" s="5"/>
      <c r="F7027" s="6"/>
      <c r="G7027" s="31"/>
      <c r="H7027" s="6"/>
      <c r="I7027" s="9"/>
      <c r="J7027" s="24"/>
      <c r="K7027" s="9"/>
      <c r="L7027" s="25"/>
      <c r="M7027" s="46"/>
      <c r="N7027" s="8"/>
      <c r="O7027" s="11"/>
      <c r="P7027" s="11"/>
      <c r="Q7027" s="8"/>
      <c r="R7027" s="6"/>
      <c r="S7027" s="3"/>
      <c r="T7027" s="3"/>
      <c r="U7027" s="7"/>
      <c r="V7027" s="436"/>
      <c r="W7027" s="6"/>
      <c r="X7027" s="8"/>
    </row>
    <row r="7028" spans="3:24">
      <c r="C7028" s="4"/>
      <c r="D7028" s="4"/>
      <c r="E7028" s="5"/>
      <c r="F7028" s="6"/>
      <c r="G7028" s="31"/>
      <c r="H7028" s="6"/>
      <c r="I7028" s="9"/>
      <c r="J7028" s="24"/>
      <c r="K7028" s="9"/>
      <c r="L7028" s="25"/>
      <c r="M7028" s="46"/>
      <c r="N7028" s="8"/>
      <c r="O7028" s="11"/>
      <c r="P7028" s="11"/>
      <c r="Q7028" s="8"/>
      <c r="R7028" s="6"/>
      <c r="S7028" s="3"/>
      <c r="T7028" s="3"/>
      <c r="U7028" s="7"/>
      <c r="V7028" s="436"/>
      <c r="W7028" s="6"/>
      <c r="X7028" s="8"/>
    </row>
    <row r="7029" spans="3:24">
      <c r="C7029" s="4"/>
      <c r="D7029" s="4"/>
      <c r="E7029" s="5"/>
      <c r="F7029" s="6"/>
      <c r="G7029" s="31"/>
      <c r="H7029" s="6"/>
      <c r="I7029" s="9"/>
      <c r="J7029" s="24"/>
      <c r="K7029" s="9"/>
      <c r="L7029" s="25"/>
      <c r="M7029" s="46"/>
      <c r="N7029" s="8"/>
      <c r="O7029" s="11"/>
      <c r="P7029" s="11"/>
      <c r="Q7029" s="8"/>
      <c r="R7029" s="6"/>
      <c r="S7029" s="3"/>
      <c r="T7029" s="3"/>
      <c r="U7029" s="7"/>
      <c r="V7029" s="436"/>
      <c r="W7029" s="6"/>
      <c r="X7029" s="8"/>
    </row>
    <row r="7030" spans="3:24">
      <c r="C7030" s="4"/>
      <c r="D7030" s="4"/>
      <c r="E7030" s="5"/>
      <c r="F7030" s="6"/>
      <c r="G7030" s="31"/>
      <c r="H7030" s="6"/>
      <c r="I7030" s="9"/>
      <c r="J7030" s="24"/>
      <c r="K7030" s="9"/>
      <c r="L7030" s="25"/>
      <c r="M7030" s="46"/>
      <c r="N7030" s="8"/>
      <c r="O7030" s="11"/>
      <c r="P7030" s="11"/>
      <c r="Q7030" s="8"/>
      <c r="R7030" s="6"/>
      <c r="S7030" s="3"/>
      <c r="T7030" s="3"/>
      <c r="U7030" s="7"/>
      <c r="V7030" s="436"/>
      <c r="W7030" s="6"/>
      <c r="X7030" s="8"/>
    </row>
    <row r="7031" spans="3:24">
      <c r="C7031" s="4"/>
      <c r="D7031" s="4"/>
      <c r="E7031" s="5"/>
      <c r="F7031" s="6"/>
      <c r="G7031" s="31"/>
      <c r="H7031" s="6"/>
      <c r="I7031" s="9"/>
      <c r="J7031" s="24"/>
      <c r="K7031" s="9"/>
      <c r="L7031" s="25"/>
      <c r="M7031" s="46"/>
      <c r="N7031" s="8"/>
      <c r="O7031" s="11"/>
      <c r="P7031" s="11"/>
      <c r="Q7031" s="8"/>
      <c r="R7031" s="6"/>
      <c r="S7031" s="3"/>
      <c r="T7031" s="3"/>
      <c r="U7031" s="7"/>
      <c r="V7031" s="436"/>
      <c r="W7031" s="6"/>
      <c r="X7031" s="8"/>
    </row>
    <row r="7032" spans="3:24">
      <c r="C7032" s="4"/>
      <c r="D7032" s="4"/>
      <c r="E7032" s="5"/>
      <c r="F7032" s="6"/>
      <c r="G7032" s="31"/>
      <c r="H7032" s="6"/>
      <c r="I7032" s="9"/>
      <c r="J7032" s="24"/>
      <c r="K7032" s="9"/>
      <c r="L7032" s="25"/>
      <c r="M7032" s="46"/>
      <c r="N7032" s="8"/>
      <c r="O7032" s="11"/>
      <c r="P7032" s="11"/>
      <c r="Q7032" s="8"/>
      <c r="R7032" s="6"/>
      <c r="S7032" s="3"/>
      <c r="T7032" s="3"/>
      <c r="U7032" s="7"/>
      <c r="V7032" s="436"/>
      <c r="W7032" s="6"/>
      <c r="X7032" s="8"/>
    </row>
    <row r="7033" spans="3:24">
      <c r="C7033" s="4"/>
      <c r="D7033" s="4"/>
      <c r="E7033" s="5"/>
      <c r="F7033" s="6"/>
      <c r="G7033" s="31"/>
      <c r="H7033" s="6"/>
      <c r="I7033" s="9"/>
      <c r="J7033" s="24"/>
      <c r="K7033" s="9"/>
      <c r="L7033" s="25"/>
      <c r="M7033" s="46"/>
      <c r="N7033" s="8"/>
      <c r="O7033" s="11"/>
      <c r="P7033" s="11"/>
      <c r="Q7033" s="8"/>
      <c r="R7033" s="6"/>
      <c r="S7033" s="3"/>
      <c r="T7033" s="3"/>
      <c r="U7033" s="7"/>
      <c r="V7033" s="436"/>
      <c r="W7033" s="6"/>
      <c r="X7033" s="8"/>
    </row>
    <row r="7034" spans="3:24">
      <c r="C7034" s="4"/>
      <c r="D7034" s="4"/>
      <c r="E7034" s="5"/>
      <c r="F7034" s="6"/>
      <c r="G7034" s="31"/>
      <c r="H7034" s="6"/>
      <c r="I7034" s="9"/>
      <c r="J7034" s="24"/>
      <c r="K7034" s="9"/>
      <c r="L7034" s="25"/>
      <c r="M7034" s="46"/>
      <c r="N7034" s="8"/>
      <c r="O7034" s="11"/>
      <c r="P7034" s="11"/>
      <c r="Q7034" s="8"/>
      <c r="R7034" s="6"/>
      <c r="S7034" s="3"/>
      <c r="T7034" s="3"/>
      <c r="U7034" s="7"/>
      <c r="V7034" s="436"/>
      <c r="W7034" s="6"/>
      <c r="X7034" s="8"/>
    </row>
    <row r="7035" spans="3:24">
      <c r="C7035" s="4"/>
      <c r="D7035" s="4"/>
      <c r="E7035" s="5"/>
      <c r="F7035" s="6"/>
      <c r="G7035" s="31"/>
      <c r="H7035" s="6"/>
      <c r="I7035" s="9"/>
      <c r="J7035" s="24"/>
      <c r="K7035" s="9"/>
      <c r="L7035" s="25"/>
      <c r="M7035" s="46"/>
      <c r="N7035" s="8"/>
      <c r="O7035" s="11"/>
      <c r="P7035" s="11"/>
      <c r="Q7035" s="8"/>
      <c r="R7035" s="6"/>
      <c r="S7035" s="3"/>
      <c r="T7035" s="3"/>
      <c r="U7035" s="7"/>
      <c r="V7035" s="436"/>
      <c r="W7035" s="6"/>
      <c r="X7035" s="8"/>
    </row>
    <row r="7036" spans="3:24">
      <c r="C7036" s="4"/>
      <c r="D7036" s="4"/>
      <c r="E7036" s="5"/>
      <c r="F7036" s="6"/>
      <c r="G7036" s="31"/>
      <c r="H7036" s="6"/>
      <c r="I7036" s="9"/>
      <c r="J7036" s="24"/>
      <c r="K7036" s="9"/>
      <c r="L7036" s="25"/>
      <c r="M7036" s="46"/>
      <c r="N7036" s="8"/>
      <c r="O7036" s="11"/>
      <c r="P7036" s="11"/>
      <c r="Q7036" s="8"/>
      <c r="R7036" s="6"/>
      <c r="S7036" s="3"/>
      <c r="T7036" s="3"/>
      <c r="U7036" s="7"/>
      <c r="V7036" s="436"/>
      <c r="W7036" s="6"/>
      <c r="X7036" s="8"/>
    </row>
    <row r="7037" spans="3:24">
      <c r="C7037" s="4"/>
      <c r="D7037" s="4"/>
      <c r="E7037" s="5"/>
      <c r="F7037" s="6"/>
      <c r="G7037" s="31"/>
      <c r="H7037" s="6"/>
      <c r="I7037" s="9"/>
      <c r="J7037" s="24"/>
      <c r="K7037" s="9"/>
      <c r="L7037" s="25"/>
      <c r="M7037" s="46"/>
      <c r="N7037" s="8"/>
      <c r="O7037" s="11"/>
      <c r="P7037" s="11"/>
      <c r="Q7037" s="8"/>
      <c r="R7037" s="6"/>
      <c r="S7037" s="3"/>
      <c r="T7037" s="3"/>
      <c r="U7037" s="7"/>
      <c r="V7037" s="436"/>
      <c r="W7037" s="6"/>
      <c r="X7037" s="8"/>
    </row>
    <row r="7038" spans="3:24">
      <c r="C7038" s="4"/>
      <c r="D7038" s="4"/>
      <c r="E7038" s="5"/>
      <c r="F7038" s="6"/>
      <c r="G7038" s="31"/>
      <c r="H7038" s="6"/>
      <c r="I7038" s="9"/>
      <c r="J7038" s="24"/>
      <c r="K7038" s="9"/>
      <c r="L7038" s="25"/>
      <c r="M7038" s="46"/>
      <c r="N7038" s="8"/>
      <c r="O7038" s="11"/>
      <c r="P7038" s="11"/>
      <c r="Q7038" s="8"/>
      <c r="R7038" s="6"/>
      <c r="S7038" s="3"/>
      <c r="T7038" s="3"/>
      <c r="U7038" s="7"/>
      <c r="V7038" s="436"/>
      <c r="W7038" s="6"/>
      <c r="X7038" s="8"/>
    </row>
    <row r="7039" spans="3:24">
      <c r="C7039" s="4"/>
      <c r="D7039" s="4"/>
      <c r="E7039" s="5"/>
      <c r="F7039" s="6"/>
      <c r="G7039" s="31"/>
      <c r="H7039" s="6"/>
      <c r="I7039" s="9"/>
      <c r="J7039" s="24"/>
      <c r="K7039" s="9"/>
      <c r="L7039" s="25"/>
      <c r="M7039" s="46"/>
      <c r="N7039" s="8"/>
      <c r="O7039" s="11"/>
      <c r="P7039" s="11"/>
      <c r="Q7039" s="8"/>
      <c r="R7039" s="6"/>
      <c r="S7039" s="3"/>
      <c r="T7039" s="3"/>
      <c r="U7039" s="7"/>
      <c r="V7039" s="436"/>
      <c r="W7039" s="6"/>
      <c r="X7039" s="8"/>
    </row>
    <row r="7040" spans="3:24">
      <c r="C7040" s="4"/>
      <c r="D7040" s="4"/>
      <c r="E7040" s="5"/>
      <c r="F7040" s="6"/>
      <c r="G7040" s="31"/>
      <c r="H7040" s="6"/>
      <c r="I7040" s="9"/>
      <c r="J7040" s="24"/>
      <c r="K7040" s="9"/>
      <c r="L7040" s="25"/>
      <c r="M7040" s="46"/>
      <c r="N7040" s="8"/>
      <c r="O7040" s="11"/>
      <c r="P7040" s="11"/>
      <c r="Q7040" s="8"/>
      <c r="R7040" s="6"/>
      <c r="S7040" s="3"/>
      <c r="T7040" s="3"/>
      <c r="U7040" s="7"/>
      <c r="V7040" s="436"/>
      <c r="W7040" s="6"/>
      <c r="X7040" s="8"/>
    </row>
    <row r="7041" spans="3:24">
      <c r="C7041" s="4"/>
      <c r="D7041" s="4"/>
      <c r="E7041" s="5"/>
      <c r="F7041" s="6"/>
      <c r="G7041" s="31"/>
      <c r="H7041" s="6"/>
      <c r="I7041" s="9"/>
      <c r="J7041" s="24"/>
      <c r="K7041" s="9"/>
      <c r="L7041" s="25"/>
      <c r="M7041" s="46"/>
      <c r="N7041" s="8"/>
      <c r="O7041" s="11"/>
      <c r="P7041" s="11"/>
      <c r="Q7041" s="8"/>
      <c r="R7041" s="6"/>
      <c r="S7041" s="3"/>
      <c r="T7041" s="3"/>
      <c r="U7041" s="7"/>
      <c r="V7041" s="436"/>
      <c r="W7041" s="6"/>
      <c r="X7041" s="8"/>
    </row>
    <row r="7042" spans="3:24">
      <c r="C7042" s="4"/>
      <c r="D7042" s="4"/>
      <c r="E7042" s="5"/>
      <c r="F7042" s="6"/>
      <c r="G7042" s="31"/>
      <c r="H7042" s="6"/>
      <c r="I7042" s="9"/>
      <c r="J7042" s="24"/>
      <c r="K7042" s="9"/>
      <c r="L7042" s="25"/>
      <c r="M7042" s="46"/>
      <c r="N7042" s="8"/>
      <c r="O7042" s="11"/>
      <c r="P7042" s="11"/>
      <c r="Q7042" s="8"/>
      <c r="R7042" s="6"/>
      <c r="S7042" s="3"/>
      <c r="T7042" s="3"/>
      <c r="U7042" s="7"/>
      <c r="V7042" s="436"/>
      <c r="W7042" s="6"/>
      <c r="X7042" s="8"/>
    </row>
    <row r="7043" spans="3:24">
      <c r="C7043" s="4"/>
      <c r="D7043" s="4"/>
      <c r="E7043" s="5"/>
      <c r="F7043" s="6"/>
      <c r="G7043" s="31"/>
      <c r="H7043" s="6"/>
      <c r="I7043" s="9"/>
      <c r="J7043" s="24"/>
      <c r="K7043" s="9"/>
      <c r="L7043" s="25"/>
      <c r="M7043" s="46"/>
      <c r="N7043" s="8"/>
      <c r="O7043" s="11"/>
      <c r="P7043" s="11"/>
      <c r="Q7043" s="8"/>
      <c r="R7043" s="6"/>
      <c r="S7043" s="3"/>
      <c r="T7043" s="3"/>
      <c r="U7043" s="7"/>
      <c r="V7043" s="436"/>
      <c r="W7043" s="6"/>
      <c r="X7043" s="8"/>
    </row>
    <row r="7044" spans="3:24">
      <c r="C7044" s="4"/>
      <c r="D7044" s="4"/>
      <c r="E7044" s="5"/>
      <c r="F7044" s="6"/>
      <c r="G7044" s="31"/>
      <c r="H7044" s="6"/>
      <c r="I7044" s="9"/>
      <c r="J7044" s="24"/>
      <c r="K7044" s="9"/>
      <c r="L7044" s="25"/>
      <c r="M7044" s="46"/>
      <c r="N7044" s="8"/>
      <c r="O7044" s="11"/>
      <c r="P7044" s="11"/>
      <c r="Q7044" s="8"/>
      <c r="R7044" s="6"/>
      <c r="S7044" s="3"/>
      <c r="T7044" s="3"/>
      <c r="U7044" s="7"/>
      <c r="V7044" s="436"/>
      <c r="W7044" s="6"/>
      <c r="X7044" s="8"/>
    </row>
    <row r="7045" spans="3:24">
      <c r="C7045" s="4"/>
      <c r="D7045" s="4"/>
      <c r="E7045" s="5"/>
      <c r="F7045" s="6"/>
      <c r="G7045" s="31"/>
      <c r="H7045" s="6"/>
      <c r="I7045" s="9"/>
      <c r="J7045" s="24"/>
      <c r="K7045" s="9"/>
      <c r="L7045" s="25"/>
      <c r="M7045" s="46"/>
      <c r="N7045" s="8"/>
      <c r="O7045" s="11"/>
      <c r="P7045" s="11"/>
      <c r="Q7045" s="8"/>
      <c r="R7045" s="6"/>
      <c r="S7045" s="3"/>
      <c r="T7045" s="3"/>
      <c r="U7045" s="7"/>
      <c r="V7045" s="436"/>
      <c r="W7045" s="6"/>
      <c r="X7045" s="8"/>
    </row>
    <row r="7046" spans="3:24">
      <c r="C7046" s="4"/>
      <c r="D7046" s="4"/>
      <c r="E7046" s="5"/>
      <c r="F7046" s="6"/>
      <c r="G7046" s="31"/>
      <c r="H7046" s="6"/>
      <c r="I7046" s="9"/>
      <c r="J7046" s="24"/>
      <c r="K7046" s="9"/>
      <c r="L7046" s="25"/>
      <c r="M7046" s="46"/>
      <c r="N7046" s="8"/>
      <c r="O7046" s="11"/>
      <c r="P7046" s="11"/>
      <c r="Q7046" s="8"/>
      <c r="R7046" s="6"/>
      <c r="S7046" s="3"/>
      <c r="T7046" s="3"/>
      <c r="U7046" s="7"/>
      <c r="V7046" s="436"/>
      <c r="W7046" s="6"/>
      <c r="X7046" s="8"/>
    </row>
    <row r="7047" spans="3:24">
      <c r="C7047" s="4"/>
      <c r="D7047" s="4"/>
      <c r="E7047" s="5"/>
      <c r="F7047" s="6"/>
      <c r="G7047" s="31"/>
      <c r="H7047" s="6"/>
      <c r="I7047" s="9"/>
      <c r="J7047" s="24"/>
      <c r="K7047" s="9"/>
      <c r="L7047" s="25"/>
      <c r="M7047" s="46"/>
      <c r="N7047" s="8"/>
      <c r="O7047" s="11"/>
      <c r="P7047" s="11"/>
      <c r="Q7047" s="8"/>
      <c r="R7047" s="6"/>
      <c r="S7047" s="3"/>
      <c r="T7047" s="3"/>
      <c r="U7047" s="7"/>
      <c r="V7047" s="436"/>
      <c r="W7047" s="6"/>
      <c r="X7047" s="8"/>
    </row>
    <row r="7048" spans="3:24">
      <c r="C7048" s="4"/>
      <c r="D7048" s="4"/>
      <c r="E7048" s="5"/>
      <c r="F7048" s="6"/>
      <c r="G7048" s="31"/>
      <c r="H7048" s="6"/>
      <c r="I7048" s="9"/>
      <c r="J7048" s="24"/>
      <c r="K7048" s="9"/>
      <c r="L7048" s="25"/>
      <c r="M7048" s="46"/>
      <c r="N7048" s="8"/>
      <c r="O7048" s="11"/>
      <c r="P7048" s="11"/>
      <c r="Q7048" s="8"/>
      <c r="R7048" s="6"/>
      <c r="S7048" s="3"/>
      <c r="T7048" s="3"/>
      <c r="U7048" s="7"/>
      <c r="V7048" s="436"/>
      <c r="W7048" s="6"/>
      <c r="X7048" s="8"/>
    </row>
    <row r="7049" spans="3:24">
      <c r="C7049" s="4"/>
      <c r="D7049" s="4"/>
      <c r="E7049" s="5"/>
      <c r="F7049" s="6"/>
      <c r="G7049" s="31"/>
      <c r="H7049" s="6"/>
      <c r="I7049" s="9"/>
      <c r="J7049" s="24"/>
      <c r="K7049" s="9"/>
      <c r="L7049" s="25"/>
      <c r="M7049" s="46"/>
      <c r="N7049" s="8"/>
      <c r="O7049" s="11"/>
      <c r="P7049" s="11"/>
      <c r="Q7049" s="8"/>
      <c r="R7049" s="6"/>
      <c r="S7049" s="3"/>
      <c r="T7049" s="3"/>
      <c r="U7049" s="7"/>
      <c r="V7049" s="436"/>
      <c r="W7049" s="6"/>
      <c r="X7049" s="8"/>
    </row>
    <row r="7050" spans="3:24">
      <c r="C7050" s="4"/>
      <c r="D7050" s="4"/>
      <c r="E7050" s="5"/>
      <c r="F7050" s="6"/>
      <c r="G7050" s="31"/>
      <c r="H7050" s="6"/>
      <c r="I7050" s="9"/>
      <c r="J7050" s="24"/>
      <c r="K7050" s="9"/>
      <c r="L7050" s="25"/>
      <c r="M7050" s="46"/>
      <c r="N7050" s="8"/>
      <c r="O7050" s="11"/>
      <c r="P7050" s="11"/>
      <c r="Q7050" s="8"/>
      <c r="R7050" s="6"/>
      <c r="S7050" s="3"/>
      <c r="T7050" s="3"/>
      <c r="U7050" s="7"/>
      <c r="V7050" s="436"/>
      <c r="W7050" s="6"/>
      <c r="X7050" s="8"/>
    </row>
    <row r="7051" spans="3:24">
      <c r="C7051" s="4"/>
      <c r="D7051" s="4"/>
      <c r="E7051" s="5"/>
      <c r="F7051" s="6"/>
      <c r="G7051" s="31"/>
      <c r="H7051" s="6"/>
      <c r="I7051" s="9"/>
      <c r="J7051" s="24"/>
      <c r="K7051" s="9"/>
      <c r="L7051" s="25"/>
      <c r="M7051" s="46"/>
      <c r="N7051" s="8"/>
      <c r="O7051" s="11"/>
      <c r="P7051" s="11"/>
      <c r="Q7051" s="8"/>
      <c r="R7051" s="6"/>
      <c r="S7051" s="3"/>
      <c r="T7051" s="3"/>
      <c r="U7051" s="7"/>
      <c r="V7051" s="436"/>
      <c r="W7051" s="6"/>
      <c r="X7051" s="8"/>
    </row>
    <row r="7052" spans="3:24">
      <c r="C7052" s="4"/>
      <c r="D7052" s="4"/>
      <c r="E7052" s="5"/>
      <c r="F7052" s="6"/>
      <c r="G7052" s="31"/>
      <c r="H7052" s="6"/>
      <c r="I7052" s="9"/>
      <c r="J7052" s="24"/>
      <c r="K7052" s="9"/>
      <c r="L7052" s="25"/>
      <c r="M7052" s="46"/>
      <c r="N7052" s="8"/>
      <c r="O7052" s="11"/>
      <c r="P7052" s="11"/>
      <c r="Q7052" s="8"/>
      <c r="R7052" s="6"/>
      <c r="S7052" s="3"/>
      <c r="T7052" s="3"/>
      <c r="U7052" s="7"/>
      <c r="V7052" s="436"/>
      <c r="W7052" s="6"/>
      <c r="X7052" s="8"/>
    </row>
    <row r="7053" spans="3:24">
      <c r="C7053" s="4"/>
      <c r="D7053" s="4"/>
      <c r="E7053" s="5"/>
      <c r="F7053" s="6"/>
      <c r="G7053" s="31"/>
      <c r="H7053" s="6"/>
      <c r="I7053" s="9"/>
      <c r="J7053" s="24"/>
      <c r="K7053" s="9"/>
      <c r="L7053" s="25"/>
      <c r="M7053" s="46"/>
      <c r="N7053" s="8"/>
      <c r="O7053" s="11"/>
      <c r="P7053" s="11"/>
      <c r="Q7053" s="8"/>
      <c r="R7053" s="6"/>
      <c r="S7053" s="3"/>
      <c r="T7053" s="3"/>
      <c r="U7053" s="7"/>
      <c r="V7053" s="436"/>
      <c r="W7053" s="6"/>
      <c r="X7053" s="8"/>
    </row>
    <row r="7054" spans="3:24">
      <c r="C7054" s="4"/>
      <c r="D7054" s="4"/>
      <c r="E7054" s="5"/>
      <c r="F7054" s="6"/>
      <c r="G7054" s="31"/>
      <c r="H7054" s="6"/>
      <c r="I7054" s="9"/>
      <c r="J7054" s="24"/>
      <c r="K7054" s="9"/>
      <c r="L7054" s="25"/>
      <c r="M7054" s="46"/>
      <c r="N7054" s="8"/>
      <c r="O7054" s="11"/>
      <c r="P7054" s="11"/>
      <c r="Q7054" s="8"/>
      <c r="R7054" s="6"/>
      <c r="S7054" s="3"/>
      <c r="T7054" s="3"/>
      <c r="U7054" s="7"/>
      <c r="V7054" s="436"/>
      <c r="W7054" s="6"/>
      <c r="X7054" s="8"/>
    </row>
    <row r="7055" spans="3:24">
      <c r="C7055" s="4"/>
      <c r="D7055" s="4"/>
      <c r="E7055" s="5"/>
      <c r="F7055" s="6"/>
      <c r="G7055" s="31"/>
      <c r="H7055" s="6"/>
      <c r="I7055" s="9"/>
      <c r="J7055" s="24"/>
      <c r="K7055" s="9"/>
      <c r="L7055" s="25"/>
      <c r="M7055" s="46"/>
      <c r="N7055" s="8"/>
      <c r="O7055" s="11"/>
      <c r="P7055" s="11"/>
      <c r="Q7055" s="8"/>
      <c r="R7055" s="6"/>
      <c r="S7055" s="3"/>
      <c r="T7055" s="3"/>
      <c r="U7055" s="7"/>
      <c r="V7055" s="436"/>
      <c r="W7055" s="6"/>
      <c r="X7055" s="8"/>
    </row>
    <row r="7056" spans="3:24">
      <c r="C7056" s="4"/>
      <c r="D7056" s="4"/>
      <c r="E7056" s="5"/>
      <c r="F7056" s="6"/>
      <c r="G7056" s="31"/>
      <c r="H7056" s="6"/>
      <c r="I7056" s="9"/>
      <c r="J7056" s="24"/>
      <c r="K7056" s="9"/>
      <c r="L7056" s="25"/>
      <c r="M7056" s="46"/>
      <c r="N7056" s="8"/>
      <c r="O7056" s="11"/>
      <c r="P7056" s="11"/>
      <c r="Q7056" s="8"/>
      <c r="R7056" s="6"/>
      <c r="S7056" s="3"/>
      <c r="T7056" s="3"/>
      <c r="U7056" s="7"/>
      <c r="V7056" s="436"/>
      <c r="W7056" s="6"/>
      <c r="X7056" s="8"/>
    </row>
    <row r="7057" spans="3:24">
      <c r="C7057" s="4"/>
      <c r="D7057" s="4"/>
      <c r="E7057" s="5"/>
      <c r="F7057" s="6"/>
      <c r="G7057" s="31"/>
      <c r="H7057" s="6"/>
      <c r="I7057" s="9"/>
      <c r="J7057" s="24"/>
      <c r="K7057" s="9"/>
      <c r="L7057" s="25"/>
      <c r="M7057" s="46"/>
      <c r="N7057" s="8"/>
      <c r="O7057" s="11"/>
      <c r="P7057" s="11"/>
      <c r="Q7057" s="8"/>
      <c r="R7057" s="6"/>
      <c r="S7057" s="3"/>
      <c r="T7057" s="3"/>
      <c r="U7057" s="7"/>
      <c r="V7057" s="436"/>
      <c r="W7057" s="6"/>
      <c r="X7057" s="8"/>
    </row>
    <row r="7058" spans="3:24">
      <c r="C7058" s="4"/>
      <c r="D7058" s="4"/>
      <c r="E7058" s="5"/>
      <c r="F7058" s="6"/>
      <c r="G7058" s="31"/>
      <c r="H7058" s="6"/>
      <c r="I7058" s="9"/>
      <c r="J7058" s="24"/>
      <c r="K7058" s="9"/>
      <c r="L7058" s="25"/>
      <c r="M7058" s="46"/>
      <c r="N7058" s="8"/>
      <c r="O7058" s="11"/>
      <c r="P7058" s="11"/>
      <c r="Q7058" s="8"/>
      <c r="R7058" s="6"/>
      <c r="S7058" s="3"/>
      <c r="T7058" s="3"/>
      <c r="U7058" s="7"/>
      <c r="V7058" s="436"/>
      <c r="W7058" s="6"/>
      <c r="X7058" s="8"/>
    </row>
    <row r="7059" spans="3:24">
      <c r="C7059" s="4"/>
      <c r="D7059" s="4"/>
      <c r="E7059" s="5"/>
      <c r="F7059" s="6"/>
      <c r="G7059" s="31"/>
      <c r="H7059" s="6"/>
      <c r="I7059" s="9"/>
      <c r="J7059" s="24"/>
      <c r="K7059" s="9"/>
      <c r="L7059" s="25"/>
      <c r="M7059" s="46"/>
      <c r="N7059" s="8"/>
      <c r="O7059" s="11"/>
      <c r="P7059" s="11"/>
      <c r="Q7059" s="8"/>
      <c r="R7059" s="6"/>
      <c r="S7059" s="3"/>
      <c r="T7059" s="3"/>
      <c r="U7059" s="7"/>
      <c r="V7059" s="436"/>
      <c r="W7059" s="6"/>
      <c r="X7059" s="8"/>
    </row>
    <row r="7060" spans="3:24">
      <c r="C7060" s="4"/>
      <c r="D7060" s="4"/>
      <c r="E7060" s="5"/>
      <c r="F7060" s="6"/>
      <c r="G7060" s="31"/>
      <c r="H7060" s="6"/>
      <c r="I7060" s="9"/>
      <c r="J7060" s="24"/>
      <c r="K7060" s="9"/>
      <c r="L7060" s="25"/>
      <c r="M7060" s="46"/>
      <c r="N7060" s="8"/>
      <c r="O7060" s="11"/>
      <c r="P7060" s="11"/>
      <c r="Q7060" s="8"/>
      <c r="R7060" s="6"/>
      <c r="S7060" s="3"/>
      <c r="T7060" s="3"/>
      <c r="U7060" s="7"/>
      <c r="V7060" s="436"/>
      <c r="W7060" s="6"/>
      <c r="X7060" s="8"/>
    </row>
    <row r="7061" spans="3:24">
      <c r="C7061" s="4"/>
      <c r="D7061" s="4"/>
      <c r="E7061" s="5"/>
      <c r="F7061" s="6"/>
      <c r="G7061" s="31"/>
      <c r="H7061" s="6"/>
      <c r="I7061" s="9"/>
      <c r="J7061" s="24"/>
      <c r="K7061" s="9"/>
      <c r="L7061" s="25"/>
      <c r="M7061" s="46"/>
      <c r="N7061" s="8"/>
      <c r="O7061" s="11"/>
      <c r="P7061" s="11"/>
      <c r="Q7061" s="8"/>
      <c r="R7061" s="6"/>
      <c r="S7061" s="3"/>
      <c r="T7061" s="3"/>
      <c r="U7061" s="7"/>
      <c r="V7061" s="436"/>
      <c r="W7061" s="6"/>
      <c r="X7061" s="8"/>
    </row>
    <row r="7062" spans="3:24">
      <c r="C7062" s="4"/>
      <c r="D7062" s="4"/>
      <c r="E7062" s="5"/>
      <c r="F7062" s="6"/>
      <c r="G7062" s="31"/>
      <c r="H7062" s="6"/>
      <c r="I7062" s="9"/>
      <c r="J7062" s="24"/>
      <c r="K7062" s="9"/>
      <c r="L7062" s="25"/>
      <c r="M7062" s="46"/>
      <c r="N7062" s="8"/>
      <c r="O7062" s="11"/>
      <c r="P7062" s="11"/>
      <c r="Q7062" s="8"/>
      <c r="R7062" s="6"/>
      <c r="S7062" s="3"/>
      <c r="T7062" s="3"/>
      <c r="U7062" s="7"/>
      <c r="V7062" s="436"/>
      <c r="W7062" s="6"/>
      <c r="X7062" s="8"/>
    </row>
    <row r="7063" spans="3:24">
      <c r="C7063" s="4"/>
      <c r="D7063" s="4"/>
      <c r="E7063" s="5"/>
      <c r="F7063" s="6"/>
      <c r="G7063" s="31"/>
      <c r="H7063" s="6"/>
      <c r="I7063" s="9"/>
      <c r="J7063" s="24"/>
      <c r="K7063" s="9"/>
      <c r="L7063" s="25"/>
      <c r="M7063" s="46"/>
      <c r="N7063" s="8"/>
      <c r="O7063" s="11"/>
      <c r="P7063" s="11"/>
      <c r="Q7063" s="8"/>
      <c r="R7063" s="6"/>
      <c r="S7063" s="3"/>
      <c r="T7063" s="3"/>
      <c r="U7063" s="7"/>
      <c r="V7063" s="436"/>
      <c r="W7063" s="6"/>
      <c r="X7063" s="8"/>
    </row>
    <row r="7064" spans="3:24">
      <c r="C7064" s="4"/>
      <c r="D7064" s="4"/>
      <c r="E7064" s="5"/>
      <c r="F7064" s="6"/>
      <c r="G7064" s="31"/>
      <c r="H7064" s="6"/>
      <c r="I7064" s="9"/>
      <c r="J7064" s="24"/>
      <c r="K7064" s="9"/>
      <c r="L7064" s="25"/>
      <c r="M7064" s="46"/>
      <c r="N7064" s="8"/>
      <c r="O7064" s="11"/>
      <c r="P7064" s="11"/>
      <c r="Q7064" s="8"/>
      <c r="R7064" s="6"/>
      <c r="S7064" s="3"/>
      <c r="T7064" s="3"/>
      <c r="U7064" s="7"/>
      <c r="V7064" s="436"/>
      <c r="W7064" s="6"/>
      <c r="X7064" s="8"/>
    </row>
    <row r="7065" spans="3:24">
      <c r="C7065" s="4"/>
      <c r="D7065" s="4"/>
      <c r="E7065" s="5"/>
      <c r="F7065" s="6"/>
      <c r="G7065" s="31"/>
      <c r="H7065" s="6"/>
      <c r="I7065" s="9"/>
      <c r="J7065" s="24"/>
      <c r="K7065" s="9"/>
      <c r="L7065" s="25"/>
      <c r="M7065" s="46"/>
      <c r="N7065" s="8"/>
      <c r="O7065" s="11"/>
      <c r="P7065" s="11"/>
      <c r="Q7065" s="8"/>
      <c r="R7065" s="6"/>
      <c r="S7065" s="3"/>
      <c r="T7065" s="3"/>
      <c r="U7065" s="7"/>
      <c r="V7065" s="436"/>
      <c r="W7065" s="6"/>
      <c r="X7065" s="8"/>
    </row>
    <row r="7066" spans="3:24">
      <c r="C7066" s="4"/>
      <c r="D7066" s="4"/>
      <c r="E7066" s="5"/>
      <c r="F7066" s="6"/>
      <c r="G7066" s="31"/>
      <c r="H7066" s="6"/>
      <c r="I7066" s="9"/>
      <c r="J7066" s="24"/>
      <c r="K7066" s="9"/>
      <c r="L7066" s="25"/>
      <c r="M7066" s="46"/>
      <c r="N7066" s="8"/>
      <c r="O7066" s="11"/>
      <c r="P7066" s="11"/>
      <c r="Q7066" s="8"/>
      <c r="R7066" s="6"/>
      <c r="S7066" s="3"/>
      <c r="T7066" s="3"/>
      <c r="U7066" s="7"/>
      <c r="V7066" s="436"/>
      <c r="W7066" s="6"/>
      <c r="X7066" s="8"/>
    </row>
    <row r="7067" spans="3:24">
      <c r="C7067" s="4"/>
      <c r="D7067" s="4"/>
      <c r="E7067" s="5"/>
      <c r="F7067" s="6"/>
      <c r="G7067" s="31"/>
      <c r="H7067" s="6"/>
      <c r="I7067" s="9"/>
      <c r="J7067" s="24"/>
      <c r="K7067" s="9"/>
      <c r="L7067" s="25"/>
      <c r="M7067" s="46"/>
      <c r="N7067" s="8"/>
      <c r="O7067" s="11"/>
      <c r="P7067" s="11"/>
      <c r="Q7067" s="8"/>
      <c r="R7067" s="6"/>
      <c r="S7067" s="3"/>
      <c r="T7067" s="3"/>
      <c r="U7067" s="7"/>
      <c r="V7067" s="436"/>
      <c r="W7067" s="6"/>
      <c r="X7067" s="8"/>
    </row>
    <row r="7068" spans="3:24">
      <c r="C7068" s="4"/>
      <c r="D7068" s="4"/>
      <c r="E7068" s="5"/>
      <c r="F7068" s="6"/>
      <c r="G7068" s="31"/>
      <c r="H7068" s="6"/>
      <c r="I7068" s="9"/>
      <c r="J7068" s="24"/>
      <c r="K7068" s="9"/>
      <c r="L7068" s="25"/>
      <c r="M7068" s="46"/>
      <c r="N7068" s="8"/>
      <c r="O7068" s="11"/>
      <c r="P7068" s="11"/>
      <c r="Q7068" s="8"/>
      <c r="R7068" s="6"/>
      <c r="S7068" s="3"/>
      <c r="T7068" s="3"/>
      <c r="U7068" s="7"/>
      <c r="V7068" s="436"/>
      <c r="W7068" s="6"/>
      <c r="X7068" s="8"/>
    </row>
    <row r="7069" spans="3:24">
      <c r="C7069" s="4"/>
      <c r="D7069" s="4"/>
      <c r="E7069" s="5"/>
      <c r="F7069" s="6"/>
      <c r="G7069" s="31"/>
      <c r="H7069" s="6"/>
      <c r="I7069" s="9"/>
      <c r="J7069" s="24"/>
      <c r="K7069" s="9"/>
      <c r="L7069" s="25"/>
      <c r="M7069" s="46"/>
      <c r="N7069" s="8"/>
      <c r="O7069" s="11"/>
      <c r="P7069" s="11"/>
      <c r="Q7069" s="8"/>
      <c r="R7069" s="6"/>
      <c r="S7069" s="3"/>
      <c r="T7069" s="3"/>
      <c r="U7069" s="7"/>
      <c r="V7069" s="436"/>
      <c r="W7069" s="6"/>
      <c r="X7069" s="8"/>
    </row>
    <row r="7070" spans="3:24">
      <c r="C7070" s="4"/>
      <c r="D7070" s="4"/>
      <c r="E7070" s="5"/>
      <c r="F7070" s="6"/>
      <c r="G7070" s="31"/>
      <c r="H7070" s="6"/>
      <c r="I7070" s="9"/>
      <c r="J7070" s="24"/>
      <c r="K7070" s="9"/>
      <c r="L7070" s="25"/>
      <c r="M7070" s="46"/>
      <c r="N7070" s="8"/>
      <c r="O7070" s="11"/>
      <c r="P7070" s="11"/>
      <c r="Q7070" s="8"/>
      <c r="R7070" s="6"/>
      <c r="S7070" s="3"/>
      <c r="T7070" s="3"/>
      <c r="U7070" s="7"/>
      <c r="V7070" s="436"/>
      <c r="W7070" s="6"/>
      <c r="X7070" s="8"/>
    </row>
    <row r="7071" spans="3:24">
      <c r="C7071" s="4"/>
      <c r="D7071" s="4"/>
      <c r="E7071" s="5"/>
      <c r="F7071" s="6"/>
      <c r="G7071" s="31"/>
      <c r="H7071" s="6"/>
      <c r="I7071" s="9"/>
      <c r="J7071" s="24"/>
      <c r="K7071" s="9"/>
      <c r="L7071" s="25"/>
      <c r="M7071" s="46"/>
      <c r="N7071" s="8"/>
      <c r="O7071" s="11"/>
      <c r="P7071" s="11"/>
      <c r="Q7071" s="8"/>
      <c r="R7071" s="6"/>
      <c r="S7071" s="3"/>
      <c r="T7071" s="3"/>
      <c r="U7071" s="7"/>
      <c r="V7071" s="436"/>
      <c r="W7071" s="6"/>
      <c r="X7071" s="8"/>
    </row>
    <row r="7072" spans="3:24">
      <c r="C7072" s="4"/>
      <c r="D7072" s="4"/>
      <c r="E7072" s="5"/>
      <c r="F7072" s="6"/>
      <c r="G7072" s="31"/>
      <c r="H7072" s="6"/>
      <c r="I7072" s="9"/>
      <c r="J7072" s="24"/>
      <c r="K7072" s="9"/>
      <c r="L7072" s="25"/>
      <c r="M7072" s="46"/>
      <c r="N7072" s="8"/>
      <c r="O7072" s="11"/>
      <c r="P7072" s="11"/>
      <c r="Q7072" s="8"/>
      <c r="R7072" s="6"/>
      <c r="S7072" s="3"/>
      <c r="T7072" s="3"/>
      <c r="U7072" s="7"/>
      <c r="V7072" s="436"/>
      <c r="W7072" s="6"/>
      <c r="X7072" s="8"/>
    </row>
    <row r="7073" spans="3:24">
      <c r="C7073" s="4"/>
      <c r="D7073" s="4"/>
      <c r="E7073" s="5"/>
      <c r="F7073" s="6"/>
      <c r="G7073" s="31"/>
      <c r="H7073" s="6"/>
      <c r="I7073" s="9"/>
      <c r="J7073" s="24"/>
      <c r="K7073" s="9"/>
      <c r="L7073" s="25"/>
      <c r="M7073" s="46"/>
      <c r="N7073" s="8"/>
      <c r="O7073" s="11"/>
      <c r="P7073" s="11"/>
      <c r="Q7073" s="8"/>
      <c r="R7073" s="6"/>
      <c r="S7073" s="3"/>
      <c r="T7073" s="3"/>
      <c r="U7073" s="7"/>
      <c r="V7073" s="436"/>
      <c r="W7073" s="6"/>
      <c r="X7073" s="8"/>
    </row>
    <row r="7074" spans="3:24">
      <c r="C7074" s="4"/>
      <c r="D7074" s="4"/>
      <c r="E7074" s="5"/>
      <c r="F7074" s="6"/>
      <c r="G7074" s="31"/>
      <c r="H7074" s="6"/>
      <c r="I7074" s="9"/>
      <c r="J7074" s="24"/>
      <c r="K7074" s="9"/>
      <c r="L7074" s="25"/>
      <c r="M7074" s="46"/>
      <c r="N7074" s="8"/>
      <c r="O7074" s="11"/>
      <c r="P7074" s="11"/>
      <c r="Q7074" s="8"/>
      <c r="R7074" s="6"/>
      <c r="S7074" s="3"/>
      <c r="T7074" s="3"/>
      <c r="U7074" s="7"/>
      <c r="V7074" s="436"/>
      <c r="W7074" s="6"/>
      <c r="X7074" s="8"/>
    </row>
    <row r="7075" spans="3:24">
      <c r="C7075" s="4"/>
      <c r="D7075" s="4"/>
      <c r="E7075" s="5"/>
      <c r="F7075" s="6"/>
      <c r="G7075" s="31"/>
      <c r="H7075" s="6"/>
      <c r="I7075" s="9"/>
      <c r="J7075" s="24"/>
      <c r="K7075" s="9"/>
      <c r="L7075" s="25"/>
      <c r="M7075" s="46"/>
      <c r="N7075" s="8"/>
      <c r="O7075" s="11"/>
      <c r="P7075" s="11"/>
      <c r="Q7075" s="8"/>
      <c r="R7075" s="6"/>
      <c r="S7075" s="3"/>
      <c r="T7075" s="3"/>
      <c r="U7075" s="7"/>
      <c r="V7075" s="436"/>
      <c r="W7075" s="6"/>
      <c r="X7075" s="8"/>
    </row>
    <row r="7076" spans="3:24">
      <c r="C7076" s="4"/>
      <c r="D7076" s="4"/>
      <c r="E7076" s="5"/>
      <c r="F7076" s="6"/>
      <c r="G7076" s="31"/>
      <c r="H7076" s="6"/>
      <c r="I7076" s="9"/>
      <c r="J7076" s="24"/>
      <c r="K7076" s="9"/>
      <c r="L7076" s="25"/>
      <c r="M7076" s="46"/>
      <c r="N7076" s="8"/>
      <c r="O7076" s="11"/>
      <c r="P7076" s="11"/>
      <c r="Q7076" s="8"/>
      <c r="R7076" s="6"/>
      <c r="S7076" s="3"/>
      <c r="T7076" s="3"/>
      <c r="U7076" s="7"/>
      <c r="V7076" s="436"/>
      <c r="W7076" s="6"/>
      <c r="X7076" s="8"/>
    </row>
    <row r="7077" spans="3:24">
      <c r="C7077" s="4"/>
      <c r="D7077" s="4"/>
      <c r="E7077" s="5"/>
      <c r="F7077" s="6"/>
      <c r="G7077" s="31"/>
      <c r="H7077" s="6"/>
      <c r="I7077" s="9"/>
      <c r="J7077" s="24"/>
      <c r="K7077" s="9"/>
      <c r="L7077" s="25"/>
      <c r="M7077" s="46"/>
      <c r="N7077" s="8"/>
      <c r="O7077" s="11"/>
      <c r="P7077" s="11"/>
      <c r="Q7077" s="8"/>
      <c r="R7077" s="6"/>
      <c r="S7077" s="3"/>
      <c r="T7077" s="3"/>
      <c r="U7077" s="7"/>
      <c r="V7077" s="436"/>
      <c r="W7077" s="6"/>
      <c r="X7077" s="8"/>
    </row>
    <row r="7078" spans="3:24">
      <c r="C7078" s="4"/>
      <c r="D7078" s="4"/>
      <c r="E7078" s="5"/>
      <c r="F7078" s="6"/>
      <c r="G7078" s="31"/>
      <c r="H7078" s="6"/>
      <c r="I7078" s="9"/>
      <c r="J7078" s="24"/>
      <c r="K7078" s="10"/>
      <c r="L7078" s="25"/>
      <c r="M7078" s="46"/>
      <c r="N7078" s="8"/>
      <c r="O7078" s="11"/>
      <c r="P7078" s="11"/>
      <c r="Q7078" s="8"/>
      <c r="R7078" s="6"/>
      <c r="S7078" s="3"/>
      <c r="T7078" s="3"/>
      <c r="U7078" s="7"/>
      <c r="V7078" s="436"/>
      <c r="W7078" s="6"/>
      <c r="X7078" s="8"/>
    </row>
    <row r="7079" spans="3:24">
      <c r="C7079" s="4"/>
      <c r="D7079" s="4"/>
      <c r="E7079" s="5"/>
      <c r="F7079" s="6"/>
      <c r="G7079" s="31"/>
      <c r="H7079" s="6"/>
      <c r="I7079" s="9"/>
      <c r="J7079" s="24"/>
      <c r="K7079" s="9"/>
      <c r="L7079" s="25"/>
      <c r="M7079" s="46"/>
      <c r="N7079" s="8"/>
      <c r="O7079" s="11"/>
      <c r="P7079" s="11"/>
      <c r="Q7079" s="8"/>
      <c r="R7079" s="6"/>
      <c r="S7079" s="3"/>
      <c r="T7079" s="3"/>
      <c r="U7079" s="7"/>
      <c r="V7079" s="436"/>
      <c r="W7079" s="6"/>
      <c r="X7079" s="8"/>
    </row>
    <row r="7080" spans="3:24">
      <c r="C7080" s="4"/>
      <c r="D7080" s="4"/>
      <c r="E7080" s="5"/>
      <c r="F7080" s="6"/>
      <c r="G7080" s="31"/>
      <c r="H7080" s="6"/>
      <c r="I7080" s="9"/>
      <c r="J7080" s="24"/>
      <c r="K7080" s="9"/>
      <c r="L7080" s="25"/>
      <c r="M7080" s="46"/>
      <c r="N7080" s="8"/>
      <c r="O7080" s="11"/>
      <c r="P7080" s="11"/>
      <c r="Q7080" s="8"/>
      <c r="R7080" s="6"/>
      <c r="S7080" s="3"/>
      <c r="T7080" s="3"/>
      <c r="U7080" s="7"/>
      <c r="V7080" s="436"/>
      <c r="W7080" s="6"/>
      <c r="X7080" s="8"/>
    </row>
    <row r="7081" spans="3:24">
      <c r="C7081" s="4"/>
      <c r="D7081" s="4"/>
      <c r="E7081" s="5"/>
      <c r="F7081" s="6"/>
      <c r="G7081" s="31"/>
      <c r="H7081" s="6"/>
      <c r="I7081" s="9"/>
      <c r="J7081" s="24"/>
      <c r="K7081" s="9"/>
      <c r="L7081" s="25"/>
      <c r="M7081" s="46"/>
      <c r="N7081" s="8"/>
      <c r="O7081" s="11"/>
      <c r="P7081" s="11"/>
      <c r="Q7081" s="8"/>
      <c r="R7081" s="6"/>
      <c r="S7081" s="3"/>
      <c r="T7081" s="3"/>
      <c r="U7081" s="7"/>
      <c r="V7081" s="436"/>
      <c r="W7081" s="6"/>
      <c r="X7081" s="8"/>
    </row>
    <row r="7082" spans="3:24">
      <c r="C7082" s="4"/>
      <c r="D7082" s="4"/>
      <c r="E7082" s="5"/>
      <c r="F7082" s="6"/>
      <c r="G7082" s="31"/>
      <c r="H7082" s="6"/>
      <c r="I7082" s="9"/>
      <c r="J7082" s="24"/>
      <c r="K7082" s="9"/>
      <c r="L7082" s="25"/>
      <c r="M7082" s="46"/>
      <c r="N7082" s="8"/>
      <c r="O7082" s="11"/>
      <c r="P7082" s="11"/>
      <c r="Q7082" s="8"/>
      <c r="R7082" s="6"/>
      <c r="S7082" s="3"/>
      <c r="T7082" s="3"/>
      <c r="U7082" s="7"/>
      <c r="V7082" s="436"/>
      <c r="W7082" s="6"/>
      <c r="X7082" s="8"/>
    </row>
    <row r="7083" spans="3:24">
      <c r="C7083" s="4"/>
      <c r="D7083" s="4"/>
      <c r="E7083" s="5"/>
      <c r="F7083" s="6"/>
      <c r="G7083" s="31"/>
      <c r="H7083" s="6"/>
      <c r="I7083" s="9"/>
      <c r="J7083" s="24"/>
      <c r="K7083" s="9"/>
      <c r="L7083" s="25"/>
      <c r="M7083" s="46"/>
      <c r="N7083" s="8"/>
      <c r="O7083" s="11"/>
      <c r="P7083" s="11"/>
      <c r="Q7083" s="8"/>
      <c r="R7083" s="6"/>
      <c r="S7083" s="3"/>
      <c r="T7083" s="3"/>
      <c r="U7083" s="7"/>
      <c r="V7083" s="436"/>
      <c r="W7083" s="6"/>
      <c r="X7083" s="8"/>
    </row>
    <row r="7084" spans="3:24">
      <c r="C7084" s="4"/>
      <c r="D7084" s="4"/>
      <c r="E7084" s="5"/>
      <c r="F7084" s="6"/>
      <c r="G7084" s="31"/>
      <c r="H7084" s="6"/>
      <c r="I7084" s="9"/>
      <c r="J7084" s="24"/>
      <c r="K7084" s="9"/>
      <c r="L7084" s="25"/>
      <c r="M7084" s="46"/>
      <c r="N7084" s="8"/>
      <c r="O7084" s="11"/>
      <c r="P7084" s="11"/>
      <c r="Q7084" s="8"/>
      <c r="R7084" s="6"/>
      <c r="S7084" s="3"/>
      <c r="T7084" s="3"/>
      <c r="U7084" s="7"/>
      <c r="V7084" s="436"/>
      <c r="W7084" s="6"/>
      <c r="X7084" s="8"/>
    </row>
    <row r="7085" spans="3:24">
      <c r="C7085" s="4"/>
      <c r="D7085" s="4"/>
      <c r="E7085" s="5"/>
      <c r="F7085" s="6"/>
      <c r="G7085" s="31"/>
      <c r="H7085" s="6"/>
      <c r="I7085" s="9"/>
      <c r="J7085" s="24"/>
      <c r="K7085" s="9"/>
      <c r="L7085" s="25"/>
      <c r="M7085" s="46"/>
      <c r="N7085" s="8"/>
      <c r="O7085" s="11"/>
      <c r="P7085" s="11"/>
      <c r="Q7085" s="8"/>
      <c r="R7085" s="6"/>
      <c r="S7085" s="3"/>
      <c r="T7085" s="3"/>
      <c r="U7085" s="7"/>
      <c r="V7085" s="436"/>
      <c r="W7085" s="6"/>
      <c r="X7085" s="8"/>
    </row>
    <row r="7086" spans="3:24">
      <c r="C7086" s="4"/>
      <c r="D7086" s="4"/>
      <c r="E7086" s="5"/>
      <c r="F7086" s="6"/>
      <c r="G7086" s="31"/>
      <c r="H7086" s="6"/>
      <c r="I7086" s="9"/>
      <c r="J7086" s="24"/>
      <c r="K7086" s="9"/>
      <c r="L7086" s="25"/>
      <c r="M7086" s="46"/>
      <c r="N7086" s="8"/>
      <c r="O7086" s="11"/>
      <c r="P7086" s="11"/>
      <c r="Q7086" s="8"/>
      <c r="R7086" s="6"/>
      <c r="S7086" s="3"/>
      <c r="T7086" s="3"/>
      <c r="U7086" s="7"/>
      <c r="V7086" s="436"/>
      <c r="W7086" s="6"/>
      <c r="X7086" s="8"/>
    </row>
    <row r="7087" spans="3:24">
      <c r="C7087" s="4"/>
      <c r="D7087" s="4"/>
      <c r="E7087" s="5"/>
      <c r="F7087" s="6"/>
      <c r="G7087" s="31"/>
      <c r="H7087" s="6"/>
      <c r="I7087" s="9"/>
      <c r="J7087" s="24"/>
      <c r="K7087" s="9"/>
      <c r="L7087" s="25"/>
      <c r="M7087" s="46"/>
      <c r="N7087" s="8"/>
      <c r="O7087" s="11"/>
      <c r="P7087" s="11"/>
      <c r="Q7087" s="8"/>
      <c r="R7087" s="6"/>
      <c r="S7087" s="3"/>
      <c r="T7087" s="3"/>
      <c r="U7087" s="7"/>
      <c r="V7087" s="436"/>
      <c r="W7087" s="6"/>
      <c r="X7087" s="8"/>
    </row>
    <row r="7088" spans="3:24">
      <c r="C7088" s="4"/>
      <c r="D7088" s="4"/>
      <c r="E7088" s="5"/>
      <c r="F7088" s="6"/>
      <c r="G7088" s="31"/>
      <c r="H7088" s="6"/>
      <c r="I7088" s="9"/>
      <c r="J7088" s="24"/>
      <c r="K7088" s="9"/>
      <c r="L7088" s="25"/>
      <c r="M7088" s="46"/>
      <c r="N7088" s="8"/>
      <c r="O7088" s="11"/>
      <c r="P7088" s="11"/>
      <c r="Q7088" s="8"/>
      <c r="R7088" s="6"/>
      <c r="S7088" s="3"/>
      <c r="T7088" s="3"/>
      <c r="U7088" s="7"/>
      <c r="V7088" s="436"/>
      <c r="W7088" s="6"/>
      <c r="X7088" s="8"/>
    </row>
    <row r="7089" spans="3:24">
      <c r="C7089" s="4"/>
      <c r="D7089" s="4"/>
      <c r="E7089" s="5"/>
      <c r="F7089" s="6"/>
      <c r="G7089" s="31"/>
      <c r="H7089" s="6"/>
      <c r="I7089" s="9"/>
      <c r="J7089" s="24"/>
      <c r="K7089" s="9"/>
      <c r="L7089" s="25"/>
      <c r="M7089" s="46"/>
      <c r="N7089" s="8"/>
      <c r="O7089" s="11"/>
      <c r="P7089" s="11"/>
      <c r="Q7089" s="8"/>
      <c r="R7089" s="6"/>
      <c r="S7089" s="3"/>
      <c r="T7089" s="3"/>
      <c r="U7089" s="7"/>
      <c r="V7089" s="436"/>
      <c r="W7089" s="6"/>
      <c r="X7089" s="8"/>
    </row>
    <row r="7090" spans="3:24">
      <c r="C7090" s="4"/>
      <c r="D7090" s="4"/>
      <c r="E7090" s="5"/>
      <c r="F7090" s="6"/>
      <c r="G7090" s="31"/>
      <c r="H7090" s="6"/>
      <c r="I7090" s="9"/>
      <c r="J7090" s="24"/>
      <c r="K7090" s="9"/>
      <c r="L7090" s="25"/>
      <c r="M7090" s="46"/>
      <c r="N7090" s="8"/>
      <c r="O7090" s="11"/>
      <c r="P7090" s="11"/>
      <c r="Q7090" s="8"/>
      <c r="R7090" s="6"/>
      <c r="S7090" s="3"/>
      <c r="T7090" s="3"/>
      <c r="U7090" s="7"/>
      <c r="V7090" s="436"/>
      <c r="W7090" s="6"/>
      <c r="X7090" s="8"/>
    </row>
    <row r="7091" spans="3:24">
      <c r="C7091" s="4"/>
      <c r="D7091" s="4"/>
      <c r="E7091" s="5"/>
      <c r="F7091" s="6"/>
      <c r="G7091" s="31"/>
      <c r="H7091" s="6"/>
      <c r="I7091" s="9"/>
      <c r="J7091" s="24"/>
      <c r="K7091" s="9"/>
      <c r="L7091" s="25"/>
      <c r="M7091" s="46"/>
      <c r="N7091" s="8"/>
      <c r="O7091" s="11"/>
      <c r="P7091" s="11"/>
      <c r="Q7091" s="8"/>
      <c r="R7091" s="6"/>
      <c r="S7091" s="3"/>
      <c r="T7091" s="3"/>
      <c r="U7091" s="7"/>
      <c r="V7091" s="436"/>
      <c r="W7091" s="6"/>
      <c r="X7091" s="8"/>
    </row>
    <row r="7092" spans="3:24">
      <c r="C7092" s="4"/>
      <c r="D7092" s="4"/>
      <c r="E7092" s="5"/>
      <c r="F7092" s="6"/>
      <c r="G7092" s="31"/>
      <c r="H7092" s="6"/>
      <c r="I7092" s="9"/>
      <c r="J7092" s="24"/>
      <c r="K7092" s="9"/>
      <c r="L7092" s="25"/>
      <c r="M7092" s="46"/>
      <c r="N7092" s="8"/>
      <c r="O7092" s="11"/>
      <c r="P7092" s="11"/>
      <c r="Q7092" s="8"/>
      <c r="R7092" s="6"/>
      <c r="S7092" s="3"/>
      <c r="T7092" s="3"/>
      <c r="U7092" s="7"/>
      <c r="V7092" s="436"/>
      <c r="W7092" s="6"/>
      <c r="X7092" s="8"/>
    </row>
    <row r="7093" spans="3:24">
      <c r="C7093" s="4"/>
      <c r="D7093" s="4"/>
      <c r="E7093" s="5"/>
      <c r="F7093" s="6"/>
      <c r="G7093" s="31"/>
      <c r="H7093" s="6"/>
      <c r="I7093" s="9"/>
      <c r="J7093" s="24"/>
      <c r="K7093" s="9"/>
      <c r="L7093" s="25"/>
      <c r="M7093" s="46"/>
      <c r="N7093" s="8"/>
      <c r="O7093" s="11"/>
      <c r="P7093" s="11"/>
      <c r="Q7093" s="8"/>
      <c r="R7093" s="6"/>
      <c r="S7093" s="3"/>
      <c r="T7093" s="3"/>
      <c r="U7093" s="7"/>
      <c r="V7093" s="436"/>
      <c r="W7093" s="6"/>
      <c r="X7093" s="8"/>
    </row>
    <row r="7094" spans="3:24">
      <c r="C7094" s="4"/>
      <c r="D7094" s="4"/>
      <c r="E7094" s="5"/>
      <c r="F7094" s="6"/>
      <c r="G7094" s="31"/>
      <c r="H7094" s="6"/>
      <c r="I7094" s="9"/>
      <c r="J7094" s="24"/>
      <c r="K7094" s="9"/>
      <c r="L7094" s="25"/>
      <c r="M7094" s="46"/>
      <c r="N7094" s="8"/>
      <c r="O7094" s="11"/>
      <c r="P7094" s="11"/>
      <c r="Q7094" s="8"/>
      <c r="R7094" s="6"/>
      <c r="S7094" s="3"/>
      <c r="T7094" s="3"/>
      <c r="U7094" s="7"/>
      <c r="V7094" s="436"/>
      <c r="W7094" s="6"/>
      <c r="X7094" s="8"/>
    </row>
    <row r="7095" spans="3:24">
      <c r="C7095" s="4"/>
      <c r="D7095" s="4"/>
      <c r="E7095" s="5"/>
      <c r="F7095" s="6"/>
      <c r="G7095" s="31"/>
      <c r="H7095" s="6"/>
      <c r="I7095" s="9"/>
      <c r="J7095" s="24"/>
      <c r="K7095" s="9"/>
      <c r="L7095" s="25"/>
      <c r="M7095" s="46"/>
      <c r="N7095" s="8"/>
      <c r="O7095" s="11"/>
      <c r="P7095" s="11"/>
      <c r="Q7095" s="8"/>
      <c r="R7095" s="6"/>
      <c r="S7095" s="3"/>
      <c r="T7095" s="3"/>
      <c r="U7095" s="7"/>
      <c r="V7095" s="436"/>
      <c r="W7095" s="6"/>
      <c r="X7095" s="8"/>
    </row>
    <row r="7096" spans="3:24">
      <c r="C7096" s="4"/>
      <c r="D7096" s="4"/>
      <c r="E7096" s="5"/>
      <c r="F7096" s="6"/>
      <c r="G7096" s="31"/>
      <c r="H7096" s="6"/>
      <c r="I7096" s="9"/>
      <c r="J7096" s="24"/>
      <c r="K7096" s="9"/>
      <c r="L7096" s="25"/>
      <c r="M7096" s="46"/>
      <c r="N7096" s="8"/>
      <c r="O7096" s="11"/>
      <c r="P7096" s="11"/>
      <c r="Q7096" s="8"/>
      <c r="R7096" s="6"/>
      <c r="S7096" s="3"/>
      <c r="T7096" s="3"/>
      <c r="U7096" s="7"/>
      <c r="V7096" s="436"/>
      <c r="W7096" s="6"/>
      <c r="X7096" s="8"/>
    </row>
    <row r="7097" spans="3:24">
      <c r="C7097" s="38"/>
      <c r="D7097" s="4"/>
      <c r="E7097" s="5"/>
      <c r="F7097" s="6"/>
      <c r="G7097" s="31"/>
      <c r="H7097" s="6"/>
      <c r="I7097" s="9"/>
      <c r="J7097" s="24"/>
      <c r="K7097" s="9"/>
      <c r="L7097" s="25"/>
      <c r="M7097" s="53"/>
      <c r="N7097" s="8"/>
      <c r="O7097" s="11"/>
      <c r="P7097" s="11"/>
      <c r="Q7097" s="8"/>
      <c r="R7097" s="6"/>
      <c r="S7097" s="3"/>
      <c r="T7097" s="3"/>
      <c r="U7097" s="7"/>
      <c r="V7097" s="436"/>
      <c r="W7097" s="6"/>
      <c r="X7097" s="8"/>
    </row>
    <row r="7098" spans="3:24">
      <c r="C7098" s="4"/>
      <c r="D7098" s="4"/>
      <c r="E7098" s="5"/>
      <c r="F7098" s="6"/>
      <c r="G7098" s="31"/>
      <c r="H7098" s="6"/>
      <c r="I7098" s="9"/>
      <c r="J7098" s="24"/>
      <c r="K7098" s="9"/>
      <c r="L7098" s="25"/>
      <c r="M7098" s="46"/>
      <c r="N7098" s="8"/>
      <c r="O7098" s="11"/>
      <c r="P7098" s="11"/>
      <c r="Q7098" s="8"/>
      <c r="R7098" s="6"/>
      <c r="S7098" s="3"/>
      <c r="T7098" s="3"/>
      <c r="U7098" s="7"/>
      <c r="V7098" s="436"/>
      <c r="W7098" s="6"/>
      <c r="X7098" s="8"/>
    </row>
    <row r="7099" spans="3:24">
      <c r="C7099" s="4"/>
      <c r="D7099" s="4"/>
      <c r="E7099" s="5"/>
      <c r="F7099" s="6"/>
      <c r="G7099" s="31"/>
      <c r="H7099" s="6"/>
      <c r="I7099" s="9"/>
      <c r="J7099" s="24"/>
      <c r="K7099" s="9"/>
      <c r="L7099" s="25"/>
      <c r="M7099" s="46"/>
      <c r="N7099" s="8"/>
      <c r="O7099" s="11"/>
      <c r="P7099" s="11"/>
      <c r="Q7099" s="8"/>
      <c r="R7099" s="6"/>
      <c r="S7099" s="3"/>
      <c r="T7099" s="3"/>
      <c r="U7099" s="7"/>
      <c r="V7099" s="436"/>
      <c r="W7099" s="6"/>
      <c r="X7099" s="8"/>
    </row>
    <row r="7100" spans="3:24">
      <c r="C7100" s="4"/>
      <c r="D7100" s="4"/>
      <c r="E7100" s="5"/>
      <c r="F7100" s="6"/>
      <c r="G7100" s="31"/>
      <c r="H7100" s="6"/>
      <c r="I7100" s="9"/>
      <c r="J7100" s="24"/>
      <c r="K7100" s="9"/>
      <c r="L7100" s="25"/>
      <c r="M7100" s="46"/>
      <c r="N7100" s="8"/>
      <c r="O7100" s="11"/>
      <c r="P7100" s="11"/>
      <c r="Q7100" s="8"/>
      <c r="R7100" s="6"/>
      <c r="S7100" s="3"/>
      <c r="T7100" s="3"/>
      <c r="U7100" s="7"/>
      <c r="V7100" s="436"/>
      <c r="W7100" s="6"/>
      <c r="X7100" s="8"/>
    </row>
    <row r="7101" spans="3:24">
      <c r="C7101" s="4"/>
      <c r="D7101" s="4"/>
      <c r="E7101" s="5"/>
      <c r="F7101" s="6"/>
      <c r="G7101" s="31"/>
      <c r="H7101" s="6"/>
      <c r="I7101" s="9"/>
      <c r="J7101" s="24"/>
      <c r="K7101" s="9"/>
      <c r="L7101" s="25"/>
      <c r="M7101" s="46"/>
      <c r="N7101" s="8"/>
      <c r="O7101" s="11"/>
      <c r="P7101" s="11"/>
      <c r="Q7101" s="8"/>
      <c r="R7101" s="6"/>
      <c r="S7101" s="3"/>
      <c r="T7101" s="3"/>
      <c r="U7101" s="7"/>
      <c r="V7101" s="436"/>
      <c r="W7101" s="6"/>
      <c r="X7101" s="8"/>
    </row>
    <row r="7102" spans="3:24">
      <c r="C7102" s="4"/>
      <c r="D7102" s="4"/>
      <c r="E7102" s="5"/>
      <c r="F7102" s="6"/>
      <c r="G7102" s="31"/>
      <c r="H7102" s="6"/>
      <c r="I7102" s="9"/>
      <c r="J7102" s="24"/>
      <c r="K7102" s="9"/>
      <c r="L7102" s="25"/>
      <c r="M7102" s="46"/>
      <c r="N7102" s="8"/>
      <c r="O7102" s="11"/>
      <c r="P7102" s="11"/>
      <c r="Q7102" s="8"/>
      <c r="R7102" s="6"/>
      <c r="S7102" s="3"/>
      <c r="T7102" s="3"/>
      <c r="U7102" s="7"/>
      <c r="V7102" s="436"/>
      <c r="W7102" s="6"/>
      <c r="X7102" s="8"/>
    </row>
    <row r="7103" spans="3:24">
      <c r="C7103" s="4"/>
      <c r="D7103" s="4"/>
      <c r="E7103" s="5"/>
      <c r="F7103" s="6"/>
      <c r="G7103" s="31"/>
      <c r="H7103" s="6"/>
      <c r="I7103" s="9"/>
      <c r="J7103" s="24"/>
      <c r="K7103" s="9"/>
      <c r="L7103" s="25"/>
      <c r="M7103" s="46"/>
      <c r="N7103" s="8"/>
      <c r="O7103" s="11"/>
      <c r="P7103" s="11"/>
      <c r="Q7103" s="8"/>
      <c r="R7103" s="6"/>
      <c r="S7103" s="3"/>
      <c r="T7103" s="3"/>
      <c r="U7103" s="7"/>
      <c r="V7103" s="436"/>
      <c r="W7103" s="6"/>
      <c r="X7103" s="8"/>
    </row>
    <row r="7104" spans="3:24">
      <c r="C7104" s="4"/>
      <c r="D7104" s="4"/>
      <c r="E7104" s="5"/>
      <c r="F7104" s="6"/>
      <c r="G7104" s="31"/>
      <c r="H7104" s="6"/>
      <c r="I7104" s="9"/>
      <c r="J7104" s="24"/>
      <c r="K7104" s="9"/>
      <c r="L7104" s="25"/>
      <c r="M7104" s="46"/>
      <c r="N7104" s="8"/>
      <c r="O7104" s="11"/>
      <c r="P7104" s="11"/>
      <c r="Q7104" s="8"/>
      <c r="R7104" s="6"/>
      <c r="S7104" s="3"/>
      <c r="T7104" s="3"/>
      <c r="U7104" s="7"/>
      <c r="V7104" s="436"/>
      <c r="W7104" s="6"/>
      <c r="X7104" s="8"/>
    </row>
    <row r="7105" spans="3:24">
      <c r="C7105" s="4"/>
      <c r="D7105" s="4"/>
      <c r="E7105" s="5"/>
      <c r="F7105" s="6"/>
      <c r="G7105" s="31"/>
      <c r="H7105" s="6"/>
      <c r="I7105" s="9"/>
      <c r="J7105" s="24"/>
      <c r="K7105" s="9"/>
      <c r="L7105" s="25"/>
      <c r="M7105" s="46"/>
      <c r="N7105" s="8"/>
      <c r="O7105" s="11"/>
      <c r="P7105" s="11"/>
      <c r="Q7105" s="8"/>
      <c r="R7105" s="6"/>
      <c r="S7105" s="3"/>
      <c r="T7105" s="3"/>
      <c r="U7105" s="7"/>
      <c r="V7105" s="436"/>
      <c r="W7105" s="6"/>
      <c r="X7105" s="8"/>
    </row>
    <row r="7106" spans="3:24">
      <c r="C7106" s="4"/>
      <c r="D7106" s="4"/>
      <c r="E7106" s="5"/>
      <c r="G7106" s="31"/>
      <c r="H7106" s="6"/>
      <c r="I7106" s="9"/>
      <c r="J7106" s="24"/>
      <c r="K7106" s="9"/>
      <c r="L7106" s="25"/>
      <c r="M7106" s="46"/>
      <c r="N7106" s="8"/>
      <c r="O7106" s="11"/>
      <c r="P7106" s="11"/>
      <c r="Q7106" s="8"/>
      <c r="R7106" s="6"/>
      <c r="S7106" s="3"/>
      <c r="T7106" s="3"/>
      <c r="U7106" s="7"/>
      <c r="V7106" s="436"/>
      <c r="W7106" s="6"/>
      <c r="X7106" s="8"/>
    </row>
    <row r="7107" spans="3:24">
      <c r="C7107" s="4"/>
      <c r="D7107" s="4"/>
      <c r="E7107" s="5"/>
      <c r="F7107" s="6"/>
      <c r="G7107" s="31"/>
      <c r="H7107" s="6"/>
      <c r="I7107" s="9"/>
      <c r="J7107" s="24"/>
      <c r="K7107" s="9"/>
      <c r="L7107" s="25"/>
      <c r="M7107" s="46"/>
      <c r="N7107" s="8"/>
      <c r="O7107" s="11"/>
      <c r="P7107" s="11"/>
      <c r="Q7107" s="8"/>
      <c r="R7107" s="6"/>
      <c r="S7107" s="3"/>
      <c r="T7107" s="3"/>
      <c r="U7107" s="7"/>
      <c r="V7107" s="436"/>
      <c r="W7107" s="6"/>
      <c r="X7107" s="8"/>
    </row>
    <row r="7108" spans="3:24">
      <c r="C7108" s="4"/>
      <c r="D7108" s="4"/>
      <c r="E7108" s="5"/>
      <c r="F7108" s="6"/>
      <c r="G7108" s="31"/>
      <c r="H7108" s="6"/>
      <c r="I7108" s="9"/>
      <c r="J7108" s="24"/>
      <c r="K7108" s="9"/>
      <c r="L7108" s="25"/>
      <c r="M7108" s="46"/>
      <c r="N7108" s="8"/>
      <c r="O7108" s="11"/>
      <c r="P7108" s="11"/>
      <c r="Q7108" s="8"/>
      <c r="R7108" s="6"/>
      <c r="S7108" s="3"/>
      <c r="T7108" s="3"/>
      <c r="U7108" s="7"/>
      <c r="V7108" s="436"/>
      <c r="W7108" s="6"/>
      <c r="X7108" s="8"/>
    </row>
    <row r="7109" spans="3:24">
      <c r="C7109" s="4"/>
      <c r="D7109" s="4"/>
      <c r="E7109" s="5"/>
      <c r="F7109" s="6"/>
      <c r="G7109" s="31"/>
      <c r="H7109" s="6"/>
      <c r="I7109" s="9"/>
      <c r="J7109" s="24"/>
      <c r="K7109" s="9"/>
      <c r="L7109" s="25"/>
      <c r="M7109" s="46"/>
      <c r="N7109" s="8"/>
      <c r="O7109" s="11"/>
      <c r="P7109" s="11"/>
      <c r="Q7109" s="8"/>
      <c r="R7109" s="6"/>
      <c r="S7109" s="3"/>
      <c r="T7109" s="3"/>
      <c r="U7109" s="7"/>
      <c r="V7109" s="436"/>
      <c r="W7109" s="6"/>
      <c r="X7109" s="8"/>
    </row>
    <row r="7110" spans="3:24">
      <c r="C7110" s="4"/>
      <c r="D7110" s="4"/>
      <c r="E7110" s="5"/>
      <c r="F7110" s="6"/>
      <c r="G7110" s="31"/>
      <c r="H7110" s="6"/>
      <c r="I7110" s="9"/>
      <c r="J7110" s="24"/>
      <c r="K7110" s="9"/>
      <c r="L7110" s="25"/>
      <c r="M7110" s="46"/>
      <c r="N7110" s="8"/>
      <c r="O7110" s="11"/>
      <c r="P7110" s="11"/>
      <c r="Q7110" s="8"/>
      <c r="R7110" s="6"/>
      <c r="S7110" s="3"/>
      <c r="T7110" s="3"/>
      <c r="U7110" s="7"/>
      <c r="V7110" s="436"/>
      <c r="W7110" s="6"/>
      <c r="X7110" s="8"/>
    </row>
    <row r="7111" spans="3:24">
      <c r="C7111" s="4"/>
      <c r="D7111" s="4"/>
      <c r="E7111" s="5"/>
      <c r="F7111" s="6"/>
      <c r="G7111" s="31"/>
      <c r="H7111" s="6"/>
      <c r="I7111" s="9"/>
      <c r="J7111" s="24"/>
      <c r="K7111" s="9"/>
      <c r="L7111" s="25"/>
      <c r="M7111" s="46"/>
      <c r="N7111" s="8"/>
      <c r="O7111" s="11"/>
      <c r="P7111" s="11"/>
      <c r="Q7111" s="8"/>
      <c r="R7111" s="6"/>
      <c r="S7111" s="3"/>
      <c r="T7111" s="3"/>
      <c r="U7111" s="7"/>
      <c r="V7111" s="436"/>
      <c r="W7111" s="6"/>
      <c r="X7111" s="8"/>
    </row>
    <row r="7112" spans="3:24">
      <c r="C7112" s="4"/>
      <c r="D7112" s="4"/>
      <c r="E7112" s="5"/>
      <c r="F7112" s="6"/>
      <c r="G7112" s="31"/>
      <c r="H7112" s="6"/>
      <c r="I7112" s="9"/>
      <c r="J7112" s="24"/>
      <c r="K7112" s="9"/>
      <c r="L7112" s="25"/>
      <c r="M7112" s="46"/>
      <c r="N7112" s="8"/>
      <c r="O7112" s="11"/>
      <c r="P7112" s="11"/>
      <c r="Q7112" s="8"/>
      <c r="R7112" s="6"/>
      <c r="S7112" s="3"/>
      <c r="T7112" s="3"/>
      <c r="U7112" s="7"/>
      <c r="V7112" s="436"/>
      <c r="W7112" s="6"/>
      <c r="X7112" s="8"/>
    </row>
    <row r="7113" spans="3:24">
      <c r="C7113" s="4"/>
      <c r="D7113" s="4"/>
      <c r="E7113" s="5"/>
      <c r="F7113" s="6"/>
      <c r="G7113" s="31"/>
      <c r="H7113" s="6"/>
      <c r="I7113" s="9"/>
      <c r="J7113" s="24"/>
      <c r="K7113" s="9"/>
      <c r="L7113" s="25"/>
      <c r="M7113" s="46"/>
      <c r="N7113" s="8"/>
      <c r="O7113" s="11"/>
      <c r="P7113" s="11"/>
      <c r="Q7113" s="8"/>
      <c r="R7113" s="6"/>
      <c r="S7113" s="3"/>
      <c r="T7113" s="3"/>
      <c r="U7113" s="7"/>
      <c r="V7113" s="436"/>
      <c r="W7113" s="6"/>
      <c r="X7113" s="8"/>
    </row>
    <row r="7114" spans="3:24">
      <c r="C7114" s="4"/>
      <c r="D7114" s="4"/>
      <c r="E7114" s="5"/>
      <c r="F7114" s="6"/>
      <c r="G7114" s="31"/>
      <c r="H7114" s="6"/>
      <c r="I7114" s="9"/>
      <c r="J7114" s="24"/>
      <c r="K7114" s="9"/>
      <c r="L7114" s="25"/>
      <c r="M7114" s="46"/>
      <c r="N7114" s="8"/>
      <c r="O7114" s="11"/>
      <c r="P7114" s="11"/>
      <c r="Q7114" s="8"/>
      <c r="R7114" s="6"/>
      <c r="S7114" s="3"/>
      <c r="T7114" s="3"/>
      <c r="U7114" s="7"/>
      <c r="V7114" s="436"/>
      <c r="W7114" s="6"/>
      <c r="X7114" s="8"/>
    </row>
    <row r="7115" spans="3:24">
      <c r="C7115" s="4"/>
      <c r="D7115" s="4"/>
      <c r="E7115" s="5"/>
      <c r="F7115" s="6"/>
      <c r="G7115" s="31"/>
      <c r="H7115" s="6"/>
      <c r="I7115" s="9"/>
      <c r="J7115" s="24"/>
      <c r="K7115" s="9"/>
      <c r="L7115" s="25"/>
      <c r="M7115" s="46"/>
      <c r="N7115" s="8"/>
      <c r="O7115" s="11"/>
      <c r="P7115" s="11"/>
      <c r="Q7115" s="8"/>
      <c r="R7115" s="6"/>
      <c r="S7115" s="3"/>
      <c r="T7115" s="3"/>
      <c r="U7115" s="7"/>
      <c r="V7115" s="436"/>
      <c r="W7115" s="6"/>
      <c r="X7115" s="8"/>
    </row>
    <row r="7116" spans="3:24">
      <c r="C7116" s="4"/>
      <c r="D7116" s="4"/>
      <c r="E7116" s="5"/>
      <c r="F7116" s="6"/>
      <c r="G7116" s="31"/>
      <c r="H7116" s="6"/>
      <c r="I7116" s="9"/>
      <c r="J7116" s="24"/>
      <c r="K7116" s="9"/>
      <c r="L7116" s="25"/>
      <c r="M7116" s="46"/>
      <c r="N7116" s="8"/>
      <c r="O7116" s="11"/>
      <c r="P7116" s="11"/>
      <c r="Q7116" s="8"/>
      <c r="R7116" s="6"/>
      <c r="S7116" s="3"/>
      <c r="T7116" s="3"/>
      <c r="U7116" s="7"/>
      <c r="V7116" s="436"/>
      <c r="W7116" s="6"/>
      <c r="X7116" s="8"/>
    </row>
    <row r="7117" spans="3:24">
      <c r="C7117" s="4"/>
      <c r="D7117" s="4"/>
      <c r="E7117" s="5"/>
      <c r="F7117" s="6"/>
      <c r="G7117" s="31"/>
      <c r="H7117" s="6"/>
      <c r="I7117" s="9"/>
      <c r="J7117" s="24"/>
      <c r="K7117" s="9"/>
      <c r="L7117" s="25"/>
      <c r="M7117" s="46"/>
      <c r="N7117" s="8"/>
      <c r="O7117" s="11"/>
      <c r="P7117" s="11"/>
      <c r="Q7117" s="8"/>
      <c r="R7117" s="6"/>
      <c r="S7117" s="3"/>
      <c r="T7117" s="3"/>
      <c r="U7117" s="7"/>
      <c r="V7117" s="436"/>
      <c r="W7117" s="6"/>
      <c r="X7117" s="8"/>
    </row>
    <row r="7118" spans="3:24">
      <c r="C7118" s="4"/>
      <c r="D7118" s="4"/>
      <c r="E7118" s="5"/>
      <c r="F7118" s="6"/>
      <c r="G7118" s="31"/>
      <c r="H7118" s="6"/>
      <c r="I7118" s="9"/>
      <c r="J7118" s="24"/>
      <c r="K7118" s="9"/>
      <c r="L7118" s="25"/>
      <c r="M7118" s="46"/>
      <c r="N7118" s="8"/>
      <c r="O7118" s="11"/>
      <c r="P7118" s="11"/>
      <c r="Q7118" s="8"/>
      <c r="R7118" s="6"/>
      <c r="S7118" s="3"/>
      <c r="T7118" s="3"/>
      <c r="U7118" s="7"/>
      <c r="V7118" s="436"/>
      <c r="W7118" s="6"/>
      <c r="X7118" s="8"/>
    </row>
    <row r="7119" spans="3:24">
      <c r="C7119" s="4"/>
      <c r="D7119" s="4"/>
      <c r="E7119" s="5"/>
      <c r="F7119" s="6"/>
      <c r="G7119" s="31"/>
      <c r="H7119" s="6"/>
      <c r="I7119" s="9"/>
      <c r="J7119" s="24"/>
      <c r="K7119" s="9"/>
      <c r="L7119" s="25"/>
      <c r="M7119" s="46"/>
      <c r="N7119" s="8"/>
      <c r="O7119" s="11"/>
      <c r="P7119" s="11"/>
      <c r="Q7119" s="8"/>
      <c r="R7119" s="6"/>
      <c r="S7119" s="3"/>
      <c r="T7119" s="3"/>
      <c r="U7119" s="7"/>
      <c r="V7119" s="436"/>
      <c r="W7119" s="6"/>
      <c r="X7119" s="8"/>
    </row>
    <row r="7120" spans="3:24">
      <c r="C7120" s="4"/>
      <c r="D7120" s="4"/>
      <c r="E7120" s="5"/>
      <c r="F7120" s="6"/>
      <c r="G7120" s="31"/>
      <c r="H7120" s="6"/>
      <c r="I7120" s="9"/>
      <c r="J7120" s="24"/>
      <c r="K7120" s="9"/>
      <c r="L7120" s="25"/>
      <c r="M7120" s="46"/>
      <c r="N7120" s="8"/>
      <c r="O7120" s="11"/>
      <c r="P7120" s="11"/>
      <c r="Q7120" s="8"/>
      <c r="R7120" s="6"/>
      <c r="S7120" s="3"/>
      <c r="T7120" s="3"/>
      <c r="U7120" s="7"/>
      <c r="V7120" s="436"/>
      <c r="W7120" s="6"/>
      <c r="X7120" s="8"/>
    </row>
    <row r="7121" spans="3:24">
      <c r="C7121" s="4"/>
      <c r="D7121" s="4"/>
      <c r="E7121" s="5"/>
      <c r="F7121" s="6"/>
      <c r="G7121" s="31"/>
      <c r="H7121" s="6"/>
      <c r="I7121" s="9"/>
      <c r="J7121" s="24"/>
      <c r="K7121" s="9"/>
      <c r="L7121" s="25"/>
      <c r="M7121" s="46"/>
      <c r="N7121" s="8"/>
      <c r="O7121" s="11"/>
      <c r="P7121" s="11"/>
      <c r="Q7121" s="8"/>
      <c r="R7121" s="6"/>
      <c r="S7121" s="3"/>
      <c r="T7121" s="3"/>
      <c r="U7121" s="7"/>
      <c r="V7121" s="436"/>
      <c r="W7121" s="6"/>
      <c r="X7121" s="8"/>
    </row>
    <row r="7122" spans="3:24">
      <c r="C7122" s="4"/>
      <c r="D7122" s="4"/>
      <c r="E7122" s="5"/>
      <c r="F7122" s="6"/>
      <c r="G7122" s="31"/>
      <c r="H7122" s="6"/>
      <c r="I7122" s="9"/>
      <c r="J7122" s="24"/>
      <c r="K7122" s="9"/>
      <c r="L7122" s="25"/>
      <c r="M7122" s="46"/>
      <c r="N7122" s="8"/>
      <c r="O7122" s="11"/>
      <c r="P7122" s="11"/>
      <c r="Q7122" s="8"/>
      <c r="R7122" s="6"/>
      <c r="S7122" s="3"/>
      <c r="T7122" s="3"/>
      <c r="U7122" s="7"/>
      <c r="V7122" s="436"/>
      <c r="W7122" s="6"/>
      <c r="X7122" s="8"/>
    </row>
    <row r="7123" spans="3:24">
      <c r="C7123" s="4"/>
      <c r="D7123" s="4"/>
      <c r="E7123" s="5"/>
      <c r="F7123" s="6"/>
      <c r="G7123" s="31"/>
      <c r="H7123" s="6"/>
      <c r="I7123" s="9"/>
      <c r="J7123" s="24"/>
      <c r="K7123" s="9"/>
      <c r="L7123" s="25"/>
      <c r="M7123" s="46"/>
      <c r="N7123" s="8"/>
      <c r="O7123" s="11"/>
      <c r="P7123" s="11"/>
      <c r="Q7123" s="8"/>
      <c r="R7123" s="6"/>
      <c r="S7123" s="3"/>
      <c r="T7123" s="3"/>
      <c r="U7123" s="7"/>
      <c r="V7123" s="436"/>
      <c r="W7123" s="6"/>
      <c r="X7123" s="8"/>
    </row>
    <row r="7124" spans="3:24">
      <c r="C7124" s="4"/>
      <c r="D7124" s="4"/>
      <c r="E7124" s="5"/>
      <c r="F7124" s="6"/>
      <c r="G7124" s="31"/>
      <c r="H7124" s="6"/>
      <c r="I7124" s="9"/>
      <c r="J7124" s="24"/>
      <c r="K7124" s="9"/>
      <c r="L7124" s="25"/>
      <c r="M7124" s="46"/>
      <c r="N7124" s="8"/>
      <c r="O7124" s="11"/>
      <c r="P7124" s="11"/>
      <c r="Q7124" s="8"/>
      <c r="R7124" s="6"/>
      <c r="S7124" s="3"/>
      <c r="T7124" s="3"/>
      <c r="U7124" s="7"/>
      <c r="V7124" s="436"/>
      <c r="W7124" s="6"/>
      <c r="X7124" s="8"/>
    </row>
    <row r="7125" spans="3:24">
      <c r="C7125" s="4"/>
      <c r="D7125" s="4"/>
      <c r="E7125" s="5"/>
      <c r="F7125" s="6"/>
      <c r="G7125" s="31"/>
      <c r="H7125" s="6"/>
      <c r="I7125" s="9"/>
      <c r="J7125" s="24"/>
      <c r="K7125" s="9"/>
      <c r="L7125" s="25"/>
      <c r="M7125" s="46"/>
      <c r="N7125" s="8"/>
      <c r="O7125" s="11"/>
      <c r="P7125" s="11"/>
      <c r="Q7125" s="8"/>
      <c r="R7125" s="6"/>
      <c r="S7125" s="3"/>
      <c r="T7125" s="3"/>
      <c r="U7125" s="7"/>
      <c r="V7125" s="436"/>
      <c r="W7125" s="6"/>
      <c r="X7125" s="8"/>
    </row>
    <row r="7126" spans="3:24">
      <c r="C7126" s="4"/>
      <c r="D7126" s="4"/>
      <c r="E7126" s="5"/>
      <c r="F7126" s="6"/>
      <c r="G7126" s="31"/>
      <c r="H7126" s="6"/>
      <c r="I7126" s="9"/>
      <c r="J7126" s="24"/>
      <c r="K7126" s="9"/>
      <c r="L7126" s="25"/>
      <c r="M7126" s="46"/>
      <c r="N7126" s="8"/>
      <c r="O7126" s="11"/>
      <c r="P7126" s="11"/>
      <c r="Q7126" s="8"/>
      <c r="R7126" s="6"/>
      <c r="S7126" s="3"/>
      <c r="T7126" s="3"/>
      <c r="U7126" s="7"/>
      <c r="V7126" s="436"/>
      <c r="W7126" s="6"/>
      <c r="X7126" s="8"/>
    </row>
    <row r="7127" spans="3:24">
      <c r="C7127" s="4"/>
      <c r="D7127" s="4"/>
      <c r="E7127" s="5"/>
      <c r="F7127" s="6"/>
      <c r="G7127" s="31"/>
      <c r="H7127" s="6"/>
      <c r="I7127" s="9"/>
      <c r="J7127" s="24"/>
      <c r="K7127" s="9"/>
      <c r="L7127" s="25"/>
      <c r="M7127" s="46"/>
      <c r="N7127" s="8"/>
      <c r="O7127" s="11"/>
      <c r="P7127" s="11"/>
      <c r="Q7127" s="8"/>
      <c r="R7127" s="6"/>
      <c r="S7127" s="3"/>
      <c r="T7127" s="3"/>
      <c r="U7127" s="7"/>
      <c r="V7127" s="436"/>
      <c r="W7127" s="6"/>
      <c r="X7127" s="8"/>
    </row>
    <row r="7128" spans="3:24">
      <c r="C7128" s="4"/>
      <c r="D7128" s="4"/>
      <c r="E7128" s="5"/>
      <c r="F7128" s="6"/>
      <c r="G7128" s="31"/>
      <c r="H7128" s="6"/>
      <c r="I7128" s="9"/>
      <c r="J7128" s="24"/>
      <c r="K7128" s="9"/>
      <c r="L7128" s="25"/>
      <c r="M7128" s="46"/>
      <c r="N7128" s="8"/>
      <c r="O7128" s="11"/>
      <c r="P7128" s="11"/>
      <c r="Q7128" s="8"/>
      <c r="R7128" s="6"/>
      <c r="S7128" s="3"/>
      <c r="T7128" s="3"/>
      <c r="U7128" s="7"/>
      <c r="V7128" s="436"/>
      <c r="W7128" s="6"/>
      <c r="X7128" s="8"/>
    </row>
    <row r="7129" spans="3:24">
      <c r="C7129" s="4"/>
      <c r="D7129" s="4"/>
      <c r="E7129" s="5"/>
      <c r="F7129" s="6"/>
      <c r="G7129" s="31"/>
      <c r="H7129" s="6"/>
      <c r="I7129" s="9"/>
      <c r="J7129" s="24"/>
      <c r="K7129" s="9"/>
      <c r="L7129" s="25"/>
      <c r="M7129" s="46"/>
      <c r="N7129" s="8"/>
      <c r="O7129" s="11"/>
      <c r="P7129" s="11"/>
      <c r="Q7129" s="8"/>
      <c r="R7129" s="6"/>
      <c r="S7129" s="3"/>
      <c r="T7129" s="3"/>
      <c r="U7129" s="7"/>
      <c r="V7129" s="436"/>
      <c r="W7129" s="6"/>
      <c r="X7129" s="8"/>
    </row>
    <row r="7130" spans="3:24">
      <c r="C7130" s="4"/>
      <c r="D7130" s="4"/>
      <c r="E7130" s="5"/>
      <c r="F7130" s="6"/>
      <c r="G7130" s="31"/>
      <c r="H7130" s="6"/>
      <c r="I7130" s="9"/>
      <c r="J7130" s="24"/>
      <c r="K7130" s="9"/>
      <c r="L7130" s="25"/>
      <c r="M7130" s="46"/>
      <c r="N7130" s="8"/>
      <c r="O7130" s="11"/>
      <c r="P7130" s="11"/>
      <c r="Q7130" s="8"/>
      <c r="R7130" s="6"/>
      <c r="S7130" s="3"/>
      <c r="T7130" s="3"/>
      <c r="U7130" s="7"/>
      <c r="V7130" s="436"/>
      <c r="W7130" s="6"/>
      <c r="X7130" s="8"/>
    </row>
    <row r="7131" spans="3:24">
      <c r="C7131" s="4"/>
      <c r="D7131" s="4"/>
      <c r="E7131" s="5"/>
      <c r="F7131" s="6"/>
      <c r="G7131" s="31"/>
      <c r="H7131" s="6"/>
      <c r="I7131" s="9"/>
      <c r="J7131" s="24"/>
      <c r="K7131" s="9"/>
      <c r="L7131" s="25"/>
      <c r="M7131" s="46"/>
      <c r="N7131" s="8"/>
      <c r="O7131" s="11"/>
      <c r="P7131" s="11"/>
      <c r="Q7131" s="8"/>
      <c r="R7131" s="6"/>
      <c r="S7131" s="3"/>
      <c r="T7131" s="3"/>
      <c r="U7131" s="7"/>
      <c r="V7131" s="436"/>
      <c r="W7131" s="6"/>
      <c r="X7131" s="8"/>
    </row>
    <row r="7132" spans="3:24">
      <c r="C7132" s="4"/>
      <c r="D7132" s="4"/>
      <c r="E7132" s="5"/>
      <c r="F7132" s="6"/>
      <c r="G7132" s="31"/>
      <c r="H7132" s="6"/>
      <c r="I7132" s="9"/>
      <c r="J7132" s="24"/>
      <c r="K7132" s="9"/>
      <c r="L7132" s="25"/>
      <c r="M7132" s="46"/>
      <c r="N7132" s="8"/>
      <c r="O7132" s="11"/>
      <c r="P7132" s="11"/>
      <c r="Q7132" s="8"/>
      <c r="R7132" s="6"/>
      <c r="S7132" s="3"/>
      <c r="T7132" s="3"/>
      <c r="U7132" s="7"/>
      <c r="V7132" s="436"/>
      <c r="W7132" s="6"/>
      <c r="X7132" s="8"/>
    </row>
    <row r="7133" spans="3:24">
      <c r="C7133" s="4"/>
      <c r="D7133" s="4"/>
      <c r="E7133" s="5"/>
      <c r="F7133" s="6"/>
      <c r="G7133" s="31"/>
      <c r="H7133" s="6"/>
      <c r="I7133" s="9"/>
      <c r="J7133" s="24"/>
      <c r="K7133" s="9"/>
      <c r="L7133" s="25"/>
      <c r="M7133" s="46"/>
      <c r="N7133" s="8"/>
      <c r="O7133" s="11"/>
      <c r="P7133" s="11"/>
      <c r="Q7133" s="8"/>
      <c r="R7133" s="6"/>
      <c r="S7133" s="3"/>
      <c r="T7133" s="3"/>
      <c r="U7133" s="7"/>
      <c r="V7133" s="436"/>
      <c r="W7133" s="6"/>
      <c r="X7133" s="8"/>
    </row>
    <row r="7134" spans="3:24">
      <c r="C7134" s="4"/>
      <c r="D7134" s="4"/>
      <c r="E7134" s="5"/>
      <c r="F7134" s="6"/>
      <c r="G7134" s="31"/>
      <c r="H7134" s="6"/>
      <c r="I7134" s="9"/>
      <c r="J7134" s="24"/>
      <c r="K7134" s="9"/>
      <c r="L7134" s="25"/>
      <c r="M7134" s="46"/>
      <c r="N7134" s="8"/>
      <c r="O7134" s="11"/>
      <c r="P7134" s="11"/>
      <c r="Q7134" s="8"/>
      <c r="R7134" s="6"/>
      <c r="S7134" s="3"/>
      <c r="T7134" s="3"/>
      <c r="U7134" s="7"/>
      <c r="V7134" s="436"/>
      <c r="W7134" s="6"/>
      <c r="X7134" s="8"/>
    </row>
    <row r="7135" spans="3:24">
      <c r="C7135" s="4"/>
      <c r="D7135" s="4"/>
      <c r="E7135" s="5"/>
      <c r="F7135" s="6"/>
      <c r="G7135" s="31"/>
      <c r="H7135" s="6"/>
      <c r="I7135" s="9"/>
      <c r="J7135" s="24"/>
      <c r="K7135" s="9"/>
      <c r="L7135" s="25"/>
      <c r="M7135" s="46"/>
      <c r="N7135" s="8"/>
      <c r="O7135" s="11"/>
      <c r="P7135" s="11"/>
      <c r="Q7135" s="8"/>
      <c r="R7135" s="6"/>
      <c r="S7135" s="3"/>
      <c r="T7135" s="3"/>
      <c r="U7135" s="7"/>
      <c r="V7135" s="436"/>
      <c r="W7135" s="6"/>
      <c r="X7135" s="8"/>
    </row>
    <row r="7136" spans="3:24">
      <c r="C7136" s="4"/>
      <c r="D7136" s="4"/>
      <c r="E7136" s="5"/>
      <c r="F7136" s="6"/>
      <c r="G7136" s="31"/>
      <c r="H7136" s="6"/>
      <c r="I7136" s="9"/>
      <c r="J7136" s="24"/>
      <c r="K7136" s="9"/>
      <c r="L7136" s="25"/>
      <c r="M7136" s="46"/>
      <c r="N7136" s="8"/>
      <c r="O7136" s="11"/>
      <c r="P7136" s="11"/>
      <c r="Q7136" s="8"/>
      <c r="R7136" s="6"/>
      <c r="S7136" s="3"/>
      <c r="T7136" s="3"/>
      <c r="U7136" s="7"/>
      <c r="V7136" s="436"/>
      <c r="W7136" s="6"/>
      <c r="X7136" s="8"/>
    </row>
    <row r="7137" spans="3:24">
      <c r="C7137" s="4"/>
      <c r="D7137" s="4"/>
      <c r="E7137" s="5"/>
      <c r="F7137" s="6"/>
      <c r="G7137" s="31"/>
      <c r="H7137" s="6"/>
      <c r="I7137" s="9"/>
      <c r="J7137" s="24"/>
      <c r="K7137" s="9"/>
      <c r="L7137" s="25"/>
      <c r="M7137" s="46"/>
      <c r="N7137" s="8"/>
      <c r="O7137" s="11"/>
      <c r="P7137" s="11"/>
      <c r="Q7137" s="8"/>
      <c r="R7137" s="6"/>
      <c r="S7137" s="3"/>
      <c r="T7137" s="3"/>
      <c r="U7137" s="7"/>
      <c r="V7137" s="436"/>
      <c r="W7137" s="6"/>
      <c r="X7137" s="8"/>
    </row>
    <row r="7138" spans="3:24">
      <c r="C7138" s="4"/>
      <c r="D7138" s="4"/>
      <c r="E7138" s="5"/>
      <c r="F7138" s="6"/>
      <c r="G7138" s="31"/>
      <c r="H7138" s="6"/>
      <c r="I7138" s="9"/>
      <c r="J7138" s="24"/>
      <c r="K7138" s="9"/>
      <c r="L7138" s="25"/>
      <c r="M7138" s="46"/>
      <c r="N7138" s="8"/>
      <c r="O7138" s="11"/>
      <c r="P7138" s="11"/>
      <c r="Q7138" s="8"/>
      <c r="R7138" s="6"/>
      <c r="S7138" s="3"/>
      <c r="T7138" s="3"/>
      <c r="U7138" s="7"/>
      <c r="V7138" s="436"/>
      <c r="W7138" s="6"/>
      <c r="X7138" s="8"/>
    </row>
    <row r="7139" spans="3:24">
      <c r="C7139" s="4"/>
      <c r="D7139" s="4"/>
      <c r="E7139" s="5"/>
      <c r="F7139" s="6"/>
      <c r="G7139" s="31"/>
      <c r="H7139" s="6"/>
      <c r="I7139" s="9"/>
      <c r="J7139" s="24"/>
      <c r="K7139" s="9"/>
      <c r="L7139" s="25"/>
      <c r="M7139" s="46"/>
      <c r="N7139" s="8"/>
      <c r="O7139" s="11"/>
      <c r="P7139" s="11"/>
      <c r="Q7139" s="8"/>
      <c r="R7139" s="6"/>
      <c r="S7139" s="3"/>
      <c r="T7139" s="3"/>
      <c r="U7139" s="7"/>
      <c r="V7139" s="436"/>
      <c r="W7139" s="6"/>
      <c r="X7139" s="8"/>
    </row>
    <row r="7140" spans="3:24">
      <c r="C7140" s="4"/>
      <c r="D7140" s="4"/>
      <c r="E7140" s="5"/>
      <c r="F7140" s="6"/>
      <c r="G7140" s="31"/>
      <c r="H7140" s="6"/>
      <c r="I7140" s="9"/>
      <c r="J7140" s="24"/>
      <c r="K7140" s="9"/>
      <c r="L7140" s="25"/>
      <c r="M7140" s="46"/>
      <c r="N7140" s="8"/>
      <c r="O7140" s="11"/>
      <c r="P7140" s="11"/>
      <c r="Q7140" s="8"/>
      <c r="R7140" s="6"/>
      <c r="S7140" s="3"/>
      <c r="T7140" s="3"/>
      <c r="U7140" s="7"/>
      <c r="V7140" s="436"/>
      <c r="W7140" s="6"/>
      <c r="X7140" s="8"/>
    </row>
    <row r="7141" spans="3:24">
      <c r="C7141" s="4"/>
      <c r="D7141" s="4"/>
      <c r="E7141" s="5"/>
      <c r="F7141" s="6"/>
      <c r="G7141" s="31"/>
      <c r="H7141" s="6"/>
      <c r="I7141" s="9"/>
      <c r="J7141" s="24"/>
      <c r="K7141" s="9"/>
      <c r="L7141" s="25"/>
      <c r="M7141" s="46"/>
      <c r="N7141" s="8"/>
      <c r="O7141" s="11"/>
      <c r="P7141" s="11"/>
      <c r="Q7141" s="8"/>
      <c r="R7141" s="6"/>
      <c r="S7141" s="3"/>
      <c r="T7141" s="3"/>
      <c r="U7141" s="7"/>
      <c r="V7141" s="436"/>
      <c r="W7141" s="6"/>
      <c r="X7141" s="8"/>
    </row>
    <row r="7142" spans="3:24">
      <c r="C7142" s="4"/>
      <c r="D7142" s="4"/>
      <c r="E7142" s="5"/>
      <c r="F7142" s="6"/>
      <c r="G7142" s="31"/>
      <c r="H7142" s="6"/>
      <c r="I7142" s="9"/>
      <c r="J7142" s="24"/>
      <c r="K7142" s="9"/>
      <c r="L7142" s="25"/>
      <c r="M7142" s="46"/>
      <c r="N7142" s="8"/>
      <c r="O7142" s="11"/>
      <c r="P7142" s="11"/>
      <c r="Q7142" s="8"/>
      <c r="R7142" s="6"/>
      <c r="S7142" s="3"/>
      <c r="T7142" s="3"/>
      <c r="U7142" s="7"/>
      <c r="V7142" s="436"/>
      <c r="W7142" s="6"/>
      <c r="X7142" s="8"/>
    </row>
    <row r="7143" spans="3:24">
      <c r="C7143" s="4"/>
      <c r="D7143" s="4"/>
      <c r="E7143" s="5"/>
      <c r="F7143" s="6"/>
      <c r="G7143" s="31"/>
      <c r="H7143" s="6"/>
      <c r="I7143" s="9"/>
      <c r="J7143" s="24"/>
      <c r="K7143" s="9"/>
      <c r="L7143" s="25"/>
      <c r="M7143" s="46"/>
      <c r="N7143" s="8"/>
      <c r="O7143" s="11"/>
      <c r="P7143" s="11"/>
      <c r="Q7143" s="8"/>
      <c r="R7143" s="6"/>
      <c r="S7143" s="3"/>
      <c r="T7143" s="3"/>
      <c r="U7143" s="7"/>
      <c r="V7143" s="436"/>
      <c r="W7143" s="6"/>
      <c r="X7143" s="8"/>
    </row>
    <row r="7144" spans="3:24">
      <c r="C7144" s="4"/>
      <c r="D7144" s="4"/>
      <c r="E7144" s="5"/>
      <c r="F7144" s="6"/>
      <c r="G7144" s="31"/>
      <c r="H7144" s="6"/>
      <c r="I7144" s="9"/>
      <c r="J7144" s="24"/>
      <c r="K7144" s="9"/>
      <c r="L7144" s="25"/>
      <c r="M7144" s="46"/>
      <c r="N7144" s="8"/>
      <c r="O7144" s="11"/>
      <c r="P7144" s="11"/>
      <c r="Q7144" s="8"/>
      <c r="R7144" s="6"/>
      <c r="S7144" s="3"/>
      <c r="T7144" s="3"/>
      <c r="U7144" s="7"/>
      <c r="V7144" s="436"/>
      <c r="W7144" s="6"/>
      <c r="X7144" s="8"/>
    </row>
    <row r="7145" spans="3:24">
      <c r="C7145" s="4"/>
      <c r="D7145" s="4"/>
      <c r="E7145" s="5"/>
      <c r="F7145" s="6"/>
      <c r="G7145" s="31"/>
      <c r="H7145" s="6"/>
      <c r="I7145" s="9"/>
      <c r="J7145" s="24"/>
      <c r="K7145" s="9"/>
      <c r="L7145" s="25"/>
      <c r="M7145" s="46"/>
      <c r="N7145" s="8"/>
      <c r="O7145" s="11"/>
      <c r="P7145" s="11"/>
      <c r="Q7145" s="8"/>
      <c r="R7145" s="6"/>
      <c r="S7145" s="3"/>
      <c r="T7145" s="3"/>
      <c r="U7145" s="7"/>
      <c r="V7145" s="436"/>
      <c r="W7145" s="6"/>
      <c r="X7145" s="8"/>
    </row>
    <row r="7146" spans="3:24">
      <c r="C7146" s="4"/>
      <c r="D7146" s="4"/>
      <c r="E7146" s="5"/>
      <c r="F7146" s="6"/>
      <c r="G7146" s="31"/>
      <c r="H7146" s="6"/>
      <c r="I7146" s="9"/>
      <c r="J7146" s="24"/>
      <c r="K7146" s="9"/>
      <c r="L7146" s="25"/>
      <c r="M7146" s="46"/>
      <c r="N7146" s="8"/>
      <c r="O7146" s="11"/>
      <c r="P7146" s="11"/>
      <c r="Q7146" s="8"/>
      <c r="R7146" s="6"/>
      <c r="S7146" s="3"/>
      <c r="T7146" s="3"/>
      <c r="U7146" s="7"/>
      <c r="V7146" s="436"/>
      <c r="W7146" s="6"/>
      <c r="X7146" s="8"/>
    </row>
    <row r="7147" spans="3:24">
      <c r="C7147" s="4"/>
      <c r="D7147" s="4"/>
      <c r="E7147" s="5"/>
      <c r="F7147" s="6"/>
      <c r="G7147" s="31"/>
      <c r="H7147" s="6"/>
      <c r="I7147" s="9"/>
      <c r="J7147" s="43"/>
      <c r="K7147" s="9"/>
      <c r="L7147" s="25"/>
      <c r="M7147" s="46"/>
      <c r="N7147" s="8"/>
      <c r="O7147" s="11"/>
      <c r="P7147" s="11"/>
      <c r="Q7147" s="8"/>
      <c r="R7147" s="6"/>
      <c r="S7147" s="3"/>
      <c r="T7147" s="3"/>
      <c r="U7147" s="7"/>
      <c r="V7147" s="436"/>
      <c r="W7147" s="6"/>
      <c r="X7147" s="8"/>
    </row>
    <row r="7148" spans="3:24">
      <c r="C7148" s="4"/>
      <c r="D7148" s="4"/>
      <c r="E7148" s="5"/>
      <c r="F7148" s="6"/>
      <c r="G7148" s="31"/>
      <c r="H7148" s="6"/>
      <c r="I7148" s="9"/>
      <c r="J7148" s="24"/>
      <c r="K7148" s="9"/>
      <c r="L7148" s="25"/>
      <c r="M7148" s="46"/>
      <c r="N7148" s="8"/>
      <c r="O7148" s="11"/>
      <c r="P7148" s="11"/>
      <c r="Q7148" s="8"/>
      <c r="R7148" s="6"/>
      <c r="S7148" s="3"/>
      <c r="T7148" s="3"/>
      <c r="U7148" s="7"/>
      <c r="V7148" s="436"/>
      <c r="W7148" s="6"/>
      <c r="X7148" s="8"/>
    </row>
    <row r="7149" spans="3:24">
      <c r="C7149" s="4"/>
      <c r="D7149" s="4"/>
      <c r="E7149" s="5"/>
      <c r="F7149" s="6"/>
      <c r="G7149" s="31"/>
      <c r="H7149" s="6"/>
      <c r="I7149" s="9"/>
      <c r="J7149" s="24"/>
      <c r="K7149" s="9"/>
      <c r="L7149" s="25"/>
      <c r="M7149" s="46"/>
      <c r="N7149" s="8"/>
      <c r="O7149" s="11"/>
      <c r="P7149" s="11"/>
      <c r="Q7149" s="8"/>
      <c r="R7149" s="6"/>
      <c r="S7149" s="3"/>
      <c r="T7149" s="3"/>
      <c r="U7149" s="7"/>
      <c r="V7149" s="436"/>
      <c r="W7149" s="6"/>
      <c r="X7149" s="8"/>
    </row>
    <row r="7150" spans="3:24">
      <c r="C7150" s="4"/>
      <c r="D7150" s="4"/>
      <c r="E7150" s="5"/>
      <c r="F7150" s="6"/>
      <c r="G7150" s="31"/>
      <c r="H7150" s="6"/>
      <c r="I7150" s="9"/>
      <c r="J7150" s="24"/>
      <c r="K7150" s="9"/>
      <c r="L7150" s="25"/>
      <c r="M7150" s="46"/>
      <c r="N7150" s="8"/>
      <c r="O7150" s="11"/>
      <c r="P7150" s="11"/>
      <c r="Q7150" s="8"/>
      <c r="R7150" s="6"/>
      <c r="S7150" s="3"/>
      <c r="T7150" s="3"/>
      <c r="U7150" s="7"/>
      <c r="V7150" s="436"/>
      <c r="W7150" s="6"/>
      <c r="X7150" s="8"/>
    </row>
    <row r="7151" spans="3:24">
      <c r="C7151" s="4"/>
      <c r="D7151" s="4"/>
      <c r="E7151" s="5"/>
      <c r="F7151" s="6"/>
      <c r="G7151" s="31"/>
      <c r="H7151" s="6"/>
      <c r="I7151" s="9"/>
      <c r="J7151" s="24"/>
      <c r="K7151" s="9"/>
      <c r="L7151" s="25"/>
      <c r="M7151" s="46"/>
      <c r="N7151" s="8"/>
      <c r="O7151" s="11"/>
      <c r="P7151" s="11"/>
      <c r="Q7151" s="8"/>
      <c r="R7151" s="6"/>
      <c r="S7151" s="3"/>
      <c r="T7151" s="3"/>
      <c r="U7151" s="7"/>
      <c r="V7151" s="436"/>
      <c r="W7151" s="6"/>
      <c r="X7151" s="8"/>
    </row>
    <row r="7152" spans="3:24">
      <c r="C7152" s="4"/>
      <c r="D7152" s="4"/>
      <c r="E7152" s="5"/>
      <c r="F7152" s="6"/>
      <c r="G7152" s="31"/>
      <c r="H7152" s="6"/>
      <c r="I7152" s="9"/>
      <c r="J7152" s="24"/>
      <c r="K7152" s="9"/>
      <c r="L7152" s="25"/>
      <c r="M7152" s="46"/>
      <c r="N7152" s="8"/>
      <c r="O7152" s="11"/>
      <c r="P7152" s="11"/>
      <c r="Q7152" s="8"/>
      <c r="R7152" s="6"/>
      <c r="S7152" s="3"/>
      <c r="T7152" s="3"/>
      <c r="U7152" s="7"/>
      <c r="V7152" s="436"/>
      <c r="W7152" s="6"/>
      <c r="X7152" s="8"/>
    </row>
    <row r="7153" spans="3:24">
      <c r="C7153" s="4"/>
      <c r="D7153" s="4"/>
      <c r="E7153" s="5"/>
      <c r="F7153" s="6"/>
      <c r="G7153" s="31"/>
      <c r="H7153" s="6"/>
      <c r="I7153" s="9"/>
      <c r="J7153" s="24"/>
      <c r="K7153" s="9"/>
      <c r="L7153" s="25"/>
      <c r="M7153" s="46"/>
      <c r="N7153" s="8"/>
      <c r="O7153" s="11"/>
      <c r="P7153" s="11"/>
      <c r="Q7153" s="8"/>
      <c r="R7153" s="6"/>
      <c r="S7153" s="3"/>
      <c r="T7153" s="3"/>
      <c r="U7153" s="7"/>
      <c r="V7153" s="436"/>
      <c r="W7153" s="6"/>
      <c r="X7153" s="8"/>
    </row>
    <row r="7154" spans="3:24">
      <c r="C7154" s="4"/>
      <c r="D7154" s="4"/>
      <c r="E7154" s="5"/>
      <c r="F7154" s="6"/>
      <c r="G7154" s="31"/>
      <c r="H7154" s="6"/>
      <c r="I7154" s="9"/>
      <c r="J7154" s="24"/>
      <c r="K7154" s="9"/>
      <c r="L7154" s="25"/>
      <c r="M7154" s="7"/>
      <c r="N7154" s="8"/>
      <c r="O7154" s="11"/>
      <c r="P7154" s="11"/>
      <c r="Q7154" s="8"/>
      <c r="R7154" s="6"/>
      <c r="S7154" s="3"/>
      <c r="T7154" s="3"/>
      <c r="U7154" s="7"/>
      <c r="V7154" s="436"/>
      <c r="W7154" s="6"/>
      <c r="X7154" s="8"/>
    </row>
    <row r="7155" spans="3:24">
      <c r="C7155" s="4"/>
      <c r="D7155" s="4"/>
      <c r="E7155" s="5"/>
      <c r="F7155" s="6"/>
      <c r="G7155" s="31"/>
      <c r="H7155" s="6"/>
      <c r="I7155" s="9"/>
      <c r="J7155" s="24"/>
      <c r="K7155" s="9"/>
      <c r="L7155" s="25"/>
      <c r="M7155" s="7"/>
      <c r="N7155" s="8"/>
      <c r="O7155" s="11"/>
      <c r="P7155" s="11"/>
      <c r="Q7155" s="8"/>
      <c r="R7155" s="6"/>
      <c r="S7155" s="3"/>
      <c r="T7155" s="3"/>
      <c r="U7155" s="7"/>
      <c r="V7155" s="436"/>
      <c r="W7155" s="6"/>
      <c r="X7155" s="8"/>
    </row>
    <row r="7156" spans="3:24">
      <c r="C7156" s="4"/>
      <c r="D7156" s="4"/>
      <c r="E7156" s="5"/>
      <c r="F7156" s="6"/>
      <c r="G7156" s="31"/>
      <c r="H7156" s="6"/>
      <c r="I7156" s="9"/>
      <c r="J7156" s="24"/>
      <c r="K7156" s="9"/>
      <c r="L7156" s="25"/>
      <c r="M7156" s="7"/>
      <c r="N7156" s="8"/>
      <c r="O7156" s="11"/>
      <c r="P7156" s="11"/>
      <c r="Q7156" s="8"/>
      <c r="R7156" s="6"/>
      <c r="S7156" s="3"/>
      <c r="T7156" s="3"/>
      <c r="U7156" s="7"/>
      <c r="V7156" s="436"/>
      <c r="W7156" s="6"/>
      <c r="X7156" s="8"/>
    </row>
    <row r="7157" spans="3:24">
      <c r="C7157" s="4"/>
      <c r="D7157" s="4"/>
      <c r="E7157" s="5"/>
      <c r="F7157" s="6"/>
      <c r="G7157" s="31"/>
      <c r="H7157" s="6"/>
      <c r="I7157" s="9"/>
      <c r="J7157" s="24"/>
      <c r="K7157" s="9"/>
      <c r="L7157" s="25"/>
      <c r="M7157" s="7"/>
      <c r="N7157" s="8"/>
      <c r="O7157" s="11"/>
      <c r="P7157" s="11"/>
      <c r="Q7157" s="8"/>
      <c r="R7157" s="6"/>
      <c r="S7157" s="3"/>
      <c r="T7157" s="3"/>
      <c r="U7157" s="7"/>
      <c r="V7157" s="436"/>
      <c r="W7157" s="6"/>
      <c r="X7157" s="8"/>
    </row>
    <row r="7158" spans="3:24">
      <c r="C7158" s="4"/>
      <c r="D7158" s="4"/>
      <c r="E7158" s="5"/>
      <c r="F7158" s="6"/>
      <c r="G7158" s="31"/>
      <c r="H7158" s="6"/>
      <c r="I7158" s="9"/>
      <c r="J7158" s="24"/>
      <c r="K7158" s="9"/>
      <c r="L7158" s="25"/>
      <c r="M7158" s="7"/>
      <c r="N7158" s="8"/>
      <c r="O7158" s="11"/>
      <c r="P7158" s="11"/>
      <c r="Q7158" s="8"/>
      <c r="R7158" s="6"/>
      <c r="S7158" s="3"/>
      <c r="T7158" s="3"/>
      <c r="U7158" s="7"/>
      <c r="V7158" s="436"/>
      <c r="W7158" s="6"/>
      <c r="X7158" s="8"/>
    </row>
    <row r="7159" spans="3:24">
      <c r="C7159" s="4"/>
      <c r="D7159" s="4"/>
      <c r="E7159" s="5"/>
      <c r="F7159" s="6"/>
      <c r="G7159" s="31"/>
      <c r="H7159" s="6"/>
      <c r="I7159" s="9"/>
      <c r="J7159" s="24"/>
      <c r="K7159" s="9"/>
      <c r="L7159" s="25"/>
      <c r="M7159" s="7"/>
      <c r="N7159" s="8"/>
      <c r="O7159" s="11"/>
      <c r="P7159" s="11"/>
      <c r="Q7159" s="8"/>
      <c r="R7159" s="6"/>
      <c r="S7159" s="3"/>
      <c r="T7159" s="3"/>
      <c r="U7159" s="7"/>
      <c r="V7159" s="436"/>
      <c r="W7159" s="6"/>
      <c r="X7159" s="8"/>
    </row>
    <row r="7160" spans="3:24">
      <c r="C7160" s="4"/>
      <c r="D7160" s="4"/>
      <c r="E7160" s="5"/>
      <c r="F7160" s="6"/>
      <c r="G7160" s="31"/>
      <c r="H7160" s="6"/>
      <c r="I7160" s="9"/>
      <c r="J7160" s="24"/>
      <c r="K7160" s="9"/>
      <c r="L7160" s="25"/>
      <c r="M7160" s="7"/>
      <c r="N7160" s="8"/>
      <c r="O7160" s="11"/>
      <c r="P7160" s="11"/>
      <c r="Q7160" s="8"/>
      <c r="R7160" s="6"/>
      <c r="S7160" s="3"/>
      <c r="T7160" s="3"/>
      <c r="U7160" s="7"/>
      <c r="V7160" s="436"/>
      <c r="W7160" s="6"/>
      <c r="X7160" s="8"/>
    </row>
    <row r="7161" spans="3:24">
      <c r="C7161" s="4"/>
      <c r="D7161" s="4"/>
      <c r="E7161" s="5"/>
      <c r="F7161" s="6"/>
      <c r="G7161" s="31"/>
      <c r="H7161" s="6"/>
      <c r="I7161" s="9"/>
      <c r="J7161" s="24"/>
      <c r="K7161" s="9"/>
      <c r="L7161" s="25"/>
      <c r="M7161" s="7"/>
      <c r="N7161" s="8"/>
      <c r="O7161" s="11"/>
      <c r="P7161" s="11"/>
      <c r="Q7161" s="8"/>
      <c r="R7161" s="6"/>
      <c r="S7161" s="3"/>
      <c r="T7161" s="3"/>
      <c r="U7161" s="7"/>
      <c r="V7161" s="436"/>
      <c r="W7161" s="6"/>
      <c r="X7161" s="8"/>
    </row>
    <row r="7162" spans="3:24">
      <c r="C7162" s="4"/>
      <c r="D7162" s="4"/>
      <c r="E7162" s="5"/>
      <c r="F7162" s="6"/>
      <c r="G7162" s="31"/>
      <c r="H7162" s="6"/>
      <c r="I7162" s="9"/>
      <c r="J7162" s="24"/>
      <c r="K7162" s="9"/>
      <c r="L7162" s="25"/>
      <c r="M7162" s="7"/>
      <c r="N7162" s="8"/>
      <c r="O7162" s="11"/>
      <c r="P7162" s="11"/>
      <c r="Q7162" s="8"/>
      <c r="R7162" s="6"/>
      <c r="S7162" s="3"/>
      <c r="T7162" s="3"/>
      <c r="U7162" s="7"/>
      <c r="V7162" s="436"/>
      <c r="W7162" s="6"/>
      <c r="X7162" s="8"/>
    </row>
    <row r="7163" spans="3:24">
      <c r="C7163" s="4"/>
      <c r="D7163" s="4"/>
      <c r="E7163" s="5"/>
      <c r="F7163" s="6"/>
      <c r="G7163" s="31"/>
      <c r="H7163" s="6"/>
      <c r="I7163" s="9"/>
      <c r="J7163" s="24"/>
      <c r="K7163" s="9"/>
      <c r="L7163" s="25"/>
      <c r="M7163" s="7"/>
      <c r="N7163" s="8"/>
      <c r="O7163" s="11"/>
      <c r="P7163" s="11"/>
      <c r="Q7163" s="8"/>
      <c r="R7163" s="6"/>
      <c r="S7163" s="3"/>
      <c r="T7163" s="3"/>
      <c r="U7163" s="7"/>
      <c r="V7163" s="436"/>
      <c r="W7163" s="6"/>
      <c r="X7163" s="8"/>
    </row>
    <row r="7164" spans="3:24">
      <c r="C7164" s="4"/>
      <c r="D7164" s="4"/>
      <c r="E7164" s="5"/>
      <c r="F7164" s="6"/>
      <c r="G7164" s="31"/>
      <c r="H7164" s="6"/>
      <c r="I7164" s="9"/>
      <c r="J7164" s="24"/>
      <c r="K7164" s="9"/>
      <c r="L7164" s="25"/>
      <c r="M7164" s="7"/>
      <c r="N7164" s="8"/>
      <c r="O7164" s="11"/>
      <c r="P7164" s="11"/>
      <c r="Q7164" s="8"/>
      <c r="R7164" s="6"/>
      <c r="S7164" s="3"/>
      <c r="T7164" s="3"/>
      <c r="U7164" s="7"/>
      <c r="V7164" s="436"/>
      <c r="W7164" s="6"/>
      <c r="X7164" s="8"/>
    </row>
    <row r="7165" spans="3:24">
      <c r="C7165" s="4"/>
      <c r="D7165" s="4"/>
      <c r="E7165" s="5"/>
      <c r="F7165" s="6"/>
      <c r="G7165" s="31"/>
      <c r="H7165" s="6"/>
      <c r="I7165" s="9"/>
      <c r="J7165" s="24"/>
      <c r="K7165" s="26"/>
      <c r="L7165" s="25"/>
      <c r="M7165" s="7"/>
      <c r="N7165" s="8"/>
      <c r="O7165" s="11"/>
      <c r="P7165" s="11"/>
      <c r="Q7165" s="8"/>
      <c r="R7165" s="6"/>
      <c r="S7165" s="3"/>
      <c r="T7165" s="3"/>
      <c r="U7165" s="7"/>
      <c r="V7165" s="436"/>
      <c r="W7165" s="6"/>
      <c r="X7165" s="8"/>
    </row>
    <row r="7166" spans="3:24">
      <c r="C7166" s="4"/>
      <c r="D7166" s="4"/>
      <c r="E7166" s="5"/>
      <c r="F7166" s="6"/>
      <c r="G7166" s="31"/>
      <c r="H7166" s="6"/>
      <c r="I7166" s="9"/>
      <c r="J7166" s="24"/>
      <c r="K7166" s="26"/>
      <c r="L7166" s="25"/>
      <c r="M7166" s="7"/>
      <c r="N7166" s="8"/>
      <c r="O7166" s="11"/>
      <c r="P7166" s="11"/>
      <c r="Q7166" s="8"/>
      <c r="R7166" s="6"/>
      <c r="S7166" s="3"/>
      <c r="T7166" s="3"/>
      <c r="U7166" s="7"/>
      <c r="V7166" s="436"/>
      <c r="W7166" s="6"/>
      <c r="X7166" s="8"/>
    </row>
    <row r="7167" spans="3:24">
      <c r="C7167" s="4"/>
      <c r="D7167" s="4"/>
      <c r="E7167" s="5"/>
      <c r="F7167" s="6"/>
      <c r="G7167" s="31"/>
      <c r="H7167" s="6"/>
      <c r="I7167" s="9"/>
      <c r="J7167" s="24"/>
      <c r="K7167" s="9"/>
      <c r="L7167" s="25"/>
      <c r="M7167" s="7"/>
      <c r="N7167" s="8"/>
      <c r="O7167" s="11"/>
      <c r="P7167" s="11"/>
      <c r="Q7167" s="8"/>
      <c r="R7167" s="6"/>
      <c r="S7167" s="3"/>
      <c r="T7167" s="3"/>
      <c r="U7167" s="7"/>
      <c r="V7167" s="436"/>
      <c r="W7167" s="6"/>
      <c r="X7167" s="8"/>
    </row>
    <row r="7168" spans="3:24">
      <c r="C7168" s="4"/>
      <c r="D7168" s="4"/>
      <c r="E7168" s="5"/>
      <c r="F7168" s="6"/>
      <c r="G7168" s="31"/>
      <c r="H7168" s="6"/>
      <c r="I7168" s="9"/>
      <c r="J7168" s="24"/>
      <c r="K7168" s="9"/>
      <c r="L7168" s="25"/>
      <c r="M7168" s="7"/>
      <c r="N7168" s="8"/>
      <c r="O7168" s="11"/>
      <c r="P7168" s="11"/>
      <c r="Q7168" s="8"/>
      <c r="R7168" s="6"/>
      <c r="S7168" s="3"/>
      <c r="T7168" s="3"/>
      <c r="U7168" s="7"/>
      <c r="V7168" s="436"/>
      <c r="W7168" s="6"/>
      <c r="X7168" s="8"/>
    </row>
    <row r="7169" spans="3:24">
      <c r="C7169" s="4"/>
      <c r="D7169" s="4"/>
      <c r="E7169" s="5"/>
      <c r="F7169" s="6"/>
      <c r="G7169" s="31"/>
      <c r="H7169" s="6"/>
      <c r="I7169" s="9"/>
      <c r="J7169" s="24"/>
      <c r="K7169" s="9"/>
      <c r="L7169" s="25"/>
      <c r="M7169" s="7"/>
      <c r="N7169" s="8"/>
      <c r="O7169" s="11"/>
      <c r="P7169" s="11"/>
      <c r="Q7169" s="8"/>
      <c r="R7169" s="6"/>
      <c r="S7169" s="3"/>
      <c r="T7169" s="3"/>
      <c r="U7169" s="7"/>
      <c r="V7169" s="436"/>
      <c r="W7169" s="6"/>
      <c r="X7169" s="8"/>
    </row>
    <row r="7170" spans="3:24">
      <c r="C7170" s="4"/>
      <c r="D7170" s="4"/>
      <c r="E7170" s="5"/>
      <c r="F7170" s="6"/>
      <c r="G7170" s="31"/>
      <c r="H7170" s="6"/>
      <c r="I7170" s="9"/>
      <c r="J7170" s="24"/>
      <c r="K7170" s="9"/>
      <c r="L7170" s="25"/>
      <c r="M7170" s="47"/>
      <c r="N7170" s="8"/>
      <c r="O7170" s="11"/>
      <c r="P7170" s="11"/>
      <c r="Q7170" s="8"/>
      <c r="R7170" s="6"/>
      <c r="S7170" s="3"/>
      <c r="T7170" s="3"/>
      <c r="U7170" s="7"/>
      <c r="V7170" s="436"/>
      <c r="W7170" s="6"/>
      <c r="X7170" s="8"/>
    </row>
    <row r="7171" spans="3:24">
      <c r="C7171" s="4"/>
      <c r="D7171" s="4"/>
      <c r="E7171" s="5"/>
      <c r="F7171" s="6"/>
      <c r="G7171" s="31"/>
      <c r="H7171" s="6"/>
      <c r="I7171" s="9"/>
      <c r="J7171" s="24"/>
      <c r="K7171" s="9"/>
      <c r="L7171" s="25"/>
      <c r="M7171" s="47"/>
      <c r="N7171" s="8"/>
      <c r="O7171" s="11"/>
      <c r="P7171" s="11"/>
      <c r="Q7171" s="8"/>
      <c r="R7171" s="6"/>
      <c r="S7171" s="3"/>
      <c r="T7171" s="3"/>
      <c r="U7171" s="7"/>
      <c r="V7171" s="436"/>
      <c r="W7171" s="6"/>
      <c r="X7171" s="8"/>
    </row>
    <row r="7172" spans="3:24">
      <c r="C7172" s="4"/>
      <c r="D7172" s="4"/>
      <c r="E7172" s="5"/>
      <c r="F7172" s="6"/>
      <c r="G7172" s="31"/>
      <c r="H7172" s="6"/>
      <c r="I7172" s="9"/>
      <c r="J7172" s="24"/>
      <c r="K7172" s="9"/>
      <c r="L7172" s="25"/>
      <c r="M7172" s="7"/>
      <c r="N7172" s="8"/>
      <c r="O7172" s="11"/>
      <c r="P7172" s="11"/>
      <c r="Q7172" s="8"/>
      <c r="R7172" s="6"/>
      <c r="S7172" s="3"/>
      <c r="T7172" s="3"/>
      <c r="U7172" s="7"/>
      <c r="V7172" s="436"/>
      <c r="W7172" s="6"/>
      <c r="X7172" s="8"/>
    </row>
    <row r="7173" spans="3:24">
      <c r="C7173" s="4"/>
      <c r="D7173" s="4"/>
      <c r="E7173" s="5"/>
      <c r="F7173" s="6"/>
      <c r="G7173" s="31"/>
      <c r="H7173" s="6"/>
      <c r="I7173" s="9"/>
      <c r="J7173" s="24"/>
      <c r="K7173" s="9"/>
      <c r="L7173" s="25"/>
      <c r="M7173" s="7"/>
      <c r="N7173" s="8"/>
      <c r="O7173" s="11"/>
      <c r="P7173" s="11"/>
      <c r="Q7173" s="8"/>
      <c r="R7173" s="6"/>
      <c r="S7173" s="3"/>
      <c r="T7173" s="3"/>
      <c r="U7173" s="7"/>
      <c r="V7173" s="436"/>
      <c r="W7173" s="6"/>
      <c r="X7173" s="8"/>
    </row>
    <row r="7174" spans="3:24">
      <c r="C7174" s="4"/>
      <c r="D7174" s="4"/>
      <c r="E7174" s="5"/>
      <c r="F7174" s="6"/>
      <c r="G7174" s="31"/>
      <c r="H7174" s="6"/>
      <c r="I7174" s="9"/>
      <c r="J7174" s="24"/>
      <c r="K7174" s="9"/>
      <c r="L7174" s="25"/>
      <c r="M7174" s="7"/>
      <c r="N7174" s="8"/>
      <c r="O7174" s="11"/>
      <c r="P7174" s="11"/>
      <c r="Q7174" s="8"/>
      <c r="R7174" s="6"/>
      <c r="S7174" s="3"/>
      <c r="T7174" s="3"/>
      <c r="U7174" s="7"/>
      <c r="V7174" s="436"/>
      <c r="W7174" s="6"/>
      <c r="X7174" s="8"/>
    </row>
    <row r="7175" spans="3:24">
      <c r="C7175" s="4"/>
      <c r="D7175" s="4"/>
      <c r="E7175" s="5"/>
      <c r="F7175" s="6"/>
      <c r="G7175" s="31"/>
      <c r="H7175" s="6"/>
      <c r="I7175" s="9"/>
      <c r="J7175" s="24"/>
      <c r="K7175" s="9"/>
      <c r="L7175" s="25"/>
      <c r="M7175" s="7"/>
      <c r="N7175" s="8"/>
      <c r="O7175" s="11"/>
      <c r="P7175" s="11"/>
      <c r="Q7175" s="8"/>
      <c r="R7175" s="6"/>
      <c r="S7175" s="3"/>
      <c r="T7175" s="3"/>
      <c r="U7175" s="7"/>
      <c r="V7175" s="436"/>
      <c r="W7175" s="6"/>
      <c r="X7175" s="8"/>
    </row>
    <row r="7176" spans="3:24">
      <c r="C7176" s="4"/>
      <c r="D7176" s="4"/>
      <c r="E7176" s="5"/>
      <c r="F7176" s="6"/>
      <c r="G7176" s="31"/>
      <c r="H7176" s="6"/>
      <c r="I7176" s="9"/>
      <c r="J7176" s="24"/>
      <c r="K7176" s="9"/>
      <c r="L7176" s="25"/>
      <c r="M7176" s="7"/>
      <c r="N7176" s="8"/>
      <c r="O7176" s="11"/>
      <c r="P7176" s="11"/>
      <c r="Q7176" s="8"/>
      <c r="R7176" s="6"/>
      <c r="S7176" s="3"/>
      <c r="T7176" s="3"/>
      <c r="U7176" s="7"/>
      <c r="V7176" s="436"/>
      <c r="W7176" s="6"/>
      <c r="X7176" s="8"/>
    </row>
    <row r="7177" spans="3:24">
      <c r="C7177" s="4"/>
      <c r="D7177" s="4"/>
      <c r="E7177" s="5"/>
      <c r="F7177" s="6"/>
      <c r="G7177" s="31"/>
      <c r="H7177" s="6"/>
      <c r="I7177" s="9"/>
      <c r="J7177" s="24"/>
      <c r="K7177" s="9"/>
      <c r="L7177" s="25"/>
      <c r="M7177" s="7"/>
      <c r="N7177" s="8"/>
      <c r="O7177" s="11"/>
      <c r="P7177" s="11"/>
      <c r="Q7177" s="8"/>
      <c r="R7177" s="6"/>
      <c r="S7177" s="3"/>
      <c r="T7177" s="3"/>
      <c r="U7177" s="7"/>
      <c r="V7177" s="436"/>
      <c r="W7177" s="6"/>
      <c r="X7177" s="8"/>
    </row>
    <row r="7178" spans="3:24">
      <c r="C7178" s="4"/>
      <c r="D7178" s="4"/>
      <c r="E7178" s="5"/>
      <c r="F7178" s="6"/>
      <c r="G7178" s="31"/>
      <c r="H7178" s="6"/>
      <c r="I7178" s="9"/>
      <c r="J7178" s="24"/>
      <c r="K7178" s="9"/>
      <c r="L7178" s="25"/>
      <c r="M7178" s="7"/>
      <c r="N7178" s="8"/>
      <c r="O7178" s="11"/>
      <c r="P7178" s="11"/>
      <c r="Q7178" s="8"/>
      <c r="R7178" s="6"/>
      <c r="S7178" s="3"/>
      <c r="T7178" s="3"/>
      <c r="U7178" s="7"/>
      <c r="V7178" s="436"/>
      <c r="W7178" s="6"/>
      <c r="X7178" s="8"/>
    </row>
    <row r="7179" spans="3:24">
      <c r="C7179" s="4"/>
      <c r="D7179" s="4"/>
      <c r="E7179" s="5"/>
      <c r="F7179" s="6"/>
      <c r="G7179" s="31"/>
      <c r="H7179" s="6"/>
      <c r="I7179" s="9"/>
      <c r="J7179" s="24"/>
      <c r="K7179" s="9"/>
      <c r="L7179" s="25"/>
      <c r="M7179" s="7"/>
      <c r="N7179" s="8"/>
      <c r="O7179" s="11"/>
      <c r="P7179" s="11"/>
      <c r="Q7179" s="8"/>
      <c r="R7179" s="6"/>
      <c r="S7179" s="3"/>
      <c r="T7179" s="3"/>
      <c r="U7179" s="7"/>
      <c r="V7179" s="436"/>
      <c r="W7179" s="6"/>
      <c r="X7179" s="8"/>
    </row>
    <row r="7180" spans="3:24">
      <c r="C7180" s="4"/>
      <c r="D7180" s="4"/>
      <c r="E7180" s="5"/>
      <c r="F7180" s="6"/>
      <c r="G7180" s="31"/>
      <c r="H7180" s="6"/>
      <c r="I7180" s="9"/>
      <c r="J7180" s="24"/>
      <c r="K7180" s="9"/>
      <c r="L7180" s="25"/>
      <c r="M7180" s="7"/>
      <c r="N7180" s="8"/>
      <c r="O7180" s="11"/>
      <c r="P7180" s="11"/>
      <c r="Q7180" s="8"/>
      <c r="R7180" s="6"/>
      <c r="S7180" s="3"/>
      <c r="T7180" s="3"/>
      <c r="U7180" s="7"/>
      <c r="V7180" s="436"/>
      <c r="W7180" s="6"/>
      <c r="X7180" s="8"/>
    </row>
    <row r="7181" spans="3:24">
      <c r="C7181" s="4"/>
      <c r="D7181" s="4"/>
      <c r="E7181" s="5"/>
      <c r="F7181" s="6"/>
      <c r="G7181" s="31"/>
      <c r="H7181" s="6"/>
      <c r="I7181" s="9"/>
      <c r="J7181" s="24"/>
      <c r="K7181" s="9"/>
      <c r="L7181" s="25"/>
      <c r="M7181" s="7"/>
      <c r="N7181" s="8"/>
      <c r="O7181" s="11"/>
      <c r="P7181" s="11"/>
      <c r="Q7181" s="8"/>
      <c r="R7181" s="6"/>
      <c r="S7181" s="3"/>
      <c r="T7181" s="3"/>
      <c r="U7181" s="7"/>
      <c r="V7181" s="436"/>
      <c r="W7181" s="6"/>
      <c r="X7181" s="8"/>
    </row>
    <row r="7182" spans="3:24">
      <c r="C7182" s="4"/>
      <c r="D7182" s="4"/>
      <c r="E7182" s="5"/>
      <c r="F7182" s="6"/>
      <c r="G7182" s="31"/>
      <c r="H7182" s="6"/>
      <c r="I7182" s="9"/>
      <c r="J7182" s="24"/>
      <c r="K7182" s="9"/>
      <c r="L7182" s="25"/>
      <c r="M7182" s="7"/>
      <c r="N7182" s="8"/>
      <c r="O7182" s="11"/>
      <c r="P7182" s="11"/>
      <c r="Q7182" s="8"/>
      <c r="R7182" s="6"/>
      <c r="S7182" s="3"/>
      <c r="T7182" s="3"/>
      <c r="U7182" s="7"/>
      <c r="V7182" s="436"/>
      <c r="W7182" s="6"/>
      <c r="X7182" s="8"/>
    </row>
    <row r="7183" spans="3:24">
      <c r="C7183" s="4"/>
      <c r="D7183" s="4"/>
      <c r="E7183" s="5"/>
      <c r="F7183" s="6"/>
      <c r="G7183" s="31"/>
      <c r="H7183" s="6"/>
      <c r="I7183" s="9"/>
      <c r="J7183" s="24"/>
      <c r="K7183" s="9"/>
      <c r="L7183" s="25"/>
      <c r="M7183" s="7"/>
      <c r="N7183" s="8"/>
      <c r="O7183" s="11"/>
      <c r="P7183" s="11"/>
      <c r="Q7183" s="8"/>
      <c r="R7183" s="6"/>
      <c r="S7183" s="3"/>
      <c r="T7183" s="3"/>
      <c r="U7183" s="7"/>
      <c r="V7183" s="436"/>
      <c r="W7183" s="6"/>
      <c r="X7183" s="8"/>
    </row>
    <row r="7184" spans="3:24">
      <c r="C7184" s="4"/>
      <c r="D7184" s="4"/>
      <c r="E7184" s="5"/>
      <c r="F7184" s="6"/>
      <c r="G7184" s="31"/>
      <c r="H7184" s="6"/>
      <c r="I7184" s="9"/>
      <c r="J7184" s="24"/>
      <c r="K7184" s="9"/>
      <c r="L7184" s="25"/>
      <c r="M7184" s="7"/>
      <c r="N7184" s="8"/>
      <c r="O7184" s="11"/>
      <c r="P7184" s="11"/>
      <c r="Q7184" s="8"/>
      <c r="R7184" s="6"/>
      <c r="S7184" s="3"/>
      <c r="T7184" s="3"/>
      <c r="U7184" s="7"/>
      <c r="V7184" s="436"/>
      <c r="W7184" s="6"/>
      <c r="X7184" s="8"/>
    </row>
    <row r="7185" spans="3:24">
      <c r="C7185" s="4"/>
      <c r="D7185" s="4"/>
      <c r="E7185" s="5"/>
      <c r="F7185" s="6"/>
      <c r="G7185" s="31"/>
      <c r="H7185" s="6"/>
      <c r="I7185" s="9"/>
      <c r="J7185" s="24"/>
      <c r="K7185" s="9"/>
      <c r="L7185" s="25"/>
      <c r="M7185" s="7"/>
      <c r="N7185" s="8"/>
      <c r="O7185" s="11"/>
      <c r="P7185" s="11"/>
      <c r="Q7185" s="8"/>
      <c r="R7185" s="6"/>
      <c r="S7185" s="3"/>
      <c r="T7185" s="3"/>
      <c r="U7185" s="7"/>
      <c r="V7185" s="436"/>
      <c r="W7185" s="6"/>
      <c r="X7185" s="8"/>
    </row>
    <row r="7186" spans="3:24">
      <c r="C7186" s="4"/>
      <c r="D7186" s="4"/>
      <c r="E7186" s="5"/>
      <c r="F7186" s="6"/>
      <c r="G7186" s="31"/>
      <c r="H7186" s="6"/>
      <c r="I7186" s="9"/>
      <c r="J7186" s="24"/>
      <c r="K7186" s="9"/>
      <c r="L7186" s="25"/>
      <c r="M7186" s="7"/>
      <c r="N7186" s="8"/>
      <c r="O7186" s="11"/>
      <c r="P7186" s="11"/>
      <c r="Q7186" s="8"/>
      <c r="R7186" s="6"/>
      <c r="S7186" s="3"/>
      <c r="T7186" s="3"/>
      <c r="U7186" s="7"/>
      <c r="V7186" s="436"/>
      <c r="W7186" s="6"/>
      <c r="X7186" s="8"/>
    </row>
    <row r="7187" spans="3:24">
      <c r="C7187" s="4"/>
      <c r="D7187" s="4"/>
      <c r="E7187" s="5"/>
      <c r="F7187" s="6"/>
      <c r="G7187" s="31"/>
      <c r="H7187" s="6"/>
      <c r="I7187" s="9"/>
      <c r="J7187" s="24"/>
      <c r="K7187" s="9"/>
      <c r="L7187" s="25"/>
      <c r="M7187" s="7"/>
      <c r="N7187" s="8"/>
      <c r="O7187" s="11"/>
      <c r="P7187" s="11"/>
      <c r="Q7187" s="8"/>
      <c r="R7187" s="6"/>
      <c r="S7187" s="3"/>
      <c r="T7187" s="3"/>
      <c r="U7187" s="7"/>
      <c r="V7187" s="436"/>
      <c r="W7187" s="6"/>
      <c r="X7187" s="8"/>
    </row>
    <row r="7188" spans="3:24">
      <c r="C7188" s="4"/>
      <c r="D7188" s="4"/>
      <c r="E7188" s="5"/>
      <c r="F7188" s="6"/>
      <c r="G7188" s="31"/>
      <c r="H7188" s="6"/>
      <c r="I7188" s="9"/>
      <c r="J7188" s="24"/>
      <c r="K7188" s="9"/>
      <c r="L7188" s="25"/>
      <c r="M7188" s="7"/>
      <c r="N7188" s="8"/>
      <c r="O7188" s="11"/>
      <c r="P7188" s="11"/>
      <c r="Q7188" s="8"/>
      <c r="R7188" s="6"/>
      <c r="S7188" s="3"/>
      <c r="T7188" s="3"/>
      <c r="U7188" s="7"/>
      <c r="V7188" s="436"/>
      <c r="W7188" s="6"/>
      <c r="X7188" s="8"/>
    </row>
    <row r="7189" spans="3:24">
      <c r="C7189" s="4"/>
      <c r="D7189" s="4"/>
      <c r="E7189" s="5"/>
      <c r="F7189" s="6"/>
      <c r="G7189" s="31"/>
      <c r="H7189" s="6"/>
      <c r="I7189" s="9"/>
      <c r="J7189" s="24"/>
      <c r="K7189" s="9"/>
      <c r="L7189" s="25"/>
      <c r="M7189" s="7"/>
      <c r="N7189" s="8"/>
      <c r="O7189" s="11"/>
      <c r="P7189" s="11"/>
      <c r="Q7189" s="8"/>
      <c r="R7189" s="6"/>
      <c r="S7189" s="3"/>
      <c r="T7189" s="3"/>
      <c r="U7189" s="7"/>
      <c r="V7189" s="436"/>
      <c r="W7189" s="6"/>
      <c r="X7189" s="83"/>
    </row>
    <row r="7190" spans="3:24">
      <c r="C7190" s="4"/>
      <c r="D7190" s="4"/>
      <c r="E7190" s="5"/>
      <c r="F7190" s="6"/>
      <c r="G7190" s="31"/>
      <c r="H7190" s="6"/>
      <c r="I7190" s="9"/>
      <c r="J7190" s="24"/>
      <c r="K7190" s="9"/>
      <c r="L7190" s="25"/>
      <c r="M7190" s="7"/>
      <c r="N7190" s="8"/>
      <c r="O7190" s="11"/>
      <c r="P7190" s="11"/>
      <c r="Q7190" s="8"/>
      <c r="R7190" s="6"/>
      <c r="S7190" s="3"/>
      <c r="T7190" s="3"/>
      <c r="U7190" s="7"/>
      <c r="V7190" s="436"/>
      <c r="W7190" s="6"/>
      <c r="X7190" s="8"/>
    </row>
    <row r="7191" spans="3:24">
      <c r="C7191" s="4"/>
      <c r="D7191" s="4"/>
      <c r="E7191" s="5"/>
      <c r="F7191" s="6"/>
      <c r="G7191" s="31"/>
      <c r="H7191" s="6"/>
      <c r="I7191" s="9"/>
      <c r="J7191" s="24"/>
      <c r="K7191" s="9"/>
      <c r="L7191" s="25"/>
      <c r="M7191" s="7"/>
      <c r="N7191" s="8"/>
      <c r="O7191" s="11"/>
      <c r="P7191" s="11"/>
      <c r="Q7191" s="8"/>
      <c r="R7191" s="6"/>
      <c r="S7191" s="3"/>
      <c r="T7191" s="3"/>
      <c r="U7191" s="7"/>
      <c r="V7191" s="436"/>
      <c r="W7191" s="6"/>
      <c r="X7191" s="8"/>
    </row>
    <row r="7192" spans="3:24">
      <c r="C7192" s="4"/>
      <c r="D7192" s="4"/>
      <c r="E7192" s="5"/>
      <c r="F7192" s="6"/>
      <c r="G7192" s="31"/>
      <c r="H7192" s="6"/>
      <c r="I7192" s="9"/>
      <c r="J7192" s="24"/>
      <c r="K7192" s="9"/>
      <c r="L7192" s="25"/>
      <c r="M7192" s="7"/>
      <c r="N7192" s="8"/>
      <c r="O7192" s="11"/>
      <c r="P7192" s="11"/>
      <c r="Q7192" s="8"/>
      <c r="R7192" s="6"/>
      <c r="S7192" s="3"/>
      <c r="T7192" s="3"/>
      <c r="U7192" s="7"/>
      <c r="V7192" s="436"/>
      <c r="W7192" s="6"/>
      <c r="X7192" s="83"/>
    </row>
    <row r="7193" spans="3:24">
      <c r="C7193" s="4"/>
      <c r="D7193" s="4"/>
      <c r="E7193" s="5"/>
      <c r="F7193" s="6"/>
      <c r="G7193" s="31"/>
      <c r="H7193" s="6"/>
      <c r="I7193" s="9"/>
      <c r="J7193" s="54"/>
      <c r="K7193" s="9"/>
      <c r="L7193" s="25"/>
      <c r="M7193" s="7"/>
      <c r="N7193" s="8"/>
      <c r="O7193" s="11"/>
      <c r="P7193" s="11"/>
      <c r="Q7193" s="8"/>
      <c r="R7193" s="6"/>
      <c r="S7193" s="3"/>
      <c r="T7193" s="3"/>
      <c r="U7193" s="7"/>
      <c r="V7193" s="436"/>
      <c r="W7193" s="6"/>
      <c r="X7193" s="83"/>
    </row>
    <row r="7194" spans="3:24">
      <c r="C7194" s="4"/>
      <c r="D7194" s="4"/>
      <c r="E7194" s="5"/>
      <c r="F7194" s="6"/>
      <c r="G7194" s="31"/>
      <c r="H7194" s="6"/>
      <c r="I7194" s="9"/>
      <c r="J7194" s="24"/>
      <c r="K7194" s="9"/>
      <c r="L7194" s="25"/>
      <c r="M7194" s="7"/>
      <c r="N7194" s="8"/>
      <c r="O7194" s="11"/>
      <c r="P7194" s="11"/>
      <c r="Q7194" s="8"/>
      <c r="R7194" s="6"/>
      <c r="S7194" s="3"/>
      <c r="T7194" s="3"/>
      <c r="U7194" s="7"/>
      <c r="V7194" s="436"/>
      <c r="W7194" s="6"/>
      <c r="X7194" s="83"/>
    </row>
    <row r="7195" spans="3:24">
      <c r="C7195" s="4"/>
      <c r="D7195" s="4"/>
      <c r="E7195" s="5"/>
      <c r="F7195" s="6"/>
      <c r="G7195" s="31"/>
      <c r="H7195" s="6"/>
      <c r="I7195" s="9"/>
      <c r="J7195" s="54"/>
      <c r="K7195" s="9"/>
      <c r="L7195" s="25"/>
      <c r="M7195" s="7"/>
      <c r="N7195" s="8"/>
      <c r="O7195" s="11"/>
      <c r="P7195" s="11"/>
      <c r="Q7195" s="8"/>
      <c r="R7195" s="6"/>
      <c r="S7195" s="3"/>
      <c r="T7195" s="3"/>
      <c r="U7195" s="7"/>
      <c r="V7195" s="436"/>
      <c r="W7195" s="6"/>
      <c r="X7195" s="83"/>
    </row>
    <row r="7196" spans="3:24">
      <c r="C7196" s="4"/>
      <c r="D7196" s="4"/>
      <c r="E7196" s="5"/>
      <c r="F7196" s="6"/>
      <c r="G7196" s="31"/>
      <c r="H7196" s="6"/>
      <c r="I7196" s="9"/>
      <c r="J7196" s="24"/>
      <c r="K7196" s="9"/>
      <c r="L7196" s="25"/>
      <c r="M7196" s="7"/>
      <c r="N7196" s="8"/>
      <c r="O7196" s="11"/>
      <c r="P7196" s="11"/>
      <c r="Q7196" s="8"/>
      <c r="R7196" s="6"/>
      <c r="S7196" s="3"/>
      <c r="T7196" s="3"/>
      <c r="U7196" s="7"/>
      <c r="V7196" s="436"/>
      <c r="W7196" s="6"/>
      <c r="X7196" s="83"/>
    </row>
    <row r="7197" spans="3:24">
      <c r="C7197" s="4"/>
      <c r="D7197" s="4"/>
      <c r="E7197" s="5"/>
      <c r="F7197" s="6"/>
      <c r="G7197" s="31"/>
      <c r="H7197" s="6"/>
      <c r="I7197" s="9"/>
      <c r="J7197" s="24"/>
      <c r="K7197" s="9"/>
      <c r="L7197" s="25"/>
      <c r="M7197" s="7"/>
      <c r="N7197" s="8"/>
      <c r="O7197" s="11"/>
      <c r="P7197" s="11"/>
      <c r="Q7197" s="8"/>
      <c r="R7197" s="6"/>
      <c r="S7197" s="3"/>
      <c r="T7197" s="3"/>
      <c r="U7197" s="7"/>
      <c r="V7197" s="436"/>
      <c r="W7197" s="6"/>
      <c r="X7197" s="83"/>
    </row>
    <row r="7198" spans="3:24">
      <c r="C7198" s="4"/>
      <c r="D7198" s="4"/>
      <c r="E7198" s="5"/>
      <c r="F7198" s="6"/>
      <c r="G7198" s="31"/>
      <c r="H7198" s="6"/>
      <c r="I7198" s="9"/>
      <c r="J7198" s="24"/>
      <c r="K7198" s="9"/>
      <c r="L7198" s="25"/>
      <c r="M7198" s="7"/>
      <c r="N7198" s="8"/>
      <c r="O7198" s="11"/>
      <c r="P7198" s="11"/>
      <c r="Q7198" s="8"/>
      <c r="R7198" s="6"/>
      <c r="S7198" s="3"/>
      <c r="T7198" s="3"/>
      <c r="U7198" s="7"/>
      <c r="V7198" s="436"/>
      <c r="W7198" s="6"/>
      <c r="X7198" s="83"/>
    </row>
    <row r="7199" spans="3:24">
      <c r="C7199" s="4"/>
      <c r="D7199" s="4"/>
      <c r="E7199" s="5"/>
      <c r="F7199" s="6"/>
      <c r="G7199" s="31"/>
      <c r="H7199" s="6"/>
      <c r="I7199" s="9"/>
      <c r="J7199" s="24"/>
      <c r="K7199" s="9"/>
      <c r="L7199" s="25"/>
      <c r="M7199" s="7"/>
      <c r="N7199" s="8"/>
      <c r="O7199" s="11"/>
      <c r="P7199" s="11"/>
      <c r="Q7199" s="8"/>
      <c r="R7199" s="6"/>
      <c r="S7199" s="3"/>
      <c r="T7199" s="3"/>
      <c r="U7199" s="7"/>
      <c r="V7199" s="436"/>
      <c r="W7199" s="6"/>
      <c r="X7199" s="83"/>
    </row>
    <row r="7200" spans="3:24">
      <c r="C7200" s="4"/>
      <c r="D7200" s="4"/>
      <c r="E7200" s="5"/>
      <c r="F7200" s="6"/>
      <c r="G7200" s="31"/>
      <c r="H7200" s="6"/>
      <c r="I7200" s="9"/>
      <c r="J7200" s="24"/>
      <c r="K7200" s="9"/>
      <c r="L7200" s="25"/>
      <c r="M7200" s="7"/>
      <c r="N7200" s="8"/>
      <c r="O7200" s="11"/>
      <c r="P7200" s="11"/>
      <c r="Q7200" s="8"/>
      <c r="R7200" s="6"/>
      <c r="S7200" s="3"/>
      <c r="T7200" s="3"/>
      <c r="U7200" s="7"/>
      <c r="V7200" s="436"/>
      <c r="W7200" s="6"/>
      <c r="X7200" s="83"/>
    </row>
    <row r="7201" spans="3:24">
      <c r="C7201" s="4"/>
      <c r="D7201" s="4"/>
      <c r="E7201" s="5"/>
      <c r="F7201" s="6"/>
      <c r="G7201" s="31"/>
      <c r="H7201" s="6"/>
      <c r="I7201" s="9"/>
      <c r="J7201" s="24"/>
      <c r="K7201" s="9"/>
      <c r="L7201" s="25"/>
      <c r="M7201" s="7"/>
      <c r="N7201" s="8"/>
      <c r="O7201" s="11"/>
      <c r="P7201" s="11"/>
      <c r="Q7201" s="8"/>
      <c r="R7201" s="6"/>
      <c r="S7201" s="3"/>
      <c r="T7201" s="3"/>
      <c r="U7201" s="7"/>
      <c r="V7201" s="436"/>
      <c r="W7201" s="6"/>
      <c r="X7201" s="83"/>
    </row>
    <row r="7202" spans="3:24">
      <c r="C7202" s="4"/>
      <c r="D7202" s="4"/>
      <c r="E7202" s="5"/>
      <c r="F7202" s="6"/>
      <c r="G7202" s="31"/>
      <c r="H7202" s="6"/>
      <c r="I7202" s="9"/>
      <c r="J7202" s="43"/>
      <c r="K7202" s="9"/>
      <c r="L7202" s="25"/>
      <c r="M7202" s="7"/>
      <c r="N7202" s="8"/>
      <c r="O7202" s="11"/>
      <c r="P7202" s="11"/>
      <c r="Q7202" s="8"/>
      <c r="R7202" s="6"/>
      <c r="S7202" s="3"/>
      <c r="T7202" s="3"/>
      <c r="U7202" s="7"/>
      <c r="V7202" s="436"/>
      <c r="W7202" s="6"/>
      <c r="X7202" s="83"/>
    </row>
    <row r="7203" spans="3:24">
      <c r="C7203" s="4"/>
      <c r="D7203" s="4"/>
      <c r="E7203" s="5"/>
      <c r="F7203" s="6"/>
      <c r="G7203" s="31"/>
      <c r="H7203" s="6"/>
      <c r="I7203" s="9"/>
      <c r="J7203" s="24"/>
      <c r="K7203" s="9"/>
      <c r="L7203" s="25"/>
      <c r="M7203" s="7"/>
      <c r="N7203" s="8"/>
      <c r="O7203" s="11"/>
      <c r="P7203" s="11"/>
      <c r="Q7203" s="8"/>
      <c r="R7203" s="6"/>
      <c r="S7203" s="3"/>
      <c r="T7203" s="3"/>
      <c r="U7203" s="7"/>
      <c r="V7203" s="436"/>
      <c r="W7203" s="6"/>
      <c r="X7203" s="83"/>
    </row>
    <row r="7204" spans="3:24">
      <c r="C7204" s="4"/>
      <c r="D7204" s="4"/>
      <c r="E7204" s="5"/>
      <c r="F7204" s="6"/>
      <c r="G7204" s="31"/>
      <c r="H7204" s="6"/>
      <c r="I7204" s="9"/>
      <c r="J7204" s="24"/>
      <c r="K7204" s="9"/>
      <c r="L7204" s="25"/>
      <c r="M7204" s="7"/>
      <c r="N7204" s="8"/>
      <c r="O7204" s="11"/>
      <c r="P7204" s="11"/>
      <c r="Q7204" s="8"/>
      <c r="R7204" s="6"/>
      <c r="S7204" s="3"/>
      <c r="T7204" s="3"/>
      <c r="U7204" s="7"/>
      <c r="V7204" s="436"/>
      <c r="W7204" s="6"/>
      <c r="X7204" s="83"/>
    </row>
    <row r="7205" spans="3:24">
      <c r="C7205" s="4"/>
      <c r="D7205" s="4"/>
      <c r="E7205" s="5"/>
      <c r="F7205" s="6"/>
      <c r="G7205" s="31"/>
      <c r="H7205" s="6"/>
      <c r="I7205" s="9"/>
      <c r="J7205" s="24"/>
      <c r="K7205" s="9"/>
      <c r="L7205" s="25"/>
      <c r="M7205" s="7"/>
      <c r="N7205" s="8"/>
      <c r="O7205" s="11"/>
      <c r="P7205" s="11"/>
      <c r="Q7205" s="8"/>
      <c r="R7205" s="6"/>
      <c r="S7205" s="3"/>
      <c r="T7205" s="3"/>
      <c r="U7205" s="7"/>
      <c r="V7205" s="436"/>
      <c r="W7205" s="6"/>
      <c r="X7205" s="83"/>
    </row>
    <row r="7206" spans="3:24">
      <c r="C7206" s="4"/>
      <c r="D7206" s="4"/>
      <c r="E7206" s="5"/>
      <c r="F7206" s="6"/>
      <c r="G7206" s="31"/>
      <c r="H7206" s="6"/>
      <c r="I7206" s="9"/>
      <c r="J7206" s="24"/>
      <c r="K7206" s="9"/>
      <c r="L7206" s="25"/>
      <c r="M7206" s="47"/>
      <c r="N7206" s="8"/>
      <c r="O7206" s="11"/>
      <c r="P7206" s="11"/>
      <c r="Q7206" s="8"/>
      <c r="R7206" s="6"/>
      <c r="S7206" s="3"/>
      <c r="T7206" s="3"/>
      <c r="U7206" s="7"/>
      <c r="V7206" s="436"/>
      <c r="W7206" s="6"/>
      <c r="X7206" s="83"/>
    </row>
    <row r="7207" spans="3:24">
      <c r="C7207" s="4"/>
      <c r="D7207" s="4"/>
      <c r="E7207" s="5"/>
      <c r="F7207" s="6"/>
      <c r="G7207" s="31"/>
      <c r="H7207" s="6"/>
      <c r="I7207" s="9"/>
      <c r="J7207" s="24"/>
      <c r="K7207" s="9"/>
      <c r="L7207" s="25"/>
      <c r="M7207" s="7"/>
      <c r="N7207" s="8"/>
      <c r="O7207" s="11"/>
      <c r="P7207" s="11"/>
      <c r="Q7207" s="8"/>
      <c r="R7207" s="6"/>
      <c r="S7207" s="3"/>
      <c r="T7207" s="3"/>
      <c r="U7207" s="7"/>
      <c r="V7207" s="436"/>
      <c r="W7207" s="6"/>
      <c r="X7207" s="83"/>
    </row>
    <row r="7208" spans="3:24">
      <c r="C7208" s="4"/>
      <c r="D7208" s="4"/>
      <c r="E7208" s="5"/>
      <c r="F7208" s="6"/>
      <c r="G7208" s="31"/>
      <c r="H7208" s="6"/>
      <c r="I7208" s="9"/>
      <c r="J7208" s="24"/>
      <c r="K7208" s="9"/>
      <c r="L7208" s="25"/>
      <c r="M7208" s="7"/>
      <c r="N7208" s="8"/>
      <c r="O7208" s="11"/>
      <c r="P7208" s="11"/>
      <c r="Q7208" s="8"/>
      <c r="R7208" s="6"/>
      <c r="S7208" s="3"/>
      <c r="T7208" s="3"/>
      <c r="U7208" s="7"/>
      <c r="V7208" s="436"/>
      <c r="W7208" s="6"/>
      <c r="X7208" s="83"/>
    </row>
    <row r="7209" spans="3:24">
      <c r="C7209" s="4"/>
      <c r="D7209" s="4"/>
      <c r="E7209" s="5"/>
      <c r="F7209" s="6"/>
      <c r="G7209" s="31"/>
      <c r="H7209" s="6"/>
      <c r="I7209" s="9"/>
      <c r="J7209" s="24"/>
      <c r="K7209" s="9"/>
      <c r="L7209" s="25"/>
      <c r="M7209" s="7"/>
      <c r="N7209" s="8"/>
      <c r="O7209" s="11"/>
      <c r="P7209" s="11"/>
      <c r="Q7209" s="8"/>
      <c r="R7209" s="6"/>
      <c r="S7209" s="3"/>
      <c r="T7209" s="3"/>
      <c r="U7209" s="7"/>
      <c r="V7209" s="436"/>
      <c r="W7209" s="6"/>
      <c r="X7209" s="83"/>
    </row>
    <row r="7210" spans="3:24">
      <c r="C7210" s="4"/>
      <c r="D7210" s="4"/>
      <c r="E7210" s="5"/>
      <c r="F7210" s="6"/>
      <c r="G7210" s="31"/>
      <c r="H7210" s="6"/>
      <c r="I7210" s="9"/>
      <c r="J7210" s="24"/>
      <c r="K7210" s="9"/>
      <c r="L7210" s="25"/>
      <c r="M7210" s="7"/>
      <c r="N7210" s="8"/>
      <c r="O7210" s="11"/>
      <c r="P7210" s="11"/>
      <c r="Q7210" s="8"/>
      <c r="R7210" s="6"/>
      <c r="S7210" s="3"/>
      <c r="T7210" s="3"/>
      <c r="U7210" s="7"/>
      <c r="V7210" s="436"/>
      <c r="W7210" s="6"/>
      <c r="X7210" s="83"/>
    </row>
    <row r="7211" spans="3:24">
      <c r="C7211" s="4"/>
      <c r="D7211" s="4"/>
      <c r="E7211" s="5"/>
      <c r="F7211" s="6"/>
      <c r="G7211" s="31"/>
      <c r="H7211" s="6"/>
      <c r="I7211" s="9"/>
      <c r="J7211" s="24"/>
      <c r="K7211" s="9"/>
      <c r="L7211" s="25"/>
      <c r="M7211" s="7"/>
      <c r="N7211" s="8"/>
      <c r="O7211" s="11"/>
      <c r="P7211" s="11"/>
      <c r="Q7211" s="8"/>
      <c r="R7211" s="6"/>
      <c r="S7211" s="3"/>
      <c r="T7211" s="3"/>
      <c r="U7211" s="7"/>
      <c r="V7211" s="436"/>
      <c r="W7211" s="6"/>
      <c r="X7211" s="83"/>
    </row>
    <row r="7212" spans="3:24">
      <c r="C7212" s="4"/>
      <c r="D7212" s="4"/>
      <c r="E7212" s="5"/>
      <c r="F7212" s="6"/>
      <c r="G7212" s="31"/>
      <c r="H7212" s="6"/>
      <c r="I7212" s="9"/>
      <c r="J7212" s="24"/>
      <c r="K7212" s="9"/>
      <c r="L7212" s="25"/>
      <c r="M7212" s="7"/>
      <c r="N7212" s="8"/>
      <c r="O7212" s="11"/>
      <c r="P7212" s="11"/>
      <c r="Q7212" s="8"/>
      <c r="R7212" s="6"/>
      <c r="S7212" s="3"/>
      <c r="T7212" s="3"/>
      <c r="U7212" s="7"/>
      <c r="V7212" s="436"/>
      <c r="W7212" s="6"/>
      <c r="X7212" s="83"/>
    </row>
    <row r="7213" spans="3:24">
      <c r="C7213" s="4"/>
      <c r="D7213" s="4"/>
      <c r="E7213" s="5"/>
      <c r="F7213" s="6"/>
      <c r="G7213" s="31"/>
      <c r="H7213" s="6"/>
      <c r="I7213" s="9"/>
      <c r="J7213" s="24"/>
      <c r="K7213" s="9"/>
      <c r="L7213" s="25"/>
      <c r="M7213" s="7"/>
      <c r="N7213" s="8"/>
      <c r="O7213" s="11"/>
      <c r="P7213" s="11"/>
      <c r="Q7213" s="8"/>
      <c r="R7213" s="6"/>
      <c r="S7213" s="3"/>
      <c r="T7213" s="3"/>
      <c r="U7213" s="7"/>
      <c r="V7213" s="436"/>
      <c r="W7213" s="6"/>
      <c r="X7213" s="83"/>
    </row>
    <row r="7214" spans="3:24">
      <c r="C7214" s="4"/>
      <c r="D7214" s="4"/>
      <c r="E7214" s="5"/>
      <c r="F7214" s="6"/>
      <c r="G7214" s="31"/>
      <c r="H7214" s="6"/>
      <c r="I7214" s="9"/>
      <c r="J7214" s="24"/>
      <c r="K7214" s="9"/>
      <c r="L7214" s="25"/>
      <c r="M7214" s="7"/>
      <c r="N7214" s="8"/>
      <c r="O7214" s="11"/>
      <c r="P7214" s="11"/>
      <c r="Q7214" s="8"/>
      <c r="R7214" s="6"/>
      <c r="S7214" s="3"/>
      <c r="T7214" s="3"/>
      <c r="U7214" s="7"/>
      <c r="V7214" s="436"/>
      <c r="W7214" s="6"/>
      <c r="X7214" s="83"/>
    </row>
    <row r="7215" spans="3:24">
      <c r="C7215" s="4"/>
      <c r="D7215" s="4"/>
      <c r="E7215" s="5"/>
      <c r="F7215" s="6"/>
      <c r="G7215" s="31"/>
      <c r="H7215" s="6"/>
      <c r="I7215" s="9"/>
      <c r="J7215" s="24"/>
      <c r="K7215" s="9"/>
      <c r="L7215" s="25"/>
      <c r="M7215" s="7"/>
      <c r="N7215" s="8"/>
      <c r="O7215" s="11"/>
      <c r="P7215" s="11"/>
      <c r="Q7215" s="8"/>
      <c r="R7215" s="6"/>
      <c r="S7215" s="3"/>
      <c r="T7215" s="3"/>
      <c r="U7215" s="7"/>
      <c r="V7215" s="436"/>
      <c r="W7215" s="6"/>
      <c r="X7215" s="83"/>
    </row>
    <row r="7216" spans="3:24">
      <c r="C7216" s="4"/>
      <c r="D7216" s="4"/>
      <c r="E7216" s="5"/>
      <c r="F7216" s="6"/>
      <c r="G7216" s="31"/>
      <c r="H7216" s="6"/>
      <c r="I7216" s="9"/>
      <c r="J7216" s="24"/>
      <c r="K7216" s="9"/>
      <c r="L7216" s="25"/>
      <c r="M7216" s="7"/>
      <c r="N7216" s="8"/>
      <c r="O7216" s="11"/>
      <c r="P7216" s="11"/>
      <c r="Q7216" s="8"/>
      <c r="R7216" s="6"/>
      <c r="S7216" s="3"/>
      <c r="T7216" s="3"/>
      <c r="U7216" s="7"/>
      <c r="V7216" s="436"/>
      <c r="W7216" s="6"/>
      <c r="X7216" s="83"/>
    </row>
    <row r="7217" spans="3:24">
      <c r="C7217" s="4"/>
      <c r="D7217" s="4"/>
      <c r="E7217" s="5"/>
      <c r="F7217" s="6"/>
      <c r="G7217" s="31"/>
      <c r="H7217" s="6"/>
      <c r="I7217" s="9"/>
      <c r="J7217" s="24"/>
      <c r="K7217" s="9"/>
      <c r="L7217" s="25"/>
      <c r="M7217" s="7"/>
      <c r="N7217" s="8"/>
      <c r="O7217" s="11"/>
      <c r="P7217" s="11"/>
      <c r="Q7217" s="8"/>
      <c r="R7217" s="6"/>
      <c r="S7217" s="3"/>
      <c r="T7217" s="3"/>
      <c r="U7217" s="7"/>
      <c r="V7217" s="436"/>
      <c r="W7217" s="6"/>
      <c r="X7217" s="83"/>
    </row>
    <row r="7218" spans="3:24">
      <c r="C7218" s="4"/>
      <c r="D7218" s="4"/>
      <c r="E7218" s="5"/>
      <c r="F7218" s="6"/>
      <c r="G7218" s="31"/>
      <c r="H7218" s="6"/>
      <c r="I7218" s="9"/>
      <c r="J7218" s="24"/>
      <c r="K7218" s="9"/>
      <c r="L7218" s="25"/>
      <c r="M7218" s="7"/>
      <c r="N7218" s="8"/>
      <c r="O7218" s="11"/>
      <c r="P7218" s="11"/>
      <c r="Q7218" s="8"/>
      <c r="R7218" s="6"/>
      <c r="S7218" s="3"/>
      <c r="T7218" s="3"/>
      <c r="U7218" s="7"/>
      <c r="V7218" s="436"/>
      <c r="W7218" s="6"/>
      <c r="X7218" s="83"/>
    </row>
    <row r="7219" spans="3:24">
      <c r="C7219" s="4"/>
      <c r="D7219" s="4"/>
      <c r="E7219" s="5"/>
      <c r="F7219" s="6"/>
      <c r="G7219" s="31"/>
      <c r="H7219" s="6"/>
      <c r="I7219" s="9"/>
      <c r="J7219" s="24"/>
      <c r="K7219" s="9"/>
      <c r="L7219" s="25"/>
      <c r="M7219" s="47"/>
      <c r="N7219" s="8"/>
      <c r="O7219" s="11"/>
      <c r="P7219" s="11"/>
      <c r="Q7219" s="8"/>
      <c r="R7219" s="6"/>
      <c r="S7219" s="3"/>
      <c r="T7219" s="3"/>
      <c r="U7219" s="7"/>
      <c r="V7219" s="436"/>
      <c r="W7219" s="6"/>
      <c r="X7219" s="83"/>
    </row>
    <row r="7220" spans="3:24">
      <c r="C7220" s="4"/>
      <c r="D7220" s="4"/>
      <c r="E7220" s="5"/>
      <c r="F7220" s="6"/>
      <c r="G7220" s="31"/>
      <c r="H7220" s="6"/>
      <c r="I7220" s="9"/>
      <c r="J7220" s="24"/>
      <c r="K7220" s="9"/>
      <c r="L7220" s="25"/>
      <c r="M7220" s="7"/>
      <c r="N7220" s="8"/>
      <c r="O7220" s="11"/>
      <c r="P7220" s="11"/>
      <c r="Q7220" s="8"/>
      <c r="R7220" s="6"/>
      <c r="S7220" s="3"/>
      <c r="T7220" s="3"/>
      <c r="U7220" s="7"/>
      <c r="V7220" s="436"/>
      <c r="W7220" s="6"/>
      <c r="X7220" s="83"/>
    </row>
    <row r="7221" spans="3:24">
      <c r="C7221" s="4"/>
      <c r="D7221" s="4"/>
      <c r="E7221" s="5"/>
      <c r="F7221" s="6"/>
      <c r="G7221" s="31"/>
      <c r="H7221" s="6"/>
      <c r="I7221" s="9"/>
      <c r="J7221" s="24"/>
      <c r="K7221" s="9"/>
      <c r="L7221" s="25"/>
      <c r="M7221" s="7"/>
      <c r="N7221" s="8"/>
      <c r="O7221" s="11"/>
      <c r="P7221" s="11"/>
      <c r="Q7221" s="8"/>
      <c r="R7221" s="6"/>
      <c r="S7221" s="3"/>
      <c r="T7221" s="3"/>
      <c r="U7221" s="7"/>
      <c r="V7221" s="436"/>
      <c r="W7221" s="6"/>
      <c r="X7221" s="83"/>
    </row>
    <row r="7222" spans="3:24">
      <c r="C7222" s="4"/>
      <c r="D7222" s="4"/>
      <c r="E7222" s="5"/>
      <c r="F7222" s="6"/>
      <c r="G7222" s="31"/>
      <c r="H7222" s="6"/>
      <c r="I7222" s="9"/>
      <c r="J7222" s="24"/>
      <c r="K7222" s="9"/>
      <c r="L7222" s="25"/>
      <c r="M7222" s="7"/>
      <c r="N7222" s="8"/>
      <c r="O7222" s="11"/>
      <c r="P7222" s="11"/>
      <c r="Q7222" s="8"/>
      <c r="R7222" s="6"/>
      <c r="S7222" s="3"/>
      <c r="T7222" s="3"/>
      <c r="U7222" s="7"/>
      <c r="V7222" s="436"/>
      <c r="W7222" s="6"/>
      <c r="X7222" s="83"/>
    </row>
    <row r="7223" spans="3:24">
      <c r="C7223" s="4"/>
      <c r="D7223" s="4"/>
      <c r="E7223" s="5"/>
      <c r="F7223" s="6"/>
      <c r="G7223" s="31"/>
      <c r="H7223" s="6"/>
      <c r="I7223" s="9"/>
      <c r="J7223" s="24"/>
      <c r="K7223" s="9"/>
      <c r="L7223" s="25"/>
      <c r="M7223" s="7"/>
      <c r="N7223" s="8"/>
      <c r="O7223" s="11"/>
      <c r="P7223" s="11"/>
      <c r="Q7223" s="8"/>
      <c r="R7223" s="6"/>
      <c r="S7223" s="3"/>
      <c r="T7223" s="3"/>
      <c r="U7223" s="7"/>
      <c r="V7223" s="436"/>
      <c r="W7223" s="6"/>
      <c r="X7223" s="83"/>
    </row>
    <row r="7224" spans="3:24">
      <c r="C7224" s="4"/>
      <c r="D7224" s="4"/>
      <c r="E7224" s="5"/>
      <c r="F7224" s="6"/>
      <c r="G7224" s="31"/>
      <c r="H7224" s="6"/>
      <c r="I7224" s="9"/>
      <c r="J7224" s="24"/>
      <c r="K7224" s="9"/>
      <c r="L7224" s="25"/>
      <c r="M7224" s="7"/>
      <c r="N7224" s="8"/>
      <c r="O7224" s="11"/>
      <c r="P7224" s="11"/>
      <c r="Q7224" s="8"/>
      <c r="R7224" s="6"/>
      <c r="S7224" s="3"/>
      <c r="T7224" s="3"/>
      <c r="U7224" s="7"/>
      <c r="V7224" s="436"/>
      <c r="W7224" s="6"/>
      <c r="X7224" s="83"/>
    </row>
    <row r="7225" spans="3:24">
      <c r="C7225" s="4"/>
      <c r="D7225" s="4"/>
      <c r="E7225" s="5"/>
      <c r="F7225" s="6"/>
      <c r="G7225" s="31"/>
      <c r="H7225" s="6"/>
      <c r="I7225" s="9"/>
      <c r="J7225" s="24"/>
      <c r="K7225" s="9"/>
      <c r="L7225" s="25"/>
      <c r="M7225" s="7"/>
      <c r="N7225" s="8"/>
      <c r="O7225" s="11"/>
      <c r="P7225" s="11"/>
      <c r="Q7225" s="8"/>
      <c r="R7225" s="6"/>
      <c r="S7225" s="3"/>
      <c r="T7225" s="3"/>
      <c r="U7225" s="7"/>
      <c r="V7225" s="436"/>
      <c r="W7225" s="6"/>
      <c r="X7225" s="83"/>
    </row>
    <row r="7226" spans="3:24">
      <c r="C7226" s="4"/>
      <c r="D7226" s="4"/>
      <c r="E7226" s="5"/>
      <c r="F7226" s="6"/>
      <c r="G7226" s="31"/>
      <c r="H7226" s="6"/>
      <c r="I7226" s="9"/>
      <c r="J7226" s="24"/>
      <c r="K7226" s="9"/>
      <c r="L7226" s="25"/>
      <c r="M7226" s="7"/>
      <c r="N7226" s="8"/>
      <c r="O7226" s="11"/>
      <c r="P7226" s="11"/>
      <c r="Q7226" s="8"/>
      <c r="R7226" s="6"/>
      <c r="S7226" s="3"/>
      <c r="T7226" s="3"/>
      <c r="U7226" s="7"/>
      <c r="V7226" s="436"/>
      <c r="W7226" s="6"/>
      <c r="X7226" s="83"/>
    </row>
    <row r="7227" spans="3:24">
      <c r="C7227" s="4"/>
      <c r="D7227" s="4"/>
      <c r="E7227" s="5"/>
      <c r="F7227" s="6"/>
      <c r="G7227" s="31"/>
      <c r="H7227" s="6"/>
      <c r="I7227" s="9"/>
      <c r="J7227" s="24"/>
      <c r="K7227" s="9"/>
      <c r="L7227" s="25"/>
      <c r="M7227" s="7"/>
      <c r="N7227" s="8"/>
      <c r="O7227" s="11"/>
      <c r="P7227" s="11"/>
      <c r="Q7227" s="8"/>
      <c r="R7227" s="6"/>
      <c r="S7227" s="3"/>
      <c r="T7227" s="3"/>
      <c r="U7227" s="7"/>
      <c r="V7227" s="436"/>
      <c r="W7227" s="6"/>
      <c r="X7227" s="83"/>
    </row>
    <row r="7228" spans="3:24">
      <c r="C7228" s="4"/>
      <c r="D7228" s="4"/>
      <c r="E7228" s="5"/>
      <c r="F7228" s="6"/>
      <c r="G7228" s="31"/>
      <c r="H7228" s="6"/>
      <c r="I7228" s="9"/>
      <c r="J7228" s="24"/>
      <c r="K7228" s="9"/>
      <c r="L7228" s="25"/>
      <c r="M7228" s="7"/>
      <c r="N7228" s="8"/>
      <c r="O7228" s="11"/>
      <c r="P7228" s="11"/>
      <c r="Q7228" s="8"/>
      <c r="R7228" s="6"/>
      <c r="S7228" s="3"/>
      <c r="T7228" s="3"/>
      <c r="U7228" s="7"/>
      <c r="V7228" s="436"/>
      <c r="W7228" s="6"/>
      <c r="X7228" s="83"/>
    </row>
    <row r="7229" spans="3:24">
      <c r="C7229" s="4"/>
      <c r="D7229" s="4"/>
      <c r="E7229" s="5"/>
      <c r="F7229" s="6"/>
      <c r="G7229" s="31"/>
      <c r="H7229" s="6"/>
      <c r="I7229" s="9"/>
      <c r="J7229" s="24"/>
      <c r="K7229" s="9"/>
      <c r="L7229" s="25"/>
      <c r="M7229" s="7"/>
      <c r="N7229" s="8"/>
      <c r="O7229" s="11"/>
      <c r="P7229" s="11"/>
      <c r="Q7229" s="8"/>
      <c r="R7229" s="6"/>
      <c r="S7229" s="3"/>
      <c r="T7229" s="3"/>
      <c r="U7229" s="7"/>
      <c r="V7229" s="436"/>
      <c r="W7229" s="6"/>
      <c r="X7229" s="83"/>
    </row>
    <row r="7230" spans="3:24">
      <c r="C7230" s="4"/>
      <c r="D7230" s="4"/>
      <c r="E7230" s="5"/>
      <c r="F7230" s="6"/>
      <c r="G7230" s="31"/>
      <c r="H7230" s="6"/>
      <c r="I7230" s="9"/>
      <c r="J7230" s="24"/>
      <c r="K7230" s="9"/>
      <c r="L7230" s="25"/>
      <c r="M7230" s="7"/>
      <c r="N7230" s="8"/>
      <c r="O7230" s="11"/>
      <c r="P7230" s="11"/>
      <c r="Q7230" s="8"/>
      <c r="R7230" s="6"/>
      <c r="S7230" s="3"/>
      <c r="T7230" s="3"/>
      <c r="U7230" s="7"/>
      <c r="V7230" s="436"/>
      <c r="W7230" s="6"/>
      <c r="X7230" s="58"/>
    </row>
    <row r="7231" spans="3:24">
      <c r="C7231" s="4"/>
      <c r="D7231" s="4"/>
      <c r="E7231" s="5"/>
      <c r="F7231" s="6"/>
      <c r="G7231" s="31"/>
      <c r="H7231" s="6"/>
      <c r="I7231" s="9"/>
      <c r="J7231" s="24"/>
      <c r="K7231" s="9"/>
      <c r="L7231" s="25"/>
      <c r="M7231" s="7"/>
      <c r="N7231" s="8"/>
      <c r="O7231" s="11"/>
      <c r="P7231" s="11"/>
      <c r="Q7231" s="8"/>
      <c r="R7231" s="6"/>
      <c r="S7231" s="3"/>
      <c r="T7231" s="3"/>
      <c r="U7231" s="7"/>
      <c r="V7231" s="436"/>
      <c r="W7231" s="6"/>
      <c r="X7231" s="58"/>
    </row>
    <row r="7232" spans="3:24">
      <c r="C7232" s="4"/>
      <c r="D7232" s="4"/>
      <c r="E7232" s="5"/>
      <c r="F7232" s="6"/>
      <c r="G7232" s="31"/>
      <c r="H7232" s="6"/>
      <c r="I7232" s="9"/>
      <c r="J7232" s="24"/>
      <c r="K7232" s="9"/>
      <c r="L7232" s="25"/>
      <c r="M7232" s="7"/>
      <c r="N7232" s="8"/>
      <c r="O7232" s="11"/>
      <c r="P7232" s="11"/>
      <c r="Q7232" s="8"/>
      <c r="R7232" s="6"/>
      <c r="S7232" s="3"/>
      <c r="T7232" s="3"/>
      <c r="U7232" s="7"/>
      <c r="V7232" s="436"/>
      <c r="W7232" s="6"/>
      <c r="X7232" s="58"/>
    </row>
    <row r="7233" spans="3:24">
      <c r="C7233" s="4"/>
      <c r="D7233" s="4"/>
      <c r="E7233" s="5"/>
      <c r="F7233" s="6"/>
      <c r="G7233" s="31"/>
      <c r="H7233" s="6"/>
      <c r="I7233" s="9"/>
      <c r="J7233" s="24"/>
      <c r="K7233" s="9"/>
      <c r="L7233" s="25"/>
      <c r="M7233" s="7"/>
      <c r="N7233" s="8"/>
      <c r="O7233" s="11"/>
      <c r="P7233" s="11"/>
      <c r="Q7233" s="8"/>
      <c r="R7233" s="6"/>
      <c r="S7233" s="3"/>
      <c r="T7233" s="3"/>
      <c r="U7233" s="7"/>
      <c r="V7233" s="436"/>
      <c r="W7233" s="6"/>
      <c r="X7233" s="58"/>
    </row>
    <row r="7234" spans="3:24">
      <c r="C7234" s="4"/>
      <c r="D7234" s="4"/>
      <c r="E7234" s="5"/>
      <c r="F7234" s="6"/>
      <c r="G7234" s="31"/>
      <c r="H7234" s="6"/>
      <c r="I7234" s="9"/>
      <c r="J7234" s="24"/>
      <c r="K7234" s="9"/>
      <c r="L7234" s="25"/>
      <c r="M7234" s="7"/>
      <c r="N7234" s="8"/>
      <c r="O7234" s="11"/>
      <c r="P7234" s="11"/>
      <c r="Q7234" s="8"/>
      <c r="R7234" s="6"/>
      <c r="S7234" s="3"/>
      <c r="T7234" s="3"/>
      <c r="U7234" s="7"/>
      <c r="V7234" s="436"/>
      <c r="W7234" s="6"/>
      <c r="X7234" s="58"/>
    </row>
    <row r="7235" spans="3:24">
      <c r="C7235" s="4"/>
      <c r="D7235" s="4"/>
      <c r="E7235" s="5"/>
      <c r="F7235" s="6"/>
      <c r="G7235" s="31"/>
      <c r="H7235" s="6"/>
      <c r="I7235" s="9"/>
      <c r="J7235" s="24"/>
      <c r="K7235" s="9"/>
      <c r="L7235" s="25"/>
      <c r="M7235" s="7"/>
      <c r="N7235" s="8"/>
      <c r="O7235" s="11"/>
      <c r="P7235" s="11"/>
      <c r="Q7235" s="8"/>
      <c r="R7235" s="6"/>
      <c r="S7235" s="3"/>
      <c r="T7235" s="3"/>
      <c r="U7235" s="7"/>
      <c r="V7235" s="436"/>
      <c r="W7235" s="6"/>
      <c r="X7235" s="58"/>
    </row>
    <row r="7236" spans="3:24">
      <c r="C7236" s="4"/>
      <c r="D7236" s="4"/>
      <c r="E7236" s="5"/>
      <c r="F7236" s="6"/>
      <c r="G7236" s="31"/>
      <c r="H7236" s="6"/>
      <c r="I7236" s="9"/>
      <c r="J7236" s="24"/>
      <c r="K7236" s="9"/>
      <c r="L7236" s="25"/>
      <c r="M7236" s="7"/>
      <c r="N7236" s="8"/>
      <c r="O7236" s="11"/>
      <c r="P7236" s="11"/>
      <c r="Q7236" s="8"/>
      <c r="R7236" s="6"/>
      <c r="S7236" s="3"/>
      <c r="T7236" s="3"/>
      <c r="U7236" s="7"/>
      <c r="V7236" s="436"/>
      <c r="W7236" s="6"/>
      <c r="X7236" s="58"/>
    </row>
    <row r="7237" spans="3:24">
      <c r="C7237" s="4"/>
      <c r="D7237" s="4"/>
      <c r="E7237" s="5"/>
      <c r="F7237" s="6"/>
      <c r="G7237" s="31"/>
      <c r="H7237" s="6"/>
      <c r="I7237" s="9"/>
      <c r="J7237" s="24"/>
      <c r="K7237" s="9"/>
      <c r="L7237" s="25"/>
      <c r="M7237" s="7"/>
      <c r="N7237" s="8"/>
      <c r="O7237" s="11"/>
      <c r="P7237" s="11"/>
      <c r="Q7237" s="8"/>
      <c r="R7237" s="6"/>
      <c r="S7237" s="3"/>
      <c r="T7237" s="3"/>
      <c r="U7237" s="7"/>
      <c r="V7237" s="436"/>
      <c r="W7237" s="6"/>
      <c r="X7237" s="58"/>
    </row>
    <row r="7238" spans="3:24">
      <c r="C7238" s="4"/>
      <c r="D7238" s="4"/>
      <c r="E7238" s="5"/>
      <c r="F7238" s="6"/>
      <c r="G7238" s="31"/>
      <c r="H7238" s="6"/>
      <c r="I7238" s="9"/>
      <c r="J7238" s="24"/>
      <c r="K7238" s="9"/>
      <c r="L7238" s="25"/>
      <c r="M7238" s="7"/>
      <c r="N7238" s="8"/>
      <c r="O7238" s="11"/>
      <c r="P7238" s="11"/>
      <c r="Q7238" s="8"/>
      <c r="R7238" s="6"/>
      <c r="S7238" s="3"/>
      <c r="T7238" s="3"/>
      <c r="U7238" s="7"/>
      <c r="V7238" s="436"/>
      <c r="W7238" s="6"/>
      <c r="X7238" s="58"/>
    </row>
    <row r="7239" spans="3:24">
      <c r="C7239" s="4"/>
      <c r="D7239" s="4"/>
      <c r="E7239" s="5"/>
      <c r="F7239" s="6"/>
      <c r="G7239" s="31"/>
      <c r="H7239" s="6"/>
      <c r="I7239" s="9"/>
      <c r="J7239" s="24"/>
      <c r="K7239" s="9"/>
      <c r="L7239" s="25"/>
      <c r="M7239" s="7"/>
      <c r="N7239" s="8"/>
      <c r="O7239" s="11"/>
      <c r="P7239" s="11"/>
      <c r="Q7239" s="8"/>
      <c r="R7239" s="6"/>
      <c r="S7239" s="3"/>
      <c r="T7239" s="3"/>
      <c r="U7239" s="7"/>
      <c r="V7239" s="436"/>
      <c r="W7239" s="6"/>
      <c r="X7239" s="58"/>
    </row>
    <row r="7240" spans="3:24">
      <c r="C7240" s="4"/>
      <c r="D7240" s="4"/>
      <c r="E7240" s="5"/>
      <c r="F7240" s="6"/>
      <c r="G7240" s="31"/>
      <c r="H7240" s="6"/>
      <c r="I7240" s="9"/>
      <c r="J7240" s="24"/>
      <c r="K7240" s="9"/>
      <c r="L7240" s="25"/>
      <c r="M7240" s="7"/>
      <c r="N7240" s="8"/>
      <c r="O7240" s="11"/>
      <c r="P7240" s="11"/>
      <c r="Q7240" s="8"/>
      <c r="R7240" s="6"/>
      <c r="S7240" s="3"/>
      <c r="T7240" s="3"/>
      <c r="U7240" s="7"/>
      <c r="V7240" s="436"/>
      <c r="W7240" s="6"/>
      <c r="X7240" s="58"/>
    </row>
    <row r="7241" spans="3:24">
      <c r="C7241" s="4"/>
      <c r="D7241" s="4"/>
      <c r="E7241" s="5"/>
      <c r="F7241" s="6"/>
      <c r="G7241" s="31"/>
      <c r="H7241" s="6"/>
      <c r="I7241" s="9"/>
      <c r="J7241" s="24"/>
      <c r="K7241" s="9"/>
      <c r="L7241" s="25"/>
      <c r="M7241" s="7"/>
      <c r="N7241" s="8"/>
      <c r="O7241" s="11"/>
      <c r="P7241" s="11"/>
      <c r="Q7241" s="8"/>
      <c r="R7241" s="6"/>
      <c r="S7241" s="3"/>
      <c r="T7241" s="3"/>
      <c r="U7241" s="7"/>
      <c r="V7241" s="436"/>
      <c r="W7241" s="6"/>
      <c r="X7241" s="58"/>
    </row>
    <row r="7242" spans="3:24">
      <c r="C7242" s="4"/>
      <c r="D7242" s="4"/>
      <c r="E7242" s="5"/>
      <c r="F7242" s="6"/>
      <c r="G7242" s="31"/>
      <c r="H7242" s="6"/>
      <c r="I7242" s="9"/>
      <c r="J7242" s="24"/>
      <c r="K7242" s="9"/>
      <c r="L7242" s="25"/>
      <c r="M7242" s="7"/>
      <c r="N7242" s="8"/>
      <c r="O7242" s="11"/>
      <c r="P7242" s="11"/>
      <c r="Q7242" s="8"/>
      <c r="R7242" s="6"/>
      <c r="S7242" s="3"/>
      <c r="T7242" s="3"/>
      <c r="U7242" s="7"/>
      <c r="V7242" s="436"/>
      <c r="W7242" s="6"/>
      <c r="X7242" s="58"/>
    </row>
    <row r="7243" spans="3:24">
      <c r="C7243" s="4"/>
      <c r="D7243" s="4"/>
      <c r="E7243" s="5"/>
      <c r="F7243" s="6"/>
      <c r="G7243" s="31"/>
      <c r="H7243" s="6"/>
      <c r="I7243" s="9"/>
      <c r="J7243" s="24"/>
      <c r="K7243" s="9"/>
      <c r="L7243" s="25"/>
      <c r="M7243" s="7"/>
      <c r="N7243" s="8"/>
      <c r="O7243" s="11"/>
      <c r="P7243" s="11"/>
      <c r="Q7243" s="8"/>
      <c r="R7243" s="6"/>
      <c r="S7243" s="3"/>
      <c r="T7243" s="3"/>
      <c r="U7243" s="7"/>
      <c r="V7243" s="436"/>
      <c r="W7243" s="6"/>
      <c r="X7243" s="58"/>
    </row>
    <row r="7244" spans="3:24">
      <c r="C7244" s="4"/>
      <c r="D7244" s="4"/>
      <c r="E7244" s="5"/>
      <c r="F7244" s="6"/>
      <c r="G7244" s="31"/>
      <c r="H7244" s="6"/>
      <c r="I7244" s="9"/>
      <c r="J7244" s="24"/>
      <c r="K7244" s="9"/>
      <c r="L7244" s="25"/>
      <c r="M7244" s="7"/>
      <c r="N7244" s="8"/>
      <c r="O7244" s="11"/>
      <c r="P7244" s="11"/>
      <c r="Q7244" s="8"/>
      <c r="R7244" s="6"/>
      <c r="S7244" s="3"/>
      <c r="T7244" s="3"/>
      <c r="U7244" s="7"/>
      <c r="V7244" s="436"/>
      <c r="W7244" s="6"/>
      <c r="X7244" s="58"/>
    </row>
    <row r="7245" spans="3:24">
      <c r="C7245" s="4"/>
      <c r="D7245" s="4"/>
      <c r="E7245" s="5"/>
      <c r="F7245" s="6"/>
      <c r="G7245" s="31"/>
      <c r="H7245" s="6"/>
      <c r="I7245" s="9"/>
      <c r="J7245" s="24"/>
      <c r="K7245" s="9"/>
      <c r="L7245" s="25"/>
      <c r="M7245" s="7"/>
      <c r="N7245" s="8"/>
      <c r="O7245" s="11"/>
      <c r="P7245" s="11"/>
      <c r="Q7245" s="8"/>
      <c r="R7245" s="6"/>
      <c r="S7245" s="3"/>
      <c r="T7245" s="3"/>
      <c r="U7245" s="7"/>
      <c r="V7245" s="436"/>
      <c r="W7245" s="6"/>
      <c r="X7245" s="58"/>
    </row>
    <row r="7246" spans="3:24">
      <c r="C7246" s="4"/>
      <c r="D7246" s="4"/>
      <c r="E7246" s="5"/>
      <c r="F7246" s="6"/>
      <c r="G7246" s="31"/>
      <c r="H7246" s="6"/>
      <c r="I7246" s="9"/>
      <c r="J7246" s="24"/>
      <c r="K7246" s="9"/>
      <c r="L7246" s="25"/>
      <c r="M7246" s="7"/>
      <c r="N7246" s="8"/>
      <c r="O7246" s="11"/>
      <c r="P7246" s="11"/>
      <c r="Q7246" s="8"/>
      <c r="R7246" s="6"/>
      <c r="S7246" s="3"/>
      <c r="T7246" s="3"/>
      <c r="U7246" s="7"/>
      <c r="V7246" s="436"/>
      <c r="W7246" s="6"/>
      <c r="X7246" s="58"/>
    </row>
    <row r="7247" spans="3:24">
      <c r="C7247" s="4"/>
      <c r="D7247" s="4"/>
      <c r="E7247" s="5"/>
      <c r="F7247" s="6"/>
      <c r="G7247" s="31"/>
      <c r="H7247" s="6"/>
      <c r="I7247" s="9"/>
      <c r="J7247" s="24"/>
      <c r="K7247" s="26"/>
      <c r="L7247" s="25"/>
      <c r="M7247" s="7"/>
      <c r="N7247" s="8"/>
      <c r="O7247" s="11"/>
      <c r="P7247" s="11"/>
      <c r="Q7247" s="8"/>
      <c r="R7247" s="6"/>
      <c r="S7247" s="3"/>
      <c r="T7247" s="3"/>
      <c r="U7247" s="7"/>
      <c r="V7247" s="436"/>
      <c r="W7247" s="6"/>
      <c r="X7247" s="58"/>
    </row>
    <row r="7248" spans="3:24">
      <c r="C7248" s="4"/>
      <c r="D7248" s="4"/>
      <c r="E7248" s="5"/>
      <c r="F7248" s="6"/>
      <c r="G7248" s="31"/>
      <c r="H7248" s="6"/>
      <c r="I7248" s="9"/>
      <c r="J7248" s="24"/>
      <c r="K7248" s="9"/>
      <c r="L7248" s="25"/>
      <c r="M7248" s="47"/>
      <c r="N7248" s="8"/>
      <c r="O7248" s="11"/>
      <c r="P7248" s="11"/>
      <c r="Q7248" s="8"/>
      <c r="R7248" s="6"/>
      <c r="S7248" s="3"/>
      <c r="T7248" s="3"/>
      <c r="U7248" s="7"/>
      <c r="V7248" s="436"/>
      <c r="W7248" s="6"/>
      <c r="X7248" s="58"/>
    </row>
    <row r="7249" spans="3:24">
      <c r="C7249" s="4"/>
      <c r="D7249" s="4"/>
      <c r="E7249" s="5"/>
      <c r="F7249" s="6"/>
      <c r="G7249" s="31"/>
      <c r="H7249" s="6"/>
      <c r="I7249" s="9"/>
      <c r="J7249" s="24"/>
      <c r="K7249" s="9"/>
      <c r="L7249" s="25"/>
      <c r="M7249" s="7"/>
      <c r="N7249" s="8"/>
      <c r="O7249" s="11"/>
      <c r="P7249" s="11"/>
      <c r="Q7249" s="8"/>
      <c r="R7249" s="6"/>
      <c r="S7249" s="3"/>
      <c r="T7249" s="3"/>
      <c r="U7249" s="7"/>
      <c r="V7249" s="436"/>
      <c r="W7249" s="6"/>
      <c r="X7249" s="58"/>
    </row>
    <row r="7250" spans="3:24">
      <c r="C7250" s="4"/>
      <c r="D7250" s="4"/>
      <c r="E7250" s="5"/>
      <c r="F7250" s="6"/>
      <c r="G7250" s="31"/>
      <c r="H7250" s="6"/>
      <c r="I7250" s="9"/>
      <c r="J7250" s="24"/>
      <c r="K7250" s="9"/>
      <c r="L7250" s="25"/>
      <c r="M7250" s="7"/>
      <c r="N7250" s="8"/>
      <c r="O7250" s="11"/>
      <c r="P7250" s="11"/>
      <c r="Q7250" s="8"/>
      <c r="R7250" s="6"/>
      <c r="S7250" s="3"/>
      <c r="T7250" s="3"/>
      <c r="U7250" s="7"/>
      <c r="V7250" s="436"/>
      <c r="W7250" s="6"/>
      <c r="X7250" s="58"/>
    </row>
    <row r="7251" spans="3:24">
      <c r="C7251" s="4"/>
      <c r="D7251" s="4"/>
      <c r="E7251" s="5"/>
      <c r="F7251" s="6"/>
      <c r="G7251" s="31"/>
      <c r="H7251" s="6"/>
      <c r="I7251" s="9"/>
      <c r="J7251" s="24"/>
      <c r="K7251" s="9"/>
      <c r="L7251" s="25"/>
      <c r="M7251" s="7"/>
      <c r="N7251" s="8"/>
      <c r="O7251" s="11"/>
      <c r="P7251" s="11"/>
      <c r="Q7251" s="8"/>
      <c r="R7251" s="6"/>
      <c r="S7251" s="3"/>
      <c r="T7251" s="3"/>
      <c r="U7251" s="7"/>
      <c r="V7251" s="436"/>
      <c r="W7251" s="6"/>
      <c r="X7251" s="58"/>
    </row>
    <row r="7252" spans="3:24">
      <c r="C7252" s="4"/>
      <c r="D7252" s="4"/>
      <c r="E7252" s="5"/>
      <c r="F7252" s="6"/>
      <c r="G7252" s="31"/>
      <c r="H7252" s="6"/>
      <c r="I7252" s="9"/>
      <c r="J7252" s="24"/>
      <c r="K7252" s="9"/>
      <c r="L7252" s="25"/>
      <c r="M7252" s="7"/>
      <c r="N7252" s="8"/>
      <c r="O7252" s="11"/>
      <c r="P7252" s="11"/>
      <c r="Q7252" s="8"/>
      <c r="R7252" s="6"/>
      <c r="S7252" s="3"/>
      <c r="T7252" s="3"/>
      <c r="U7252" s="7"/>
      <c r="V7252" s="436"/>
      <c r="W7252" s="6"/>
      <c r="X7252" s="58"/>
    </row>
    <row r="7253" spans="3:24">
      <c r="C7253" s="4"/>
      <c r="D7253" s="4"/>
      <c r="E7253" s="5"/>
      <c r="F7253" s="6"/>
      <c r="G7253" s="31"/>
      <c r="H7253" s="6"/>
      <c r="I7253" s="9"/>
      <c r="J7253" s="24"/>
      <c r="K7253" s="9"/>
      <c r="L7253" s="25"/>
      <c r="M7253" s="7"/>
      <c r="N7253" s="8"/>
      <c r="O7253" s="11"/>
      <c r="P7253" s="11"/>
      <c r="Q7253" s="8"/>
      <c r="R7253" s="6"/>
      <c r="S7253" s="3"/>
      <c r="T7253" s="3"/>
      <c r="U7253" s="7"/>
      <c r="V7253" s="436"/>
      <c r="W7253" s="6"/>
      <c r="X7253" s="58"/>
    </row>
    <row r="7254" spans="3:24">
      <c r="C7254" s="4"/>
      <c r="D7254" s="4"/>
      <c r="E7254" s="5"/>
      <c r="F7254" s="6"/>
      <c r="G7254" s="31"/>
      <c r="H7254" s="6"/>
      <c r="I7254" s="9"/>
      <c r="J7254" s="24"/>
      <c r="K7254" s="9"/>
      <c r="L7254" s="25"/>
      <c r="M7254" s="7"/>
      <c r="N7254" s="8"/>
      <c r="O7254" s="11"/>
      <c r="P7254" s="11"/>
      <c r="Q7254" s="8"/>
      <c r="R7254" s="6"/>
      <c r="S7254" s="3"/>
      <c r="T7254" s="3"/>
      <c r="U7254" s="7"/>
      <c r="V7254" s="436"/>
      <c r="W7254" s="6"/>
      <c r="X7254" s="58"/>
    </row>
    <row r="7255" spans="3:24">
      <c r="C7255" s="4"/>
      <c r="D7255" s="4"/>
      <c r="E7255" s="5"/>
      <c r="F7255" s="6"/>
      <c r="G7255" s="31"/>
      <c r="H7255" s="6"/>
      <c r="I7255" s="9"/>
      <c r="J7255" s="24"/>
      <c r="K7255" s="9"/>
      <c r="L7255" s="25"/>
      <c r="M7255" s="7"/>
      <c r="N7255" s="8"/>
      <c r="O7255" s="11"/>
      <c r="P7255" s="11"/>
      <c r="Q7255" s="8"/>
      <c r="R7255" s="6"/>
      <c r="S7255" s="3"/>
      <c r="T7255" s="3"/>
      <c r="U7255" s="7"/>
      <c r="V7255" s="436"/>
      <c r="W7255" s="6"/>
      <c r="X7255" s="58"/>
    </row>
    <row r="7256" spans="3:24">
      <c r="C7256" s="4"/>
      <c r="D7256" s="4"/>
      <c r="E7256" s="5"/>
      <c r="F7256" s="6"/>
      <c r="G7256" s="31"/>
      <c r="H7256" s="6"/>
      <c r="I7256" s="9"/>
      <c r="J7256" s="24"/>
      <c r="K7256" s="9"/>
      <c r="L7256" s="25"/>
      <c r="M7256" s="7"/>
      <c r="N7256" s="8"/>
      <c r="O7256" s="11"/>
      <c r="P7256" s="11"/>
      <c r="Q7256" s="8"/>
      <c r="R7256" s="6"/>
      <c r="S7256" s="3"/>
      <c r="T7256" s="3"/>
      <c r="U7256" s="7"/>
      <c r="V7256" s="436"/>
      <c r="W7256" s="6"/>
      <c r="X7256" s="58"/>
    </row>
    <row r="7257" spans="3:24">
      <c r="C7257" s="4"/>
      <c r="D7257" s="4"/>
      <c r="E7257" s="5"/>
      <c r="F7257" s="6"/>
      <c r="G7257" s="31"/>
      <c r="H7257" s="6"/>
      <c r="I7257" s="9"/>
      <c r="J7257" s="24"/>
      <c r="K7257" s="9"/>
      <c r="L7257" s="25"/>
      <c r="M7257" s="7"/>
      <c r="N7257" s="8"/>
      <c r="O7257" s="11"/>
      <c r="P7257" s="11"/>
      <c r="Q7257" s="8"/>
      <c r="R7257" s="6"/>
      <c r="S7257" s="3"/>
      <c r="T7257" s="3"/>
      <c r="U7257" s="7"/>
      <c r="V7257" s="436"/>
      <c r="W7257" s="6"/>
      <c r="X7257" s="58"/>
    </row>
    <row r="7258" spans="3:24">
      <c r="C7258" s="4"/>
      <c r="D7258" s="4"/>
      <c r="E7258" s="5"/>
      <c r="F7258" s="6"/>
      <c r="G7258" s="31"/>
      <c r="H7258" s="6"/>
      <c r="I7258" s="9"/>
      <c r="J7258" s="24"/>
      <c r="K7258" s="9"/>
      <c r="L7258" s="25"/>
      <c r="M7258" s="7"/>
      <c r="N7258" s="8"/>
      <c r="O7258" s="11"/>
      <c r="P7258" s="11"/>
      <c r="Q7258" s="8"/>
      <c r="R7258" s="6"/>
      <c r="S7258" s="3"/>
      <c r="T7258" s="3"/>
      <c r="U7258" s="7"/>
      <c r="V7258" s="436"/>
      <c r="W7258" s="6"/>
      <c r="X7258" s="58"/>
    </row>
    <row r="7259" spans="3:24">
      <c r="C7259" s="4"/>
      <c r="D7259" s="4"/>
      <c r="E7259" s="5"/>
      <c r="F7259" s="6"/>
      <c r="G7259" s="31"/>
      <c r="H7259" s="6"/>
      <c r="I7259" s="9"/>
      <c r="J7259" s="24"/>
      <c r="K7259" s="9"/>
      <c r="L7259" s="25"/>
      <c r="M7259" s="7"/>
      <c r="N7259" s="8"/>
      <c r="O7259" s="11"/>
      <c r="P7259" s="11"/>
      <c r="Q7259" s="8"/>
      <c r="R7259" s="6"/>
      <c r="S7259" s="3"/>
      <c r="T7259" s="3"/>
      <c r="U7259" s="7"/>
      <c r="V7259" s="436"/>
      <c r="W7259" s="6"/>
      <c r="X7259" s="58"/>
    </row>
    <row r="7260" spans="3:24">
      <c r="C7260" s="4"/>
      <c r="D7260" s="4"/>
      <c r="E7260" s="5"/>
      <c r="F7260" s="6"/>
      <c r="G7260" s="31"/>
      <c r="H7260" s="6"/>
      <c r="I7260" s="9"/>
      <c r="J7260" s="24"/>
      <c r="K7260" s="9"/>
      <c r="L7260" s="25"/>
      <c r="M7260" s="7"/>
      <c r="N7260" s="8"/>
      <c r="O7260" s="11"/>
      <c r="P7260" s="11"/>
      <c r="Q7260" s="8"/>
      <c r="R7260" s="6"/>
      <c r="S7260" s="3"/>
      <c r="T7260" s="3"/>
      <c r="U7260" s="7"/>
      <c r="V7260" s="436"/>
      <c r="W7260" s="6"/>
      <c r="X7260" s="58"/>
    </row>
    <row r="7261" spans="3:24">
      <c r="C7261" s="4"/>
      <c r="D7261" s="4"/>
      <c r="E7261" s="5"/>
      <c r="F7261" s="6"/>
      <c r="G7261" s="31"/>
      <c r="H7261" s="6"/>
      <c r="I7261" s="9"/>
      <c r="J7261" s="24"/>
      <c r="K7261" s="9"/>
      <c r="L7261" s="25"/>
      <c r="M7261" s="7"/>
      <c r="N7261" s="8"/>
      <c r="O7261" s="11"/>
      <c r="P7261" s="11"/>
      <c r="Q7261" s="8"/>
      <c r="R7261" s="6"/>
      <c r="S7261" s="3"/>
      <c r="T7261" s="3"/>
      <c r="U7261" s="7"/>
      <c r="V7261" s="436"/>
      <c r="W7261" s="6"/>
      <c r="X7261" s="58"/>
    </row>
    <row r="7262" spans="3:24">
      <c r="C7262" s="4"/>
      <c r="D7262" s="4"/>
      <c r="E7262" s="5"/>
      <c r="F7262" s="6"/>
      <c r="G7262" s="31"/>
      <c r="H7262" s="6"/>
      <c r="I7262" s="9"/>
      <c r="J7262" s="24"/>
      <c r="K7262" s="9"/>
      <c r="L7262" s="25"/>
      <c r="M7262" s="7"/>
      <c r="N7262" s="8"/>
      <c r="O7262" s="11"/>
      <c r="P7262" s="11"/>
      <c r="Q7262" s="8"/>
      <c r="R7262" s="6"/>
      <c r="S7262" s="3"/>
      <c r="T7262" s="3"/>
      <c r="U7262" s="7"/>
      <c r="V7262" s="436"/>
      <c r="W7262" s="6"/>
      <c r="X7262" s="58"/>
    </row>
    <row r="7263" spans="3:24">
      <c r="C7263" s="4"/>
      <c r="D7263" s="4"/>
      <c r="E7263" s="5"/>
      <c r="F7263" s="6"/>
      <c r="G7263" s="31"/>
      <c r="H7263" s="6"/>
      <c r="I7263" s="9"/>
      <c r="J7263" s="24"/>
      <c r="K7263" s="9"/>
      <c r="L7263" s="25"/>
      <c r="M7263" s="7"/>
      <c r="N7263" s="8"/>
      <c r="O7263" s="11"/>
      <c r="P7263" s="11"/>
      <c r="Q7263" s="8"/>
      <c r="R7263" s="6"/>
      <c r="S7263" s="3"/>
      <c r="T7263" s="3"/>
      <c r="U7263" s="7"/>
      <c r="V7263" s="436"/>
      <c r="W7263" s="6"/>
      <c r="X7263" s="58"/>
    </row>
    <row r="7264" spans="3:24">
      <c r="C7264" s="4"/>
      <c r="D7264" s="4"/>
      <c r="E7264" s="5"/>
      <c r="F7264" s="6"/>
      <c r="G7264" s="31"/>
      <c r="H7264" s="6"/>
      <c r="I7264" s="9"/>
      <c r="J7264" s="24"/>
      <c r="K7264" s="9"/>
      <c r="L7264" s="25"/>
      <c r="M7264" s="7"/>
      <c r="N7264" s="8"/>
      <c r="O7264" s="11"/>
      <c r="P7264" s="11"/>
      <c r="Q7264" s="8"/>
      <c r="R7264" s="6"/>
      <c r="S7264" s="3"/>
      <c r="T7264" s="3"/>
      <c r="U7264" s="7"/>
      <c r="V7264" s="436"/>
      <c r="W7264" s="6"/>
      <c r="X7264" s="58"/>
    </row>
    <row r="7265" spans="3:24">
      <c r="C7265" s="4"/>
      <c r="D7265" s="4"/>
      <c r="E7265" s="5"/>
      <c r="F7265" s="6"/>
      <c r="G7265" s="31"/>
      <c r="H7265" s="6"/>
      <c r="I7265" s="9"/>
      <c r="J7265" s="24"/>
      <c r="K7265" s="9"/>
      <c r="L7265" s="25"/>
      <c r="M7265" s="7"/>
      <c r="N7265" s="8"/>
      <c r="O7265" s="11"/>
      <c r="P7265" s="11"/>
      <c r="Q7265" s="8"/>
      <c r="R7265" s="6"/>
      <c r="S7265" s="3"/>
      <c r="T7265" s="3"/>
      <c r="U7265" s="7"/>
      <c r="V7265" s="436"/>
      <c r="W7265" s="6"/>
      <c r="X7265" s="58"/>
    </row>
    <row r="7266" spans="3:24">
      <c r="C7266" s="4"/>
      <c r="D7266" s="4"/>
      <c r="E7266" s="5"/>
      <c r="F7266" s="6"/>
      <c r="G7266" s="31"/>
      <c r="H7266" s="6"/>
      <c r="I7266" s="9"/>
      <c r="J7266" s="24"/>
      <c r="K7266" s="9"/>
      <c r="L7266" s="25"/>
      <c r="M7266" s="7"/>
      <c r="N7266" s="8"/>
      <c r="O7266" s="11"/>
      <c r="P7266" s="11"/>
      <c r="Q7266" s="8"/>
      <c r="R7266" s="6"/>
      <c r="S7266" s="3"/>
      <c r="T7266" s="3"/>
      <c r="U7266" s="7"/>
      <c r="V7266" s="436"/>
      <c r="W7266" s="6"/>
      <c r="X7266" s="58"/>
    </row>
    <row r="7267" spans="3:24">
      <c r="C7267" s="4"/>
      <c r="D7267" s="4"/>
      <c r="E7267" s="5"/>
      <c r="F7267" s="6"/>
      <c r="G7267" s="31"/>
      <c r="H7267" s="6"/>
      <c r="I7267" s="9"/>
      <c r="J7267" s="24"/>
      <c r="K7267" s="9"/>
      <c r="L7267" s="25"/>
      <c r="M7267" s="7"/>
      <c r="N7267" s="8"/>
      <c r="O7267" s="11"/>
      <c r="P7267" s="11"/>
      <c r="Q7267" s="8"/>
      <c r="R7267" s="6"/>
      <c r="S7267" s="3"/>
      <c r="T7267" s="3"/>
      <c r="U7267" s="7"/>
      <c r="V7267" s="436"/>
      <c r="W7267" s="6"/>
      <c r="X7267" s="58"/>
    </row>
    <row r="7268" spans="3:24">
      <c r="C7268" s="4"/>
      <c r="D7268" s="4"/>
      <c r="E7268" s="5"/>
      <c r="F7268" s="6"/>
      <c r="G7268" s="31"/>
      <c r="H7268" s="6"/>
      <c r="I7268" s="9"/>
      <c r="J7268" s="24"/>
      <c r="K7268" s="9"/>
      <c r="L7268" s="25"/>
      <c r="M7268" s="7"/>
      <c r="N7268" s="8"/>
      <c r="O7268" s="11"/>
      <c r="P7268" s="11"/>
      <c r="Q7268" s="8"/>
      <c r="R7268" s="6"/>
      <c r="S7268" s="3"/>
      <c r="T7268" s="3"/>
      <c r="U7268" s="7"/>
      <c r="V7268" s="436"/>
      <c r="W7268" s="6"/>
      <c r="X7268" s="58"/>
    </row>
    <row r="7269" spans="3:24">
      <c r="C7269" s="4"/>
      <c r="D7269" s="4"/>
      <c r="E7269" s="5"/>
      <c r="F7269" s="6"/>
      <c r="G7269" s="31"/>
      <c r="H7269" s="6"/>
      <c r="I7269" s="9"/>
      <c r="J7269" s="24"/>
      <c r="K7269" s="9"/>
      <c r="L7269" s="25"/>
      <c r="M7269" s="7"/>
      <c r="N7269" s="8"/>
      <c r="O7269" s="11"/>
      <c r="P7269" s="11"/>
      <c r="Q7269" s="8"/>
      <c r="R7269" s="6"/>
      <c r="S7269" s="3"/>
      <c r="T7269" s="3"/>
      <c r="U7269" s="7"/>
      <c r="V7269" s="436"/>
      <c r="W7269" s="6"/>
      <c r="X7269" s="58"/>
    </row>
    <row r="7270" spans="3:24">
      <c r="C7270" s="4"/>
      <c r="D7270" s="4"/>
      <c r="E7270" s="5"/>
      <c r="F7270" s="6"/>
      <c r="G7270" s="31"/>
      <c r="H7270" s="6"/>
      <c r="I7270" s="9"/>
      <c r="J7270" s="24"/>
      <c r="K7270" s="9"/>
      <c r="L7270" s="25"/>
      <c r="M7270" s="7"/>
      <c r="N7270" s="8"/>
      <c r="O7270" s="11"/>
      <c r="P7270" s="11"/>
      <c r="Q7270" s="8"/>
      <c r="R7270" s="6"/>
      <c r="S7270" s="3"/>
      <c r="T7270" s="3"/>
      <c r="U7270" s="7"/>
      <c r="V7270" s="436"/>
      <c r="W7270" s="6"/>
      <c r="X7270" s="58"/>
    </row>
    <row r="7271" spans="3:24">
      <c r="C7271" s="4"/>
      <c r="D7271" s="4"/>
      <c r="E7271" s="5"/>
      <c r="F7271" s="6"/>
      <c r="G7271" s="31"/>
      <c r="H7271" s="6"/>
      <c r="I7271" s="9"/>
      <c r="J7271" s="24"/>
      <c r="K7271" s="9"/>
      <c r="L7271" s="25"/>
      <c r="M7271" s="7"/>
      <c r="N7271" s="8"/>
      <c r="O7271" s="11"/>
      <c r="P7271" s="11"/>
      <c r="Q7271" s="8"/>
      <c r="R7271" s="6"/>
      <c r="S7271" s="3"/>
      <c r="T7271" s="3"/>
      <c r="U7271" s="7"/>
      <c r="V7271" s="436"/>
      <c r="W7271" s="6"/>
      <c r="X7271" s="58"/>
    </row>
    <row r="7272" spans="3:24">
      <c r="C7272" s="4"/>
      <c r="D7272" s="4"/>
      <c r="E7272" s="5"/>
      <c r="F7272" s="6"/>
      <c r="G7272" s="31"/>
      <c r="H7272" s="6"/>
      <c r="I7272" s="9"/>
      <c r="J7272" s="24"/>
      <c r="K7272" s="9"/>
      <c r="L7272" s="25"/>
      <c r="M7272" s="7"/>
      <c r="N7272" s="8"/>
      <c r="O7272" s="11"/>
      <c r="P7272" s="11"/>
      <c r="Q7272" s="8"/>
      <c r="R7272" s="6"/>
      <c r="S7272" s="3"/>
      <c r="T7272" s="3"/>
      <c r="U7272" s="7"/>
      <c r="V7272" s="436"/>
      <c r="W7272" s="6"/>
      <c r="X7272" s="58"/>
    </row>
    <row r="7273" spans="3:24">
      <c r="C7273" s="4"/>
      <c r="D7273" s="4"/>
      <c r="E7273" s="5"/>
      <c r="F7273" s="6"/>
      <c r="G7273" s="31"/>
      <c r="H7273" s="6"/>
      <c r="I7273" s="9"/>
      <c r="J7273" s="24"/>
      <c r="K7273" s="9"/>
      <c r="L7273" s="25"/>
      <c r="M7273" s="7"/>
      <c r="N7273" s="8"/>
      <c r="O7273" s="11"/>
      <c r="P7273" s="11"/>
      <c r="Q7273" s="8"/>
      <c r="R7273" s="6"/>
      <c r="S7273" s="3"/>
      <c r="T7273" s="3"/>
      <c r="U7273" s="7"/>
      <c r="V7273" s="436"/>
      <c r="W7273" s="6"/>
      <c r="X7273" s="58"/>
    </row>
    <row r="7274" spans="3:24">
      <c r="C7274" s="4"/>
      <c r="D7274" s="4"/>
      <c r="E7274" s="5"/>
      <c r="F7274" s="6"/>
      <c r="G7274" s="31"/>
      <c r="H7274" s="6"/>
      <c r="I7274" s="9"/>
      <c r="J7274" s="24"/>
      <c r="K7274" s="9"/>
      <c r="L7274" s="25"/>
      <c r="M7274" s="7"/>
      <c r="N7274" s="8"/>
      <c r="O7274" s="11"/>
      <c r="P7274" s="11"/>
      <c r="Q7274" s="8"/>
      <c r="R7274" s="6"/>
      <c r="S7274" s="3"/>
      <c r="T7274" s="3"/>
      <c r="U7274" s="7"/>
      <c r="V7274" s="436"/>
      <c r="W7274" s="6"/>
      <c r="X7274" s="58"/>
    </row>
    <row r="7275" spans="3:24">
      <c r="C7275" s="4"/>
      <c r="D7275" s="4"/>
      <c r="E7275" s="5"/>
      <c r="F7275" s="6"/>
      <c r="G7275" s="31"/>
      <c r="H7275" s="6"/>
      <c r="I7275" s="9"/>
      <c r="J7275" s="24"/>
      <c r="K7275" s="9"/>
      <c r="L7275" s="25"/>
      <c r="M7275" s="7"/>
      <c r="N7275" s="8"/>
      <c r="O7275" s="11"/>
      <c r="P7275" s="11"/>
      <c r="Q7275" s="8"/>
      <c r="R7275" s="6"/>
      <c r="S7275" s="3"/>
      <c r="T7275" s="3"/>
      <c r="U7275" s="7"/>
      <c r="V7275" s="436"/>
      <c r="W7275" s="6"/>
      <c r="X7275" s="58"/>
    </row>
    <row r="7276" spans="3:24">
      <c r="C7276" s="4"/>
      <c r="D7276" s="4"/>
      <c r="E7276" s="5"/>
      <c r="F7276" s="6"/>
      <c r="G7276" s="31"/>
      <c r="H7276" s="6"/>
      <c r="I7276" s="9"/>
      <c r="J7276" s="24"/>
      <c r="K7276" s="9"/>
      <c r="L7276" s="25"/>
      <c r="M7276" s="7"/>
      <c r="N7276" s="8"/>
      <c r="O7276" s="11"/>
      <c r="P7276" s="11"/>
      <c r="Q7276" s="8"/>
      <c r="R7276" s="6"/>
      <c r="S7276" s="3"/>
      <c r="T7276" s="3"/>
      <c r="U7276" s="7"/>
      <c r="V7276" s="436"/>
      <c r="W7276" s="6"/>
      <c r="X7276" s="58"/>
    </row>
    <row r="7277" spans="3:24">
      <c r="C7277" s="4"/>
      <c r="D7277" s="4"/>
      <c r="E7277" s="5"/>
      <c r="F7277" s="6"/>
      <c r="G7277" s="31"/>
      <c r="H7277" s="6"/>
      <c r="I7277" s="9"/>
      <c r="J7277" s="24"/>
      <c r="K7277" s="9"/>
      <c r="L7277" s="25"/>
      <c r="M7277" s="7"/>
      <c r="N7277" s="8"/>
      <c r="O7277" s="11"/>
      <c r="P7277" s="11"/>
      <c r="Q7277" s="8"/>
      <c r="R7277" s="6"/>
      <c r="S7277" s="3"/>
      <c r="T7277" s="3"/>
      <c r="U7277" s="7"/>
      <c r="V7277" s="436"/>
      <c r="W7277" s="6"/>
      <c r="X7277" s="58"/>
    </row>
    <row r="7278" spans="3:24">
      <c r="C7278" s="4"/>
      <c r="D7278" s="4"/>
      <c r="E7278" s="5"/>
      <c r="F7278" s="6"/>
      <c r="G7278" s="31"/>
      <c r="H7278" s="6"/>
      <c r="I7278" s="9"/>
      <c r="J7278" s="24"/>
      <c r="K7278" s="9"/>
      <c r="L7278" s="25"/>
      <c r="M7278" s="7"/>
      <c r="N7278" s="8"/>
      <c r="O7278" s="11"/>
      <c r="P7278" s="11"/>
      <c r="Q7278" s="8"/>
      <c r="R7278" s="6"/>
      <c r="S7278" s="3"/>
      <c r="T7278" s="3"/>
      <c r="U7278" s="7"/>
      <c r="V7278" s="436"/>
      <c r="W7278" s="6"/>
      <c r="X7278" s="58"/>
    </row>
    <row r="7279" spans="3:24">
      <c r="C7279" s="4"/>
      <c r="D7279" s="4"/>
      <c r="E7279" s="29"/>
      <c r="F7279" s="6"/>
      <c r="G7279" s="31"/>
      <c r="H7279" s="6"/>
      <c r="I7279" s="9"/>
      <c r="J7279" s="24"/>
      <c r="K7279" s="9"/>
      <c r="L7279" s="25"/>
      <c r="M7279" s="7"/>
      <c r="N7279" s="8"/>
      <c r="O7279" s="11"/>
      <c r="P7279" s="11"/>
      <c r="Q7279" s="8"/>
      <c r="R7279" s="6"/>
      <c r="S7279" s="3"/>
      <c r="T7279" s="3"/>
      <c r="U7279" s="7"/>
      <c r="V7279" s="436"/>
      <c r="W7279" s="6"/>
      <c r="X7279" s="58"/>
    </row>
    <row r="7280" spans="3:24">
      <c r="C7280" s="4"/>
      <c r="D7280" s="4"/>
      <c r="E7280" s="5"/>
      <c r="F7280" s="6"/>
      <c r="G7280" s="31"/>
      <c r="H7280" s="6"/>
      <c r="I7280" s="9"/>
      <c r="J7280" s="24"/>
      <c r="K7280" s="9"/>
      <c r="L7280" s="25"/>
      <c r="M7280" s="7"/>
      <c r="N7280" s="8"/>
      <c r="O7280" s="11"/>
      <c r="P7280" s="11"/>
      <c r="Q7280" s="8"/>
      <c r="R7280" s="6"/>
      <c r="S7280" s="3"/>
      <c r="T7280" s="3"/>
      <c r="U7280" s="7"/>
      <c r="V7280" s="436"/>
      <c r="W7280" s="6"/>
      <c r="X7280" s="58"/>
    </row>
    <row r="7281" spans="3:24">
      <c r="C7281" s="4"/>
      <c r="D7281" s="4"/>
      <c r="E7281" s="5"/>
      <c r="F7281" s="6"/>
      <c r="G7281" s="31"/>
      <c r="H7281" s="6"/>
      <c r="I7281" s="9"/>
      <c r="J7281" s="24"/>
      <c r="K7281" s="9"/>
      <c r="L7281" s="25"/>
      <c r="M7281" s="7"/>
      <c r="N7281" s="8"/>
      <c r="O7281" s="11"/>
      <c r="P7281" s="11"/>
      <c r="Q7281" s="8"/>
      <c r="R7281" s="6"/>
      <c r="S7281" s="3"/>
      <c r="T7281" s="3"/>
      <c r="U7281" s="7"/>
      <c r="V7281" s="436"/>
      <c r="W7281" s="6"/>
      <c r="X7281" s="58"/>
    </row>
    <row r="7282" spans="3:24">
      <c r="C7282" s="4"/>
      <c r="D7282" s="4"/>
      <c r="E7282" s="5"/>
      <c r="F7282" s="6"/>
      <c r="G7282" s="31"/>
      <c r="H7282" s="6"/>
      <c r="I7282" s="9"/>
      <c r="J7282" s="24"/>
      <c r="K7282" s="9"/>
      <c r="L7282" s="25"/>
      <c r="M7282" s="7"/>
      <c r="N7282" s="8"/>
      <c r="O7282" s="11"/>
      <c r="P7282" s="11"/>
      <c r="Q7282" s="8"/>
      <c r="R7282" s="6"/>
      <c r="S7282" s="3"/>
      <c r="T7282" s="3"/>
      <c r="U7282" s="7"/>
      <c r="V7282" s="436"/>
      <c r="W7282" s="6"/>
      <c r="X7282" s="58"/>
    </row>
    <row r="7283" spans="3:24">
      <c r="C7283" s="4"/>
      <c r="D7283" s="4"/>
      <c r="E7283" s="5"/>
      <c r="F7283" s="6"/>
      <c r="G7283" s="31"/>
      <c r="H7283" s="6"/>
      <c r="I7283" s="9"/>
      <c r="J7283" s="24"/>
      <c r="K7283" s="9"/>
      <c r="L7283" s="25"/>
      <c r="M7283" s="7"/>
      <c r="N7283" s="8"/>
      <c r="O7283" s="11"/>
      <c r="P7283" s="11"/>
      <c r="Q7283" s="8"/>
      <c r="R7283" s="6"/>
      <c r="S7283" s="3"/>
      <c r="T7283" s="3"/>
      <c r="U7283" s="7"/>
      <c r="V7283" s="436"/>
      <c r="W7283" s="6"/>
      <c r="X7283" s="58"/>
    </row>
    <row r="7284" spans="3:24">
      <c r="C7284" s="4"/>
      <c r="D7284" s="4"/>
      <c r="E7284" s="5"/>
      <c r="F7284" s="6"/>
      <c r="G7284" s="31"/>
      <c r="H7284" s="6"/>
      <c r="I7284" s="9"/>
      <c r="J7284" s="24"/>
      <c r="K7284" s="9"/>
      <c r="L7284" s="25"/>
      <c r="M7284" s="7"/>
      <c r="N7284" s="8"/>
      <c r="O7284" s="11"/>
      <c r="P7284" s="11"/>
      <c r="Q7284" s="8"/>
      <c r="R7284" s="6"/>
      <c r="S7284" s="3"/>
      <c r="T7284" s="3"/>
      <c r="U7284" s="7"/>
      <c r="V7284" s="436"/>
      <c r="W7284" s="6"/>
      <c r="X7284" s="58"/>
    </row>
    <row r="7285" spans="3:24">
      <c r="C7285" s="4"/>
      <c r="D7285" s="4"/>
      <c r="E7285" s="5"/>
      <c r="F7285" s="6"/>
      <c r="G7285" s="31"/>
      <c r="H7285" s="6"/>
      <c r="I7285" s="9"/>
      <c r="J7285" s="24"/>
      <c r="K7285" s="9"/>
      <c r="L7285" s="25"/>
      <c r="M7285" s="7"/>
      <c r="N7285" s="8"/>
      <c r="O7285" s="11"/>
      <c r="P7285" s="11"/>
      <c r="Q7285" s="8"/>
      <c r="R7285" s="6"/>
      <c r="S7285" s="3"/>
      <c r="T7285" s="3"/>
      <c r="U7285" s="7"/>
      <c r="V7285" s="436"/>
      <c r="W7285" s="6"/>
      <c r="X7285" s="58"/>
    </row>
    <row r="7286" spans="3:24">
      <c r="C7286" s="4"/>
      <c r="D7286" s="4"/>
      <c r="E7286" s="5"/>
      <c r="F7286" s="6"/>
      <c r="G7286" s="31"/>
      <c r="H7286" s="6"/>
      <c r="I7286" s="9"/>
      <c r="J7286" s="24"/>
      <c r="K7286" s="9"/>
      <c r="L7286" s="25"/>
      <c r="M7286" s="7"/>
      <c r="N7286" s="8"/>
      <c r="O7286" s="11"/>
      <c r="P7286" s="11"/>
      <c r="Q7286" s="8"/>
      <c r="R7286" s="6"/>
      <c r="S7286" s="3"/>
      <c r="T7286" s="3"/>
      <c r="U7286" s="7"/>
      <c r="V7286" s="436"/>
      <c r="W7286" s="6"/>
      <c r="X7286" s="58"/>
    </row>
    <row r="7287" spans="3:24">
      <c r="C7287" s="4"/>
      <c r="D7287" s="4"/>
      <c r="E7287" s="5"/>
      <c r="F7287" s="6"/>
      <c r="G7287" s="31"/>
      <c r="H7287" s="6"/>
      <c r="I7287" s="9"/>
      <c r="J7287" s="24"/>
      <c r="K7287" s="9"/>
      <c r="L7287" s="25"/>
      <c r="M7287" s="7"/>
      <c r="N7287" s="8"/>
      <c r="O7287" s="11"/>
      <c r="P7287" s="11"/>
      <c r="Q7287" s="8"/>
      <c r="R7287" s="6"/>
      <c r="S7287" s="3"/>
      <c r="T7287" s="3"/>
      <c r="U7287" s="7"/>
      <c r="V7287" s="436"/>
      <c r="W7287" s="6"/>
      <c r="X7287" s="58"/>
    </row>
    <row r="7288" spans="3:24">
      <c r="C7288" s="4"/>
      <c r="D7288" s="4"/>
      <c r="E7288" s="5"/>
      <c r="F7288" s="6"/>
      <c r="G7288" s="31"/>
      <c r="H7288" s="6"/>
      <c r="I7288" s="9"/>
      <c r="J7288" s="24"/>
      <c r="K7288" s="9"/>
      <c r="L7288" s="25"/>
      <c r="M7288" s="7"/>
      <c r="N7288" s="8"/>
      <c r="O7288" s="11"/>
      <c r="P7288" s="11"/>
      <c r="Q7288" s="8"/>
      <c r="R7288" s="6"/>
      <c r="S7288" s="3"/>
      <c r="T7288" s="3"/>
      <c r="U7288" s="7"/>
      <c r="V7288" s="436"/>
      <c r="W7288" s="6"/>
      <c r="X7288" s="58"/>
    </row>
    <row r="7289" spans="3:24">
      <c r="C7289" s="4"/>
      <c r="D7289" s="4"/>
      <c r="E7289" s="5"/>
      <c r="F7289" s="6"/>
      <c r="G7289" s="31"/>
      <c r="H7289" s="6"/>
      <c r="I7289" s="9"/>
      <c r="J7289" s="24"/>
      <c r="K7289" s="9"/>
      <c r="L7289" s="25"/>
      <c r="M7289" s="7"/>
      <c r="N7289" s="8"/>
      <c r="O7289" s="11"/>
      <c r="P7289" s="11"/>
      <c r="Q7289" s="8"/>
      <c r="R7289" s="6"/>
      <c r="S7289" s="3"/>
      <c r="T7289" s="3"/>
      <c r="U7289" s="7"/>
      <c r="V7289" s="436"/>
      <c r="W7289" s="6"/>
      <c r="X7289" s="58"/>
    </row>
    <row r="7290" spans="3:24">
      <c r="C7290" s="4"/>
      <c r="D7290" s="4"/>
      <c r="E7290" s="5"/>
      <c r="F7290" s="6"/>
      <c r="G7290" s="31"/>
      <c r="H7290" s="6"/>
      <c r="I7290" s="9"/>
      <c r="J7290" s="24"/>
      <c r="K7290" s="9"/>
      <c r="L7290" s="25"/>
      <c r="M7290" s="7"/>
      <c r="N7290" s="8"/>
      <c r="O7290" s="11"/>
      <c r="P7290" s="11"/>
      <c r="Q7290" s="8"/>
      <c r="R7290" s="6"/>
      <c r="S7290" s="3"/>
      <c r="T7290" s="3"/>
      <c r="U7290" s="7"/>
      <c r="V7290" s="436"/>
      <c r="W7290" s="6"/>
      <c r="X7290" s="58"/>
    </row>
    <row r="7291" spans="3:24">
      <c r="C7291" s="4"/>
      <c r="D7291" s="4"/>
      <c r="E7291" s="5"/>
      <c r="F7291" s="6"/>
      <c r="G7291" s="31"/>
      <c r="H7291" s="6"/>
      <c r="I7291" s="9"/>
      <c r="J7291" s="24"/>
      <c r="K7291" s="9"/>
      <c r="L7291" s="25"/>
      <c r="M7291" s="7"/>
      <c r="N7291" s="8"/>
      <c r="O7291" s="11"/>
      <c r="P7291" s="11"/>
      <c r="Q7291" s="8"/>
      <c r="R7291" s="6"/>
      <c r="S7291" s="3"/>
      <c r="T7291" s="3"/>
      <c r="U7291" s="7"/>
      <c r="V7291" s="436"/>
      <c r="W7291" s="6"/>
      <c r="X7291" s="58"/>
    </row>
    <row r="7292" spans="3:24">
      <c r="C7292" s="4"/>
      <c r="D7292" s="4"/>
      <c r="E7292" s="5"/>
      <c r="F7292" s="6"/>
      <c r="G7292" s="31"/>
      <c r="H7292" s="6"/>
      <c r="I7292" s="9"/>
      <c r="J7292" s="24"/>
      <c r="K7292" s="9"/>
      <c r="L7292" s="25"/>
      <c r="M7292" s="7"/>
      <c r="N7292" s="8"/>
      <c r="O7292" s="11"/>
      <c r="P7292" s="11"/>
      <c r="Q7292" s="8"/>
      <c r="R7292" s="6"/>
      <c r="S7292" s="3"/>
      <c r="T7292" s="3"/>
      <c r="U7292" s="7"/>
      <c r="V7292" s="436"/>
      <c r="W7292" s="6"/>
      <c r="X7292" s="58"/>
    </row>
    <row r="7293" spans="3:24">
      <c r="C7293" s="4"/>
      <c r="D7293" s="4"/>
      <c r="E7293" s="5"/>
      <c r="F7293" s="6"/>
      <c r="G7293" s="31"/>
      <c r="H7293" s="6"/>
      <c r="I7293" s="9"/>
      <c r="J7293" s="24"/>
      <c r="K7293" s="9"/>
      <c r="L7293" s="25"/>
      <c r="M7293" s="7"/>
      <c r="N7293" s="8"/>
      <c r="O7293" s="11"/>
      <c r="P7293" s="11"/>
      <c r="Q7293" s="8"/>
      <c r="R7293" s="6"/>
      <c r="S7293" s="3"/>
      <c r="T7293" s="3"/>
      <c r="U7293" s="7"/>
      <c r="V7293" s="436"/>
      <c r="W7293" s="6"/>
      <c r="X7293" s="58"/>
    </row>
    <row r="7294" spans="3:24">
      <c r="C7294" s="4"/>
      <c r="D7294" s="4"/>
      <c r="E7294" s="5"/>
      <c r="F7294" s="6"/>
      <c r="G7294" s="31"/>
      <c r="H7294" s="6"/>
      <c r="I7294" s="9"/>
      <c r="J7294" s="24"/>
      <c r="K7294" s="9"/>
      <c r="L7294" s="25"/>
      <c r="M7294" s="7"/>
      <c r="N7294" s="8"/>
      <c r="O7294" s="11"/>
      <c r="P7294" s="11"/>
      <c r="Q7294" s="8"/>
      <c r="R7294" s="6"/>
      <c r="S7294" s="3"/>
      <c r="T7294" s="3"/>
      <c r="U7294" s="7"/>
      <c r="V7294" s="436"/>
      <c r="W7294" s="6"/>
      <c r="X7294" s="58"/>
    </row>
    <row r="7295" spans="3:24">
      <c r="C7295" s="4"/>
      <c r="D7295" s="4"/>
      <c r="E7295" s="5"/>
      <c r="F7295" s="6"/>
      <c r="G7295" s="31"/>
      <c r="H7295" s="6"/>
      <c r="I7295" s="9"/>
      <c r="J7295" s="24"/>
      <c r="K7295" s="9"/>
      <c r="L7295" s="25"/>
      <c r="M7295" s="7"/>
      <c r="N7295" s="8"/>
      <c r="O7295" s="11"/>
      <c r="P7295" s="11"/>
      <c r="Q7295" s="8"/>
      <c r="R7295" s="6"/>
      <c r="S7295" s="3"/>
      <c r="T7295" s="3"/>
      <c r="U7295" s="7"/>
      <c r="V7295" s="436"/>
      <c r="W7295" s="6"/>
      <c r="X7295" s="58"/>
    </row>
    <row r="7296" spans="3:24">
      <c r="C7296" s="4"/>
      <c r="D7296" s="4"/>
      <c r="E7296" s="5"/>
      <c r="F7296" s="6"/>
      <c r="G7296" s="31"/>
      <c r="H7296" s="6"/>
      <c r="I7296" s="9"/>
      <c r="J7296" s="24"/>
      <c r="K7296" s="9"/>
      <c r="L7296" s="25"/>
      <c r="M7296" s="7"/>
      <c r="N7296" s="8"/>
      <c r="O7296" s="11"/>
      <c r="P7296" s="11"/>
      <c r="Q7296" s="8"/>
      <c r="R7296" s="6"/>
      <c r="S7296" s="3"/>
      <c r="T7296" s="3"/>
      <c r="U7296" s="7"/>
      <c r="V7296" s="436"/>
      <c r="W7296" s="6"/>
      <c r="X7296" s="58"/>
    </row>
    <row r="7297" spans="3:24">
      <c r="C7297" s="4"/>
      <c r="D7297" s="4"/>
      <c r="E7297" s="5"/>
      <c r="F7297" s="6"/>
      <c r="G7297" s="31"/>
      <c r="H7297" s="6"/>
      <c r="I7297" s="9"/>
      <c r="J7297" s="24"/>
      <c r="K7297" s="9"/>
      <c r="L7297" s="25"/>
      <c r="M7297" s="7"/>
      <c r="N7297" s="8"/>
      <c r="O7297" s="11"/>
      <c r="P7297" s="11"/>
      <c r="Q7297" s="8"/>
      <c r="R7297" s="6"/>
      <c r="S7297" s="3"/>
      <c r="T7297" s="3"/>
      <c r="U7297" s="7"/>
      <c r="V7297" s="436"/>
      <c r="W7297" s="6"/>
      <c r="X7297" s="58"/>
    </row>
    <row r="7298" spans="3:24">
      <c r="C7298" s="4"/>
      <c r="D7298" s="4"/>
      <c r="E7298" s="5"/>
      <c r="F7298" s="6"/>
      <c r="G7298" s="31"/>
      <c r="H7298" s="6"/>
      <c r="I7298" s="9"/>
      <c r="J7298" s="24"/>
      <c r="K7298" s="9"/>
      <c r="L7298" s="25"/>
      <c r="M7298" s="7"/>
      <c r="N7298" s="8"/>
      <c r="O7298" s="11"/>
      <c r="P7298" s="11"/>
      <c r="Q7298" s="8"/>
      <c r="R7298" s="6"/>
      <c r="S7298" s="3"/>
      <c r="T7298" s="3"/>
      <c r="U7298" s="7"/>
      <c r="V7298" s="436"/>
      <c r="W7298" s="6"/>
      <c r="X7298" s="58"/>
    </row>
    <row r="7299" spans="3:24">
      <c r="C7299" s="4"/>
      <c r="D7299" s="4"/>
      <c r="E7299" s="5"/>
      <c r="F7299" s="6"/>
      <c r="G7299" s="31"/>
      <c r="H7299" s="6"/>
      <c r="I7299" s="9"/>
      <c r="J7299" s="43"/>
      <c r="K7299" s="9"/>
      <c r="L7299" s="25"/>
      <c r="M7299" s="7"/>
      <c r="N7299" s="8"/>
      <c r="O7299" s="11"/>
      <c r="P7299" s="11"/>
      <c r="Q7299" s="8"/>
      <c r="R7299" s="6"/>
      <c r="S7299" s="3"/>
      <c r="T7299" s="3"/>
      <c r="U7299" s="7"/>
      <c r="V7299" s="436"/>
      <c r="W7299" s="6"/>
      <c r="X7299" s="58"/>
    </row>
    <row r="7300" spans="3:24">
      <c r="C7300" s="4"/>
      <c r="D7300" s="4"/>
      <c r="E7300" s="5"/>
      <c r="F7300" s="6"/>
      <c r="G7300" s="31"/>
      <c r="H7300" s="6"/>
      <c r="I7300" s="9"/>
      <c r="J7300" s="24"/>
      <c r="K7300" s="9"/>
      <c r="L7300" s="25"/>
      <c r="M7300" s="7"/>
      <c r="N7300" s="8"/>
      <c r="O7300" s="11"/>
      <c r="P7300" s="11"/>
      <c r="Q7300" s="8"/>
      <c r="R7300" s="6"/>
      <c r="S7300" s="3"/>
      <c r="T7300" s="3"/>
      <c r="U7300" s="7"/>
      <c r="V7300" s="436"/>
      <c r="W7300" s="6"/>
      <c r="X7300" s="58"/>
    </row>
    <row r="7301" spans="3:24">
      <c r="C7301" s="4"/>
      <c r="D7301" s="4"/>
      <c r="E7301" s="5"/>
      <c r="F7301" s="6"/>
      <c r="G7301" s="31"/>
      <c r="H7301" s="6"/>
      <c r="I7301" s="9"/>
      <c r="J7301" s="24"/>
      <c r="K7301" s="9"/>
      <c r="L7301" s="25"/>
      <c r="M7301" s="7"/>
      <c r="N7301" s="8"/>
      <c r="O7301" s="11"/>
      <c r="P7301" s="11"/>
      <c r="Q7301" s="8"/>
      <c r="R7301" s="6"/>
      <c r="S7301" s="3"/>
      <c r="T7301" s="3"/>
      <c r="U7301" s="7"/>
      <c r="V7301" s="436"/>
      <c r="W7301" s="6"/>
      <c r="X7301" s="58"/>
    </row>
    <row r="7302" spans="3:24">
      <c r="C7302" s="4"/>
      <c r="D7302" s="4"/>
      <c r="E7302" s="5"/>
      <c r="F7302" s="6"/>
      <c r="G7302" s="31"/>
      <c r="H7302" s="6"/>
      <c r="I7302" s="9"/>
      <c r="J7302" s="24"/>
      <c r="K7302" s="9"/>
      <c r="L7302" s="25"/>
      <c r="M7302" s="7"/>
      <c r="N7302" s="8"/>
      <c r="O7302" s="11"/>
      <c r="P7302" s="11"/>
      <c r="Q7302" s="8"/>
      <c r="R7302" s="6"/>
      <c r="S7302" s="3"/>
      <c r="T7302" s="3"/>
      <c r="U7302" s="7"/>
      <c r="V7302" s="436"/>
      <c r="W7302" s="6"/>
      <c r="X7302" s="58"/>
    </row>
    <row r="7303" spans="3:24">
      <c r="C7303" s="4"/>
      <c r="D7303" s="4"/>
      <c r="E7303" s="5"/>
      <c r="F7303" s="6"/>
      <c r="G7303" s="31"/>
      <c r="H7303" s="6"/>
      <c r="I7303" s="9"/>
      <c r="J7303" s="24"/>
      <c r="K7303" s="9"/>
      <c r="L7303" s="25"/>
      <c r="M7303" s="7"/>
      <c r="N7303" s="8"/>
      <c r="O7303" s="11"/>
      <c r="P7303" s="11"/>
      <c r="Q7303" s="8"/>
      <c r="R7303" s="6"/>
      <c r="S7303" s="3"/>
      <c r="T7303" s="3"/>
      <c r="U7303" s="7"/>
      <c r="V7303" s="436"/>
      <c r="W7303" s="6"/>
      <c r="X7303" s="58"/>
    </row>
    <row r="7304" spans="3:24">
      <c r="C7304" s="4"/>
      <c r="D7304" s="4"/>
      <c r="E7304" s="5"/>
      <c r="F7304" s="6"/>
      <c r="G7304" s="31"/>
      <c r="H7304" s="6"/>
      <c r="I7304" s="9"/>
      <c r="J7304" s="24"/>
      <c r="K7304" s="9"/>
      <c r="L7304" s="25"/>
      <c r="M7304" s="7"/>
      <c r="N7304" s="8"/>
      <c r="O7304" s="11"/>
      <c r="P7304" s="11"/>
      <c r="Q7304" s="8"/>
      <c r="R7304" s="6"/>
      <c r="S7304" s="3"/>
      <c r="T7304" s="3"/>
      <c r="U7304" s="7"/>
      <c r="V7304" s="436"/>
      <c r="W7304" s="6"/>
      <c r="X7304" s="58"/>
    </row>
    <row r="7305" spans="3:24">
      <c r="C7305" s="4"/>
      <c r="D7305" s="4"/>
      <c r="E7305" s="5"/>
      <c r="F7305" s="6"/>
      <c r="G7305" s="31"/>
      <c r="H7305" s="6"/>
      <c r="I7305" s="9"/>
      <c r="J7305" s="24"/>
      <c r="K7305" s="9"/>
      <c r="L7305" s="25"/>
      <c r="M7305" s="7"/>
      <c r="N7305" s="8"/>
      <c r="O7305" s="11"/>
      <c r="P7305" s="11"/>
      <c r="Q7305" s="8"/>
      <c r="R7305" s="6"/>
      <c r="S7305" s="3"/>
      <c r="T7305" s="3"/>
      <c r="U7305" s="7"/>
      <c r="V7305" s="436"/>
      <c r="W7305" s="6"/>
      <c r="X7305" s="58"/>
    </row>
    <row r="7306" spans="3:24">
      <c r="C7306" s="4"/>
      <c r="D7306" s="4"/>
      <c r="E7306" s="5"/>
      <c r="F7306" s="6"/>
      <c r="G7306" s="31"/>
      <c r="H7306" s="6"/>
      <c r="I7306" s="9"/>
      <c r="J7306" s="24"/>
      <c r="K7306" s="9"/>
      <c r="L7306" s="25"/>
      <c r="M7306" s="7"/>
      <c r="N7306" s="8"/>
      <c r="O7306" s="11"/>
      <c r="P7306" s="11"/>
      <c r="Q7306" s="8"/>
      <c r="R7306" s="6"/>
      <c r="S7306" s="3"/>
      <c r="T7306" s="3"/>
      <c r="U7306" s="7"/>
      <c r="V7306" s="436"/>
      <c r="W7306" s="6"/>
      <c r="X7306" s="58"/>
    </row>
    <row r="7307" spans="3:24">
      <c r="C7307" s="4"/>
      <c r="D7307" s="4"/>
      <c r="E7307" s="5"/>
      <c r="F7307" s="6"/>
      <c r="G7307" s="31"/>
      <c r="H7307" s="6"/>
      <c r="I7307" s="9"/>
      <c r="J7307" s="24"/>
      <c r="K7307" s="9"/>
      <c r="L7307" s="25"/>
      <c r="M7307" s="7"/>
      <c r="N7307" s="8"/>
      <c r="O7307" s="11"/>
      <c r="P7307" s="11"/>
      <c r="Q7307" s="8"/>
      <c r="R7307" s="6"/>
      <c r="S7307" s="3"/>
      <c r="T7307" s="3"/>
      <c r="U7307" s="7"/>
      <c r="V7307" s="436"/>
      <c r="W7307" s="6"/>
      <c r="X7307" s="58"/>
    </row>
    <row r="7308" spans="3:24">
      <c r="C7308" s="4"/>
      <c r="D7308" s="4"/>
      <c r="E7308" s="5"/>
      <c r="F7308" s="6"/>
      <c r="G7308" s="31"/>
      <c r="H7308" s="6"/>
      <c r="I7308" s="9"/>
      <c r="J7308" s="24"/>
      <c r="K7308" s="9"/>
      <c r="L7308" s="25"/>
      <c r="M7308" s="7"/>
      <c r="N7308" s="8"/>
      <c r="O7308" s="11"/>
      <c r="P7308" s="11"/>
      <c r="Q7308" s="8"/>
      <c r="R7308" s="6"/>
      <c r="S7308" s="3"/>
      <c r="T7308" s="3"/>
      <c r="U7308" s="7"/>
      <c r="V7308" s="436"/>
      <c r="W7308" s="6"/>
      <c r="X7308" s="58"/>
    </row>
    <row r="7309" spans="3:24">
      <c r="C7309" s="4"/>
      <c r="D7309" s="4"/>
      <c r="E7309" s="5"/>
      <c r="F7309" s="6"/>
      <c r="G7309" s="31"/>
      <c r="H7309" s="6"/>
      <c r="I7309" s="9"/>
      <c r="J7309" s="24"/>
      <c r="K7309" s="9"/>
      <c r="L7309" s="25"/>
      <c r="M7309" s="7"/>
      <c r="N7309" s="8"/>
      <c r="O7309" s="11"/>
      <c r="P7309" s="11"/>
      <c r="Q7309" s="8"/>
      <c r="R7309" s="6"/>
      <c r="S7309" s="3"/>
      <c r="T7309" s="3"/>
      <c r="U7309" s="7"/>
      <c r="V7309" s="436"/>
      <c r="W7309" s="6"/>
      <c r="X7309" s="58"/>
    </row>
    <row r="7310" spans="3:24">
      <c r="C7310" s="4"/>
      <c r="D7310" s="4"/>
      <c r="E7310" s="5"/>
      <c r="F7310" s="6"/>
      <c r="G7310" s="31"/>
      <c r="H7310" s="6"/>
      <c r="I7310" s="9"/>
      <c r="J7310" s="24"/>
      <c r="K7310" s="9"/>
      <c r="L7310" s="25"/>
      <c r="M7310" s="7"/>
      <c r="N7310" s="8"/>
      <c r="O7310" s="11"/>
      <c r="P7310" s="11"/>
      <c r="Q7310" s="8"/>
      <c r="R7310" s="6"/>
      <c r="S7310" s="3"/>
      <c r="T7310" s="3"/>
      <c r="U7310" s="7"/>
      <c r="V7310" s="436"/>
      <c r="W7310" s="6"/>
      <c r="X7310" s="58"/>
    </row>
    <row r="7311" spans="3:24">
      <c r="C7311" s="4"/>
      <c r="D7311" s="4"/>
      <c r="E7311" s="5"/>
      <c r="F7311" s="6"/>
      <c r="G7311" s="31"/>
      <c r="H7311" s="6"/>
      <c r="I7311" s="9"/>
      <c r="J7311" s="24"/>
      <c r="K7311" s="9"/>
      <c r="L7311" s="25"/>
      <c r="M7311" s="7"/>
      <c r="N7311" s="8"/>
      <c r="O7311" s="11"/>
      <c r="P7311" s="11"/>
      <c r="Q7311" s="8"/>
      <c r="R7311" s="6"/>
      <c r="S7311" s="3"/>
      <c r="T7311" s="3"/>
      <c r="U7311" s="7"/>
      <c r="V7311" s="436"/>
      <c r="W7311" s="6"/>
      <c r="X7311" s="58"/>
    </row>
    <row r="7312" spans="3:24">
      <c r="C7312" s="4"/>
      <c r="D7312" s="4"/>
      <c r="E7312" s="5"/>
      <c r="F7312" s="6"/>
      <c r="G7312" s="31"/>
      <c r="H7312" s="6"/>
      <c r="I7312" s="9"/>
      <c r="J7312" s="24"/>
      <c r="K7312" s="9"/>
      <c r="L7312" s="25"/>
      <c r="M7312" s="7"/>
      <c r="N7312" s="8"/>
      <c r="O7312" s="11"/>
      <c r="P7312" s="11"/>
      <c r="Q7312" s="8"/>
      <c r="R7312" s="6"/>
      <c r="S7312" s="3"/>
      <c r="T7312" s="3"/>
      <c r="U7312" s="7"/>
      <c r="V7312" s="436"/>
      <c r="W7312" s="6"/>
      <c r="X7312" s="58"/>
    </row>
    <row r="7313" spans="3:24">
      <c r="C7313" s="4"/>
      <c r="D7313" s="4"/>
      <c r="E7313" s="5"/>
      <c r="F7313" s="6"/>
      <c r="G7313" s="31"/>
      <c r="H7313" s="6"/>
      <c r="I7313" s="9"/>
      <c r="J7313" s="24"/>
      <c r="K7313" s="9"/>
      <c r="L7313" s="25"/>
      <c r="M7313" s="7"/>
      <c r="N7313" s="8"/>
      <c r="O7313" s="11"/>
      <c r="P7313" s="11"/>
      <c r="Q7313" s="8"/>
      <c r="R7313" s="6"/>
      <c r="S7313" s="3"/>
      <c r="T7313" s="3"/>
      <c r="U7313" s="7"/>
      <c r="V7313" s="436"/>
      <c r="W7313" s="6"/>
      <c r="X7313" s="58"/>
    </row>
    <row r="7314" spans="3:24">
      <c r="C7314" s="4"/>
      <c r="D7314" s="4"/>
      <c r="E7314" s="5"/>
      <c r="F7314" s="6"/>
      <c r="G7314" s="31"/>
      <c r="H7314" s="6"/>
      <c r="I7314" s="9"/>
      <c r="J7314" s="24"/>
      <c r="K7314" s="9"/>
      <c r="L7314" s="25"/>
      <c r="M7314" s="7"/>
      <c r="N7314" s="8"/>
      <c r="O7314" s="11"/>
      <c r="P7314" s="11"/>
      <c r="Q7314" s="8"/>
      <c r="R7314" s="6"/>
      <c r="S7314" s="3"/>
      <c r="T7314" s="3"/>
      <c r="U7314" s="7"/>
      <c r="V7314" s="464"/>
      <c r="W7314" s="13"/>
      <c r="X7314" s="8"/>
    </row>
    <row r="7315" spans="3:24">
      <c r="C7315" s="4"/>
      <c r="D7315" s="4"/>
      <c r="E7315" s="5"/>
      <c r="F7315" s="6"/>
      <c r="G7315" s="31"/>
      <c r="H7315" s="6"/>
      <c r="I7315" s="9"/>
      <c r="J7315" s="24"/>
      <c r="K7315" s="9"/>
      <c r="L7315" s="25"/>
      <c r="M7315" s="7"/>
      <c r="N7315" s="8"/>
      <c r="O7315" s="11"/>
      <c r="P7315" s="11"/>
      <c r="Q7315" s="8"/>
      <c r="R7315" s="6"/>
      <c r="S7315" s="3"/>
      <c r="T7315" s="3"/>
      <c r="U7315" s="7"/>
      <c r="V7315" s="464"/>
      <c r="W7315" s="13"/>
      <c r="X7315" s="8"/>
    </row>
    <row r="7316" spans="3:24">
      <c r="C7316" s="4"/>
      <c r="D7316" s="4"/>
      <c r="E7316" s="5"/>
      <c r="F7316" s="6"/>
      <c r="G7316" s="31"/>
      <c r="H7316" s="6"/>
      <c r="I7316" s="9"/>
      <c r="J7316" s="24"/>
      <c r="K7316" s="9"/>
      <c r="L7316" s="25"/>
      <c r="M7316" s="7"/>
      <c r="N7316" s="8"/>
      <c r="O7316" s="11"/>
      <c r="P7316" s="11"/>
      <c r="Q7316" s="8"/>
      <c r="R7316" s="6"/>
      <c r="S7316" s="3"/>
      <c r="T7316" s="3"/>
      <c r="U7316" s="65"/>
    </row>
    <row r="7317" spans="3:24">
      <c r="C7317" s="4"/>
      <c r="D7317" s="4"/>
      <c r="E7317" s="5"/>
      <c r="F7317" s="6"/>
      <c r="G7317" s="31"/>
      <c r="H7317" s="6"/>
      <c r="I7317" s="9"/>
      <c r="J7317" s="24"/>
      <c r="K7317" s="9"/>
      <c r="L7317" s="25"/>
      <c r="M7317" s="7"/>
      <c r="N7317" s="8"/>
      <c r="O7317" s="11"/>
      <c r="P7317" s="11"/>
      <c r="Q7317" s="8"/>
      <c r="R7317" s="6"/>
      <c r="S7317" s="3"/>
      <c r="T7317" s="3"/>
      <c r="U7317" s="65"/>
    </row>
    <row r="7318" spans="3:24">
      <c r="C7318" s="4"/>
      <c r="D7318" s="4"/>
      <c r="E7318" s="5"/>
      <c r="F7318" s="6"/>
      <c r="G7318" s="31"/>
      <c r="H7318" s="6"/>
      <c r="I7318" s="9"/>
      <c r="J7318" s="24"/>
      <c r="K7318" s="9"/>
      <c r="L7318" s="25"/>
      <c r="M7318" s="7"/>
      <c r="N7318" s="8"/>
      <c r="O7318" s="11"/>
      <c r="P7318" s="11"/>
      <c r="Q7318" s="8"/>
      <c r="R7318" s="6"/>
      <c r="S7318" s="3"/>
      <c r="T7318" s="3"/>
      <c r="U7318" s="65"/>
    </row>
    <row r="7319" spans="3:24">
      <c r="C7319" s="4"/>
      <c r="D7319" s="4"/>
      <c r="E7319" s="5"/>
      <c r="F7319" s="6"/>
      <c r="G7319" s="31"/>
      <c r="H7319" s="6"/>
      <c r="I7319" s="9"/>
      <c r="J7319" s="24"/>
      <c r="K7319" s="9"/>
      <c r="L7319" s="25"/>
      <c r="M7319" s="7"/>
      <c r="N7319" s="8"/>
      <c r="O7319" s="11"/>
      <c r="P7319" s="11"/>
      <c r="Q7319" s="8"/>
      <c r="R7319" s="6"/>
      <c r="S7319" s="3"/>
      <c r="T7319" s="3"/>
      <c r="U7319" s="65"/>
    </row>
    <row r="7320" spans="3:24">
      <c r="C7320" s="4"/>
      <c r="D7320" s="4"/>
      <c r="E7320" s="5"/>
      <c r="F7320" s="6"/>
      <c r="G7320" s="31"/>
      <c r="H7320" s="6"/>
      <c r="I7320" s="9"/>
      <c r="J7320" s="24"/>
      <c r="K7320" s="9"/>
      <c r="L7320" s="25"/>
      <c r="M7320" s="7"/>
      <c r="N7320" s="8"/>
      <c r="O7320" s="11"/>
      <c r="P7320" s="11"/>
      <c r="Q7320" s="8"/>
      <c r="R7320" s="6"/>
      <c r="S7320" s="3"/>
      <c r="T7320" s="3"/>
      <c r="U7320" s="65"/>
    </row>
    <row r="7321" spans="3:24">
      <c r="C7321" s="4"/>
      <c r="D7321" s="4"/>
      <c r="E7321" s="5"/>
      <c r="F7321" s="6"/>
      <c r="G7321" s="31"/>
      <c r="H7321" s="6"/>
      <c r="I7321" s="9"/>
      <c r="J7321" s="24"/>
      <c r="K7321" s="9"/>
      <c r="L7321" s="25"/>
      <c r="M7321" s="7"/>
      <c r="N7321" s="8"/>
      <c r="O7321" s="11"/>
      <c r="P7321" s="11"/>
      <c r="Q7321" s="8"/>
      <c r="R7321" s="6"/>
      <c r="S7321" s="3"/>
      <c r="T7321" s="3"/>
      <c r="U7321" s="65"/>
    </row>
    <row r="7322" spans="3:24">
      <c r="C7322" s="4"/>
      <c r="D7322" s="4"/>
      <c r="E7322" s="5"/>
      <c r="F7322" s="6"/>
      <c r="G7322" s="31"/>
      <c r="H7322" s="6"/>
      <c r="I7322" s="9"/>
      <c r="J7322" s="24"/>
      <c r="K7322" s="9"/>
      <c r="L7322" s="25"/>
      <c r="M7322" s="7"/>
      <c r="N7322" s="8"/>
      <c r="O7322" s="11"/>
      <c r="P7322" s="11"/>
      <c r="Q7322" s="8"/>
      <c r="R7322" s="6"/>
      <c r="S7322" s="3"/>
      <c r="T7322" s="3"/>
      <c r="U7322" s="65"/>
    </row>
    <row r="7323" spans="3:24">
      <c r="C7323" s="4"/>
      <c r="D7323" s="4"/>
      <c r="E7323" s="5"/>
      <c r="F7323" s="6"/>
      <c r="G7323" s="31"/>
      <c r="H7323" s="6"/>
      <c r="I7323" s="9"/>
      <c r="J7323" s="24"/>
      <c r="K7323" s="9"/>
      <c r="L7323" s="25"/>
      <c r="M7323" s="7"/>
      <c r="N7323" s="8"/>
      <c r="O7323" s="11"/>
      <c r="P7323" s="11"/>
      <c r="Q7323" s="8"/>
      <c r="R7323" s="6"/>
      <c r="S7323" s="3"/>
      <c r="T7323" s="3"/>
      <c r="U7323" s="65"/>
    </row>
    <row r="7324" spans="3:24">
      <c r="C7324" s="4"/>
      <c r="D7324" s="4"/>
      <c r="E7324" s="5"/>
      <c r="F7324" s="6"/>
      <c r="G7324" s="31"/>
      <c r="H7324" s="6"/>
      <c r="I7324" s="9"/>
      <c r="J7324" s="24"/>
      <c r="K7324" s="24"/>
      <c r="L7324" s="25"/>
      <c r="M7324" s="7"/>
      <c r="N7324" s="8"/>
      <c r="O7324" s="11"/>
      <c r="P7324" s="11"/>
      <c r="Q7324" s="8"/>
      <c r="R7324" s="6"/>
      <c r="S7324" s="3"/>
      <c r="T7324" s="3"/>
      <c r="U7324" s="65"/>
    </row>
    <row r="7325" spans="3:24">
      <c r="C7325" s="4"/>
      <c r="D7325" s="4"/>
      <c r="E7325" s="5"/>
      <c r="F7325" s="6"/>
      <c r="G7325" s="31"/>
      <c r="H7325" s="6"/>
      <c r="I7325" s="9"/>
      <c r="J7325" s="24"/>
      <c r="K7325" s="24"/>
      <c r="L7325" s="25"/>
      <c r="M7325" s="7"/>
      <c r="N7325" s="8"/>
      <c r="O7325" s="11"/>
      <c r="P7325" s="11"/>
      <c r="Q7325" s="8"/>
      <c r="R7325" s="6"/>
      <c r="S7325" s="3"/>
      <c r="T7325" s="3"/>
      <c r="U7325" s="65"/>
    </row>
    <row r="7326" spans="3:24">
      <c r="C7326" s="4"/>
      <c r="D7326" s="4"/>
      <c r="E7326" s="5"/>
      <c r="F7326" s="6"/>
      <c r="G7326" s="31"/>
      <c r="H7326" s="6"/>
      <c r="I7326" s="9"/>
      <c r="J7326" s="24"/>
      <c r="K7326" s="24"/>
      <c r="L7326" s="25"/>
      <c r="M7326" s="7"/>
      <c r="N7326" s="8"/>
      <c r="O7326" s="11"/>
      <c r="P7326" s="11"/>
      <c r="Q7326" s="8"/>
      <c r="R7326" s="6"/>
      <c r="S7326" s="3"/>
      <c r="T7326" s="3"/>
      <c r="U7326" s="65"/>
    </row>
    <row r="7327" spans="3:24">
      <c r="C7327" s="4"/>
      <c r="D7327" s="4"/>
      <c r="E7327" s="5"/>
      <c r="F7327" s="6"/>
      <c r="G7327" s="31"/>
      <c r="H7327" s="6"/>
      <c r="I7327" s="9"/>
      <c r="J7327" s="24"/>
      <c r="K7327" s="9"/>
      <c r="L7327" s="25"/>
      <c r="M7327" s="7"/>
      <c r="N7327" s="8"/>
      <c r="O7327" s="11"/>
      <c r="P7327" s="11"/>
      <c r="Q7327" s="8"/>
      <c r="R7327" s="6"/>
      <c r="S7327" s="3"/>
      <c r="T7327" s="3"/>
      <c r="U7327" s="65"/>
    </row>
    <row r="7328" spans="3:24">
      <c r="C7328" s="4"/>
      <c r="D7328" s="4"/>
      <c r="E7328" s="5"/>
      <c r="F7328" s="6"/>
      <c r="G7328" s="31"/>
      <c r="H7328" s="6"/>
      <c r="I7328" s="9"/>
      <c r="J7328" s="24"/>
      <c r="K7328" s="9"/>
      <c r="L7328" s="25"/>
      <c r="M7328" s="7"/>
      <c r="N7328" s="8"/>
      <c r="O7328" s="11"/>
      <c r="P7328" s="11"/>
      <c r="Q7328" s="8"/>
      <c r="R7328" s="6"/>
      <c r="S7328" s="3"/>
      <c r="T7328" s="3"/>
      <c r="U7328" s="65"/>
    </row>
    <row r="7329" spans="3:21">
      <c r="C7329" s="4"/>
      <c r="D7329" s="4"/>
      <c r="E7329" s="5"/>
      <c r="F7329" s="6"/>
      <c r="G7329" s="31"/>
      <c r="H7329" s="6"/>
      <c r="I7329" s="9"/>
      <c r="J7329" s="24"/>
      <c r="K7329" s="9"/>
      <c r="L7329" s="25"/>
      <c r="M7329" s="7"/>
      <c r="N7329" s="8"/>
      <c r="O7329" s="11"/>
      <c r="P7329" s="11"/>
      <c r="Q7329" s="8"/>
      <c r="R7329" s="6"/>
      <c r="S7329" s="3"/>
      <c r="T7329" s="3"/>
      <c r="U7329" s="65"/>
    </row>
    <row r="7330" spans="3:21">
      <c r="C7330" s="4"/>
      <c r="D7330" s="4"/>
      <c r="E7330" s="5"/>
      <c r="F7330" s="6"/>
      <c r="G7330" s="31"/>
      <c r="H7330" s="6"/>
      <c r="I7330" s="9"/>
      <c r="J7330" s="24"/>
      <c r="K7330" s="9"/>
      <c r="L7330" s="25"/>
      <c r="M7330" s="7"/>
      <c r="N7330" s="8"/>
      <c r="O7330" s="11"/>
      <c r="P7330" s="11"/>
      <c r="Q7330" s="8"/>
      <c r="R7330" s="6"/>
      <c r="S7330" s="3"/>
      <c r="T7330" s="3"/>
      <c r="U7330" s="65"/>
    </row>
    <row r="7331" spans="3:21">
      <c r="C7331" s="4"/>
      <c r="D7331" s="4"/>
      <c r="E7331" s="5"/>
      <c r="F7331" s="6"/>
      <c r="G7331" s="31"/>
      <c r="H7331" s="6"/>
      <c r="I7331" s="9"/>
      <c r="J7331" s="24"/>
      <c r="K7331" s="9"/>
      <c r="L7331" s="25"/>
      <c r="M7331" s="7"/>
      <c r="N7331" s="8"/>
      <c r="O7331" s="11"/>
      <c r="P7331" s="11"/>
      <c r="Q7331" s="8"/>
      <c r="R7331" s="6"/>
      <c r="S7331" s="3"/>
      <c r="T7331" s="3"/>
      <c r="U7331" s="65"/>
    </row>
    <row r="7332" spans="3:21">
      <c r="C7332" s="4"/>
      <c r="D7332" s="4"/>
      <c r="E7332" s="5"/>
      <c r="F7332" s="6"/>
      <c r="G7332" s="31"/>
      <c r="H7332" s="6"/>
      <c r="I7332" s="9"/>
      <c r="J7332" s="24"/>
      <c r="K7332" s="10"/>
      <c r="L7332" s="25"/>
      <c r="M7332" s="7"/>
      <c r="N7332" s="8"/>
      <c r="O7332" s="11"/>
      <c r="P7332" s="11"/>
      <c r="Q7332" s="8"/>
      <c r="R7332" s="6"/>
      <c r="S7332" s="3"/>
      <c r="T7332" s="3"/>
      <c r="U7332" s="65"/>
    </row>
    <row r="7333" spans="3:21">
      <c r="C7333" s="4"/>
      <c r="D7333" s="4"/>
      <c r="E7333" s="5"/>
      <c r="F7333" s="6"/>
      <c r="G7333" s="31"/>
      <c r="H7333" s="6"/>
      <c r="I7333" s="9"/>
      <c r="J7333" s="24"/>
      <c r="K7333" s="9"/>
      <c r="L7333" s="25"/>
      <c r="M7333" s="7"/>
      <c r="N7333" s="8"/>
      <c r="O7333" s="11"/>
      <c r="P7333" s="11"/>
      <c r="Q7333" s="8"/>
      <c r="R7333" s="6"/>
      <c r="S7333" s="3"/>
      <c r="T7333" s="3"/>
      <c r="U7333" s="65"/>
    </row>
    <row r="7334" spans="3:21">
      <c r="C7334" s="4"/>
      <c r="D7334" s="4"/>
      <c r="E7334" s="5"/>
      <c r="F7334" s="6"/>
      <c r="G7334" s="31"/>
      <c r="H7334" s="6"/>
      <c r="I7334" s="9"/>
      <c r="J7334" s="24"/>
      <c r="K7334" s="10"/>
      <c r="L7334" s="25"/>
      <c r="M7334" s="7"/>
      <c r="N7334" s="8"/>
      <c r="O7334" s="11"/>
      <c r="P7334" s="11"/>
      <c r="Q7334" s="8"/>
      <c r="R7334" s="6"/>
      <c r="S7334" s="3"/>
      <c r="T7334" s="3"/>
      <c r="U7334" s="65"/>
    </row>
    <row r="7335" spans="3:21">
      <c r="C7335" s="4"/>
      <c r="D7335" s="4"/>
      <c r="E7335" s="5"/>
      <c r="F7335" s="6"/>
      <c r="G7335" s="31"/>
      <c r="H7335" s="6"/>
      <c r="I7335" s="9"/>
      <c r="J7335" s="24"/>
      <c r="K7335" s="10"/>
      <c r="L7335" s="25"/>
      <c r="M7335" s="7"/>
      <c r="N7335" s="8"/>
      <c r="O7335" s="11"/>
      <c r="P7335" s="11"/>
      <c r="Q7335" s="8"/>
      <c r="R7335" s="6"/>
      <c r="S7335" s="3"/>
      <c r="T7335" s="3"/>
      <c r="U7335" s="65"/>
    </row>
    <row r="7336" spans="3:21">
      <c r="C7336" s="4"/>
      <c r="D7336" s="4"/>
      <c r="E7336" s="5"/>
      <c r="F7336" s="6"/>
      <c r="G7336" s="31"/>
      <c r="H7336" s="6"/>
      <c r="I7336" s="9"/>
      <c r="J7336" s="24"/>
      <c r="K7336" s="9"/>
      <c r="L7336" s="25"/>
      <c r="M7336" s="7"/>
      <c r="N7336" s="8"/>
      <c r="O7336" s="11"/>
      <c r="P7336" s="11"/>
      <c r="Q7336" s="8"/>
      <c r="R7336" s="6"/>
      <c r="S7336" s="3"/>
      <c r="T7336" s="3"/>
      <c r="U7336" s="65"/>
    </row>
    <row r="7337" spans="3:21">
      <c r="C7337" s="4"/>
      <c r="D7337" s="4"/>
      <c r="E7337" s="5"/>
      <c r="F7337" s="6"/>
      <c r="G7337" s="31"/>
      <c r="H7337" s="6"/>
      <c r="I7337" s="9"/>
      <c r="J7337" s="24"/>
      <c r="K7337" s="9"/>
      <c r="L7337" s="25"/>
      <c r="M7337" s="7"/>
      <c r="N7337" s="8"/>
      <c r="O7337" s="11"/>
      <c r="P7337" s="11"/>
      <c r="Q7337" s="8"/>
      <c r="R7337" s="6"/>
      <c r="S7337" s="3"/>
      <c r="T7337" s="3"/>
      <c r="U7337" s="65"/>
    </row>
    <row r="7338" spans="3:21">
      <c r="C7338" s="4"/>
      <c r="D7338" s="4"/>
      <c r="E7338" s="5"/>
      <c r="F7338" s="6"/>
      <c r="G7338" s="31"/>
      <c r="H7338" s="6"/>
      <c r="I7338" s="9"/>
      <c r="J7338" s="24"/>
      <c r="K7338" s="10"/>
      <c r="L7338" s="25"/>
      <c r="M7338" s="7"/>
      <c r="N7338" s="8"/>
      <c r="O7338" s="11"/>
      <c r="P7338" s="11"/>
      <c r="Q7338" s="8"/>
      <c r="R7338" s="6"/>
      <c r="S7338" s="3"/>
      <c r="T7338" s="3"/>
      <c r="U7338" s="65"/>
    </row>
    <row r="7339" spans="3:21">
      <c r="C7339" s="4"/>
      <c r="D7339" s="4"/>
      <c r="E7339" s="5"/>
      <c r="F7339" s="6"/>
      <c r="G7339" s="31"/>
      <c r="H7339" s="6"/>
      <c r="I7339" s="9"/>
      <c r="J7339" s="24"/>
      <c r="K7339" s="10"/>
      <c r="L7339" s="25"/>
      <c r="M7339" s="7"/>
      <c r="N7339" s="8"/>
      <c r="O7339" s="11"/>
      <c r="P7339" s="11"/>
      <c r="Q7339" s="8"/>
      <c r="R7339" s="6"/>
      <c r="S7339" s="3"/>
      <c r="T7339" s="3"/>
      <c r="U7339" s="65"/>
    </row>
    <row r="7340" spans="3:21">
      <c r="C7340" s="4"/>
      <c r="D7340" s="4"/>
      <c r="E7340" s="5"/>
      <c r="F7340" s="6"/>
      <c r="G7340" s="31"/>
      <c r="H7340" s="6"/>
      <c r="I7340" s="9"/>
      <c r="J7340" s="24"/>
      <c r="K7340" s="10"/>
      <c r="L7340" s="25"/>
      <c r="M7340" s="7"/>
      <c r="N7340" s="8"/>
      <c r="O7340" s="11"/>
      <c r="P7340" s="11"/>
      <c r="Q7340" s="8"/>
      <c r="R7340" s="6"/>
      <c r="S7340" s="3"/>
      <c r="T7340" s="3"/>
      <c r="U7340" s="65"/>
    </row>
    <row r="7341" spans="3:21">
      <c r="C7341" s="4"/>
      <c r="D7341" s="4"/>
      <c r="E7341" s="5"/>
      <c r="F7341" s="6"/>
      <c r="G7341" s="31"/>
      <c r="H7341" s="6"/>
      <c r="I7341" s="9"/>
      <c r="J7341" s="24"/>
      <c r="K7341" s="9"/>
      <c r="L7341" s="25"/>
      <c r="M7341" s="7"/>
      <c r="N7341" s="8"/>
      <c r="O7341" s="11"/>
      <c r="P7341" s="11"/>
      <c r="Q7341" s="8"/>
      <c r="R7341" s="6"/>
      <c r="S7341" s="3"/>
      <c r="T7341" s="3"/>
      <c r="U7341" s="65"/>
    </row>
    <row r="7342" spans="3:21">
      <c r="C7342" s="4"/>
      <c r="D7342" s="4"/>
      <c r="E7342" s="5"/>
      <c r="F7342" s="6"/>
      <c r="G7342" s="31"/>
      <c r="H7342" s="6"/>
      <c r="I7342" s="9"/>
      <c r="J7342" s="24"/>
      <c r="K7342" s="10"/>
      <c r="L7342" s="25"/>
      <c r="M7342" s="7"/>
      <c r="N7342" s="8"/>
      <c r="O7342" s="11"/>
      <c r="P7342" s="11"/>
      <c r="Q7342" s="8"/>
      <c r="R7342" s="6"/>
      <c r="S7342" s="3"/>
      <c r="T7342" s="3"/>
      <c r="U7342" s="65"/>
    </row>
    <row r="7343" spans="3:21">
      <c r="C7343" s="4"/>
      <c r="D7343" s="4"/>
      <c r="E7343" s="5"/>
      <c r="F7343" s="6"/>
      <c r="G7343" s="31"/>
      <c r="H7343" s="6"/>
      <c r="I7343" s="9"/>
      <c r="J7343" s="24"/>
      <c r="K7343" s="10"/>
      <c r="L7343" s="25"/>
      <c r="M7343" s="7"/>
      <c r="N7343" s="8"/>
      <c r="O7343" s="11"/>
      <c r="P7343" s="11"/>
      <c r="Q7343" s="8"/>
      <c r="R7343" s="6"/>
      <c r="S7343" s="3"/>
      <c r="T7343" s="3"/>
      <c r="U7343" s="65"/>
    </row>
    <row r="7344" spans="3:21">
      <c r="C7344" s="4"/>
      <c r="D7344" s="4"/>
      <c r="E7344" s="5"/>
      <c r="F7344" s="6"/>
      <c r="G7344" s="31"/>
      <c r="H7344" s="6"/>
      <c r="I7344" s="9"/>
      <c r="J7344" s="24"/>
      <c r="K7344" s="10"/>
      <c r="L7344" s="25"/>
      <c r="M7344" s="7"/>
      <c r="N7344" s="8"/>
      <c r="O7344" s="11"/>
      <c r="P7344" s="11"/>
      <c r="Q7344" s="8"/>
      <c r="R7344" s="6"/>
      <c r="S7344" s="3"/>
      <c r="T7344" s="3"/>
      <c r="U7344" s="65"/>
    </row>
    <row r="7345" spans="3:21">
      <c r="C7345" s="4"/>
      <c r="D7345" s="4"/>
      <c r="E7345" s="5"/>
      <c r="F7345" s="6"/>
      <c r="G7345" s="31"/>
      <c r="H7345" s="6"/>
      <c r="I7345" s="9"/>
      <c r="J7345" s="24"/>
      <c r="K7345" s="10"/>
      <c r="L7345" s="25"/>
      <c r="M7345" s="7"/>
      <c r="N7345" s="8"/>
      <c r="O7345" s="11"/>
      <c r="P7345" s="11"/>
      <c r="Q7345" s="8"/>
      <c r="R7345" s="6"/>
      <c r="S7345" s="3"/>
      <c r="T7345" s="3"/>
      <c r="U7345" s="65"/>
    </row>
    <row r="7346" spans="3:21">
      <c r="C7346" s="4"/>
      <c r="D7346" s="4"/>
      <c r="E7346" s="5"/>
      <c r="F7346" s="6"/>
      <c r="G7346" s="31"/>
      <c r="H7346" s="6"/>
      <c r="I7346" s="9"/>
      <c r="J7346" s="24"/>
      <c r="K7346" s="9"/>
      <c r="L7346" s="25"/>
      <c r="M7346" s="7"/>
      <c r="N7346" s="8"/>
      <c r="O7346" s="11"/>
      <c r="P7346" s="11"/>
      <c r="Q7346" s="8"/>
      <c r="R7346" s="6"/>
      <c r="S7346" s="3"/>
      <c r="T7346" s="3"/>
      <c r="U7346" s="65"/>
    </row>
    <row r="7347" spans="3:21">
      <c r="C7347" s="4"/>
      <c r="D7347" s="4"/>
      <c r="E7347" s="5"/>
      <c r="F7347" s="6"/>
      <c r="G7347" s="31"/>
      <c r="H7347" s="6"/>
      <c r="I7347" s="9"/>
      <c r="J7347" s="24"/>
      <c r="K7347" s="9"/>
      <c r="L7347" s="25"/>
      <c r="M7347" s="7"/>
      <c r="N7347" s="8"/>
      <c r="O7347" s="11"/>
      <c r="P7347" s="11"/>
      <c r="Q7347" s="8"/>
      <c r="R7347" s="6"/>
      <c r="S7347" s="3"/>
      <c r="T7347" s="3"/>
      <c r="U7347" s="65"/>
    </row>
    <row r="7348" spans="3:21">
      <c r="C7348" s="4"/>
      <c r="D7348" s="4"/>
      <c r="E7348" s="5"/>
      <c r="F7348" s="6"/>
      <c r="G7348" s="31"/>
      <c r="H7348" s="6"/>
      <c r="I7348" s="9"/>
      <c r="J7348" s="24"/>
      <c r="K7348" s="9"/>
      <c r="L7348" s="25"/>
      <c r="M7348" s="7"/>
      <c r="N7348" s="8"/>
      <c r="O7348" s="11"/>
      <c r="P7348" s="11"/>
      <c r="Q7348" s="8"/>
      <c r="R7348" s="6"/>
      <c r="S7348" s="3"/>
      <c r="T7348" s="3"/>
      <c r="U7348" s="65"/>
    </row>
    <row r="7349" spans="3:21">
      <c r="C7349" s="4"/>
      <c r="D7349" s="4"/>
      <c r="E7349" s="5"/>
      <c r="F7349" s="6"/>
      <c r="G7349" s="31"/>
      <c r="H7349" s="6"/>
      <c r="I7349" s="9"/>
      <c r="J7349" s="24"/>
      <c r="K7349" s="9"/>
      <c r="L7349" s="25"/>
      <c r="M7349" s="7"/>
      <c r="N7349" s="8"/>
      <c r="O7349" s="11"/>
      <c r="P7349" s="11"/>
      <c r="Q7349" s="8"/>
      <c r="R7349" s="6"/>
      <c r="S7349" s="3"/>
      <c r="T7349" s="3"/>
      <c r="U7349" s="65"/>
    </row>
    <row r="7350" spans="3:21">
      <c r="C7350" s="4"/>
      <c r="D7350" s="4"/>
      <c r="E7350" s="5"/>
      <c r="F7350" s="6"/>
      <c r="G7350" s="31"/>
      <c r="H7350" s="6"/>
      <c r="I7350" s="9"/>
      <c r="J7350" s="24"/>
      <c r="K7350" s="10"/>
      <c r="L7350" s="25"/>
      <c r="M7350" s="7"/>
      <c r="N7350" s="8"/>
      <c r="O7350" s="11"/>
      <c r="P7350" s="11"/>
      <c r="Q7350" s="8"/>
      <c r="R7350" s="6"/>
      <c r="S7350" s="3"/>
      <c r="T7350" s="3"/>
      <c r="U7350" s="65"/>
    </row>
    <row r="7351" spans="3:21">
      <c r="C7351" s="4"/>
      <c r="D7351" s="4"/>
      <c r="E7351" s="5"/>
      <c r="F7351" s="6"/>
      <c r="G7351" s="31"/>
      <c r="H7351" s="6"/>
      <c r="I7351" s="9"/>
      <c r="J7351" s="24"/>
      <c r="K7351" s="10"/>
      <c r="L7351" s="25"/>
      <c r="M7351" s="7"/>
      <c r="N7351" s="8"/>
      <c r="O7351" s="11"/>
      <c r="P7351" s="11"/>
      <c r="Q7351" s="8"/>
      <c r="R7351" s="6"/>
      <c r="S7351" s="3"/>
      <c r="T7351" s="3"/>
      <c r="U7351" s="65"/>
    </row>
    <row r="7352" spans="3:21">
      <c r="C7352" s="4"/>
      <c r="D7352" s="4"/>
      <c r="E7352" s="5"/>
      <c r="F7352" s="6"/>
      <c r="G7352" s="31"/>
      <c r="H7352" s="6"/>
      <c r="I7352" s="9"/>
      <c r="J7352" s="24"/>
      <c r="K7352" s="10"/>
      <c r="L7352" s="25"/>
      <c r="M7352" s="7"/>
      <c r="N7352" s="8"/>
      <c r="O7352" s="11"/>
      <c r="P7352" s="11"/>
      <c r="Q7352" s="8"/>
      <c r="R7352" s="6"/>
      <c r="S7352" s="3"/>
      <c r="T7352" s="3"/>
      <c r="U7352" s="65"/>
    </row>
    <row r="7353" spans="3:21">
      <c r="C7353" s="4"/>
      <c r="D7353" s="4"/>
      <c r="E7353" s="5"/>
      <c r="F7353" s="6"/>
      <c r="G7353" s="31"/>
      <c r="H7353" s="6"/>
      <c r="I7353" s="9"/>
      <c r="J7353" s="24"/>
      <c r="K7353" s="10"/>
      <c r="L7353" s="25"/>
      <c r="M7353" s="7"/>
      <c r="N7353" s="8"/>
      <c r="O7353" s="11"/>
      <c r="P7353" s="11"/>
      <c r="Q7353" s="8"/>
      <c r="R7353" s="6"/>
      <c r="S7353" s="3"/>
      <c r="T7353" s="3"/>
      <c r="U7353" s="65"/>
    </row>
    <row r="7354" spans="3:21">
      <c r="C7354" s="4"/>
      <c r="D7354" s="4"/>
      <c r="E7354" s="5"/>
      <c r="F7354" s="6"/>
      <c r="G7354" s="31"/>
      <c r="H7354" s="6"/>
      <c r="I7354" s="9"/>
      <c r="J7354" s="24"/>
      <c r="K7354" s="10"/>
      <c r="L7354" s="25"/>
      <c r="M7354" s="7"/>
      <c r="N7354" s="8"/>
      <c r="O7354" s="11"/>
      <c r="P7354" s="11"/>
      <c r="Q7354" s="8"/>
      <c r="R7354" s="6"/>
      <c r="S7354" s="3"/>
      <c r="T7354" s="3"/>
      <c r="U7354" s="65"/>
    </row>
    <row r="7355" spans="3:21">
      <c r="C7355" s="4"/>
      <c r="D7355" s="4"/>
      <c r="E7355" s="5"/>
      <c r="F7355" s="6"/>
      <c r="G7355" s="31"/>
      <c r="H7355" s="6"/>
      <c r="I7355" s="9"/>
      <c r="J7355" s="24"/>
      <c r="K7355" s="10"/>
      <c r="L7355" s="25"/>
      <c r="M7355" s="7"/>
      <c r="N7355" s="8"/>
      <c r="O7355" s="11"/>
      <c r="P7355" s="11"/>
      <c r="Q7355" s="8"/>
      <c r="R7355" s="6"/>
      <c r="S7355" s="3"/>
      <c r="T7355" s="3"/>
      <c r="U7355" s="65"/>
    </row>
    <row r="7356" spans="3:21">
      <c r="C7356" s="4"/>
      <c r="D7356" s="4"/>
      <c r="E7356" s="5"/>
      <c r="F7356" s="6"/>
      <c r="G7356" s="31"/>
      <c r="H7356" s="6"/>
      <c r="I7356" s="9"/>
      <c r="J7356" s="24"/>
      <c r="K7356" s="10"/>
      <c r="L7356" s="25"/>
      <c r="M7356" s="7"/>
      <c r="N7356" s="8"/>
      <c r="O7356" s="11"/>
      <c r="P7356" s="11"/>
      <c r="Q7356" s="8"/>
      <c r="R7356" s="6"/>
      <c r="S7356" s="3"/>
      <c r="T7356" s="3"/>
      <c r="U7356" s="65"/>
    </row>
    <row r="7357" spans="3:21">
      <c r="C7357" s="4"/>
      <c r="D7357" s="4"/>
      <c r="E7357" s="5"/>
      <c r="F7357" s="6"/>
      <c r="G7357" s="31"/>
      <c r="H7357" s="6"/>
      <c r="I7357" s="9"/>
      <c r="J7357" s="24"/>
      <c r="K7357" s="10"/>
      <c r="L7357" s="25"/>
      <c r="M7357" s="7"/>
      <c r="N7357" s="8"/>
      <c r="O7357" s="11"/>
      <c r="P7357" s="11"/>
      <c r="Q7357" s="8"/>
      <c r="R7357" s="6"/>
      <c r="S7357" s="3"/>
      <c r="T7357" s="3"/>
      <c r="U7357" s="65"/>
    </row>
    <row r="7358" spans="3:21">
      <c r="C7358" s="4"/>
      <c r="D7358" s="4"/>
      <c r="E7358" s="5"/>
      <c r="F7358" s="6"/>
      <c r="G7358" s="31"/>
      <c r="H7358" s="6"/>
      <c r="I7358" s="9"/>
      <c r="J7358" s="24"/>
      <c r="K7358" s="9"/>
      <c r="L7358" s="25"/>
      <c r="M7358" s="7"/>
      <c r="N7358" s="8"/>
      <c r="O7358" s="11"/>
      <c r="P7358" s="11"/>
      <c r="Q7358" s="8"/>
      <c r="R7358" s="6"/>
      <c r="S7358" s="3"/>
      <c r="T7358" s="3"/>
      <c r="U7358" s="65"/>
    </row>
    <row r="7359" spans="3:21">
      <c r="C7359" s="4"/>
      <c r="D7359" s="4"/>
      <c r="E7359" s="5"/>
      <c r="F7359" s="6"/>
      <c r="G7359" s="31"/>
      <c r="H7359" s="6"/>
      <c r="I7359" s="9"/>
      <c r="J7359" s="24"/>
      <c r="K7359" s="9"/>
      <c r="L7359" s="25"/>
      <c r="M7359" s="7"/>
      <c r="N7359" s="8"/>
      <c r="O7359" s="11"/>
      <c r="P7359" s="11"/>
      <c r="Q7359" s="8"/>
      <c r="R7359" s="6"/>
      <c r="S7359" s="3"/>
      <c r="T7359" s="3"/>
      <c r="U7359" s="65"/>
    </row>
    <row r="7360" spans="3:21">
      <c r="C7360" s="4"/>
      <c r="D7360" s="4"/>
      <c r="E7360" s="5"/>
      <c r="F7360" s="6"/>
      <c r="G7360" s="31"/>
      <c r="H7360" s="6"/>
      <c r="I7360" s="9"/>
      <c r="J7360" s="24"/>
      <c r="K7360" s="10"/>
      <c r="L7360" s="25"/>
      <c r="M7360" s="7"/>
      <c r="N7360" s="8"/>
      <c r="O7360" s="11"/>
      <c r="P7360" s="11"/>
      <c r="Q7360" s="8"/>
      <c r="R7360" s="6"/>
      <c r="S7360" s="3"/>
      <c r="T7360" s="3"/>
      <c r="U7360" s="65"/>
    </row>
    <row r="7361" spans="3:21">
      <c r="C7361" s="4"/>
      <c r="D7361" s="4"/>
      <c r="E7361" s="5"/>
      <c r="F7361" s="6"/>
      <c r="G7361" s="31"/>
      <c r="H7361" s="6"/>
      <c r="I7361" s="9"/>
      <c r="J7361" s="24"/>
      <c r="K7361" s="10"/>
      <c r="L7361" s="25"/>
      <c r="M7361" s="7"/>
      <c r="N7361" s="8"/>
      <c r="O7361" s="11"/>
      <c r="P7361" s="11"/>
      <c r="Q7361" s="8"/>
      <c r="R7361" s="6"/>
      <c r="S7361" s="3"/>
      <c r="T7361" s="3"/>
      <c r="U7361" s="65"/>
    </row>
    <row r="7362" spans="3:21">
      <c r="C7362" s="4"/>
      <c r="D7362" s="4"/>
      <c r="E7362" s="5"/>
      <c r="F7362" s="6"/>
      <c r="G7362" s="31"/>
      <c r="H7362" s="6"/>
      <c r="I7362" s="9"/>
      <c r="J7362" s="24"/>
      <c r="K7362" s="10"/>
      <c r="L7362" s="25"/>
      <c r="M7362" s="7"/>
      <c r="N7362" s="8"/>
      <c r="O7362" s="11"/>
      <c r="P7362" s="11"/>
      <c r="Q7362" s="8"/>
      <c r="R7362" s="6"/>
      <c r="S7362" s="3"/>
      <c r="T7362" s="3"/>
      <c r="U7362" s="65"/>
    </row>
    <row r="7363" spans="3:21">
      <c r="C7363" s="4"/>
      <c r="D7363" s="4"/>
      <c r="E7363" s="5"/>
      <c r="F7363" s="6"/>
      <c r="G7363" s="31"/>
      <c r="H7363" s="6"/>
      <c r="I7363" s="9"/>
      <c r="J7363" s="24"/>
      <c r="K7363" s="10"/>
      <c r="L7363" s="25"/>
      <c r="M7363" s="47"/>
      <c r="N7363" s="8"/>
      <c r="O7363" s="11"/>
      <c r="P7363" s="11"/>
      <c r="Q7363" s="8"/>
      <c r="R7363" s="6"/>
      <c r="S7363" s="3"/>
      <c r="T7363" s="3"/>
      <c r="U7363" s="65"/>
    </row>
    <row r="7364" spans="3:21">
      <c r="C7364" s="4"/>
      <c r="D7364" s="4"/>
      <c r="E7364" s="5"/>
      <c r="F7364" s="6"/>
      <c r="G7364" s="31"/>
      <c r="H7364" s="6"/>
      <c r="I7364" s="9"/>
      <c r="J7364" s="24"/>
      <c r="K7364" s="10"/>
      <c r="L7364" s="25"/>
      <c r="M7364" s="7"/>
      <c r="N7364" s="8"/>
      <c r="O7364" s="11"/>
      <c r="P7364" s="11"/>
      <c r="Q7364" s="8"/>
      <c r="R7364" s="6"/>
      <c r="S7364" s="3"/>
      <c r="T7364" s="3"/>
      <c r="U7364" s="65"/>
    </row>
    <row r="7365" spans="3:21">
      <c r="C7365" s="4"/>
      <c r="D7365" s="4"/>
      <c r="E7365" s="5"/>
      <c r="F7365" s="6"/>
      <c r="G7365" s="31"/>
      <c r="H7365" s="6"/>
      <c r="I7365" s="9"/>
      <c r="J7365" s="24"/>
      <c r="K7365" s="9"/>
      <c r="L7365" s="25"/>
      <c r="M7365" s="7"/>
      <c r="N7365" s="8"/>
      <c r="O7365" s="11"/>
      <c r="P7365" s="11"/>
      <c r="Q7365" s="8"/>
      <c r="R7365" s="6"/>
      <c r="S7365" s="3"/>
      <c r="T7365" s="3"/>
      <c r="U7365" s="65"/>
    </row>
    <row r="7366" spans="3:21">
      <c r="C7366" s="4"/>
      <c r="D7366" s="4"/>
      <c r="E7366" s="5"/>
      <c r="F7366" s="6"/>
      <c r="G7366" s="31"/>
      <c r="H7366" s="6"/>
      <c r="I7366" s="9"/>
      <c r="J7366" s="24"/>
      <c r="K7366" s="9"/>
      <c r="L7366" s="25"/>
      <c r="M7366" s="7"/>
      <c r="N7366" s="8"/>
      <c r="O7366" s="11"/>
      <c r="P7366" s="11"/>
      <c r="Q7366" s="8"/>
      <c r="R7366" s="6"/>
      <c r="S7366" s="3"/>
      <c r="T7366" s="3"/>
      <c r="U7366" s="65"/>
    </row>
    <row r="7367" spans="3:21">
      <c r="C7367" s="4"/>
      <c r="D7367" s="4"/>
      <c r="E7367" s="5"/>
      <c r="F7367" s="6"/>
      <c r="G7367" s="31"/>
      <c r="H7367" s="6"/>
      <c r="I7367" s="9"/>
      <c r="J7367" s="24"/>
      <c r="K7367" s="10"/>
      <c r="L7367" s="25"/>
      <c r="M7367" s="7"/>
      <c r="N7367" s="8"/>
      <c r="O7367" s="11"/>
      <c r="P7367" s="11"/>
      <c r="Q7367" s="8"/>
      <c r="R7367" s="6"/>
      <c r="S7367" s="3"/>
      <c r="T7367" s="3"/>
      <c r="U7367" s="65"/>
    </row>
    <row r="7368" spans="3:21">
      <c r="C7368" s="4"/>
      <c r="D7368" s="4"/>
      <c r="E7368" s="5"/>
      <c r="F7368" s="6"/>
      <c r="G7368" s="31"/>
      <c r="H7368" s="6"/>
      <c r="I7368" s="9"/>
      <c r="J7368" s="24"/>
      <c r="K7368" s="9"/>
      <c r="L7368" s="25"/>
      <c r="M7368" s="7"/>
      <c r="N7368" s="8"/>
      <c r="O7368" s="11"/>
      <c r="P7368" s="11"/>
      <c r="Q7368" s="8"/>
      <c r="R7368" s="6"/>
      <c r="S7368" s="3"/>
      <c r="T7368" s="3"/>
      <c r="U7368" s="65"/>
    </row>
    <row r="7369" spans="3:21">
      <c r="C7369" s="4"/>
      <c r="D7369" s="4"/>
      <c r="E7369" s="5"/>
      <c r="F7369" s="6"/>
      <c r="G7369" s="31"/>
      <c r="H7369" s="6"/>
      <c r="I7369" s="9"/>
      <c r="J7369" s="24"/>
      <c r="K7369" s="10"/>
      <c r="L7369" s="25"/>
      <c r="M7369" s="7"/>
      <c r="N7369" s="8"/>
      <c r="O7369" s="11"/>
      <c r="P7369" s="11"/>
      <c r="Q7369" s="8"/>
      <c r="R7369" s="6"/>
      <c r="S7369" s="3"/>
      <c r="T7369" s="3"/>
      <c r="U7369" s="65"/>
    </row>
    <row r="7370" spans="3:21">
      <c r="C7370" s="4"/>
      <c r="D7370" s="4"/>
      <c r="E7370" s="5"/>
      <c r="F7370" s="6"/>
      <c r="G7370" s="31"/>
      <c r="H7370" s="6"/>
      <c r="I7370" s="9"/>
      <c r="J7370" s="24"/>
      <c r="K7370" s="10"/>
      <c r="L7370" s="25"/>
      <c r="M7370" s="7"/>
      <c r="N7370" s="8"/>
      <c r="O7370" s="11"/>
      <c r="P7370" s="11"/>
      <c r="Q7370" s="8"/>
      <c r="R7370" s="6"/>
      <c r="S7370" s="3"/>
      <c r="T7370" s="3"/>
      <c r="U7370" s="65"/>
    </row>
    <row r="7371" spans="3:21">
      <c r="C7371" s="4"/>
      <c r="D7371" s="4"/>
      <c r="E7371" s="5"/>
      <c r="F7371" s="6"/>
      <c r="G7371" s="31"/>
      <c r="H7371" s="6"/>
      <c r="I7371" s="9"/>
      <c r="J7371" s="24"/>
      <c r="K7371" s="10"/>
      <c r="L7371" s="25"/>
      <c r="M7371" s="7"/>
      <c r="N7371" s="8"/>
      <c r="O7371" s="11"/>
      <c r="P7371" s="11"/>
      <c r="Q7371" s="8"/>
      <c r="R7371" s="6"/>
      <c r="S7371" s="3"/>
      <c r="T7371" s="3"/>
      <c r="U7371" s="65"/>
    </row>
    <row r="7372" spans="3:21">
      <c r="C7372" s="4"/>
      <c r="D7372" s="4"/>
      <c r="E7372" s="5"/>
      <c r="F7372" s="6"/>
      <c r="G7372" s="31"/>
      <c r="H7372" s="6"/>
      <c r="I7372" s="9"/>
      <c r="J7372" s="24"/>
      <c r="K7372" s="9"/>
      <c r="L7372" s="25"/>
      <c r="M7372" s="7"/>
      <c r="N7372" s="8"/>
      <c r="O7372" s="11"/>
      <c r="P7372" s="11"/>
      <c r="Q7372" s="8"/>
      <c r="R7372" s="6"/>
      <c r="S7372" s="3"/>
      <c r="T7372" s="3"/>
      <c r="U7372" s="65"/>
    </row>
    <row r="7373" spans="3:21">
      <c r="C7373" s="4"/>
      <c r="D7373" s="4"/>
      <c r="E7373" s="5"/>
      <c r="F7373" s="6"/>
      <c r="G7373" s="31"/>
      <c r="H7373" s="6"/>
      <c r="I7373" s="9"/>
      <c r="J7373" s="24"/>
      <c r="K7373" s="9"/>
      <c r="L7373" s="25"/>
      <c r="M7373" s="7"/>
      <c r="N7373" s="8"/>
      <c r="O7373" s="11"/>
      <c r="P7373" s="11"/>
      <c r="Q7373" s="8"/>
      <c r="R7373" s="6"/>
      <c r="S7373" s="3"/>
      <c r="T7373" s="3"/>
      <c r="U7373" s="65"/>
    </row>
    <row r="7374" spans="3:21">
      <c r="C7374" s="4"/>
      <c r="D7374" s="4"/>
      <c r="E7374" s="5"/>
      <c r="F7374" s="6"/>
      <c r="G7374" s="31"/>
      <c r="H7374" s="6"/>
      <c r="I7374" s="9"/>
      <c r="J7374" s="24"/>
      <c r="K7374" s="9"/>
      <c r="L7374" s="25"/>
      <c r="M7374" s="7"/>
      <c r="N7374" s="8"/>
      <c r="O7374" s="11"/>
      <c r="P7374" s="11"/>
      <c r="Q7374" s="8"/>
      <c r="R7374" s="6"/>
      <c r="S7374" s="3"/>
      <c r="T7374" s="3"/>
      <c r="U7374" s="65"/>
    </row>
    <row r="7375" spans="3:21">
      <c r="C7375" s="4"/>
      <c r="D7375" s="4"/>
      <c r="E7375" s="5"/>
      <c r="F7375" s="6"/>
      <c r="G7375" s="31"/>
      <c r="H7375" s="6"/>
      <c r="I7375" s="9"/>
      <c r="J7375" s="24"/>
      <c r="K7375" s="9"/>
      <c r="L7375" s="25"/>
      <c r="M7375" s="7"/>
      <c r="N7375" s="8"/>
      <c r="O7375" s="11"/>
      <c r="P7375" s="11"/>
      <c r="Q7375" s="8"/>
      <c r="R7375" s="6"/>
      <c r="S7375" s="3"/>
      <c r="T7375" s="3"/>
      <c r="U7375" s="65"/>
    </row>
    <row r="7376" spans="3:21">
      <c r="C7376" s="4"/>
      <c r="D7376" s="4"/>
      <c r="E7376" s="5"/>
      <c r="F7376" s="6"/>
      <c r="G7376" s="31"/>
      <c r="H7376" s="6"/>
      <c r="I7376" s="9"/>
      <c r="J7376" s="24"/>
      <c r="K7376" s="9"/>
      <c r="L7376" s="25"/>
      <c r="M7376" s="7"/>
      <c r="N7376" s="8"/>
      <c r="O7376" s="11"/>
      <c r="P7376" s="11"/>
      <c r="Q7376" s="8"/>
      <c r="R7376" s="6"/>
      <c r="S7376" s="3"/>
      <c r="T7376" s="3"/>
      <c r="U7376" s="65"/>
    </row>
    <row r="7377" spans="3:21">
      <c r="C7377" s="4"/>
      <c r="D7377" s="4"/>
      <c r="E7377" s="5"/>
      <c r="F7377" s="6"/>
      <c r="G7377" s="31"/>
      <c r="H7377" s="6"/>
      <c r="I7377" s="9"/>
      <c r="J7377" s="24"/>
      <c r="K7377" s="9"/>
      <c r="L7377" s="25"/>
      <c r="M7377" s="7"/>
      <c r="N7377" s="8"/>
      <c r="O7377" s="11"/>
      <c r="P7377" s="11"/>
      <c r="Q7377" s="8"/>
      <c r="R7377" s="6"/>
      <c r="S7377" s="3"/>
      <c r="T7377" s="3"/>
      <c r="U7377" s="65"/>
    </row>
    <row r="7378" spans="3:21">
      <c r="C7378" s="4"/>
      <c r="D7378" s="4"/>
      <c r="E7378" s="5"/>
      <c r="F7378" s="6"/>
      <c r="G7378" s="31"/>
      <c r="H7378" s="6"/>
      <c r="I7378" s="9"/>
      <c r="J7378" s="24"/>
      <c r="K7378" s="9"/>
      <c r="L7378" s="25"/>
      <c r="M7378" s="7"/>
      <c r="N7378" s="8"/>
      <c r="O7378" s="11"/>
      <c r="P7378" s="11"/>
      <c r="Q7378" s="8"/>
      <c r="R7378" s="6"/>
      <c r="S7378" s="3"/>
      <c r="T7378" s="3"/>
      <c r="U7378" s="65"/>
    </row>
    <row r="7379" spans="3:21">
      <c r="C7379" s="4"/>
      <c r="D7379" s="4"/>
      <c r="E7379" s="5"/>
      <c r="F7379" s="6"/>
      <c r="G7379" s="31"/>
      <c r="H7379" s="6"/>
      <c r="I7379" s="9"/>
      <c r="J7379" s="24"/>
      <c r="K7379" s="10"/>
      <c r="L7379" s="25"/>
      <c r="M7379" s="7"/>
      <c r="N7379" s="8"/>
      <c r="O7379" s="11"/>
      <c r="P7379" s="11"/>
      <c r="Q7379" s="8"/>
      <c r="R7379" s="6"/>
      <c r="S7379" s="3"/>
      <c r="T7379" s="3"/>
      <c r="U7379" s="65"/>
    </row>
    <row r="7380" spans="3:21">
      <c r="C7380" s="4"/>
      <c r="D7380" s="4"/>
      <c r="E7380" s="5"/>
      <c r="F7380" s="6"/>
      <c r="G7380" s="31"/>
      <c r="H7380" s="6"/>
      <c r="I7380" s="9"/>
      <c r="J7380" s="24"/>
      <c r="K7380" s="10"/>
      <c r="L7380" s="25"/>
      <c r="M7380" s="7"/>
      <c r="N7380" s="8"/>
      <c r="O7380" s="11"/>
      <c r="P7380" s="11"/>
      <c r="Q7380" s="8"/>
      <c r="R7380" s="6"/>
      <c r="S7380" s="3"/>
      <c r="T7380" s="3"/>
      <c r="U7380" s="65"/>
    </row>
    <row r="7381" spans="3:21">
      <c r="C7381" s="4"/>
      <c r="D7381" s="4"/>
      <c r="E7381" s="5"/>
      <c r="F7381" s="6"/>
      <c r="G7381" s="31"/>
      <c r="H7381" s="6"/>
      <c r="I7381" s="9"/>
      <c r="J7381" s="24"/>
      <c r="K7381" s="10"/>
      <c r="L7381" s="25"/>
      <c r="M7381" s="7"/>
      <c r="N7381" s="8"/>
      <c r="O7381" s="11"/>
      <c r="P7381" s="11"/>
      <c r="Q7381" s="8"/>
      <c r="R7381" s="6"/>
      <c r="S7381" s="3"/>
      <c r="T7381" s="3"/>
      <c r="U7381" s="65"/>
    </row>
    <row r="7382" spans="3:21">
      <c r="C7382" s="4"/>
      <c r="D7382" s="4"/>
      <c r="E7382" s="5"/>
      <c r="F7382" s="6"/>
      <c r="G7382" s="31"/>
      <c r="H7382" s="6"/>
      <c r="I7382" s="9"/>
      <c r="J7382" s="24"/>
      <c r="K7382" s="9"/>
      <c r="L7382" s="25"/>
      <c r="M7382" s="7"/>
      <c r="N7382" s="8"/>
      <c r="O7382" s="11"/>
      <c r="P7382" s="11"/>
      <c r="Q7382" s="8"/>
      <c r="R7382" s="6"/>
      <c r="S7382" s="3"/>
      <c r="T7382" s="3"/>
      <c r="U7382" s="65"/>
    </row>
    <row r="7383" spans="3:21">
      <c r="C7383" s="4"/>
      <c r="D7383" s="4"/>
      <c r="E7383" s="5"/>
      <c r="F7383" s="6"/>
      <c r="G7383" s="31"/>
      <c r="H7383" s="6"/>
      <c r="I7383" s="9"/>
      <c r="J7383" s="24"/>
      <c r="K7383" s="9"/>
      <c r="L7383" s="25"/>
      <c r="M7383" s="7"/>
      <c r="N7383" s="8"/>
      <c r="O7383" s="11"/>
      <c r="P7383" s="11"/>
      <c r="Q7383" s="8"/>
      <c r="R7383" s="6"/>
      <c r="S7383" s="3"/>
      <c r="T7383" s="3"/>
      <c r="U7383" s="65"/>
    </row>
    <row r="7384" spans="3:21">
      <c r="C7384" s="4"/>
      <c r="D7384" s="4"/>
      <c r="E7384" s="5"/>
      <c r="F7384" s="6"/>
      <c r="G7384" s="31"/>
      <c r="H7384" s="6"/>
      <c r="I7384" s="9"/>
      <c r="J7384" s="24"/>
      <c r="K7384" s="9"/>
      <c r="L7384" s="25"/>
      <c r="M7384" s="7"/>
      <c r="N7384" s="8"/>
      <c r="O7384" s="11"/>
      <c r="P7384" s="11"/>
      <c r="Q7384" s="8"/>
      <c r="R7384" s="6"/>
      <c r="S7384" s="3"/>
      <c r="T7384" s="3"/>
      <c r="U7384" s="65"/>
    </row>
    <row r="7385" spans="3:21">
      <c r="C7385" s="4"/>
      <c r="D7385" s="4"/>
      <c r="E7385" s="5"/>
      <c r="F7385" s="6"/>
      <c r="G7385" s="31"/>
      <c r="H7385" s="6"/>
      <c r="I7385" s="9"/>
      <c r="J7385" s="24"/>
      <c r="K7385" s="10"/>
      <c r="L7385" s="25"/>
      <c r="M7385" s="7"/>
      <c r="N7385" s="8"/>
      <c r="O7385" s="11"/>
      <c r="P7385" s="11"/>
      <c r="Q7385" s="8"/>
      <c r="R7385" s="6"/>
      <c r="S7385" s="3"/>
      <c r="T7385" s="3"/>
      <c r="U7385" s="65"/>
    </row>
    <row r="7386" spans="3:21">
      <c r="C7386" s="4"/>
      <c r="D7386" s="4"/>
      <c r="E7386" s="5"/>
      <c r="F7386" s="6"/>
      <c r="G7386" s="31"/>
      <c r="H7386" s="6"/>
      <c r="I7386" s="9"/>
      <c r="J7386" s="24"/>
      <c r="K7386" s="9"/>
      <c r="L7386" s="25"/>
      <c r="M7386" s="7"/>
      <c r="N7386" s="8"/>
      <c r="O7386" s="11"/>
      <c r="P7386" s="11"/>
      <c r="Q7386" s="8"/>
      <c r="R7386" s="6"/>
      <c r="S7386" s="3"/>
      <c r="T7386" s="3"/>
      <c r="U7386" s="65"/>
    </row>
    <row r="7387" spans="3:21">
      <c r="C7387" s="4"/>
      <c r="D7387" s="4"/>
      <c r="E7387" s="5"/>
      <c r="F7387" s="6"/>
      <c r="G7387" s="31"/>
      <c r="H7387" s="6"/>
      <c r="I7387" s="9"/>
      <c r="J7387" s="24"/>
      <c r="K7387" s="9"/>
      <c r="L7387" s="25"/>
      <c r="M7387" s="7"/>
      <c r="N7387" s="8"/>
      <c r="O7387" s="11"/>
      <c r="P7387" s="11"/>
      <c r="Q7387" s="8"/>
      <c r="R7387" s="6"/>
      <c r="S7387" s="3"/>
      <c r="T7387" s="3"/>
      <c r="U7387" s="65"/>
    </row>
    <row r="7388" spans="3:21">
      <c r="C7388" s="4"/>
      <c r="D7388" s="4"/>
      <c r="E7388" s="5"/>
      <c r="F7388" s="6"/>
      <c r="G7388" s="31"/>
      <c r="H7388" s="6"/>
      <c r="I7388" s="9"/>
      <c r="J7388" s="24"/>
      <c r="K7388" s="10"/>
      <c r="L7388" s="25"/>
      <c r="M7388" s="7"/>
      <c r="N7388" s="8"/>
      <c r="O7388" s="11"/>
      <c r="P7388" s="11"/>
      <c r="Q7388" s="8"/>
      <c r="R7388" s="6"/>
      <c r="S7388" s="3"/>
      <c r="T7388" s="3"/>
      <c r="U7388" s="65"/>
    </row>
    <row r="7389" spans="3:21">
      <c r="C7389" s="4"/>
      <c r="D7389" s="4"/>
      <c r="E7389" s="5"/>
      <c r="F7389" s="6"/>
      <c r="G7389" s="31"/>
      <c r="H7389" s="6"/>
      <c r="I7389" s="9"/>
      <c r="J7389" s="24"/>
      <c r="K7389" s="9"/>
      <c r="L7389" s="25"/>
      <c r="M7389" s="7"/>
      <c r="N7389" s="8"/>
      <c r="O7389" s="11"/>
      <c r="P7389" s="11"/>
      <c r="Q7389" s="8"/>
      <c r="R7389" s="6"/>
      <c r="S7389" s="3"/>
      <c r="T7389" s="3"/>
      <c r="U7389" s="65"/>
    </row>
    <row r="7390" spans="3:21">
      <c r="C7390" s="4"/>
      <c r="D7390" s="4"/>
      <c r="E7390" s="5"/>
      <c r="F7390" s="6"/>
      <c r="G7390" s="31"/>
      <c r="H7390" s="6"/>
      <c r="I7390" s="9"/>
      <c r="J7390" s="24"/>
      <c r="K7390" s="9"/>
      <c r="L7390" s="25"/>
      <c r="M7390" s="7"/>
      <c r="N7390" s="8"/>
      <c r="O7390" s="11"/>
      <c r="P7390" s="11"/>
      <c r="Q7390" s="8"/>
      <c r="R7390" s="6"/>
      <c r="S7390" s="3"/>
      <c r="T7390" s="3"/>
      <c r="U7390" s="65"/>
    </row>
    <row r="7391" spans="3:21">
      <c r="C7391" s="4"/>
      <c r="D7391" s="4"/>
      <c r="E7391" s="5"/>
      <c r="F7391" s="6"/>
      <c r="G7391" s="31"/>
      <c r="H7391" s="6"/>
      <c r="I7391" s="9"/>
      <c r="J7391" s="24"/>
      <c r="K7391" s="10"/>
      <c r="L7391" s="25"/>
      <c r="M7391" s="56"/>
      <c r="N7391" s="8"/>
      <c r="O7391" s="11"/>
      <c r="P7391" s="11"/>
      <c r="Q7391" s="8"/>
      <c r="R7391" s="6"/>
      <c r="S7391" s="3"/>
      <c r="T7391" s="3"/>
      <c r="U7391" s="65"/>
    </row>
    <row r="7392" spans="3:21">
      <c r="C7392" s="4"/>
      <c r="D7392" s="4"/>
      <c r="E7392" s="5"/>
      <c r="F7392" s="6"/>
      <c r="G7392" s="31"/>
      <c r="H7392" s="6"/>
      <c r="I7392" s="9"/>
      <c r="J7392" s="24"/>
      <c r="K7392" s="9"/>
      <c r="L7392" s="25"/>
      <c r="M7392" s="7"/>
      <c r="N7392" s="8"/>
      <c r="O7392" s="11"/>
      <c r="P7392" s="11"/>
      <c r="Q7392" s="8"/>
      <c r="R7392" s="6"/>
      <c r="S7392" s="3"/>
      <c r="T7392" s="3"/>
      <c r="U7392" s="65"/>
    </row>
    <row r="7393" spans="3:21">
      <c r="C7393" s="4"/>
      <c r="D7393" s="4"/>
      <c r="E7393" s="5"/>
      <c r="F7393" s="6"/>
      <c r="G7393" s="31"/>
      <c r="H7393" s="6"/>
      <c r="I7393" s="9"/>
      <c r="J7393" s="24"/>
      <c r="K7393" s="9"/>
      <c r="L7393" s="25"/>
      <c r="M7393" s="7"/>
      <c r="N7393" s="8"/>
      <c r="O7393" s="11"/>
      <c r="P7393" s="11"/>
      <c r="Q7393" s="8"/>
      <c r="R7393" s="6"/>
      <c r="S7393" s="3"/>
      <c r="T7393" s="3"/>
      <c r="U7393" s="65"/>
    </row>
    <row r="7394" spans="3:21">
      <c r="C7394" s="4"/>
      <c r="D7394" s="4"/>
      <c r="E7394" s="5"/>
      <c r="F7394" s="6"/>
      <c r="G7394" s="31"/>
      <c r="H7394" s="6"/>
      <c r="I7394" s="9"/>
      <c r="J7394" s="24"/>
      <c r="K7394" s="9"/>
      <c r="L7394" s="25"/>
      <c r="M7394" s="7"/>
      <c r="N7394" s="8"/>
      <c r="O7394" s="11"/>
      <c r="P7394" s="11"/>
      <c r="Q7394" s="8"/>
      <c r="R7394" s="6"/>
      <c r="S7394" s="3"/>
      <c r="T7394" s="3"/>
      <c r="U7394" s="65"/>
    </row>
    <row r="7395" spans="3:21">
      <c r="C7395" s="4"/>
      <c r="D7395" s="4"/>
      <c r="E7395" s="5"/>
      <c r="F7395" s="6"/>
      <c r="G7395" s="31"/>
      <c r="H7395" s="6"/>
      <c r="I7395" s="9"/>
      <c r="J7395" s="24"/>
      <c r="K7395" s="10"/>
      <c r="L7395" s="25"/>
      <c r="M7395" s="7"/>
      <c r="N7395" s="8"/>
      <c r="O7395" s="11"/>
      <c r="P7395" s="11"/>
      <c r="Q7395" s="8"/>
      <c r="R7395" s="6"/>
      <c r="S7395" s="3"/>
      <c r="T7395" s="3"/>
      <c r="U7395" s="65"/>
    </row>
    <row r="7396" spans="3:21">
      <c r="C7396" s="4"/>
      <c r="D7396" s="4"/>
      <c r="E7396" s="5"/>
      <c r="F7396" s="6"/>
      <c r="G7396" s="31"/>
      <c r="H7396" s="6"/>
      <c r="I7396" s="9"/>
      <c r="J7396" s="24"/>
      <c r="K7396" s="9"/>
      <c r="L7396" s="25"/>
      <c r="M7396" s="7"/>
      <c r="N7396" s="8"/>
      <c r="O7396" s="11"/>
      <c r="P7396" s="11"/>
      <c r="Q7396" s="8"/>
      <c r="R7396" s="6"/>
      <c r="S7396" s="3"/>
      <c r="T7396" s="3"/>
      <c r="U7396" s="65"/>
    </row>
    <row r="7397" spans="3:21">
      <c r="C7397" s="4"/>
      <c r="D7397" s="4"/>
      <c r="E7397" s="5"/>
      <c r="F7397" s="6"/>
      <c r="G7397" s="31"/>
      <c r="H7397" s="6"/>
      <c r="I7397" s="9"/>
      <c r="J7397" s="24"/>
      <c r="K7397" s="9"/>
      <c r="L7397" s="25"/>
      <c r="M7397" s="7"/>
      <c r="N7397" s="8"/>
      <c r="O7397" s="11"/>
      <c r="P7397" s="11"/>
      <c r="Q7397" s="8"/>
      <c r="R7397" s="6"/>
      <c r="S7397" s="3"/>
      <c r="T7397" s="3"/>
      <c r="U7397" s="65"/>
    </row>
    <row r="7398" spans="3:21">
      <c r="C7398" s="4"/>
      <c r="D7398" s="4"/>
      <c r="E7398" s="5"/>
      <c r="F7398" s="6"/>
      <c r="G7398" s="31"/>
      <c r="H7398" s="6"/>
      <c r="I7398" s="9"/>
      <c r="J7398" s="24"/>
      <c r="K7398" s="9"/>
      <c r="L7398" s="25"/>
      <c r="M7398" s="7"/>
      <c r="N7398" s="8"/>
      <c r="O7398" s="11"/>
      <c r="P7398" s="11"/>
      <c r="Q7398" s="8"/>
      <c r="R7398" s="6"/>
      <c r="S7398" s="3"/>
      <c r="T7398" s="3"/>
      <c r="U7398" s="65"/>
    </row>
    <row r="7399" spans="3:21">
      <c r="C7399" s="4"/>
      <c r="D7399" s="4"/>
      <c r="E7399" s="5"/>
      <c r="F7399" s="6"/>
      <c r="G7399" s="31"/>
      <c r="H7399" s="6"/>
      <c r="I7399" s="9"/>
      <c r="J7399" s="24"/>
      <c r="K7399" s="9"/>
      <c r="L7399" s="25"/>
      <c r="M7399" s="7"/>
      <c r="N7399" s="8"/>
      <c r="O7399" s="11"/>
      <c r="P7399" s="11"/>
      <c r="Q7399" s="8"/>
      <c r="R7399" s="6"/>
      <c r="S7399" s="3"/>
      <c r="T7399" s="3"/>
      <c r="U7399" s="65"/>
    </row>
    <row r="7400" spans="3:21">
      <c r="C7400" s="4"/>
      <c r="D7400" s="4"/>
      <c r="E7400" s="5"/>
      <c r="F7400" s="6"/>
      <c r="G7400" s="31"/>
      <c r="H7400" s="6"/>
      <c r="I7400" s="9"/>
      <c r="J7400" s="24"/>
      <c r="K7400" s="10"/>
      <c r="L7400" s="25"/>
      <c r="M7400" s="7"/>
      <c r="N7400" s="8"/>
      <c r="O7400" s="11"/>
      <c r="P7400" s="11"/>
      <c r="Q7400" s="8"/>
      <c r="R7400" s="6"/>
      <c r="S7400" s="3"/>
      <c r="T7400" s="3"/>
      <c r="U7400" s="65"/>
    </row>
    <row r="7401" spans="3:21">
      <c r="C7401" s="4"/>
      <c r="D7401" s="4"/>
      <c r="E7401" s="5"/>
      <c r="F7401" s="6"/>
      <c r="G7401" s="31"/>
      <c r="H7401" s="6"/>
      <c r="I7401" s="9"/>
      <c r="J7401" s="24"/>
      <c r="K7401" s="10"/>
      <c r="L7401" s="25"/>
      <c r="M7401" s="7"/>
      <c r="N7401" s="8"/>
      <c r="O7401" s="11"/>
      <c r="P7401" s="11"/>
      <c r="Q7401" s="8"/>
      <c r="R7401" s="6"/>
      <c r="S7401" s="3"/>
      <c r="T7401" s="3"/>
      <c r="U7401" s="65"/>
    </row>
    <row r="7402" spans="3:21">
      <c r="C7402" s="4"/>
      <c r="D7402" s="4"/>
      <c r="E7402" s="5"/>
      <c r="F7402" s="6"/>
      <c r="G7402" s="31"/>
      <c r="H7402" s="6"/>
      <c r="I7402" s="9"/>
      <c r="J7402" s="24"/>
      <c r="K7402" s="10"/>
      <c r="L7402" s="25"/>
      <c r="M7402" s="7"/>
      <c r="N7402" s="8"/>
      <c r="O7402" s="11"/>
      <c r="P7402" s="11"/>
      <c r="Q7402" s="8"/>
      <c r="R7402" s="6"/>
      <c r="S7402" s="3"/>
      <c r="T7402" s="3"/>
      <c r="U7402" s="65"/>
    </row>
    <row r="7403" spans="3:21">
      <c r="C7403" s="4"/>
      <c r="D7403" s="4"/>
      <c r="E7403" s="5"/>
      <c r="F7403" s="6"/>
      <c r="G7403" s="31"/>
      <c r="H7403" s="6"/>
      <c r="I7403" s="9"/>
      <c r="J7403" s="24"/>
      <c r="K7403" s="10"/>
      <c r="L7403" s="25"/>
      <c r="M7403" s="7"/>
      <c r="N7403" s="8"/>
      <c r="O7403" s="11"/>
      <c r="P7403" s="11"/>
      <c r="Q7403" s="8"/>
      <c r="R7403" s="6"/>
      <c r="S7403" s="3"/>
      <c r="T7403" s="3"/>
      <c r="U7403" s="65"/>
    </row>
    <row r="7404" spans="3:21">
      <c r="C7404" s="4"/>
      <c r="D7404" s="4"/>
      <c r="E7404" s="5"/>
      <c r="F7404" s="6"/>
      <c r="G7404" s="31"/>
      <c r="H7404" s="6"/>
      <c r="I7404" s="9"/>
      <c r="J7404" s="24"/>
      <c r="K7404" s="10"/>
      <c r="L7404" s="25"/>
      <c r="M7404" s="7"/>
      <c r="N7404" s="8"/>
      <c r="O7404" s="11"/>
      <c r="P7404" s="11"/>
      <c r="Q7404" s="8"/>
      <c r="R7404" s="6"/>
      <c r="S7404" s="3"/>
      <c r="T7404" s="3"/>
      <c r="U7404" s="65"/>
    </row>
    <row r="7405" spans="3:21">
      <c r="C7405" s="4"/>
      <c r="D7405" s="4"/>
      <c r="E7405" s="5"/>
      <c r="F7405" s="6"/>
      <c r="G7405" s="31"/>
      <c r="H7405" s="6"/>
      <c r="I7405" s="9"/>
      <c r="J7405" s="24"/>
      <c r="K7405" s="10"/>
      <c r="L7405" s="25"/>
      <c r="M7405" s="7"/>
      <c r="N7405" s="8"/>
      <c r="O7405" s="11"/>
      <c r="P7405" s="11"/>
      <c r="Q7405" s="8"/>
      <c r="R7405" s="6"/>
      <c r="S7405" s="3"/>
      <c r="T7405" s="3"/>
      <c r="U7405" s="65"/>
    </row>
    <row r="7406" spans="3:21">
      <c r="C7406" s="4"/>
      <c r="D7406" s="4"/>
      <c r="E7406" s="5"/>
      <c r="F7406" s="6"/>
      <c r="G7406" s="31"/>
      <c r="H7406" s="6"/>
      <c r="I7406" s="9"/>
      <c r="J7406" s="24"/>
      <c r="K7406" s="10"/>
      <c r="L7406" s="25"/>
      <c r="M7406" s="7"/>
      <c r="N7406" s="8"/>
      <c r="O7406" s="11"/>
      <c r="P7406" s="11"/>
      <c r="Q7406" s="8"/>
      <c r="R7406" s="6"/>
      <c r="S7406" s="3"/>
      <c r="T7406" s="3"/>
      <c r="U7406" s="65"/>
    </row>
    <row r="7407" spans="3:21">
      <c r="C7407" s="4"/>
      <c r="D7407" s="4"/>
      <c r="E7407" s="5"/>
      <c r="F7407" s="6"/>
      <c r="G7407" s="31"/>
      <c r="H7407" s="6"/>
      <c r="I7407" s="9"/>
      <c r="J7407" s="24"/>
      <c r="K7407" s="10"/>
      <c r="L7407" s="25"/>
      <c r="M7407" s="7"/>
      <c r="N7407" s="8"/>
      <c r="O7407" s="11"/>
      <c r="P7407" s="11"/>
      <c r="Q7407" s="8"/>
      <c r="R7407" s="6"/>
      <c r="S7407" s="3"/>
      <c r="T7407" s="3"/>
      <c r="U7407" s="65"/>
    </row>
    <row r="7408" spans="3:21">
      <c r="C7408" s="4"/>
      <c r="D7408" s="4"/>
      <c r="E7408" s="5"/>
      <c r="F7408" s="6"/>
      <c r="G7408" s="31"/>
      <c r="H7408" s="6"/>
      <c r="I7408" s="9"/>
      <c r="J7408" s="24"/>
      <c r="K7408" s="10"/>
      <c r="L7408" s="25"/>
      <c r="M7408" s="7"/>
      <c r="N7408" s="8"/>
      <c r="O7408" s="11"/>
      <c r="P7408" s="11"/>
      <c r="Q7408" s="8"/>
      <c r="R7408" s="6"/>
      <c r="S7408" s="3"/>
      <c r="T7408" s="3"/>
      <c r="U7408" s="65"/>
    </row>
    <row r="7409" spans="1:21">
      <c r="C7409" s="4"/>
      <c r="D7409" s="4"/>
      <c r="E7409" s="5"/>
      <c r="F7409" s="6"/>
      <c r="G7409" s="31"/>
      <c r="H7409" s="6"/>
      <c r="I7409" s="9"/>
      <c r="J7409" s="24"/>
      <c r="K7409" s="10"/>
      <c r="L7409" s="25"/>
      <c r="M7409" s="7"/>
      <c r="N7409" s="8"/>
      <c r="O7409" s="11"/>
      <c r="P7409" s="11"/>
      <c r="Q7409" s="8"/>
      <c r="R7409" s="6"/>
      <c r="S7409" s="3"/>
      <c r="T7409" s="3"/>
      <c r="U7409" s="65"/>
    </row>
    <row r="7410" spans="1:21">
      <c r="C7410" s="4"/>
      <c r="D7410" s="4"/>
      <c r="E7410" s="5"/>
      <c r="F7410" s="6"/>
      <c r="G7410" s="31"/>
      <c r="H7410" s="6"/>
      <c r="I7410" s="9"/>
      <c r="J7410" s="24"/>
      <c r="K7410" s="10"/>
      <c r="L7410" s="25"/>
      <c r="M7410" s="7"/>
      <c r="N7410" s="8"/>
      <c r="O7410" s="11"/>
      <c r="P7410" s="11"/>
      <c r="Q7410" s="8"/>
      <c r="R7410" s="6"/>
      <c r="S7410" s="3"/>
      <c r="T7410" s="3"/>
      <c r="U7410" s="65"/>
    </row>
    <row r="7411" spans="1:21">
      <c r="C7411" s="4"/>
      <c r="D7411" s="4"/>
      <c r="E7411" s="5"/>
      <c r="F7411" s="6"/>
      <c r="G7411" s="31"/>
      <c r="H7411" s="6"/>
      <c r="I7411" s="9"/>
      <c r="J7411" s="24"/>
      <c r="K7411" s="10"/>
      <c r="L7411" s="25"/>
      <c r="M7411" s="7"/>
      <c r="N7411" s="8"/>
      <c r="O7411" s="11"/>
      <c r="P7411" s="11"/>
      <c r="Q7411" s="8"/>
      <c r="R7411" s="6"/>
      <c r="S7411" s="3"/>
      <c r="T7411" s="3"/>
      <c r="U7411" s="65"/>
    </row>
    <row r="7412" spans="1:21">
      <c r="C7412" s="4"/>
      <c r="D7412" s="4"/>
      <c r="E7412" s="5"/>
      <c r="F7412" s="6"/>
      <c r="G7412" s="31"/>
      <c r="H7412" s="6"/>
      <c r="I7412" s="9"/>
      <c r="J7412" s="24"/>
      <c r="K7412" s="9"/>
      <c r="L7412" s="25"/>
      <c r="M7412" s="7"/>
      <c r="N7412" s="8"/>
      <c r="O7412" s="11"/>
      <c r="P7412" s="11"/>
      <c r="Q7412" s="8"/>
      <c r="R7412" s="6"/>
      <c r="S7412" s="3"/>
      <c r="T7412" s="3"/>
      <c r="U7412" s="65"/>
    </row>
    <row r="7413" spans="1:21">
      <c r="C7413" s="4"/>
      <c r="D7413" s="4"/>
      <c r="E7413" s="5"/>
      <c r="F7413" s="6"/>
      <c r="G7413" s="31"/>
      <c r="H7413" s="6"/>
      <c r="I7413" s="9"/>
      <c r="J7413" s="24"/>
      <c r="K7413" s="9"/>
      <c r="L7413" s="25"/>
      <c r="M7413" s="25"/>
      <c r="N7413" s="8"/>
      <c r="O7413" s="11"/>
      <c r="P7413" s="11"/>
      <c r="Q7413" s="8"/>
      <c r="R7413" s="6"/>
      <c r="S7413" s="3"/>
      <c r="T7413" s="3"/>
      <c r="U7413" s="65"/>
    </row>
    <row r="7414" spans="1:21">
      <c r="C7414" s="4"/>
      <c r="D7414" s="4"/>
      <c r="E7414" s="5"/>
      <c r="F7414" s="6"/>
      <c r="G7414" s="31"/>
      <c r="H7414" s="6"/>
      <c r="I7414" s="9"/>
      <c r="J7414" s="24"/>
      <c r="K7414" s="9"/>
      <c r="L7414" s="25"/>
      <c r="M7414" s="25"/>
      <c r="N7414" s="8"/>
      <c r="O7414" s="11"/>
      <c r="P7414" s="11"/>
      <c r="Q7414" s="8"/>
      <c r="R7414" s="6"/>
      <c r="S7414" s="3"/>
      <c r="T7414" s="3"/>
      <c r="U7414" s="65"/>
    </row>
    <row r="7415" spans="1:21">
      <c r="C7415" s="4"/>
      <c r="D7415" s="4"/>
      <c r="E7415" s="5"/>
      <c r="F7415" s="6"/>
      <c r="G7415" s="31"/>
      <c r="H7415" s="6"/>
      <c r="I7415" s="9"/>
      <c r="J7415" s="24"/>
      <c r="K7415" s="10"/>
      <c r="L7415" s="25"/>
      <c r="M7415" s="7"/>
      <c r="N7415" s="8"/>
      <c r="O7415" s="11"/>
      <c r="P7415" s="11"/>
      <c r="Q7415" s="8"/>
      <c r="R7415" s="6"/>
      <c r="S7415" s="3"/>
      <c r="T7415" s="3"/>
      <c r="U7415" s="65"/>
    </row>
    <row r="7416" spans="1:21">
      <c r="A7416"/>
      <c r="B7416"/>
      <c r="C7416" s="4"/>
      <c r="D7416" s="4"/>
      <c r="E7416" s="5"/>
      <c r="F7416" s="6"/>
      <c r="G7416" s="31"/>
      <c r="H7416" s="6"/>
      <c r="I7416" s="9"/>
      <c r="J7416" s="24"/>
      <c r="K7416" s="10"/>
      <c r="L7416" s="25"/>
      <c r="M7416" s="7"/>
      <c r="N7416" s="8"/>
      <c r="O7416" s="11"/>
      <c r="P7416" s="11"/>
      <c r="Q7416" s="8"/>
      <c r="R7416" s="6"/>
      <c r="S7416" s="3"/>
      <c r="T7416" s="3"/>
      <c r="U7416" s="65"/>
    </row>
    <row r="7417" spans="1:21">
      <c r="A7417"/>
      <c r="B7417"/>
      <c r="C7417" s="4"/>
      <c r="D7417" s="4"/>
      <c r="E7417" s="5"/>
      <c r="F7417" s="6"/>
      <c r="G7417" s="31"/>
      <c r="H7417" s="6"/>
      <c r="I7417" s="9"/>
      <c r="J7417" s="24"/>
      <c r="K7417" s="9"/>
      <c r="L7417" s="25"/>
      <c r="M7417" s="7"/>
      <c r="N7417" s="8"/>
      <c r="O7417" s="11"/>
      <c r="P7417" s="11"/>
      <c r="Q7417" s="8"/>
      <c r="R7417" s="6"/>
      <c r="S7417" s="3"/>
      <c r="T7417" s="3"/>
      <c r="U7417" s="65"/>
    </row>
    <row r="7418" spans="1:21">
      <c r="A7418"/>
      <c r="B7418"/>
      <c r="C7418" s="4"/>
      <c r="D7418" s="4"/>
      <c r="E7418" s="5"/>
      <c r="F7418" s="6"/>
      <c r="G7418" s="31"/>
      <c r="H7418" s="6"/>
      <c r="I7418" s="9"/>
      <c r="J7418" s="24"/>
      <c r="K7418" s="9"/>
      <c r="L7418" s="25"/>
      <c r="M7418" s="7"/>
      <c r="N7418" s="8"/>
      <c r="O7418" s="11"/>
      <c r="P7418" s="11"/>
      <c r="Q7418" s="8"/>
      <c r="R7418" s="6"/>
      <c r="S7418" s="3"/>
      <c r="T7418" s="3"/>
      <c r="U7418" s="65"/>
    </row>
    <row r="7419" spans="1:21">
      <c r="A7419"/>
      <c r="B7419"/>
      <c r="C7419" s="4"/>
      <c r="D7419" s="4"/>
      <c r="E7419" s="5"/>
      <c r="F7419" s="6"/>
      <c r="G7419" s="31"/>
      <c r="H7419" s="6"/>
      <c r="I7419" s="9"/>
      <c r="J7419" s="24"/>
      <c r="K7419" s="10"/>
      <c r="L7419" s="25"/>
      <c r="M7419" s="47"/>
      <c r="N7419" s="8"/>
      <c r="O7419" s="11"/>
      <c r="P7419" s="11"/>
      <c r="Q7419" s="8"/>
      <c r="R7419" s="6"/>
      <c r="S7419" s="3"/>
      <c r="T7419" s="3"/>
      <c r="U7419" s="65"/>
    </row>
    <row r="7420" spans="1:21">
      <c r="A7420"/>
      <c r="B7420"/>
      <c r="C7420" s="4"/>
      <c r="D7420" s="4"/>
      <c r="E7420" s="5"/>
      <c r="F7420" s="6"/>
      <c r="G7420" s="31"/>
      <c r="H7420" s="6"/>
      <c r="I7420" s="9"/>
      <c r="J7420" s="24"/>
      <c r="K7420" s="10"/>
      <c r="L7420" s="25"/>
      <c r="M7420" s="7"/>
      <c r="N7420" s="8"/>
      <c r="O7420" s="11"/>
      <c r="P7420" s="11"/>
      <c r="Q7420" s="8"/>
      <c r="R7420" s="6"/>
      <c r="S7420" s="3"/>
      <c r="T7420" s="3"/>
      <c r="U7420" s="65"/>
    </row>
    <row r="7421" spans="1:21">
      <c r="A7421"/>
      <c r="B7421"/>
      <c r="C7421" s="4"/>
      <c r="D7421" s="4"/>
      <c r="E7421" s="5"/>
      <c r="F7421" s="6"/>
      <c r="G7421" s="31"/>
      <c r="H7421" s="6"/>
      <c r="I7421" s="9"/>
      <c r="J7421" s="24"/>
      <c r="K7421" s="9"/>
      <c r="L7421" s="25"/>
      <c r="M7421" s="7"/>
      <c r="N7421" s="8"/>
      <c r="O7421" s="11"/>
      <c r="P7421" s="11"/>
      <c r="Q7421" s="8"/>
      <c r="R7421" s="6"/>
      <c r="S7421" s="3"/>
      <c r="T7421" s="3"/>
      <c r="U7421" s="65"/>
    </row>
    <row r="7422" spans="1:21">
      <c r="A7422"/>
      <c r="B7422"/>
      <c r="C7422" s="4"/>
      <c r="D7422" s="4"/>
      <c r="E7422" s="5"/>
      <c r="F7422" s="6"/>
      <c r="G7422" s="31"/>
      <c r="H7422" s="6"/>
      <c r="I7422" s="9"/>
      <c r="J7422" s="24"/>
      <c r="K7422" s="9"/>
      <c r="L7422" s="25"/>
      <c r="M7422" s="7"/>
      <c r="N7422" s="8"/>
      <c r="O7422" s="11"/>
      <c r="P7422" s="11"/>
      <c r="Q7422" s="8"/>
      <c r="R7422" s="6"/>
      <c r="S7422" s="3"/>
      <c r="T7422" s="3"/>
      <c r="U7422" s="65"/>
    </row>
    <row r="7423" spans="1:21">
      <c r="A7423"/>
      <c r="B7423"/>
      <c r="C7423" s="4"/>
      <c r="D7423" s="4"/>
      <c r="E7423" s="5"/>
      <c r="F7423" s="6"/>
      <c r="G7423" s="31"/>
      <c r="H7423" s="6"/>
      <c r="I7423" s="9"/>
      <c r="J7423" s="24"/>
      <c r="K7423" s="9"/>
      <c r="L7423" s="25"/>
      <c r="M7423" s="7"/>
      <c r="N7423" s="8"/>
      <c r="O7423" s="11"/>
      <c r="P7423" s="11"/>
      <c r="Q7423" s="8"/>
      <c r="R7423" s="6"/>
      <c r="S7423" s="3"/>
      <c r="T7423" s="3"/>
      <c r="U7423" s="65"/>
    </row>
    <row r="7424" spans="1:21">
      <c r="A7424"/>
      <c r="B7424"/>
      <c r="C7424" s="4"/>
      <c r="D7424" s="4"/>
      <c r="E7424" s="5"/>
      <c r="F7424" s="6"/>
      <c r="G7424" s="31"/>
      <c r="H7424" s="6"/>
      <c r="I7424" s="9"/>
      <c r="J7424" s="24"/>
      <c r="K7424" s="9"/>
      <c r="L7424" s="25"/>
      <c r="M7424" s="7"/>
      <c r="N7424" s="8"/>
      <c r="O7424" s="11"/>
      <c r="P7424" s="11"/>
      <c r="Q7424" s="8"/>
      <c r="R7424" s="6"/>
      <c r="S7424" s="3"/>
      <c r="T7424" s="3"/>
      <c r="U7424" s="65"/>
    </row>
    <row r="7425" spans="1:24">
      <c r="A7425"/>
      <c r="B7425"/>
      <c r="C7425" s="4"/>
      <c r="D7425" s="4"/>
      <c r="E7425" s="5"/>
      <c r="F7425" s="6"/>
      <c r="G7425" s="31"/>
      <c r="H7425" s="6"/>
      <c r="I7425" s="9"/>
      <c r="J7425" s="24"/>
      <c r="K7425" s="10"/>
      <c r="L7425" s="25"/>
      <c r="M7425" s="7"/>
      <c r="N7425" s="8"/>
      <c r="O7425" s="11"/>
      <c r="P7425" s="11"/>
      <c r="Q7425" s="8"/>
      <c r="R7425" s="6"/>
      <c r="S7425" s="3"/>
      <c r="T7425" s="3"/>
      <c r="U7425" s="65"/>
    </row>
    <row r="7426" spans="1:24">
      <c r="A7426"/>
      <c r="B7426"/>
      <c r="C7426" s="4"/>
      <c r="D7426" s="4"/>
      <c r="E7426" s="5"/>
      <c r="F7426" s="6"/>
      <c r="G7426" s="31"/>
      <c r="H7426" s="6"/>
      <c r="I7426" s="9"/>
      <c r="J7426" s="24"/>
      <c r="K7426" s="10"/>
      <c r="L7426" s="25"/>
      <c r="M7426" s="7"/>
      <c r="N7426" s="8"/>
      <c r="O7426" s="11"/>
      <c r="P7426" s="11"/>
      <c r="Q7426" s="8"/>
      <c r="R7426" s="6"/>
      <c r="S7426" s="3"/>
      <c r="T7426" s="3"/>
      <c r="U7426" s="65"/>
    </row>
    <row r="7427" spans="1:24">
      <c r="A7427"/>
      <c r="B7427"/>
      <c r="C7427" s="4"/>
      <c r="D7427" s="4"/>
      <c r="E7427" s="5"/>
      <c r="F7427" s="6"/>
      <c r="G7427" s="31"/>
      <c r="H7427" s="6"/>
      <c r="I7427" s="9"/>
      <c r="J7427" s="24"/>
      <c r="K7427" s="10"/>
      <c r="L7427" s="25"/>
      <c r="M7427" s="7"/>
      <c r="N7427" s="8"/>
      <c r="O7427" s="11"/>
      <c r="P7427" s="11"/>
      <c r="Q7427" s="8"/>
      <c r="R7427" s="6"/>
      <c r="S7427" s="3"/>
      <c r="T7427" s="3"/>
      <c r="U7427" s="65"/>
    </row>
    <row r="7428" spans="1:24">
      <c r="A7428"/>
      <c r="B7428"/>
      <c r="C7428" s="4"/>
      <c r="D7428" s="4"/>
      <c r="E7428" s="5"/>
      <c r="F7428" s="6"/>
      <c r="G7428" s="31"/>
      <c r="H7428" s="6"/>
      <c r="I7428" s="9"/>
      <c r="J7428" s="24"/>
      <c r="K7428" s="9"/>
      <c r="L7428" s="25"/>
      <c r="M7428" s="7"/>
      <c r="N7428" s="8"/>
      <c r="O7428" s="11"/>
      <c r="P7428" s="11"/>
      <c r="Q7428" s="8"/>
      <c r="R7428" s="6"/>
      <c r="S7428" s="3"/>
      <c r="T7428" s="3"/>
      <c r="U7428" s="65"/>
    </row>
    <row r="7429" spans="1:24">
      <c r="A7429"/>
      <c r="B7429"/>
      <c r="C7429" s="4"/>
      <c r="D7429" s="4"/>
      <c r="E7429" s="5"/>
      <c r="F7429" s="6"/>
      <c r="G7429" s="31"/>
      <c r="H7429" s="6"/>
      <c r="I7429" s="9"/>
      <c r="J7429" s="24"/>
      <c r="K7429" s="9"/>
      <c r="L7429" s="25"/>
      <c r="M7429" s="7"/>
      <c r="N7429" s="8"/>
      <c r="O7429" s="11"/>
      <c r="P7429" s="11"/>
      <c r="Q7429" s="8"/>
      <c r="R7429" s="6"/>
      <c r="S7429" s="3"/>
      <c r="T7429" s="3"/>
      <c r="U7429" s="65"/>
    </row>
    <row r="7430" spans="1:24">
      <c r="A7430"/>
      <c r="B7430"/>
      <c r="C7430" s="4"/>
      <c r="D7430" s="4"/>
      <c r="E7430" s="5"/>
      <c r="F7430" s="6"/>
      <c r="G7430" s="31"/>
      <c r="H7430" s="6"/>
      <c r="I7430" s="9"/>
      <c r="J7430" s="24"/>
      <c r="K7430" s="9"/>
      <c r="L7430" s="25"/>
      <c r="M7430" s="7"/>
      <c r="N7430" s="8"/>
      <c r="O7430" s="11"/>
      <c r="P7430" s="11"/>
      <c r="Q7430" s="8"/>
      <c r="R7430" s="6"/>
      <c r="S7430" s="3"/>
      <c r="T7430" s="3"/>
      <c r="U7430" s="65"/>
    </row>
    <row r="7431" spans="1:24">
      <c r="A7431"/>
      <c r="B7431"/>
      <c r="C7431" s="4"/>
      <c r="D7431" s="4"/>
      <c r="E7431" s="5"/>
      <c r="F7431" s="6"/>
      <c r="G7431" s="31"/>
      <c r="H7431" s="6"/>
      <c r="I7431" s="9"/>
      <c r="J7431" s="24"/>
      <c r="K7431" s="10"/>
      <c r="L7431" s="25"/>
      <c r="M7431" s="7"/>
      <c r="N7431" s="8"/>
      <c r="O7431" s="11"/>
      <c r="P7431" s="11"/>
      <c r="Q7431" s="8"/>
      <c r="R7431" s="6"/>
      <c r="S7431" s="3"/>
      <c r="T7431" s="3"/>
      <c r="U7431" s="65"/>
    </row>
    <row r="7432" spans="1:24">
      <c r="A7432"/>
      <c r="B7432"/>
      <c r="C7432" s="4"/>
      <c r="D7432" s="4"/>
      <c r="E7432" s="5"/>
      <c r="F7432" s="6"/>
      <c r="G7432" s="31"/>
      <c r="H7432" s="6"/>
      <c r="I7432" s="9"/>
      <c r="J7432" s="24"/>
      <c r="K7432" s="10"/>
      <c r="L7432" s="25"/>
      <c r="M7432" s="7"/>
      <c r="N7432" s="8"/>
      <c r="O7432" s="11"/>
      <c r="P7432" s="11"/>
      <c r="Q7432" s="8"/>
      <c r="R7432" s="6"/>
      <c r="S7432" s="3"/>
      <c r="T7432" s="3"/>
      <c r="U7432" s="65"/>
      <c r="V7432" s="50"/>
      <c r="X7432"/>
    </row>
    <row r="7433" spans="1:24">
      <c r="A7433"/>
      <c r="B7433"/>
      <c r="C7433" s="4"/>
      <c r="D7433" s="4"/>
      <c r="E7433" s="5"/>
      <c r="F7433" s="6"/>
      <c r="G7433" s="31"/>
      <c r="H7433" s="6"/>
      <c r="I7433" s="9"/>
      <c r="J7433" s="24"/>
      <c r="K7433" s="10"/>
      <c r="L7433" s="25"/>
      <c r="M7433" s="7"/>
      <c r="N7433" s="8"/>
      <c r="O7433" s="11"/>
      <c r="P7433" s="11"/>
      <c r="Q7433" s="8"/>
      <c r="R7433" s="6"/>
      <c r="S7433" s="3"/>
      <c r="T7433" s="3"/>
      <c r="U7433" s="65"/>
      <c r="V7433" s="50"/>
      <c r="X7433"/>
    </row>
    <row r="7434" spans="1:24">
      <c r="A7434"/>
      <c r="B7434"/>
      <c r="C7434" s="4"/>
      <c r="D7434" s="4"/>
      <c r="E7434" s="5"/>
      <c r="F7434" s="6"/>
      <c r="G7434" s="31"/>
      <c r="H7434" s="6"/>
      <c r="I7434" s="9"/>
      <c r="J7434" s="24"/>
      <c r="K7434" s="10"/>
      <c r="L7434" s="25"/>
      <c r="M7434" s="7"/>
      <c r="N7434" s="8"/>
      <c r="O7434" s="11"/>
      <c r="P7434" s="11"/>
      <c r="Q7434" s="8"/>
      <c r="R7434" s="6"/>
      <c r="S7434" s="3"/>
      <c r="T7434" s="3"/>
      <c r="U7434" s="65"/>
      <c r="V7434" s="50"/>
      <c r="X7434"/>
    </row>
    <row r="7435" spans="1:24">
      <c r="A7435"/>
      <c r="B7435"/>
      <c r="C7435" s="4"/>
      <c r="D7435" s="4"/>
      <c r="E7435" s="5"/>
      <c r="F7435" s="6"/>
      <c r="G7435" s="31"/>
      <c r="H7435" s="6"/>
      <c r="I7435" s="9"/>
      <c r="J7435" s="24"/>
      <c r="K7435" s="9"/>
      <c r="L7435" s="25"/>
      <c r="M7435" s="7"/>
      <c r="N7435" s="8"/>
      <c r="O7435" s="11"/>
      <c r="P7435" s="11"/>
      <c r="Q7435" s="8"/>
      <c r="R7435" s="6"/>
      <c r="S7435" s="3"/>
      <c r="T7435" s="3"/>
      <c r="U7435" s="65"/>
      <c r="V7435" s="50"/>
      <c r="X7435"/>
    </row>
    <row r="7436" spans="1:24">
      <c r="A7436"/>
      <c r="B7436"/>
      <c r="C7436" s="4"/>
      <c r="D7436" s="4"/>
      <c r="E7436" s="5"/>
      <c r="F7436" s="6"/>
      <c r="G7436" s="31"/>
      <c r="H7436" s="6"/>
      <c r="I7436" s="9"/>
      <c r="J7436" s="24"/>
      <c r="K7436" s="9"/>
      <c r="L7436" s="25"/>
      <c r="M7436" s="7"/>
      <c r="N7436" s="8"/>
      <c r="O7436" s="11"/>
      <c r="P7436" s="11"/>
      <c r="Q7436" s="8"/>
      <c r="R7436" s="6"/>
      <c r="S7436" s="3"/>
      <c r="T7436" s="3"/>
      <c r="U7436" s="65"/>
      <c r="V7436" s="50"/>
      <c r="X7436"/>
    </row>
    <row r="7437" spans="1:24">
      <c r="A7437"/>
      <c r="B7437"/>
      <c r="C7437" s="4"/>
      <c r="D7437" s="4"/>
      <c r="E7437" s="5"/>
      <c r="F7437" s="6"/>
      <c r="G7437" s="31"/>
      <c r="H7437" s="6"/>
      <c r="I7437" s="9"/>
      <c r="J7437" s="24"/>
      <c r="K7437" s="9"/>
      <c r="L7437" s="25"/>
      <c r="M7437" s="7"/>
      <c r="N7437" s="8"/>
      <c r="O7437" s="11"/>
      <c r="P7437" s="11"/>
      <c r="Q7437" s="8"/>
      <c r="R7437" s="6"/>
      <c r="S7437" s="3"/>
      <c r="T7437" s="3"/>
      <c r="U7437" s="65"/>
      <c r="V7437" s="50"/>
      <c r="X7437"/>
    </row>
    <row r="7438" spans="1:24">
      <c r="A7438"/>
      <c r="B7438"/>
      <c r="C7438" s="4"/>
      <c r="D7438" s="4"/>
      <c r="E7438" s="5"/>
      <c r="F7438" s="6"/>
      <c r="G7438" s="31"/>
      <c r="H7438" s="6"/>
      <c r="I7438" s="9"/>
      <c r="J7438" s="24"/>
      <c r="K7438" s="10"/>
      <c r="L7438" s="25"/>
      <c r="M7438" s="7"/>
      <c r="N7438" s="8"/>
      <c r="O7438" s="11"/>
      <c r="P7438" s="11"/>
      <c r="Q7438" s="8"/>
      <c r="R7438" s="6"/>
      <c r="S7438" s="3"/>
      <c r="T7438" s="3"/>
      <c r="U7438" s="65"/>
      <c r="V7438" s="50"/>
      <c r="X7438"/>
    </row>
    <row r="7439" spans="1:24">
      <c r="A7439"/>
      <c r="B7439"/>
      <c r="C7439" s="4"/>
      <c r="D7439" s="4"/>
      <c r="E7439" s="5"/>
      <c r="F7439" s="6"/>
      <c r="G7439" s="31"/>
      <c r="H7439" s="6"/>
      <c r="I7439" s="9"/>
      <c r="J7439" s="24"/>
      <c r="K7439" s="10"/>
      <c r="L7439" s="25"/>
      <c r="M7439" s="7"/>
      <c r="N7439" s="8"/>
      <c r="O7439" s="11"/>
      <c r="P7439" s="11"/>
      <c r="Q7439" s="8"/>
      <c r="R7439" s="6"/>
      <c r="S7439" s="3"/>
      <c r="T7439" s="3"/>
      <c r="U7439" s="65"/>
      <c r="V7439" s="50"/>
      <c r="X7439"/>
    </row>
    <row r="7440" spans="1:24">
      <c r="A7440"/>
      <c r="B7440"/>
      <c r="C7440" s="4"/>
      <c r="D7440" s="4"/>
      <c r="E7440" s="5"/>
      <c r="F7440" s="6"/>
      <c r="G7440" s="31"/>
      <c r="H7440" s="6"/>
      <c r="I7440" s="9"/>
      <c r="J7440" s="24"/>
      <c r="K7440" s="10"/>
      <c r="L7440" s="25"/>
      <c r="M7440" s="7"/>
      <c r="N7440" s="8"/>
      <c r="O7440" s="11"/>
      <c r="P7440" s="11"/>
      <c r="Q7440" s="8"/>
      <c r="R7440" s="6"/>
      <c r="S7440" s="3"/>
      <c r="T7440" s="3"/>
      <c r="U7440" s="65"/>
      <c r="V7440" s="50"/>
      <c r="X7440"/>
    </row>
    <row r="7441" spans="1:24">
      <c r="A7441"/>
      <c r="B7441"/>
      <c r="C7441" s="4"/>
      <c r="D7441" s="4"/>
      <c r="E7441" s="5"/>
      <c r="F7441" s="6"/>
      <c r="G7441" s="31"/>
      <c r="H7441" s="6"/>
      <c r="I7441" s="9"/>
      <c r="J7441" s="24"/>
      <c r="K7441" s="9"/>
      <c r="L7441" s="25"/>
      <c r="M7441" s="7"/>
      <c r="N7441" s="8"/>
      <c r="O7441" s="11"/>
      <c r="P7441" s="11"/>
      <c r="Q7441" s="8"/>
      <c r="R7441" s="6"/>
      <c r="S7441" s="3"/>
      <c r="T7441" s="3"/>
      <c r="U7441" s="65"/>
      <c r="V7441" s="50"/>
      <c r="X7441"/>
    </row>
    <row r="7442" spans="1:24">
      <c r="A7442"/>
      <c r="B7442"/>
      <c r="C7442" s="4"/>
      <c r="D7442" s="4"/>
      <c r="E7442" s="5"/>
      <c r="F7442" s="6"/>
      <c r="G7442" s="31"/>
      <c r="H7442" s="6"/>
      <c r="I7442" s="9"/>
      <c r="J7442" s="24"/>
      <c r="K7442" s="9"/>
      <c r="L7442" s="25"/>
      <c r="M7442" s="7"/>
      <c r="N7442" s="8"/>
      <c r="O7442" s="11"/>
      <c r="P7442" s="11"/>
      <c r="Q7442" s="8"/>
      <c r="R7442" s="6"/>
      <c r="S7442" s="3"/>
      <c r="T7442" s="3"/>
      <c r="U7442" s="65"/>
      <c r="V7442" s="50"/>
      <c r="X7442"/>
    </row>
    <row r="7443" spans="1:24">
      <c r="A7443"/>
      <c r="B7443"/>
      <c r="C7443" s="4"/>
      <c r="D7443" s="4"/>
      <c r="E7443" s="5"/>
      <c r="F7443" s="6"/>
      <c r="G7443" s="31"/>
      <c r="H7443" s="6"/>
      <c r="I7443" s="9"/>
      <c r="J7443" s="24"/>
      <c r="K7443" s="9"/>
      <c r="L7443" s="25"/>
      <c r="M7443" s="7"/>
      <c r="N7443" s="8"/>
      <c r="O7443" s="11"/>
      <c r="P7443" s="11"/>
      <c r="Q7443" s="8"/>
      <c r="R7443" s="6"/>
      <c r="S7443" s="3"/>
      <c r="T7443" s="3"/>
      <c r="U7443" s="65"/>
      <c r="V7443" s="50"/>
      <c r="X7443"/>
    </row>
    <row r="7444" spans="1:24">
      <c r="A7444"/>
      <c r="B7444"/>
      <c r="C7444" s="4"/>
      <c r="D7444" s="4"/>
      <c r="E7444" s="5"/>
      <c r="F7444" s="6"/>
      <c r="G7444" s="31"/>
      <c r="H7444" s="6"/>
      <c r="I7444" s="9"/>
      <c r="J7444" s="24"/>
      <c r="K7444" s="9"/>
      <c r="L7444" s="25"/>
      <c r="M7444" s="7"/>
      <c r="N7444" s="8"/>
      <c r="O7444" s="11"/>
      <c r="P7444" s="11"/>
      <c r="Q7444" s="8"/>
      <c r="R7444" s="6"/>
      <c r="S7444" s="3"/>
      <c r="T7444" s="3"/>
      <c r="U7444" s="65"/>
      <c r="V7444" s="50"/>
      <c r="X7444"/>
    </row>
    <row r="7445" spans="1:24">
      <c r="A7445"/>
      <c r="B7445"/>
      <c r="C7445" s="4"/>
      <c r="D7445" s="4"/>
      <c r="E7445" s="5"/>
      <c r="F7445" s="6"/>
      <c r="G7445" s="31"/>
      <c r="H7445" s="6"/>
      <c r="I7445" s="9"/>
      <c r="J7445" s="24"/>
      <c r="K7445" s="10"/>
      <c r="L7445" s="25"/>
      <c r="M7445" s="7"/>
      <c r="N7445" s="8"/>
      <c r="O7445" s="11"/>
      <c r="P7445" s="11"/>
      <c r="Q7445" s="8"/>
      <c r="R7445" s="6"/>
      <c r="S7445" s="3"/>
      <c r="T7445" s="3"/>
      <c r="U7445" s="65"/>
      <c r="V7445" s="50"/>
      <c r="X7445"/>
    </row>
    <row r="7446" spans="1:24">
      <c r="A7446"/>
      <c r="B7446"/>
      <c r="C7446" s="4"/>
      <c r="D7446" s="4"/>
      <c r="E7446" s="5"/>
      <c r="F7446" s="6"/>
      <c r="G7446" s="31"/>
      <c r="H7446" s="6"/>
      <c r="I7446" s="9"/>
      <c r="J7446" s="24"/>
      <c r="K7446" s="9"/>
      <c r="L7446" s="25"/>
      <c r="M7446" s="7"/>
      <c r="N7446" s="8"/>
      <c r="O7446" s="11"/>
      <c r="P7446" s="11"/>
      <c r="Q7446" s="8"/>
      <c r="R7446" s="6"/>
      <c r="S7446" s="3"/>
      <c r="T7446" s="3"/>
      <c r="U7446" s="65"/>
      <c r="V7446" s="50"/>
      <c r="X7446"/>
    </row>
    <row r="7447" spans="1:24">
      <c r="A7447"/>
      <c r="B7447"/>
      <c r="C7447" s="4"/>
      <c r="D7447" s="4"/>
      <c r="E7447" s="5"/>
      <c r="F7447" s="6"/>
      <c r="G7447" s="31"/>
      <c r="H7447" s="6"/>
      <c r="I7447" s="9"/>
      <c r="J7447" s="24"/>
      <c r="K7447" s="9"/>
      <c r="L7447" s="25"/>
      <c r="M7447" s="7"/>
      <c r="N7447" s="8"/>
      <c r="O7447" s="11"/>
      <c r="P7447" s="11"/>
      <c r="Q7447" s="8"/>
      <c r="R7447" s="6"/>
      <c r="S7447" s="3"/>
      <c r="T7447" s="3"/>
      <c r="U7447" s="65"/>
      <c r="V7447" s="50"/>
      <c r="X7447"/>
    </row>
    <row r="7448" spans="1:24">
      <c r="A7448"/>
      <c r="B7448"/>
      <c r="C7448" s="4"/>
      <c r="D7448" s="4"/>
      <c r="E7448" s="5"/>
      <c r="F7448" s="6"/>
      <c r="G7448" s="31"/>
      <c r="H7448" s="6"/>
      <c r="I7448" s="9"/>
      <c r="J7448" s="24"/>
      <c r="K7448" s="9"/>
      <c r="L7448" s="25"/>
      <c r="M7448" s="7"/>
      <c r="N7448" s="8"/>
      <c r="O7448" s="11"/>
      <c r="P7448" s="11"/>
      <c r="Q7448" s="8"/>
      <c r="R7448" s="6"/>
      <c r="S7448" s="3"/>
      <c r="T7448" s="3"/>
      <c r="U7448" s="65"/>
      <c r="V7448" s="50"/>
      <c r="X7448"/>
    </row>
    <row r="7449" spans="1:24">
      <c r="A7449"/>
      <c r="B7449"/>
      <c r="C7449" s="4"/>
      <c r="D7449" s="4"/>
      <c r="E7449" s="5"/>
      <c r="F7449" s="6"/>
      <c r="G7449" s="31"/>
      <c r="H7449" s="6"/>
      <c r="I7449" s="9"/>
      <c r="J7449" s="24"/>
      <c r="K7449" s="9"/>
      <c r="L7449" s="25"/>
      <c r="M7449" s="7"/>
      <c r="N7449" s="8"/>
      <c r="O7449" s="11"/>
      <c r="P7449" s="11"/>
      <c r="Q7449" s="8"/>
      <c r="R7449" s="6"/>
      <c r="S7449" s="3"/>
      <c r="T7449" s="3"/>
      <c r="U7449" s="65"/>
      <c r="V7449" s="50"/>
      <c r="X7449"/>
    </row>
    <row r="7450" spans="1:24">
      <c r="A7450"/>
      <c r="B7450"/>
      <c r="C7450" s="4"/>
      <c r="D7450" s="4"/>
      <c r="E7450" s="5"/>
      <c r="F7450" s="6"/>
      <c r="G7450" s="31"/>
      <c r="H7450" s="6"/>
      <c r="I7450" s="9"/>
      <c r="J7450" s="24"/>
      <c r="K7450" s="9"/>
      <c r="L7450" s="25"/>
      <c r="M7450" s="7"/>
      <c r="N7450" s="8"/>
      <c r="O7450" s="11"/>
      <c r="P7450" s="11"/>
      <c r="Q7450" s="8"/>
      <c r="R7450" s="6"/>
      <c r="S7450" s="3"/>
      <c r="T7450" s="3"/>
      <c r="U7450" s="65"/>
      <c r="V7450" s="50"/>
      <c r="X7450"/>
    </row>
    <row r="7451" spans="1:24">
      <c r="A7451"/>
      <c r="B7451"/>
      <c r="C7451" s="4"/>
      <c r="D7451" s="4"/>
      <c r="E7451" s="5"/>
      <c r="F7451" s="6"/>
      <c r="G7451" s="31"/>
      <c r="H7451" s="6"/>
      <c r="I7451" s="9"/>
      <c r="J7451" s="24"/>
      <c r="K7451" s="10"/>
      <c r="L7451" s="25"/>
      <c r="M7451" s="7"/>
      <c r="N7451" s="8"/>
      <c r="O7451" s="11"/>
      <c r="P7451" s="11"/>
      <c r="Q7451" s="8"/>
      <c r="R7451" s="6"/>
      <c r="S7451" s="3"/>
      <c r="T7451" s="3"/>
      <c r="U7451" s="65"/>
      <c r="V7451" s="50"/>
      <c r="X7451"/>
    </row>
    <row r="7452" spans="1:24">
      <c r="A7452"/>
      <c r="B7452"/>
      <c r="C7452" s="4"/>
      <c r="D7452" s="4"/>
      <c r="E7452" s="5"/>
      <c r="F7452" s="6"/>
      <c r="G7452" s="31"/>
      <c r="H7452" s="6"/>
      <c r="I7452" s="9"/>
      <c r="J7452" s="24"/>
      <c r="K7452" s="10"/>
      <c r="L7452" s="25"/>
      <c r="M7452" s="7"/>
      <c r="N7452" s="8"/>
      <c r="O7452" s="11"/>
      <c r="P7452" s="11"/>
      <c r="Q7452" s="8"/>
      <c r="R7452" s="6"/>
      <c r="S7452" s="3"/>
      <c r="T7452" s="3"/>
      <c r="U7452" s="65"/>
      <c r="V7452" s="50"/>
      <c r="X7452"/>
    </row>
    <row r="7453" spans="1:24">
      <c r="A7453"/>
      <c r="B7453"/>
      <c r="C7453" s="4"/>
      <c r="D7453" s="4"/>
      <c r="E7453" s="5"/>
      <c r="F7453" s="6"/>
      <c r="G7453" s="31"/>
      <c r="H7453" s="6"/>
      <c r="I7453" s="9"/>
      <c r="J7453" s="24"/>
      <c r="K7453" s="9"/>
      <c r="L7453" s="25"/>
      <c r="M7453" s="7"/>
      <c r="N7453" s="8"/>
      <c r="O7453" s="11"/>
      <c r="P7453" s="11"/>
      <c r="Q7453" s="8"/>
      <c r="R7453" s="6"/>
      <c r="S7453" s="3"/>
      <c r="T7453" s="3"/>
      <c r="U7453" s="65"/>
      <c r="V7453" s="50"/>
      <c r="X7453"/>
    </row>
    <row r="7454" spans="1:24">
      <c r="A7454"/>
      <c r="B7454"/>
      <c r="C7454" s="4"/>
      <c r="D7454" s="4"/>
      <c r="E7454" s="5"/>
      <c r="F7454" s="6"/>
      <c r="G7454" s="31"/>
      <c r="H7454" s="6"/>
      <c r="I7454" s="9"/>
      <c r="J7454" s="24"/>
      <c r="K7454" s="10"/>
      <c r="L7454" s="25"/>
      <c r="M7454" s="7"/>
      <c r="N7454" s="8"/>
      <c r="O7454" s="11"/>
      <c r="P7454" s="11"/>
      <c r="Q7454" s="8"/>
      <c r="R7454" s="6"/>
      <c r="S7454" s="3"/>
      <c r="T7454" s="3"/>
      <c r="U7454" s="65"/>
      <c r="V7454" s="50"/>
      <c r="X7454"/>
    </row>
    <row r="7455" spans="1:24">
      <c r="A7455"/>
      <c r="B7455"/>
      <c r="C7455" s="4"/>
      <c r="D7455" s="4"/>
      <c r="E7455" s="5"/>
      <c r="F7455" s="6"/>
      <c r="G7455" s="31"/>
      <c r="H7455" s="6"/>
      <c r="I7455" s="9"/>
      <c r="J7455" s="24"/>
      <c r="K7455" s="9"/>
      <c r="L7455" s="25"/>
      <c r="M7455" s="7"/>
      <c r="N7455" s="8"/>
      <c r="O7455" s="11"/>
      <c r="P7455" s="11"/>
      <c r="Q7455" s="8"/>
      <c r="R7455" s="6"/>
      <c r="S7455" s="3"/>
      <c r="T7455" s="3"/>
      <c r="U7455" s="65"/>
      <c r="V7455" s="50"/>
      <c r="X7455"/>
    </row>
    <row r="7456" spans="1:24">
      <c r="A7456"/>
      <c r="B7456"/>
      <c r="C7456" s="4"/>
      <c r="D7456" s="4"/>
      <c r="E7456" s="5"/>
      <c r="F7456" s="6"/>
      <c r="G7456" s="31"/>
      <c r="H7456" s="6"/>
      <c r="I7456" s="9"/>
      <c r="J7456" s="24"/>
      <c r="K7456" s="23"/>
      <c r="L7456" s="25"/>
      <c r="M7456" s="7"/>
      <c r="N7456" s="8"/>
      <c r="O7456" s="11"/>
      <c r="P7456" s="11"/>
      <c r="Q7456" s="8"/>
      <c r="R7456" s="6"/>
      <c r="S7456" s="3"/>
      <c r="T7456" s="3"/>
      <c r="U7456" s="65"/>
      <c r="V7456" s="50"/>
      <c r="X7456"/>
    </row>
    <row r="7457" spans="1:24">
      <c r="A7457"/>
      <c r="B7457"/>
      <c r="C7457" s="4"/>
      <c r="D7457" s="4"/>
      <c r="E7457" s="5"/>
      <c r="F7457" s="6"/>
      <c r="G7457" s="31"/>
      <c r="H7457" s="6"/>
      <c r="I7457" s="9"/>
      <c r="J7457" s="24"/>
      <c r="K7457" s="23"/>
      <c r="L7457" s="25"/>
      <c r="M7457" s="7"/>
      <c r="N7457" s="8"/>
      <c r="O7457" s="11"/>
      <c r="P7457" s="11"/>
      <c r="Q7457" s="8"/>
      <c r="R7457" s="6"/>
      <c r="S7457" s="3"/>
      <c r="T7457" s="3"/>
      <c r="U7457" s="65"/>
      <c r="V7457" s="50"/>
      <c r="X7457"/>
    </row>
    <row r="7458" spans="1:24">
      <c r="A7458"/>
      <c r="B7458"/>
      <c r="C7458" s="4"/>
      <c r="D7458" s="4"/>
      <c r="E7458" s="5"/>
      <c r="F7458" s="6"/>
      <c r="G7458" s="31"/>
      <c r="H7458" s="6"/>
      <c r="I7458" s="9"/>
      <c r="J7458" s="24"/>
      <c r="K7458" s="23"/>
      <c r="L7458" s="25"/>
      <c r="M7458" s="7"/>
      <c r="N7458" s="8"/>
      <c r="O7458" s="11"/>
      <c r="P7458" s="11"/>
      <c r="Q7458" s="8"/>
      <c r="R7458" s="6"/>
      <c r="S7458" s="3"/>
      <c r="T7458" s="3"/>
      <c r="U7458" s="65"/>
      <c r="V7458" s="50"/>
      <c r="X7458"/>
    </row>
    <row r="7459" spans="1:24">
      <c r="A7459"/>
      <c r="B7459"/>
      <c r="C7459" s="4"/>
      <c r="D7459" s="4"/>
      <c r="E7459" s="5"/>
      <c r="F7459" s="6"/>
      <c r="G7459" s="31"/>
      <c r="H7459" s="6"/>
      <c r="I7459" s="9"/>
      <c r="J7459" s="24"/>
      <c r="K7459" s="9"/>
      <c r="L7459" s="25"/>
      <c r="M7459" s="25"/>
      <c r="N7459" s="8"/>
      <c r="O7459" s="11"/>
      <c r="P7459" s="11"/>
      <c r="Q7459" s="8"/>
      <c r="R7459" s="6"/>
      <c r="S7459" s="3"/>
      <c r="T7459" s="3"/>
      <c r="U7459" s="65"/>
      <c r="V7459" s="50"/>
      <c r="X7459"/>
    </row>
    <row r="7460" spans="1:24">
      <c r="A7460"/>
      <c r="B7460"/>
      <c r="C7460" s="4"/>
      <c r="D7460" s="4"/>
      <c r="E7460" s="5"/>
      <c r="F7460" s="6"/>
      <c r="G7460" s="31"/>
      <c r="H7460" s="6"/>
      <c r="I7460" s="9"/>
      <c r="J7460" s="24"/>
      <c r="K7460" s="10"/>
      <c r="L7460" s="25"/>
      <c r="M7460" s="25"/>
      <c r="N7460" s="8"/>
      <c r="O7460" s="11"/>
      <c r="P7460" s="11"/>
      <c r="Q7460" s="8"/>
      <c r="R7460" s="6"/>
      <c r="S7460" s="3"/>
      <c r="T7460" s="3"/>
      <c r="U7460" s="65"/>
      <c r="V7460" s="50"/>
      <c r="X7460"/>
    </row>
    <row r="7461" spans="1:24">
      <c r="A7461"/>
      <c r="B7461"/>
      <c r="C7461" s="4"/>
      <c r="D7461" s="4"/>
      <c r="E7461" s="5"/>
      <c r="F7461" s="6"/>
      <c r="G7461" s="31"/>
      <c r="H7461" s="6"/>
      <c r="I7461" s="9"/>
      <c r="J7461" s="24"/>
      <c r="K7461" s="9"/>
      <c r="L7461" s="25"/>
      <c r="M7461" s="7"/>
      <c r="N7461" s="8"/>
      <c r="O7461" s="11"/>
      <c r="P7461" s="11"/>
      <c r="Q7461" s="8"/>
      <c r="R7461" s="6"/>
      <c r="S7461" s="3"/>
      <c r="T7461" s="3"/>
      <c r="U7461" s="65"/>
      <c r="V7461" s="50"/>
      <c r="X7461"/>
    </row>
    <row r="7462" spans="1:24">
      <c r="A7462"/>
      <c r="B7462"/>
      <c r="C7462" s="4"/>
      <c r="D7462" s="4"/>
      <c r="E7462" s="5"/>
      <c r="F7462" s="6"/>
      <c r="G7462" s="31"/>
      <c r="H7462" s="6"/>
      <c r="I7462" s="9"/>
      <c r="J7462" s="24"/>
      <c r="K7462" s="9"/>
      <c r="L7462" s="25"/>
      <c r="M7462" s="7"/>
      <c r="N7462" s="8"/>
      <c r="O7462" s="11"/>
      <c r="P7462" s="11"/>
      <c r="Q7462" s="8"/>
      <c r="R7462" s="6"/>
      <c r="S7462" s="3"/>
      <c r="T7462" s="3"/>
      <c r="U7462" s="65"/>
      <c r="V7462" s="50"/>
      <c r="X7462"/>
    </row>
    <row r="7463" spans="1:24">
      <c r="A7463"/>
      <c r="B7463"/>
      <c r="C7463" s="4"/>
      <c r="D7463" s="4"/>
      <c r="E7463" s="5"/>
      <c r="F7463" s="6"/>
      <c r="G7463" s="31"/>
      <c r="H7463" s="6"/>
      <c r="I7463" s="9"/>
      <c r="J7463" s="24"/>
      <c r="K7463" s="9"/>
      <c r="L7463" s="25"/>
      <c r="M7463" s="7"/>
      <c r="N7463" s="8"/>
      <c r="O7463" s="11"/>
      <c r="P7463" s="11"/>
      <c r="Q7463" s="8"/>
      <c r="R7463" s="6"/>
      <c r="S7463" s="3"/>
      <c r="T7463" s="3"/>
      <c r="U7463" s="65"/>
      <c r="V7463" s="50"/>
      <c r="X7463"/>
    </row>
    <row r="7464" spans="1:24">
      <c r="A7464"/>
      <c r="B7464"/>
      <c r="C7464" s="4"/>
      <c r="D7464" s="4"/>
      <c r="E7464" s="5"/>
      <c r="F7464" s="6"/>
      <c r="G7464" s="31"/>
      <c r="H7464" s="6"/>
      <c r="I7464" s="9"/>
      <c r="J7464" s="24"/>
      <c r="K7464" s="10"/>
      <c r="L7464" s="25"/>
      <c r="M7464" s="7"/>
      <c r="N7464" s="8"/>
      <c r="O7464" s="11"/>
      <c r="P7464" s="11"/>
      <c r="Q7464" s="8"/>
      <c r="R7464" s="6"/>
      <c r="S7464" s="3"/>
      <c r="T7464" s="3"/>
      <c r="U7464" s="65"/>
      <c r="V7464" s="50"/>
      <c r="X7464"/>
    </row>
    <row r="7465" spans="1:24">
      <c r="A7465"/>
      <c r="B7465"/>
      <c r="C7465" s="4"/>
      <c r="D7465" s="4"/>
      <c r="E7465" s="5"/>
      <c r="F7465" s="6"/>
      <c r="G7465" s="31"/>
      <c r="H7465" s="6"/>
      <c r="I7465" s="9"/>
      <c r="J7465" s="24"/>
      <c r="K7465" s="9"/>
      <c r="L7465" s="25"/>
      <c r="M7465" s="7"/>
      <c r="N7465" s="8"/>
      <c r="O7465" s="11"/>
      <c r="P7465" s="11"/>
      <c r="Q7465" s="8"/>
      <c r="R7465" s="6"/>
      <c r="S7465" s="3"/>
      <c r="T7465" s="3"/>
      <c r="U7465" s="65"/>
      <c r="V7465" s="50"/>
      <c r="X7465"/>
    </row>
    <row r="7466" spans="1:24">
      <c r="A7466"/>
      <c r="B7466"/>
      <c r="C7466" s="4"/>
      <c r="D7466" s="4"/>
      <c r="E7466" s="5"/>
      <c r="F7466" s="6"/>
      <c r="G7466" s="31"/>
      <c r="H7466" s="6"/>
      <c r="I7466" s="9"/>
      <c r="J7466" s="24"/>
      <c r="K7466" s="9"/>
      <c r="L7466" s="25"/>
      <c r="M7466" s="7"/>
      <c r="N7466" s="8"/>
      <c r="O7466" s="11"/>
      <c r="P7466" s="11"/>
      <c r="Q7466" s="8"/>
      <c r="R7466" s="6"/>
      <c r="S7466" s="3"/>
      <c r="T7466" s="3"/>
      <c r="U7466" s="65"/>
      <c r="V7466" s="50"/>
      <c r="X7466"/>
    </row>
    <row r="7467" spans="1:24">
      <c r="A7467"/>
      <c r="B7467"/>
      <c r="C7467" s="4"/>
      <c r="D7467" s="4"/>
      <c r="E7467" s="5"/>
      <c r="F7467" s="6"/>
      <c r="G7467" s="31"/>
      <c r="H7467" s="6"/>
      <c r="I7467" s="9"/>
      <c r="J7467" s="24"/>
      <c r="K7467" s="9"/>
      <c r="L7467" s="25"/>
      <c r="M7467" s="7"/>
      <c r="N7467" s="8"/>
      <c r="O7467" s="11"/>
      <c r="P7467" s="11"/>
      <c r="Q7467" s="8"/>
      <c r="R7467" s="6"/>
      <c r="S7467" s="3"/>
      <c r="T7467" s="3"/>
      <c r="U7467" s="65"/>
      <c r="V7467" s="50"/>
      <c r="X7467"/>
    </row>
    <row r="7468" spans="1:24">
      <c r="A7468"/>
      <c r="B7468"/>
      <c r="C7468" s="4"/>
      <c r="D7468" s="4"/>
      <c r="E7468" s="5"/>
      <c r="F7468" s="6"/>
      <c r="G7468" s="31"/>
      <c r="H7468" s="6"/>
      <c r="I7468" s="9"/>
      <c r="J7468" s="24"/>
      <c r="K7468" s="9"/>
      <c r="L7468" s="25"/>
      <c r="M7468" s="7"/>
      <c r="N7468" s="8"/>
      <c r="O7468" s="11"/>
      <c r="P7468" s="11"/>
      <c r="Q7468" s="8"/>
      <c r="R7468" s="6"/>
      <c r="S7468" s="3"/>
      <c r="T7468" s="3"/>
      <c r="U7468" s="65"/>
      <c r="V7468" s="50"/>
      <c r="X7468"/>
    </row>
    <row r="7469" spans="1:24">
      <c r="A7469"/>
      <c r="B7469"/>
      <c r="C7469" s="4"/>
      <c r="D7469" s="4"/>
      <c r="E7469" s="5"/>
      <c r="F7469" s="6"/>
      <c r="G7469" s="31"/>
      <c r="H7469" s="6"/>
      <c r="I7469" s="9"/>
      <c r="J7469" s="24"/>
      <c r="K7469" s="9"/>
      <c r="L7469" s="25"/>
      <c r="M7469" s="7"/>
      <c r="N7469" s="8"/>
      <c r="O7469" s="11"/>
      <c r="P7469" s="11"/>
      <c r="Q7469" s="8"/>
      <c r="R7469" s="6"/>
      <c r="S7469" s="3"/>
      <c r="T7469" s="3"/>
      <c r="U7469" s="65"/>
      <c r="V7469" s="50"/>
      <c r="X7469"/>
    </row>
    <row r="7470" spans="1:24">
      <c r="A7470"/>
      <c r="B7470"/>
      <c r="C7470" s="4"/>
      <c r="D7470" s="4"/>
      <c r="E7470" s="5"/>
      <c r="F7470" s="6"/>
      <c r="G7470" s="31"/>
      <c r="H7470" s="6"/>
      <c r="I7470" s="9"/>
      <c r="J7470" s="24"/>
      <c r="K7470" s="9"/>
      <c r="L7470" s="25"/>
      <c r="M7470" s="7"/>
      <c r="N7470" s="8"/>
      <c r="O7470" s="11"/>
      <c r="P7470" s="11"/>
      <c r="Q7470" s="8"/>
      <c r="R7470" s="6"/>
      <c r="S7470" s="3"/>
      <c r="T7470" s="3"/>
      <c r="U7470" s="65"/>
      <c r="V7470" s="50"/>
      <c r="X7470"/>
    </row>
    <row r="7471" spans="1:24">
      <c r="A7471"/>
      <c r="B7471"/>
      <c r="C7471" s="4"/>
      <c r="D7471" s="4"/>
      <c r="E7471" s="5"/>
      <c r="F7471" s="6"/>
      <c r="G7471" s="31"/>
      <c r="H7471" s="6"/>
      <c r="I7471" s="9"/>
      <c r="J7471" s="24"/>
      <c r="K7471" s="9"/>
      <c r="L7471" s="25"/>
      <c r="M7471" s="7"/>
      <c r="N7471" s="8"/>
      <c r="O7471" s="11"/>
      <c r="P7471" s="11"/>
      <c r="Q7471" s="8"/>
      <c r="R7471" s="6"/>
      <c r="S7471" s="3"/>
      <c r="T7471" s="3"/>
      <c r="U7471" s="65"/>
      <c r="V7471" s="50"/>
      <c r="X7471"/>
    </row>
    <row r="7472" spans="1:24">
      <c r="A7472"/>
      <c r="B7472"/>
      <c r="C7472" s="4"/>
      <c r="D7472" s="4"/>
      <c r="E7472" s="5"/>
      <c r="F7472" s="6"/>
      <c r="G7472" s="31"/>
      <c r="H7472" s="6"/>
      <c r="I7472" s="9"/>
      <c r="J7472" s="24"/>
      <c r="K7472" s="9"/>
      <c r="L7472" s="25"/>
      <c r="M7472" s="7"/>
      <c r="N7472" s="8"/>
      <c r="O7472" s="11"/>
      <c r="P7472" s="11"/>
      <c r="Q7472" s="8"/>
      <c r="R7472" s="6"/>
      <c r="S7472" s="3"/>
      <c r="T7472" s="3"/>
      <c r="U7472" s="65"/>
      <c r="V7472" s="50"/>
      <c r="X7472"/>
    </row>
    <row r="7473" spans="1:24">
      <c r="A7473"/>
      <c r="B7473"/>
      <c r="C7473" s="4"/>
      <c r="D7473" s="4"/>
      <c r="E7473" s="5"/>
      <c r="F7473" s="6"/>
      <c r="G7473" s="31"/>
      <c r="H7473" s="6"/>
      <c r="I7473" s="9"/>
      <c r="J7473" s="24"/>
      <c r="K7473" s="9"/>
      <c r="L7473" s="25"/>
      <c r="M7473" s="47"/>
      <c r="N7473" s="8"/>
      <c r="O7473" s="11"/>
      <c r="P7473" s="11"/>
      <c r="Q7473" s="8"/>
      <c r="R7473" s="6"/>
      <c r="S7473" s="3"/>
      <c r="T7473" s="3"/>
      <c r="U7473" s="65"/>
      <c r="V7473" s="50"/>
      <c r="X7473"/>
    </row>
    <row r="7474" spans="1:24">
      <c r="A7474"/>
      <c r="B7474"/>
      <c r="C7474" s="4"/>
      <c r="D7474" s="4"/>
      <c r="E7474" s="5"/>
      <c r="F7474" s="6"/>
      <c r="G7474" s="31"/>
      <c r="H7474" s="6"/>
      <c r="I7474" s="9"/>
      <c r="J7474" s="24"/>
      <c r="K7474" s="9"/>
      <c r="L7474" s="25"/>
      <c r="M7474" s="7"/>
      <c r="N7474" s="8"/>
      <c r="O7474" s="11"/>
      <c r="P7474" s="11"/>
      <c r="Q7474" s="8"/>
      <c r="R7474" s="6"/>
      <c r="S7474" s="3"/>
      <c r="T7474" s="3"/>
      <c r="U7474" s="65"/>
      <c r="V7474" s="50"/>
      <c r="X7474"/>
    </row>
    <row r="7475" spans="1:24">
      <c r="A7475"/>
      <c r="B7475"/>
      <c r="C7475" s="4"/>
      <c r="D7475" s="4"/>
      <c r="E7475" s="5"/>
      <c r="F7475" s="6"/>
      <c r="G7475" s="31"/>
      <c r="H7475" s="6"/>
      <c r="I7475" s="9"/>
      <c r="J7475" s="24"/>
      <c r="K7475" s="9"/>
      <c r="L7475" s="25"/>
      <c r="M7475" s="7"/>
      <c r="N7475" s="8"/>
      <c r="O7475" s="11"/>
      <c r="P7475" s="11"/>
      <c r="Q7475" s="8"/>
      <c r="R7475" s="6"/>
      <c r="S7475" s="3"/>
      <c r="T7475" s="3"/>
      <c r="U7475" s="65"/>
      <c r="V7475" s="50"/>
      <c r="X7475"/>
    </row>
    <row r="7476" spans="1:24">
      <c r="A7476"/>
      <c r="B7476"/>
      <c r="C7476" s="4"/>
      <c r="D7476" s="4"/>
      <c r="E7476" s="5"/>
      <c r="F7476" s="6"/>
      <c r="G7476" s="31"/>
      <c r="H7476" s="6"/>
      <c r="I7476" s="9"/>
      <c r="J7476" s="24"/>
      <c r="K7476" s="9"/>
      <c r="L7476" s="25"/>
      <c r="M7476" s="7"/>
      <c r="N7476" s="8"/>
      <c r="O7476" s="11"/>
      <c r="P7476" s="11"/>
      <c r="Q7476" s="8"/>
      <c r="R7476" s="6"/>
      <c r="S7476" s="3"/>
      <c r="T7476" s="3"/>
      <c r="U7476" s="65"/>
      <c r="V7476" s="50"/>
      <c r="X7476"/>
    </row>
    <row r="7477" spans="1:24">
      <c r="A7477"/>
      <c r="B7477"/>
      <c r="C7477" s="4"/>
      <c r="D7477" s="4"/>
      <c r="E7477" s="5"/>
      <c r="F7477" s="6"/>
      <c r="G7477" s="31"/>
      <c r="H7477" s="6"/>
      <c r="I7477" s="9"/>
      <c r="J7477" s="24"/>
      <c r="K7477" s="9"/>
      <c r="L7477" s="25"/>
      <c r="M7477" s="7"/>
      <c r="N7477" s="8"/>
      <c r="O7477" s="11"/>
      <c r="P7477" s="11"/>
      <c r="Q7477" s="8"/>
      <c r="R7477" s="6"/>
      <c r="S7477" s="3"/>
      <c r="T7477" s="3"/>
      <c r="U7477" s="65"/>
      <c r="V7477" s="50"/>
      <c r="X7477"/>
    </row>
    <row r="7478" spans="1:24">
      <c r="A7478"/>
      <c r="B7478"/>
      <c r="C7478" s="4"/>
      <c r="D7478" s="4"/>
      <c r="E7478" s="5"/>
      <c r="F7478" s="6"/>
      <c r="G7478" s="31"/>
      <c r="H7478" s="6"/>
      <c r="I7478" s="9"/>
      <c r="J7478" s="24"/>
      <c r="K7478" s="9"/>
      <c r="L7478" s="25"/>
      <c r="M7478" s="7"/>
      <c r="N7478" s="8"/>
      <c r="O7478" s="11"/>
      <c r="P7478" s="11"/>
      <c r="Q7478" s="8"/>
      <c r="R7478" s="6"/>
      <c r="S7478" s="3"/>
      <c r="T7478" s="3"/>
      <c r="U7478" s="65"/>
      <c r="V7478" s="50"/>
      <c r="X7478"/>
    </row>
    <row r="7479" spans="1:24">
      <c r="A7479"/>
      <c r="B7479"/>
      <c r="C7479" s="4"/>
      <c r="D7479" s="4"/>
      <c r="E7479" s="5"/>
      <c r="F7479" s="6"/>
      <c r="G7479" s="31"/>
      <c r="H7479" s="6"/>
      <c r="I7479" s="9"/>
      <c r="J7479" s="24"/>
      <c r="K7479" s="9"/>
      <c r="L7479" s="25"/>
      <c r="M7479" s="7"/>
      <c r="N7479" s="8"/>
      <c r="O7479" s="11"/>
      <c r="P7479" s="11"/>
      <c r="Q7479" s="8"/>
      <c r="R7479" s="6"/>
      <c r="S7479" s="3"/>
      <c r="T7479" s="3"/>
      <c r="U7479" s="65"/>
      <c r="V7479" s="50"/>
      <c r="X7479"/>
    </row>
    <row r="7480" spans="1:24">
      <c r="A7480"/>
      <c r="B7480"/>
      <c r="C7480" s="4"/>
      <c r="D7480" s="4"/>
      <c r="E7480" s="5"/>
      <c r="F7480" s="6"/>
      <c r="G7480" s="31"/>
      <c r="H7480" s="6"/>
      <c r="I7480" s="9"/>
      <c r="J7480" s="24"/>
      <c r="K7480" s="9"/>
      <c r="L7480" s="25"/>
      <c r="M7480" s="7"/>
      <c r="N7480" s="8"/>
      <c r="O7480" s="11"/>
      <c r="P7480" s="11"/>
      <c r="Q7480" s="8"/>
      <c r="R7480" s="6"/>
      <c r="S7480" s="3"/>
      <c r="T7480" s="3"/>
      <c r="U7480" s="65"/>
      <c r="V7480" s="50"/>
      <c r="X7480"/>
    </row>
    <row r="7481" spans="1:24">
      <c r="A7481"/>
      <c r="B7481"/>
      <c r="C7481" s="4"/>
      <c r="D7481" s="4"/>
      <c r="E7481" s="5"/>
      <c r="F7481" s="6"/>
      <c r="G7481" s="31"/>
      <c r="H7481" s="6"/>
      <c r="I7481" s="9"/>
      <c r="J7481" s="24"/>
      <c r="K7481" s="9"/>
      <c r="L7481" s="25"/>
      <c r="M7481" s="7"/>
      <c r="N7481" s="8"/>
      <c r="O7481" s="11"/>
      <c r="P7481" s="11"/>
      <c r="Q7481" s="8"/>
      <c r="R7481" s="6"/>
      <c r="S7481" s="3"/>
      <c r="T7481" s="3"/>
      <c r="U7481" s="65"/>
      <c r="V7481" s="50"/>
      <c r="X7481"/>
    </row>
    <row r="7482" spans="1:24">
      <c r="A7482"/>
      <c r="B7482"/>
      <c r="C7482" s="4"/>
      <c r="D7482" s="4"/>
      <c r="E7482" s="5"/>
      <c r="F7482" s="6"/>
      <c r="G7482" s="31"/>
      <c r="H7482" s="6"/>
      <c r="I7482" s="9"/>
      <c r="J7482" s="24"/>
      <c r="K7482" s="9"/>
      <c r="L7482" s="25"/>
      <c r="M7482" s="7"/>
      <c r="N7482" s="8"/>
      <c r="O7482" s="11"/>
      <c r="P7482" s="11"/>
      <c r="Q7482" s="8"/>
      <c r="R7482" s="6"/>
      <c r="S7482" s="3"/>
      <c r="T7482" s="3"/>
      <c r="U7482" s="65"/>
      <c r="V7482" s="50"/>
      <c r="X7482"/>
    </row>
    <row r="7483" spans="1:24">
      <c r="A7483"/>
      <c r="B7483"/>
      <c r="C7483" s="4"/>
      <c r="D7483" s="4"/>
      <c r="E7483" s="5"/>
      <c r="F7483" s="6"/>
      <c r="G7483" s="31"/>
      <c r="H7483" s="6"/>
      <c r="I7483" s="9"/>
      <c r="J7483" s="24"/>
      <c r="K7483" s="9"/>
      <c r="L7483" s="25"/>
      <c r="M7483" s="7"/>
      <c r="N7483" s="8"/>
      <c r="O7483" s="11"/>
      <c r="P7483" s="11"/>
      <c r="Q7483" s="8"/>
      <c r="R7483" s="6"/>
      <c r="S7483" s="3"/>
      <c r="T7483" s="3"/>
      <c r="U7483" s="65"/>
      <c r="V7483" s="50"/>
      <c r="X7483"/>
    </row>
    <row r="7484" spans="1:24">
      <c r="A7484"/>
      <c r="B7484"/>
      <c r="C7484" s="4"/>
      <c r="D7484" s="4"/>
      <c r="E7484" s="5"/>
      <c r="F7484" s="6"/>
      <c r="G7484" s="31"/>
      <c r="H7484" s="6"/>
      <c r="I7484" s="9"/>
      <c r="J7484" s="24"/>
      <c r="K7484" s="9"/>
      <c r="L7484" s="25"/>
      <c r="M7484" s="7"/>
      <c r="N7484" s="8"/>
      <c r="O7484" s="11"/>
      <c r="P7484" s="11"/>
      <c r="Q7484" s="8"/>
      <c r="R7484" s="6"/>
      <c r="S7484" s="3"/>
      <c r="T7484" s="3"/>
      <c r="U7484" s="65"/>
      <c r="V7484" s="50"/>
      <c r="X7484"/>
    </row>
    <row r="7485" spans="1:24">
      <c r="A7485"/>
      <c r="B7485"/>
      <c r="C7485" s="4"/>
      <c r="D7485" s="4"/>
      <c r="E7485" s="5"/>
      <c r="F7485" s="6"/>
      <c r="G7485" s="31"/>
      <c r="H7485" s="6"/>
      <c r="I7485" s="9"/>
      <c r="J7485" s="24"/>
      <c r="K7485" s="9"/>
      <c r="L7485" s="25"/>
      <c r="M7485" s="7"/>
      <c r="N7485" s="8"/>
      <c r="O7485" s="20"/>
      <c r="P7485" s="11"/>
      <c r="Q7485" s="8"/>
      <c r="R7485" s="6"/>
      <c r="S7485" s="3"/>
      <c r="T7485" s="3"/>
      <c r="U7485" s="65"/>
      <c r="V7485" s="50"/>
      <c r="X7485"/>
    </row>
    <row r="7486" spans="1:24">
      <c r="A7486"/>
      <c r="B7486"/>
      <c r="C7486" s="4"/>
      <c r="D7486" s="4"/>
      <c r="E7486" s="5"/>
      <c r="F7486" s="6"/>
      <c r="G7486" s="31"/>
      <c r="H7486" s="6"/>
      <c r="I7486" s="9"/>
      <c r="J7486" s="24"/>
      <c r="K7486" s="9"/>
      <c r="L7486" s="25"/>
      <c r="M7486" s="7"/>
      <c r="N7486" s="8"/>
      <c r="O7486" s="20"/>
      <c r="P7486" s="11"/>
      <c r="Q7486" s="8"/>
      <c r="R7486" s="6"/>
      <c r="S7486" s="3"/>
      <c r="T7486" s="3"/>
      <c r="U7486" s="65"/>
      <c r="V7486" s="50"/>
      <c r="X7486"/>
    </row>
    <row r="7487" spans="1:24">
      <c r="A7487"/>
      <c r="B7487"/>
      <c r="C7487" s="4"/>
      <c r="D7487" s="4"/>
      <c r="E7487" s="5"/>
      <c r="F7487" s="6"/>
      <c r="G7487" s="31"/>
      <c r="H7487" s="6"/>
      <c r="I7487" s="9"/>
      <c r="J7487" s="24"/>
      <c r="K7487" s="9"/>
      <c r="L7487" s="25"/>
      <c r="M7487" s="7"/>
      <c r="N7487" s="8"/>
      <c r="O7487" s="20"/>
      <c r="P7487" s="11"/>
      <c r="Q7487" s="8"/>
      <c r="R7487" s="6"/>
      <c r="S7487" s="3"/>
      <c r="T7487" s="3"/>
      <c r="U7487" s="65"/>
      <c r="V7487" s="50"/>
      <c r="X7487"/>
    </row>
    <row r="7488" spans="1:24">
      <c r="A7488"/>
      <c r="B7488"/>
      <c r="C7488" s="4"/>
      <c r="D7488" s="4"/>
      <c r="E7488" s="5"/>
      <c r="F7488" s="6"/>
      <c r="G7488" s="31"/>
      <c r="H7488" s="6"/>
      <c r="I7488" s="9"/>
      <c r="J7488" s="24"/>
      <c r="K7488" s="9"/>
      <c r="L7488" s="25"/>
      <c r="M7488" s="7"/>
      <c r="N7488" s="8"/>
      <c r="O7488" s="20"/>
      <c r="P7488" s="11"/>
      <c r="Q7488" s="8"/>
      <c r="R7488" s="6"/>
      <c r="S7488" s="3"/>
      <c r="T7488" s="3"/>
      <c r="U7488" s="65"/>
      <c r="V7488" s="50"/>
      <c r="X7488"/>
    </row>
    <row r="7489" spans="1:24">
      <c r="A7489"/>
      <c r="B7489"/>
      <c r="C7489" s="4"/>
      <c r="D7489" s="4"/>
      <c r="E7489" s="5"/>
      <c r="F7489" s="6"/>
      <c r="G7489" s="31"/>
      <c r="H7489" s="6"/>
      <c r="I7489" s="9"/>
      <c r="J7489" s="24"/>
      <c r="K7489" s="9"/>
      <c r="L7489" s="25"/>
      <c r="M7489" s="7"/>
      <c r="N7489" s="8"/>
      <c r="O7489" s="20"/>
      <c r="P7489" s="11"/>
      <c r="Q7489" s="8"/>
      <c r="R7489" s="6"/>
      <c r="S7489" s="3"/>
      <c r="T7489" s="3"/>
      <c r="U7489" s="65"/>
      <c r="V7489" s="50"/>
      <c r="X7489"/>
    </row>
    <row r="7490" spans="1:24">
      <c r="A7490"/>
      <c r="B7490"/>
      <c r="C7490" s="4"/>
      <c r="D7490" s="4"/>
      <c r="E7490" s="5"/>
      <c r="F7490" s="6"/>
      <c r="G7490" s="31"/>
      <c r="H7490" s="6"/>
      <c r="I7490" s="9"/>
      <c r="J7490" s="24"/>
      <c r="K7490" s="9"/>
      <c r="L7490" s="25"/>
      <c r="M7490" s="7"/>
      <c r="N7490" s="8"/>
      <c r="O7490" s="20"/>
      <c r="P7490" s="3"/>
      <c r="Q7490" s="8"/>
      <c r="R7490" s="6"/>
      <c r="S7490" s="3"/>
      <c r="T7490" s="3"/>
      <c r="U7490" s="65"/>
      <c r="V7490" s="50"/>
      <c r="X7490"/>
    </row>
    <row r="7491" spans="1:24">
      <c r="A7491"/>
      <c r="B7491"/>
      <c r="C7491" s="4"/>
      <c r="D7491" s="4"/>
      <c r="E7491" s="5"/>
      <c r="F7491" s="6"/>
      <c r="G7491" s="31"/>
      <c r="H7491" s="6"/>
      <c r="I7491" s="9"/>
      <c r="J7491" s="24"/>
      <c r="K7491" s="9"/>
      <c r="L7491" s="25"/>
      <c r="M7491" s="7"/>
      <c r="N7491" s="8"/>
      <c r="O7491" s="20"/>
      <c r="P7491" s="3"/>
      <c r="Q7491" s="8"/>
      <c r="R7491" s="6"/>
      <c r="S7491" s="3"/>
      <c r="T7491" s="3"/>
      <c r="U7491" s="65"/>
      <c r="V7491" s="50"/>
      <c r="X7491"/>
    </row>
    <row r="7492" spans="1:24">
      <c r="A7492"/>
      <c r="B7492"/>
      <c r="C7492" s="4"/>
      <c r="D7492" s="4"/>
      <c r="E7492" s="5"/>
      <c r="F7492" s="6"/>
      <c r="G7492" s="31"/>
      <c r="H7492" s="6"/>
      <c r="I7492" s="9"/>
      <c r="J7492" s="24"/>
      <c r="K7492" s="10"/>
      <c r="L7492" s="25"/>
      <c r="M7492" s="7"/>
      <c r="N7492" s="8"/>
      <c r="O7492" s="20"/>
      <c r="P7492" s="57"/>
      <c r="Q7492" s="8"/>
      <c r="R7492" s="6"/>
      <c r="S7492" s="3"/>
      <c r="T7492" s="3"/>
      <c r="U7492" s="65"/>
      <c r="V7492" s="50"/>
      <c r="X7492"/>
    </row>
    <row r="7493" spans="1:24">
      <c r="A7493"/>
      <c r="B7493"/>
      <c r="C7493" s="4"/>
      <c r="D7493" s="4"/>
      <c r="E7493" s="5"/>
      <c r="F7493" s="6"/>
      <c r="G7493" s="31"/>
      <c r="H7493" s="6"/>
      <c r="I7493" s="9"/>
      <c r="J7493" s="24"/>
      <c r="K7493" s="9"/>
      <c r="L7493" s="25"/>
      <c r="M7493" s="7"/>
      <c r="N7493" s="8"/>
      <c r="O7493" s="20"/>
      <c r="P7493" s="3"/>
      <c r="Q7493" s="8"/>
      <c r="R7493" s="6"/>
      <c r="S7493" s="3"/>
      <c r="T7493" s="3"/>
      <c r="U7493" s="65"/>
      <c r="V7493" s="50"/>
      <c r="X7493"/>
    </row>
    <row r="7494" spans="1:24">
      <c r="A7494"/>
      <c r="B7494"/>
      <c r="C7494" s="4"/>
      <c r="D7494" s="4"/>
      <c r="E7494" s="5"/>
      <c r="F7494" s="6"/>
      <c r="G7494" s="31"/>
      <c r="H7494" s="6"/>
      <c r="I7494" s="9"/>
      <c r="J7494" s="24"/>
      <c r="K7494" s="9"/>
      <c r="L7494" s="25"/>
      <c r="M7494" s="7"/>
      <c r="N7494" s="8"/>
      <c r="O7494" s="20"/>
      <c r="P7494" s="3"/>
      <c r="Q7494" s="8"/>
      <c r="R7494" s="6"/>
      <c r="S7494" s="3"/>
      <c r="T7494" s="3"/>
      <c r="U7494" s="65"/>
      <c r="V7494" s="50"/>
      <c r="X7494"/>
    </row>
    <row r="7495" spans="1:24">
      <c r="A7495"/>
      <c r="B7495"/>
      <c r="C7495" s="4"/>
      <c r="D7495" s="4"/>
      <c r="E7495" s="5"/>
      <c r="F7495" s="6"/>
      <c r="G7495" s="31"/>
      <c r="H7495" s="6"/>
      <c r="I7495" s="9"/>
      <c r="J7495" s="24"/>
      <c r="K7495" s="9"/>
      <c r="L7495" s="25"/>
      <c r="M7495" s="7"/>
      <c r="N7495" s="8"/>
      <c r="O7495" s="20"/>
      <c r="P7495" s="3"/>
      <c r="Q7495" s="8"/>
      <c r="R7495" s="6"/>
      <c r="S7495" s="3"/>
      <c r="T7495" s="3"/>
      <c r="U7495" s="65"/>
      <c r="V7495" s="50"/>
      <c r="X7495"/>
    </row>
    <row r="7496" spans="1:24">
      <c r="A7496"/>
      <c r="B7496"/>
      <c r="C7496" s="4"/>
      <c r="D7496" s="4"/>
      <c r="E7496" s="5"/>
      <c r="F7496" s="6"/>
      <c r="G7496" s="31"/>
      <c r="H7496" s="6"/>
      <c r="I7496" s="9"/>
      <c r="J7496" s="24"/>
      <c r="K7496" s="42"/>
      <c r="L7496" s="25"/>
      <c r="M7496" s="47"/>
      <c r="N7496" s="8"/>
      <c r="O7496" s="20"/>
      <c r="P7496" s="11"/>
      <c r="Q7496" s="8"/>
      <c r="R7496" s="6"/>
      <c r="S7496" s="3"/>
      <c r="T7496" s="3"/>
      <c r="U7496" s="65"/>
      <c r="V7496" s="50"/>
      <c r="X7496"/>
    </row>
    <row r="7497" spans="1:24">
      <c r="A7497"/>
      <c r="B7497"/>
      <c r="C7497" s="4"/>
      <c r="D7497" s="4"/>
      <c r="E7497" s="5"/>
      <c r="F7497" s="6"/>
      <c r="G7497" s="31"/>
      <c r="H7497" s="6"/>
      <c r="I7497" s="9"/>
      <c r="J7497" s="24"/>
      <c r="K7497" s="10"/>
      <c r="L7497" s="25"/>
      <c r="M7497" s="7"/>
      <c r="N7497" s="8"/>
      <c r="O7497" s="20"/>
      <c r="P7497" s="11"/>
      <c r="Q7497" s="8"/>
      <c r="R7497" s="6"/>
      <c r="S7497" s="3"/>
      <c r="T7497" s="3"/>
      <c r="U7497" s="65"/>
      <c r="V7497" s="50"/>
      <c r="X7497"/>
    </row>
    <row r="7498" spans="1:24">
      <c r="A7498"/>
      <c r="B7498"/>
      <c r="C7498" s="4"/>
      <c r="D7498" s="4"/>
      <c r="E7498" s="5"/>
      <c r="F7498" s="6"/>
      <c r="G7498" s="31"/>
      <c r="H7498" s="6"/>
      <c r="I7498" s="9"/>
      <c r="J7498" s="24"/>
      <c r="K7498" s="9"/>
      <c r="L7498" s="25"/>
      <c r="M7498" s="7"/>
      <c r="N7498" s="8"/>
      <c r="O7498" s="20"/>
      <c r="P7498" s="11"/>
      <c r="Q7498" s="8"/>
      <c r="R7498" s="6"/>
      <c r="S7498" s="3"/>
      <c r="T7498" s="3"/>
      <c r="U7498" s="65"/>
      <c r="V7498" s="50"/>
      <c r="X7498"/>
    </row>
    <row r="7499" spans="1:24">
      <c r="A7499"/>
      <c r="B7499"/>
      <c r="C7499" s="4"/>
      <c r="D7499" s="4"/>
      <c r="E7499" s="5"/>
      <c r="F7499" s="6"/>
      <c r="G7499" s="31"/>
      <c r="H7499" s="6"/>
      <c r="I7499" s="9"/>
      <c r="J7499" s="24"/>
      <c r="K7499" s="10"/>
      <c r="L7499" s="25"/>
      <c r="M7499" s="7"/>
      <c r="N7499" s="8"/>
      <c r="O7499" s="20"/>
      <c r="P7499" s="11"/>
      <c r="Q7499" s="8"/>
      <c r="R7499" s="6"/>
      <c r="S7499" s="3"/>
      <c r="T7499" s="3"/>
      <c r="U7499" s="65"/>
      <c r="V7499" s="50"/>
      <c r="X7499"/>
    </row>
    <row r="7500" spans="1:24">
      <c r="A7500"/>
      <c r="B7500"/>
      <c r="C7500" s="4"/>
      <c r="D7500" s="4"/>
      <c r="E7500" s="5"/>
      <c r="F7500" s="6"/>
      <c r="G7500" s="31"/>
      <c r="H7500" s="6"/>
      <c r="I7500" s="9"/>
      <c r="J7500" s="24"/>
      <c r="K7500" s="9"/>
      <c r="L7500" s="25"/>
      <c r="M7500" s="7"/>
      <c r="N7500" s="8"/>
      <c r="O7500" s="20"/>
      <c r="P7500" s="11"/>
      <c r="Q7500" s="8"/>
      <c r="R7500" s="6"/>
      <c r="S7500" s="3"/>
      <c r="T7500" s="3"/>
      <c r="U7500" s="65"/>
      <c r="V7500" s="50"/>
      <c r="X7500"/>
    </row>
    <row r="7501" spans="1:24">
      <c r="A7501"/>
      <c r="B7501"/>
      <c r="C7501" s="4"/>
      <c r="D7501" s="4"/>
      <c r="E7501" s="5"/>
      <c r="F7501" s="6"/>
      <c r="G7501" s="31"/>
      <c r="H7501" s="6"/>
      <c r="I7501" s="9"/>
      <c r="J7501" s="24"/>
      <c r="K7501" s="9"/>
      <c r="L7501" s="25"/>
      <c r="M7501" s="7"/>
      <c r="N7501" s="8"/>
      <c r="O7501" s="20"/>
      <c r="P7501" s="11"/>
      <c r="Q7501" s="8"/>
      <c r="R7501" s="6"/>
      <c r="S7501" s="3"/>
      <c r="T7501" s="3"/>
      <c r="U7501" s="65"/>
      <c r="V7501" s="50"/>
      <c r="X7501"/>
    </row>
    <row r="7502" spans="1:24">
      <c r="A7502"/>
      <c r="B7502"/>
      <c r="C7502" s="4"/>
      <c r="D7502" s="4"/>
      <c r="E7502" s="5"/>
      <c r="F7502" s="6"/>
      <c r="G7502" s="31"/>
      <c r="H7502" s="6"/>
      <c r="I7502" s="9"/>
      <c r="J7502" s="24"/>
      <c r="K7502" s="9"/>
      <c r="L7502" s="25"/>
      <c r="M7502" s="7"/>
      <c r="N7502" s="8"/>
      <c r="O7502" s="20"/>
      <c r="P7502" s="11"/>
      <c r="Q7502" s="8"/>
      <c r="R7502" s="6"/>
      <c r="S7502" s="3"/>
      <c r="T7502" s="3"/>
      <c r="U7502" s="65"/>
      <c r="V7502" s="50"/>
      <c r="X7502"/>
    </row>
    <row r="7503" spans="1:24">
      <c r="A7503"/>
      <c r="B7503"/>
      <c r="C7503" s="4"/>
      <c r="D7503" s="4"/>
      <c r="E7503" s="5"/>
      <c r="F7503" s="6"/>
      <c r="G7503" s="31"/>
      <c r="H7503" s="6"/>
      <c r="I7503" s="9"/>
      <c r="J7503" s="24"/>
      <c r="K7503" s="9"/>
      <c r="L7503" s="25"/>
      <c r="M7503" s="7"/>
      <c r="N7503" s="8"/>
      <c r="O7503" s="20"/>
      <c r="P7503" s="11"/>
      <c r="Q7503" s="8"/>
      <c r="R7503" s="6"/>
      <c r="S7503" s="3"/>
      <c r="T7503" s="3"/>
      <c r="U7503" s="65"/>
      <c r="V7503" s="50"/>
      <c r="X7503"/>
    </row>
    <row r="7504" spans="1:24">
      <c r="A7504"/>
      <c r="B7504"/>
      <c r="C7504" s="4"/>
      <c r="D7504" s="4"/>
      <c r="E7504" s="5"/>
      <c r="F7504" s="6"/>
      <c r="G7504" s="31"/>
      <c r="H7504" s="6"/>
      <c r="I7504" s="9"/>
      <c r="J7504" s="24"/>
      <c r="K7504" s="9"/>
      <c r="L7504" s="25"/>
      <c r="M7504" s="7"/>
      <c r="N7504" s="8"/>
      <c r="O7504" s="20"/>
      <c r="P7504" s="11"/>
      <c r="Q7504" s="8"/>
      <c r="R7504" s="6"/>
      <c r="S7504" s="3"/>
      <c r="T7504" s="3"/>
      <c r="U7504" s="65"/>
      <c r="V7504" s="50"/>
      <c r="X7504"/>
    </row>
    <row r="7505" spans="1:24">
      <c r="A7505"/>
      <c r="B7505"/>
      <c r="C7505" s="4"/>
      <c r="D7505" s="4"/>
      <c r="E7505" s="5"/>
      <c r="F7505" s="6"/>
      <c r="G7505" s="31"/>
      <c r="H7505" s="6"/>
      <c r="I7505" s="9"/>
      <c r="J7505" s="24"/>
      <c r="K7505" s="9"/>
      <c r="L7505" s="25"/>
      <c r="M7505" s="7"/>
      <c r="N7505" s="8"/>
      <c r="O7505" s="20"/>
      <c r="P7505" s="11"/>
      <c r="Q7505" s="8"/>
      <c r="R7505" s="6"/>
      <c r="S7505" s="3"/>
      <c r="T7505" s="3"/>
      <c r="U7505" s="65"/>
      <c r="V7505" s="50"/>
      <c r="X7505"/>
    </row>
    <row r="7506" spans="1:24">
      <c r="A7506"/>
      <c r="B7506"/>
      <c r="C7506" s="4"/>
      <c r="D7506" s="4"/>
      <c r="E7506" s="5"/>
      <c r="F7506" s="6"/>
      <c r="G7506" s="31"/>
      <c r="H7506" s="6"/>
      <c r="I7506" s="9"/>
      <c r="J7506" s="24"/>
      <c r="K7506" s="9"/>
      <c r="L7506" s="25"/>
      <c r="M7506" s="25"/>
      <c r="N7506" s="8"/>
      <c r="O7506" s="20"/>
      <c r="P7506" s="11"/>
      <c r="Q7506" s="8"/>
      <c r="R7506" s="6"/>
      <c r="S7506" s="3"/>
      <c r="T7506" s="3"/>
      <c r="U7506" s="65"/>
      <c r="V7506" s="50"/>
      <c r="X7506"/>
    </row>
    <row r="7507" spans="1:24">
      <c r="A7507"/>
      <c r="B7507"/>
      <c r="C7507" s="4"/>
      <c r="D7507" s="4"/>
      <c r="E7507" s="5"/>
      <c r="F7507" s="6"/>
      <c r="G7507" s="31"/>
      <c r="H7507" s="6"/>
      <c r="I7507" s="9"/>
      <c r="J7507" s="24"/>
      <c r="K7507" s="9"/>
      <c r="L7507" s="25"/>
      <c r="M7507" s="25"/>
      <c r="N7507" s="8"/>
      <c r="O7507" s="20"/>
      <c r="P7507" s="11"/>
      <c r="Q7507" s="8"/>
      <c r="R7507" s="6"/>
      <c r="S7507" s="3"/>
      <c r="T7507" s="3"/>
      <c r="U7507" s="65"/>
      <c r="V7507" s="50"/>
      <c r="X7507"/>
    </row>
    <row r="7508" spans="1:24">
      <c r="A7508"/>
      <c r="B7508"/>
      <c r="C7508" s="4"/>
      <c r="D7508" s="4"/>
      <c r="E7508" s="5"/>
      <c r="F7508" s="6"/>
      <c r="G7508" s="31"/>
      <c r="H7508" s="6"/>
      <c r="I7508" s="9"/>
      <c r="J7508" s="24"/>
      <c r="K7508" s="9"/>
      <c r="L7508" s="25"/>
      <c r="M7508" s="25"/>
      <c r="N7508" s="8"/>
      <c r="O7508" s="20"/>
      <c r="P7508" s="3"/>
      <c r="Q7508" s="8"/>
      <c r="R7508" s="6"/>
      <c r="S7508" s="3"/>
      <c r="T7508" s="3"/>
      <c r="U7508" s="65"/>
      <c r="V7508" s="50"/>
      <c r="X7508"/>
    </row>
    <row r="7509" spans="1:24">
      <c r="A7509"/>
      <c r="B7509"/>
      <c r="C7509" s="4"/>
      <c r="D7509" s="4"/>
      <c r="E7509" s="5"/>
      <c r="F7509" s="6"/>
      <c r="G7509" s="31"/>
      <c r="H7509" s="6"/>
      <c r="I7509" s="9"/>
      <c r="J7509" s="24"/>
      <c r="K7509" s="9"/>
      <c r="L7509" s="25"/>
      <c r="M7509" s="7"/>
      <c r="N7509" s="8"/>
      <c r="O7509" s="20"/>
      <c r="P7509" s="3"/>
      <c r="Q7509" s="8"/>
      <c r="R7509" s="6"/>
      <c r="S7509" s="3"/>
      <c r="T7509" s="3"/>
      <c r="U7509" s="65"/>
      <c r="V7509" s="50"/>
      <c r="X7509"/>
    </row>
    <row r="7510" spans="1:24">
      <c r="A7510"/>
      <c r="B7510"/>
      <c r="C7510" s="4"/>
      <c r="D7510" s="4"/>
      <c r="E7510" s="5"/>
      <c r="F7510" s="6"/>
      <c r="G7510" s="31"/>
      <c r="H7510" s="6"/>
      <c r="I7510" s="9"/>
      <c r="J7510" s="24"/>
      <c r="K7510" s="9"/>
      <c r="L7510" s="25"/>
      <c r="M7510" s="7"/>
      <c r="N7510" s="8"/>
      <c r="O7510" s="20"/>
      <c r="P7510" s="3"/>
      <c r="Q7510" s="8"/>
      <c r="R7510" s="6"/>
      <c r="S7510" s="3"/>
      <c r="T7510" s="3"/>
      <c r="U7510" s="65"/>
      <c r="V7510" s="50"/>
      <c r="X7510"/>
    </row>
    <row r="7511" spans="1:24">
      <c r="A7511"/>
      <c r="B7511"/>
      <c r="C7511" s="4"/>
      <c r="D7511" s="4"/>
      <c r="E7511" s="5"/>
      <c r="F7511" s="6"/>
      <c r="G7511" s="31"/>
      <c r="H7511" s="6"/>
      <c r="I7511" s="9"/>
      <c r="J7511" s="24"/>
      <c r="K7511" s="9"/>
      <c r="L7511" s="25"/>
      <c r="M7511" s="7"/>
      <c r="N7511" s="8"/>
      <c r="O7511" s="20"/>
      <c r="P7511" s="3"/>
      <c r="Q7511" s="8"/>
      <c r="R7511" s="6"/>
      <c r="S7511" s="3"/>
      <c r="T7511" s="3"/>
      <c r="U7511" s="65"/>
      <c r="V7511" s="50"/>
      <c r="X7511"/>
    </row>
    <row r="7512" spans="1:24">
      <c r="A7512"/>
      <c r="B7512"/>
      <c r="C7512" s="4"/>
      <c r="D7512" s="4"/>
      <c r="E7512" s="5"/>
      <c r="F7512" s="6"/>
      <c r="G7512" s="31"/>
      <c r="H7512" s="6"/>
      <c r="I7512" s="9"/>
      <c r="J7512" s="24"/>
      <c r="K7512" s="9"/>
      <c r="L7512" s="25"/>
      <c r="M7512" s="7"/>
      <c r="N7512" s="8"/>
      <c r="O7512" s="20"/>
      <c r="P7512" s="3"/>
      <c r="Q7512" s="8"/>
      <c r="R7512" s="6"/>
      <c r="S7512" s="3"/>
      <c r="T7512" s="3"/>
      <c r="U7512" s="65"/>
      <c r="V7512" s="50"/>
      <c r="X7512"/>
    </row>
    <row r="7513" spans="1:24">
      <c r="A7513"/>
      <c r="B7513"/>
      <c r="C7513" s="4"/>
      <c r="D7513" s="4"/>
      <c r="E7513" s="5"/>
      <c r="F7513" s="6"/>
      <c r="G7513" s="31"/>
      <c r="H7513" s="6"/>
      <c r="I7513" s="9"/>
      <c r="J7513" s="24"/>
      <c r="K7513" s="9"/>
      <c r="L7513" s="25"/>
      <c r="M7513" s="7"/>
      <c r="N7513" s="8"/>
      <c r="O7513" s="20"/>
      <c r="P7513" s="3"/>
      <c r="Q7513" s="8"/>
      <c r="R7513" s="6"/>
      <c r="S7513" s="3"/>
      <c r="T7513" s="3"/>
      <c r="U7513" s="65"/>
      <c r="V7513" s="50"/>
      <c r="X7513"/>
    </row>
    <row r="7514" spans="1:24">
      <c r="A7514"/>
      <c r="B7514"/>
      <c r="C7514" s="4"/>
      <c r="D7514" s="4"/>
      <c r="E7514" s="5"/>
      <c r="F7514" s="6"/>
      <c r="G7514" s="31"/>
      <c r="H7514" s="6"/>
      <c r="I7514" s="9"/>
      <c r="J7514" s="24"/>
      <c r="K7514" s="9"/>
      <c r="L7514" s="25"/>
      <c r="M7514" s="7"/>
      <c r="N7514" s="8"/>
      <c r="O7514" s="20"/>
      <c r="P7514" s="3"/>
      <c r="Q7514" s="8"/>
      <c r="R7514" s="6"/>
      <c r="S7514" s="3"/>
      <c r="T7514" s="3"/>
      <c r="U7514" s="65"/>
      <c r="V7514" s="50"/>
      <c r="X7514"/>
    </row>
    <row r="7515" spans="1:24">
      <c r="A7515"/>
      <c r="B7515"/>
      <c r="C7515" s="4"/>
      <c r="D7515" s="4"/>
      <c r="E7515" s="5"/>
      <c r="F7515" s="6"/>
      <c r="G7515" s="31"/>
      <c r="H7515" s="6"/>
      <c r="I7515" s="9"/>
      <c r="J7515" s="24"/>
      <c r="K7515" s="10"/>
      <c r="L7515" s="25"/>
      <c r="M7515" s="7"/>
      <c r="N7515" s="8"/>
      <c r="O7515" s="20"/>
      <c r="P7515" s="20"/>
      <c r="Q7515" s="8"/>
      <c r="R7515" s="6"/>
      <c r="S7515" s="3"/>
      <c r="T7515" s="3"/>
      <c r="U7515" s="65"/>
      <c r="V7515" s="50"/>
      <c r="X7515"/>
    </row>
    <row r="7516" spans="1:24">
      <c r="A7516"/>
      <c r="B7516"/>
      <c r="C7516" s="4"/>
      <c r="D7516" s="4"/>
      <c r="E7516" s="5"/>
      <c r="F7516" s="6"/>
      <c r="G7516" s="31"/>
      <c r="H7516" s="6"/>
      <c r="I7516" s="9"/>
      <c r="J7516" s="24"/>
      <c r="K7516" s="9"/>
      <c r="L7516" s="25"/>
      <c r="M7516" s="7"/>
      <c r="N7516" s="8"/>
      <c r="O7516" s="20"/>
      <c r="P7516" s="20"/>
      <c r="Q7516" s="8"/>
      <c r="R7516" s="6"/>
      <c r="S7516" s="3"/>
      <c r="T7516" s="3"/>
      <c r="U7516" s="65"/>
      <c r="V7516" s="50"/>
      <c r="X7516"/>
    </row>
    <row r="7517" spans="1:24">
      <c r="A7517"/>
      <c r="B7517"/>
      <c r="C7517" s="4"/>
      <c r="D7517" s="4"/>
      <c r="E7517" s="5"/>
      <c r="F7517" s="6"/>
      <c r="G7517" s="31"/>
      <c r="H7517" s="6"/>
      <c r="I7517" s="9"/>
      <c r="J7517" s="24"/>
      <c r="K7517" s="10"/>
      <c r="L7517" s="25"/>
      <c r="M7517" s="7"/>
      <c r="N7517" s="8"/>
      <c r="O7517" s="20"/>
      <c r="P7517" s="20"/>
      <c r="Q7517" s="8"/>
      <c r="R7517" s="6"/>
      <c r="S7517" s="3"/>
      <c r="T7517" s="3"/>
      <c r="U7517" s="65"/>
      <c r="V7517" s="50"/>
      <c r="X7517"/>
    </row>
    <row r="7518" spans="1:24">
      <c r="A7518"/>
      <c r="B7518"/>
      <c r="C7518" s="4"/>
      <c r="D7518" s="4"/>
      <c r="E7518" s="5"/>
      <c r="F7518" s="6"/>
      <c r="G7518" s="31"/>
      <c r="H7518" s="6"/>
      <c r="I7518" s="9"/>
      <c r="J7518" s="24"/>
      <c r="K7518" s="9"/>
      <c r="L7518" s="25"/>
      <c r="M7518" s="7"/>
      <c r="N7518" s="8"/>
      <c r="O7518" s="20"/>
      <c r="P7518" s="20"/>
      <c r="Q7518" s="8"/>
      <c r="R7518" s="6"/>
      <c r="S7518" s="3"/>
      <c r="T7518" s="3"/>
      <c r="U7518" s="65"/>
      <c r="V7518" s="50"/>
      <c r="X7518"/>
    </row>
    <row r="7519" spans="1:24">
      <c r="A7519"/>
      <c r="B7519"/>
      <c r="C7519" s="4"/>
      <c r="D7519" s="4"/>
      <c r="E7519" s="5"/>
      <c r="F7519" s="6"/>
      <c r="G7519" s="31"/>
      <c r="H7519" s="6"/>
      <c r="I7519" s="9"/>
      <c r="J7519" s="24"/>
      <c r="K7519" s="10"/>
      <c r="L7519" s="25"/>
      <c r="M7519" s="7"/>
      <c r="N7519" s="8"/>
      <c r="O7519" s="20"/>
      <c r="P7519" s="20"/>
      <c r="Q7519" s="8"/>
      <c r="R7519" s="6"/>
      <c r="S7519" s="3"/>
      <c r="T7519" s="3"/>
      <c r="U7519" s="65"/>
      <c r="V7519" s="50"/>
      <c r="X7519"/>
    </row>
    <row r="7520" spans="1:24">
      <c r="A7520"/>
      <c r="B7520"/>
      <c r="C7520" s="38"/>
      <c r="D7520" s="4"/>
      <c r="E7520" s="5"/>
      <c r="F7520" s="6"/>
      <c r="G7520" s="31"/>
      <c r="H7520" s="6"/>
      <c r="I7520" s="9"/>
      <c r="J7520" s="24"/>
      <c r="K7520" s="9"/>
      <c r="L7520" s="25"/>
      <c r="M7520" s="7"/>
      <c r="N7520" s="8"/>
      <c r="O7520" s="20"/>
      <c r="P7520" s="20"/>
      <c r="Q7520" s="8"/>
      <c r="R7520" s="6"/>
      <c r="S7520" s="3"/>
      <c r="T7520" s="3"/>
      <c r="U7520" s="65"/>
      <c r="V7520" s="50"/>
      <c r="X7520"/>
    </row>
    <row r="7521" spans="1:24">
      <c r="A7521"/>
      <c r="B7521"/>
      <c r="C7521" s="4"/>
      <c r="D7521" s="4"/>
      <c r="E7521" s="5"/>
      <c r="F7521" s="6"/>
      <c r="G7521" s="31"/>
      <c r="H7521" s="6"/>
      <c r="I7521" s="9"/>
      <c r="J7521" s="24"/>
      <c r="K7521" s="9"/>
      <c r="L7521" s="25"/>
      <c r="M7521" s="7"/>
      <c r="N7521" s="8"/>
      <c r="O7521" s="20"/>
      <c r="P7521" s="20"/>
      <c r="Q7521" s="8"/>
      <c r="R7521" s="6"/>
      <c r="S7521" s="3"/>
      <c r="T7521" s="3"/>
      <c r="U7521" s="65"/>
      <c r="V7521" s="50"/>
      <c r="X7521"/>
    </row>
    <row r="7522" spans="1:24">
      <c r="A7522"/>
      <c r="B7522"/>
      <c r="C7522" s="4"/>
      <c r="D7522" s="4"/>
      <c r="E7522" s="5"/>
      <c r="F7522" s="6"/>
      <c r="G7522" s="31"/>
      <c r="H7522" s="6"/>
      <c r="I7522" s="9"/>
      <c r="J7522" s="24"/>
      <c r="K7522" s="9"/>
      <c r="L7522" s="25"/>
      <c r="M7522" s="7"/>
      <c r="N7522" s="8"/>
      <c r="O7522" s="20"/>
      <c r="P7522" s="20"/>
      <c r="Q7522" s="8"/>
      <c r="R7522" s="6"/>
      <c r="S7522" s="3"/>
      <c r="T7522" s="3"/>
      <c r="U7522" s="65"/>
      <c r="V7522" s="50"/>
      <c r="X7522"/>
    </row>
    <row r="7523" spans="1:24">
      <c r="A7523"/>
      <c r="B7523"/>
      <c r="C7523" s="4"/>
      <c r="D7523" s="4"/>
      <c r="E7523" s="5"/>
      <c r="F7523" s="6"/>
      <c r="G7523" s="31"/>
      <c r="H7523" s="6"/>
      <c r="I7523" s="9"/>
      <c r="J7523" s="24"/>
      <c r="K7523" s="9"/>
      <c r="L7523" s="25"/>
      <c r="M7523" s="7"/>
      <c r="N7523" s="8"/>
      <c r="O7523" s="20"/>
      <c r="P7523" s="20"/>
      <c r="Q7523" s="8"/>
      <c r="R7523" s="6"/>
      <c r="S7523" s="3"/>
      <c r="T7523" s="3"/>
      <c r="U7523" s="65"/>
      <c r="V7523" s="50"/>
      <c r="X7523"/>
    </row>
    <row r="7524" spans="1:24">
      <c r="A7524"/>
      <c r="B7524"/>
      <c r="C7524" s="4"/>
      <c r="D7524" s="4"/>
      <c r="E7524" s="5"/>
      <c r="F7524" s="6"/>
      <c r="G7524" s="31"/>
      <c r="H7524" s="6"/>
      <c r="I7524" s="9"/>
      <c r="J7524" s="24"/>
      <c r="K7524" s="9"/>
      <c r="L7524" s="25"/>
      <c r="M7524" s="7"/>
      <c r="N7524" s="8"/>
      <c r="O7524" s="20"/>
      <c r="P7524" s="20"/>
      <c r="Q7524" s="8"/>
      <c r="R7524" s="6"/>
      <c r="S7524" s="3"/>
      <c r="T7524" s="3"/>
      <c r="U7524" s="65"/>
      <c r="V7524" s="50"/>
      <c r="X7524"/>
    </row>
    <row r="7525" spans="1:24">
      <c r="A7525"/>
      <c r="B7525"/>
      <c r="C7525" s="3"/>
      <c r="D7525" s="4"/>
      <c r="E7525" s="5"/>
      <c r="F7525" s="6"/>
      <c r="G7525" s="31"/>
      <c r="H7525" s="6"/>
      <c r="I7525" s="9"/>
      <c r="J7525" s="24"/>
      <c r="K7525" s="9"/>
      <c r="L7525" s="25"/>
      <c r="M7525" s="7"/>
      <c r="N7525" s="8"/>
      <c r="O7525" s="20"/>
      <c r="P7525" s="3"/>
      <c r="Q7525" s="8"/>
      <c r="R7525" s="6"/>
      <c r="S7525" s="3"/>
      <c r="T7525" s="3"/>
      <c r="U7525" s="65"/>
      <c r="V7525" s="50"/>
      <c r="X7525"/>
    </row>
    <row r="7526" spans="1:24">
      <c r="A7526"/>
      <c r="B7526"/>
      <c r="C7526" s="3"/>
      <c r="D7526" s="4"/>
      <c r="E7526" s="5"/>
      <c r="F7526" s="6"/>
      <c r="G7526" s="31"/>
      <c r="H7526" s="6"/>
      <c r="I7526" s="9"/>
      <c r="J7526" s="24"/>
      <c r="K7526" s="9"/>
      <c r="L7526" s="25"/>
      <c r="M7526" s="7"/>
      <c r="N7526" s="8"/>
      <c r="O7526" s="20"/>
      <c r="P7526" s="3"/>
      <c r="Q7526" s="8"/>
      <c r="R7526" s="6"/>
      <c r="S7526" s="3"/>
      <c r="T7526" s="3"/>
      <c r="U7526" s="65"/>
      <c r="V7526" s="50"/>
      <c r="X7526"/>
    </row>
    <row r="7527" spans="1:24">
      <c r="A7527"/>
      <c r="B7527"/>
      <c r="C7527" s="3"/>
      <c r="D7527" s="4"/>
      <c r="E7527" s="5"/>
      <c r="F7527" s="6"/>
      <c r="G7527" s="31"/>
      <c r="H7527" s="6"/>
      <c r="I7527" s="9"/>
      <c r="J7527" s="24"/>
      <c r="K7527" s="9"/>
      <c r="L7527" s="25"/>
      <c r="M7527" s="7"/>
      <c r="N7527" s="8"/>
      <c r="O7527" s="20"/>
      <c r="P7527" s="3"/>
      <c r="Q7527" s="8"/>
      <c r="R7527" s="6"/>
      <c r="S7527" s="3"/>
      <c r="T7527" s="3"/>
      <c r="U7527" s="65"/>
      <c r="V7527" s="50"/>
      <c r="X7527"/>
    </row>
    <row r="7528" spans="1:24">
      <c r="A7528"/>
      <c r="B7528"/>
      <c r="C7528" s="4"/>
      <c r="D7528" s="4"/>
      <c r="E7528" s="5"/>
      <c r="F7528" s="6"/>
      <c r="G7528" s="31"/>
      <c r="H7528" s="6"/>
      <c r="I7528" s="9"/>
      <c r="J7528" s="24"/>
      <c r="K7528" s="9"/>
      <c r="L7528" s="25"/>
      <c r="M7528" s="7"/>
      <c r="N7528" s="8"/>
      <c r="O7528" s="20"/>
      <c r="P7528" s="3"/>
      <c r="Q7528" s="8"/>
      <c r="R7528" s="6"/>
      <c r="S7528" s="3"/>
      <c r="T7528" s="3"/>
      <c r="U7528" s="65"/>
      <c r="V7528" s="50"/>
      <c r="X7528"/>
    </row>
    <row r="7529" spans="1:24">
      <c r="A7529"/>
      <c r="B7529"/>
      <c r="C7529" s="4"/>
      <c r="D7529" s="4"/>
      <c r="E7529" s="5"/>
      <c r="F7529" s="6"/>
      <c r="G7529" s="31"/>
      <c r="H7529" s="6"/>
      <c r="I7529" s="9"/>
      <c r="J7529" s="24"/>
      <c r="K7529" s="9"/>
      <c r="L7529" s="25"/>
      <c r="M7529" s="7"/>
      <c r="N7529" s="8"/>
      <c r="O7529" s="20"/>
      <c r="P7529" s="3"/>
      <c r="Q7529" s="8"/>
      <c r="R7529" s="6"/>
      <c r="S7529" s="3"/>
      <c r="T7529" s="3"/>
      <c r="U7529" s="65"/>
      <c r="V7529" s="50"/>
      <c r="X7529"/>
    </row>
    <row r="7530" spans="1:24">
      <c r="A7530"/>
      <c r="B7530"/>
      <c r="C7530" s="4"/>
      <c r="D7530" s="4"/>
      <c r="E7530" s="5"/>
      <c r="F7530" s="6"/>
      <c r="G7530" s="31"/>
      <c r="H7530" s="6"/>
      <c r="I7530" s="9"/>
      <c r="J7530" s="24"/>
      <c r="K7530" s="9"/>
      <c r="L7530" s="25"/>
      <c r="M7530" s="7"/>
      <c r="N7530" s="8"/>
      <c r="O7530" s="20"/>
      <c r="P7530" s="3"/>
      <c r="Q7530" s="8"/>
      <c r="R7530" s="6"/>
      <c r="S7530" s="3"/>
      <c r="T7530" s="3"/>
      <c r="U7530" s="65"/>
      <c r="V7530" s="50"/>
      <c r="X7530"/>
    </row>
    <row r="7531" spans="1:24">
      <c r="A7531"/>
      <c r="B7531"/>
      <c r="C7531" s="4"/>
      <c r="D7531" s="4"/>
      <c r="E7531" s="5"/>
      <c r="F7531" s="6"/>
      <c r="G7531" s="31"/>
      <c r="H7531" s="6"/>
      <c r="I7531" s="9"/>
      <c r="J7531" s="24"/>
      <c r="K7531" s="9"/>
      <c r="L7531" s="25"/>
      <c r="M7531" s="7"/>
      <c r="N7531" s="8"/>
      <c r="O7531" s="20"/>
      <c r="P7531" s="3"/>
      <c r="Q7531" s="8"/>
      <c r="R7531" s="6"/>
      <c r="S7531" s="3"/>
      <c r="T7531" s="3"/>
      <c r="U7531" s="65"/>
      <c r="V7531" s="50"/>
      <c r="X7531"/>
    </row>
    <row r="7532" spans="1:24">
      <c r="A7532"/>
      <c r="B7532"/>
      <c r="C7532" s="4"/>
      <c r="D7532" s="4"/>
      <c r="E7532" s="5"/>
      <c r="F7532" s="6"/>
      <c r="G7532" s="31"/>
      <c r="H7532" s="6"/>
      <c r="I7532" s="9"/>
      <c r="J7532" s="24"/>
      <c r="K7532" s="9"/>
      <c r="L7532" s="25"/>
      <c r="M7532" s="7"/>
      <c r="N7532" s="8"/>
      <c r="O7532" s="20"/>
      <c r="P7532" s="3"/>
      <c r="Q7532" s="8"/>
      <c r="R7532" s="6"/>
      <c r="S7532" s="3"/>
      <c r="T7532" s="3"/>
      <c r="U7532" s="65"/>
      <c r="V7532" s="50"/>
      <c r="X7532"/>
    </row>
    <row r="7533" spans="1:24">
      <c r="A7533"/>
      <c r="B7533"/>
      <c r="C7533" s="4"/>
      <c r="D7533" s="4"/>
      <c r="E7533" s="5"/>
      <c r="F7533" s="6"/>
      <c r="G7533" s="31"/>
      <c r="H7533" s="6"/>
      <c r="I7533" s="9"/>
      <c r="J7533" s="24"/>
      <c r="K7533" s="9"/>
      <c r="L7533" s="25"/>
      <c r="M7533" s="7"/>
      <c r="N7533" s="8"/>
      <c r="O7533" s="20"/>
      <c r="P7533" s="3"/>
      <c r="Q7533" s="8"/>
      <c r="R7533" s="6"/>
      <c r="S7533" s="3"/>
      <c r="T7533" s="3"/>
      <c r="U7533" s="65"/>
      <c r="V7533" s="50"/>
      <c r="X7533"/>
    </row>
    <row r="7534" spans="1:24">
      <c r="A7534"/>
      <c r="B7534"/>
      <c r="C7534" s="4"/>
      <c r="D7534" s="4"/>
      <c r="E7534" s="5"/>
      <c r="F7534" s="6"/>
      <c r="G7534" s="31"/>
      <c r="H7534" s="6"/>
      <c r="I7534" s="9"/>
      <c r="J7534" s="24"/>
      <c r="K7534" s="9"/>
      <c r="L7534" s="25"/>
      <c r="M7534" s="7"/>
      <c r="N7534" s="8"/>
      <c r="O7534" s="20"/>
      <c r="P7534" s="3"/>
      <c r="Q7534" s="8"/>
      <c r="R7534" s="6"/>
      <c r="S7534" s="3"/>
      <c r="T7534" s="3"/>
      <c r="U7534" s="65"/>
      <c r="V7534" s="50"/>
      <c r="X7534"/>
    </row>
    <row r="7535" spans="1:24">
      <c r="A7535"/>
      <c r="B7535"/>
      <c r="C7535" s="4"/>
      <c r="D7535" s="4"/>
      <c r="E7535" s="5"/>
      <c r="F7535" s="6"/>
      <c r="G7535" s="31"/>
      <c r="H7535" s="6"/>
      <c r="I7535" s="9"/>
      <c r="J7535" s="24"/>
      <c r="K7535" s="10"/>
      <c r="L7535" s="25"/>
      <c r="M7535" s="25"/>
      <c r="N7535" s="8"/>
      <c r="O7535" s="20"/>
      <c r="P7535" s="20"/>
      <c r="Q7535" s="8"/>
      <c r="R7535" s="6"/>
      <c r="S7535" s="3"/>
      <c r="T7535" s="3"/>
      <c r="U7535" s="65"/>
      <c r="V7535" s="50"/>
      <c r="X7535"/>
    </row>
    <row r="7536" spans="1:24">
      <c r="A7536"/>
      <c r="B7536"/>
      <c r="C7536" s="4"/>
      <c r="D7536" s="4"/>
      <c r="E7536" s="5"/>
      <c r="F7536" s="6"/>
      <c r="G7536" s="31"/>
      <c r="H7536" s="6"/>
      <c r="I7536" s="9"/>
      <c r="J7536" s="24"/>
      <c r="K7536" s="10"/>
      <c r="L7536" s="25"/>
      <c r="M7536" s="25"/>
      <c r="N7536" s="8"/>
      <c r="O7536" s="20"/>
      <c r="P7536" s="20"/>
      <c r="Q7536" s="8"/>
      <c r="R7536" s="6"/>
      <c r="S7536" s="3"/>
      <c r="T7536" s="3"/>
      <c r="U7536" s="65"/>
      <c r="V7536" s="50"/>
      <c r="X7536"/>
    </row>
    <row r="7537" spans="1:24">
      <c r="A7537"/>
      <c r="B7537"/>
      <c r="C7537" s="4"/>
      <c r="D7537" s="4"/>
      <c r="E7537" s="5"/>
      <c r="F7537" s="6"/>
      <c r="G7537" s="31"/>
      <c r="H7537" s="6"/>
      <c r="I7537" s="9"/>
      <c r="J7537" s="24"/>
      <c r="K7537" s="10"/>
      <c r="L7537" s="25"/>
      <c r="M7537" s="25"/>
      <c r="N7537" s="8"/>
      <c r="O7537" s="20"/>
      <c r="P7537" s="20"/>
      <c r="Q7537" s="8"/>
      <c r="R7537" s="6"/>
      <c r="S7537" s="3"/>
      <c r="T7537" s="3"/>
      <c r="U7537" s="65"/>
      <c r="V7537" s="50"/>
      <c r="X7537"/>
    </row>
    <row r="7538" spans="1:24">
      <c r="A7538"/>
      <c r="B7538"/>
      <c r="C7538" s="4"/>
      <c r="D7538" s="4"/>
      <c r="E7538" s="5"/>
      <c r="F7538" s="6"/>
      <c r="G7538" s="31"/>
      <c r="H7538" s="6"/>
      <c r="I7538" s="9"/>
      <c r="J7538" s="24"/>
      <c r="K7538" s="9"/>
      <c r="L7538" s="25"/>
      <c r="M7538" s="7"/>
      <c r="N7538" s="8"/>
      <c r="O7538" s="20"/>
      <c r="P7538" s="20"/>
      <c r="Q7538" s="8"/>
      <c r="R7538" s="6"/>
      <c r="S7538" s="3"/>
      <c r="T7538" s="3"/>
      <c r="U7538" s="65"/>
      <c r="V7538" s="50"/>
      <c r="X7538"/>
    </row>
    <row r="7539" spans="1:24">
      <c r="A7539"/>
      <c r="B7539"/>
      <c r="C7539" s="4"/>
      <c r="D7539" s="4"/>
      <c r="E7539" s="5"/>
      <c r="F7539" s="6"/>
      <c r="G7539" s="31"/>
      <c r="H7539" s="6"/>
      <c r="I7539" s="9"/>
      <c r="J7539" s="24"/>
      <c r="K7539" s="9"/>
      <c r="L7539" s="25"/>
      <c r="M7539" s="7"/>
      <c r="N7539" s="8"/>
      <c r="O7539" s="20"/>
      <c r="P7539" s="20"/>
      <c r="Q7539" s="8"/>
      <c r="R7539" s="6"/>
      <c r="S7539" s="3"/>
      <c r="T7539" s="3"/>
      <c r="U7539" s="65"/>
      <c r="V7539" s="50"/>
      <c r="X7539"/>
    </row>
    <row r="7540" spans="1:24">
      <c r="A7540"/>
      <c r="B7540"/>
      <c r="C7540" s="4"/>
      <c r="D7540" s="4"/>
      <c r="E7540" s="5"/>
      <c r="F7540" s="6"/>
      <c r="G7540" s="31"/>
      <c r="H7540" s="6"/>
      <c r="I7540" s="9"/>
      <c r="J7540" s="24"/>
      <c r="K7540" s="9"/>
      <c r="L7540" s="25"/>
      <c r="M7540" s="25"/>
      <c r="N7540" s="8"/>
      <c r="O7540" s="20"/>
      <c r="P7540" s="20"/>
      <c r="Q7540" s="8"/>
      <c r="R7540" s="6"/>
      <c r="S7540" s="3"/>
      <c r="T7540" s="3"/>
      <c r="U7540" s="65"/>
      <c r="V7540" s="50"/>
      <c r="X7540"/>
    </row>
    <row r="7541" spans="1:24">
      <c r="A7541"/>
      <c r="B7541"/>
      <c r="C7541" s="4"/>
      <c r="D7541" s="4"/>
      <c r="E7541" s="5"/>
      <c r="F7541" s="6"/>
      <c r="G7541" s="31"/>
      <c r="H7541" s="6"/>
      <c r="I7541" s="9"/>
      <c r="J7541" s="24"/>
      <c r="K7541" s="9"/>
      <c r="L7541" s="25"/>
      <c r="M7541" s="25"/>
      <c r="N7541" s="8"/>
      <c r="O7541" s="20"/>
      <c r="P7541" s="20"/>
      <c r="Q7541" s="8"/>
      <c r="R7541" s="6"/>
      <c r="S7541" s="3"/>
      <c r="T7541" s="3"/>
      <c r="U7541" s="65"/>
      <c r="V7541" s="50"/>
      <c r="X7541"/>
    </row>
    <row r="7542" spans="1:24">
      <c r="A7542"/>
      <c r="B7542"/>
      <c r="C7542" s="4"/>
      <c r="D7542" s="4"/>
      <c r="E7542" s="5"/>
      <c r="F7542" s="6"/>
      <c r="G7542" s="31"/>
      <c r="H7542" s="6"/>
      <c r="I7542" s="9"/>
      <c r="J7542" s="24"/>
      <c r="K7542" s="9"/>
      <c r="L7542" s="25"/>
      <c r="M7542" s="25"/>
      <c r="N7542" s="8"/>
      <c r="O7542" s="20"/>
      <c r="P7542" s="20"/>
      <c r="Q7542" s="8"/>
      <c r="R7542" s="6"/>
      <c r="S7542" s="3"/>
      <c r="T7542" s="3"/>
      <c r="U7542" s="65"/>
      <c r="V7542" s="50"/>
      <c r="X7542"/>
    </row>
    <row r="7543" spans="1:24">
      <c r="A7543"/>
      <c r="B7543"/>
      <c r="C7543" s="4"/>
      <c r="D7543" s="4"/>
      <c r="E7543" s="5"/>
      <c r="F7543" s="6"/>
      <c r="G7543" s="31"/>
      <c r="H7543" s="6"/>
      <c r="I7543" s="9"/>
      <c r="J7543" s="24"/>
      <c r="K7543" s="9"/>
      <c r="L7543" s="25"/>
      <c r="M7543" s="7"/>
      <c r="N7543" s="8"/>
      <c r="O7543" s="20"/>
      <c r="P7543" s="20"/>
      <c r="Q7543" s="8"/>
      <c r="R7543" s="6"/>
      <c r="S7543" s="3"/>
      <c r="T7543" s="3"/>
      <c r="U7543" s="65"/>
      <c r="V7543" s="50"/>
      <c r="X7543"/>
    </row>
    <row r="7544" spans="1:24">
      <c r="A7544"/>
      <c r="B7544"/>
      <c r="C7544" s="4"/>
      <c r="D7544" s="4"/>
      <c r="E7544" s="5"/>
      <c r="F7544" s="6"/>
      <c r="G7544" s="31"/>
      <c r="H7544" s="6"/>
      <c r="I7544" s="9"/>
      <c r="J7544" s="24"/>
      <c r="K7544" s="9"/>
      <c r="L7544" s="25"/>
      <c r="M7544" s="7"/>
      <c r="N7544" s="8"/>
      <c r="O7544" s="20"/>
      <c r="P7544" s="20"/>
      <c r="Q7544" s="8"/>
      <c r="R7544" s="6"/>
      <c r="S7544" s="3"/>
      <c r="T7544" s="3"/>
      <c r="U7544" s="65"/>
      <c r="V7544" s="50"/>
      <c r="X7544"/>
    </row>
    <row r="7545" spans="1:24">
      <c r="A7545"/>
      <c r="B7545"/>
      <c r="C7545" s="4"/>
      <c r="D7545" s="4"/>
      <c r="E7545" s="5"/>
      <c r="F7545" s="6"/>
      <c r="G7545" s="31"/>
      <c r="H7545" s="6"/>
      <c r="I7545" s="9"/>
      <c r="J7545" s="24"/>
      <c r="K7545" s="9"/>
      <c r="L7545" s="25"/>
      <c r="M7545" s="47"/>
      <c r="N7545" s="8"/>
      <c r="O7545" s="20"/>
      <c r="P7545" s="20"/>
      <c r="Q7545" s="8"/>
      <c r="R7545" s="6"/>
      <c r="S7545" s="3"/>
      <c r="T7545" s="3"/>
      <c r="U7545" s="65"/>
      <c r="V7545" s="50"/>
      <c r="X7545"/>
    </row>
    <row r="7546" spans="1:24">
      <c r="A7546"/>
      <c r="B7546"/>
      <c r="C7546" s="4"/>
      <c r="D7546" s="4"/>
      <c r="E7546" s="5"/>
      <c r="F7546" s="6"/>
      <c r="G7546" s="31"/>
      <c r="H7546" s="6"/>
      <c r="I7546" s="9"/>
      <c r="J7546" s="24"/>
      <c r="K7546" s="9"/>
      <c r="L7546" s="25"/>
      <c r="M7546" s="7"/>
      <c r="N7546" s="8"/>
      <c r="O7546" s="20"/>
      <c r="P7546" s="20"/>
      <c r="Q7546" s="8"/>
      <c r="R7546" s="6"/>
      <c r="S7546" s="3"/>
      <c r="T7546" s="3"/>
      <c r="U7546" s="65"/>
      <c r="V7546" s="50"/>
      <c r="X7546"/>
    </row>
    <row r="7547" spans="1:24">
      <c r="A7547"/>
      <c r="B7547"/>
      <c r="C7547" s="4"/>
      <c r="D7547" s="4"/>
      <c r="E7547" s="5"/>
      <c r="F7547" s="6"/>
      <c r="G7547" s="31"/>
      <c r="H7547" s="6"/>
      <c r="I7547" s="9"/>
      <c r="J7547" s="24"/>
      <c r="K7547" s="9"/>
      <c r="L7547" s="25"/>
      <c r="M7547" s="7"/>
      <c r="N7547" s="8"/>
      <c r="O7547" s="20"/>
      <c r="P7547" s="20"/>
      <c r="Q7547" s="8"/>
      <c r="R7547" s="6"/>
      <c r="S7547" s="3"/>
      <c r="T7547" s="3"/>
      <c r="U7547" s="65"/>
      <c r="V7547" s="50"/>
      <c r="X7547"/>
    </row>
    <row r="7548" spans="1:24">
      <c r="A7548"/>
      <c r="B7548"/>
      <c r="C7548" s="4"/>
      <c r="D7548" s="4"/>
      <c r="E7548" s="5"/>
      <c r="F7548" s="6"/>
      <c r="G7548" s="31"/>
      <c r="H7548" s="6"/>
      <c r="I7548" s="9"/>
      <c r="J7548" s="24"/>
      <c r="K7548" s="9"/>
      <c r="L7548" s="25"/>
      <c r="M7548" s="7"/>
      <c r="N7548" s="8"/>
      <c r="O7548" s="20"/>
      <c r="P7548" s="20"/>
      <c r="Q7548" s="8"/>
      <c r="R7548" s="6"/>
      <c r="S7548" s="3"/>
      <c r="T7548" s="3"/>
      <c r="U7548" s="65"/>
      <c r="V7548" s="50"/>
      <c r="X7548"/>
    </row>
    <row r="7549" spans="1:24">
      <c r="A7549"/>
      <c r="B7549"/>
      <c r="C7549" s="4"/>
      <c r="D7549" s="4"/>
      <c r="E7549" s="5"/>
      <c r="F7549" s="6"/>
      <c r="G7549" s="31"/>
      <c r="H7549" s="6"/>
      <c r="I7549" s="9"/>
      <c r="J7549" s="24"/>
      <c r="K7549" s="9"/>
      <c r="L7549" s="25"/>
      <c r="M7549" s="7"/>
      <c r="N7549" s="8"/>
      <c r="O7549" s="20"/>
      <c r="P7549" s="20"/>
      <c r="Q7549" s="8"/>
      <c r="R7549" s="6"/>
      <c r="S7549" s="3"/>
      <c r="T7549" s="3"/>
      <c r="U7549" s="65"/>
      <c r="V7549" s="50"/>
      <c r="X7549"/>
    </row>
    <row r="7550" spans="1:24">
      <c r="A7550"/>
      <c r="B7550"/>
      <c r="C7550" s="4"/>
      <c r="D7550" s="4"/>
      <c r="E7550" s="5"/>
      <c r="F7550" s="6"/>
      <c r="G7550" s="31"/>
      <c r="H7550" s="6"/>
      <c r="I7550" s="9"/>
      <c r="J7550" s="24"/>
      <c r="K7550" s="9"/>
      <c r="L7550" s="25"/>
      <c r="M7550" s="7"/>
      <c r="N7550" s="8"/>
      <c r="O7550" s="20"/>
      <c r="P7550" s="20"/>
      <c r="Q7550" s="8"/>
      <c r="R7550" s="6"/>
      <c r="S7550" s="3"/>
      <c r="T7550" s="3"/>
      <c r="U7550" s="65"/>
      <c r="V7550" s="50"/>
      <c r="X7550"/>
    </row>
    <row r="7551" spans="1:24">
      <c r="A7551"/>
      <c r="B7551"/>
      <c r="C7551" s="4"/>
      <c r="D7551" s="4"/>
      <c r="E7551" s="5"/>
      <c r="F7551" s="6"/>
      <c r="G7551" s="31"/>
      <c r="H7551" s="6"/>
      <c r="I7551" s="9"/>
      <c r="J7551" s="24"/>
      <c r="K7551" s="9"/>
      <c r="L7551" s="25"/>
      <c r="M7551" s="7"/>
      <c r="N7551" s="8"/>
      <c r="O7551" s="20"/>
      <c r="P7551" s="20"/>
      <c r="Q7551" s="8"/>
      <c r="R7551" s="6"/>
      <c r="S7551" s="3"/>
      <c r="T7551" s="3"/>
      <c r="U7551" s="65"/>
      <c r="V7551" s="50"/>
      <c r="X7551"/>
    </row>
    <row r="7552" spans="1:24">
      <c r="A7552"/>
      <c r="B7552"/>
      <c r="C7552" s="4"/>
      <c r="D7552" s="4"/>
      <c r="E7552" s="5"/>
      <c r="F7552" s="6"/>
      <c r="G7552" s="31"/>
      <c r="H7552" s="6"/>
      <c r="I7552" s="9"/>
      <c r="J7552" s="24"/>
      <c r="K7552" s="9"/>
      <c r="L7552" s="25"/>
      <c r="M7552" s="7"/>
      <c r="N7552" s="8"/>
      <c r="O7552" s="20"/>
      <c r="P7552" s="20"/>
      <c r="Q7552" s="8"/>
      <c r="R7552" s="6"/>
      <c r="S7552" s="3"/>
      <c r="T7552" s="3"/>
      <c r="U7552" s="65"/>
      <c r="V7552" s="50"/>
      <c r="X7552"/>
    </row>
    <row r="7553" spans="1:24">
      <c r="A7553"/>
      <c r="B7553"/>
      <c r="C7553" s="4"/>
      <c r="D7553" s="4"/>
      <c r="E7553" s="5"/>
      <c r="F7553" s="6"/>
      <c r="G7553" s="31"/>
      <c r="H7553" s="6"/>
      <c r="I7553" s="9"/>
      <c r="J7553" s="24"/>
      <c r="K7553" s="9"/>
      <c r="L7553" s="25"/>
      <c r="M7553" s="7"/>
      <c r="N7553" s="8"/>
      <c r="O7553" s="20"/>
      <c r="P7553" s="20"/>
      <c r="Q7553" s="8"/>
      <c r="R7553" s="6"/>
      <c r="S7553" s="3"/>
      <c r="T7553" s="3"/>
      <c r="U7553" s="65"/>
      <c r="V7553" s="50"/>
      <c r="X7553"/>
    </row>
    <row r="7554" spans="1:24">
      <c r="A7554"/>
      <c r="B7554"/>
      <c r="C7554" s="4"/>
      <c r="D7554" s="4"/>
      <c r="E7554" s="5"/>
      <c r="F7554" s="6"/>
      <c r="G7554" s="31"/>
      <c r="H7554" s="6"/>
      <c r="I7554" s="9"/>
      <c r="J7554" s="24"/>
      <c r="K7554" s="9"/>
      <c r="L7554" s="25"/>
      <c r="M7554" s="7"/>
      <c r="N7554" s="8"/>
      <c r="O7554" s="20"/>
      <c r="P7554" s="20"/>
      <c r="Q7554" s="8"/>
      <c r="R7554" s="6"/>
      <c r="S7554" s="3"/>
      <c r="T7554" s="3"/>
      <c r="U7554" s="65"/>
      <c r="V7554" s="50"/>
      <c r="X7554"/>
    </row>
    <row r="7555" spans="1:24">
      <c r="A7555"/>
      <c r="B7555"/>
      <c r="C7555" s="4"/>
      <c r="D7555" s="4"/>
      <c r="E7555" s="5"/>
      <c r="F7555" s="6"/>
      <c r="G7555" s="31"/>
      <c r="H7555" s="6"/>
      <c r="I7555" s="9"/>
      <c r="J7555" s="24"/>
      <c r="K7555" s="9"/>
      <c r="L7555" s="25"/>
      <c r="M7555" s="7"/>
      <c r="N7555" s="8"/>
      <c r="O7555" s="20"/>
      <c r="P7555" s="20"/>
      <c r="Q7555" s="8"/>
      <c r="R7555" s="6"/>
      <c r="S7555" s="3"/>
      <c r="T7555" s="3"/>
      <c r="U7555" s="65"/>
      <c r="V7555" s="50"/>
      <c r="X7555"/>
    </row>
    <row r="7556" spans="1:24">
      <c r="A7556"/>
      <c r="B7556"/>
      <c r="C7556" s="4"/>
      <c r="D7556" s="4"/>
      <c r="E7556" s="5"/>
      <c r="F7556" s="6"/>
      <c r="G7556" s="31"/>
      <c r="H7556" s="6"/>
      <c r="I7556" s="9"/>
      <c r="J7556" s="24"/>
      <c r="K7556" s="9"/>
      <c r="L7556" s="25"/>
      <c r="M7556" s="7"/>
      <c r="N7556" s="8"/>
      <c r="O7556" s="20"/>
      <c r="P7556" s="20"/>
      <c r="Q7556" s="8"/>
      <c r="R7556" s="6"/>
      <c r="S7556" s="3"/>
      <c r="T7556" s="3"/>
      <c r="U7556" s="65"/>
      <c r="V7556" s="50"/>
      <c r="X7556"/>
    </row>
    <row r="7557" spans="1:24">
      <c r="A7557"/>
      <c r="B7557"/>
      <c r="C7557" s="4"/>
      <c r="D7557" s="4"/>
      <c r="E7557" s="5"/>
      <c r="F7557" s="6"/>
      <c r="G7557" s="31"/>
      <c r="H7557" s="6"/>
      <c r="I7557" s="9"/>
      <c r="J7557" s="24"/>
      <c r="K7557" s="9"/>
      <c r="L7557" s="25"/>
      <c r="M7557" s="7"/>
      <c r="N7557" s="8"/>
      <c r="O7557" s="20"/>
      <c r="P7557" s="20"/>
      <c r="Q7557" s="8"/>
      <c r="R7557" s="6"/>
      <c r="S7557" s="3"/>
      <c r="T7557" s="3"/>
      <c r="U7557" s="65"/>
      <c r="V7557" s="50"/>
      <c r="X7557"/>
    </row>
    <row r="7558" spans="1:24">
      <c r="A7558"/>
      <c r="B7558"/>
      <c r="C7558" s="4"/>
      <c r="D7558" s="4"/>
      <c r="E7558" s="5"/>
      <c r="F7558" s="6"/>
      <c r="G7558" s="31"/>
      <c r="H7558" s="6"/>
      <c r="I7558" s="9"/>
      <c r="J7558" s="24"/>
      <c r="K7558" s="9"/>
      <c r="L7558" s="25"/>
      <c r="M7558" s="7"/>
      <c r="N7558" s="8"/>
      <c r="O7558" s="20"/>
      <c r="P7558" s="3"/>
      <c r="Q7558" s="8"/>
      <c r="R7558" s="6"/>
      <c r="S7558" s="3"/>
      <c r="T7558" s="3"/>
      <c r="U7558" s="65"/>
      <c r="V7558" s="50"/>
      <c r="X7558"/>
    </row>
    <row r="7559" spans="1:24">
      <c r="A7559"/>
      <c r="B7559"/>
      <c r="C7559" s="4"/>
      <c r="D7559" s="4"/>
      <c r="E7559" s="5"/>
      <c r="F7559" s="6"/>
      <c r="G7559" s="31"/>
      <c r="H7559" s="6"/>
      <c r="I7559" s="9"/>
      <c r="J7559" s="24"/>
      <c r="K7559" s="9"/>
      <c r="L7559" s="25"/>
      <c r="M7559" s="7"/>
      <c r="N7559" s="8"/>
      <c r="O7559" s="20"/>
      <c r="P7559" s="3"/>
      <c r="Q7559" s="8"/>
      <c r="R7559" s="6"/>
      <c r="S7559" s="3"/>
      <c r="T7559" s="3"/>
      <c r="U7559" s="65"/>
      <c r="V7559" s="50"/>
      <c r="X7559"/>
    </row>
    <row r="7560" spans="1:24">
      <c r="A7560"/>
      <c r="B7560"/>
      <c r="C7560" s="4"/>
      <c r="D7560" s="4"/>
      <c r="E7560" s="5"/>
      <c r="F7560" s="6"/>
      <c r="G7560" s="31"/>
      <c r="H7560" s="6"/>
      <c r="I7560" s="9"/>
      <c r="J7560" s="24"/>
      <c r="K7560" s="9"/>
      <c r="L7560" s="25"/>
      <c r="M7560" s="7"/>
      <c r="N7560" s="8"/>
      <c r="O7560" s="20"/>
      <c r="P7560" s="3"/>
      <c r="Q7560" s="8"/>
      <c r="R7560" s="6"/>
      <c r="S7560" s="3"/>
      <c r="T7560" s="3"/>
      <c r="U7560" s="65"/>
      <c r="V7560" s="50"/>
      <c r="X7560"/>
    </row>
    <row r="7561" spans="1:24">
      <c r="A7561"/>
      <c r="B7561"/>
      <c r="C7561" s="4"/>
      <c r="D7561" s="4"/>
      <c r="E7561" s="5"/>
      <c r="F7561" s="6"/>
      <c r="G7561" s="31"/>
      <c r="H7561" s="6"/>
      <c r="I7561" s="9"/>
      <c r="J7561" s="24"/>
      <c r="K7561" s="9"/>
      <c r="L7561" s="25"/>
      <c r="M7561" s="7"/>
      <c r="N7561" s="8"/>
      <c r="O7561" s="20"/>
      <c r="P7561" s="3"/>
      <c r="Q7561" s="8"/>
      <c r="R7561" s="6"/>
      <c r="S7561" s="3"/>
      <c r="T7561" s="3"/>
      <c r="U7561" s="65"/>
      <c r="V7561" s="50"/>
      <c r="X7561"/>
    </row>
    <row r="7562" spans="1:24">
      <c r="A7562"/>
      <c r="B7562"/>
      <c r="C7562" s="4"/>
      <c r="D7562" s="4"/>
      <c r="E7562" s="5"/>
      <c r="F7562" s="6"/>
      <c r="G7562" s="31"/>
      <c r="H7562" s="6"/>
      <c r="I7562" s="9"/>
      <c r="J7562" s="24"/>
      <c r="K7562" s="9"/>
      <c r="L7562" s="25"/>
      <c r="M7562" s="7"/>
      <c r="N7562" s="8"/>
      <c r="O7562" s="20"/>
      <c r="P7562" s="3"/>
      <c r="Q7562" s="8"/>
      <c r="R7562" s="6"/>
      <c r="S7562" s="3"/>
      <c r="T7562" s="3"/>
      <c r="U7562" s="65"/>
      <c r="V7562" s="50"/>
      <c r="X7562"/>
    </row>
    <row r="7563" spans="1:24">
      <c r="A7563"/>
      <c r="B7563"/>
      <c r="C7563" s="4"/>
      <c r="D7563" s="4"/>
      <c r="E7563" s="5"/>
      <c r="F7563" s="6"/>
      <c r="G7563" s="31"/>
      <c r="H7563" s="6"/>
      <c r="I7563" s="9"/>
      <c r="J7563" s="24"/>
      <c r="K7563" s="9"/>
      <c r="L7563" s="25"/>
      <c r="M7563" s="7"/>
      <c r="N7563" s="8"/>
      <c r="O7563" s="20"/>
      <c r="P7563" s="3"/>
      <c r="Q7563" s="8"/>
      <c r="R7563" s="6"/>
      <c r="S7563" s="3"/>
      <c r="T7563" s="3"/>
      <c r="U7563" s="65"/>
      <c r="V7563" s="50"/>
      <c r="X7563"/>
    </row>
    <row r="7564" spans="1:24">
      <c r="A7564"/>
      <c r="B7564"/>
      <c r="C7564" s="4"/>
      <c r="D7564" s="4"/>
      <c r="E7564" s="5"/>
      <c r="F7564" s="6"/>
      <c r="G7564" s="31"/>
      <c r="H7564" s="6"/>
      <c r="I7564" s="9"/>
      <c r="J7564" s="24"/>
      <c r="K7564" s="9"/>
      <c r="L7564" s="25"/>
      <c r="M7564" s="7"/>
      <c r="N7564" s="8"/>
      <c r="O7564" s="20"/>
      <c r="P7564" s="3"/>
      <c r="Q7564" s="8"/>
      <c r="R7564" s="6"/>
      <c r="S7564" s="3"/>
      <c r="T7564" s="3"/>
      <c r="U7564" s="65"/>
      <c r="V7564" s="50"/>
      <c r="X7564"/>
    </row>
    <row r="7565" spans="1:24">
      <c r="A7565"/>
      <c r="B7565"/>
      <c r="C7565" s="4"/>
      <c r="D7565" s="4"/>
      <c r="E7565" s="5"/>
      <c r="F7565" s="6"/>
      <c r="G7565" s="31"/>
      <c r="H7565" s="6"/>
      <c r="I7565" s="9"/>
      <c r="J7565" s="24"/>
      <c r="K7565" s="9"/>
      <c r="L7565" s="25"/>
      <c r="M7565" s="7"/>
      <c r="N7565" s="8"/>
      <c r="O7565" s="20"/>
      <c r="P7565" s="3"/>
      <c r="Q7565" s="8"/>
      <c r="R7565" s="6"/>
      <c r="S7565" s="3"/>
      <c r="T7565" s="3"/>
      <c r="U7565" s="65"/>
      <c r="V7565" s="50"/>
      <c r="X7565"/>
    </row>
    <row r="7566" spans="1:24">
      <c r="A7566"/>
      <c r="B7566"/>
      <c r="C7566" s="4"/>
      <c r="D7566" s="4"/>
      <c r="E7566" s="5"/>
      <c r="F7566" s="6"/>
      <c r="G7566" s="31"/>
      <c r="H7566" s="6"/>
      <c r="I7566" s="9"/>
      <c r="J7566" s="24"/>
      <c r="K7566" s="9"/>
      <c r="L7566" s="25"/>
      <c r="M7566" s="7"/>
      <c r="N7566" s="8"/>
      <c r="O7566" s="20"/>
      <c r="P7566" s="3"/>
      <c r="Q7566" s="8"/>
      <c r="R7566" s="6"/>
      <c r="S7566" s="3"/>
      <c r="T7566" s="3"/>
      <c r="U7566" s="65"/>
      <c r="V7566" s="50"/>
      <c r="X7566"/>
    </row>
    <row r="7567" spans="1:24">
      <c r="A7567"/>
      <c r="B7567"/>
      <c r="C7567" s="4"/>
      <c r="D7567" s="4"/>
      <c r="E7567" s="5"/>
      <c r="F7567" s="6"/>
      <c r="G7567" s="31"/>
      <c r="H7567" s="6"/>
      <c r="I7567" s="9"/>
      <c r="J7567" s="24"/>
      <c r="K7567" s="9"/>
      <c r="L7567" s="25"/>
      <c r="M7567" s="7"/>
      <c r="N7567" s="8"/>
      <c r="O7567" s="20"/>
      <c r="P7567" s="3"/>
      <c r="Q7567" s="8"/>
      <c r="R7567" s="6"/>
      <c r="S7567" s="3"/>
      <c r="T7567" s="3"/>
      <c r="U7567" s="65"/>
      <c r="V7567" s="50"/>
      <c r="X7567"/>
    </row>
    <row r="7568" spans="1:24">
      <c r="A7568"/>
      <c r="B7568"/>
      <c r="C7568" s="4"/>
      <c r="D7568" s="4"/>
      <c r="E7568" s="5"/>
      <c r="F7568" s="6"/>
      <c r="G7568" s="31"/>
      <c r="H7568" s="6"/>
      <c r="I7568" s="9"/>
      <c r="J7568" s="24"/>
      <c r="K7568" s="9"/>
      <c r="L7568" s="25"/>
      <c r="M7568" s="7"/>
      <c r="N7568" s="8"/>
      <c r="O7568" s="20"/>
      <c r="P7568" s="3"/>
      <c r="Q7568" s="8"/>
      <c r="R7568" s="6"/>
      <c r="S7568" s="3"/>
      <c r="T7568" s="3"/>
      <c r="U7568" s="65"/>
      <c r="V7568" s="50"/>
      <c r="X7568"/>
    </row>
    <row r="7569" spans="1:24">
      <c r="A7569"/>
      <c r="B7569"/>
      <c r="C7569" s="4"/>
      <c r="D7569" s="4"/>
      <c r="E7569" s="5"/>
      <c r="F7569" s="6"/>
      <c r="G7569" s="31"/>
      <c r="H7569" s="6"/>
      <c r="I7569" s="6"/>
      <c r="J7569" s="42"/>
      <c r="K7569" s="9"/>
      <c r="L7569" s="25"/>
      <c r="M7569" s="7"/>
      <c r="N7569" s="6"/>
      <c r="O7569" s="11"/>
      <c r="P7569" s="3"/>
      <c r="Q7569" s="58"/>
      <c r="R7569" s="6"/>
      <c r="S7569" s="3"/>
      <c r="T7569" s="3"/>
      <c r="U7569" s="65"/>
      <c r="V7569" s="50"/>
      <c r="X7569"/>
    </row>
    <row r="7570" spans="1:24">
      <c r="A7570"/>
      <c r="B7570"/>
      <c r="C7570" s="4"/>
      <c r="D7570" s="4"/>
      <c r="E7570" s="5"/>
      <c r="F7570" s="6"/>
      <c r="G7570" s="31"/>
      <c r="H7570" s="6"/>
      <c r="I7570" s="6"/>
      <c r="J7570" s="42"/>
      <c r="K7570" s="9"/>
      <c r="L7570" s="25"/>
      <c r="M7570" s="7"/>
      <c r="N7570" s="6"/>
      <c r="O7570" s="11"/>
      <c r="P7570" s="3"/>
      <c r="Q7570" s="58"/>
      <c r="R7570" s="6"/>
      <c r="S7570" s="3"/>
      <c r="T7570" s="3"/>
      <c r="U7570" s="65"/>
      <c r="V7570" s="50"/>
      <c r="X7570"/>
    </row>
    <row r="7571" spans="1:24">
      <c r="A7571"/>
      <c r="B7571"/>
      <c r="C7571" s="4"/>
      <c r="D7571" s="4"/>
      <c r="E7571" s="60"/>
      <c r="F7571" s="2"/>
      <c r="G7571" s="61"/>
      <c r="H7571" s="2"/>
      <c r="I7571" s="2"/>
      <c r="J7571" s="67"/>
      <c r="K7571" s="63"/>
      <c r="L7571" s="64"/>
      <c r="M7571" s="68"/>
      <c r="N7571" s="2"/>
      <c r="O7571" s="66"/>
      <c r="P7571" s="59"/>
      <c r="Q7571" s="2"/>
      <c r="R7571" s="6"/>
      <c r="S7571" s="59"/>
      <c r="T7571" s="59"/>
      <c r="U7571" s="65"/>
      <c r="V7571" s="50"/>
      <c r="X7571"/>
    </row>
    <row r="7572" spans="1:24">
      <c r="A7572"/>
      <c r="B7572"/>
      <c r="C7572" s="4"/>
      <c r="D7572" s="4"/>
      <c r="E7572" s="60"/>
      <c r="F7572" s="2"/>
      <c r="G7572" s="61"/>
      <c r="H7572" s="2"/>
      <c r="I7572" s="2"/>
      <c r="J7572" s="67"/>
      <c r="K7572" s="63"/>
      <c r="L7572" s="64"/>
      <c r="M7572" s="65"/>
      <c r="N7572" s="2"/>
      <c r="O7572" s="66"/>
      <c r="P7572" s="59"/>
      <c r="Q7572" s="2"/>
      <c r="R7572" s="6"/>
      <c r="S7572" s="59"/>
      <c r="T7572" s="59"/>
      <c r="U7572" s="65"/>
      <c r="V7572" s="50"/>
      <c r="X7572"/>
    </row>
    <row r="7573" spans="1:24">
      <c r="A7573"/>
      <c r="B7573"/>
      <c r="C7573" s="4"/>
      <c r="D7573" s="4"/>
      <c r="E7573" s="60"/>
      <c r="F7573" s="2"/>
      <c r="G7573" s="61"/>
      <c r="H7573" s="2"/>
      <c r="I7573" s="2"/>
      <c r="J7573" s="67"/>
      <c r="K7573" s="63"/>
      <c r="L7573" s="64"/>
      <c r="M7573" s="65"/>
      <c r="N7573" s="2"/>
      <c r="O7573" s="66"/>
      <c r="P7573" s="59"/>
      <c r="Q7573" s="2"/>
      <c r="R7573" s="6"/>
      <c r="S7573" s="59"/>
      <c r="T7573" s="59"/>
      <c r="U7573" s="65"/>
      <c r="V7573" s="50"/>
      <c r="X7573"/>
    </row>
    <row r="7574" spans="1:24">
      <c r="A7574"/>
      <c r="B7574"/>
      <c r="C7574" s="4"/>
      <c r="D7574" s="4"/>
      <c r="E7574" s="60"/>
      <c r="F7574" s="2"/>
      <c r="G7574" s="61"/>
      <c r="H7574" s="2"/>
      <c r="I7574" s="2"/>
      <c r="J7574" s="67"/>
      <c r="K7574" s="63"/>
      <c r="L7574" s="64"/>
      <c r="M7574" s="65"/>
      <c r="N7574" s="2"/>
      <c r="O7574" s="66"/>
      <c r="P7574" s="59"/>
      <c r="Q7574" s="2"/>
      <c r="R7574" s="6"/>
      <c r="S7574" s="59"/>
      <c r="T7574" s="59"/>
      <c r="U7574" s="65"/>
      <c r="V7574" s="50"/>
      <c r="X7574"/>
    </row>
    <row r="7575" spans="1:24">
      <c r="A7575"/>
      <c r="B7575"/>
      <c r="C7575" s="4"/>
      <c r="D7575" s="4"/>
      <c r="E7575" s="60"/>
      <c r="F7575" s="2"/>
      <c r="G7575" s="61"/>
      <c r="H7575" s="2"/>
      <c r="I7575" s="2"/>
      <c r="J7575" s="67"/>
      <c r="K7575" s="63"/>
      <c r="L7575" s="64"/>
      <c r="M7575" s="65"/>
      <c r="N7575" s="2"/>
      <c r="O7575" s="66"/>
      <c r="P7575" s="59"/>
      <c r="Q7575" s="2"/>
      <c r="R7575" s="6"/>
      <c r="S7575" s="59"/>
      <c r="T7575" s="59"/>
      <c r="U7575" s="65"/>
      <c r="V7575" s="50"/>
      <c r="X7575"/>
    </row>
    <row r="7576" spans="1:24">
      <c r="A7576"/>
      <c r="B7576"/>
      <c r="C7576" s="4"/>
      <c r="D7576" s="4"/>
      <c r="E7576" s="60"/>
      <c r="F7576" s="2"/>
      <c r="G7576" s="61"/>
      <c r="H7576" s="2"/>
      <c r="I7576" s="2"/>
      <c r="J7576" s="67"/>
      <c r="K7576" s="63"/>
      <c r="L7576" s="64"/>
      <c r="M7576" s="65"/>
      <c r="N7576" s="2"/>
      <c r="O7576" s="66"/>
      <c r="P7576" s="59"/>
      <c r="Q7576" s="2"/>
      <c r="R7576" s="6"/>
      <c r="S7576" s="59"/>
      <c r="T7576" s="59"/>
      <c r="U7576" s="65"/>
      <c r="V7576" s="50"/>
      <c r="X7576"/>
    </row>
    <row r="7577" spans="1:24">
      <c r="A7577"/>
      <c r="B7577"/>
      <c r="C7577" s="4"/>
      <c r="D7577" s="4"/>
      <c r="E7577" s="60"/>
      <c r="F7577" s="2"/>
      <c r="G7577" s="61"/>
      <c r="H7577" s="2"/>
      <c r="I7577" s="2"/>
      <c r="J7577" s="67"/>
      <c r="K7577" s="63"/>
      <c r="L7577" s="64"/>
      <c r="M7577" s="65"/>
      <c r="N7577" s="2"/>
      <c r="O7577" s="66"/>
      <c r="P7577" s="59"/>
      <c r="Q7577" s="2"/>
      <c r="R7577" s="6"/>
      <c r="S7577" s="59"/>
      <c r="T7577" s="59"/>
      <c r="U7577" s="65"/>
      <c r="V7577" s="50"/>
      <c r="X7577"/>
    </row>
    <row r="7578" spans="1:24">
      <c r="A7578"/>
      <c r="B7578"/>
      <c r="C7578" s="4"/>
      <c r="D7578" s="4"/>
      <c r="E7578" s="60"/>
      <c r="F7578" s="2"/>
      <c r="G7578" s="61"/>
      <c r="H7578" s="2"/>
      <c r="I7578" s="2"/>
      <c r="J7578" s="67"/>
      <c r="K7578" s="63"/>
      <c r="L7578" s="64"/>
      <c r="M7578" s="65"/>
      <c r="N7578" s="2"/>
      <c r="O7578" s="66"/>
      <c r="P7578" s="59"/>
      <c r="Q7578" s="2"/>
      <c r="R7578" s="6"/>
      <c r="S7578" s="59"/>
      <c r="T7578" s="59"/>
      <c r="U7578" s="65"/>
      <c r="V7578" s="50"/>
      <c r="X7578"/>
    </row>
    <row r="7579" spans="1:24">
      <c r="A7579"/>
      <c r="B7579"/>
      <c r="C7579" s="4"/>
      <c r="D7579" s="4"/>
      <c r="E7579" s="60"/>
      <c r="F7579" s="2"/>
      <c r="G7579" s="61"/>
      <c r="H7579" s="2"/>
      <c r="I7579" s="2"/>
      <c r="J7579" s="67"/>
      <c r="K7579" s="63"/>
      <c r="L7579" s="64"/>
      <c r="M7579" s="68"/>
      <c r="N7579" s="2"/>
      <c r="O7579" s="66"/>
      <c r="P7579" s="59"/>
      <c r="Q7579" s="2"/>
      <c r="R7579" s="6"/>
      <c r="S7579" s="59"/>
      <c r="T7579" s="59"/>
      <c r="U7579" s="65"/>
      <c r="V7579" s="50"/>
      <c r="X7579"/>
    </row>
    <row r="7580" spans="1:24">
      <c r="A7580"/>
      <c r="B7580"/>
      <c r="C7580" s="69"/>
      <c r="D7580" s="69"/>
      <c r="E7580" s="60"/>
      <c r="F7580" s="2"/>
      <c r="G7580" s="61"/>
      <c r="H7580" s="2"/>
      <c r="I7580" s="2"/>
      <c r="J7580" s="67"/>
      <c r="K7580" s="63"/>
      <c r="L7580" s="64"/>
      <c r="M7580" s="65"/>
      <c r="N7580" s="2"/>
      <c r="O7580" s="66"/>
      <c r="P7580" s="59"/>
      <c r="Q7580" s="2"/>
      <c r="R7580" s="2"/>
      <c r="S7580" s="59"/>
      <c r="T7580" s="59"/>
      <c r="U7580" s="65"/>
      <c r="V7580" s="50"/>
      <c r="X7580"/>
    </row>
    <row r="7581" spans="1:24">
      <c r="A7581"/>
      <c r="B7581"/>
      <c r="C7581" s="69"/>
      <c r="D7581" s="69"/>
      <c r="E7581" s="72"/>
      <c r="F7581" s="2"/>
      <c r="G7581" s="61"/>
      <c r="H7581" s="2"/>
      <c r="I7581" s="2"/>
      <c r="J7581" s="67"/>
      <c r="K7581" s="71"/>
      <c r="L7581" s="64"/>
      <c r="M7581" s="65"/>
      <c r="N7581" s="2"/>
      <c r="O7581" s="66"/>
      <c r="P7581" s="70"/>
      <c r="Q7581" s="2"/>
      <c r="R7581" s="2"/>
      <c r="S7581" s="59"/>
      <c r="T7581" s="59"/>
      <c r="U7581" s="65"/>
      <c r="V7581" s="50"/>
      <c r="X7581"/>
    </row>
    <row r="7582" spans="1:24">
      <c r="A7582"/>
      <c r="B7582"/>
      <c r="C7582" s="4"/>
      <c r="D7582" s="4"/>
      <c r="E7582" s="60"/>
      <c r="F7582" s="2"/>
      <c r="G7582" s="61"/>
      <c r="H7582" s="2"/>
      <c r="I7582" s="2"/>
      <c r="J7582" s="67"/>
      <c r="K7582" s="63"/>
      <c r="L7582" s="64"/>
      <c r="M7582" s="65"/>
      <c r="N7582" s="2"/>
      <c r="O7582" s="66"/>
      <c r="P7582" s="70"/>
      <c r="Q7582" s="2"/>
      <c r="R7582" s="2"/>
      <c r="S7582" s="59"/>
      <c r="T7582" s="59"/>
      <c r="U7582" s="65"/>
      <c r="V7582" s="50"/>
      <c r="X7582"/>
    </row>
    <row r="7583" spans="1:24">
      <c r="A7583"/>
      <c r="B7583"/>
      <c r="C7583" s="69"/>
      <c r="D7583" s="69"/>
      <c r="E7583" s="60"/>
      <c r="F7583" s="2"/>
      <c r="G7583" s="61"/>
      <c r="H7583" s="2"/>
      <c r="I7583" s="2"/>
      <c r="J7583" s="67"/>
      <c r="K7583" s="63"/>
      <c r="L7583" s="64"/>
      <c r="M7583" s="65"/>
      <c r="N7583" s="2"/>
      <c r="O7583" s="66"/>
      <c r="P7583" s="70"/>
      <c r="Q7583" s="2"/>
      <c r="R7583" s="2"/>
      <c r="S7583" s="59"/>
      <c r="T7583" s="59"/>
      <c r="U7583" s="65"/>
      <c r="V7583" s="50"/>
      <c r="X7583"/>
    </row>
    <row r="7584" spans="1:24">
      <c r="A7584"/>
      <c r="B7584"/>
      <c r="C7584" s="59"/>
      <c r="D7584" s="69"/>
      <c r="E7584" s="60"/>
      <c r="F7584" s="2"/>
      <c r="G7584" s="61"/>
      <c r="H7584" s="2"/>
      <c r="I7584" s="2"/>
      <c r="J7584" s="67"/>
      <c r="K7584" s="63"/>
      <c r="L7584" s="64"/>
      <c r="M7584" s="65"/>
      <c r="N7584" s="2"/>
      <c r="O7584" s="66"/>
      <c r="P7584" s="70"/>
      <c r="Q7584" s="2"/>
      <c r="R7584" s="2"/>
      <c r="S7584" s="59"/>
      <c r="T7584" s="59"/>
      <c r="U7584" s="65"/>
      <c r="V7584" s="50"/>
      <c r="X7584"/>
    </row>
    <row r="7585" spans="1:24">
      <c r="A7585"/>
      <c r="B7585"/>
      <c r="C7585" s="69"/>
      <c r="D7585" s="69"/>
      <c r="E7585" s="60"/>
      <c r="F7585" s="2"/>
      <c r="G7585" s="61"/>
      <c r="H7585" s="2"/>
      <c r="I7585" s="2"/>
      <c r="J7585" s="67"/>
      <c r="K7585" s="63"/>
      <c r="L7585" s="64"/>
      <c r="M7585" s="65"/>
      <c r="N7585" s="2"/>
      <c r="O7585" s="66"/>
      <c r="P7585" s="70"/>
      <c r="Q7585" s="2"/>
      <c r="R7585" s="2"/>
      <c r="S7585" s="59"/>
      <c r="T7585" s="59"/>
      <c r="U7585" s="65"/>
      <c r="V7585" s="50"/>
      <c r="X7585"/>
    </row>
    <row r="7586" spans="1:24">
      <c r="A7586"/>
      <c r="B7586"/>
      <c r="C7586" s="69"/>
      <c r="D7586" s="69"/>
      <c r="E7586" s="60"/>
      <c r="F7586" s="2"/>
      <c r="G7586" s="61"/>
      <c r="H7586" s="2"/>
      <c r="I7586" s="2"/>
      <c r="J7586" s="67"/>
      <c r="K7586" s="63"/>
      <c r="L7586" s="64"/>
      <c r="M7586" s="65"/>
      <c r="N7586" s="2"/>
      <c r="O7586" s="66"/>
      <c r="P7586" s="70"/>
      <c r="Q7586" s="2"/>
      <c r="R7586" s="2"/>
      <c r="S7586" s="59"/>
      <c r="T7586" s="59"/>
      <c r="U7586" s="65"/>
      <c r="V7586" s="50"/>
      <c r="X7586"/>
    </row>
    <row r="7587" spans="1:24">
      <c r="A7587"/>
      <c r="B7587"/>
      <c r="C7587" s="59"/>
      <c r="D7587" s="69"/>
      <c r="E7587" s="60"/>
      <c r="F7587" s="2"/>
      <c r="G7587" s="61"/>
      <c r="H7587" s="2"/>
      <c r="I7587" s="2"/>
      <c r="J7587" s="67"/>
      <c r="K7587" s="63"/>
      <c r="L7587" s="64"/>
      <c r="M7587" s="65"/>
      <c r="N7587" s="2"/>
      <c r="O7587" s="66"/>
      <c r="P7587" s="70"/>
      <c r="Q7587" s="2"/>
      <c r="R7587" s="2"/>
      <c r="S7587" s="59"/>
      <c r="T7587" s="59"/>
      <c r="U7587" s="65"/>
      <c r="V7587" s="50"/>
      <c r="X7587"/>
    </row>
    <row r="7588" spans="1:24">
      <c r="A7588"/>
      <c r="B7588"/>
      <c r="C7588" s="59"/>
      <c r="D7588" s="69"/>
      <c r="E7588" s="60"/>
      <c r="F7588" s="2"/>
      <c r="G7588" s="61"/>
      <c r="H7588" s="2"/>
      <c r="I7588" s="2"/>
      <c r="J7588" s="67"/>
      <c r="K7588" s="63"/>
      <c r="L7588" s="64"/>
      <c r="M7588" s="65"/>
      <c r="N7588" s="2"/>
      <c r="O7588" s="66"/>
      <c r="P7588" s="70"/>
      <c r="Q7588" s="2"/>
      <c r="R7588" s="2"/>
      <c r="S7588" s="59"/>
      <c r="T7588" s="59"/>
      <c r="U7588" s="65"/>
      <c r="V7588" s="50"/>
      <c r="X7588"/>
    </row>
    <row r="7589" spans="1:24">
      <c r="A7589"/>
      <c r="B7589"/>
      <c r="C7589" s="69"/>
      <c r="D7589" s="69"/>
      <c r="E7589" s="60"/>
      <c r="F7589" s="2"/>
      <c r="G7589" s="61"/>
      <c r="H7589" s="2"/>
      <c r="I7589" s="2"/>
      <c r="J7589" s="67"/>
      <c r="K7589" s="63"/>
      <c r="L7589" s="64"/>
      <c r="M7589" s="65"/>
      <c r="N7589" s="2"/>
      <c r="O7589" s="66"/>
      <c r="P7589" s="59"/>
      <c r="Q7589" s="2"/>
      <c r="R7589" s="2"/>
      <c r="S7589" s="59"/>
      <c r="T7589" s="59"/>
      <c r="U7589" s="65"/>
      <c r="V7589" s="50"/>
      <c r="X7589"/>
    </row>
    <row r="7590" spans="1:24">
      <c r="A7590"/>
      <c r="B7590"/>
      <c r="C7590" s="69"/>
      <c r="D7590" s="69"/>
      <c r="E7590" s="60"/>
      <c r="F7590" s="2"/>
      <c r="G7590" s="61"/>
      <c r="H7590" s="2"/>
      <c r="I7590" s="2"/>
      <c r="J7590" s="67"/>
      <c r="K7590" s="63"/>
      <c r="L7590" s="64"/>
      <c r="M7590" s="65"/>
      <c r="N7590" s="2"/>
      <c r="O7590" s="66"/>
      <c r="P7590" s="59"/>
      <c r="Q7590" s="2"/>
      <c r="R7590" s="2"/>
      <c r="S7590" s="59"/>
      <c r="T7590" s="59"/>
      <c r="U7590" s="65"/>
      <c r="V7590" s="50"/>
      <c r="X7590"/>
    </row>
    <row r="7591" spans="1:24">
      <c r="A7591"/>
      <c r="B7591"/>
      <c r="C7591" s="69"/>
      <c r="D7591" s="69"/>
      <c r="E7591" s="60"/>
      <c r="F7591" s="2"/>
      <c r="G7591" s="61"/>
      <c r="H7591" s="2"/>
      <c r="I7591" s="2"/>
      <c r="J7591" s="67"/>
      <c r="K7591" s="63"/>
      <c r="L7591" s="64"/>
      <c r="M7591" s="65"/>
      <c r="N7591" s="2"/>
      <c r="O7591" s="66"/>
      <c r="P7591" s="59"/>
      <c r="Q7591" s="2"/>
      <c r="R7591" s="2"/>
      <c r="S7591" s="59"/>
      <c r="T7591" s="59"/>
      <c r="U7591" s="65"/>
      <c r="V7591" s="50"/>
      <c r="X7591"/>
    </row>
    <row r="7592" spans="1:24">
      <c r="A7592"/>
      <c r="B7592"/>
      <c r="C7592" s="69"/>
      <c r="D7592" s="69"/>
      <c r="E7592" s="60"/>
      <c r="F7592" s="2"/>
      <c r="G7592" s="61"/>
      <c r="H7592" s="2"/>
      <c r="I7592" s="2"/>
      <c r="J7592" s="67"/>
      <c r="K7592" s="63"/>
      <c r="L7592" s="64"/>
      <c r="M7592" s="65"/>
      <c r="N7592" s="2"/>
      <c r="O7592" s="66"/>
      <c r="P7592" s="59"/>
      <c r="Q7592" s="2"/>
      <c r="R7592" s="2"/>
      <c r="S7592" s="59"/>
      <c r="T7592" s="59"/>
      <c r="V7592" s="50"/>
      <c r="X7592"/>
    </row>
    <row r="7593" spans="1:24">
      <c r="A7593"/>
      <c r="B7593"/>
      <c r="C7593" s="69"/>
      <c r="D7593" s="69"/>
      <c r="E7593" s="60"/>
      <c r="F7593" s="2"/>
      <c r="G7593" s="61"/>
      <c r="H7593" s="2"/>
      <c r="I7593" s="2"/>
      <c r="J7593" s="67"/>
      <c r="K7593" s="63"/>
      <c r="L7593" s="64"/>
      <c r="M7593" s="65"/>
      <c r="N7593" s="2"/>
      <c r="O7593" s="66"/>
      <c r="P7593" s="59"/>
      <c r="Q7593" s="2"/>
      <c r="R7593" s="2"/>
      <c r="S7593" s="59"/>
      <c r="T7593" s="59"/>
      <c r="V7593" s="50"/>
      <c r="X7593"/>
    </row>
    <row r="7594" spans="1:24">
      <c r="A7594"/>
      <c r="B7594"/>
      <c r="C7594" s="59"/>
      <c r="D7594" s="59"/>
      <c r="E7594" s="60"/>
      <c r="F7594" s="2"/>
      <c r="G7594" s="61"/>
      <c r="H7594" s="2"/>
      <c r="I7594" s="2"/>
      <c r="J7594" s="67"/>
      <c r="K7594" s="63"/>
      <c r="L7594" s="64"/>
      <c r="M7594" s="65"/>
      <c r="N7594" s="2"/>
      <c r="O7594" s="66"/>
      <c r="P7594" s="59"/>
      <c r="Q7594" s="2"/>
      <c r="R7594" s="2"/>
      <c r="S7594" s="59"/>
      <c r="T7594" s="59"/>
      <c r="V7594" s="50"/>
      <c r="X7594"/>
    </row>
    <row r="7595" spans="1:24">
      <c r="A7595"/>
      <c r="B7595"/>
      <c r="C7595" s="69"/>
      <c r="D7595" s="69"/>
      <c r="E7595" s="60"/>
      <c r="F7595" s="2"/>
      <c r="G7595" s="61"/>
      <c r="H7595" s="2"/>
      <c r="I7595" s="2"/>
      <c r="J7595" s="67"/>
      <c r="K7595" s="63"/>
      <c r="L7595" s="64"/>
      <c r="M7595" s="65"/>
      <c r="N7595" s="2"/>
      <c r="O7595" s="66"/>
      <c r="P7595" s="59"/>
      <c r="Q7595" s="2"/>
      <c r="R7595" s="2"/>
      <c r="S7595" s="59"/>
      <c r="T7595" s="59"/>
      <c r="V7595" s="50"/>
      <c r="X7595"/>
    </row>
    <row r="7596" spans="1:24">
      <c r="A7596"/>
      <c r="B7596"/>
      <c r="C7596" s="69"/>
      <c r="D7596" s="69"/>
      <c r="E7596" s="60"/>
      <c r="F7596" s="2"/>
      <c r="G7596" s="61"/>
      <c r="H7596" s="2"/>
      <c r="I7596" s="2"/>
      <c r="J7596" s="67"/>
      <c r="K7596" s="63"/>
      <c r="L7596" s="64"/>
      <c r="M7596" s="65"/>
      <c r="N7596" s="2"/>
      <c r="O7596" s="66"/>
      <c r="P7596" s="59"/>
      <c r="Q7596" s="2"/>
      <c r="R7596" s="2"/>
      <c r="S7596" s="59"/>
      <c r="T7596" s="59"/>
      <c r="V7596" s="50"/>
      <c r="X7596"/>
    </row>
    <row r="7597" spans="1:24">
      <c r="A7597"/>
      <c r="B7597"/>
      <c r="C7597" s="69"/>
      <c r="D7597" s="69"/>
      <c r="E7597" s="60"/>
      <c r="F7597" s="2"/>
      <c r="G7597" s="61"/>
      <c r="H7597" s="2"/>
      <c r="I7597" s="2"/>
      <c r="J7597" s="67"/>
      <c r="K7597" s="63"/>
      <c r="L7597" s="64"/>
      <c r="M7597" s="65"/>
      <c r="N7597" s="2"/>
      <c r="O7597" s="66"/>
      <c r="P7597" s="59"/>
      <c r="Q7597" s="2"/>
      <c r="R7597" s="2"/>
      <c r="S7597" s="59"/>
      <c r="T7597" s="59"/>
      <c r="V7597" s="50"/>
      <c r="X7597"/>
    </row>
    <row r="7598" spans="1:24">
      <c r="A7598"/>
      <c r="B7598"/>
      <c r="C7598" s="69"/>
      <c r="D7598" s="69"/>
      <c r="E7598" s="60"/>
      <c r="F7598" s="2"/>
      <c r="G7598" s="61"/>
      <c r="H7598" s="2"/>
      <c r="I7598" s="2"/>
      <c r="J7598" s="67"/>
      <c r="K7598" s="63"/>
      <c r="L7598" s="64"/>
      <c r="M7598" s="65"/>
      <c r="N7598" s="2"/>
      <c r="O7598" s="66"/>
      <c r="P7598" s="59"/>
      <c r="Q7598" s="2"/>
      <c r="R7598" s="2"/>
      <c r="S7598" s="59"/>
      <c r="T7598" s="59"/>
      <c r="V7598" s="50"/>
      <c r="X7598"/>
    </row>
    <row r="7599" spans="1:24">
      <c r="A7599"/>
      <c r="B7599"/>
      <c r="C7599" s="69"/>
      <c r="D7599" s="69"/>
      <c r="E7599" s="60"/>
      <c r="F7599" s="2"/>
      <c r="G7599" s="61"/>
      <c r="H7599" s="2"/>
      <c r="I7599" s="2"/>
      <c r="J7599" s="67"/>
      <c r="K7599" s="63"/>
      <c r="L7599" s="64"/>
      <c r="M7599" s="68"/>
      <c r="N7599" s="2"/>
      <c r="O7599" s="66"/>
      <c r="P7599" s="59"/>
      <c r="Q7599" s="2"/>
      <c r="R7599" s="2"/>
      <c r="S7599" s="59"/>
      <c r="T7599" s="59"/>
      <c r="V7599" s="50"/>
      <c r="X7599"/>
    </row>
    <row r="7600" spans="1:24">
      <c r="A7600"/>
      <c r="B7600"/>
      <c r="C7600" s="69"/>
      <c r="D7600" s="69"/>
      <c r="E7600" s="60"/>
      <c r="F7600" s="2"/>
      <c r="G7600" s="61"/>
      <c r="H7600" s="2"/>
      <c r="I7600" s="2"/>
      <c r="J7600" s="67"/>
      <c r="K7600" s="63"/>
      <c r="L7600" s="64"/>
      <c r="M7600" s="65"/>
      <c r="N7600" s="2"/>
      <c r="O7600" s="66"/>
      <c r="P7600" s="59"/>
      <c r="Q7600" s="2"/>
      <c r="R7600" s="2"/>
      <c r="S7600" s="59"/>
      <c r="T7600" s="59"/>
      <c r="V7600" s="50"/>
      <c r="X7600"/>
    </row>
    <row r="7601" spans="1:24">
      <c r="A7601"/>
      <c r="B7601"/>
      <c r="C7601" s="69"/>
      <c r="D7601" s="69"/>
      <c r="E7601" s="60"/>
      <c r="F7601" s="2"/>
      <c r="G7601" s="61"/>
      <c r="H7601" s="2"/>
      <c r="I7601" s="2"/>
      <c r="J7601" s="67"/>
      <c r="K7601" s="63"/>
      <c r="L7601" s="64"/>
      <c r="M7601" s="65"/>
      <c r="N7601" s="2"/>
      <c r="O7601" s="66"/>
      <c r="P7601" s="59"/>
      <c r="Q7601" s="2"/>
      <c r="R7601" s="2"/>
      <c r="S7601" s="59"/>
      <c r="T7601" s="59"/>
      <c r="V7601" s="50"/>
      <c r="X7601"/>
    </row>
    <row r="7602" spans="1:24">
      <c r="A7602"/>
      <c r="B7602"/>
      <c r="C7602" s="69"/>
      <c r="D7602" s="69"/>
      <c r="E7602" s="60"/>
      <c r="F7602" s="2"/>
      <c r="G7602" s="61"/>
      <c r="H7602" s="2"/>
      <c r="I7602" s="2"/>
      <c r="J7602" s="67"/>
      <c r="K7602" s="63"/>
      <c r="L7602" s="64"/>
      <c r="M7602" s="65"/>
      <c r="N7602" s="2"/>
      <c r="O7602" s="66"/>
      <c r="P7602" s="59"/>
      <c r="Q7602" s="2"/>
      <c r="R7602" s="2"/>
      <c r="S7602" s="59"/>
      <c r="T7602" s="59"/>
      <c r="V7602" s="50"/>
      <c r="X7602"/>
    </row>
    <row r="7603" spans="1:24">
      <c r="A7603"/>
      <c r="B7603"/>
      <c r="C7603" s="69"/>
      <c r="D7603" s="69"/>
      <c r="E7603" s="60"/>
      <c r="F7603" s="2"/>
      <c r="G7603" s="61"/>
      <c r="H7603" s="2"/>
      <c r="I7603" s="2"/>
      <c r="J7603" s="67"/>
      <c r="K7603" s="63"/>
      <c r="L7603" s="64"/>
      <c r="M7603" s="65"/>
      <c r="N7603" s="2"/>
      <c r="O7603" s="66"/>
      <c r="P7603" s="59"/>
      <c r="Q7603" s="2"/>
      <c r="R7603" s="2"/>
      <c r="S7603" s="59"/>
      <c r="T7603" s="59"/>
      <c r="V7603" s="50"/>
      <c r="X7603"/>
    </row>
    <row r="7604" spans="1:24">
      <c r="A7604"/>
      <c r="B7604"/>
      <c r="C7604" s="69"/>
      <c r="D7604" s="69"/>
      <c r="E7604" s="60"/>
      <c r="F7604" s="2"/>
      <c r="G7604" s="61"/>
      <c r="H7604" s="2"/>
      <c r="I7604" s="2"/>
      <c r="J7604" s="67"/>
      <c r="K7604" s="63"/>
      <c r="L7604" s="64"/>
      <c r="M7604" s="65"/>
      <c r="N7604" s="2"/>
      <c r="O7604" s="66"/>
      <c r="P7604" s="59"/>
      <c r="Q7604" s="2"/>
      <c r="R7604" s="2"/>
      <c r="S7604" s="59"/>
      <c r="T7604" s="59"/>
      <c r="V7604" s="50"/>
      <c r="X7604"/>
    </row>
    <row r="7605" spans="1:24">
      <c r="A7605"/>
      <c r="B7605"/>
      <c r="C7605" s="59"/>
      <c r="D7605" s="69"/>
      <c r="E7605" s="60"/>
      <c r="F7605" s="2"/>
      <c r="G7605" s="61"/>
      <c r="H7605" s="2"/>
      <c r="I7605" s="2"/>
      <c r="J7605" s="67"/>
      <c r="K7605" s="63"/>
      <c r="L7605" s="64"/>
      <c r="M7605" s="65"/>
      <c r="N7605" s="2"/>
      <c r="O7605" s="66"/>
      <c r="P7605" s="59"/>
      <c r="Q7605" s="2"/>
      <c r="R7605" s="2"/>
      <c r="S7605" s="59"/>
      <c r="T7605" s="59"/>
      <c r="V7605" s="50"/>
      <c r="X7605"/>
    </row>
    <row r="7606" spans="1:24">
      <c r="A7606"/>
      <c r="B7606"/>
      <c r="C7606" s="69"/>
      <c r="D7606" s="69"/>
      <c r="E7606" s="60"/>
      <c r="F7606" s="2"/>
      <c r="G7606" s="61"/>
      <c r="H7606" s="2"/>
      <c r="I7606" s="2"/>
      <c r="J7606" s="67"/>
      <c r="K7606" s="63"/>
      <c r="L7606" s="64"/>
      <c r="M7606" s="65"/>
      <c r="N7606" s="2"/>
      <c r="O7606" s="66"/>
      <c r="P7606" s="59"/>
      <c r="Q7606" s="2"/>
      <c r="R7606" s="2"/>
      <c r="S7606" s="59"/>
      <c r="T7606" s="59"/>
      <c r="V7606" s="50"/>
      <c r="X7606"/>
    </row>
    <row r="7607" spans="1:24">
      <c r="A7607"/>
      <c r="B7607"/>
      <c r="C7607" s="59"/>
      <c r="D7607" s="59"/>
      <c r="E7607" s="60"/>
      <c r="F7607" s="2"/>
      <c r="G7607" s="61"/>
      <c r="H7607" s="2"/>
      <c r="I7607" s="2"/>
      <c r="J7607" s="67"/>
      <c r="K7607" s="63"/>
      <c r="L7607" s="64"/>
      <c r="M7607" s="65"/>
      <c r="N7607" s="2"/>
      <c r="O7607" s="66"/>
      <c r="P7607" s="59"/>
      <c r="Q7607" s="2"/>
      <c r="R7607" s="2"/>
      <c r="S7607" s="59"/>
      <c r="T7607" s="59"/>
      <c r="V7607" s="50"/>
      <c r="X7607"/>
    </row>
    <row r="7608" spans="1:24">
      <c r="A7608"/>
      <c r="B7608"/>
      <c r="C7608" s="59"/>
      <c r="D7608" s="59"/>
      <c r="E7608" s="60"/>
      <c r="F7608" s="2"/>
      <c r="G7608" s="61"/>
      <c r="H7608" s="2"/>
      <c r="I7608" s="2"/>
      <c r="J7608" s="67"/>
      <c r="K7608" s="63"/>
      <c r="L7608" s="64"/>
      <c r="M7608" s="65"/>
      <c r="N7608" s="2"/>
      <c r="O7608" s="66"/>
      <c r="P7608" s="59"/>
      <c r="Q7608" s="2"/>
      <c r="R7608" s="2"/>
      <c r="S7608" s="59"/>
      <c r="T7608" s="59"/>
      <c r="V7608" s="50"/>
      <c r="X7608"/>
    </row>
    <row r="7609" spans="1:24">
      <c r="A7609"/>
      <c r="B7609"/>
      <c r="C7609" s="69"/>
      <c r="D7609" s="69"/>
      <c r="E7609" s="60"/>
      <c r="F7609" s="2"/>
      <c r="G7609" s="61"/>
      <c r="H7609" s="2"/>
      <c r="I7609" s="2"/>
      <c r="J7609" s="67"/>
      <c r="K7609" s="63"/>
      <c r="L7609" s="64"/>
      <c r="M7609" s="65"/>
      <c r="N7609" s="2"/>
      <c r="O7609" s="66"/>
      <c r="P7609" s="59"/>
      <c r="Q7609" s="2"/>
      <c r="R7609" s="2"/>
      <c r="S7609" s="59"/>
      <c r="T7609" s="59"/>
      <c r="V7609" s="50"/>
      <c r="X7609"/>
    </row>
    <row r="7610" spans="1:24">
      <c r="A7610"/>
      <c r="B7610"/>
      <c r="C7610" s="59"/>
      <c r="D7610" s="59"/>
      <c r="E7610" s="60"/>
      <c r="F7610" s="2"/>
      <c r="G7610" s="61"/>
      <c r="H7610" s="2"/>
      <c r="I7610" s="2"/>
      <c r="J7610" s="67"/>
      <c r="K7610" s="63"/>
      <c r="L7610" s="64"/>
      <c r="M7610" s="65"/>
      <c r="N7610" s="2"/>
      <c r="O7610" s="66"/>
      <c r="P7610" s="59"/>
      <c r="Q7610" s="2"/>
      <c r="R7610" s="2"/>
      <c r="S7610" s="59"/>
      <c r="T7610" s="59"/>
      <c r="V7610" s="50"/>
      <c r="X7610"/>
    </row>
    <row r="7611" spans="1:24">
      <c r="A7611"/>
      <c r="B7611"/>
      <c r="C7611" s="69"/>
      <c r="D7611" s="69"/>
      <c r="E7611" s="60"/>
      <c r="F7611" s="2"/>
      <c r="G7611" s="61"/>
      <c r="H7611" s="2"/>
      <c r="I7611" s="2"/>
      <c r="J7611" s="67"/>
      <c r="K7611" s="63"/>
      <c r="L7611" s="64"/>
      <c r="M7611" s="65"/>
      <c r="N7611" s="2"/>
      <c r="O7611" s="66"/>
      <c r="P7611" s="59"/>
      <c r="Q7611" s="2"/>
      <c r="R7611" s="2"/>
      <c r="S7611" s="59"/>
      <c r="T7611" s="59"/>
      <c r="V7611" s="50"/>
      <c r="X7611"/>
    </row>
    <row r="7612" spans="1:24">
      <c r="A7612"/>
      <c r="B7612"/>
      <c r="C7612" s="59"/>
      <c r="D7612" s="59"/>
      <c r="E7612" s="60"/>
      <c r="F7612" s="2"/>
      <c r="G7612" s="61"/>
      <c r="H7612" s="2"/>
      <c r="I7612" s="2"/>
      <c r="J7612" s="67"/>
      <c r="K7612" s="63"/>
      <c r="L7612" s="64"/>
      <c r="M7612" s="65"/>
      <c r="N7612" s="2"/>
      <c r="O7612" s="66"/>
      <c r="P7612" s="59"/>
      <c r="Q7612" s="2"/>
      <c r="R7612" s="2"/>
      <c r="S7612" s="59"/>
      <c r="T7612" s="59"/>
      <c r="V7612" s="50"/>
      <c r="X7612"/>
    </row>
    <row r="7613" spans="1:24">
      <c r="A7613"/>
      <c r="B7613"/>
      <c r="C7613" s="69"/>
      <c r="D7613" s="69"/>
      <c r="E7613" s="60"/>
      <c r="F7613" s="2"/>
      <c r="G7613" s="61"/>
      <c r="H7613" s="2"/>
      <c r="I7613" s="2"/>
      <c r="J7613" s="67"/>
      <c r="K7613" s="63"/>
      <c r="L7613" s="64"/>
      <c r="M7613" s="65"/>
      <c r="N7613" s="2"/>
      <c r="O7613" s="66"/>
      <c r="P7613" s="59"/>
      <c r="Q7613" s="2"/>
      <c r="R7613" s="2"/>
      <c r="S7613" s="59"/>
      <c r="T7613" s="59"/>
      <c r="V7613" s="50"/>
      <c r="X7613"/>
    </row>
    <row r="7614" spans="1:24">
      <c r="A7614"/>
      <c r="B7614"/>
      <c r="C7614" s="69"/>
      <c r="D7614" s="69"/>
      <c r="E7614" s="60"/>
      <c r="F7614" s="2"/>
      <c r="G7614" s="61"/>
      <c r="H7614" s="2"/>
      <c r="I7614" s="2"/>
      <c r="J7614" s="67"/>
      <c r="K7614" s="63"/>
      <c r="L7614" s="64"/>
      <c r="M7614" s="65"/>
      <c r="N7614" s="2"/>
      <c r="O7614" s="66"/>
      <c r="P7614" s="59"/>
      <c r="Q7614" s="2"/>
      <c r="R7614" s="2"/>
      <c r="S7614" s="59"/>
      <c r="T7614" s="59"/>
      <c r="V7614" s="50"/>
      <c r="X7614"/>
    </row>
    <row r="7615" spans="1:24">
      <c r="A7615"/>
      <c r="B7615"/>
      <c r="C7615" s="69"/>
      <c r="D7615" s="69"/>
      <c r="E7615" s="60"/>
      <c r="F7615" s="2"/>
      <c r="G7615" s="61"/>
      <c r="H7615" s="2"/>
      <c r="I7615" s="2"/>
      <c r="J7615" s="67"/>
      <c r="K7615" s="63"/>
      <c r="L7615" s="64"/>
      <c r="M7615" s="65"/>
      <c r="N7615" s="2"/>
      <c r="O7615" s="66"/>
      <c r="P7615" s="59"/>
      <c r="Q7615" s="2"/>
      <c r="R7615" s="2"/>
      <c r="S7615" s="59"/>
      <c r="T7615" s="59"/>
      <c r="V7615" s="50"/>
      <c r="X7615"/>
    </row>
    <row r="7616" spans="1:24">
      <c r="A7616"/>
      <c r="B7616"/>
      <c r="C7616" s="69"/>
      <c r="D7616" s="69"/>
      <c r="E7616" s="60"/>
      <c r="F7616" s="2"/>
      <c r="G7616" s="61"/>
      <c r="H7616" s="2"/>
      <c r="I7616" s="2"/>
      <c r="J7616" s="67"/>
      <c r="K7616" s="63"/>
      <c r="L7616" s="64"/>
      <c r="M7616" s="65"/>
      <c r="N7616" s="2"/>
      <c r="O7616" s="66"/>
      <c r="P7616" s="59"/>
      <c r="Q7616" s="2"/>
      <c r="R7616" s="2"/>
      <c r="S7616" s="59"/>
      <c r="T7616" s="59"/>
      <c r="V7616" s="50"/>
      <c r="X7616"/>
    </row>
    <row r="7617" spans="1:24">
      <c r="A7617"/>
      <c r="B7617"/>
      <c r="C7617" s="69"/>
      <c r="D7617" s="69"/>
      <c r="E7617" s="60"/>
      <c r="F7617" s="2"/>
      <c r="G7617" s="61"/>
      <c r="H7617" s="2"/>
      <c r="I7617" s="2"/>
      <c r="J7617" s="67"/>
      <c r="K7617" s="63"/>
      <c r="L7617" s="64"/>
      <c r="M7617" s="65"/>
      <c r="N7617" s="2"/>
      <c r="O7617" s="66"/>
      <c r="P7617" s="59"/>
      <c r="Q7617" s="2"/>
      <c r="R7617" s="2"/>
      <c r="S7617" s="59"/>
      <c r="T7617" s="59"/>
      <c r="V7617" s="50"/>
      <c r="X7617"/>
    </row>
    <row r="7618" spans="1:24">
      <c r="A7618"/>
      <c r="B7618"/>
      <c r="C7618" s="69"/>
      <c r="D7618" s="69"/>
      <c r="E7618" s="60"/>
      <c r="F7618" s="2"/>
      <c r="G7618" s="61"/>
      <c r="H7618" s="2"/>
      <c r="I7618" s="2"/>
      <c r="J7618" s="67"/>
      <c r="K7618" s="63"/>
      <c r="L7618" s="64"/>
      <c r="M7618" s="65"/>
      <c r="N7618" s="2"/>
      <c r="O7618" s="66"/>
      <c r="P7618" s="59"/>
      <c r="Q7618" s="2"/>
      <c r="R7618" s="2"/>
      <c r="S7618" s="59"/>
      <c r="T7618" s="59"/>
      <c r="V7618" s="50"/>
      <c r="X7618"/>
    </row>
    <row r="7619" spans="1:24">
      <c r="A7619"/>
      <c r="B7619"/>
      <c r="C7619" s="69"/>
      <c r="D7619" s="69"/>
      <c r="E7619" s="60"/>
      <c r="F7619" s="2"/>
      <c r="G7619" s="61"/>
      <c r="H7619" s="2"/>
      <c r="I7619" s="2"/>
      <c r="J7619" s="67"/>
      <c r="K7619" s="63"/>
      <c r="L7619" s="64"/>
      <c r="M7619" s="65"/>
      <c r="N7619" s="2"/>
      <c r="O7619" s="66"/>
      <c r="P7619" s="59"/>
      <c r="Q7619" s="2"/>
      <c r="R7619" s="2"/>
      <c r="S7619" s="59"/>
      <c r="T7619" s="59"/>
      <c r="V7619" s="50"/>
      <c r="X7619"/>
    </row>
    <row r="7620" spans="1:24">
      <c r="A7620"/>
      <c r="B7620"/>
      <c r="C7620" s="69"/>
      <c r="D7620" s="69"/>
      <c r="E7620" s="60"/>
      <c r="F7620" s="2"/>
      <c r="G7620" s="61"/>
      <c r="H7620" s="2"/>
      <c r="I7620" s="2"/>
      <c r="J7620" s="67"/>
      <c r="K7620" s="63"/>
      <c r="L7620" s="64"/>
      <c r="M7620" s="65"/>
      <c r="N7620" s="2"/>
      <c r="O7620" s="66"/>
      <c r="P7620" s="59"/>
      <c r="Q7620" s="2"/>
      <c r="R7620" s="2"/>
      <c r="S7620" s="59"/>
      <c r="T7620" s="59"/>
      <c r="V7620" s="50"/>
      <c r="X7620"/>
    </row>
    <row r="7621" spans="1:24">
      <c r="A7621"/>
      <c r="B7621"/>
      <c r="C7621" s="69"/>
      <c r="D7621" s="69"/>
      <c r="E7621" s="60"/>
      <c r="F7621" s="2"/>
      <c r="G7621" s="61"/>
      <c r="H7621" s="2"/>
      <c r="I7621" s="2"/>
      <c r="J7621" s="73"/>
      <c r="K7621" s="63"/>
      <c r="L7621" s="64"/>
      <c r="M7621" s="65"/>
      <c r="N7621" s="2"/>
      <c r="O7621" s="66"/>
      <c r="P7621" s="59"/>
      <c r="Q7621" s="2"/>
      <c r="R7621" s="2"/>
      <c r="S7621" s="59"/>
      <c r="T7621" s="59"/>
      <c r="V7621" s="50"/>
      <c r="X7621"/>
    </row>
    <row r="7622" spans="1:24">
      <c r="A7622"/>
      <c r="B7622"/>
      <c r="C7622" s="69"/>
      <c r="D7622" s="69"/>
      <c r="E7622" s="60"/>
      <c r="F7622" s="2"/>
      <c r="G7622" s="61"/>
      <c r="H7622" s="2"/>
      <c r="I7622" s="2"/>
      <c r="J7622" s="67"/>
      <c r="K7622" s="63"/>
      <c r="L7622" s="64"/>
      <c r="M7622" s="65"/>
      <c r="N7622" s="2"/>
      <c r="O7622" s="66"/>
      <c r="P7622" s="59"/>
      <c r="Q7622" s="2"/>
      <c r="R7622" s="2"/>
      <c r="S7622" s="59"/>
      <c r="T7622" s="59"/>
      <c r="V7622" s="50"/>
      <c r="X7622"/>
    </row>
    <row r="7623" spans="1:24">
      <c r="A7623"/>
      <c r="B7623"/>
      <c r="C7623" s="69"/>
      <c r="D7623" s="69"/>
      <c r="E7623" s="60"/>
      <c r="F7623" s="2"/>
      <c r="G7623" s="61"/>
      <c r="H7623" s="2"/>
      <c r="I7623" s="2"/>
      <c r="J7623" s="73"/>
      <c r="K7623" s="63"/>
      <c r="L7623" s="64"/>
      <c r="M7623" s="65"/>
      <c r="N7623" s="2"/>
      <c r="O7623" s="66"/>
      <c r="P7623" s="59"/>
      <c r="Q7623" s="2"/>
      <c r="R7623" s="2"/>
      <c r="S7623" s="59"/>
      <c r="T7623" s="59"/>
      <c r="V7623" s="50"/>
      <c r="X7623"/>
    </row>
    <row r="7624" spans="1:24">
      <c r="A7624"/>
      <c r="B7624"/>
      <c r="C7624" s="59"/>
      <c r="D7624" s="69"/>
      <c r="E7624" s="60"/>
      <c r="F7624" s="2"/>
      <c r="G7624" s="61"/>
      <c r="H7624" s="2"/>
      <c r="I7624" s="2"/>
      <c r="J7624" s="67"/>
      <c r="K7624" s="63"/>
      <c r="L7624" s="64"/>
      <c r="M7624" s="65"/>
      <c r="N7624" s="2"/>
      <c r="O7624" s="66"/>
      <c r="P7624" s="59"/>
      <c r="Q7624" s="2"/>
      <c r="R7624" s="2"/>
      <c r="S7624" s="59"/>
      <c r="T7624" s="59"/>
      <c r="V7624" s="50"/>
      <c r="X7624"/>
    </row>
    <row r="7625" spans="1:24">
      <c r="A7625"/>
      <c r="B7625"/>
      <c r="C7625" s="59"/>
      <c r="D7625" s="69"/>
      <c r="E7625" s="60"/>
      <c r="F7625" s="2"/>
      <c r="G7625" s="61"/>
      <c r="H7625" s="2"/>
      <c r="I7625" s="2"/>
      <c r="J7625" s="67"/>
      <c r="K7625" s="63"/>
      <c r="L7625" s="64"/>
      <c r="M7625" s="65"/>
      <c r="N7625" s="2"/>
      <c r="O7625" s="66"/>
      <c r="P7625" s="59"/>
      <c r="Q7625" s="2"/>
      <c r="R7625" s="2"/>
      <c r="S7625" s="59"/>
      <c r="T7625" s="59"/>
      <c r="V7625" s="50"/>
      <c r="X7625"/>
    </row>
    <row r="7626" spans="1:24">
      <c r="A7626"/>
      <c r="B7626"/>
      <c r="C7626" s="59"/>
      <c r="D7626" s="69"/>
      <c r="E7626" s="60"/>
      <c r="F7626" s="2"/>
      <c r="G7626" s="61"/>
      <c r="H7626" s="2"/>
      <c r="I7626" s="2"/>
      <c r="J7626" s="67"/>
      <c r="K7626" s="63"/>
      <c r="L7626" s="64"/>
      <c r="M7626" s="65"/>
      <c r="N7626" s="2"/>
      <c r="O7626" s="66"/>
      <c r="P7626" s="59"/>
      <c r="Q7626" s="2"/>
      <c r="R7626" s="2"/>
      <c r="S7626" s="59"/>
      <c r="T7626" s="59"/>
      <c r="V7626" s="50"/>
      <c r="X7626"/>
    </row>
    <row r="7627" spans="1:24">
      <c r="A7627"/>
      <c r="B7627"/>
      <c r="C7627" s="69"/>
      <c r="D7627" s="69"/>
      <c r="E7627" s="60"/>
      <c r="F7627" s="2"/>
      <c r="G7627" s="61"/>
      <c r="H7627" s="2"/>
      <c r="I7627" s="2"/>
      <c r="J7627" s="67"/>
      <c r="K7627" s="63"/>
      <c r="L7627" s="64"/>
      <c r="M7627" s="65"/>
      <c r="N7627" s="2"/>
      <c r="O7627" s="66"/>
      <c r="P7627" s="59"/>
      <c r="Q7627" s="2"/>
      <c r="R7627" s="2"/>
      <c r="S7627" s="59"/>
      <c r="T7627" s="59"/>
      <c r="V7627" s="50"/>
      <c r="X7627"/>
    </row>
    <row r="7628" spans="1:24">
      <c r="A7628"/>
      <c r="B7628"/>
      <c r="C7628" s="59"/>
      <c r="D7628" s="69"/>
      <c r="E7628" s="60"/>
      <c r="F7628" s="2"/>
      <c r="G7628" s="61"/>
      <c r="H7628" s="2"/>
      <c r="I7628" s="2"/>
      <c r="J7628" s="67"/>
      <c r="K7628" s="63"/>
      <c r="L7628" s="64"/>
      <c r="M7628" s="65"/>
      <c r="N7628" s="2"/>
      <c r="O7628" s="66"/>
      <c r="P7628" s="59"/>
      <c r="Q7628" s="2"/>
      <c r="R7628" s="2"/>
      <c r="S7628" s="59"/>
      <c r="T7628" s="59"/>
      <c r="V7628" s="50"/>
      <c r="X7628"/>
    </row>
    <row r="7629" spans="1:24">
      <c r="A7629"/>
      <c r="B7629"/>
      <c r="C7629" s="59"/>
      <c r="D7629" s="59"/>
      <c r="E7629" s="60"/>
      <c r="F7629" s="2"/>
      <c r="G7629" s="61"/>
      <c r="H7629" s="2"/>
      <c r="I7629" s="2"/>
      <c r="J7629" s="67"/>
      <c r="K7629" s="63"/>
      <c r="L7629" s="64"/>
      <c r="M7629" s="65"/>
      <c r="N7629" s="2"/>
      <c r="O7629" s="66"/>
      <c r="P7629" s="59"/>
      <c r="Q7629" s="2"/>
      <c r="R7629" s="2"/>
      <c r="S7629" s="59"/>
      <c r="T7629" s="59"/>
      <c r="V7629" s="50"/>
      <c r="X7629"/>
    </row>
    <row r="7630" spans="1:24">
      <c r="A7630"/>
      <c r="B7630"/>
      <c r="C7630" s="69"/>
      <c r="D7630" s="69"/>
      <c r="E7630" s="60"/>
      <c r="F7630" s="2"/>
      <c r="G7630" s="61"/>
      <c r="H7630" s="2"/>
      <c r="I7630" s="2"/>
      <c r="J7630" s="67"/>
      <c r="K7630" s="63"/>
      <c r="L7630" s="64"/>
      <c r="M7630" s="65"/>
      <c r="N7630" s="2"/>
      <c r="O7630" s="66"/>
      <c r="P7630" s="59"/>
      <c r="Q7630" s="2"/>
      <c r="R7630" s="2"/>
      <c r="S7630" s="59"/>
      <c r="T7630" s="59"/>
      <c r="V7630" s="50"/>
      <c r="X7630"/>
    </row>
    <row r="7631" spans="1:24">
      <c r="A7631"/>
      <c r="B7631"/>
      <c r="C7631" s="69"/>
      <c r="D7631" s="69"/>
      <c r="E7631" s="60"/>
      <c r="F7631" s="2"/>
      <c r="G7631" s="61"/>
      <c r="H7631" s="2"/>
      <c r="I7631" s="2"/>
      <c r="J7631" s="67"/>
      <c r="K7631" s="63"/>
      <c r="L7631" s="64"/>
      <c r="M7631" s="65"/>
      <c r="N7631" s="2"/>
      <c r="O7631" s="66"/>
      <c r="P7631" s="59"/>
      <c r="Q7631" s="2"/>
      <c r="R7631" s="2"/>
      <c r="S7631" s="59"/>
      <c r="T7631" s="59"/>
      <c r="V7631" s="50"/>
      <c r="X7631"/>
    </row>
    <row r="7632" spans="1:24">
      <c r="A7632"/>
      <c r="B7632"/>
      <c r="C7632" s="69"/>
      <c r="D7632" s="69"/>
      <c r="E7632" s="60"/>
      <c r="F7632" s="2"/>
      <c r="G7632" s="61"/>
      <c r="H7632" s="2"/>
      <c r="I7632" s="2"/>
      <c r="J7632" s="67"/>
      <c r="K7632" s="63"/>
      <c r="L7632" s="64"/>
      <c r="M7632" s="65"/>
      <c r="N7632" s="2"/>
      <c r="O7632" s="66"/>
      <c r="P7632" s="59"/>
      <c r="Q7632" s="2"/>
      <c r="R7632" s="2"/>
      <c r="S7632" s="59"/>
      <c r="T7632" s="59"/>
      <c r="V7632" s="50"/>
      <c r="X7632"/>
    </row>
    <row r="7633" spans="1:24">
      <c r="A7633"/>
      <c r="B7633"/>
      <c r="C7633" s="69"/>
      <c r="D7633" s="69"/>
      <c r="E7633" s="60"/>
      <c r="F7633" s="2"/>
      <c r="G7633" s="61"/>
      <c r="H7633" s="2"/>
      <c r="I7633" s="2"/>
      <c r="J7633" s="67"/>
      <c r="K7633" s="63"/>
      <c r="L7633" s="64"/>
      <c r="M7633" s="65"/>
      <c r="N7633" s="2"/>
      <c r="O7633" s="66"/>
      <c r="P7633" s="59"/>
      <c r="Q7633" s="2"/>
      <c r="R7633" s="2"/>
      <c r="S7633" s="59"/>
      <c r="T7633" s="59"/>
      <c r="V7633" s="50"/>
      <c r="X7633"/>
    </row>
    <row r="7634" spans="1:24">
      <c r="A7634"/>
      <c r="B7634"/>
      <c r="C7634" s="69"/>
      <c r="D7634" s="69"/>
      <c r="E7634" s="60"/>
      <c r="F7634" s="2"/>
      <c r="G7634" s="61"/>
      <c r="H7634" s="2"/>
      <c r="I7634" s="2"/>
      <c r="J7634" s="67"/>
      <c r="K7634" s="63"/>
      <c r="L7634" s="64"/>
      <c r="M7634" s="65"/>
      <c r="N7634" s="2"/>
      <c r="O7634" s="66"/>
      <c r="P7634" s="59"/>
      <c r="Q7634" s="2"/>
      <c r="R7634" s="2"/>
      <c r="S7634" s="59"/>
      <c r="T7634" s="59"/>
      <c r="V7634" s="50"/>
      <c r="X7634"/>
    </row>
    <row r="7635" spans="1:24">
      <c r="A7635"/>
      <c r="B7635"/>
      <c r="C7635" s="69"/>
      <c r="D7635" s="69"/>
      <c r="E7635" s="60"/>
      <c r="F7635" s="2"/>
      <c r="G7635" s="61"/>
      <c r="H7635" s="2"/>
      <c r="I7635" s="2"/>
      <c r="J7635" s="67"/>
      <c r="K7635" s="63"/>
      <c r="L7635" s="64"/>
      <c r="M7635" s="65"/>
      <c r="N7635" s="2"/>
      <c r="O7635" s="66"/>
      <c r="P7635" s="59"/>
      <c r="Q7635" s="2"/>
      <c r="R7635" s="2"/>
      <c r="S7635" s="59"/>
      <c r="T7635" s="59"/>
      <c r="V7635" s="50"/>
      <c r="X7635"/>
    </row>
    <row r="7636" spans="1:24">
      <c r="A7636"/>
      <c r="B7636"/>
      <c r="C7636" s="69"/>
      <c r="D7636" s="69"/>
      <c r="E7636" s="60"/>
      <c r="F7636" s="2"/>
      <c r="G7636" s="61"/>
      <c r="H7636" s="2"/>
      <c r="I7636" s="2"/>
      <c r="J7636" s="67"/>
      <c r="K7636" s="63"/>
      <c r="L7636" s="64"/>
      <c r="M7636" s="68"/>
      <c r="N7636" s="2"/>
      <c r="O7636" s="66"/>
      <c r="P7636" s="59"/>
      <c r="Q7636" s="2"/>
      <c r="R7636" s="2"/>
      <c r="S7636" s="59"/>
      <c r="T7636" s="59"/>
      <c r="V7636" s="50"/>
      <c r="X7636"/>
    </row>
    <row r="7637" spans="1:24">
      <c r="A7637"/>
      <c r="B7637"/>
      <c r="C7637" s="69"/>
      <c r="D7637" s="69"/>
      <c r="E7637" s="60"/>
      <c r="F7637" s="2"/>
      <c r="G7637" s="61"/>
      <c r="H7637" s="2"/>
      <c r="I7637" s="2"/>
      <c r="J7637" s="67"/>
      <c r="K7637" s="63"/>
      <c r="L7637" s="64"/>
      <c r="M7637" s="65"/>
      <c r="N7637" s="2"/>
      <c r="O7637" s="66"/>
      <c r="P7637" s="59"/>
      <c r="Q7637" s="2"/>
      <c r="R7637" s="2"/>
      <c r="S7637" s="59"/>
      <c r="T7637" s="59"/>
      <c r="V7637" s="50"/>
      <c r="X7637"/>
    </row>
    <row r="7638" spans="1:24">
      <c r="A7638"/>
      <c r="B7638"/>
      <c r="C7638" s="69"/>
      <c r="D7638" s="69"/>
      <c r="E7638" s="60"/>
      <c r="F7638" s="2"/>
      <c r="G7638" s="61"/>
      <c r="H7638" s="2"/>
      <c r="I7638" s="2"/>
      <c r="J7638" s="67"/>
      <c r="K7638" s="63"/>
      <c r="L7638" s="64"/>
      <c r="M7638" s="65"/>
      <c r="N7638" s="2"/>
      <c r="O7638" s="66"/>
      <c r="P7638" s="59"/>
      <c r="Q7638" s="2"/>
      <c r="R7638" s="2"/>
      <c r="S7638" s="59"/>
      <c r="T7638" s="59"/>
      <c r="V7638" s="50"/>
      <c r="X7638"/>
    </row>
    <row r="7639" spans="1:24">
      <c r="A7639"/>
      <c r="B7639"/>
      <c r="C7639" s="69"/>
      <c r="D7639" s="69"/>
      <c r="E7639" s="60"/>
      <c r="F7639" s="2"/>
      <c r="G7639" s="61"/>
      <c r="H7639" s="2"/>
      <c r="I7639" s="2"/>
      <c r="J7639" s="67"/>
      <c r="K7639" s="63"/>
      <c r="L7639" s="64"/>
      <c r="M7639" s="65"/>
      <c r="N7639" s="2"/>
      <c r="O7639" s="66"/>
      <c r="P7639" s="59"/>
      <c r="Q7639" s="2"/>
      <c r="R7639" s="2"/>
      <c r="S7639" s="59"/>
      <c r="T7639" s="59"/>
      <c r="V7639" s="50"/>
      <c r="X7639"/>
    </row>
    <row r="7640" spans="1:24">
      <c r="A7640"/>
      <c r="B7640"/>
      <c r="C7640" s="69"/>
      <c r="D7640" s="69"/>
      <c r="E7640" s="60"/>
      <c r="F7640" s="2"/>
      <c r="G7640" s="61"/>
      <c r="H7640" s="2"/>
      <c r="I7640" s="2"/>
      <c r="J7640" s="67"/>
      <c r="K7640" s="63"/>
      <c r="L7640" s="64"/>
      <c r="M7640" s="68"/>
      <c r="N7640" s="2"/>
      <c r="O7640" s="66"/>
      <c r="P7640" s="59"/>
      <c r="Q7640" s="2"/>
      <c r="R7640" s="2"/>
      <c r="S7640" s="59"/>
      <c r="T7640" s="59"/>
      <c r="V7640" s="50"/>
      <c r="X7640"/>
    </row>
    <row r="7641" spans="1:24">
      <c r="A7641"/>
      <c r="B7641"/>
      <c r="C7641" s="69"/>
      <c r="D7641" s="69"/>
      <c r="E7641" s="60"/>
      <c r="F7641" s="2"/>
      <c r="G7641" s="61"/>
      <c r="H7641" s="2"/>
      <c r="I7641" s="2"/>
      <c r="J7641" s="67"/>
      <c r="K7641" s="63"/>
      <c r="L7641" s="64"/>
      <c r="M7641" s="65"/>
      <c r="N7641" s="2"/>
      <c r="O7641" s="66"/>
      <c r="P7641" s="59"/>
      <c r="Q7641" s="2"/>
      <c r="R7641" s="2"/>
      <c r="S7641" s="59"/>
      <c r="T7641" s="59"/>
      <c r="V7641" s="50"/>
      <c r="X7641"/>
    </row>
    <row r="7642" spans="1:24">
      <c r="A7642"/>
      <c r="B7642"/>
      <c r="C7642" s="69"/>
      <c r="D7642" s="69"/>
      <c r="E7642" s="60"/>
      <c r="F7642" s="2"/>
      <c r="G7642" s="61"/>
      <c r="H7642" s="2"/>
      <c r="I7642" s="2"/>
      <c r="J7642" s="67"/>
      <c r="K7642" s="63"/>
      <c r="L7642" s="64"/>
      <c r="M7642" s="65"/>
      <c r="N7642" s="2"/>
      <c r="O7642" s="66"/>
      <c r="P7642" s="59"/>
      <c r="Q7642" s="2"/>
      <c r="R7642" s="2"/>
      <c r="S7642" s="59"/>
      <c r="T7642" s="59"/>
      <c r="V7642" s="50"/>
      <c r="X7642"/>
    </row>
    <row r="7643" spans="1:24">
      <c r="A7643"/>
      <c r="B7643"/>
      <c r="C7643" s="69"/>
      <c r="D7643" s="69"/>
      <c r="E7643" s="60"/>
      <c r="F7643" s="2"/>
      <c r="G7643" s="61"/>
      <c r="H7643" s="2"/>
      <c r="I7643" s="2"/>
      <c r="J7643" s="67"/>
      <c r="K7643" s="63"/>
      <c r="L7643" s="64"/>
      <c r="M7643" s="65"/>
      <c r="N7643" s="2"/>
      <c r="O7643" s="66"/>
      <c r="P7643" s="59"/>
      <c r="Q7643" s="2"/>
      <c r="R7643" s="2"/>
      <c r="S7643" s="59"/>
      <c r="T7643" s="59"/>
      <c r="V7643" s="50"/>
      <c r="X7643"/>
    </row>
    <row r="7644" spans="1:24">
      <c r="A7644"/>
      <c r="B7644"/>
      <c r="C7644" s="69"/>
      <c r="D7644" s="69"/>
      <c r="E7644" s="60"/>
      <c r="F7644" s="2"/>
      <c r="G7644" s="61"/>
      <c r="H7644" s="2"/>
      <c r="I7644" s="2"/>
      <c r="J7644" s="67"/>
      <c r="K7644" s="63"/>
      <c r="L7644" s="64"/>
      <c r="M7644" s="65"/>
      <c r="N7644" s="2"/>
      <c r="O7644" s="66"/>
      <c r="P7644" s="59"/>
      <c r="Q7644" s="2"/>
      <c r="R7644" s="2"/>
      <c r="S7644" s="59"/>
      <c r="T7644" s="59"/>
      <c r="V7644" s="50"/>
      <c r="X7644"/>
    </row>
    <row r="7645" spans="1:24">
      <c r="A7645"/>
      <c r="B7645"/>
      <c r="C7645" s="69"/>
      <c r="D7645" s="69"/>
      <c r="E7645" s="60"/>
      <c r="F7645" s="2"/>
      <c r="G7645" s="61"/>
      <c r="H7645" s="2"/>
      <c r="I7645" s="2"/>
      <c r="J7645" s="67"/>
      <c r="K7645" s="63"/>
      <c r="L7645" s="64"/>
      <c r="M7645" s="65"/>
      <c r="N7645" s="2"/>
      <c r="O7645" s="66"/>
      <c r="P7645" s="59"/>
      <c r="Q7645" s="2"/>
      <c r="R7645" s="2"/>
      <c r="S7645" s="59"/>
      <c r="T7645" s="59"/>
      <c r="V7645" s="50"/>
      <c r="X7645"/>
    </row>
    <row r="7646" spans="1:24">
      <c r="A7646"/>
      <c r="B7646"/>
      <c r="C7646" s="69"/>
      <c r="D7646" s="69"/>
      <c r="E7646" s="60"/>
      <c r="F7646" s="2"/>
      <c r="G7646" s="61"/>
      <c r="H7646" s="2"/>
      <c r="I7646" s="2"/>
      <c r="J7646" s="67"/>
      <c r="K7646" s="63"/>
      <c r="L7646" s="64"/>
      <c r="M7646" s="65"/>
      <c r="N7646" s="2"/>
      <c r="O7646" s="66"/>
      <c r="P7646" s="59"/>
      <c r="Q7646" s="2"/>
      <c r="R7646" s="2"/>
      <c r="S7646" s="59"/>
      <c r="T7646" s="59"/>
      <c r="V7646" s="50"/>
      <c r="X7646"/>
    </row>
    <row r="7647" spans="1:24">
      <c r="A7647"/>
      <c r="B7647"/>
      <c r="C7647" s="69"/>
      <c r="D7647" s="69"/>
      <c r="E7647" s="60"/>
      <c r="F7647" s="2"/>
      <c r="G7647" s="61"/>
      <c r="H7647" s="2"/>
      <c r="I7647" s="2"/>
      <c r="J7647" s="67"/>
      <c r="K7647" s="63"/>
      <c r="L7647" s="64"/>
      <c r="M7647" s="65"/>
      <c r="N7647" s="2"/>
      <c r="O7647" s="66"/>
      <c r="P7647" s="59"/>
      <c r="Q7647" s="2"/>
      <c r="R7647" s="2"/>
      <c r="S7647" s="59"/>
      <c r="T7647" s="59"/>
      <c r="V7647" s="50"/>
      <c r="X7647"/>
    </row>
    <row r="7648" spans="1:24">
      <c r="A7648"/>
      <c r="B7648"/>
      <c r="C7648" s="69"/>
      <c r="D7648" s="69"/>
      <c r="E7648" s="60"/>
      <c r="F7648" s="2"/>
      <c r="G7648" s="61"/>
      <c r="H7648" s="2"/>
      <c r="I7648" s="2"/>
      <c r="J7648" s="67"/>
      <c r="K7648" s="63"/>
      <c r="L7648" s="64"/>
      <c r="M7648" s="65"/>
      <c r="N7648" s="2"/>
      <c r="O7648" s="66"/>
      <c r="P7648" s="59"/>
      <c r="Q7648" s="2"/>
      <c r="R7648" s="2"/>
      <c r="S7648" s="59"/>
      <c r="T7648" s="59"/>
      <c r="V7648" s="50"/>
      <c r="X7648"/>
    </row>
    <row r="7649" spans="1:24">
      <c r="A7649"/>
      <c r="B7649"/>
      <c r="C7649" s="69"/>
      <c r="D7649" s="69"/>
      <c r="E7649" s="60"/>
      <c r="F7649" s="2"/>
      <c r="G7649" s="61"/>
      <c r="H7649" s="2"/>
      <c r="I7649" s="2"/>
      <c r="J7649" s="67"/>
      <c r="K7649" s="63"/>
      <c r="L7649" s="64"/>
      <c r="M7649" s="65"/>
      <c r="N7649" s="2"/>
      <c r="O7649" s="66"/>
      <c r="P7649" s="59"/>
      <c r="Q7649" s="2"/>
      <c r="R7649" s="2"/>
      <c r="S7649" s="59"/>
      <c r="T7649" s="59"/>
      <c r="V7649" s="50"/>
      <c r="X7649"/>
    </row>
    <row r="7650" spans="1:24">
      <c r="A7650"/>
      <c r="B7650"/>
      <c r="C7650" s="69"/>
      <c r="D7650" s="69"/>
      <c r="E7650" s="60"/>
      <c r="F7650" s="2"/>
      <c r="G7650" s="61"/>
      <c r="H7650" s="2"/>
      <c r="I7650" s="2"/>
      <c r="J7650" s="67"/>
      <c r="K7650" s="63"/>
      <c r="L7650" s="64"/>
      <c r="M7650" s="68"/>
      <c r="N7650" s="2"/>
      <c r="O7650" s="66"/>
      <c r="P7650" s="59"/>
      <c r="Q7650" s="2"/>
      <c r="R7650" s="2"/>
      <c r="S7650" s="59"/>
      <c r="T7650" s="59"/>
      <c r="V7650" s="50"/>
      <c r="X7650"/>
    </row>
    <row r="7651" spans="1:24">
      <c r="A7651"/>
      <c r="B7651"/>
      <c r="C7651" s="69"/>
      <c r="D7651" s="69"/>
      <c r="E7651" s="60"/>
      <c r="F7651" s="2"/>
      <c r="G7651" s="61"/>
      <c r="H7651" s="2"/>
      <c r="I7651" s="2"/>
      <c r="J7651" s="67"/>
      <c r="K7651" s="63"/>
      <c r="L7651" s="64"/>
      <c r="M7651" s="65"/>
      <c r="N7651" s="2"/>
      <c r="O7651" s="66"/>
      <c r="P7651" s="59"/>
      <c r="Q7651" s="2"/>
      <c r="R7651" s="2"/>
      <c r="S7651" s="59"/>
      <c r="T7651" s="59"/>
      <c r="V7651" s="50"/>
      <c r="X7651"/>
    </row>
    <row r="7652" spans="1:24">
      <c r="A7652"/>
      <c r="B7652"/>
      <c r="C7652" s="69"/>
      <c r="D7652" s="69"/>
      <c r="E7652" s="60"/>
      <c r="F7652" s="2"/>
      <c r="G7652" s="61"/>
      <c r="H7652" s="2"/>
      <c r="I7652" s="2"/>
      <c r="J7652" s="67"/>
      <c r="K7652" s="63"/>
      <c r="L7652" s="64"/>
      <c r="M7652" s="65"/>
      <c r="N7652" s="2"/>
      <c r="O7652" s="66"/>
      <c r="P7652" s="59"/>
      <c r="Q7652" s="2"/>
      <c r="R7652" s="2"/>
      <c r="S7652" s="59"/>
      <c r="T7652" s="59"/>
      <c r="V7652" s="50"/>
      <c r="X7652"/>
    </row>
    <row r="7653" spans="1:24">
      <c r="A7653"/>
      <c r="B7653"/>
      <c r="C7653" s="69"/>
      <c r="D7653" s="69"/>
      <c r="E7653" s="60"/>
      <c r="F7653" s="2"/>
      <c r="G7653" s="61"/>
      <c r="H7653" s="2"/>
      <c r="I7653" s="2"/>
      <c r="J7653" s="67"/>
      <c r="K7653" s="63"/>
      <c r="L7653" s="64"/>
      <c r="M7653" s="65"/>
      <c r="N7653" s="2"/>
      <c r="O7653" s="66"/>
      <c r="P7653" s="59"/>
      <c r="Q7653" s="2"/>
      <c r="R7653" s="2"/>
      <c r="S7653" s="59"/>
      <c r="T7653" s="59"/>
      <c r="V7653" s="50"/>
      <c r="X7653"/>
    </row>
    <row r="7654" spans="1:24">
      <c r="A7654"/>
      <c r="B7654"/>
      <c r="C7654" s="69"/>
      <c r="D7654" s="69"/>
      <c r="E7654" s="60"/>
      <c r="F7654" s="2"/>
      <c r="G7654" s="61"/>
      <c r="H7654" s="2"/>
      <c r="I7654" s="2"/>
      <c r="J7654" s="67"/>
      <c r="K7654" s="63"/>
      <c r="L7654" s="64"/>
      <c r="M7654" s="65"/>
      <c r="N7654" s="2"/>
      <c r="O7654" s="66"/>
      <c r="P7654" s="59"/>
      <c r="Q7654" s="2"/>
      <c r="R7654" s="2"/>
      <c r="S7654" s="59"/>
      <c r="T7654" s="59"/>
      <c r="V7654" s="50"/>
      <c r="X7654"/>
    </row>
    <row r="7655" spans="1:24">
      <c r="A7655"/>
      <c r="B7655"/>
      <c r="C7655" s="69"/>
      <c r="D7655" s="69"/>
      <c r="E7655" s="60"/>
      <c r="F7655" s="2"/>
      <c r="G7655" s="61"/>
      <c r="H7655" s="2"/>
      <c r="I7655" s="2"/>
      <c r="J7655" s="67"/>
      <c r="K7655" s="63"/>
      <c r="L7655" s="64"/>
      <c r="M7655" s="65"/>
      <c r="N7655" s="2"/>
      <c r="O7655" s="66"/>
      <c r="P7655" s="59"/>
      <c r="Q7655" s="2"/>
      <c r="R7655" s="2"/>
      <c r="S7655" s="59"/>
      <c r="T7655" s="59"/>
      <c r="V7655" s="50"/>
      <c r="X7655"/>
    </row>
    <row r="7656" spans="1:24">
      <c r="A7656"/>
      <c r="B7656"/>
      <c r="C7656" s="69"/>
      <c r="D7656" s="69"/>
      <c r="E7656" s="60"/>
      <c r="F7656" s="2"/>
      <c r="G7656" s="61"/>
      <c r="H7656" s="2"/>
      <c r="I7656" s="2"/>
      <c r="J7656" s="67"/>
      <c r="K7656" s="63"/>
      <c r="L7656" s="64"/>
      <c r="M7656" s="65"/>
      <c r="N7656" s="2"/>
      <c r="O7656" s="66"/>
      <c r="P7656" s="59"/>
      <c r="Q7656" s="2"/>
      <c r="R7656" s="2"/>
      <c r="S7656" s="59"/>
      <c r="T7656" s="59"/>
      <c r="V7656" s="50"/>
      <c r="X7656"/>
    </row>
    <row r="7657" spans="1:24">
      <c r="A7657"/>
      <c r="B7657"/>
      <c r="C7657" s="69"/>
      <c r="D7657" s="69"/>
      <c r="E7657" s="60"/>
      <c r="F7657" s="2"/>
      <c r="G7657" s="61"/>
      <c r="H7657" s="2"/>
      <c r="I7657" s="2"/>
      <c r="J7657" s="67"/>
      <c r="K7657" s="63"/>
      <c r="L7657" s="64"/>
      <c r="M7657" s="65"/>
      <c r="N7657" s="2"/>
      <c r="O7657" s="66"/>
      <c r="P7657" s="59"/>
      <c r="Q7657" s="2"/>
      <c r="R7657" s="2"/>
      <c r="S7657" s="59"/>
      <c r="T7657" s="59"/>
      <c r="V7657" s="50"/>
      <c r="X7657"/>
    </row>
    <row r="7658" spans="1:24">
      <c r="A7658"/>
      <c r="B7658"/>
      <c r="C7658" s="69"/>
      <c r="D7658" s="69"/>
      <c r="E7658" s="60"/>
      <c r="F7658" s="2"/>
      <c r="G7658" s="61"/>
      <c r="H7658" s="2"/>
      <c r="I7658" s="2"/>
      <c r="J7658" s="67"/>
      <c r="K7658" s="63"/>
      <c r="L7658" s="64"/>
      <c r="M7658" s="65"/>
      <c r="N7658" s="2"/>
      <c r="O7658" s="66"/>
      <c r="P7658" s="59"/>
      <c r="Q7658" s="2"/>
      <c r="R7658" s="2"/>
      <c r="S7658" s="59"/>
      <c r="T7658" s="59"/>
      <c r="V7658" s="50"/>
      <c r="X7658"/>
    </row>
    <row r="7659" spans="1:24">
      <c r="A7659"/>
      <c r="B7659"/>
      <c r="C7659" s="69"/>
      <c r="D7659" s="69"/>
      <c r="E7659" s="60"/>
      <c r="F7659" s="2"/>
      <c r="G7659" s="61"/>
      <c r="H7659" s="2"/>
      <c r="I7659" s="2"/>
      <c r="J7659" s="67"/>
      <c r="K7659" s="63"/>
      <c r="L7659" s="64"/>
      <c r="M7659" s="65"/>
      <c r="N7659" s="2"/>
      <c r="O7659" s="66"/>
      <c r="P7659" s="59"/>
      <c r="Q7659" s="2"/>
      <c r="R7659" s="2"/>
      <c r="S7659" s="59"/>
      <c r="T7659" s="59"/>
      <c r="V7659" s="50"/>
      <c r="X7659"/>
    </row>
    <row r="7660" spans="1:24">
      <c r="A7660"/>
      <c r="B7660"/>
      <c r="C7660" s="69"/>
      <c r="D7660" s="69"/>
      <c r="E7660" s="60"/>
      <c r="F7660" s="2"/>
      <c r="G7660" s="61"/>
      <c r="H7660" s="2"/>
      <c r="I7660" s="2"/>
      <c r="J7660" s="67"/>
      <c r="K7660" s="63"/>
      <c r="L7660" s="64"/>
      <c r="M7660" s="65"/>
      <c r="N7660" s="2"/>
      <c r="O7660" s="66"/>
      <c r="P7660" s="59"/>
      <c r="Q7660" s="2"/>
      <c r="R7660" s="2"/>
      <c r="S7660" s="59"/>
      <c r="T7660" s="59"/>
      <c r="V7660" s="50"/>
      <c r="X7660"/>
    </row>
    <row r="7661" spans="1:24">
      <c r="A7661"/>
      <c r="B7661"/>
      <c r="C7661" s="69"/>
      <c r="D7661" s="69"/>
      <c r="E7661" s="60"/>
      <c r="F7661" s="2"/>
      <c r="G7661" s="61"/>
      <c r="H7661" s="2"/>
      <c r="I7661" s="2"/>
      <c r="J7661" s="67"/>
      <c r="K7661" s="63"/>
      <c r="L7661" s="64"/>
      <c r="M7661" s="65"/>
      <c r="N7661" s="2"/>
      <c r="O7661" s="66"/>
      <c r="P7661" s="59"/>
      <c r="Q7661" s="2"/>
      <c r="R7661" s="2"/>
      <c r="S7661" s="59"/>
      <c r="T7661" s="59"/>
      <c r="V7661" s="50"/>
      <c r="X7661"/>
    </row>
    <row r="7662" spans="1:24">
      <c r="A7662"/>
      <c r="B7662"/>
      <c r="C7662" s="69"/>
      <c r="D7662" s="69"/>
      <c r="E7662" s="60"/>
      <c r="F7662" s="2"/>
      <c r="G7662" s="61"/>
      <c r="H7662" s="2"/>
      <c r="I7662" s="2"/>
      <c r="J7662" s="67"/>
      <c r="K7662" s="63"/>
      <c r="L7662" s="64"/>
      <c r="M7662" s="65"/>
      <c r="N7662" s="2"/>
      <c r="O7662" s="66"/>
      <c r="P7662" s="59"/>
      <c r="Q7662" s="2"/>
      <c r="R7662" s="2"/>
      <c r="S7662" s="59"/>
      <c r="T7662" s="59"/>
      <c r="V7662" s="50"/>
      <c r="X7662"/>
    </row>
    <row r="7663" spans="1:24">
      <c r="A7663"/>
      <c r="B7663"/>
      <c r="C7663" s="59"/>
      <c r="D7663" s="69"/>
      <c r="E7663" s="60"/>
      <c r="F7663" s="2"/>
      <c r="G7663" s="61"/>
      <c r="H7663" s="2"/>
      <c r="I7663" s="2"/>
      <c r="J7663" s="67"/>
      <c r="K7663" s="63"/>
      <c r="L7663" s="64"/>
      <c r="M7663" s="65"/>
      <c r="N7663" s="2"/>
      <c r="O7663" s="66"/>
      <c r="P7663" s="59"/>
      <c r="Q7663" s="2"/>
      <c r="R7663" s="2"/>
      <c r="S7663" s="59"/>
      <c r="T7663" s="59"/>
      <c r="V7663" s="50"/>
      <c r="X7663"/>
    </row>
    <row r="7664" spans="1:24">
      <c r="A7664"/>
      <c r="B7664"/>
      <c r="C7664" s="69"/>
      <c r="D7664" s="69"/>
      <c r="E7664" s="60"/>
      <c r="F7664" s="2"/>
      <c r="G7664" s="61"/>
      <c r="H7664" s="2"/>
      <c r="I7664" s="2"/>
      <c r="J7664" s="67"/>
      <c r="K7664" s="63"/>
      <c r="L7664" s="64"/>
      <c r="M7664" s="65"/>
      <c r="N7664" s="2"/>
      <c r="O7664" s="66"/>
      <c r="P7664" s="59"/>
      <c r="Q7664" s="2"/>
      <c r="R7664" s="2"/>
      <c r="S7664" s="59"/>
      <c r="T7664" s="59"/>
      <c r="V7664" s="50"/>
      <c r="X7664"/>
    </row>
    <row r="7665" spans="1:24">
      <c r="A7665"/>
      <c r="B7665"/>
      <c r="C7665" s="69"/>
      <c r="D7665" s="69"/>
      <c r="E7665" s="60"/>
      <c r="F7665" s="2"/>
      <c r="G7665" s="61"/>
      <c r="H7665" s="2"/>
      <c r="I7665" s="2"/>
      <c r="J7665" s="67"/>
      <c r="K7665" s="63"/>
      <c r="L7665" s="64"/>
      <c r="M7665" s="65"/>
      <c r="N7665" s="2"/>
      <c r="O7665" s="66"/>
      <c r="P7665" s="59"/>
      <c r="Q7665" s="2"/>
      <c r="R7665" s="2"/>
      <c r="S7665" s="59"/>
      <c r="T7665" s="59"/>
      <c r="V7665" s="50"/>
      <c r="X7665"/>
    </row>
    <row r="7666" spans="1:24">
      <c r="A7666"/>
      <c r="B7666"/>
      <c r="C7666" s="59"/>
      <c r="D7666" s="69"/>
      <c r="E7666" s="60"/>
      <c r="F7666" s="2"/>
      <c r="G7666" s="61"/>
      <c r="H7666" s="2"/>
      <c r="I7666" s="2"/>
      <c r="J7666" s="67"/>
      <c r="K7666" s="63"/>
      <c r="L7666" s="64"/>
      <c r="M7666" s="65"/>
      <c r="N7666" s="2"/>
      <c r="O7666" s="66"/>
      <c r="P7666" s="59"/>
      <c r="Q7666" s="2"/>
      <c r="R7666" s="2"/>
      <c r="S7666" s="59"/>
      <c r="T7666" s="59"/>
      <c r="V7666" s="50"/>
      <c r="X7666"/>
    </row>
    <row r="7667" spans="1:24">
      <c r="A7667"/>
      <c r="B7667"/>
      <c r="C7667" s="69"/>
      <c r="D7667" s="69"/>
      <c r="E7667" s="60"/>
      <c r="F7667" s="2"/>
      <c r="G7667" s="61"/>
      <c r="H7667" s="2"/>
      <c r="I7667" s="2"/>
      <c r="J7667" s="67"/>
      <c r="K7667" s="63"/>
      <c r="L7667" s="64"/>
      <c r="M7667" s="65"/>
      <c r="N7667" s="2"/>
      <c r="O7667" s="66"/>
      <c r="P7667" s="59"/>
      <c r="Q7667" s="2"/>
      <c r="R7667" s="2"/>
      <c r="S7667" s="59"/>
      <c r="T7667" s="59"/>
      <c r="V7667" s="50"/>
      <c r="X7667"/>
    </row>
    <row r="7668" spans="1:24">
      <c r="A7668"/>
      <c r="B7668"/>
      <c r="C7668" s="69"/>
      <c r="D7668" s="69"/>
      <c r="E7668" s="60"/>
      <c r="F7668" s="2"/>
      <c r="G7668" s="61"/>
      <c r="H7668" s="2"/>
      <c r="I7668" s="2"/>
      <c r="J7668" s="67"/>
      <c r="K7668" s="63"/>
      <c r="L7668" s="64"/>
      <c r="M7668" s="65"/>
      <c r="N7668" s="2"/>
      <c r="O7668" s="66"/>
      <c r="P7668" s="59"/>
      <c r="Q7668" s="2"/>
      <c r="R7668" s="2"/>
      <c r="S7668" s="59"/>
      <c r="T7668" s="59"/>
      <c r="V7668" s="50"/>
      <c r="X7668"/>
    </row>
    <row r="7669" spans="1:24">
      <c r="A7669"/>
      <c r="B7669"/>
      <c r="C7669" s="69"/>
      <c r="D7669" s="69"/>
      <c r="E7669" s="60"/>
      <c r="F7669" s="2"/>
      <c r="G7669" s="61"/>
      <c r="H7669" s="2"/>
      <c r="I7669" s="2"/>
      <c r="J7669" s="67"/>
      <c r="K7669" s="63"/>
      <c r="L7669" s="64"/>
      <c r="M7669" s="65"/>
      <c r="N7669" s="2"/>
      <c r="O7669" s="66"/>
      <c r="P7669" s="59"/>
      <c r="Q7669" s="2"/>
      <c r="R7669" s="2"/>
      <c r="S7669" s="59"/>
      <c r="T7669" s="59"/>
      <c r="V7669" s="50"/>
      <c r="X7669"/>
    </row>
    <row r="7670" spans="1:24">
      <c r="A7670"/>
      <c r="B7670"/>
      <c r="C7670" s="69"/>
      <c r="D7670" s="69"/>
      <c r="E7670" s="60"/>
      <c r="F7670" s="2"/>
      <c r="G7670" s="61"/>
      <c r="H7670" s="2"/>
      <c r="I7670" s="2"/>
      <c r="J7670" s="67"/>
      <c r="K7670" s="63"/>
      <c r="L7670" s="64"/>
      <c r="M7670" s="68"/>
      <c r="N7670" s="2"/>
      <c r="O7670" s="66"/>
      <c r="P7670" s="59"/>
      <c r="Q7670" s="2"/>
      <c r="R7670" s="2"/>
      <c r="S7670" s="59"/>
      <c r="T7670" s="59"/>
      <c r="V7670" s="50"/>
      <c r="X7670"/>
    </row>
    <row r="7671" spans="1:24">
      <c r="A7671"/>
      <c r="B7671"/>
      <c r="C7671" s="69"/>
      <c r="D7671" s="69"/>
      <c r="E7671" s="60"/>
      <c r="F7671" s="2"/>
      <c r="G7671" s="61"/>
      <c r="H7671" s="2"/>
      <c r="I7671" s="2"/>
      <c r="J7671" s="67"/>
      <c r="K7671" s="63"/>
      <c r="L7671" s="64"/>
      <c r="M7671" s="65"/>
      <c r="N7671" s="2"/>
      <c r="O7671" s="66"/>
      <c r="P7671" s="59"/>
      <c r="Q7671" s="2"/>
      <c r="R7671" s="2"/>
      <c r="S7671" s="59"/>
      <c r="T7671" s="59"/>
      <c r="V7671" s="50"/>
      <c r="X7671"/>
    </row>
    <row r="7672" spans="1:24">
      <c r="A7672"/>
      <c r="B7672"/>
      <c r="C7672" s="69"/>
      <c r="D7672" s="69"/>
      <c r="E7672" s="60"/>
      <c r="F7672" s="2"/>
      <c r="G7672" s="61"/>
      <c r="H7672" s="2"/>
      <c r="I7672" s="2"/>
      <c r="J7672" s="67"/>
      <c r="K7672" s="63"/>
      <c r="L7672" s="64"/>
      <c r="M7672" s="65"/>
      <c r="N7672" s="2"/>
      <c r="O7672" s="66"/>
      <c r="P7672" s="59"/>
      <c r="Q7672" s="2"/>
      <c r="R7672" s="2"/>
      <c r="S7672" s="59"/>
      <c r="T7672" s="59"/>
      <c r="V7672" s="50"/>
      <c r="X7672"/>
    </row>
    <row r="7673" spans="1:24">
      <c r="A7673"/>
      <c r="B7673"/>
      <c r="C7673" s="69"/>
      <c r="D7673" s="69"/>
      <c r="E7673" s="60"/>
      <c r="F7673" s="2"/>
      <c r="G7673" s="61"/>
      <c r="H7673" s="2"/>
      <c r="I7673" s="2"/>
      <c r="J7673" s="67"/>
      <c r="K7673" s="63"/>
      <c r="L7673" s="64"/>
      <c r="M7673" s="65"/>
      <c r="N7673" s="2"/>
      <c r="O7673" s="66"/>
      <c r="P7673" s="59"/>
      <c r="Q7673" s="2"/>
      <c r="R7673" s="2"/>
      <c r="S7673" s="59"/>
      <c r="T7673" s="59"/>
      <c r="V7673" s="50"/>
      <c r="X7673"/>
    </row>
    <row r="7674" spans="1:24">
      <c r="A7674"/>
      <c r="B7674"/>
      <c r="C7674" s="69"/>
      <c r="D7674" s="69"/>
      <c r="E7674" s="60"/>
      <c r="F7674" s="2"/>
      <c r="G7674" s="61"/>
      <c r="H7674" s="2"/>
      <c r="I7674" s="2"/>
      <c r="J7674" s="67"/>
      <c r="K7674" s="63"/>
      <c r="L7674" s="64"/>
      <c r="M7674" s="65"/>
      <c r="N7674" s="2"/>
      <c r="O7674" s="66"/>
      <c r="P7674" s="59"/>
      <c r="Q7674" s="2"/>
      <c r="R7674" s="2"/>
      <c r="S7674" s="59"/>
      <c r="T7674" s="59"/>
      <c r="V7674" s="50"/>
      <c r="X7674"/>
    </row>
    <row r="7675" spans="1:24">
      <c r="A7675"/>
      <c r="B7675"/>
      <c r="C7675" s="69"/>
      <c r="D7675" s="69"/>
      <c r="E7675" s="60"/>
      <c r="F7675" s="2"/>
      <c r="G7675" s="61"/>
      <c r="H7675" s="2"/>
      <c r="I7675" s="2"/>
      <c r="J7675" s="67"/>
      <c r="K7675" s="63"/>
      <c r="L7675" s="64"/>
      <c r="M7675" s="65"/>
      <c r="N7675" s="2"/>
      <c r="O7675" s="66"/>
      <c r="P7675" s="59"/>
      <c r="Q7675" s="2"/>
      <c r="R7675" s="2"/>
      <c r="S7675" s="59"/>
      <c r="T7675" s="59"/>
      <c r="V7675" s="50"/>
      <c r="X7675"/>
    </row>
    <row r="7676" spans="1:24">
      <c r="A7676"/>
      <c r="B7676"/>
      <c r="C7676" s="69"/>
      <c r="D7676" s="69"/>
      <c r="E7676" s="60"/>
      <c r="F7676" s="2"/>
      <c r="G7676" s="61"/>
      <c r="H7676" s="2"/>
      <c r="I7676" s="2"/>
      <c r="J7676" s="67"/>
      <c r="K7676" s="63"/>
      <c r="L7676" s="64"/>
      <c r="M7676" s="65"/>
      <c r="N7676" s="2"/>
      <c r="O7676" s="66"/>
      <c r="P7676" s="59"/>
      <c r="Q7676" s="2"/>
      <c r="R7676" s="2"/>
      <c r="S7676" s="59"/>
      <c r="T7676" s="59"/>
      <c r="V7676" s="50"/>
      <c r="X7676"/>
    </row>
    <row r="7677" spans="1:24">
      <c r="A7677"/>
      <c r="B7677"/>
      <c r="C7677" s="69"/>
      <c r="D7677" s="69"/>
      <c r="E7677" s="60"/>
      <c r="F7677" s="2"/>
      <c r="G7677" s="61"/>
      <c r="H7677" s="2"/>
      <c r="I7677" s="2"/>
      <c r="J7677" s="67"/>
      <c r="K7677" s="63"/>
      <c r="L7677" s="64"/>
      <c r="M7677" s="65"/>
      <c r="N7677" s="2"/>
      <c r="O7677" s="66"/>
      <c r="P7677" s="59"/>
      <c r="Q7677" s="2"/>
      <c r="R7677" s="2"/>
      <c r="S7677" s="59"/>
      <c r="T7677" s="59"/>
      <c r="V7677" s="50"/>
      <c r="X7677"/>
    </row>
    <row r="7678" spans="1:24">
      <c r="A7678"/>
      <c r="B7678"/>
      <c r="C7678" s="69"/>
      <c r="D7678" s="69"/>
      <c r="E7678" s="60"/>
      <c r="F7678" s="2"/>
      <c r="G7678" s="61"/>
      <c r="H7678" s="2"/>
      <c r="I7678" s="2"/>
      <c r="J7678" s="67"/>
      <c r="K7678" s="63"/>
      <c r="L7678" s="64"/>
      <c r="M7678" s="65"/>
      <c r="N7678" s="2"/>
      <c r="O7678" s="66"/>
      <c r="P7678" s="59"/>
      <c r="Q7678" s="2"/>
      <c r="R7678" s="2"/>
      <c r="S7678" s="59"/>
      <c r="T7678" s="59"/>
      <c r="V7678" s="50"/>
      <c r="X7678"/>
    </row>
    <row r="7679" spans="1:24">
      <c r="A7679"/>
      <c r="B7679"/>
      <c r="C7679" s="69"/>
      <c r="D7679" s="69"/>
      <c r="E7679" s="60"/>
      <c r="F7679" s="2"/>
      <c r="G7679" s="61"/>
      <c r="H7679" s="2"/>
      <c r="I7679" s="2"/>
      <c r="J7679" s="67"/>
      <c r="K7679" s="63"/>
      <c r="L7679" s="64"/>
      <c r="M7679" s="68"/>
      <c r="N7679" s="2"/>
      <c r="O7679" s="66"/>
      <c r="P7679" s="59"/>
      <c r="Q7679" s="2"/>
      <c r="R7679" s="2"/>
      <c r="S7679" s="59"/>
      <c r="T7679" s="59"/>
      <c r="V7679" s="50"/>
      <c r="X7679"/>
    </row>
    <row r="7680" spans="1:24">
      <c r="A7680"/>
      <c r="B7680"/>
      <c r="C7680" s="69"/>
      <c r="D7680" s="69"/>
      <c r="E7680" s="60"/>
      <c r="F7680" s="2"/>
      <c r="G7680" s="61"/>
      <c r="H7680" s="2"/>
      <c r="I7680" s="2"/>
      <c r="J7680" s="67"/>
      <c r="K7680" s="63"/>
      <c r="L7680" s="64"/>
      <c r="M7680" s="65"/>
      <c r="N7680" s="2"/>
      <c r="O7680" s="66"/>
      <c r="P7680" s="59"/>
      <c r="Q7680" s="2"/>
      <c r="R7680" s="2"/>
      <c r="S7680" s="59"/>
      <c r="T7680" s="59"/>
      <c r="V7680" s="50"/>
      <c r="X7680"/>
    </row>
    <row r="7681" spans="1:24">
      <c r="A7681"/>
      <c r="B7681"/>
      <c r="C7681" s="69"/>
      <c r="D7681" s="69"/>
      <c r="E7681" s="60"/>
      <c r="F7681" s="2"/>
      <c r="G7681" s="61"/>
      <c r="H7681" s="2"/>
      <c r="I7681" s="2"/>
      <c r="J7681" s="67"/>
      <c r="K7681" s="63"/>
      <c r="L7681" s="64"/>
      <c r="M7681" s="65"/>
      <c r="N7681" s="2"/>
      <c r="O7681" s="66"/>
      <c r="P7681" s="59"/>
      <c r="Q7681" s="2"/>
      <c r="R7681" s="2"/>
      <c r="S7681" s="59"/>
      <c r="T7681" s="59"/>
      <c r="V7681" s="50"/>
      <c r="X7681"/>
    </row>
    <row r="7682" spans="1:24">
      <c r="A7682"/>
      <c r="B7682"/>
      <c r="C7682" s="69"/>
      <c r="D7682" s="69"/>
      <c r="E7682" s="60"/>
      <c r="F7682" s="2"/>
      <c r="G7682" s="61"/>
      <c r="H7682" s="2"/>
      <c r="I7682" s="2"/>
      <c r="J7682" s="67"/>
      <c r="K7682" s="63"/>
      <c r="L7682" s="64"/>
      <c r="M7682" s="65"/>
      <c r="N7682" s="2"/>
      <c r="O7682" s="66"/>
      <c r="P7682" s="59"/>
      <c r="Q7682" s="2"/>
      <c r="R7682" s="2"/>
      <c r="S7682" s="59"/>
      <c r="T7682" s="59"/>
      <c r="V7682" s="50"/>
      <c r="X7682"/>
    </row>
    <row r="7683" spans="1:24">
      <c r="A7683"/>
      <c r="B7683"/>
      <c r="C7683" s="59"/>
      <c r="D7683" s="59"/>
      <c r="E7683" s="60"/>
      <c r="F7683" s="2"/>
      <c r="G7683" s="61"/>
      <c r="H7683" s="2"/>
      <c r="I7683" s="2"/>
      <c r="J7683" s="62"/>
      <c r="K7683" s="63"/>
      <c r="L7683" s="64"/>
      <c r="M7683" s="65"/>
      <c r="N7683" s="2"/>
      <c r="O7683" s="66"/>
      <c r="P7683" s="59"/>
      <c r="Q7683" s="2"/>
      <c r="R7683" s="2"/>
      <c r="S7683" s="59"/>
      <c r="T7683" s="59"/>
      <c r="V7683" s="50"/>
      <c r="X7683"/>
    </row>
    <row r="7684" spans="1:24">
      <c r="A7684"/>
      <c r="B7684"/>
      <c r="C7684" s="59"/>
      <c r="D7684" s="59"/>
      <c r="E7684" s="60"/>
      <c r="F7684" s="2"/>
      <c r="G7684" s="61"/>
      <c r="H7684" s="2"/>
      <c r="I7684" s="2"/>
      <c r="J7684" s="62"/>
      <c r="K7684" s="63"/>
      <c r="L7684" s="64"/>
      <c r="M7684" s="65"/>
      <c r="N7684" s="2"/>
      <c r="O7684" s="66"/>
      <c r="P7684" s="59"/>
      <c r="Q7684" s="2"/>
      <c r="R7684" s="2"/>
      <c r="S7684" s="59"/>
      <c r="T7684" s="59"/>
      <c r="V7684" s="50"/>
      <c r="X7684"/>
    </row>
    <row r="7685" spans="1:24">
      <c r="A7685"/>
      <c r="B7685"/>
      <c r="C7685" s="59"/>
      <c r="D7685" s="59"/>
      <c r="E7685" s="60"/>
      <c r="F7685" s="2"/>
      <c r="G7685" s="61"/>
      <c r="H7685" s="2"/>
      <c r="I7685" s="2"/>
      <c r="J7685" s="62"/>
      <c r="K7685" s="63"/>
      <c r="L7685" s="64"/>
      <c r="M7685" s="65"/>
      <c r="N7685" s="2"/>
      <c r="O7685" s="66"/>
      <c r="P7685" s="59"/>
      <c r="Q7685" s="2"/>
      <c r="R7685" s="2"/>
      <c r="S7685" s="59"/>
      <c r="T7685" s="59"/>
      <c r="V7685" s="50"/>
      <c r="X7685"/>
    </row>
    <row r="7686" spans="1:24">
      <c r="A7686"/>
      <c r="B7686"/>
      <c r="C7686" s="59"/>
      <c r="D7686" s="59"/>
      <c r="E7686" s="60"/>
      <c r="F7686" s="2"/>
      <c r="G7686" s="61"/>
      <c r="H7686" s="2"/>
      <c r="I7686" s="2"/>
      <c r="J7686" s="62"/>
      <c r="K7686" s="63"/>
      <c r="L7686" s="64"/>
      <c r="M7686" s="65"/>
      <c r="N7686" s="2"/>
      <c r="O7686" s="66"/>
      <c r="P7686" s="59"/>
      <c r="Q7686" s="2"/>
      <c r="R7686" s="2"/>
      <c r="S7686" s="59"/>
      <c r="T7686" s="59"/>
      <c r="V7686" s="50"/>
      <c r="X7686"/>
    </row>
    <row r="7687" spans="1:24">
      <c r="A7687"/>
      <c r="B7687"/>
      <c r="C7687" s="59"/>
      <c r="D7687" s="59"/>
      <c r="E7687" s="60"/>
      <c r="F7687" s="2"/>
      <c r="G7687" s="61"/>
      <c r="H7687" s="2"/>
      <c r="I7687" s="2"/>
      <c r="J7687" s="62"/>
      <c r="K7687" s="63"/>
      <c r="L7687" s="64"/>
      <c r="M7687" s="65"/>
      <c r="N7687" s="2"/>
      <c r="O7687" s="66"/>
      <c r="P7687" s="59"/>
      <c r="Q7687" s="2"/>
      <c r="R7687" s="2"/>
      <c r="S7687" s="59"/>
      <c r="T7687" s="59"/>
      <c r="V7687" s="50"/>
      <c r="X7687"/>
    </row>
    <row r="7688" spans="1:24">
      <c r="A7688"/>
      <c r="B7688"/>
      <c r="C7688" s="59"/>
      <c r="D7688" s="59"/>
      <c r="E7688" s="60"/>
      <c r="F7688" s="2"/>
      <c r="G7688" s="61"/>
      <c r="H7688" s="2"/>
      <c r="I7688" s="2"/>
      <c r="J7688" s="62"/>
      <c r="K7688" s="63"/>
      <c r="L7688" s="64"/>
      <c r="M7688" s="65"/>
      <c r="N7688" s="2"/>
      <c r="O7688" s="66"/>
      <c r="P7688" s="59"/>
      <c r="Q7688" s="2"/>
      <c r="R7688" s="2"/>
      <c r="S7688" s="59"/>
      <c r="T7688" s="59"/>
      <c r="V7688" s="50"/>
      <c r="X7688"/>
    </row>
    <row r="7689" spans="1:24">
      <c r="A7689"/>
      <c r="B7689"/>
      <c r="C7689" s="59"/>
      <c r="D7689" s="59"/>
      <c r="E7689" s="60"/>
      <c r="F7689" s="2"/>
      <c r="G7689" s="61"/>
      <c r="H7689" s="2"/>
      <c r="I7689" s="2"/>
      <c r="J7689" s="62"/>
      <c r="K7689" s="63"/>
      <c r="L7689" s="64"/>
      <c r="M7689" s="65"/>
      <c r="N7689" s="2"/>
      <c r="O7689" s="66"/>
      <c r="P7689" s="59"/>
      <c r="Q7689" s="2"/>
      <c r="R7689" s="2"/>
      <c r="S7689" s="59"/>
      <c r="T7689" s="59"/>
      <c r="V7689" s="50"/>
      <c r="X7689"/>
    </row>
    <row r="7690" spans="1:24">
      <c r="A7690"/>
      <c r="B7690"/>
      <c r="C7690" s="59"/>
      <c r="D7690" s="59"/>
      <c r="E7690" s="60"/>
      <c r="F7690" s="2"/>
      <c r="G7690" s="61"/>
      <c r="H7690" s="2"/>
      <c r="I7690" s="2"/>
      <c r="J7690" s="62"/>
      <c r="K7690" s="63"/>
      <c r="L7690" s="64"/>
      <c r="M7690" s="65"/>
      <c r="N7690" s="2"/>
      <c r="O7690" s="66"/>
      <c r="P7690" s="59"/>
      <c r="Q7690" s="2"/>
      <c r="R7690" s="2"/>
      <c r="S7690" s="59"/>
      <c r="T7690" s="59"/>
      <c r="V7690" s="50"/>
      <c r="X7690"/>
    </row>
    <row r="7691" spans="1:24">
      <c r="A7691"/>
      <c r="B7691"/>
      <c r="C7691" s="59"/>
      <c r="D7691" s="59"/>
      <c r="E7691" s="60"/>
      <c r="F7691" s="2"/>
      <c r="G7691" s="61"/>
      <c r="H7691" s="2"/>
      <c r="I7691" s="2"/>
      <c r="J7691" s="62"/>
      <c r="K7691" s="63"/>
      <c r="L7691" s="64"/>
      <c r="M7691" s="65"/>
      <c r="N7691" s="2"/>
      <c r="O7691" s="66"/>
      <c r="P7691" s="59"/>
      <c r="Q7691" s="2"/>
      <c r="R7691" s="2"/>
      <c r="S7691" s="59"/>
      <c r="T7691" s="59"/>
      <c r="V7691" s="50"/>
      <c r="X7691"/>
    </row>
    <row r="7692" spans="1:24">
      <c r="A7692"/>
      <c r="B7692"/>
      <c r="C7692" s="59"/>
      <c r="D7692" s="59"/>
      <c r="E7692" s="60"/>
      <c r="F7692" s="2"/>
      <c r="G7692" s="61"/>
      <c r="H7692" s="2"/>
      <c r="I7692" s="2"/>
      <c r="J7692" s="62"/>
      <c r="K7692" s="63"/>
      <c r="L7692" s="64"/>
      <c r="M7692" s="65"/>
      <c r="N7692" s="2"/>
      <c r="O7692" s="66"/>
      <c r="P7692" s="59"/>
      <c r="Q7692" s="2"/>
      <c r="R7692" s="2"/>
      <c r="S7692" s="59"/>
      <c r="T7692" s="59"/>
      <c r="V7692" s="50"/>
      <c r="X7692"/>
    </row>
    <row r="7693" spans="1:24">
      <c r="A7693"/>
      <c r="B7693"/>
      <c r="C7693" s="59"/>
      <c r="D7693" s="59"/>
      <c r="E7693" s="60"/>
      <c r="F7693" s="2"/>
      <c r="G7693" s="61"/>
      <c r="H7693" s="2"/>
      <c r="I7693" s="2"/>
      <c r="J7693" s="62"/>
      <c r="K7693" s="63"/>
      <c r="L7693" s="64"/>
      <c r="M7693" s="65"/>
      <c r="N7693" s="2"/>
      <c r="O7693" s="66"/>
      <c r="P7693" s="59"/>
      <c r="Q7693" s="2"/>
      <c r="R7693" s="2"/>
      <c r="S7693" s="59"/>
      <c r="T7693" s="59"/>
      <c r="V7693" s="50"/>
      <c r="X7693"/>
    </row>
    <row r="7694" spans="1:24">
      <c r="A7694"/>
      <c r="B7694"/>
      <c r="C7694" s="59"/>
      <c r="D7694" s="59"/>
      <c r="E7694" s="60"/>
      <c r="F7694" s="2"/>
      <c r="G7694" s="61"/>
      <c r="H7694" s="2"/>
      <c r="I7694" s="2"/>
      <c r="J7694" s="62"/>
      <c r="K7694" s="63"/>
      <c r="L7694" s="64"/>
      <c r="M7694" s="65"/>
      <c r="N7694" s="2"/>
      <c r="O7694" s="66"/>
      <c r="P7694" s="59"/>
      <c r="Q7694" s="2"/>
      <c r="R7694" s="2"/>
      <c r="S7694" s="59"/>
      <c r="T7694" s="59"/>
      <c r="V7694" s="50"/>
      <c r="X7694"/>
    </row>
    <row r="7695" spans="1:24">
      <c r="A7695"/>
      <c r="B7695"/>
      <c r="C7695" s="59"/>
      <c r="D7695" s="59"/>
      <c r="E7695" s="60"/>
      <c r="F7695" s="2"/>
      <c r="G7695" s="61"/>
      <c r="H7695" s="2"/>
      <c r="I7695" s="2"/>
      <c r="J7695" s="62"/>
      <c r="K7695" s="63"/>
      <c r="L7695" s="64"/>
      <c r="M7695" s="65"/>
      <c r="N7695" s="2"/>
      <c r="O7695" s="66"/>
      <c r="P7695" s="59"/>
      <c r="Q7695" s="2"/>
      <c r="R7695" s="2"/>
      <c r="S7695" s="59"/>
      <c r="T7695" s="59"/>
      <c r="V7695" s="50"/>
      <c r="X7695"/>
    </row>
    <row r="7696" spans="1:24">
      <c r="A7696"/>
      <c r="B7696"/>
      <c r="C7696" s="59"/>
      <c r="D7696" s="59"/>
      <c r="E7696" s="60"/>
      <c r="F7696" s="2"/>
      <c r="G7696" s="61"/>
      <c r="H7696" s="2"/>
      <c r="I7696" s="2"/>
      <c r="J7696" s="62"/>
      <c r="K7696" s="63"/>
      <c r="L7696" s="64"/>
      <c r="M7696" s="65"/>
      <c r="N7696" s="2"/>
      <c r="O7696" s="66"/>
      <c r="P7696" s="59"/>
      <c r="Q7696" s="2"/>
      <c r="R7696" s="2"/>
      <c r="S7696" s="59"/>
      <c r="T7696" s="59"/>
      <c r="V7696" s="50"/>
      <c r="X7696"/>
    </row>
    <row r="7697" spans="1:24">
      <c r="A7697"/>
      <c r="B7697"/>
      <c r="C7697" s="59"/>
      <c r="D7697" s="59"/>
      <c r="E7697" s="60"/>
      <c r="F7697" s="2"/>
      <c r="G7697" s="61"/>
      <c r="H7697" s="2"/>
      <c r="I7697" s="2"/>
      <c r="J7697" s="62"/>
      <c r="K7697" s="63"/>
      <c r="L7697" s="64"/>
      <c r="M7697" s="65"/>
      <c r="N7697" s="2"/>
      <c r="O7697" s="66"/>
      <c r="P7697" s="59"/>
      <c r="Q7697" s="2"/>
      <c r="R7697" s="2"/>
      <c r="S7697" s="59"/>
      <c r="T7697" s="59"/>
      <c r="V7697" s="50"/>
      <c r="X7697"/>
    </row>
    <row r="7698" spans="1:24">
      <c r="A7698"/>
      <c r="B7698"/>
      <c r="C7698" s="59"/>
      <c r="D7698" s="59"/>
      <c r="E7698" s="60"/>
      <c r="F7698" s="2"/>
      <c r="G7698" s="61"/>
      <c r="H7698" s="2"/>
      <c r="I7698" s="2"/>
      <c r="J7698" s="62"/>
      <c r="K7698" s="63"/>
      <c r="L7698" s="64"/>
      <c r="M7698" s="65"/>
      <c r="N7698" s="2"/>
      <c r="O7698" s="66"/>
      <c r="P7698" s="59"/>
      <c r="Q7698" s="2"/>
      <c r="R7698" s="2"/>
      <c r="S7698" s="59"/>
      <c r="T7698" s="59"/>
      <c r="V7698" s="50"/>
      <c r="X7698"/>
    </row>
    <row r="7699" spans="1:24">
      <c r="A7699"/>
      <c r="B7699"/>
      <c r="C7699" s="59"/>
      <c r="D7699" s="59"/>
      <c r="E7699" s="60"/>
      <c r="F7699" s="2"/>
      <c r="G7699" s="61"/>
      <c r="H7699" s="2"/>
      <c r="I7699" s="2"/>
      <c r="J7699" s="62"/>
      <c r="K7699" s="63"/>
      <c r="L7699" s="64"/>
      <c r="M7699" s="65"/>
      <c r="N7699" s="2"/>
      <c r="O7699" s="66"/>
      <c r="P7699" s="59"/>
      <c r="Q7699" s="2"/>
      <c r="R7699" s="2"/>
      <c r="S7699" s="59"/>
      <c r="T7699" s="59"/>
      <c r="V7699" s="50"/>
      <c r="X7699"/>
    </row>
    <row r="7700" spans="1:24">
      <c r="A7700"/>
      <c r="B7700"/>
      <c r="C7700" s="59"/>
      <c r="D7700" s="59"/>
      <c r="E7700" s="60"/>
      <c r="F7700" s="2"/>
      <c r="G7700" s="61"/>
      <c r="H7700" s="2"/>
      <c r="I7700" s="2"/>
      <c r="J7700" s="62"/>
      <c r="K7700" s="63"/>
      <c r="L7700" s="64"/>
      <c r="M7700" s="65"/>
      <c r="N7700" s="2"/>
      <c r="O7700" s="66"/>
      <c r="P7700" s="59"/>
      <c r="Q7700" s="2"/>
      <c r="R7700" s="2"/>
      <c r="S7700" s="59"/>
      <c r="T7700" s="59"/>
      <c r="V7700" s="50"/>
      <c r="X7700"/>
    </row>
    <row r="7701" spans="1:24">
      <c r="A7701"/>
      <c r="B7701"/>
      <c r="C7701" s="59"/>
      <c r="D7701" s="59"/>
      <c r="E7701" s="60"/>
      <c r="F7701" s="2"/>
      <c r="G7701" s="61"/>
      <c r="H7701" s="2"/>
      <c r="I7701" s="2"/>
      <c r="J7701" s="62"/>
      <c r="K7701" s="63"/>
      <c r="L7701" s="64"/>
      <c r="M7701" s="65"/>
      <c r="N7701" s="2"/>
      <c r="O7701" s="66"/>
      <c r="P7701" s="59"/>
      <c r="Q7701" s="2"/>
      <c r="R7701" s="2"/>
      <c r="S7701" s="59"/>
      <c r="T7701" s="59"/>
      <c r="V7701" s="50"/>
      <c r="X7701"/>
    </row>
    <row r="7702" spans="1:24">
      <c r="A7702"/>
      <c r="B7702"/>
      <c r="C7702" s="59"/>
      <c r="D7702" s="59"/>
      <c r="E7702" s="60"/>
      <c r="F7702" s="2"/>
      <c r="G7702" s="61"/>
      <c r="H7702" s="2"/>
      <c r="I7702" s="2"/>
      <c r="J7702" s="62"/>
      <c r="K7702" s="63"/>
      <c r="L7702" s="64"/>
      <c r="M7702" s="65"/>
      <c r="N7702" s="2"/>
      <c r="O7702" s="66"/>
      <c r="P7702" s="59"/>
      <c r="Q7702" s="2"/>
      <c r="R7702" s="2"/>
      <c r="S7702" s="59"/>
      <c r="T7702" s="59"/>
      <c r="V7702" s="50"/>
      <c r="X7702"/>
    </row>
    <row r="7703" spans="1:24">
      <c r="A7703"/>
      <c r="B7703"/>
      <c r="C7703" s="59"/>
      <c r="D7703" s="59"/>
      <c r="E7703" s="60"/>
      <c r="F7703" s="2"/>
      <c r="G7703" s="61"/>
      <c r="H7703" s="2"/>
      <c r="I7703" s="2"/>
      <c r="J7703" s="62"/>
      <c r="K7703" s="63"/>
      <c r="L7703" s="64"/>
      <c r="M7703" s="65"/>
      <c r="N7703" s="2"/>
      <c r="O7703" s="66"/>
      <c r="P7703" s="59"/>
      <c r="Q7703" s="2"/>
      <c r="R7703" s="2"/>
      <c r="S7703" s="59"/>
      <c r="T7703" s="59"/>
      <c r="V7703" s="50"/>
      <c r="X7703"/>
    </row>
    <row r="7704" spans="1:24">
      <c r="A7704"/>
      <c r="B7704"/>
      <c r="C7704" s="59"/>
      <c r="D7704" s="59"/>
      <c r="E7704" s="60"/>
      <c r="F7704" s="2"/>
      <c r="G7704" s="61"/>
      <c r="H7704" s="2"/>
      <c r="I7704" s="2"/>
      <c r="J7704" s="62"/>
      <c r="K7704" s="63"/>
      <c r="L7704" s="64"/>
      <c r="M7704" s="65"/>
      <c r="N7704" s="2"/>
      <c r="O7704" s="66"/>
      <c r="P7704" s="59"/>
      <c r="Q7704" s="2"/>
      <c r="R7704" s="2"/>
      <c r="S7704" s="59"/>
      <c r="T7704" s="59"/>
      <c r="V7704" s="50"/>
      <c r="X7704"/>
    </row>
    <row r="7705" spans="1:24">
      <c r="A7705"/>
      <c r="B7705"/>
      <c r="C7705" s="59"/>
      <c r="D7705" s="59"/>
      <c r="E7705" s="60"/>
      <c r="F7705" s="2"/>
      <c r="G7705" s="61"/>
      <c r="H7705" s="2"/>
      <c r="I7705" s="2"/>
      <c r="J7705" s="62"/>
      <c r="K7705" s="63"/>
      <c r="L7705" s="64"/>
      <c r="M7705" s="65"/>
      <c r="N7705" s="2"/>
      <c r="O7705" s="66"/>
      <c r="P7705" s="59"/>
      <c r="Q7705" s="2"/>
      <c r="R7705" s="2"/>
      <c r="S7705" s="59"/>
      <c r="T7705" s="59"/>
      <c r="V7705" s="50"/>
      <c r="X7705"/>
    </row>
    <row r="7706" spans="1:24">
      <c r="A7706"/>
      <c r="B7706"/>
      <c r="C7706" s="59"/>
      <c r="D7706" s="59"/>
      <c r="E7706" s="60"/>
      <c r="F7706" s="2"/>
      <c r="G7706" s="61"/>
      <c r="H7706" s="2"/>
      <c r="I7706" s="2"/>
      <c r="J7706" s="62"/>
      <c r="K7706" s="63"/>
      <c r="L7706" s="64"/>
      <c r="M7706" s="65"/>
      <c r="N7706" s="2"/>
      <c r="O7706" s="66"/>
      <c r="P7706" s="59"/>
      <c r="Q7706" s="2"/>
      <c r="R7706" s="2"/>
      <c r="S7706" s="59"/>
      <c r="T7706" s="59"/>
      <c r="V7706" s="50"/>
      <c r="X7706"/>
    </row>
    <row r="7707" spans="1:24">
      <c r="A7707"/>
      <c r="B7707"/>
      <c r="C7707" s="59"/>
      <c r="D7707" s="59"/>
      <c r="E7707" s="60"/>
      <c r="F7707" s="2"/>
      <c r="G7707" s="61"/>
      <c r="H7707" s="2"/>
      <c r="I7707" s="2"/>
      <c r="J7707" s="62"/>
      <c r="K7707" s="63"/>
      <c r="L7707" s="64"/>
      <c r="M7707" s="65"/>
      <c r="N7707" s="2"/>
      <c r="O7707" s="66"/>
      <c r="P7707" s="59"/>
      <c r="Q7707" s="2"/>
      <c r="R7707" s="2"/>
      <c r="S7707" s="59"/>
      <c r="T7707" s="59"/>
      <c r="V7707" s="50"/>
      <c r="X7707"/>
    </row>
    <row r="7708" spans="1:24">
      <c r="A7708"/>
      <c r="B7708"/>
      <c r="C7708" s="59"/>
      <c r="D7708" s="59"/>
      <c r="E7708" s="60"/>
      <c r="F7708" s="2"/>
      <c r="G7708" s="61"/>
      <c r="H7708" s="2"/>
      <c r="I7708" s="2"/>
      <c r="J7708" s="62"/>
      <c r="K7708" s="63"/>
      <c r="L7708" s="64"/>
      <c r="M7708" s="65"/>
      <c r="N7708" s="2"/>
      <c r="O7708" s="66"/>
      <c r="P7708" s="59"/>
      <c r="Q7708" s="2"/>
      <c r="R7708" s="2"/>
      <c r="S7708" s="59"/>
      <c r="T7708" s="59"/>
      <c r="V7708" s="50"/>
      <c r="X7708"/>
    </row>
    <row r="7709" spans="1:24">
      <c r="A7709"/>
      <c r="B7709"/>
      <c r="C7709" s="59"/>
      <c r="D7709" s="59"/>
      <c r="E7709" s="60"/>
      <c r="F7709" s="2"/>
      <c r="G7709" s="61"/>
      <c r="H7709" s="2"/>
      <c r="I7709" s="2"/>
      <c r="J7709" s="62"/>
      <c r="K7709" s="63"/>
      <c r="L7709" s="64"/>
      <c r="M7709" s="65"/>
      <c r="N7709" s="2"/>
      <c r="O7709" s="66"/>
      <c r="P7709" s="59"/>
      <c r="Q7709" s="2"/>
      <c r="R7709" s="2"/>
      <c r="S7709" s="59"/>
      <c r="T7709" s="59"/>
      <c r="V7709" s="50"/>
      <c r="X7709"/>
    </row>
    <row r="7710" spans="1:24">
      <c r="A7710"/>
      <c r="B7710"/>
      <c r="C7710" s="59"/>
      <c r="D7710" s="59"/>
      <c r="E7710" s="60"/>
      <c r="F7710" s="2"/>
      <c r="G7710" s="61"/>
      <c r="H7710" s="2"/>
      <c r="I7710" s="2"/>
      <c r="J7710" s="62"/>
      <c r="K7710" s="63"/>
      <c r="L7710" s="64"/>
      <c r="M7710" s="65"/>
      <c r="N7710" s="2"/>
      <c r="O7710" s="66"/>
      <c r="P7710" s="59"/>
      <c r="Q7710" s="2"/>
      <c r="R7710" s="2"/>
      <c r="S7710" s="59"/>
      <c r="T7710" s="59"/>
      <c r="V7710" s="50"/>
      <c r="X7710"/>
    </row>
    <row r="7711" spans="1:24">
      <c r="A7711"/>
      <c r="B7711"/>
      <c r="C7711" s="59"/>
      <c r="D7711" s="59"/>
      <c r="E7711" s="60"/>
      <c r="F7711" s="2"/>
      <c r="G7711" s="61"/>
      <c r="H7711" s="2"/>
      <c r="I7711" s="2"/>
      <c r="J7711" s="62"/>
      <c r="K7711" s="63"/>
      <c r="L7711" s="64"/>
      <c r="M7711" s="65"/>
      <c r="N7711" s="2"/>
      <c r="O7711" s="66"/>
      <c r="P7711" s="59"/>
      <c r="Q7711" s="2"/>
      <c r="R7711" s="2"/>
      <c r="S7711" s="59"/>
      <c r="T7711" s="59"/>
      <c r="V7711" s="50"/>
      <c r="X7711"/>
    </row>
    <row r="7712" spans="1:24">
      <c r="A7712"/>
      <c r="B7712"/>
      <c r="C7712" s="59"/>
      <c r="D7712" s="59"/>
      <c r="E7712" s="60"/>
      <c r="F7712" s="2"/>
      <c r="G7712" s="61"/>
      <c r="H7712" s="2"/>
      <c r="I7712" s="2"/>
      <c r="J7712" s="62"/>
      <c r="K7712" s="63"/>
      <c r="L7712" s="64"/>
      <c r="M7712" s="65"/>
      <c r="N7712" s="2"/>
      <c r="O7712" s="66"/>
      <c r="P7712" s="59"/>
      <c r="Q7712" s="2"/>
      <c r="R7712" s="2"/>
      <c r="S7712" s="59"/>
      <c r="T7712" s="59"/>
      <c r="V7712" s="50"/>
      <c r="X7712"/>
    </row>
    <row r="7713" spans="1:24">
      <c r="A7713"/>
      <c r="B7713"/>
      <c r="C7713" s="59"/>
      <c r="D7713" s="59"/>
      <c r="E7713" s="60"/>
      <c r="F7713" s="2"/>
      <c r="G7713" s="61"/>
      <c r="H7713" s="2"/>
      <c r="I7713" s="2"/>
      <c r="J7713" s="62"/>
      <c r="K7713" s="63"/>
      <c r="L7713" s="64"/>
      <c r="M7713" s="65"/>
      <c r="N7713" s="2"/>
      <c r="O7713" s="66"/>
      <c r="P7713" s="59"/>
      <c r="Q7713" s="2"/>
      <c r="R7713" s="2"/>
      <c r="S7713" s="59"/>
      <c r="T7713" s="59"/>
      <c r="V7713" s="50"/>
      <c r="X7713"/>
    </row>
    <row r="7714" spans="1:24">
      <c r="A7714"/>
      <c r="B7714"/>
      <c r="C7714" s="59"/>
      <c r="D7714" s="59"/>
      <c r="E7714" s="60"/>
      <c r="F7714" s="2"/>
      <c r="G7714" s="61"/>
      <c r="H7714" s="2"/>
      <c r="I7714" s="2"/>
      <c r="J7714" s="62"/>
      <c r="K7714" s="63"/>
      <c r="L7714" s="64"/>
      <c r="M7714" s="65"/>
      <c r="N7714" s="2"/>
      <c r="O7714" s="66"/>
      <c r="P7714" s="59"/>
      <c r="Q7714" s="2"/>
      <c r="R7714" s="2"/>
      <c r="S7714" s="59"/>
      <c r="T7714" s="59"/>
      <c r="V7714" s="50"/>
      <c r="X7714"/>
    </row>
    <row r="7715" spans="1:24">
      <c r="A7715"/>
      <c r="B7715"/>
      <c r="C7715" s="59"/>
      <c r="D7715" s="59"/>
      <c r="E7715" s="60"/>
      <c r="F7715" s="2"/>
      <c r="G7715" s="61"/>
      <c r="H7715" s="2"/>
      <c r="I7715" s="2"/>
      <c r="J7715" s="62"/>
      <c r="K7715" s="63"/>
      <c r="L7715" s="64"/>
      <c r="M7715" s="65"/>
      <c r="N7715" s="2"/>
      <c r="O7715" s="66"/>
      <c r="P7715" s="59"/>
      <c r="Q7715" s="2"/>
      <c r="R7715" s="2"/>
      <c r="S7715" s="59"/>
      <c r="T7715" s="59"/>
      <c r="V7715" s="50"/>
      <c r="X7715"/>
    </row>
    <row r="7716" spans="1:24">
      <c r="A7716"/>
      <c r="B7716"/>
      <c r="C7716" s="59"/>
      <c r="D7716" s="59"/>
      <c r="E7716" s="60"/>
      <c r="F7716" s="2"/>
      <c r="G7716" s="61"/>
      <c r="H7716" s="2"/>
      <c r="I7716" s="2"/>
      <c r="J7716" s="62"/>
      <c r="K7716" s="63"/>
      <c r="L7716" s="64"/>
      <c r="M7716" s="65"/>
      <c r="N7716" s="2"/>
      <c r="O7716" s="66"/>
      <c r="P7716" s="59"/>
      <c r="Q7716" s="2"/>
      <c r="R7716" s="2"/>
      <c r="S7716" s="59"/>
      <c r="T7716" s="59"/>
      <c r="V7716" s="50"/>
      <c r="X7716"/>
    </row>
    <row r="7717" spans="1:24">
      <c r="A7717"/>
      <c r="B7717"/>
      <c r="C7717" s="59"/>
      <c r="D7717" s="59"/>
      <c r="E7717" s="60"/>
      <c r="F7717" s="2"/>
      <c r="G7717" s="61"/>
      <c r="H7717" s="2"/>
      <c r="I7717" s="2"/>
      <c r="J7717" s="62"/>
      <c r="K7717" s="63"/>
      <c r="L7717" s="64"/>
      <c r="M7717" s="65"/>
      <c r="N7717" s="2"/>
      <c r="O7717" s="66"/>
      <c r="P7717" s="59"/>
      <c r="Q7717" s="2"/>
      <c r="R7717" s="2"/>
      <c r="S7717" s="59"/>
      <c r="T7717" s="59"/>
      <c r="V7717" s="50"/>
      <c r="X7717"/>
    </row>
    <row r="7718" spans="1:24">
      <c r="A7718"/>
      <c r="B7718"/>
      <c r="C7718" s="59"/>
      <c r="D7718" s="59"/>
      <c r="E7718" s="60"/>
      <c r="F7718" s="2"/>
      <c r="G7718" s="61"/>
      <c r="H7718" s="2"/>
      <c r="I7718" s="2"/>
      <c r="J7718" s="62"/>
      <c r="K7718" s="63"/>
      <c r="L7718" s="64"/>
      <c r="M7718" s="65"/>
      <c r="N7718" s="2"/>
      <c r="O7718" s="66"/>
      <c r="P7718" s="59"/>
      <c r="Q7718" s="2"/>
      <c r="R7718" s="2"/>
      <c r="S7718" s="59"/>
      <c r="T7718" s="59"/>
      <c r="V7718" s="50"/>
      <c r="X7718"/>
    </row>
    <row r="7719" spans="1:24">
      <c r="A7719"/>
      <c r="B7719"/>
      <c r="C7719" s="59"/>
      <c r="D7719" s="59"/>
      <c r="E7719" s="60"/>
      <c r="F7719" s="2"/>
      <c r="G7719" s="61"/>
      <c r="H7719" s="2"/>
      <c r="I7719" s="2"/>
      <c r="J7719" s="62"/>
      <c r="K7719" s="63"/>
      <c r="L7719" s="64"/>
      <c r="M7719" s="65"/>
      <c r="N7719" s="2"/>
      <c r="O7719" s="66"/>
      <c r="P7719" s="59"/>
      <c r="Q7719" s="2"/>
      <c r="R7719" s="2"/>
      <c r="S7719" s="59"/>
      <c r="T7719" s="59"/>
      <c r="V7719" s="50"/>
      <c r="X7719"/>
    </row>
    <row r="7720" spans="1:24">
      <c r="A7720"/>
      <c r="B7720"/>
      <c r="C7720" s="59"/>
      <c r="D7720" s="59"/>
      <c r="E7720" s="60"/>
      <c r="F7720" s="2"/>
      <c r="G7720" s="61"/>
      <c r="H7720" s="2"/>
      <c r="I7720" s="2"/>
      <c r="J7720" s="62"/>
      <c r="K7720" s="63"/>
      <c r="L7720" s="64"/>
      <c r="M7720" s="65"/>
      <c r="N7720" s="2"/>
      <c r="O7720" s="66"/>
      <c r="P7720" s="59"/>
      <c r="Q7720" s="2"/>
      <c r="R7720" s="2"/>
      <c r="S7720" s="59"/>
      <c r="T7720" s="59"/>
      <c r="V7720" s="50"/>
      <c r="X7720"/>
    </row>
    <row r="7721" spans="1:24">
      <c r="A7721"/>
      <c r="B7721"/>
      <c r="C7721" s="59"/>
      <c r="D7721" s="59"/>
      <c r="E7721" s="60"/>
      <c r="F7721" s="2"/>
      <c r="G7721" s="61"/>
      <c r="H7721" s="2"/>
      <c r="I7721" s="2"/>
      <c r="J7721" s="62"/>
      <c r="K7721" s="63"/>
      <c r="L7721" s="64"/>
      <c r="M7721" s="65"/>
      <c r="N7721" s="2"/>
      <c r="O7721" s="66"/>
      <c r="P7721" s="59"/>
      <c r="Q7721" s="2"/>
      <c r="R7721" s="2"/>
      <c r="S7721" s="59"/>
      <c r="T7721" s="59"/>
      <c r="V7721" s="50"/>
      <c r="X7721"/>
    </row>
    <row r="7722" spans="1:24">
      <c r="A7722"/>
      <c r="B7722"/>
      <c r="C7722" s="59"/>
      <c r="D7722" s="59"/>
      <c r="E7722" s="60"/>
      <c r="F7722" s="2"/>
      <c r="G7722" s="61"/>
      <c r="H7722" s="2"/>
      <c r="I7722" s="2"/>
      <c r="J7722" s="62"/>
      <c r="K7722" s="63"/>
      <c r="L7722" s="64"/>
      <c r="M7722" s="65"/>
      <c r="N7722" s="2"/>
      <c r="O7722" s="66"/>
      <c r="P7722" s="59"/>
      <c r="Q7722" s="2"/>
      <c r="R7722" s="2"/>
      <c r="S7722" s="59"/>
      <c r="T7722" s="59"/>
      <c r="V7722" s="50"/>
      <c r="X7722"/>
    </row>
    <row r="7723" spans="1:24">
      <c r="A7723"/>
      <c r="B7723"/>
      <c r="C7723" s="59"/>
      <c r="D7723" s="59"/>
      <c r="E7723" s="60"/>
      <c r="F7723" s="2"/>
      <c r="G7723" s="61"/>
      <c r="H7723" s="2"/>
      <c r="I7723" s="2"/>
      <c r="J7723" s="62"/>
      <c r="K7723" s="63"/>
      <c r="L7723" s="64"/>
      <c r="M7723" s="65"/>
      <c r="N7723" s="2"/>
      <c r="O7723" s="66"/>
      <c r="P7723" s="59"/>
      <c r="Q7723" s="2"/>
      <c r="R7723" s="2"/>
      <c r="S7723" s="59"/>
      <c r="T7723" s="59"/>
      <c r="V7723" s="50"/>
      <c r="X7723"/>
    </row>
    <row r="7724" spans="1:24">
      <c r="A7724"/>
      <c r="B7724"/>
      <c r="C7724" s="59"/>
      <c r="D7724" s="59"/>
      <c r="E7724" s="60"/>
      <c r="F7724" s="2"/>
      <c r="G7724" s="61"/>
      <c r="H7724" s="2"/>
      <c r="I7724" s="2"/>
      <c r="J7724" s="62"/>
      <c r="K7724" s="63"/>
      <c r="L7724" s="64"/>
      <c r="M7724" s="65"/>
      <c r="N7724" s="2"/>
      <c r="O7724" s="66"/>
      <c r="P7724" s="59"/>
      <c r="Q7724" s="2"/>
      <c r="R7724" s="2"/>
      <c r="S7724" s="59"/>
      <c r="T7724" s="59"/>
      <c r="V7724" s="50"/>
      <c r="X7724"/>
    </row>
    <row r="7725" spans="1:24">
      <c r="A7725"/>
      <c r="B7725"/>
      <c r="C7725" s="59"/>
      <c r="D7725" s="59"/>
      <c r="E7725" s="60"/>
      <c r="F7725" s="2"/>
      <c r="G7725" s="61"/>
      <c r="H7725" s="2"/>
      <c r="I7725" s="2"/>
      <c r="J7725" s="62"/>
      <c r="K7725" s="63"/>
      <c r="L7725" s="64"/>
      <c r="M7725" s="65"/>
      <c r="N7725" s="2"/>
      <c r="O7725" s="66"/>
      <c r="P7725" s="59"/>
      <c r="Q7725" s="2"/>
      <c r="R7725" s="2"/>
      <c r="S7725" s="59"/>
      <c r="T7725" s="59"/>
      <c r="V7725" s="50"/>
      <c r="X7725"/>
    </row>
    <row r="7726" spans="1:24">
      <c r="A7726"/>
      <c r="B7726"/>
      <c r="C7726" s="59"/>
      <c r="D7726" s="59"/>
      <c r="E7726" s="60"/>
      <c r="F7726" s="2"/>
      <c r="G7726" s="61"/>
      <c r="H7726" s="2"/>
      <c r="I7726" s="2"/>
      <c r="J7726" s="62"/>
      <c r="K7726" s="63"/>
      <c r="L7726" s="64"/>
      <c r="M7726" s="65"/>
      <c r="N7726" s="2"/>
      <c r="O7726" s="66"/>
      <c r="P7726" s="59"/>
      <c r="Q7726" s="2"/>
      <c r="R7726" s="2"/>
      <c r="S7726" s="59"/>
      <c r="T7726" s="59"/>
      <c r="V7726" s="50"/>
      <c r="X7726"/>
    </row>
    <row r="7727" spans="1:24">
      <c r="A7727"/>
      <c r="B7727"/>
      <c r="C7727" s="59"/>
      <c r="D7727" s="59"/>
      <c r="E7727" s="60"/>
      <c r="F7727" s="2"/>
      <c r="G7727" s="61"/>
      <c r="H7727" s="2"/>
      <c r="I7727" s="2"/>
      <c r="J7727" s="62"/>
      <c r="K7727" s="63"/>
      <c r="L7727" s="64"/>
      <c r="M7727" s="65"/>
      <c r="N7727" s="2"/>
      <c r="O7727" s="66"/>
      <c r="P7727" s="59"/>
      <c r="Q7727" s="2"/>
      <c r="R7727" s="2"/>
      <c r="S7727" s="59"/>
      <c r="T7727" s="59"/>
      <c r="V7727" s="50"/>
      <c r="X7727"/>
    </row>
    <row r="7728" spans="1:24">
      <c r="A7728"/>
      <c r="B7728"/>
      <c r="C7728" s="59"/>
      <c r="D7728" s="59"/>
      <c r="E7728" s="60"/>
      <c r="F7728" s="2"/>
      <c r="G7728" s="61"/>
      <c r="H7728" s="2"/>
      <c r="I7728" s="2"/>
      <c r="J7728" s="62"/>
      <c r="K7728" s="63"/>
      <c r="L7728" s="64"/>
      <c r="M7728" s="65"/>
      <c r="N7728" s="2"/>
      <c r="O7728" s="66"/>
      <c r="P7728" s="59"/>
      <c r="Q7728" s="2"/>
      <c r="R7728" s="2"/>
      <c r="S7728" s="59"/>
      <c r="T7728" s="59"/>
      <c r="V7728" s="50"/>
      <c r="X7728"/>
    </row>
    <row r="7729" spans="1:24">
      <c r="A7729"/>
      <c r="B7729"/>
      <c r="C7729" s="59"/>
      <c r="D7729" s="59"/>
      <c r="E7729" s="60"/>
      <c r="F7729" s="2"/>
      <c r="G7729" s="61"/>
      <c r="H7729" s="2"/>
      <c r="I7729" s="2"/>
      <c r="J7729" s="62"/>
      <c r="K7729" s="63"/>
      <c r="L7729" s="64"/>
      <c r="M7729" s="65"/>
      <c r="N7729" s="2"/>
      <c r="O7729" s="66"/>
      <c r="P7729" s="59"/>
      <c r="Q7729" s="2"/>
      <c r="R7729" s="2"/>
      <c r="S7729" s="59"/>
      <c r="T7729" s="59"/>
      <c r="V7729" s="50"/>
      <c r="X7729"/>
    </row>
    <row r="7730" spans="1:24">
      <c r="A7730"/>
      <c r="B7730"/>
      <c r="C7730" s="59"/>
      <c r="D7730" s="59"/>
      <c r="E7730" s="60"/>
      <c r="F7730" s="2"/>
      <c r="G7730" s="61"/>
      <c r="H7730" s="2"/>
      <c r="I7730" s="2"/>
      <c r="J7730" s="62"/>
      <c r="K7730" s="63"/>
      <c r="L7730" s="64"/>
      <c r="M7730" s="65"/>
      <c r="N7730" s="2"/>
      <c r="O7730" s="66"/>
      <c r="P7730" s="59"/>
      <c r="Q7730" s="2"/>
      <c r="R7730" s="2"/>
      <c r="S7730" s="59"/>
      <c r="T7730" s="59"/>
      <c r="V7730" s="50"/>
      <c r="X7730"/>
    </row>
    <row r="7731" spans="1:24">
      <c r="A7731"/>
      <c r="B7731"/>
      <c r="C7731" s="59"/>
      <c r="D7731" s="59"/>
      <c r="E7731" s="60"/>
      <c r="F7731" s="2"/>
      <c r="G7731" s="61"/>
      <c r="H7731" s="2"/>
      <c r="I7731" s="2"/>
      <c r="J7731" s="62"/>
      <c r="K7731" s="63"/>
      <c r="L7731" s="64"/>
      <c r="M7731" s="65"/>
      <c r="N7731" s="2"/>
      <c r="O7731" s="66"/>
      <c r="P7731" s="59"/>
      <c r="Q7731" s="2"/>
      <c r="R7731" s="2"/>
      <c r="S7731" s="59"/>
      <c r="T7731" s="59"/>
      <c r="V7731" s="50"/>
      <c r="X7731"/>
    </row>
    <row r="7732" spans="1:24">
      <c r="A7732"/>
      <c r="B7732"/>
      <c r="C7732" s="59"/>
      <c r="D7732" s="59"/>
      <c r="E7732" s="60"/>
      <c r="F7732" s="2"/>
      <c r="G7732" s="61"/>
      <c r="H7732" s="2"/>
      <c r="I7732" s="2"/>
      <c r="J7732" s="62"/>
      <c r="K7732" s="63"/>
      <c r="L7732" s="64"/>
      <c r="M7732" s="65"/>
      <c r="N7732" s="2"/>
      <c r="O7732" s="66"/>
      <c r="P7732" s="59"/>
      <c r="Q7732" s="2"/>
      <c r="R7732" s="2"/>
      <c r="S7732" s="59"/>
      <c r="T7732" s="59"/>
      <c r="V7732" s="50"/>
      <c r="X7732"/>
    </row>
    <row r="7733" spans="1:24">
      <c r="A7733"/>
      <c r="B7733"/>
      <c r="C7733" s="59"/>
      <c r="D7733" s="59"/>
      <c r="E7733" s="60"/>
      <c r="F7733" s="2"/>
      <c r="G7733" s="61"/>
      <c r="H7733" s="2"/>
      <c r="I7733" s="2"/>
      <c r="J7733" s="62"/>
      <c r="K7733" s="63"/>
      <c r="L7733" s="64"/>
      <c r="M7733" s="65"/>
      <c r="N7733" s="2"/>
      <c r="O7733" s="66"/>
      <c r="P7733" s="59"/>
      <c r="Q7733" s="2"/>
      <c r="R7733" s="2"/>
      <c r="S7733" s="59"/>
      <c r="T7733" s="59"/>
      <c r="V7733" s="50"/>
      <c r="X7733"/>
    </row>
    <row r="7734" spans="1:24">
      <c r="A7734"/>
      <c r="B7734"/>
      <c r="C7734" s="59"/>
      <c r="D7734" s="59"/>
      <c r="E7734" s="60"/>
      <c r="F7734" s="2"/>
      <c r="G7734" s="61"/>
      <c r="H7734" s="2"/>
      <c r="I7734" s="2"/>
      <c r="J7734" s="62"/>
      <c r="K7734" s="63"/>
      <c r="L7734" s="64"/>
      <c r="M7734" s="65"/>
      <c r="N7734" s="2"/>
      <c r="O7734" s="66"/>
      <c r="P7734" s="59"/>
      <c r="Q7734" s="2"/>
      <c r="R7734" s="2"/>
      <c r="S7734" s="59"/>
      <c r="T7734" s="59"/>
      <c r="V7734" s="50"/>
      <c r="X7734"/>
    </row>
    <row r="7735" spans="1:24">
      <c r="A7735"/>
      <c r="B7735"/>
      <c r="C7735" s="59"/>
      <c r="D7735" s="59"/>
      <c r="E7735" s="60"/>
      <c r="F7735" s="2"/>
      <c r="G7735" s="61"/>
      <c r="H7735" s="2"/>
      <c r="I7735" s="2"/>
      <c r="J7735" s="62"/>
      <c r="K7735" s="63"/>
      <c r="L7735" s="64"/>
      <c r="M7735" s="65"/>
      <c r="N7735" s="2"/>
      <c r="O7735" s="66"/>
      <c r="P7735" s="59"/>
      <c r="Q7735" s="2"/>
      <c r="R7735" s="2"/>
      <c r="S7735" s="59"/>
      <c r="T7735" s="59"/>
      <c r="V7735" s="50"/>
      <c r="X7735"/>
    </row>
    <row r="7736" spans="1:24">
      <c r="A7736"/>
      <c r="B7736"/>
      <c r="C7736" s="59"/>
      <c r="D7736" s="59"/>
      <c r="E7736" s="60"/>
      <c r="F7736" s="2"/>
      <c r="G7736" s="61"/>
      <c r="H7736" s="2"/>
      <c r="I7736" s="2"/>
      <c r="J7736" s="62"/>
      <c r="K7736" s="63"/>
      <c r="L7736" s="64"/>
      <c r="M7736" s="65"/>
      <c r="N7736" s="2"/>
      <c r="O7736" s="66"/>
      <c r="P7736" s="59"/>
      <c r="Q7736" s="2"/>
      <c r="R7736" s="2"/>
      <c r="S7736" s="59"/>
      <c r="T7736" s="59"/>
      <c r="V7736" s="50"/>
      <c r="X7736"/>
    </row>
    <row r="7737" spans="1:24">
      <c r="A7737"/>
      <c r="B7737"/>
      <c r="C7737" s="59"/>
      <c r="D7737" s="59"/>
      <c r="E7737" s="60"/>
      <c r="F7737" s="2"/>
      <c r="G7737" s="61"/>
      <c r="H7737" s="2"/>
      <c r="I7737" s="2"/>
      <c r="J7737" s="62"/>
      <c r="K7737" s="63"/>
      <c r="L7737" s="64"/>
      <c r="M7737" s="65"/>
      <c r="N7737" s="2"/>
      <c r="O7737" s="66"/>
      <c r="P7737" s="59"/>
      <c r="Q7737" s="2"/>
      <c r="R7737" s="2"/>
      <c r="S7737" s="59"/>
      <c r="T7737" s="59"/>
      <c r="V7737" s="50"/>
      <c r="X7737"/>
    </row>
    <row r="7738" spans="1:24">
      <c r="A7738"/>
      <c r="B7738"/>
      <c r="C7738" s="59"/>
      <c r="D7738" s="59"/>
      <c r="E7738" s="60"/>
      <c r="F7738" s="2"/>
      <c r="G7738" s="61"/>
      <c r="H7738" s="2"/>
      <c r="I7738" s="2"/>
      <c r="J7738" s="62"/>
      <c r="K7738" s="63"/>
      <c r="L7738" s="64"/>
      <c r="M7738" s="65"/>
      <c r="N7738" s="2"/>
      <c r="O7738" s="66"/>
      <c r="P7738" s="59"/>
      <c r="Q7738" s="2"/>
      <c r="R7738" s="2"/>
      <c r="S7738" s="59"/>
      <c r="T7738" s="59"/>
      <c r="V7738" s="50"/>
      <c r="X7738"/>
    </row>
    <row r="7739" spans="1:24">
      <c r="A7739"/>
      <c r="B7739"/>
      <c r="C7739" s="59"/>
      <c r="D7739" s="59"/>
      <c r="E7739" s="60"/>
      <c r="F7739" s="2"/>
      <c r="G7739" s="61"/>
      <c r="H7739" s="2"/>
      <c r="I7739" s="2"/>
      <c r="J7739" s="62"/>
      <c r="K7739" s="63"/>
      <c r="L7739" s="64"/>
      <c r="M7739" s="65"/>
      <c r="N7739" s="2"/>
      <c r="O7739" s="66"/>
      <c r="P7739" s="59"/>
      <c r="Q7739" s="2"/>
      <c r="R7739" s="2"/>
      <c r="S7739" s="59"/>
      <c r="T7739" s="59"/>
      <c r="V7739" s="50"/>
      <c r="X7739"/>
    </row>
    <row r="7740" spans="1:24">
      <c r="A7740"/>
      <c r="B7740"/>
      <c r="C7740" s="59"/>
      <c r="D7740" s="59"/>
      <c r="E7740" s="60"/>
      <c r="F7740" s="2"/>
      <c r="G7740" s="61"/>
      <c r="H7740" s="2"/>
      <c r="I7740" s="2"/>
      <c r="J7740" s="62"/>
      <c r="K7740" s="63"/>
      <c r="L7740" s="64"/>
      <c r="M7740" s="65"/>
      <c r="N7740" s="2"/>
      <c r="O7740" s="66"/>
      <c r="P7740" s="59"/>
      <c r="Q7740" s="2"/>
      <c r="R7740" s="2"/>
      <c r="S7740" s="59"/>
      <c r="T7740" s="59"/>
      <c r="V7740" s="50"/>
      <c r="X7740"/>
    </row>
    <row r="7741" spans="1:24">
      <c r="A7741"/>
      <c r="B7741"/>
      <c r="C7741" s="59"/>
      <c r="D7741" s="59"/>
      <c r="E7741" s="60"/>
      <c r="F7741" s="2"/>
      <c r="G7741" s="61"/>
      <c r="H7741" s="2"/>
      <c r="I7741" s="2"/>
      <c r="J7741" s="62"/>
      <c r="K7741" s="63"/>
      <c r="L7741" s="64"/>
      <c r="M7741" s="65"/>
      <c r="N7741" s="2"/>
      <c r="O7741" s="66"/>
      <c r="P7741" s="59"/>
      <c r="Q7741" s="2"/>
      <c r="R7741" s="2"/>
      <c r="S7741" s="59"/>
      <c r="T7741" s="59"/>
      <c r="V7741" s="50"/>
      <c r="X7741"/>
    </row>
    <row r="7742" spans="1:24">
      <c r="A7742"/>
      <c r="B7742"/>
      <c r="C7742" s="59"/>
      <c r="D7742" s="59"/>
      <c r="E7742" s="60"/>
      <c r="F7742" s="2"/>
      <c r="G7742" s="61"/>
      <c r="H7742" s="2"/>
      <c r="I7742" s="2"/>
      <c r="J7742" s="62"/>
      <c r="K7742" s="63"/>
      <c r="L7742" s="64"/>
      <c r="M7742" s="65"/>
      <c r="N7742" s="2"/>
      <c r="O7742" s="66"/>
      <c r="P7742" s="59"/>
      <c r="Q7742" s="2"/>
      <c r="R7742" s="2"/>
      <c r="S7742" s="59"/>
      <c r="T7742" s="59"/>
      <c r="V7742" s="50"/>
      <c r="X7742"/>
    </row>
    <row r="7743" spans="1:24">
      <c r="A7743"/>
      <c r="B7743"/>
      <c r="C7743" s="59"/>
      <c r="D7743" s="59"/>
      <c r="E7743" s="60"/>
      <c r="F7743" s="2"/>
      <c r="G7743" s="61"/>
      <c r="H7743" s="2"/>
      <c r="I7743" s="2"/>
      <c r="J7743" s="62"/>
      <c r="K7743" s="63"/>
      <c r="L7743" s="64"/>
      <c r="M7743" s="65"/>
      <c r="N7743" s="2"/>
      <c r="O7743" s="66"/>
      <c r="P7743" s="59"/>
      <c r="Q7743" s="2"/>
      <c r="R7743" s="2"/>
      <c r="S7743" s="59"/>
      <c r="T7743" s="59"/>
      <c r="V7743" s="50"/>
      <c r="X7743"/>
    </row>
    <row r="7744" spans="1:24">
      <c r="A7744"/>
      <c r="B7744"/>
      <c r="C7744" s="59"/>
      <c r="D7744" s="59"/>
      <c r="E7744" s="60"/>
      <c r="F7744" s="2"/>
      <c r="G7744" s="61"/>
      <c r="H7744" s="2"/>
      <c r="I7744" s="2"/>
      <c r="J7744" s="62"/>
      <c r="K7744" s="63"/>
      <c r="L7744" s="64"/>
      <c r="M7744" s="65"/>
      <c r="N7744" s="2"/>
      <c r="O7744" s="66"/>
      <c r="P7744" s="59"/>
      <c r="Q7744" s="2"/>
      <c r="R7744" s="2"/>
      <c r="S7744" s="59"/>
      <c r="T7744" s="59"/>
      <c r="V7744" s="50"/>
      <c r="X7744"/>
    </row>
    <row r="7745" spans="1:24">
      <c r="A7745"/>
      <c r="B7745"/>
      <c r="C7745" s="59"/>
      <c r="D7745" s="59"/>
      <c r="E7745" s="60"/>
      <c r="F7745" s="2"/>
      <c r="G7745" s="61"/>
      <c r="H7745" s="2"/>
      <c r="I7745" s="2"/>
      <c r="J7745" s="62"/>
      <c r="K7745" s="63"/>
      <c r="L7745" s="64"/>
      <c r="M7745" s="65"/>
      <c r="N7745" s="2"/>
      <c r="O7745" s="66"/>
      <c r="P7745" s="59"/>
      <c r="Q7745" s="2"/>
      <c r="R7745" s="2"/>
      <c r="S7745" s="59"/>
      <c r="T7745" s="59"/>
      <c r="V7745" s="50"/>
      <c r="X7745"/>
    </row>
    <row r="7746" spans="1:24">
      <c r="A7746"/>
      <c r="B7746"/>
      <c r="C7746" s="59"/>
      <c r="D7746" s="59"/>
      <c r="E7746" s="60"/>
      <c r="F7746" s="2"/>
      <c r="G7746" s="61"/>
      <c r="H7746" s="2"/>
      <c r="I7746" s="2"/>
      <c r="J7746" s="62"/>
      <c r="K7746" s="63"/>
      <c r="L7746" s="64"/>
      <c r="M7746" s="65"/>
      <c r="N7746" s="2"/>
      <c r="O7746" s="66"/>
      <c r="P7746" s="59"/>
      <c r="Q7746" s="2"/>
      <c r="R7746" s="2"/>
      <c r="S7746" s="59"/>
      <c r="T7746" s="59"/>
      <c r="V7746" s="50"/>
      <c r="X7746"/>
    </row>
    <row r="7747" spans="1:24">
      <c r="A7747"/>
      <c r="B7747"/>
      <c r="C7747" s="59"/>
      <c r="D7747" s="59"/>
      <c r="E7747" s="60"/>
      <c r="F7747" s="2"/>
      <c r="G7747" s="61"/>
      <c r="H7747" s="2"/>
      <c r="I7747" s="2"/>
      <c r="J7747" s="62"/>
      <c r="K7747" s="63"/>
      <c r="L7747" s="64"/>
      <c r="M7747" s="65"/>
      <c r="N7747" s="2"/>
      <c r="O7747" s="66"/>
      <c r="P7747" s="59"/>
      <c r="Q7747" s="2"/>
      <c r="R7747" s="2"/>
      <c r="S7747" s="59"/>
      <c r="T7747" s="59"/>
      <c r="V7747" s="50"/>
      <c r="X7747"/>
    </row>
    <row r="7748" spans="1:24">
      <c r="A7748"/>
      <c r="B7748"/>
      <c r="C7748" s="59"/>
      <c r="D7748" s="59"/>
      <c r="E7748" s="60"/>
      <c r="F7748" s="2"/>
      <c r="G7748" s="61"/>
      <c r="H7748" s="2"/>
      <c r="I7748" s="2"/>
      <c r="J7748" s="62"/>
      <c r="K7748" s="63"/>
      <c r="L7748" s="64"/>
      <c r="M7748" s="65"/>
      <c r="N7748" s="2"/>
      <c r="O7748" s="66"/>
      <c r="P7748" s="59"/>
      <c r="Q7748" s="2"/>
      <c r="R7748" s="2"/>
      <c r="S7748" s="59"/>
      <c r="T7748" s="59"/>
      <c r="V7748" s="50"/>
      <c r="X7748"/>
    </row>
    <row r="7749" spans="1:24">
      <c r="A7749"/>
      <c r="B7749"/>
      <c r="C7749" s="59"/>
      <c r="D7749" s="59"/>
      <c r="E7749" s="60"/>
      <c r="F7749" s="2"/>
      <c r="G7749" s="61"/>
      <c r="H7749" s="2"/>
      <c r="I7749" s="2"/>
      <c r="J7749" s="62"/>
      <c r="K7749" s="63"/>
      <c r="L7749" s="64"/>
      <c r="M7749" s="65"/>
      <c r="N7749" s="2"/>
      <c r="O7749" s="66"/>
      <c r="P7749" s="59"/>
      <c r="Q7749" s="2"/>
      <c r="R7749" s="2"/>
      <c r="S7749" s="59"/>
      <c r="T7749" s="59"/>
      <c r="V7749" s="50"/>
      <c r="X7749"/>
    </row>
    <row r="7750" spans="1:24">
      <c r="A7750"/>
      <c r="B7750"/>
      <c r="C7750" s="59"/>
      <c r="D7750" s="59"/>
      <c r="E7750" s="60"/>
      <c r="F7750" s="2"/>
      <c r="G7750" s="61"/>
      <c r="H7750" s="2"/>
      <c r="I7750" s="2"/>
      <c r="J7750" s="62"/>
      <c r="K7750" s="63"/>
      <c r="L7750" s="64"/>
      <c r="M7750" s="65"/>
      <c r="N7750" s="2"/>
      <c r="O7750" s="66"/>
      <c r="P7750" s="59"/>
      <c r="Q7750" s="2"/>
      <c r="R7750" s="2"/>
      <c r="S7750" s="59"/>
      <c r="T7750" s="59"/>
      <c r="V7750" s="50"/>
      <c r="X7750"/>
    </row>
    <row r="7751" spans="1:24">
      <c r="A7751"/>
      <c r="B7751"/>
      <c r="C7751" s="59"/>
      <c r="D7751" s="59"/>
      <c r="E7751" s="60"/>
      <c r="F7751" s="2"/>
      <c r="G7751" s="61"/>
      <c r="H7751" s="2"/>
      <c r="I7751" s="2"/>
      <c r="J7751" s="62"/>
      <c r="K7751" s="63"/>
      <c r="L7751" s="64"/>
      <c r="M7751" s="65"/>
      <c r="N7751" s="2"/>
      <c r="O7751" s="66"/>
      <c r="P7751" s="59"/>
      <c r="Q7751" s="2"/>
      <c r="R7751" s="2"/>
      <c r="S7751" s="59"/>
      <c r="T7751" s="59"/>
      <c r="V7751" s="50"/>
      <c r="X7751"/>
    </row>
    <row r="7752" spans="1:24">
      <c r="A7752"/>
      <c r="B7752"/>
      <c r="C7752" s="59"/>
      <c r="D7752" s="59"/>
      <c r="E7752" s="60"/>
      <c r="F7752" s="2"/>
      <c r="G7752" s="61"/>
      <c r="H7752" s="2"/>
      <c r="I7752" s="2"/>
      <c r="J7752" s="62"/>
      <c r="K7752" s="63"/>
      <c r="L7752" s="64"/>
      <c r="M7752" s="65"/>
      <c r="N7752" s="2"/>
      <c r="O7752" s="66"/>
      <c r="P7752" s="59"/>
      <c r="Q7752" s="2"/>
      <c r="R7752" s="2"/>
      <c r="S7752" s="59"/>
      <c r="T7752" s="59"/>
      <c r="V7752" s="50"/>
      <c r="X7752"/>
    </row>
    <row r="7753" spans="1:24">
      <c r="A7753"/>
      <c r="B7753"/>
      <c r="C7753" s="59"/>
      <c r="D7753" s="59"/>
      <c r="E7753" s="60"/>
      <c r="F7753" s="2"/>
      <c r="G7753" s="61"/>
      <c r="H7753" s="2"/>
      <c r="I7753" s="2"/>
      <c r="J7753" s="62"/>
      <c r="K7753" s="63"/>
      <c r="L7753" s="64"/>
      <c r="M7753" s="65"/>
      <c r="N7753" s="2"/>
      <c r="O7753" s="66"/>
      <c r="P7753" s="59"/>
      <c r="Q7753" s="2"/>
      <c r="R7753" s="2"/>
      <c r="S7753" s="59"/>
      <c r="T7753" s="59"/>
      <c r="V7753" s="50"/>
      <c r="X7753"/>
    </row>
    <row r="7754" spans="1:24">
      <c r="A7754"/>
      <c r="B7754"/>
      <c r="C7754" s="59"/>
      <c r="D7754" s="59"/>
      <c r="E7754" s="60"/>
      <c r="F7754" s="2"/>
      <c r="G7754" s="61"/>
      <c r="H7754" s="2"/>
      <c r="I7754" s="2"/>
      <c r="J7754" s="62"/>
      <c r="K7754" s="63"/>
      <c r="L7754" s="64"/>
      <c r="M7754" s="65"/>
      <c r="N7754" s="2"/>
      <c r="O7754" s="66"/>
      <c r="P7754" s="59"/>
      <c r="Q7754" s="2"/>
      <c r="R7754" s="2"/>
      <c r="S7754" s="59"/>
      <c r="T7754" s="59"/>
      <c r="V7754" s="50"/>
      <c r="X7754"/>
    </row>
    <row r="7755" spans="1:24">
      <c r="A7755"/>
      <c r="B7755"/>
      <c r="C7755" s="59"/>
      <c r="D7755" s="59"/>
      <c r="E7755" s="60"/>
      <c r="F7755" s="2"/>
      <c r="G7755" s="61"/>
      <c r="H7755" s="2"/>
      <c r="I7755" s="2"/>
      <c r="J7755" s="62"/>
      <c r="K7755" s="63"/>
      <c r="L7755" s="64"/>
      <c r="M7755" s="65"/>
      <c r="N7755" s="2"/>
      <c r="O7755" s="66"/>
      <c r="P7755" s="59"/>
      <c r="Q7755" s="2"/>
      <c r="R7755" s="2"/>
      <c r="S7755" s="59"/>
      <c r="T7755" s="59"/>
      <c r="V7755" s="50"/>
      <c r="X7755"/>
    </row>
    <row r="7756" spans="1:24">
      <c r="A7756"/>
      <c r="B7756"/>
      <c r="C7756" s="59"/>
      <c r="D7756" s="59"/>
      <c r="E7756" s="60"/>
      <c r="F7756" s="2"/>
      <c r="G7756" s="61"/>
      <c r="H7756" s="2"/>
      <c r="I7756" s="2"/>
      <c r="J7756" s="62"/>
      <c r="K7756" s="63"/>
      <c r="L7756" s="64"/>
      <c r="M7756" s="65"/>
      <c r="N7756" s="2"/>
      <c r="O7756" s="66"/>
      <c r="P7756" s="59"/>
      <c r="Q7756" s="2"/>
      <c r="R7756" s="2"/>
      <c r="S7756" s="59"/>
      <c r="T7756" s="59"/>
      <c r="V7756" s="50"/>
      <c r="X7756"/>
    </row>
    <row r="7757" spans="1:24">
      <c r="A7757"/>
      <c r="B7757"/>
      <c r="C7757" s="59"/>
      <c r="D7757" s="59"/>
      <c r="E7757" s="60"/>
      <c r="F7757" s="2"/>
      <c r="G7757" s="61"/>
      <c r="H7757" s="2"/>
      <c r="I7757" s="2"/>
      <c r="J7757" s="62"/>
      <c r="K7757" s="63"/>
      <c r="L7757" s="64"/>
      <c r="M7757" s="65"/>
      <c r="N7757" s="2"/>
      <c r="O7757" s="66"/>
      <c r="P7757" s="59"/>
      <c r="Q7757" s="2"/>
      <c r="R7757" s="2"/>
      <c r="S7757" s="59"/>
      <c r="T7757" s="59"/>
      <c r="V7757" s="50"/>
      <c r="X7757"/>
    </row>
    <row r="7758" spans="1:24">
      <c r="A7758"/>
      <c r="B7758"/>
      <c r="C7758" s="59"/>
      <c r="D7758" s="59"/>
      <c r="E7758" s="60"/>
      <c r="F7758" s="2"/>
      <c r="G7758" s="61"/>
      <c r="H7758" s="2"/>
      <c r="I7758" s="2"/>
      <c r="J7758" s="62"/>
      <c r="K7758" s="63"/>
      <c r="L7758" s="64"/>
      <c r="M7758" s="65"/>
      <c r="N7758" s="2"/>
      <c r="O7758" s="66"/>
      <c r="P7758" s="59"/>
      <c r="Q7758" s="2"/>
      <c r="R7758" s="2"/>
      <c r="S7758" s="59"/>
      <c r="T7758" s="59"/>
      <c r="V7758" s="50"/>
      <c r="X7758"/>
    </row>
    <row r="7759" spans="1:24">
      <c r="A7759"/>
      <c r="B7759"/>
      <c r="C7759" s="59"/>
      <c r="D7759" s="59"/>
      <c r="E7759" s="60"/>
      <c r="F7759" s="2"/>
      <c r="G7759" s="61"/>
      <c r="H7759" s="2"/>
      <c r="I7759" s="2"/>
      <c r="J7759" s="62"/>
      <c r="K7759" s="63"/>
      <c r="L7759" s="64"/>
      <c r="M7759" s="65"/>
      <c r="N7759" s="2"/>
      <c r="O7759" s="66"/>
      <c r="P7759" s="59"/>
      <c r="Q7759" s="2"/>
      <c r="R7759" s="2"/>
      <c r="S7759" s="59"/>
      <c r="T7759" s="59"/>
      <c r="V7759" s="50"/>
      <c r="X7759"/>
    </row>
    <row r="7760" spans="1:24">
      <c r="A7760"/>
      <c r="B7760"/>
      <c r="C7760" s="59"/>
      <c r="D7760" s="59"/>
      <c r="E7760" s="60"/>
      <c r="F7760" s="2"/>
      <c r="G7760" s="61"/>
      <c r="H7760" s="2"/>
      <c r="I7760" s="2"/>
      <c r="J7760" s="62"/>
      <c r="K7760" s="63"/>
      <c r="L7760" s="64"/>
      <c r="M7760" s="65"/>
      <c r="N7760" s="2"/>
      <c r="O7760" s="66"/>
      <c r="P7760" s="59"/>
      <c r="Q7760" s="2"/>
      <c r="R7760" s="2"/>
      <c r="S7760" s="59"/>
      <c r="T7760" s="59"/>
      <c r="V7760" s="50"/>
      <c r="X7760"/>
    </row>
    <row r="7761" spans="1:24">
      <c r="A7761"/>
      <c r="B7761"/>
      <c r="C7761" s="59"/>
      <c r="D7761" s="59"/>
      <c r="E7761" s="60"/>
      <c r="F7761" s="2"/>
      <c r="G7761" s="61"/>
      <c r="H7761" s="2"/>
      <c r="I7761" s="2"/>
      <c r="J7761" s="62"/>
      <c r="K7761" s="63"/>
      <c r="L7761" s="64"/>
      <c r="M7761" s="65"/>
      <c r="N7761" s="2"/>
      <c r="O7761" s="66"/>
      <c r="P7761" s="59"/>
      <c r="Q7761" s="2"/>
      <c r="R7761" s="2"/>
      <c r="S7761" s="59"/>
      <c r="T7761" s="59"/>
      <c r="V7761" s="50"/>
      <c r="X7761"/>
    </row>
    <row r="7762" spans="1:24">
      <c r="A7762"/>
      <c r="B7762"/>
      <c r="C7762" s="59"/>
      <c r="D7762" s="59"/>
      <c r="E7762" s="60"/>
      <c r="F7762" s="2"/>
      <c r="G7762" s="61"/>
      <c r="H7762" s="2"/>
      <c r="I7762" s="2"/>
      <c r="J7762" s="62"/>
      <c r="K7762" s="63"/>
      <c r="L7762" s="64"/>
      <c r="M7762" s="65"/>
      <c r="N7762" s="2"/>
      <c r="O7762" s="66"/>
      <c r="P7762" s="59"/>
      <c r="Q7762" s="2"/>
      <c r="R7762" s="2"/>
      <c r="S7762" s="59"/>
      <c r="T7762" s="59"/>
      <c r="V7762" s="50"/>
      <c r="X7762"/>
    </row>
    <row r="7763" spans="1:24">
      <c r="A7763"/>
      <c r="B7763"/>
      <c r="C7763" s="59"/>
      <c r="D7763" s="59"/>
      <c r="E7763" s="60"/>
      <c r="F7763" s="2"/>
      <c r="G7763" s="61"/>
      <c r="H7763" s="2"/>
      <c r="I7763" s="2"/>
      <c r="J7763" s="62"/>
      <c r="K7763" s="63"/>
      <c r="L7763" s="64"/>
      <c r="M7763" s="65"/>
      <c r="N7763" s="2"/>
      <c r="O7763" s="66"/>
      <c r="P7763" s="59"/>
      <c r="Q7763" s="2"/>
      <c r="R7763" s="2"/>
      <c r="S7763" s="59"/>
      <c r="T7763" s="59"/>
      <c r="V7763" s="50"/>
      <c r="X7763"/>
    </row>
    <row r="7764" spans="1:24">
      <c r="A7764"/>
      <c r="B7764"/>
      <c r="C7764" s="59"/>
      <c r="D7764" s="59"/>
      <c r="E7764" s="60"/>
      <c r="F7764" s="2"/>
      <c r="G7764" s="61"/>
      <c r="H7764" s="2"/>
      <c r="I7764" s="2"/>
      <c r="J7764" s="62"/>
      <c r="K7764" s="63"/>
      <c r="L7764" s="64"/>
      <c r="M7764" s="65"/>
      <c r="N7764" s="2"/>
      <c r="O7764" s="66"/>
      <c r="P7764" s="59"/>
      <c r="Q7764" s="2"/>
      <c r="R7764" s="2"/>
      <c r="S7764" s="59"/>
      <c r="T7764" s="59"/>
      <c r="V7764" s="50"/>
      <c r="X7764"/>
    </row>
    <row r="7765" spans="1:24">
      <c r="A7765"/>
      <c r="B7765"/>
      <c r="C7765" s="59"/>
      <c r="D7765" s="59"/>
      <c r="E7765" s="60"/>
      <c r="F7765" s="2"/>
      <c r="G7765" s="61"/>
      <c r="H7765" s="2"/>
      <c r="I7765" s="2"/>
      <c r="J7765" s="62"/>
      <c r="K7765" s="63"/>
      <c r="L7765" s="64"/>
      <c r="M7765" s="65"/>
      <c r="N7765" s="2"/>
      <c r="O7765" s="66"/>
      <c r="P7765" s="59"/>
      <c r="Q7765" s="2"/>
      <c r="R7765" s="2"/>
      <c r="S7765" s="59"/>
      <c r="T7765" s="59"/>
      <c r="V7765" s="50"/>
      <c r="X7765"/>
    </row>
    <row r="7766" spans="1:24">
      <c r="A7766"/>
      <c r="B7766"/>
      <c r="C7766" s="59"/>
      <c r="D7766" s="59"/>
      <c r="E7766" s="60"/>
      <c r="F7766" s="2"/>
      <c r="G7766" s="61"/>
      <c r="H7766" s="2"/>
      <c r="I7766" s="2"/>
      <c r="J7766" s="62"/>
      <c r="K7766" s="63"/>
      <c r="L7766" s="64"/>
      <c r="M7766" s="65"/>
      <c r="N7766" s="2"/>
      <c r="O7766" s="66"/>
      <c r="P7766" s="59"/>
      <c r="Q7766" s="2"/>
      <c r="R7766" s="2"/>
      <c r="S7766" s="59"/>
      <c r="T7766" s="59"/>
      <c r="V7766" s="50"/>
      <c r="X7766"/>
    </row>
    <row r="7767" spans="1:24">
      <c r="A7767"/>
      <c r="B7767"/>
      <c r="C7767" s="59"/>
      <c r="D7767" s="59"/>
      <c r="E7767" s="60"/>
      <c r="F7767" s="2"/>
      <c r="G7767" s="61"/>
      <c r="H7767" s="2"/>
      <c r="I7767" s="2"/>
      <c r="J7767" s="62"/>
      <c r="K7767" s="63"/>
      <c r="L7767" s="64"/>
      <c r="M7767" s="65"/>
      <c r="N7767" s="2"/>
      <c r="O7767" s="66"/>
      <c r="P7767" s="59"/>
      <c r="Q7767" s="2"/>
      <c r="R7767" s="2"/>
      <c r="S7767" s="59"/>
      <c r="T7767" s="59"/>
      <c r="V7767" s="50"/>
      <c r="X7767"/>
    </row>
    <row r="7768" spans="1:24">
      <c r="A7768"/>
      <c r="B7768"/>
      <c r="C7768" s="59"/>
      <c r="D7768" s="59"/>
      <c r="E7768" s="60"/>
      <c r="F7768" s="2"/>
      <c r="G7768" s="61"/>
      <c r="H7768" s="2"/>
      <c r="I7768" s="2"/>
      <c r="J7768" s="62"/>
      <c r="K7768" s="63"/>
      <c r="L7768" s="64"/>
      <c r="M7768" s="65"/>
      <c r="N7768" s="2"/>
      <c r="O7768" s="66"/>
      <c r="P7768" s="59"/>
      <c r="Q7768" s="2"/>
      <c r="R7768" s="2"/>
      <c r="S7768" s="59"/>
      <c r="T7768" s="59"/>
      <c r="V7768" s="50"/>
      <c r="X7768"/>
    </row>
    <row r="7769" spans="1:24">
      <c r="A7769"/>
      <c r="B7769"/>
      <c r="C7769" s="59"/>
      <c r="D7769" s="59"/>
      <c r="E7769" s="60"/>
      <c r="F7769" s="2"/>
      <c r="G7769" s="61"/>
      <c r="H7769" s="2"/>
      <c r="I7769" s="2"/>
      <c r="J7769" s="62"/>
      <c r="K7769" s="63"/>
      <c r="L7769" s="64"/>
      <c r="M7769" s="65"/>
      <c r="N7769" s="2"/>
      <c r="O7769" s="66"/>
      <c r="P7769" s="59"/>
      <c r="Q7769" s="2"/>
      <c r="R7769" s="2"/>
      <c r="S7769" s="59"/>
      <c r="T7769" s="59"/>
      <c r="V7769" s="50"/>
      <c r="X7769"/>
    </row>
    <row r="7770" spans="1:24">
      <c r="A7770"/>
      <c r="B7770"/>
      <c r="C7770" s="59"/>
      <c r="D7770" s="59"/>
      <c r="E7770" s="60"/>
      <c r="F7770" s="2"/>
      <c r="G7770" s="61"/>
      <c r="H7770" s="2"/>
      <c r="I7770" s="2"/>
      <c r="J7770" s="62"/>
      <c r="K7770" s="63"/>
      <c r="L7770" s="64"/>
      <c r="M7770" s="65"/>
      <c r="N7770" s="2"/>
      <c r="O7770" s="66"/>
      <c r="P7770" s="59"/>
      <c r="Q7770" s="2"/>
      <c r="R7770" s="2"/>
      <c r="S7770" s="59"/>
      <c r="T7770" s="59"/>
      <c r="V7770" s="50"/>
      <c r="X7770"/>
    </row>
    <row r="7771" spans="1:24">
      <c r="A7771"/>
      <c r="B7771"/>
      <c r="C7771" s="59"/>
      <c r="D7771" s="59"/>
      <c r="E7771" s="60"/>
      <c r="F7771" s="2"/>
      <c r="G7771" s="61"/>
      <c r="H7771" s="2"/>
      <c r="I7771" s="2"/>
      <c r="J7771" s="62"/>
      <c r="K7771" s="63"/>
      <c r="L7771" s="64"/>
      <c r="M7771" s="65"/>
      <c r="N7771" s="2"/>
      <c r="O7771" s="66"/>
      <c r="P7771" s="59"/>
      <c r="Q7771" s="2"/>
      <c r="R7771" s="2"/>
      <c r="S7771" s="59"/>
      <c r="T7771" s="59"/>
      <c r="V7771" s="50"/>
      <c r="X7771"/>
    </row>
    <row r="7772" spans="1:24">
      <c r="A7772"/>
      <c r="B7772"/>
      <c r="C7772" s="59"/>
      <c r="D7772" s="59"/>
      <c r="E7772" s="60"/>
      <c r="F7772" s="2"/>
      <c r="G7772" s="61"/>
      <c r="H7772" s="2"/>
      <c r="I7772" s="2"/>
      <c r="J7772" s="62"/>
      <c r="K7772" s="63"/>
      <c r="L7772" s="64"/>
      <c r="M7772" s="65"/>
      <c r="N7772" s="2"/>
      <c r="O7772" s="66"/>
      <c r="P7772" s="59"/>
      <c r="Q7772" s="2"/>
      <c r="R7772" s="2"/>
      <c r="S7772" s="59"/>
      <c r="T7772" s="59"/>
      <c r="V7772" s="50"/>
      <c r="X7772"/>
    </row>
    <row r="7773" spans="1:24">
      <c r="A7773"/>
      <c r="B7773"/>
      <c r="C7773" s="59"/>
      <c r="D7773" s="59"/>
      <c r="E7773" s="60"/>
      <c r="F7773" s="2"/>
      <c r="G7773" s="61"/>
      <c r="H7773" s="2"/>
      <c r="I7773" s="2"/>
      <c r="J7773" s="62"/>
      <c r="K7773" s="63"/>
      <c r="L7773" s="64"/>
      <c r="M7773" s="65"/>
      <c r="N7773" s="2"/>
      <c r="O7773" s="66"/>
      <c r="P7773" s="59"/>
      <c r="Q7773" s="2"/>
      <c r="R7773" s="2"/>
      <c r="S7773" s="59"/>
      <c r="T7773" s="59"/>
      <c r="V7773" s="50"/>
      <c r="X7773"/>
    </row>
    <row r="7774" spans="1:24">
      <c r="A7774"/>
      <c r="B7774"/>
      <c r="C7774" s="59"/>
      <c r="D7774" s="59"/>
      <c r="E7774" s="60"/>
      <c r="F7774" s="2"/>
      <c r="G7774" s="61"/>
      <c r="H7774" s="2"/>
      <c r="I7774" s="2"/>
      <c r="J7774" s="62"/>
      <c r="K7774" s="63"/>
      <c r="L7774" s="64"/>
      <c r="M7774" s="65"/>
      <c r="N7774" s="2"/>
      <c r="O7774" s="66"/>
      <c r="P7774" s="59"/>
      <c r="Q7774" s="2"/>
      <c r="R7774" s="2"/>
      <c r="S7774" s="59"/>
      <c r="T7774" s="59"/>
      <c r="V7774" s="50"/>
      <c r="X7774"/>
    </row>
    <row r="7775" spans="1:24">
      <c r="A7775"/>
      <c r="B7775"/>
      <c r="C7775" s="59"/>
      <c r="D7775" s="59"/>
      <c r="E7775" s="60"/>
      <c r="F7775" s="2"/>
      <c r="G7775" s="61"/>
      <c r="H7775" s="2"/>
      <c r="I7775" s="2"/>
      <c r="J7775" s="62"/>
      <c r="K7775" s="63"/>
      <c r="L7775" s="64"/>
      <c r="M7775" s="65"/>
      <c r="N7775" s="2"/>
      <c r="O7775" s="66"/>
      <c r="P7775" s="59"/>
      <c r="Q7775" s="2"/>
      <c r="R7775" s="2"/>
      <c r="S7775" s="59"/>
      <c r="T7775" s="59"/>
      <c r="V7775" s="50"/>
      <c r="X7775"/>
    </row>
    <row r="7776" spans="1:24">
      <c r="A7776"/>
      <c r="B7776"/>
      <c r="C7776" s="59"/>
      <c r="D7776" s="59"/>
      <c r="E7776" s="60"/>
      <c r="F7776" s="2"/>
      <c r="G7776" s="61"/>
      <c r="H7776" s="2"/>
      <c r="I7776" s="2"/>
      <c r="J7776" s="62"/>
      <c r="K7776" s="63"/>
      <c r="L7776" s="64"/>
      <c r="M7776" s="65"/>
      <c r="N7776" s="2"/>
      <c r="O7776" s="66"/>
      <c r="P7776" s="59"/>
      <c r="Q7776" s="2"/>
      <c r="R7776" s="2"/>
      <c r="S7776" s="59"/>
      <c r="T7776" s="59"/>
      <c r="V7776" s="50"/>
      <c r="X7776"/>
    </row>
    <row r="7777" spans="1:24">
      <c r="A7777"/>
      <c r="B7777"/>
      <c r="C7777" s="59"/>
      <c r="D7777" s="59"/>
      <c r="E7777" s="60"/>
      <c r="F7777" s="2"/>
      <c r="G7777" s="61"/>
      <c r="H7777" s="2"/>
      <c r="I7777" s="2"/>
      <c r="J7777" s="62"/>
      <c r="K7777" s="63"/>
      <c r="L7777" s="64"/>
      <c r="M7777" s="65"/>
      <c r="N7777" s="2"/>
      <c r="O7777" s="66"/>
      <c r="P7777" s="59"/>
      <c r="Q7777" s="2"/>
      <c r="R7777" s="2"/>
      <c r="S7777" s="59"/>
      <c r="T7777" s="59"/>
      <c r="V7777" s="50"/>
      <c r="X7777"/>
    </row>
    <row r="7778" spans="1:24">
      <c r="A7778"/>
      <c r="B7778"/>
      <c r="C7778" s="59"/>
      <c r="D7778" s="59"/>
      <c r="E7778" s="60"/>
      <c r="F7778" s="2"/>
      <c r="G7778" s="61"/>
      <c r="H7778" s="2"/>
      <c r="I7778" s="2"/>
      <c r="J7778" s="62"/>
      <c r="K7778" s="63"/>
      <c r="L7778" s="64"/>
      <c r="M7778" s="65"/>
      <c r="N7778" s="2"/>
      <c r="O7778" s="66"/>
      <c r="P7778" s="59"/>
      <c r="Q7778" s="2"/>
      <c r="R7778" s="2"/>
      <c r="S7778" s="59"/>
      <c r="T7778" s="59"/>
      <c r="V7778" s="50"/>
      <c r="X7778"/>
    </row>
    <row r="7779" spans="1:24">
      <c r="A7779"/>
      <c r="B7779"/>
      <c r="C7779" s="59"/>
      <c r="D7779" s="59"/>
      <c r="E7779" s="60"/>
      <c r="F7779" s="2"/>
      <c r="G7779" s="61"/>
      <c r="H7779" s="2"/>
      <c r="I7779" s="2"/>
      <c r="J7779" s="62"/>
      <c r="K7779" s="63"/>
      <c r="L7779" s="64"/>
      <c r="M7779" s="65"/>
      <c r="N7779" s="2"/>
      <c r="O7779" s="66"/>
      <c r="P7779" s="59"/>
      <c r="Q7779" s="2"/>
      <c r="R7779" s="2"/>
      <c r="S7779" s="59"/>
      <c r="T7779" s="59"/>
      <c r="V7779" s="50"/>
      <c r="X7779"/>
    </row>
    <row r="7780" spans="1:24">
      <c r="A7780"/>
      <c r="B7780"/>
      <c r="C7780" s="59"/>
      <c r="D7780" s="59"/>
      <c r="E7780" s="60"/>
      <c r="F7780" s="2"/>
      <c r="G7780" s="61"/>
      <c r="H7780" s="2"/>
      <c r="I7780" s="2"/>
      <c r="J7780" s="62"/>
      <c r="K7780" s="63"/>
      <c r="L7780" s="64"/>
      <c r="M7780" s="65"/>
      <c r="N7780" s="2"/>
      <c r="O7780" s="66"/>
      <c r="P7780" s="59"/>
      <c r="Q7780" s="2"/>
      <c r="R7780" s="2"/>
      <c r="S7780" s="59"/>
      <c r="T7780" s="59"/>
      <c r="V7780" s="50"/>
      <c r="X7780"/>
    </row>
    <row r="7781" spans="1:24">
      <c r="A7781"/>
      <c r="B7781"/>
      <c r="C7781" s="59"/>
      <c r="D7781" s="59"/>
      <c r="E7781" s="60"/>
      <c r="F7781" s="2"/>
      <c r="G7781" s="61"/>
      <c r="H7781" s="2"/>
      <c r="I7781" s="2"/>
      <c r="J7781" s="62"/>
      <c r="K7781" s="63"/>
      <c r="L7781" s="64"/>
      <c r="M7781" s="65"/>
      <c r="N7781" s="2"/>
      <c r="O7781" s="66"/>
      <c r="P7781" s="59"/>
      <c r="Q7781" s="2"/>
      <c r="R7781" s="2"/>
      <c r="S7781" s="59"/>
      <c r="T7781" s="59"/>
      <c r="V7781" s="50"/>
      <c r="X7781"/>
    </row>
    <row r="7782" spans="1:24">
      <c r="A7782"/>
      <c r="B7782"/>
      <c r="C7782" s="59"/>
      <c r="D7782" s="59"/>
      <c r="E7782" s="60"/>
      <c r="F7782" s="2"/>
      <c r="G7782" s="61"/>
      <c r="H7782" s="2"/>
      <c r="I7782" s="2"/>
      <c r="J7782" s="62"/>
      <c r="K7782" s="63"/>
      <c r="L7782" s="64"/>
      <c r="M7782" s="65"/>
      <c r="N7782" s="2"/>
      <c r="O7782" s="66"/>
      <c r="P7782" s="59"/>
      <c r="Q7782" s="2"/>
      <c r="R7782" s="2"/>
      <c r="S7782" s="59"/>
      <c r="T7782" s="59"/>
      <c r="V7782" s="50"/>
      <c r="X7782"/>
    </row>
    <row r="7783" spans="1:24">
      <c r="A7783"/>
      <c r="B7783"/>
      <c r="C7783" s="59"/>
      <c r="D7783" s="59"/>
      <c r="E7783" s="60"/>
      <c r="F7783" s="2"/>
      <c r="G7783" s="61"/>
      <c r="H7783" s="2"/>
      <c r="I7783" s="2"/>
      <c r="J7783" s="62"/>
      <c r="K7783" s="63"/>
      <c r="L7783" s="64"/>
      <c r="M7783" s="65"/>
      <c r="N7783" s="2"/>
      <c r="O7783" s="66"/>
      <c r="P7783" s="59"/>
      <c r="Q7783" s="2"/>
      <c r="R7783" s="2"/>
      <c r="S7783" s="59"/>
      <c r="T7783" s="59"/>
      <c r="V7783" s="50"/>
      <c r="X7783"/>
    </row>
    <row r="7784" spans="1:24">
      <c r="A7784"/>
      <c r="B7784"/>
      <c r="C7784" s="59"/>
      <c r="D7784" s="59"/>
      <c r="E7784" s="60"/>
      <c r="F7784" s="2"/>
      <c r="G7784" s="61"/>
      <c r="H7784" s="2"/>
      <c r="I7784" s="2"/>
      <c r="J7784" s="62"/>
      <c r="K7784" s="63"/>
      <c r="L7784" s="64"/>
      <c r="M7784" s="65"/>
      <c r="N7784" s="2"/>
      <c r="O7784" s="66"/>
      <c r="P7784" s="59"/>
      <c r="Q7784" s="2"/>
      <c r="R7784" s="2"/>
      <c r="S7784" s="59"/>
      <c r="T7784" s="59"/>
      <c r="V7784" s="50"/>
      <c r="X7784"/>
    </row>
    <row r="7785" spans="1:24">
      <c r="A7785"/>
      <c r="B7785"/>
      <c r="C7785" s="59"/>
      <c r="D7785" s="59"/>
      <c r="E7785" s="60"/>
      <c r="F7785" s="2"/>
      <c r="G7785" s="61"/>
      <c r="H7785" s="2"/>
      <c r="I7785" s="2"/>
      <c r="J7785" s="62"/>
      <c r="K7785" s="63"/>
      <c r="L7785" s="64"/>
      <c r="M7785" s="65"/>
      <c r="N7785" s="2"/>
      <c r="O7785" s="66"/>
      <c r="P7785" s="59"/>
      <c r="Q7785" s="2"/>
      <c r="R7785" s="2"/>
      <c r="S7785" s="59"/>
      <c r="T7785" s="59"/>
      <c r="V7785" s="50"/>
      <c r="X7785"/>
    </row>
    <row r="7786" spans="1:24">
      <c r="A7786"/>
      <c r="B7786"/>
      <c r="C7786" s="59"/>
      <c r="D7786" s="59"/>
      <c r="E7786" s="60"/>
      <c r="F7786" s="2"/>
      <c r="G7786" s="61"/>
      <c r="H7786" s="2"/>
      <c r="I7786" s="2"/>
      <c r="J7786" s="62"/>
      <c r="K7786" s="63"/>
      <c r="L7786" s="64"/>
      <c r="M7786" s="65"/>
      <c r="N7786" s="2"/>
      <c r="O7786" s="66"/>
      <c r="P7786" s="59"/>
      <c r="Q7786" s="2"/>
      <c r="R7786" s="2"/>
      <c r="S7786" s="59"/>
      <c r="T7786" s="59"/>
      <c r="V7786" s="50"/>
      <c r="X7786"/>
    </row>
    <row r="7787" spans="1:24">
      <c r="A7787"/>
      <c r="B7787"/>
      <c r="C7787" s="59"/>
      <c r="D7787" s="59"/>
      <c r="E7787" s="60"/>
      <c r="F7787" s="2"/>
      <c r="G7787" s="61"/>
      <c r="H7787" s="2"/>
      <c r="I7787" s="2"/>
      <c r="J7787" s="62"/>
      <c r="K7787" s="63"/>
      <c r="L7787" s="64"/>
      <c r="M7787" s="65"/>
      <c r="N7787" s="2"/>
      <c r="O7787" s="66"/>
      <c r="P7787" s="59"/>
      <c r="Q7787" s="2"/>
      <c r="R7787" s="2"/>
      <c r="S7787" s="59"/>
      <c r="T7787" s="59"/>
      <c r="V7787" s="50"/>
      <c r="X7787"/>
    </row>
    <row r="7788" spans="1:24">
      <c r="A7788"/>
      <c r="B7788"/>
      <c r="C7788" s="59"/>
      <c r="D7788" s="59"/>
      <c r="E7788" s="60"/>
      <c r="F7788" s="2"/>
      <c r="G7788" s="61"/>
      <c r="H7788" s="2"/>
      <c r="I7788" s="2"/>
      <c r="J7788" s="62"/>
      <c r="K7788" s="63"/>
      <c r="L7788" s="64"/>
      <c r="M7788" s="65"/>
      <c r="N7788" s="2"/>
      <c r="O7788" s="66"/>
      <c r="P7788" s="59"/>
      <c r="Q7788" s="2"/>
      <c r="R7788" s="2"/>
      <c r="S7788" s="59"/>
      <c r="T7788" s="59"/>
      <c r="V7788" s="50"/>
      <c r="X7788"/>
    </row>
    <row r="7789" spans="1:24">
      <c r="A7789"/>
      <c r="B7789"/>
      <c r="C7789" s="59"/>
      <c r="D7789" s="59"/>
      <c r="E7789" s="60"/>
      <c r="F7789" s="2"/>
      <c r="G7789" s="61"/>
      <c r="H7789" s="2"/>
      <c r="I7789" s="2"/>
      <c r="J7789" s="62"/>
      <c r="K7789" s="63"/>
      <c r="L7789" s="64"/>
      <c r="M7789" s="65"/>
      <c r="N7789" s="2"/>
      <c r="O7789" s="66"/>
      <c r="P7789" s="59"/>
      <c r="Q7789" s="2"/>
      <c r="R7789" s="2"/>
      <c r="S7789" s="59"/>
      <c r="T7789" s="59"/>
      <c r="V7789" s="50"/>
      <c r="X7789"/>
    </row>
    <row r="7790" spans="1:24">
      <c r="A7790"/>
      <c r="B7790"/>
      <c r="C7790" s="59"/>
      <c r="D7790" s="59"/>
      <c r="E7790" s="60"/>
      <c r="F7790" s="2"/>
      <c r="G7790" s="61"/>
      <c r="H7790" s="2"/>
      <c r="I7790" s="2"/>
      <c r="J7790" s="62"/>
      <c r="K7790" s="63"/>
      <c r="L7790" s="64"/>
      <c r="M7790" s="65"/>
      <c r="N7790" s="2"/>
      <c r="O7790" s="66"/>
      <c r="P7790" s="59"/>
      <c r="Q7790" s="2"/>
      <c r="R7790" s="2"/>
      <c r="S7790" s="59"/>
      <c r="T7790" s="59"/>
      <c r="V7790" s="50"/>
      <c r="X7790"/>
    </row>
    <row r="7791" spans="1:24">
      <c r="A7791"/>
      <c r="B7791"/>
      <c r="C7791" s="59"/>
      <c r="D7791" s="59"/>
      <c r="E7791" s="60"/>
      <c r="F7791" s="2"/>
      <c r="G7791" s="61"/>
      <c r="H7791" s="2"/>
      <c r="I7791" s="2"/>
      <c r="J7791" s="62"/>
      <c r="K7791" s="63"/>
      <c r="L7791" s="64"/>
      <c r="M7791" s="65"/>
      <c r="N7791" s="2"/>
      <c r="O7791" s="66"/>
      <c r="P7791" s="59"/>
      <c r="Q7791" s="2"/>
      <c r="R7791" s="2"/>
      <c r="S7791" s="59"/>
      <c r="T7791" s="59"/>
      <c r="V7791" s="50"/>
      <c r="X7791"/>
    </row>
    <row r="7792" spans="1:24">
      <c r="A7792"/>
      <c r="B7792"/>
      <c r="C7792" s="59"/>
      <c r="D7792" s="59"/>
      <c r="E7792" s="60"/>
      <c r="F7792" s="2"/>
      <c r="G7792" s="61"/>
      <c r="H7792" s="2"/>
      <c r="I7792" s="2"/>
      <c r="J7792" s="62"/>
      <c r="K7792" s="63"/>
      <c r="L7792" s="64"/>
      <c r="M7792" s="65"/>
      <c r="N7792" s="2"/>
      <c r="O7792" s="66"/>
      <c r="P7792" s="59"/>
      <c r="Q7792" s="2"/>
      <c r="R7792" s="2"/>
      <c r="S7792" s="59"/>
      <c r="T7792" s="59"/>
      <c r="V7792" s="50"/>
      <c r="X7792"/>
    </row>
    <row r="7793" spans="1:24">
      <c r="A7793"/>
      <c r="B7793"/>
      <c r="C7793" s="59"/>
      <c r="D7793" s="59"/>
      <c r="E7793" s="60"/>
      <c r="F7793" s="2"/>
      <c r="G7793" s="61"/>
      <c r="H7793" s="2"/>
      <c r="I7793" s="2"/>
      <c r="J7793" s="62"/>
      <c r="K7793" s="63"/>
      <c r="L7793" s="64"/>
      <c r="M7793" s="65"/>
      <c r="N7793" s="2"/>
      <c r="O7793" s="66"/>
      <c r="P7793" s="59"/>
      <c r="Q7793" s="2"/>
      <c r="R7793" s="2"/>
      <c r="S7793" s="59"/>
      <c r="T7793" s="59"/>
      <c r="V7793" s="50"/>
      <c r="X7793"/>
    </row>
    <row r="7794" spans="1:24">
      <c r="A7794"/>
      <c r="B7794"/>
      <c r="C7794" s="59"/>
      <c r="D7794" s="59"/>
      <c r="E7794" s="60"/>
      <c r="F7794" s="2"/>
      <c r="G7794" s="61"/>
      <c r="H7794" s="2"/>
      <c r="I7794" s="2"/>
      <c r="J7794" s="62"/>
      <c r="K7794" s="63"/>
      <c r="L7794" s="64"/>
      <c r="M7794" s="65"/>
      <c r="N7794" s="2"/>
      <c r="O7794" s="66"/>
      <c r="P7794" s="59"/>
      <c r="Q7794" s="2"/>
      <c r="R7794" s="2"/>
      <c r="S7794" s="59"/>
      <c r="T7794" s="59"/>
      <c r="V7794" s="50"/>
      <c r="X7794"/>
    </row>
    <row r="7795" spans="1:24">
      <c r="A7795"/>
      <c r="B7795"/>
      <c r="C7795" s="59"/>
      <c r="D7795" s="59"/>
      <c r="E7795" s="60"/>
      <c r="F7795" s="2"/>
      <c r="G7795" s="61"/>
      <c r="H7795" s="2"/>
      <c r="I7795" s="2"/>
      <c r="J7795" s="62"/>
      <c r="K7795" s="63"/>
      <c r="L7795" s="64"/>
      <c r="M7795" s="65"/>
      <c r="N7795" s="2"/>
      <c r="O7795" s="66"/>
      <c r="P7795" s="59"/>
      <c r="Q7795" s="2"/>
      <c r="R7795" s="2"/>
      <c r="S7795" s="59"/>
      <c r="T7795" s="59"/>
      <c r="V7795" s="50"/>
      <c r="X7795"/>
    </row>
    <row r="7796" spans="1:24">
      <c r="A7796"/>
      <c r="B7796"/>
      <c r="C7796" s="59"/>
      <c r="D7796" s="59"/>
      <c r="E7796" s="60"/>
      <c r="F7796" s="2"/>
      <c r="G7796" s="61"/>
      <c r="H7796" s="2"/>
      <c r="I7796" s="2"/>
      <c r="J7796" s="62"/>
      <c r="K7796" s="63"/>
      <c r="L7796" s="64"/>
      <c r="M7796" s="65"/>
      <c r="N7796" s="2"/>
      <c r="O7796" s="66"/>
      <c r="P7796" s="59"/>
      <c r="Q7796" s="2"/>
      <c r="R7796" s="2"/>
      <c r="S7796" s="59"/>
      <c r="T7796" s="59"/>
      <c r="V7796" s="50"/>
      <c r="X7796"/>
    </row>
    <row r="7797" spans="1:24">
      <c r="A7797"/>
      <c r="B7797"/>
      <c r="C7797" s="59"/>
      <c r="D7797" s="59"/>
      <c r="E7797" s="60"/>
      <c r="F7797" s="2"/>
      <c r="G7797" s="61"/>
      <c r="H7797" s="2"/>
      <c r="I7797" s="2"/>
      <c r="J7797" s="62"/>
      <c r="K7797" s="63"/>
      <c r="L7797" s="64"/>
      <c r="M7797" s="65"/>
      <c r="N7797" s="2"/>
      <c r="O7797" s="66"/>
      <c r="P7797" s="59"/>
      <c r="Q7797" s="2"/>
      <c r="R7797" s="2"/>
      <c r="S7797" s="59"/>
      <c r="T7797" s="59"/>
      <c r="V7797" s="50"/>
      <c r="X7797"/>
    </row>
    <row r="7798" spans="1:24">
      <c r="A7798"/>
      <c r="B7798"/>
      <c r="C7798" s="59"/>
      <c r="D7798" s="59"/>
      <c r="E7798" s="60"/>
      <c r="F7798" s="2"/>
      <c r="G7798" s="61"/>
      <c r="H7798" s="2"/>
      <c r="I7798" s="2"/>
      <c r="J7798" s="62"/>
      <c r="K7798" s="63"/>
      <c r="L7798" s="64"/>
      <c r="M7798" s="65"/>
      <c r="N7798" s="2"/>
      <c r="O7798" s="66"/>
      <c r="P7798" s="59"/>
      <c r="Q7798" s="2"/>
      <c r="R7798" s="2"/>
      <c r="S7798" s="59"/>
      <c r="T7798" s="59"/>
      <c r="V7798" s="50"/>
      <c r="X7798"/>
    </row>
    <row r="7799" spans="1:24">
      <c r="A7799"/>
      <c r="B7799"/>
      <c r="C7799" s="59"/>
      <c r="D7799" s="59"/>
      <c r="E7799" s="60"/>
      <c r="F7799" s="2"/>
      <c r="G7799" s="61"/>
      <c r="H7799" s="2"/>
      <c r="I7799" s="2"/>
      <c r="J7799" s="62"/>
      <c r="K7799" s="63"/>
      <c r="L7799" s="64"/>
      <c r="M7799" s="65"/>
      <c r="N7799" s="2"/>
      <c r="O7799" s="66"/>
      <c r="P7799" s="59"/>
      <c r="Q7799" s="2"/>
      <c r="R7799" s="2"/>
      <c r="S7799" s="59"/>
      <c r="T7799" s="59"/>
      <c r="V7799" s="50"/>
      <c r="X7799"/>
    </row>
    <row r="7800" spans="1:24">
      <c r="A7800"/>
      <c r="B7800"/>
      <c r="C7800" s="59"/>
      <c r="D7800" s="59"/>
      <c r="E7800" s="60"/>
      <c r="F7800" s="2"/>
      <c r="G7800" s="61"/>
      <c r="H7800" s="2"/>
      <c r="I7800" s="2"/>
      <c r="J7800" s="62"/>
      <c r="K7800" s="63"/>
      <c r="L7800" s="64"/>
      <c r="M7800" s="65"/>
      <c r="N7800" s="2"/>
      <c r="O7800" s="66"/>
      <c r="P7800" s="59"/>
      <c r="Q7800" s="2"/>
      <c r="R7800" s="2"/>
      <c r="S7800" s="59"/>
      <c r="T7800" s="59"/>
      <c r="V7800" s="50"/>
      <c r="X7800"/>
    </row>
    <row r="7801" spans="1:24">
      <c r="A7801"/>
      <c r="B7801"/>
      <c r="C7801" s="59"/>
      <c r="D7801" s="59"/>
      <c r="E7801" s="60"/>
      <c r="F7801" s="2"/>
      <c r="G7801" s="61"/>
      <c r="H7801" s="2"/>
      <c r="I7801" s="2"/>
      <c r="J7801" s="62"/>
      <c r="K7801" s="63"/>
      <c r="L7801" s="64"/>
      <c r="M7801" s="65"/>
      <c r="N7801" s="2"/>
      <c r="O7801" s="66"/>
      <c r="P7801" s="59"/>
      <c r="Q7801" s="2"/>
      <c r="R7801" s="2"/>
      <c r="S7801" s="59"/>
      <c r="T7801" s="59"/>
      <c r="V7801" s="50"/>
      <c r="X7801"/>
    </row>
    <row r="7802" spans="1:24">
      <c r="A7802"/>
      <c r="B7802"/>
      <c r="C7802" s="59"/>
      <c r="D7802" s="59"/>
      <c r="E7802" s="60"/>
      <c r="F7802" s="2"/>
      <c r="G7802" s="61"/>
      <c r="H7802" s="2"/>
      <c r="I7802" s="2"/>
      <c r="J7802" s="62"/>
      <c r="K7802" s="63"/>
      <c r="L7802" s="64"/>
      <c r="M7802" s="65"/>
      <c r="N7802" s="2"/>
      <c r="O7802" s="66"/>
      <c r="P7802" s="59"/>
      <c r="Q7802" s="2"/>
      <c r="R7802" s="2"/>
      <c r="S7802" s="59"/>
      <c r="T7802" s="59"/>
      <c r="V7802" s="50"/>
      <c r="X7802"/>
    </row>
    <row r="7803" spans="1:24">
      <c r="A7803"/>
      <c r="B7803"/>
      <c r="C7803" s="59"/>
      <c r="D7803" s="59"/>
      <c r="E7803" s="60"/>
      <c r="F7803" s="2"/>
      <c r="G7803" s="61"/>
      <c r="H7803" s="2"/>
      <c r="I7803" s="2"/>
      <c r="J7803" s="62"/>
      <c r="K7803" s="63"/>
      <c r="L7803" s="64"/>
      <c r="M7803" s="65"/>
      <c r="N7803" s="2"/>
      <c r="O7803" s="66"/>
      <c r="P7803" s="59"/>
      <c r="Q7803" s="2"/>
      <c r="R7803" s="2"/>
      <c r="S7803" s="59"/>
      <c r="T7803" s="59"/>
      <c r="V7803" s="50"/>
      <c r="X7803"/>
    </row>
    <row r="7804" spans="1:24">
      <c r="A7804"/>
      <c r="B7804"/>
      <c r="C7804" s="59"/>
      <c r="D7804" s="59"/>
      <c r="E7804" s="60"/>
      <c r="F7804" s="2"/>
      <c r="G7804" s="61"/>
      <c r="H7804" s="2"/>
      <c r="I7804" s="2"/>
      <c r="J7804" s="62"/>
      <c r="K7804" s="63"/>
      <c r="L7804" s="64"/>
      <c r="M7804" s="65"/>
      <c r="N7804" s="2"/>
      <c r="O7804" s="66"/>
      <c r="P7804" s="59"/>
      <c r="Q7804" s="2"/>
      <c r="R7804" s="2"/>
      <c r="S7804" s="59"/>
      <c r="T7804" s="59"/>
      <c r="V7804" s="50"/>
      <c r="X7804"/>
    </row>
    <row r="7805" spans="1:24">
      <c r="A7805"/>
      <c r="B7805"/>
      <c r="C7805" s="59"/>
      <c r="D7805" s="59"/>
      <c r="E7805" s="60"/>
      <c r="F7805" s="2"/>
      <c r="G7805" s="61"/>
      <c r="H7805" s="2"/>
      <c r="I7805" s="2"/>
      <c r="J7805" s="62"/>
      <c r="K7805" s="63"/>
      <c r="L7805" s="64"/>
      <c r="M7805" s="65"/>
      <c r="N7805" s="2"/>
      <c r="O7805" s="66"/>
      <c r="P7805" s="59"/>
      <c r="Q7805" s="2"/>
      <c r="R7805" s="2"/>
      <c r="S7805" s="59"/>
      <c r="T7805" s="59"/>
      <c r="V7805" s="50"/>
      <c r="X7805"/>
    </row>
    <row r="7806" spans="1:24">
      <c r="A7806"/>
      <c r="B7806"/>
      <c r="C7806" s="59"/>
      <c r="D7806" s="59"/>
      <c r="E7806" s="60"/>
      <c r="F7806" s="2"/>
      <c r="G7806" s="61"/>
      <c r="H7806" s="2"/>
      <c r="I7806" s="2"/>
      <c r="J7806" s="62"/>
      <c r="K7806" s="63"/>
      <c r="L7806" s="64"/>
      <c r="M7806" s="65"/>
      <c r="N7806" s="2"/>
      <c r="O7806" s="66"/>
      <c r="P7806" s="59"/>
      <c r="Q7806" s="2"/>
      <c r="R7806" s="2"/>
      <c r="S7806" s="59"/>
      <c r="T7806" s="59"/>
      <c r="V7806" s="50"/>
      <c r="X7806"/>
    </row>
    <row r="7807" spans="1:24">
      <c r="A7807"/>
      <c r="B7807"/>
      <c r="C7807" s="59"/>
      <c r="D7807" s="59"/>
      <c r="E7807" s="60"/>
      <c r="F7807" s="2"/>
      <c r="G7807" s="61"/>
      <c r="H7807" s="2"/>
      <c r="I7807" s="2"/>
      <c r="J7807" s="62"/>
      <c r="K7807" s="63"/>
      <c r="L7807" s="64"/>
      <c r="M7807" s="65"/>
      <c r="N7807" s="2"/>
      <c r="O7807" s="66"/>
      <c r="P7807" s="59"/>
      <c r="Q7807" s="2"/>
      <c r="R7807" s="2"/>
      <c r="S7807" s="59"/>
      <c r="T7807" s="59"/>
      <c r="V7807" s="50"/>
      <c r="X7807"/>
    </row>
    <row r="7808" spans="1:24">
      <c r="A7808"/>
      <c r="B7808"/>
      <c r="C7808" s="59"/>
      <c r="D7808" s="59"/>
      <c r="E7808" s="60"/>
      <c r="F7808" s="2"/>
      <c r="G7808" s="61"/>
      <c r="H7808" s="2"/>
      <c r="I7808" s="2"/>
      <c r="J7808" s="62"/>
      <c r="K7808" s="63"/>
      <c r="L7808" s="64"/>
      <c r="M7808" s="65"/>
      <c r="N7808" s="2"/>
      <c r="O7808" s="66"/>
      <c r="P7808" s="59"/>
      <c r="Q7808" s="2"/>
      <c r="R7808" s="2"/>
      <c r="S7808" s="59"/>
      <c r="T7808" s="59"/>
      <c r="V7808" s="50"/>
      <c r="X7808"/>
    </row>
    <row r="7809" spans="1:24">
      <c r="A7809"/>
      <c r="B7809"/>
      <c r="C7809" s="59"/>
      <c r="D7809" s="59"/>
      <c r="E7809" s="60"/>
      <c r="F7809" s="2"/>
      <c r="G7809" s="61"/>
      <c r="H7809" s="2"/>
      <c r="I7809" s="2"/>
      <c r="J7809" s="62"/>
      <c r="K7809" s="63"/>
      <c r="L7809" s="64"/>
      <c r="M7809" s="65"/>
      <c r="N7809" s="2"/>
      <c r="O7809" s="66"/>
      <c r="P7809" s="59"/>
      <c r="Q7809" s="2"/>
      <c r="R7809" s="2"/>
      <c r="S7809" s="59"/>
      <c r="T7809" s="59"/>
      <c r="V7809" s="50"/>
      <c r="X7809"/>
    </row>
    <row r="7810" spans="1:24">
      <c r="A7810"/>
      <c r="B7810"/>
      <c r="C7810" s="59"/>
      <c r="D7810" s="59"/>
      <c r="E7810" s="60"/>
      <c r="F7810" s="2"/>
      <c r="G7810" s="61"/>
      <c r="H7810" s="2"/>
      <c r="I7810" s="2"/>
      <c r="J7810" s="62"/>
      <c r="K7810" s="63"/>
      <c r="L7810" s="64"/>
      <c r="M7810" s="65"/>
      <c r="N7810" s="2"/>
      <c r="O7810" s="66"/>
      <c r="P7810" s="59"/>
      <c r="Q7810" s="2"/>
      <c r="R7810" s="2"/>
      <c r="S7810" s="59"/>
      <c r="T7810" s="59"/>
      <c r="V7810" s="50"/>
      <c r="X7810"/>
    </row>
    <row r="7811" spans="1:24">
      <c r="A7811"/>
      <c r="B7811"/>
      <c r="C7811" s="59"/>
      <c r="D7811" s="59"/>
      <c r="E7811" s="60"/>
      <c r="F7811" s="2"/>
      <c r="G7811" s="61"/>
      <c r="H7811" s="2"/>
      <c r="I7811" s="2"/>
      <c r="J7811" s="62"/>
      <c r="K7811" s="63"/>
      <c r="L7811" s="64"/>
      <c r="M7811" s="65"/>
      <c r="N7811" s="2"/>
      <c r="O7811" s="66"/>
      <c r="P7811" s="59"/>
      <c r="Q7811" s="2"/>
      <c r="R7811" s="2"/>
      <c r="S7811" s="59"/>
      <c r="T7811" s="59"/>
      <c r="V7811" s="50"/>
      <c r="X7811"/>
    </row>
    <row r="7812" spans="1:24">
      <c r="A7812"/>
      <c r="B7812"/>
      <c r="C7812" s="59"/>
      <c r="D7812" s="59"/>
      <c r="E7812" s="60"/>
      <c r="F7812" s="2"/>
      <c r="G7812" s="61"/>
      <c r="H7812" s="2"/>
      <c r="I7812" s="2"/>
      <c r="J7812" s="62"/>
      <c r="K7812" s="63"/>
      <c r="L7812" s="64"/>
      <c r="M7812" s="65"/>
      <c r="N7812" s="2"/>
      <c r="O7812" s="66"/>
      <c r="P7812" s="59"/>
      <c r="Q7812" s="2"/>
      <c r="R7812" s="2"/>
      <c r="S7812" s="59"/>
      <c r="T7812" s="59"/>
      <c r="V7812" s="50"/>
      <c r="X7812"/>
    </row>
    <row r="7813" spans="1:24">
      <c r="A7813"/>
      <c r="B7813"/>
      <c r="C7813" s="59"/>
      <c r="D7813" s="59"/>
      <c r="E7813" s="60"/>
      <c r="F7813" s="2"/>
      <c r="G7813" s="61"/>
      <c r="H7813" s="2"/>
      <c r="I7813" s="2"/>
      <c r="J7813" s="62"/>
      <c r="K7813" s="63"/>
      <c r="L7813" s="64"/>
      <c r="M7813" s="65"/>
      <c r="N7813" s="2"/>
      <c r="O7813" s="66"/>
      <c r="P7813" s="59"/>
      <c r="Q7813" s="2"/>
      <c r="R7813" s="2"/>
      <c r="S7813" s="59"/>
      <c r="T7813" s="59"/>
      <c r="V7813" s="50"/>
      <c r="X7813"/>
    </row>
    <row r="7814" spans="1:24">
      <c r="A7814"/>
      <c r="B7814"/>
      <c r="C7814" s="59"/>
      <c r="D7814" s="59"/>
      <c r="E7814" s="60"/>
      <c r="F7814" s="2"/>
      <c r="G7814" s="61"/>
      <c r="H7814" s="2"/>
      <c r="I7814" s="2"/>
      <c r="J7814" s="62"/>
      <c r="K7814" s="63"/>
      <c r="L7814" s="64"/>
      <c r="M7814" s="65"/>
      <c r="N7814" s="2"/>
      <c r="O7814" s="66"/>
      <c r="P7814" s="59"/>
      <c r="Q7814" s="2"/>
      <c r="R7814" s="2"/>
      <c r="S7814" s="59"/>
      <c r="T7814" s="59"/>
      <c r="V7814" s="50"/>
      <c r="X7814"/>
    </row>
    <row r="7815" spans="1:24">
      <c r="A7815"/>
      <c r="B7815"/>
      <c r="C7815" s="59"/>
      <c r="D7815" s="59"/>
      <c r="E7815" s="60"/>
      <c r="F7815" s="2"/>
      <c r="G7815" s="61"/>
      <c r="H7815" s="2"/>
      <c r="I7815" s="2"/>
      <c r="J7815" s="62"/>
      <c r="K7815" s="63"/>
      <c r="L7815" s="64"/>
      <c r="M7815" s="65"/>
      <c r="N7815" s="2"/>
      <c r="O7815" s="66"/>
      <c r="P7815" s="59"/>
      <c r="Q7815" s="2"/>
      <c r="R7815" s="2"/>
      <c r="S7815" s="59"/>
      <c r="T7815" s="59"/>
      <c r="V7815" s="50"/>
      <c r="X7815"/>
    </row>
    <row r="7816" spans="1:24">
      <c r="A7816"/>
      <c r="B7816"/>
      <c r="C7816" s="59"/>
      <c r="D7816" s="59"/>
      <c r="E7816" s="60"/>
      <c r="F7816" s="2"/>
      <c r="G7816" s="61"/>
      <c r="H7816" s="2"/>
      <c r="I7816" s="2"/>
      <c r="J7816" s="62"/>
      <c r="K7816" s="63"/>
      <c r="L7816" s="64"/>
      <c r="M7816" s="65"/>
      <c r="N7816" s="2"/>
      <c r="O7816" s="66"/>
      <c r="P7816" s="59"/>
      <c r="Q7816" s="2"/>
      <c r="R7816" s="2"/>
      <c r="S7816" s="59"/>
      <c r="T7816" s="59"/>
      <c r="V7816" s="50"/>
      <c r="X7816"/>
    </row>
    <row r="7817" spans="1:24">
      <c r="A7817"/>
      <c r="B7817"/>
      <c r="C7817" s="59"/>
      <c r="D7817" s="59"/>
      <c r="E7817" s="60"/>
      <c r="F7817" s="2"/>
      <c r="G7817" s="61"/>
      <c r="H7817" s="2"/>
      <c r="I7817" s="2"/>
      <c r="J7817" s="62"/>
      <c r="K7817" s="63"/>
      <c r="L7817" s="64"/>
      <c r="M7817" s="65"/>
      <c r="N7817" s="2"/>
      <c r="O7817" s="66"/>
      <c r="P7817" s="59"/>
      <c r="Q7817" s="2"/>
      <c r="R7817" s="2"/>
      <c r="S7817" s="59"/>
      <c r="T7817" s="59"/>
      <c r="V7817" s="50"/>
      <c r="X7817"/>
    </row>
    <row r="7818" spans="1:24">
      <c r="A7818"/>
      <c r="B7818"/>
      <c r="C7818" s="59"/>
      <c r="D7818" s="59"/>
      <c r="E7818" s="60"/>
      <c r="F7818" s="2"/>
      <c r="G7818" s="61"/>
      <c r="H7818" s="2"/>
      <c r="I7818" s="2"/>
      <c r="J7818" s="62"/>
      <c r="K7818" s="63"/>
      <c r="L7818" s="64"/>
      <c r="M7818" s="65"/>
      <c r="N7818" s="2"/>
      <c r="O7818" s="66"/>
      <c r="P7818" s="59"/>
      <c r="Q7818" s="2"/>
      <c r="R7818" s="2"/>
      <c r="S7818" s="59"/>
      <c r="T7818" s="59"/>
      <c r="V7818" s="50"/>
      <c r="X7818"/>
    </row>
    <row r="7819" spans="1:24">
      <c r="A7819"/>
      <c r="B7819"/>
      <c r="C7819" s="59"/>
      <c r="D7819" s="59"/>
      <c r="E7819" s="60"/>
      <c r="F7819" s="2"/>
      <c r="G7819" s="61"/>
      <c r="H7819" s="2"/>
      <c r="I7819" s="2"/>
      <c r="J7819" s="62"/>
      <c r="K7819" s="63"/>
      <c r="L7819" s="64"/>
      <c r="M7819" s="65"/>
      <c r="N7819" s="2"/>
      <c r="O7819" s="66"/>
      <c r="P7819" s="59"/>
      <c r="Q7819" s="2"/>
      <c r="R7819" s="2"/>
      <c r="S7819" s="59"/>
      <c r="T7819" s="59"/>
      <c r="V7819" s="50"/>
      <c r="X7819"/>
    </row>
    <row r="7820" spans="1:24">
      <c r="A7820"/>
      <c r="B7820"/>
      <c r="C7820" s="59"/>
      <c r="D7820" s="59"/>
      <c r="E7820" s="60"/>
      <c r="F7820" s="2"/>
      <c r="G7820" s="61"/>
      <c r="H7820" s="2"/>
      <c r="I7820" s="2"/>
      <c r="J7820" s="62"/>
      <c r="K7820" s="63"/>
      <c r="L7820" s="64"/>
      <c r="M7820" s="65"/>
      <c r="N7820" s="2"/>
      <c r="O7820" s="66"/>
      <c r="P7820" s="59"/>
      <c r="Q7820" s="2"/>
      <c r="R7820" s="2"/>
      <c r="S7820" s="59"/>
      <c r="T7820" s="59"/>
      <c r="V7820" s="50"/>
      <c r="X7820"/>
    </row>
    <row r="7821" spans="1:24">
      <c r="A7821"/>
      <c r="B7821"/>
      <c r="C7821" s="59"/>
      <c r="D7821" s="59"/>
      <c r="E7821" s="60"/>
      <c r="F7821" s="2"/>
      <c r="G7821" s="61"/>
      <c r="H7821" s="2"/>
      <c r="I7821" s="2"/>
      <c r="J7821" s="62"/>
      <c r="K7821" s="63"/>
      <c r="L7821" s="64"/>
      <c r="M7821" s="65"/>
      <c r="N7821" s="2"/>
      <c r="O7821" s="66"/>
      <c r="P7821" s="59"/>
      <c r="Q7821" s="2"/>
      <c r="R7821" s="2"/>
      <c r="S7821" s="59"/>
      <c r="T7821" s="59"/>
      <c r="V7821" s="50"/>
      <c r="X7821"/>
    </row>
    <row r="7822" spans="1:24">
      <c r="A7822"/>
      <c r="B7822"/>
      <c r="C7822" s="59"/>
      <c r="D7822" s="59"/>
      <c r="E7822" s="60"/>
      <c r="F7822" s="2"/>
      <c r="G7822" s="61"/>
      <c r="H7822" s="2"/>
      <c r="I7822" s="2"/>
      <c r="J7822" s="62"/>
      <c r="K7822" s="63"/>
      <c r="L7822" s="64"/>
      <c r="M7822" s="65"/>
      <c r="N7822" s="2"/>
      <c r="O7822" s="66"/>
      <c r="P7822" s="59"/>
      <c r="Q7822" s="2"/>
      <c r="R7822" s="2"/>
      <c r="S7822" s="59"/>
      <c r="T7822" s="59"/>
      <c r="V7822" s="50"/>
      <c r="X7822"/>
    </row>
    <row r="7823" spans="1:24">
      <c r="A7823"/>
      <c r="B7823"/>
      <c r="C7823" s="59"/>
      <c r="D7823" s="59"/>
      <c r="E7823" s="60"/>
      <c r="F7823" s="2"/>
      <c r="G7823" s="61"/>
      <c r="H7823" s="2"/>
      <c r="I7823" s="2"/>
      <c r="J7823" s="62"/>
      <c r="K7823" s="63"/>
      <c r="L7823" s="64"/>
      <c r="M7823" s="65"/>
      <c r="N7823" s="2"/>
      <c r="O7823" s="66"/>
      <c r="P7823" s="59"/>
      <c r="Q7823" s="2"/>
      <c r="R7823" s="2"/>
      <c r="S7823" s="59"/>
      <c r="T7823" s="59"/>
      <c r="V7823" s="50"/>
      <c r="X7823"/>
    </row>
    <row r="7824" spans="1:24">
      <c r="A7824"/>
      <c r="B7824"/>
      <c r="C7824" s="59"/>
      <c r="D7824" s="59"/>
      <c r="E7824" s="60"/>
      <c r="F7824" s="2"/>
      <c r="G7824" s="61"/>
      <c r="H7824" s="2"/>
      <c r="I7824" s="2"/>
      <c r="J7824" s="62"/>
      <c r="K7824" s="63"/>
      <c r="L7824" s="64"/>
      <c r="M7824" s="65"/>
      <c r="N7824" s="2"/>
      <c r="O7824" s="66"/>
      <c r="P7824" s="59"/>
      <c r="Q7824" s="2"/>
      <c r="R7824" s="2"/>
      <c r="S7824" s="59"/>
      <c r="T7824" s="59"/>
      <c r="V7824" s="50"/>
      <c r="X7824"/>
    </row>
    <row r="7825" spans="1:24">
      <c r="A7825"/>
      <c r="B7825"/>
      <c r="C7825" s="59"/>
      <c r="D7825" s="59"/>
      <c r="E7825" s="60"/>
      <c r="F7825" s="2"/>
      <c r="G7825" s="61"/>
      <c r="H7825" s="2"/>
      <c r="I7825" s="2"/>
      <c r="J7825" s="62"/>
      <c r="K7825" s="63"/>
      <c r="L7825" s="64"/>
      <c r="M7825" s="65"/>
      <c r="N7825" s="2"/>
      <c r="O7825" s="66"/>
      <c r="P7825" s="59"/>
      <c r="Q7825" s="2"/>
      <c r="R7825" s="2"/>
      <c r="S7825" s="59"/>
      <c r="T7825" s="59"/>
      <c r="V7825" s="50"/>
      <c r="X7825"/>
    </row>
    <row r="7826" spans="1:24">
      <c r="A7826"/>
      <c r="B7826"/>
      <c r="C7826" s="59"/>
      <c r="D7826" s="59"/>
      <c r="E7826" s="60"/>
      <c r="F7826" s="2"/>
      <c r="G7826" s="61"/>
      <c r="H7826" s="2"/>
      <c r="I7826" s="2"/>
      <c r="J7826" s="62"/>
      <c r="K7826" s="63"/>
      <c r="L7826" s="64"/>
      <c r="M7826" s="65"/>
      <c r="N7826" s="2"/>
      <c r="O7826" s="66"/>
      <c r="P7826" s="59"/>
      <c r="Q7826" s="2"/>
      <c r="R7826" s="2"/>
      <c r="S7826" s="59"/>
      <c r="T7826" s="59"/>
      <c r="V7826" s="50"/>
      <c r="X7826"/>
    </row>
    <row r="7827" spans="1:24">
      <c r="A7827"/>
      <c r="B7827"/>
      <c r="C7827" s="59"/>
      <c r="D7827" s="59"/>
      <c r="E7827" s="60"/>
      <c r="F7827" s="2"/>
      <c r="G7827" s="61"/>
      <c r="H7827" s="2"/>
      <c r="I7827" s="2"/>
      <c r="J7827" s="62"/>
      <c r="K7827" s="63"/>
      <c r="L7827" s="64"/>
      <c r="M7827" s="65"/>
      <c r="N7827" s="2"/>
      <c r="O7827" s="66"/>
      <c r="P7827" s="59"/>
      <c r="Q7827" s="2"/>
      <c r="R7827" s="2"/>
      <c r="S7827" s="59"/>
      <c r="T7827" s="59"/>
      <c r="V7827" s="50"/>
      <c r="X7827"/>
    </row>
    <row r="7828" spans="1:24">
      <c r="A7828"/>
      <c r="B7828"/>
      <c r="C7828" s="59"/>
      <c r="D7828" s="59"/>
      <c r="E7828" s="60"/>
      <c r="F7828" s="2"/>
      <c r="G7828" s="61"/>
      <c r="H7828" s="2"/>
      <c r="I7828" s="2"/>
      <c r="J7828" s="62"/>
      <c r="K7828" s="63"/>
      <c r="L7828" s="64"/>
      <c r="M7828" s="65"/>
      <c r="N7828" s="2"/>
      <c r="O7828" s="66"/>
      <c r="P7828" s="59"/>
      <c r="Q7828" s="2"/>
      <c r="R7828" s="2"/>
      <c r="S7828" s="59"/>
      <c r="T7828" s="59"/>
      <c r="V7828" s="50"/>
      <c r="X7828"/>
    </row>
    <row r="7829" spans="1:24">
      <c r="A7829"/>
      <c r="B7829"/>
      <c r="C7829" s="59"/>
      <c r="D7829" s="59"/>
      <c r="E7829" s="60"/>
      <c r="F7829" s="2"/>
      <c r="G7829" s="61"/>
      <c r="H7829" s="2"/>
      <c r="I7829" s="2"/>
      <c r="J7829" s="62"/>
      <c r="K7829" s="63"/>
      <c r="L7829" s="64"/>
      <c r="M7829" s="65"/>
      <c r="N7829" s="2"/>
      <c r="O7829" s="66"/>
      <c r="P7829" s="59"/>
      <c r="Q7829" s="2"/>
      <c r="R7829" s="2"/>
      <c r="S7829" s="59"/>
      <c r="T7829" s="59"/>
      <c r="V7829" s="50"/>
      <c r="X7829"/>
    </row>
    <row r="7830" spans="1:24">
      <c r="A7830"/>
      <c r="B7830"/>
      <c r="C7830" s="59"/>
      <c r="D7830" s="59"/>
      <c r="E7830" s="60"/>
      <c r="F7830" s="2"/>
      <c r="G7830" s="61"/>
      <c r="H7830" s="2"/>
      <c r="I7830" s="2"/>
      <c r="J7830" s="62"/>
      <c r="K7830" s="63"/>
      <c r="L7830" s="64"/>
      <c r="M7830" s="65"/>
      <c r="N7830" s="2"/>
      <c r="O7830" s="66"/>
      <c r="P7830" s="59"/>
      <c r="Q7830" s="2"/>
      <c r="R7830" s="2"/>
      <c r="S7830" s="59"/>
      <c r="T7830" s="59"/>
      <c r="V7830" s="50"/>
      <c r="X7830"/>
    </row>
    <row r="7831" spans="1:24">
      <c r="A7831"/>
      <c r="B7831"/>
      <c r="C7831" s="59"/>
      <c r="D7831" s="59"/>
      <c r="E7831" s="60"/>
      <c r="F7831" s="2"/>
      <c r="G7831" s="61"/>
      <c r="H7831" s="2"/>
      <c r="I7831" s="2"/>
      <c r="J7831" s="62"/>
      <c r="K7831" s="63"/>
      <c r="L7831" s="64"/>
      <c r="M7831" s="65"/>
      <c r="N7831" s="2"/>
      <c r="O7831" s="66"/>
      <c r="P7831" s="59"/>
      <c r="Q7831" s="2"/>
      <c r="R7831" s="2"/>
      <c r="S7831" s="59"/>
      <c r="T7831" s="59"/>
      <c r="V7831" s="50"/>
      <c r="X7831"/>
    </row>
    <row r="7832" spans="1:24">
      <c r="A7832"/>
      <c r="B7832"/>
      <c r="C7832" s="59"/>
      <c r="D7832" s="59"/>
      <c r="E7832" s="60"/>
      <c r="F7832" s="2"/>
      <c r="G7832" s="61"/>
      <c r="H7832" s="2"/>
      <c r="I7832" s="2"/>
      <c r="J7832" s="62"/>
      <c r="K7832" s="63"/>
      <c r="L7832" s="64"/>
      <c r="M7832" s="65"/>
      <c r="N7832" s="2"/>
      <c r="O7832" s="66"/>
      <c r="P7832" s="59"/>
      <c r="Q7832" s="2"/>
      <c r="R7832" s="2"/>
      <c r="S7832" s="59"/>
      <c r="T7832" s="59"/>
      <c r="V7832" s="50"/>
      <c r="X7832"/>
    </row>
    <row r="7833" spans="1:24">
      <c r="A7833"/>
      <c r="B7833"/>
      <c r="C7833" s="59"/>
      <c r="D7833" s="59"/>
      <c r="E7833" s="60"/>
      <c r="F7833" s="2"/>
      <c r="G7833" s="61"/>
      <c r="H7833" s="2"/>
      <c r="I7833" s="2"/>
      <c r="J7833" s="62"/>
      <c r="K7833" s="63"/>
      <c r="L7833" s="64"/>
      <c r="M7833" s="65"/>
      <c r="N7833" s="2"/>
      <c r="O7833" s="66"/>
      <c r="P7833" s="59"/>
      <c r="Q7833" s="2"/>
      <c r="R7833" s="2"/>
      <c r="S7833" s="59"/>
      <c r="T7833" s="59"/>
      <c r="V7833" s="50"/>
      <c r="X7833"/>
    </row>
    <row r="7834" spans="1:24">
      <c r="A7834"/>
      <c r="B7834"/>
      <c r="C7834" s="59"/>
      <c r="D7834" s="59"/>
      <c r="E7834" s="60"/>
      <c r="F7834" s="2"/>
      <c r="G7834" s="61"/>
      <c r="H7834" s="2"/>
      <c r="I7834" s="2"/>
      <c r="J7834" s="62"/>
      <c r="K7834" s="63"/>
      <c r="L7834" s="64"/>
      <c r="M7834" s="65"/>
      <c r="N7834" s="2"/>
      <c r="O7834" s="66"/>
      <c r="P7834" s="59"/>
      <c r="Q7834" s="2"/>
      <c r="R7834" s="2"/>
      <c r="S7834" s="59"/>
      <c r="T7834" s="59"/>
      <c r="V7834" s="50"/>
      <c r="X7834"/>
    </row>
    <row r="7835" spans="1:24">
      <c r="A7835"/>
      <c r="B7835"/>
      <c r="C7835" s="59"/>
      <c r="D7835" s="59"/>
      <c r="E7835" s="60"/>
      <c r="F7835" s="2"/>
      <c r="G7835" s="61"/>
      <c r="H7835" s="2"/>
      <c r="I7835" s="2"/>
      <c r="J7835" s="62"/>
      <c r="K7835" s="63"/>
      <c r="L7835" s="64"/>
      <c r="M7835" s="65"/>
      <c r="N7835" s="2"/>
      <c r="O7835" s="66"/>
      <c r="P7835" s="59"/>
      <c r="Q7835" s="2"/>
      <c r="R7835" s="2"/>
      <c r="S7835" s="59"/>
      <c r="T7835" s="59"/>
      <c r="V7835" s="50"/>
      <c r="X7835"/>
    </row>
    <row r="7836" spans="1:24">
      <c r="A7836"/>
      <c r="B7836"/>
      <c r="C7836" s="59"/>
      <c r="D7836" s="59"/>
      <c r="E7836" s="60"/>
      <c r="F7836" s="2"/>
      <c r="G7836" s="61"/>
      <c r="H7836" s="2"/>
      <c r="I7836" s="2"/>
      <c r="J7836" s="62"/>
      <c r="K7836" s="63"/>
      <c r="L7836" s="64"/>
      <c r="M7836" s="65"/>
      <c r="N7836" s="2"/>
      <c r="O7836" s="66"/>
      <c r="P7836" s="59"/>
      <c r="Q7836" s="2"/>
      <c r="R7836" s="2"/>
      <c r="S7836" s="59"/>
      <c r="T7836" s="59"/>
      <c r="V7836" s="50"/>
      <c r="X7836"/>
    </row>
    <row r="7837" spans="1:24">
      <c r="A7837"/>
      <c r="B7837"/>
      <c r="C7837" s="59"/>
      <c r="D7837" s="59"/>
      <c r="E7837" s="60"/>
      <c r="F7837" s="2"/>
      <c r="G7837" s="61"/>
      <c r="H7837" s="2"/>
      <c r="I7837" s="2"/>
      <c r="J7837" s="62"/>
      <c r="K7837" s="63"/>
      <c r="L7837" s="64"/>
      <c r="M7837" s="65"/>
      <c r="N7837" s="2"/>
      <c r="O7837" s="66"/>
      <c r="P7837" s="59"/>
      <c r="Q7837" s="2"/>
      <c r="R7837" s="2"/>
      <c r="S7837" s="59"/>
      <c r="T7837" s="59"/>
      <c r="V7837" s="50"/>
      <c r="X7837"/>
    </row>
    <row r="7838" spans="1:24">
      <c r="A7838"/>
      <c r="B7838"/>
      <c r="C7838" s="59"/>
      <c r="D7838" s="59"/>
      <c r="E7838" s="60"/>
      <c r="F7838" s="2"/>
      <c r="G7838" s="61"/>
      <c r="H7838" s="2"/>
      <c r="I7838" s="2"/>
      <c r="J7838" s="62"/>
      <c r="K7838" s="63"/>
      <c r="L7838" s="64"/>
      <c r="M7838" s="65"/>
      <c r="N7838" s="2"/>
      <c r="O7838" s="66"/>
      <c r="P7838" s="59"/>
      <c r="Q7838" s="2"/>
      <c r="R7838" s="2"/>
      <c r="S7838" s="59"/>
      <c r="T7838" s="59"/>
      <c r="V7838" s="50"/>
      <c r="X7838"/>
    </row>
    <row r="7839" spans="1:24">
      <c r="A7839"/>
      <c r="B7839"/>
      <c r="C7839" s="59"/>
      <c r="D7839" s="59"/>
      <c r="E7839" s="60"/>
      <c r="F7839" s="2"/>
      <c r="G7839" s="61"/>
      <c r="H7839" s="2"/>
      <c r="I7839" s="2"/>
      <c r="J7839" s="62"/>
      <c r="K7839" s="63"/>
      <c r="L7839" s="64"/>
      <c r="M7839" s="65"/>
      <c r="N7839" s="2"/>
      <c r="O7839" s="66"/>
      <c r="P7839" s="59"/>
      <c r="Q7839" s="2"/>
      <c r="R7839" s="2"/>
      <c r="S7839" s="59"/>
      <c r="T7839" s="59"/>
      <c r="V7839" s="50"/>
      <c r="X7839"/>
    </row>
    <row r="7840" spans="1:24">
      <c r="A7840"/>
      <c r="B7840"/>
      <c r="C7840" s="59"/>
      <c r="D7840" s="59"/>
      <c r="E7840" s="60"/>
      <c r="F7840" s="2"/>
      <c r="G7840" s="61"/>
      <c r="H7840" s="2"/>
      <c r="I7840" s="2"/>
      <c r="J7840" s="62"/>
      <c r="K7840" s="63"/>
      <c r="L7840" s="64"/>
      <c r="M7840" s="65"/>
      <c r="N7840" s="2"/>
      <c r="O7840" s="66"/>
      <c r="P7840" s="59"/>
      <c r="Q7840" s="2"/>
      <c r="R7840" s="2"/>
      <c r="S7840" s="59"/>
      <c r="T7840" s="59"/>
      <c r="V7840" s="50"/>
      <c r="X7840"/>
    </row>
    <row r="7841" spans="1:24">
      <c r="A7841"/>
      <c r="B7841"/>
      <c r="C7841" s="59"/>
      <c r="D7841" s="59"/>
      <c r="E7841" s="60"/>
      <c r="F7841" s="2"/>
      <c r="G7841" s="61"/>
      <c r="H7841" s="2"/>
      <c r="I7841" s="2"/>
      <c r="J7841" s="62"/>
      <c r="K7841" s="63"/>
      <c r="L7841" s="64"/>
      <c r="M7841" s="65"/>
      <c r="N7841" s="2"/>
      <c r="O7841" s="66"/>
      <c r="P7841" s="59"/>
      <c r="Q7841" s="2"/>
      <c r="R7841" s="2"/>
      <c r="S7841" s="59"/>
      <c r="T7841" s="59"/>
      <c r="V7841" s="50"/>
      <c r="X7841"/>
    </row>
    <row r="7842" spans="1:24">
      <c r="A7842"/>
      <c r="B7842"/>
      <c r="C7842" s="59"/>
      <c r="D7842" s="59"/>
      <c r="E7842" s="60"/>
      <c r="F7842" s="2"/>
      <c r="G7842" s="61"/>
      <c r="H7842" s="2"/>
      <c r="I7842" s="2"/>
      <c r="J7842" s="62"/>
      <c r="K7842" s="63"/>
      <c r="L7842" s="64"/>
      <c r="M7842" s="65"/>
      <c r="N7842" s="2"/>
      <c r="O7842" s="66"/>
      <c r="P7842" s="59"/>
      <c r="Q7842" s="2"/>
      <c r="R7842" s="2"/>
      <c r="S7842" s="59"/>
      <c r="T7842" s="59"/>
      <c r="V7842" s="50"/>
      <c r="X7842"/>
    </row>
    <row r="7843" spans="1:24">
      <c r="A7843"/>
      <c r="B7843"/>
      <c r="C7843" s="59"/>
      <c r="D7843" s="59"/>
      <c r="E7843" s="60"/>
      <c r="F7843" s="2"/>
      <c r="G7843" s="61"/>
      <c r="H7843" s="2"/>
      <c r="I7843" s="2"/>
      <c r="J7843" s="62"/>
      <c r="K7843" s="63"/>
      <c r="L7843" s="64"/>
      <c r="M7843" s="65"/>
      <c r="N7843" s="2"/>
      <c r="O7843" s="66"/>
      <c r="P7843" s="59"/>
      <c r="Q7843" s="2"/>
      <c r="R7843" s="2"/>
      <c r="S7843" s="59"/>
      <c r="T7843" s="59"/>
      <c r="V7843" s="50"/>
      <c r="X7843"/>
    </row>
    <row r="7844" spans="1:24">
      <c r="A7844"/>
      <c r="B7844"/>
      <c r="C7844" s="59"/>
      <c r="D7844" s="59"/>
      <c r="E7844" s="60"/>
      <c r="F7844" s="2"/>
      <c r="G7844" s="61"/>
      <c r="H7844" s="2"/>
      <c r="I7844" s="2"/>
      <c r="J7844" s="62"/>
      <c r="K7844" s="63"/>
      <c r="L7844" s="64"/>
      <c r="M7844" s="65"/>
      <c r="N7844" s="2"/>
      <c r="O7844" s="66"/>
      <c r="P7844" s="59"/>
      <c r="Q7844" s="2"/>
      <c r="R7844" s="2"/>
      <c r="S7844" s="59"/>
      <c r="T7844" s="59"/>
      <c r="V7844" s="50"/>
      <c r="X7844"/>
    </row>
    <row r="7845" spans="1:24">
      <c r="A7845"/>
      <c r="B7845"/>
      <c r="C7845" s="59"/>
      <c r="D7845" s="59"/>
      <c r="E7845" s="60"/>
      <c r="F7845" s="2"/>
      <c r="G7845" s="61"/>
      <c r="H7845" s="2"/>
      <c r="I7845" s="2"/>
      <c r="J7845" s="62"/>
      <c r="K7845" s="63"/>
      <c r="L7845" s="64"/>
      <c r="M7845" s="65"/>
      <c r="N7845" s="2"/>
      <c r="O7845" s="66"/>
      <c r="P7845" s="59"/>
      <c r="Q7845" s="2"/>
      <c r="R7845" s="2"/>
      <c r="S7845" s="59"/>
      <c r="T7845" s="59"/>
      <c r="V7845" s="50"/>
      <c r="X7845"/>
    </row>
    <row r="7846" spans="1:24">
      <c r="A7846"/>
      <c r="B7846"/>
      <c r="C7846" s="59"/>
      <c r="D7846" s="59"/>
      <c r="E7846" s="60"/>
      <c r="F7846" s="2"/>
      <c r="G7846" s="61"/>
      <c r="H7846" s="2"/>
      <c r="I7846" s="2"/>
      <c r="J7846" s="62"/>
      <c r="K7846" s="63"/>
      <c r="L7846" s="64"/>
      <c r="M7846" s="65"/>
      <c r="N7846" s="2"/>
      <c r="O7846" s="66"/>
      <c r="P7846" s="59"/>
      <c r="Q7846" s="2"/>
      <c r="R7846" s="2"/>
      <c r="S7846" s="59"/>
      <c r="T7846" s="59"/>
      <c r="V7846" s="50"/>
      <c r="X7846"/>
    </row>
    <row r="7847" spans="1:24">
      <c r="A7847"/>
      <c r="B7847"/>
      <c r="C7847" s="59"/>
      <c r="D7847" s="59"/>
      <c r="E7847" s="60"/>
      <c r="F7847" s="2"/>
      <c r="G7847" s="61"/>
      <c r="H7847" s="2"/>
      <c r="I7847" s="2"/>
      <c r="J7847" s="62"/>
      <c r="K7847" s="63"/>
      <c r="L7847" s="64"/>
      <c r="M7847" s="65"/>
      <c r="N7847" s="2"/>
      <c r="O7847" s="66"/>
      <c r="P7847" s="59"/>
      <c r="Q7847" s="2"/>
      <c r="R7847" s="2"/>
      <c r="V7847" s="50"/>
      <c r="X7847"/>
    </row>
    <row r="7848" spans="1:24">
      <c r="A7848"/>
      <c r="B7848"/>
      <c r="C7848" s="59"/>
      <c r="D7848" s="59"/>
      <c r="E7848" s="60"/>
      <c r="F7848" s="2"/>
      <c r="G7848" s="61"/>
      <c r="H7848" s="2"/>
      <c r="I7848" s="2"/>
      <c r="J7848" s="62"/>
      <c r="K7848" s="63"/>
      <c r="L7848" s="64"/>
      <c r="M7848" s="65"/>
      <c r="N7848" s="2"/>
      <c r="O7848" s="66"/>
      <c r="P7848" s="59"/>
      <c r="Q7848" s="2"/>
      <c r="R7848" s="2"/>
      <c r="S7848"/>
      <c r="T7848"/>
      <c r="V7848" s="50"/>
      <c r="X7848"/>
    </row>
    <row r="1048569" spans="37:39">
      <c r="AK1048569">
        <f>SUM(AK1:AK1048568)</f>
        <v>5319809.7300000004</v>
      </c>
      <c r="AM1048569">
        <f>SUBTOTAL(9,AM1:AM1048568)</f>
        <v>544914.74</v>
      </c>
    </row>
  </sheetData>
  <sortState xmlns:xlrd2="http://schemas.microsoft.com/office/spreadsheetml/2017/richdata2" ref="A1:AJ4756">
    <sortCondition ref="E6:E4749"/>
  </sortState>
  <mergeCells count="3">
    <mergeCell ref="C4:V5"/>
    <mergeCell ref="W1:Y3"/>
    <mergeCell ref="C1:V3"/>
  </mergeCells>
  <phoneticPr fontId="18" type="noConversion"/>
  <pageMargins left="0.7" right="0.7" top="0.75" bottom="0.75" header="0.3" footer="0.3"/>
  <pageSetup paperSize="9" scale="51" orientation="landscape" r:id="rId1"/>
  <ignoredErrors>
    <ignoredError sqref="AO4790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CA9A-5259-F64B-839B-BE5A21170DB2}">
  <sheetPr filterMode="1"/>
  <dimension ref="A1:G4751"/>
  <sheetViews>
    <sheetView workbookViewId="0">
      <selection activeCell="A29" sqref="A29"/>
    </sheetView>
  </sheetViews>
  <sheetFormatPr baseColWidth="10" defaultRowHeight="15"/>
  <sheetData>
    <row r="1" spans="1:7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</row>
    <row r="2" spans="1:7">
      <c r="A2" t="str">
        <f>Sinistrés!H7</f>
        <v>Colza d'hiver</v>
      </c>
      <c r="B2">
        <f>Sinistrés!J7</f>
        <v>86184</v>
      </c>
      <c r="C2">
        <f>Sinistrés!X7</f>
        <v>3110.4</v>
      </c>
      <c r="D2">
        <f>Sinistrés!L7</f>
        <v>66.5</v>
      </c>
      <c r="E2">
        <f>Sinistrés!M7</f>
        <v>22</v>
      </c>
      <c r="F2">
        <f>C2/B2</f>
        <v>3.6090225563909777E-2</v>
      </c>
      <c r="G2">
        <f>E2/D2</f>
        <v>0.33082706766917291</v>
      </c>
    </row>
    <row r="3" spans="1:7">
      <c r="A3" t="str">
        <f>Sinistrés!H8</f>
        <v>Colza d'hiver</v>
      </c>
      <c r="B3">
        <f>Sinistrés!J8</f>
        <v>45364.7</v>
      </c>
      <c r="C3">
        <f>Sinistrés!X8</f>
        <v>1015</v>
      </c>
      <c r="D3">
        <f>Sinistrés!L8</f>
        <v>33.44</v>
      </c>
      <c r="E3">
        <f>Sinistrés!M8</f>
        <v>16</v>
      </c>
      <c r="F3">
        <f t="shared" ref="F3:F66" si="0">C3/B3</f>
        <v>2.2374224892923355E-2</v>
      </c>
      <c r="G3">
        <f t="shared" ref="G3:G66" si="1">E3/D3</f>
        <v>0.47846889952153115</v>
      </c>
    </row>
    <row r="4" spans="1:7">
      <c r="A4" t="str">
        <f>Sinistrés!H9</f>
        <v>Colza d'hiver</v>
      </c>
      <c r="B4">
        <f>Sinistrés!J9</f>
        <v>16463.48</v>
      </c>
      <c r="C4">
        <f>Sinistrés!X9</f>
        <v>194.12</v>
      </c>
      <c r="D4">
        <f>Sinistrés!L9</f>
        <v>14.2</v>
      </c>
      <c r="E4">
        <f>Sinistrés!M9</f>
        <v>14</v>
      </c>
      <c r="F4">
        <f t="shared" si="0"/>
        <v>1.1790945778170837E-2</v>
      </c>
      <c r="G4">
        <f t="shared" si="1"/>
        <v>0.9859154929577465</v>
      </c>
    </row>
    <row r="5" spans="1:7">
      <c r="A5" t="str">
        <f>Sinistrés!H10</f>
        <v>Colza d'hiver</v>
      </c>
      <c r="B5">
        <f>Sinistrés!J10</f>
        <v>47690.78</v>
      </c>
      <c r="C5">
        <f>Sinistrés!X10</f>
        <v>2160</v>
      </c>
      <c r="D5">
        <f>Sinistrés!L10</f>
        <v>28.9</v>
      </c>
      <c r="E5">
        <f>Sinistrés!M10</f>
        <v>9</v>
      </c>
      <c r="F5">
        <f t="shared" si="0"/>
        <v>4.5291773378418221E-2</v>
      </c>
      <c r="G5">
        <f t="shared" si="1"/>
        <v>0.31141868512110726</v>
      </c>
    </row>
    <row r="6" spans="1:7" hidden="1">
      <c r="A6" t="str">
        <f>Sinistrés!H11</f>
        <v>Colza d'hiver</v>
      </c>
      <c r="B6">
        <f>Sinistrés!J11</f>
        <v>18298.8</v>
      </c>
      <c r="C6">
        <f>Sinistrés!X11</f>
        <v>0</v>
      </c>
      <c r="D6">
        <f>Sinistrés!L11</f>
        <v>18</v>
      </c>
      <c r="E6">
        <f>Sinistrés!M11</f>
        <v>18</v>
      </c>
      <c r="F6">
        <f t="shared" si="0"/>
        <v>0</v>
      </c>
      <c r="G6">
        <f t="shared" si="1"/>
        <v>1</v>
      </c>
    </row>
    <row r="7" spans="1:7" hidden="1">
      <c r="A7" t="str">
        <f>Sinistrés!H12</f>
        <v>Colza d'hiver</v>
      </c>
      <c r="B7">
        <f>Sinistrés!J12</f>
        <v>9948.4</v>
      </c>
      <c r="C7">
        <f>Sinistrés!X12</f>
        <v>0</v>
      </c>
      <c r="D7">
        <f>Sinistrés!L12</f>
        <v>7.7</v>
      </c>
      <c r="E7">
        <f>Sinistrés!M12</f>
        <v>24</v>
      </c>
      <c r="F7">
        <f t="shared" si="0"/>
        <v>0</v>
      </c>
      <c r="G7">
        <f t="shared" si="1"/>
        <v>3.116883116883117</v>
      </c>
    </row>
    <row r="8" spans="1:7" hidden="1">
      <c r="A8" t="str">
        <f>Sinistrés!H13</f>
        <v>Colza d'hiver</v>
      </c>
      <c r="B8">
        <f>Sinistrés!J13</f>
        <v>72541.11</v>
      </c>
      <c r="C8">
        <f>Sinistrés!X13</f>
        <v>0</v>
      </c>
      <c r="D8">
        <f>Sinistrés!L13</f>
        <v>57.28</v>
      </c>
      <c r="E8">
        <f>Sinistrés!M13</f>
        <v>57.28</v>
      </c>
      <c r="F8">
        <f t="shared" si="0"/>
        <v>0</v>
      </c>
      <c r="G8">
        <f t="shared" si="1"/>
        <v>1</v>
      </c>
    </row>
    <row r="9" spans="1:7">
      <c r="A9" t="str">
        <f>Sinistrés!H14</f>
        <v>Colza d'hiver</v>
      </c>
      <c r="B9">
        <f>Sinistrés!J14</f>
        <v>18865.439999999999</v>
      </c>
      <c r="C9">
        <f>Sinistrés!X14</f>
        <v>1060.8</v>
      </c>
      <c r="D9">
        <f>Sinistrés!L14</f>
        <v>16</v>
      </c>
      <c r="E9">
        <f>Sinistrés!M14</f>
        <v>6</v>
      </c>
      <c r="F9">
        <f t="shared" si="0"/>
        <v>5.6229804340635577E-2</v>
      </c>
      <c r="G9">
        <f t="shared" si="1"/>
        <v>0.375</v>
      </c>
    </row>
    <row r="10" spans="1:7">
      <c r="A10" t="str">
        <f>Sinistrés!H15</f>
        <v>Colza d'hiver</v>
      </c>
      <c r="B10">
        <f>Sinistrés!J15</f>
        <v>80049.279999999999</v>
      </c>
      <c r="C10">
        <f>Sinistrés!X15</f>
        <v>1647.1</v>
      </c>
      <c r="D10">
        <f>Sinistrés!L15</f>
        <v>65.83</v>
      </c>
      <c r="E10">
        <f>Sinistrés!M15</f>
        <v>13.5</v>
      </c>
      <c r="F10">
        <f t="shared" si="0"/>
        <v>2.0576075137715165E-2</v>
      </c>
      <c r="G10">
        <f t="shared" si="1"/>
        <v>0.20507367461643627</v>
      </c>
    </row>
    <row r="11" spans="1:7">
      <c r="A11" t="str">
        <f>Sinistrés!H16</f>
        <v>Colza d'hiver</v>
      </c>
      <c r="B11">
        <f>Sinistrés!J16</f>
        <v>59304</v>
      </c>
      <c r="C11">
        <f>Sinistrés!X16</f>
        <v>8643.6</v>
      </c>
      <c r="D11">
        <f>Sinistrés!L16</f>
        <v>42</v>
      </c>
      <c r="E11">
        <f>Sinistrés!M16</f>
        <v>43</v>
      </c>
      <c r="F11">
        <f t="shared" si="0"/>
        <v>0.14575070821529745</v>
      </c>
      <c r="G11">
        <f t="shared" si="1"/>
        <v>1.0238095238095237</v>
      </c>
    </row>
    <row r="12" spans="1:7" hidden="1">
      <c r="A12" t="str">
        <f>Sinistrés!H17</f>
        <v>Colza d'hiver</v>
      </c>
      <c r="B12">
        <f>Sinistrés!J17</f>
        <v>18848.73</v>
      </c>
      <c r="C12">
        <f>Sinistrés!X17</f>
        <v>0</v>
      </c>
      <c r="D12">
        <f>Sinistrés!L17</f>
        <v>15.17</v>
      </c>
      <c r="E12">
        <f>Sinistrés!M17</f>
        <v>15.17</v>
      </c>
      <c r="F12">
        <f t="shared" si="0"/>
        <v>0</v>
      </c>
      <c r="G12">
        <f t="shared" si="1"/>
        <v>1</v>
      </c>
    </row>
    <row r="13" spans="1:7">
      <c r="A13" t="str">
        <f>Sinistrés!H18</f>
        <v>Colza d'hiver</v>
      </c>
      <c r="B13">
        <f>Sinistrés!J18</f>
        <v>36780.32</v>
      </c>
      <c r="C13">
        <f>Sinistrés!X18</f>
        <v>5436.29</v>
      </c>
      <c r="D13">
        <f>Sinistrés!L18</f>
        <v>31.49</v>
      </c>
      <c r="E13">
        <f>Sinistrés!M18</f>
        <v>31.49</v>
      </c>
      <c r="F13">
        <f t="shared" si="0"/>
        <v>0.14780431491623783</v>
      </c>
      <c r="G13">
        <f t="shared" si="1"/>
        <v>1</v>
      </c>
    </row>
    <row r="14" spans="1:7" hidden="1">
      <c r="A14" t="str">
        <f>Sinistrés!H19</f>
        <v>Colza d'hiver</v>
      </c>
      <c r="B14">
        <f>Sinistrés!J19</f>
        <v>16391.34</v>
      </c>
      <c r="C14">
        <f>Sinistrés!X19</f>
        <v>0</v>
      </c>
      <c r="D14">
        <f>Sinistrés!L19</f>
        <v>10.4</v>
      </c>
      <c r="E14">
        <f>Sinistrés!M19</f>
        <v>10.4</v>
      </c>
      <c r="F14">
        <f t="shared" si="0"/>
        <v>0</v>
      </c>
      <c r="G14">
        <f t="shared" si="1"/>
        <v>1</v>
      </c>
    </row>
    <row r="15" spans="1:7" hidden="1">
      <c r="A15" t="str">
        <f>Sinistrés!H20</f>
        <v>Colza d'hiver</v>
      </c>
      <c r="B15">
        <f>Sinistrés!J20</f>
        <v>49103.6</v>
      </c>
      <c r="C15">
        <f>Sinistrés!X20</f>
        <v>0</v>
      </c>
      <c r="D15">
        <f>Sinistrés!L20</f>
        <v>36.4</v>
      </c>
      <c r="E15">
        <f>Sinistrés!M20</f>
        <v>36.4</v>
      </c>
      <c r="F15">
        <f t="shared" si="0"/>
        <v>0</v>
      </c>
      <c r="G15">
        <f t="shared" si="1"/>
        <v>1</v>
      </c>
    </row>
    <row r="16" spans="1:7">
      <c r="A16" t="str">
        <f>Sinistrés!H21</f>
        <v>Colza d'hiver</v>
      </c>
      <c r="B16">
        <f>Sinistrés!J21</f>
        <v>51272.55</v>
      </c>
      <c r="C16">
        <f>Sinistrés!X21</f>
        <v>5337.35</v>
      </c>
      <c r="D16">
        <f>Sinistrés!L21</f>
        <v>45</v>
      </c>
      <c r="E16">
        <f>Sinistrés!M21</f>
        <v>45</v>
      </c>
      <c r="F16">
        <f t="shared" si="0"/>
        <v>0.10409761168500493</v>
      </c>
      <c r="G16">
        <f t="shared" si="1"/>
        <v>1</v>
      </c>
    </row>
    <row r="17" spans="1:7">
      <c r="A17" t="str">
        <f>Sinistrés!H22</f>
        <v>Colza d'hiver</v>
      </c>
      <c r="B17">
        <f>Sinistrés!J22</f>
        <v>13977.58</v>
      </c>
      <c r="C17">
        <f>Sinistrés!X22</f>
        <v>1951.01</v>
      </c>
      <c r="D17">
        <f>Sinistrés!L22</f>
        <v>9.7799999999999994</v>
      </c>
      <c r="E17">
        <f>Sinistrés!M22</f>
        <v>9.7799999999999994</v>
      </c>
      <c r="F17">
        <f t="shared" si="0"/>
        <v>0.13958138676366008</v>
      </c>
      <c r="G17">
        <f t="shared" si="1"/>
        <v>1</v>
      </c>
    </row>
    <row r="18" spans="1:7" hidden="1">
      <c r="A18" t="str">
        <f>Sinistrés!H23</f>
        <v>Colza d'hiver</v>
      </c>
      <c r="B18">
        <f>Sinistrés!J23</f>
        <v>29324.5</v>
      </c>
      <c r="C18">
        <f>Sinistrés!X23</f>
        <v>0</v>
      </c>
      <c r="D18">
        <f>Sinistrés!L23</f>
        <v>22.3</v>
      </c>
      <c r="E18">
        <f>Sinistrés!M23</f>
        <v>22.3</v>
      </c>
      <c r="F18">
        <f t="shared" si="0"/>
        <v>0</v>
      </c>
      <c r="G18">
        <f t="shared" si="1"/>
        <v>1</v>
      </c>
    </row>
    <row r="19" spans="1:7" hidden="1">
      <c r="A19" t="str">
        <f>Sinistrés!H24</f>
        <v>Colza d'hiver</v>
      </c>
      <c r="B19">
        <f>Sinistrés!J24</f>
        <v>22232</v>
      </c>
      <c r="C19">
        <f>Sinistrés!X24</f>
        <v>0</v>
      </c>
      <c r="D19">
        <f>Sinistrés!L24</f>
        <v>16</v>
      </c>
      <c r="E19">
        <f>Sinistrés!M24</f>
        <v>16</v>
      </c>
      <c r="F19">
        <f t="shared" si="0"/>
        <v>0</v>
      </c>
      <c r="G19">
        <f t="shared" si="1"/>
        <v>1</v>
      </c>
    </row>
    <row r="20" spans="1:7">
      <c r="A20" t="str">
        <f>Sinistrés!H25</f>
        <v>Colza d'hiver</v>
      </c>
      <c r="B20">
        <f>Sinistrés!J25</f>
        <v>227800.17</v>
      </c>
      <c r="C20">
        <f>Sinistrés!X25</f>
        <v>8000</v>
      </c>
      <c r="D20">
        <f>Sinistrés!L25</f>
        <v>149.77000000000001</v>
      </c>
      <c r="E20">
        <f>Sinistrés!M25</f>
        <v>149</v>
      </c>
      <c r="F20">
        <f t="shared" si="0"/>
        <v>3.5118498814114142E-2</v>
      </c>
      <c r="G20">
        <f t="shared" si="1"/>
        <v>0.99485878346798418</v>
      </c>
    </row>
    <row r="21" spans="1:7">
      <c r="A21" t="str">
        <f>Sinistrés!H26</f>
        <v>Colza d'hiver</v>
      </c>
      <c r="B21">
        <f>Sinistrés!J26</f>
        <v>41184.720000000001</v>
      </c>
      <c r="C21">
        <f>Sinistrés!X26</f>
        <v>2500</v>
      </c>
      <c r="D21">
        <f>Sinistrés!L26</f>
        <v>33.159999999999997</v>
      </c>
      <c r="E21">
        <f>Sinistrés!M26</f>
        <v>33</v>
      </c>
      <c r="F21">
        <f t="shared" si="0"/>
        <v>6.0702124477233305E-2</v>
      </c>
      <c r="G21">
        <f t="shared" si="1"/>
        <v>0.99517490952955379</v>
      </c>
    </row>
    <row r="22" spans="1:7" hidden="1">
      <c r="A22" t="str">
        <f>Sinistrés!H27</f>
        <v>Colza d'hiver</v>
      </c>
      <c r="B22">
        <f>Sinistrés!J27</f>
        <v>32346.93</v>
      </c>
      <c r="C22">
        <f>Sinistrés!X27</f>
        <v>0</v>
      </c>
      <c r="D22">
        <f>Sinistrés!L27</f>
        <v>23.45</v>
      </c>
      <c r="E22">
        <f>Sinistrés!M27</f>
        <v>23.45</v>
      </c>
      <c r="F22">
        <f t="shared" si="0"/>
        <v>0</v>
      </c>
      <c r="G22">
        <f t="shared" si="1"/>
        <v>1</v>
      </c>
    </row>
    <row r="23" spans="1:7">
      <c r="A23" t="str">
        <f>Sinistrés!H28</f>
        <v>Colza d'hiver</v>
      </c>
      <c r="B23">
        <f>Sinistrés!J28</f>
        <v>42338.84</v>
      </c>
      <c r="C23">
        <f>Sinistrés!X28</f>
        <v>2495.23</v>
      </c>
      <c r="D23">
        <f>Sinistrés!L28</f>
        <v>32.770000000000003</v>
      </c>
      <c r="E23">
        <f>Sinistrés!M28</f>
        <v>14.4</v>
      </c>
      <c r="F23">
        <f t="shared" si="0"/>
        <v>5.8934774783626576E-2</v>
      </c>
      <c r="G23">
        <f t="shared" si="1"/>
        <v>0.43942630454684162</v>
      </c>
    </row>
    <row r="24" spans="1:7">
      <c r="A24" t="str">
        <f>Sinistrés!H29</f>
        <v>Colza d'hiver</v>
      </c>
      <c r="B24">
        <f>Sinistrés!J29</f>
        <v>40180</v>
      </c>
      <c r="C24">
        <f>Sinistrés!X29</f>
        <v>4800</v>
      </c>
      <c r="D24">
        <f>Sinistrés!L29</f>
        <v>40</v>
      </c>
      <c r="E24">
        <f>Sinistrés!M29</f>
        <v>32</v>
      </c>
      <c r="F24">
        <f t="shared" si="0"/>
        <v>0.11946241911398706</v>
      </c>
      <c r="G24">
        <f t="shared" si="1"/>
        <v>0.8</v>
      </c>
    </row>
    <row r="25" spans="1:7">
      <c r="A25" t="str">
        <f>Sinistrés!H30</f>
        <v>Colza d'hiver</v>
      </c>
      <c r="B25">
        <f>Sinistrés!J30</f>
        <v>33114.9</v>
      </c>
      <c r="C25">
        <f>Sinistrés!X30</f>
        <v>4819.1400000000003</v>
      </c>
      <c r="D25">
        <f>Sinistrés!L30</f>
        <v>27.76</v>
      </c>
      <c r="E25">
        <f>Sinistrés!M30</f>
        <v>27.75</v>
      </c>
      <c r="F25">
        <f t="shared" si="0"/>
        <v>0.14552784396147958</v>
      </c>
      <c r="G25">
        <f t="shared" si="1"/>
        <v>0.99963976945244948</v>
      </c>
    </row>
    <row r="26" spans="1:7">
      <c r="A26" t="str">
        <f>Sinistrés!H31</f>
        <v>Colza d'hiver</v>
      </c>
      <c r="B26">
        <f>Sinistrés!J31</f>
        <v>20939.37</v>
      </c>
      <c r="C26">
        <f>Sinistrés!X31</f>
        <v>2026.09</v>
      </c>
      <c r="D26">
        <f>Sinistrés!L31</f>
        <v>17.350000000000001</v>
      </c>
      <c r="E26">
        <f>Sinistrés!M31</f>
        <v>12.43</v>
      </c>
      <c r="F26">
        <f t="shared" si="0"/>
        <v>9.6759835658856971E-2</v>
      </c>
      <c r="G26">
        <f t="shared" si="1"/>
        <v>0.71642651296829962</v>
      </c>
    </row>
    <row r="27" spans="1:7" hidden="1">
      <c r="A27" t="str">
        <f>Sinistrés!H32</f>
        <v>Colza d'hiver</v>
      </c>
      <c r="B27">
        <f>Sinistrés!J32</f>
        <v>8658</v>
      </c>
      <c r="C27">
        <f>Sinistrés!X32</f>
        <v>0</v>
      </c>
      <c r="D27">
        <f>Sinistrés!L32</f>
        <v>11.1</v>
      </c>
      <c r="E27">
        <f>Sinistrés!M32</f>
        <v>11.1</v>
      </c>
      <c r="F27">
        <f t="shared" si="0"/>
        <v>0</v>
      </c>
      <c r="G27">
        <f t="shared" si="1"/>
        <v>1</v>
      </c>
    </row>
    <row r="28" spans="1:7" hidden="1">
      <c r="A28" t="str">
        <f>Sinistrés!H33</f>
        <v>Colza d'hiver</v>
      </c>
      <c r="B28">
        <f>Sinistrés!J33</f>
        <v>45436.65</v>
      </c>
      <c r="C28">
        <f>Sinistrés!X33</f>
        <v>0</v>
      </c>
      <c r="D28">
        <f>Sinistrés!L33</f>
        <v>35</v>
      </c>
      <c r="E28">
        <f>Sinistrés!M33</f>
        <v>35</v>
      </c>
      <c r="F28">
        <f t="shared" si="0"/>
        <v>0</v>
      </c>
      <c r="G28">
        <f t="shared" si="1"/>
        <v>1</v>
      </c>
    </row>
    <row r="29" spans="1:7">
      <c r="A29" t="str">
        <f>Sinistrés!H34</f>
        <v>Colza d'hiver</v>
      </c>
      <c r="B29">
        <f>Sinistrés!J34</f>
        <v>18712.36</v>
      </c>
      <c r="C29">
        <f>Sinistrés!X34</f>
        <v>776</v>
      </c>
      <c r="D29">
        <f>Sinistrés!L34</f>
        <v>14.24</v>
      </c>
      <c r="E29">
        <f>Sinistrés!M34</f>
        <v>14.2</v>
      </c>
      <c r="F29">
        <f t="shared" si="0"/>
        <v>4.146991614098916E-2</v>
      </c>
      <c r="G29">
        <f t="shared" si="1"/>
        <v>0.99719101123595499</v>
      </c>
    </row>
    <row r="30" spans="1:7">
      <c r="A30" t="str">
        <f>Sinistrés!H35</f>
        <v>Colza d'hiver</v>
      </c>
      <c r="B30">
        <f>Sinistrés!J35</f>
        <v>22868.16</v>
      </c>
      <c r="C30">
        <f>Sinistrés!X35</f>
        <v>1815</v>
      </c>
      <c r="D30">
        <f>Sinistrés!L35</f>
        <v>19.920000000000002</v>
      </c>
      <c r="E30">
        <f>Sinistrés!M35</f>
        <v>11</v>
      </c>
      <c r="F30">
        <f t="shared" si="0"/>
        <v>7.9367994626589985E-2</v>
      </c>
      <c r="G30">
        <f t="shared" si="1"/>
        <v>0.55220883534136544</v>
      </c>
    </row>
    <row r="31" spans="1:7" hidden="1">
      <c r="A31" t="str">
        <f>Sinistrés!H36</f>
        <v>Blé tendre d'hiver</v>
      </c>
      <c r="B31">
        <f>Sinistrés!J36</f>
        <v>41547.47</v>
      </c>
      <c r="C31">
        <f>Sinistrés!X36</f>
        <v>0</v>
      </c>
      <c r="D31">
        <f>Sinistrés!L36</f>
        <v>28.03</v>
      </c>
      <c r="E31">
        <f>Sinistrés!M36</f>
        <v>11</v>
      </c>
      <c r="F31">
        <f t="shared" si="0"/>
        <v>0</v>
      </c>
      <c r="G31">
        <f t="shared" si="1"/>
        <v>0.39243667499108098</v>
      </c>
    </row>
    <row r="32" spans="1:7" hidden="1">
      <c r="A32" t="str">
        <f>Sinistrés!H37</f>
        <v>Colza d'hiver</v>
      </c>
      <c r="B32">
        <f>Sinistrés!J37</f>
        <v>32106.3</v>
      </c>
      <c r="C32">
        <f>Sinistrés!X37</f>
        <v>0</v>
      </c>
      <c r="D32">
        <f>Sinistrés!L37</f>
        <v>22.91</v>
      </c>
      <c r="E32">
        <f>Sinistrés!M37</f>
        <v>22.91</v>
      </c>
      <c r="F32">
        <f t="shared" si="0"/>
        <v>0</v>
      </c>
      <c r="G32">
        <f t="shared" si="1"/>
        <v>1</v>
      </c>
    </row>
    <row r="33" spans="1:7" hidden="1">
      <c r="A33" t="str">
        <f>Sinistrés!H38</f>
        <v>Colza d'hiver</v>
      </c>
      <c r="B33">
        <f>Sinistrés!J38</f>
        <v>47872.35</v>
      </c>
      <c r="C33">
        <f>Sinistrés!X38</f>
        <v>0</v>
      </c>
      <c r="D33">
        <f>Sinistrés!L38</f>
        <v>35.44</v>
      </c>
      <c r="E33">
        <f>Sinistrés!M38</f>
        <v>15.93</v>
      </c>
      <c r="F33">
        <f t="shared" si="0"/>
        <v>0</v>
      </c>
      <c r="G33">
        <f t="shared" si="1"/>
        <v>0.4494920993227991</v>
      </c>
    </row>
    <row r="34" spans="1:7" hidden="1">
      <c r="A34" t="str">
        <f>Sinistrés!H39</f>
        <v>Colza d'hiver</v>
      </c>
      <c r="B34">
        <f>Sinistrés!J39</f>
        <v>98000</v>
      </c>
      <c r="C34">
        <f>Sinistrés!X39</f>
        <v>0</v>
      </c>
      <c r="D34">
        <f>Sinistrés!L39</f>
        <v>70</v>
      </c>
      <c r="E34">
        <f>Sinistrés!M39</f>
        <v>60</v>
      </c>
      <c r="F34">
        <f t="shared" si="0"/>
        <v>0</v>
      </c>
      <c r="G34">
        <f t="shared" si="1"/>
        <v>0.8571428571428571</v>
      </c>
    </row>
    <row r="35" spans="1:7">
      <c r="A35" t="str">
        <f>Sinistrés!H40</f>
        <v>Colza d'hiver</v>
      </c>
      <c r="B35">
        <f>Sinistrés!J40</f>
        <v>16944</v>
      </c>
      <c r="C35">
        <f>Sinistrés!X40</f>
        <v>2361.6</v>
      </c>
      <c r="D35">
        <f>Sinistrés!L40</f>
        <v>12</v>
      </c>
      <c r="E35">
        <f>Sinistrés!M40</f>
        <v>12</v>
      </c>
      <c r="F35">
        <f t="shared" si="0"/>
        <v>0.13937677053824363</v>
      </c>
      <c r="G35">
        <f t="shared" si="1"/>
        <v>1</v>
      </c>
    </row>
    <row r="36" spans="1:7" hidden="1">
      <c r="A36" t="str">
        <f>Sinistrés!H41</f>
        <v>Colza d'hiver</v>
      </c>
      <c r="B36">
        <f>Sinistrés!J41</f>
        <v>2331.1799999999998</v>
      </c>
      <c r="C36">
        <f>Sinistrés!X41</f>
        <v>0</v>
      </c>
      <c r="D36">
        <f>Sinistrés!L41</f>
        <v>1.6</v>
      </c>
      <c r="E36">
        <f>Sinistrés!M41</f>
        <v>0.6</v>
      </c>
      <c r="F36">
        <f t="shared" si="0"/>
        <v>0</v>
      </c>
      <c r="G36">
        <f t="shared" si="1"/>
        <v>0.37499999999999994</v>
      </c>
    </row>
    <row r="37" spans="1:7" hidden="1">
      <c r="A37" t="str">
        <f>Sinistrés!H42</f>
        <v>Colza d'hiver</v>
      </c>
      <c r="B37">
        <f>Sinistrés!J42</f>
        <v>75130.83</v>
      </c>
      <c r="C37">
        <f>Sinistrés!X42</f>
        <v>0</v>
      </c>
      <c r="D37">
        <f>Sinistrés!L42</f>
        <v>62.95</v>
      </c>
      <c r="E37">
        <f>Sinistrés!M42</f>
        <v>62.95</v>
      </c>
      <c r="F37">
        <f t="shared" si="0"/>
        <v>0</v>
      </c>
      <c r="G37">
        <f t="shared" si="1"/>
        <v>1</v>
      </c>
    </row>
    <row r="38" spans="1:7">
      <c r="A38" t="str">
        <f>Sinistrés!H43</f>
        <v>Colza d'hiver</v>
      </c>
      <c r="B38">
        <f>Sinistrés!J43</f>
        <v>20580</v>
      </c>
      <c r="C38">
        <f>Sinistrés!X43</f>
        <v>1381.38</v>
      </c>
      <c r="D38">
        <f>Sinistrés!L43</f>
        <v>20</v>
      </c>
      <c r="E38">
        <f>Sinistrés!M43</f>
        <v>9</v>
      </c>
      <c r="F38">
        <f t="shared" si="0"/>
        <v>6.7122448979591839E-2</v>
      </c>
      <c r="G38">
        <f t="shared" si="1"/>
        <v>0.45</v>
      </c>
    </row>
    <row r="39" spans="1:7">
      <c r="A39" t="str">
        <f>Sinistrés!H44</f>
        <v>Colza d'hiver</v>
      </c>
      <c r="B39">
        <f>Sinistrés!J44</f>
        <v>21129.33</v>
      </c>
      <c r="C39">
        <f>Sinistrés!X44</f>
        <v>1096.75</v>
      </c>
      <c r="D39">
        <f>Sinistrés!L44</f>
        <v>15.25</v>
      </c>
      <c r="E39">
        <f>Sinistrés!M44</f>
        <v>5.35</v>
      </c>
      <c r="F39">
        <f t="shared" si="0"/>
        <v>5.1906520462314705E-2</v>
      </c>
      <c r="G39">
        <f t="shared" si="1"/>
        <v>0.35081967213114751</v>
      </c>
    </row>
    <row r="40" spans="1:7">
      <c r="A40" t="str">
        <f>Sinistrés!H45</f>
        <v>Colza d'hiver</v>
      </c>
      <c r="B40">
        <f>Sinistrés!J45</f>
        <v>35687.519999999997</v>
      </c>
      <c r="C40">
        <f>Sinistrés!X45</f>
        <v>2458.14</v>
      </c>
      <c r="D40">
        <f>Sinistrés!L45</f>
        <v>34.19</v>
      </c>
      <c r="E40">
        <f>Sinistrés!M45</f>
        <v>18.8</v>
      </c>
      <c r="F40">
        <f t="shared" si="0"/>
        <v>6.8879541083269449E-2</v>
      </c>
      <c r="G40">
        <f t="shared" si="1"/>
        <v>0.54986838256800241</v>
      </c>
    </row>
    <row r="41" spans="1:7" hidden="1">
      <c r="A41" t="str">
        <f>Sinistrés!H46</f>
        <v>Colza d'hiver</v>
      </c>
      <c r="B41">
        <f>Sinistrés!J46</f>
        <v>41905.89</v>
      </c>
      <c r="C41">
        <f>Sinistrés!X46</f>
        <v>0</v>
      </c>
      <c r="D41">
        <f>Sinistrés!L46</f>
        <v>32.68</v>
      </c>
      <c r="E41">
        <f>Sinistrés!M46</f>
        <v>32.68</v>
      </c>
      <c r="F41">
        <f t="shared" si="0"/>
        <v>0</v>
      </c>
      <c r="G41">
        <f t="shared" si="1"/>
        <v>1</v>
      </c>
    </row>
    <row r="42" spans="1:7">
      <c r="A42" t="str">
        <f>Sinistrés!H47</f>
        <v>Colza d'hiver</v>
      </c>
      <c r="B42">
        <f>Sinistrés!J47</f>
        <v>12294.75</v>
      </c>
      <c r="C42">
        <f>Sinistrés!X47</f>
        <v>962.63</v>
      </c>
      <c r="D42">
        <f>Sinistrés!L47</f>
        <v>9.6999999999999993</v>
      </c>
      <c r="E42">
        <f>Sinistrés!M47</f>
        <v>9.76</v>
      </c>
      <c r="F42">
        <f t="shared" si="0"/>
        <v>7.8296020659224461E-2</v>
      </c>
      <c r="G42">
        <f t="shared" si="1"/>
        <v>1.0061855670103093</v>
      </c>
    </row>
    <row r="43" spans="1:7" hidden="1">
      <c r="A43" t="str">
        <f>Sinistrés!H48</f>
        <v>Colza d'hiver</v>
      </c>
      <c r="B43">
        <f>Sinistrés!J48</f>
        <v>31406.67</v>
      </c>
      <c r="C43">
        <f>Sinistrés!X48</f>
        <v>0</v>
      </c>
      <c r="D43">
        <f>Sinistrés!L48</f>
        <v>27</v>
      </c>
      <c r="E43">
        <f>Sinistrés!M48</f>
        <v>13</v>
      </c>
      <c r="F43">
        <f t="shared" si="0"/>
        <v>0</v>
      </c>
      <c r="G43">
        <f t="shared" si="1"/>
        <v>0.48148148148148145</v>
      </c>
    </row>
    <row r="44" spans="1:7" hidden="1">
      <c r="A44" t="str">
        <f>Sinistrés!H49</f>
        <v>Colza d'hiver BIO</v>
      </c>
      <c r="B44">
        <f>Sinistrés!J49</f>
        <v>33507.18</v>
      </c>
      <c r="C44">
        <f>Sinistrés!X49</f>
        <v>1226.07</v>
      </c>
      <c r="D44">
        <f>Sinistrés!L49</f>
        <v>21</v>
      </c>
      <c r="E44">
        <f>Sinistrés!M49</f>
        <v>21</v>
      </c>
      <c r="F44">
        <f t="shared" si="0"/>
        <v>3.6591261932517147E-2</v>
      </c>
      <c r="G44">
        <f t="shared" si="1"/>
        <v>1</v>
      </c>
    </row>
    <row r="45" spans="1:7" hidden="1">
      <c r="A45" t="str">
        <f>Sinistrés!H50</f>
        <v>Orge de printemps</v>
      </c>
      <c r="B45">
        <f>Sinistrés!J50</f>
        <v>10621.26</v>
      </c>
      <c r="C45">
        <f>Sinistrés!X50</f>
        <v>0</v>
      </c>
      <c r="D45">
        <f>Sinistrés!L50</f>
        <v>11.57</v>
      </c>
      <c r="E45">
        <f>Sinistrés!M50</f>
        <v>11.57</v>
      </c>
      <c r="F45">
        <f t="shared" si="0"/>
        <v>0</v>
      </c>
      <c r="G45">
        <f t="shared" si="1"/>
        <v>1</v>
      </c>
    </row>
    <row r="46" spans="1:7" hidden="1">
      <c r="A46" t="str">
        <f>Sinistrés!H51</f>
        <v>Blé de force</v>
      </c>
      <c r="B46">
        <f>Sinistrés!J51</f>
        <v>51888.5</v>
      </c>
      <c r="C46">
        <f>Sinistrés!X51</f>
        <v>0</v>
      </c>
      <c r="D46">
        <f>Sinistrés!L51</f>
        <v>39.25</v>
      </c>
      <c r="E46">
        <f>Sinistrés!M51</f>
        <v>39.25</v>
      </c>
      <c r="F46">
        <f t="shared" si="0"/>
        <v>0</v>
      </c>
      <c r="G46">
        <f t="shared" si="1"/>
        <v>1</v>
      </c>
    </row>
    <row r="47" spans="1:7" hidden="1">
      <c r="A47" t="str">
        <f>Sinistrés!H52</f>
        <v>Blé dur d'hiver</v>
      </c>
      <c r="B47">
        <f>Sinistrés!J52</f>
        <v>26056.799999999999</v>
      </c>
      <c r="C47">
        <f>Sinistrés!X52</f>
        <v>0</v>
      </c>
      <c r="D47">
        <f>Sinistrés!L52</f>
        <v>20</v>
      </c>
      <c r="E47">
        <f>Sinistrés!M52</f>
        <v>20</v>
      </c>
      <c r="F47">
        <f t="shared" si="0"/>
        <v>0</v>
      </c>
      <c r="G47">
        <f t="shared" si="1"/>
        <v>1</v>
      </c>
    </row>
    <row r="48" spans="1:7">
      <c r="A48" t="str">
        <f>Sinistrés!H53</f>
        <v>Blé tendre d'hiver</v>
      </c>
      <c r="B48">
        <f>Sinistrés!J53</f>
        <v>54813.78</v>
      </c>
      <c r="C48">
        <f>Sinistrés!X53</f>
        <v>22975.08</v>
      </c>
      <c r="D48">
        <f>Sinistrés!L53</f>
        <v>59.48</v>
      </c>
      <c r="E48">
        <f>Sinistrés!M53</f>
        <v>59.48</v>
      </c>
      <c r="F48">
        <f t="shared" si="0"/>
        <v>0.41914788580535772</v>
      </c>
      <c r="G48">
        <f t="shared" si="1"/>
        <v>1</v>
      </c>
    </row>
    <row r="49" spans="1:7">
      <c r="A49" t="str">
        <f>Sinistrés!H54</f>
        <v>Blé tendre d'hiver</v>
      </c>
      <c r="B49">
        <f>Sinistrés!J54</f>
        <v>36473.230000000003</v>
      </c>
      <c r="C49">
        <f>Sinistrés!X54</f>
        <v>206.78</v>
      </c>
      <c r="D49">
        <f>Sinistrés!L54</f>
        <v>29.49</v>
      </c>
      <c r="E49">
        <f>Sinistrés!M54</f>
        <v>29.49</v>
      </c>
      <c r="F49">
        <f t="shared" si="0"/>
        <v>5.6693635304578176E-3</v>
      </c>
      <c r="G49">
        <f t="shared" si="1"/>
        <v>1</v>
      </c>
    </row>
    <row r="50" spans="1:7" hidden="1">
      <c r="A50" t="str">
        <f>Sinistrés!H55</f>
        <v>Colza d'hiver</v>
      </c>
      <c r="B50">
        <f>Sinistrés!J55</f>
        <v>21118.42</v>
      </c>
      <c r="C50">
        <f>Sinistrés!X55</f>
        <v>0</v>
      </c>
      <c r="D50">
        <f>Sinistrés!L55</f>
        <v>21.62</v>
      </c>
      <c r="E50">
        <f>Sinistrés!M55</f>
        <v>20</v>
      </c>
      <c r="F50">
        <f t="shared" si="0"/>
        <v>0</v>
      </c>
      <c r="G50">
        <f t="shared" si="1"/>
        <v>0.92506938020351526</v>
      </c>
    </row>
    <row r="51" spans="1:7" hidden="1">
      <c r="A51" t="str">
        <f>Sinistrés!H56</f>
        <v>Colza d'hiver BIO</v>
      </c>
      <c r="B51">
        <f>Sinistrés!J56</f>
        <v>12285</v>
      </c>
      <c r="C51">
        <f>Sinistrés!X56</f>
        <v>0</v>
      </c>
      <c r="D51">
        <f>Sinistrés!L56</f>
        <v>4.55</v>
      </c>
      <c r="E51">
        <f>Sinistrés!M56</f>
        <v>4.55</v>
      </c>
      <c r="F51">
        <f t="shared" si="0"/>
        <v>0</v>
      </c>
      <c r="G51">
        <f t="shared" si="1"/>
        <v>1</v>
      </c>
    </row>
    <row r="52" spans="1:7" hidden="1">
      <c r="A52" t="str">
        <f>Sinistrés!H57</f>
        <v>Seigle et méteil BIO</v>
      </c>
      <c r="B52">
        <f>Sinistrés!J57</f>
        <v>16032</v>
      </c>
      <c r="C52">
        <f>Sinistrés!X57</f>
        <v>160.32</v>
      </c>
      <c r="D52">
        <f>Sinistrés!L57</f>
        <v>13.36</v>
      </c>
      <c r="E52">
        <f>Sinistrés!M57</f>
        <v>13.36</v>
      </c>
      <c r="F52">
        <f t="shared" si="0"/>
        <v>0.01</v>
      </c>
      <c r="G52">
        <f t="shared" si="1"/>
        <v>1</v>
      </c>
    </row>
    <row r="53" spans="1:7" hidden="1">
      <c r="A53" t="str">
        <f>Sinistrés!H58</f>
        <v>Blé tendre d'hiver</v>
      </c>
      <c r="B53">
        <f>Sinistrés!J58</f>
        <v>10355.69</v>
      </c>
      <c r="C53">
        <f>Sinistrés!X58</f>
        <v>0</v>
      </c>
      <c r="D53">
        <f>Sinistrés!L58</f>
        <v>7.61</v>
      </c>
      <c r="E53">
        <f>Sinistrés!M58</f>
        <v>7.61</v>
      </c>
      <c r="F53">
        <f t="shared" si="0"/>
        <v>0</v>
      </c>
      <c r="G53">
        <f t="shared" si="1"/>
        <v>1</v>
      </c>
    </row>
    <row r="54" spans="1:7" hidden="1">
      <c r="A54" t="str">
        <f>Sinistrés!H59</f>
        <v>Colza d'hiver</v>
      </c>
      <c r="B54">
        <f>Sinistrés!J59</f>
        <v>8964</v>
      </c>
      <c r="C54">
        <f>Sinistrés!X59</f>
        <v>0</v>
      </c>
      <c r="D54">
        <f>Sinistrés!L59</f>
        <v>6.64</v>
      </c>
      <c r="E54">
        <f>Sinistrés!M59</f>
        <v>6.64</v>
      </c>
      <c r="F54">
        <f t="shared" si="0"/>
        <v>0</v>
      </c>
      <c r="G54">
        <f t="shared" si="1"/>
        <v>1</v>
      </c>
    </row>
    <row r="55" spans="1:7" hidden="1">
      <c r="A55" t="str">
        <f>Sinistrés!H60</f>
        <v>Blé tendre d'hiver</v>
      </c>
      <c r="B55">
        <f>Sinistrés!J60</f>
        <v>45815</v>
      </c>
      <c r="C55">
        <f>Sinistrés!X60</f>
        <v>0</v>
      </c>
      <c r="D55">
        <f>Sinistrés!L60</f>
        <v>50</v>
      </c>
      <c r="E55">
        <f>Sinistrés!M60</f>
        <v>50</v>
      </c>
      <c r="F55">
        <f t="shared" si="0"/>
        <v>0</v>
      </c>
      <c r="G55">
        <f t="shared" si="1"/>
        <v>1</v>
      </c>
    </row>
    <row r="56" spans="1:7" hidden="1">
      <c r="A56" t="str">
        <f>Sinistrés!H61</f>
        <v>Féveroles et fèves</v>
      </c>
      <c r="B56">
        <f>Sinistrés!J61</f>
        <v>5295.84</v>
      </c>
      <c r="C56">
        <f>Sinistrés!X61</f>
        <v>0</v>
      </c>
      <c r="D56">
        <f>Sinistrés!L61</f>
        <v>18.88</v>
      </c>
      <c r="E56">
        <f>Sinistrés!M61</f>
        <v>18.88</v>
      </c>
      <c r="F56">
        <f t="shared" si="0"/>
        <v>0</v>
      </c>
      <c r="G56">
        <f t="shared" si="1"/>
        <v>1</v>
      </c>
    </row>
    <row r="57" spans="1:7" hidden="1">
      <c r="A57" t="str">
        <f>Sinistrés!H62</f>
        <v>Triticale</v>
      </c>
      <c r="B57">
        <f>Sinistrés!J62</f>
        <v>20825.64</v>
      </c>
      <c r="C57">
        <f>Sinistrés!X62</f>
        <v>0</v>
      </c>
      <c r="D57">
        <f>Sinistrés!L62</f>
        <v>34.159999999999997</v>
      </c>
      <c r="E57">
        <f>Sinistrés!M62</f>
        <v>34.159999999999997</v>
      </c>
      <c r="F57">
        <f t="shared" si="0"/>
        <v>0</v>
      </c>
      <c r="G57">
        <f t="shared" si="1"/>
        <v>1</v>
      </c>
    </row>
    <row r="58" spans="1:7" hidden="1">
      <c r="A58" t="str">
        <f>Sinistrés!H63</f>
        <v>Colza d'hiver</v>
      </c>
      <c r="B58">
        <f>Sinistrés!J63</f>
        <v>13748.8</v>
      </c>
      <c r="C58">
        <f>Sinistrés!X63</f>
        <v>0</v>
      </c>
      <c r="D58">
        <f>Sinistrés!L63</f>
        <v>13.22</v>
      </c>
      <c r="E58">
        <f>Sinistrés!M63</f>
        <v>13.22</v>
      </c>
      <c r="F58">
        <f t="shared" si="0"/>
        <v>0</v>
      </c>
      <c r="G58">
        <f t="shared" si="1"/>
        <v>1</v>
      </c>
    </row>
    <row r="59" spans="1:7" hidden="1">
      <c r="A59" t="str">
        <f>Sinistrés!H64</f>
        <v>Blé de force</v>
      </c>
      <c r="B59">
        <f>Sinistrés!J64</f>
        <v>44166.400000000001</v>
      </c>
      <c r="C59">
        <f>Sinistrés!X64</f>
        <v>0</v>
      </c>
      <c r="D59">
        <f>Sinistrés!L64</f>
        <v>79</v>
      </c>
      <c r="E59">
        <f>Sinistrés!M64</f>
        <v>79</v>
      </c>
      <c r="F59">
        <f t="shared" si="0"/>
        <v>0</v>
      </c>
      <c r="G59">
        <f t="shared" si="1"/>
        <v>1</v>
      </c>
    </row>
    <row r="60" spans="1:7">
      <c r="A60" t="str">
        <f>Sinistrés!H65</f>
        <v>Colza d'hiver</v>
      </c>
      <c r="B60">
        <f>Sinistrés!J65</f>
        <v>17762.5</v>
      </c>
      <c r="C60">
        <f>Sinistrés!X65</f>
        <v>2645.76</v>
      </c>
      <c r="D60">
        <f>Sinistrés!L65</f>
        <v>12.5</v>
      </c>
      <c r="E60">
        <f>Sinistrés!M65</f>
        <v>12.48</v>
      </c>
      <c r="F60">
        <f t="shared" si="0"/>
        <v>0.14895200562983815</v>
      </c>
      <c r="G60">
        <f t="shared" si="1"/>
        <v>0.99840000000000007</v>
      </c>
    </row>
    <row r="61" spans="1:7" hidden="1">
      <c r="A61" t="str">
        <f>Sinistrés!H66</f>
        <v>Blé tendre d'hiver</v>
      </c>
      <c r="B61">
        <f>Sinistrés!J66</f>
        <v>32055.52</v>
      </c>
      <c r="C61">
        <f>Sinistrés!X66</f>
        <v>0</v>
      </c>
      <c r="D61">
        <f>Sinistrés!L66</f>
        <v>28.49</v>
      </c>
      <c r="E61">
        <f>Sinistrés!M66</f>
        <v>14.62</v>
      </c>
      <c r="F61">
        <f t="shared" si="0"/>
        <v>0</v>
      </c>
      <c r="G61">
        <f t="shared" si="1"/>
        <v>0.51316251316251316</v>
      </c>
    </row>
    <row r="62" spans="1:7" hidden="1">
      <c r="A62" t="str">
        <f>Sinistrés!H67</f>
        <v>Blé de force</v>
      </c>
      <c r="B62">
        <f>Sinistrés!J67</f>
        <v>14167.3</v>
      </c>
      <c r="C62">
        <f>Sinistrés!X67</f>
        <v>0</v>
      </c>
      <c r="D62">
        <f>Sinistrés!L67</f>
        <v>14</v>
      </c>
      <c r="E62">
        <f>Sinistrés!M67</f>
        <v>5</v>
      </c>
      <c r="F62">
        <f t="shared" si="0"/>
        <v>0</v>
      </c>
      <c r="G62">
        <f t="shared" si="1"/>
        <v>0.35714285714285715</v>
      </c>
    </row>
    <row r="63" spans="1:7" hidden="1">
      <c r="A63" t="str">
        <f>Sinistrés!H68</f>
        <v>Blé tendre d'hiver</v>
      </c>
      <c r="B63">
        <f>Sinistrés!J68</f>
        <v>6700.75</v>
      </c>
      <c r="C63">
        <f>Sinistrés!X68</f>
        <v>0</v>
      </c>
      <c r="D63">
        <f>Sinistrés!L68</f>
        <v>7</v>
      </c>
      <c r="E63">
        <f>Sinistrés!M68</f>
        <v>20</v>
      </c>
      <c r="F63">
        <f t="shared" si="0"/>
        <v>0</v>
      </c>
      <c r="G63">
        <f t="shared" si="1"/>
        <v>2.8571428571428572</v>
      </c>
    </row>
    <row r="64" spans="1:7" hidden="1">
      <c r="A64" t="str">
        <f>Sinistrés!H69</f>
        <v>Triticale</v>
      </c>
      <c r="B64">
        <f>Sinistrés!J69</f>
        <v>3263.16</v>
      </c>
      <c r="C64">
        <f>Sinistrés!X69</f>
        <v>0</v>
      </c>
      <c r="D64">
        <f>Sinistrés!L69</f>
        <v>5.68</v>
      </c>
      <c r="E64">
        <f>Sinistrés!M69</f>
        <v>5.68</v>
      </c>
      <c r="F64">
        <f t="shared" si="0"/>
        <v>0</v>
      </c>
      <c r="G64">
        <f t="shared" si="1"/>
        <v>1</v>
      </c>
    </row>
    <row r="65" spans="1:7" hidden="1">
      <c r="A65" t="str">
        <f>Sinistrés!H70</f>
        <v>Blé tendre d'hiver</v>
      </c>
      <c r="B65">
        <f>Sinistrés!J70</f>
        <v>97234.35</v>
      </c>
      <c r="C65">
        <f>Sinistrés!X70</f>
        <v>0</v>
      </c>
      <c r="D65">
        <f>Sinistrés!L70</f>
        <v>91.68</v>
      </c>
      <c r="E65">
        <f>Sinistrés!M70</f>
        <v>91.68</v>
      </c>
      <c r="F65">
        <f t="shared" si="0"/>
        <v>0</v>
      </c>
      <c r="G65">
        <f t="shared" si="1"/>
        <v>1</v>
      </c>
    </row>
    <row r="66" spans="1:7" hidden="1">
      <c r="A66" t="str">
        <f>Sinistrés!H71</f>
        <v>Colza d'hiver</v>
      </c>
      <c r="B66">
        <f>Sinistrés!J71</f>
        <v>11226.6</v>
      </c>
      <c r="C66">
        <f>Sinistrés!X71</f>
        <v>0</v>
      </c>
      <c r="D66">
        <f>Sinistrés!L71</f>
        <v>12.15</v>
      </c>
      <c r="E66">
        <f>Sinistrés!M71</f>
        <v>12.15</v>
      </c>
      <c r="F66">
        <f t="shared" si="0"/>
        <v>0</v>
      </c>
      <c r="G66">
        <f t="shared" si="1"/>
        <v>1</v>
      </c>
    </row>
    <row r="67" spans="1:7" hidden="1">
      <c r="A67" t="str">
        <f>Sinistrés!H72</f>
        <v>Orge d'hiver</v>
      </c>
      <c r="B67">
        <f>Sinistrés!J72</f>
        <v>26989.52</v>
      </c>
      <c r="C67">
        <f>Sinistrés!X72</f>
        <v>0</v>
      </c>
      <c r="D67">
        <f>Sinistrés!L72</f>
        <v>39.200000000000003</v>
      </c>
      <c r="E67">
        <f>Sinistrés!M72</f>
        <v>39.200000000000003</v>
      </c>
      <c r="F67">
        <f t="shared" ref="F67:F130" si="2">C67/B67</f>
        <v>0</v>
      </c>
      <c r="G67">
        <f t="shared" ref="G67:G130" si="3">E67/D67</f>
        <v>1</v>
      </c>
    </row>
    <row r="68" spans="1:7" hidden="1">
      <c r="A68" t="str">
        <f>Sinistrés!H73</f>
        <v>Blé de force</v>
      </c>
      <c r="B68">
        <f>Sinistrés!J73</f>
        <v>14327.5</v>
      </c>
      <c r="C68">
        <f>Sinistrés!X73</f>
        <v>0</v>
      </c>
      <c r="D68">
        <f>Sinistrés!L73</f>
        <v>13.56</v>
      </c>
      <c r="E68">
        <f>Sinistrés!M73</f>
        <v>13.56</v>
      </c>
      <c r="F68">
        <f t="shared" si="2"/>
        <v>0</v>
      </c>
      <c r="G68">
        <f t="shared" si="3"/>
        <v>1</v>
      </c>
    </row>
    <row r="69" spans="1:7">
      <c r="A69" t="str">
        <f>Sinistrés!H74</f>
        <v>Blé tendre d'hiver</v>
      </c>
      <c r="B69">
        <f>Sinistrés!J74</f>
        <v>5808</v>
      </c>
      <c r="C69">
        <f>Sinistrés!X74</f>
        <v>70.400000000000006</v>
      </c>
      <c r="D69">
        <f>Sinistrés!L74</f>
        <v>5.5</v>
      </c>
      <c r="E69">
        <f>Sinistrés!M74</f>
        <v>5.5</v>
      </c>
      <c r="F69">
        <f t="shared" si="2"/>
        <v>1.2121212121212123E-2</v>
      </c>
      <c r="G69">
        <f t="shared" si="3"/>
        <v>1</v>
      </c>
    </row>
    <row r="70" spans="1:7" hidden="1">
      <c r="A70" t="str">
        <f>Sinistrés!H75</f>
        <v>Blé dur d'hiver</v>
      </c>
      <c r="B70">
        <f>Sinistrés!J75</f>
        <v>11505.6</v>
      </c>
      <c r="C70">
        <f>Sinistrés!X75</f>
        <v>0</v>
      </c>
      <c r="D70">
        <f>Sinistrés!L75</f>
        <v>12.24</v>
      </c>
      <c r="E70">
        <f>Sinistrés!M75</f>
        <v>12.24</v>
      </c>
      <c r="F70">
        <f t="shared" si="2"/>
        <v>0</v>
      </c>
      <c r="G70">
        <f t="shared" si="3"/>
        <v>1</v>
      </c>
    </row>
    <row r="71" spans="1:7" hidden="1">
      <c r="A71" t="str">
        <f>Sinistrés!H76</f>
        <v>Colza d'hiver</v>
      </c>
      <c r="B71">
        <f>Sinistrés!J76</f>
        <v>45880</v>
      </c>
      <c r="C71">
        <f>Sinistrés!X76</f>
        <v>0</v>
      </c>
      <c r="D71">
        <f>Sinistrés!L76</f>
        <v>31</v>
      </c>
      <c r="E71">
        <f>Sinistrés!M76</f>
        <v>31</v>
      </c>
      <c r="F71">
        <f t="shared" si="2"/>
        <v>0</v>
      </c>
      <c r="G71">
        <f t="shared" si="3"/>
        <v>1</v>
      </c>
    </row>
    <row r="72" spans="1:7" hidden="1">
      <c r="A72" t="str">
        <f>Sinistrés!H77</f>
        <v>Féveroles et fèves</v>
      </c>
      <c r="B72">
        <f>Sinistrés!J77</f>
        <v>5435.45</v>
      </c>
      <c r="C72">
        <f>Sinistrés!X77</f>
        <v>0</v>
      </c>
      <c r="D72">
        <f>Sinistrés!L77</f>
        <v>17.510000000000002</v>
      </c>
      <c r="E72">
        <f>Sinistrés!M77</f>
        <v>17.510000000000002</v>
      </c>
      <c r="F72">
        <f t="shared" si="2"/>
        <v>0</v>
      </c>
      <c r="G72">
        <f t="shared" si="3"/>
        <v>1</v>
      </c>
    </row>
    <row r="73" spans="1:7" hidden="1">
      <c r="A73" t="str">
        <f>Sinistrés!H78</f>
        <v>Blé tendre d'hiver</v>
      </c>
      <c r="B73">
        <f>Sinistrés!J78</f>
        <v>39722.129999999997</v>
      </c>
      <c r="C73">
        <f>Sinistrés!X78</f>
        <v>0</v>
      </c>
      <c r="D73">
        <f>Sinistrés!L78</f>
        <v>39.409999999999997</v>
      </c>
      <c r="E73">
        <f>Sinistrés!M78</f>
        <v>39.409999999999997</v>
      </c>
      <c r="F73">
        <f t="shared" si="2"/>
        <v>0</v>
      </c>
      <c r="G73">
        <f t="shared" si="3"/>
        <v>1</v>
      </c>
    </row>
    <row r="74" spans="1:7" hidden="1">
      <c r="A74" t="str">
        <f>Sinistrés!H79</f>
        <v>Triticale</v>
      </c>
      <c r="B74">
        <f>Sinistrés!J79</f>
        <v>14113.56</v>
      </c>
      <c r="C74">
        <f>Sinistrés!X79</f>
        <v>0</v>
      </c>
      <c r="D74">
        <f>Sinistrés!L79</f>
        <v>26.96</v>
      </c>
      <c r="E74">
        <f>Sinistrés!M79</f>
        <v>26.96</v>
      </c>
      <c r="F74">
        <f t="shared" si="2"/>
        <v>0</v>
      </c>
      <c r="G74">
        <f t="shared" si="3"/>
        <v>1</v>
      </c>
    </row>
    <row r="75" spans="1:7" hidden="1">
      <c r="A75" t="str">
        <f>Sinistrés!H80</f>
        <v>Blé de force</v>
      </c>
      <c r="B75">
        <f>Sinistrés!J80</f>
        <v>29980.57</v>
      </c>
      <c r="C75">
        <f>Sinistrés!X80</f>
        <v>0</v>
      </c>
      <c r="D75">
        <f>Sinistrés!L80</f>
        <v>24.53</v>
      </c>
      <c r="E75">
        <f>Sinistrés!M80</f>
        <v>24.53</v>
      </c>
      <c r="F75">
        <f t="shared" si="2"/>
        <v>0</v>
      </c>
      <c r="G75">
        <f t="shared" si="3"/>
        <v>1</v>
      </c>
    </row>
    <row r="76" spans="1:7" hidden="1">
      <c r="A76" t="str">
        <f>Sinistrés!H81</f>
        <v>Blé dur d'hiver</v>
      </c>
      <c r="B76">
        <f>Sinistrés!J81</f>
        <v>17729.2</v>
      </c>
      <c r="C76">
        <f>Sinistrés!X81</f>
        <v>0</v>
      </c>
      <c r="D76">
        <f>Sinistrés!L81</f>
        <v>17.45</v>
      </c>
      <c r="E76">
        <f>Sinistrés!M81</f>
        <v>17.45</v>
      </c>
      <c r="F76">
        <f t="shared" si="2"/>
        <v>0</v>
      </c>
      <c r="G76">
        <f t="shared" si="3"/>
        <v>1</v>
      </c>
    </row>
    <row r="77" spans="1:7" hidden="1">
      <c r="A77" t="str">
        <f>Sinistrés!H82</f>
        <v>Blé tendre d'hiver</v>
      </c>
      <c r="B77">
        <f>Sinistrés!J82</f>
        <v>47858.9</v>
      </c>
      <c r="C77">
        <f>Sinistrés!X82</f>
        <v>0</v>
      </c>
      <c r="D77">
        <f>Sinistrés!L82</f>
        <v>46.53</v>
      </c>
      <c r="E77">
        <f>Sinistrés!M82</f>
        <v>46.53</v>
      </c>
      <c r="F77">
        <f t="shared" si="2"/>
        <v>0</v>
      </c>
      <c r="G77">
        <f t="shared" si="3"/>
        <v>1</v>
      </c>
    </row>
    <row r="78" spans="1:7" hidden="1">
      <c r="A78" t="str">
        <f>Sinistrés!H83</f>
        <v>Orge d'hiver</v>
      </c>
      <c r="B78">
        <f>Sinistrés!J83</f>
        <v>14594.31</v>
      </c>
      <c r="C78">
        <f>Sinistrés!X83</f>
        <v>0</v>
      </c>
      <c r="D78">
        <f>Sinistrés!L83</f>
        <v>16.98</v>
      </c>
      <c r="E78">
        <f>Sinistrés!M83</f>
        <v>16.98</v>
      </c>
      <c r="F78">
        <f t="shared" si="2"/>
        <v>0</v>
      </c>
      <c r="G78">
        <f t="shared" si="3"/>
        <v>1</v>
      </c>
    </row>
    <row r="79" spans="1:7" hidden="1">
      <c r="A79" t="str">
        <f>Sinistrés!H84</f>
        <v>Blé dur d'hiver</v>
      </c>
      <c r="B79">
        <f>Sinistrés!J84</f>
        <v>10639.32</v>
      </c>
      <c r="C79">
        <f>Sinistrés!X84</f>
        <v>0</v>
      </c>
      <c r="D79">
        <f>Sinistrés!L84</f>
        <v>10.37</v>
      </c>
      <c r="E79">
        <f>Sinistrés!M84</f>
        <v>10.37</v>
      </c>
      <c r="F79">
        <f t="shared" si="2"/>
        <v>0</v>
      </c>
      <c r="G79">
        <f t="shared" si="3"/>
        <v>1</v>
      </c>
    </row>
    <row r="80" spans="1:7" hidden="1">
      <c r="A80" t="str">
        <f>Sinistrés!H85</f>
        <v>Blé tendre d'hiver</v>
      </c>
      <c r="B80">
        <f>Sinistrés!J85</f>
        <v>10155.450000000001</v>
      </c>
      <c r="C80">
        <f>Sinistrés!X85</f>
        <v>0</v>
      </c>
      <c r="D80">
        <f>Sinistrés!L85</f>
        <v>9.89</v>
      </c>
      <c r="E80">
        <f>Sinistrés!M85</f>
        <v>9.89</v>
      </c>
      <c r="F80">
        <f t="shared" si="2"/>
        <v>0</v>
      </c>
      <c r="G80">
        <f t="shared" si="3"/>
        <v>1</v>
      </c>
    </row>
    <row r="81" spans="1:7" hidden="1">
      <c r="A81" t="str">
        <f>Sinistrés!H86</f>
        <v>Blé tendre d'hiver BIO</v>
      </c>
      <c r="B81">
        <f>Sinistrés!J86</f>
        <v>43464.6</v>
      </c>
      <c r="C81">
        <f>Sinistrés!X86</f>
        <v>0</v>
      </c>
      <c r="D81">
        <f>Sinistrés!L86</f>
        <v>26.83</v>
      </c>
      <c r="E81">
        <f>Sinistrés!M86</f>
        <v>26.83</v>
      </c>
      <c r="F81">
        <f t="shared" si="2"/>
        <v>0</v>
      </c>
      <c r="G81">
        <f t="shared" si="3"/>
        <v>1</v>
      </c>
    </row>
    <row r="82" spans="1:7" hidden="1">
      <c r="A82" t="str">
        <f>Sinistrés!H87</f>
        <v>Blé tendre d'hiver</v>
      </c>
      <c r="B82">
        <f>Sinistrés!J87</f>
        <v>32055.52</v>
      </c>
      <c r="C82">
        <f>Sinistrés!X87</f>
        <v>0</v>
      </c>
      <c r="D82">
        <f>Sinistrés!L87</f>
        <v>28.49</v>
      </c>
      <c r="E82">
        <f>Sinistrés!M87</f>
        <v>14.62</v>
      </c>
      <c r="F82">
        <f t="shared" si="2"/>
        <v>0</v>
      </c>
      <c r="G82">
        <f t="shared" si="3"/>
        <v>0.51316251316251316</v>
      </c>
    </row>
    <row r="83" spans="1:7" hidden="1">
      <c r="A83" t="str">
        <f>Sinistrés!H88</f>
        <v>Colza d'hiver</v>
      </c>
      <c r="B83">
        <f>Sinistrés!J88</f>
        <v>23098.880000000001</v>
      </c>
      <c r="C83">
        <f>Sinistrés!X88</f>
        <v>0</v>
      </c>
      <c r="D83">
        <f>Sinistrés!L88</f>
        <v>19.87</v>
      </c>
      <c r="E83">
        <f>Sinistrés!M88</f>
        <v>19.87</v>
      </c>
      <c r="F83">
        <f t="shared" si="2"/>
        <v>0</v>
      </c>
      <c r="G83">
        <f t="shared" si="3"/>
        <v>1</v>
      </c>
    </row>
    <row r="84" spans="1:7" hidden="1">
      <c r="A84" t="str">
        <f>Sinistrés!H89</f>
        <v>Blé tendre d'hiver</v>
      </c>
      <c r="B84">
        <f>Sinistrés!J89</f>
        <v>38947.050000000003</v>
      </c>
      <c r="C84">
        <f>Sinistrés!X89</f>
        <v>0</v>
      </c>
      <c r="D84">
        <f>Sinistrés!L89</f>
        <v>32.659999999999997</v>
      </c>
      <c r="E84">
        <f>Sinistrés!M89</f>
        <v>32.659999999999997</v>
      </c>
      <c r="F84">
        <f t="shared" si="2"/>
        <v>0</v>
      </c>
      <c r="G84">
        <f t="shared" si="3"/>
        <v>1</v>
      </c>
    </row>
    <row r="85" spans="1:7" hidden="1">
      <c r="A85" t="str">
        <f>Sinistrés!H90</f>
        <v>Orge d'hiver</v>
      </c>
      <c r="B85">
        <f>Sinistrés!J90</f>
        <v>4937.9799999999996</v>
      </c>
      <c r="C85">
        <f>Sinistrés!X90</f>
        <v>0</v>
      </c>
      <c r="D85">
        <f>Sinistrés!L90</f>
        <v>4.04</v>
      </c>
      <c r="E85">
        <f>Sinistrés!M90</f>
        <v>4.04</v>
      </c>
      <c r="F85">
        <f t="shared" si="2"/>
        <v>0</v>
      </c>
      <c r="G85">
        <f t="shared" si="3"/>
        <v>1</v>
      </c>
    </row>
    <row r="86" spans="1:7" hidden="1">
      <c r="A86" t="str">
        <f>Sinistrés!H91</f>
        <v>Blé tendre d'hiver</v>
      </c>
      <c r="B86">
        <f>Sinistrés!J91</f>
        <v>23599.03</v>
      </c>
      <c r="C86">
        <f>Sinistrés!X91</f>
        <v>0</v>
      </c>
      <c r="D86">
        <f>Sinistrés!L91</f>
        <v>21.68</v>
      </c>
      <c r="E86">
        <f>Sinistrés!M91</f>
        <v>21.68</v>
      </c>
      <c r="F86">
        <f t="shared" si="2"/>
        <v>0</v>
      </c>
      <c r="G86">
        <f t="shared" si="3"/>
        <v>1</v>
      </c>
    </row>
    <row r="87" spans="1:7">
      <c r="A87" t="str">
        <f>Sinistrés!H92</f>
        <v>Blé tendre d'hiver</v>
      </c>
      <c r="B87">
        <f>Sinistrés!J92</f>
        <v>17377.72</v>
      </c>
      <c r="C87">
        <f>Sinistrés!X92</f>
        <v>4937.12</v>
      </c>
      <c r="D87">
        <f>Sinistrés!L92</f>
        <v>15.93</v>
      </c>
      <c r="E87">
        <f>Sinistrés!M92</f>
        <v>15.93</v>
      </c>
      <c r="F87">
        <f t="shared" si="2"/>
        <v>0.28410631544299247</v>
      </c>
      <c r="G87">
        <f t="shared" si="3"/>
        <v>1</v>
      </c>
    </row>
    <row r="88" spans="1:7">
      <c r="A88" t="str">
        <f>Sinistrés!H93</f>
        <v>Blé de force</v>
      </c>
      <c r="B88">
        <f>Sinistrés!J93</f>
        <v>16755.919999999998</v>
      </c>
      <c r="C88">
        <f>Sinistrés!X93</f>
        <v>1340.47</v>
      </c>
      <c r="D88">
        <f>Sinistrés!L93</f>
        <v>15.36</v>
      </c>
      <c r="E88">
        <f>Sinistrés!M93</f>
        <v>15.36</v>
      </c>
      <c r="F88">
        <f t="shared" si="2"/>
        <v>7.999978515056172E-2</v>
      </c>
      <c r="G88">
        <f t="shared" si="3"/>
        <v>1</v>
      </c>
    </row>
    <row r="89" spans="1:7">
      <c r="A89" t="str">
        <f>Sinistrés!H94</f>
        <v>Féveroles et fèves</v>
      </c>
      <c r="B89">
        <f>Sinistrés!J94</f>
        <v>3434.67</v>
      </c>
      <c r="C89">
        <f>Sinistrés!X94</f>
        <v>139.18</v>
      </c>
      <c r="D89">
        <f>Sinistrés!L94</f>
        <v>11.96</v>
      </c>
      <c r="E89">
        <f>Sinistrés!M94</f>
        <v>3.5</v>
      </c>
      <c r="F89">
        <f t="shared" si="2"/>
        <v>4.0522088002631983E-2</v>
      </c>
      <c r="G89">
        <f t="shared" si="3"/>
        <v>0.2926421404682274</v>
      </c>
    </row>
    <row r="90" spans="1:7">
      <c r="A90" t="str">
        <f>Sinistrés!H95</f>
        <v>Blé tendre d'hiver</v>
      </c>
      <c r="B90">
        <f>Sinistrés!J95</f>
        <v>18358.98</v>
      </c>
      <c r="C90">
        <f>Sinistrés!X95</f>
        <v>3150.24</v>
      </c>
      <c r="D90">
        <f>Sinistrés!L95</f>
        <v>21.95</v>
      </c>
      <c r="E90">
        <f>Sinistrés!M95</f>
        <v>21.95</v>
      </c>
      <c r="F90">
        <f t="shared" si="2"/>
        <v>0.17159123219263814</v>
      </c>
      <c r="G90">
        <f t="shared" si="3"/>
        <v>1</v>
      </c>
    </row>
    <row r="91" spans="1:7" hidden="1">
      <c r="A91" t="str">
        <f>Sinistrés!H96</f>
        <v>Triticale</v>
      </c>
      <c r="B91">
        <f>Sinistrés!J96</f>
        <v>14845.22</v>
      </c>
      <c r="C91">
        <f>Sinistrés!X96</f>
        <v>0</v>
      </c>
      <c r="D91">
        <f>Sinistrés!L96</f>
        <v>18.82</v>
      </c>
      <c r="E91">
        <f>Sinistrés!M96</f>
        <v>18.82</v>
      </c>
      <c r="F91">
        <f t="shared" si="2"/>
        <v>0</v>
      </c>
      <c r="G91">
        <f t="shared" si="3"/>
        <v>1</v>
      </c>
    </row>
    <row r="92" spans="1:7" hidden="1">
      <c r="A92" t="str">
        <f>Sinistrés!H97</f>
        <v>Blé de force</v>
      </c>
      <c r="B92">
        <f>Sinistrés!J97</f>
        <v>24102.9</v>
      </c>
      <c r="C92">
        <f>Sinistrés!X97</f>
        <v>0</v>
      </c>
      <c r="D92">
        <f>Sinistrés!L97</f>
        <v>21.33</v>
      </c>
      <c r="E92">
        <f>Sinistrés!M97</f>
        <v>21.33</v>
      </c>
      <c r="F92">
        <f t="shared" si="2"/>
        <v>0</v>
      </c>
      <c r="G92">
        <f t="shared" si="3"/>
        <v>1</v>
      </c>
    </row>
    <row r="93" spans="1:7" hidden="1">
      <c r="A93" t="str">
        <f>Sinistrés!H98</f>
        <v>Orge d'hiver</v>
      </c>
      <c r="B93">
        <f>Sinistrés!J98</f>
        <v>13847.18</v>
      </c>
      <c r="C93">
        <f>Sinistrés!X98</f>
        <v>0</v>
      </c>
      <c r="D93">
        <f>Sinistrés!L98</f>
        <v>15.21</v>
      </c>
      <c r="E93">
        <f>Sinistrés!M98</f>
        <v>15.21</v>
      </c>
      <c r="F93">
        <f t="shared" si="2"/>
        <v>0</v>
      </c>
      <c r="G93">
        <f t="shared" si="3"/>
        <v>1</v>
      </c>
    </row>
    <row r="94" spans="1:7" hidden="1">
      <c r="A94" t="str">
        <f>Sinistrés!H99</f>
        <v>Triticale</v>
      </c>
      <c r="B94">
        <f>Sinistrés!J99</f>
        <v>1885.23</v>
      </c>
      <c r="C94">
        <f>Sinistrés!X99</f>
        <v>0</v>
      </c>
      <c r="D94">
        <f>Sinistrés!L99</f>
        <v>2.39</v>
      </c>
      <c r="E94">
        <f>Sinistrés!M99</f>
        <v>2.39</v>
      </c>
      <c r="F94">
        <f t="shared" si="2"/>
        <v>0</v>
      </c>
      <c r="G94">
        <f t="shared" si="3"/>
        <v>1</v>
      </c>
    </row>
    <row r="95" spans="1:7" hidden="1">
      <c r="A95" t="str">
        <f>Sinistrés!H100</f>
        <v>Blé tendre d'hiver</v>
      </c>
      <c r="B95">
        <f>Sinistrés!J100</f>
        <v>20384.82</v>
      </c>
      <c r="C95">
        <f>Sinistrés!X100</f>
        <v>0</v>
      </c>
      <c r="D95">
        <f>Sinistrés!L100</f>
        <v>21.05</v>
      </c>
      <c r="E95">
        <f>Sinistrés!M100</f>
        <v>21.05</v>
      </c>
      <c r="F95">
        <f t="shared" si="2"/>
        <v>0</v>
      </c>
      <c r="G95">
        <f t="shared" si="3"/>
        <v>1</v>
      </c>
    </row>
    <row r="96" spans="1:7" hidden="1">
      <c r="A96" t="str">
        <f>Sinistrés!H101</f>
        <v>Seigle et méteil</v>
      </c>
      <c r="B96">
        <f>Sinistrés!J101</f>
        <v>3244.61</v>
      </c>
      <c r="C96">
        <f>Sinistrés!X101</f>
        <v>0</v>
      </c>
      <c r="D96">
        <f>Sinistrés!L101</f>
        <v>5.16</v>
      </c>
      <c r="E96">
        <f>Sinistrés!M101</f>
        <v>5.16</v>
      </c>
      <c r="F96">
        <f t="shared" si="2"/>
        <v>0</v>
      </c>
      <c r="G96">
        <f t="shared" si="3"/>
        <v>1</v>
      </c>
    </row>
    <row r="97" spans="1:7" hidden="1">
      <c r="A97" t="str">
        <f>Sinistrés!H102</f>
        <v>Blé de force</v>
      </c>
      <c r="B97">
        <f>Sinistrés!J102</f>
        <v>27573.48</v>
      </c>
      <c r="C97">
        <f>Sinistrés!X102</f>
        <v>0</v>
      </c>
      <c r="D97">
        <f>Sinistrés!L102</f>
        <v>19.8</v>
      </c>
      <c r="E97">
        <f>Sinistrés!M102</f>
        <v>19.8</v>
      </c>
      <c r="F97">
        <f t="shared" si="2"/>
        <v>0</v>
      </c>
      <c r="G97">
        <f t="shared" si="3"/>
        <v>1</v>
      </c>
    </row>
    <row r="98" spans="1:7" hidden="1">
      <c r="A98" t="str">
        <f>Sinistrés!H103</f>
        <v>Blé tendre d'hiver</v>
      </c>
      <c r="B98">
        <f>Sinistrés!J103</f>
        <v>27852</v>
      </c>
      <c r="C98">
        <f>Sinistrés!X103</f>
        <v>0</v>
      </c>
      <c r="D98">
        <f>Sinistrés!L103</f>
        <v>22</v>
      </c>
      <c r="E98">
        <f>Sinistrés!M103</f>
        <v>22</v>
      </c>
      <c r="F98">
        <f t="shared" si="2"/>
        <v>0</v>
      </c>
      <c r="G98">
        <f t="shared" si="3"/>
        <v>1</v>
      </c>
    </row>
    <row r="99" spans="1:7" hidden="1">
      <c r="A99" t="str">
        <f>Sinistrés!H104</f>
        <v>Blé dur d'hiver</v>
      </c>
      <c r="B99">
        <f>Sinistrés!J104</f>
        <v>25410.55</v>
      </c>
      <c r="C99">
        <f>Sinistrés!X104</f>
        <v>0</v>
      </c>
      <c r="D99">
        <f>Sinistrés!L104</f>
        <v>19.66</v>
      </c>
      <c r="E99">
        <f>Sinistrés!M104</f>
        <v>19.66</v>
      </c>
      <c r="F99">
        <f t="shared" si="2"/>
        <v>0</v>
      </c>
      <c r="G99">
        <f t="shared" si="3"/>
        <v>1</v>
      </c>
    </row>
    <row r="100" spans="1:7" hidden="1">
      <c r="A100" t="str">
        <f>Sinistrés!H105</f>
        <v>Blé de force</v>
      </c>
      <c r="B100">
        <f>Sinistrés!J105</f>
        <v>24691.98</v>
      </c>
      <c r="C100">
        <f>Sinistrés!X105</f>
        <v>0</v>
      </c>
      <c r="D100">
        <f>Sinistrés!L105</f>
        <v>20.86</v>
      </c>
      <c r="E100">
        <f>Sinistrés!M105</f>
        <v>20.86</v>
      </c>
      <c r="F100">
        <f t="shared" si="2"/>
        <v>0</v>
      </c>
      <c r="G100">
        <f t="shared" si="3"/>
        <v>1</v>
      </c>
    </row>
    <row r="101" spans="1:7" hidden="1">
      <c r="A101" t="str">
        <f>Sinistrés!H106</f>
        <v>Blé tendre d'hiver</v>
      </c>
      <c r="B101">
        <f>Sinistrés!J106</f>
        <v>16271.51</v>
      </c>
      <c r="C101">
        <f>Sinistrés!X106</f>
        <v>0</v>
      </c>
      <c r="D101">
        <f>Sinistrés!L106</f>
        <v>14.51</v>
      </c>
      <c r="E101">
        <f>Sinistrés!M106</f>
        <v>14.51</v>
      </c>
      <c r="F101">
        <f t="shared" si="2"/>
        <v>0</v>
      </c>
      <c r="G101">
        <f t="shared" si="3"/>
        <v>1</v>
      </c>
    </row>
    <row r="102" spans="1:7" hidden="1">
      <c r="A102" t="str">
        <f>Sinistrés!H107</f>
        <v>Orge d'hiver</v>
      </c>
      <c r="B102">
        <f>Sinistrés!J107</f>
        <v>7305.75</v>
      </c>
      <c r="C102">
        <f>Sinistrés!X107</f>
        <v>0</v>
      </c>
      <c r="D102">
        <f>Sinistrés!L107</f>
        <v>8.5</v>
      </c>
      <c r="E102">
        <f>Sinistrés!M107</f>
        <v>11.8</v>
      </c>
      <c r="F102">
        <f t="shared" si="2"/>
        <v>0</v>
      </c>
      <c r="G102">
        <f t="shared" si="3"/>
        <v>1.3882352941176472</v>
      </c>
    </row>
    <row r="103" spans="1:7" hidden="1">
      <c r="A103" t="str">
        <f>Sinistrés!H108</f>
        <v>Blé tendre d'hiver BIO</v>
      </c>
      <c r="B103">
        <f>Sinistrés!J108</f>
        <v>52250</v>
      </c>
      <c r="C103">
        <f>Sinistrés!X108</f>
        <v>285</v>
      </c>
      <c r="D103">
        <f>Sinistrés!L108</f>
        <v>55</v>
      </c>
      <c r="E103">
        <f>Sinistrés!M108</f>
        <v>55</v>
      </c>
      <c r="F103">
        <f t="shared" si="2"/>
        <v>5.454545454545455E-3</v>
      </c>
      <c r="G103">
        <f t="shared" si="3"/>
        <v>1</v>
      </c>
    </row>
    <row r="104" spans="1:7" hidden="1">
      <c r="A104" t="str">
        <f>Sinistrés!H109</f>
        <v>Blé de force</v>
      </c>
      <c r="B104">
        <f>Sinistrés!J109</f>
        <v>31674.720000000001</v>
      </c>
      <c r="C104">
        <f>Sinistrés!X109</f>
        <v>0</v>
      </c>
      <c r="D104">
        <f>Sinistrés!L109</f>
        <v>25.71</v>
      </c>
      <c r="E104">
        <f>Sinistrés!M109</f>
        <v>25.71</v>
      </c>
      <c r="F104">
        <f t="shared" si="2"/>
        <v>0</v>
      </c>
      <c r="G104">
        <f t="shared" si="3"/>
        <v>1</v>
      </c>
    </row>
    <row r="105" spans="1:7" hidden="1">
      <c r="A105" t="str">
        <f>Sinistrés!H110</f>
        <v>Orge d'hiver</v>
      </c>
      <c r="B105">
        <f>Sinistrés!J110</f>
        <v>23740.5</v>
      </c>
      <c r="C105">
        <f>Sinistrés!X110</f>
        <v>0</v>
      </c>
      <c r="D105">
        <f>Sinistrés!L110</f>
        <v>22.61</v>
      </c>
      <c r="E105">
        <f>Sinistrés!M110</f>
        <v>22.61</v>
      </c>
      <c r="F105">
        <f t="shared" si="2"/>
        <v>0</v>
      </c>
      <c r="G105">
        <f t="shared" si="3"/>
        <v>1</v>
      </c>
    </row>
    <row r="106" spans="1:7" hidden="1">
      <c r="A106" t="str">
        <f>Sinistrés!H111</f>
        <v>Féveroles et fèves</v>
      </c>
      <c r="B106">
        <f>Sinistrés!J111</f>
        <v>5704.38</v>
      </c>
      <c r="C106">
        <f>Sinistrés!X111</f>
        <v>0</v>
      </c>
      <c r="D106">
        <f>Sinistrés!L111</f>
        <v>12.06</v>
      </c>
      <c r="E106">
        <f>Sinistrés!M111</f>
        <v>12.06</v>
      </c>
      <c r="F106">
        <f t="shared" si="2"/>
        <v>0</v>
      </c>
      <c r="G106">
        <f t="shared" si="3"/>
        <v>1</v>
      </c>
    </row>
    <row r="107" spans="1:7" hidden="1">
      <c r="A107" t="str">
        <f>Sinistrés!H112</f>
        <v>Blé tendre d'hiver</v>
      </c>
      <c r="B107">
        <f>Sinistrés!J112</f>
        <v>49308.800000000003</v>
      </c>
      <c r="C107">
        <f>Sinistrés!X112</f>
        <v>0</v>
      </c>
      <c r="D107">
        <f>Sinistrés!L112</f>
        <v>42.46</v>
      </c>
      <c r="E107">
        <f>Sinistrés!M112</f>
        <v>42.46</v>
      </c>
      <c r="F107">
        <f t="shared" si="2"/>
        <v>0</v>
      </c>
      <c r="G107">
        <f t="shared" si="3"/>
        <v>1</v>
      </c>
    </row>
    <row r="108" spans="1:7" hidden="1">
      <c r="A108" t="str">
        <f>Sinistrés!H113</f>
        <v>Colza d'hiver</v>
      </c>
      <c r="B108">
        <f>Sinistrés!J113</f>
        <v>12937.5</v>
      </c>
      <c r="C108">
        <f>Sinistrés!X113</f>
        <v>0</v>
      </c>
      <c r="D108">
        <f>Sinistrés!L113</f>
        <v>9.4600000000000009</v>
      </c>
      <c r="E108">
        <f>Sinistrés!M113</f>
        <v>9.4600000000000009</v>
      </c>
      <c r="F108">
        <f t="shared" si="2"/>
        <v>0</v>
      </c>
      <c r="G108">
        <f t="shared" si="3"/>
        <v>1</v>
      </c>
    </row>
    <row r="109" spans="1:7" hidden="1">
      <c r="A109" t="str">
        <f>Sinistrés!H114</f>
        <v>Orge d'hiver</v>
      </c>
      <c r="B109">
        <f>Sinistrés!J114</f>
        <v>14697.21</v>
      </c>
      <c r="C109">
        <f>Sinistrés!X114</f>
        <v>0</v>
      </c>
      <c r="D109">
        <f>Sinistrés!L114</f>
        <v>14.49</v>
      </c>
      <c r="E109">
        <f>Sinistrés!M114</f>
        <v>14.49</v>
      </c>
      <c r="F109">
        <f t="shared" si="2"/>
        <v>0</v>
      </c>
      <c r="G109">
        <f t="shared" si="3"/>
        <v>1</v>
      </c>
    </row>
    <row r="110" spans="1:7" hidden="1">
      <c r="A110" t="str">
        <f>Sinistrés!H115</f>
        <v>Blé tendre d'hiver</v>
      </c>
      <c r="B110">
        <f>Sinistrés!J115</f>
        <v>35934.699999999997</v>
      </c>
      <c r="C110">
        <f>Sinistrés!X115</f>
        <v>0</v>
      </c>
      <c r="D110">
        <f>Sinistrés!L115</f>
        <v>34.78</v>
      </c>
      <c r="E110">
        <f>Sinistrés!M115</f>
        <v>34.78</v>
      </c>
      <c r="F110">
        <f t="shared" si="2"/>
        <v>0</v>
      </c>
      <c r="G110">
        <f t="shared" si="3"/>
        <v>1</v>
      </c>
    </row>
    <row r="111" spans="1:7" hidden="1">
      <c r="A111" t="str">
        <f>Sinistrés!H116</f>
        <v>Colza d'hiver</v>
      </c>
      <c r="B111">
        <f>Sinistrés!J116</f>
        <v>21601.58</v>
      </c>
      <c r="C111">
        <f>Sinistrés!X116</f>
        <v>0</v>
      </c>
      <c r="D111">
        <f>Sinistrés!L116</f>
        <v>18.260000000000002</v>
      </c>
      <c r="E111">
        <f>Sinistrés!M116</f>
        <v>18.260000000000002</v>
      </c>
      <c r="F111">
        <f t="shared" si="2"/>
        <v>0</v>
      </c>
      <c r="G111">
        <f t="shared" si="3"/>
        <v>1</v>
      </c>
    </row>
    <row r="112" spans="1:7" hidden="1">
      <c r="A112" t="str">
        <f>Sinistrés!H117</f>
        <v>Colza d'hiver</v>
      </c>
      <c r="B112">
        <f>Sinistrés!J117</f>
        <v>3593.05</v>
      </c>
      <c r="C112">
        <f>Sinistrés!X117</f>
        <v>0</v>
      </c>
      <c r="D112">
        <f>Sinistrés!L117</f>
        <v>3.09</v>
      </c>
      <c r="E112">
        <f>Sinistrés!M117</f>
        <v>3.09</v>
      </c>
      <c r="F112">
        <f t="shared" si="2"/>
        <v>0</v>
      </c>
      <c r="G112">
        <f t="shared" si="3"/>
        <v>1</v>
      </c>
    </row>
    <row r="113" spans="1:7" hidden="1">
      <c r="A113" t="str">
        <f>Sinistrés!H118</f>
        <v>Blé tendre d'hiver</v>
      </c>
      <c r="B113">
        <f>Sinistrés!J118</f>
        <v>14414.11</v>
      </c>
      <c r="C113">
        <f>Sinistrés!X118</f>
        <v>0</v>
      </c>
      <c r="D113">
        <f>Sinistrés!L118</f>
        <v>14.94</v>
      </c>
      <c r="E113">
        <f>Sinistrés!M118</f>
        <v>14.94</v>
      </c>
      <c r="F113">
        <f t="shared" si="2"/>
        <v>0</v>
      </c>
      <c r="G113">
        <f t="shared" si="3"/>
        <v>1</v>
      </c>
    </row>
    <row r="114" spans="1:7" hidden="1">
      <c r="A114" t="str">
        <f>Sinistrés!H119</f>
        <v>Colza d'hiver</v>
      </c>
      <c r="B114">
        <f>Sinistrés!J119</f>
        <v>15186.78</v>
      </c>
      <c r="C114">
        <f>Sinistrés!X119</f>
        <v>0</v>
      </c>
      <c r="D114">
        <f>Sinistrés!L119</f>
        <v>14.18</v>
      </c>
      <c r="E114">
        <f>Sinistrés!M119</f>
        <v>14.18</v>
      </c>
      <c r="F114">
        <f t="shared" si="2"/>
        <v>0</v>
      </c>
      <c r="G114">
        <f t="shared" si="3"/>
        <v>1</v>
      </c>
    </row>
    <row r="115" spans="1:7">
      <c r="A115" t="str">
        <f>Sinistrés!H120</f>
        <v>Orge d'hiver</v>
      </c>
      <c r="B115">
        <f>Sinistrés!J120</f>
        <v>15290.35</v>
      </c>
      <c r="C115">
        <f>Sinistrés!X120</f>
        <v>2293.5500000000002</v>
      </c>
      <c r="D115">
        <f>Sinistrés!L120</f>
        <v>21.67</v>
      </c>
      <c r="E115">
        <f>Sinistrés!M120</f>
        <v>21.67</v>
      </c>
      <c r="F115">
        <f t="shared" si="2"/>
        <v>0.14999983649818349</v>
      </c>
      <c r="G115">
        <f t="shared" si="3"/>
        <v>1</v>
      </c>
    </row>
    <row r="116" spans="1:7" hidden="1">
      <c r="A116" t="str">
        <f>Sinistrés!H121</f>
        <v>Blé de force</v>
      </c>
      <c r="B116">
        <f>Sinistrés!J121</f>
        <v>11486.87</v>
      </c>
      <c r="C116">
        <f>Sinistrés!X121</f>
        <v>0</v>
      </c>
      <c r="D116">
        <f>Sinistrés!L121</f>
        <v>12.14</v>
      </c>
      <c r="E116">
        <f>Sinistrés!M121</f>
        <v>12.14</v>
      </c>
      <c r="F116">
        <f t="shared" si="2"/>
        <v>0</v>
      </c>
      <c r="G116">
        <f t="shared" si="3"/>
        <v>1</v>
      </c>
    </row>
    <row r="117" spans="1:7" hidden="1">
      <c r="A117" t="str">
        <f>Sinistrés!H122</f>
        <v>Blé tendre d'hiver</v>
      </c>
      <c r="B117">
        <f>Sinistrés!J122</f>
        <v>25711.919999999998</v>
      </c>
      <c r="C117">
        <f>Sinistrés!X122</f>
        <v>0</v>
      </c>
      <c r="D117">
        <f>Sinistrés!L122</f>
        <v>26.65</v>
      </c>
      <c r="E117">
        <f>Sinistrés!M122</f>
        <v>26.65</v>
      </c>
      <c r="F117">
        <f t="shared" si="2"/>
        <v>0</v>
      </c>
      <c r="G117">
        <f t="shared" si="3"/>
        <v>1</v>
      </c>
    </row>
    <row r="118" spans="1:7" hidden="1">
      <c r="A118" t="str">
        <f>Sinistrés!H123</f>
        <v>Blé tendre d'hiver</v>
      </c>
      <c r="B118">
        <f>Sinistrés!J123</f>
        <v>20708.099999999999</v>
      </c>
      <c r="C118">
        <f>Sinistrés!X123</f>
        <v>0</v>
      </c>
      <c r="D118">
        <f>Sinistrés!L123</f>
        <v>18</v>
      </c>
      <c r="E118">
        <f>Sinistrés!M123</f>
        <v>18</v>
      </c>
      <c r="F118">
        <f t="shared" si="2"/>
        <v>0</v>
      </c>
      <c r="G118">
        <f t="shared" si="3"/>
        <v>1</v>
      </c>
    </row>
    <row r="119" spans="1:7" hidden="1">
      <c r="A119" t="str">
        <f>Sinistrés!H124</f>
        <v>Orge d'hiver</v>
      </c>
      <c r="B119">
        <f>Sinistrés!J124</f>
        <v>3727.44</v>
      </c>
      <c r="C119">
        <f>Sinistrés!X124</f>
        <v>0</v>
      </c>
      <c r="D119">
        <f>Sinistrés!L124</f>
        <v>4</v>
      </c>
      <c r="E119">
        <f>Sinistrés!M124</f>
        <v>3.6</v>
      </c>
      <c r="F119">
        <f t="shared" si="2"/>
        <v>0</v>
      </c>
      <c r="G119">
        <f t="shared" si="3"/>
        <v>0.9</v>
      </c>
    </row>
    <row r="120" spans="1:7" hidden="1">
      <c r="A120" t="str">
        <f>Sinistrés!H125</f>
        <v>Colza d'hiver</v>
      </c>
      <c r="B120">
        <f>Sinistrés!J125</f>
        <v>10996.9</v>
      </c>
      <c r="C120">
        <f>Sinistrés!X125</f>
        <v>0</v>
      </c>
      <c r="D120">
        <f>Sinistrés!L125</f>
        <v>10</v>
      </c>
      <c r="E120">
        <f>Sinistrés!M125</f>
        <v>10</v>
      </c>
      <c r="F120">
        <f t="shared" si="2"/>
        <v>0</v>
      </c>
      <c r="G120">
        <f t="shared" si="3"/>
        <v>1</v>
      </c>
    </row>
    <row r="121" spans="1:7" hidden="1">
      <c r="A121" t="str">
        <f>Sinistrés!H126</f>
        <v>Blé tendre d'hiver</v>
      </c>
      <c r="B121">
        <f>Sinistrés!J126</f>
        <v>64618.96</v>
      </c>
      <c r="C121">
        <f>Sinistrés!X126</f>
        <v>0</v>
      </c>
      <c r="D121">
        <f>Sinistrés!L126</f>
        <v>56</v>
      </c>
      <c r="E121">
        <f>Sinistrés!M126</f>
        <v>5.5</v>
      </c>
      <c r="F121">
        <f t="shared" si="2"/>
        <v>0</v>
      </c>
      <c r="G121">
        <f t="shared" si="3"/>
        <v>9.8214285714285712E-2</v>
      </c>
    </row>
    <row r="122" spans="1:7" hidden="1">
      <c r="A122" t="str">
        <f>Sinistrés!H127</f>
        <v>Blé de force</v>
      </c>
      <c r="B122">
        <f>Sinistrés!J127</f>
        <v>58437.66</v>
      </c>
      <c r="C122">
        <f>Sinistrés!X127</f>
        <v>0</v>
      </c>
      <c r="D122">
        <f>Sinistrés!L127</f>
        <v>53.81</v>
      </c>
      <c r="E122">
        <f>Sinistrés!M127</f>
        <v>53.81</v>
      </c>
      <c r="F122">
        <f t="shared" si="2"/>
        <v>0</v>
      </c>
      <c r="G122">
        <f t="shared" si="3"/>
        <v>1</v>
      </c>
    </row>
    <row r="123" spans="1:7" hidden="1">
      <c r="A123" t="str">
        <f>Sinistrés!H128</f>
        <v>Colza d'hiver</v>
      </c>
      <c r="B123">
        <f>Sinistrés!J128</f>
        <v>29324.5</v>
      </c>
      <c r="C123">
        <f>Sinistrés!X128</f>
        <v>0</v>
      </c>
      <c r="D123">
        <f>Sinistrés!L128</f>
        <v>22.3</v>
      </c>
      <c r="E123">
        <f>Sinistrés!M128</f>
        <v>22.3</v>
      </c>
      <c r="F123">
        <f t="shared" si="2"/>
        <v>0</v>
      </c>
      <c r="G123">
        <f t="shared" si="3"/>
        <v>1</v>
      </c>
    </row>
    <row r="124" spans="1:7" hidden="1">
      <c r="A124" t="str">
        <f>Sinistrés!H129</f>
        <v>Colza d'hiver</v>
      </c>
      <c r="B124">
        <f>Sinistrés!J129</f>
        <v>9523.2000000000007</v>
      </c>
      <c r="C124">
        <f>Sinistrés!X129</f>
        <v>0</v>
      </c>
      <c r="D124">
        <f>Sinistrés!L129</f>
        <v>8</v>
      </c>
      <c r="E124">
        <f>Sinistrés!M129</f>
        <v>13</v>
      </c>
      <c r="F124">
        <f t="shared" si="2"/>
        <v>0</v>
      </c>
      <c r="G124">
        <f t="shared" si="3"/>
        <v>1.625</v>
      </c>
    </row>
    <row r="125" spans="1:7" hidden="1">
      <c r="A125" t="str">
        <f>Sinistrés!H130</f>
        <v>Blé tendre d'hiver</v>
      </c>
      <c r="B125">
        <f>Sinistrés!J130</f>
        <v>29521.8</v>
      </c>
      <c r="C125">
        <f>Sinistrés!X130</f>
        <v>0</v>
      </c>
      <c r="D125">
        <f>Sinistrés!L130</f>
        <v>27</v>
      </c>
      <c r="E125">
        <f>Sinistrés!M130</f>
        <v>27.5</v>
      </c>
      <c r="F125">
        <f t="shared" si="2"/>
        <v>0</v>
      </c>
      <c r="G125">
        <f t="shared" si="3"/>
        <v>1.0185185185185186</v>
      </c>
    </row>
    <row r="126" spans="1:7" hidden="1">
      <c r="A126" t="str">
        <f>Sinistrés!H131</f>
        <v>Seigle et méteil</v>
      </c>
      <c r="B126">
        <f>Sinistrés!J131</f>
        <v>6240</v>
      </c>
      <c r="C126">
        <f>Sinistrés!X131</f>
        <v>0</v>
      </c>
      <c r="D126">
        <f>Sinistrés!L131</f>
        <v>13</v>
      </c>
      <c r="E126">
        <f>Sinistrés!M131</f>
        <v>13</v>
      </c>
      <c r="F126">
        <f t="shared" si="2"/>
        <v>0</v>
      </c>
      <c r="G126">
        <f t="shared" si="3"/>
        <v>1</v>
      </c>
    </row>
    <row r="127" spans="1:7" hidden="1">
      <c r="A127" t="str">
        <f>Sinistrés!H132</f>
        <v>Blé tendre d'hiver</v>
      </c>
      <c r="B127">
        <f>Sinistrés!J132</f>
        <v>32077.71</v>
      </c>
      <c r="C127">
        <f>Sinistrés!X132</f>
        <v>0</v>
      </c>
      <c r="D127">
        <f>Sinistrés!L132</f>
        <v>25.89</v>
      </c>
      <c r="E127">
        <f>Sinistrés!M132</f>
        <v>4</v>
      </c>
      <c r="F127">
        <f t="shared" si="2"/>
        <v>0</v>
      </c>
      <c r="G127">
        <f t="shared" si="3"/>
        <v>0.1544998068752414</v>
      </c>
    </row>
    <row r="128" spans="1:7" hidden="1">
      <c r="A128" t="str">
        <f>Sinistrés!H133</f>
        <v>Orge d'hiver</v>
      </c>
      <c r="B128">
        <f>Sinistrés!J133</f>
        <v>7751.24</v>
      </c>
      <c r="C128">
        <f>Sinistrés!X133</f>
        <v>0</v>
      </c>
      <c r="D128">
        <f>Sinistrés!L133</f>
        <v>6.58</v>
      </c>
      <c r="E128">
        <f>Sinistrés!M133</f>
        <v>3.5</v>
      </c>
      <c r="F128">
        <f t="shared" si="2"/>
        <v>0</v>
      </c>
      <c r="G128">
        <f t="shared" si="3"/>
        <v>0.53191489361702127</v>
      </c>
    </row>
    <row r="129" spans="1:7">
      <c r="A129" t="str">
        <f>Sinistrés!H134</f>
        <v>Seigle et méteil</v>
      </c>
      <c r="B129">
        <f>Sinistrés!J134</f>
        <v>6685.2</v>
      </c>
      <c r="C129">
        <f>Sinistrés!X134</f>
        <v>1645.92</v>
      </c>
      <c r="D129">
        <f>Sinistrés!L134</f>
        <v>12.38</v>
      </c>
      <c r="E129">
        <f>Sinistrés!M134</f>
        <v>12.38</v>
      </c>
      <c r="F129">
        <f t="shared" si="2"/>
        <v>0.24620355411954767</v>
      </c>
      <c r="G129">
        <f t="shared" si="3"/>
        <v>1</v>
      </c>
    </row>
    <row r="130" spans="1:7" hidden="1">
      <c r="A130" t="str">
        <f>Sinistrés!H135</f>
        <v>Blé de force</v>
      </c>
      <c r="B130">
        <f>Sinistrés!J135</f>
        <v>10692</v>
      </c>
      <c r="C130">
        <f>Sinistrés!X135</f>
        <v>0</v>
      </c>
      <c r="D130">
        <f>Sinistrés!L135</f>
        <v>8.91</v>
      </c>
      <c r="E130">
        <f>Sinistrés!M135</f>
        <v>8.5</v>
      </c>
      <c r="F130">
        <f t="shared" si="2"/>
        <v>0</v>
      </c>
      <c r="G130">
        <f t="shared" si="3"/>
        <v>0.95398428731762064</v>
      </c>
    </row>
    <row r="131" spans="1:7" hidden="1">
      <c r="A131" t="str">
        <f>Sinistrés!H136</f>
        <v>Blé tendre d'hiver</v>
      </c>
      <c r="B131">
        <f>Sinistrés!J136</f>
        <v>12085.2</v>
      </c>
      <c r="C131">
        <f>Sinistrés!X136</f>
        <v>0</v>
      </c>
      <c r="D131">
        <f>Sinistrés!L136</f>
        <v>11.19</v>
      </c>
      <c r="E131">
        <f>Sinistrés!M136</f>
        <v>11</v>
      </c>
      <c r="F131">
        <f t="shared" ref="F131:F194" si="4">C131/B131</f>
        <v>0</v>
      </c>
      <c r="G131">
        <f t="shared" ref="G131:G194" si="5">E131/D131</f>
        <v>0.98302055406613054</v>
      </c>
    </row>
    <row r="132" spans="1:7" hidden="1">
      <c r="A132" t="str">
        <f>Sinistrés!H137</f>
        <v>Orge d'hiver</v>
      </c>
      <c r="B132">
        <f>Sinistrés!J137</f>
        <v>5112</v>
      </c>
      <c r="C132">
        <f>Sinistrés!X137</f>
        <v>0</v>
      </c>
      <c r="D132">
        <f>Sinistrés!L137</f>
        <v>5.68</v>
      </c>
      <c r="E132">
        <f>Sinistrés!M137</f>
        <v>5.5</v>
      </c>
      <c r="F132">
        <f t="shared" si="4"/>
        <v>0</v>
      </c>
      <c r="G132">
        <f t="shared" si="5"/>
        <v>0.96830985915492962</v>
      </c>
    </row>
    <row r="133" spans="1:7" hidden="1">
      <c r="A133" t="str">
        <f>Sinistrés!H138</f>
        <v>Blé tendre d'hiver</v>
      </c>
      <c r="B133">
        <f>Sinistrés!J138</f>
        <v>4233.5200000000004</v>
      </c>
      <c r="C133">
        <f>Sinistrés!X138</f>
        <v>0</v>
      </c>
      <c r="D133">
        <f>Sinistrés!L138</f>
        <v>3.62</v>
      </c>
      <c r="E133">
        <f>Sinistrés!M138</f>
        <v>3.62</v>
      </c>
      <c r="F133">
        <f t="shared" si="4"/>
        <v>0</v>
      </c>
      <c r="G133">
        <f t="shared" si="5"/>
        <v>1</v>
      </c>
    </row>
    <row r="134" spans="1:7" hidden="1">
      <c r="A134" t="str">
        <f>Sinistrés!H139</f>
        <v>Blé de force</v>
      </c>
      <c r="B134">
        <f>Sinistrés!J139</f>
        <v>53600</v>
      </c>
      <c r="C134">
        <f>Sinistrés!X139</f>
        <v>0</v>
      </c>
      <c r="D134">
        <f>Sinistrés!L139</f>
        <v>33.5</v>
      </c>
      <c r="E134">
        <f>Sinistrés!M139</f>
        <v>33.5</v>
      </c>
      <c r="F134">
        <f t="shared" si="4"/>
        <v>0</v>
      </c>
      <c r="G134">
        <f t="shared" si="5"/>
        <v>1</v>
      </c>
    </row>
    <row r="135" spans="1:7" hidden="1">
      <c r="A135" t="str">
        <f>Sinistrés!H140</f>
        <v>Blé tendre d'hiver</v>
      </c>
      <c r="B135">
        <f>Sinistrés!J140</f>
        <v>45265</v>
      </c>
      <c r="C135">
        <f>Sinistrés!X140</f>
        <v>0</v>
      </c>
      <c r="D135">
        <f>Sinistrés!L140</f>
        <v>27.5</v>
      </c>
      <c r="E135">
        <f>Sinistrés!M140</f>
        <v>27.5</v>
      </c>
      <c r="F135">
        <f t="shared" si="4"/>
        <v>0</v>
      </c>
      <c r="G135">
        <f t="shared" si="5"/>
        <v>1</v>
      </c>
    </row>
    <row r="136" spans="1:7">
      <c r="A136" t="str">
        <f>Sinistrés!H141</f>
        <v>Blé dur d'hiver</v>
      </c>
      <c r="B136">
        <f>Sinistrés!J141</f>
        <v>19882.8</v>
      </c>
      <c r="C136">
        <f>Sinistrés!X141</f>
        <v>294.83999999999997</v>
      </c>
      <c r="D136">
        <f>Sinistrés!L141</f>
        <v>15</v>
      </c>
      <c r="E136">
        <f>Sinistrés!M141</f>
        <v>15</v>
      </c>
      <c r="F136">
        <f t="shared" si="4"/>
        <v>1.4828897338403041E-2</v>
      </c>
      <c r="G136">
        <f t="shared" si="5"/>
        <v>1</v>
      </c>
    </row>
    <row r="137" spans="1:7">
      <c r="A137" t="str">
        <f>Sinistrés!H142</f>
        <v>Colza d'hiver</v>
      </c>
      <c r="B137">
        <f>Sinistrés!J142</f>
        <v>19264</v>
      </c>
      <c r="C137">
        <f>Sinistrés!X142</f>
        <v>3411.2</v>
      </c>
      <c r="D137">
        <f>Sinistrés!L142</f>
        <v>28</v>
      </c>
      <c r="E137">
        <f>Sinistrés!M142</f>
        <v>28</v>
      </c>
      <c r="F137">
        <f t="shared" si="4"/>
        <v>0.17707641196013288</v>
      </c>
      <c r="G137">
        <f t="shared" si="5"/>
        <v>1</v>
      </c>
    </row>
    <row r="138" spans="1:7" hidden="1">
      <c r="A138" t="str">
        <f>Sinistrés!H143</f>
        <v>Orge de printemps</v>
      </c>
      <c r="B138">
        <f>Sinistrés!J143</f>
        <v>10195.200000000001</v>
      </c>
      <c r="C138">
        <f>Sinistrés!X143</f>
        <v>0</v>
      </c>
      <c r="D138">
        <f>Sinistrés!L143</f>
        <v>10.62</v>
      </c>
      <c r="E138">
        <f>Sinistrés!M143</f>
        <v>12</v>
      </c>
      <c r="F138">
        <f t="shared" si="4"/>
        <v>0</v>
      </c>
      <c r="G138">
        <f t="shared" si="5"/>
        <v>1.1299435028248588</v>
      </c>
    </row>
    <row r="139" spans="1:7" hidden="1">
      <c r="A139" t="str">
        <f>Sinistrés!H144</f>
        <v>Féveroles et fèves</v>
      </c>
      <c r="B139">
        <f>Sinistrés!J144</f>
        <v>5435.45</v>
      </c>
      <c r="C139">
        <f>Sinistrés!X144</f>
        <v>0</v>
      </c>
      <c r="D139">
        <f>Sinistrés!L144</f>
        <v>17.510000000000002</v>
      </c>
      <c r="E139">
        <f>Sinistrés!M144</f>
        <v>17.510000000000002</v>
      </c>
      <c r="F139">
        <f t="shared" si="4"/>
        <v>0</v>
      </c>
      <c r="G139">
        <f t="shared" si="5"/>
        <v>1</v>
      </c>
    </row>
    <row r="140" spans="1:7" hidden="1">
      <c r="A140" t="str">
        <f>Sinistrés!H145</f>
        <v>Féveroles et fèves BIO</v>
      </c>
      <c r="B140">
        <f>Sinistrés!J145</f>
        <v>4340.7</v>
      </c>
      <c r="C140">
        <f>Sinistrés!X145</f>
        <v>0</v>
      </c>
      <c r="D140">
        <f>Sinistrés!L145</f>
        <v>13</v>
      </c>
      <c r="E140">
        <f>Sinistrés!M145</f>
        <v>4</v>
      </c>
      <c r="F140">
        <f t="shared" si="4"/>
        <v>0</v>
      </c>
      <c r="G140">
        <f t="shared" si="5"/>
        <v>0.30769230769230771</v>
      </c>
    </row>
    <row r="141" spans="1:7" hidden="1">
      <c r="A141" t="str">
        <f>Sinistrés!H146</f>
        <v>Orge d'hiver</v>
      </c>
      <c r="B141">
        <f>Sinistrés!J146</f>
        <v>9548</v>
      </c>
      <c r="C141">
        <f>Sinistrés!X146</f>
        <v>0</v>
      </c>
      <c r="D141">
        <f>Sinistrés!L146</f>
        <v>8</v>
      </c>
      <c r="E141">
        <f>Sinistrés!M146</f>
        <v>8</v>
      </c>
      <c r="F141">
        <f t="shared" si="4"/>
        <v>0</v>
      </c>
      <c r="G141">
        <f t="shared" si="5"/>
        <v>1</v>
      </c>
    </row>
    <row r="142" spans="1:7" hidden="1">
      <c r="A142" t="str">
        <f>Sinistrés!H147</f>
        <v>Blé tendre d'hiver</v>
      </c>
      <c r="B142">
        <f>Sinistrés!J147</f>
        <v>13465.09</v>
      </c>
      <c r="C142">
        <f>Sinistrés!X147</f>
        <v>0</v>
      </c>
      <c r="D142">
        <f>Sinistrés!L147</f>
        <v>13.6</v>
      </c>
      <c r="E142">
        <f>Sinistrés!M147</f>
        <v>2</v>
      </c>
      <c r="F142">
        <f t="shared" si="4"/>
        <v>0</v>
      </c>
      <c r="G142">
        <f t="shared" si="5"/>
        <v>0.14705882352941177</v>
      </c>
    </row>
    <row r="143" spans="1:7" hidden="1">
      <c r="A143" t="str">
        <f>Sinistrés!H148</f>
        <v>Blé tendre d'hiver</v>
      </c>
      <c r="B143">
        <f>Sinistrés!J148</f>
        <v>23162.58</v>
      </c>
      <c r="C143">
        <f>Sinistrés!X148</f>
        <v>0</v>
      </c>
      <c r="D143">
        <f>Sinistrés!L148</f>
        <v>21.7</v>
      </c>
      <c r="E143">
        <f>Sinistrés!M148</f>
        <v>10</v>
      </c>
      <c r="F143">
        <f t="shared" si="4"/>
        <v>0</v>
      </c>
      <c r="G143">
        <f t="shared" si="5"/>
        <v>0.46082949308755761</v>
      </c>
    </row>
    <row r="144" spans="1:7">
      <c r="A144" t="str">
        <f>Sinistrés!H149</f>
        <v>Blé tendre d'hiver</v>
      </c>
      <c r="B144">
        <f>Sinistrés!J149</f>
        <v>56146.11</v>
      </c>
      <c r="C144">
        <f>Sinistrés!X149</f>
        <v>1111.5</v>
      </c>
      <c r="D144">
        <f>Sinistrés!L149</f>
        <v>50.71</v>
      </c>
      <c r="E144">
        <f>Sinistrés!M149</f>
        <v>9.11</v>
      </c>
      <c r="F144">
        <f t="shared" si="4"/>
        <v>1.9796562931964475E-2</v>
      </c>
      <c r="G144">
        <f t="shared" si="5"/>
        <v>0.17964898442121868</v>
      </c>
    </row>
    <row r="145" spans="1:7" hidden="1">
      <c r="A145" t="str">
        <f>Sinistrés!H150</f>
        <v>Blé tendre d'hiver</v>
      </c>
      <c r="B145">
        <f>Sinistrés!J150</f>
        <v>22615.360000000001</v>
      </c>
      <c r="C145">
        <f>Sinistrés!X150</f>
        <v>0</v>
      </c>
      <c r="D145">
        <f>Sinistrés!L150</f>
        <v>24.37</v>
      </c>
      <c r="E145">
        <f>Sinistrés!M150</f>
        <v>24.37</v>
      </c>
      <c r="F145">
        <f t="shared" si="4"/>
        <v>0</v>
      </c>
      <c r="G145">
        <f t="shared" si="5"/>
        <v>1</v>
      </c>
    </row>
    <row r="146" spans="1:7" hidden="1">
      <c r="A146" t="str">
        <f>Sinistrés!H151</f>
        <v>Blé tendre d'hiver BIO</v>
      </c>
      <c r="B146">
        <f>Sinistrés!J151</f>
        <v>67189.5</v>
      </c>
      <c r="C146">
        <f>Sinistrés!X151</f>
        <v>10078.11</v>
      </c>
      <c r="D146">
        <f>Sinistrés!L151</f>
        <v>63</v>
      </c>
      <c r="E146">
        <f>Sinistrés!M151</f>
        <v>63</v>
      </c>
      <c r="F146">
        <f t="shared" si="4"/>
        <v>0.14999531176746367</v>
      </c>
      <c r="G146">
        <f t="shared" si="5"/>
        <v>1</v>
      </c>
    </row>
    <row r="147" spans="1:7" hidden="1">
      <c r="A147" t="str">
        <f>Sinistrés!H152</f>
        <v>Colza d'hiver</v>
      </c>
      <c r="B147">
        <f>Sinistrés!J152</f>
        <v>31812.77</v>
      </c>
      <c r="C147">
        <f>Sinistrés!X152</f>
        <v>0</v>
      </c>
      <c r="D147">
        <f>Sinistrés!L152</f>
        <v>28.9</v>
      </c>
      <c r="E147">
        <f>Sinistrés!M152</f>
        <v>30.16</v>
      </c>
      <c r="F147">
        <f t="shared" si="4"/>
        <v>0</v>
      </c>
      <c r="G147">
        <f t="shared" si="5"/>
        <v>1.043598615916955</v>
      </c>
    </row>
    <row r="148" spans="1:7">
      <c r="A148" t="str">
        <f>Sinistrés!H153</f>
        <v>Colza d'hiver</v>
      </c>
      <c r="B148">
        <f>Sinistrés!J153</f>
        <v>18814</v>
      </c>
      <c r="C148">
        <f>Sinistrés!X153</f>
        <v>818</v>
      </c>
      <c r="D148">
        <f>Sinistrés!L153</f>
        <v>15.5</v>
      </c>
      <c r="E148">
        <f>Sinistrés!M153</f>
        <v>4.5</v>
      </c>
      <c r="F148">
        <f t="shared" si="4"/>
        <v>4.3478260869565216E-2</v>
      </c>
      <c r="G148">
        <f t="shared" si="5"/>
        <v>0.29032258064516131</v>
      </c>
    </row>
    <row r="149" spans="1:7" hidden="1">
      <c r="A149" t="str">
        <f>Sinistrés!H154</f>
        <v>Blé tendre d'hiver</v>
      </c>
      <c r="B149">
        <f>Sinistrés!J154</f>
        <v>98181.35</v>
      </c>
      <c r="C149">
        <f>Sinistrés!X154</f>
        <v>0</v>
      </c>
      <c r="D149">
        <f>Sinistrés!L154</f>
        <v>73</v>
      </c>
      <c r="E149">
        <f>Sinistrés!M154</f>
        <v>30</v>
      </c>
      <c r="F149">
        <f t="shared" si="4"/>
        <v>0</v>
      </c>
      <c r="G149">
        <f t="shared" si="5"/>
        <v>0.41095890410958902</v>
      </c>
    </row>
    <row r="150" spans="1:7">
      <c r="A150" t="str">
        <f>Sinistrés!H155</f>
        <v>Blé tendre d'hiver</v>
      </c>
      <c r="B150">
        <f>Sinistrés!J155</f>
        <v>20560.32</v>
      </c>
      <c r="C150">
        <f>Sinistrés!X155</f>
        <v>171</v>
      </c>
      <c r="D150">
        <f>Sinistrés!L155</f>
        <v>19.8</v>
      </c>
      <c r="E150">
        <f>Sinistrés!M155</f>
        <v>0.9</v>
      </c>
      <c r="F150">
        <f t="shared" si="4"/>
        <v>8.3169911752346264E-3</v>
      </c>
      <c r="G150">
        <f t="shared" si="5"/>
        <v>4.5454545454545456E-2</v>
      </c>
    </row>
    <row r="151" spans="1:7" hidden="1">
      <c r="A151" t="str">
        <f>Sinistrés!H156</f>
        <v>Colza d'hiver</v>
      </c>
      <c r="B151">
        <f>Sinistrés!J156</f>
        <v>47740</v>
      </c>
      <c r="C151">
        <f>Sinistrés!X156</f>
        <v>0</v>
      </c>
      <c r="D151">
        <f>Sinistrés!L156</f>
        <v>28</v>
      </c>
      <c r="E151">
        <f>Sinistrés!M156</f>
        <v>8.65</v>
      </c>
      <c r="F151">
        <f t="shared" si="4"/>
        <v>0</v>
      </c>
      <c r="G151">
        <f t="shared" si="5"/>
        <v>0.30892857142857144</v>
      </c>
    </row>
    <row r="152" spans="1:7" hidden="1">
      <c r="A152" t="str">
        <f>Sinistrés!H157</f>
        <v>Colza d'hiver</v>
      </c>
      <c r="B152">
        <f>Sinistrés!J157</f>
        <v>33882.639999999999</v>
      </c>
      <c r="C152">
        <f>Sinistrés!X157</f>
        <v>0</v>
      </c>
      <c r="D152">
        <f>Sinistrés!L157</f>
        <v>30.58</v>
      </c>
      <c r="E152">
        <f>Sinistrés!M157</f>
        <v>5</v>
      </c>
      <c r="F152">
        <f t="shared" si="4"/>
        <v>0</v>
      </c>
      <c r="G152">
        <f t="shared" si="5"/>
        <v>0.16350555918901244</v>
      </c>
    </row>
    <row r="153" spans="1:7">
      <c r="A153" t="str">
        <f>Sinistrés!H158</f>
        <v>Colza d'hiver</v>
      </c>
      <c r="B153">
        <f>Sinistrés!J158</f>
        <v>94240</v>
      </c>
      <c r="C153">
        <f>Sinistrés!X158</f>
        <v>368.4</v>
      </c>
      <c r="D153">
        <f>Sinistrés!L158</f>
        <v>76</v>
      </c>
      <c r="E153">
        <f>Sinistrés!M158</f>
        <v>20</v>
      </c>
      <c r="F153">
        <f t="shared" si="4"/>
        <v>3.9091680814940574E-3</v>
      </c>
      <c r="G153">
        <f t="shared" si="5"/>
        <v>0.26315789473684209</v>
      </c>
    </row>
    <row r="154" spans="1:7" hidden="1">
      <c r="A154" t="str">
        <f>Sinistrés!H159</f>
        <v>Avoine d'hiver</v>
      </c>
      <c r="B154">
        <f>Sinistrés!J159</f>
        <v>12957.26</v>
      </c>
      <c r="C154">
        <f>Sinistrés!X159</f>
        <v>0</v>
      </c>
      <c r="D154">
        <f>Sinistrés!L159</f>
        <v>15.04</v>
      </c>
      <c r="E154">
        <f>Sinistrés!M159</f>
        <v>15.04</v>
      </c>
      <c r="F154">
        <f t="shared" si="4"/>
        <v>0</v>
      </c>
      <c r="G154">
        <f t="shared" si="5"/>
        <v>1</v>
      </c>
    </row>
    <row r="155" spans="1:7" hidden="1">
      <c r="A155" t="str">
        <f>Sinistrés!H160</f>
        <v>Orge d'hiver</v>
      </c>
      <c r="B155">
        <f>Sinistrés!J160</f>
        <v>108767.8</v>
      </c>
      <c r="C155">
        <f>Sinistrés!X160</f>
        <v>0</v>
      </c>
      <c r="D155">
        <f>Sinistrés!L160</f>
        <v>81.17</v>
      </c>
      <c r="E155">
        <f>Sinistrés!M160</f>
        <v>81.17</v>
      </c>
      <c r="F155">
        <f t="shared" si="4"/>
        <v>0</v>
      </c>
      <c r="G155">
        <f t="shared" si="5"/>
        <v>1</v>
      </c>
    </row>
    <row r="156" spans="1:7" hidden="1">
      <c r="A156" t="str">
        <f>Sinistrés!H161</f>
        <v>Blé tendre d'hiver</v>
      </c>
      <c r="B156">
        <f>Sinistrés!J161</f>
        <v>13104</v>
      </c>
      <c r="C156">
        <f>Sinistrés!X161</f>
        <v>0</v>
      </c>
      <c r="D156">
        <f>Sinistrés!L161</f>
        <v>9.1</v>
      </c>
      <c r="E156">
        <f>Sinistrés!M161</f>
        <v>9.1</v>
      </c>
      <c r="F156">
        <f t="shared" si="4"/>
        <v>0</v>
      </c>
      <c r="G156">
        <f t="shared" si="5"/>
        <v>1</v>
      </c>
    </row>
    <row r="157" spans="1:7" hidden="1">
      <c r="A157" t="str">
        <f>Sinistrés!H162</f>
        <v>Blé tendre d'hiver</v>
      </c>
      <c r="B157">
        <f>Sinistrés!J162</f>
        <v>216000</v>
      </c>
      <c r="C157">
        <f>Sinistrés!X162</f>
        <v>0</v>
      </c>
      <c r="D157">
        <f>Sinistrés!L162</f>
        <v>150</v>
      </c>
      <c r="E157">
        <f>Sinistrés!M162</f>
        <v>150</v>
      </c>
      <c r="F157">
        <f t="shared" si="4"/>
        <v>0</v>
      </c>
      <c r="G157">
        <f t="shared" si="5"/>
        <v>1</v>
      </c>
    </row>
    <row r="158" spans="1:7" hidden="1">
      <c r="A158" t="str">
        <f>Sinistrés!H163</f>
        <v>Orge d'hiver</v>
      </c>
      <c r="B158">
        <f>Sinistrés!J163</f>
        <v>10854</v>
      </c>
      <c r="C158">
        <f>Sinistrés!X163</f>
        <v>0</v>
      </c>
      <c r="D158">
        <f>Sinistrés!L163</f>
        <v>8.1</v>
      </c>
      <c r="E158">
        <f>Sinistrés!M163</f>
        <v>8.1</v>
      </c>
      <c r="F158">
        <f t="shared" si="4"/>
        <v>0</v>
      </c>
      <c r="G158">
        <f t="shared" si="5"/>
        <v>1</v>
      </c>
    </row>
    <row r="159" spans="1:7">
      <c r="A159" t="str">
        <f>Sinistrés!H164</f>
        <v>Orge de printemps</v>
      </c>
      <c r="B159">
        <f>Sinistrés!J164</f>
        <v>12251.8</v>
      </c>
      <c r="C159">
        <f>Sinistrés!X164</f>
        <v>3103.95</v>
      </c>
      <c r="D159">
        <f>Sinistrés!L164</f>
        <v>13.78</v>
      </c>
      <c r="E159">
        <f>Sinistrés!M164</f>
        <v>13.7</v>
      </c>
      <c r="F159">
        <f t="shared" si="4"/>
        <v>0.25334644705267795</v>
      </c>
      <c r="G159">
        <f t="shared" si="5"/>
        <v>0.99419448476052252</v>
      </c>
    </row>
    <row r="160" spans="1:7">
      <c r="A160" t="str">
        <f>Sinistrés!H165</f>
        <v>Seigle et méteil</v>
      </c>
      <c r="B160">
        <f>Sinistrés!J165</f>
        <v>6507.6</v>
      </c>
      <c r="C160">
        <f>Sinistrés!X165</f>
        <v>469.48</v>
      </c>
      <c r="D160">
        <f>Sinistrés!L165</f>
        <v>6.6</v>
      </c>
      <c r="E160">
        <f>Sinistrés!M165</f>
        <v>1</v>
      </c>
      <c r="F160">
        <f t="shared" si="4"/>
        <v>7.2143340094658545E-2</v>
      </c>
      <c r="G160">
        <f t="shared" si="5"/>
        <v>0.15151515151515152</v>
      </c>
    </row>
    <row r="161" spans="1:7" hidden="1">
      <c r="A161" t="str">
        <f>Sinistrés!H166</f>
        <v>Blé tendre d'hiver</v>
      </c>
      <c r="B161">
        <f>Sinistrés!J166</f>
        <v>5624.64</v>
      </c>
      <c r="C161">
        <f>Sinistrés!X166</f>
        <v>0</v>
      </c>
      <c r="D161">
        <f>Sinistrés!L166</f>
        <v>5.04</v>
      </c>
      <c r="E161">
        <f>Sinistrés!M166</f>
        <v>5.04</v>
      </c>
      <c r="F161">
        <f t="shared" si="4"/>
        <v>0</v>
      </c>
      <c r="G161">
        <f t="shared" si="5"/>
        <v>1</v>
      </c>
    </row>
    <row r="162" spans="1:7">
      <c r="A162" t="str">
        <f>Sinistrés!H167</f>
        <v>Blé tendre d'hiver</v>
      </c>
      <c r="B162">
        <f>Sinistrés!J167</f>
        <v>133071.29999999999</v>
      </c>
      <c r="C162">
        <f>Sinistrés!X167</f>
        <v>438.8</v>
      </c>
      <c r="D162">
        <f>Sinistrés!L167</f>
        <v>99.5</v>
      </c>
      <c r="E162">
        <f>Sinistrés!M167</f>
        <v>99.5</v>
      </c>
      <c r="F162">
        <f t="shared" si="4"/>
        <v>3.2974803733036352E-3</v>
      </c>
      <c r="G162">
        <f t="shared" si="5"/>
        <v>1</v>
      </c>
    </row>
    <row r="163" spans="1:7" hidden="1">
      <c r="A163" t="str">
        <f>Sinistrés!H168</f>
        <v>Colza d'hiver</v>
      </c>
      <c r="B163">
        <f>Sinistrés!J168</f>
        <v>98623.2</v>
      </c>
      <c r="C163">
        <f>Sinistrés!X168</f>
        <v>0</v>
      </c>
      <c r="D163">
        <f>Sinistrés!L168</f>
        <v>65.400000000000006</v>
      </c>
      <c r="E163">
        <f>Sinistrés!M168</f>
        <v>65.400000000000006</v>
      </c>
      <c r="F163">
        <f t="shared" si="4"/>
        <v>0</v>
      </c>
      <c r="G163">
        <f t="shared" si="5"/>
        <v>1</v>
      </c>
    </row>
    <row r="164" spans="1:7" hidden="1">
      <c r="A164" t="str">
        <f>Sinistrés!H169</f>
        <v>Orge d'hiver</v>
      </c>
      <c r="B164">
        <f>Sinistrés!J169</f>
        <v>16787.59</v>
      </c>
      <c r="C164">
        <f>Sinistrés!X169</f>
        <v>0</v>
      </c>
      <c r="D164">
        <f>Sinistrés!L169</f>
        <v>13.85</v>
      </c>
      <c r="E164">
        <f>Sinistrés!M169</f>
        <v>13.85</v>
      </c>
      <c r="F164">
        <f t="shared" si="4"/>
        <v>0</v>
      </c>
      <c r="G164">
        <f t="shared" si="5"/>
        <v>1</v>
      </c>
    </row>
    <row r="165" spans="1:7" hidden="1">
      <c r="A165" t="str">
        <f>Sinistrés!H170</f>
        <v>Blé de force</v>
      </c>
      <c r="B165">
        <f>Sinistrés!J170</f>
        <v>6708.8</v>
      </c>
      <c r="C165">
        <f>Sinistrés!X170</f>
        <v>0</v>
      </c>
      <c r="D165">
        <f>Sinistrés!L170</f>
        <v>5</v>
      </c>
      <c r="E165">
        <f>Sinistrés!M170</f>
        <v>5</v>
      </c>
      <c r="F165">
        <f t="shared" si="4"/>
        <v>0</v>
      </c>
      <c r="G165">
        <f t="shared" si="5"/>
        <v>1</v>
      </c>
    </row>
    <row r="166" spans="1:7" hidden="1">
      <c r="A166" t="str">
        <f>Sinistrés!H171</f>
        <v>Blé tendre d'hiver</v>
      </c>
      <c r="B166">
        <f>Sinistrés!J171</f>
        <v>64510.78</v>
      </c>
      <c r="C166">
        <f>Sinistrés!X171</f>
        <v>0</v>
      </c>
      <c r="D166">
        <f>Sinistrés!L171</f>
        <v>42.87</v>
      </c>
      <c r="E166">
        <f>Sinistrés!M171</f>
        <v>42.87</v>
      </c>
      <c r="F166">
        <f t="shared" si="4"/>
        <v>0</v>
      </c>
      <c r="G166">
        <f t="shared" si="5"/>
        <v>1</v>
      </c>
    </row>
    <row r="167" spans="1:7" hidden="1">
      <c r="A167" t="str">
        <f>Sinistrés!H172</f>
        <v>Colza d'hiver</v>
      </c>
      <c r="B167">
        <f>Sinistrés!J172</f>
        <v>39767.49</v>
      </c>
      <c r="C167">
        <f>Sinistrés!X172</f>
        <v>0</v>
      </c>
      <c r="D167">
        <f>Sinistrés!L172</f>
        <v>23.82</v>
      </c>
      <c r="E167">
        <f>Sinistrés!M172</f>
        <v>23.82</v>
      </c>
      <c r="F167">
        <f t="shared" si="4"/>
        <v>0</v>
      </c>
      <c r="G167">
        <f t="shared" si="5"/>
        <v>1</v>
      </c>
    </row>
    <row r="168" spans="1:7" hidden="1">
      <c r="A168" t="str">
        <f>Sinistrés!H173</f>
        <v>Colza d'hiver</v>
      </c>
      <c r="B168">
        <f>Sinistrés!J173</f>
        <v>10275</v>
      </c>
      <c r="C168">
        <f>Sinistrés!X173</f>
        <v>0</v>
      </c>
      <c r="D168">
        <f>Sinistrés!L173</f>
        <v>10.11</v>
      </c>
      <c r="E168">
        <f>Sinistrés!M173</f>
        <v>10.11</v>
      </c>
      <c r="F168">
        <f t="shared" si="4"/>
        <v>0</v>
      </c>
      <c r="G168">
        <f t="shared" si="5"/>
        <v>1</v>
      </c>
    </row>
    <row r="169" spans="1:7">
      <c r="A169" t="str">
        <f>Sinistrés!H174</f>
        <v>Blé tendre d'hiver</v>
      </c>
      <c r="B169">
        <f>Sinistrés!J174</f>
        <v>82429.210000000006</v>
      </c>
      <c r="C169">
        <f>Sinistrés!X174</f>
        <v>1700.42</v>
      </c>
      <c r="D169">
        <f>Sinistrés!L174</f>
        <v>64.91</v>
      </c>
      <c r="E169">
        <f>Sinistrés!M174</f>
        <v>64.91</v>
      </c>
      <c r="F169">
        <f t="shared" si="4"/>
        <v>2.0628852320676128E-2</v>
      </c>
      <c r="G169">
        <f t="shared" si="5"/>
        <v>1</v>
      </c>
    </row>
    <row r="170" spans="1:7">
      <c r="A170" t="str">
        <f>Sinistrés!H175</f>
        <v>Colza d'hiver</v>
      </c>
      <c r="B170">
        <f>Sinistrés!J175</f>
        <v>22400.81</v>
      </c>
      <c r="C170">
        <f>Sinistrés!X175</f>
        <v>697.09</v>
      </c>
      <c r="D170">
        <f>Sinistrés!L175</f>
        <v>20.190000000000001</v>
      </c>
      <c r="E170">
        <f>Sinistrés!M175</f>
        <v>20.190000000000001</v>
      </c>
      <c r="F170">
        <f t="shared" si="4"/>
        <v>3.1118964001748149E-2</v>
      </c>
      <c r="G170">
        <f t="shared" si="5"/>
        <v>1</v>
      </c>
    </row>
    <row r="171" spans="1:7">
      <c r="A171" t="str">
        <f>Sinistrés!H176</f>
        <v>Pois protéagineux</v>
      </c>
      <c r="B171">
        <f>Sinistrés!J176</f>
        <v>7761.36</v>
      </c>
      <c r="C171">
        <f>Sinistrés!X176</f>
        <v>304.73</v>
      </c>
      <c r="D171">
        <f>Sinistrés!L176</f>
        <v>8.76</v>
      </c>
      <c r="E171">
        <f>Sinistrés!M176</f>
        <v>8.76</v>
      </c>
      <c r="F171">
        <f t="shared" si="4"/>
        <v>3.9262448849170767E-2</v>
      </c>
      <c r="G171">
        <f t="shared" si="5"/>
        <v>1</v>
      </c>
    </row>
    <row r="172" spans="1:7" hidden="1">
      <c r="A172" t="str">
        <f>Sinistrés!H177</f>
        <v>Blé tendre d'hiver</v>
      </c>
      <c r="B172">
        <f>Sinistrés!J177</f>
        <v>46299.5</v>
      </c>
      <c r="C172">
        <f>Sinistrés!X177</f>
        <v>0</v>
      </c>
      <c r="D172">
        <f>Sinistrés!L177</f>
        <v>65</v>
      </c>
      <c r="E172">
        <f>Sinistrés!M177</f>
        <v>20.2</v>
      </c>
      <c r="F172">
        <f t="shared" si="4"/>
        <v>0</v>
      </c>
      <c r="G172">
        <f t="shared" si="5"/>
        <v>0.31076923076923074</v>
      </c>
    </row>
    <row r="173" spans="1:7" hidden="1">
      <c r="A173" t="str">
        <f>Sinistrés!H178</f>
        <v>Avoine d'hiver</v>
      </c>
      <c r="B173">
        <f>Sinistrés!J178</f>
        <v>10247.6</v>
      </c>
      <c r="C173">
        <f>Sinistrés!X178</f>
        <v>0</v>
      </c>
      <c r="D173">
        <f>Sinistrés!L178</f>
        <v>17</v>
      </c>
      <c r="E173">
        <f>Sinistrés!M178</f>
        <v>16.98</v>
      </c>
      <c r="F173">
        <f t="shared" si="4"/>
        <v>0</v>
      </c>
      <c r="G173">
        <f t="shared" si="5"/>
        <v>0.99882352941176478</v>
      </c>
    </row>
    <row r="174" spans="1:7" hidden="1">
      <c r="A174" t="str">
        <f>Sinistrés!H179</f>
        <v>Triticale</v>
      </c>
      <c r="B174">
        <f>Sinistrés!J179</f>
        <v>14796</v>
      </c>
      <c r="C174">
        <f>Sinistrés!X179</f>
        <v>0</v>
      </c>
      <c r="D174">
        <f>Sinistrés!L179</f>
        <v>24</v>
      </c>
      <c r="E174">
        <f>Sinistrés!M179</f>
        <v>21.53</v>
      </c>
      <c r="F174">
        <f t="shared" si="4"/>
        <v>0</v>
      </c>
      <c r="G174">
        <f t="shared" si="5"/>
        <v>0.89708333333333334</v>
      </c>
    </row>
    <row r="175" spans="1:7" hidden="1">
      <c r="A175" t="str">
        <f>Sinistrés!H180</f>
        <v>Orge de printemps</v>
      </c>
      <c r="B175">
        <f>Sinistrés!J180</f>
        <v>12251.8</v>
      </c>
      <c r="C175">
        <f>Sinistrés!X180</f>
        <v>0</v>
      </c>
      <c r="D175">
        <f>Sinistrés!L180</f>
        <v>13.78</v>
      </c>
      <c r="E175">
        <f>Sinistrés!M180</f>
        <v>13.7</v>
      </c>
      <c r="F175">
        <f t="shared" si="4"/>
        <v>0</v>
      </c>
      <c r="G175">
        <f t="shared" si="5"/>
        <v>0.99419448476052252</v>
      </c>
    </row>
    <row r="176" spans="1:7" hidden="1">
      <c r="A176" t="str">
        <f>Sinistrés!H181</f>
        <v>Blé tendre d'hiver</v>
      </c>
      <c r="B176">
        <f>Sinistrés!J181</f>
        <v>32626.880000000001</v>
      </c>
      <c r="C176">
        <f>Sinistrés!X181</f>
        <v>0</v>
      </c>
      <c r="D176">
        <f>Sinistrés!L181</f>
        <v>22.88</v>
      </c>
      <c r="E176">
        <f>Sinistrés!M181</f>
        <v>22.88</v>
      </c>
      <c r="F176">
        <f t="shared" si="4"/>
        <v>0</v>
      </c>
      <c r="G176">
        <f t="shared" si="5"/>
        <v>1</v>
      </c>
    </row>
    <row r="177" spans="1:7" hidden="1">
      <c r="A177" t="str">
        <f>Sinistrés!H182</f>
        <v>Colza d'hiver</v>
      </c>
      <c r="B177">
        <f>Sinistrés!J182</f>
        <v>42660</v>
      </c>
      <c r="C177">
        <f>Sinistrés!X182</f>
        <v>0</v>
      </c>
      <c r="D177">
        <f>Sinistrés!L182</f>
        <v>27</v>
      </c>
      <c r="E177">
        <f>Sinistrés!M182</f>
        <v>27</v>
      </c>
      <c r="F177">
        <f t="shared" si="4"/>
        <v>0</v>
      </c>
      <c r="G177">
        <f t="shared" si="5"/>
        <v>1</v>
      </c>
    </row>
    <row r="178" spans="1:7" hidden="1">
      <c r="A178" t="str">
        <f>Sinistrés!H183</f>
        <v xml:space="preserve">Orge d'hiver </v>
      </c>
      <c r="B178">
        <f>Sinistrés!J183</f>
        <v>27900</v>
      </c>
      <c r="C178">
        <f>Sinistrés!X183</f>
        <v>0</v>
      </c>
      <c r="D178">
        <f>Sinistrés!L183</f>
        <v>22.5</v>
      </c>
      <c r="E178">
        <f>Sinistrés!M183</f>
        <v>22.5</v>
      </c>
      <c r="F178">
        <f t="shared" si="4"/>
        <v>0</v>
      </c>
      <c r="G178">
        <f t="shared" si="5"/>
        <v>1</v>
      </c>
    </row>
    <row r="179" spans="1:7" hidden="1">
      <c r="A179" t="str">
        <f>Sinistrés!H184</f>
        <v>Blé tendre d'hiver</v>
      </c>
      <c r="B179">
        <f>Sinistrés!J184</f>
        <v>97383.67</v>
      </c>
      <c r="C179">
        <f>Sinistrés!X184</f>
        <v>0</v>
      </c>
      <c r="D179">
        <f>Sinistrés!L184</f>
        <v>83.43</v>
      </c>
      <c r="E179">
        <f>Sinistrés!M184</f>
        <v>83.43</v>
      </c>
      <c r="F179">
        <f t="shared" si="4"/>
        <v>0</v>
      </c>
      <c r="G179">
        <f t="shared" si="5"/>
        <v>1</v>
      </c>
    </row>
    <row r="180" spans="1:7" hidden="1">
      <c r="A180" t="str">
        <f>Sinistrés!H185</f>
        <v>Orge de printemps</v>
      </c>
      <c r="B180">
        <f>Sinistrés!J185</f>
        <v>37767.599999999999</v>
      </c>
      <c r="C180">
        <f>Sinistrés!X185</f>
        <v>0</v>
      </c>
      <c r="D180">
        <f>Sinistrés!L185</f>
        <v>34.97</v>
      </c>
      <c r="E180">
        <f>Sinistrés!M185</f>
        <v>34.97</v>
      </c>
      <c r="F180">
        <f t="shared" si="4"/>
        <v>0</v>
      </c>
      <c r="G180">
        <f t="shared" si="5"/>
        <v>1</v>
      </c>
    </row>
    <row r="181" spans="1:7" hidden="1">
      <c r="A181" t="str">
        <f>Sinistrés!H186</f>
        <v>Orge d'hiver</v>
      </c>
      <c r="B181">
        <f>Sinistrés!J186</f>
        <v>30792.13</v>
      </c>
      <c r="C181">
        <f>Sinistrés!X186</f>
        <v>0</v>
      </c>
      <c r="D181">
        <f>Sinistrés!L186</f>
        <v>28.81</v>
      </c>
      <c r="E181">
        <f>Sinistrés!M186</f>
        <v>28.81</v>
      </c>
      <c r="F181">
        <f t="shared" si="4"/>
        <v>0</v>
      </c>
      <c r="G181">
        <f t="shared" si="5"/>
        <v>1</v>
      </c>
    </row>
    <row r="182" spans="1:7" hidden="1">
      <c r="A182" t="str">
        <f>Sinistrés!H187</f>
        <v>Pois protéagineux</v>
      </c>
      <c r="B182">
        <f>Sinistrés!J187</f>
        <v>31919.1</v>
      </c>
      <c r="C182">
        <f>Sinistrés!X187</f>
        <v>0</v>
      </c>
      <c r="D182">
        <f>Sinistrés!L187</f>
        <v>31.63</v>
      </c>
      <c r="E182">
        <f>Sinistrés!M187</f>
        <v>31.63</v>
      </c>
      <c r="F182">
        <f t="shared" si="4"/>
        <v>0</v>
      </c>
      <c r="G182">
        <f t="shared" si="5"/>
        <v>1</v>
      </c>
    </row>
    <row r="183" spans="1:7" hidden="1">
      <c r="A183" t="str">
        <f>Sinistrés!H188</f>
        <v>Colza d'hiver</v>
      </c>
      <c r="B183">
        <f>Sinistrés!J188</f>
        <v>65758.100000000006</v>
      </c>
      <c r="C183">
        <f>Sinistrés!X188</f>
        <v>0</v>
      </c>
      <c r="D183">
        <f>Sinistrés!L188</f>
        <v>54.73</v>
      </c>
      <c r="E183">
        <f>Sinistrés!M188</f>
        <v>54.73</v>
      </c>
      <c r="F183">
        <f t="shared" si="4"/>
        <v>0</v>
      </c>
      <c r="G183">
        <f t="shared" si="5"/>
        <v>1</v>
      </c>
    </row>
    <row r="184" spans="1:7" hidden="1">
      <c r="A184" t="str">
        <f>Sinistrés!H189</f>
        <v>Colza d'hiver</v>
      </c>
      <c r="B184">
        <f>Sinistrés!J189</f>
        <v>31701.599999999999</v>
      </c>
      <c r="C184">
        <f>Sinistrés!X189</f>
        <v>0</v>
      </c>
      <c r="D184">
        <f>Sinistrés!L189</f>
        <v>20.72</v>
      </c>
      <c r="E184">
        <f>Sinistrés!M189</f>
        <v>20.72</v>
      </c>
      <c r="F184">
        <f t="shared" si="4"/>
        <v>0</v>
      </c>
      <c r="G184">
        <f t="shared" si="5"/>
        <v>1</v>
      </c>
    </row>
    <row r="185" spans="1:7" hidden="1">
      <c r="A185" t="str">
        <f>Sinistrés!H190</f>
        <v>Colza d'hiver</v>
      </c>
      <c r="B185">
        <f>Sinistrés!J190</f>
        <v>33300</v>
      </c>
      <c r="C185">
        <f>Sinistrés!X190</f>
        <v>0</v>
      </c>
      <c r="D185">
        <f>Sinistrés!L190</f>
        <v>20</v>
      </c>
      <c r="E185">
        <f>Sinistrés!M190</f>
        <v>20</v>
      </c>
      <c r="F185">
        <f t="shared" si="4"/>
        <v>0</v>
      </c>
      <c r="G185">
        <f t="shared" si="5"/>
        <v>1</v>
      </c>
    </row>
    <row r="186" spans="1:7" hidden="1">
      <c r="A186" t="str">
        <f>Sinistrés!H191</f>
        <v>Colza d'hiver</v>
      </c>
      <c r="B186">
        <f>Sinistrés!J191</f>
        <v>34684.65</v>
      </c>
      <c r="C186">
        <f>Sinistrés!X191</f>
        <v>0</v>
      </c>
      <c r="D186">
        <f>Sinistrés!L191</f>
        <v>23.1</v>
      </c>
      <c r="E186">
        <f>Sinistrés!M191</f>
        <v>23.1</v>
      </c>
      <c r="F186">
        <f t="shared" si="4"/>
        <v>0</v>
      </c>
      <c r="G186">
        <f t="shared" si="5"/>
        <v>1</v>
      </c>
    </row>
    <row r="187" spans="1:7" hidden="1">
      <c r="A187" t="str">
        <f>Sinistrés!H192</f>
        <v>Blé tendre d'hiver</v>
      </c>
      <c r="B187">
        <f>Sinistrés!J192</f>
        <v>107296.11</v>
      </c>
      <c r="C187">
        <f>Sinistrés!X192</f>
        <v>0</v>
      </c>
      <c r="D187">
        <f>Sinistrés!L192</f>
        <v>63.92</v>
      </c>
      <c r="E187">
        <f>Sinistrés!M192</f>
        <v>63.92</v>
      </c>
      <c r="F187">
        <f t="shared" si="4"/>
        <v>0</v>
      </c>
      <c r="G187">
        <f t="shared" si="5"/>
        <v>1</v>
      </c>
    </row>
    <row r="188" spans="1:7" hidden="1">
      <c r="A188" t="str">
        <f>Sinistrés!H193</f>
        <v>Orge d'hiver</v>
      </c>
      <c r="B188">
        <f>Sinistrés!J193</f>
        <v>23533.65</v>
      </c>
      <c r="C188">
        <f>Sinistrés!X193</f>
        <v>0</v>
      </c>
      <c r="D188">
        <f>Sinistrés!L193</f>
        <v>15.5</v>
      </c>
      <c r="E188">
        <f>Sinistrés!M193</f>
        <v>15.5</v>
      </c>
      <c r="F188">
        <f t="shared" si="4"/>
        <v>0</v>
      </c>
      <c r="G188">
        <f t="shared" si="5"/>
        <v>1</v>
      </c>
    </row>
    <row r="189" spans="1:7" hidden="1">
      <c r="A189" t="str">
        <f>Sinistrés!H194</f>
        <v>Blé tendre d'hiver</v>
      </c>
      <c r="B189">
        <f>Sinistrés!J194</f>
        <v>59959.37</v>
      </c>
      <c r="C189">
        <f>Sinistrés!X194</f>
        <v>0</v>
      </c>
      <c r="D189">
        <f>Sinistrés!L194</f>
        <v>28.81</v>
      </c>
      <c r="E189">
        <f>Sinistrés!M194</f>
        <v>28.81</v>
      </c>
      <c r="F189">
        <f t="shared" si="4"/>
        <v>0</v>
      </c>
      <c r="G189">
        <f t="shared" si="5"/>
        <v>1</v>
      </c>
    </row>
    <row r="190" spans="1:7" hidden="1">
      <c r="A190" t="str">
        <f>Sinistrés!H195</f>
        <v>Orge d'hiver</v>
      </c>
      <c r="B190">
        <f>Sinistrés!J195</f>
        <v>20830.82</v>
      </c>
      <c r="C190">
        <f>Sinistrés!X195</f>
        <v>0</v>
      </c>
      <c r="D190">
        <f>Sinistrés!L195</f>
        <v>11.98</v>
      </c>
      <c r="E190">
        <f>Sinistrés!M195</f>
        <v>11.98</v>
      </c>
      <c r="F190">
        <f t="shared" si="4"/>
        <v>0</v>
      </c>
      <c r="G190">
        <f t="shared" si="5"/>
        <v>1</v>
      </c>
    </row>
    <row r="191" spans="1:7" hidden="1">
      <c r="A191" t="str">
        <f>Sinistrés!H196</f>
        <v>Colza d'hiver</v>
      </c>
      <c r="B191">
        <f>Sinistrés!J196</f>
        <v>29516.13</v>
      </c>
      <c r="C191">
        <f>Sinistrés!X196</f>
        <v>0</v>
      </c>
      <c r="D191">
        <f>Sinistrés!L196</f>
        <v>28.98</v>
      </c>
      <c r="E191">
        <f>Sinistrés!M196</f>
        <v>4.5</v>
      </c>
      <c r="F191">
        <f t="shared" si="4"/>
        <v>0</v>
      </c>
      <c r="G191">
        <f t="shared" si="5"/>
        <v>0.15527950310559005</v>
      </c>
    </row>
    <row r="192" spans="1:7" hidden="1">
      <c r="A192" t="str">
        <f>Sinistrés!H197</f>
        <v>Blé tendre d'hiver</v>
      </c>
      <c r="B192">
        <f>Sinistrés!J197</f>
        <v>25639.68</v>
      </c>
      <c r="C192">
        <f>Sinistrés!X197</f>
        <v>0</v>
      </c>
      <c r="D192">
        <f>Sinistrés!L197</f>
        <v>26.4</v>
      </c>
      <c r="E192">
        <f>Sinistrés!M197</f>
        <v>26.4</v>
      </c>
      <c r="F192">
        <f t="shared" si="4"/>
        <v>0</v>
      </c>
      <c r="G192">
        <f t="shared" si="5"/>
        <v>1</v>
      </c>
    </row>
    <row r="193" spans="1:7" hidden="1">
      <c r="A193" t="str">
        <f>Sinistrés!H198</f>
        <v>Orge d'hiver</v>
      </c>
      <c r="B193">
        <f>Sinistrés!J198</f>
        <v>6834.77</v>
      </c>
      <c r="C193">
        <f>Sinistrés!X198</f>
        <v>0</v>
      </c>
      <c r="D193">
        <f>Sinistrés!L198</f>
        <v>8.33</v>
      </c>
      <c r="E193">
        <f>Sinistrés!M198</f>
        <v>8.33</v>
      </c>
      <c r="F193">
        <f t="shared" si="4"/>
        <v>0</v>
      </c>
      <c r="G193">
        <f t="shared" si="5"/>
        <v>1</v>
      </c>
    </row>
    <row r="194" spans="1:7" hidden="1">
      <c r="A194" t="str">
        <f>Sinistrés!H199</f>
        <v>Blé de force</v>
      </c>
      <c r="B194">
        <f>Sinistrés!J199</f>
        <v>4072.32</v>
      </c>
      <c r="C194">
        <f>Sinistrés!X199</f>
        <v>0</v>
      </c>
      <c r="D194">
        <f>Sinistrés!L199</f>
        <v>4.04</v>
      </c>
      <c r="E194">
        <f>Sinistrés!M199</f>
        <v>3.33</v>
      </c>
      <c r="F194">
        <f t="shared" si="4"/>
        <v>0</v>
      </c>
      <c r="G194">
        <f t="shared" si="5"/>
        <v>0.82425742574257421</v>
      </c>
    </row>
    <row r="195" spans="1:7" hidden="1">
      <c r="A195" t="str">
        <f>Sinistrés!H200</f>
        <v>Colza d'hiver</v>
      </c>
      <c r="B195">
        <f>Sinistrés!J200</f>
        <v>7462</v>
      </c>
      <c r="C195">
        <f>Sinistrés!X200</f>
        <v>0</v>
      </c>
      <c r="D195">
        <f>Sinistrés!L200</f>
        <v>4.55</v>
      </c>
      <c r="E195">
        <f>Sinistrés!M200</f>
        <v>4.55</v>
      </c>
      <c r="F195">
        <f t="shared" ref="F195:F258" si="6">C195/B195</f>
        <v>0</v>
      </c>
      <c r="G195">
        <f t="shared" ref="G195:G258" si="7">E195/D195</f>
        <v>1</v>
      </c>
    </row>
    <row r="196" spans="1:7" hidden="1">
      <c r="A196" t="str">
        <f>Sinistrés!H201</f>
        <v>Blé dur d'hiver</v>
      </c>
      <c r="B196">
        <f>Sinistrés!J201</f>
        <v>37049.49</v>
      </c>
      <c r="C196">
        <f>Sinistrés!X201</f>
        <v>0</v>
      </c>
      <c r="D196">
        <f>Sinistrés!L201</f>
        <v>19.510000000000002</v>
      </c>
      <c r="E196">
        <f>Sinistrés!M201</f>
        <v>19.510000000000002</v>
      </c>
      <c r="F196">
        <f t="shared" si="6"/>
        <v>0</v>
      </c>
      <c r="G196">
        <f t="shared" si="7"/>
        <v>1</v>
      </c>
    </row>
    <row r="197" spans="1:7" hidden="1">
      <c r="A197" t="str">
        <f>Sinistrés!H202</f>
        <v>Blé tendre d'hiver semences</v>
      </c>
      <c r="B197">
        <f>Sinistrés!J202</f>
        <v>39606.14</v>
      </c>
      <c r="C197">
        <f>Sinistrés!X202</f>
        <v>0</v>
      </c>
      <c r="D197">
        <f>Sinistrés!L202</f>
        <v>26.91</v>
      </c>
      <c r="E197">
        <f>Sinistrés!M202</f>
        <v>26.91</v>
      </c>
      <c r="F197">
        <f t="shared" si="6"/>
        <v>0</v>
      </c>
      <c r="G197">
        <f t="shared" si="7"/>
        <v>1</v>
      </c>
    </row>
    <row r="198" spans="1:7" hidden="1">
      <c r="A198" t="str">
        <f>Sinistrés!H203</f>
        <v>Orge de printemps</v>
      </c>
      <c r="B198">
        <f>Sinistrés!J203</f>
        <v>14047.6</v>
      </c>
      <c r="C198">
        <f>Sinistrés!X203</f>
        <v>0</v>
      </c>
      <c r="D198">
        <f>Sinistrés!L203</f>
        <v>12.11</v>
      </c>
      <c r="E198">
        <f>Sinistrés!M203</f>
        <v>12.11</v>
      </c>
      <c r="F198">
        <f t="shared" si="6"/>
        <v>0</v>
      </c>
      <c r="G198">
        <f t="shared" si="7"/>
        <v>1</v>
      </c>
    </row>
    <row r="199" spans="1:7" hidden="1">
      <c r="A199" t="str">
        <f>Sinistrés!H204</f>
        <v>Orge d'hiver</v>
      </c>
      <c r="B199">
        <f>Sinistrés!J204</f>
        <v>39703.54</v>
      </c>
      <c r="C199">
        <f>Sinistrés!X204</f>
        <v>0</v>
      </c>
      <c r="D199">
        <f>Sinistrés!L204</f>
        <v>32.049999999999997</v>
      </c>
      <c r="E199">
        <f>Sinistrés!M204</f>
        <v>32.049999999999997</v>
      </c>
      <c r="F199">
        <f t="shared" si="6"/>
        <v>0</v>
      </c>
      <c r="G199">
        <f t="shared" si="7"/>
        <v>1</v>
      </c>
    </row>
    <row r="200" spans="1:7" hidden="1">
      <c r="A200" t="str">
        <f>Sinistrés!H205</f>
        <v>Blé tendre d'hiver</v>
      </c>
      <c r="B200">
        <f>Sinistrés!J205</f>
        <v>168341.18</v>
      </c>
      <c r="C200">
        <f>Sinistrés!X205</f>
        <v>0</v>
      </c>
      <c r="D200">
        <f>Sinistrés!L205</f>
        <v>143.44</v>
      </c>
      <c r="E200">
        <f>Sinistrés!M205</f>
        <v>143.44</v>
      </c>
      <c r="F200">
        <f t="shared" si="6"/>
        <v>0</v>
      </c>
      <c r="G200">
        <f t="shared" si="7"/>
        <v>1</v>
      </c>
    </row>
    <row r="201" spans="1:7" hidden="1">
      <c r="A201" t="str">
        <f>Sinistrés!H206</f>
        <v>Colza d'hiver</v>
      </c>
      <c r="B201">
        <f>Sinistrés!J206</f>
        <v>92883.28</v>
      </c>
      <c r="C201">
        <f>Sinistrés!X206</f>
        <v>0</v>
      </c>
      <c r="D201">
        <f>Sinistrés!L206</f>
        <v>70.58</v>
      </c>
      <c r="E201">
        <f>Sinistrés!M206</f>
        <v>70.58</v>
      </c>
      <c r="F201">
        <f t="shared" si="6"/>
        <v>0</v>
      </c>
      <c r="G201">
        <f t="shared" si="7"/>
        <v>1</v>
      </c>
    </row>
    <row r="202" spans="1:7" hidden="1">
      <c r="A202" t="str">
        <f>Sinistrés!H207</f>
        <v>Orge d'hiver</v>
      </c>
      <c r="B202">
        <f>Sinistrés!J207</f>
        <v>2826.72</v>
      </c>
      <c r="C202">
        <f>Sinistrés!X207</f>
        <v>0</v>
      </c>
      <c r="D202">
        <f>Sinistrés!L207</f>
        <v>4.16</v>
      </c>
      <c r="E202">
        <f>Sinistrés!M207</f>
        <v>4.16</v>
      </c>
      <c r="F202">
        <f t="shared" si="6"/>
        <v>0</v>
      </c>
      <c r="G202">
        <f t="shared" si="7"/>
        <v>1</v>
      </c>
    </row>
    <row r="203" spans="1:7" hidden="1">
      <c r="A203" t="str">
        <f>Sinistrés!H208</f>
        <v>Blé dur d'hiver</v>
      </c>
      <c r="B203">
        <f>Sinistrés!J208</f>
        <v>31370.63</v>
      </c>
      <c r="C203">
        <f>Sinistrés!X208</f>
        <v>0</v>
      </c>
      <c r="D203">
        <f>Sinistrés!L208</f>
        <v>25.35</v>
      </c>
      <c r="E203">
        <f>Sinistrés!M208</f>
        <v>25.35</v>
      </c>
      <c r="F203">
        <f t="shared" si="6"/>
        <v>0</v>
      </c>
      <c r="G203">
        <f t="shared" si="7"/>
        <v>1</v>
      </c>
    </row>
    <row r="204" spans="1:7" hidden="1">
      <c r="A204" t="str">
        <f>Sinistrés!H209</f>
        <v>Colza d'hiver</v>
      </c>
      <c r="B204">
        <f>Sinistrés!J209</f>
        <v>21887.88</v>
      </c>
      <c r="C204">
        <f>Sinistrés!X209</f>
        <v>0</v>
      </c>
      <c r="D204">
        <f>Sinistrés!L209</f>
        <v>16.36</v>
      </c>
      <c r="E204">
        <f>Sinistrés!M209</f>
        <v>16.36</v>
      </c>
      <c r="F204">
        <f t="shared" si="6"/>
        <v>0</v>
      </c>
      <c r="G204">
        <f t="shared" si="7"/>
        <v>1</v>
      </c>
    </row>
    <row r="205" spans="1:7" hidden="1">
      <c r="A205" t="str">
        <f>Sinistrés!H210</f>
        <v>Colza d'hiver</v>
      </c>
      <c r="B205">
        <f>Sinistrés!J210</f>
        <v>21600</v>
      </c>
      <c r="C205">
        <f>Sinistrés!X210</f>
        <v>0</v>
      </c>
      <c r="D205">
        <f>Sinistrés!L210</f>
        <v>20</v>
      </c>
      <c r="E205">
        <f>Sinistrés!M210</f>
        <v>20</v>
      </c>
      <c r="F205">
        <f t="shared" si="6"/>
        <v>0</v>
      </c>
      <c r="G205">
        <f t="shared" si="7"/>
        <v>1</v>
      </c>
    </row>
    <row r="206" spans="1:7" hidden="1">
      <c r="A206" t="str">
        <f>Sinistrés!H211</f>
        <v>Blé tendre d'hiver</v>
      </c>
      <c r="B206">
        <f>Sinistrés!J211</f>
        <v>10832.4</v>
      </c>
      <c r="C206">
        <f>Sinistrés!X211</f>
        <v>0</v>
      </c>
      <c r="D206">
        <f>Sinistrés!L211</f>
        <v>10.029999999999999</v>
      </c>
      <c r="E206">
        <f>Sinistrés!M211</f>
        <v>10.029999999999999</v>
      </c>
      <c r="F206">
        <f t="shared" si="6"/>
        <v>0</v>
      </c>
      <c r="G206">
        <f t="shared" si="7"/>
        <v>1</v>
      </c>
    </row>
    <row r="207" spans="1:7" hidden="1">
      <c r="A207" t="str">
        <f>Sinistrés!H212</f>
        <v>Triticale</v>
      </c>
      <c r="B207">
        <f>Sinistrés!J212</f>
        <v>8175.14</v>
      </c>
      <c r="C207">
        <f>Sinistrés!X212</f>
        <v>0</v>
      </c>
      <c r="D207">
        <f>Sinistrés!L212</f>
        <v>14.23</v>
      </c>
      <c r="E207">
        <f>Sinistrés!M212</f>
        <v>14.23</v>
      </c>
      <c r="F207">
        <f t="shared" si="6"/>
        <v>0</v>
      </c>
      <c r="G207">
        <f t="shared" si="7"/>
        <v>1</v>
      </c>
    </row>
    <row r="208" spans="1:7" hidden="1">
      <c r="A208" t="str">
        <f>Sinistrés!H213</f>
        <v>Blé tendre d'hiver</v>
      </c>
      <c r="B208">
        <f>Sinistrés!J213</f>
        <v>16979.87</v>
      </c>
      <c r="C208">
        <f>Sinistrés!X213</f>
        <v>0</v>
      </c>
      <c r="D208">
        <f>Sinistrés!L213</f>
        <v>14.58</v>
      </c>
      <c r="E208">
        <f>Sinistrés!M213</f>
        <v>14.58</v>
      </c>
      <c r="F208">
        <f t="shared" si="6"/>
        <v>0</v>
      </c>
      <c r="G208">
        <f t="shared" si="7"/>
        <v>1</v>
      </c>
    </row>
    <row r="209" spans="1:7" hidden="1">
      <c r="A209" t="str">
        <f>Sinistrés!H214</f>
        <v>Orge d'hiver</v>
      </c>
      <c r="B209">
        <f>Sinistrés!J214</f>
        <v>13463.47</v>
      </c>
      <c r="C209">
        <f>Sinistrés!X214</f>
        <v>0</v>
      </c>
      <c r="D209">
        <f>Sinistrés!L214</f>
        <v>14.19</v>
      </c>
      <c r="E209">
        <f>Sinistrés!M214</f>
        <v>14.19</v>
      </c>
      <c r="F209">
        <f t="shared" si="6"/>
        <v>0</v>
      </c>
      <c r="G209">
        <f t="shared" si="7"/>
        <v>1</v>
      </c>
    </row>
    <row r="210" spans="1:7" hidden="1">
      <c r="A210" t="str">
        <f>Sinistrés!H215</f>
        <v>Blé tendre d'hiver</v>
      </c>
      <c r="B210">
        <f>Sinistrés!J215</f>
        <v>32997</v>
      </c>
      <c r="C210">
        <f>Sinistrés!X215</f>
        <v>0</v>
      </c>
      <c r="D210">
        <f>Sinistrés!L215</f>
        <v>25.88</v>
      </c>
      <c r="E210">
        <f>Sinistrés!M215</f>
        <v>25.88</v>
      </c>
      <c r="F210">
        <f t="shared" si="6"/>
        <v>0</v>
      </c>
      <c r="G210">
        <f t="shared" si="7"/>
        <v>1</v>
      </c>
    </row>
    <row r="211" spans="1:7" hidden="1">
      <c r="A211" t="str">
        <f>Sinistrés!H216</f>
        <v>Colza d'hiver</v>
      </c>
      <c r="B211">
        <f>Sinistrés!J216</f>
        <v>23819.73</v>
      </c>
      <c r="C211">
        <f>Sinistrés!X216</f>
        <v>0</v>
      </c>
      <c r="D211">
        <f>Sinistrés!L216</f>
        <v>15.95</v>
      </c>
      <c r="E211">
        <f>Sinistrés!M216</f>
        <v>15.95</v>
      </c>
      <c r="F211">
        <f t="shared" si="6"/>
        <v>0</v>
      </c>
      <c r="G211">
        <f t="shared" si="7"/>
        <v>1</v>
      </c>
    </row>
    <row r="212" spans="1:7" hidden="1">
      <c r="A212" t="str">
        <f>Sinistrés!H217</f>
        <v>Colza d'hiver</v>
      </c>
      <c r="B212">
        <f>Sinistrés!J217</f>
        <v>79794.259999999995</v>
      </c>
      <c r="C212">
        <f>Sinistrés!X217</f>
        <v>0</v>
      </c>
      <c r="D212">
        <f>Sinistrés!L217</f>
        <v>51.58</v>
      </c>
      <c r="E212">
        <f>Sinistrés!M217</f>
        <v>51.58</v>
      </c>
      <c r="F212">
        <f t="shared" si="6"/>
        <v>0</v>
      </c>
      <c r="G212">
        <f t="shared" si="7"/>
        <v>1</v>
      </c>
    </row>
    <row r="213" spans="1:7" hidden="1">
      <c r="A213" t="str">
        <f>Sinistrés!H218</f>
        <v>Blé tendre d'hiver</v>
      </c>
      <c r="B213">
        <f>Sinistrés!J218</f>
        <v>88081.05</v>
      </c>
      <c r="C213">
        <f>Sinistrés!X218</f>
        <v>0</v>
      </c>
      <c r="D213">
        <f>Sinistrés!L218</f>
        <v>74.33</v>
      </c>
      <c r="E213">
        <f>Sinistrés!M218</f>
        <v>74.33</v>
      </c>
      <c r="F213">
        <f t="shared" si="6"/>
        <v>0</v>
      </c>
      <c r="G213">
        <f t="shared" si="7"/>
        <v>1</v>
      </c>
    </row>
    <row r="214" spans="1:7" hidden="1">
      <c r="A214" t="str">
        <f>Sinistrés!H219</f>
        <v>Blé tendre d'hiver BIO</v>
      </c>
      <c r="B214">
        <f>Sinistrés!J219</f>
        <v>13922.2</v>
      </c>
      <c r="C214">
        <f>Sinistrés!X219</f>
        <v>0</v>
      </c>
      <c r="D214">
        <f>Sinistrés!L219</f>
        <v>9.2200000000000006</v>
      </c>
      <c r="E214">
        <f>Sinistrés!M219</f>
        <v>9.2200000000000006</v>
      </c>
      <c r="F214">
        <f t="shared" si="6"/>
        <v>0</v>
      </c>
      <c r="G214">
        <f t="shared" si="7"/>
        <v>1</v>
      </c>
    </row>
    <row r="215" spans="1:7" hidden="1">
      <c r="A215" t="str">
        <f>Sinistrés!H220</f>
        <v>Triticale BIO</v>
      </c>
      <c r="B215">
        <f>Sinistrés!J220</f>
        <v>7534.61</v>
      </c>
      <c r="C215">
        <f>Sinistrés!X220</f>
        <v>0</v>
      </c>
      <c r="D215">
        <f>Sinistrés!L220</f>
        <v>12.75</v>
      </c>
      <c r="E215">
        <f>Sinistrés!M220</f>
        <v>12.75</v>
      </c>
      <c r="F215">
        <f t="shared" si="6"/>
        <v>0</v>
      </c>
      <c r="G215">
        <f t="shared" si="7"/>
        <v>1</v>
      </c>
    </row>
    <row r="216" spans="1:7" hidden="1">
      <c r="A216" t="str">
        <f>Sinistrés!H221</f>
        <v>Colza d'hiver</v>
      </c>
      <c r="B216">
        <f>Sinistrés!J221</f>
        <v>98623.2</v>
      </c>
      <c r="C216">
        <f>Sinistrés!X221</f>
        <v>0</v>
      </c>
      <c r="D216">
        <f>Sinistrés!L221</f>
        <v>65.400000000000006</v>
      </c>
      <c r="E216">
        <f>Sinistrés!M221</f>
        <v>65.400000000000006</v>
      </c>
      <c r="F216">
        <f t="shared" si="6"/>
        <v>0</v>
      </c>
      <c r="G216">
        <f t="shared" si="7"/>
        <v>1</v>
      </c>
    </row>
    <row r="217" spans="1:7" hidden="1">
      <c r="A217" t="str">
        <f>Sinistrés!H222</f>
        <v>Blé tendre d'hiver</v>
      </c>
      <c r="B217">
        <f>Sinistrés!J222</f>
        <v>11397.07</v>
      </c>
      <c r="C217">
        <f>Sinistrés!X222</f>
        <v>0</v>
      </c>
      <c r="D217">
        <f>Sinistrés!L222</f>
        <v>11.3</v>
      </c>
      <c r="E217">
        <f>Sinistrés!M222</f>
        <v>11.3</v>
      </c>
      <c r="F217">
        <f t="shared" si="6"/>
        <v>0</v>
      </c>
      <c r="G217">
        <f t="shared" si="7"/>
        <v>1</v>
      </c>
    </row>
    <row r="218" spans="1:7" hidden="1">
      <c r="A218" t="str">
        <f>Sinistrés!H223</f>
        <v>Triticale</v>
      </c>
      <c r="B218">
        <f>Sinistrés!J223</f>
        <v>12960.2</v>
      </c>
      <c r="C218">
        <f>Sinistrés!X223</f>
        <v>0</v>
      </c>
      <c r="D218">
        <f>Sinistrés!L223</f>
        <v>22</v>
      </c>
      <c r="E218">
        <f>Sinistrés!M223</f>
        <v>22</v>
      </c>
      <c r="F218">
        <f t="shared" si="6"/>
        <v>0</v>
      </c>
      <c r="G218">
        <f t="shared" si="7"/>
        <v>1</v>
      </c>
    </row>
    <row r="219" spans="1:7" hidden="1">
      <c r="A219" t="str">
        <f>Sinistrés!H224</f>
        <v>Féveroles et fèves</v>
      </c>
      <c r="B219">
        <f>Sinistrés!J224</f>
        <v>7828.56</v>
      </c>
      <c r="C219">
        <f>Sinistrés!X224</f>
        <v>0</v>
      </c>
      <c r="D219">
        <f>Sinistrés!L224</f>
        <v>12</v>
      </c>
      <c r="E219">
        <f>Sinistrés!M224</f>
        <v>12</v>
      </c>
      <c r="F219">
        <f t="shared" si="6"/>
        <v>0</v>
      </c>
      <c r="G219">
        <f t="shared" si="7"/>
        <v>1</v>
      </c>
    </row>
    <row r="220" spans="1:7" hidden="1">
      <c r="A220" t="str">
        <f>Sinistrés!H225</f>
        <v>Blé tendre d'hiver</v>
      </c>
      <c r="B220">
        <f>Sinistrés!J225</f>
        <v>13814.71</v>
      </c>
      <c r="C220">
        <f>Sinistrés!X225</f>
        <v>0</v>
      </c>
      <c r="D220">
        <f>Sinistrés!L225</f>
        <v>13.3</v>
      </c>
      <c r="E220">
        <f>Sinistrés!M225</f>
        <v>13.3</v>
      </c>
      <c r="F220">
        <f t="shared" si="6"/>
        <v>0</v>
      </c>
      <c r="G220">
        <f t="shared" si="7"/>
        <v>1</v>
      </c>
    </row>
    <row r="221" spans="1:7" hidden="1">
      <c r="A221" t="str">
        <f>Sinistrés!H226</f>
        <v>Orge d'hiver</v>
      </c>
      <c r="B221">
        <f>Sinistrés!J226</f>
        <v>5654.93</v>
      </c>
      <c r="C221">
        <f>Sinistrés!X226</f>
        <v>0</v>
      </c>
      <c r="D221">
        <f>Sinistrés!L226</f>
        <v>6.15</v>
      </c>
      <c r="E221">
        <f>Sinistrés!M226</f>
        <v>6.15</v>
      </c>
      <c r="F221">
        <f t="shared" si="6"/>
        <v>0</v>
      </c>
      <c r="G221">
        <f t="shared" si="7"/>
        <v>1</v>
      </c>
    </row>
    <row r="222" spans="1:7" hidden="1">
      <c r="A222" t="str">
        <f>Sinistrés!H227</f>
        <v>Triticale</v>
      </c>
      <c r="B222">
        <f>Sinistrés!J227</f>
        <v>6236.1</v>
      </c>
      <c r="C222">
        <f>Sinistrés!X227</f>
        <v>0</v>
      </c>
      <c r="D222">
        <f>Sinistrés!L227</f>
        <v>7.8</v>
      </c>
      <c r="E222">
        <f>Sinistrés!M227</f>
        <v>7.8</v>
      </c>
      <c r="F222">
        <f t="shared" si="6"/>
        <v>0</v>
      </c>
      <c r="G222">
        <f t="shared" si="7"/>
        <v>1</v>
      </c>
    </row>
    <row r="223" spans="1:7" hidden="1">
      <c r="A223" t="str">
        <f>Sinistrés!H228</f>
        <v>Colza d'hiver</v>
      </c>
      <c r="B223">
        <f>Sinistrés!J228</f>
        <v>98543.9</v>
      </c>
      <c r="C223">
        <f>Sinistrés!X228</f>
        <v>0</v>
      </c>
      <c r="D223">
        <f>Sinistrés!L228</f>
        <v>58.31</v>
      </c>
      <c r="E223">
        <f>Sinistrés!M228</f>
        <v>58.31</v>
      </c>
      <c r="F223">
        <f t="shared" si="6"/>
        <v>0</v>
      </c>
      <c r="G223">
        <f t="shared" si="7"/>
        <v>1</v>
      </c>
    </row>
    <row r="224" spans="1:7" hidden="1">
      <c r="A224" t="str">
        <f>Sinistrés!H229</f>
        <v>Orge d'hiver</v>
      </c>
      <c r="B224">
        <f>Sinistrés!J229</f>
        <v>88061.74</v>
      </c>
      <c r="C224">
        <f>Sinistrés!X229</f>
        <v>0</v>
      </c>
      <c r="D224">
        <f>Sinistrés!L229</f>
        <v>75.010000000000005</v>
      </c>
      <c r="E224">
        <f>Sinistrés!M229</f>
        <v>75.010000000000005</v>
      </c>
      <c r="F224">
        <f t="shared" si="6"/>
        <v>0</v>
      </c>
      <c r="G224">
        <f t="shared" si="7"/>
        <v>1</v>
      </c>
    </row>
    <row r="225" spans="1:7" hidden="1">
      <c r="A225" t="str">
        <f>Sinistrés!H230</f>
        <v>Blé tendre d'hiver</v>
      </c>
      <c r="B225">
        <f>Sinistrés!J230</f>
        <v>131802.09</v>
      </c>
      <c r="C225">
        <f>Sinistrés!X230</f>
        <v>0</v>
      </c>
      <c r="D225">
        <f>Sinistrés!L230</f>
        <v>92.74</v>
      </c>
      <c r="E225">
        <f>Sinistrés!M230</f>
        <v>92.74</v>
      </c>
      <c r="F225">
        <f t="shared" si="6"/>
        <v>0</v>
      </c>
      <c r="G225">
        <f t="shared" si="7"/>
        <v>1</v>
      </c>
    </row>
    <row r="226" spans="1:7" hidden="1">
      <c r="A226" t="str">
        <f>Sinistrés!H231</f>
        <v>Blé tendre d'hiver</v>
      </c>
      <c r="B226">
        <f>Sinistrés!J231</f>
        <v>103578.75</v>
      </c>
      <c r="C226">
        <f>Sinistrés!X231</f>
        <v>0</v>
      </c>
      <c r="D226">
        <f>Sinistrés!L231</f>
        <v>83.7</v>
      </c>
      <c r="E226">
        <f>Sinistrés!M231</f>
        <v>83.7</v>
      </c>
      <c r="F226">
        <f t="shared" si="6"/>
        <v>0</v>
      </c>
      <c r="G226">
        <f t="shared" si="7"/>
        <v>1</v>
      </c>
    </row>
    <row r="227" spans="1:7" hidden="1">
      <c r="A227" t="str">
        <f>Sinistrés!H232</f>
        <v>Colza d'hiver</v>
      </c>
      <c r="B227">
        <f>Sinistrés!J232</f>
        <v>17696.39</v>
      </c>
      <c r="C227">
        <f>Sinistrés!X232</f>
        <v>0</v>
      </c>
      <c r="D227">
        <f>Sinistrés!L232</f>
        <v>13.38</v>
      </c>
      <c r="E227">
        <f>Sinistrés!M232</f>
        <v>13.38</v>
      </c>
      <c r="F227">
        <f t="shared" si="6"/>
        <v>0</v>
      </c>
      <c r="G227">
        <f t="shared" si="7"/>
        <v>1</v>
      </c>
    </row>
    <row r="228" spans="1:7" hidden="1">
      <c r="A228" t="str">
        <f>Sinistrés!H233</f>
        <v>Colza d'hiver</v>
      </c>
      <c r="B228">
        <f>Sinistrés!J233</f>
        <v>39730.5</v>
      </c>
      <c r="C228">
        <f>Sinistrés!X233</f>
        <v>0</v>
      </c>
      <c r="D228">
        <f>Sinistrés!L233</f>
        <v>27</v>
      </c>
      <c r="E228">
        <f>Sinistrés!M233</f>
        <v>27</v>
      </c>
      <c r="F228">
        <f t="shared" si="6"/>
        <v>0</v>
      </c>
      <c r="G228">
        <f t="shared" si="7"/>
        <v>1</v>
      </c>
    </row>
    <row r="229" spans="1:7" hidden="1">
      <c r="A229" t="str">
        <f>Sinistrés!H234</f>
        <v>Blé tendre d'hiver</v>
      </c>
      <c r="B229">
        <f>Sinistrés!J234</f>
        <v>53454.06</v>
      </c>
      <c r="C229">
        <f>Sinistrés!X234</f>
        <v>0</v>
      </c>
      <c r="D229">
        <f>Sinistrés!L234</f>
        <v>35.31</v>
      </c>
      <c r="E229">
        <f>Sinistrés!M234</f>
        <v>35.299999999999997</v>
      </c>
      <c r="F229">
        <f t="shared" si="6"/>
        <v>0</v>
      </c>
      <c r="G229">
        <f t="shared" si="7"/>
        <v>0.99971679410931735</v>
      </c>
    </row>
    <row r="230" spans="1:7" hidden="1">
      <c r="A230" t="str">
        <f>Sinistrés!H235</f>
        <v>Blé tendre d'hiver</v>
      </c>
      <c r="B230">
        <f>Sinistrés!J235</f>
        <v>98758.77</v>
      </c>
      <c r="C230">
        <f>Sinistrés!X235</f>
        <v>0</v>
      </c>
      <c r="D230">
        <f>Sinistrés!L235</f>
        <v>82.9</v>
      </c>
      <c r="E230">
        <f>Sinistrés!M235</f>
        <v>82.9</v>
      </c>
      <c r="F230">
        <f t="shared" si="6"/>
        <v>0</v>
      </c>
      <c r="G230">
        <f t="shared" si="7"/>
        <v>1</v>
      </c>
    </row>
    <row r="231" spans="1:7" hidden="1">
      <c r="A231" t="str">
        <f>Sinistrés!H236</f>
        <v>Orge d'hiver</v>
      </c>
      <c r="B231">
        <f>Sinistrés!J236</f>
        <v>46919.25</v>
      </c>
      <c r="C231">
        <f>Sinistrés!X236</f>
        <v>0</v>
      </c>
      <c r="D231">
        <f>Sinistrés!L236</f>
        <v>49.65</v>
      </c>
      <c r="E231">
        <f>Sinistrés!M236</f>
        <v>49.65</v>
      </c>
      <c r="F231">
        <f t="shared" si="6"/>
        <v>0</v>
      </c>
      <c r="G231">
        <f t="shared" si="7"/>
        <v>1</v>
      </c>
    </row>
    <row r="232" spans="1:7" hidden="1">
      <c r="A232" t="str">
        <f>Sinistrés!H237</f>
        <v>Colza d'hiver</v>
      </c>
      <c r="B232">
        <f>Sinistrés!J237</f>
        <v>18593.5</v>
      </c>
      <c r="C232">
        <f>Sinistrés!X237</f>
        <v>0</v>
      </c>
      <c r="D232">
        <f>Sinistrés!L237</f>
        <v>14.5</v>
      </c>
      <c r="E232">
        <f>Sinistrés!M237</f>
        <v>14.5</v>
      </c>
      <c r="F232">
        <f t="shared" si="6"/>
        <v>0</v>
      </c>
      <c r="G232">
        <f t="shared" si="7"/>
        <v>1</v>
      </c>
    </row>
    <row r="233" spans="1:7" hidden="1">
      <c r="A233" t="str">
        <f>Sinistrés!H238</f>
        <v>Blé de force</v>
      </c>
      <c r="B233">
        <f>Sinistrés!J238</f>
        <v>7657.36</v>
      </c>
      <c r="C233">
        <f>Sinistrés!X238</f>
        <v>0</v>
      </c>
      <c r="D233">
        <f>Sinistrés!L238</f>
        <v>7.05</v>
      </c>
      <c r="E233">
        <f>Sinistrés!M238</f>
        <v>7.05</v>
      </c>
      <c r="F233">
        <f t="shared" si="6"/>
        <v>0</v>
      </c>
      <c r="G233">
        <f t="shared" si="7"/>
        <v>1</v>
      </c>
    </row>
    <row r="234" spans="1:7" hidden="1">
      <c r="A234" t="str">
        <f>Sinistrés!H239</f>
        <v>Blé tendre d'hiver</v>
      </c>
      <c r="B234">
        <f>Sinistrés!J239</f>
        <v>15306.32</v>
      </c>
      <c r="C234">
        <f>Sinistrés!X239</f>
        <v>0</v>
      </c>
      <c r="D234">
        <f>Sinistrés!L239</f>
        <v>14.36</v>
      </c>
      <c r="E234">
        <f>Sinistrés!M239</f>
        <v>14.36</v>
      </c>
      <c r="F234">
        <f t="shared" si="6"/>
        <v>0</v>
      </c>
      <c r="G234">
        <f t="shared" si="7"/>
        <v>1</v>
      </c>
    </row>
    <row r="235" spans="1:7" hidden="1">
      <c r="A235" t="str">
        <f>Sinistrés!H240</f>
        <v>Orge d'hiver</v>
      </c>
      <c r="B235">
        <f>Sinistrés!J240</f>
        <v>8366.4</v>
      </c>
      <c r="C235">
        <f>Sinistrés!X240</f>
        <v>0</v>
      </c>
      <c r="D235">
        <f>Sinistrés!L240</f>
        <v>10.5</v>
      </c>
      <c r="E235">
        <f>Sinistrés!M240</f>
        <v>10.5</v>
      </c>
      <c r="F235">
        <f t="shared" si="6"/>
        <v>0</v>
      </c>
      <c r="G235">
        <f t="shared" si="7"/>
        <v>1</v>
      </c>
    </row>
    <row r="236" spans="1:7" hidden="1">
      <c r="A236" t="str">
        <f>Sinistrés!H241</f>
        <v>Blé tendre d'hiver</v>
      </c>
      <c r="B236">
        <f>Sinistrés!J241</f>
        <v>158785.1</v>
      </c>
      <c r="C236">
        <f>Sinistrés!X241</f>
        <v>0</v>
      </c>
      <c r="D236">
        <f>Sinistrés!L241</f>
        <v>131</v>
      </c>
      <c r="E236">
        <f>Sinistrés!M241</f>
        <v>131</v>
      </c>
      <c r="F236">
        <f t="shared" si="6"/>
        <v>0</v>
      </c>
      <c r="G236">
        <f t="shared" si="7"/>
        <v>1</v>
      </c>
    </row>
    <row r="237" spans="1:7" hidden="1">
      <c r="A237" t="str">
        <f>Sinistrés!H242</f>
        <v>Colza d'hiver</v>
      </c>
      <c r="B237">
        <f>Sinistrés!J242</f>
        <v>38362.5</v>
      </c>
      <c r="C237">
        <f>Sinistrés!X242</f>
        <v>0</v>
      </c>
      <c r="D237">
        <f>Sinistrés!L242</f>
        <v>33</v>
      </c>
      <c r="E237">
        <f>Sinistrés!M242</f>
        <v>33</v>
      </c>
      <c r="F237">
        <f t="shared" si="6"/>
        <v>0</v>
      </c>
      <c r="G237">
        <f t="shared" si="7"/>
        <v>1</v>
      </c>
    </row>
    <row r="238" spans="1:7" hidden="1">
      <c r="A238" t="str">
        <f>Sinistrés!H243</f>
        <v>Blé tendre d'hiver</v>
      </c>
      <c r="B238">
        <f>Sinistrés!J243</f>
        <v>50544</v>
      </c>
      <c r="C238">
        <f>Sinistrés!X243</f>
        <v>0</v>
      </c>
      <c r="D238">
        <f>Sinistrés!L243</f>
        <v>39</v>
      </c>
      <c r="E238">
        <f>Sinistrés!M243</f>
        <v>39</v>
      </c>
      <c r="F238">
        <f t="shared" si="6"/>
        <v>0</v>
      </c>
      <c r="G238">
        <f t="shared" si="7"/>
        <v>1</v>
      </c>
    </row>
    <row r="239" spans="1:7" hidden="1">
      <c r="A239" t="str">
        <f>Sinistrés!H244</f>
        <v>Colza d'hiver</v>
      </c>
      <c r="B239">
        <f>Sinistrés!J244</f>
        <v>34600</v>
      </c>
      <c r="C239">
        <f>Sinistrés!X244</f>
        <v>0</v>
      </c>
      <c r="D239">
        <f>Sinistrés!L244</f>
        <v>25</v>
      </c>
      <c r="E239">
        <f>Sinistrés!M244</f>
        <v>25</v>
      </c>
      <c r="F239">
        <f t="shared" si="6"/>
        <v>0</v>
      </c>
      <c r="G239">
        <f t="shared" si="7"/>
        <v>1</v>
      </c>
    </row>
    <row r="240" spans="1:7" hidden="1">
      <c r="A240" t="str">
        <f>Sinistrés!H245</f>
        <v>Orge de printemps</v>
      </c>
      <c r="B240">
        <f>Sinistrés!J245</f>
        <v>28080</v>
      </c>
      <c r="C240">
        <f>Sinistrés!X245</f>
        <v>0</v>
      </c>
      <c r="D240">
        <f>Sinistrés!L245</f>
        <v>25</v>
      </c>
      <c r="E240">
        <f>Sinistrés!M245</f>
        <v>25</v>
      </c>
      <c r="F240">
        <f t="shared" si="6"/>
        <v>0</v>
      </c>
      <c r="G240">
        <f t="shared" si="7"/>
        <v>1</v>
      </c>
    </row>
    <row r="241" spans="1:7" hidden="1">
      <c r="A241" t="str">
        <f>Sinistrés!H246</f>
        <v>Colza d'hiver</v>
      </c>
      <c r="B241">
        <f>Sinistrés!J246</f>
        <v>75130.83</v>
      </c>
      <c r="C241">
        <f>Sinistrés!X246</f>
        <v>0</v>
      </c>
      <c r="D241">
        <f>Sinistrés!L246</f>
        <v>62.95</v>
      </c>
      <c r="E241">
        <f>Sinistrés!M246</f>
        <v>62.95</v>
      </c>
      <c r="F241">
        <f t="shared" si="6"/>
        <v>0</v>
      </c>
      <c r="G241">
        <f t="shared" si="7"/>
        <v>1</v>
      </c>
    </row>
    <row r="242" spans="1:7" hidden="1">
      <c r="A242" t="str">
        <f>Sinistrés!H247</f>
        <v>Orge d'hiver</v>
      </c>
      <c r="B242">
        <f>Sinistrés!J247</f>
        <v>29206.45</v>
      </c>
      <c r="C242">
        <f>Sinistrés!X247</f>
        <v>0</v>
      </c>
      <c r="D242">
        <f>Sinistrés!L247</f>
        <v>32.75</v>
      </c>
      <c r="E242">
        <f>Sinistrés!M247</f>
        <v>32.79</v>
      </c>
      <c r="F242">
        <f t="shared" si="6"/>
        <v>0</v>
      </c>
      <c r="G242">
        <f t="shared" si="7"/>
        <v>1.0012213740458016</v>
      </c>
    </row>
    <row r="243" spans="1:7" hidden="1">
      <c r="A243" t="str">
        <f>Sinistrés!H248</f>
        <v>Avoine d'hiver</v>
      </c>
      <c r="B243">
        <f>Sinistrés!J248</f>
        <v>5031</v>
      </c>
      <c r="C243">
        <f>Sinistrés!X248</f>
        <v>0</v>
      </c>
      <c r="D243">
        <f>Sinistrés!L248</f>
        <v>7.74</v>
      </c>
      <c r="E243">
        <f>Sinistrés!M248</f>
        <v>7.81</v>
      </c>
      <c r="F243">
        <f t="shared" si="6"/>
        <v>0</v>
      </c>
      <c r="G243">
        <f t="shared" si="7"/>
        <v>1.0090439276485788</v>
      </c>
    </row>
    <row r="244" spans="1:7" hidden="1">
      <c r="A244" t="str">
        <f>Sinistrés!H249</f>
        <v>Blé tendre d'hiver</v>
      </c>
      <c r="B244">
        <f>Sinistrés!J249</f>
        <v>207483.6</v>
      </c>
      <c r="C244">
        <f>Sinistrés!X249</f>
        <v>0</v>
      </c>
      <c r="D244">
        <f>Sinistrés!L249</f>
        <v>201.05</v>
      </c>
      <c r="E244">
        <f>Sinistrés!M249</f>
        <v>202.06</v>
      </c>
      <c r="F244">
        <f t="shared" si="6"/>
        <v>0</v>
      </c>
      <c r="G244">
        <f t="shared" si="7"/>
        <v>1.0050236259636907</v>
      </c>
    </row>
    <row r="245" spans="1:7" hidden="1">
      <c r="A245" t="str">
        <f>Sinistrés!H250</f>
        <v>Triticale BIO</v>
      </c>
      <c r="B245">
        <f>Sinistrés!J250</f>
        <v>10974.99</v>
      </c>
      <c r="C245">
        <f>Sinistrés!X250</f>
        <v>0</v>
      </c>
      <c r="D245">
        <f>Sinistrés!L250</f>
        <v>15.26</v>
      </c>
      <c r="E245">
        <f>Sinistrés!M250</f>
        <v>15.25</v>
      </c>
      <c r="F245">
        <f t="shared" si="6"/>
        <v>0</v>
      </c>
      <c r="G245">
        <f t="shared" si="7"/>
        <v>0.99934469200524245</v>
      </c>
    </row>
    <row r="246" spans="1:7" hidden="1">
      <c r="A246" t="str">
        <f>Sinistrés!H251</f>
        <v>Blé tendre d'hiver BIO</v>
      </c>
      <c r="B246">
        <f>Sinistrés!J251</f>
        <v>173297.28</v>
      </c>
      <c r="C246">
        <f>Sinistrés!X251</f>
        <v>0</v>
      </c>
      <c r="D246">
        <f>Sinistrés!L251</f>
        <v>110.24</v>
      </c>
      <c r="E246">
        <f>Sinistrés!M251</f>
        <v>84.89</v>
      </c>
      <c r="F246">
        <f t="shared" si="6"/>
        <v>0</v>
      </c>
      <c r="G246">
        <f t="shared" si="7"/>
        <v>0.77004716981132082</v>
      </c>
    </row>
    <row r="247" spans="1:7" hidden="1">
      <c r="A247" t="str">
        <f>Sinistrés!H252</f>
        <v>Colza d'hiver BIO</v>
      </c>
      <c r="B247">
        <f>Sinistrés!J252</f>
        <v>54817</v>
      </c>
      <c r="C247">
        <f>Sinistrés!X252</f>
        <v>0</v>
      </c>
      <c r="D247">
        <f>Sinistrés!L252</f>
        <v>41</v>
      </c>
      <c r="E247">
        <f>Sinistrés!M252</f>
        <v>40.82</v>
      </c>
      <c r="F247">
        <f t="shared" si="6"/>
        <v>0</v>
      </c>
      <c r="G247">
        <f t="shared" si="7"/>
        <v>0.99560975609756097</v>
      </c>
    </row>
    <row r="248" spans="1:7" hidden="1">
      <c r="A248" t="str">
        <f>Sinistrés!H253</f>
        <v>Seigle et méteil BIO</v>
      </c>
      <c r="B248">
        <f>Sinistrés!J253</f>
        <v>13224.44</v>
      </c>
      <c r="C248">
        <f>Sinistrés!X253</f>
        <v>0</v>
      </c>
      <c r="D248">
        <f>Sinistrés!L253</f>
        <v>12.47</v>
      </c>
      <c r="E248">
        <f>Sinistrés!M253</f>
        <v>12.47</v>
      </c>
      <c r="F248">
        <f t="shared" si="6"/>
        <v>0</v>
      </c>
      <c r="G248">
        <f t="shared" si="7"/>
        <v>1</v>
      </c>
    </row>
    <row r="249" spans="1:7" hidden="1">
      <c r="A249" t="str">
        <f>Sinistrés!H254</f>
        <v>Orge d'hiver BIO</v>
      </c>
      <c r="B249">
        <f>Sinistrés!J254</f>
        <v>12015.47</v>
      </c>
      <c r="C249">
        <f>Sinistrés!X254</f>
        <v>0</v>
      </c>
      <c r="D249">
        <f>Sinistrés!L254</f>
        <v>11.33</v>
      </c>
      <c r="E249">
        <f>Sinistrés!M254</f>
        <v>11.33</v>
      </c>
      <c r="F249">
        <f t="shared" si="6"/>
        <v>0</v>
      </c>
      <c r="G249">
        <f t="shared" si="7"/>
        <v>1</v>
      </c>
    </row>
    <row r="250" spans="1:7" hidden="1">
      <c r="A250" t="str">
        <f>Sinistrés!H255</f>
        <v>Blé de force</v>
      </c>
      <c r="B250">
        <f>Sinistrés!J255</f>
        <v>6708.8</v>
      </c>
      <c r="C250">
        <f>Sinistrés!X255</f>
        <v>0</v>
      </c>
      <c r="D250">
        <f>Sinistrés!L255</f>
        <v>5</v>
      </c>
      <c r="E250">
        <f>Sinistrés!M255</f>
        <v>5</v>
      </c>
      <c r="F250">
        <f t="shared" si="6"/>
        <v>0</v>
      </c>
      <c r="G250">
        <f t="shared" si="7"/>
        <v>1</v>
      </c>
    </row>
    <row r="251" spans="1:7" hidden="1">
      <c r="A251" t="str">
        <f>Sinistrés!H256</f>
        <v>Blé tendre d'hiver</v>
      </c>
      <c r="B251">
        <f>Sinistrés!J256</f>
        <v>64510.78</v>
      </c>
      <c r="C251">
        <f>Sinistrés!X256</f>
        <v>0</v>
      </c>
      <c r="D251">
        <f>Sinistrés!L256</f>
        <v>42.87</v>
      </c>
      <c r="E251">
        <f>Sinistrés!M256</f>
        <v>42.87</v>
      </c>
      <c r="F251">
        <f t="shared" si="6"/>
        <v>0</v>
      </c>
      <c r="G251">
        <f t="shared" si="7"/>
        <v>1</v>
      </c>
    </row>
    <row r="252" spans="1:7" hidden="1">
      <c r="A252" t="str">
        <f>Sinistrés!H257</f>
        <v>Colza d'hiver</v>
      </c>
      <c r="B252">
        <f>Sinistrés!J257</f>
        <v>39767.49</v>
      </c>
      <c r="C252">
        <f>Sinistrés!X257</f>
        <v>0</v>
      </c>
      <c r="D252">
        <f>Sinistrés!L257</f>
        <v>23.82</v>
      </c>
      <c r="E252">
        <f>Sinistrés!M257</f>
        <v>23.82</v>
      </c>
      <c r="F252">
        <f t="shared" si="6"/>
        <v>0</v>
      </c>
      <c r="G252">
        <f t="shared" si="7"/>
        <v>1</v>
      </c>
    </row>
    <row r="253" spans="1:7" hidden="1">
      <c r="A253" t="str">
        <f>Sinistrés!H258</f>
        <v>Colza d'hiver</v>
      </c>
      <c r="B253">
        <f>Sinistrés!J258</f>
        <v>28025</v>
      </c>
      <c r="C253">
        <f>Sinistrés!X258</f>
        <v>0</v>
      </c>
      <c r="D253">
        <f>Sinistrés!L258</f>
        <v>25</v>
      </c>
      <c r="E253">
        <f>Sinistrés!M258</f>
        <v>25</v>
      </c>
      <c r="F253">
        <f t="shared" si="6"/>
        <v>0</v>
      </c>
      <c r="G253">
        <f t="shared" si="7"/>
        <v>1</v>
      </c>
    </row>
    <row r="254" spans="1:7" hidden="1">
      <c r="A254" t="str">
        <f>Sinistrés!H259</f>
        <v>Colza d'hiver</v>
      </c>
      <c r="B254">
        <f>Sinistrés!J259</f>
        <v>22602.6</v>
      </c>
      <c r="C254">
        <f>Sinistrés!X259</f>
        <v>0</v>
      </c>
      <c r="D254">
        <f>Sinistrés!L259</f>
        <v>21.65</v>
      </c>
      <c r="E254">
        <f>Sinistrés!M259</f>
        <v>21.65</v>
      </c>
      <c r="F254">
        <f t="shared" si="6"/>
        <v>0</v>
      </c>
      <c r="G254">
        <f t="shared" si="7"/>
        <v>1</v>
      </c>
    </row>
    <row r="255" spans="1:7" hidden="1">
      <c r="A255" t="str">
        <f>Sinistrés!H260</f>
        <v>Blé tendre d'hiver</v>
      </c>
      <c r="B255">
        <f>Sinistrés!J260</f>
        <v>38607.1</v>
      </c>
      <c r="C255">
        <f>Sinistrés!X260</f>
        <v>0</v>
      </c>
      <c r="D255">
        <f>Sinistrés!L260</f>
        <v>38.24</v>
      </c>
      <c r="E255">
        <f>Sinistrés!M260</f>
        <v>38.24</v>
      </c>
      <c r="F255">
        <f t="shared" si="6"/>
        <v>0</v>
      </c>
      <c r="G255">
        <f t="shared" si="7"/>
        <v>1</v>
      </c>
    </row>
    <row r="256" spans="1:7" hidden="1">
      <c r="A256" t="str">
        <f>Sinistrés!H261</f>
        <v>Orge d'hiver</v>
      </c>
      <c r="B256">
        <f>Sinistrés!J261</f>
        <v>37258.5</v>
      </c>
      <c r="C256">
        <f>Sinistrés!X261</f>
        <v>0</v>
      </c>
      <c r="D256">
        <f>Sinistrés!L261</f>
        <v>42.1</v>
      </c>
      <c r="E256">
        <f>Sinistrés!M261</f>
        <v>42.1</v>
      </c>
      <c r="F256">
        <f t="shared" si="6"/>
        <v>0</v>
      </c>
      <c r="G256">
        <f t="shared" si="7"/>
        <v>1</v>
      </c>
    </row>
    <row r="257" spans="1:7" hidden="1">
      <c r="A257" t="str">
        <f>Sinistrés!H262</f>
        <v>Colza d'hiver</v>
      </c>
      <c r="B257">
        <f>Sinistrés!J262</f>
        <v>76540.800000000003</v>
      </c>
      <c r="C257">
        <f>Sinistrés!X262</f>
        <v>0</v>
      </c>
      <c r="D257">
        <f>Sinistrés!L262</f>
        <v>42.88</v>
      </c>
      <c r="E257">
        <f>Sinistrés!M262</f>
        <v>42.88</v>
      </c>
      <c r="F257">
        <f t="shared" si="6"/>
        <v>0</v>
      </c>
      <c r="G257">
        <f t="shared" si="7"/>
        <v>1</v>
      </c>
    </row>
    <row r="258" spans="1:7" hidden="1">
      <c r="A258" t="str">
        <f>Sinistrés!H263</f>
        <v>Colza d'hiver</v>
      </c>
      <c r="B258">
        <f>Sinistrés!J263</f>
        <v>28648.49</v>
      </c>
      <c r="C258">
        <f>Sinistrés!X263</f>
        <v>0</v>
      </c>
      <c r="D258">
        <f>Sinistrés!L263</f>
        <v>19.71</v>
      </c>
      <c r="E258">
        <f>Sinistrés!M263</f>
        <v>19.71</v>
      </c>
      <c r="F258">
        <f t="shared" si="6"/>
        <v>0</v>
      </c>
      <c r="G258">
        <f t="shared" si="7"/>
        <v>1</v>
      </c>
    </row>
    <row r="259" spans="1:7" hidden="1">
      <c r="A259" t="str">
        <f>Sinistrés!H264</f>
        <v>Colza d'hiver</v>
      </c>
      <c r="B259">
        <f>Sinistrés!J264</f>
        <v>22908.92</v>
      </c>
      <c r="C259">
        <f>Sinistrés!X264</f>
        <v>0</v>
      </c>
      <c r="D259">
        <f>Sinistrés!L264</f>
        <v>15.43</v>
      </c>
      <c r="E259">
        <f>Sinistrés!M264</f>
        <v>15.43</v>
      </c>
      <c r="F259">
        <f t="shared" ref="F259:F322" si="8">C259/B259</f>
        <v>0</v>
      </c>
      <c r="G259">
        <f t="shared" ref="G259:G322" si="9">E259/D259</f>
        <v>1</v>
      </c>
    </row>
    <row r="260" spans="1:7" hidden="1">
      <c r="A260" t="str">
        <f>Sinistrés!H265</f>
        <v>Colza d'hiver</v>
      </c>
      <c r="B260">
        <f>Sinistrés!J265</f>
        <v>53865</v>
      </c>
      <c r="C260">
        <f>Sinistrés!X265</f>
        <v>0</v>
      </c>
      <c r="D260">
        <f>Sinistrés!L265</f>
        <v>28.5</v>
      </c>
      <c r="E260">
        <f>Sinistrés!M265</f>
        <v>28.5</v>
      </c>
      <c r="F260">
        <f t="shared" si="8"/>
        <v>0</v>
      </c>
      <c r="G260">
        <f t="shared" si="9"/>
        <v>1</v>
      </c>
    </row>
    <row r="261" spans="1:7" hidden="1">
      <c r="A261" t="str">
        <f>Sinistrés!H266</f>
        <v>Lin textile</v>
      </c>
      <c r="B261">
        <f>Sinistrés!J266</f>
        <v>41664</v>
      </c>
      <c r="C261">
        <f>Sinistrés!X266</f>
        <v>0</v>
      </c>
      <c r="D261">
        <f>Sinistrés!L266</f>
        <v>24</v>
      </c>
      <c r="E261">
        <f>Sinistrés!M266</f>
        <v>24</v>
      </c>
      <c r="F261">
        <f t="shared" si="8"/>
        <v>0</v>
      </c>
      <c r="G261">
        <f t="shared" si="9"/>
        <v>1</v>
      </c>
    </row>
    <row r="262" spans="1:7" hidden="1">
      <c r="A262" t="str">
        <f>Sinistrés!H267</f>
        <v>Betteraves industrielles</v>
      </c>
      <c r="B262">
        <f>Sinistrés!J267</f>
        <v>114229.5</v>
      </c>
      <c r="C262">
        <f>Sinistrés!X267</f>
        <v>0</v>
      </c>
      <c r="D262">
        <f>Sinistrés!L267</f>
        <v>46</v>
      </c>
      <c r="E262">
        <f>Sinistrés!M267</f>
        <v>46</v>
      </c>
      <c r="F262">
        <f t="shared" si="8"/>
        <v>0</v>
      </c>
      <c r="G262">
        <f t="shared" si="9"/>
        <v>1</v>
      </c>
    </row>
    <row r="263" spans="1:7" hidden="1">
      <c r="A263" t="str">
        <f>Sinistrés!H268</f>
        <v>Vigne à raisin de cuve (VCU1)</v>
      </c>
      <c r="B263">
        <f>Sinistrés!J268</f>
        <v>82822.44</v>
      </c>
      <c r="C263">
        <f>Sinistrés!X268</f>
        <v>0</v>
      </c>
      <c r="D263">
        <f>Sinistrés!L268</f>
        <v>9.27</v>
      </c>
      <c r="E263">
        <f>Sinistrés!M268</f>
        <v>9.27</v>
      </c>
      <c r="F263">
        <f t="shared" si="8"/>
        <v>0</v>
      </c>
      <c r="G263">
        <f t="shared" si="9"/>
        <v>1</v>
      </c>
    </row>
    <row r="264" spans="1:7">
      <c r="A264" t="str">
        <f>Sinistrés!H269</f>
        <v>Colza d'hiver</v>
      </c>
      <c r="B264">
        <f>Sinistrés!J269</f>
        <v>4640</v>
      </c>
      <c r="C264">
        <f>Sinistrés!X269</f>
        <v>48</v>
      </c>
      <c r="D264">
        <f>Sinistrés!L269</f>
        <v>3.2</v>
      </c>
      <c r="E264">
        <f>Sinistrés!M269</f>
        <v>3.2</v>
      </c>
      <c r="F264">
        <f t="shared" si="8"/>
        <v>1.0344827586206896E-2</v>
      </c>
      <c r="G264">
        <f t="shared" si="9"/>
        <v>1</v>
      </c>
    </row>
    <row r="265" spans="1:7" hidden="1">
      <c r="A265" t="str">
        <f>Sinistrés!H270</f>
        <v>Blé tendre d'hiver</v>
      </c>
      <c r="B265">
        <f>Sinistrés!J270</f>
        <v>61897</v>
      </c>
      <c r="C265">
        <f>Sinistrés!X270</f>
        <v>0</v>
      </c>
      <c r="D265">
        <f>Sinistrés!L270</f>
        <v>55</v>
      </c>
      <c r="E265">
        <f>Sinistrés!M270</f>
        <v>55</v>
      </c>
      <c r="F265">
        <f t="shared" si="8"/>
        <v>0</v>
      </c>
      <c r="G265">
        <f t="shared" si="9"/>
        <v>1</v>
      </c>
    </row>
    <row r="266" spans="1:7" hidden="1">
      <c r="A266" t="str">
        <f>Sinistrés!H271</f>
        <v>Colza d'hiver</v>
      </c>
      <c r="B266">
        <f>Sinistrés!J271</f>
        <v>18696</v>
      </c>
      <c r="C266">
        <f>Sinistrés!X271</f>
        <v>0</v>
      </c>
      <c r="D266">
        <f>Sinistrés!L271</f>
        <v>20</v>
      </c>
      <c r="E266">
        <f>Sinistrés!M271</f>
        <v>20</v>
      </c>
      <c r="F266">
        <f t="shared" si="8"/>
        <v>0</v>
      </c>
      <c r="G266">
        <f t="shared" si="9"/>
        <v>1</v>
      </c>
    </row>
    <row r="267" spans="1:7" hidden="1">
      <c r="A267" t="str">
        <f>Sinistrés!H272</f>
        <v>Orge d'hiver</v>
      </c>
      <c r="B267">
        <f>Sinistrés!J272</f>
        <v>20137.5</v>
      </c>
      <c r="C267">
        <f>Sinistrés!X272</f>
        <v>0</v>
      </c>
      <c r="D267">
        <f>Sinistrés!L272</f>
        <v>25</v>
      </c>
      <c r="E267">
        <f>Sinistrés!M272</f>
        <v>25</v>
      </c>
      <c r="F267">
        <f t="shared" si="8"/>
        <v>0</v>
      </c>
      <c r="G267">
        <f t="shared" si="9"/>
        <v>1</v>
      </c>
    </row>
    <row r="268" spans="1:7" hidden="1">
      <c r="A268" t="str">
        <f>Sinistrés!H273</f>
        <v>Colza d'hiver BIO</v>
      </c>
      <c r="B268">
        <f>Sinistrés!J273</f>
        <v>12285</v>
      </c>
      <c r="C268">
        <f>Sinistrés!X273</f>
        <v>614.25</v>
      </c>
      <c r="D268">
        <f>Sinistrés!L273</f>
        <v>4.55</v>
      </c>
      <c r="E268">
        <f>Sinistrés!M273</f>
        <v>4.55</v>
      </c>
      <c r="F268">
        <f t="shared" si="8"/>
        <v>0.05</v>
      </c>
      <c r="G268">
        <f t="shared" si="9"/>
        <v>1</v>
      </c>
    </row>
    <row r="269" spans="1:7" hidden="1">
      <c r="A269" t="str">
        <f>Sinistrés!H274</f>
        <v>Seigle et méteil BIO</v>
      </c>
      <c r="B269">
        <f>Sinistrés!J274</f>
        <v>16032</v>
      </c>
      <c r="C269">
        <f>Sinistrés!X274</f>
        <v>0</v>
      </c>
      <c r="D269">
        <f>Sinistrés!L274</f>
        <v>13.36</v>
      </c>
      <c r="E269">
        <f>Sinistrés!M274</f>
        <v>13.36</v>
      </c>
      <c r="F269">
        <f t="shared" si="8"/>
        <v>0</v>
      </c>
      <c r="G269">
        <f t="shared" si="9"/>
        <v>1</v>
      </c>
    </row>
    <row r="270" spans="1:7" hidden="1">
      <c r="A270" t="str">
        <f>Sinistrés!H275</f>
        <v>Blé dur d'hiver</v>
      </c>
      <c r="B270">
        <f>Sinistrés!J275</f>
        <v>16714.080000000002</v>
      </c>
      <c r="C270">
        <f>Sinistrés!X275</f>
        <v>0</v>
      </c>
      <c r="D270">
        <f>Sinistrés!L275</f>
        <v>8.76</v>
      </c>
      <c r="E270">
        <f>Sinistrés!M275</f>
        <v>8.76</v>
      </c>
      <c r="F270">
        <f t="shared" si="8"/>
        <v>0</v>
      </c>
      <c r="G270">
        <f t="shared" si="9"/>
        <v>1</v>
      </c>
    </row>
    <row r="271" spans="1:7" hidden="1">
      <c r="A271" t="str">
        <f>Sinistrés!H276</f>
        <v>Blé tendre d'hiver</v>
      </c>
      <c r="B271">
        <f>Sinistrés!J276</f>
        <v>44171.95</v>
      </c>
      <c r="C271">
        <f>Sinistrés!X276</f>
        <v>0</v>
      </c>
      <c r="D271">
        <f>Sinistrés!L276</f>
        <v>24.88</v>
      </c>
      <c r="E271">
        <f>Sinistrés!M276</f>
        <v>24.88</v>
      </c>
      <c r="F271">
        <f t="shared" si="8"/>
        <v>0</v>
      </c>
      <c r="G271">
        <f t="shared" si="9"/>
        <v>1</v>
      </c>
    </row>
    <row r="272" spans="1:7" hidden="1">
      <c r="A272" t="str">
        <f>Sinistrés!H277</f>
        <v>Orge de printemps</v>
      </c>
      <c r="B272">
        <f>Sinistrés!J277</f>
        <v>66427.87</v>
      </c>
      <c r="C272">
        <f>Sinistrés!X277</f>
        <v>0</v>
      </c>
      <c r="D272">
        <f>Sinistrés!L277</f>
        <v>48.22</v>
      </c>
      <c r="E272">
        <f>Sinistrés!M277</f>
        <v>48.22</v>
      </c>
      <c r="F272">
        <f t="shared" si="8"/>
        <v>0</v>
      </c>
      <c r="G272">
        <f t="shared" si="9"/>
        <v>1</v>
      </c>
    </row>
    <row r="273" spans="1:7" hidden="1">
      <c r="A273" t="str">
        <f>Sinistrés!H278</f>
        <v>Blé de force</v>
      </c>
      <c r="B273">
        <f>Sinistrés!J278</f>
        <v>12254</v>
      </c>
      <c r="C273">
        <f>Sinistrés!X278</f>
        <v>0</v>
      </c>
      <c r="D273">
        <f>Sinistrés!L278</f>
        <v>11</v>
      </c>
      <c r="E273">
        <f>Sinistrés!M278</f>
        <v>11</v>
      </c>
      <c r="F273">
        <f t="shared" si="8"/>
        <v>0</v>
      </c>
      <c r="G273">
        <f t="shared" si="9"/>
        <v>1</v>
      </c>
    </row>
    <row r="274" spans="1:7" hidden="1">
      <c r="A274" t="str">
        <f>Sinistrés!H279</f>
        <v>Blé tendre d'hiver</v>
      </c>
      <c r="B274">
        <f>Sinistrés!J279</f>
        <v>28072.799999999999</v>
      </c>
      <c r="C274">
        <f>Sinistrés!X279</f>
        <v>0</v>
      </c>
      <c r="D274">
        <f>Sinistrés!L279</f>
        <v>28</v>
      </c>
      <c r="E274">
        <f>Sinistrés!M279</f>
        <v>28</v>
      </c>
      <c r="F274">
        <f t="shared" si="8"/>
        <v>0</v>
      </c>
      <c r="G274">
        <f t="shared" si="9"/>
        <v>1</v>
      </c>
    </row>
    <row r="275" spans="1:7" hidden="1">
      <c r="A275" t="str">
        <f>Sinistrés!H280</f>
        <v>Colza d'hiver</v>
      </c>
      <c r="B275">
        <f>Sinistrés!J280</f>
        <v>26960.639999999999</v>
      </c>
      <c r="C275">
        <f>Sinistrés!X280</f>
        <v>0</v>
      </c>
      <c r="D275">
        <f>Sinistrés!L280</f>
        <v>18.88</v>
      </c>
      <c r="E275">
        <f>Sinistrés!M280</f>
        <v>18.88</v>
      </c>
      <c r="F275">
        <f t="shared" si="8"/>
        <v>0</v>
      </c>
      <c r="G275">
        <f t="shared" si="9"/>
        <v>1</v>
      </c>
    </row>
    <row r="276" spans="1:7" hidden="1">
      <c r="A276" t="str">
        <f>Sinistrés!H281</f>
        <v>Orge d'hiver</v>
      </c>
      <c r="B276">
        <f>Sinistrés!J281</f>
        <v>23424.34</v>
      </c>
      <c r="C276">
        <f>Sinistrés!X281</f>
        <v>0</v>
      </c>
      <c r="D276">
        <f>Sinistrés!L281</f>
        <v>25.22</v>
      </c>
      <c r="E276">
        <f>Sinistrés!M281</f>
        <v>25.22</v>
      </c>
      <c r="F276">
        <f t="shared" si="8"/>
        <v>0</v>
      </c>
      <c r="G276">
        <f t="shared" si="9"/>
        <v>1</v>
      </c>
    </row>
    <row r="277" spans="1:7" hidden="1">
      <c r="A277" t="str">
        <f>Sinistrés!H282</f>
        <v>Blé tendre d'hiver BIO</v>
      </c>
      <c r="B277">
        <f>Sinistrés!J282</f>
        <v>4860</v>
      </c>
      <c r="C277">
        <f>Sinistrés!X282</f>
        <v>0</v>
      </c>
      <c r="D277">
        <f>Sinistrés!L282</f>
        <v>7.2</v>
      </c>
      <c r="E277">
        <f>Sinistrés!M282</f>
        <v>7.2</v>
      </c>
      <c r="F277">
        <f t="shared" si="8"/>
        <v>0</v>
      </c>
      <c r="G277">
        <f t="shared" si="9"/>
        <v>1</v>
      </c>
    </row>
    <row r="278" spans="1:7" hidden="1">
      <c r="A278" t="str">
        <f>Sinistrés!H283</f>
        <v>Orge d'hiver BIO</v>
      </c>
      <c r="B278">
        <f>Sinistrés!J283</f>
        <v>50625</v>
      </c>
      <c r="C278">
        <f>Sinistrés!X283</f>
        <v>0</v>
      </c>
      <c r="D278">
        <f>Sinistrés!L283</f>
        <v>27</v>
      </c>
      <c r="E278">
        <f>Sinistrés!M283</f>
        <v>27</v>
      </c>
      <c r="F278">
        <f t="shared" si="8"/>
        <v>0</v>
      </c>
      <c r="G278">
        <f t="shared" si="9"/>
        <v>1</v>
      </c>
    </row>
    <row r="279" spans="1:7" hidden="1">
      <c r="A279" t="str">
        <f>Sinistrés!H284</f>
        <v>Blé dur d'hiver</v>
      </c>
      <c r="B279">
        <f>Sinistrés!J284</f>
        <v>126913.5</v>
      </c>
      <c r="C279">
        <f>Sinistrés!X284</f>
        <v>0</v>
      </c>
      <c r="D279">
        <f>Sinistrés!L284</f>
        <v>91.8</v>
      </c>
      <c r="E279">
        <f>Sinistrés!M284</f>
        <v>91.8</v>
      </c>
      <c r="F279">
        <f t="shared" si="8"/>
        <v>0</v>
      </c>
      <c r="G279">
        <f t="shared" si="9"/>
        <v>1</v>
      </c>
    </row>
    <row r="280" spans="1:7" hidden="1">
      <c r="A280" t="str">
        <f>Sinistrés!H285</f>
        <v>Blé tendre d'hiver</v>
      </c>
      <c r="B280">
        <f>Sinistrés!J285</f>
        <v>5624.64</v>
      </c>
      <c r="C280">
        <f>Sinistrés!X285</f>
        <v>0</v>
      </c>
      <c r="D280">
        <f>Sinistrés!L285</f>
        <v>5.04</v>
      </c>
      <c r="E280">
        <f>Sinistrés!M285</f>
        <v>5.04</v>
      </c>
      <c r="F280">
        <f t="shared" si="8"/>
        <v>0</v>
      </c>
      <c r="G280">
        <f t="shared" si="9"/>
        <v>1</v>
      </c>
    </row>
    <row r="281" spans="1:7" hidden="1">
      <c r="A281" t="str">
        <f>Sinistrés!H286</f>
        <v>Blé tendre d'hiver</v>
      </c>
      <c r="B281">
        <f>Sinistrés!J286</f>
        <v>15903</v>
      </c>
      <c r="C281">
        <f>Sinistrés!X286</f>
        <v>0</v>
      </c>
      <c r="D281">
        <f>Sinistrés!L286</f>
        <v>14.25</v>
      </c>
      <c r="E281">
        <f>Sinistrés!M286</f>
        <v>14.25</v>
      </c>
      <c r="F281">
        <f t="shared" si="8"/>
        <v>0</v>
      </c>
      <c r="G281">
        <f t="shared" si="9"/>
        <v>1</v>
      </c>
    </row>
    <row r="282" spans="1:7" hidden="1">
      <c r="A282" t="str">
        <f>Sinistrés!H287</f>
        <v>Colza d'hiver</v>
      </c>
      <c r="B282">
        <f>Sinistrés!J287</f>
        <v>8530.7000000000007</v>
      </c>
      <c r="C282">
        <f>Sinistrés!X287</f>
        <v>0</v>
      </c>
      <c r="D282">
        <f>Sinistrés!L287</f>
        <v>6.47</v>
      </c>
      <c r="E282">
        <f>Sinistrés!M287</f>
        <v>6.47</v>
      </c>
      <c r="F282">
        <f t="shared" si="8"/>
        <v>0</v>
      </c>
      <c r="G282">
        <f t="shared" si="9"/>
        <v>1</v>
      </c>
    </row>
    <row r="283" spans="1:7" hidden="1">
      <c r="A283" t="str">
        <f>Sinistrés!H288</f>
        <v>Colza d'hiver</v>
      </c>
      <c r="B283">
        <f>Sinistrés!J288</f>
        <v>26460</v>
      </c>
      <c r="C283">
        <f>Sinistrés!X288</f>
        <v>0</v>
      </c>
      <c r="D283">
        <f>Sinistrés!L288</f>
        <v>21</v>
      </c>
      <c r="E283">
        <f>Sinistrés!M288</f>
        <v>21</v>
      </c>
      <c r="F283">
        <f t="shared" si="8"/>
        <v>0</v>
      </c>
      <c r="G283">
        <f t="shared" si="9"/>
        <v>1</v>
      </c>
    </row>
    <row r="284" spans="1:7" hidden="1">
      <c r="A284" t="str">
        <f>Sinistrés!H289</f>
        <v>Blé tendre d'hiver</v>
      </c>
      <c r="B284">
        <f>Sinistrés!J289</f>
        <v>106247.9</v>
      </c>
      <c r="C284">
        <f>Sinistrés!X289</f>
        <v>0</v>
      </c>
      <c r="D284">
        <f>Sinistrés!L289</f>
        <v>66.900000000000006</v>
      </c>
      <c r="E284">
        <f>Sinistrés!M289</f>
        <v>66.900000000000006</v>
      </c>
      <c r="F284">
        <f t="shared" si="8"/>
        <v>0</v>
      </c>
      <c r="G284">
        <f t="shared" si="9"/>
        <v>1</v>
      </c>
    </row>
    <row r="285" spans="1:7" hidden="1">
      <c r="A285" t="str">
        <f>Sinistrés!H290</f>
        <v>Orge d'hiver</v>
      </c>
      <c r="B285">
        <f>Sinistrés!J290</f>
        <v>59677.17</v>
      </c>
      <c r="C285">
        <f>Sinistrés!X290</f>
        <v>0</v>
      </c>
      <c r="D285">
        <f>Sinistrés!L290</f>
        <v>44.5</v>
      </c>
      <c r="E285">
        <f>Sinistrés!M290</f>
        <v>44.5</v>
      </c>
      <c r="F285">
        <f t="shared" si="8"/>
        <v>0</v>
      </c>
      <c r="G285">
        <f t="shared" si="9"/>
        <v>1</v>
      </c>
    </row>
    <row r="286" spans="1:7" hidden="1">
      <c r="A286" t="str">
        <f>Sinistrés!H291</f>
        <v>Colza d'hiver</v>
      </c>
      <c r="B286">
        <f>Sinistrés!J291</f>
        <v>113737.55</v>
      </c>
      <c r="C286">
        <f>Sinistrés!X291</f>
        <v>0</v>
      </c>
      <c r="D286">
        <f>Sinistrés!L291</f>
        <v>56.23</v>
      </c>
      <c r="E286">
        <f>Sinistrés!M291</f>
        <v>56.23</v>
      </c>
      <c r="F286">
        <f t="shared" si="8"/>
        <v>0</v>
      </c>
      <c r="G286">
        <f t="shared" si="9"/>
        <v>1</v>
      </c>
    </row>
    <row r="287" spans="1:7" hidden="1">
      <c r="A287" t="str">
        <f>Sinistrés!H292</f>
        <v>Avoine d'hiver SEMENCES</v>
      </c>
      <c r="B287">
        <f>Sinistrés!J292</f>
        <v>3840.14</v>
      </c>
      <c r="C287">
        <f>Sinistrés!X292</f>
        <v>0</v>
      </c>
      <c r="D287">
        <f>Sinistrés!L292</f>
        <v>5</v>
      </c>
      <c r="E287">
        <f>Sinistrés!M292</f>
        <v>5</v>
      </c>
      <c r="F287">
        <f t="shared" si="8"/>
        <v>0</v>
      </c>
      <c r="G287">
        <f t="shared" si="9"/>
        <v>1</v>
      </c>
    </row>
    <row r="288" spans="1:7" hidden="1">
      <c r="A288" t="str">
        <f>Sinistrés!H293</f>
        <v>Avoine d'hiver</v>
      </c>
      <c r="B288">
        <f>Sinistrés!J293</f>
        <v>11939.82</v>
      </c>
      <c r="C288">
        <f>Sinistrés!X293</f>
        <v>0</v>
      </c>
      <c r="D288">
        <f>Sinistrés!L293</f>
        <v>16</v>
      </c>
      <c r="E288">
        <f>Sinistrés!M293</f>
        <v>16</v>
      </c>
      <c r="F288">
        <f t="shared" si="8"/>
        <v>0</v>
      </c>
      <c r="G288">
        <f t="shared" si="9"/>
        <v>1</v>
      </c>
    </row>
    <row r="289" spans="1:7" hidden="1">
      <c r="A289" t="str">
        <f>Sinistrés!H294</f>
        <v>Orge d'hiver</v>
      </c>
      <c r="B289">
        <f>Sinistrés!J294</f>
        <v>13264.46</v>
      </c>
      <c r="C289">
        <f>Sinistrés!X294</f>
        <v>0</v>
      </c>
      <c r="D289">
        <f>Sinistrés!L294</f>
        <v>11.66</v>
      </c>
      <c r="E289">
        <f>Sinistrés!M294</f>
        <v>11.66</v>
      </c>
      <c r="F289">
        <f t="shared" si="8"/>
        <v>0</v>
      </c>
      <c r="G289">
        <f t="shared" si="9"/>
        <v>1</v>
      </c>
    </row>
    <row r="290" spans="1:7" hidden="1">
      <c r="A290" t="str">
        <f>Sinistrés!H295</f>
        <v>Féveroles et fèves SEMENCES</v>
      </c>
      <c r="B290">
        <f>Sinistrés!J295</f>
        <v>7574.58</v>
      </c>
      <c r="C290">
        <f>Sinistrés!X295</f>
        <v>0</v>
      </c>
      <c r="D290">
        <f>Sinistrés!L295</f>
        <v>7.02</v>
      </c>
      <c r="E290">
        <f>Sinistrés!M295</f>
        <v>7.02</v>
      </c>
      <c r="F290">
        <f t="shared" si="8"/>
        <v>0</v>
      </c>
      <c r="G290">
        <f t="shared" si="9"/>
        <v>1</v>
      </c>
    </row>
    <row r="291" spans="1:7" hidden="1">
      <c r="A291" t="str">
        <f>Sinistrés!H296</f>
        <v>Blé tendre d'hiver semences</v>
      </c>
      <c r="B291">
        <f>Sinistrés!J296</f>
        <v>23435.79</v>
      </c>
      <c r="C291">
        <f>Sinistrés!X296</f>
        <v>4633.72</v>
      </c>
      <c r="D291">
        <f>Sinistrés!L296</f>
        <v>14.98</v>
      </c>
      <c r="E291">
        <f>Sinistrés!M296</f>
        <v>14.98</v>
      </c>
      <c r="F291">
        <f t="shared" si="8"/>
        <v>0.19771981230417238</v>
      </c>
      <c r="G291">
        <f t="shared" si="9"/>
        <v>1</v>
      </c>
    </row>
    <row r="292" spans="1:7">
      <c r="A292" t="str">
        <f>Sinistrés!H297</f>
        <v>Pois protéagineux</v>
      </c>
      <c r="B292">
        <f>Sinistrés!J297</f>
        <v>23275.17</v>
      </c>
      <c r="C292">
        <f>Sinistrés!X297</f>
        <v>1528.86</v>
      </c>
      <c r="D292">
        <f>Sinistrés!L297</f>
        <v>18.04</v>
      </c>
      <c r="E292">
        <f>Sinistrés!M297</f>
        <v>18.04</v>
      </c>
      <c r="F292">
        <f t="shared" si="8"/>
        <v>6.5686308628465445E-2</v>
      </c>
      <c r="G292">
        <f t="shared" si="9"/>
        <v>1</v>
      </c>
    </row>
    <row r="293" spans="1:7" hidden="1">
      <c r="A293" t="str">
        <f>Sinistrés!H298</f>
        <v>Triticale SEMENCES</v>
      </c>
      <c r="B293">
        <f>Sinistrés!J298</f>
        <v>27092.22</v>
      </c>
      <c r="C293">
        <f>Sinistrés!X298</f>
        <v>7240.46</v>
      </c>
      <c r="D293">
        <f>Sinistrés!L298</f>
        <v>24.3</v>
      </c>
      <c r="E293">
        <f>Sinistrés!M298</f>
        <v>24.3</v>
      </c>
      <c r="F293">
        <f t="shared" si="8"/>
        <v>0.26725236986854528</v>
      </c>
      <c r="G293">
        <f t="shared" si="9"/>
        <v>1</v>
      </c>
    </row>
    <row r="294" spans="1:7" hidden="1">
      <c r="A294" t="str">
        <f>Sinistrés!H299</f>
        <v xml:space="preserve">Orge d'hiver </v>
      </c>
      <c r="B294">
        <f>Sinistrés!J299</f>
        <v>23740.5</v>
      </c>
      <c r="C294">
        <f>Sinistrés!X299</f>
        <v>0</v>
      </c>
      <c r="D294">
        <f>Sinistrés!L299</f>
        <v>22.61</v>
      </c>
      <c r="E294">
        <f>Sinistrés!M299</f>
        <v>22.61</v>
      </c>
      <c r="F294">
        <f t="shared" si="8"/>
        <v>0</v>
      </c>
      <c r="G294">
        <f t="shared" si="9"/>
        <v>1</v>
      </c>
    </row>
    <row r="295" spans="1:7" hidden="1">
      <c r="A295" t="str">
        <f>Sinistrés!H300</f>
        <v>Blé tendre d'hiver</v>
      </c>
      <c r="B295">
        <f>Sinistrés!J300</f>
        <v>49308.800000000003</v>
      </c>
      <c r="C295">
        <f>Sinistrés!X300</f>
        <v>0</v>
      </c>
      <c r="D295">
        <f>Sinistrés!L300</f>
        <v>42.46</v>
      </c>
      <c r="E295">
        <f>Sinistrés!M300</f>
        <v>42.46</v>
      </c>
      <c r="F295">
        <f t="shared" si="8"/>
        <v>0</v>
      </c>
      <c r="G295">
        <f t="shared" si="9"/>
        <v>1</v>
      </c>
    </row>
    <row r="296" spans="1:7" hidden="1">
      <c r="A296" t="str">
        <f>Sinistrés!H301</f>
        <v>Colza d'hiver</v>
      </c>
      <c r="B296">
        <f>Sinistrés!J301</f>
        <v>12937.5</v>
      </c>
      <c r="C296">
        <f>Sinistrés!X301</f>
        <v>0</v>
      </c>
      <c r="D296">
        <f>Sinistrés!L301</f>
        <v>9.4600000000000009</v>
      </c>
      <c r="E296">
        <f>Sinistrés!M301</f>
        <v>9.4600000000000009</v>
      </c>
      <c r="F296">
        <f t="shared" si="8"/>
        <v>0</v>
      </c>
      <c r="G296">
        <f t="shared" si="9"/>
        <v>1</v>
      </c>
    </row>
    <row r="297" spans="1:7" hidden="1">
      <c r="A297" t="str">
        <f>Sinistrés!H302</f>
        <v>Orge d'hiver</v>
      </c>
      <c r="B297">
        <f>Sinistrés!J302</f>
        <v>14697.86</v>
      </c>
      <c r="C297">
        <f>Sinistrés!X302</f>
        <v>0</v>
      </c>
      <c r="D297">
        <f>Sinistrés!L302</f>
        <v>14.49</v>
      </c>
      <c r="E297">
        <f>Sinistrés!M302</f>
        <v>14.49</v>
      </c>
      <c r="F297">
        <f t="shared" si="8"/>
        <v>0</v>
      </c>
      <c r="G297">
        <f t="shared" si="9"/>
        <v>1</v>
      </c>
    </row>
    <row r="298" spans="1:7" hidden="1">
      <c r="A298" t="str">
        <f>Sinistrés!H303</f>
        <v>Colza d'hiver</v>
      </c>
      <c r="B298">
        <f>Sinistrés!J303</f>
        <v>20049.89</v>
      </c>
      <c r="C298">
        <f>Sinistrés!X303</f>
        <v>0</v>
      </c>
      <c r="D298">
        <f>Sinistrés!L303</f>
        <v>19.350000000000001</v>
      </c>
      <c r="E298">
        <f>Sinistrés!M303</f>
        <v>19.350000000000001</v>
      </c>
      <c r="F298">
        <f t="shared" si="8"/>
        <v>0</v>
      </c>
      <c r="G298">
        <f t="shared" si="9"/>
        <v>1</v>
      </c>
    </row>
    <row r="299" spans="1:7" hidden="1">
      <c r="A299" t="str">
        <f>Sinistrés!H304</f>
        <v>Blé tendre d'hiver</v>
      </c>
      <c r="B299">
        <f>Sinistrés!J304</f>
        <v>27646.51</v>
      </c>
      <c r="C299">
        <f>Sinistrés!X304</f>
        <v>0</v>
      </c>
      <c r="D299">
        <f>Sinistrés!L304</f>
        <v>25.61</v>
      </c>
      <c r="E299">
        <f>Sinistrés!M304</f>
        <v>23.32</v>
      </c>
      <c r="F299">
        <f t="shared" si="8"/>
        <v>0</v>
      </c>
      <c r="G299">
        <f t="shared" si="9"/>
        <v>0.91058180398281929</v>
      </c>
    </row>
    <row r="300" spans="1:7" hidden="1">
      <c r="A300" t="str">
        <f>Sinistrés!H305</f>
        <v>Orge d'hiver</v>
      </c>
      <c r="B300">
        <f>Sinistrés!J305</f>
        <v>19609.12</v>
      </c>
      <c r="C300">
        <f>Sinistrés!X305</f>
        <v>0</v>
      </c>
      <c r="D300">
        <f>Sinistrés!L305</f>
        <v>22.03</v>
      </c>
      <c r="E300">
        <f>Sinistrés!M305</f>
        <v>22.03</v>
      </c>
      <c r="F300">
        <f t="shared" si="8"/>
        <v>0</v>
      </c>
      <c r="G300">
        <f t="shared" si="9"/>
        <v>1</v>
      </c>
    </row>
    <row r="301" spans="1:7" hidden="1">
      <c r="A301" t="str">
        <f>Sinistrés!H306</f>
        <v>Blé tendre d'hiver</v>
      </c>
      <c r="B301">
        <f>Sinistrés!J306</f>
        <v>45025.2</v>
      </c>
      <c r="C301">
        <f>Sinistrés!X306</f>
        <v>0</v>
      </c>
      <c r="D301">
        <f>Sinistrés!L306</f>
        <v>45.48</v>
      </c>
      <c r="E301">
        <f>Sinistrés!M306</f>
        <v>45.48</v>
      </c>
      <c r="F301">
        <f t="shared" si="8"/>
        <v>0</v>
      </c>
      <c r="G301">
        <f t="shared" si="9"/>
        <v>1</v>
      </c>
    </row>
    <row r="302" spans="1:7" hidden="1">
      <c r="A302" t="str">
        <f>Sinistrés!H307</f>
        <v>Colza d'hiver</v>
      </c>
      <c r="B302">
        <f>Sinistrés!J307</f>
        <v>7283.28</v>
      </c>
      <c r="C302">
        <f>Sinistrés!X307</f>
        <v>0</v>
      </c>
      <c r="D302">
        <f>Sinistrés!L307</f>
        <v>7.49</v>
      </c>
      <c r="E302">
        <f>Sinistrés!M307</f>
        <v>7.49</v>
      </c>
      <c r="F302">
        <f t="shared" si="8"/>
        <v>0</v>
      </c>
      <c r="G302">
        <f t="shared" si="9"/>
        <v>1</v>
      </c>
    </row>
    <row r="303" spans="1:7" hidden="1">
      <c r="A303" t="str">
        <f>Sinistrés!H308</f>
        <v>Lin oléagineux</v>
      </c>
      <c r="B303">
        <f>Sinistrés!J308</f>
        <v>5941.67</v>
      </c>
      <c r="C303">
        <f>Sinistrés!X308</f>
        <v>0</v>
      </c>
      <c r="D303">
        <f>Sinistrés!L308</f>
        <v>8.41</v>
      </c>
      <c r="E303">
        <f>Sinistrés!M308</f>
        <v>8.41</v>
      </c>
      <c r="F303">
        <f t="shared" si="8"/>
        <v>0</v>
      </c>
      <c r="G303">
        <f t="shared" si="9"/>
        <v>1</v>
      </c>
    </row>
    <row r="304" spans="1:7" hidden="1">
      <c r="A304" t="str">
        <f>Sinistrés!H309</f>
        <v>Blé tendre d'hiver</v>
      </c>
      <c r="B304">
        <f>Sinistrés!J309</f>
        <v>119600</v>
      </c>
      <c r="C304">
        <f>Sinistrés!X309</f>
        <v>0</v>
      </c>
      <c r="D304">
        <f>Sinistrés!L309</f>
        <v>100</v>
      </c>
      <c r="E304">
        <f>Sinistrés!M309</f>
        <v>100</v>
      </c>
      <c r="F304">
        <f t="shared" si="8"/>
        <v>0</v>
      </c>
      <c r="G304">
        <f t="shared" si="9"/>
        <v>1</v>
      </c>
    </row>
    <row r="305" spans="1:7" hidden="1">
      <c r="A305" t="str">
        <f>Sinistrés!H310</f>
        <v>Colza d'hiver</v>
      </c>
      <c r="B305">
        <f>Sinistrés!J310</f>
        <v>40614.21</v>
      </c>
      <c r="C305">
        <f>Sinistrés!X310</f>
        <v>0</v>
      </c>
      <c r="D305">
        <f>Sinistrés!L310</f>
        <v>36.54</v>
      </c>
      <c r="E305">
        <f>Sinistrés!M310</f>
        <v>36.54</v>
      </c>
      <c r="F305">
        <f t="shared" si="8"/>
        <v>0</v>
      </c>
      <c r="G305">
        <f t="shared" si="9"/>
        <v>1</v>
      </c>
    </row>
    <row r="306" spans="1:7" hidden="1">
      <c r="A306" t="str">
        <f>Sinistrés!H311</f>
        <v>Seigle et méteil BIO</v>
      </c>
      <c r="B306">
        <f>Sinistrés!J311</f>
        <v>7548</v>
      </c>
      <c r="C306">
        <f>Sinistrés!X311</f>
        <v>0</v>
      </c>
      <c r="D306">
        <f>Sinistrés!L311</f>
        <v>8.5</v>
      </c>
      <c r="E306">
        <f>Sinistrés!M311</f>
        <v>8.5</v>
      </c>
      <c r="F306">
        <f t="shared" si="8"/>
        <v>0</v>
      </c>
      <c r="G306">
        <f t="shared" si="9"/>
        <v>1</v>
      </c>
    </row>
    <row r="307" spans="1:7" hidden="1">
      <c r="A307" t="str">
        <f>Sinistrés!H312</f>
        <v>Blé tendre d'hiver</v>
      </c>
      <c r="B307">
        <f>Sinistrés!J312</f>
        <v>63350.01</v>
      </c>
      <c r="C307">
        <f>Sinistrés!X312</f>
        <v>0</v>
      </c>
      <c r="D307">
        <f>Sinistrés!L312</f>
        <v>61.19</v>
      </c>
      <c r="E307">
        <f>Sinistrés!M312</f>
        <v>61.19</v>
      </c>
      <c r="F307">
        <f t="shared" si="8"/>
        <v>0</v>
      </c>
      <c r="G307">
        <f t="shared" si="9"/>
        <v>1</v>
      </c>
    </row>
    <row r="308" spans="1:7" hidden="1">
      <c r="A308" t="str">
        <f>Sinistrés!H313</f>
        <v>Colza d'hiver</v>
      </c>
      <c r="B308">
        <f>Sinistrés!J313</f>
        <v>29516.13</v>
      </c>
      <c r="C308">
        <f>Sinistrés!X313</f>
        <v>0</v>
      </c>
      <c r="D308">
        <f>Sinistrés!L313</f>
        <v>28.98</v>
      </c>
      <c r="E308">
        <f>Sinistrés!M313</f>
        <v>28.98</v>
      </c>
      <c r="F308">
        <f t="shared" si="8"/>
        <v>0</v>
      </c>
      <c r="G308">
        <f t="shared" si="9"/>
        <v>1</v>
      </c>
    </row>
    <row r="309" spans="1:7" hidden="1">
      <c r="A309" t="str">
        <f>Sinistrés!H314</f>
        <v>Féveroles et fèves</v>
      </c>
      <c r="B309">
        <f>Sinistrés!J314</f>
        <v>27060.48</v>
      </c>
      <c r="C309">
        <f>Sinistrés!X314</f>
        <v>0</v>
      </c>
      <c r="D309">
        <f>Sinistrés!L314</f>
        <v>38.880000000000003</v>
      </c>
      <c r="E309">
        <f>Sinistrés!M314</f>
        <v>38.880000000000003</v>
      </c>
      <c r="F309">
        <f t="shared" si="8"/>
        <v>0</v>
      </c>
      <c r="G309">
        <f t="shared" si="9"/>
        <v>1</v>
      </c>
    </row>
    <row r="310" spans="1:7" hidden="1">
      <c r="A310" t="str">
        <f>Sinistrés!H315</f>
        <v>Pois protéagineux BIO</v>
      </c>
      <c r="B310">
        <f>Sinistrés!J315</f>
        <v>17093.669999999998</v>
      </c>
      <c r="C310">
        <f>Sinistrés!X315</f>
        <v>0</v>
      </c>
      <c r="D310">
        <f>Sinistrés!L315</f>
        <v>20.57</v>
      </c>
      <c r="E310">
        <f>Sinistrés!M315</f>
        <v>20.57</v>
      </c>
      <c r="F310">
        <f t="shared" si="8"/>
        <v>0</v>
      </c>
      <c r="G310">
        <f t="shared" si="9"/>
        <v>1</v>
      </c>
    </row>
    <row r="311" spans="1:7" hidden="1">
      <c r="A311" t="str">
        <f>Sinistrés!H316</f>
        <v>Orge d'hiver</v>
      </c>
      <c r="B311">
        <f>Sinistrés!J316</f>
        <v>19094.400000000001</v>
      </c>
      <c r="C311">
        <f>Sinistrés!X316</f>
        <v>0</v>
      </c>
      <c r="D311">
        <f>Sinistrés!L316</f>
        <v>19.5</v>
      </c>
      <c r="E311">
        <f>Sinistrés!M316</f>
        <v>19.5</v>
      </c>
      <c r="F311">
        <f t="shared" si="8"/>
        <v>0</v>
      </c>
      <c r="G311">
        <f t="shared" si="9"/>
        <v>1</v>
      </c>
    </row>
    <row r="312" spans="1:7" hidden="1">
      <c r="A312" t="str">
        <f>Sinistrés!H317</f>
        <v>Colza d'hiver</v>
      </c>
      <c r="B312">
        <f>Sinistrés!J317</f>
        <v>13991.25</v>
      </c>
      <c r="C312">
        <f>Sinistrés!X317</f>
        <v>0</v>
      </c>
      <c r="D312">
        <f>Sinistrés!L317</f>
        <v>12.3</v>
      </c>
      <c r="E312">
        <f>Sinistrés!M317</f>
        <v>12.3</v>
      </c>
      <c r="F312">
        <f t="shared" si="8"/>
        <v>0</v>
      </c>
      <c r="G312">
        <f t="shared" si="9"/>
        <v>1</v>
      </c>
    </row>
    <row r="313" spans="1:7" hidden="1">
      <c r="A313" t="str">
        <f>Sinistrés!H318</f>
        <v>Colza d'hiver</v>
      </c>
      <c r="B313">
        <f>Sinistrés!J318</f>
        <v>3601.8</v>
      </c>
      <c r="C313">
        <f>Sinistrés!X318</f>
        <v>0</v>
      </c>
      <c r="D313">
        <f>Sinistrés!L318</f>
        <v>3.6</v>
      </c>
      <c r="E313">
        <f>Sinistrés!M318</f>
        <v>3.6</v>
      </c>
      <c r="F313">
        <f t="shared" si="8"/>
        <v>0</v>
      </c>
      <c r="G313">
        <f t="shared" si="9"/>
        <v>1</v>
      </c>
    </row>
    <row r="314" spans="1:7" hidden="1">
      <c r="A314" t="str">
        <f>Sinistrés!H319</f>
        <v>Blé tendre d'hiver</v>
      </c>
      <c r="B314">
        <f>Sinistrés!J319</f>
        <v>33145.550000000003</v>
      </c>
      <c r="C314">
        <f>Sinistrés!X319</f>
        <v>0</v>
      </c>
      <c r="D314">
        <f>Sinistrés!L319</f>
        <v>22.69</v>
      </c>
      <c r="E314">
        <f>Sinistrés!M319</f>
        <v>22.69</v>
      </c>
      <c r="F314">
        <f t="shared" si="8"/>
        <v>0</v>
      </c>
      <c r="G314">
        <f t="shared" si="9"/>
        <v>1</v>
      </c>
    </row>
    <row r="315" spans="1:7" hidden="1">
      <c r="A315" t="str">
        <f>Sinistrés!H320</f>
        <v>Colza d'hiver</v>
      </c>
      <c r="B315">
        <f>Sinistrés!J320</f>
        <v>30473.65</v>
      </c>
      <c r="C315">
        <f>Sinistrés!X320</f>
        <v>0</v>
      </c>
      <c r="D315">
        <f>Sinistrés!L320</f>
        <v>23.33</v>
      </c>
      <c r="E315">
        <f>Sinistrés!M320</f>
        <v>23.33</v>
      </c>
      <c r="F315">
        <f t="shared" si="8"/>
        <v>0</v>
      </c>
      <c r="G315">
        <f t="shared" si="9"/>
        <v>1</v>
      </c>
    </row>
    <row r="316" spans="1:7" hidden="1">
      <c r="A316" t="str">
        <f>Sinistrés!H321</f>
        <v>Orge d'hiver</v>
      </c>
      <c r="B316">
        <f>Sinistrés!J321</f>
        <v>28907.42</v>
      </c>
      <c r="C316">
        <f>Sinistrés!X321</f>
        <v>0</v>
      </c>
      <c r="D316">
        <f>Sinistrés!L321</f>
        <v>22.06</v>
      </c>
      <c r="E316">
        <f>Sinistrés!M321</f>
        <v>22.06</v>
      </c>
      <c r="F316">
        <f t="shared" si="8"/>
        <v>0</v>
      </c>
      <c r="G316">
        <f t="shared" si="9"/>
        <v>1</v>
      </c>
    </row>
    <row r="317" spans="1:7" hidden="1">
      <c r="A317" t="str">
        <f>Sinistrés!H322</f>
        <v>Blé tendre d'hiver</v>
      </c>
      <c r="B317">
        <f>Sinistrés!J322</f>
        <v>21374.400000000001</v>
      </c>
      <c r="C317">
        <f>Sinistrés!X322</f>
        <v>0</v>
      </c>
      <c r="D317">
        <f>Sinistrés!L322</f>
        <v>21.9</v>
      </c>
      <c r="E317">
        <f>Sinistrés!M322</f>
        <v>15.85</v>
      </c>
      <c r="F317">
        <f t="shared" si="8"/>
        <v>0</v>
      </c>
      <c r="G317">
        <f t="shared" si="9"/>
        <v>0.72374429223744297</v>
      </c>
    </row>
    <row r="318" spans="1:7" hidden="1">
      <c r="A318" t="str">
        <f>Sinistrés!H323</f>
        <v>Orge d'hiver</v>
      </c>
      <c r="B318">
        <f>Sinistrés!J323</f>
        <v>5168.54</v>
      </c>
      <c r="C318">
        <f>Sinistrés!X323</f>
        <v>0</v>
      </c>
      <c r="D318">
        <f>Sinistrés!L323</f>
        <v>5.87</v>
      </c>
      <c r="E318">
        <f>Sinistrés!M323</f>
        <v>14.04</v>
      </c>
      <c r="F318">
        <f t="shared" si="8"/>
        <v>0</v>
      </c>
      <c r="G318">
        <f t="shared" si="9"/>
        <v>2.3918228279386708</v>
      </c>
    </row>
    <row r="319" spans="1:7" hidden="1">
      <c r="A319" t="str">
        <f>Sinistrés!H324</f>
        <v>Blé dur d'hiver</v>
      </c>
      <c r="B319">
        <f>Sinistrés!J324</f>
        <v>37049.49</v>
      </c>
      <c r="C319">
        <f>Sinistrés!X324</f>
        <v>0</v>
      </c>
      <c r="D319">
        <f>Sinistrés!L324</f>
        <v>19.510000000000002</v>
      </c>
      <c r="E319">
        <f>Sinistrés!M324</f>
        <v>19.510000000000002</v>
      </c>
      <c r="F319">
        <f t="shared" si="8"/>
        <v>0</v>
      </c>
      <c r="G319">
        <f t="shared" si="9"/>
        <v>1</v>
      </c>
    </row>
    <row r="320" spans="1:7" hidden="1">
      <c r="A320" t="str">
        <f>Sinistrés!H325</f>
        <v>Blé tendre d'hiver semences</v>
      </c>
      <c r="B320">
        <f>Sinistrés!J325</f>
        <v>39606.14</v>
      </c>
      <c r="C320">
        <f>Sinistrés!X325</f>
        <v>0</v>
      </c>
      <c r="D320">
        <f>Sinistrés!L325</f>
        <v>26.91</v>
      </c>
      <c r="E320">
        <f>Sinistrés!M325</f>
        <v>26.91</v>
      </c>
      <c r="F320">
        <f t="shared" si="8"/>
        <v>0</v>
      </c>
      <c r="G320">
        <f t="shared" si="9"/>
        <v>1</v>
      </c>
    </row>
    <row r="321" spans="1:7" hidden="1">
      <c r="A321" t="str">
        <f>Sinistrés!H326</f>
        <v>Orge de printemps</v>
      </c>
      <c r="B321">
        <f>Sinistrés!J326</f>
        <v>14047.6</v>
      </c>
      <c r="C321">
        <f>Sinistrés!X326</f>
        <v>0</v>
      </c>
      <c r="D321">
        <f>Sinistrés!L326</f>
        <v>12.11</v>
      </c>
      <c r="E321">
        <f>Sinistrés!M326</f>
        <v>12.11</v>
      </c>
      <c r="F321">
        <f t="shared" si="8"/>
        <v>0</v>
      </c>
      <c r="G321">
        <f t="shared" si="9"/>
        <v>1</v>
      </c>
    </row>
    <row r="322" spans="1:7" hidden="1">
      <c r="A322" t="str">
        <f>Sinistrés!H327</f>
        <v>Orge d'hiver</v>
      </c>
      <c r="B322">
        <f>Sinistrés!J327</f>
        <v>39703.54</v>
      </c>
      <c r="C322">
        <f>Sinistrés!X327</f>
        <v>0</v>
      </c>
      <c r="D322">
        <f>Sinistrés!L327</f>
        <v>32.049999999999997</v>
      </c>
      <c r="E322">
        <f>Sinistrés!M327</f>
        <v>32.049999999999997</v>
      </c>
      <c r="F322">
        <f t="shared" si="8"/>
        <v>0</v>
      </c>
      <c r="G322">
        <f t="shared" si="9"/>
        <v>1</v>
      </c>
    </row>
    <row r="323" spans="1:7" hidden="1">
      <c r="A323" t="str">
        <f>Sinistrés!H328</f>
        <v>Colza d'hiver</v>
      </c>
      <c r="B323">
        <f>Sinistrés!J328</f>
        <v>7462</v>
      </c>
      <c r="C323">
        <f>Sinistrés!X328</f>
        <v>0</v>
      </c>
      <c r="D323">
        <f>Sinistrés!L328</f>
        <v>4.55</v>
      </c>
      <c r="E323">
        <f>Sinistrés!M328</f>
        <v>4.55</v>
      </c>
      <c r="F323">
        <f t="shared" ref="F323:F386" si="10">C323/B323</f>
        <v>0</v>
      </c>
      <c r="G323">
        <f t="shared" ref="G323:G386" si="11">E323/D323</f>
        <v>1</v>
      </c>
    </row>
    <row r="324" spans="1:7" hidden="1">
      <c r="A324" t="str">
        <f>Sinistrés!H329</f>
        <v>Colza d'hiver</v>
      </c>
      <c r="B324">
        <f>Sinistrés!J329</f>
        <v>11286.36</v>
      </c>
      <c r="C324">
        <f>Sinistrés!X329</f>
        <v>0</v>
      </c>
      <c r="D324">
        <f>Sinistrés!L329</f>
        <v>10.7</v>
      </c>
      <c r="E324">
        <f>Sinistrés!M329</f>
        <v>10.7</v>
      </c>
      <c r="F324">
        <f t="shared" si="10"/>
        <v>0</v>
      </c>
      <c r="G324">
        <f t="shared" si="11"/>
        <v>1</v>
      </c>
    </row>
    <row r="325" spans="1:7" hidden="1">
      <c r="A325" t="str">
        <f>Sinistrés!H330</f>
        <v>Blé tendre d'hiver</v>
      </c>
      <c r="B325">
        <f>Sinistrés!J330</f>
        <v>48591.46</v>
      </c>
      <c r="C325">
        <f>Sinistrés!X330</f>
        <v>0</v>
      </c>
      <c r="D325">
        <f>Sinistrés!L330</f>
        <v>38.47</v>
      </c>
      <c r="E325">
        <f>Sinistrés!M330</f>
        <v>31</v>
      </c>
      <c r="F325">
        <f t="shared" si="10"/>
        <v>0</v>
      </c>
      <c r="G325">
        <f t="shared" si="11"/>
        <v>0.80582271900181968</v>
      </c>
    </row>
    <row r="326" spans="1:7" hidden="1">
      <c r="A326" t="str">
        <f>Sinistrés!H331</f>
        <v>Orge d'hiver</v>
      </c>
      <c r="B326">
        <f>Sinistrés!J331</f>
        <v>4582.8</v>
      </c>
      <c r="C326">
        <f>Sinistrés!X331</f>
        <v>0</v>
      </c>
      <c r="D326">
        <f>Sinistrés!L331</f>
        <v>4.0199999999999996</v>
      </c>
      <c r="E326">
        <f>Sinistrés!M331</f>
        <v>4.0199999999999996</v>
      </c>
      <c r="F326">
        <f t="shared" si="10"/>
        <v>0</v>
      </c>
      <c r="G326">
        <f t="shared" si="11"/>
        <v>1</v>
      </c>
    </row>
    <row r="327" spans="1:7" hidden="1">
      <c r="A327" t="str">
        <f>Sinistrés!H332</f>
        <v>Blé tendre d'hiver</v>
      </c>
      <c r="B327">
        <f>Sinistrés!J332</f>
        <v>27839.040000000001</v>
      </c>
      <c r="C327">
        <f>Sinistrés!X332</f>
        <v>0</v>
      </c>
      <c r="D327">
        <f>Sinistrés!L332</f>
        <v>24.68</v>
      </c>
      <c r="E327">
        <f>Sinistrés!M332</f>
        <v>24.68</v>
      </c>
      <c r="F327">
        <f t="shared" si="10"/>
        <v>0</v>
      </c>
      <c r="G327">
        <f t="shared" si="11"/>
        <v>1</v>
      </c>
    </row>
    <row r="328" spans="1:7" hidden="1">
      <c r="A328" t="str">
        <f>Sinistrés!H333</f>
        <v>Blé dur d'hiver</v>
      </c>
      <c r="B328">
        <f>Sinistrés!J333</f>
        <v>9182.7999999999993</v>
      </c>
      <c r="C328">
        <f>Sinistrés!X333</f>
        <v>0</v>
      </c>
      <c r="D328">
        <f>Sinistrés!L333</f>
        <v>11.27</v>
      </c>
      <c r="E328">
        <f>Sinistrés!M333</f>
        <v>11.27</v>
      </c>
      <c r="F328">
        <f t="shared" si="10"/>
        <v>0</v>
      </c>
      <c r="G328">
        <f t="shared" si="11"/>
        <v>1</v>
      </c>
    </row>
    <row r="329" spans="1:7" hidden="1">
      <c r="A329" t="str">
        <f>Sinistrés!H334</f>
        <v>Colza d'hiver</v>
      </c>
      <c r="B329">
        <f>Sinistrés!J334</f>
        <v>17614.8</v>
      </c>
      <c r="C329">
        <f>Sinistrés!X334</f>
        <v>0</v>
      </c>
      <c r="D329">
        <f>Sinistrés!L334</f>
        <v>13.98</v>
      </c>
      <c r="E329">
        <f>Sinistrés!M334</f>
        <v>13.98</v>
      </c>
      <c r="F329">
        <f t="shared" si="10"/>
        <v>0</v>
      </c>
      <c r="G329">
        <f t="shared" si="11"/>
        <v>1</v>
      </c>
    </row>
    <row r="330" spans="1:7" hidden="1">
      <c r="A330" t="str">
        <f>Sinistrés!H335</f>
        <v>Orge de printemps</v>
      </c>
      <c r="B330">
        <f>Sinistrés!J335</f>
        <v>14819.2</v>
      </c>
      <c r="C330">
        <f>Sinistrés!X335</f>
        <v>0</v>
      </c>
      <c r="D330">
        <f>Sinistrés!L335</f>
        <v>16.84</v>
      </c>
      <c r="E330">
        <f>Sinistrés!M335</f>
        <v>16.84</v>
      </c>
      <c r="F330">
        <f t="shared" si="10"/>
        <v>0</v>
      </c>
      <c r="G330">
        <f t="shared" si="11"/>
        <v>1</v>
      </c>
    </row>
    <row r="331" spans="1:7" hidden="1">
      <c r="A331" t="str">
        <f>Sinistrés!H336</f>
        <v>Colza d'hiver</v>
      </c>
      <c r="B331">
        <f>Sinistrés!J336</f>
        <v>28795.52</v>
      </c>
      <c r="C331">
        <f>Sinistrés!X336</f>
        <v>0</v>
      </c>
      <c r="D331">
        <f>Sinistrés!L336</f>
        <v>24.84</v>
      </c>
      <c r="E331">
        <f>Sinistrés!M336</f>
        <v>24.84</v>
      </c>
      <c r="F331">
        <f t="shared" si="10"/>
        <v>0</v>
      </c>
      <c r="G331">
        <f t="shared" si="11"/>
        <v>1</v>
      </c>
    </row>
    <row r="332" spans="1:7" hidden="1">
      <c r="A332" t="str">
        <f>Sinistrés!H337</f>
        <v>Blé dur d'hiver</v>
      </c>
      <c r="B332">
        <f>Sinistrés!J337</f>
        <v>42533.26</v>
      </c>
      <c r="C332">
        <f>Sinistrés!X337</f>
        <v>0</v>
      </c>
      <c r="D332">
        <f>Sinistrés!L337</f>
        <v>27.23</v>
      </c>
      <c r="E332">
        <f>Sinistrés!M337</f>
        <v>27.23</v>
      </c>
      <c r="F332">
        <f t="shared" si="10"/>
        <v>0</v>
      </c>
      <c r="G332">
        <f t="shared" si="11"/>
        <v>1</v>
      </c>
    </row>
    <row r="333" spans="1:7" hidden="1">
      <c r="A333" t="str">
        <f>Sinistrés!H338</f>
        <v>Blé tendre d'hiver</v>
      </c>
      <c r="B333">
        <f>Sinistrés!J338</f>
        <v>27778.17</v>
      </c>
      <c r="C333">
        <f>Sinistrés!X338</f>
        <v>0</v>
      </c>
      <c r="D333">
        <f>Sinistrés!L338</f>
        <v>21.7</v>
      </c>
      <c r="E333">
        <f>Sinistrés!M338</f>
        <v>21.7</v>
      </c>
      <c r="F333">
        <f t="shared" si="10"/>
        <v>0</v>
      </c>
      <c r="G333">
        <f t="shared" si="11"/>
        <v>1</v>
      </c>
    </row>
    <row r="334" spans="1:7" hidden="1">
      <c r="A334" t="str">
        <f>Sinistrés!H339</f>
        <v>Orge d'hiver</v>
      </c>
      <c r="B334">
        <f>Sinistrés!J339</f>
        <v>14087.16</v>
      </c>
      <c r="C334">
        <f>Sinistrés!X339</f>
        <v>0</v>
      </c>
      <c r="D334">
        <f>Sinistrés!L339</f>
        <v>14.36</v>
      </c>
      <c r="E334">
        <f>Sinistrés!M339</f>
        <v>14.36</v>
      </c>
      <c r="F334">
        <f t="shared" si="10"/>
        <v>0</v>
      </c>
      <c r="G334">
        <f t="shared" si="11"/>
        <v>1</v>
      </c>
    </row>
    <row r="335" spans="1:7" hidden="1">
      <c r="A335" t="str">
        <f>Sinistrés!H340</f>
        <v>Orge d'hiver</v>
      </c>
      <c r="B335">
        <f>Sinistrés!J340</f>
        <v>23560.22</v>
      </c>
      <c r="C335">
        <f>Sinistrés!X340</f>
        <v>0</v>
      </c>
      <c r="D335">
        <f>Sinistrés!L340</f>
        <v>22.78</v>
      </c>
      <c r="E335">
        <f>Sinistrés!M340</f>
        <v>22.78</v>
      </c>
      <c r="F335">
        <f t="shared" si="10"/>
        <v>0</v>
      </c>
      <c r="G335">
        <f t="shared" si="11"/>
        <v>1</v>
      </c>
    </row>
    <row r="336" spans="1:7" hidden="1">
      <c r="A336" t="str">
        <f>Sinistrés!H341</f>
        <v>Blé tendre d'hiver</v>
      </c>
      <c r="B336">
        <f>Sinistrés!J341</f>
        <v>45174.7</v>
      </c>
      <c r="C336">
        <f>Sinistrés!X341</f>
        <v>0</v>
      </c>
      <c r="D336">
        <f>Sinistrés!L341</f>
        <v>40.57</v>
      </c>
      <c r="E336">
        <f>Sinistrés!M341</f>
        <v>40.57</v>
      </c>
      <c r="F336">
        <f t="shared" si="10"/>
        <v>0</v>
      </c>
      <c r="G336">
        <f t="shared" si="11"/>
        <v>1</v>
      </c>
    </row>
    <row r="337" spans="1:7" hidden="1">
      <c r="A337" t="str">
        <f>Sinistrés!H342</f>
        <v>Colza d'hiver</v>
      </c>
      <c r="B337">
        <f>Sinistrés!J342</f>
        <v>19764.22</v>
      </c>
      <c r="C337">
        <f>Sinistrés!X342</f>
        <v>0</v>
      </c>
      <c r="D337">
        <f>Sinistrés!L342</f>
        <v>17.87</v>
      </c>
      <c r="E337">
        <f>Sinistrés!M342</f>
        <v>17.87</v>
      </c>
      <c r="F337">
        <f t="shared" si="10"/>
        <v>0</v>
      </c>
      <c r="G337">
        <f t="shared" si="11"/>
        <v>1</v>
      </c>
    </row>
    <row r="338" spans="1:7" hidden="1">
      <c r="A338" t="str">
        <f>Sinistrés!H343</f>
        <v>Colza d'hiver</v>
      </c>
      <c r="B338">
        <f>Sinistrés!J343</f>
        <v>45880</v>
      </c>
      <c r="C338">
        <f>Sinistrés!X343</f>
        <v>0</v>
      </c>
      <c r="D338">
        <f>Sinistrés!L343</f>
        <v>31</v>
      </c>
      <c r="E338">
        <f>Sinistrés!M343</f>
        <v>31</v>
      </c>
      <c r="F338">
        <f t="shared" si="10"/>
        <v>0</v>
      </c>
      <c r="G338">
        <f t="shared" si="11"/>
        <v>1</v>
      </c>
    </row>
    <row r="339" spans="1:7" hidden="1">
      <c r="A339" t="str">
        <f>Sinistrés!H344</f>
        <v>Colza d'hiver</v>
      </c>
      <c r="B339">
        <f>Sinistrés!J344</f>
        <v>16808.919999999998</v>
      </c>
      <c r="C339">
        <f>Sinistrés!X344</f>
        <v>0</v>
      </c>
      <c r="D339">
        <f>Sinistrés!L344</f>
        <v>13.01</v>
      </c>
      <c r="E339">
        <f>Sinistrés!M344</f>
        <v>13.01</v>
      </c>
      <c r="F339">
        <f t="shared" si="10"/>
        <v>0</v>
      </c>
      <c r="G339">
        <f t="shared" si="11"/>
        <v>1</v>
      </c>
    </row>
    <row r="340" spans="1:7" hidden="1">
      <c r="A340" t="str">
        <f>Sinistrés!H345</f>
        <v>Blé tendre d'hiver</v>
      </c>
      <c r="B340">
        <f>Sinistrés!J345</f>
        <v>40653.269999999997</v>
      </c>
      <c r="C340">
        <f>Sinistrés!X345</f>
        <v>0</v>
      </c>
      <c r="D340">
        <f>Sinistrés!L345</f>
        <v>33.57</v>
      </c>
      <c r="E340">
        <f>Sinistrés!M345</f>
        <v>33.57</v>
      </c>
      <c r="F340">
        <f t="shared" si="10"/>
        <v>0</v>
      </c>
      <c r="G340">
        <f t="shared" si="11"/>
        <v>1</v>
      </c>
    </row>
    <row r="341" spans="1:7" hidden="1">
      <c r="A341" t="str">
        <f>Sinistrés!H346</f>
        <v>Orge d'hiver</v>
      </c>
      <c r="B341">
        <f>Sinistrés!J346</f>
        <v>6078.8</v>
      </c>
      <c r="C341">
        <f>Sinistrés!X346</f>
        <v>0</v>
      </c>
      <c r="D341">
        <f>Sinistrés!L346</f>
        <v>5.6</v>
      </c>
      <c r="E341">
        <f>Sinistrés!M346</f>
        <v>5.6</v>
      </c>
      <c r="F341">
        <f t="shared" si="10"/>
        <v>0</v>
      </c>
      <c r="G341">
        <f t="shared" si="11"/>
        <v>1</v>
      </c>
    </row>
    <row r="342" spans="1:7" hidden="1">
      <c r="A342" t="str">
        <f>Sinistrés!H347</f>
        <v>Blé dur d'hiver</v>
      </c>
      <c r="B342">
        <f>Sinistrés!J347</f>
        <v>12619.8</v>
      </c>
      <c r="C342">
        <f>Sinistrés!X347</f>
        <v>0</v>
      </c>
      <c r="D342">
        <f>Sinistrés!L347</f>
        <v>7.38</v>
      </c>
      <c r="E342">
        <f>Sinistrés!M347</f>
        <v>7.38</v>
      </c>
      <c r="F342">
        <f t="shared" si="10"/>
        <v>0</v>
      </c>
      <c r="G342">
        <f t="shared" si="11"/>
        <v>1</v>
      </c>
    </row>
    <row r="343" spans="1:7" hidden="1">
      <c r="A343" t="str">
        <f>Sinistrés!H348</f>
        <v>Blé tendre d'hiver</v>
      </c>
      <c r="B343">
        <f>Sinistrés!J348</f>
        <v>87429.84</v>
      </c>
      <c r="C343">
        <f>Sinistrés!X348</f>
        <v>0</v>
      </c>
      <c r="D343">
        <f>Sinistrés!L348</f>
        <v>70.069999999999993</v>
      </c>
      <c r="E343">
        <f>Sinistrés!M348</f>
        <v>70.069999999999993</v>
      </c>
      <c r="F343">
        <f t="shared" si="10"/>
        <v>0</v>
      </c>
      <c r="G343">
        <f t="shared" si="11"/>
        <v>1</v>
      </c>
    </row>
    <row r="344" spans="1:7" hidden="1">
      <c r="A344" t="str">
        <f>Sinistrés!H349</f>
        <v>Colza d'hiver</v>
      </c>
      <c r="B344">
        <f>Sinistrés!J349</f>
        <v>62953.279999999999</v>
      </c>
      <c r="C344">
        <f>Sinistrés!X349</f>
        <v>0</v>
      </c>
      <c r="D344">
        <f>Sinistrés!L349</f>
        <v>53.17</v>
      </c>
      <c r="E344">
        <f>Sinistrés!M349</f>
        <v>53.17</v>
      </c>
      <c r="F344">
        <f t="shared" si="10"/>
        <v>0</v>
      </c>
      <c r="G344">
        <f t="shared" si="11"/>
        <v>1</v>
      </c>
    </row>
    <row r="345" spans="1:7" hidden="1">
      <c r="A345" t="str">
        <f>Sinistrés!H350</f>
        <v>Blé tendre d'hiver</v>
      </c>
      <c r="B345">
        <f>Sinistrés!J350</f>
        <v>82609.070000000007</v>
      </c>
      <c r="C345">
        <f>Sinistrés!X350</f>
        <v>0</v>
      </c>
      <c r="D345">
        <f>Sinistrés!L350</f>
        <v>79.47</v>
      </c>
      <c r="E345">
        <f>Sinistrés!M350</f>
        <v>79</v>
      </c>
      <c r="F345">
        <f t="shared" si="10"/>
        <v>0</v>
      </c>
      <c r="G345">
        <f t="shared" si="11"/>
        <v>0.9940858185478797</v>
      </c>
    </row>
    <row r="346" spans="1:7" hidden="1">
      <c r="A346" t="str">
        <f>Sinistrés!H351</f>
        <v>Féveroles et fèves</v>
      </c>
      <c r="B346">
        <f>Sinistrés!J351</f>
        <v>4251.5</v>
      </c>
      <c r="C346">
        <f>Sinistrés!X351</f>
        <v>0</v>
      </c>
      <c r="D346">
        <f>Sinistrés!L351</f>
        <v>7.27</v>
      </c>
      <c r="E346">
        <f>Sinistrés!M351</f>
        <v>7</v>
      </c>
      <c r="F346">
        <f t="shared" si="10"/>
        <v>0</v>
      </c>
      <c r="G346">
        <f t="shared" si="11"/>
        <v>0.96286107290233847</v>
      </c>
    </row>
    <row r="347" spans="1:7" hidden="1">
      <c r="A347" t="str">
        <f>Sinistrés!H352</f>
        <v>Pois protéagineux</v>
      </c>
      <c r="B347">
        <f>Sinistrés!J352</f>
        <v>3563.6</v>
      </c>
      <c r="C347">
        <f>Sinistrés!X352</f>
        <v>0</v>
      </c>
      <c r="D347">
        <f>Sinistrés!L352</f>
        <v>5.9</v>
      </c>
      <c r="E347">
        <f>Sinistrés!M352</f>
        <v>5.8</v>
      </c>
      <c r="F347">
        <f t="shared" si="10"/>
        <v>0</v>
      </c>
      <c r="G347">
        <f t="shared" si="11"/>
        <v>0.98305084745762705</v>
      </c>
    </row>
    <row r="348" spans="1:7" hidden="1">
      <c r="A348" t="str">
        <f>Sinistrés!H353</f>
        <v>Triticale</v>
      </c>
      <c r="B348">
        <f>Sinistrés!J353</f>
        <v>26114.63</v>
      </c>
      <c r="C348">
        <f>Sinistrés!X353</f>
        <v>0</v>
      </c>
      <c r="D348">
        <f>Sinistrés!L353</f>
        <v>31.29</v>
      </c>
      <c r="E348">
        <f>Sinistrés!M353</f>
        <v>31</v>
      </c>
      <c r="F348">
        <f t="shared" si="10"/>
        <v>0</v>
      </c>
      <c r="G348">
        <f t="shared" si="11"/>
        <v>0.99073186321508477</v>
      </c>
    </row>
    <row r="349" spans="1:7" hidden="1">
      <c r="A349" t="str">
        <f>Sinistrés!H354</f>
        <v>Orge d'hiver</v>
      </c>
      <c r="B349">
        <f>Sinistrés!J354</f>
        <v>13257.22</v>
      </c>
      <c r="C349">
        <f>Sinistrés!X354</f>
        <v>0</v>
      </c>
      <c r="D349">
        <f>Sinistrés!L354</f>
        <v>16.440000000000001</v>
      </c>
      <c r="E349">
        <f>Sinistrés!M354</f>
        <v>16</v>
      </c>
      <c r="F349">
        <f t="shared" si="10"/>
        <v>0</v>
      </c>
      <c r="G349">
        <f t="shared" si="11"/>
        <v>0.97323600973236002</v>
      </c>
    </row>
    <row r="350" spans="1:7" hidden="1">
      <c r="A350" t="str">
        <f>Sinistrés!H355</f>
        <v>Colza d'hiver</v>
      </c>
      <c r="B350">
        <f>Sinistrés!J355</f>
        <v>26081.279999999999</v>
      </c>
      <c r="C350">
        <f>Sinistrés!X355</f>
        <v>0</v>
      </c>
      <c r="D350">
        <f>Sinistrés!L355</f>
        <v>20.48</v>
      </c>
      <c r="E350">
        <f>Sinistrés!M355</f>
        <v>20</v>
      </c>
      <c r="F350">
        <f t="shared" si="10"/>
        <v>0</v>
      </c>
      <c r="G350">
        <f t="shared" si="11"/>
        <v>0.9765625</v>
      </c>
    </row>
    <row r="351" spans="1:7" hidden="1">
      <c r="A351" t="str">
        <f>Sinistrés!H356</f>
        <v>Blé tendre d'hiver</v>
      </c>
      <c r="B351">
        <f>Sinistrés!J356</f>
        <v>21529.56</v>
      </c>
      <c r="C351">
        <f>Sinistrés!X356</f>
        <v>0</v>
      </c>
      <c r="D351">
        <f>Sinistrés!L356</f>
        <v>19.239999999999998</v>
      </c>
      <c r="E351">
        <f>Sinistrés!M356</f>
        <v>19.239999999999998</v>
      </c>
      <c r="F351">
        <f t="shared" si="10"/>
        <v>0</v>
      </c>
      <c r="G351">
        <f t="shared" si="11"/>
        <v>1</v>
      </c>
    </row>
    <row r="352" spans="1:7" hidden="1">
      <c r="A352" t="str">
        <f>Sinistrés!H357</f>
        <v>Colza d'hiver</v>
      </c>
      <c r="B352">
        <f>Sinistrés!J357</f>
        <v>15755.6</v>
      </c>
      <c r="C352">
        <f>Sinistrés!X357</f>
        <v>0</v>
      </c>
      <c r="D352">
        <f>Sinistrés!L357</f>
        <v>14</v>
      </c>
      <c r="E352">
        <f>Sinistrés!M357</f>
        <v>14</v>
      </c>
      <c r="F352">
        <f t="shared" si="10"/>
        <v>0</v>
      </c>
      <c r="G352">
        <f t="shared" si="11"/>
        <v>1</v>
      </c>
    </row>
    <row r="353" spans="1:7" hidden="1">
      <c r="A353" t="str">
        <f>Sinistrés!H358</f>
        <v>Orge d'hiver</v>
      </c>
      <c r="B353">
        <f>Sinistrés!J358</f>
        <v>13360.8</v>
      </c>
      <c r="C353">
        <f>Sinistrés!X358</f>
        <v>0</v>
      </c>
      <c r="D353">
        <f>Sinistrés!L358</f>
        <v>14.65</v>
      </c>
      <c r="E353">
        <f>Sinistrés!M358</f>
        <v>14.65</v>
      </c>
      <c r="F353">
        <f t="shared" si="10"/>
        <v>0</v>
      </c>
      <c r="G353">
        <f t="shared" si="11"/>
        <v>1</v>
      </c>
    </row>
    <row r="354" spans="1:7" hidden="1">
      <c r="A354" t="str">
        <f>Sinistrés!H359</f>
        <v>Colza d'hiver</v>
      </c>
      <c r="B354">
        <f>Sinistrés!J359</f>
        <v>10981.48</v>
      </c>
      <c r="C354">
        <f>Sinistrés!X359</f>
        <v>0</v>
      </c>
      <c r="D354">
        <f>Sinistrés!L359</f>
        <v>9.77</v>
      </c>
      <c r="E354">
        <f>Sinistrés!M359</f>
        <v>9.77</v>
      </c>
      <c r="F354">
        <f t="shared" si="10"/>
        <v>0</v>
      </c>
      <c r="G354">
        <f t="shared" si="11"/>
        <v>1</v>
      </c>
    </row>
    <row r="355" spans="1:7" hidden="1">
      <c r="A355" t="str">
        <f>Sinistrés!H360</f>
        <v>Colza d'hiver</v>
      </c>
      <c r="B355">
        <f>Sinistrés!J360</f>
        <v>15936</v>
      </c>
      <c r="C355">
        <f>Sinistrés!X360</f>
        <v>0</v>
      </c>
      <c r="D355">
        <f>Sinistrés!L360</f>
        <v>16.600000000000001</v>
      </c>
      <c r="E355">
        <f>Sinistrés!M360</f>
        <v>16.600000000000001</v>
      </c>
      <c r="F355">
        <f t="shared" si="10"/>
        <v>0</v>
      </c>
      <c r="G355">
        <f t="shared" si="11"/>
        <v>1</v>
      </c>
    </row>
    <row r="356" spans="1:7" hidden="1">
      <c r="A356" t="str">
        <f>Sinistrés!H361</f>
        <v>Blé tendre d'hiver</v>
      </c>
      <c r="B356">
        <f>Sinistrés!J361</f>
        <v>3482.75</v>
      </c>
      <c r="C356">
        <f>Sinistrés!X361</f>
        <v>0</v>
      </c>
      <c r="D356">
        <f>Sinistrés!L361</f>
        <v>3.38</v>
      </c>
      <c r="E356">
        <f>Sinistrés!M361</f>
        <v>3.38</v>
      </c>
      <c r="F356">
        <f t="shared" si="10"/>
        <v>0</v>
      </c>
      <c r="G356">
        <f t="shared" si="11"/>
        <v>1</v>
      </c>
    </row>
    <row r="357" spans="1:7" hidden="1">
      <c r="A357" t="str">
        <f>Sinistrés!H362</f>
        <v>Blé tendre d'hiver semences</v>
      </c>
      <c r="B357">
        <f>Sinistrés!J362</f>
        <v>42217.18</v>
      </c>
      <c r="C357">
        <f>Sinistrés!X362</f>
        <v>0</v>
      </c>
      <c r="D357">
        <f>Sinistrés!L362</f>
        <v>31.33</v>
      </c>
      <c r="E357">
        <f>Sinistrés!M362</f>
        <v>31.33</v>
      </c>
      <c r="F357">
        <f t="shared" si="10"/>
        <v>0</v>
      </c>
      <c r="G357">
        <f t="shared" si="11"/>
        <v>1</v>
      </c>
    </row>
    <row r="358" spans="1:7" hidden="1">
      <c r="A358" t="str">
        <f>Sinistrés!H363</f>
        <v>Orge de printemps</v>
      </c>
      <c r="B358">
        <f>Sinistrés!J363</f>
        <v>10250.24</v>
      </c>
      <c r="C358">
        <f>Sinistrés!X363</f>
        <v>0</v>
      </c>
      <c r="D358">
        <f>Sinistrés!L363</f>
        <v>10.4</v>
      </c>
      <c r="E358">
        <f>Sinistrés!M363</f>
        <v>10.4</v>
      </c>
      <c r="F358">
        <f t="shared" si="10"/>
        <v>0</v>
      </c>
      <c r="G358">
        <f t="shared" si="11"/>
        <v>1</v>
      </c>
    </row>
    <row r="359" spans="1:7" hidden="1">
      <c r="A359" t="str">
        <f>Sinistrés!H364</f>
        <v>Colza d'hiver</v>
      </c>
      <c r="B359">
        <f>Sinistrés!J364</f>
        <v>10050.06</v>
      </c>
      <c r="C359">
        <f>Sinistrés!X364</f>
        <v>0</v>
      </c>
      <c r="D359">
        <f>Sinistrés!L364</f>
        <v>8.3000000000000007</v>
      </c>
      <c r="E359">
        <f>Sinistrés!M364</f>
        <v>8.3000000000000007</v>
      </c>
      <c r="F359">
        <f t="shared" si="10"/>
        <v>0</v>
      </c>
      <c r="G359">
        <f t="shared" si="11"/>
        <v>1</v>
      </c>
    </row>
    <row r="360" spans="1:7" hidden="1">
      <c r="A360" t="str">
        <f>Sinistrés!H365</f>
        <v>Colza d'hiver</v>
      </c>
      <c r="B360">
        <f>Sinistrés!J365</f>
        <v>18116.3</v>
      </c>
      <c r="C360">
        <f>Sinistrés!X365</f>
        <v>0</v>
      </c>
      <c r="D360">
        <f>Sinistrés!L365</f>
        <v>11.13</v>
      </c>
      <c r="E360">
        <f>Sinistrés!M365</f>
        <v>11.13</v>
      </c>
      <c r="F360">
        <f t="shared" si="10"/>
        <v>0</v>
      </c>
      <c r="G360">
        <f t="shared" si="11"/>
        <v>1</v>
      </c>
    </row>
    <row r="361" spans="1:7" hidden="1">
      <c r="A361" t="str">
        <f>Sinistrés!H366</f>
        <v>Colza d'hiver</v>
      </c>
      <c r="B361">
        <f>Sinistrés!J366</f>
        <v>13505</v>
      </c>
      <c r="C361">
        <f>Sinistrés!X366</f>
        <v>0</v>
      </c>
      <c r="D361">
        <f>Sinistrés!L366</f>
        <v>9.25</v>
      </c>
      <c r="E361">
        <f>Sinistrés!M366</f>
        <v>9.24</v>
      </c>
      <c r="F361">
        <f t="shared" si="10"/>
        <v>0</v>
      </c>
      <c r="G361">
        <f t="shared" si="11"/>
        <v>0.99891891891891893</v>
      </c>
    </row>
    <row r="362" spans="1:7" hidden="1">
      <c r="A362" t="str">
        <f>Sinistrés!H367</f>
        <v>Blé tendre d'hiver</v>
      </c>
      <c r="B362">
        <f>Sinistrés!J367</f>
        <v>9105</v>
      </c>
      <c r="C362">
        <f>Sinistrés!X367</f>
        <v>0</v>
      </c>
      <c r="D362">
        <f>Sinistrés!L367</f>
        <v>7.5</v>
      </c>
      <c r="E362">
        <f>Sinistrés!M367</f>
        <v>7.5</v>
      </c>
      <c r="F362">
        <f t="shared" si="10"/>
        <v>0</v>
      </c>
      <c r="G362">
        <f t="shared" si="11"/>
        <v>1</v>
      </c>
    </row>
    <row r="363" spans="1:7" hidden="1">
      <c r="A363" t="str">
        <f>Sinistrés!H368</f>
        <v>Orge de printemps</v>
      </c>
      <c r="B363">
        <f>Sinistrés!J368</f>
        <v>16364.7</v>
      </c>
      <c r="C363">
        <f>Sinistrés!X368</f>
        <v>0</v>
      </c>
      <c r="D363">
        <f>Sinistrés!L368</f>
        <v>14.5</v>
      </c>
      <c r="E363">
        <f>Sinistrés!M368</f>
        <v>14.5</v>
      </c>
      <c r="F363">
        <f t="shared" si="10"/>
        <v>0</v>
      </c>
      <c r="G363">
        <f t="shared" si="11"/>
        <v>1</v>
      </c>
    </row>
    <row r="364" spans="1:7" hidden="1">
      <c r="A364" t="str">
        <f>Sinistrés!H369</f>
        <v>Colza d'hiver</v>
      </c>
      <c r="B364">
        <f>Sinistrés!J369</f>
        <v>22232</v>
      </c>
      <c r="C364">
        <f>Sinistrés!X369</f>
        <v>0</v>
      </c>
      <c r="D364">
        <f>Sinistrés!L369</f>
        <v>16</v>
      </c>
      <c r="E364">
        <f>Sinistrés!M369</f>
        <v>16</v>
      </c>
      <c r="F364">
        <f t="shared" si="10"/>
        <v>0</v>
      </c>
      <c r="G364">
        <f t="shared" si="11"/>
        <v>1</v>
      </c>
    </row>
    <row r="365" spans="1:7" hidden="1">
      <c r="A365" t="str">
        <f>Sinistrés!H370</f>
        <v>Blé tendre d'hiver</v>
      </c>
      <c r="B365">
        <f>Sinistrés!J370</f>
        <v>12272</v>
      </c>
      <c r="C365">
        <f>Sinistrés!X370</f>
        <v>0</v>
      </c>
      <c r="D365">
        <f>Sinistrés!L370</f>
        <v>13</v>
      </c>
      <c r="E365">
        <f>Sinistrés!M370</f>
        <v>13</v>
      </c>
      <c r="F365">
        <f t="shared" si="10"/>
        <v>0</v>
      </c>
      <c r="G365">
        <f t="shared" si="11"/>
        <v>1</v>
      </c>
    </row>
    <row r="366" spans="1:7" hidden="1">
      <c r="A366" t="str">
        <f>Sinistrés!H371</f>
        <v>Blé tendre d'hiver</v>
      </c>
      <c r="B366">
        <f>Sinistrés!J371</f>
        <v>25034.400000000001</v>
      </c>
      <c r="C366">
        <f>Sinistrés!X371</f>
        <v>0</v>
      </c>
      <c r="D366">
        <f>Sinistrés!L371</f>
        <v>30.5</v>
      </c>
      <c r="E366">
        <f>Sinistrés!M371</f>
        <v>30.5</v>
      </c>
      <c r="F366">
        <f t="shared" si="10"/>
        <v>0</v>
      </c>
      <c r="G366">
        <f t="shared" si="11"/>
        <v>1</v>
      </c>
    </row>
    <row r="367" spans="1:7" hidden="1">
      <c r="A367" t="str">
        <f>Sinistrés!H372</f>
        <v>Colza d'hiver</v>
      </c>
      <c r="B367">
        <f>Sinistrés!J372</f>
        <v>17523.36</v>
      </c>
      <c r="C367">
        <f>Sinistrés!X372</f>
        <v>0</v>
      </c>
      <c r="D367">
        <f>Sinistrés!L372</f>
        <v>17.2</v>
      </c>
      <c r="E367">
        <f>Sinistrés!M372</f>
        <v>17.2</v>
      </c>
      <c r="F367">
        <f t="shared" si="10"/>
        <v>0</v>
      </c>
      <c r="G367">
        <f t="shared" si="11"/>
        <v>1</v>
      </c>
    </row>
    <row r="368" spans="1:7" hidden="1">
      <c r="A368" t="str">
        <f>Sinistrés!H373</f>
        <v>Orge d'hiver</v>
      </c>
      <c r="B368">
        <f>Sinistrés!J373</f>
        <v>12217.5</v>
      </c>
      <c r="C368">
        <f>Sinistrés!X373</f>
        <v>0</v>
      </c>
      <c r="D368">
        <f>Sinistrés!L373</f>
        <v>15</v>
      </c>
      <c r="E368">
        <f>Sinistrés!M373</f>
        <v>15</v>
      </c>
      <c r="F368">
        <f t="shared" si="10"/>
        <v>0</v>
      </c>
      <c r="G368">
        <f t="shared" si="11"/>
        <v>1</v>
      </c>
    </row>
    <row r="369" spans="1:7" hidden="1">
      <c r="A369" t="str">
        <f>Sinistrés!H374</f>
        <v>Colza d'hiver</v>
      </c>
      <c r="B369">
        <f>Sinistrés!J374</f>
        <v>16823.669999999998</v>
      </c>
      <c r="C369">
        <f>Sinistrés!X374</f>
        <v>0</v>
      </c>
      <c r="D369">
        <f>Sinistrés!L374</f>
        <v>13.67</v>
      </c>
      <c r="E369">
        <f>Sinistrés!M374</f>
        <v>13.67</v>
      </c>
      <c r="F369">
        <f t="shared" si="10"/>
        <v>0</v>
      </c>
      <c r="G369">
        <f t="shared" si="11"/>
        <v>1</v>
      </c>
    </row>
    <row r="370" spans="1:7" hidden="1">
      <c r="A370" t="str">
        <f>Sinistrés!H375</f>
        <v>Pois protéagineux SEMENCES</v>
      </c>
      <c r="B370">
        <f>Sinistrés!J375</f>
        <v>6586.65</v>
      </c>
      <c r="C370">
        <f>Sinistrés!X375</f>
        <v>0</v>
      </c>
      <c r="D370">
        <f>Sinistrés!L375</f>
        <v>10.25</v>
      </c>
      <c r="E370">
        <f>Sinistrés!M375</f>
        <v>10.25</v>
      </c>
      <c r="F370">
        <f t="shared" si="10"/>
        <v>0</v>
      </c>
      <c r="G370">
        <f t="shared" si="11"/>
        <v>1</v>
      </c>
    </row>
    <row r="371" spans="1:7" hidden="1">
      <c r="A371" t="str">
        <f>Sinistrés!H376</f>
        <v>Orge d'hiver SEMENCES</v>
      </c>
      <c r="B371">
        <f>Sinistrés!J376</f>
        <v>8597.66</v>
      </c>
      <c r="C371">
        <f>Sinistrés!X376</f>
        <v>0</v>
      </c>
      <c r="D371">
        <f>Sinistrés!L376</f>
        <v>9.6300000000000008</v>
      </c>
      <c r="E371">
        <f>Sinistrés!M376</f>
        <v>9.6300000000000008</v>
      </c>
      <c r="F371">
        <f t="shared" si="10"/>
        <v>0</v>
      </c>
      <c r="G371">
        <f t="shared" si="11"/>
        <v>1</v>
      </c>
    </row>
    <row r="372" spans="1:7" hidden="1">
      <c r="A372" t="str">
        <f>Sinistrés!H377</f>
        <v>Blé tendre d'hiver semences</v>
      </c>
      <c r="B372">
        <f>Sinistrés!J377</f>
        <v>11036.4</v>
      </c>
      <c r="C372">
        <f>Sinistrés!X377</f>
        <v>0</v>
      </c>
      <c r="D372">
        <f>Sinistrés!L377</f>
        <v>12</v>
      </c>
      <c r="E372">
        <f>Sinistrés!M377</f>
        <v>12</v>
      </c>
      <c r="F372">
        <f t="shared" si="10"/>
        <v>0</v>
      </c>
      <c r="G372">
        <f t="shared" si="11"/>
        <v>1</v>
      </c>
    </row>
    <row r="373" spans="1:7" hidden="1">
      <c r="A373" t="str">
        <f>Sinistrés!H378</f>
        <v>Blé tendre d'hiver</v>
      </c>
      <c r="B373">
        <f>Sinistrés!J378</f>
        <v>15126.36</v>
      </c>
      <c r="C373">
        <f>Sinistrés!X378</f>
        <v>0</v>
      </c>
      <c r="D373">
        <f>Sinistrés!L378</f>
        <v>18.64</v>
      </c>
      <c r="E373">
        <f>Sinistrés!M378</f>
        <v>18.64</v>
      </c>
      <c r="F373">
        <f t="shared" si="10"/>
        <v>0</v>
      </c>
      <c r="G373">
        <f t="shared" si="11"/>
        <v>1</v>
      </c>
    </row>
    <row r="374" spans="1:7" hidden="1">
      <c r="A374" t="str">
        <f>Sinistrés!H379</f>
        <v>Blé tendre d'hiver</v>
      </c>
      <c r="B374">
        <f>Sinistrés!J379</f>
        <v>124221.52</v>
      </c>
      <c r="C374">
        <f>Sinistrés!X379</f>
        <v>0</v>
      </c>
      <c r="D374">
        <f>Sinistrés!L379</f>
        <v>111.71</v>
      </c>
      <c r="E374">
        <f>Sinistrés!M379</f>
        <v>111.71</v>
      </c>
      <c r="F374">
        <f t="shared" si="10"/>
        <v>0</v>
      </c>
      <c r="G374">
        <f t="shared" si="11"/>
        <v>1</v>
      </c>
    </row>
    <row r="375" spans="1:7" hidden="1">
      <c r="A375" t="str">
        <f>Sinistrés!H380</f>
        <v>Colza d'hiver</v>
      </c>
      <c r="B375">
        <f>Sinistrés!J380</f>
        <v>54472.56</v>
      </c>
      <c r="C375">
        <f>Sinistrés!X380</f>
        <v>0</v>
      </c>
      <c r="D375">
        <f>Sinistrés!L380</f>
        <v>51.78</v>
      </c>
      <c r="E375">
        <f>Sinistrés!M380</f>
        <v>51.78</v>
      </c>
      <c r="F375">
        <f t="shared" si="10"/>
        <v>0</v>
      </c>
      <c r="G375">
        <f t="shared" si="11"/>
        <v>1</v>
      </c>
    </row>
    <row r="376" spans="1:7" hidden="1">
      <c r="A376" t="str">
        <f>Sinistrés!H381</f>
        <v xml:space="preserve">Colza d'hiver </v>
      </c>
      <c r="B376">
        <f>Sinistrés!J381</f>
        <v>76540.800000000003</v>
      </c>
      <c r="C376">
        <f>Sinistrés!X381</f>
        <v>0</v>
      </c>
      <c r="D376">
        <f>Sinistrés!L381</f>
        <v>42.88</v>
      </c>
      <c r="E376">
        <f>Sinistrés!M381</f>
        <v>42.88</v>
      </c>
      <c r="F376">
        <f t="shared" si="10"/>
        <v>0</v>
      </c>
      <c r="G376">
        <f t="shared" si="11"/>
        <v>1</v>
      </c>
    </row>
    <row r="377" spans="1:7" hidden="1">
      <c r="A377" t="str">
        <f>Sinistrés!H382</f>
        <v>Orge d'hiver</v>
      </c>
      <c r="B377">
        <f>Sinistrés!J382</f>
        <v>27433.14</v>
      </c>
      <c r="C377">
        <f>Sinistrés!X382</f>
        <v>0</v>
      </c>
      <c r="D377">
        <f>Sinistrés!L382</f>
        <v>21.07</v>
      </c>
      <c r="E377">
        <f>Sinistrés!M382</f>
        <v>21.07</v>
      </c>
      <c r="F377">
        <f t="shared" si="10"/>
        <v>0</v>
      </c>
      <c r="G377">
        <f t="shared" si="11"/>
        <v>1</v>
      </c>
    </row>
    <row r="378" spans="1:7" hidden="1">
      <c r="A378" t="str">
        <f>Sinistrés!H383</f>
        <v>Blé tendre d'hiver</v>
      </c>
      <c r="B378">
        <f>Sinistrés!J383</f>
        <v>66761.36</v>
      </c>
      <c r="C378">
        <f>Sinistrés!X383</f>
        <v>0</v>
      </c>
      <c r="D378">
        <f>Sinistrés!L383</f>
        <v>41.51</v>
      </c>
      <c r="E378">
        <f>Sinistrés!M383</f>
        <v>41.51</v>
      </c>
      <c r="F378">
        <f t="shared" si="10"/>
        <v>0</v>
      </c>
      <c r="G378">
        <f t="shared" si="11"/>
        <v>1</v>
      </c>
    </row>
    <row r="379" spans="1:7" hidden="1">
      <c r="A379" t="str">
        <f>Sinistrés!H384</f>
        <v xml:space="preserve">Pois protéagineux </v>
      </c>
      <c r="B379">
        <f>Sinistrés!J384</f>
        <v>14720.1</v>
      </c>
      <c r="C379">
        <f>Sinistrés!X384</f>
        <v>0</v>
      </c>
      <c r="D379">
        <f>Sinistrés!L384</f>
        <v>15</v>
      </c>
      <c r="E379">
        <f>Sinistrés!M384</f>
        <v>15</v>
      </c>
      <c r="F379">
        <f t="shared" si="10"/>
        <v>0</v>
      </c>
      <c r="G379">
        <f t="shared" si="11"/>
        <v>1</v>
      </c>
    </row>
    <row r="380" spans="1:7" hidden="1">
      <c r="A380" t="str">
        <f>Sinistrés!H385</f>
        <v>Blé tendre d'hiver</v>
      </c>
      <c r="B380">
        <f>Sinistrés!J385</f>
        <v>100021.5</v>
      </c>
      <c r="C380">
        <f>Sinistrés!X385</f>
        <v>0</v>
      </c>
      <c r="D380">
        <f>Sinistrés!L385</f>
        <v>93</v>
      </c>
      <c r="E380">
        <f>Sinistrés!M385</f>
        <v>93</v>
      </c>
      <c r="F380">
        <f t="shared" si="10"/>
        <v>0</v>
      </c>
      <c r="G380">
        <f t="shared" si="11"/>
        <v>1</v>
      </c>
    </row>
    <row r="381" spans="1:7" hidden="1">
      <c r="A381" t="str">
        <f>Sinistrés!H386</f>
        <v>Colza d'hiver</v>
      </c>
      <c r="B381">
        <f>Sinistrés!J386</f>
        <v>19482</v>
      </c>
      <c r="C381">
        <f>Sinistrés!X386</f>
        <v>0</v>
      </c>
      <c r="D381">
        <f>Sinistrés!L386</f>
        <v>17</v>
      </c>
      <c r="E381">
        <f>Sinistrés!M386</f>
        <v>17</v>
      </c>
      <c r="F381">
        <f t="shared" si="10"/>
        <v>0</v>
      </c>
      <c r="G381">
        <f t="shared" si="11"/>
        <v>1</v>
      </c>
    </row>
    <row r="382" spans="1:7" hidden="1">
      <c r="A382" t="str">
        <f>Sinistrés!H387</f>
        <v>Blé dur d'hiver BIO</v>
      </c>
      <c r="B382">
        <f>Sinistrés!J387</f>
        <v>11610.18</v>
      </c>
      <c r="C382">
        <f>Sinistrés!X387</f>
        <v>0</v>
      </c>
      <c r="D382">
        <f>Sinistrés!L387</f>
        <v>8.91</v>
      </c>
      <c r="E382">
        <f>Sinistrés!M387</f>
        <v>8</v>
      </c>
      <c r="F382">
        <f t="shared" si="10"/>
        <v>0</v>
      </c>
      <c r="G382">
        <f t="shared" si="11"/>
        <v>0.89786756453423122</v>
      </c>
    </row>
    <row r="383" spans="1:7" hidden="1">
      <c r="A383" t="str">
        <f>Sinistrés!H388</f>
        <v>Blé tendre d'hiver</v>
      </c>
      <c r="B383">
        <f>Sinistrés!J388</f>
        <v>32620.71</v>
      </c>
      <c r="C383">
        <f>Sinistrés!X388</f>
        <v>0</v>
      </c>
      <c r="D383">
        <f>Sinistrés!L388</f>
        <v>28.7</v>
      </c>
      <c r="E383">
        <f>Sinistrés!M388</f>
        <v>28</v>
      </c>
      <c r="F383">
        <f t="shared" si="10"/>
        <v>0</v>
      </c>
      <c r="G383">
        <f t="shared" si="11"/>
        <v>0.97560975609756095</v>
      </c>
    </row>
    <row r="384" spans="1:7" hidden="1">
      <c r="A384" t="str">
        <f>Sinistrés!H389</f>
        <v>Orge d'hiver</v>
      </c>
      <c r="B384">
        <f>Sinistrés!J389</f>
        <v>8062.59</v>
      </c>
      <c r="C384">
        <f>Sinistrés!X389</f>
        <v>0</v>
      </c>
      <c r="D384">
        <f>Sinistrés!L389</f>
        <v>7.7</v>
      </c>
      <c r="E384">
        <f>Sinistrés!M389</f>
        <v>7</v>
      </c>
      <c r="F384">
        <f t="shared" si="10"/>
        <v>0</v>
      </c>
      <c r="G384">
        <f t="shared" si="11"/>
        <v>0.90909090909090906</v>
      </c>
    </row>
    <row r="385" spans="1:7">
      <c r="A385" t="str">
        <f>Sinistrés!H390</f>
        <v>Orge d'hiver</v>
      </c>
      <c r="B385">
        <f>Sinistrés!J390</f>
        <v>12820.5</v>
      </c>
      <c r="C385">
        <f>Sinistrés!X390</f>
        <v>3493.5</v>
      </c>
      <c r="D385">
        <f>Sinistrés!L390</f>
        <v>21</v>
      </c>
      <c r="E385">
        <f>Sinistrés!M390</f>
        <v>21</v>
      </c>
      <c r="F385">
        <f t="shared" si="10"/>
        <v>0.27249327249327249</v>
      </c>
      <c r="G385">
        <f t="shared" si="11"/>
        <v>1</v>
      </c>
    </row>
    <row r="386" spans="1:7">
      <c r="A386" t="str">
        <f>Sinistrés!H391</f>
        <v>Lin oléagineux</v>
      </c>
      <c r="B386">
        <f>Sinistrés!J391</f>
        <v>10073.14</v>
      </c>
      <c r="C386">
        <f>Sinistrés!X391</f>
        <v>6303.26</v>
      </c>
      <c r="D386">
        <f>Sinistrés!L391</f>
        <v>11</v>
      </c>
      <c r="E386">
        <f>Sinistrés!M391</f>
        <v>11</v>
      </c>
      <c r="F386">
        <f t="shared" si="10"/>
        <v>0.62574926984038748</v>
      </c>
      <c r="G386">
        <f t="shared" si="11"/>
        <v>1</v>
      </c>
    </row>
    <row r="387" spans="1:7">
      <c r="A387" t="str">
        <f>Sinistrés!H392</f>
        <v>Colza d'hiver</v>
      </c>
      <c r="B387">
        <f>Sinistrés!J392</f>
        <v>17468</v>
      </c>
      <c r="C387">
        <f>Sinistrés!X392</f>
        <v>3947.86</v>
      </c>
      <c r="D387">
        <f>Sinistrés!L392</f>
        <v>16</v>
      </c>
      <c r="E387">
        <f>Sinistrés!M392</f>
        <v>16</v>
      </c>
      <c r="F387">
        <f t="shared" ref="F387:F450" si="12">C387/B387</f>
        <v>0.22600526677352875</v>
      </c>
      <c r="G387">
        <f t="shared" ref="G387:G450" si="13">E387/D387</f>
        <v>1</v>
      </c>
    </row>
    <row r="388" spans="1:7" hidden="1">
      <c r="A388" t="str">
        <f>Sinistrés!H393</f>
        <v>Avoine d'hiver</v>
      </c>
      <c r="B388">
        <f>Sinistrés!J393</f>
        <v>24272</v>
      </c>
      <c r="C388">
        <f>Sinistrés!X393</f>
        <v>0</v>
      </c>
      <c r="D388">
        <f>Sinistrés!L393</f>
        <v>37</v>
      </c>
      <c r="E388">
        <f>Sinistrés!M393</f>
        <v>37</v>
      </c>
      <c r="F388">
        <f t="shared" si="12"/>
        <v>0</v>
      </c>
      <c r="G388">
        <f t="shared" si="13"/>
        <v>1</v>
      </c>
    </row>
    <row r="389" spans="1:7" hidden="1">
      <c r="A389" t="str">
        <f>Sinistrés!H394</f>
        <v>Blé tendre d'hiver</v>
      </c>
      <c r="B389">
        <f>Sinistrés!J394</f>
        <v>79115.839999999997</v>
      </c>
      <c r="C389">
        <f>Sinistrés!X394</f>
        <v>0</v>
      </c>
      <c r="D389">
        <f>Sinistrés!L394</f>
        <v>108.99</v>
      </c>
      <c r="E389">
        <f>Sinistrés!M394</f>
        <v>108</v>
      </c>
      <c r="F389">
        <f t="shared" si="12"/>
        <v>0</v>
      </c>
      <c r="G389">
        <f t="shared" si="13"/>
        <v>0.99091659785301411</v>
      </c>
    </row>
    <row r="390" spans="1:7" hidden="1">
      <c r="A390" t="str">
        <f>Sinistrés!H395</f>
        <v>Colza d'hiver</v>
      </c>
      <c r="B390">
        <f>Sinistrés!J395</f>
        <v>58281.35</v>
      </c>
      <c r="C390">
        <f>Sinistrés!X395</f>
        <v>0</v>
      </c>
      <c r="D390">
        <f>Sinistrés!L395</f>
        <v>35.46</v>
      </c>
      <c r="E390">
        <f>Sinistrés!M395</f>
        <v>35.46</v>
      </c>
      <c r="F390">
        <f t="shared" si="12"/>
        <v>0</v>
      </c>
      <c r="G390">
        <f t="shared" si="13"/>
        <v>1</v>
      </c>
    </row>
    <row r="391" spans="1:7" hidden="1">
      <c r="A391" t="str">
        <f>Sinistrés!H396</f>
        <v xml:space="preserve">Blé tendre d'hiver </v>
      </c>
      <c r="B391">
        <f>Sinistrés!J396</f>
        <v>84726.399999999994</v>
      </c>
      <c r="C391">
        <f>Sinistrés!X396</f>
        <v>0</v>
      </c>
      <c r="D391">
        <f>Sinistrés!L396</f>
        <v>73.040000000000006</v>
      </c>
      <c r="E391">
        <f>Sinistrés!M396</f>
        <v>73.040000000000006</v>
      </c>
      <c r="F391">
        <f t="shared" si="12"/>
        <v>0</v>
      </c>
      <c r="G391">
        <f t="shared" si="13"/>
        <v>1</v>
      </c>
    </row>
    <row r="392" spans="1:7" hidden="1">
      <c r="A392" t="str">
        <f>Sinistrés!H397</f>
        <v>Blé dur d'hiver</v>
      </c>
      <c r="B392">
        <f>Sinistrés!J397</f>
        <v>9438.86</v>
      </c>
      <c r="C392">
        <f>Sinistrés!X397</f>
        <v>0</v>
      </c>
      <c r="D392">
        <f>Sinistrés!L397</f>
        <v>7.41</v>
      </c>
      <c r="E392">
        <f>Sinistrés!M397</f>
        <v>7.41</v>
      </c>
      <c r="F392">
        <f t="shared" si="12"/>
        <v>0</v>
      </c>
      <c r="G392">
        <f t="shared" si="13"/>
        <v>1</v>
      </c>
    </row>
    <row r="393" spans="1:7" hidden="1">
      <c r="A393" t="str">
        <f>Sinistrés!H398</f>
        <v>Colza d'hiver</v>
      </c>
      <c r="B393">
        <f>Sinistrés!J398</f>
        <v>18564.349999999999</v>
      </c>
      <c r="C393">
        <f>Sinistrés!X398</f>
        <v>0</v>
      </c>
      <c r="D393">
        <f>Sinistrés!L398</f>
        <v>17.11</v>
      </c>
      <c r="E393">
        <f>Sinistrés!M398</f>
        <v>17.11</v>
      </c>
      <c r="F393">
        <f t="shared" si="12"/>
        <v>0</v>
      </c>
      <c r="G393">
        <f t="shared" si="13"/>
        <v>1</v>
      </c>
    </row>
    <row r="394" spans="1:7" hidden="1">
      <c r="A394" t="str">
        <f>Sinistrés!H399</f>
        <v>Triticale</v>
      </c>
      <c r="B394">
        <f>Sinistrés!J399</f>
        <v>7257.6</v>
      </c>
      <c r="C394">
        <f>Sinistrés!X399</f>
        <v>0</v>
      </c>
      <c r="D394">
        <f>Sinistrés!L399</f>
        <v>9.4499999999999993</v>
      </c>
      <c r="E394">
        <f>Sinistrés!M399</f>
        <v>9.4499999999999993</v>
      </c>
      <c r="F394">
        <f t="shared" si="12"/>
        <v>0</v>
      </c>
      <c r="G394">
        <f t="shared" si="13"/>
        <v>1</v>
      </c>
    </row>
    <row r="395" spans="1:7" hidden="1">
      <c r="A395" t="str">
        <f>Sinistrés!H400</f>
        <v>Blé tendre d'hiver</v>
      </c>
      <c r="B395">
        <f>Sinistrés!J400</f>
        <v>30784.799999999999</v>
      </c>
      <c r="C395">
        <f>Sinistrés!X400</f>
        <v>0</v>
      </c>
      <c r="D395">
        <f>Sinistrés!L400</f>
        <v>23.08</v>
      </c>
      <c r="E395">
        <f>Sinistrés!M400</f>
        <v>23.21</v>
      </c>
      <c r="F395">
        <f t="shared" si="12"/>
        <v>0</v>
      </c>
      <c r="G395">
        <f t="shared" si="13"/>
        <v>1.0056325823223571</v>
      </c>
    </row>
    <row r="396" spans="1:7" hidden="1">
      <c r="A396" t="str">
        <f>Sinistrés!H401</f>
        <v>Colza d'hiver</v>
      </c>
      <c r="B396">
        <f>Sinistrés!J401</f>
        <v>7676.6</v>
      </c>
      <c r="C396">
        <f>Sinistrés!X401</f>
        <v>0</v>
      </c>
      <c r="D396">
        <f>Sinistrés!L401</f>
        <v>10.9</v>
      </c>
      <c r="E396">
        <f>Sinistrés!M401</f>
        <v>10.44</v>
      </c>
      <c r="F396">
        <f t="shared" si="12"/>
        <v>0</v>
      </c>
      <c r="G396">
        <f t="shared" si="13"/>
        <v>0.95779816513761462</v>
      </c>
    </row>
    <row r="397" spans="1:7" hidden="1">
      <c r="A397" t="str">
        <f>Sinistrés!H402</f>
        <v>Blé tendre d'hiver</v>
      </c>
      <c r="B397">
        <f>Sinistrés!J402</f>
        <v>7420</v>
      </c>
      <c r="C397">
        <f>Sinistrés!X402</f>
        <v>0</v>
      </c>
      <c r="D397">
        <f>Sinistrés!L402</f>
        <v>7</v>
      </c>
      <c r="E397">
        <f>Sinistrés!M402</f>
        <v>7</v>
      </c>
      <c r="F397">
        <f t="shared" si="12"/>
        <v>0</v>
      </c>
      <c r="G397">
        <f t="shared" si="13"/>
        <v>1</v>
      </c>
    </row>
    <row r="398" spans="1:7" hidden="1">
      <c r="A398" t="str">
        <f>Sinistrés!H403</f>
        <v>Triticale</v>
      </c>
      <c r="B398">
        <f>Sinistrés!J403</f>
        <v>4313.75</v>
      </c>
      <c r="C398">
        <f>Sinistrés!X403</f>
        <v>0</v>
      </c>
      <c r="D398">
        <f>Sinistrés!L403</f>
        <v>5</v>
      </c>
      <c r="E398">
        <f>Sinistrés!M403</f>
        <v>5</v>
      </c>
      <c r="F398">
        <f t="shared" si="12"/>
        <v>0</v>
      </c>
      <c r="G398">
        <f t="shared" si="13"/>
        <v>1</v>
      </c>
    </row>
    <row r="399" spans="1:7" hidden="1">
      <c r="A399" t="str">
        <f>Sinistrés!H404</f>
        <v>Colza d'hiver</v>
      </c>
      <c r="B399">
        <f>Sinistrés!J404</f>
        <v>7877.73</v>
      </c>
      <c r="C399">
        <f>Sinistrés!X404</f>
        <v>0</v>
      </c>
      <c r="D399">
        <f>Sinistrés!L404</f>
        <v>8.0500000000000007</v>
      </c>
      <c r="E399">
        <f>Sinistrés!M404</f>
        <v>8.0500000000000007</v>
      </c>
      <c r="F399">
        <f t="shared" si="12"/>
        <v>0</v>
      </c>
      <c r="G399">
        <f t="shared" si="13"/>
        <v>1</v>
      </c>
    </row>
    <row r="400" spans="1:7" hidden="1">
      <c r="A400" t="str">
        <f>Sinistrés!H405</f>
        <v>Orge d'hiver</v>
      </c>
      <c r="B400">
        <f>Sinistrés!J405</f>
        <v>7751.24</v>
      </c>
      <c r="C400">
        <f>Sinistrés!X405</f>
        <v>0</v>
      </c>
      <c r="D400">
        <f>Sinistrés!L405</f>
        <v>6.58</v>
      </c>
      <c r="E400">
        <f>Sinistrés!M405</f>
        <v>5.5</v>
      </c>
      <c r="F400">
        <f t="shared" si="12"/>
        <v>0</v>
      </c>
      <c r="G400">
        <f t="shared" si="13"/>
        <v>0.83586626139817632</v>
      </c>
    </row>
    <row r="401" spans="1:7" hidden="1">
      <c r="A401" t="str">
        <f>Sinistrés!H406</f>
        <v>Blé dur d'hiver</v>
      </c>
      <c r="B401">
        <f>Sinistrés!J406</f>
        <v>43344.05</v>
      </c>
      <c r="C401">
        <f>Sinistrés!X406</f>
        <v>0</v>
      </c>
      <c r="D401">
        <f>Sinistrés!L406</f>
        <v>24.72</v>
      </c>
      <c r="E401">
        <f>Sinistrés!M406</f>
        <v>24.72</v>
      </c>
      <c r="F401">
        <f t="shared" si="12"/>
        <v>0</v>
      </c>
      <c r="G401">
        <f t="shared" si="13"/>
        <v>1</v>
      </c>
    </row>
    <row r="402" spans="1:7" hidden="1">
      <c r="A402" t="str">
        <f>Sinistrés!H407</f>
        <v>Blé tendre d'hiver</v>
      </c>
      <c r="B402">
        <f>Sinistrés!J407</f>
        <v>89039.27</v>
      </c>
      <c r="C402">
        <f>Sinistrés!X407</f>
        <v>0</v>
      </c>
      <c r="D402">
        <f>Sinistrés!L407</f>
        <v>59.79</v>
      </c>
      <c r="E402">
        <f>Sinistrés!M407</f>
        <v>59.79</v>
      </c>
      <c r="F402">
        <f t="shared" si="12"/>
        <v>0</v>
      </c>
      <c r="G402">
        <f t="shared" si="13"/>
        <v>1</v>
      </c>
    </row>
    <row r="403" spans="1:7" hidden="1">
      <c r="A403" t="str">
        <f>Sinistrés!H408</f>
        <v>Colza d'hiver</v>
      </c>
      <c r="B403">
        <f>Sinistrés!J408</f>
        <v>59370.05</v>
      </c>
      <c r="C403">
        <f>Sinistrés!X408</f>
        <v>0</v>
      </c>
      <c r="D403">
        <f>Sinistrés!L408</f>
        <v>33.71</v>
      </c>
      <c r="E403">
        <f>Sinistrés!M408</f>
        <v>33.71</v>
      </c>
      <c r="F403">
        <f t="shared" si="12"/>
        <v>0</v>
      </c>
      <c r="G403">
        <f t="shared" si="13"/>
        <v>1</v>
      </c>
    </row>
    <row r="404" spans="1:7" hidden="1">
      <c r="A404" t="str">
        <f>Sinistrés!H409</f>
        <v>Orge d'hiver</v>
      </c>
      <c r="B404">
        <f>Sinistrés!J409</f>
        <v>15583.85</v>
      </c>
      <c r="C404">
        <f>Sinistrés!X409</f>
        <v>0</v>
      </c>
      <c r="D404">
        <f>Sinistrés!L409</f>
        <v>12.9</v>
      </c>
      <c r="E404">
        <f>Sinistrés!M409</f>
        <v>12.9</v>
      </c>
      <c r="F404">
        <f t="shared" si="12"/>
        <v>0</v>
      </c>
      <c r="G404">
        <f t="shared" si="13"/>
        <v>1</v>
      </c>
    </row>
    <row r="405" spans="1:7" hidden="1">
      <c r="A405" t="str">
        <f>Sinistrés!H410</f>
        <v>Blé tendre d'hiver</v>
      </c>
      <c r="B405">
        <f>Sinistrés!J410</f>
        <v>60228.959999999999</v>
      </c>
      <c r="C405">
        <f>Sinistrés!X410</f>
        <v>0</v>
      </c>
      <c r="D405">
        <f>Sinistrés!L410</f>
        <v>40.26</v>
      </c>
      <c r="E405">
        <f>Sinistrés!M410</f>
        <v>40.200000000000003</v>
      </c>
      <c r="F405">
        <f t="shared" si="12"/>
        <v>0</v>
      </c>
      <c r="G405">
        <f t="shared" si="13"/>
        <v>0.99850968703427734</v>
      </c>
    </row>
    <row r="406" spans="1:7" hidden="1">
      <c r="A406" t="str">
        <f>Sinistrés!H411</f>
        <v>Orge d'hiver</v>
      </c>
      <c r="B406">
        <f>Sinistrés!J411</f>
        <v>21420</v>
      </c>
      <c r="C406">
        <f>Sinistrés!X411</f>
        <v>0</v>
      </c>
      <c r="D406">
        <f>Sinistrés!L411</f>
        <v>17</v>
      </c>
      <c r="E406">
        <f>Sinistrés!M411</f>
        <v>17</v>
      </c>
      <c r="F406">
        <f t="shared" si="12"/>
        <v>0</v>
      </c>
      <c r="G406">
        <f t="shared" si="13"/>
        <v>1</v>
      </c>
    </row>
    <row r="407" spans="1:7" hidden="1">
      <c r="A407" t="str">
        <f>Sinistrés!H412</f>
        <v>Blé dur d'hiver</v>
      </c>
      <c r="B407">
        <f>Sinistrés!J412</f>
        <v>16560</v>
      </c>
      <c r="C407">
        <f>Sinistrés!X412</f>
        <v>0</v>
      </c>
      <c r="D407">
        <f>Sinistrés!L412</f>
        <v>12</v>
      </c>
      <c r="E407">
        <f>Sinistrés!M412</f>
        <v>12</v>
      </c>
      <c r="F407">
        <f t="shared" si="12"/>
        <v>0</v>
      </c>
      <c r="G407">
        <f t="shared" si="13"/>
        <v>1</v>
      </c>
    </row>
    <row r="408" spans="1:7" hidden="1">
      <c r="A408" t="str">
        <f>Sinistrés!H413</f>
        <v>Blé dur d'hiver</v>
      </c>
      <c r="B408">
        <f>Sinistrés!J413</f>
        <v>7155</v>
      </c>
      <c r="C408">
        <f>Sinistrés!X413</f>
        <v>0</v>
      </c>
      <c r="D408">
        <f>Sinistrés!L413</f>
        <v>4.5</v>
      </c>
      <c r="E408">
        <f>Sinistrés!M413</f>
        <v>4.5</v>
      </c>
      <c r="F408">
        <f t="shared" si="12"/>
        <v>0</v>
      </c>
      <c r="G408">
        <f t="shared" si="13"/>
        <v>1</v>
      </c>
    </row>
    <row r="409" spans="1:7" hidden="1">
      <c r="A409" t="str">
        <f>Sinistrés!H414</f>
        <v>Blé tendre d'hiver</v>
      </c>
      <c r="B409">
        <f>Sinistrés!J414</f>
        <v>15002</v>
      </c>
      <c r="C409">
        <f>Sinistrés!X414</f>
        <v>0</v>
      </c>
      <c r="D409">
        <f>Sinistrés!L414</f>
        <v>13</v>
      </c>
      <c r="E409">
        <f>Sinistrés!M414</f>
        <v>13</v>
      </c>
      <c r="F409">
        <f t="shared" si="12"/>
        <v>0</v>
      </c>
      <c r="G409">
        <f t="shared" si="13"/>
        <v>1</v>
      </c>
    </row>
    <row r="410" spans="1:7" hidden="1">
      <c r="A410" t="str">
        <f>Sinistrés!H415</f>
        <v>Orge d'hiver</v>
      </c>
      <c r="B410">
        <f>Sinistrés!J415</f>
        <v>14587</v>
      </c>
      <c r="C410">
        <f>Sinistrés!X415</f>
        <v>0</v>
      </c>
      <c r="D410">
        <f>Sinistrés!L415</f>
        <v>14.5</v>
      </c>
      <c r="E410">
        <f>Sinistrés!M415</f>
        <v>14.5</v>
      </c>
      <c r="F410">
        <f t="shared" si="12"/>
        <v>0</v>
      </c>
      <c r="G410">
        <f t="shared" si="13"/>
        <v>1</v>
      </c>
    </row>
    <row r="411" spans="1:7" hidden="1">
      <c r="A411" t="str">
        <f>Sinistrés!H416</f>
        <v>Colza d'hiver</v>
      </c>
      <c r="B411">
        <f>Sinistrés!J416</f>
        <v>25440</v>
      </c>
      <c r="C411">
        <f>Sinistrés!X416</f>
        <v>0</v>
      </c>
      <c r="D411">
        <f>Sinistrés!L416</f>
        <v>24</v>
      </c>
      <c r="E411">
        <f>Sinistrés!M416</f>
        <v>24</v>
      </c>
      <c r="F411">
        <f t="shared" si="12"/>
        <v>0</v>
      </c>
      <c r="G411">
        <f t="shared" si="13"/>
        <v>1</v>
      </c>
    </row>
    <row r="412" spans="1:7" hidden="1">
      <c r="A412" t="str">
        <f>Sinistrés!H417</f>
        <v>Féveroles et fèves BIO</v>
      </c>
      <c r="B412">
        <f>Sinistrés!J417</f>
        <v>4340.7</v>
      </c>
      <c r="C412">
        <f>Sinistrés!X417</f>
        <v>0</v>
      </c>
      <c r="D412">
        <f>Sinistrés!L417</f>
        <v>13</v>
      </c>
      <c r="E412">
        <f>Sinistrés!M417</f>
        <v>13</v>
      </c>
      <c r="F412">
        <f t="shared" si="12"/>
        <v>0</v>
      </c>
      <c r="G412">
        <f t="shared" si="13"/>
        <v>1</v>
      </c>
    </row>
    <row r="413" spans="1:7" hidden="1">
      <c r="A413" t="str">
        <f>Sinistrés!H418</f>
        <v>Lin oléagineux BIO</v>
      </c>
      <c r="B413">
        <f>Sinistrés!J418</f>
        <v>25808.76</v>
      </c>
      <c r="C413">
        <f>Sinistrés!X418</f>
        <v>0</v>
      </c>
      <c r="D413">
        <f>Sinistrés!L418</f>
        <v>20.78</v>
      </c>
      <c r="E413">
        <f>Sinistrés!M418</f>
        <v>20.78</v>
      </c>
      <c r="F413">
        <f t="shared" si="12"/>
        <v>0</v>
      </c>
      <c r="G413">
        <f t="shared" si="13"/>
        <v>1</v>
      </c>
    </row>
    <row r="414" spans="1:7" hidden="1">
      <c r="A414" t="str">
        <f>Sinistrés!H419</f>
        <v>Colza d'hiver</v>
      </c>
      <c r="B414">
        <f>Sinistrés!J419</f>
        <v>4724.3</v>
      </c>
      <c r="C414">
        <f>Sinistrés!X419</f>
        <v>0</v>
      </c>
      <c r="D414">
        <f>Sinistrés!L419</f>
        <v>7.94</v>
      </c>
      <c r="E414">
        <f>Sinistrés!M419</f>
        <v>7.94</v>
      </c>
      <c r="F414">
        <f t="shared" si="12"/>
        <v>0</v>
      </c>
      <c r="G414">
        <f t="shared" si="13"/>
        <v>1</v>
      </c>
    </row>
    <row r="415" spans="1:7" hidden="1">
      <c r="A415" t="str">
        <f>Sinistrés!H420</f>
        <v>Orge de printemps</v>
      </c>
      <c r="B415">
        <f>Sinistrés!J420</f>
        <v>21224.45</v>
      </c>
      <c r="C415">
        <f>Sinistrés!X420</f>
        <v>0</v>
      </c>
      <c r="D415">
        <f>Sinistrés!L420</f>
        <v>19.739999999999998</v>
      </c>
      <c r="E415">
        <f>Sinistrés!M420</f>
        <v>5.36</v>
      </c>
      <c r="F415">
        <f t="shared" si="12"/>
        <v>0</v>
      </c>
      <c r="G415">
        <f t="shared" si="13"/>
        <v>0.27152988855116517</v>
      </c>
    </row>
    <row r="416" spans="1:7" hidden="1">
      <c r="A416" t="str">
        <f>Sinistrés!H421</f>
        <v xml:space="preserve">Orge d'hiver </v>
      </c>
      <c r="B416">
        <f>Sinistrés!J421</f>
        <v>3824.48</v>
      </c>
      <c r="C416">
        <f>Sinistrés!X421</f>
        <v>0</v>
      </c>
      <c r="D416">
        <f>Sinistrés!L421</f>
        <v>4.0999999999999996</v>
      </c>
      <c r="E416">
        <f>Sinistrés!M421</f>
        <v>4.0999999999999996</v>
      </c>
      <c r="F416">
        <f t="shared" si="12"/>
        <v>0</v>
      </c>
      <c r="G416">
        <f t="shared" si="13"/>
        <v>1</v>
      </c>
    </row>
    <row r="417" spans="1:7" hidden="1">
      <c r="A417" t="str">
        <f>Sinistrés!H422</f>
        <v>Blé tendre d'hiver</v>
      </c>
      <c r="B417">
        <f>Sinistrés!J422</f>
        <v>10297.58</v>
      </c>
      <c r="C417">
        <f>Sinistrés!X422</f>
        <v>0</v>
      </c>
      <c r="D417">
        <f>Sinistrés!L422</f>
        <v>17.73</v>
      </c>
      <c r="E417">
        <f>Sinistrés!M422</f>
        <v>17.73</v>
      </c>
      <c r="F417">
        <f t="shared" si="12"/>
        <v>0</v>
      </c>
      <c r="G417">
        <f t="shared" si="13"/>
        <v>1</v>
      </c>
    </row>
    <row r="418" spans="1:7" hidden="1">
      <c r="A418" t="str">
        <f>Sinistrés!H423</f>
        <v>Blé dur d'hiver</v>
      </c>
      <c r="B418">
        <f>Sinistrés!J423</f>
        <v>3235.68</v>
      </c>
      <c r="C418">
        <f>Sinistrés!X423</f>
        <v>0</v>
      </c>
      <c r="D418">
        <f>Sinistrés!L423</f>
        <v>3.36</v>
      </c>
      <c r="E418">
        <f>Sinistrés!M423</f>
        <v>3.36</v>
      </c>
      <c r="F418">
        <f t="shared" si="12"/>
        <v>0</v>
      </c>
      <c r="G418">
        <f t="shared" si="13"/>
        <v>1</v>
      </c>
    </row>
    <row r="419" spans="1:7" hidden="1">
      <c r="A419" t="str">
        <f>Sinistrés!H424</f>
        <v>Orge de printemps</v>
      </c>
      <c r="B419">
        <f>Sinistrés!J424</f>
        <v>10969.11</v>
      </c>
      <c r="C419">
        <f>Sinistrés!X424</f>
        <v>0</v>
      </c>
      <c r="D419">
        <f>Sinistrés!L424</f>
        <v>14.98</v>
      </c>
      <c r="E419">
        <f>Sinistrés!M424</f>
        <v>14.98</v>
      </c>
      <c r="F419">
        <f t="shared" si="12"/>
        <v>0</v>
      </c>
      <c r="G419">
        <f t="shared" si="13"/>
        <v>1</v>
      </c>
    </row>
    <row r="420" spans="1:7" hidden="1">
      <c r="A420" t="str">
        <f>Sinistrés!H425</f>
        <v>Colza d'hiver</v>
      </c>
      <c r="B420">
        <f>Sinistrés!J425</f>
        <v>46200</v>
      </c>
      <c r="C420">
        <f>Sinistrés!X425</f>
        <v>0</v>
      </c>
      <c r="D420">
        <f>Sinistrés!L425</f>
        <v>33</v>
      </c>
      <c r="E420">
        <f>Sinistrés!M425</f>
        <v>30.23</v>
      </c>
      <c r="F420">
        <f t="shared" si="12"/>
        <v>0</v>
      </c>
      <c r="G420">
        <f t="shared" si="13"/>
        <v>0.91606060606060602</v>
      </c>
    </row>
    <row r="421" spans="1:7" hidden="1">
      <c r="A421" t="str">
        <f>Sinistrés!H426</f>
        <v>Blé tendre d'hiver</v>
      </c>
      <c r="B421">
        <f>Sinistrés!J426</f>
        <v>75141</v>
      </c>
      <c r="C421">
        <f>Sinistrés!X426</f>
        <v>0</v>
      </c>
      <c r="D421">
        <f>Sinistrés!L426</f>
        <v>60.5</v>
      </c>
      <c r="E421">
        <f>Sinistrés!M426</f>
        <v>60.5</v>
      </c>
      <c r="F421">
        <f t="shared" si="12"/>
        <v>0</v>
      </c>
      <c r="G421">
        <f t="shared" si="13"/>
        <v>1</v>
      </c>
    </row>
    <row r="422" spans="1:7" hidden="1">
      <c r="A422" t="str">
        <f>Sinistrés!H427</f>
        <v>Colza d'hiver</v>
      </c>
      <c r="B422">
        <f>Sinistrés!J427</f>
        <v>50075.85</v>
      </c>
      <c r="C422">
        <f>Sinistrés!X427</f>
        <v>0</v>
      </c>
      <c r="D422">
        <f>Sinistrés!L427</f>
        <v>37.51</v>
      </c>
      <c r="E422">
        <f>Sinistrés!M427</f>
        <v>37.51</v>
      </c>
      <c r="F422">
        <f t="shared" si="12"/>
        <v>0</v>
      </c>
      <c r="G422">
        <f t="shared" si="13"/>
        <v>1</v>
      </c>
    </row>
    <row r="423" spans="1:7" hidden="1">
      <c r="A423" t="str">
        <f>Sinistrés!H428</f>
        <v>Pois protéagineux</v>
      </c>
      <c r="B423">
        <f>Sinistrés!J428</f>
        <v>22236.63</v>
      </c>
      <c r="C423">
        <f>Sinistrés!X428</f>
        <v>0</v>
      </c>
      <c r="D423">
        <f>Sinistrés!L428</f>
        <v>26.13</v>
      </c>
      <c r="E423">
        <f>Sinistrés!M428</f>
        <v>26.13</v>
      </c>
      <c r="F423">
        <f t="shared" si="12"/>
        <v>0</v>
      </c>
      <c r="G423">
        <f t="shared" si="13"/>
        <v>1</v>
      </c>
    </row>
    <row r="424" spans="1:7">
      <c r="A424" t="str">
        <f>Sinistrés!H429</f>
        <v xml:space="preserve">Colza d'hiver </v>
      </c>
      <c r="B424">
        <f>Sinistrés!J429</f>
        <v>19145.5</v>
      </c>
      <c r="C424">
        <f>Sinistrés!X429</f>
        <v>4273.67</v>
      </c>
      <c r="D424">
        <f>Sinistrés!L429</f>
        <v>14.75</v>
      </c>
      <c r="E424">
        <f>Sinistrés!M429</f>
        <v>14.75</v>
      </c>
      <c r="F424">
        <f t="shared" si="12"/>
        <v>0.22322060014102532</v>
      </c>
      <c r="G424">
        <f t="shared" si="13"/>
        <v>1</v>
      </c>
    </row>
    <row r="425" spans="1:7" hidden="1">
      <c r="A425" t="str">
        <f>Sinistrés!H430</f>
        <v>Orge d'hiver</v>
      </c>
      <c r="B425">
        <f>Sinistrés!J430</f>
        <v>11568.95</v>
      </c>
      <c r="C425">
        <f>Sinistrés!X430</f>
        <v>0</v>
      </c>
      <c r="D425">
        <f>Sinistrés!L430</f>
        <v>17.41</v>
      </c>
      <c r="E425">
        <f>Sinistrés!M430</f>
        <v>14.42</v>
      </c>
      <c r="F425">
        <f t="shared" si="12"/>
        <v>0</v>
      </c>
      <c r="G425">
        <f t="shared" si="13"/>
        <v>0.82825962090752436</v>
      </c>
    </row>
    <row r="426" spans="1:7" hidden="1">
      <c r="A426" t="str">
        <f>Sinistrés!H431</f>
        <v>Blé tendre d'hiver</v>
      </c>
      <c r="B426">
        <f>Sinistrés!J431</f>
        <v>51256.51</v>
      </c>
      <c r="C426">
        <f>Sinistrés!X431</f>
        <v>0</v>
      </c>
      <c r="D426">
        <f>Sinistrés!L431</f>
        <v>38.69</v>
      </c>
      <c r="E426">
        <f>Sinistrés!M431</f>
        <v>42.75</v>
      </c>
      <c r="F426">
        <f t="shared" si="12"/>
        <v>0</v>
      </c>
      <c r="G426">
        <f t="shared" si="13"/>
        <v>1.1049366761437065</v>
      </c>
    </row>
    <row r="427" spans="1:7" hidden="1">
      <c r="A427" t="str">
        <f>Sinistrés!H432</f>
        <v xml:space="preserve">Orge d'hiver </v>
      </c>
      <c r="B427">
        <f>Sinistrés!J432</f>
        <v>20082.38</v>
      </c>
      <c r="C427">
        <f>Sinistrés!X432</f>
        <v>0</v>
      </c>
      <c r="D427">
        <f>Sinistrés!L432</f>
        <v>18.27</v>
      </c>
      <c r="E427">
        <f>Sinistrés!M432</f>
        <v>18.13</v>
      </c>
      <c r="F427">
        <f t="shared" si="12"/>
        <v>0</v>
      </c>
      <c r="G427">
        <f t="shared" si="13"/>
        <v>0.99233716475095779</v>
      </c>
    </row>
    <row r="428" spans="1:7" hidden="1">
      <c r="A428" t="str">
        <f>Sinistrés!H433</f>
        <v>Colza d'hiver</v>
      </c>
      <c r="B428">
        <f>Sinistrés!J433</f>
        <v>27047.4</v>
      </c>
      <c r="C428">
        <f>Sinistrés!X433</f>
        <v>0</v>
      </c>
      <c r="D428">
        <f>Sinistrés!L433</f>
        <v>14.78</v>
      </c>
      <c r="E428">
        <f>Sinistrés!M433</f>
        <v>14.78</v>
      </c>
      <c r="F428">
        <f t="shared" si="12"/>
        <v>0</v>
      </c>
      <c r="G428">
        <f t="shared" si="13"/>
        <v>1</v>
      </c>
    </row>
    <row r="429" spans="1:7" hidden="1">
      <c r="A429" t="str">
        <f>Sinistrés!H434</f>
        <v>Lentilles</v>
      </c>
      <c r="B429">
        <f>Sinistrés!J434</f>
        <v>3632.16</v>
      </c>
      <c r="C429">
        <f>Sinistrés!X434</f>
        <v>0</v>
      </c>
      <c r="D429">
        <f>Sinistrés!L434</f>
        <v>6.44</v>
      </c>
      <c r="E429">
        <f>Sinistrés!M434</f>
        <v>5.61</v>
      </c>
      <c r="F429">
        <f t="shared" si="12"/>
        <v>0</v>
      </c>
      <c r="G429">
        <f t="shared" si="13"/>
        <v>0.8711180124223602</v>
      </c>
    </row>
    <row r="430" spans="1:7">
      <c r="A430" t="str">
        <f>Sinistrés!H435</f>
        <v>Blé tendre d'hiver</v>
      </c>
      <c r="B430">
        <f>Sinistrés!J435</f>
        <v>88744.99</v>
      </c>
      <c r="C430">
        <f>Sinistrés!X435</f>
        <v>6006.19</v>
      </c>
      <c r="D430">
        <f>Sinistrés!L435</f>
        <v>92.31</v>
      </c>
      <c r="E430">
        <f>Sinistrés!M435</f>
        <v>80.45</v>
      </c>
      <c r="F430">
        <f t="shared" si="12"/>
        <v>6.7679200820237845E-2</v>
      </c>
      <c r="G430">
        <f t="shared" si="13"/>
        <v>0.87151987866969993</v>
      </c>
    </row>
    <row r="431" spans="1:7" hidden="1">
      <c r="A431" t="str">
        <f>Sinistrés!H436</f>
        <v>Colza d'hiver</v>
      </c>
      <c r="B431">
        <f>Sinistrés!J436</f>
        <v>21935.09</v>
      </c>
      <c r="C431">
        <f>Sinistrés!X436</f>
        <v>0</v>
      </c>
      <c r="D431">
        <f>Sinistrés!L436</f>
        <v>18.52</v>
      </c>
      <c r="E431">
        <f>Sinistrés!M436</f>
        <v>16.37</v>
      </c>
      <c r="F431">
        <f t="shared" si="12"/>
        <v>0</v>
      </c>
      <c r="G431">
        <f t="shared" si="13"/>
        <v>0.88390928725701956</v>
      </c>
    </row>
    <row r="432" spans="1:7" hidden="1">
      <c r="A432" t="str">
        <f>Sinistrés!H437</f>
        <v>Féveroles et fèves</v>
      </c>
      <c r="B432">
        <f>Sinistrés!J437</f>
        <v>12440.55</v>
      </c>
      <c r="C432">
        <f>Sinistrés!X437</f>
        <v>0</v>
      </c>
      <c r="D432">
        <f>Sinistrés!L437</f>
        <v>17.79</v>
      </c>
      <c r="E432">
        <f>Sinistrés!M437</f>
        <v>18.3</v>
      </c>
      <c r="F432">
        <f t="shared" si="12"/>
        <v>0</v>
      </c>
      <c r="G432">
        <f t="shared" si="13"/>
        <v>1.0286677908937607</v>
      </c>
    </row>
    <row r="433" spans="1:7" hidden="1">
      <c r="A433" t="str">
        <f>Sinistrés!H438</f>
        <v>Orge d'hiver SEMENCES</v>
      </c>
      <c r="B433">
        <f>Sinistrés!J438</f>
        <v>12828.82</v>
      </c>
      <c r="C433">
        <f>Sinistrés!X438</f>
        <v>0</v>
      </c>
      <c r="D433">
        <f>Sinistrés!L438</f>
        <v>12.87</v>
      </c>
      <c r="E433">
        <f>Sinistrés!M438</f>
        <v>10.75</v>
      </c>
      <c r="F433">
        <f t="shared" si="12"/>
        <v>0</v>
      </c>
      <c r="G433">
        <f t="shared" si="13"/>
        <v>0.83527583527583538</v>
      </c>
    </row>
    <row r="434" spans="1:7" hidden="1">
      <c r="A434" t="str">
        <f>Sinistrés!H439</f>
        <v>Lin oléagineux</v>
      </c>
      <c r="B434">
        <f>Sinistrés!J439</f>
        <v>11123</v>
      </c>
      <c r="C434">
        <f>Sinistrés!X439</f>
        <v>0</v>
      </c>
      <c r="D434">
        <f>Sinistrés!L439</f>
        <v>15.89</v>
      </c>
      <c r="E434">
        <f>Sinistrés!M439</f>
        <v>17.260000000000002</v>
      </c>
      <c r="F434">
        <f t="shared" si="12"/>
        <v>0</v>
      </c>
      <c r="G434">
        <f t="shared" si="13"/>
        <v>1.0862177470106986</v>
      </c>
    </row>
    <row r="435" spans="1:7" hidden="1">
      <c r="A435" t="str">
        <f>Sinistrés!H440</f>
        <v>Pois protéagineux</v>
      </c>
      <c r="B435">
        <f>Sinistrés!J440</f>
        <v>5750.71</v>
      </c>
      <c r="C435">
        <f>Sinistrés!X440</f>
        <v>0</v>
      </c>
      <c r="D435">
        <f>Sinistrés!L440</f>
        <v>11.66</v>
      </c>
      <c r="E435">
        <f>Sinistrés!M440</f>
        <v>14.27</v>
      </c>
      <c r="F435">
        <f t="shared" si="12"/>
        <v>0</v>
      </c>
      <c r="G435">
        <f t="shared" si="13"/>
        <v>1.2238421955403087</v>
      </c>
    </row>
    <row r="436" spans="1:7" hidden="1">
      <c r="A436" t="str">
        <f>Sinistrés!H441</f>
        <v>Blé tendre d'hiver semences</v>
      </c>
      <c r="B436">
        <f>Sinistrés!J441</f>
        <v>31957.17</v>
      </c>
      <c r="C436">
        <f>Sinistrés!X441</f>
        <v>0</v>
      </c>
      <c r="D436">
        <f>Sinistrés!L441</f>
        <v>29.66</v>
      </c>
      <c r="E436">
        <f>Sinistrés!M441</f>
        <v>35.950000000000003</v>
      </c>
      <c r="F436">
        <f t="shared" si="12"/>
        <v>0</v>
      </c>
      <c r="G436">
        <f t="shared" si="13"/>
        <v>1.2120701281186785</v>
      </c>
    </row>
    <row r="437" spans="1:7" hidden="1">
      <c r="A437" t="str">
        <f>Sinistrés!H442</f>
        <v>Colza d'hiver</v>
      </c>
      <c r="B437">
        <f>Sinistrés!J442</f>
        <v>11226.6</v>
      </c>
      <c r="C437">
        <f>Sinistrés!X442</f>
        <v>0</v>
      </c>
      <c r="D437">
        <f>Sinistrés!L442</f>
        <v>12.15</v>
      </c>
      <c r="E437">
        <f>Sinistrés!M442</f>
        <v>12.15</v>
      </c>
      <c r="F437">
        <f t="shared" si="12"/>
        <v>0</v>
      </c>
      <c r="G437">
        <f t="shared" si="13"/>
        <v>1</v>
      </c>
    </row>
    <row r="438" spans="1:7" hidden="1">
      <c r="A438" t="str">
        <f>Sinistrés!H443</f>
        <v>Blé tendre d'hiver semences</v>
      </c>
      <c r="B438">
        <f>Sinistrés!J443</f>
        <v>15695.68</v>
      </c>
      <c r="C438">
        <f>Sinistrés!X443</f>
        <v>0</v>
      </c>
      <c r="D438">
        <f>Sinistrés!L443</f>
        <v>11.44</v>
      </c>
      <c r="E438">
        <f>Sinistrés!M443</f>
        <v>11.44</v>
      </c>
      <c r="F438">
        <f t="shared" si="12"/>
        <v>0</v>
      </c>
      <c r="G438">
        <f t="shared" si="13"/>
        <v>1</v>
      </c>
    </row>
    <row r="439" spans="1:7" hidden="1">
      <c r="A439" t="str">
        <f>Sinistrés!H444</f>
        <v>Orge de printemps</v>
      </c>
      <c r="B439">
        <f>Sinistrés!J444</f>
        <v>5773.2</v>
      </c>
      <c r="C439">
        <f>Sinistrés!X444</f>
        <v>0</v>
      </c>
      <c r="D439">
        <f>Sinistrés!L444</f>
        <v>5.66</v>
      </c>
      <c r="E439">
        <f>Sinistrés!M444</f>
        <v>5.66</v>
      </c>
      <c r="F439">
        <f t="shared" si="12"/>
        <v>0</v>
      </c>
      <c r="G439">
        <f t="shared" si="13"/>
        <v>1</v>
      </c>
    </row>
    <row r="440" spans="1:7" hidden="1">
      <c r="A440" t="str">
        <f>Sinistrés!H445</f>
        <v>Blé de force</v>
      </c>
      <c r="B440">
        <f>Sinistrés!J445</f>
        <v>27133.66</v>
      </c>
      <c r="C440">
        <f>Sinistrés!X445</f>
        <v>0</v>
      </c>
      <c r="D440">
        <f>Sinistrés!L445</f>
        <v>25.79</v>
      </c>
      <c r="E440">
        <f>Sinistrés!M445</f>
        <v>25.79</v>
      </c>
      <c r="F440">
        <f t="shared" si="12"/>
        <v>0</v>
      </c>
      <c r="G440">
        <f t="shared" si="13"/>
        <v>1</v>
      </c>
    </row>
    <row r="441" spans="1:7" hidden="1">
      <c r="A441" t="str">
        <f>Sinistrés!H446</f>
        <v>Colza d'hiver</v>
      </c>
      <c r="B441">
        <f>Sinistrés!J446</f>
        <v>44961.66</v>
      </c>
      <c r="C441">
        <f>Sinistrés!X446</f>
        <v>0</v>
      </c>
      <c r="D441">
        <f>Sinistrés!L446</f>
        <v>31.82</v>
      </c>
      <c r="E441">
        <f>Sinistrés!M446</f>
        <v>31.82</v>
      </c>
      <c r="F441">
        <f t="shared" si="12"/>
        <v>0</v>
      </c>
      <c r="G441">
        <f t="shared" si="13"/>
        <v>1</v>
      </c>
    </row>
    <row r="442" spans="1:7" hidden="1">
      <c r="A442" t="str">
        <f>Sinistrés!H447</f>
        <v>Orge de printemps</v>
      </c>
      <c r="B442">
        <f>Sinistrés!J447</f>
        <v>25029</v>
      </c>
      <c r="C442">
        <f>Sinistrés!X447</f>
        <v>0</v>
      </c>
      <c r="D442">
        <f>Sinistrés!L447</f>
        <v>30.9</v>
      </c>
      <c r="E442">
        <f>Sinistrés!M447</f>
        <v>30.9</v>
      </c>
      <c r="F442">
        <f t="shared" si="12"/>
        <v>0</v>
      </c>
      <c r="G442">
        <f t="shared" si="13"/>
        <v>1</v>
      </c>
    </row>
    <row r="443" spans="1:7" hidden="1">
      <c r="A443" t="str">
        <f>Sinistrés!H448</f>
        <v>Orge d'hiver SEMENCES</v>
      </c>
      <c r="B443">
        <f>Sinistrés!J448</f>
        <v>15150.4</v>
      </c>
      <c r="C443">
        <f>Sinistrés!X448</f>
        <v>0</v>
      </c>
      <c r="D443">
        <f>Sinistrés!L448</f>
        <v>16</v>
      </c>
      <c r="E443">
        <f>Sinistrés!M448</f>
        <v>16</v>
      </c>
      <c r="F443">
        <f t="shared" si="12"/>
        <v>0</v>
      </c>
      <c r="G443">
        <f t="shared" si="13"/>
        <v>1</v>
      </c>
    </row>
    <row r="444" spans="1:7" hidden="1">
      <c r="A444" t="str">
        <f>Sinistrés!H449</f>
        <v>Blé tendre d'hiver</v>
      </c>
      <c r="B444">
        <f>Sinistrés!J449</f>
        <v>85365.08</v>
      </c>
      <c r="C444">
        <f>Sinistrés!X449</f>
        <v>0</v>
      </c>
      <c r="D444">
        <f>Sinistrés!L449</f>
        <v>81.650000000000006</v>
      </c>
      <c r="E444">
        <f>Sinistrés!M449</f>
        <v>81.650000000000006</v>
      </c>
      <c r="F444">
        <f t="shared" si="12"/>
        <v>0</v>
      </c>
      <c r="G444">
        <f t="shared" si="13"/>
        <v>1</v>
      </c>
    </row>
    <row r="445" spans="1:7" hidden="1">
      <c r="A445" t="str">
        <f>Sinistrés!H450</f>
        <v>Pois protéagineux</v>
      </c>
      <c r="B445">
        <f>Sinistrés!J450</f>
        <v>7848.67</v>
      </c>
      <c r="C445">
        <f>Sinistrés!X450</f>
        <v>0</v>
      </c>
      <c r="D445">
        <f>Sinistrés!L450</f>
        <v>12.16</v>
      </c>
      <c r="E445">
        <f>Sinistrés!M450</f>
        <v>12.16</v>
      </c>
      <c r="F445">
        <f t="shared" si="12"/>
        <v>0</v>
      </c>
      <c r="G445">
        <f t="shared" si="13"/>
        <v>1</v>
      </c>
    </row>
    <row r="446" spans="1:7" hidden="1">
      <c r="A446" t="str">
        <f>Sinistrés!H451</f>
        <v>Colza d'hiver</v>
      </c>
      <c r="B446">
        <f>Sinistrés!J451</f>
        <v>54652.43</v>
      </c>
      <c r="C446">
        <f>Sinistrés!X451</f>
        <v>0</v>
      </c>
      <c r="D446">
        <f>Sinistrés!L451</f>
        <v>45.13</v>
      </c>
      <c r="E446">
        <f>Sinistrés!M451</f>
        <v>45.13</v>
      </c>
      <c r="F446">
        <f t="shared" si="12"/>
        <v>0</v>
      </c>
      <c r="G446">
        <f t="shared" si="13"/>
        <v>1</v>
      </c>
    </row>
    <row r="447" spans="1:7" hidden="1">
      <c r="A447" t="str">
        <f>Sinistrés!H452</f>
        <v>Orge d'hiver</v>
      </c>
      <c r="B447">
        <f>Sinistrés!J452</f>
        <v>20458.89</v>
      </c>
      <c r="C447">
        <f>Sinistrés!X452</f>
        <v>0</v>
      </c>
      <c r="D447">
        <f>Sinistrés!L452</f>
        <v>22.07</v>
      </c>
      <c r="E447">
        <f>Sinistrés!M452</f>
        <v>22.07</v>
      </c>
      <c r="F447">
        <f t="shared" si="12"/>
        <v>0</v>
      </c>
      <c r="G447">
        <f t="shared" si="13"/>
        <v>1</v>
      </c>
    </row>
    <row r="448" spans="1:7" hidden="1">
      <c r="A448" t="str">
        <f>Sinistrés!H453</f>
        <v>Colza d'hiver</v>
      </c>
      <c r="B448">
        <f>Sinistrés!J453</f>
        <v>8964</v>
      </c>
      <c r="C448">
        <f>Sinistrés!X453</f>
        <v>0</v>
      </c>
      <c r="D448">
        <f>Sinistrés!L453</f>
        <v>6.64</v>
      </c>
      <c r="E448">
        <f>Sinistrés!M453</f>
        <v>6.64</v>
      </c>
      <c r="F448">
        <f t="shared" si="12"/>
        <v>0</v>
      </c>
      <c r="G448">
        <f t="shared" si="13"/>
        <v>1</v>
      </c>
    </row>
    <row r="449" spans="1:7" hidden="1">
      <c r="A449" t="str">
        <f>Sinistrés!H454</f>
        <v>Colza d'hiver</v>
      </c>
      <c r="B449">
        <f>Sinistrés!J454</f>
        <v>47850</v>
      </c>
      <c r="C449">
        <f>Sinistrés!X454</f>
        <v>0</v>
      </c>
      <c r="D449">
        <f>Sinistrés!L454</f>
        <v>29</v>
      </c>
      <c r="E449">
        <f>Sinistrés!M454</f>
        <v>29</v>
      </c>
      <c r="F449">
        <f t="shared" si="12"/>
        <v>0</v>
      </c>
      <c r="G449">
        <f t="shared" si="13"/>
        <v>1</v>
      </c>
    </row>
    <row r="450" spans="1:7" hidden="1">
      <c r="A450" t="str">
        <f>Sinistrés!H455</f>
        <v>Blé tendre d'hiver</v>
      </c>
      <c r="B450">
        <f>Sinistrés!J455</f>
        <v>45815</v>
      </c>
      <c r="C450">
        <f>Sinistrés!X455</f>
        <v>0</v>
      </c>
      <c r="D450">
        <f>Sinistrés!L455</f>
        <v>50</v>
      </c>
      <c r="E450">
        <f>Sinistrés!M455</f>
        <v>50</v>
      </c>
      <c r="F450">
        <f t="shared" si="12"/>
        <v>0</v>
      </c>
      <c r="G450">
        <f t="shared" si="13"/>
        <v>1</v>
      </c>
    </row>
    <row r="451" spans="1:7" hidden="1">
      <c r="A451" t="str">
        <f>Sinistrés!H456</f>
        <v>Féveroles et fèves</v>
      </c>
      <c r="B451">
        <f>Sinistrés!J456</f>
        <v>5295.84</v>
      </c>
      <c r="C451">
        <f>Sinistrés!X456</f>
        <v>0</v>
      </c>
      <c r="D451">
        <f>Sinistrés!L456</f>
        <v>18.88</v>
      </c>
      <c r="E451">
        <f>Sinistrés!M456</f>
        <v>18.88</v>
      </c>
      <c r="F451">
        <f t="shared" ref="F451:F514" si="14">C451/B451</f>
        <v>0</v>
      </c>
      <c r="G451">
        <f t="shared" ref="G451:G514" si="15">E451/D451</f>
        <v>1</v>
      </c>
    </row>
    <row r="452" spans="1:7" hidden="1">
      <c r="A452" t="str">
        <f>Sinistrés!H457</f>
        <v xml:space="preserve">Triticale </v>
      </c>
      <c r="B452">
        <f>Sinistrés!J457</f>
        <v>20825.64</v>
      </c>
      <c r="C452">
        <f>Sinistrés!X457</f>
        <v>0</v>
      </c>
      <c r="D452">
        <f>Sinistrés!L457</f>
        <v>34.159999999999997</v>
      </c>
      <c r="E452">
        <f>Sinistrés!M457</f>
        <v>34.159999999999997</v>
      </c>
      <c r="F452">
        <f t="shared" si="14"/>
        <v>0</v>
      </c>
      <c r="G452">
        <f t="shared" si="15"/>
        <v>1</v>
      </c>
    </row>
    <row r="453" spans="1:7" hidden="1">
      <c r="A453" t="str">
        <f>Sinistrés!H458</f>
        <v>Colza d'hiver</v>
      </c>
      <c r="B453">
        <f>Sinistrés!J458</f>
        <v>13748.8</v>
      </c>
      <c r="C453">
        <f>Sinistrés!X458</f>
        <v>0</v>
      </c>
      <c r="D453">
        <f>Sinistrés!L458</f>
        <v>13.22</v>
      </c>
      <c r="E453">
        <f>Sinistrés!M458</f>
        <v>13.22</v>
      </c>
      <c r="F453">
        <f t="shared" si="14"/>
        <v>0</v>
      </c>
      <c r="G453">
        <f t="shared" si="15"/>
        <v>1</v>
      </c>
    </row>
    <row r="454" spans="1:7" hidden="1">
      <c r="A454" t="str">
        <f>Sinistrés!H459</f>
        <v>Colza d'hiver</v>
      </c>
      <c r="B454">
        <f>Sinistrés!J459</f>
        <v>95723.42</v>
      </c>
      <c r="C454">
        <f>Sinistrés!X459</f>
        <v>0</v>
      </c>
      <c r="D454">
        <f>Sinistrés!L459</f>
        <v>48.17</v>
      </c>
      <c r="E454">
        <f>Sinistrés!M459</f>
        <v>48.17</v>
      </c>
      <c r="F454">
        <f t="shared" si="14"/>
        <v>0</v>
      </c>
      <c r="G454">
        <f t="shared" si="15"/>
        <v>1</v>
      </c>
    </row>
    <row r="455" spans="1:7" hidden="1">
      <c r="A455" t="str">
        <f>Sinistrés!H460</f>
        <v>Avoine d'hiver</v>
      </c>
      <c r="B455">
        <f>Sinistrés!J460</f>
        <v>12527.09</v>
      </c>
      <c r="C455">
        <f>Sinistrés!X460</f>
        <v>0</v>
      </c>
      <c r="D455">
        <f>Sinistrés!L460</f>
        <v>16.21</v>
      </c>
      <c r="E455">
        <f>Sinistrés!M460</f>
        <v>16.21</v>
      </c>
      <c r="F455">
        <f t="shared" si="14"/>
        <v>0</v>
      </c>
      <c r="G455">
        <f t="shared" si="15"/>
        <v>1</v>
      </c>
    </row>
    <row r="456" spans="1:7" hidden="1">
      <c r="A456" t="str">
        <f>Sinistrés!H461</f>
        <v>Triticale</v>
      </c>
      <c r="B456">
        <f>Sinistrés!J461</f>
        <v>21486.6</v>
      </c>
      <c r="C456">
        <f>Sinistrés!X461</f>
        <v>0</v>
      </c>
      <c r="D456">
        <f>Sinistrés!L461</f>
        <v>27.6</v>
      </c>
      <c r="E456">
        <f>Sinistrés!M461</f>
        <v>27.6</v>
      </c>
      <c r="F456">
        <f t="shared" si="14"/>
        <v>0</v>
      </c>
      <c r="G456">
        <f t="shared" si="15"/>
        <v>1</v>
      </c>
    </row>
    <row r="457" spans="1:7" hidden="1">
      <c r="A457" t="str">
        <f>Sinistrés!H462</f>
        <v>Blé tendre d'hiver</v>
      </c>
      <c r="B457">
        <f>Sinistrés!J462</f>
        <v>9716.82</v>
      </c>
      <c r="C457">
        <f>Sinistrés!X462</f>
        <v>0</v>
      </c>
      <c r="D457">
        <f>Sinistrés!L462</f>
        <v>10.46</v>
      </c>
      <c r="E457">
        <f>Sinistrés!M462</f>
        <v>10.46</v>
      </c>
      <c r="F457">
        <f t="shared" si="14"/>
        <v>0</v>
      </c>
      <c r="G457">
        <f t="shared" si="15"/>
        <v>1</v>
      </c>
    </row>
    <row r="458" spans="1:7" hidden="1">
      <c r="A458" t="str">
        <f>Sinistrés!H463</f>
        <v>Colza d'hiver</v>
      </c>
      <c r="B458">
        <f>Sinistrés!J463</f>
        <v>12973.88</v>
      </c>
      <c r="C458">
        <f>Sinistrés!X463</f>
        <v>0</v>
      </c>
      <c r="D458">
        <f>Sinistrés!L463</f>
        <v>11.93</v>
      </c>
      <c r="E458">
        <f>Sinistrés!M463</f>
        <v>11.93</v>
      </c>
      <c r="F458">
        <f t="shared" si="14"/>
        <v>0</v>
      </c>
      <c r="G458">
        <f t="shared" si="15"/>
        <v>1</v>
      </c>
    </row>
    <row r="459" spans="1:7" hidden="1">
      <c r="A459" t="str">
        <f>Sinistrés!H464</f>
        <v>Colza d'hiver</v>
      </c>
      <c r="B459">
        <f>Sinistrés!J464</f>
        <v>21865.54</v>
      </c>
      <c r="C459">
        <f>Sinistrés!X464</f>
        <v>0</v>
      </c>
      <c r="D459">
        <f>Sinistrés!L464</f>
        <v>14.96</v>
      </c>
      <c r="E459">
        <f>Sinistrés!M464</f>
        <v>9</v>
      </c>
      <c r="F459">
        <f t="shared" si="14"/>
        <v>0</v>
      </c>
      <c r="G459">
        <f t="shared" si="15"/>
        <v>0.60160427807486627</v>
      </c>
    </row>
    <row r="460" spans="1:7" hidden="1">
      <c r="A460" t="str">
        <f>Sinistrés!H465</f>
        <v>Blé tendre d'hiver</v>
      </c>
      <c r="B460">
        <f>Sinistrés!J465</f>
        <v>29682.34</v>
      </c>
      <c r="C460">
        <f>Sinistrés!X465</f>
        <v>0</v>
      </c>
      <c r="D460">
        <f>Sinistrés!L465</f>
        <v>26.54</v>
      </c>
      <c r="E460">
        <f>Sinistrés!M465</f>
        <v>26.5</v>
      </c>
      <c r="F460">
        <f t="shared" si="14"/>
        <v>0</v>
      </c>
      <c r="G460">
        <f t="shared" si="15"/>
        <v>0.99849284099472502</v>
      </c>
    </row>
    <row r="461" spans="1:7" hidden="1">
      <c r="A461" t="str">
        <f>Sinistrés!H466</f>
        <v>Orge d'hiver</v>
      </c>
      <c r="B461">
        <f>Sinistrés!J466</f>
        <v>3298.68</v>
      </c>
      <c r="C461">
        <f>Sinistrés!X466</f>
        <v>0</v>
      </c>
      <c r="D461">
        <f>Sinistrés!L466</f>
        <v>3.74</v>
      </c>
      <c r="E461">
        <f>Sinistrés!M466</f>
        <v>4.5999999999999996</v>
      </c>
      <c r="F461">
        <f t="shared" si="14"/>
        <v>0</v>
      </c>
      <c r="G461">
        <f t="shared" si="15"/>
        <v>1.2299465240641709</v>
      </c>
    </row>
    <row r="462" spans="1:7" hidden="1">
      <c r="A462" t="str">
        <f>Sinistrés!H467</f>
        <v>Blé tendre d'hiver</v>
      </c>
      <c r="B462">
        <f>Sinistrés!J467</f>
        <v>105727.61</v>
      </c>
      <c r="C462">
        <f>Sinistrés!X467</f>
        <v>0</v>
      </c>
      <c r="D462">
        <f>Sinistrés!L467</f>
        <v>72.72</v>
      </c>
      <c r="E462">
        <f>Sinistrés!M467</f>
        <v>72.72</v>
      </c>
      <c r="F462">
        <f t="shared" si="14"/>
        <v>0</v>
      </c>
      <c r="G462">
        <f t="shared" si="15"/>
        <v>1</v>
      </c>
    </row>
    <row r="463" spans="1:7" hidden="1">
      <c r="A463" t="str">
        <f>Sinistrés!H468</f>
        <v>Blé dur d'hiver</v>
      </c>
      <c r="B463">
        <f>Sinistrés!J468</f>
        <v>31977.95</v>
      </c>
      <c r="C463">
        <f>Sinistrés!X468</f>
        <v>0</v>
      </c>
      <c r="D463">
        <f>Sinistrés!L468</f>
        <v>20.27</v>
      </c>
      <c r="E463">
        <f>Sinistrés!M468</f>
        <v>20.27</v>
      </c>
      <c r="F463">
        <f t="shared" si="14"/>
        <v>0</v>
      </c>
      <c r="G463">
        <f t="shared" si="15"/>
        <v>1</v>
      </c>
    </row>
    <row r="464" spans="1:7" hidden="1">
      <c r="A464" t="str">
        <f>Sinistrés!H469</f>
        <v>Blé tendre d'hiver</v>
      </c>
      <c r="B464">
        <f>Sinistrés!J469</f>
        <v>13689.48</v>
      </c>
      <c r="C464">
        <f>Sinistrés!X469</f>
        <v>0</v>
      </c>
      <c r="D464">
        <f>Sinistrés!L469</f>
        <v>11.37</v>
      </c>
      <c r="E464">
        <f>Sinistrés!M469</f>
        <v>11.37</v>
      </c>
      <c r="F464">
        <f t="shared" si="14"/>
        <v>0</v>
      </c>
      <c r="G464">
        <f t="shared" si="15"/>
        <v>1</v>
      </c>
    </row>
    <row r="465" spans="1:7" hidden="1">
      <c r="A465" t="str">
        <f>Sinistrés!H470</f>
        <v>Colza d'hiver</v>
      </c>
      <c r="B465">
        <f>Sinistrés!J470</f>
        <v>50635.199999999997</v>
      </c>
      <c r="C465">
        <f>Sinistrés!X470</f>
        <v>0</v>
      </c>
      <c r="D465">
        <f>Sinistrés!L470</f>
        <v>28.77</v>
      </c>
      <c r="E465">
        <f>Sinistrés!M470</f>
        <v>28.77</v>
      </c>
      <c r="F465">
        <f t="shared" si="14"/>
        <v>0</v>
      </c>
      <c r="G465">
        <f t="shared" si="15"/>
        <v>1</v>
      </c>
    </row>
    <row r="466" spans="1:7" hidden="1">
      <c r="A466" t="str">
        <f>Sinistrés!H471</f>
        <v>Blé tendre d'hiver</v>
      </c>
      <c r="B466">
        <f>Sinistrés!J471</f>
        <v>46867.14</v>
      </c>
      <c r="C466">
        <f>Sinistrés!X471</f>
        <v>0</v>
      </c>
      <c r="D466">
        <f>Sinistrés!L471</f>
        <v>34.11</v>
      </c>
      <c r="E466">
        <f>Sinistrés!M471</f>
        <v>34.11</v>
      </c>
      <c r="F466">
        <f t="shared" si="14"/>
        <v>0</v>
      </c>
      <c r="G466">
        <f t="shared" si="15"/>
        <v>1</v>
      </c>
    </row>
    <row r="467" spans="1:7" hidden="1">
      <c r="A467" t="str">
        <f>Sinistrés!H472</f>
        <v>Colza d'hiver</v>
      </c>
      <c r="B467">
        <f>Sinistrés!J472</f>
        <v>33003.629999999997</v>
      </c>
      <c r="C467">
        <f>Sinistrés!X472</f>
        <v>0</v>
      </c>
      <c r="D467">
        <f>Sinistrés!L472</f>
        <v>18.02</v>
      </c>
      <c r="E467">
        <f>Sinistrés!M472</f>
        <v>18.02</v>
      </c>
      <c r="F467">
        <f t="shared" si="14"/>
        <v>0</v>
      </c>
      <c r="G467">
        <f t="shared" si="15"/>
        <v>1</v>
      </c>
    </row>
    <row r="468" spans="1:7" hidden="1">
      <c r="A468" t="str">
        <f>Sinistrés!H473</f>
        <v>Orge d'hiver BIO</v>
      </c>
      <c r="B468">
        <f>Sinistrés!J473</f>
        <v>18588.53</v>
      </c>
      <c r="C468">
        <f>Sinistrés!X473</f>
        <v>0</v>
      </c>
      <c r="D468">
        <f>Sinistrés!L473</f>
        <v>17.010000000000002</v>
      </c>
      <c r="E468">
        <f>Sinistrés!M473</f>
        <v>17.010000000000002</v>
      </c>
      <c r="F468">
        <f t="shared" si="14"/>
        <v>0</v>
      </c>
      <c r="G468">
        <f t="shared" si="15"/>
        <v>1</v>
      </c>
    </row>
    <row r="469" spans="1:7" hidden="1">
      <c r="A469" t="str">
        <f>Sinistrés!H474</f>
        <v>Colza d'hiver</v>
      </c>
      <c r="B469">
        <f>Sinistrés!J474</f>
        <v>29275.57</v>
      </c>
      <c r="C469">
        <f>Sinistrés!X474</f>
        <v>0</v>
      </c>
      <c r="D469">
        <f>Sinistrés!L474</f>
        <v>21.17</v>
      </c>
      <c r="E469">
        <f>Sinistrés!M474</f>
        <v>21.17</v>
      </c>
      <c r="F469">
        <f t="shared" si="14"/>
        <v>0</v>
      </c>
      <c r="G469">
        <f t="shared" si="15"/>
        <v>1</v>
      </c>
    </row>
    <row r="470" spans="1:7" hidden="1">
      <c r="A470" t="str">
        <f>Sinistrés!H475</f>
        <v>Orge d'hiver</v>
      </c>
      <c r="B470">
        <f>Sinistrés!J475</f>
        <v>59986.94</v>
      </c>
      <c r="C470">
        <f>Sinistrés!X475</f>
        <v>0</v>
      </c>
      <c r="D470">
        <f>Sinistrés!L475</f>
        <v>53.45</v>
      </c>
      <c r="E470">
        <f>Sinistrés!M475</f>
        <v>53.45</v>
      </c>
      <c r="F470">
        <f t="shared" si="14"/>
        <v>0</v>
      </c>
      <c r="G470">
        <f t="shared" si="15"/>
        <v>1</v>
      </c>
    </row>
    <row r="471" spans="1:7" hidden="1">
      <c r="A471" t="str">
        <f>Sinistrés!H476</f>
        <v>Avoine d'hiver</v>
      </c>
      <c r="B471">
        <f>Sinistrés!J476</f>
        <v>4732.8</v>
      </c>
      <c r="C471">
        <f>Sinistrés!X476</f>
        <v>0</v>
      </c>
      <c r="D471">
        <f>Sinistrés!L476</f>
        <v>8.6999999999999993</v>
      </c>
      <c r="E471">
        <f>Sinistrés!M476</f>
        <v>8.6999999999999993</v>
      </c>
      <c r="F471">
        <f t="shared" si="14"/>
        <v>0</v>
      </c>
      <c r="G471">
        <f t="shared" si="15"/>
        <v>1</v>
      </c>
    </row>
    <row r="472" spans="1:7" hidden="1">
      <c r="A472" t="str">
        <f>Sinistrés!H477</f>
        <v>Colza d'hiver</v>
      </c>
      <c r="B472">
        <f>Sinistrés!J477</f>
        <v>11689.7</v>
      </c>
      <c r="C472">
        <f>Sinistrés!X477</f>
        <v>0</v>
      </c>
      <c r="D472">
        <f>Sinistrés!L477</f>
        <v>10.63</v>
      </c>
      <c r="E472">
        <f>Sinistrés!M477</f>
        <v>10.63</v>
      </c>
      <c r="F472">
        <f t="shared" si="14"/>
        <v>0</v>
      </c>
      <c r="G472">
        <f t="shared" si="15"/>
        <v>1</v>
      </c>
    </row>
    <row r="473" spans="1:7" hidden="1">
      <c r="A473" t="str">
        <f>Sinistrés!H478</f>
        <v>Blé tendre d'hiver</v>
      </c>
      <c r="B473">
        <f>Sinistrés!J478</f>
        <v>11789.95</v>
      </c>
      <c r="C473">
        <f>Sinistrés!X478</f>
        <v>0</v>
      </c>
      <c r="D473">
        <f>Sinistrés!L478</f>
        <v>11.75</v>
      </c>
      <c r="E473">
        <f>Sinistrés!M478</f>
        <v>11.75</v>
      </c>
      <c r="F473">
        <f t="shared" si="14"/>
        <v>0</v>
      </c>
      <c r="G473">
        <f t="shared" si="15"/>
        <v>1</v>
      </c>
    </row>
    <row r="474" spans="1:7" hidden="1">
      <c r="A474" t="str">
        <f>Sinistrés!H479</f>
        <v>Orge d'hiver</v>
      </c>
      <c r="B474">
        <f>Sinistrés!J479</f>
        <v>8487.1200000000008</v>
      </c>
      <c r="C474">
        <f>Sinistrés!X479</f>
        <v>0</v>
      </c>
      <c r="D474">
        <f>Sinistrés!L479</f>
        <v>9.83</v>
      </c>
      <c r="E474">
        <f>Sinistrés!M479</f>
        <v>9.83</v>
      </c>
      <c r="F474">
        <f t="shared" si="14"/>
        <v>0</v>
      </c>
      <c r="G474">
        <f t="shared" si="15"/>
        <v>1</v>
      </c>
    </row>
    <row r="475" spans="1:7" hidden="1">
      <c r="A475" t="str">
        <f>Sinistrés!H480</f>
        <v>Blé tendre d'hiver BIO</v>
      </c>
      <c r="B475">
        <f>Sinistrés!J480</f>
        <v>18671.400000000001</v>
      </c>
      <c r="C475">
        <f>Sinistrés!X480</f>
        <v>0</v>
      </c>
      <c r="D475">
        <f>Sinistrés!L480</f>
        <v>16.399999999999999</v>
      </c>
      <c r="E475">
        <f>Sinistrés!M480</f>
        <v>16.399999999999999</v>
      </c>
      <c r="F475">
        <f t="shared" si="14"/>
        <v>0</v>
      </c>
      <c r="G475">
        <f t="shared" si="15"/>
        <v>1</v>
      </c>
    </row>
    <row r="476" spans="1:7" hidden="1">
      <c r="A476" t="str">
        <f>Sinistrés!H481</f>
        <v>Seigle et méteil BIO</v>
      </c>
      <c r="B476">
        <f>Sinistrés!J481</f>
        <v>8388.7999999999993</v>
      </c>
      <c r="C476">
        <f>Sinistrés!X481</f>
        <v>0</v>
      </c>
      <c r="D476">
        <f>Sinistrés!L481</f>
        <v>7.49</v>
      </c>
      <c r="E476">
        <f>Sinistrés!M481</f>
        <v>7.49</v>
      </c>
      <c r="F476">
        <f t="shared" si="14"/>
        <v>0</v>
      </c>
      <c r="G476">
        <f t="shared" si="15"/>
        <v>1</v>
      </c>
    </row>
    <row r="477" spans="1:7" hidden="1">
      <c r="A477" t="str">
        <f>Sinistrés!H482</f>
        <v>Seigle et méteil BIO</v>
      </c>
      <c r="B477">
        <f>Sinistrés!J482</f>
        <v>11670.4</v>
      </c>
      <c r="C477">
        <f>Sinistrés!X482</f>
        <v>0</v>
      </c>
      <c r="D477">
        <f>Sinistrés!L482</f>
        <v>10.42</v>
      </c>
      <c r="E477">
        <f>Sinistrés!M482</f>
        <v>10.42</v>
      </c>
      <c r="F477">
        <f t="shared" si="14"/>
        <v>0</v>
      </c>
      <c r="G477">
        <f t="shared" si="15"/>
        <v>1</v>
      </c>
    </row>
    <row r="478" spans="1:7" hidden="1">
      <c r="A478" t="str">
        <f>Sinistrés!H483</f>
        <v>Lupin doux</v>
      </c>
      <c r="B478">
        <f>Sinistrés!J483</f>
        <v>10997.91</v>
      </c>
      <c r="C478">
        <f>Sinistrés!X483</f>
        <v>0</v>
      </c>
      <c r="D478">
        <f>Sinistrés!L483</f>
        <v>10.58</v>
      </c>
      <c r="E478">
        <f>Sinistrés!M483</f>
        <v>10.58</v>
      </c>
      <c r="F478">
        <f t="shared" si="14"/>
        <v>0</v>
      </c>
      <c r="G478">
        <f t="shared" si="15"/>
        <v>1</v>
      </c>
    </row>
    <row r="479" spans="1:7" hidden="1">
      <c r="A479" t="str">
        <f>Sinistrés!H484</f>
        <v>Blé tendre d'hiver</v>
      </c>
      <c r="B479">
        <f>Sinistrés!J484</f>
        <v>51229.64</v>
      </c>
      <c r="C479">
        <f>Sinistrés!X484</f>
        <v>0</v>
      </c>
      <c r="D479">
        <f>Sinistrés!L484</f>
        <v>49.16</v>
      </c>
      <c r="E479">
        <f>Sinistrés!M484</f>
        <v>49.16</v>
      </c>
      <c r="F479">
        <f t="shared" si="14"/>
        <v>0</v>
      </c>
      <c r="G479">
        <f t="shared" si="15"/>
        <v>1</v>
      </c>
    </row>
    <row r="480" spans="1:7" hidden="1">
      <c r="A480" t="str">
        <f>Sinistrés!H485</f>
        <v>Colza d'hiver</v>
      </c>
      <c r="B480">
        <f>Sinistrés!J485</f>
        <v>32717.52</v>
      </c>
      <c r="C480">
        <f>Sinistrés!X485</f>
        <v>0</v>
      </c>
      <c r="D480">
        <f>Sinistrés!L485</f>
        <v>26.73</v>
      </c>
      <c r="E480">
        <f>Sinistrés!M485</f>
        <v>26.73</v>
      </c>
      <c r="F480">
        <f t="shared" si="14"/>
        <v>0</v>
      </c>
      <c r="G480">
        <f t="shared" si="15"/>
        <v>1</v>
      </c>
    </row>
    <row r="481" spans="1:7" hidden="1">
      <c r="A481" t="str">
        <f>Sinistrés!H486</f>
        <v>Colza d'hiver</v>
      </c>
      <c r="B481">
        <f>Sinistrés!J486</f>
        <v>125550</v>
      </c>
      <c r="C481">
        <f>Sinistrés!X486</f>
        <v>0</v>
      </c>
      <c r="D481">
        <f>Sinistrés!L486</f>
        <v>67.5</v>
      </c>
      <c r="E481">
        <f>Sinistrés!M486</f>
        <v>67.5</v>
      </c>
      <c r="F481">
        <f t="shared" si="14"/>
        <v>0</v>
      </c>
      <c r="G481">
        <f t="shared" si="15"/>
        <v>1</v>
      </c>
    </row>
    <row r="482" spans="1:7" hidden="1">
      <c r="A482" t="str">
        <f>Sinistrés!H487</f>
        <v>Blé tendre d'hiver</v>
      </c>
      <c r="B482">
        <f>Sinistrés!J487</f>
        <v>11970.56</v>
      </c>
      <c r="C482">
        <f>Sinistrés!X487</f>
        <v>0</v>
      </c>
      <c r="D482">
        <f>Sinistrés!L487</f>
        <v>11.2</v>
      </c>
      <c r="E482">
        <f>Sinistrés!M487</f>
        <v>11.2</v>
      </c>
      <c r="F482">
        <f t="shared" si="14"/>
        <v>0</v>
      </c>
      <c r="G482">
        <f t="shared" si="15"/>
        <v>1</v>
      </c>
    </row>
    <row r="483" spans="1:7" hidden="1">
      <c r="A483" t="str">
        <f>Sinistrés!H488</f>
        <v>Orge d'hiver</v>
      </c>
      <c r="B483">
        <f>Sinistrés!J488</f>
        <v>22210.35</v>
      </c>
      <c r="C483">
        <f>Sinistrés!X488</f>
        <v>0</v>
      </c>
      <c r="D483">
        <f>Sinistrés!L488</f>
        <v>28.15</v>
      </c>
      <c r="E483">
        <f>Sinistrés!M488</f>
        <v>28.15</v>
      </c>
      <c r="F483">
        <f t="shared" si="14"/>
        <v>0</v>
      </c>
      <c r="G483">
        <f t="shared" si="15"/>
        <v>1</v>
      </c>
    </row>
    <row r="484" spans="1:7" hidden="1">
      <c r="A484" t="str">
        <f>Sinistrés!H489</f>
        <v>Blé de force</v>
      </c>
      <c r="B484">
        <f>Sinistrés!J489</f>
        <v>3760.02</v>
      </c>
      <c r="C484">
        <f>Sinistrés!X489</f>
        <v>0</v>
      </c>
      <c r="D484">
        <f>Sinistrés!L489</f>
        <v>2.7</v>
      </c>
      <c r="E484">
        <f>Sinistrés!M489</f>
        <v>2.7</v>
      </c>
      <c r="F484">
        <f t="shared" si="14"/>
        <v>0</v>
      </c>
      <c r="G484">
        <f t="shared" si="15"/>
        <v>1</v>
      </c>
    </row>
    <row r="485" spans="1:7" hidden="1">
      <c r="A485" t="str">
        <f>Sinistrés!H490</f>
        <v>Blé tendre d'hiver</v>
      </c>
      <c r="B485">
        <f>Sinistrés!J490</f>
        <v>24372</v>
      </c>
      <c r="C485">
        <f>Sinistrés!X490</f>
        <v>0</v>
      </c>
      <c r="D485">
        <f>Sinistrés!L490</f>
        <v>18</v>
      </c>
      <c r="E485">
        <f>Sinistrés!M490</f>
        <v>18</v>
      </c>
      <c r="F485">
        <f t="shared" si="14"/>
        <v>0</v>
      </c>
      <c r="G485">
        <f t="shared" si="15"/>
        <v>1</v>
      </c>
    </row>
    <row r="486" spans="1:7" hidden="1">
      <c r="A486" t="str">
        <f>Sinistrés!H491</f>
        <v>Orge d'hiver</v>
      </c>
      <c r="B486">
        <f>Sinistrés!J491</f>
        <v>11832</v>
      </c>
      <c r="C486">
        <f>Sinistrés!X491</f>
        <v>0</v>
      </c>
      <c r="D486">
        <f>Sinistrés!L491</f>
        <v>12</v>
      </c>
      <c r="E486">
        <f>Sinistrés!M491</f>
        <v>12</v>
      </c>
      <c r="F486">
        <f t="shared" si="14"/>
        <v>0</v>
      </c>
      <c r="G486">
        <f t="shared" si="15"/>
        <v>1</v>
      </c>
    </row>
    <row r="487" spans="1:7" hidden="1">
      <c r="A487" t="str">
        <f>Sinistrés!H492</f>
        <v>Blé dur d'hiver</v>
      </c>
      <c r="B487">
        <f>Sinistrés!J492</f>
        <v>13292.1</v>
      </c>
      <c r="C487">
        <f>Sinistrés!X492</f>
        <v>0</v>
      </c>
      <c r="D487">
        <f>Sinistrés!L492</f>
        <v>9</v>
      </c>
      <c r="E487">
        <f>Sinistrés!M492</f>
        <v>9</v>
      </c>
      <c r="F487">
        <f t="shared" si="14"/>
        <v>0</v>
      </c>
      <c r="G487">
        <f t="shared" si="15"/>
        <v>1</v>
      </c>
    </row>
    <row r="488" spans="1:7" hidden="1">
      <c r="A488" t="str">
        <f>Sinistrés!H493</f>
        <v>Blé tendre d'hiver</v>
      </c>
      <c r="B488">
        <f>Sinistrés!J493</f>
        <v>31005.040000000001</v>
      </c>
      <c r="C488">
        <f>Sinistrés!X493</f>
        <v>0</v>
      </c>
      <c r="D488">
        <f>Sinistrés!L493</f>
        <v>30.86</v>
      </c>
      <c r="E488">
        <f>Sinistrés!M493</f>
        <v>30.86</v>
      </c>
      <c r="F488">
        <f t="shared" si="14"/>
        <v>0</v>
      </c>
      <c r="G488">
        <f t="shared" si="15"/>
        <v>1</v>
      </c>
    </row>
    <row r="489" spans="1:7" hidden="1">
      <c r="A489" t="str">
        <f>Sinistrés!H494</f>
        <v>Colza d'hiver</v>
      </c>
      <c r="B489">
        <f>Sinistrés!J494</f>
        <v>3207.6</v>
      </c>
      <c r="C489">
        <f>Sinistrés!X494</f>
        <v>0</v>
      </c>
      <c r="D489">
        <f>Sinistrés!L494</f>
        <v>2.16</v>
      </c>
      <c r="E489">
        <f>Sinistrés!M494</f>
        <v>2.16</v>
      </c>
      <c r="F489">
        <f t="shared" si="14"/>
        <v>0</v>
      </c>
      <c r="G489">
        <f t="shared" si="15"/>
        <v>1</v>
      </c>
    </row>
    <row r="490" spans="1:7" hidden="1">
      <c r="A490" t="str">
        <f>Sinistrés!H495</f>
        <v>Colza d'hiver</v>
      </c>
      <c r="B490">
        <f>Sinistrés!J495</f>
        <v>54449.64</v>
      </c>
      <c r="C490">
        <f>Sinistrés!X495</f>
        <v>0</v>
      </c>
      <c r="D490">
        <f>Sinistrés!L495</f>
        <v>38.130000000000003</v>
      </c>
      <c r="E490">
        <f>Sinistrés!M495</f>
        <v>38.130000000000003</v>
      </c>
      <c r="F490">
        <f t="shared" si="14"/>
        <v>0</v>
      </c>
      <c r="G490">
        <f t="shared" si="15"/>
        <v>1</v>
      </c>
    </row>
    <row r="491" spans="1:7" hidden="1">
      <c r="A491" t="str">
        <f>Sinistrés!H496</f>
        <v>Orge d'hiver</v>
      </c>
      <c r="B491">
        <f>Sinistrés!J496</f>
        <v>31761.98</v>
      </c>
      <c r="C491">
        <f>Sinistrés!X496</f>
        <v>0</v>
      </c>
      <c r="D491">
        <f>Sinistrés!L496</f>
        <v>41.93</v>
      </c>
      <c r="E491">
        <f>Sinistrés!M496</f>
        <v>35.71</v>
      </c>
      <c r="F491">
        <f t="shared" si="14"/>
        <v>0</v>
      </c>
      <c r="G491">
        <f t="shared" si="15"/>
        <v>0.85165752444550447</v>
      </c>
    </row>
    <row r="492" spans="1:7" hidden="1">
      <c r="A492" t="str">
        <f>Sinistrés!H497</f>
        <v>Blé tendre d'hiver</v>
      </c>
      <c r="B492">
        <f>Sinistrés!J497</f>
        <v>20708.099999999999</v>
      </c>
      <c r="C492">
        <f>Sinistrés!X497</f>
        <v>0</v>
      </c>
      <c r="D492">
        <f>Sinistrés!L497</f>
        <v>18</v>
      </c>
      <c r="E492">
        <f>Sinistrés!M497</f>
        <v>18</v>
      </c>
      <c r="F492">
        <f t="shared" si="14"/>
        <v>0</v>
      </c>
      <c r="G492">
        <f t="shared" si="15"/>
        <v>1</v>
      </c>
    </row>
    <row r="493" spans="1:7" hidden="1">
      <c r="A493" t="str">
        <f>Sinistrés!H498</f>
        <v>Orge d'hiver</v>
      </c>
      <c r="B493">
        <f>Sinistrés!J498</f>
        <v>3727.44</v>
      </c>
      <c r="C493">
        <f>Sinistrés!X498</f>
        <v>0</v>
      </c>
      <c r="D493">
        <f>Sinistrés!L498</f>
        <v>4</v>
      </c>
      <c r="E493">
        <f>Sinistrés!M498</f>
        <v>4</v>
      </c>
      <c r="F493">
        <f t="shared" si="14"/>
        <v>0</v>
      </c>
      <c r="G493">
        <f t="shared" si="15"/>
        <v>1</v>
      </c>
    </row>
    <row r="494" spans="1:7" hidden="1">
      <c r="A494" t="str">
        <f>Sinistrés!H499</f>
        <v>Colza d'hiver</v>
      </c>
      <c r="B494">
        <f>Sinistrés!J499</f>
        <v>10996.9</v>
      </c>
      <c r="C494">
        <f>Sinistrés!X499</f>
        <v>0</v>
      </c>
      <c r="D494">
        <f>Sinistrés!L499</f>
        <v>10</v>
      </c>
      <c r="E494">
        <f>Sinistrés!M499</f>
        <v>10</v>
      </c>
      <c r="F494">
        <f t="shared" si="14"/>
        <v>0</v>
      </c>
      <c r="G494">
        <f t="shared" si="15"/>
        <v>1</v>
      </c>
    </row>
    <row r="495" spans="1:7" hidden="1">
      <c r="A495" t="str">
        <f>Sinistrés!H500</f>
        <v>Colza d'hiver</v>
      </c>
      <c r="B495">
        <f>Sinistrés!J500</f>
        <v>73746.720000000001</v>
      </c>
      <c r="C495">
        <f>Sinistrés!X500</f>
        <v>0</v>
      </c>
      <c r="D495">
        <f>Sinistrés!L500</f>
        <v>48</v>
      </c>
      <c r="E495">
        <f>Sinistrés!M500</f>
        <v>48</v>
      </c>
      <c r="F495">
        <f t="shared" si="14"/>
        <v>0</v>
      </c>
      <c r="G495">
        <f t="shared" si="15"/>
        <v>1</v>
      </c>
    </row>
    <row r="496" spans="1:7" hidden="1">
      <c r="A496" t="str">
        <f>Sinistrés!H501</f>
        <v>Blé de force</v>
      </c>
      <c r="B496">
        <f>Sinistrés!J501</f>
        <v>13732.74</v>
      </c>
      <c r="C496">
        <f>Sinistrés!X501</f>
        <v>0</v>
      </c>
      <c r="D496">
        <f>Sinistrés!L501</f>
        <v>14</v>
      </c>
      <c r="E496">
        <f>Sinistrés!M501</f>
        <v>14</v>
      </c>
      <c r="F496">
        <f t="shared" si="14"/>
        <v>0</v>
      </c>
      <c r="G496">
        <f t="shared" si="15"/>
        <v>1</v>
      </c>
    </row>
    <row r="497" spans="1:7" hidden="1">
      <c r="A497" t="str">
        <f>Sinistrés!H502</f>
        <v>Blé tendre d'hiver</v>
      </c>
      <c r="B497">
        <f>Sinistrés!J502</f>
        <v>100979.2</v>
      </c>
      <c r="C497">
        <f>Sinistrés!X502</f>
        <v>0</v>
      </c>
      <c r="D497">
        <f>Sinistrés!L502</f>
        <v>98</v>
      </c>
      <c r="E497">
        <f>Sinistrés!M502</f>
        <v>98</v>
      </c>
      <c r="F497">
        <f t="shared" si="14"/>
        <v>0</v>
      </c>
      <c r="G497">
        <f t="shared" si="15"/>
        <v>1</v>
      </c>
    </row>
    <row r="498" spans="1:7" hidden="1">
      <c r="A498" t="str">
        <f>Sinistrés!H503</f>
        <v>Colza d'hiver</v>
      </c>
      <c r="B498">
        <f>Sinistrés!J503</f>
        <v>10861.56</v>
      </c>
      <c r="C498">
        <f>Sinistrés!X503</f>
        <v>0</v>
      </c>
      <c r="D498">
        <f>Sinistrés!L503</f>
        <v>17</v>
      </c>
      <c r="E498">
        <f>Sinistrés!M503</f>
        <v>8.9</v>
      </c>
      <c r="F498">
        <f t="shared" si="14"/>
        <v>0</v>
      </c>
      <c r="G498">
        <f t="shared" si="15"/>
        <v>0.52352941176470591</v>
      </c>
    </row>
    <row r="499" spans="1:7" hidden="1">
      <c r="A499" t="str">
        <f>Sinistrés!H504</f>
        <v>Orge d'hiver</v>
      </c>
      <c r="B499">
        <f>Sinistrés!J504</f>
        <v>54756</v>
      </c>
      <c r="C499">
        <f>Sinistrés!X504</f>
        <v>0</v>
      </c>
      <c r="D499">
        <f>Sinistrés!L504</f>
        <v>54</v>
      </c>
      <c r="E499">
        <f>Sinistrés!M504</f>
        <v>54</v>
      </c>
      <c r="F499">
        <f t="shared" si="14"/>
        <v>0</v>
      </c>
      <c r="G499">
        <f t="shared" si="15"/>
        <v>1</v>
      </c>
    </row>
    <row r="500" spans="1:7" hidden="1">
      <c r="A500" t="str">
        <f>Sinistrés!H505</f>
        <v>Blé tendre d'hiver</v>
      </c>
      <c r="B500">
        <f>Sinistrés!J505</f>
        <v>57707.1</v>
      </c>
      <c r="C500">
        <f>Sinistrés!X505</f>
        <v>0</v>
      </c>
      <c r="D500">
        <f>Sinistrés!L505</f>
        <v>58</v>
      </c>
      <c r="E500">
        <f>Sinistrés!M505</f>
        <v>58</v>
      </c>
      <c r="F500">
        <f t="shared" si="14"/>
        <v>0</v>
      </c>
      <c r="G500">
        <f t="shared" si="15"/>
        <v>1</v>
      </c>
    </row>
    <row r="501" spans="1:7" hidden="1">
      <c r="A501" t="str">
        <f>Sinistrés!H506</f>
        <v>Colza d'hiver</v>
      </c>
      <c r="B501">
        <f>Sinistrés!J506</f>
        <v>30115</v>
      </c>
      <c r="C501">
        <f>Sinistrés!X506</f>
        <v>0</v>
      </c>
      <c r="D501">
        <f>Sinistrés!L506</f>
        <v>25</v>
      </c>
      <c r="E501">
        <f>Sinistrés!M506</f>
        <v>25</v>
      </c>
      <c r="F501">
        <f t="shared" si="14"/>
        <v>0</v>
      </c>
      <c r="G501">
        <f t="shared" si="15"/>
        <v>1</v>
      </c>
    </row>
    <row r="502" spans="1:7" hidden="1">
      <c r="A502" t="str">
        <f>Sinistrés!H507</f>
        <v>Orge d'hiver</v>
      </c>
      <c r="B502">
        <f>Sinistrés!J507</f>
        <v>31393.7</v>
      </c>
      <c r="C502">
        <f>Sinistrés!X507</f>
        <v>0</v>
      </c>
      <c r="D502">
        <f>Sinistrés!L507</f>
        <v>38</v>
      </c>
      <c r="E502">
        <f>Sinistrés!M507</f>
        <v>38</v>
      </c>
      <c r="F502">
        <f t="shared" si="14"/>
        <v>0</v>
      </c>
      <c r="G502">
        <f t="shared" si="15"/>
        <v>1</v>
      </c>
    </row>
    <row r="503" spans="1:7" hidden="1">
      <c r="A503" t="str">
        <f>Sinistrés!H508</f>
        <v>Colza d'hiver</v>
      </c>
      <c r="B503">
        <f>Sinistrés!J508</f>
        <v>16101.26</v>
      </c>
      <c r="C503">
        <f>Sinistrés!X508</f>
        <v>0</v>
      </c>
      <c r="D503">
        <f>Sinistrés!L508</f>
        <v>10.76</v>
      </c>
      <c r="E503">
        <f>Sinistrés!M508</f>
        <v>10.76</v>
      </c>
      <c r="F503">
        <f t="shared" si="14"/>
        <v>0</v>
      </c>
      <c r="G503">
        <f t="shared" si="15"/>
        <v>1</v>
      </c>
    </row>
    <row r="504" spans="1:7" hidden="1">
      <c r="A504" t="str">
        <f>Sinistrés!H509</f>
        <v>Colza d'hiver</v>
      </c>
      <c r="B504">
        <f>Sinistrés!J509</f>
        <v>32841.120000000003</v>
      </c>
      <c r="C504">
        <f>Sinistrés!X509</f>
        <v>0</v>
      </c>
      <c r="D504">
        <f>Sinistrés!L509</f>
        <v>30.4</v>
      </c>
      <c r="E504">
        <f>Sinistrés!M509</f>
        <v>30</v>
      </c>
      <c r="F504">
        <f t="shared" si="14"/>
        <v>0</v>
      </c>
      <c r="G504">
        <f t="shared" si="15"/>
        <v>0.98684210526315796</v>
      </c>
    </row>
    <row r="505" spans="1:7" hidden="1">
      <c r="A505" t="str">
        <f>Sinistrés!H510</f>
        <v>Colza d'hiver</v>
      </c>
      <c r="B505">
        <f>Sinistrés!J510</f>
        <v>40257.379999999997</v>
      </c>
      <c r="C505">
        <f>Sinistrés!X510</f>
        <v>0</v>
      </c>
      <c r="D505">
        <f>Sinistrés!L510</f>
        <v>34.630000000000003</v>
      </c>
      <c r="E505">
        <f>Sinistrés!M510</f>
        <v>34.630000000000003</v>
      </c>
      <c r="F505">
        <f t="shared" si="14"/>
        <v>0</v>
      </c>
      <c r="G505">
        <f t="shared" si="15"/>
        <v>1</v>
      </c>
    </row>
    <row r="506" spans="1:7" hidden="1">
      <c r="A506" t="str">
        <f>Sinistrés!H511</f>
        <v>Colza d'hiver</v>
      </c>
      <c r="B506">
        <f>Sinistrés!J511</f>
        <v>28768</v>
      </c>
      <c r="C506">
        <f>Sinistrés!X511</f>
        <v>0</v>
      </c>
      <c r="D506">
        <f>Sinistrés!L511</f>
        <v>31</v>
      </c>
      <c r="E506">
        <f>Sinistrés!M511</f>
        <v>31</v>
      </c>
      <c r="F506">
        <f t="shared" si="14"/>
        <v>0</v>
      </c>
      <c r="G506">
        <f t="shared" si="15"/>
        <v>1</v>
      </c>
    </row>
    <row r="507" spans="1:7" hidden="1">
      <c r="A507" t="str">
        <f>Sinistrés!H512</f>
        <v>Orge d'hiver</v>
      </c>
      <c r="B507">
        <f>Sinistrés!J512</f>
        <v>35208</v>
      </c>
      <c r="C507">
        <f>Sinistrés!X512</f>
        <v>0</v>
      </c>
      <c r="D507">
        <f>Sinistrés!L512</f>
        <v>36</v>
      </c>
      <c r="E507">
        <f>Sinistrés!M512</f>
        <v>36</v>
      </c>
      <c r="F507">
        <f t="shared" si="14"/>
        <v>0</v>
      </c>
      <c r="G507">
        <f t="shared" si="15"/>
        <v>1</v>
      </c>
    </row>
    <row r="508" spans="1:7">
      <c r="A508" t="str">
        <f>Sinistrés!H513</f>
        <v>Colza d'hiver</v>
      </c>
      <c r="B508">
        <f>Sinistrés!J513</f>
        <v>38469.300000000003</v>
      </c>
      <c r="C508">
        <f>Sinistrés!X513</f>
        <v>5150.33</v>
      </c>
      <c r="D508">
        <f>Sinistrés!L513</f>
        <v>30</v>
      </c>
      <c r="E508">
        <f>Sinistrés!M513</f>
        <v>30</v>
      </c>
      <c r="F508">
        <f t="shared" si="14"/>
        <v>0.13388156270064699</v>
      </c>
      <c r="G508">
        <f t="shared" si="15"/>
        <v>1</v>
      </c>
    </row>
    <row r="509" spans="1:7" hidden="1">
      <c r="A509" t="str">
        <f>Sinistrés!H514</f>
        <v>Blé tendre d'hiver</v>
      </c>
      <c r="B509">
        <f>Sinistrés!J514</f>
        <v>82348.67</v>
      </c>
      <c r="C509">
        <f>Sinistrés!X514</f>
        <v>0</v>
      </c>
      <c r="D509">
        <f>Sinistrés!L514</f>
        <v>88.69</v>
      </c>
      <c r="E509">
        <f>Sinistrés!M514</f>
        <v>88.68</v>
      </c>
      <c r="F509">
        <f t="shared" si="14"/>
        <v>0</v>
      </c>
      <c r="G509">
        <f t="shared" si="15"/>
        <v>0.9998872477167664</v>
      </c>
    </row>
    <row r="510" spans="1:7" hidden="1">
      <c r="A510" t="str">
        <f>Sinistrés!H515</f>
        <v>Pois protéagineux</v>
      </c>
      <c r="B510">
        <f>Sinistrés!J515</f>
        <v>6518.23</v>
      </c>
      <c r="C510">
        <f>Sinistrés!X515</f>
        <v>0</v>
      </c>
      <c r="D510">
        <f>Sinistrés!L515</f>
        <v>12.25</v>
      </c>
      <c r="E510">
        <f>Sinistrés!M515</f>
        <v>12.25</v>
      </c>
      <c r="F510">
        <f t="shared" si="14"/>
        <v>0</v>
      </c>
      <c r="G510">
        <f t="shared" si="15"/>
        <v>1</v>
      </c>
    </row>
    <row r="511" spans="1:7" hidden="1">
      <c r="A511" t="str">
        <f>Sinistrés!H516</f>
        <v>Blé tendre d'hiver</v>
      </c>
      <c r="B511">
        <f>Sinistrés!J516</f>
        <v>66064.83</v>
      </c>
      <c r="C511">
        <f>Sinistrés!X516</f>
        <v>0</v>
      </c>
      <c r="D511">
        <f>Sinistrés!L516</f>
        <v>55.54</v>
      </c>
      <c r="E511">
        <f>Sinistrés!M516</f>
        <v>55.54</v>
      </c>
      <c r="F511">
        <f t="shared" si="14"/>
        <v>0</v>
      </c>
      <c r="G511">
        <f t="shared" si="15"/>
        <v>1</v>
      </c>
    </row>
    <row r="512" spans="1:7">
      <c r="A512" t="str">
        <f>Sinistrés!H517</f>
        <v>Colza d'hiver</v>
      </c>
      <c r="B512">
        <f>Sinistrés!J517</f>
        <v>18848.73</v>
      </c>
      <c r="C512">
        <f>Sinistrés!X517</f>
        <v>560</v>
      </c>
      <c r="D512">
        <f>Sinistrés!L517</f>
        <v>15.17</v>
      </c>
      <c r="E512">
        <f>Sinistrés!M517</f>
        <v>15.17</v>
      </c>
      <c r="F512">
        <f t="shared" si="14"/>
        <v>2.9710224508494736E-2</v>
      </c>
      <c r="G512">
        <f t="shared" si="15"/>
        <v>1</v>
      </c>
    </row>
    <row r="513" spans="1:7" hidden="1">
      <c r="A513" t="str">
        <f>Sinistrés!H518</f>
        <v>Blé tendre d'hiver</v>
      </c>
      <c r="B513">
        <f>Sinistrés!J518</f>
        <v>33878.11</v>
      </c>
      <c r="C513">
        <f>Sinistrés!X518</f>
        <v>0</v>
      </c>
      <c r="D513">
        <f>Sinistrés!L518</f>
        <v>29.49</v>
      </c>
      <c r="E513">
        <f>Sinistrés!M518</f>
        <v>29.49</v>
      </c>
      <c r="F513">
        <f t="shared" si="14"/>
        <v>0</v>
      </c>
      <c r="G513">
        <f t="shared" si="15"/>
        <v>1</v>
      </c>
    </row>
    <row r="514" spans="1:7" hidden="1">
      <c r="A514" t="str">
        <f>Sinistrés!H519</f>
        <v>Colza d'hiver</v>
      </c>
      <c r="B514">
        <f>Sinistrés!J519</f>
        <v>23062.880000000001</v>
      </c>
      <c r="C514">
        <f>Sinistrés!X519</f>
        <v>0</v>
      </c>
      <c r="D514">
        <f>Sinistrés!L519</f>
        <v>20.74</v>
      </c>
      <c r="E514">
        <f>Sinistrés!M519</f>
        <v>20.5</v>
      </c>
      <c r="F514">
        <f t="shared" si="14"/>
        <v>0</v>
      </c>
      <c r="G514">
        <f t="shared" si="15"/>
        <v>0.98842815814850538</v>
      </c>
    </row>
    <row r="515" spans="1:7" hidden="1">
      <c r="A515" t="str">
        <f>Sinistrés!H520</f>
        <v>Blé de force</v>
      </c>
      <c r="B515">
        <f>Sinistrés!J520</f>
        <v>13749.12</v>
      </c>
      <c r="C515">
        <f>Sinistrés!X520</f>
        <v>0</v>
      </c>
      <c r="D515">
        <f>Sinistrés!L520</f>
        <v>13.02</v>
      </c>
      <c r="E515">
        <f>Sinistrés!M520</f>
        <v>13</v>
      </c>
      <c r="F515">
        <f t="shared" ref="F515:F578" si="16">C515/B515</f>
        <v>0</v>
      </c>
      <c r="G515">
        <f t="shared" ref="G515:G578" si="17">E515/D515</f>
        <v>0.99846390168970822</v>
      </c>
    </row>
    <row r="516" spans="1:7" hidden="1">
      <c r="A516" t="str">
        <f>Sinistrés!H521</f>
        <v>Orge d'hiver</v>
      </c>
      <c r="B516">
        <f>Sinistrés!J521</f>
        <v>14605.92</v>
      </c>
      <c r="C516">
        <f>Sinistrés!X521</f>
        <v>0</v>
      </c>
      <c r="D516">
        <f>Sinistrés!L521</f>
        <v>16.8</v>
      </c>
      <c r="E516">
        <f>Sinistrés!M521</f>
        <v>16.8</v>
      </c>
      <c r="F516">
        <f t="shared" si="16"/>
        <v>0</v>
      </c>
      <c r="G516">
        <f t="shared" si="17"/>
        <v>1</v>
      </c>
    </row>
    <row r="517" spans="1:7" hidden="1">
      <c r="A517" t="str">
        <f>Sinistrés!H522</f>
        <v>Blé de force</v>
      </c>
      <c r="B517">
        <f>Sinistrés!J522</f>
        <v>13748.4</v>
      </c>
      <c r="C517">
        <f>Sinistrés!X522</f>
        <v>0</v>
      </c>
      <c r="D517">
        <f>Sinistrés!L522</f>
        <v>13.4</v>
      </c>
      <c r="E517">
        <f>Sinistrés!M522</f>
        <v>13.4</v>
      </c>
      <c r="F517">
        <f t="shared" si="16"/>
        <v>0</v>
      </c>
      <c r="G517">
        <f t="shared" si="17"/>
        <v>1</v>
      </c>
    </row>
    <row r="518" spans="1:7" hidden="1">
      <c r="A518" t="str">
        <f>Sinistrés!H523</f>
        <v>Orge d'hiver</v>
      </c>
      <c r="B518">
        <f>Sinistrés!J523</f>
        <v>12500.81</v>
      </c>
      <c r="C518">
        <f>Sinistrés!X523</f>
        <v>0</v>
      </c>
      <c r="D518">
        <f>Sinistrés!L523</f>
        <v>13.75</v>
      </c>
      <c r="E518">
        <f>Sinistrés!M523</f>
        <v>13.75</v>
      </c>
      <c r="F518">
        <f t="shared" si="16"/>
        <v>0</v>
      </c>
      <c r="G518">
        <f t="shared" si="17"/>
        <v>1</v>
      </c>
    </row>
    <row r="519" spans="1:7" hidden="1">
      <c r="A519" t="str">
        <f>Sinistrés!H524</f>
        <v>Blé tendre d'hiver</v>
      </c>
      <c r="B519">
        <f>Sinistrés!J524</f>
        <v>31912.27</v>
      </c>
      <c r="C519">
        <f>Sinistrés!X524</f>
        <v>0</v>
      </c>
      <c r="D519">
        <f>Sinistrés!L524</f>
        <v>36.33</v>
      </c>
      <c r="E519">
        <f>Sinistrés!M524</f>
        <v>36.33</v>
      </c>
      <c r="F519">
        <f t="shared" si="16"/>
        <v>0</v>
      </c>
      <c r="G519">
        <f t="shared" si="17"/>
        <v>1</v>
      </c>
    </row>
    <row r="520" spans="1:7" hidden="1">
      <c r="A520" t="str">
        <f>Sinistrés!H525</f>
        <v>Colza d'hiver</v>
      </c>
      <c r="B520">
        <f>Sinistrés!J525</f>
        <v>23084.639999999999</v>
      </c>
      <c r="C520">
        <f>Sinistrés!X525</f>
        <v>0</v>
      </c>
      <c r="D520">
        <f>Sinistrés!L525</f>
        <v>27.88</v>
      </c>
      <c r="E520">
        <f>Sinistrés!M525</f>
        <v>27.88</v>
      </c>
      <c r="F520">
        <f t="shared" si="16"/>
        <v>0</v>
      </c>
      <c r="G520">
        <f t="shared" si="17"/>
        <v>1</v>
      </c>
    </row>
    <row r="521" spans="1:7" hidden="1">
      <c r="A521" t="str">
        <f>Sinistrés!H526</f>
        <v>Orge d'hiver</v>
      </c>
      <c r="B521">
        <f>Sinistrés!J526</f>
        <v>9681.74</v>
      </c>
      <c r="C521">
        <f>Sinistrés!X526</f>
        <v>0</v>
      </c>
      <c r="D521">
        <f>Sinistrés!L526</f>
        <v>14.77</v>
      </c>
      <c r="E521">
        <f>Sinistrés!M526</f>
        <v>14.77</v>
      </c>
      <c r="F521">
        <f t="shared" si="16"/>
        <v>0</v>
      </c>
      <c r="G521">
        <f t="shared" si="17"/>
        <v>1</v>
      </c>
    </row>
    <row r="522" spans="1:7" hidden="1">
      <c r="A522" t="str">
        <f>Sinistrés!H527</f>
        <v>Blé tendre d'hiver semences</v>
      </c>
      <c r="B522">
        <f>Sinistrés!J527</f>
        <v>14417.64</v>
      </c>
      <c r="C522">
        <f>Sinistrés!X527</f>
        <v>0</v>
      </c>
      <c r="D522">
        <f>Sinistrés!L527</f>
        <v>13.81</v>
      </c>
      <c r="E522">
        <f>Sinistrés!M527</f>
        <v>13.81</v>
      </c>
      <c r="F522">
        <f t="shared" si="16"/>
        <v>0</v>
      </c>
      <c r="G522">
        <f t="shared" si="17"/>
        <v>1</v>
      </c>
    </row>
    <row r="523" spans="1:7" hidden="1">
      <c r="A523" t="str">
        <f>Sinistrés!H528</f>
        <v xml:space="preserve">Colza d'hiver </v>
      </c>
      <c r="B523">
        <f>Sinistrés!J528</f>
        <v>27326.03</v>
      </c>
      <c r="C523">
        <f>Sinistrés!X528</f>
        <v>0</v>
      </c>
      <c r="D523">
        <f>Sinistrés!L528</f>
        <v>21.31</v>
      </c>
      <c r="E523">
        <f>Sinistrés!M528</f>
        <v>21.31</v>
      </c>
      <c r="F523">
        <f t="shared" si="16"/>
        <v>0</v>
      </c>
      <c r="G523">
        <f t="shared" si="17"/>
        <v>1</v>
      </c>
    </row>
    <row r="524" spans="1:7" hidden="1">
      <c r="A524" t="str">
        <f>Sinistrés!H529</f>
        <v>Orge d'hiver</v>
      </c>
      <c r="B524">
        <f>Sinistrés!J529</f>
        <v>20955.34</v>
      </c>
      <c r="C524">
        <f>Sinistrés!X529</f>
        <v>0</v>
      </c>
      <c r="D524">
        <f>Sinistrés!L529</f>
        <v>20.47</v>
      </c>
      <c r="E524">
        <f>Sinistrés!M529</f>
        <v>20.47</v>
      </c>
      <c r="F524">
        <f t="shared" si="16"/>
        <v>0</v>
      </c>
      <c r="G524">
        <f t="shared" si="17"/>
        <v>1</v>
      </c>
    </row>
    <row r="525" spans="1:7" hidden="1">
      <c r="A525" t="str">
        <f>Sinistrés!H530</f>
        <v>Blé de force</v>
      </c>
      <c r="B525">
        <f>Sinistrés!J530</f>
        <v>14363</v>
      </c>
      <c r="C525">
        <f>Sinistrés!X530</f>
        <v>0</v>
      </c>
      <c r="D525">
        <f>Sinistrés!L530</f>
        <v>13.55</v>
      </c>
      <c r="E525">
        <f>Sinistrés!M530</f>
        <v>13.5</v>
      </c>
      <c r="F525">
        <f t="shared" si="16"/>
        <v>0</v>
      </c>
      <c r="G525">
        <f t="shared" si="17"/>
        <v>0.99630996309963094</v>
      </c>
    </row>
    <row r="526" spans="1:7" hidden="1">
      <c r="A526" t="str">
        <f>Sinistrés!H531</f>
        <v>Blé de force</v>
      </c>
      <c r="B526">
        <f>Sinistrés!J531</f>
        <v>12625.2</v>
      </c>
      <c r="C526">
        <f>Sinistrés!X531</f>
        <v>0</v>
      </c>
      <c r="D526">
        <f>Sinistrés!L531</f>
        <v>12</v>
      </c>
      <c r="E526">
        <f>Sinistrés!M531</f>
        <v>12</v>
      </c>
      <c r="F526">
        <f t="shared" si="16"/>
        <v>0</v>
      </c>
      <c r="G526">
        <f t="shared" si="17"/>
        <v>1</v>
      </c>
    </row>
    <row r="527" spans="1:7" hidden="1">
      <c r="A527" t="str">
        <f>Sinistrés!H532</f>
        <v>Colza d'hiver</v>
      </c>
      <c r="B527">
        <f>Sinistrés!J532</f>
        <v>1497.78</v>
      </c>
      <c r="C527">
        <f>Sinistrés!X532</f>
        <v>0</v>
      </c>
      <c r="D527">
        <f>Sinistrés!L532</f>
        <v>1.06</v>
      </c>
      <c r="E527">
        <f>Sinistrés!M532</f>
        <v>1.06</v>
      </c>
      <c r="F527">
        <f t="shared" si="16"/>
        <v>0</v>
      </c>
      <c r="G527">
        <f t="shared" si="17"/>
        <v>1</v>
      </c>
    </row>
    <row r="528" spans="1:7" hidden="1">
      <c r="A528" t="str">
        <f>Sinistrés!H533</f>
        <v>Blé tendre d'hiver</v>
      </c>
      <c r="B528">
        <f>Sinistrés!J533</f>
        <v>25778.46</v>
      </c>
      <c r="C528">
        <f>Sinistrés!X533</f>
        <v>0</v>
      </c>
      <c r="D528">
        <f>Sinistrés!L533</f>
        <v>19.899999999999999</v>
      </c>
      <c r="E528">
        <f>Sinistrés!M533</f>
        <v>19.899999999999999</v>
      </c>
      <c r="F528">
        <f t="shared" si="16"/>
        <v>0</v>
      </c>
      <c r="G528">
        <f t="shared" si="17"/>
        <v>1</v>
      </c>
    </row>
    <row r="529" spans="1:7" hidden="1">
      <c r="A529" t="str">
        <f>Sinistrés!H534</f>
        <v>Colza d'hiver</v>
      </c>
      <c r="B529">
        <f>Sinistrés!J534</f>
        <v>31932.16</v>
      </c>
      <c r="C529">
        <f>Sinistrés!X534</f>
        <v>0</v>
      </c>
      <c r="D529">
        <f>Sinistrés!L534</f>
        <v>20.2</v>
      </c>
      <c r="E529">
        <f>Sinistrés!M534</f>
        <v>20.2</v>
      </c>
      <c r="F529">
        <f t="shared" si="16"/>
        <v>0</v>
      </c>
      <c r="G529">
        <f t="shared" si="17"/>
        <v>1</v>
      </c>
    </row>
    <row r="530" spans="1:7" hidden="1">
      <c r="A530" t="str">
        <f>Sinistrés!H535</f>
        <v>Blé tendre d'hiver</v>
      </c>
      <c r="B530">
        <f>Sinistrés!J535</f>
        <v>41507.199999999997</v>
      </c>
      <c r="C530">
        <f>Sinistrés!X535</f>
        <v>0</v>
      </c>
      <c r="D530">
        <f>Sinistrés!L535</f>
        <v>34</v>
      </c>
      <c r="E530">
        <f>Sinistrés!M535</f>
        <v>34</v>
      </c>
      <c r="F530">
        <f t="shared" si="16"/>
        <v>0</v>
      </c>
      <c r="G530">
        <f t="shared" si="17"/>
        <v>1</v>
      </c>
    </row>
    <row r="531" spans="1:7" hidden="1">
      <c r="A531" t="str">
        <f>Sinistrés!H536</f>
        <v>Colza d'hiver</v>
      </c>
      <c r="B531">
        <f>Sinistrés!J536</f>
        <v>17077.2</v>
      </c>
      <c r="C531">
        <f>Sinistrés!X536</f>
        <v>0</v>
      </c>
      <c r="D531">
        <f>Sinistrés!L536</f>
        <v>21</v>
      </c>
      <c r="E531">
        <f>Sinistrés!M536</f>
        <v>21</v>
      </c>
      <c r="F531">
        <f t="shared" si="16"/>
        <v>0</v>
      </c>
      <c r="G531">
        <f t="shared" si="17"/>
        <v>1</v>
      </c>
    </row>
    <row r="532" spans="1:7" hidden="1">
      <c r="A532" t="str">
        <f>Sinistrés!H537</f>
        <v>Orge d'hiver</v>
      </c>
      <c r="B532">
        <f>Sinistrés!J537</f>
        <v>20706.45</v>
      </c>
      <c r="C532">
        <f>Sinistrés!X537</f>
        <v>0</v>
      </c>
      <c r="D532">
        <f>Sinistrés!L537</f>
        <v>30.5</v>
      </c>
      <c r="E532">
        <f>Sinistrés!M537</f>
        <v>30.5</v>
      </c>
      <c r="F532">
        <f t="shared" si="16"/>
        <v>0</v>
      </c>
      <c r="G532">
        <f t="shared" si="17"/>
        <v>1</v>
      </c>
    </row>
    <row r="533" spans="1:7" hidden="1">
      <c r="A533" t="str">
        <f>Sinistrés!H538</f>
        <v>Lin oléagineux</v>
      </c>
      <c r="B533">
        <f>Sinistrés!J538</f>
        <v>5673.6</v>
      </c>
      <c r="C533">
        <f>Sinistrés!X538</f>
        <v>0</v>
      </c>
      <c r="D533">
        <f>Sinistrés!L538</f>
        <v>6.4</v>
      </c>
      <c r="E533">
        <f>Sinistrés!M538</f>
        <v>6.4</v>
      </c>
      <c r="F533">
        <f t="shared" si="16"/>
        <v>0</v>
      </c>
      <c r="G533">
        <f t="shared" si="17"/>
        <v>1</v>
      </c>
    </row>
    <row r="534" spans="1:7" hidden="1">
      <c r="A534" t="str">
        <f>Sinistrés!H539</f>
        <v>Orge d'hiver</v>
      </c>
      <c r="B534">
        <f>Sinistrés!J539</f>
        <v>12241.03</v>
      </c>
      <c r="C534">
        <f>Sinistrés!X539</f>
        <v>0</v>
      </c>
      <c r="D534">
        <f>Sinistrés!L539</f>
        <v>11.88</v>
      </c>
      <c r="E534">
        <f>Sinistrés!M539</f>
        <v>11.88</v>
      </c>
      <c r="F534">
        <f t="shared" si="16"/>
        <v>0</v>
      </c>
      <c r="G534">
        <f t="shared" si="17"/>
        <v>1</v>
      </c>
    </row>
    <row r="535" spans="1:7" hidden="1">
      <c r="A535" t="str">
        <f>Sinistrés!H540</f>
        <v>Blé tendre d'hiver</v>
      </c>
      <c r="B535">
        <f>Sinistrés!J540</f>
        <v>43031.75</v>
      </c>
      <c r="C535">
        <f>Sinistrés!X540</f>
        <v>0</v>
      </c>
      <c r="D535">
        <f>Sinistrés!L540</f>
        <v>34.79</v>
      </c>
      <c r="E535">
        <f>Sinistrés!M540</f>
        <v>34.79</v>
      </c>
      <c r="F535">
        <f t="shared" si="16"/>
        <v>0</v>
      </c>
      <c r="G535">
        <f t="shared" si="17"/>
        <v>1</v>
      </c>
    </row>
    <row r="536" spans="1:7" hidden="1">
      <c r="A536" t="str">
        <f>Sinistrés!H541</f>
        <v>Colza d'hiver</v>
      </c>
      <c r="B536">
        <f>Sinistrés!J541</f>
        <v>11870.76</v>
      </c>
      <c r="C536">
        <f>Sinistrés!X541</f>
        <v>0</v>
      </c>
      <c r="D536">
        <f>Sinistrés!L541</f>
        <v>10.58</v>
      </c>
      <c r="E536">
        <f>Sinistrés!M541</f>
        <v>10.58</v>
      </c>
      <c r="F536">
        <f t="shared" si="16"/>
        <v>0</v>
      </c>
      <c r="G536">
        <f t="shared" si="17"/>
        <v>1</v>
      </c>
    </row>
    <row r="537" spans="1:7" hidden="1">
      <c r="A537" t="str">
        <f>Sinistrés!H542</f>
        <v>Blé dur d'hiver</v>
      </c>
      <c r="B537">
        <f>Sinistrés!J542</f>
        <v>30370.57</v>
      </c>
      <c r="C537">
        <f>Sinistrés!X542</f>
        <v>0</v>
      </c>
      <c r="D537">
        <f>Sinistrés!L542</f>
        <v>21.19</v>
      </c>
      <c r="E537">
        <f>Sinistrés!M542</f>
        <v>21.19</v>
      </c>
      <c r="F537">
        <f t="shared" si="16"/>
        <v>0</v>
      </c>
      <c r="G537">
        <f t="shared" si="17"/>
        <v>1</v>
      </c>
    </row>
    <row r="538" spans="1:7" hidden="1">
      <c r="A538" t="str">
        <f>Sinistrés!H543</f>
        <v>Blé tendre d'hiver</v>
      </c>
      <c r="B538">
        <f>Sinistrés!J543</f>
        <v>96582.88</v>
      </c>
      <c r="C538">
        <f>Sinistrés!X543</f>
        <v>0</v>
      </c>
      <c r="D538">
        <f>Sinistrés!L543</f>
        <v>87.54</v>
      </c>
      <c r="E538">
        <f>Sinistrés!M543</f>
        <v>87.54</v>
      </c>
      <c r="F538">
        <f t="shared" si="16"/>
        <v>0</v>
      </c>
      <c r="G538">
        <f t="shared" si="17"/>
        <v>1</v>
      </c>
    </row>
    <row r="539" spans="1:7" hidden="1">
      <c r="A539" t="str">
        <f>Sinistrés!H544</f>
        <v>Orge d'hiver</v>
      </c>
      <c r="B539">
        <f>Sinistrés!J544</f>
        <v>7165.04</v>
      </c>
      <c r="C539">
        <f>Sinistrés!X544</f>
        <v>0</v>
      </c>
      <c r="D539">
        <f>Sinistrés!L544</f>
        <v>6.65</v>
      </c>
      <c r="E539">
        <f>Sinistrés!M544</f>
        <v>6.65</v>
      </c>
      <c r="F539">
        <f t="shared" si="16"/>
        <v>0</v>
      </c>
      <c r="G539">
        <f t="shared" si="17"/>
        <v>1</v>
      </c>
    </row>
    <row r="540" spans="1:7" hidden="1">
      <c r="A540" t="str">
        <f>Sinistrés!H545</f>
        <v>Blé tendre d'hiver BIO</v>
      </c>
      <c r="B540">
        <f>Sinistrés!J545</f>
        <v>47996.4</v>
      </c>
      <c r="C540">
        <f>Sinistrés!X545</f>
        <v>0</v>
      </c>
      <c r="D540">
        <f>Sinistrés!L545</f>
        <v>34.04</v>
      </c>
      <c r="E540">
        <f>Sinistrés!M545</f>
        <v>34.04</v>
      </c>
      <c r="F540">
        <f t="shared" si="16"/>
        <v>0</v>
      </c>
      <c r="G540">
        <f t="shared" si="17"/>
        <v>1</v>
      </c>
    </row>
    <row r="541" spans="1:7" hidden="1">
      <c r="A541" t="str">
        <f>Sinistrés!H546</f>
        <v>Orge d'hiver</v>
      </c>
      <c r="B541">
        <f>Sinistrés!J546</f>
        <v>14711.44</v>
      </c>
      <c r="C541">
        <f>Sinistrés!X546</f>
        <v>0</v>
      </c>
      <c r="D541">
        <f>Sinistrés!L546</f>
        <v>12.28</v>
      </c>
      <c r="E541">
        <f>Sinistrés!M546</f>
        <v>12.28</v>
      </c>
      <c r="F541">
        <f t="shared" si="16"/>
        <v>0</v>
      </c>
      <c r="G541">
        <f t="shared" si="17"/>
        <v>1</v>
      </c>
    </row>
    <row r="542" spans="1:7" hidden="1">
      <c r="A542" t="str">
        <f>Sinistrés!H547</f>
        <v>Colza d'hiver</v>
      </c>
      <c r="B542">
        <f>Sinistrés!J547</f>
        <v>7847.26</v>
      </c>
      <c r="C542">
        <f>Sinistrés!X547</f>
        <v>0</v>
      </c>
      <c r="D542">
        <f>Sinistrés!L547</f>
        <v>9.2799999999999994</v>
      </c>
      <c r="E542">
        <f>Sinistrés!M547</f>
        <v>9.2799999999999994</v>
      </c>
      <c r="F542">
        <f t="shared" si="16"/>
        <v>0</v>
      </c>
      <c r="G542">
        <f t="shared" si="17"/>
        <v>1</v>
      </c>
    </row>
    <row r="543" spans="1:7" hidden="1">
      <c r="A543" t="str">
        <f>Sinistrés!H548</f>
        <v>Féveroles et fèves</v>
      </c>
      <c r="B543">
        <f>Sinistrés!J548</f>
        <v>4749.01</v>
      </c>
      <c r="C543">
        <f>Sinistrés!X548</f>
        <v>0</v>
      </c>
      <c r="D543">
        <f>Sinistrés!L548</f>
        <v>9.48</v>
      </c>
      <c r="E543">
        <f>Sinistrés!M548</f>
        <v>9.48</v>
      </c>
      <c r="F543">
        <f t="shared" si="16"/>
        <v>0</v>
      </c>
      <c r="G543">
        <f t="shared" si="17"/>
        <v>1</v>
      </c>
    </row>
    <row r="544" spans="1:7" hidden="1">
      <c r="A544" t="str">
        <f>Sinistrés!H549</f>
        <v>Blé tendre d'hiver</v>
      </c>
      <c r="B544">
        <f>Sinistrés!J549</f>
        <v>42750.84</v>
      </c>
      <c r="C544">
        <f>Sinistrés!X549</f>
        <v>0</v>
      </c>
      <c r="D544">
        <f>Sinistrés!L549</f>
        <v>30.58</v>
      </c>
      <c r="E544">
        <f>Sinistrés!M549</f>
        <v>30.58</v>
      </c>
      <c r="F544">
        <f t="shared" si="16"/>
        <v>0</v>
      </c>
      <c r="G544">
        <f t="shared" si="17"/>
        <v>1</v>
      </c>
    </row>
    <row r="545" spans="1:7" hidden="1">
      <c r="A545" t="str">
        <f>Sinistrés!H550</f>
        <v>Colza d'hiver</v>
      </c>
      <c r="B545">
        <f>Sinistrés!J550</f>
        <v>30579.48</v>
      </c>
      <c r="C545">
        <f>Sinistrés!X550</f>
        <v>0</v>
      </c>
      <c r="D545">
        <f>Sinistrés!L550</f>
        <v>19.64</v>
      </c>
      <c r="E545">
        <f>Sinistrés!M550</f>
        <v>19.64</v>
      </c>
      <c r="F545">
        <f t="shared" si="16"/>
        <v>0</v>
      </c>
      <c r="G545">
        <f t="shared" si="17"/>
        <v>1</v>
      </c>
    </row>
    <row r="546" spans="1:7" hidden="1">
      <c r="A546" t="str">
        <f>Sinistrés!H551</f>
        <v>Blé tendre d'hiver</v>
      </c>
      <c r="B546">
        <f>Sinistrés!J551</f>
        <v>60570</v>
      </c>
      <c r="C546">
        <f>Sinistrés!X551</f>
        <v>0</v>
      </c>
      <c r="D546">
        <f>Sinistrés!L551</f>
        <v>45</v>
      </c>
      <c r="E546">
        <f>Sinistrés!M551</f>
        <v>45</v>
      </c>
      <c r="F546">
        <f t="shared" si="16"/>
        <v>0</v>
      </c>
      <c r="G546">
        <f t="shared" si="17"/>
        <v>1</v>
      </c>
    </row>
    <row r="547" spans="1:7" hidden="1">
      <c r="A547" t="str">
        <f>Sinistrés!H552</f>
        <v>Orge d'hiver</v>
      </c>
      <c r="B547">
        <f>Sinistrés!J552</f>
        <v>10159.200000000001</v>
      </c>
      <c r="C547">
        <f>Sinistrés!X552</f>
        <v>0</v>
      </c>
      <c r="D547">
        <f>Sinistrés!L552</f>
        <v>8.5</v>
      </c>
      <c r="E547">
        <f>Sinistrés!M552</f>
        <v>8.5</v>
      </c>
      <c r="F547">
        <f t="shared" si="16"/>
        <v>0</v>
      </c>
      <c r="G547">
        <f t="shared" si="17"/>
        <v>1</v>
      </c>
    </row>
    <row r="548" spans="1:7" hidden="1">
      <c r="A548" t="str">
        <f>Sinistrés!H553</f>
        <v>Colza d'hiver</v>
      </c>
      <c r="B548">
        <f>Sinistrés!J553</f>
        <v>29664</v>
      </c>
      <c r="C548">
        <f>Sinistrés!X553</f>
        <v>0</v>
      </c>
      <c r="D548">
        <f>Sinistrés!L553</f>
        <v>24</v>
      </c>
      <c r="E548">
        <f>Sinistrés!M553</f>
        <v>24</v>
      </c>
      <c r="F548">
        <f t="shared" si="16"/>
        <v>0</v>
      </c>
      <c r="G548">
        <f t="shared" si="17"/>
        <v>1</v>
      </c>
    </row>
    <row r="549" spans="1:7" hidden="1">
      <c r="A549" t="str">
        <f>Sinistrés!H554</f>
        <v>Colza d'hiver</v>
      </c>
      <c r="B549">
        <f>Sinistrés!J554</f>
        <v>26763.09</v>
      </c>
      <c r="C549">
        <f>Sinistrés!X554</f>
        <v>0</v>
      </c>
      <c r="D549">
        <f>Sinistrés!L554</f>
        <v>24.35</v>
      </c>
      <c r="E549">
        <f>Sinistrés!M554</f>
        <v>24.2</v>
      </c>
      <c r="F549">
        <f t="shared" si="16"/>
        <v>0</v>
      </c>
      <c r="G549">
        <f t="shared" si="17"/>
        <v>0.99383983572895274</v>
      </c>
    </row>
    <row r="550" spans="1:7" hidden="1">
      <c r="A550" t="str">
        <f>Sinistrés!H555</f>
        <v>Orge d'hiver</v>
      </c>
      <c r="B550">
        <f>Sinistrés!J555</f>
        <v>13152.92</v>
      </c>
      <c r="C550">
        <f>Sinistrés!X555</f>
        <v>0</v>
      </c>
      <c r="D550">
        <f>Sinistrés!L555</f>
        <v>14.32</v>
      </c>
      <c r="E550">
        <f>Sinistrés!M555</f>
        <v>14.1</v>
      </c>
      <c r="F550">
        <f t="shared" si="16"/>
        <v>0</v>
      </c>
      <c r="G550">
        <f t="shared" si="17"/>
        <v>0.98463687150837986</v>
      </c>
    </row>
    <row r="551" spans="1:7" hidden="1">
      <c r="A551" t="str">
        <f>Sinistrés!H556</f>
        <v>Blé tendre d'hiver</v>
      </c>
      <c r="B551">
        <f>Sinistrés!J556</f>
        <v>53606.73</v>
      </c>
      <c r="C551">
        <f>Sinistrés!X556</f>
        <v>0</v>
      </c>
      <c r="D551">
        <f>Sinistrés!L556</f>
        <v>54.65</v>
      </c>
      <c r="E551">
        <f>Sinistrés!M556</f>
        <v>54.5</v>
      </c>
      <c r="F551">
        <f t="shared" si="16"/>
        <v>0</v>
      </c>
      <c r="G551">
        <f t="shared" si="17"/>
        <v>0.99725526075022874</v>
      </c>
    </row>
    <row r="552" spans="1:7" hidden="1">
      <c r="A552" t="str">
        <f>Sinistrés!H557</f>
        <v>Blé tendre d'hiver</v>
      </c>
      <c r="B552">
        <f>Sinistrés!J557</f>
        <v>22615.360000000001</v>
      </c>
      <c r="C552">
        <f>Sinistrés!X557</f>
        <v>0</v>
      </c>
      <c r="D552">
        <f>Sinistrés!L557</f>
        <v>24.37</v>
      </c>
      <c r="E552">
        <f>Sinistrés!M557</f>
        <v>24.37</v>
      </c>
      <c r="F552">
        <f t="shared" si="16"/>
        <v>0</v>
      </c>
      <c r="G552">
        <f t="shared" si="17"/>
        <v>1</v>
      </c>
    </row>
    <row r="553" spans="1:7" hidden="1">
      <c r="A553" t="str">
        <f>Sinistrés!H558</f>
        <v>Avoine d'hiver</v>
      </c>
      <c r="B553">
        <f>Sinistrés!J558</f>
        <v>8327.9699999999993</v>
      </c>
      <c r="C553">
        <f>Sinistrés!X558</f>
        <v>0</v>
      </c>
      <c r="D553">
        <f>Sinistrés!L558</f>
        <v>12.98</v>
      </c>
      <c r="E553">
        <f>Sinistrés!M558</f>
        <v>12.98</v>
      </c>
      <c r="F553">
        <f t="shared" si="16"/>
        <v>0</v>
      </c>
      <c r="G553">
        <f t="shared" si="17"/>
        <v>1</v>
      </c>
    </row>
    <row r="554" spans="1:7" hidden="1">
      <c r="A554" t="str">
        <f>Sinistrés!H559</f>
        <v>Orge d'hiver</v>
      </c>
      <c r="B554">
        <f>Sinistrés!J559</f>
        <v>12567.33</v>
      </c>
      <c r="C554">
        <f>Sinistrés!X559</f>
        <v>0</v>
      </c>
      <c r="D554">
        <f>Sinistrés!L559</f>
        <v>12.94</v>
      </c>
      <c r="E554">
        <f>Sinistrés!M559</f>
        <v>12.94</v>
      </c>
      <c r="F554">
        <f t="shared" si="16"/>
        <v>0</v>
      </c>
      <c r="G554">
        <f t="shared" si="17"/>
        <v>1</v>
      </c>
    </row>
    <row r="555" spans="1:7" hidden="1">
      <c r="A555" t="str">
        <f>Sinistrés!H560</f>
        <v>Triticale</v>
      </c>
      <c r="B555">
        <f>Sinistrés!J560</f>
        <v>8206.35</v>
      </c>
      <c r="C555">
        <f>Sinistrés!X560</f>
        <v>0</v>
      </c>
      <c r="D555">
        <f>Sinistrés!L560</f>
        <v>6.43</v>
      </c>
      <c r="E555">
        <f>Sinistrés!M560</f>
        <v>6.43</v>
      </c>
      <c r="F555">
        <f t="shared" si="16"/>
        <v>0</v>
      </c>
      <c r="G555">
        <f t="shared" si="17"/>
        <v>1</v>
      </c>
    </row>
    <row r="556" spans="1:7" hidden="1">
      <c r="A556" t="str">
        <f>Sinistrés!H561</f>
        <v>Colza d'hiver</v>
      </c>
      <c r="B556">
        <f>Sinistrés!J561</f>
        <v>32729.759999999998</v>
      </c>
      <c r="C556">
        <f>Sinistrés!X561</f>
        <v>0</v>
      </c>
      <c r="D556">
        <f>Sinistrés!L561</f>
        <v>17.850000000000001</v>
      </c>
      <c r="E556">
        <f>Sinistrés!M561</f>
        <v>17.850000000000001</v>
      </c>
      <c r="F556">
        <f t="shared" si="16"/>
        <v>0</v>
      </c>
      <c r="G556">
        <f t="shared" si="17"/>
        <v>1</v>
      </c>
    </row>
    <row r="557" spans="1:7" hidden="1">
      <c r="A557" t="str">
        <f>Sinistrés!H562</f>
        <v>Blé tendre d'hiver</v>
      </c>
      <c r="B557">
        <f>Sinistrés!J562</f>
        <v>33251.360000000001</v>
      </c>
      <c r="C557">
        <f>Sinistrés!X562</f>
        <v>0</v>
      </c>
      <c r="D557">
        <f>Sinistrés!L562</f>
        <v>29.94</v>
      </c>
      <c r="E557">
        <f>Sinistrés!M562</f>
        <v>29.94</v>
      </c>
      <c r="F557">
        <f t="shared" si="16"/>
        <v>0</v>
      </c>
      <c r="G557">
        <f t="shared" si="17"/>
        <v>1</v>
      </c>
    </row>
    <row r="558" spans="1:7" hidden="1">
      <c r="A558" t="str">
        <f>Sinistrés!H563</f>
        <v>Orge d'hiver</v>
      </c>
      <c r="B558">
        <f>Sinistrés!J563</f>
        <v>11833.48</v>
      </c>
      <c r="C558">
        <f>Sinistrés!X563</f>
        <v>0</v>
      </c>
      <c r="D558">
        <f>Sinistrés!L563</f>
        <v>11.43</v>
      </c>
      <c r="E558">
        <f>Sinistrés!M563</f>
        <v>11.43</v>
      </c>
      <c r="F558">
        <f t="shared" si="16"/>
        <v>0</v>
      </c>
      <c r="G558">
        <f t="shared" si="17"/>
        <v>1</v>
      </c>
    </row>
    <row r="559" spans="1:7" hidden="1">
      <c r="A559" t="str">
        <f>Sinistrés!H564</f>
        <v>Féveroles et fèves</v>
      </c>
      <c r="B559">
        <f>Sinistrés!J564</f>
        <v>5435.45</v>
      </c>
      <c r="C559">
        <f>Sinistrés!X564</f>
        <v>0</v>
      </c>
      <c r="D559">
        <f>Sinistrés!L564</f>
        <v>17.510000000000002</v>
      </c>
      <c r="E559">
        <f>Sinistrés!M564</f>
        <v>17.510000000000002</v>
      </c>
      <c r="F559">
        <f t="shared" si="16"/>
        <v>0</v>
      </c>
      <c r="G559">
        <f t="shared" si="17"/>
        <v>1</v>
      </c>
    </row>
    <row r="560" spans="1:7" hidden="1">
      <c r="A560" t="str">
        <f>Sinistrés!H565</f>
        <v>Blé dur d'hiver</v>
      </c>
      <c r="B560">
        <f>Sinistrés!J565</f>
        <v>14322.6</v>
      </c>
      <c r="C560">
        <f>Sinistrés!X565</f>
        <v>0</v>
      </c>
      <c r="D560">
        <f>Sinistrés!L565</f>
        <v>7.3</v>
      </c>
      <c r="E560">
        <f>Sinistrés!M565</f>
        <v>7.3</v>
      </c>
      <c r="F560">
        <f t="shared" si="16"/>
        <v>0</v>
      </c>
      <c r="G560">
        <f t="shared" si="17"/>
        <v>1</v>
      </c>
    </row>
    <row r="561" spans="1:7" hidden="1">
      <c r="A561" t="str">
        <f>Sinistrés!H566</f>
        <v>Blé tendre d'hiver</v>
      </c>
      <c r="B561">
        <f>Sinistrés!J566</f>
        <v>14950</v>
      </c>
      <c r="C561">
        <f>Sinistrés!X566</f>
        <v>0</v>
      </c>
      <c r="D561">
        <f>Sinistrés!L566</f>
        <v>11.5</v>
      </c>
      <c r="E561">
        <f>Sinistrés!M566</f>
        <v>11.5</v>
      </c>
      <c r="F561">
        <f t="shared" si="16"/>
        <v>0</v>
      </c>
      <c r="G561">
        <f t="shared" si="17"/>
        <v>1</v>
      </c>
    </row>
    <row r="562" spans="1:7" hidden="1">
      <c r="A562" t="str">
        <f>Sinistrés!H567</f>
        <v>Colza d'hiver</v>
      </c>
      <c r="B562">
        <f>Sinistrés!J567</f>
        <v>28875</v>
      </c>
      <c r="C562">
        <f>Sinistrés!X567</f>
        <v>0</v>
      </c>
      <c r="D562">
        <f>Sinistrés!L567</f>
        <v>16.5</v>
      </c>
      <c r="E562">
        <f>Sinistrés!M567</f>
        <v>16.5</v>
      </c>
      <c r="F562">
        <f t="shared" si="16"/>
        <v>0</v>
      </c>
      <c r="G562">
        <f t="shared" si="17"/>
        <v>1</v>
      </c>
    </row>
    <row r="563" spans="1:7" hidden="1">
      <c r="A563" t="str">
        <f>Sinistrés!H568</f>
        <v>Orge de printemps</v>
      </c>
      <c r="B563">
        <f>Sinistrés!J568</f>
        <v>11700</v>
      </c>
      <c r="C563">
        <f>Sinistrés!X568</f>
        <v>0</v>
      </c>
      <c r="D563">
        <f>Sinistrés!L568</f>
        <v>9</v>
      </c>
      <c r="E563">
        <f>Sinistrés!M568</f>
        <v>9</v>
      </c>
      <c r="F563">
        <f t="shared" si="16"/>
        <v>0</v>
      </c>
      <c r="G563">
        <f t="shared" si="17"/>
        <v>1</v>
      </c>
    </row>
    <row r="564" spans="1:7" hidden="1">
      <c r="A564" t="str">
        <f>Sinistrés!H569</f>
        <v>Colza d'hiver</v>
      </c>
      <c r="B564">
        <f>Sinistrés!J569</f>
        <v>9232.6299999999992</v>
      </c>
      <c r="C564">
        <f>Sinistrés!X569</f>
        <v>0</v>
      </c>
      <c r="D564">
        <f>Sinistrés!L569</f>
        <v>6.84</v>
      </c>
      <c r="E564">
        <f>Sinistrés!M569</f>
        <v>6.84</v>
      </c>
      <c r="F564">
        <f t="shared" si="16"/>
        <v>0</v>
      </c>
      <c r="G564">
        <f t="shared" si="17"/>
        <v>1</v>
      </c>
    </row>
    <row r="565" spans="1:7" hidden="1">
      <c r="A565" t="str">
        <f>Sinistrés!H570</f>
        <v>Blé dur d'hiver</v>
      </c>
      <c r="B565">
        <f>Sinistrés!J570</f>
        <v>15669.84</v>
      </c>
      <c r="C565">
        <f>Sinistrés!X570</f>
        <v>0</v>
      </c>
      <c r="D565">
        <f>Sinistrés!L570</f>
        <v>23.96</v>
      </c>
      <c r="E565">
        <f>Sinistrés!M570</f>
        <v>23.95</v>
      </c>
      <c r="F565">
        <f t="shared" si="16"/>
        <v>0</v>
      </c>
      <c r="G565">
        <f t="shared" si="17"/>
        <v>0.99958263772954914</v>
      </c>
    </row>
    <row r="566" spans="1:7" hidden="1">
      <c r="A566" t="str">
        <f>Sinistrés!H571</f>
        <v>Blé tendre d'hiver</v>
      </c>
      <c r="B566">
        <f>Sinistrés!J571</f>
        <v>15704.64</v>
      </c>
      <c r="C566">
        <f>Sinistrés!X571</f>
        <v>0</v>
      </c>
      <c r="D566">
        <f>Sinistrés!L571</f>
        <v>15.96</v>
      </c>
      <c r="E566">
        <f>Sinistrés!M571</f>
        <v>15.96</v>
      </c>
      <c r="F566">
        <f t="shared" si="16"/>
        <v>0</v>
      </c>
      <c r="G566">
        <f t="shared" si="17"/>
        <v>1</v>
      </c>
    </row>
    <row r="567" spans="1:7" hidden="1">
      <c r="A567" t="str">
        <f>Sinistrés!H572</f>
        <v>Orge d'hiver</v>
      </c>
      <c r="B567">
        <f>Sinistrés!J572</f>
        <v>15537.77</v>
      </c>
      <c r="C567">
        <f>Sinistrés!X572</f>
        <v>0</v>
      </c>
      <c r="D567">
        <f>Sinistrés!L572</f>
        <v>15.53</v>
      </c>
      <c r="E567">
        <f>Sinistrés!M572</f>
        <v>15.53</v>
      </c>
      <c r="F567">
        <f t="shared" si="16"/>
        <v>0</v>
      </c>
      <c r="G567">
        <f t="shared" si="17"/>
        <v>1</v>
      </c>
    </row>
    <row r="568" spans="1:7" hidden="1">
      <c r="A568" t="str">
        <f>Sinistrés!H573</f>
        <v>Colza d'hiver</v>
      </c>
      <c r="B568">
        <f>Sinistrés!J573</f>
        <v>29390.9</v>
      </c>
      <c r="C568">
        <f>Sinistrés!X573</f>
        <v>0</v>
      </c>
      <c r="D568">
        <f>Sinistrés!L573</f>
        <v>16.940000000000001</v>
      </c>
      <c r="E568">
        <f>Sinistrés!M573</f>
        <v>16.940000000000001</v>
      </c>
      <c r="F568">
        <f t="shared" si="16"/>
        <v>0</v>
      </c>
      <c r="G568">
        <f t="shared" si="17"/>
        <v>1</v>
      </c>
    </row>
    <row r="569" spans="1:7" hidden="1">
      <c r="A569" t="str">
        <f>Sinistrés!H574</f>
        <v>Colza d'hiver</v>
      </c>
      <c r="B569">
        <f>Sinistrés!J574</f>
        <v>29324.5</v>
      </c>
      <c r="C569">
        <f>Sinistrés!X574</f>
        <v>0</v>
      </c>
      <c r="D569">
        <f>Sinistrés!L574</f>
        <v>22.3</v>
      </c>
      <c r="E569">
        <f>Sinistrés!M574</f>
        <v>22</v>
      </c>
      <c r="F569">
        <f t="shared" si="16"/>
        <v>0</v>
      </c>
      <c r="G569">
        <f t="shared" si="17"/>
        <v>0.98654708520179368</v>
      </c>
    </row>
    <row r="570" spans="1:7" hidden="1">
      <c r="A570" t="str">
        <f>Sinistrés!H575</f>
        <v>Avoine d'hiver</v>
      </c>
      <c r="B570">
        <f>Sinistrés!J575</f>
        <v>2400</v>
      </c>
      <c r="C570">
        <f>Sinistrés!X575</f>
        <v>0</v>
      </c>
      <c r="D570">
        <f>Sinistrés!L575</f>
        <v>4</v>
      </c>
      <c r="E570">
        <f>Sinistrés!M575</f>
        <v>4</v>
      </c>
      <c r="F570">
        <f t="shared" si="16"/>
        <v>0</v>
      </c>
      <c r="G570">
        <f t="shared" si="17"/>
        <v>1</v>
      </c>
    </row>
    <row r="571" spans="1:7" hidden="1">
      <c r="A571" t="str">
        <f>Sinistrés!H576</f>
        <v>Seigle et méteil</v>
      </c>
      <c r="B571">
        <f>Sinistrés!J576</f>
        <v>4653</v>
      </c>
      <c r="C571">
        <f>Sinistrés!X576</f>
        <v>0</v>
      </c>
      <c r="D571">
        <f>Sinistrés!L576</f>
        <v>6</v>
      </c>
      <c r="E571">
        <f>Sinistrés!M576</f>
        <v>6</v>
      </c>
      <c r="F571">
        <f t="shared" si="16"/>
        <v>0</v>
      </c>
      <c r="G571">
        <f t="shared" si="17"/>
        <v>1</v>
      </c>
    </row>
    <row r="572" spans="1:7" hidden="1">
      <c r="A572" t="str">
        <f>Sinistrés!H577</f>
        <v>Blé dur d'hiver</v>
      </c>
      <c r="B572">
        <f>Sinistrés!J577</f>
        <v>7939.56</v>
      </c>
      <c r="C572">
        <f>Sinistrés!X577</f>
        <v>0</v>
      </c>
      <c r="D572">
        <f>Sinistrés!L577</f>
        <v>6.54</v>
      </c>
      <c r="E572">
        <f>Sinistrés!M577</f>
        <v>6.54</v>
      </c>
      <c r="F572">
        <f t="shared" si="16"/>
        <v>0</v>
      </c>
      <c r="G572">
        <f t="shared" si="17"/>
        <v>1</v>
      </c>
    </row>
    <row r="573" spans="1:7" hidden="1">
      <c r="A573" t="str">
        <f>Sinistrés!H578</f>
        <v>Blé de force</v>
      </c>
      <c r="B573">
        <f>Sinistrés!J578</f>
        <v>13991.04</v>
      </c>
      <c r="C573">
        <f>Sinistrés!X578</f>
        <v>0</v>
      </c>
      <c r="D573">
        <f>Sinistrés!L578</f>
        <v>13.88</v>
      </c>
      <c r="E573">
        <f>Sinistrés!M578</f>
        <v>13.88</v>
      </c>
      <c r="F573">
        <f t="shared" si="16"/>
        <v>0</v>
      </c>
      <c r="G573">
        <f t="shared" si="17"/>
        <v>1</v>
      </c>
    </row>
    <row r="574" spans="1:7" hidden="1">
      <c r="A574" t="str">
        <f>Sinistrés!H579</f>
        <v>Colza d'hiver</v>
      </c>
      <c r="B574">
        <f>Sinistrés!J579</f>
        <v>13610.76</v>
      </c>
      <c r="C574">
        <f>Sinistrés!X579</f>
        <v>0</v>
      </c>
      <c r="D574">
        <f>Sinistrés!L579</f>
        <v>11.23</v>
      </c>
      <c r="E574">
        <f>Sinistrés!M579</f>
        <v>8.19</v>
      </c>
      <c r="F574">
        <f t="shared" si="16"/>
        <v>0</v>
      </c>
      <c r="G574">
        <f t="shared" si="17"/>
        <v>0.72929652715939441</v>
      </c>
    </row>
    <row r="575" spans="1:7" hidden="1">
      <c r="A575" t="str">
        <f>Sinistrés!H580</f>
        <v>Orge d'hiver</v>
      </c>
      <c r="B575">
        <f>Sinistrés!J580</f>
        <v>19036.72</v>
      </c>
      <c r="C575">
        <f>Sinistrés!X580</f>
        <v>0</v>
      </c>
      <c r="D575">
        <f>Sinistrés!L580</f>
        <v>19.89</v>
      </c>
      <c r="E575">
        <f>Sinistrés!M580</f>
        <v>18</v>
      </c>
      <c r="F575">
        <f t="shared" si="16"/>
        <v>0</v>
      </c>
      <c r="G575">
        <f t="shared" si="17"/>
        <v>0.90497737556561086</v>
      </c>
    </row>
    <row r="576" spans="1:7" hidden="1">
      <c r="A576" t="str">
        <f>Sinistrés!H581</f>
        <v>Blé tendre d'hiver</v>
      </c>
      <c r="B576">
        <f>Sinistrés!J581</f>
        <v>53001</v>
      </c>
      <c r="C576">
        <f>Sinistrés!X581</f>
        <v>0</v>
      </c>
      <c r="D576">
        <f>Sinistrés!L581</f>
        <v>45.3</v>
      </c>
      <c r="E576">
        <f>Sinistrés!M581</f>
        <v>45.3</v>
      </c>
      <c r="F576">
        <f t="shared" si="16"/>
        <v>0</v>
      </c>
      <c r="G576">
        <f t="shared" si="17"/>
        <v>1</v>
      </c>
    </row>
    <row r="577" spans="1:7" hidden="1">
      <c r="A577" t="str">
        <f>Sinistrés!H582</f>
        <v>Blé tendre d'hiver</v>
      </c>
      <c r="B577">
        <f>Sinistrés!J582</f>
        <v>76762.45</v>
      </c>
      <c r="C577">
        <f>Sinistrés!X582</f>
        <v>0</v>
      </c>
      <c r="D577">
        <f>Sinistrés!L582</f>
        <v>59.32</v>
      </c>
      <c r="E577">
        <f>Sinistrés!M582</f>
        <v>59.32</v>
      </c>
      <c r="F577">
        <f t="shared" si="16"/>
        <v>0</v>
      </c>
      <c r="G577">
        <f t="shared" si="17"/>
        <v>1</v>
      </c>
    </row>
    <row r="578" spans="1:7" hidden="1">
      <c r="A578" t="str">
        <f>Sinistrés!H583</f>
        <v>Colza d'hiver</v>
      </c>
      <c r="B578">
        <f>Sinistrés!J583</f>
        <v>14395.92</v>
      </c>
      <c r="C578">
        <f>Sinistrés!X583</f>
        <v>0</v>
      </c>
      <c r="D578">
        <f>Sinistrés!L583</f>
        <v>13.2</v>
      </c>
      <c r="E578">
        <f>Sinistrés!M583</f>
        <v>13.2</v>
      </c>
      <c r="F578">
        <f t="shared" si="16"/>
        <v>0</v>
      </c>
      <c r="G578">
        <f t="shared" si="17"/>
        <v>1</v>
      </c>
    </row>
    <row r="579" spans="1:7" hidden="1">
      <c r="A579" t="str">
        <f>Sinistrés!H584</f>
        <v>Orge d'hiver</v>
      </c>
      <c r="B579">
        <f>Sinistrés!J584</f>
        <v>20185.57</v>
      </c>
      <c r="C579">
        <f>Sinistrés!X584</f>
        <v>0</v>
      </c>
      <c r="D579">
        <f>Sinistrés!L584</f>
        <v>16.489999999999998</v>
      </c>
      <c r="E579">
        <f>Sinistrés!M584</f>
        <v>16.489999999999998</v>
      </c>
      <c r="F579">
        <f t="shared" ref="F579:F642" si="18">C579/B579</f>
        <v>0</v>
      </c>
      <c r="G579">
        <f t="shared" ref="G579:G642" si="19">E579/D579</f>
        <v>1</v>
      </c>
    </row>
    <row r="580" spans="1:7" hidden="1">
      <c r="A580" t="str">
        <f>Sinistrés!H585</f>
        <v>Colza d'hiver</v>
      </c>
      <c r="B580">
        <f>Sinistrés!J585</f>
        <v>25540.9</v>
      </c>
      <c r="C580">
        <f>Sinistrés!X585</f>
        <v>0</v>
      </c>
      <c r="D580">
        <f>Sinistrés!L585</f>
        <v>14.98</v>
      </c>
      <c r="E580">
        <f>Sinistrés!M585</f>
        <v>14.98</v>
      </c>
      <c r="F580">
        <f t="shared" si="18"/>
        <v>0</v>
      </c>
      <c r="G580">
        <f t="shared" si="19"/>
        <v>1</v>
      </c>
    </row>
    <row r="581" spans="1:7" hidden="1">
      <c r="A581" t="str">
        <f>Sinistrés!H586</f>
        <v>Triticale</v>
      </c>
      <c r="B581">
        <f>Sinistrés!J586</f>
        <v>10730.91</v>
      </c>
      <c r="C581">
        <f>Sinistrés!X586</f>
        <v>0</v>
      </c>
      <c r="D581">
        <f>Sinistrés!L586</f>
        <v>14.02</v>
      </c>
      <c r="E581">
        <f>Sinistrés!M586</f>
        <v>14.02</v>
      </c>
      <c r="F581">
        <f t="shared" si="18"/>
        <v>0</v>
      </c>
      <c r="G581">
        <f t="shared" si="19"/>
        <v>1</v>
      </c>
    </row>
    <row r="582" spans="1:7" hidden="1">
      <c r="A582" t="str">
        <f>Sinistrés!H587</f>
        <v>Blé tendre d'hiver</v>
      </c>
      <c r="B582">
        <f>Sinistrés!J587</f>
        <v>14641</v>
      </c>
      <c r="C582">
        <f>Sinistrés!X587</f>
        <v>0</v>
      </c>
      <c r="D582">
        <f>Sinistrés!L587</f>
        <v>12.1</v>
      </c>
      <c r="E582">
        <f>Sinistrés!M587</f>
        <v>12.1</v>
      </c>
      <c r="F582">
        <f t="shared" si="18"/>
        <v>0</v>
      </c>
      <c r="G582">
        <f t="shared" si="19"/>
        <v>1</v>
      </c>
    </row>
    <row r="583" spans="1:7" hidden="1">
      <c r="A583" t="str">
        <f>Sinistrés!H588</f>
        <v>Colza d'hiver</v>
      </c>
      <c r="B583">
        <f>Sinistrés!J588</f>
        <v>13041.6</v>
      </c>
      <c r="C583">
        <f>Sinistrés!X588</f>
        <v>0</v>
      </c>
      <c r="D583">
        <f>Sinistrés!L588</f>
        <v>9.5</v>
      </c>
      <c r="E583">
        <f>Sinistrés!M588</f>
        <v>9.5399999999999991</v>
      </c>
      <c r="F583">
        <f t="shared" si="18"/>
        <v>0</v>
      </c>
      <c r="G583">
        <f t="shared" si="19"/>
        <v>1.0042105263157894</v>
      </c>
    </row>
    <row r="584" spans="1:7" hidden="1">
      <c r="A584" t="str">
        <f>Sinistrés!H589</f>
        <v>Blé tendre d'hiver</v>
      </c>
      <c r="B584">
        <f>Sinistrés!J589</f>
        <v>16659.98</v>
      </c>
      <c r="C584">
        <f>Sinistrés!X589</f>
        <v>0</v>
      </c>
      <c r="D584">
        <f>Sinistrés!L589</f>
        <v>16.03</v>
      </c>
      <c r="E584">
        <f>Sinistrés!M589</f>
        <v>14.98</v>
      </c>
      <c r="F584">
        <f t="shared" si="18"/>
        <v>0</v>
      </c>
      <c r="G584">
        <f t="shared" si="19"/>
        <v>0.93449781659388642</v>
      </c>
    </row>
    <row r="585" spans="1:7" hidden="1">
      <c r="A585" t="str">
        <f>Sinistrés!H590</f>
        <v>Blé tendre d'hiver</v>
      </c>
      <c r="B585">
        <f>Sinistrés!J590</f>
        <v>27341.439999999999</v>
      </c>
      <c r="C585">
        <f>Sinistrés!X590</f>
        <v>0</v>
      </c>
      <c r="D585">
        <f>Sinistrés!L590</f>
        <v>25.13</v>
      </c>
      <c r="E585">
        <f>Sinistrés!M590</f>
        <v>24.87</v>
      </c>
      <c r="F585">
        <f t="shared" si="18"/>
        <v>0</v>
      </c>
      <c r="G585">
        <f t="shared" si="19"/>
        <v>0.98965380023875849</v>
      </c>
    </row>
    <row r="586" spans="1:7" hidden="1">
      <c r="A586" t="str">
        <f>Sinistrés!H591</f>
        <v>Colza d'hiver</v>
      </c>
      <c r="B586">
        <f>Sinistrés!J591</f>
        <v>6942.94</v>
      </c>
      <c r="C586">
        <f>Sinistrés!X591</f>
        <v>0</v>
      </c>
      <c r="D586">
        <f>Sinistrés!L591</f>
        <v>6.03</v>
      </c>
      <c r="E586">
        <f>Sinistrés!M591</f>
        <v>6.03</v>
      </c>
      <c r="F586">
        <f t="shared" si="18"/>
        <v>0</v>
      </c>
      <c r="G586">
        <f t="shared" si="19"/>
        <v>1</v>
      </c>
    </row>
    <row r="587" spans="1:7" hidden="1">
      <c r="A587" t="str">
        <f>Sinistrés!H592</f>
        <v>Lentilles BIO</v>
      </c>
      <c r="B587">
        <f>Sinistrés!J592</f>
        <v>31285.200000000001</v>
      </c>
      <c r="C587">
        <f>Sinistrés!X592</f>
        <v>0</v>
      </c>
      <c r="D587">
        <f>Sinistrés!L592</f>
        <v>17.98</v>
      </c>
      <c r="E587">
        <f>Sinistrés!M592</f>
        <v>17.98</v>
      </c>
      <c r="F587">
        <f t="shared" si="18"/>
        <v>0</v>
      </c>
      <c r="G587">
        <f t="shared" si="19"/>
        <v>1</v>
      </c>
    </row>
    <row r="588" spans="1:7" hidden="1">
      <c r="A588" t="str">
        <f>Sinistrés!H593</f>
        <v>Pois secs / Pois Chiches BIO</v>
      </c>
      <c r="B588">
        <f>Sinistrés!J593</f>
        <v>32680.38</v>
      </c>
      <c r="C588">
        <f>Sinistrés!X593</f>
        <v>0</v>
      </c>
      <c r="D588">
        <f>Sinistrés!L593</f>
        <v>15.78</v>
      </c>
      <c r="E588">
        <f>Sinistrés!M593</f>
        <v>15.78</v>
      </c>
      <c r="F588">
        <f t="shared" si="18"/>
        <v>0</v>
      </c>
      <c r="G588">
        <f t="shared" si="19"/>
        <v>1</v>
      </c>
    </row>
    <row r="589" spans="1:7" hidden="1">
      <c r="A589" t="str">
        <f>Sinistrés!H594</f>
        <v>Blé tendre d'hiver BIO</v>
      </c>
      <c r="B589">
        <f>Sinistrés!J594</f>
        <v>35486.21</v>
      </c>
      <c r="C589">
        <f>Sinistrés!X594</f>
        <v>0</v>
      </c>
      <c r="D589">
        <f>Sinistrés!L594</f>
        <v>24.48</v>
      </c>
      <c r="E589">
        <f>Sinistrés!M594</f>
        <v>24.48</v>
      </c>
      <c r="F589">
        <f t="shared" si="18"/>
        <v>0</v>
      </c>
      <c r="G589">
        <f t="shared" si="19"/>
        <v>1</v>
      </c>
    </row>
    <row r="590" spans="1:7" hidden="1">
      <c r="A590" t="str">
        <f>Sinistrés!H595</f>
        <v>Pois protéagineux BIO</v>
      </c>
      <c r="B590">
        <f>Sinistrés!J595</f>
        <v>19653.3</v>
      </c>
      <c r="C590">
        <f>Sinistrés!X595</f>
        <v>0</v>
      </c>
      <c r="D590">
        <f>Sinistrés!L595</f>
        <v>15.06</v>
      </c>
      <c r="E590">
        <f>Sinistrés!M595</f>
        <v>13.77</v>
      </c>
      <c r="F590">
        <f t="shared" si="18"/>
        <v>0</v>
      </c>
      <c r="G590">
        <f t="shared" si="19"/>
        <v>0.91434262948207168</v>
      </c>
    </row>
    <row r="591" spans="1:7" hidden="1">
      <c r="A591" t="str">
        <f>Sinistrés!H596</f>
        <v>Orge d'hiver BIO</v>
      </c>
      <c r="B591">
        <f>Sinistrés!J596</f>
        <v>30058.82</v>
      </c>
      <c r="C591">
        <f>Sinistrés!X596</f>
        <v>0</v>
      </c>
      <c r="D591">
        <f>Sinistrés!L596</f>
        <v>23.41</v>
      </c>
      <c r="E591">
        <f>Sinistrés!M596</f>
        <v>23.41</v>
      </c>
      <c r="F591">
        <f t="shared" si="18"/>
        <v>0</v>
      </c>
      <c r="G591">
        <f t="shared" si="19"/>
        <v>1</v>
      </c>
    </row>
    <row r="592" spans="1:7">
      <c r="A592" t="str">
        <f>Sinistrés!H597</f>
        <v>Avoine d'hiver</v>
      </c>
      <c r="B592">
        <f>Sinistrés!J597</f>
        <v>25500.1</v>
      </c>
      <c r="C592">
        <f>Sinistrés!X597</f>
        <v>1882.08</v>
      </c>
      <c r="D592">
        <f>Sinistrés!L597</f>
        <v>28.09</v>
      </c>
      <c r="E592">
        <f>Sinistrés!M597</f>
        <v>28.09</v>
      </c>
      <c r="F592">
        <f t="shared" si="18"/>
        <v>7.3806769385218102E-2</v>
      </c>
      <c r="G592">
        <f t="shared" si="19"/>
        <v>1</v>
      </c>
    </row>
    <row r="593" spans="1:7" hidden="1">
      <c r="A593" t="str">
        <f>Sinistrés!H598</f>
        <v>Blé tendre d'hiver</v>
      </c>
      <c r="B593">
        <f>Sinistrés!J598</f>
        <v>32102.400000000001</v>
      </c>
      <c r="C593">
        <f>Sinistrés!X598</f>
        <v>0</v>
      </c>
      <c r="D593">
        <f>Sinistrés!L598</f>
        <v>25.6</v>
      </c>
      <c r="E593">
        <f>Sinistrés!M598</f>
        <v>25.6</v>
      </c>
      <c r="F593">
        <f t="shared" si="18"/>
        <v>0</v>
      </c>
      <c r="G593">
        <f t="shared" si="19"/>
        <v>1</v>
      </c>
    </row>
    <row r="594" spans="1:7">
      <c r="A594" t="str">
        <f>Sinistrés!H599</f>
        <v>Triticale</v>
      </c>
      <c r="B594">
        <f>Sinistrés!J599</f>
        <v>23318</v>
      </c>
      <c r="C594">
        <f>Sinistrés!X599</f>
        <v>2485.86</v>
      </c>
      <c r="D594">
        <f>Sinistrés!L599</f>
        <v>26.2</v>
      </c>
      <c r="E594">
        <f>Sinistrés!M599</f>
        <v>26.2</v>
      </c>
      <c r="F594">
        <f t="shared" si="18"/>
        <v>0.10660691311433228</v>
      </c>
      <c r="G594">
        <f t="shared" si="19"/>
        <v>1</v>
      </c>
    </row>
    <row r="595" spans="1:7" hidden="1">
      <c r="A595" t="str">
        <f>Sinistrés!H600</f>
        <v>Colza d'hiver</v>
      </c>
      <c r="B595">
        <f>Sinistrés!J600</f>
        <v>10159.4</v>
      </c>
      <c r="C595">
        <f>Sinistrés!X600</f>
        <v>0</v>
      </c>
      <c r="D595">
        <f>Sinistrés!L600</f>
        <v>6.43</v>
      </c>
      <c r="E595">
        <f>Sinistrés!M600</f>
        <v>6.43</v>
      </c>
      <c r="F595">
        <f t="shared" si="18"/>
        <v>0</v>
      </c>
      <c r="G595">
        <f t="shared" si="19"/>
        <v>1</v>
      </c>
    </row>
    <row r="596" spans="1:7" hidden="1">
      <c r="A596" t="str">
        <f>Sinistrés!H601</f>
        <v>Orge d'hiver</v>
      </c>
      <c r="B596">
        <f>Sinistrés!J601</f>
        <v>13521.66</v>
      </c>
      <c r="C596">
        <f>Sinistrés!X601</f>
        <v>0</v>
      </c>
      <c r="D596">
        <f>Sinistrés!L601</f>
        <v>13.96</v>
      </c>
      <c r="E596">
        <f>Sinistrés!M601</f>
        <v>13.96</v>
      </c>
      <c r="F596">
        <f t="shared" si="18"/>
        <v>0</v>
      </c>
      <c r="G596">
        <f t="shared" si="19"/>
        <v>1</v>
      </c>
    </row>
    <row r="597" spans="1:7" hidden="1">
      <c r="A597" t="str">
        <f>Sinistrés!H602</f>
        <v>Blé tendre d'hiver</v>
      </c>
      <c r="B597">
        <f>Sinistrés!J602</f>
        <v>50013.33</v>
      </c>
      <c r="C597">
        <f>Sinistrés!X602</f>
        <v>0</v>
      </c>
      <c r="D597">
        <f>Sinistrés!L602</f>
        <v>43.02</v>
      </c>
      <c r="E597">
        <f>Sinistrés!M602</f>
        <v>43.02</v>
      </c>
      <c r="F597">
        <f t="shared" si="18"/>
        <v>0</v>
      </c>
      <c r="G597">
        <f t="shared" si="19"/>
        <v>1</v>
      </c>
    </row>
    <row r="598" spans="1:7" hidden="1">
      <c r="A598" t="str">
        <f>Sinistrés!H603</f>
        <v>Colza d'hiver</v>
      </c>
      <c r="B598">
        <f>Sinistrés!J603</f>
        <v>29447.87</v>
      </c>
      <c r="C598">
        <f>Sinistrés!X603</f>
        <v>0</v>
      </c>
      <c r="D598">
        <f>Sinistrés!L603</f>
        <v>24.4</v>
      </c>
      <c r="E598">
        <f>Sinistrés!M603</f>
        <v>24.4</v>
      </c>
      <c r="F598">
        <f t="shared" si="18"/>
        <v>0</v>
      </c>
      <c r="G598">
        <f t="shared" si="19"/>
        <v>1</v>
      </c>
    </row>
    <row r="599" spans="1:7" hidden="1">
      <c r="A599" t="str">
        <f>Sinistrés!H604</f>
        <v>Triticale</v>
      </c>
      <c r="B599">
        <f>Sinistrés!J604</f>
        <v>14845.22</v>
      </c>
      <c r="C599">
        <f>Sinistrés!X604</f>
        <v>0</v>
      </c>
      <c r="D599">
        <f>Sinistrés!L604</f>
        <v>18.82</v>
      </c>
      <c r="E599">
        <f>Sinistrés!M604</f>
        <v>18.82</v>
      </c>
      <c r="F599">
        <f t="shared" si="18"/>
        <v>0</v>
      </c>
      <c r="G599">
        <f t="shared" si="19"/>
        <v>1</v>
      </c>
    </row>
    <row r="600" spans="1:7" hidden="1">
      <c r="A600" t="str">
        <f>Sinistrés!H605</f>
        <v>Blé tendre d'hiver</v>
      </c>
      <c r="B600">
        <f>Sinistrés!J605</f>
        <v>20384.82</v>
      </c>
      <c r="C600">
        <f>Sinistrés!X605</f>
        <v>0</v>
      </c>
      <c r="D600">
        <f>Sinistrés!L605</f>
        <v>21.05</v>
      </c>
      <c r="E600">
        <f>Sinistrés!M605</f>
        <v>21.05</v>
      </c>
      <c r="F600">
        <f t="shared" si="18"/>
        <v>0</v>
      </c>
      <c r="G600">
        <f t="shared" si="19"/>
        <v>1</v>
      </c>
    </row>
    <row r="601" spans="1:7" hidden="1">
      <c r="A601" t="str">
        <f>Sinistrés!H606</f>
        <v>Blé de force</v>
      </c>
      <c r="B601">
        <f>Sinistrés!J606</f>
        <v>24102.9</v>
      </c>
      <c r="C601">
        <f>Sinistrés!X606</f>
        <v>0</v>
      </c>
      <c r="D601">
        <f>Sinistrés!L606</f>
        <v>21.33</v>
      </c>
      <c r="E601">
        <f>Sinistrés!M606</f>
        <v>21.33</v>
      </c>
      <c r="F601">
        <f t="shared" si="18"/>
        <v>0</v>
      </c>
      <c r="G601">
        <f t="shared" si="19"/>
        <v>1</v>
      </c>
    </row>
    <row r="602" spans="1:7" hidden="1">
      <c r="A602" t="str">
        <f>Sinistrés!H607</f>
        <v>Orge d'hiver</v>
      </c>
      <c r="B602">
        <f>Sinistrés!J607</f>
        <v>13847.18</v>
      </c>
      <c r="C602">
        <f>Sinistrés!X607</f>
        <v>0</v>
      </c>
      <c r="D602">
        <f>Sinistrés!L607</f>
        <v>15.21</v>
      </c>
      <c r="E602">
        <f>Sinistrés!M607</f>
        <v>15.21</v>
      </c>
      <c r="F602">
        <f t="shared" si="18"/>
        <v>0</v>
      </c>
      <c r="G602">
        <f t="shared" si="19"/>
        <v>1</v>
      </c>
    </row>
    <row r="603" spans="1:7" hidden="1">
      <c r="A603" t="str">
        <f>Sinistrés!H608</f>
        <v>Triticale</v>
      </c>
      <c r="B603">
        <f>Sinistrés!J608</f>
        <v>1885.23</v>
      </c>
      <c r="C603">
        <f>Sinistrés!X608</f>
        <v>0</v>
      </c>
      <c r="D603">
        <f>Sinistrés!L608</f>
        <v>2.39</v>
      </c>
      <c r="E603">
        <f>Sinistrés!M608</f>
        <v>2.39</v>
      </c>
      <c r="F603">
        <f t="shared" si="18"/>
        <v>0</v>
      </c>
      <c r="G603">
        <f t="shared" si="19"/>
        <v>1</v>
      </c>
    </row>
    <row r="604" spans="1:7" hidden="1">
      <c r="A604" t="str">
        <f>Sinistrés!H609</f>
        <v>Seigle et méteil</v>
      </c>
      <c r="B604">
        <f>Sinistrés!J609</f>
        <v>3244.61</v>
      </c>
      <c r="C604">
        <f>Sinistrés!X609</f>
        <v>0</v>
      </c>
      <c r="D604">
        <f>Sinistrés!L609</f>
        <v>5.16</v>
      </c>
      <c r="E604">
        <f>Sinistrés!M609</f>
        <v>5.16</v>
      </c>
      <c r="F604">
        <f t="shared" si="18"/>
        <v>0</v>
      </c>
      <c r="G604">
        <f t="shared" si="19"/>
        <v>1</v>
      </c>
    </row>
    <row r="605" spans="1:7" hidden="1">
      <c r="A605" t="str">
        <f>Sinistrés!H610</f>
        <v>Blé tendre d'hiver</v>
      </c>
      <c r="B605">
        <f>Sinistrés!J610</f>
        <v>91392</v>
      </c>
      <c r="C605">
        <f>Sinistrés!X610</f>
        <v>0</v>
      </c>
      <c r="D605">
        <f>Sinistrés!L610</f>
        <v>51</v>
      </c>
      <c r="E605">
        <f>Sinistrés!M610</f>
        <v>22.3</v>
      </c>
      <c r="F605">
        <f t="shared" si="18"/>
        <v>0</v>
      </c>
      <c r="G605">
        <f t="shared" si="19"/>
        <v>0.43725490196078431</v>
      </c>
    </row>
    <row r="606" spans="1:7" hidden="1">
      <c r="A606" t="str">
        <f>Sinistrés!H611</f>
        <v>Colza d'hiver</v>
      </c>
      <c r="B606">
        <f>Sinistrés!J611</f>
        <v>42840</v>
      </c>
      <c r="C606">
        <f>Sinistrés!X611</f>
        <v>0</v>
      </c>
      <c r="D606">
        <f>Sinistrés!L611</f>
        <v>21</v>
      </c>
      <c r="E606">
        <f>Sinistrés!M611</f>
        <v>21</v>
      </c>
      <c r="F606">
        <f t="shared" si="18"/>
        <v>0</v>
      </c>
      <c r="G606">
        <f t="shared" si="19"/>
        <v>1</v>
      </c>
    </row>
    <row r="607" spans="1:7" hidden="1">
      <c r="A607" t="str">
        <f>Sinistrés!H612</f>
        <v>Colza d'hiver</v>
      </c>
      <c r="B607">
        <f>Sinistrés!J612</f>
        <v>18116.3</v>
      </c>
      <c r="C607">
        <f>Sinistrés!X612</f>
        <v>0</v>
      </c>
      <c r="D607">
        <f>Sinistrés!L612</f>
        <v>11.13</v>
      </c>
      <c r="E607">
        <f>Sinistrés!M612</f>
        <v>11.13</v>
      </c>
      <c r="F607">
        <f t="shared" si="18"/>
        <v>0</v>
      </c>
      <c r="G607">
        <f t="shared" si="19"/>
        <v>1</v>
      </c>
    </row>
    <row r="608" spans="1:7">
      <c r="A608" t="str">
        <f>Sinistrés!H613</f>
        <v>Colza d'hiver</v>
      </c>
      <c r="B608">
        <f>Sinistrés!J613</f>
        <v>79794.259999999995</v>
      </c>
      <c r="C608">
        <f>Sinistrés!X613</f>
        <v>9724.3799999999992</v>
      </c>
      <c r="D608">
        <f>Sinistrés!L613</f>
        <v>51.58</v>
      </c>
      <c r="E608">
        <f>Sinistrés!M613</f>
        <v>51.58</v>
      </c>
      <c r="F608">
        <f t="shared" si="18"/>
        <v>0.12186816445192925</v>
      </c>
      <c r="G608">
        <f t="shared" si="19"/>
        <v>1</v>
      </c>
    </row>
    <row r="609" spans="1:7" hidden="1">
      <c r="A609" t="str">
        <f>Sinistrés!H614</f>
        <v>Colza d'hiver</v>
      </c>
      <c r="B609">
        <f>Sinistrés!J614</f>
        <v>17696.39</v>
      </c>
      <c r="C609">
        <f>Sinistrés!X614</f>
        <v>0</v>
      </c>
      <c r="D609">
        <f>Sinistrés!L614</f>
        <v>13.38</v>
      </c>
      <c r="E609">
        <f>Sinistrés!M614</f>
        <v>13.38</v>
      </c>
      <c r="F609">
        <f t="shared" si="18"/>
        <v>0</v>
      </c>
      <c r="G609">
        <f t="shared" si="19"/>
        <v>1</v>
      </c>
    </row>
    <row r="610" spans="1:7">
      <c r="A610" t="str">
        <f>Sinistrés!H615</f>
        <v>Orge d'hiver</v>
      </c>
      <c r="B610">
        <f>Sinistrés!J615</f>
        <v>2469.73</v>
      </c>
      <c r="C610">
        <f>Sinistrés!X615</f>
        <v>219.36</v>
      </c>
      <c r="D610">
        <f>Sinistrés!L615</f>
        <v>2.08</v>
      </c>
      <c r="E610">
        <f>Sinistrés!M615</f>
        <v>2.08</v>
      </c>
      <c r="F610">
        <f t="shared" si="18"/>
        <v>8.8819425605228111E-2</v>
      </c>
      <c r="G610">
        <f t="shared" si="19"/>
        <v>1</v>
      </c>
    </row>
    <row r="611" spans="1:7">
      <c r="A611" t="str">
        <f>Sinistrés!H616</f>
        <v>Blé tendre d'hiver</v>
      </c>
      <c r="B611">
        <f>Sinistrés!J616</f>
        <v>19080.05</v>
      </c>
      <c r="C611">
        <f>Sinistrés!X616</f>
        <v>3893.61</v>
      </c>
      <c r="D611">
        <f>Sinistrés!L616</f>
        <v>17.59</v>
      </c>
      <c r="E611">
        <f>Sinistrés!M616</f>
        <v>17.59</v>
      </c>
      <c r="F611">
        <f t="shared" si="18"/>
        <v>0.2040670752959243</v>
      </c>
      <c r="G611">
        <f t="shared" si="19"/>
        <v>1</v>
      </c>
    </row>
    <row r="612" spans="1:7" hidden="1">
      <c r="A612" t="str">
        <f>Sinistrés!H617</f>
        <v>Blé tendre d'hiver semences</v>
      </c>
      <c r="B612">
        <f>Sinistrés!J617</f>
        <v>27386.1</v>
      </c>
      <c r="C612">
        <f>Sinistrés!X617</f>
        <v>6449.63</v>
      </c>
      <c r="D612">
        <f>Sinistrés!L617</f>
        <v>22.05</v>
      </c>
      <c r="E612">
        <f>Sinistrés!M617</f>
        <v>22.05</v>
      </c>
      <c r="F612">
        <f t="shared" si="18"/>
        <v>0.23550742895118329</v>
      </c>
      <c r="G612">
        <f t="shared" si="19"/>
        <v>1</v>
      </c>
    </row>
    <row r="613" spans="1:7" hidden="1">
      <c r="A613" t="str">
        <f>Sinistrés!H618</f>
        <v>Orge d'hiver SEMENCES</v>
      </c>
      <c r="B613">
        <f>Sinistrés!J618</f>
        <v>9705.86</v>
      </c>
      <c r="C613">
        <f>Sinistrés!X618</f>
        <v>0</v>
      </c>
      <c r="D613">
        <f>Sinistrés!L618</f>
        <v>8.0299999999999994</v>
      </c>
      <c r="E613">
        <f>Sinistrés!M618</f>
        <v>8.0299999999999994</v>
      </c>
      <c r="F613">
        <f t="shared" si="18"/>
        <v>0</v>
      </c>
      <c r="G613">
        <f t="shared" si="19"/>
        <v>1</v>
      </c>
    </row>
    <row r="614" spans="1:7" hidden="1">
      <c r="A614" t="str">
        <f>Sinistrés!H619</f>
        <v>Blé tendre d'hiver</v>
      </c>
      <c r="B614">
        <f>Sinistrés!J619</f>
        <v>131802.09</v>
      </c>
      <c r="C614">
        <f>Sinistrés!X619</f>
        <v>0</v>
      </c>
      <c r="D614">
        <f>Sinistrés!L619</f>
        <v>92.74</v>
      </c>
      <c r="E614">
        <f>Sinistrés!M619</f>
        <v>92.74</v>
      </c>
      <c r="F614">
        <f t="shared" si="18"/>
        <v>0</v>
      </c>
      <c r="G614">
        <f t="shared" si="19"/>
        <v>1</v>
      </c>
    </row>
    <row r="615" spans="1:7" hidden="1">
      <c r="A615" t="str">
        <f>Sinistrés!H620</f>
        <v>Colza d'hiver</v>
      </c>
      <c r="B615">
        <f>Sinistrés!J620</f>
        <v>73531.55</v>
      </c>
      <c r="C615">
        <f>Sinistrés!X620</f>
        <v>0</v>
      </c>
      <c r="D615">
        <f>Sinistrés!L620</f>
        <v>58.31</v>
      </c>
      <c r="E615">
        <f>Sinistrés!M620</f>
        <v>58.31</v>
      </c>
      <c r="F615">
        <f t="shared" si="18"/>
        <v>0</v>
      </c>
      <c r="G615">
        <f t="shared" si="19"/>
        <v>1</v>
      </c>
    </row>
    <row r="616" spans="1:7" hidden="1">
      <c r="A616" t="str">
        <f>Sinistrés!H621</f>
        <v>Orge d'hiver</v>
      </c>
      <c r="B616">
        <f>Sinistrés!J621</f>
        <v>88061.74</v>
      </c>
      <c r="C616">
        <f>Sinistrés!X621</f>
        <v>0</v>
      </c>
      <c r="D616">
        <f>Sinistrés!L621</f>
        <v>75.010000000000005</v>
      </c>
      <c r="E616">
        <f>Sinistrés!M621</f>
        <v>75.010000000000005</v>
      </c>
      <c r="F616">
        <f t="shared" si="18"/>
        <v>0</v>
      </c>
      <c r="G616">
        <f t="shared" si="19"/>
        <v>1</v>
      </c>
    </row>
    <row r="617" spans="1:7" hidden="1">
      <c r="A617" t="str">
        <f>Sinistrés!H622</f>
        <v>Colza d'hiver</v>
      </c>
      <c r="B617">
        <f>Sinistrés!J622</f>
        <v>15047.76</v>
      </c>
      <c r="C617">
        <f>Sinistrés!X622</f>
        <v>0</v>
      </c>
      <c r="D617">
        <f>Sinistrés!L622</f>
        <v>12.72</v>
      </c>
      <c r="E617">
        <f>Sinistrés!M622</f>
        <v>12.71</v>
      </c>
      <c r="F617">
        <f t="shared" si="18"/>
        <v>0</v>
      </c>
      <c r="G617">
        <f t="shared" si="19"/>
        <v>0.99921383647798745</v>
      </c>
    </row>
    <row r="618" spans="1:7" hidden="1">
      <c r="A618" t="str">
        <f>Sinistrés!H623</f>
        <v>Colza d'hiver</v>
      </c>
      <c r="B618">
        <f>Sinistrés!J623</f>
        <v>25078.81</v>
      </c>
      <c r="C618">
        <f>Sinistrés!X623</f>
        <v>0</v>
      </c>
      <c r="D618">
        <f>Sinistrés!L623</f>
        <v>21.56</v>
      </c>
      <c r="E618">
        <f>Sinistrés!M623</f>
        <v>21.55</v>
      </c>
      <c r="F618">
        <f t="shared" si="18"/>
        <v>0</v>
      </c>
      <c r="G618">
        <f t="shared" si="19"/>
        <v>0.99953617810760675</v>
      </c>
    </row>
    <row r="619" spans="1:7" hidden="1">
      <c r="A619" t="str">
        <f>Sinistrés!H624</f>
        <v>Colza d'hiver</v>
      </c>
      <c r="B619">
        <f>Sinistrés!J624</f>
        <v>2973.95</v>
      </c>
      <c r="C619">
        <f>Sinistrés!X624</f>
        <v>0</v>
      </c>
      <c r="D619">
        <f>Sinistrés!L624</f>
        <v>2.9</v>
      </c>
      <c r="E619">
        <f>Sinistrés!M624</f>
        <v>2.89</v>
      </c>
      <c r="F619">
        <f t="shared" si="18"/>
        <v>0</v>
      </c>
      <c r="G619">
        <f t="shared" si="19"/>
        <v>0.99655172413793114</v>
      </c>
    </row>
    <row r="620" spans="1:7" hidden="1">
      <c r="A620" t="str">
        <f>Sinistrés!H625</f>
        <v>Blé tendre d'hiver BIO</v>
      </c>
      <c r="B620">
        <f>Sinistrés!J625</f>
        <v>58715.8</v>
      </c>
      <c r="C620">
        <f>Sinistrés!X625</f>
        <v>0</v>
      </c>
      <c r="D620">
        <f>Sinistrés!L625</f>
        <v>41.06</v>
      </c>
      <c r="E620">
        <f>Sinistrés!M625</f>
        <v>41.06</v>
      </c>
      <c r="F620">
        <f t="shared" si="18"/>
        <v>0</v>
      </c>
      <c r="G620">
        <f t="shared" si="19"/>
        <v>1</v>
      </c>
    </row>
    <row r="621" spans="1:7" hidden="1">
      <c r="A621" t="str">
        <f>Sinistrés!H626</f>
        <v>Colza d'hiver BIO</v>
      </c>
      <c r="B621">
        <f>Sinistrés!J626</f>
        <v>43659</v>
      </c>
      <c r="C621">
        <f>Sinistrés!X626</f>
        <v>17789.080000000002</v>
      </c>
      <c r="D621">
        <f>Sinistrés!L626</f>
        <v>21</v>
      </c>
      <c r="E621">
        <f>Sinistrés!M626</f>
        <v>21</v>
      </c>
      <c r="F621">
        <f t="shared" si="18"/>
        <v>0.40745504935981131</v>
      </c>
      <c r="G621">
        <f t="shared" si="19"/>
        <v>1</v>
      </c>
    </row>
    <row r="622" spans="1:7" hidden="1">
      <c r="A622" t="str">
        <f>Sinistrés!H627</f>
        <v>Colza d'hiver</v>
      </c>
      <c r="B622">
        <f>Sinistrés!J627</f>
        <v>49103.6</v>
      </c>
      <c r="C622">
        <f>Sinistrés!X627</f>
        <v>0</v>
      </c>
      <c r="D622">
        <f>Sinistrés!L627</f>
        <v>36.4</v>
      </c>
      <c r="E622">
        <f>Sinistrés!M627</f>
        <v>36.4</v>
      </c>
      <c r="F622">
        <f t="shared" si="18"/>
        <v>0</v>
      </c>
      <c r="G622">
        <f t="shared" si="19"/>
        <v>1</v>
      </c>
    </row>
    <row r="623" spans="1:7" hidden="1">
      <c r="A623" t="str">
        <f>Sinistrés!H628</f>
        <v>Colza d'hiver</v>
      </c>
      <c r="B623">
        <f>Sinistrés!J628</f>
        <v>16391.34</v>
      </c>
      <c r="C623">
        <f>Sinistrés!X628</f>
        <v>0</v>
      </c>
      <c r="D623">
        <f>Sinistrés!L628</f>
        <v>10.4</v>
      </c>
      <c r="E623">
        <f>Sinistrés!M628</f>
        <v>10.4</v>
      </c>
      <c r="F623">
        <f t="shared" si="18"/>
        <v>0</v>
      </c>
      <c r="G623">
        <f t="shared" si="19"/>
        <v>1</v>
      </c>
    </row>
    <row r="624" spans="1:7" hidden="1">
      <c r="A624" t="str">
        <f>Sinistrés!H629</f>
        <v>Blé tendre d'hiver BIO</v>
      </c>
      <c r="B624">
        <f>Sinistrés!J629</f>
        <v>29436</v>
      </c>
      <c r="C624">
        <f>Sinistrés!X629</f>
        <v>0</v>
      </c>
      <c r="D624">
        <f>Sinistrés!L629</f>
        <v>33</v>
      </c>
      <c r="E624">
        <f>Sinistrés!M629</f>
        <v>33</v>
      </c>
      <c r="F624">
        <f t="shared" si="18"/>
        <v>0</v>
      </c>
      <c r="G624">
        <f t="shared" si="19"/>
        <v>1</v>
      </c>
    </row>
    <row r="625" spans="1:7">
      <c r="A625" t="str">
        <f>Sinistrés!H630</f>
        <v>Colza d'hiver</v>
      </c>
      <c r="B625">
        <f>Sinistrés!J630</f>
        <v>75582</v>
      </c>
      <c r="C625">
        <f>Sinistrés!X630</f>
        <v>339.45</v>
      </c>
      <c r="D625">
        <f>Sinistrés!L630</f>
        <v>65</v>
      </c>
      <c r="E625">
        <f>Sinistrés!M630</f>
        <v>40</v>
      </c>
      <c r="F625">
        <f t="shared" si="18"/>
        <v>4.4911486861951254E-3</v>
      </c>
      <c r="G625">
        <f t="shared" si="19"/>
        <v>0.61538461538461542</v>
      </c>
    </row>
    <row r="626" spans="1:7" hidden="1">
      <c r="A626" t="str">
        <f>Sinistrés!H631</f>
        <v>Colza d'hiver</v>
      </c>
      <c r="B626">
        <f>Sinistrés!J631</f>
        <v>48211.68</v>
      </c>
      <c r="C626">
        <f>Sinistrés!X631</f>
        <v>0</v>
      </c>
      <c r="D626">
        <f>Sinistrés!L631</f>
        <v>48</v>
      </c>
      <c r="E626">
        <f>Sinistrés!M631</f>
        <v>48</v>
      </c>
      <c r="F626">
        <f t="shared" si="18"/>
        <v>0</v>
      </c>
      <c r="G626">
        <f t="shared" si="19"/>
        <v>1</v>
      </c>
    </row>
    <row r="627" spans="1:7" hidden="1">
      <c r="A627" t="str">
        <f>Sinistrés!H632</f>
        <v>Colza d'hiver</v>
      </c>
      <c r="B627">
        <f>Sinistrés!J632</f>
        <v>13597.25</v>
      </c>
      <c r="C627">
        <f>Sinistrés!X632</f>
        <v>0</v>
      </c>
      <c r="D627">
        <f>Sinistrés!L632</f>
        <v>12.5</v>
      </c>
      <c r="E627">
        <f>Sinistrés!M632</f>
        <v>12.5</v>
      </c>
      <c r="F627">
        <f t="shared" si="18"/>
        <v>0</v>
      </c>
      <c r="G627">
        <f t="shared" si="19"/>
        <v>1</v>
      </c>
    </row>
    <row r="628" spans="1:7" hidden="1">
      <c r="A628" t="str">
        <f>Sinistrés!H633</f>
        <v>Blé tendre d'hiver</v>
      </c>
      <c r="B628">
        <f>Sinistrés!J633</f>
        <v>14316.23</v>
      </c>
      <c r="C628">
        <f>Sinistrés!X633</f>
        <v>0</v>
      </c>
      <c r="D628">
        <f>Sinistrés!L633</f>
        <v>12.95</v>
      </c>
      <c r="E628">
        <f>Sinistrés!M633</f>
        <v>12.95</v>
      </c>
      <c r="F628">
        <f t="shared" si="18"/>
        <v>0</v>
      </c>
      <c r="G628">
        <f t="shared" si="19"/>
        <v>1</v>
      </c>
    </row>
    <row r="629" spans="1:7" hidden="1">
      <c r="A629" t="str">
        <f>Sinistrés!H634</f>
        <v>Blé tendre d'hiver semences</v>
      </c>
      <c r="B629">
        <f>Sinistrés!J634</f>
        <v>25570.22</v>
      </c>
      <c r="C629">
        <f>Sinistrés!X634</f>
        <v>0</v>
      </c>
      <c r="D629">
        <f>Sinistrés!L634</f>
        <v>23.13</v>
      </c>
      <c r="E629">
        <f>Sinistrés!M634</f>
        <v>23.13</v>
      </c>
      <c r="F629">
        <f t="shared" si="18"/>
        <v>0</v>
      </c>
      <c r="G629">
        <f t="shared" si="19"/>
        <v>1</v>
      </c>
    </row>
    <row r="630" spans="1:7" hidden="1">
      <c r="A630" t="str">
        <f>Sinistrés!H635</f>
        <v>Colza d'hiver</v>
      </c>
      <c r="B630">
        <f>Sinistrés!J635</f>
        <v>67091.199999999997</v>
      </c>
      <c r="C630">
        <f>Sinistrés!X635</f>
        <v>0</v>
      </c>
      <c r="D630">
        <f>Sinistrés!L635</f>
        <v>38.119999999999997</v>
      </c>
      <c r="E630">
        <f>Sinistrés!M635</f>
        <v>38.119999999999997</v>
      </c>
      <c r="F630">
        <f t="shared" si="18"/>
        <v>0</v>
      </c>
      <c r="G630">
        <f t="shared" si="19"/>
        <v>1</v>
      </c>
    </row>
    <row r="631" spans="1:7" hidden="1">
      <c r="A631" t="str">
        <f>Sinistrés!H636</f>
        <v>Orge d'hiver SEMENCES</v>
      </c>
      <c r="B631">
        <f>Sinistrés!J636</f>
        <v>14428.8</v>
      </c>
      <c r="C631">
        <f>Sinistrés!X636</f>
        <v>0</v>
      </c>
      <c r="D631">
        <f>Sinistrés!L636</f>
        <v>15.03</v>
      </c>
      <c r="E631">
        <f>Sinistrés!M636</f>
        <v>15.03</v>
      </c>
      <c r="F631">
        <f t="shared" si="18"/>
        <v>0</v>
      </c>
      <c r="G631">
        <f t="shared" si="19"/>
        <v>1</v>
      </c>
    </row>
    <row r="632" spans="1:7" hidden="1">
      <c r="A632" t="str">
        <f>Sinistrés!H637</f>
        <v>Lin oléagineux</v>
      </c>
      <c r="B632">
        <f>Sinistrés!J637</f>
        <v>19380</v>
      </c>
      <c r="C632">
        <f>Sinistrés!X637</f>
        <v>0</v>
      </c>
      <c r="D632">
        <f>Sinistrés!L637</f>
        <v>16.149999999999999</v>
      </c>
      <c r="E632">
        <f>Sinistrés!M637</f>
        <v>16.149999999999999</v>
      </c>
      <c r="F632">
        <f t="shared" si="18"/>
        <v>0</v>
      </c>
      <c r="G632">
        <f t="shared" si="19"/>
        <v>1</v>
      </c>
    </row>
    <row r="633" spans="1:7" hidden="1">
      <c r="A633" t="str">
        <f>Sinistrés!H638</f>
        <v>Blé dur d'hiver</v>
      </c>
      <c r="B633">
        <f>Sinistrés!J638</f>
        <v>18707.72</v>
      </c>
      <c r="C633">
        <f>Sinistrés!X638</f>
        <v>0</v>
      </c>
      <c r="D633">
        <f>Sinistrés!L638</f>
        <v>12.17</v>
      </c>
      <c r="E633">
        <f>Sinistrés!M638</f>
        <v>12.17</v>
      </c>
      <c r="F633">
        <f t="shared" si="18"/>
        <v>0</v>
      </c>
      <c r="G633">
        <f t="shared" si="19"/>
        <v>1</v>
      </c>
    </row>
    <row r="634" spans="1:7" hidden="1">
      <c r="A634" t="str">
        <f>Sinistrés!H639</f>
        <v>Colza d'hiver</v>
      </c>
      <c r="B634">
        <f>Sinistrés!J639</f>
        <v>8658</v>
      </c>
      <c r="C634">
        <f>Sinistrés!X639</f>
        <v>0</v>
      </c>
      <c r="D634">
        <f>Sinistrés!L639</f>
        <v>11.1</v>
      </c>
      <c r="E634">
        <f>Sinistrés!M639</f>
        <v>11.1</v>
      </c>
      <c r="F634">
        <f t="shared" si="18"/>
        <v>0</v>
      </c>
      <c r="G634">
        <f t="shared" si="19"/>
        <v>1</v>
      </c>
    </row>
    <row r="635" spans="1:7" hidden="1">
      <c r="A635" t="str">
        <f>Sinistrés!H640</f>
        <v>Orge d'hiver</v>
      </c>
      <c r="B635">
        <f>Sinistrés!J640</f>
        <v>11475.75</v>
      </c>
      <c r="C635">
        <f>Sinistrés!X640</f>
        <v>0</v>
      </c>
      <c r="D635">
        <f>Sinistrés!L640</f>
        <v>13.91</v>
      </c>
      <c r="E635">
        <f>Sinistrés!M640</f>
        <v>13.91</v>
      </c>
      <c r="F635">
        <f t="shared" si="18"/>
        <v>0</v>
      </c>
      <c r="G635">
        <f t="shared" si="19"/>
        <v>1</v>
      </c>
    </row>
    <row r="636" spans="1:7">
      <c r="A636" t="str">
        <f>Sinistrés!H641</f>
        <v>Blé tendre d'hiver</v>
      </c>
      <c r="B636">
        <f>Sinistrés!J641</f>
        <v>28384.29</v>
      </c>
      <c r="C636">
        <f>Sinistrés!X641</f>
        <v>229.4</v>
      </c>
      <c r="D636">
        <f>Sinistrés!L641</f>
        <v>30.18</v>
      </c>
      <c r="E636">
        <f>Sinistrés!M641</f>
        <v>30.18</v>
      </c>
      <c r="F636">
        <f t="shared" si="18"/>
        <v>8.0819354650054666E-3</v>
      </c>
      <c r="G636">
        <f t="shared" si="19"/>
        <v>1</v>
      </c>
    </row>
    <row r="637" spans="1:7" hidden="1">
      <c r="A637" t="str">
        <f>Sinistrés!H642</f>
        <v>Colza d'hiver</v>
      </c>
      <c r="B637">
        <f>Sinistrés!J642</f>
        <v>7960.52</v>
      </c>
      <c r="C637">
        <f>Sinistrés!X642</f>
        <v>0</v>
      </c>
      <c r="D637">
        <f>Sinistrés!L642</f>
        <v>7.51</v>
      </c>
      <c r="E637">
        <f>Sinistrés!M642</f>
        <v>7.51</v>
      </c>
      <c r="F637">
        <f t="shared" si="18"/>
        <v>0</v>
      </c>
      <c r="G637">
        <f t="shared" si="19"/>
        <v>1</v>
      </c>
    </row>
    <row r="638" spans="1:7" hidden="1">
      <c r="A638" t="str">
        <f>Sinistrés!H643</f>
        <v>Avoine d'hiver</v>
      </c>
      <c r="B638">
        <f>Sinistrés!J643</f>
        <v>3658.74</v>
      </c>
      <c r="C638">
        <f>Sinistrés!X643</f>
        <v>0</v>
      </c>
      <c r="D638">
        <f>Sinistrés!L643</f>
        <v>5.78</v>
      </c>
      <c r="E638">
        <f>Sinistrés!M643</f>
        <v>5.78</v>
      </c>
      <c r="F638">
        <f t="shared" si="18"/>
        <v>0</v>
      </c>
      <c r="G638">
        <f t="shared" si="19"/>
        <v>1</v>
      </c>
    </row>
    <row r="639" spans="1:7" hidden="1">
      <c r="A639" t="str">
        <f>Sinistrés!H644</f>
        <v>Blé dur d'hiver</v>
      </c>
      <c r="B639">
        <f>Sinistrés!J644</f>
        <v>13600</v>
      </c>
      <c r="C639">
        <f>Sinistrés!X644</f>
        <v>0</v>
      </c>
      <c r="D639">
        <f>Sinistrés!L644</f>
        <v>10</v>
      </c>
      <c r="E639">
        <f>Sinistrés!M644</f>
        <v>10</v>
      </c>
      <c r="F639">
        <f t="shared" si="18"/>
        <v>0</v>
      </c>
      <c r="G639">
        <f t="shared" si="19"/>
        <v>1</v>
      </c>
    </row>
    <row r="640" spans="1:7" hidden="1">
      <c r="A640" t="str">
        <f>Sinistrés!H645</f>
        <v>Blé tendre d'hiver</v>
      </c>
      <c r="B640">
        <f>Sinistrés!J645</f>
        <v>72647.58</v>
      </c>
      <c r="C640">
        <f>Sinistrés!X645</f>
        <v>0</v>
      </c>
      <c r="D640">
        <f>Sinistrés!L645</f>
        <v>59.14</v>
      </c>
      <c r="E640">
        <f>Sinistrés!M645</f>
        <v>59.14</v>
      </c>
      <c r="F640">
        <f t="shared" si="18"/>
        <v>0</v>
      </c>
      <c r="G640">
        <f t="shared" si="19"/>
        <v>1</v>
      </c>
    </row>
    <row r="641" spans="1:7" hidden="1">
      <c r="A641" t="str">
        <f>Sinistrés!H646</f>
        <v>Orge d'hiver</v>
      </c>
      <c r="B641">
        <f>Sinistrés!J646</f>
        <v>22188.79</v>
      </c>
      <c r="C641">
        <f>Sinistrés!X646</f>
        <v>0</v>
      </c>
      <c r="D641">
        <f>Sinistrés!L646</f>
        <v>19.98</v>
      </c>
      <c r="E641">
        <f>Sinistrés!M646</f>
        <v>19.98</v>
      </c>
      <c r="F641">
        <f t="shared" si="18"/>
        <v>0</v>
      </c>
      <c r="G641">
        <f t="shared" si="19"/>
        <v>1</v>
      </c>
    </row>
    <row r="642" spans="1:7" hidden="1">
      <c r="A642" t="str">
        <f>Sinistrés!H647</f>
        <v>Colza d'hiver</v>
      </c>
      <c r="B642">
        <f>Sinistrés!J647</f>
        <v>23413.47</v>
      </c>
      <c r="C642">
        <f>Sinistrés!X647</f>
        <v>0</v>
      </c>
      <c r="D642">
        <f>Sinistrés!L647</f>
        <v>18.43</v>
      </c>
      <c r="E642">
        <f>Sinistrés!M647</f>
        <v>18.43</v>
      </c>
      <c r="F642">
        <f t="shared" si="18"/>
        <v>0</v>
      </c>
      <c r="G642">
        <f t="shared" si="19"/>
        <v>1</v>
      </c>
    </row>
    <row r="643" spans="1:7" hidden="1">
      <c r="A643" t="str">
        <f>Sinistrés!H648</f>
        <v>Blé tendre d'hiver</v>
      </c>
      <c r="B643">
        <f>Sinistrés!J648</f>
        <v>51040.7</v>
      </c>
      <c r="C643">
        <f>Sinistrés!X648</f>
        <v>0</v>
      </c>
      <c r="D643">
        <f>Sinistrés!L648</f>
        <v>43.94</v>
      </c>
      <c r="E643">
        <f>Sinistrés!M648</f>
        <v>43.94</v>
      </c>
      <c r="F643">
        <f t="shared" ref="F643:F706" si="20">C643/B643</f>
        <v>0</v>
      </c>
      <c r="G643">
        <f t="shared" ref="G643:G706" si="21">E643/D643</f>
        <v>1</v>
      </c>
    </row>
    <row r="644" spans="1:7" hidden="1">
      <c r="A644" t="str">
        <f>Sinistrés!H649</f>
        <v>Orge d'hiver</v>
      </c>
      <c r="B644">
        <f>Sinistrés!J649</f>
        <v>16530.63</v>
      </c>
      <c r="C644">
        <f>Sinistrés!X649</f>
        <v>0</v>
      </c>
      <c r="D644">
        <f>Sinistrés!L649</f>
        <v>18.579999999999998</v>
      </c>
      <c r="E644">
        <f>Sinistrés!M649</f>
        <v>18.579999999999998</v>
      </c>
      <c r="F644">
        <f t="shared" si="20"/>
        <v>0</v>
      </c>
      <c r="G644">
        <f t="shared" si="21"/>
        <v>1</v>
      </c>
    </row>
    <row r="645" spans="1:7" hidden="1">
      <c r="A645" t="str">
        <f>Sinistrés!H650</f>
        <v>Blé dur d'hiver</v>
      </c>
      <c r="B645">
        <f>Sinistrés!J650</f>
        <v>18520</v>
      </c>
      <c r="C645">
        <f>Sinistrés!X650</f>
        <v>0</v>
      </c>
      <c r="D645">
        <f>Sinistrés!L650</f>
        <v>10</v>
      </c>
      <c r="E645">
        <f>Sinistrés!M650</f>
        <v>10</v>
      </c>
      <c r="F645">
        <f t="shared" si="20"/>
        <v>0</v>
      </c>
      <c r="G645">
        <f t="shared" si="21"/>
        <v>1</v>
      </c>
    </row>
    <row r="646" spans="1:7" hidden="1">
      <c r="A646" t="str">
        <f>Sinistrés!H651</f>
        <v>Blé tendre d'hiver</v>
      </c>
      <c r="B646">
        <f>Sinistrés!J651</f>
        <v>81796</v>
      </c>
      <c r="C646">
        <f>Sinistrés!X651</f>
        <v>0</v>
      </c>
      <c r="D646">
        <f>Sinistrés!L651</f>
        <v>55</v>
      </c>
      <c r="E646">
        <f>Sinistrés!M651</f>
        <v>55</v>
      </c>
      <c r="F646">
        <f t="shared" si="20"/>
        <v>0</v>
      </c>
      <c r="G646">
        <f t="shared" si="21"/>
        <v>1</v>
      </c>
    </row>
    <row r="647" spans="1:7" hidden="1">
      <c r="A647" t="str">
        <f>Sinistrés!H652</f>
        <v>Maïs grain irrigué SEMENCES STERILES</v>
      </c>
      <c r="B647">
        <f>Sinistrés!J652</f>
        <v>15984</v>
      </c>
      <c r="C647">
        <f>Sinistrés!X652</f>
        <v>0</v>
      </c>
      <c r="D647">
        <f>Sinistrés!L652</f>
        <v>4</v>
      </c>
      <c r="E647">
        <f>Sinistrés!M652</f>
        <v>4</v>
      </c>
      <c r="F647">
        <f t="shared" si="20"/>
        <v>0</v>
      </c>
      <c r="G647">
        <f t="shared" si="21"/>
        <v>1</v>
      </c>
    </row>
    <row r="648" spans="1:7" hidden="1">
      <c r="A648" t="str">
        <f>Sinistrés!H653</f>
        <v>Orge d'hiver</v>
      </c>
      <c r="B648">
        <f>Sinistrés!J653</f>
        <v>25760</v>
      </c>
      <c r="C648">
        <f>Sinistrés!X653</f>
        <v>0</v>
      </c>
      <c r="D648">
        <f>Sinistrés!L653</f>
        <v>28</v>
      </c>
      <c r="E648">
        <f>Sinistrés!M653</f>
        <v>28</v>
      </c>
      <c r="F648">
        <f t="shared" si="20"/>
        <v>0</v>
      </c>
      <c r="G648">
        <f t="shared" si="21"/>
        <v>1</v>
      </c>
    </row>
    <row r="649" spans="1:7" hidden="1">
      <c r="A649" t="str">
        <f>Sinistrés!H654</f>
        <v xml:space="preserve">Maïs grain irrigué </v>
      </c>
      <c r="B649">
        <f>Sinistrés!J654</f>
        <v>25846.720000000001</v>
      </c>
      <c r="C649">
        <f>Sinistrés!X654</f>
        <v>0</v>
      </c>
      <c r="D649">
        <f>Sinistrés!L654</f>
        <v>13.69</v>
      </c>
      <c r="E649">
        <f>Sinistrés!M654</f>
        <v>8.98</v>
      </c>
      <c r="F649">
        <f t="shared" si="20"/>
        <v>0</v>
      </c>
      <c r="G649">
        <f t="shared" si="21"/>
        <v>0.65595325054784515</v>
      </c>
    </row>
    <row r="650" spans="1:7" hidden="1">
      <c r="A650" t="str">
        <f>Sinistrés!H655</f>
        <v>Colza d'hiver</v>
      </c>
      <c r="B650">
        <f>Sinistrés!J655</f>
        <v>142310</v>
      </c>
      <c r="C650">
        <f>Sinistrés!X655</f>
        <v>0</v>
      </c>
      <c r="D650">
        <f>Sinistrés!L655</f>
        <v>81.319999999999993</v>
      </c>
      <c r="E650">
        <f>Sinistrés!M655</f>
        <v>45</v>
      </c>
      <c r="F650">
        <f t="shared" si="20"/>
        <v>0</v>
      </c>
      <c r="G650">
        <f t="shared" si="21"/>
        <v>0.55336940482046237</v>
      </c>
    </row>
    <row r="651" spans="1:7" hidden="1">
      <c r="A651" t="str">
        <f>Sinistrés!H656</f>
        <v>Blé tendre d'hiver</v>
      </c>
      <c r="B651">
        <f>Sinistrés!J656</f>
        <v>61111.6</v>
      </c>
      <c r="C651">
        <f>Sinistrés!X656</f>
        <v>0</v>
      </c>
      <c r="D651">
        <f>Sinistrés!L656</f>
        <v>58.48</v>
      </c>
      <c r="E651">
        <f>Sinistrés!M656</f>
        <v>58.48</v>
      </c>
      <c r="F651">
        <f t="shared" si="20"/>
        <v>0</v>
      </c>
      <c r="G651">
        <f t="shared" si="21"/>
        <v>1</v>
      </c>
    </row>
    <row r="652" spans="1:7" hidden="1">
      <c r="A652" t="str">
        <f>Sinistrés!H657</f>
        <v>Pois protéagineux</v>
      </c>
      <c r="B652">
        <f>Sinistrés!J657</f>
        <v>5119.2</v>
      </c>
      <c r="C652">
        <f>Sinistrés!X657</f>
        <v>0</v>
      </c>
      <c r="D652">
        <f>Sinistrés!L657</f>
        <v>7.11</v>
      </c>
      <c r="E652">
        <f>Sinistrés!M657</f>
        <v>5.64</v>
      </c>
      <c r="F652">
        <f t="shared" si="20"/>
        <v>0</v>
      </c>
      <c r="G652">
        <f t="shared" si="21"/>
        <v>0.7932489451476793</v>
      </c>
    </row>
    <row r="653" spans="1:7" hidden="1">
      <c r="A653" t="str">
        <f>Sinistrés!H658</f>
        <v>Lin textile</v>
      </c>
      <c r="B653">
        <f>Sinistrés!J658</f>
        <v>33341.199999999997</v>
      </c>
      <c r="C653">
        <f>Sinistrés!X658</f>
        <v>0</v>
      </c>
      <c r="D653">
        <f>Sinistrés!L658</f>
        <v>16.399999999999999</v>
      </c>
      <c r="E653">
        <f>Sinistrés!M658</f>
        <v>16.399999999999999</v>
      </c>
      <c r="F653">
        <f t="shared" si="20"/>
        <v>0</v>
      </c>
      <c r="G653">
        <f t="shared" si="21"/>
        <v>1</v>
      </c>
    </row>
    <row r="654" spans="1:7" hidden="1">
      <c r="A654" t="str">
        <f>Sinistrés!H659</f>
        <v>Blé tendre d'hiver</v>
      </c>
      <c r="B654">
        <f>Sinistrés!J659</f>
        <v>15921</v>
      </c>
      <c r="C654">
        <f>Sinistrés!X659</f>
        <v>0</v>
      </c>
      <c r="D654">
        <f>Sinistrés!L659</f>
        <v>17.690000000000001</v>
      </c>
      <c r="E654">
        <f>Sinistrés!M659</f>
        <v>17.690000000000001</v>
      </c>
      <c r="F654">
        <f t="shared" si="20"/>
        <v>0</v>
      </c>
      <c r="G654">
        <f t="shared" si="21"/>
        <v>1</v>
      </c>
    </row>
    <row r="655" spans="1:7">
      <c r="A655" t="str">
        <f>Sinistrés!H660</f>
        <v>Orge d'hiver</v>
      </c>
      <c r="B655">
        <f>Sinistrés!J660</f>
        <v>5855.99</v>
      </c>
      <c r="C655">
        <f>Sinistrés!X660</f>
        <v>80.7</v>
      </c>
      <c r="D655">
        <f>Sinistrés!L660</f>
        <v>7.27</v>
      </c>
      <c r="E655">
        <f>Sinistrés!M660</f>
        <v>7.27</v>
      </c>
      <c r="F655">
        <f t="shared" si="20"/>
        <v>1.3780761237638727E-2</v>
      </c>
      <c r="G655">
        <f t="shared" si="21"/>
        <v>1</v>
      </c>
    </row>
    <row r="656" spans="1:7" hidden="1">
      <c r="A656" t="str">
        <f>Sinistrés!H661</f>
        <v>Colza d'hiver BIO</v>
      </c>
      <c r="B656">
        <f>Sinistrés!J661</f>
        <v>13896</v>
      </c>
      <c r="C656">
        <f>Sinistrés!X661</f>
        <v>0</v>
      </c>
      <c r="D656">
        <f>Sinistrés!L661</f>
        <v>9</v>
      </c>
      <c r="E656">
        <f>Sinistrés!M661</f>
        <v>9</v>
      </c>
      <c r="F656">
        <f t="shared" si="20"/>
        <v>0</v>
      </c>
      <c r="G656">
        <f t="shared" si="21"/>
        <v>1</v>
      </c>
    </row>
    <row r="657" spans="1:7" hidden="1">
      <c r="A657" t="str">
        <f>Sinistrés!H662</f>
        <v>Blé tendre d'hiver BIO</v>
      </c>
      <c r="B657">
        <f>Sinistrés!J662</f>
        <v>24523.61</v>
      </c>
      <c r="C657">
        <f>Sinistrés!X662</f>
        <v>0</v>
      </c>
      <c r="D657">
        <f>Sinistrés!L662</f>
        <v>22.48</v>
      </c>
      <c r="E657">
        <f>Sinistrés!M662</f>
        <v>22.48</v>
      </c>
      <c r="F657">
        <f t="shared" si="20"/>
        <v>0</v>
      </c>
      <c r="G657">
        <f t="shared" si="21"/>
        <v>1</v>
      </c>
    </row>
    <row r="658" spans="1:7" hidden="1">
      <c r="A658" t="str">
        <f>Sinistrés!H663</f>
        <v>Blé tendre d'hiver BIO</v>
      </c>
      <c r="B658">
        <f>Sinistrés!J663</f>
        <v>37835</v>
      </c>
      <c r="C658">
        <f>Sinistrés!X663</f>
        <v>0</v>
      </c>
      <c r="D658">
        <f>Sinistrés!L663</f>
        <v>35</v>
      </c>
      <c r="E658">
        <f>Sinistrés!M663</f>
        <v>12</v>
      </c>
      <c r="F658">
        <f t="shared" si="20"/>
        <v>0</v>
      </c>
      <c r="G658">
        <f t="shared" si="21"/>
        <v>0.34285714285714286</v>
      </c>
    </row>
    <row r="659" spans="1:7" hidden="1">
      <c r="A659" t="str">
        <f>Sinistrés!H664</f>
        <v>Colza d'hiver BIO</v>
      </c>
      <c r="B659">
        <f>Sinistrés!J664</f>
        <v>27000</v>
      </c>
      <c r="C659">
        <f>Sinistrés!X664</f>
        <v>6785.02</v>
      </c>
      <c r="D659">
        <f>Sinistrés!L664</f>
        <v>25</v>
      </c>
      <c r="E659">
        <f>Sinistrés!M664</f>
        <v>12.5</v>
      </c>
      <c r="F659">
        <f t="shared" si="20"/>
        <v>0.25129703703703704</v>
      </c>
      <c r="G659">
        <f t="shared" si="21"/>
        <v>0.5</v>
      </c>
    </row>
    <row r="660" spans="1:7" hidden="1">
      <c r="A660" t="str">
        <f>Sinistrés!H665</f>
        <v>Pois secs / Pois Chiches BIO</v>
      </c>
      <c r="B660">
        <f>Sinistrés!J665</f>
        <v>9000</v>
      </c>
      <c r="C660">
        <f>Sinistrés!X665</f>
        <v>0</v>
      </c>
      <c r="D660">
        <f>Sinistrés!L665</f>
        <v>5</v>
      </c>
      <c r="E660">
        <f>Sinistrés!M665</f>
        <v>10</v>
      </c>
      <c r="F660">
        <f t="shared" si="20"/>
        <v>0</v>
      </c>
      <c r="G660">
        <f t="shared" si="21"/>
        <v>2</v>
      </c>
    </row>
    <row r="661" spans="1:7" hidden="1">
      <c r="A661" t="str">
        <f>Sinistrés!H666</f>
        <v>Colza d'hiver</v>
      </c>
      <c r="B661">
        <f>Sinistrés!J666</f>
        <v>19022.64</v>
      </c>
      <c r="C661">
        <f>Sinistrés!X666</f>
        <v>0</v>
      </c>
      <c r="D661">
        <f>Sinistrés!L666</f>
        <v>17.420000000000002</v>
      </c>
      <c r="E661">
        <f>Sinistrés!M666</f>
        <v>5.22</v>
      </c>
      <c r="F661">
        <f t="shared" si="20"/>
        <v>0</v>
      </c>
      <c r="G661">
        <f t="shared" si="21"/>
        <v>0.29965556831228468</v>
      </c>
    </row>
    <row r="662" spans="1:7" hidden="1">
      <c r="A662" t="str">
        <f>Sinistrés!H667</f>
        <v>Blé dur d'hiver</v>
      </c>
      <c r="B662">
        <f>Sinistrés!J667</f>
        <v>5956.5</v>
      </c>
      <c r="C662">
        <f>Sinistrés!X667</f>
        <v>0</v>
      </c>
      <c r="D662">
        <f>Sinistrés!L667</f>
        <v>5</v>
      </c>
      <c r="E662">
        <f>Sinistrés!M667</f>
        <v>5</v>
      </c>
      <c r="F662">
        <f t="shared" si="20"/>
        <v>0</v>
      </c>
      <c r="G662">
        <f t="shared" si="21"/>
        <v>1</v>
      </c>
    </row>
    <row r="663" spans="1:7" hidden="1">
      <c r="A663" t="str">
        <f>Sinistrés!H668</f>
        <v>Blé dur d'hiver</v>
      </c>
      <c r="B663">
        <f>Sinistrés!J668</f>
        <v>14772.12</v>
      </c>
      <c r="C663">
        <f>Sinistrés!X668</f>
        <v>0</v>
      </c>
      <c r="D663">
        <f>Sinistrés!L668</f>
        <v>12.4</v>
      </c>
      <c r="E663">
        <f>Sinistrés!M668</f>
        <v>12.4</v>
      </c>
      <c r="F663">
        <f t="shared" si="20"/>
        <v>0</v>
      </c>
      <c r="G663">
        <f t="shared" si="21"/>
        <v>1</v>
      </c>
    </row>
    <row r="664" spans="1:7" hidden="1">
      <c r="A664" t="str">
        <f>Sinistrés!H669</f>
        <v>Blé tendre d'hiver</v>
      </c>
      <c r="B664">
        <f>Sinistrés!J669</f>
        <v>18328.05</v>
      </c>
      <c r="C664">
        <f>Sinistrés!X669</f>
        <v>0</v>
      </c>
      <c r="D664">
        <f>Sinistrés!L669</f>
        <v>16.899999999999999</v>
      </c>
      <c r="E664">
        <f>Sinistrés!M669</f>
        <v>16.899999999999999</v>
      </c>
      <c r="F664">
        <f t="shared" si="20"/>
        <v>0</v>
      </c>
      <c r="G664">
        <f t="shared" si="21"/>
        <v>1</v>
      </c>
    </row>
    <row r="665" spans="1:7" hidden="1">
      <c r="A665" t="str">
        <f>Sinistrés!H670</f>
        <v>Orge de printemps</v>
      </c>
      <c r="B665">
        <f>Sinistrés!J670</f>
        <v>11278.5</v>
      </c>
      <c r="C665">
        <f>Sinistrés!X670</f>
        <v>0</v>
      </c>
      <c r="D665">
        <f>Sinistrés!L670</f>
        <v>10.3</v>
      </c>
      <c r="E665">
        <f>Sinistrés!M670</f>
        <v>10.3</v>
      </c>
      <c r="F665">
        <f t="shared" si="20"/>
        <v>0</v>
      </c>
      <c r="G665">
        <f t="shared" si="21"/>
        <v>1</v>
      </c>
    </row>
    <row r="666" spans="1:7" hidden="1">
      <c r="A666" t="str">
        <f>Sinistrés!H671</f>
        <v>Blé dur d'hiver</v>
      </c>
      <c r="B666">
        <f>Sinistrés!J671</f>
        <v>25792.5</v>
      </c>
      <c r="C666">
        <f>Sinistrés!X671</f>
        <v>0</v>
      </c>
      <c r="D666">
        <f>Sinistrés!L671</f>
        <v>19</v>
      </c>
      <c r="E666">
        <f>Sinistrés!M671</f>
        <v>19</v>
      </c>
      <c r="F666">
        <f t="shared" si="20"/>
        <v>0</v>
      </c>
      <c r="G666">
        <f t="shared" si="21"/>
        <v>1</v>
      </c>
    </row>
    <row r="667" spans="1:7" hidden="1">
      <c r="A667" t="str">
        <f>Sinistrés!H672</f>
        <v>Blé de force</v>
      </c>
      <c r="B667">
        <f>Sinistrés!J672</f>
        <v>9720</v>
      </c>
      <c r="C667">
        <f>Sinistrés!X672</f>
        <v>0</v>
      </c>
      <c r="D667">
        <f>Sinistrés!L672</f>
        <v>9</v>
      </c>
      <c r="E667">
        <f>Sinistrés!M672</f>
        <v>9</v>
      </c>
      <c r="F667">
        <f t="shared" si="20"/>
        <v>0</v>
      </c>
      <c r="G667">
        <f t="shared" si="21"/>
        <v>1</v>
      </c>
    </row>
    <row r="668" spans="1:7" hidden="1">
      <c r="A668" t="str">
        <f>Sinistrés!H673</f>
        <v>Blé tendre d'hiver</v>
      </c>
      <c r="B668">
        <f>Sinistrés!J673</f>
        <v>3133.5</v>
      </c>
      <c r="C668">
        <f>Sinistrés!X673</f>
        <v>0</v>
      </c>
      <c r="D668">
        <f>Sinistrés!L673</f>
        <v>30</v>
      </c>
      <c r="E668">
        <f>Sinistrés!M673</f>
        <v>30</v>
      </c>
      <c r="F668">
        <f t="shared" si="20"/>
        <v>0</v>
      </c>
      <c r="G668">
        <f t="shared" si="21"/>
        <v>1</v>
      </c>
    </row>
    <row r="669" spans="1:7" hidden="1">
      <c r="A669" t="str">
        <f>Sinistrés!H674</f>
        <v>Colza d'hiver</v>
      </c>
      <c r="B669">
        <f>Sinistrés!J674</f>
        <v>11200</v>
      </c>
      <c r="C669">
        <f>Sinistrés!X674</f>
        <v>0</v>
      </c>
      <c r="D669">
        <f>Sinistrés!L674</f>
        <v>10</v>
      </c>
      <c r="E669">
        <f>Sinistrés!M674</f>
        <v>10</v>
      </c>
      <c r="F669">
        <f t="shared" si="20"/>
        <v>0</v>
      </c>
      <c r="G669">
        <f t="shared" si="21"/>
        <v>1</v>
      </c>
    </row>
    <row r="670" spans="1:7" hidden="1">
      <c r="A670" t="str">
        <f>Sinistrés!H675</f>
        <v>Blé tendre d'hiver</v>
      </c>
      <c r="B670">
        <f>Sinistrés!J675</f>
        <v>97053.33</v>
      </c>
      <c r="C670">
        <f>Sinistrés!X675</f>
        <v>0</v>
      </c>
      <c r="D670">
        <f>Sinistrés!L675</f>
        <v>75.900000000000006</v>
      </c>
      <c r="E670">
        <f>Sinistrés!M675</f>
        <v>75.900000000000006</v>
      </c>
      <c r="F670">
        <f t="shared" si="20"/>
        <v>0</v>
      </c>
      <c r="G670">
        <f t="shared" si="21"/>
        <v>1</v>
      </c>
    </row>
    <row r="671" spans="1:7" hidden="1">
      <c r="A671" t="str">
        <f>Sinistrés!H676</f>
        <v>Colza d'hiver</v>
      </c>
      <c r="B671">
        <f>Sinistrés!J676</f>
        <v>24700</v>
      </c>
      <c r="C671">
        <f>Sinistrés!X676</f>
        <v>0</v>
      </c>
      <c r="D671">
        <f>Sinistrés!L676</f>
        <v>24.7</v>
      </c>
      <c r="E671">
        <f>Sinistrés!M676</f>
        <v>24.7</v>
      </c>
      <c r="F671">
        <f t="shared" si="20"/>
        <v>0</v>
      </c>
      <c r="G671">
        <f t="shared" si="21"/>
        <v>1</v>
      </c>
    </row>
    <row r="672" spans="1:7" hidden="1">
      <c r="A672" t="str">
        <f>Sinistrés!H677</f>
        <v>Orge d'hiver</v>
      </c>
      <c r="B672">
        <f>Sinistrés!J677</f>
        <v>27672.3</v>
      </c>
      <c r="C672">
        <f>Sinistrés!X677</f>
        <v>0</v>
      </c>
      <c r="D672">
        <f>Sinistrés!L677</f>
        <v>27.7</v>
      </c>
      <c r="E672">
        <f>Sinistrés!M677</f>
        <v>27.7</v>
      </c>
      <c r="F672">
        <f t="shared" si="20"/>
        <v>0</v>
      </c>
      <c r="G672">
        <f t="shared" si="21"/>
        <v>1</v>
      </c>
    </row>
    <row r="673" spans="1:7" hidden="1">
      <c r="A673" t="str">
        <f>Sinistrés!H678</f>
        <v>Blé tendre d'hiver semences</v>
      </c>
      <c r="B673">
        <f>Sinistrés!J678</f>
        <v>14531.01</v>
      </c>
      <c r="C673">
        <f>Sinistrés!X678</f>
        <v>0</v>
      </c>
      <c r="D673">
        <f>Sinistrés!L678</f>
        <v>12.13</v>
      </c>
      <c r="E673">
        <f>Sinistrés!M678</f>
        <v>12.13</v>
      </c>
      <c r="F673">
        <f t="shared" si="20"/>
        <v>0</v>
      </c>
      <c r="G673">
        <f t="shared" si="21"/>
        <v>1</v>
      </c>
    </row>
    <row r="674" spans="1:7" hidden="1">
      <c r="A674" t="str">
        <f>Sinistrés!H679</f>
        <v>Colza d'hiver</v>
      </c>
      <c r="B674">
        <f>Sinistrés!J679</f>
        <v>197009.6</v>
      </c>
      <c r="C674">
        <f>Sinistrés!X679</f>
        <v>0</v>
      </c>
      <c r="D674">
        <f>Sinistrés!L679</f>
        <v>72.430000000000007</v>
      </c>
      <c r="E674">
        <f>Sinistrés!M679</f>
        <v>72.430000000000007</v>
      </c>
      <c r="F674">
        <f t="shared" si="20"/>
        <v>0</v>
      </c>
      <c r="G674">
        <f t="shared" si="21"/>
        <v>1</v>
      </c>
    </row>
    <row r="675" spans="1:7" hidden="1">
      <c r="A675" t="str">
        <f>Sinistrés!H680</f>
        <v>Blé tendre d'hiver</v>
      </c>
      <c r="B675">
        <f>Sinistrés!J680</f>
        <v>38909.449999999997</v>
      </c>
      <c r="C675">
        <f>Sinistrés!X680</f>
        <v>0</v>
      </c>
      <c r="D675">
        <f>Sinistrés!L680</f>
        <v>38.89</v>
      </c>
      <c r="E675">
        <f>Sinistrés!M680</f>
        <v>38.89</v>
      </c>
      <c r="F675">
        <f t="shared" si="20"/>
        <v>0</v>
      </c>
      <c r="G675">
        <f t="shared" si="21"/>
        <v>1</v>
      </c>
    </row>
    <row r="676" spans="1:7" hidden="1">
      <c r="A676" t="str">
        <f>Sinistrés!H681</f>
        <v>Tournesol</v>
      </c>
      <c r="B676">
        <f>Sinistrés!J681</f>
        <v>12306</v>
      </c>
      <c r="C676">
        <f>Sinistrés!X681</f>
        <v>0</v>
      </c>
      <c r="D676">
        <f>Sinistrés!L681</f>
        <v>12</v>
      </c>
      <c r="E676">
        <f>Sinistrés!M681</f>
        <v>12</v>
      </c>
      <c r="F676">
        <f t="shared" si="20"/>
        <v>0</v>
      </c>
      <c r="G676">
        <f t="shared" si="21"/>
        <v>1</v>
      </c>
    </row>
    <row r="677" spans="1:7" hidden="1">
      <c r="A677" t="str">
        <f>Sinistrés!H682</f>
        <v>Colza d'hiver</v>
      </c>
      <c r="B677">
        <f>Sinistrés!J682</f>
        <v>8819.5</v>
      </c>
      <c r="C677">
        <f>Sinistrés!X682</f>
        <v>0</v>
      </c>
      <c r="D677">
        <f>Sinistrés!L682</f>
        <v>5.69</v>
      </c>
      <c r="E677">
        <f>Sinistrés!M682</f>
        <v>5.69</v>
      </c>
      <c r="F677">
        <f t="shared" si="20"/>
        <v>0</v>
      </c>
      <c r="G677">
        <f t="shared" si="21"/>
        <v>1</v>
      </c>
    </row>
    <row r="678" spans="1:7" hidden="1">
      <c r="A678" t="str">
        <f>Sinistrés!H683</f>
        <v>Blé tendre d'hiver BIO</v>
      </c>
      <c r="B678">
        <f>Sinistrés!J683</f>
        <v>66800.63</v>
      </c>
      <c r="C678">
        <f>Sinistrés!X683</f>
        <v>0</v>
      </c>
      <c r="D678">
        <f>Sinistrés!L683</f>
        <v>37.700000000000003</v>
      </c>
      <c r="E678">
        <f>Sinistrés!M683</f>
        <v>37.700000000000003</v>
      </c>
      <c r="F678">
        <f t="shared" si="20"/>
        <v>0</v>
      </c>
      <c r="G678">
        <f t="shared" si="21"/>
        <v>1</v>
      </c>
    </row>
    <row r="679" spans="1:7" hidden="1">
      <c r="A679" t="str">
        <f>Sinistrés!H684</f>
        <v>Orge de printemps</v>
      </c>
      <c r="B679">
        <f>Sinistrés!J684</f>
        <v>48505.08</v>
      </c>
      <c r="C679">
        <f>Sinistrés!X684</f>
        <v>0</v>
      </c>
      <c r="D679">
        <f>Sinistrés!L684</f>
        <v>46.02</v>
      </c>
      <c r="E679">
        <f>Sinistrés!M684</f>
        <v>46.02</v>
      </c>
      <c r="F679">
        <f t="shared" si="20"/>
        <v>0</v>
      </c>
      <c r="G679">
        <f t="shared" si="21"/>
        <v>1</v>
      </c>
    </row>
    <row r="680" spans="1:7">
      <c r="A680" t="str">
        <f>Sinistrés!H685</f>
        <v>Blé tendre d'hiver</v>
      </c>
      <c r="B680">
        <f>Sinistrés!J685</f>
        <v>81000</v>
      </c>
      <c r="C680">
        <f>Sinistrés!X685</f>
        <v>24300</v>
      </c>
      <c r="D680">
        <f>Sinistrés!L685</f>
        <v>54</v>
      </c>
      <c r="E680">
        <f>Sinistrés!M685</f>
        <v>54</v>
      </c>
      <c r="F680">
        <f t="shared" si="20"/>
        <v>0.3</v>
      </c>
      <c r="G680">
        <f t="shared" si="21"/>
        <v>1</v>
      </c>
    </row>
    <row r="681" spans="1:7" hidden="1">
      <c r="A681" t="str">
        <f>Sinistrés!H686</f>
        <v>Blé tendre d'hiver</v>
      </c>
      <c r="B681">
        <f>Sinistrés!J686</f>
        <v>22869</v>
      </c>
      <c r="C681">
        <f>Sinistrés!X686</f>
        <v>0</v>
      </c>
      <c r="D681">
        <f>Sinistrés!L686</f>
        <v>16.5</v>
      </c>
      <c r="E681">
        <f>Sinistrés!M686</f>
        <v>16.5</v>
      </c>
      <c r="F681">
        <f t="shared" si="20"/>
        <v>0</v>
      </c>
      <c r="G681">
        <f t="shared" si="21"/>
        <v>1</v>
      </c>
    </row>
    <row r="682" spans="1:7" hidden="1">
      <c r="A682" t="str">
        <f>Sinistrés!H687</f>
        <v>Blé tendre d'hiver</v>
      </c>
      <c r="B682">
        <f>Sinistrés!J687</f>
        <v>105792</v>
      </c>
      <c r="C682">
        <f>Sinistrés!X687</f>
        <v>0</v>
      </c>
      <c r="D682">
        <f>Sinistrés!L687</f>
        <v>96</v>
      </c>
      <c r="E682">
        <f>Sinistrés!M687</f>
        <v>96</v>
      </c>
      <c r="F682">
        <f t="shared" si="20"/>
        <v>0</v>
      </c>
      <c r="G682">
        <f t="shared" si="21"/>
        <v>1</v>
      </c>
    </row>
    <row r="683" spans="1:7" hidden="1">
      <c r="A683" t="str">
        <f>Sinistrés!H688</f>
        <v>Orge d'hiver</v>
      </c>
      <c r="B683">
        <f>Sinistrés!J688</f>
        <v>89329.5</v>
      </c>
      <c r="C683">
        <f>Sinistrés!X688</f>
        <v>0</v>
      </c>
      <c r="D683">
        <f>Sinistrés!L688</f>
        <v>90</v>
      </c>
      <c r="E683">
        <f>Sinistrés!M688</f>
        <v>90</v>
      </c>
      <c r="F683">
        <f t="shared" si="20"/>
        <v>0</v>
      </c>
      <c r="G683">
        <f t="shared" si="21"/>
        <v>1</v>
      </c>
    </row>
    <row r="684" spans="1:7" hidden="1">
      <c r="A684" t="str">
        <f>Sinistrés!H689</f>
        <v>Colza d'hiver</v>
      </c>
      <c r="B684">
        <f>Sinistrés!J689</f>
        <v>111833.71</v>
      </c>
      <c r="C684">
        <f>Sinistrés!X689</f>
        <v>0</v>
      </c>
      <c r="D684">
        <f>Sinistrés!L689</f>
        <v>93</v>
      </c>
      <c r="E684">
        <f>Sinistrés!M689</f>
        <v>93</v>
      </c>
      <c r="F684">
        <f t="shared" si="20"/>
        <v>0</v>
      </c>
      <c r="G684">
        <f t="shared" si="21"/>
        <v>1</v>
      </c>
    </row>
    <row r="685" spans="1:7" hidden="1">
      <c r="A685" t="str">
        <f>Sinistrés!H690</f>
        <v>Vigne à raisin de cuve (VCU1)</v>
      </c>
      <c r="B685">
        <f>Sinistrés!J690</f>
        <v>89690.61</v>
      </c>
      <c r="C685">
        <f>Sinistrés!X690</f>
        <v>0</v>
      </c>
      <c r="D685">
        <f>Sinistrés!L690</f>
        <v>3.49</v>
      </c>
      <c r="E685">
        <f>Sinistrés!M690</f>
        <v>3.49</v>
      </c>
      <c r="F685">
        <f t="shared" si="20"/>
        <v>0</v>
      </c>
      <c r="G685">
        <f t="shared" si="21"/>
        <v>1</v>
      </c>
    </row>
    <row r="686" spans="1:7" hidden="1">
      <c r="A686" t="str">
        <f>Sinistrés!H691</f>
        <v>Colza d'hiver</v>
      </c>
      <c r="B686">
        <f>Sinistrés!J691</f>
        <v>20068.349999999999</v>
      </c>
      <c r="C686">
        <f>Sinistrés!X691</f>
        <v>0</v>
      </c>
      <c r="D686">
        <f>Sinistrés!L691</f>
        <v>15</v>
      </c>
      <c r="E686">
        <f>Sinistrés!M691</f>
        <v>6</v>
      </c>
      <c r="F686">
        <f t="shared" si="20"/>
        <v>0</v>
      </c>
      <c r="G686">
        <f t="shared" si="21"/>
        <v>0.4</v>
      </c>
    </row>
    <row r="687" spans="1:7" hidden="1">
      <c r="A687" t="str">
        <f>Sinistrés!H692</f>
        <v>Blé tendre d'hiver</v>
      </c>
      <c r="B687">
        <f>Sinistrés!J692</f>
        <v>130750.68</v>
      </c>
      <c r="C687">
        <f>Sinistrés!X692</f>
        <v>0</v>
      </c>
      <c r="D687">
        <f>Sinistrés!L692</f>
        <v>112.04</v>
      </c>
      <c r="E687">
        <f>Sinistrés!M692</f>
        <v>4.3499999999999996</v>
      </c>
      <c r="F687">
        <f t="shared" si="20"/>
        <v>0</v>
      </c>
      <c r="G687">
        <f t="shared" si="21"/>
        <v>3.8825419493038194E-2</v>
      </c>
    </row>
    <row r="688" spans="1:7" hidden="1">
      <c r="A688" t="str">
        <f>Sinistrés!H693</f>
        <v>Orge d'hiver</v>
      </c>
      <c r="B688">
        <f>Sinistrés!J693</f>
        <v>84579.14</v>
      </c>
      <c r="C688">
        <f>Sinistrés!X693</f>
        <v>0</v>
      </c>
      <c r="D688">
        <f>Sinistrés!L693</f>
        <v>81.17</v>
      </c>
      <c r="E688">
        <f>Sinistrés!M693</f>
        <v>81.17</v>
      </c>
      <c r="F688">
        <f t="shared" si="20"/>
        <v>0</v>
      </c>
      <c r="G688">
        <f t="shared" si="21"/>
        <v>1</v>
      </c>
    </row>
    <row r="689" spans="1:7" hidden="1">
      <c r="A689" t="str">
        <f>Sinistrés!H694</f>
        <v>Blé tendre d'hiver</v>
      </c>
      <c r="B689">
        <f>Sinistrés!J694</f>
        <v>11939.2</v>
      </c>
      <c r="C689">
        <f>Sinistrés!X694</f>
        <v>0</v>
      </c>
      <c r="D689">
        <f>Sinistrés!L694</f>
        <v>9.1</v>
      </c>
      <c r="E689">
        <f>Sinistrés!M694</f>
        <v>9.1</v>
      </c>
      <c r="F689">
        <f t="shared" si="20"/>
        <v>0</v>
      </c>
      <c r="G689">
        <f t="shared" si="21"/>
        <v>1</v>
      </c>
    </row>
    <row r="690" spans="1:7" hidden="1">
      <c r="A690" t="str">
        <f>Sinistrés!H695</f>
        <v>Avoine d'hiver</v>
      </c>
      <c r="B690">
        <f>Sinistrés!J695</f>
        <v>15179.27</v>
      </c>
      <c r="C690">
        <f>Sinistrés!X695</f>
        <v>0</v>
      </c>
      <c r="D690">
        <f>Sinistrés!L695</f>
        <v>15.04</v>
      </c>
      <c r="E690">
        <f>Sinistrés!M695</f>
        <v>15.04</v>
      </c>
      <c r="F690">
        <f t="shared" si="20"/>
        <v>0</v>
      </c>
      <c r="G690">
        <f t="shared" si="21"/>
        <v>1</v>
      </c>
    </row>
    <row r="691" spans="1:7" hidden="1">
      <c r="A691" t="str">
        <f>Sinistrés!H696</f>
        <v>Blé tendre d'hiver</v>
      </c>
      <c r="B691">
        <f>Sinistrés!J696</f>
        <v>196800</v>
      </c>
      <c r="C691">
        <f>Sinistrés!X696</f>
        <v>0</v>
      </c>
      <c r="D691">
        <f>Sinistrés!L696</f>
        <v>150</v>
      </c>
      <c r="E691">
        <f>Sinistrés!M696</f>
        <v>150</v>
      </c>
      <c r="F691">
        <f t="shared" si="20"/>
        <v>0</v>
      </c>
      <c r="G691">
        <f t="shared" si="21"/>
        <v>1</v>
      </c>
    </row>
    <row r="692" spans="1:7" hidden="1">
      <c r="A692" t="str">
        <f>Sinistrés!H697</f>
        <v>Orge d'hiver</v>
      </c>
      <c r="B692">
        <f>Sinistrés!J697</f>
        <v>8440.2000000000007</v>
      </c>
      <c r="C692">
        <f>Sinistrés!X697</f>
        <v>0</v>
      </c>
      <c r="D692">
        <f>Sinistrés!L697</f>
        <v>8.1</v>
      </c>
      <c r="E692">
        <f>Sinistrés!M697</f>
        <v>8.1</v>
      </c>
      <c r="F692">
        <f t="shared" si="20"/>
        <v>0</v>
      </c>
      <c r="G692">
        <f t="shared" si="21"/>
        <v>1</v>
      </c>
    </row>
    <row r="693" spans="1:7" hidden="1">
      <c r="A693" t="str">
        <f>Sinistrés!H698</f>
        <v>Vigne à raisin de cuve (VCU1)</v>
      </c>
      <c r="B693">
        <f>Sinistrés!J698</f>
        <v>481116.45</v>
      </c>
      <c r="C693">
        <f>Sinistrés!X698</f>
        <v>0</v>
      </c>
      <c r="D693">
        <f>Sinistrés!L698</f>
        <v>50.3</v>
      </c>
      <c r="E693">
        <f>Sinistrés!M698</f>
        <v>50.3</v>
      </c>
      <c r="F693">
        <f t="shared" si="20"/>
        <v>0</v>
      </c>
      <c r="G693">
        <f t="shared" si="21"/>
        <v>1</v>
      </c>
    </row>
    <row r="694" spans="1:7" hidden="1">
      <c r="A694" t="str">
        <f>Sinistrés!H699</f>
        <v>Vigne à raisin de cuve (VCU1)</v>
      </c>
      <c r="B694">
        <f>Sinistrés!J699</f>
        <v>172036.38</v>
      </c>
      <c r="C694">
        <f>Sinistrés!X699</f>
        <v>0</v>
      </c>
      <c r="D694">
        <f>Sinistrés!L699</f>
        <v>25.799999999999997</v>
      </c>
      <c r="E694">
        <f>Sinistrés!M699</f>
        <v>25.799999999999997</v>
      </c>
      <c r="F694">
        <f t="shared" si="20"/>
        <v>0</v>
      </c>
      <c r="G694">
        <f t="shared" si="21"/>
        <v>1</v>
      </c>
    </row>
    <row r="695" spans="1:7" hidden="1">
      <c r="A695" t="str">
        <f>Sinistrés!H700</f>
        <v>Orge de printemps</v>
      </c>
      <c r="B695">
        <f>Sinistrés!J700</f>
        <v>77002.61</v>
      </c>
      <c r="C695">
        <f>Sinistrés!X700</f>
        <v>0</v>
      </c>
      <c r="D695">
        <f>Sinistrés!L700</f>
        <v>47.43</v>
      </c>
      <c r="E695">
        <f>Sinistrés!M700</f>
        <v>20</v>
      </c>
      <c r="F695">
        <f t="shared" si="20"/>
        <v>0</v>
      </c>
      <c r="G695">
        <f t="shared" si="21"/>
        <v>0.42167404596247099</v>
      </c>
    </row>
    <row r="696" spans="1:7" hidden="1">
      <c r="A696" t="str">
        <f>Sinistrés!H701</f>
        <v>Colza d'hiver</v>
      </c>
      <c r="B696">
        <f>Sinistrés!J701</f>
        <v>4065.28</v>
      </c>
      <c r="C696">
        <f>Sinistrés!X701</f>
        <v>0</v>
      </c>
      <c r="D696">
        <f>Sinistrés!L701</f>
        <v>3.2</v>
      </c>
      <c r="E696">
        <f>Sinistrés!M701</f>
        <v>3.2</v>
      </c>
      <c r="F696">
        <f t="shared" si="20"/>
        <v>0</v>
      </c>
      <c r="G696">
        <f t="shared" si="21"/>
        <v>1</v>
      </c>
    </row>
    <row r="697" spans="1:7" hidden="1">
      <c r="A697" t="str">
        <f>Sinistrés!H702</f>
        <v>Blé tendre d'hiver</v>
      </c>
      <c r="B697">
        <f>Sinistrés!J702</f>
        <v>19868.849999999999</v>
      </c>
      <c r="C697">
        <f>Sinistrés!X702</f>
        <v>0</v>
      </c>
      <c r="D697">
        <f>Sinistrés!L702</f>
        <v>20.100000000000001</v>
      </c>
      <c r="E697">
        <f>Sinistrés!M702</f>
        <v>20.100000000000001</v>
      </c>
      <c r="F697">
        <f t="shared" si="20"/>
        <v>0</v>
      </c>
      <c r="G697">
        <f t="shared" si="21"/>
        <v>1</v>
      </c>
    </row>
    <row r="698" spans="1:7" hidden="1">
      <c r="A698" t="str">
        <f>Sinistrés!H703</f>
        <v>Colza d'hiver</v>
      </c>
      <c r="B698">
        <f>Sinistrés!J703</f>
        <v>68515.199999999997</v>
      </c>
      <c r="C698">
        <f>Sinistrés!X703</f>
        <v>0</v>
      </c>
      <c r="D698">
        <f>Sinistrés!L703</f>
        <v>47.58</v>
      </c>
      <c r="E698">
        <f>Sinistrés!M703</f>
        <v>47.58</v>
      </c>
      <c r="F698">
        <f t="shared" si="20"/>
        <v>0</v>
      </c>
      <c r="G698">
        <f t="shared" si="21"/>
        <v>1</v>
      </c>
    </row>
    <row r="699" spans="1:7" hidden="1">
      <c r="A699" t="str">
        <f>Sinistrés!H704</f>
        <v>Blé tendre d'hiver</v>
      </c>
      <c r="B699">
        <f>Sinistrés!J704</f>
        <v>10200.75</v>
      </c>
      <c r="C699">
        <f>Sinistrés!X704</f>
        <v>0</v>
      </c>
      <c r="D699">
        <f>Sinistrés!L704</f>
        <v>10.15</v>
      </c>
      <c r="E699">
        <f>Sinistrés!M704</f>
        <v>9.1</v>
      </c>
      <c r="F699">
        <f t="shared" si="20"/>
        <v>0</v>
      </c>
      <c r="G699">
        <f t="shared" si="21"/>
        <v>0.89655172413793094</v>
      </c>
    </row>
    <row r="700" spans="1:7" hidden="1">
      <c r="A700" t="str">
        <f>Sinistrés!H705</f>
        <v>Blé tendre d'hiver</v>
      </c>
      <c r="B700">
        <f>Sinistrés!J705</f>
        <v>16400.400000000001</v>
      </c>
      <c r="C700">
        <f>Sinistrés!X705</f>
        <v>0</v>
      </c>
      <c r="D700">
        <f>Sinistrés!L705</f>
        <v>12</v>
      </c>
      <c r="E700">
        <f>Sinistrés!M705</f>
        <v>8</v>
      </c>
      <c r="F700">
        <f t="shared" si="20"/>
        <v>0</v>
      </c>
      <c r="G700">
        <f t="shared" si="21"/>
        <v>0.66666666666666663</v>
      </c>
    </row>
    <row r="701" spans="1:7" hidden="1">
      <c r="A701" t="str">
        <f>Sinistrés!H706</f>
        <v>Soja</v>
      </c>
      <c r="B701">
        <f>Sinistrés!J706</f>
        <v>21910</v>
      </c>
      <c r="C701">
        <f>Sinistrés!X706</f>
        <v>0</v>
      </c>
      <c r="D701">
        <f>Sinistrés!L706</f>
        <v>20</v>
      </c>
      <c r="E701">
        <f>Sinistrés!M706</f>
        <v>20</v>
      </c>
      <c r="F701">
        <f t="shared" si="20"/>
        <v>0</v>
      </c>
      <c r="G701">
        <f t="shared" si="21"/>
        <v>1</v>
      </c>
    </row>
    <row r="702" spans="1:7">
      <c r="A702" t="str">
        <f>Sinistrés!H707</f>
        <v>Blé tendre d'hiver</v>
      </c>
      <c r="B702">
        <f>Sinistrés!J707</f>
        <v>46287.360000000001</v>
      </c>
      <c r="C702">
        <f>Sinistrés!X707</f>
        <v>3422.13</v>
      </c>
      <c r="D702">
        <f>Sinistrés!L707</f>
        <v>45.92</v>
      </c>
      <c r="E702">
        <f>Sinistrés!M707</f>
        <v>45.92</v>
      </c>
      <c r="F702">
        <f t="shared" si="20"/>
        <v>7.3932278704164592E-2</v>
      </c>
      <c r="G702">
        <f t="shared" si="21"/>
        <v>1</v>
      </c>
    </row>
    <row r="703" spans="1:7" hidden="1">
      <c r="A703" t="str">
        <f>Sinistrés!H708</f>
        <v>Colza d'hiver</v>
      </c>
      <c r="B703">
        <f>Sinistrés!J708</f>
        <v>28884</v>
      </c>
      <c r="C703">
        <f>Sinistrés!X708</f>
        <v>0</v>
      </c>
      <c r="D703">
        <f>Sinistrés!L708</f>
        <v>24.07</v>
      </c>
      <c r="E703">
        <f>Sinistrés!M708</f>
        <v>24</v>
      </c>
      <c r="F703">
        <f t="shared" si="20"/>
        <v>0</v>
      </c>
      <c r="G703">
        <f t="shared" si="21"/>
        <v>0.99709181553801407</v>
      </c>
    </row>
    <row r="704" spans="1:7" hidden="1">
      <c r="A704" t="str">
        <f>Sinistrés!H709</f>
        <v>Blé dur d'hiver</v>
      </c>
      <c r="B704">
        <f>Sinistrés!J709</f>
        <v>27684</v>
      </c>
      <c r="C704">
        <f>Sinistrés!X709</f>
        <v>0</v>
      </c>
      <c r="D704">
        <f>Sinistrés!L709</f>
        <v>15.38</v>
      </c>
      <c r="E704">
        <f>Sinistrés!M709</f>
        <v>15.3</v>
      </c>
      <c r="F704">
        <f t="shared" si="20"/>
        <v>0</v>
      </c>
      <c r="G704">
        <f t="shared" si="21"/>
        <v>0.99479843953185954</v>
      </c>
    </row>
    <row r="705" spans="1:7" hidden="1">
      <c r="A705" t="str">
        <f>Sinistrés!H710</f>
        <v>Blé tendre d'hiver</v>
      </c>
      <c r="B705">
        <f>Sinistrés!J710</f>
        <v>79872</v>
      </c>
      <c r="C705">
        <f>Sinistrés!X710</f>
        <v>0</v>
      </c>
      <c r="D705">
        <f>Sinistrés!L710</f>
        <v>66.56</v>
      </c>
      <c r="E705">
        <f>Sinistrés!M710</f>
        <v>66</v>
      </c>
      <c r="F705">
        <f t="shared" si="20"/>
        <v>0</v>
      </c>
      <c r="G705">
        <f t="shared" si="21"/>
        <v>0.99158653846153844</v>
      </c>
    </row>
    <row r="706" spans="1:7" hidden="1">
      <c r="A706" t="str">
        <f>Sinistrés!H711</f>
        <v>Vigne à raisin de cuve (VCU1)</v>
      </c>
      <c r="B706">
        <f>Sinistrés!J711</f>
        <v>43485.05</v>
      </c>
      <c r="C706">
        <f>Sinistrés!X711</f>
        <v>0</v>
      </c>
      <c r="D706">
        <f>Sinistrés!L711</f>
        <v>4.51</v>
      </c>
      <c r="E706">
        <f>Sinistrés!M711</f>
        <v>4.51</v>
      </c>
      <c r="F706">
        <f t="shared" si="20"/>
        <v>0</v>
      </c>
      <c r="G706">
        <f t="shared" si="21"/>
        <v>1</v>
      </c>
    </row>
    <row r="707" spans="1:7" hidden="1">
      <c r="A707" t="str">
        <f>Sinistrés!H712</f>
        <v>Vigne à raisin de cuve (VCU1)</v>
      </c>
      <c r="B707">
        <f>Sinistrés!J712</f>
        <v>221493.86</v>
      </c>
      <c r="C707">
        <f>Sinistrés!X712</f>
        <v>0</v>
      </c>
      <c r="D707">
        <f>Sinistrés!L712</f>
        <v>22.130000000000003</v>
      </c>
      <c r="E707">
        <f>Sinistrés!M712</f>
        <v>22.130000000000003</v>
      </c>
      <c r="F707">
        <f t="shared" ref="F707:F770" si="22">C707/B707</f>
        <v>0</v>
      </c>
      <c r="G707">
        <f t="shared" ref="G707:G770" si="23">E707/D707</f>
        <v>1</v>
      </c>
    </row>
    <row r="708" spans="1:7" hidden="1">
      <c r="A708" t="str">
        <f>Sinistrés!H713</f>
        <v>Blé de force</v>
      </c>
      <c r="B708">
        <f>Sinistrés!J713</f>
        <v>12254</v>
      </c>
      <c r="C708">
        <f>Sinistrés!X713</f>
        <v>0</v>
      </c>
      <c r="D708">
        <f>Sinistrés!L713</f>
        <v>11</v>
      </c>
      <c r="E708">
        <f>Sinistrés!M713</f>
        <v>11</v>
      </c>
      <c r="F708">
        <f t="shared" si="22"/>
        <v>0</v>
      </c>
      <c r="G708">
        <f t="shared" si="23"/>
        <v>1</v>
      </c>
    </row>
    <row r="709" spans="1:7" hidden="1">
      <c r="A709" t="str">
        <f>Sinistrés!H714</f>
        <v>Blé tendre d'hiver</v>
      </c>
      <c r="B709">
        <f>Sinistrés!J714</f>
        <v>28072.799999999999</v>
      </c>
      <c r="C709">
        <f>Sinistrés!X714</f>
        <v>0</v>
      </c>
      <c r="D709">
        <f>Sinistrés!L714</f>
        <v>28</v>
      </c>
      <c r="E709">
        <f>Sinistrés!M714</f>
        <v>28</v>
      </c>
      <c r="F709">
        <f t="shared" si="22"/>
        <v>0</v>
      </c>
      <c r="G709">
        <f t="shared" si="23"/>
        <v>1</v>
      </c>
    </row>
    <row r="710" spans="1:7" hidden="1">
      <c r="A710" t="str">
        <f>Sinistrés!H715</f>
        <v>Colza d'hiver</v>
      </c>
      <c r="B710">
        <f>Sinistrés!J715</f>
        <v>26960.639999999999</v>
      </c>
      <c r="C710">
        <f>Sinistrés!X715</f>
        <v>0</v>
      </c>
      <c r="D710">
        <f>Sinistrés!L715</f>
        <v>18.88</v>
      </c>
      <c r="E710">
        <f>Sinistrés!M715</f>
        <v>18.88</v>
      </c>
      <c r="F710">
        <f t="shared" si="22"/>
        <v>0</v>
      </c>
      <c r="G710">
        <f t="shared" si="23"/>
        <v>1</v>
      </c>
    </row>
    <row r="711" spans="1:7" hidden="1">
      <c r="A711" t="str">
        <f>Sinistrés!H716</f>
        <v>Orge d'hiver</v>
      </c>
      <c r="B711">
        <f>Sinistrés!J716</f>
        <v>23424.34</v>
      </c>
      <c r="C711">
        <f>Sinistrés!X716</f>
        <v>0</v>
      </c>
      <c r="D711">
        <f>Sinistrés!L716</f>
        <v>25.22</v>
      </c>
      <c r="E711">
        <f>Sinistrés!M716</f>
        <v>25.22</v>
      </c>
      <c r="F711">
        <f t="shared" si="22"/>
        <v>0</v>
      </c>
      <c r="G711">
        <f t="shared" si="23"/>
        <v>1</v>
      </c>
    </row>
    <row r="712" spans="1:7" hidden="1">
      <c r="A712" t="str">
        <f>Sinistrés!H717</f>
        <v>Blé dur d'hiver</v>
      </c>
      <c r="B712">
        <f>Sinistrés!J717</f>
        <v>23012</v>
      </c>
      <c r="C712">
        <f>Sinistrés!X717</f>
        <v>0</v>
      </c>
      <c r="D712">
        <f>Sinistrés!L717</f>
        <v>22</v>
      </c>
      <c r="E712">
        <f>Sinistrés!M717</f>
        <v>22</v>
      </c>
      <c r="F712">
        <f t="shared" si="22"/>
        <v>0</v>
      </c>
      <c r="G712">
        <f t="shared" si="23"/>
        <v>1</v>
      </c>
    </row>
    <row r="713" spans="1:7" hidden="1">
      <c r="A713" t="str">
        <f>Sinistrés!H718</f>
        <v>Orge de printemps</v>
      </c>
      <c r="B713">
        <f>Sinistrés!J718</f>
        <v>8246.7000000000007</v>
      </c>
      <c r="C713">
        <f>Sinistrés!X718</f>
        <v>0</v>
      </c>
      <c r="D713">
        <f>Sinistrés!L718</f>
        <v>7.7</v>
      </c>
      <c r="E713">
        <f>Sinistrés!M718</f>
        <v>7.7</v>
      </c>
      <c r="F713">
        <f t="shared" si="22"/>
        <v>0</v>
      </c>
      <c r="G713">
        <f t="shared" si="23"/>
        <v>1</v>
      </c>
    </row>
    <row r="714" spans="1:7" hidden="1">
      <c r="A714" t="str">
        <f>Sinistrés!H719</f>
        <v>Colza d'hiver</v>
      </c>
      <c r="B714">
        <f>Sinistrés!J719</f>
        <v>21601.58</v>
      </c>
      <c r="C714">
        <f>Sinistrés!X719</f>
        <v>0</v>
      </c>
      <c r="D714">
        <f>Sinistrés!L719</f>
        <v>18.260000000000002</v>
      </c>
      <c r="E714">
        <f>Sinistrés!M719</f>
        <v>18.260000000000002</v>
      </c>
      <c r="F714">
        <f t="shared" si="22"/>
        <v>0</v>
      </c>
      <c r="G714">
        <f t="shared" si="23"/>
        <v>1</v>
      </c>
    </row>
    <row r="715" spans="1:7" hidden="1">
      <c r="A715" t="str">
        <f>Sinistrés!H720</f>
        <v>Blé tendre d'hiver</v>
      </c>
      <c r="B715">
        <f>Sinistrés!J720</f>
        <v>26536.37</v>
      </c>
      <c r="C715">
        <f>Sinistrés!X720</f>
        <v>0</v>
      </c>
      <c r="D715">
        <f>Sinistrés!L720</f>
        <v>20.63</v>
      </c>
      <c r="E715">
        <f>Sinistrés!M720</f>
        <v>20.63</v>
      </c>
      <c r="F715">
        <f t="shared" si="22"/>
        <v>0</v>
      </c>
      <c r="G715">
        <f t="shared" si="23"/>
        <v>1</v>
      </c>
    </row>
    <row r="716" spans="1:7">
      <c r="A716" t="str">
        <f>Sinistrés!H721</f>
        <v>Pois protéagineux</v>
      </c>
      <c r="B716">
        <f>Sinistrés!J721</f>
        <v>9432</v>
      </c>
      <c r="C716">
        <f>Sinistrés!X721</f>
        <v>1298.47</v>
      </c>
      <c r="D716">
        <f>Sinistrés!L721</f>
        <v>12</v>
      </c>
      <c r="E716">
        <f>Sinistrés!M721</f>
        <v>11</v>
      </c>
      <c r="F716">
        <f t="shared" si="22"/>
        <v>0.1376664546225615</v>
      </c>
      <c r="G716">
        <f t="shared" si="23"/>
        <v>0.91666666666666663</v>
      </c>
    </row>
    <row r="717" spans="1:7" hidden="1">
      <c r="A717" t="str">
        <f>Sinistrés!H722</f>
        <v>Colza d'hiver</v>
      </c>
      <c r="B717">
        <f>Sinistrés!J722</f>
        <v>20808</v>
      </c>
      <c r="C717">
        <f>Sinistrés!X722</f>
        <v>0</v>
      </c>
      <c r="D717">
        <f>Sinistrés!L722</f>
        <v>17</v>
      </c>
      <c r="E717">
        <f>Sinistrés!M722</f>
        <v>17</v>
      </c>
      <c r="F717">
        <f t="shared" si="22"/>
        <v>0</v>
      </c>
      <c r="G717">
        <f t="shared" si="23"/>
        <v>1</v>
      </c>
    </row>
    <row r="718" spans="1:7">
      <c r="A718" t="str">
        <f>Sinistrés!H723</f>
        <v>Colza d'hiver</v>
      </c>
      <c r="B718">
        <f>Sinistrés!J723</f>
        <v>19584</v>
      </c>
      <c r="C718">
        <f>Sinistrés!X723</f>
        <v>2924.34</v>
      </c>
      <c r="D718">
        <f>Sinistrés!L723</f>
        <v>16</v>
      </c>
      <c r="E718">
        <f>Sinistrés!M723</f>
        <v>16</v>
      </c>
      <c r="F718">
        <f t="shared" si="22"/>
        <v>0.14932291666666667</v>
      </c>
      <c r="G718">
        <f t="shared" si="23"/>
        <v>1</v>
      </c>
    </row>
    <row r="719" spans="1:7" hidden="1">
      <c r="A719" t="str">
        <f>Sinistrés!H724</f>
        <v>Blé tendre d'hiver</v>
      </c>
      <c r="B719">
        <f>Sinistrés!J724</f>
        <v>12901.27</v>
      </c>
      <c r="C719">
        <f>Sinistrés!X724</f>
        <v>0</v>
      </c>
      <c r="D719">
        <f>Sinistrés!L724</f>
        <v>12.16</v>
      </c>
      <c r="E719">
        <f>Sinistrés!M724</f>
        <v>12.16</v>
      </c>
      <c r="F719">
        <f t="shared" si="22"/>
        <v>0</v>
      </c>
      <c r="G719">
        <f t="shared" si="23"/>
        <v>1</v>
      </c>
    </row>
    <row r="720" spans="1:7" hidden="1">
      <c r="A720" t="str">
        <f>Sinistrés!H725</f>
        <v>Blé tendre d'hiver semences</v>
      </c>
      <c r="B720">
        <f>Sinistrés!J725</f>
        <v>7702.57</v>
      </c>
      <c r="C720">
        <f>Sinistrés!X725</f>
        <v>6.29</v>
      </c>
      <c r="D720">
        <f>Sinistrés!L725</f>
        <v>7.26</v>
      </c>
      <c r="E720">
        <f>Sinistrés!M725</f>
        <v>7.26</v>
      </c>
      <c r="F720">
        <f t="shared" si="22"/>
        <v>8.1661055985210137E-4</v>
      </c>
      <c r="G720">
        <f t="shared" si="23"/>
        <v>1</v>
      </c>
    </row>
    <row r="721" spans="1:7" hidden="1">
      <c r="A721" t="str">
        <f>Sinistrés!H726</f>
        <v>Blé tendre d'hiver</v>
      </c>
      <c r="B721">
        <f>Sinistrés!J726</f>
        <v>24245.65</v>
      </c>
      <c r="C721">
        <f>Sinistrés!X726</f>
        <v>0</v>
      </c>
      <c r="D721">
        <f>Sinistrés!L726</f>
        <v>30.49</v>
      </c>
      <c r="E721">
        <f>Sinistrés!M726</f>
        <v>30.48</v>
      </c>
      <c r="F721">
        <f t="shared" si="22"/>
        <v>0</v>
      </c>
      <c r="G721">
        <f t="shared" si="23"/>
        <v>0.99967202361429985</v>
      </c>
    </row>
    <row r="722" spans="1:7" hidden="1">
      <c r="A722" t="str">
        <f>Sinistrés!H727</f>
        <v>Colza d'hiver</v>
      </c>
      <c r="B722">
        <f>Sinistrés!J727</f>
        <v>16762.52</v>
      </c>
      <c r="C722">
        <f>Sinistrés!X727</f>
        <v>0</v>
      </c>
      <c r="D722">
        <f>Sinistrés!L727</f>
        <v>18.93</v>
      </c>
      <c r="E722">
        <f>Sinistrés!M727</f>
        <v>18.920000000000002</v>
      </c>
      <c r="F722">
        <f t="shared" si="22"/>
        <v>0</v>
      </c>
      <c r="G722">
        <f t="shared" si="23"/>
        <v>0.99947173798203914</v>
      </c>
    </row>
    <row r="723" spans="1:7" hidden="1">
      <c r="A723" t="str">
        <f>Sinistrés!H728</f>
        <v>Colza d'hiver</v>
      </c>
      <c r="B723">
        <f>Sinistrés!J728</f>
        <v>59850</v>
      </c>
      <c r="C723">
        <f>Sinistrés!X728</f>
        <v>0</v>
      </c>
      <c r="D723">
        <f>Sinistrés!L728</f>
        <v>35</v>
      </c>
      <c r="E723">
        <f>Sinistrés!M728</f>
        <v>35</v>
      </c>
      <c r="F723">
        <f t="shared" si="22"/>
        <v>0</v>
      </c>
      <c r="G723">
        <f t="shared" si="23"/>
        <v>1</v>
      </c>
    </row>
    <row r="724" spans="1:7" hidden="1">
      <c r="A724" t="str">
        <f>Sinistrés!H729</f>
        <v>Blé tendre d'hiver</v>
      </c>
      <c r="B724">
        <f>Sinistrés!J729</f>
        <v>28560</v>
      </c>
      <c r="C724">
        <f>Sinistrés!X729</f>
        <v>0</v>
      </c>
      <c r="D724">
        <f>Sinistrés!L729</f>
        <v>28</v>
      </c>
      <c r="E724">
        <f>Sinistrés!M729</f>
        <v>24.95</v>
      </c>
      <c r="F724">
        <f t="shared" si="22"/>
        <v>0</v>
      </c>
      <c r="G724">
        <f t="shared" si="23"/>
        <v>0.89107142857142851</v>
      </c>
    </row>
    <row r="725" spans="1:7">
      <c r="A725" t="str">
        <f>Sinistrés!H730</f>
        <v>Colza d'hiver</v>
      </c>
      <c r="B725">
        <f>Sinistrés!J730</f>
        <v>18631.62</v>
      </c>
      <c r="C725">
        <f>Sinistrés!X730</f>
        <v>3366.98</v>
      </c>
      <c r="D725">
        <f>Sinistrés!L730</f>
        <v>14.31</v>
      </c>
      <c r="E725">
        <f>Sinistrés!M730</f>
        <v>14.62</v>
      </c>
      <c r="F725">
        <f t="shared" si="22"/>
        <v>0.18071321763754308</v>
      </c>
      <c r="G725">
        <f t="shared" si="23"/>
        <v>1.0216631726065688</v>
      </c>
    </row>
    <row r="726" spans="1:7">
      <c r="A726" t="str">
        <f>Sinistrés!H731</f>
        <v>Pois protéagineux</v>
      </c>
      <c r="B726">
        <f>Sinistrés!J731</f>
        <v>12137.56</v>
      </c>
      <c r="C726">
        <f>Sinistrés!X731</f>
        <v>726.69</v>
      </c>
      <c r="D726">
        <f>Sinistrés!L731</f>
        <v>16.7</v>
      </c>
      <c r="E726">
        <f>Sinistrés!M731</f>
        <v>16.12</v>
      </c>
      <c r="F726">
        <f t="shared" si="22"/>
        <v>5.9871176743925475E-2</v>
      </c>
      <c r="G726">
        <f t="shared" si="23"/>
        <v>0.96526946107784439</v>
      </c>
    </row>
    <row r="727" spans="1:7" hidden="1">
      <c r="A727" t="str">
        <f>Sinistrés!H732</f>
        <v>Orge d'hiver</v>
      </c>
      <c r="B727">
        <f>Sinistrés!J732</f>
        <v>14539.77</v>
      </c>
      <c r="C727">
        <f>Sinistrés!X732</f>
        <v>0</v>
      </c>
      <c r="D727">
        <f>Sinistrés!L732</f>
        <v>14.13</v>
      </c>
      <c r="E727">
        <f>Sinistrés!M732</f>
        <v>14.31</v>
      </c>
      <c r="F727">
        <f t="shared" si="22"/>
        <v>0</v>
      </c>
      <c r="G727">
        <f t="shared" si="23"/>
        <v>1.0127388535031847</v>
      </c>
    </row>
    <row r="728" spans="1:7" hidden="1">
      <c r="A728" t="str">
        <f>Sinistrés!H733</f>
        <v>Blé tendre d'hiver</v>
      </c>
      <c r="B728">
        <f>Sinistrés!J733</f>
        <v>21580.74</v>
      </c>
      <c r="C728">
        <f>Sinistrés!X733</f>
        <v>0</v>
      </c>
      <c r="D728">
        <f>Sinistrés!L733</f>
        <v>15.22</v>
      </c>
      <c r="E728">
        <f>Sinistrés!M733</f>
        <v>15.22</v>
      </c>
      <c r="F728">
        <f t="shared" si="22"/>
        <v>0</v>
      </c>
      <c r="G728">
        <f t="shared" si="23"/>
        <v>1</v>
      </c>
    </row>
    <row r="729" spans="1:7" hidden="1">
      <c r="A729" t="str">
        <f>Sinistrés!H734</f>
        <v>Blé tendre d'hiver</v>
      </c>
      <c r="B729">
        <f>Sinistrés!J734</f>
        <v>43943.199999999997</v>
      </c>
      <c r="C729">
        <f>Sinistrés!X734</f>
        <v>0</v>
      </c>
      <c r="D729">
        <f>Sinistrés!L734</f>
        <v>41.3</v>
      </c>
      <c r="E729">
        <f>Sinistrés!M734</f>
        <v>41.3</v>
      </c>
      <c r="F729">
        <f t="shared" si="22"/>
        <v>0</v>
      </c>
      <c r="G729">
        <f t="shared" si="23"/>
        <v>1</v>
      </c>
    </row>
    <row r="730" spans="1:7" hidden="1">
      <c r="A730" t="str">
        <f>Sinistrés!H735</f>
        <v>Orge d'hiver</v>
      </c>
      <c r="B730">
        <f>Sinistrés!J735</f>
        <v>29138.080000000002</v>
      </c>
      <c r="C730">
        <f>Sinistrés!X735</f>
        <v>0</v>
      </c>
      <c r="D730">
        <f>Sinistrés!L735</f>
        <v>21.52</v>
      </c>
      <c r="E730">
        <f>Sinistrés!M735</f>
        <v>21.52</v>
      </c>
      <c r="F730">
        <f t="shared" si="22"/>
        <v>0</v>
      </c>
      <c r="G730">
        <f t="shared" si="23"/>
        <v>1</v>
      </c>
    </row>
    <row r="731" spans="1:7" hidden="1">
      <c r="A731" t="str">
        <f>Sinistrés!H736</f>
        <v>Orge d'hiver</v>
      </c>
      <c r="B731">
        <f>Sinistrés!J736</f>
        <v>3554.25</v>
      </c>
      <c r="C731">
        <f>Sinistrés!X736</f>
        <v>0</v>
      </c>
      <c r="D731">
        <f>Sinistrés!L736</f>
        <v>2.5</v>
      </c>
      <c r="E731">
        <f>Sinistrés!M736</f>
        <v>2.5</v>
      </c>
      <c r="F731">
        <f t="shared" si="22"/>
        <v>0</v>
      </c>
      <c r="G731">
        <f t="shared" si="23"/>
        <v>1</v>
      </c>
    </row>
    <row r="732" spans="1:7" hidden="1">
      <c r="A732" t="str">
        <f>Sinistrés!H737</f>
        <v>Blé dur d'hiver</v>
      </c>
      <c r="B732">
        <f>Sinistrés!J737</f>
        <v>12242.36</v>
      </c>
      <c r="C732">
        <f>Sinistrés!X737</f>
        <v>0</v>
      </c>
      <c r="D732">
        <f>Sinistrés!L737</f>
        <v>6.98</v>
      </c>
      <c r="E732">
        <f>Sinistrés!M737</f>
        <v>6.98</v>
      </c>
      <c r="F732">
        <f t="shared" si="22"/>
        <v>0</v>
      </c>
      <c r="G732">
        <f t="shared" si="23"/>
        <v>1</v>
      </c>
    </row>
    <row r="733" spans="1:7" hidden="1">
      <c r="A733" t="str">
        <f>Sinistrés!H738</f>
        <v>Blé tendre d'hiver</v>
      </c>
      <c r="B733">
        <f>Sinistrés!J738</f>
        <v>70574.14</v>
      </c>
      <c r="C733">
        <f>Sinistrés!X738</f>
        <v>0</v>
      </c>
      <c r="D733">
        <f>Sinistrés!L738</f>
        <v>52.1</v>
      </c>
      <c r="E733">
        <f>Sinistrés!M738</f>
        <v>52.1</v>
      </c>
      <c r="F733">
        <f t="shared" si="22"/>
        <v>0</v>
      </c>
      <c r="G733">
        <f t="shared" si="23"/>
        <v>1</v>
      </c>
    </row>
    <row r="734" spans="1:7" hidden="1">
      <c r="A734" t="str">
        <f>Sinistrés!H739</f>
        <v>Blé dur d'hiver</v>
      </c>
      <c r="B734">
        <f>Sinistrés!J739</f>
        <v>11874.46</v>
      </c>
      <c r="C734">
        <f>Sinistrés!X739</f>
        <v>0</v>
      </c>
      <c r="D734">
        <f>Sinistrés!L739</f>
        <v>9.57</v>
      </c>
      <c r="E734">
        <f>Sinistrés!M739</f>
        <v>9.56</v>
      </c>
      <c r="F734">
        <f t="shared" si="22"/>
        <v>0</v>
      </c>
      <c r="G734">
        <f t="shared" si="23"/>
        <v>0.99895506792058519</v>
      </c>
    </row>
    <row r="735" spans="1:7" hidden="1">
      <c r="A735" t="str">
        <f>Sinistrés!H740</f>
        <v>Blé tendre d'hiver</v>
      </c>
      <c r="B735">
        <f>Sinistrés!J740</f>
        <v>38530.269999999997</v>
      </c>
      <c r="C735">
        <f>Sinistrés!X740</f>
        <v>0</v>
      </c>
      <c r="D735">
        <f>Sinistrés!L740</f>
        <v>35.31</v>
      </c>
      <c r="E735">
        <f>Sinistrés!M740</f>
        <v>35.299999999999997</v>
      </c>
      <c r="F735">
        <f t="shared" si="22"/>
        <v>0</v>
      </c>
      <c r="G735">
        <f t="shared" si="23"/>
        <v>0.99971679410931735</v>
      </c>
    </row>
    <row r="736" spans="1:7" hidden="1">
      <c r="A736" t="str">
        <f>Sinistrés!H741</f>
        <v>Colza d'hiver</v>
      </c>
      <c r="B736">
        <f>Sinistrés!J741</f>
        <v>15047.76</v>
      </c>
      <c r="C736">
        <f>Sinistrés!X741</f>
        <v>0</v>
      </c>
      <c r="D736">
        <f>Sinistrés!L741</f>
        <v>12.72</v>
      </c>
      <c r="E736">
        <f>Sinistrés!M741</f>
        <v>12.71</v>
      </c>
      <c r="F736">
        <f t="shared" si="22"/>
        <v>0</v>
      </c>
      <c r="G736">
        <f t="shared" si="23"/>
        <v>0.99921383647798745</v>
      </c>
    </row>
    <row r="737" spans="1:7" hidden="1">
      <c r="A737" t="str">
        <f>Sinistrés!H742</f>
        <v>Orge d'hiver</v>
      </c>
      <c r="B737">
        <f>Sinistrés!J742</f>
        <v>3907.03</v>
      </c>
      <c r="C737">
        <f>Sinistrés!X742</f>
        <v>0</v>
      </c>
      <c r="D737">
        <f>Sinistrés!L742</f>
        <v>4.25</v>
      </c>
      <c r="E737">
        <f>Sinistrés!M742</f>
        <v>4.24</v>
      </c>
      <c r="F737">
        <f t="shared" si="22"/>
        <v>0</v>
      </c>
      <c r="G737">
        <f t="shared" si="23"/>
        <v>0.99764705882352944</v>
      </c>
    </row>
    <row r="738" spans="1:7">
      <c r="A738" t="str">
        <f>Sinistrés!H743</f>
        <v>Tournesol</v>
      </c>
      <c r="B738">
        <f>Sinistrés!J743</f>
        <v>10722.17</v>
      </c>
      <c r="C738">
        <f>Sinistrés!X743</f>
        <v>247.8</v>
      </c>
      <c r="D738">
        <f>Sinistrés!L743</f>
        <v>9.0500000000000007</v>
      </c>
      <c r="E738">
        <f>Sinistrés!M743</f>
        <v>1.4</v>
      </c>
      <c r="F738">
        <f t="shared" si="22"/>
        <v>2.3110993390330504E-2</v>
      </c>
      <c r="G738">
        <f t="shared" si="23"/>
        <v>0.15469613259668505</v>
      </c>
    </row>
    <row r="739" spans="1:7" hidden="1">
      <c r="A739" t="str">
        <f>Sinistrés!H744</f>
        <v>Blé tendre d'hiver</v>
      </c>
      <c r="B739">
        <f>Sinistrés!J744</f>
        <v>12067.27</v>
      </c>
      <c r="C739">
        <f>Sinistrés!X744</f>
        <v>0</v>
      </c>
      <c r="D739">
        <f>Sinistrés!L744</f>
        <v>10.41</v>
      </c>
      <c r="E739">
        <f>Sinistrés!M744</f>
        <v>10.41</v>
      </c>
      <c r="F739">
        <f t="shared" si="22"/>
        <v>0</v>
      </c>
      <c r="G739">
        <f t="shared" si="23"/>
        <v>1</v>
      </c>
    </row>
    <row r="740" spans="1:7" hidden="1">
      <c r="A740" t="str">
        <f>Sinistrés!H745</f>
        <v>Orge d'hiver</v>
      </c>
      <c r="B740">
        <f>Sinistrés!J745</f>
        <v>13026.18</v>
      </c>
      <c r="C740">
        <f>Sinistrés!X745</f>
        <v>0</v>
      </c>
      <c r="D740">
        <f>Sinistrés!L745</f>
        <v>13.66</v>
      </c>
      <c r="E740">
        <f>Sinistrés!M745</f>
        <v>13.66</v>
      </c>
      <c r="F740">
        <f t="shared" si="22"/>
        <v>0</v>
      </c>
      <c r="G740">
        <f t="shared" si="23"/>
        <v>1</v>
      </c>
    </row>
    <row r="741" spans="1:7" hidden="1">
      <c r="A741" t="str">
        <f>Sinistrés!H746</f>
        <v>Blé tendre d'hiver</v>
      </c>
      <c r="B741">
        <f>Sinistrés!J746</f>
        <v>60550</v>
      </c>
      <c r="C741">
        <f>Sinistrés!X746</f>
        <v>0</v>
      </c>
      <c r="D741">
        <f>Sinistrés!L746</f>
        <v>50</v>
      </c>
      <c r="E741">
        <f>Sinistrés!M746</f>
        <v>50</v>
      </c>
      <c r="F741">
        <f t="shared" si="22"/>
        <v>0</v>
      </c>
      <c r="G741">
        <f t="shared" si="23"/>
        <v>1</v>
      </c>
    </row>
    <row r="742" spans="1:7" hidden="1">
      <c r="A742" t="str">
        <f>Sinistrés!H747</f>
        <v>Orge d'hiver</v>
      </c>
      <c r="B742">
        <f>Sinistrés!J747</f>
        <v>17535</v>
      </c>
      <c r="C742">
        <f>Sinistrés!X747</f>
        <v>0</v>
      </c>
      <c r="D742">
        <f>Sinistrés!L747</f>
        <v>15</v>
      </c>
      <c r="E742">
        <f>Sinistrés!M747</f>
        <v>15</v>
      </c>
      <c r="F742">
        <f t="shared" si="22"/>
        <v>0</v>
      </c>
      <c r="G742">
        <f t="shared" si="23"/>
        <v>1</v>
      </c>
    </row>
    <row r="743" spans="1:7" hidden="1">
      <c r="A743" t="str">
        <f>Sinistrés!H748</f>
        <v>Colza d'hiver</v>
      </c>
      <c r="B743">
        <f>Sinistrés!J748</f>
        <v>16674</v>
      </c>
      <c r="C743">
        <f>Sinistrés!X748</f>
        <v>0</v>
      </c>
      <c r="D743">
        <f>Sinistrés!L748</f>
        <v>14</v>
      </c>
      <c r="E743">
        <f>Sinistrés!M748</f>
        <v>14</v>
      </c>
      <c r="F743">
        <f t="shared" si="22"/>
        <v>0</v>
      </c>
      <c r="G743">
        <f t="shared" si="23"/>
        <v>1</v>
      </c>
    </row>
    <row r="744" spans="1:7" hidden="1">
      <c r="A744" t="str">
        <f>Sinistrés!H749</f>
        <v>Blé de force</v>
      </c>
      <c r="B744">
        <f>Sinistrés!J749</f>
        <v>27133.66</v>
      </c>
      <c r="C744">
        <f>Sinistrés!X749</f>
        <v>0</v>
      </c>
      <c r="D744">
        <f>Sinistrés!L749</f>
        <v>25.79</v>
      </c>
      <c r="E744">
        <f>Sinistrés!M749</f>
        <v>25.79</v>
      </c>
      <c r="F744">
        <f t="shared" si="22"/>
        <v>0</v>
      </c>
      <c r="G744">
        <f t="shared" si="23"/>
        <v>1</v>
      </c>
    </row>
    <row r="745" spans="1:7" hidden="1">
      <c r="A745" t="str">
        <f>Sinistrés!H750</f>
        <v>Colza d'hiver</v>
      </c>
      <c r="B745">
        <f>Sinistrés!J750</f>
        <v>44961.66</v>
      </c>
      <c r="C745">
        <f>Sinistrés!X750</f>
        <v>0</v>
      </c>
      <c r="D745">
        <f>Sinistrés!L750</f>
        <v>31.82</v>
      </c>
      <c r="E745">
        <f>Sinistrés!M750</f>
        <v>31.82</v>
      </c>
      <c r="F745">
        <f t="shared" si="22"/>
        <v>0</v>
      </c>
      <c r="G745">
        <f t="shared" si="23"/>
        <v>1</v>
      </c>
    </row>
    <row r="746" spans="1:7" hidden="1">
      <c r="A746" t="str">
        <f>Sinistrés!H751</f>
        <v>Orge de printemps</v>
      </c>
      <c r="B746">
        <f>Sinistrés!J751</f>
        <v>25029</v>
      </c>
      <c r="C746">
        <f>Sinistrés!X751</f>
        <v>0</v>
      </c>
      <c r="D746">
        <f>Sinistrés!L751</f>
        <v>30.9</v>
      </c>
      <c r="E746">
        <f>Sinistrés!M751</f>
        <v>30.9</v>
      </c>
      <c r="F746">
        <f t="shared" si="22"/>
        <v>0</v>
      </c>
      <c r="G746">
        <f t="shared" si="23"/>
        <v>1</v>
      </c>
    </row>
    <row r="747" spans="1:7" hidden="1">
      <c r="A747" t="str">
        <f>Sinistrés!H752</f>
        <v>Blé de force</v>
      </c>
      <c r="B747">
        <f>Sinistrés!J752</f>
        <v>12625.2</v>
      </c>
      <c r="C747">
        <f>Sinistrés!X752</f>
        <v>0</v>
      </c>
      <c r="D747">
        <f>Sinistrés!L752</f>
        <v>12</v>
      </c>
      <c r="E747">
        <f>Sinistrés!M752</f>
        <v>12</v>
      </c>
      <c r="F747">
        <f t="shared" si="22"/>
        <v>0</v>
      </c>
      <c r="G747">
        <f t="shared" si="23"/>
        <v>1</v>
      </c>
    </row>
    <row r="748" spans="1:7" hidden="1">
      <c r="A748" t="str">
        <f>Sinistrés!H753</f>
        <v>Colza d'hiver</v>
      </c>
      <c r="B748">
        <f>Sinistrés!J753</f>
        <v>1497.78</v>
      </c>
      <c r="C748">
        <f>Sinistrés!X753</f>
        <v>0</v>
      </c>
      <c r="D748">
        <f>Sinistrés!L753</f>
        <v>1.06</v>
      </c>
      <c r="E748">
        <f>Sinistrés!M753</f>
        <v>1.06</v>
      </c>
      <c r="F748">
        <f t="shared" si="22"/>
        <v>0</v>
      </c>
      <c r="G748">
        <f t="shared" si="23"/>
        <v>1</v>
      </c>
    </row>
    <row r="749" spans="1:7">
      <c r="A749" t="str">
        <f>Sinistrés!H754</f>
        <v xml:space="preserve">Maïs waxy non irrigué </v>
      </c>
      <c r="B749">
        <f>Sinistrés!J754</f>
        <v>7700</v>
      </c>
      <c r="C749">
        <f>Sinistrés!X754</f>
        <v>156</v>
      </c>
      <c r="D749">
        <f>Sinistrés!L754</f>
        <v>4</v>
      </c>
      <c r="E749">
        <f>Sinistrés!M754</f>
        <v>1</v>
      </c>
      <c r="F749">
        <f t="shared" si="22"/>
        <v>2.0259740259740259E-2</v>
      </c>
      <c r="G749">
        <f t="shared" si="23"/>
        <v>0.25</v>
      </c>
    </row>
    <row r="750" spans="1:7">
      <c r="A750" t="str">
        <f>Sinistrés!H755</f>
        <v>Maïs grain non irrigué</v>
      </c>
      <c r="B750">
        <f>Sinistrés!J755</f>
        <v>57750</v>
      </c>
      <c r="C750">
        <f>Sinistrés!X755</f>
        <v>746.7</v>
      </c>
      <c r="D750">
        <f>Sinistrés!L755</f>
        <v>30</v>
      </c>
      <c r="E750">
        <f>Sinistrés!M755</f>
        <v>2</v>
      </c>
      <c r="F750">
        <f t="shared" si="22"/>
        <v>1.292987012987013E-2</v>
      </c>
      <c r="G750">
        <f t="shared" si="23"/>
        <v>6.6666666666666666E-2</v>
      </c>
    </row>
    <row r="751" spans="1:7" hidden="1">
      <c r="A751" t="str">
        <f>Sinistrés!H756</f>
        <v>Colza d'hiver</v>
      </c>
      <c r="B751">
        <f>Sinistrés!J756</f>
        <v>22575.040000000001</v>
      </c>
      <c r="C751">
        <f>Sinistrés!X756</f>
        <v>0</v>
      </c>
      <c r="D751">
        <f>Sinistrés!L756</f>
        <v>15.01</v>
      </c>
      <c r="E751">
        <f>Sinistrés!M756</f>
        <v>15.01</v>
      </c>
      <c r="F751">
        <f t="shared" si="22"/>
        <v>0</v>
      </c>
      <c r="G751">
        <f t="shared" si="23"/>
        <v>1</v>
      </c>
    </row>
    <row r="752" spans="1:7">
      <c r="A752" t="str">
        <f>Sinistrés!H757</f>
        <v>Blé tendre d'hiver</v>
      </c>
      <c r="B752">
        <f>Sinistrés!J757</f>
        <v>29457.89</v>
      </c>
      <c r="C752">
        <f>Sinistrés!X757</f>
        <v>318.52999999999997</v>
      </c>
      <c r="D752">
        <f>Sinistrés!L757</f>
        <v>25.21</v>
      </c>
      <c r="E752">
        <f>Sinistrés!M757</f>
        <v>25.21</v>
      </c>
      <c r="F752">
        <f t="shared" si="22"/>
        <v>1.081306230690657E-2</v>
      </c>
      <c r="G752">
        <f t="shared" si="23"/>
        <v>1</v>
      </c>
    </row>
    <row r="753" spans="1:7" hidden="1">
      <c r="A753" t="str">
        <f>Sinistrés!H758</f>
        <v>Colza d'hiver</v>
      </c>
      <c r="B753">
        <f>Sinistrés!J758</f>
        <v>25509.27</v>
      </c>
      <c r="C753">
        <f>Sinistrés!X758</f>
        <v>0</v>
      </c>
      <c r="D753">
        <f>Sinistrés!L758</f>
        <v>20.93</v>
      </c>
      <c r="E753">
        <f>Sinistrés!M758</f>
        <v>20.74</v>
      </c>
      <c r="F753">
        <f t="shared" si="22"/>
        <v>0</v>
      </c>
      <c r="G753">
        <f t="shared" si="23"/>
        <v>0.99092212135690394</v>
      </c>
    </row>
    <row r="754" spans="1:7" hidden="1">
      <c r="A754" t="str">
        <f>Sinistrés!H759</f>
        <v>Féveroles et fèves</v>
      </c>
      <c r="B754">
        <f>Sinistrés!J759</f>
        <v>8130.81</v>
      </c>
      <c r="C754">
        <f>Sinistrés!X759</f>
        <v>0</v>
      </c>
      <c r="D754">
        <f>Sinistrés!L759</f>
        <v>19.36</v>
      </c>
      <c r="E754">
        <f>Sinistrés!M759</f>
        <v>19.34</v>
      </c>
      <c r="F754">
        <f t="shared" si="22"/>
        <v>0</v>
      </c>
      <c r="G754">
        <f t="shared" si="23"/>
        <v>0.99896694214876036</v>
      </c>
    </row>
    <row r="755" spans="1:7" hidden="1">
      <c r="A755" t="str">
        <f>Sinistrés!H760</f>
        <v>Blé tendre d'hiver</v>
      </c>
      <c r="B755">
        <f>Sinistrés!J760</f>
        <v>35730.75</v>
      </c>
      <c r="C755">
        <f>Sinistrés!X760</f>
        <v>0</v>
      </c>
      <c r="D755">
        <f>Sinistrés!L760</f>
        <v>39.049999999999997</v>
      </c>
      <c r="E755">
        <f>Sinistrés!M760</f>
        <v>39.03</v>
      </c>
      <c r="F755">
        <f t="shared" si="22"/>
        <v>0</v>
      </c>
      <c r="G755">
        <f t="shared" si="23"/>
        <v>0.99948783610755454</v>
      </c>
    </row>
    <row r="756" spans="1:7">
      <c r="A756" t="str">
        <f>Sinistrés!H761</f>
        <v>Maïs grain non irrigué</v>
      </c>
      <c r="B756">
        <f>Sinistrés!J761</f>
        <v>94137.51</v>
      </c>
      <c r="C756">
        <f>Sinistrés!X761</f>
        <v>2576</v>
      </c>
      <c r="D756">
        <f>Sinistrés!L761</f>
        <v>43.78</v>
      </c>
      <c r="E756">
        <f>Sinistrés!M761</f>
        <v>43.78</v>
      </c>
      <c r="F756">
        <f t="shared" si="22"/>
        <v>2.7364224951350425E-2</v>
      </c>
      <c r="G756">
        <f t="shared" si="23"/>
        <v>1</v>
      </c>
    </row>
    <row r="757" spans="1:7">
      <c r="A757" t="str">
        <f>Sinistrés!H762</f>
        <v>Maïs grain non irrigué</v>
      </c>
      <c r="B757">
        <f>Sinistrés!J762</f>
        <v>151742.44</v>
      </c>
      <c r="C757">
        <f>Sinistrés!X762</f>
        <v>3864</v>
      </c>
      <c r="D757">
        <f>Sinistrés!L762</f>
        <v>70.569999999999993</v>
      </c>
      <c r="E757">
        <f>Sinistrés!M762</f>
        <v>70.569999999999993</v>
      </c>
      <c r="F757">
        <f t="shared" si="22"/>
        <v>2.5464201050147867E-2</v>
      </c>
      <c r="G757">
        <f t="shared" si="23"/>
        <v>1</v>
      </c>
    </row>
    <row r="758" spans="1:7">
      <c r="A758" t="str">
        <f>Sinistrés!H763</f>
        <v>Blé tendre d'hiver</v>
      </c>
      <c r="B758">
        <f>Sinistrés!J763</f>
        <v>22615.360000000001</v>
      </c>
      <c r="C758">
        <f>Sinistrés!X763</f>
        <v>8025.16</v>
      </c>
      <c r="D758">
        <f>Sinistrés!L763</f>
        <v>24.37</v>
      </c>
      <c r="E758">
        <f>Sinistrés!M763</f>
        <v>24.36</v>
      </c>
      <c r="F758">
        <f t="shared" si="22"/>
        <v>0.35485439984152362</v>
      </c>
      <c r="G758">
        <f t="shared" si="23"/>
        <v>0.99958965941731626</v>
      </c>
    </row>
    <row r="759" spans="1:7">
      <c r="A759" t="str">
        <f>Sinistrés!H764</f>
        <v>Avoine d'hiver</v>
      </c>
      <c r="B759">
        <f>Sinistrés!J764</f>
        <v>8327.9699999999993</v>
      </c>
      <c r="C759">
        <f>Sinistrés!X764</f>
        <v>2752.8</v>
      </c>
      <c r="D759">
        <f>Sinistrés!L764</f>
        <v>12.98</v>
      </c>
      <c r="E759">
        <f>Sinistrés!M764</f>
        <v>12.98</v>
      </c>
      <c r="F759">
        <f t="shared" si="22"/>
        <v>0.33054874116981692</v>
      </c>
      <c r="G759">
        <f t="shared" si="23"/>
        <v>1</v>
      </c>
    </row>
    <row r="760" spans="1:7">
      <c r="A760" t="str">
        <f>Sinistrés!H765</f>
        <v>Orge d'hiver</v>
      </c>
      <c r="B760">
        <f>Sinistrés!J765</f>
        <v>12567.33</v>
      </c>
      <c r="C760">
        <f>Sinistrés!X765</f>
        <v>1460.67</v>
      </c>
      <c r="D760">
        <f>Sinistrés!L765</f>
        <v>12.94</v>
      </c>
      <c r="E760">
        <f>Sinistrés!M765</f>
        <v>12.94</v>
      </c>
      <c r="F760">
        <f t="shared" si="22"/>
        <v>0.11622755191436845</v>
      </c>
      <c r="G760">
        <f t="shared" si="23"/>
        <v>1</v>
      </c>
    </row>
    <row r="761" spans="1:7" hidden="1">
      <c r="A761" t="str">
        <f>Sinistrés!H766</f>
        <v>Colza d'hiver</v>
      </c>
      <c r="B761">
        <f>Sinistrés!J766</f>
        <v>4724.3</v>
      </c>
      <c r="C761">
        <f>Sinistrés!X766</f>
        <v>0</v>
      </c>
      <c r="D761">
        <f>Sinistrés!L766</f>
        <v>7.94</v>
      </c>
      <c r="E761">
        <f>Sinistrés!M766</f>
        <v>7.95</v>
      </c>
      <c r="F761">
        <f t="shared" si="22"/>
        <v>0</v>
      </c>
      <c r="G761">
        <f t="shared" si="23"/>
        <v>1.0012594458438286</v>
      </c>
    </row>
    <row r="762" spans="1:7">
      <c r="A762" t="str">
        <f>Sinistrés!H767</f>
        <v>Pois protéagineux</v>
      </c>
      <c r="B762">
        <f>Sinistrés!J767</f>
        <v>5936</v>
      </c>
      <c r="C762">
        <f>Sinistrés!X767</f>
        <v>2590.6799999999998</v>
      </c>
      <c r="D762">
        <f>Sinistrés!L767</f>
        <v>10.6</v>
      </c>
      <c r="E762">
        <f>Sinistrés!M767</f>
        <v>10.65</v>
      </c>
      <c r="F762">
        <f t="shared" si="22"/>
        <v>0.4364353099730458</v>
      </c>
      <c r="G762">
        <f t="shared" si="23"/>
        <v>1.0047169811320755</v>
      </c>
    </row>
    <row r="763" spans="1:7" hidden="1">
      <c r="A763" t="str">
        <f>Sinistrés!H768</f>
        <v>Orge d'hiver</v>
      </c>
      <c r="B763">
        <f>Sinistrés!J768</f>
        <v>14711.44</v>
      </c>
      <c r="C763">
        <f>Sinistrés!X768</f>
        <v>0</v>
      </c>
      <c r="D763">
        <f>Sinistrés!L768</f>
        <v>12.28</v>
      </c>
      <c r="E763">
        <f>Sinistrés!M768</f>
        <v>12.28</v>
      </c>
      <c r="F763">
        <f t="shared" si="22"/>
        <v>0</v>
      </c>
      <c r="G763">
        <f t="shared" si="23"/>
        <v>1</v>
      </c>
    </row>
    <row r="764" spans="1:7" hidden="1">
      <c r="A764" t="str">
        <f>Sinistrés!H769</f>
        <v>Colza d'hiver</v>
      </c>
      <c r="B764">
        <f>Sinistrés!J769</f>
        <v>7847.26</v>
      </c>
      <c r="C764">
        <f>Sinistrés!X769</f>
        <v>0</v>
      </c>
      <c r="D764">
        <f>Sinistrés!L769</f>
        <v>9.2799999999999994</v>
      </c>
      <c r="E764">
        <f>Sinistrés!M769</f>
        <v>9.2799999999999994</v>
      </c>
      <c r="F764">
        <f t="shared" si="22"/>
        <v>0</v>
      </c>
      <c r="G764">
        <f t="shared" si="23"/>
        <v>1</v>
      </c>
    </row>
    <row r="765" spans="1:7">
      <c r="A765" t="str">
        <f>Sinistrés!H770</f>
        <v>Pois protéagineux</v>
      </c>
      <c r="B765">
        <f>Sinistrés!J770</f>
        <v>9663.2199999999993</v>
      </c>
      <c r="C765">
        <f>Sinistrés!X770</f>
        <v>2415.81</v>
      </c>
      <c r="D765">
        <f>Sinistrés!L770</f>
        <v>11.07</v>
      </c>
      <c r="E765">
        <f>Sinistrés!M770</f>
        <v>11.07</v>
      </c>
      <c r="F765">
        <f t="shared" si="22"/>
        <v>0.25000051742586843</v>
      </c>
      <c r="G765">
        <f t="shared" si="23"/>
        <v>1</v>
      </c>
    </row>
    <row r="766" spans="1:7">
      <c r="A766" t="str">
        <f>Sinistrés!H771</f>
        <v>Féveroles et fèves</v>
      </c>
      <c r="B766">
        <f>Sinistrés!J771</f>
        <v>4749.01</v>
      </c>
      <c r="C766">
        <f>Sinistrés!X771</f>
        <v>1187.25</v>
      </c>
      <c r="D766">
        <f>Sinistrés!L771</f>
        <v>9.48</v>
      </c>
      <c r="E766">
        <f>Sinistrés!M771</f>
        <v>9.48</v>
      </c>
      <c r="F766">
        <f t="shared" si="22"/>
        <v>0.24999947357449237</v>
      </c>
      <c r="G766">
        <f t="shared" si="23"/>
        <v>1</v>
      </c>
    </row>
    <row r="767" spans="1:7">
      <c r="A767" t="str">
        <f>Sinistrés!H772</f>
        <v>Tournesol</v>
      </c>
      <c r="B767">
        <f>Sinistrés!J772</f>
        <v>39780.61</v>
      </c>
      <c r="C767">
        <f>Sinistrés!X772</f>
        <v>3355.95</v>
      </c>
      <c r="D767">
        <f>Sinistrés!L772</f>
        <v>30.6</v>
      </c>
      <c r="E767">
        <f>Sinistrés!M772</f>
        <v>30.6</v>
      </c>
      <c r="F767">
        <f t="shared" si="22"/>
        <v>8.436145147095532E-2</v>
      </c>
      <c r="G767">
        <f t="shared" si="23"/>
        <v>1</v>
      </c>
    </row>
    <row r="768" spans="1:7" hidden="1">
      <c r="A768" t="str">
        <f>Sinistrés!H773</f>
        <v>Blé tendre d'hiver</v>
      </c>
      <c r="B768">
        <f>Sinistrés!J773</f>
        <v>49336.14</v>
      </c>
      <c r="C768">
        <f>Sinistrés!X773</f>
        <v>0</v>
      </c>
      <c r="D768">
        <f>Sinistrés!L773</f>
        <v>42</v>
      </c>
      <c r="E768">
        <f>Sinistrés!M773</f>
        <v>42</v>
      </c>
      <c r="F768">
        <f t="shared" si="22"/>
        <v>0</v>
      </c>
      <c r="G768">
        <f t="shared" si="23"/>
        <v>1</v>
      </c>
    </row>
    <row r="769" spans="1:7">
      <c r="A769" t="str">
        <f>Sinistrés!H774</f>
        <v>Colza d'hiver</v>
      </c>
      <c r="B769">
        <f>Sinistrés!J774</f>
        <v>20068.349999999999</v>
      </c>
      <c r="C769">
        <f>Sinistrés!X774</f>
        <v>1956.61</v>
      </c>
      <c r="D769">
        <f>Sinistrés!L774</f>
        <v>15</v>
      </c>
      <c r="E769">
        <f>Sinistrés!M774</f>
        <v>15</v>
      </c>
      <c r="F769">
        <f t="shared" si="22"/>
        <v>9.74973029671099E-2</v>
      </c>
      <c r="G769">
        <f t="shared" si="23"/>
        <v>1</v>
      </c>
    </row>
    <row r="770" spans="1:7" hidden="1">
      <c r="A770" t="str">
        <f>Sinistrés!H775</f>
        <v>Pois protéagineux</v>
      </c>
      <c r="B770">
        <f>Sinistrés!J775</f>
        <v>8773.68</v>
      </c>
      <c r="C770">
        <f>Sinistrés!X775</f>
        <v>0</v>
      </c>
      <c r="D770">
        <f>Sinistrés!L775</f>
        <v>12</v>
      </c>
      <c r="E770">
        <f>Sinistrés!M775</f>
        <v>12</v>
      </c>
      <c r="F770">
        <f t="shared" si="22"/>
        <v>0</v>
      </c>
      <c r="G770">
        <f t="shared" si="23"/>
        <v>1</v>
      </c>
    </row>
    <row r="771" spans="1:7">
      <c r="A771" t="str">
        <f>Sinistrés!H776</f>
        <v>Orge de printemps</v>
      </c>
      <c r="B771">
        <f>Sinistrés!J776</f>
        <v>21692</v>
      </c>
      <c r="C771">
        <f>Sinistrés!X776</f>
        <v>5825.93</v>
      </c>
      <c r="D771">
        <f>Sinistrés!L776</f>
        <v>22</v>
      </c>
      <c r="E771">
        <f>Sinistrés!M776</f>
        <v>22</v>
      </c>
      <c r="F771">
        <f t="shared" ref="F771:F834" si="24">C771/B771</f>
        <v>0.26857505070993914</v>
      </c>
      <c r="G771">
        <f t="shared" ref="G771:G834" si="25">E771/D771</f>
        <v>1</v>
      </c>
    </row>
    <row r="772" spans="1:7" hidden="1">
      <c r="A772" t="str">
        <f>Sinistrés!H777</f>
        <v>Tournesol</v>
      </c>
      <c r="B772">
        <f>Sinistrés!J777</f>
        <v>13101.62</v>
      </c>
      <c r="C772">
        <f>Sinistrés!X777</f>
        <v>0</v>
      </c>
      <c r="D772">
        <f>Sinistrés!L777</f>
        <v>14</v>
      </c>
      <c r="E772">
        <f>Sinistrés!M777</f>
        <v>14</v>
      </c>
      <c r="F772">
        <f t="shared" si="24"/>
        <v>0</v>
      </c>
      <c r="G772">
        <f t="shared" si="25"/>
        <v>1</v>
      </c>
    </row>
    <row r="773" spans="1:7" hidden="1">
      <c r="A773" t="str">
        <f>Sinistrés!H778</f>
        <v>Pois protéagineux</v>
      </c>
      <c r="B773">
        <f>Sinistrés!J778</f>
        <v>12247.2</v>
      </c>
      <c r="C773">
        <f>Sinistrés!X778</f>
        <v>0</v>
      </c>
      <c r="D773">
        <f>Sinistrés!L778</f>
        <v>17.010000000000002</v>
      </c>
      <c r="E773">
        <f>Sinistrés!M778</f>
        <v>2.34</v>
      </c>
      <c r="F773">
        <f t="shared" si="24"/>
        <v>0</v>
      </c>
      <c r="G773">
        <f t="shared" si="25"/>
        <v>0.13756613756613756</v>
      </c>
    </row>
    <row r="774" spans="1:7" hidden="1">
      <c r="A774" t="str">
        <f>Sinistrés!H779</f>
        <v>Blé tendre d'hiver</v>
      </c>
      <c r="B774">
        <f>Sinistrés!J779</f>
        <v>24762.39</v>
      </c>
      <c r="C774">
        <f>Sinistrés!X779</f>
        <v>0</v>
      </c>
      <c r="D774">
        <f>Sinistrés!L779</f>
        <v>21.97</v>
      </c>
      <c r="E774">
        <f>Sinistrés!M779</f>
        <v>20.69</v>
      </c>
      <c r="F774">
        <f t="shared" si="24"/>
        <v>0</v>
      </c>
      <c r="G774">
        <f t="shared" si="25"/>
        <v>0.94173873463814306</v>
      </c>
    </row>
    <row r="775" spans="1:7" hidden="1">
      <c r="A775" t="str">
        <f>Sinistrés!H780</f>
        <v>Blé dur d'hiver</v>
      </c>
      <c r="B775">
        <f>Sinistrés!J780</f>
        <v>11850.25</v>
      </c>
      <c r="C775">
        <f>Sinistrés!X780</f>
        <v>0</v>
      </c>
      <c r="D775">
        <f>Sinistrés!L780</f>
        <v>10.7</v>
      </c>
      <c r="E775">
        <f>Sinistrés!M780</f>
        <v>2.96</v>
      </c>
      <c r="F775">
        <f t="shared" si="24"/>
        <v>0</v>
      </c>
      <c r="G775">
        <f t="shared" si="25"/>
        <v>0.27663551401869163</v>
      </c>
    </row>
    <row r="776" spans="1:7" hidden="1">
      <c r="A776" t="str">
        <f>Sinistrés!H781</f>
        <v>Orge d'hiver</v>
      </c>
      <c r="B776">
        <f>Sinistrés!J781</f>
        <v>10751.55</v>
      </c>
      <c r="C776">
        <f>Sinistrés!X781</f>
        <v>0</v>
      </c>
      <c r="D776">
        <f>Sinistrés!L781</f>
        <v>11.45</v>
      </c>
      <c r="E776">
        <f>Sinistrés!M781</f>
        <v>8.64</v>
      </c>
      <c r="F776">
        <f t="shared" si="24"/>
        <v>0</v>
      </c>
      <c r="G776">
        <f t="shared" si="25"/>
        <v>0.75458515283842809</v>
      </c>
    </row>
    <row r="777" spans="1:7" hidden="1">
      <c r="A777" t="str">
        <f>Sinistrés!H782</f>
        <v>Triticale BIO</v>
      </c>
      <c r="B777">
        <f>Sinistrés!J782</f>
        <v>9411.9500000000007</v>
      </c>
      <c r="C777">
        <f>Sinistrés!X782</f>
        <v>0</v>
      </c>
      <c r="D777">
        <f>Sinistrés!L782</f>
        <v>21.97</v>
      </c>
      <c r="E777">
        <f>Sinistrés!M782</f>
        <v>4.62</v>
      </c>
      <c r="F777">
        <f t="shared" si="24"/>
        <v>0</v>
      </c>
      <c r="G777">
        <f t="shared" si="25"/>
        <v>0.21028675466545291</v>
      </c>
    </row>
    <row r="778" spans="1:7">
      <c r="A778" t="str">
        <f>Sinistrés!H783</f>
        <v>Blé tendre d'hiver</v>
      </c>
      <c r="B778">
        <f>Sinistrés!J783</f>
        <v>51986.17</v>
      </c>
      <c r="C778">
        <f>Sinistrés!X783</f>
        <v>483.45</v>
      </c>
      <c r="D778">
        <f>Sinistrés!L783</f>
        <v>48.85</v>
      </c>
      <c r="E778">
        <f>Sinistrés!M783</f>
        <v>48.85</v>
      </c>
      <c r="F778">
        <f t="shared" si="24"/>
        <v>9.2995887175377611E-3</v>
      </c>
      <c r="G778">
        <f t="shared" si="25"/>
        <v>1</v>
      </c>
    </row>
    <row r="779" spans="1:7">
      <c r="A779" t="str">
        <f>Sinistrés!H784</f>
        <v>Orge d'hiver</v>
      </c>
      <c r="B779">
        <f>Sinistrés!J784</f>
        <v>21908.58</v>
      </c>
      <c r="C779">
        <f>Sinistrés!X784</f>
        <v>1400.1</v>
      </c>
      <c r="D779">
        <f>Sinistrés!L784</f>
        <v>24.43</v>
      </c>
      <c r="E779">
        <f>Sinistrés!M784</f>
        <v>24.43</v>
      </c>
      <c r="F779">
        <f t="shared" si="24"/>
        <v>6.3906469520160589E-2</v>
      </c>
      <c r="G779">
        <f t="shared" si="25"/>
        <v>1</v>
      </c>
    </row>
    <row r="780" spans="1:7">
      <c r="A780" t="str">
        <f>Sinistrés!H785</f>
        <v>Colza d'hiver</v>
      </c>
      <c r="B780">
        <f>Sinistrés!J785</f>
        <v>18391.78</v>
      </c>
      <c r="C780">
        <f>Sinistrés!X785</f>
        <v>1561.35</v>
      </c>
      <c r="D780">
        <f>Sinistrés!L785</f>
        <v>14.75</v>
      </c>
      <c r="E780">
        <f>Sinistrés!M785</f>
        <v>14.75</v>
      </c>
      <c r="F780">
        <f t="shared" si="24"/>
        <v>8.4893903689583064E-2</v>
      </c>
      <c r="G780">
        <f t="shared" si="25"/>
        <v>1</v>
      </c>
    </row>
    <row r="781" spans="1:7">
      <c r="A781" t="str">
        <f>Sinistrés!H786</f>
        <v>Féveroles et fèves</v>
      </c>
      <c r="B781">
        <f>Sinistrés!J786</f>
        <v>3322.4</v>
      </c>
      <c r="C781">
        <f>Sinistrés!X786</f>
        <v>156.11000000000001</v>
      </c>
      <c r="D781">
        <f>Sinistrés!L786</f>
        <v>7.37</v>
      </c>
      <c r="E781">
        <f>Sinistrés!M786</f>
        <v>7.37</v>
      </c>
      <c r="F781">
        <f t="shared" si="24"/>
        <v>4.6987117746207563E-2</v>
      </c>
      <c r="G781">
        <f t="shared" si="25"/>
        <v>1</v>
      </c>
    </row>
    <row r="782" spans="1:7" hidden="1">
      <c r="A782" t="str">
        <f>Sinistrés!H787</f>
        <v>Pois protéagineux</v>
      </c>
      <c r="B782">
        <f>Sinistrés!J787</f>
        <v>4351.16</v>
      </c>
      <c r="C782">
        <f>Sinistrés!X787</f>
        <v>0</v>
      </c>
      <c r="D782">
        <f>Sinistrés!L787</f>
        <v>8.99</v>
      </c>
      <c r="E782">
        <f>Sinistrés!M787</f>
        <v>14.23</v>
      </c>
      <c r="F782">
        <f t="shared" si="24"/>
        <v>0</v>
      </c>
      <c r="G782">
        <f t="shared" si="25"/>
        <v>1.5828698553948832</v>
      </c>
    </row>
    <row r="783" spans="1:7">
      <c r="A783" t="str">
        <f>Sinistrés!H788</f>
        <v>Orge de printemps</v>
      </c>
      <c r="B783">
        <f>Sinistrés!J788</f>
        <v>7525.9</v>
      </c>
      <c r="C783">
        <f>Sinistrés!X788</f>
        <v>1042.5</v>
      </c>
      <c r="D783">
        <f>Sinistrés!L788</f>
        <v>9.5</v>
      </c>
      <c r="E783">
        <f>Sinistrés!M788</f>
        <v>9.5</v>
      </c>
      <c r="F783">
        <f t="shared" si="24"/>
        <v>0.13852163860800704</v>
      </c>
      <c r="G783">
        <f t="shared" si="25"/>
        <v>1</v>
      </c>
    </row>
    <row r="784" spans="1:7" hidden="1">
      <c r="A784" t="str">
        <f>Sinistrés!H789</f>
        <v>Colza d'hiver</v>
      </c>
      <c r="B784">
        <f>Sinistrés!J789</f>
        <v>10978.2</v>
      </c>
      <c r="C784">
        <f>Sinistrés!X789</f>
        <v>0</v>
      </c>
      <c r="D784">
        <f>Sinistrés!L789</f>
        <v>10.7</v>
      </c>
      <c r="E784">
        <f>Sinistrés!M789</f>
        <v>10.7</v>
      </c>
      <c r="F784">
        <f t="shared" si="24"/>
        <v>0</v>
      </c>
      <c r="G784">
        <f t="shared" si="25"/>
        <v>1</v>
      </c>
    </row>
    <row r="785" spans="1:7">
      <c r="A785" t="str">
        <f>Sinistrés!H790</f>
        <v>Blé tendre d'hiver</v>
      </c>
      <c r="B785">
        <f>Sinistrés!J790</f>
        <v>39156.1</v>
      </c>
      <c r="C785">
        <f>Sinistrés!X790</f>
        <v>2798.37</v>
      </c>
      <c r="D785">
        <f>Sinistrés!L790</f>
        <v>31</v>
      </c>
      <c r="E785">
        <f>Sinistrés!M790</f>
        <v>31</v>
      </c>
      <c r="F785">
        <f t="shared" si="24"/>
        <v>7.1467025572005377E-2</v>
      </c>
      <c r="G785">
        <f t="shared" si="25"/>
        <v>1</v>
      </c>
    </row>
    <row r="786" spans="1:7" hidden="1">
      <c r="A786" t="str">
        <f>Sinistrés!H791</f>
        <v>Orge d'hiver</v>
      </c>
      <c r="B786">
        <f>Sinistrés!J791</f>
        <v>4582.8</v>
      </c>
      <c r="C786">
        <f>Sinistrés!X791</f>
        <v>0</v>
      </c>
      <c r="D786">
        <f>Sinistrés!L791</f>
        <v>4.0199999999999996</v>
      </c>
      <c r="E786">
        <f>Sinistrés!M791</f>
        <v>4.0199999999999996</v>
      </c>
      <c r="F786">
        <f t="shared" si="24"/>
        <v>0</v>
      </c>
      <c r="G786">
        <f t="shared" si="25"/>
        <v>1</v>
      </c>
    </row>
    <row r="787" spans="1:7">
      <c r="A787" t="str">
        <f>Sinistrés!H792</f>
        <v>Pois protéagineux</v>
      </c>
      <c r="B787">
        <f>Sinistrés!J792</f>
        <v>8379.5</v>
      </c>
      <c r="C787">
        <f>Sinistrés!X792</f>
        <v>2123.15</v>
      </c>
      <c r="D787">
        <f>Sinistrés!L792</f>
        <v>12.24</v>
      </c>
      <c r="E787">
        <f>Sinistrés!M792</f>
        <v>12.24</v>
      </c>
      <c r="F787">
        <f t="shared" si="24"/>
        <v>0.25337430634286057</v>
      </c>
      <c r="G787">
        <f t="shared" si="25"/>
        <v>1</v>
      </c>
    </row>
    <row r="788" spans="1:7" hidden="1">
      <c r="A788" t="str">
        <f>Sinistrés!H793</f>
        <v>Blé tendre d'hiver</v>
      </c>
      <c r="B788">
        <f>Sinistrés!J793</f>
        <v>23268.83</v>
      </c>
      <c r="C788">
        <f>Sinistrés!X793</f>
        <v>0</v>
      </c>
      <c r="D788">
        <f>Sinistrés!L793</f>
        <v>20.41</v>
      </c>
      <c r="E788">
        <f>Sinistrés!M793</f>
        <v>20.41</v>
      </c>
      <c r="F788">
        <f t="shared" si="24"/>
        <v>0</v>
      </c>
      <c r="G788">
        <f t="shared" si="25"/>
        <v>1</v>
      </c>
    </row>
    <row r="789" spans="1:7" hidden="1">
      <c r="A789" t="str">
        <f>Sinistrés!H794</f>
        <v>Triticale</v>
      </c>
      <c r="B789">
        <f>Sinistrés!J794</f>
        <v>7527.68</v>
      </c>
      <c r="C789">
        <f>Sinistrés!X794</f>
        <v>0</v>
      </c>
      <c r="D789">
        <f>Sinistrés!L794</f>
        <v>10.69</v>
      </c>
      <c r="E789">
        <f>Sinistrés!M794</f>
        <v>10.69</v>
      </c>
      <c r="F789">
        <f t="shared" si="24"/>
        <v>0</v>
      </c>
      <c r="G789">
        <f t="shared" si="25"/>
        <v>1</v>
      </c>
    </row>
    <row r="790" spans="1:7" hidden="1">
      <c r="A790" t="str">
        <f>Sinistrés!H795</f>
        <v>Orge d'hiver</v>
      </c>
      <c r="B790">
        <f>Sinistrés!J795</f>
        <v>1280.08</v>
      </c>
      <c r="C790">
        <f>Sinistrés!X795</f>
        <v>0</v>
      </c>
      <c r="D790">
        <f>Sinistrés!L795</f>
        <v>17.12</v>
      </c>
      <c r="E790">
        <f>Sinistrés!M795</f>
        <v>17.12</v>
      </c>
      <c r="F790">
        <f t="shared" si="24"/>
        <v>0</v>
      </c>
      <c r="G790">
        <f t="shared" si="25"/>
        <v>1</v>
      </c>
    </row>
    <row r="791" spans="1:7" hidden="1">
      <c r="A791" t="str">
        <f>Sinistrés!H796</f>
        <v>Tournesol</v>
      </c>
      <c r="B791">
        <f>Sinistrés!J796</f>
        <v>11165.36</v>
      </c>
      <c r="C791">
        <f>Sinistrés!X796</f>
        <v>0</v>
      </c>
      <c r="D791">
        <f>Sinistrés!L796</f>
        <v>8</v>
      </c>
      <c r="E791">
        <f>Sinistrés!M796</f>
        <v>8</v>
      </c>
      <c r="F791">
        <f t="shared" si="24"/>
        <v>0</v>
      </c>
      <c r="G791">
        <f t="shared" si="25"/>
        <v>1</v>
      </c>
    </row>
    <row r="792" spans="1:7" hidden="1">
      <c r="A792" t="str">
        <f>Sinistrés!H797</f>
        <v>Pois protéagineux</v>
      </c>
      <c r="B792">
        <f>Sinistrés!J797</f>
        <v>20830.18</v>
      </c>
      <c r="C792">
        <f>Sinistrés!X797</f>
        <v>0</v>
      </c>
      <c r="D792">
        <f>Sinistrés!L797</f>
        <v>18.41</v>
      </c>
      <c r="E792">
        <f>Sinistrés!M797</f>
        <v>18.41</v>
      </c>
      <c r="F792">
        <f t="shared" si="24"/>
        <v>0</v>
      </c>
      <c r="G792">
        <f t="shared" si="25"/>
        <v>1</v>
      </c>
    </row>
    <row r="793" spans="1:7" hidden="1">
      <c r="A793" t="str">
        <f>Sinistrés!H798</f>
        <v>Blé tendre d'hiver</v>
      </c>
      <c r="B793">
        <f>Sinistrés!J798</f>
        <v>27058.560000000001</v>
      </c>
      <c r="C793">
        <f>Sinistrés!X798</f>
        <v>0</v>
      </c>
      <c r="D793">
        <f>Sinistrés!L798</f>
        <v>24.87</v>
      </c>
      <c r="E793">
        <f>Sinistrés!M798</f>
        <v>25.13</v>
      </c>
      <c r="F793">
        <f t="shared" si="24"/>
        <v>0</v>
      </c>
      <c r="G793">
        <f t="shared" si="25"/>
        <v>1.010454362685967</v>
      </c>
    </row>
    <row r="794" spans="1:7" hidden="1">
      <c r="A794" t="str">
        <f>Sinistrés!H799</f>
        <v>Colza d'hiver</v>
      </c>
      <c r="B794">
        <f>Sinistrés!J799</f>
        <v>6942.94</v>
      </c>
      <c r="C794">
        <f>Sinistrés!X799</f>
        <v>0</v>
      </c>
      <c r="D794">
        <f>Sinistrés!L799</f>
        <v>6.03</v>
      </c>
      <c r="E794">
        <f>Sinistrés!M799</f>
        <v>6.03</v>
      </c>
      <c r="F794">
        <f t="shared" si="24"/>
        <v>0</v>
      </c>
      <c r="G794">
        <f t="shared" si="25"/>
        <v>1</v>
      </c>
    </row>
    <row r="795" spans="1:7" hidden="1">
      <c r="A795" t="str">
        <f>Sinistrés!H800</f>
        <v>Tournesol</v>
      </c>
      <c r="B795">
        <f>Sinistrés!J800</f>
        <v>12511.54</v>
      </c>
      <c r="C795">
        <f>Sinistrés!X800</f>
        <v>0</v>
      </c>
      <c r="D795">
        <f>Sinistrés!L800</f>
        <v>11.5</v>
      </c>
      <c r="E795">
        <f>Sinistrés!M800</f>
        <v>11.5</v>
      </c>
      <c r="F795">
        <f t="shared" si="24"/>
        <v>0</v>
      </c>
      <c r="G795">
        <f t="shared" si="25"/>
        <v>1</v>
      </c>
    </row>
    <row r="796" spans="1:7" hidden="1">
      <c r="A796" t="str">
        <f>Sinistrés!H801</f>
        <v>Blé tendre d'hiver</v>
      </c>
      <c r="B796">
        <f>Sinistrés!J801</f>
        <v>39391.129999999997</v>
      </c>
      <c r="C796">
        <f>Sinistrés!X801</f>
        <v>0</v>
      </c>
      <c r="D796">
        <f>Sinistrés!L801</f>
        <v>61.79</v>
      </c>
      <c r="E796">
        <f>Sinistrés!M801</f>
        <v>61.7</v>
      </c>
      <c r="F796">
        <f t="shared" si="24"/>
        <v>0</v>
      </c>
      <c r="G796">
        <f t="shared" si="25"/>
        <v>0.99854345363327401</v>
      </c>
    </row>
    <row r="797" spans="1:7" hidden="1">
      <c r="A797" t="str">
        <f>Sinistrés!H802</f>
        <v>Avoine d'hiver</v>
      </c>
      <c r="B797">
        <f>Sinistrés!J802</f>
        <v>12756.89</v>
      </c>
      <c r="C797">
        <f>Sinistrés!X802</f>
        <v>0</v>
      </c>
      <c r="D797">
        <f>Sinistrés!L802</f>
        <v>19.09</v>
      </c>
      <c r="E797">
        <f>Sinistrés!M802</f>
        <v>19.09</v>
      </c>
      <c r="F797">
        <f t="shared" si="24"/>
        <v>0</v>
      </c>
      <c r="G797">
        <f t="shared" si="25"/>
        <v>1</v>
      </c>
    </row>
    <row r="798" spans="1:7" hidden="1">
      <c r="A798" t="str">
        <f>Sinistrés!H803</f>
        <v>Triticale</v>
      </c>
      <c r="B798">
        <f>Sinistrés!J803</f>
        <v>12291.48</v>
      </c>
      <c r="C798">
        <f>Sinistrés!X803</f>
        <v>0</v>
      </c>
      <c r="D798">
        <f>Sinistrés!L803</f>
        <v>21.53</v>
      </c>
      <c r="E798">
        <f>Sinistrés!M803</f>
        <v>21.53</v>
      </c>
      <c r="F798">
        <f t="shared" si="24"/>
        <v>0</v>
      </c>
      <c r="G798">
        <f t="shared" si="25"/>
        <v>1</v>
      </c>
    </row>
    <row r="799" spans="1:7" hidden="1">
      <c r="A799" t="str">
        <f>Sinistrés!H804</f>
        <v>Maïs grain non irrigué</v>
      </c>
      <c r="B799">
        <f>Sinistrés!J804</f>
        <v>8359.16</v>
      </c>
      <c r="C799">
        <f>Sinistrés!X804</f>
        <v>0</v>
      </c>
      <c r="D799">
        <f>Sinistrés!L804</f>
        <v>12.12</v>
      </c>
      <c r="E799">
        <f>Sinistrés!M804</f>
        <v>12.12</v>
      </c>
      <c r="F799">
        <f t="shared" si="24"/>
        <v>0</v>
      </c>
      <c r="G799">
        <f t="shared" si="25"/>
        <v>1</v>
      </c>
    </row>
    <row r="800" spans="1:7" hidden="1">
      <c r="A800" t="str">
        <f>Sinistrés!H805</f>
        <v>Tournesol</v>
      </c>
      <c r="B800">
        <f>Sinistrés!J805</f>
        <v>30208.799999999999</v>
      </c>
      <c r="C800">
        <f>Sinistrés!X805</f>
        <v>0</v>
      </c>
      <c r="D800">
        <f>Sinistrés!L805</f>
        <v>61.4</v>
      </c>
      <c r="E800">
        <f>Sinistrés!M805</f>
        <v>61.4</v>
      </c>
      <c r="F800">
        <f t="shared" si="24"/>
        <v>0</v>
      </c>
      <c r="G800">
        <f t="shared" si="25"/>
        <v>1</v>
      </c>
    </row>
    <row r="801" spans="1:7" hidden="1">
      <c r="A801" t="str">
        <f>Sinistrés!H806</f>
        <v>Maïs ensilage non irrigué</v>
      </c>
      <c r="B801">
        <f>Sinistrés!J806</f>
        <v>10582</v>
      </c>
      <c r="C801">
        <f>Sinistrés!X806</f>
        <v>0</v>
      </c>
      <c r="D801">
        <f>Sinistrés!L806</f>
        <v>11</v>
      </c>
      <c r="E801">
        <f>Sinistrés!M806</f>
        <v>11</v>
      </c>
      <c r="F801">
        <f t="shared" si="24"/>
        <v>0</v>
      </c>
      <c r="G801">
        <f t="shared" si="25"/>
        <v>1</v>
      </c>
    </row>
    <row r="802" spans="1:7">
      <c r="A802" t="str">
        <f>Sinistrés!H807</f>
        <v>Orge d'hiver</v>
      </c>
      <c r="B802">
        <f>Sinistrés!J807</f>
        <v>56324.27</v>
      </c>
      <c r="C802">
        <f>Sinistrés!X807</f>
        <v>4291.37</v>
      </c>
      <c r="D802">
        <f>Sinistrés!L807</f>
        <v>67.73</v>
      </c>
      <c r="E802">
        <f>Sinistrés!M807</f>
        <v>67.73</v>
      </c>
      <c r="F802">
        <f t="shared" si="24"/>
        <v>7.6190423772913532E-2</v>
      </c>
      <c r="G802">
        <f t="shared" si="25"/>
        <v>1</v>
      </c>
    </row>
    <row r="803" spans="1:7" hidden="1">
      <c r="A803" t="str">
        <f>Sinistrés!H808</f>
        <v>Blé tendre d'hiver</v>
      </c>
      <c r="B803">
        <f>Sinistrés!J808</f>
        <v>34617.300000000003</v>
      </c>
      <c r="C803">
        <f>Sinistrés!X808</f>
        <v>0</v>
      </c>
      <c r="D803">
        <f>Sinistrés!L808</f>
        <v>30</v>
      </c>
      <c r="E803">
        <f>Sinistrés!M808</f>
        <v>30</v>
      </c>
      <c r="F803">
        <f t="shared" si="24"/>
        <v>0</v>
      </c>
      <c r="G803">
        <f t="shared" si="25"/>
        <v>1</v>
      </c>
    </row>
    <row r="804" spans="1:7" hidden="1">
      <c r="A804" t="str">
        <f>Sinistrés!H809</f>
        <v>Vigne à raisin de cuve (VCU1)</v>
      </c>
      <c r="B804">
        <f>Sinistrés!J809</f>
        <v>241948.48</v>
      </c>
      <c r="C804">
        <f>Sinistrés!X809</f>
        <v>0</v>
      </c>
      <c r="D804">
        <f>Sinistrés!L809</f>
        <v>21.19</v>
      </c>
      <c r="E804">
        <f>Sinistrés!M809</f>
        <v>21.19</v>
      </c>
      <c r="F804">
        <f t="shared" si="24"/>
        <v>0</v>
      </c>
      <c r="G804">
        <f t="shared" si="25"/>
        <v>1</v>
      </c>
    </row>
    <row r="805" spans="1:7" hidden="1">
      <c r="A805" t="str">
        <f>Sinistrés!H810</f>
        <v>Blé tendre d'hiver BIO</v>
      </c>
      <c r="B805">
        <f>Sinistrés!J810</f>
        <v>66800.63</v>
      </c>
      <c r="C805">
        <f>Sinistrés!X810</f>
        <v>0</v>
      </c>
      <c r="D805">
        <f>Sinistrés!L810</f>
        <v>37.700000000000003</v>
      </c>
      <c r="E805">
        <f>Sinistrés!M810</f>
        <v>37.700000000000003</v>
      </c>
      <c r="F805">
        <f t="shared" si="24"/>
        <v>0</v>
      </c>
      <c r="G805">
        <f t="shared" si="25"/>
        <v>1</v>
      </c>
    </row>
    <row r="806" spans="1:7" hidden="1">
      <c r="A806" t="str">
        <f>Sinistrés!H811</f>
        <v>Orge de printemps</v>
      </c>
      <c r="B806">
        <f>Sinistrés!J811</f>
        <v>48505.08</v>
      </c>
      <c r="C806">
        <f>Sinistrés!X811</f>
        <v>0</v>
      </c>
      <c r="D806">
        <f>Sinistrés!L811</f>
        <v>46.02</v>
      </c>
      <c r="E806">
        <f>Sinistrés!M811</f>
        <v>46.02</v>
      </c>
      <c r="F806">
        <f t="shared" si="24"/>
        <v>0</v>
      </c>
      <c r="G806">
        <f t="shared" si="25"/>
        <v>1</v>
      </c>
    </row>
    <row r="807" spans="1:7" hidden="1">
      <c r="A807" t="str">
        <f>Sinistrés!H812</f>
        <v>Soja</v>
      </c>
      <c r="B807">
        <f>Sinistrés!J812</f>
        <v>32000.400000000001</v>
      </c>
      <c r="C807">
        <f>Sinistrés!X812</f>
        <v>0</v>
      </c>
      <c r="D807">
        <f>Sinistrés!L812</f>
        <v>29.63</v>
      </c>
      <c r="E807">
        <f>Sinistrés!M812</f>
        <v>13</v>
      </c>
      <c r="F807">
        <f t="shared" si="24"/>
        <v>0</v>
      </c>
      <c r="G807">
        <f t="shared" si="25"/>
        <v>0.43874451569355383</v>
      </c>
    </row>
    <row r="808" spans="1:7">
      <c r="A808" t="str">
        <f>Sinistrés!H813</f>
        <v>Pois protéagineux</v>
      </c>
      <c r="B808">
        <f>Sinistrés!J813</f>
        <v>12185.12</v>
      </c>
      <c r="C808">
        <f>Sinistrés!X813</f>
        <v>5440.37</v>
      </c>
      <c r="D808">
        <f>Sinistrés!L813</f>
        <v>17.38</v>
      </c>
      <c r="E808">
        <f>Sinistrés!M813</f>
        <v>17.38</v>
      </c>
      <c r="F808">
        <f t="shared" si="24"/>
        <v>0.44647652218443473</v>
      </c>
      <c r="G808">
        <f t="shared" si="25"/>
        <v>1</v>
      </c>
    </row>
    <row r="809" spans="1:7" hidden="1">
      <c r="A809" t="str">
        <f>Sinistrés!H814</f>
        <v>Maïs grain non irrigué</v>
      </c>
      <c r="B809">
        <f>Sinistrés!J814</f>
        <v>15731.72</v>
      </c>
      <c r="C809">
        <f>Sinistrés!X814</f>
        <v>0</v>
      </c>
      <c r="D809">
        <f>Sinistrés!L814</f>
        <v>14.45</v>
      </c>
      <c r="E809">
        <f>Sinistrés!M814</f>
        <v>14.45</v>
      </c>
      <c r="F809">
        <f t="shared" si="24"/>
        <v>0</v>
      </c>
      <c r="G809">
        <f t="shared" si="25"/>
        <v>1</v>
      </c>
    </row>
    <row r="810" spans="1:7" hidden="1">
      <c r="A810" t="str">
        <f>Sinistrés!H815</f>
        <v>Tournesol</v>
      </c>
      <c r="B810">
        <f>Sinistrés!J815</f>
        <v>18925.43</v>
      </c>
      <c r="C810">
        <f>Sinistrés!X815</f>
        <v>0</v>
      </c>
      <c r="D810">
        <f>Sinistrés!L815</f>
        <v>18.05</v>
      </c>
      <c r="E810">
        <f>Sinistrés!M815</f>
        <v>18.05</v>
      </c>
      <c r="F810">
        <f t="shared" si="24"/>
        <v>0</v>
      </c>
      <c r="G810">
        <f t="shared" si="25"/>
        <v>1</v>
      </c>
    </row>
    <row r="811" spans="1:7">
      <c r="A811" t="str">
        <f>Sinistrés!H816</f>
        <v>Tournesol</v>
      </c>
      <c r="B811">
        <f>Sinistrés!J816</f>
        <v>18210.400000000001</v>
      </c>
      <c r="C811">
        <f>Sinistrés!X816</f>
        <v>331.8</v>
      </c>
      <c r="D811">
        <f>Sinistrés!L816</f>
        <v>26</v>
      </c>
      <c r="E811">
        <f>Sinistrés!M816</f>
        <v>3</v>
      </c>
      <c r="F811">
        <f t="shared" si="24"/>
        <v>1.822035759785617E-2</v>
      </c>
      <c r="G811">
        <f t="shared" si="25"/>
        <v>0.11538461538461539</v>
      </c>
    </row>
    <row r="812" spans="1:7" hidden="1">
      <c r="A812" t="str">
        <f>Sinistrés!H817</f>
        <v>Blé tendre d'hiver</v>
      </c>
      <c r="B812">
        <f>Sinistrés!J817</f>
        <v>64974</v>
      </c>
      <c r="C812">
        <f>Sinistrés!X817</f>
        <v>0</v>
      </c>
      <c r="D812">
        <f>Sinistrés!L817</f>
        <v>49</v>
      </c>
      <c r="E812">
        <f>Sinistrés!M817</f>
        <v>49</v>
      </c>
      <c r="F812">
        <f t="shared" si="24"/>
        <v>0</v>
      </c>
      <c r="G812">
        <f t="shared" si="25"/>
        <v>1</v>
      </c>
    </row>
    <row r="813" spans="1:7" hidden="1">
      <c r="A813" t="str">
        <f>Sinistrés!H818</f>
        <v>Blé tendre d'hiver semences</v>
      </c>
      <c r="B813">
        <f>Sinistrés!J818</f>
        <v>36634.32</v>
      </c>
      <c r="C813">
        <f>Sinistrés!X818</f>
        <v>465.6</v>
      </c>
      <c r="D813">
        <f>Sinistrés!L818</f>
        <v>27.88</v>
      </c>
      <c r="E813">
        <f>Sinistrés!M818</f>
        <v>27.88</v>
      </c>
      <c r="F813">
        <f t="shared" si="24"/>
        <v>1.2709393814324928E-2</v>
      </c>
      <c r="G813">
        <f t="shared" si="25"/>
        <v>1</v>
      </c>
    </row>
    <row r="814" spans="1:7" hidden="1">
      <c r="A814" t="str">
        <f>Sinistrés!H819</f>
        <v>Colza d'hiver</v>
      </c>
      <c r="B814">
        <f>Sinistrés!J819</f>
        <v>29390.9</v>
      </c>
      <c r="C814">
        <f>Sinistrés!X819</f>
        <v>0</v>
      </c>
      <c r="D814">
        <f>Sinistrés!L819</f>
        <v>16.940000000000001</v>
      </c>
      <c r="E814">
        <f>Sinistrés!M819</f>
        <v>16.940000000000001</v>
      </c>
      <c r="F814">
        <f t="shared" si="24"/>
        <v>0</v>
      </c>
      <c r="G814">
        <f t="shared" si="25"/>
        <v>1</v>
      </c>
    </row>
    <row r="815" spans="1:7" hidden="1">
      <c r="A815" t="str">
        <f>Sinistrés!H820</f>
        <v>Maïs grain irrigué</v>
      </c>
      <c r="B815">
        <f>Sinistrés!J820</f>
        <v>27739.96</v>
      </c>
      <c r="C815">
        <f>Sinistrés!X820</f>
        <v>0</v>
      </c>
      <c r="D815">
        <f>Sinistrés!L820</f>
        <v>14.23</v>
      </c>
      <c r="E815">
        <f>Sinistrés!M820</f>
        <v>14.23</v>
      </c>
      <c r="F815">
        <f t="shared" si="24"/>
        <v>0</v>
      </c>
      <c r="G815">
        <f t="shared" si="25"/>
        <v>1</v>
      </c>
    </row>
    <row r="816" spans="1:7" hidden="1">
      <c r="A816" t="str">
        <f>Sinistrés!H821</f>
        <v>Maïs grain non irrigué</v>
      </c>
      <c r="B816">
        <f>Sinistrés!J821</f>
        <v>11560.37</v>
      </c>
      <c r="C816">
        <f>Sinistrés!X821</f>
        <v>0</v>
      </c>
      <c r="D816">
        <f>Sinistrés!L821</f>
        <v>7.71</v>
      </c>
      <c r="E816">
        <f>Sinistrés!M821</f>
        <v>7.71</v>
      </c>
      <c r="F816">
        <f t="shared" si="24"/>
        <v>0</v>
      </c>
      <c r="G816">
        <f t="shared" si="25"/>
        <v>1</v>
      </c>
    </row>
    <row r="817" spans="1:7" hidden="1">
      <c r="A817" t="str">
        <f>Sinistrés!H822</f>
        <v>Maïs pop corn irrigué</v>
      </c>
      <c r="B817">
        <f>Sinistrés!J822</f>
        <v>35776.400000000001</v>
      </c>
      <c r="C817">
        <f>Sinistrés!X822</f>
        <v>0</v>
      </c>
      <c r="D817">
        <f>Sinistrés!L822</f>
        <v>20</v>
      </c>
      <c r="E817">
        <f>Sinistrés!M822</f>
        <v>20</v>
      </c>
      <c r="F817">
        <f t="shared" si="24"/>
        <v>0</v>
      </c>
      <c r="G817">
        <f t="shared" si="25"/>
        <v>1</v>
      </c>
    </row>
    <row r="818" spans="1:7">
      <c r="A818" t="str">
        <f>Sinistrés!H823</f>
        <v>Tournesol</v>
      </c>
      <c r="B818">
        <f>Sinistrés!J823</f>
        <v>22312.400000000001</v>
      </c>
      <c r="C818">
        <f>Sinistrés!X823</f>
        <v>172.41</v>
      </c>
      <c r="D818">
        <f>Sinistrés!L823</f>
        <v>22</v>
      </c>
      <c r="E818">
        <f>Sinistrés!M823</f>
        <v>22</v>
      </c>
      <c r="F818">
        <f t="shared" si="24"/>
        <v>7.7270934547605807E-3</v>
      </c>
      <c r="G818">
        <f t="shared" si="25"/>
        <v>1</v>
      </c>
    </row>
    <row r="819" spans="1:7">
      <c r="A819" t="str">
        <f>Sinistrés!H824</f>
        <v>Pois protéagineux</v>
      </c>
      <c r="B819">
        <f>Sinistrés!J824</f>
        <v>8581.86</v>
      </c>
      <c r="C819">
        <f>Sinistrés!X824</f>
        <v>262.36</v>
      </c>
      <c r="D819">
        <f>Sinistrés!L824</f>
        <v>8.82</v>
      </c>
      <c r="E819">
        <f>Sinistrés!M824</f>
        <v>8.82</v>
      </c>
      <c r="F819">
        <f t="shared" si="24"/>
        <v>3.0571461198388227E-2</v>
      </c>
      <c r="G819">
        <f t="shared" si="25"/>
        <v>1</v>
      </c>
    </row>
    <row r="820" spans="1:7">
      <c r="A820" t="str">
        <f>Sinistrés!H825</f>
        <v>Pois secs / Pois Chiches</v>
      </c>
      <c r="B820">
        <f>Sinistrés!J825</f>
        <v>17388.8</v>
      </c>
      <c r="C820">
        <f>Sinistrés!X825</f>
        <v>813.12</v>
      </c>
      <c r="D820">
        <f>Sinistrés!L825</f>
        <v>12.8</v>
      </c>
      <c r="E820">
        <f>Sinistrés!M825</f>
        <v>12.8</v>
      </c>
      <c r="F820">
        <f t="shared" si="24"/>
        <v>4.6761133603238872E-2</v>
      </c>
      <c r="G820">
        <f t="shared" si="25"/>
        <v>1</v>
      </c>
    </row>
    <row r="821" spans="1:7" hidden="1">
      <c r="A821" t="str">
        <f>Sinistrés!H826</f>
        <v>Blé tendre d'hiver</v>
      </c>
      <c r="B821">
        <f>Sinistrés!J826</f>
        <v>12504.18</v>
      </c>
      <c r="C821">
        <f>Sinistrés!X826</f>
        <v>0</v>
      </c>
      <c r="D821">
        <f>Sinistrés!L826</f>
        <v>9.43</v>
      </c>
      <c r="E821">
        <f>Sinistrés!M826</f>
        <v>9.43</v>
      </c>
      <c r="F821">
        <f t="shared" si="24"/>
        <v>0</v>
      </c>
      <c r="G821">
        <f t="shared" si="25"/>
        <v>1</v>
      </c>
    </row>
    <row r="822" spans="1:7" hidden="1">
      <c r="A822" t="str">
        <f>Sinistrés!H827</f>
        <v>Blé dur d'hiver SEMENCES</v>
      </c>
      <c r="B822">
        <f>Sinistrés!J827</f>
        <v>22913.94</v>
      </c>
      <c r="C822">
        <f>Sinistrés!X827</f>
        <v>582.96</v>
      </c>
      <c r="D822">
        <f>Sinistrés!L827</f>
        <v>12.26</v>
      </c>
      <c r="E822">
        <f>Sinistrés!M827</f>
        <v>12.26</v>
      </c>
      <c r="F822">
        <f t="shared" si="24"/>
        <v>2.5441281595395646E-2</v>
      </c>
      <c r="G822">
        <f t="shared" si="25"/>
        <v>1</v>
      </c>
    </row>
    <row r="823" spans="1:7" hidden="1">
      <c r="A823" t="str">
        <f>Sinistrés!H828</f>
        <v xml:space="preserve">Maïs waxy irrigué </v>
      </c>
      <c r="B823">
        <f>Sinistrés!J828</f>
        <v>59527.44</v>
      </c>
      <c r="C823">
        <f>Sinistrés!X828</f>
        <v>0</v>
      </c>
      <c r="D823">
        <f>Sinistrés!L828</f>
        <v>26.67</v>
      </c>
      <c r="E823">
        <f>Sinistrés!M828</f>
        <v>26.67</v>
      </c>
      <c r="F823">
        <f t="shared" si="24"/>
        <v>0</v>
      </c>
      <c r="G823">
        <f t="shared" si="25"/>
        <v>1</v>
      </c>
    </row>
    <row r="824" spans="1:7">
      <c r="A824" t="str">
        <f>Sinistrés!H829</f>
        <v>Pois protéagineux</v>
      </c>
      <c r="B824">
        <f>Sinistrés!J829</f>
        <v>4550.3</v>
      </c>
      <c r="C824">
        <f>Sinistrés!X829</f>
        <v>220.62</v>
      </c>
      <c r="D824">
        <f>Sinistrés!L829</f>
        <v>4.96</v>
      </c>
      <c r="E824">
        <f>Sinistrés!M829</f>
        <v>4.96</v>
      </c>
      <c r="F824">
        <f t="shared" si="24"/>
        <v>4.8484715293497134E-2</v>
      </c>
      <c r="G824">
        <f t="shared" si="25"/>
        <v>1</v>
      </c>
    </row>
    <row r="825" spans="1:7" hidden="1">
      <c r="A825" t="str">
        <f>Sinistrés!H830</f>
        <v>Tournesol</v>
      </c>
      <c r="B825">
        <f>Sinistrés!J830</f>
        <v>11202.3</v>
      </c>
      <c r="C825">
        <f>Sinistrés!X830</f>
        <v>0</v>
      </c>
      <c r="D825">
        <f>Sinistrés!L830</f>
        <v>10</v>
      </c>
      <c r="E825">
        <f>Sinistrés!M830</f>
        <v>10</v>
      </c>
      <c r="F825">
        <f t="shared" si="24"/>
        <v>0</v>
      </c>
      <c r="G825">
        <f t="shared" si="25"/>
        <v>1</v>
      </c>
    </row>
    <row r="826" spans="1:7">
      <c r="A826" t="str">
        <f>Sinistrés!H831</f>
        <v>Orge d'hiver</v>
      </c>
      <c r="B826">
        <f>Sinistrés!J831</f>
        <v>11776.17</v>
      </c>
      <c r="C826">
        <f>Sinistrés!X831</f>
        <v>637.07000000000005</v>
      </c>
      <c r="D826">
        <f>Sinistrés!L831</f>
        <v>11.56</v>
      </c>
      <c r="E826">
        <f>Sinistrés!M831</f>
        <v>11.56</v>
      </c>
      <c r="F826">
        <f t="shared" si="24"/>
        <v>5.4098233975902188E-2</v>
      </c>
      <c r="G826">
        <f t="shared" si="25"/>
        <v>1</v>
      </c>
    </row>
    <row r="827" spans="1:7" hidden="1">
      <c r="A827" t="str">
        <f>Sinistrés!H832</f>
        <v>Blé tendre d'hiver</v>
      </c>
      <c r="B827">
        <f>Sinistrés!J832</f>
        <v>29880.560000000001</v>
      </c>
      <c r="C827">
        <f>Sinistrés!X832</f>
        <v>0</v>
      </c>
      <c r="D827">
        <f>Sinistrés!L832</f>
        <v>25.4</v>
      </c>
      <c r="E827">
        <f>Sinistrés!M832</f>
        <v>25.4</v>
      </c>
      <c r="F827">
        <f t="shared" si="24"/>
        <v>0</v>
      </c>
      <c r="G827">
        <f t="shared" si="25"/>
        <v>1</v>
      </c>
    </row>
    <row r="828" spans="1:7" hidden="1">
      <c r="A828" t="str">
        <f>Sinistrés!H833</f>
        <v>Colza d'hiver</v>
      </c>
      <c r="B828">
        <f>Sinistrés!J833</f>
        <v>25939.58</v>
      </c>
      <c r="C828">
        <f>Sinistrés!X833</f>
        <v>0</v>
      </c>
      <c r="D828">
        <f>Sinistrés!L833</f>
        <v>22.3</v>
      </c>
      <c r="E828">
        <f>Sinistrés!M833</f>
        <v>22.3</v>
      </c>
      <c r="F828">
        <f t="shared" si="24"/>
        <v>0</v>
      </c>
      <c r="G828">
        <f t="shared" si="25"/>
        <v>1</v>
      </c>
    </row>
    <row r="829" spans="1:7" hidden="1">
      <c r="A829" t="str">
        <f>Sinistrés!H834</f>
        <v>Blé dur d'hiver</v>
      </c>
      <c r="B829">
        <f>Sinistrés!J834</f>
        <v>36185.82</v>
      </c>
      <c r="C829">
        <f>Sinistrés!X834</f>
        <v>0</v>
      </c>
      <c r="D829">
        <f>Sinistrés!L834</f>
        <v>22</v>
      </c>
      <c r="E829">
        <f>Sinistrés!M834</f>
        <v>22</v>
      </c>
      <c r="F829">
        <f t="shared" si="24"/>
        <v>0</v>
      </c>
      <c r="G829">
        <f t="shared" si="25"/>
        <v>1</v>
      </c>
    </row>
    <row r="830" spans="1:7" hidden="1">
      <c r="A830" t="str">
        <f>Sinistrés!H835</f>
        <v>Blé tendre d'hiver</v>
      </c>
      <c r="B830">
        <f>Sinistrés!J835</f>
        <v>28147.84</v>
      </c>
      <c r="C830">
        <f>Sinistrés!X835</f>
        <v>0</v>
      </c>
      <c r="D830">
        <f>Sinistrés!L835</f>
        <v>20.6</v>
      </c>
      <c r="E830">
        <f>Sinistrés!M835</f>
        <v>20.6</v>
      </c>
      <c r="F830">
        <f t="shared" si="24"/>
        <v>0</v>
      </c>
      <c r="G830">
        <f t="shared" si="25"/>
        <v>1</v>
      </c>
    </row>
    <row r="831" spans="1:7" hidden="1">
      <c r="A831" t="str">
        <f>Sinistrés!H836</f>
        <v>Colza d'hiver</v>
      </c>
      <c r="B831">
        <f>Sinistrés!J836</f>
        <v>34056</v>
      </c>
      <c r="C831">
        <f>Sinistrés!X836</f>
        <v>0</v>
      </c>
      <c r="D831">
        <f>Sinistrés!L836</f>
        <v>30</v>
      </c>
      <c r="E831">
        <f>Sinistrés!M836</f>
        <v>30</v>
      </c>
      <c r="F831">
        <f t="shared" si="24"/>
        <v>0</v>
      </c>
      <c r="G831">
        <f t="shared" si="25"/>
        <v>1</v>
      </c>
    </row>
    <row r="832" spans="1:7" hidden="1">
      <c r="A832" t="str">
        <f>Sinistrés!H837</f>
        <v>Orge de printemps</v>
      </c>
      <c r="B832">
        <f>Sinistrés!J837</f>
        <v>50195.199999999997</v>
      </c>
      <c r="C832">
        <f>Sinistrés!X837</f>
        <v>0</v>
      </c>
      <c r="D832">
        <f>Sinistrés!L837</f>
        <v>32</v>
      </c>
      <c r="E832">
        <f>Sinistrés!M837</f>
        <v>32</v>
      </c>
      <c r="F832">
        <f t="shared" si="24"/>
        <v>0</v>
      </c>
      <c r="G832">
        <f t="shared" si="25"/>
        <v>1</v>
      </c>
    </row>
    <row r="833" spans="1:7" hidden="1">
      <c r="A833" t="str">
        <f>Sinistrés!H838</f>
        <v>Orge d'hiver</v>
      </c>
      <c r="B833">
        <f>Sinistrés!J838</f>
        <v>22542</v>
      </c>
      <c r="C833">
        <f>Sinistrés!X838</f>
        <v>0</v>
      </c>
      <c r="D833">
        <f>Sinistrés!L838</f>
        <v>17</v>
      </c>
      <c r="E833">
        <f>Sinistrés!M838</f>
        <v>17</v>
      </c>
      <c r="F833">
        <f t="shared" si="24"/>
        <v>0</v>
      </c>
      <c r="G833">
        <f t="shared" si="25"/>
        <v>1</v>
      </c>
    </row>
    <row r="834" spans="1:7">
      <c r="A834" t="str">
        <f>Sinistrés!H839</f>
        <v>Blé tendre d'hiver</v>
      </c>
      <c r="B834">
        <f>Sinistrés!J839</f>
        <v>45815</v>
      </c>
      <c r="C834">
        <f>Sinistrés!X839</f>
        <v>905.25</v>
      </c>
      <c r="D834">
        <f>Sinistrés!L839</f>
        <v>50</v>
      </c>
      <c r="E834">
        <f>Sinistrés!M839</f>
        <v>50</v>
      </c>
      <c r="F834">
        <f t="shared" si="24"/>
        <v>1.9758812615955475E-2</v>
      </c>
      <c r="G834">
        <f t="shared" si="25"/>
        <v>1</v>
      </c>
    </row>
    <row r="835" spans="1:7">
      <c r="A835" t="str">
        <f>Sinistrés!H840</f>
        <v xml:space="preserve">Triticale </v>
      </c>
      <c r="B835">
        <f>Sinistrés!J840</f>
        <v>20825.64</v>
      </c>
      <c r="C835">
        <f>Sinistrés!X840</f>
        <v>3259.56</v>
      </c>
      <c r="D835">
        <f>Sinistrés!L840</f>
        <v>34.159999999999997</v>
      </c>
      <c r="E835">
        <f>Sinistrés!M840</f>
        <v>34.159999999999997</v>
      </c>
      <c r="F835">
        <f t="shared" ref="F835:F898" si="26">C835/B835</f>
        <v>0.15651667847902873</v>
      </c>
      <c r="G835">
        <f t="shared" ref="G835:G898" si="27">E835/D835</f>
        <v>1</v>
      </c>
    </row>
    <row r="836" spans="1:7" hidden="1">
      <c r="A836" t="str">
        <f>Sinistrés!H841</f>
        <v>Féveroles et fèves</v>
      </c>
      <c r="B836">
        <f>Sinistrés!J841</f>
        <v>5295.84</v>
      </c>
      <c r="C836">
        <f>Sinistrés!X841</f>
        <v>0</v>
      </c>
      <c r="D836">
        <f>Sinistrés!L841</f>
        <v>18.88</v>
      </c>
      <c r="E836">
        <f>Sinistrés!M841</f>
        <v>18.88</v>
      </c>
      <c r="F836">
        <f t="shared" si="26"/>
        <v>0</v>
      </c>
      <c r="G836">
        <f t="shared" si="27"/>
        <v>1</v>
      </c>
    </row>
    <row r="837" spans="1:7" hidden="1">
      <c r="A837" t="str">
        <f>Sinistrés!H842</f>
        <v>Colza d'hiver</v>
      </c>
      <c r="B837">
        <f>Sinistrés!J842</f>
        <v>13748.8</v>
      </c>
      <c r="C837">
        <f>Sinistrés!X842</f>
        <v>0</v>
      </c>
      <c r="D837">
        <f>Sinistrés!L842</f>
        <v>13.22</v>
      </c>
      <c r="E837">
        <f>Sinistrés!M842</f>
        <v>13.22</v>
      </c>
      <c r="F837">
        <f t="shared" si="26"/>
        <v>0</v>
      </c>
      <c r="G837">
        <f t="shared" si="27"/>
        <v>1</v>
      </c>
    </row>
    <row r="838" spans="1:7" hidden="1">
      <c r="A838" t="str">
        <f>Sinistrés!H843</f>
        <v>Colza d'hiver</v>
      </c>
      <c r="B838">
        <f>Sinistrés!J843</f>
        <v>68515.199999999997</v>
      </c>
      <c r="C838">
        <f>Sinistrés!X843</f>
        <v>0</v>
      </c>
      <c r="D838">
        <f>Sinistrés!L843</f>
        <v>47.58</v>
      </c>
      <c r="E838">
        <f>Sinistrés!M843</f>
        <v>47.58</v>
      </c>
      <c r="F838">
        <f t="shared" si="26"/>
        <v>0</v>
      </c>
      <c r="G838">
        <f t="shared" si="27"/>
        <v>1</v>
      </c>
    </row>
    <row r="839" spans="1:7" hidden="1">
      <c r="A839" t="str">
        <f>Sinistrés!H844</f>
        <v>Blé tendre d'hiver</v>
      </c>
      <c r="B839">
        <f>Sinistrés!J844</f>
        <v>67502</v>
      </c>
      <c r="C839">
        <f>Sinistrés!X844</f>
        <v>0</v>
      </c>
      <c r="D839">
        <f>Sinistrés!L844</f>
        <v>91.33</v>
      </c>
      <c r="E839">
        <f>Sinistrés!M844</f>
        <v>91.33</v>
      </c>
      <c r="F839">
        <f t="shared" si="26"/>
        <v>0</v>
      </c>
      <c r="G839">
        <f t="shared" si="27"/>
        <v>1</v>
      </c>
    </row>
    <row r="840" spans="1:7" hidden="1">
      <c r="A840" t="str">
        <f>Sinistrés!H845</f>
        <v>Lupin doux SEMENCES</v>
      </c>
      <c r="B840">
        <f>Sinistrés!J845</f>
        <v>4147.5</v>
      </c>
      <c r="C840">
        <f>Sinistrés!X845</f>
        <v>442.39</v>
      </c>
      <c r="D840">
        <f>Sinistrés!L845</f>
        <v>5</v>
      </c>
      <c r="E840">
        <f>Sinistrés!M845</f>
        <v>5</v>
      </c>
      <c r="F840">
        <f t="shared" si="26"/>
        <v>0.10666425557564797</v>
      </c>
      <c r="G840">
        <f t="shared" si="27"/>
        <v>1</v>
      </c>
    </row>
    <row r="841" spans="1:7">
      <c r="A841" t="str">
        <f>Sinistrés!H846</f>
        <v>Tournesol</v>
      </c>
      <c r="B841">
        <f>Sinistrés!J846</f>
        <v>10710</v>
      </c>
      <c r="C841">
        <f>Sinistrés!X846</f>
        <v>240</v>
      </c>
      <c r="D841">
        <f>Sinistrés!L846</f>
        <v>20</v>
      </c>
      <c r="E841">
        <f>Sinistrés!M846</f>
        <v>20</v>
      </c>
      <c r="F841">
        <f t="shared" si="26"/>
        <v>2.2408963585434174E-2</v>
      </c>
      <c r="G841">
        <f t="shared" si="27"/>
        <v>1</v>
      </c>
    </row>
    <row r="842" spans="1:7">
      <c r="A842" t="str">
        <f>Sinistrés!H847</f>
        <v>Lin oléagineux</v>
      </c>
      <c r="B842">
        <f>Sinistrés!J847</f>
        <v>15975</v>
      </c>
      <c r="C842">
        <f>Sinistrés!X847</f>
        <v>9531.5300000000007</v>
      </c>
      <c r="D842">
        <f>Sinistrés!L847</f>
        <v>25</v>
      </c>
      <c r="E842">
        <f>Sinistrés!M847</f>
        <v>25</v>
      </c>
      <c r="F842">
        <f t="shared" si="26"/>
        <v>0.59665289514866982</v>
      </c>
      <c r="G842">
        <f t="shared" si="27"/>
        <v>1</v>
      </c>
    </row>
    <row r="843" spans="1:7">
      <c r="A843" t="str">
        <f>Sinistrés!H848</f>
        <v>Blé dur d'hiver</v>
      </c>
      <c r="B843">
        <f>Sinistrés!J848</f>
        <v>7382.63</v>
      </c>
      <c r="C843">
        <f>Sinistrés!X848</f>
        <v>806.24</v>
      </c>
      <c r="D843">
        <f>Sinistrés!L848</f>
        <v>6.18</v>
      </c>
      <c r="E843">
        <f>Sinistrés!M848</f>
        <v>6.18</v>
      </c>
      <c r="F843">
        <f t="shared" si="26"/>
        <v>0.10920769427697176</v>
      </c>
      <c r="G843">
        <f t="shared" si="27"/>
        <v>1</v>
      </c>
    </row>
    <row r="844" spans="1:7" hidden="1">
      <c r="A844" t="str">
        <f>Sinistrés!H849</f>
        <v>Blé tendre d'hiver</v>
      </c>
      <c r="B844">
        <f>Sinistrés!J849</f>
        <v>17935.78</v>
      </c>
      <c r="C844">
        <f>Sinistrés!X849</f>
        <v>0</v>
      </c>
      <c r="D844">
        <f>Sinistrés!L849</f>
        <v>16.25</v>
      </c>
      <c r="E844">
        <f>Sinistrés!M849</f>
        <v>16.25</v>
      </c>
      <c r="F844">
        <f t="shared" si="26"/>
        <v>0</v>
      </c>
      <c r="G844">
        <f t="shared" si="27"/>
        <v>1</v>
      </c>
    </row>
    <row r="845" spans="1:7">
      <c r="A845" t="str">
        <f>Sinistrés!H850</f>
        <v>Blé tendre d'hiver</v>
      </c>
      <c r="B845">
        <f>Sinistrés!J850</f>
        <v>27990.85</v>
      </c>
      <c r="C845">
        <f>Sinistrés!X850</f>
        <v>2922.6</v>
      </c>
      <c r="D845">
        <f>Sinistrés!L850</f>
        <v>25.36</v>
      </c>
      <c r="E845">
        <f>Sinistrés!M850</f>
        <v>25.36</v>
      </c>
      <c r="F845">
        <f t="shared" si="26"/>
        <v>0.10441269200470868</v>
      </c>
      <c r="G845">
        <f t="shared" si="27"/>
        <v>1</v>
      </c>
    </row>
    <row r="846" spans="1:7">
      <c r="A846" t="str">
        <f>Sinistrés!H851</f>
        <v>Colza d'hiver</v>
      </c>
      <c r="B846">
        <f>Sinistrés!J851</f>
        <v>25078.81</v>
      </c>
      <c r="C846">
        <f>Sinistrés!X851</f>
        <v>8105.68</v>
      </c>
      <c r="D846">
        <f>Sinistrés!L851</f>
        <v>21.56</v>
      </c>
      <c r="E846">
        <f>Sinistrés!M851</f>
        <v>21.56</v>
      </c>
      <c r="F846">
        <f t="shared" si="26"/>
        <v>0.32320831809802775</v>
      </c>
      <c r="G846">
        <f t="shared" si="27"/>
        <v>1</v>
      </c>
    </row>
    <row r="847" spans="1:7">
      <c r="A847" t="str">
        <f>Sinistrés!H852</f>
        <v>Colza d'hiver</v>
      </c>
      <c r="B847">
        <f>Sinistrés!J852</f>
        <v>2973.95</v>
      </c>
      <c r="C847">
        <f>Sinistrés!X852</f>
        <v>961.21</v>
      </c>
      <c r="D847">
        <f>Sinistrés!L852</f>
        <v>2.9</v>
      </c>
      <c r="E847">
        <f>Sinistrés!M852</f>
        <v>2.9</v>
      </c>
      <c r="F847">
        <f t="shared" si="26"/>
        <v>0.32320987239193666</v>
      </c>
      <c r="G847">
        <f t="shared" si="27"/>
        <v>1</v>
      </c>
    </row>
    <row r="848" spans="1:7">
      <c r="A848" t="str">
        <f>Sinistrés!H853</f>
        <v>Orge d'hiver</v>
      </c>
      <c r="B848">
        <f>Sinistrés!J853</f>
        <v>3429.45</v>
      </c>
      <c r="C848">
        <f>Sinistrés!X853</f>
        <v>1013</v>
      </c>
      <c r="D848">
        <f>Sinistrés!L853</f>
        <v>3.27</v>
      </c>
      <c r="E848">
        <f>Sinistrés!M853</f>
        <v>3.27</v>
      </c>
      <c r="F848">
        <f t="shared" si="26"/>
        <v>0.29538264153144089</v>
      </c>
      <c r="G848">
        <f t="shared" si="27"/>
        <v>1</v>
      </c>
    </row>
    <row r="849" spans="1:7" hidden="1">
      <c r="A849" t="str">
        <f>Sinistrés!H854</f>
        <v>Orge d'hiver</v>
      </c>
      <c r="B849">
        <f>Sinistrés!J854</f>
        <v>8582.7800000000007</v>
      </c>
      <c r="C849">
        <f>Sinistrés!X854</f>
        <v>0</v>
      </c>
      <c r="D849">
        <f>Sinistrés!L854</f>
        <v>8.24</v>
      </c>
      <c r="E849">
        <f>Sinistrés!M854</f>
        <v>8.24</v>
      </c>
      <c r="F849">
        <f t="shared" si="26"/>
        <v>0</v>
      </c>
      <c r="G849">
        <f t="shared" si="27"/>
        <v>1</v>
      </c>
    </row>
    <row r="850" spans="1:7">
      <c r="A850" t="str">
        <f>Sinistrés!H855</f>
        <v>Orge d'hiver</v>
      </c>
      <c r="B850">
        <f>Sinistrés!J855</f>
        <v>8884.85</v>
      </c>
      <c r="C850">
        <f>Sinistrés!X855</f>
        <v>2924.69</v>
      </c>
      <c r="D850">
        <f>Sinistrés!L855</f>
        <v>8.5299999999999994</v>
      </c>
      <c r="E850">
        <f>Sinistrés!M855</f>
        <v>8.5299999999999994</v>
      </c>
      <c r="F850">
        <f t="shared" si="26"/>
        <v>0.32917719488792718</v>
      </c>
      <c r="G850">
        <f t="shared" si="27"/>
        <v>1</v>
      </c>
    </row>
    <row r="851" spans="1:7" hidden="1">
      <c r="A851" t="str">
        <f>Sinistrés!H856</f>
        <v>Blé tendre d'hiver</v>
      </c>
      <c r="B851">
        <f>Sinistrés!J856</f>
        <v>60570</v>
      </c>
      <c r="C851">
        <f>Sinistrés!X856</f>
        <v>0</v>
      </c>
      <c r="D851">
        <f>Sinistrés!L856</f>
        <v>45</v>
      </c>
      <c r="E851">
        <f>Sinistrés!M856</f>
        <v>45</v>
      </c>
      <c r="F851">
        <f t="shared" si="26"/>
        <v>0</v>
      </c>
      <c r="G851">
        <f t="shared" si="27"/>
        <v>1</v>
      </c>
    </row>
    <row r="852" spans="1:7" hidden="1">
      <c r="A852" t="str">
        <f>Sinistrés!H857</f>
        <v>Orge d'hiver</v>
      </c>
      <c r="B852">
        <f>Sinistrés!J857</f>
        <v>10159.200000000001</v>
      </c>
      <c r="C852">
        <f>Sinistrés!X857</f>
        <v>0</v>
      </c>
      <c r="D852">
        <f>Sinistrés!L857</f>
        <v>8.5</v>
      </c>
      <c r="E852">
        <f>Sinistrés!M857</f>
        <v>8.5</v>
      </c>
      <c r="F852">
        <f t="shared" si="26"/>
        <v>0</v>
      </c>
      <c r="G852">
        <f t="shared" si="27"/>
        <v>1</v>
      </c>
    </row>
    <row r="853" spans="1:7" hidden="1">
      <c r="A853" t="str">
        <f>Sinistrés!H858</f>
        <v>Colza d'hiver</v>
      </c>
      <c r="B853">
        <f>Sinistrés!J858</f>
        <v>29664</v>
      </c>
      <c r="C853">
        <f>Sinistrés!X858</f>
        <v>0</v>
      </c>
      <c r="D853">
        <f>Sinistrés!L858</f>
        <v>24</v>
      </c>
      <c r="E853">
        <f>Sinistrés!M858</f>
        <v>24</v>
      </c>
      <c r="F853">
        <f t="shared" si="26"/>
        <v>0</v>
      </c>
      <c r="G853">
        <f t="shared" si="27"/>
        <v>1</v>
      </c>
    </row>
    <row r="854" spans="1:7">
      <c r="A854" t="str">
        <f>Sinistrés!H859</f>
        <v>Blé de force</v>
      </c>
      <c r="B854">
        <f>Sinistrés!J859</f>
        <v>13991.04</v>
      </c>
      <c r="C854">
        <f>Sinistrés!X859</f>
        <v>2128.64</v>
      </c>
      <c r="D854">
        <f>Sinistrés!L859</f>
        <v>13.88</v>
      </c>
      <c r="E854">
        <f>Sinistrés!M859</f>
        <v>13.88</v>
      </c>
      <c r="F854">
        <f t="shared" si="26"/>
        <v>0.15214308586066511</v>
      </c>
      <c r="G854">
        <f t="shared" si="27"/>
        <v>1</v>
      </c>
    </row>
    <row r="855" spans="1:7">
      <c r="A855" t="str">
        <f>Sinistrés!H860</f>
        <v>Colza d'hiver</v>
      </c>
      <c r="B855">
        <f>Sinistrés!J860</f>
        <v>9950.52</v>
      </c>
      <c r="C855">
        <f>Sinistrés!X860</f>
        <v>2881.38</v>
      </c>
      <c r="D855">
        <f>Sinistrés!L860</f>
        <v>8.2100000000000009</v>
      </c>
      <c r="E855">
        <f>Sinistrés!M860</f>
        <v>8.2100000000000009</v>
      </c>
      <c r="F855">
        <f t="shared" si="26"/>
        <v>0.28957079630009286</v>
      </c>
      <c r="G855">
        <f t="shared" si="27"/>
        <v>1</v>
      </c>
    </row>
    <row r="856" spans="1:7" hidden="1">
      <c r="A856" t="str">
        <f>Sinistrés!H861</f>
        <v>Orge d'hiver</v>
      </c>
      <c r="B856">
        <f>Sinistrés!J861</f>
        <v>16213.27</v>
      </c>
      <c r="C856">
        <f>Sinistrés!X861</f>
        <v>0</v>
      </c>
      <c r="D856">
        <f>Sinistrés!L861</f>
        <v>16.940000000000001</v>
      </c>
      <c r="E856">
        <f>Sinistrés!M861</f>
        <v>16.940000000000001</v>
      </c>
      <c r="F856">
        <f t="shared" si="26"/>
        <v>0</v>
      </c>
      <c r="G856">
        <f t="shared" si="27"/>
        <v>1</v>
      </c>
    </row>
    <row r="857" spans="1:7" hidden="1">
      <c r="A857" t="str">
        <f>Sinistrés!H862</f>
        <v>Blé tendre d'hiver</v>
      </c>
      <c r="B857">
        <f>Sinistrés!J862</f>
        <v>52673.4</v>
      </c>
      <c r="C857">
        <f>Sinistrés!X862</f>
        <v>0</v>
      </c>
      <c r="D857">
        <f>Sinistrés!L862</f>
        <v>45.02</v>
      </c>
      <c r="E857">
        <f>Sinistrés!M862</f>
        <v>45.02</v>
      </c>
      <c r="F857">
        <f t="shared" si="26"/>
        <v>0</v>
      </c>
      <c r="G857">
        <f t="shared" si="27"/>
        <v>1</v>
      </c>
    </row>
    <row r="858" spans="1:7">
      <c r="A858" t="str">
        <f>Sinistrés!H863</f>
        <v>Blé tendre d'hiver</v>
      </c>
      <c r="B858">
        <f>Sinistrés!J863</f>
        <v>41507.199999999997</v>
      </c>
      <c r="C858">
        <f>Sinistrés!X863</f>
        <v>3524.41</v>
      </c>
      <c r="D858">
        <f>Sinistrés!L863</f>
        <v>34</v>
      </c>
      <c r="E858">
        <f>Sinistrés!M863</f>
        <v>34</v>
      </c>
      <c r="F858">
        <f t="shared" si="26"/>
        <v>8.4910810654537053E-2</v>
      </c>
      <c r="G858">
        <f t="shared" si="27"/>
        <v>1</v>
      </c>
    </row>
    <row r="859" spans="1:7" hidden="1">
      <c r="A859" t="str">
        <f>Sinistrés!H864</f>
        <v>Colza d'hiver</v>
      </c>
      <c r="B859">
        <f>Sinistrés!J864</f>
        <v>17077.2</v>
      </c>
      <c r="C859">
        <f>Sinistrés!X864</f>
        <v>0</v>
      </c>
      <c r="D859">
        <f>Sinistrés!L864</f>
        <v>21</v>
      </c>
      <c r="E859">
        <f>Sinistrés!M864</f>
        <v>21</v>
      </c>
      <c r="F859">
        <f t="shared" si="26"/>
        <v>0</v>
      </c>
      <c r="G859">
        <f t="shared" si="27"/>
        <v>1</v>
      </c>
    </row>
    <row r="860" spans="1:7" hidden="1">
      <c r="A860" t="str">
        <f>Sinistrés!H865</f>
        <v>Orge d'hiver</v>
      </c>
      <c r="B860">
        <f>Sinistrés!J865</f>
        <v>20706.45</v>
      </c>
      <c r="C860">
        <f>Sinistrés!X865</f>
        <v>0</v>
      </c>
      <c r="D860">
        <f>Sinistrés!L865</f>
        <v>30.5</v>
      </c>
      <c r="E860">
        <f>Sinistrés!M865</f>
        <v>30.5</v>
      </c>
      <c r="F860">
        <f t="shared" si="26"/>
        <v>0</v>
      </c>
      <c r="G860">
        <f t="shared" si="27"/>
        <v>1</v>
      </c>
    </row>
    <row r="861" spans="1:7" hidden="1">
      <c r="A861" t="str">
        <f>Sinistrés!H866</f>
        <v>Lin oléagineux</v>
      </c>
      <c r="B861">
        <f>Sinistrés!J866</f>
        <v>5673.6</v>
      </c>
      <c r="C861">
        <f>Sinistrés!X866</f>
        <v>0</v>
      </c>
      <c r="D861">
        <f>Sinistrés!L866</f>
        <v>6.4</v>
      </c>
      <c r="E861">
        <f>Sinistrés!M866</f>
        <v>6.4</v>
      </c>
      <c r="F861">
        <f t="shared" si="26"/>
        <v>0</v>
      </c>
      <c r="G861">
        <f t="shared" si="27"/>
        <v>1</v>
      </c>
    </row>
    <row r="862" spans="1:7" hidden="1">
      <c r="A862" t="str">
        <f>Sinistrés!H867</f>
        <v>Maïs grain non irrigué</v>
      </c>
      <c r="B862">
        <f>Sinistrés!J867</f>
        <v>9213.7000000000007</v>
      </c>
      <c r="C862">
        <f>Sinistrés!X867</f>
        <v>0</v>
      </c>
      <c r="D862">
        <f>Sinistrés!L867</f>
        <v>5.49</v>
      </c>
      <c r="E862">
        <f>Sinistrés!M867</f>
        <v>5.49</v>
      </c>
      <c r="F862">
        <f t="shared" si="26"/>
        <v>0</v>
      </c>
      <c r="G862">
        <f t="shared" si="27"/>
        <v>1</v>
      </c>
    </row>
    <row r="863" spans="1:7" hidden="1">
      <c r="A863" t="str">
        <f>Sinistrés!H868</f>
        <v>Pois secs / Pois Chiches</v>
      </c>
      <c r="B863">
        <f>Sinistrés!J868</f>
        <v>3852.2</v>
      </c>
      <c r="C863">
        <f>Sinistrés!X868</f>
        <v>0</v>
      </c>
      <c r="D863">
        <f>Sinistrés!L868</f>
        <v>5.15</v>
      </c>
      <c r="E863">
        <f>Sinistrés!M868</f>
        <v>5.15</v>
      </c>
      <c r="F863">
        <f t="shared" si="26"/>
        <v>0</v>
      </c>
      <c r="G863">
        <f t="shared" si="27"/>
        <v>1</v>
      </c>
    </row>
    <row r="864" spans="1:7" hidden="1">
      <c r="A864" t="str">
        <f>Sinistrés!H869</f>
        <v>Blé tendre d'hiver</v>
      </c>
      <c r="B864">
        <f>Sinistrés!J869</f>
        <v>52780.15</v>
      </c>
      <c r="C864">
        <f>Sinistrés!X869</f>
        <v>0</v>
      </c>
      <c r="D864">
        <f>Sinistrés!L869</f>
        <v>42.61</v>
      </c>
      <c r="E864">
        <f>Sinistrés!M869</f>
        <v>42.61</v>
      </c>
      <c r="F864">
        <f t="shared" si="26"/>
        <v>0</v>
      </c>
      <c r="G864">
        <f t="shared" si="27"/>
        <v>1</v>
      </c>
    </row>
    <row r="865" spans="1:7">
      <c r="A865" t="str">
        <f>Sinistrés!H870</f>
        <v>Orge d'hiver</v>
      </c>
      <c r="B865">
        <f>Sinistrés!J870</f>
        <v>7312.45</v>
      </c>
      <c r="C865">
        <f>Sinistrés!X870</f>
        <v>356.02</v>
      </c>
      <c r="D865">
        <f>Sinistrés!L870</f>
        <v>7.19</v>
      </c>
      <c r="E865">
        <f>Sinistrés!M870</f>
        <v>7.19</v>
      </c>
      <c r="F865">
        <f t="shared" si="26"/>
        <v>4.8686828627888055E-2</v>
      </c>
      <c r="G865">
        <f t="shared" si="27"/>
        <v>1</v>
      </c>
    </row>
    <row r="866" spans="1:7">
      <c r="A866" t="str">
        <f>Sinistrés!H871</f>
        <v>Pois protéagineux</v>
      </c>
      <c r="B866">
        <f>Sinistrés!J871</f>
        <v>12389.46</v>
      </c>
      <c r="C866">
        <f>Sinistrés!X871</f>
        <v>607.25</v>
      </c>
      <c r="D866">
        <f>Sinistrés!L871</f>
        <v>14.66</v>
      </c>
      <c r="E866">
        <f>Sinistrés!M871</f>
        <v>14.66</v>
      </c>
      <c r="F866">
        <f t="shared" si="26"/>
        <v>4.9013435613820135E-2</v>
      </c>
      <c r="G866">
        <f t="shared" si="27"/>
        <v>1</v>
      </c>
    </row>
    <row r="867" spans="1:7" hidden="1">
      <c r="A867" t="str">
        <f>Sinistrés!H872</f>
        <v>Colza d'hiver</v>
      </c>
      <c r="B867">
        <f>Sinistrés!J872</f>
        <v>15121.73</v>
      </c>
      <c r="C867">
        <f>Sinistrés!X872</f>
        <v>0</v>
      </c>
      <c r="D867">
        <f>Sinistrés!L872</f>
        <v>13</v>
      </c>
      <c r="E867">
        <f>Sinistrés!M872</f>
        <v>13</v>
      </c>
      <c r="F867">
        <f t="shared" si="26"/>
        <v>0</v>
      </c>
      <c r="G867">
        <f t="shared" si="27"/>
        <v>1</v>
      </c>
    </row>
    <row r="868" spans="1:7" hidden="1">
      <c r="A868" t="str">
        <f>Sinistrés!H873</f>
        <v>Blé tendre d'hiver</v>
      </c>
      <c r="B868">
        <f>Sinistrés!J873</f>
        <v>28407</v>
      </c>
      <c r="C868">
        <f>Sinistrés!X873</f>
        <v>0</v>
      </c>
      <c r="D868">
        <f>Sinistrés!L873</f>
        <v>30</v>
      </c>
      <c r="E868">
        <f>Sinistrés!M873</f>
        <v>30</v>
      </c>
      <c r="F868">
        <f t="shared" si="26"/>
        <v>0</v>
      </c>
      <c r="G868">
        <f t="shared" si="27"/>
        <v>1</v>
      </c>
    </row>
    <row r="869" spans="1:7" hidden="1">
      <c r="A869" t="str">
        <f>Sinistrés!H874</f>
        <v>Pois protéagineux SEMENCES</v>
      </c>
      <c r="B869">
        <f>Sinistrés!J874</f>
        <v>16124.1</v>
      </c>
      <c r="C869">
        <f>Sinistrés!X874</f>
        <v>6248.73</v>
      </c>
      <c r="D869">
        <f>Sinistrés!L874</f>
        <v>14.27</v>
      </c>
      <c r="E869">
        <f>Sinistrés!M874</f>
        <v>14.27</v>
      </c>
      <c r="F869">
        <f t="shared" si="26"/>
        <v>0.38753976966156245</v>
      </c>
      <c r="G869">
        <f t="shared" si="27"/>
        <v>1</v>
      </c>
    </row>
    <row r="870" spans="1:7">
      <c r="A870" t="str">
        <f>Sinistrés!H875</f>
        <v>Blé tendre d'hiver</v>
      </c>
      <c r="B870">
        <f>Sinistrés!J875</f>
        <v>97053.33</v>
      </c>
      <c r="C870">
        <f>Sinistrés!X875</f>
        <v>14630.1</v>
      </c>
      <c r="D870">
        <f>Sinistrés!L875</f>
        <v>12.13</v>
      </c>
      <c r="E870">
        <f>Sinistrés!M875</f>
        <v>75.900000000000006</v>
      </c>
      <c r="F870">
        <f t="shared" si="26"/>
        <v>0.15074289568425936</v>
      </c>
      <c r="G870">
        <f t="shared" si="27"/>
        <v>6.2572135201978565</v>
      </c>
    </row>
    <row r="871" spans="1:7">
      <c r="A871" t="str">
        <f>Sinistrés!H876</f>
        <v>Colza d'hiver</v>
      </c>
      <c r="B871">
        <f>Sinistrés!J876</f>
        <v>24700</v>
      </c>
      <c r="C871">
        <f>Sinistrés!X876</f>
        <v>197.6</v>
      </c>
      <c r="D871">
        <f>Sinistrés!L876</f>
        <v>24.7</v>
      </c>
      <c r="E871">
        <f>Sinistrés!M876</f>
        <v>24.7</v>
      </c>
      <c r="F871">
        <f t="shared" si="26"/>
        <v>8.0000000000000002E-3</v>
      </c>
      <c r="G871">
        <f t="shared" si="27"/>
        <v>1</v>
      </c>
    </row>
    <row r="872" spans="1:7">
      <c r="A872" t="str">
        <f>Sinistrés!H877</f>
        <v>Orge d'hiver</v>
      </c>
      <c r="B872">
        <f>Sinistrés!J877</f>
        <v>27672.3</v>
      </c>
      <c r="C872">
        <f>Sinistrés!X877</f>
        <v>321.60000000000002</v>
      </c>
      <c r="D872">
        <f>Sinistrés!L877</f>
        <v>27.7</v>
      </c>
      <c r="E872">
        <f>Sinistrés!M877</f>
        <v>27.7</v>
      </c>
      <c r="F872">
        <f t="shared" si="26"/>
        <v>1.1621730033282381E-2</v>
      </c>
      <c r="G872">
        <f t="shared" si="27"/>
        <v>1</v>
      </c>
    </row>
    <row r="873" spans="1:7">
      <c r="A873" t="str">
        <f>Sinistrés!H878</f>
        <v>Pois protéagineux</v>
      </c>
      <c r="B873">
        <f>Sinistrés!J878</f>
        <v>9887.15</v>
      </c>
      <c r="C873">
        <f>Sinistrés!X878</f>
        <v>4571.8500000000004</v>
      </c>
      <c r="D873">
        <f>Sinistrés!L878</f>
        <v>9.19</v>
      </c>
      <c r="E873">
        <f>Sinistrés!M878</f>
        <v>9.19</v>
      </c>
      <c r="F873">
        <f t="shared" si="26"/>
        <v>0.46240322034155451</v>
      </c>
      <c r="G873">
        <f t="shared" si="27"/>
        <v>1</v>
      </c>
    </row>
    <row r="874" spans="1:7" hidden="1">
      <c r="A874" t="str">
        <f>Sinistrés!H879</f>
        <v>Blé tendre d'hiver semences</v>
      </c>
      <c r="B874">
        <f>Sinistrés!J879</f>
        <v>14531.01</v>
      </c>
      <c r="C874">
        <f>Sinistrés!X879</f>
        <v>3749.35</v>
      </c>
      <c r="D874">
        <f>Sinistrés!L879</f>
        <v>12.13</v>
      </c>
      <c r="E874">
        <f>Sinistrés!M879</f>
        <v>12.13</v>
      </c>
      <c r="F874">
        <f t="shared" si="26"/>
        <v>0.25802404650468203</v>
      </c>
      <c r="G874">
        <f t="shared" si="27"/>
        <v>1</v>
      </c>
    </row>
    <row r="875" spans="1:7" hidden="1">
      <c r="A875" t="str">
        <f>Sinistrés!H880</f>
        <v>Blé tendre d'hiver</v>
      </c>
      <c r="B875">
        <f>Sinistrés!J880</f>
        <v>105792</v>
      </c>
      <c r="C875">
        <f>Sinistrés!X880</f>
        <v>0</v>
      </c>
      <c r="D875">
        <f>Sinistrés!L880</f>
        <v>96</v>
      </c>
      <c r="E875">
        <f>Sinistrés!M880</f>
        <v>96</v>
      </c>
      <c r="F875">
        <f t="shared" si="26"/>
        <v>0</v>
      </c>
      <c r="G875">
        <f t="shared" si="27"/>
        <v>1</v>
      </c>
    </row>
    <row r="876" spans="1:7" hidden="1">
      <c r="A876" t="str">
        <f>Sinistrés!H881</f>
        <v>Orge d'hiver</v>
      </c>
      <c r="B876">
        <f>Sinistrés!J881</f>
        <v>89329.5</v>
      </c>
      <c r="C876">
        <f>Sinistrés!X881</f>
        <v>0</v>
      </c>
      <c r="D876">
        <f>Sinistrés!L881</f>
        <v>90</v>
      </c>
      <c r="E876">
        <f>Sinistrés!M881</f>
        <v>90</v>
      </c>
      <c r="F876">
        <f t="shared" si="26"/>
        <v>0</v>
      </c>
      <c r="G876">
        <f t="shared" si="27"/>
        <v>1</v>
      </c>
    </row>
    <row r="877" spans="1:7" hidden="1">
      <c r="A877" t="str">
        <f>Sinistrés!H882</f>
        <v>Colza d'hiver</v>
      </c>
      <c r="B877">
        <f>Sinistrés!J882</f>
        <v>111833.71</v>
      </c>
      <c r="C877">
        <f>Sinistrés!X882</f>
        <v>0</v>
      </c>
      <c r="D877">
        <f>Sinistrés!L882</f>
        <v>93</v>
      </c>
      <c r="E877">
        <f>Sinistrés!M882</f>
        <v>93</v>
      </c>
      <c r="F877">
        <f t="shared" si="26"/>
        <v>0</v>
      </c>
      <c r="G877">
        <f t="shared" si="27"/>
        <v>1</v>
      </c>
    </row>
    <row r="878" spans="1:7">
      <c r="A878" t="str">
        <f>Sinistrés!H883</f>
        <v>Avoine de printemps</v>
      </c>
      <c r="B878">
        <f>Sinistrés!J883</f>
        <v>7480.2</v>
      </c>
      <c r="C878">
        <f>Sinistrés!X883</f>
        <v>788.3</v>
      </c>
      <c r="D878">
        <f>Sinistrés!L883</f>
        <v>14</v>
      </c>
      <c r="E878">
        <f>Sinistrés!M883</f>
        <v>14</v>
      </c>
      <c r="F878">
        <f t="shared" si="26"/>
        <v>0.10538488275714553</v>
      </c>
      <c r="G878">
        <f t="shared" si="27"/>
        <v>1</v>
      </c>
    </row>
    <row r="879" spans="1:7">
      <c r="A879" t="str">
        <f>Sinistrés!H884</f>
        <v>Blé tendre d'hiver</v>
      </c>
      <c r="B879">
        <f>Sinistrés!J884</f>
        <v>14076</v>
      </c>
      <c r="C879">
        <f>Sinistrés!X884</f>
        <v>3411.9</v>
      </c>
      <c r="D879">
        <f>Sinistrés!L884</f>
        <v>18</v>
      </c>
      <c r="E879">
        <f>Sinistrés!M884</f>
        <v>18</v>
      </c>
      <c r="F879">
        <f t="shared" si="26"/>
        <v>0.2423913043478261</v>
      </c>
      <c r="G879">
        <f t="shared" si="27"/>
        <v>1</v>
      </c>
    </row>
    <row r="880" spans="1:7">
      <c r="A880" t="str">
        <f>Sinistrés!H885</f>
        <v>Orge d'hiver</v>
      </c>
      <c r="B880">
        <f>Sinistrés!J885</f>
        <v>13765.5</v>
      </c>
      <c r="C880">
        <f>Sinistrés!X885</f>
        <v>5111.4799999999996</v>
      </c>
      <c r="D880">
        <f>Sinistrés!L885</f>
        <v>19</v>
      </c>
      <c r="E880">
        <f>Sinistrés!M885</f>
        <v>19</v>
      </c>
      <c r="F880">
        <f t="shared" si="26"/>
        <v>0.37132541498674221</v>
      </c>
      <c r="G880">
        <f t="shared" si="27"/>
        <v>1</v>
      </c>
    </row>
    <row r="881" spans="1:7">
      <c r="A881" t="str">
        <f>Sinistrés!H886</f>
        <v>Orge de printemps</v>
      </c>
      <c r="B881">
        <f>Sinistrés!J886</f>
        <v>5155.2</v>
      </c>
      <c r="C881">
        <f>Sinistrés!X886</f>
        <v>2162.4</v>
      </c>
      <c r="D881">
        <f>Sinistrés!L886</f>
        <v>6</v>
      </c>
      <c r="E881">
        <f>Sinistrés!M886</f>
        <v>6</v>
      </c>
      <c r="F881">
        <f t="shared" si="26"/>
        <v>0.41945996275605218</v>
      </c>
      <c r="G881">
        <f t="shared" si="27"/>
        <v>1</v>
      </c>
    </row>
    <row r="882" spans="1:7" hidden="1">
      <c r="A882" t="str">
        <f>Sinistrés!H887</f>
        <v>Vigne à raisin de cuve (VCU1)</v>
      </c>
      <c r="B882">
        <f>Sinistrés!J887</f>
        <v>1010668.22</v>
      </c>
      <c r="C882">
        <f>Sinistrés!X887</f>
        <v>0</v>
      </c>
      <c r="D882">
        <f>Sinistrés!L887</f>
        <v>81.7</v>
      </c>
      <c r="E882">
        <f>Sinistrés!M887</f>
        <v>74</v>
      </c>
      <c r="F882">
        <f t="shared" si="26"/>
        <v>0</v>
      </c>
      <c r="G882">
        <f t="shared" si="27"/>
        <v>0.90575275397796817</v>
      </c>
    </row>
    <row r="883" spans="1:7">
      <c r="A883" t="str">
        <f>Sinistrés!H888</f>
        <v>Triticale</v>
      </c>
      <c r="B883">
        <f>Sinistrés!J888</f>
        <v>19172.330000000002</v>
      </c>
      <c r="C883">
        <f>Sinistrés!X888</f>
        <v>2316.33</v>
      </c>
      <c r="D883">
        <f>Sinistrés!L888</f>
        <v>28.556000000000001</v>
      </c>
      <c r="E883">
        <f>Sinistrés!M888</f>
        <v>28.56</v>
      </c>
      <c r="F883">
        <f t="shared" si="26"/>
        <v>0.12081630140937485</v>
      </c>
      <c r="G883">
        <f t="shared" si="27"/>
        <v>1.0001400756408461</v>
      </c>
    </row>
    <row r="884" spans="1:7">
      <c r="A884" t="str">
        <f>Sinistrés!H889</f>
        <v>Orge d'hiver</v>
      </c>
      <c r="B884">
        <f>Sinistrés!J889</f>
        <v>44119.86</v>
      </c>
      <c r="C884">
        <f>Sinistrés!X889</f>
        <v>1229.55</v>
      </c>
      <c r="D884">
        <f>Sinistrés!L889</f>
        <v>48.21</v>
      </c>
      <c r="E884">
        <f>Sinistrés!M889</f>
        <v>17.59</v>
      </c>
      <c r="F884">
        <f t="shared" si="26"/>
        <v>2.7868402120949612E-2</v>
      </c>
      <c r="G884">
        <f t="shared" si="27"/>
        <v>0.36486206181290187</v>
      </c>
    </row>
    <row r="885" spans="1:7" hidden="1">
      <c r="A885" t="str">
        <f>Sinistrés!H890</f>
        <v>Blé tendre d'hiver</v>
      </c>
      <c r="B885">
        <f>Sinistrés!J890</f>
        <v>81982.62</v>
      </c>
      <c r="C885">
        <f>Sinistrés!X890</f>
        <v>0</v>
      </c>
      <c r="D885">
        <f>Sinistrés!L890</f>
        <v>100.4</v>
      </c>
      <c r="E885">
        <f>Sinistrés!M890</f>
        <v>100.4</v>
      </c>
      <c r="F885">
        <f t="shared" si="26"/>
        <v>0</v>
      </c>
      <c r="G885">
        <f t="shared" si="27"/>
        <v>1</v>
      </c>
    </row>
    <row r="886" spans="1:7" hidden="1">
      <c r="A886" t="str">
        <f>Sinistrés!H891</f>
        <v>Colza d'hiver</v>
      </c>
      <c r="B886">
        <f>Sinistrés!J891</f>
        <v>45364.7</v>
      </c>
      <c r="C886">
        <f>Sinistrés!X891</f>
        <v>0</v>
      </c>
      <c r="D886">
        <f>Sinistrés!L891</f>
        <v>33.44</v>
      </c>
      <c r="E886">
        <f>Sinistrés!M891</f>
        <v>33.44</v>
      </c>
      <c r="F886">
        <f t="shared" si="26"/>
        <v>0</v>
      </c>
      <c r="G886">
        <f t="shared" si="27"/>
        <v>1</v>
      </c>
    </row>
    <row r="887" spans="1:7" hidden="1">
      <c r="A887" t="str">
        <f>Sinistrés!H892</f>
        <v>Blé tendre d'hiver</v>
      </c>
      <c r="B887">
        <f>Sinistrés!J892</f>
        <v>56607.040000000001</v>
      </c>
      <c r="C887">
        <f>Sinistrés!X892</f>
        <v>0</v>
      </c>
      <c r="D887">
        <f>Sinistrés!L892</f>
        <v>51.8</v>
      </c>
      <c r="E887">
        <f>Sinistrés!M892</f>
        <v>51.8</v>
      </c>
      <c r="F887">
        <f t="shared" si="26"/>
        <v>0</v>
      </c>
      <c r="G887">
        <f t="shared" si="27"/>
        <v>1</v>
      </c>
    </row>
    <row r="888" spans="1:7" hidden="1">
      <c r="A888" t="str">
        <f>Sinistrés!H893</f>
        <v>Blé tendre d'hiver</v>
      </c>
      <c r="B888">
        <f>Sinistrés!J893</f>
        <v>53960</v>
      </c>
      <c r="C888">
        <f>Sinistrés!X893</f>
        <v>0</v>
      </c>
      <c r="D888">
        <f>Sinistrés!L893</f>
        <v>50</v>
      </c>
      <c r="E888">
        <f>Sinistrés!M893</f>
        <v>59.35</v>
      </c>
      <c r="F888">
        <f t="shared" si="26"/>
        <v>0</v>
      </c>
      <c r="G888">
        <f t="shared" si="27"/>
        <v>1.1870000000000001</v>
      </c>
    </row>
    <row r="889" spans="1:7" hidden="1">
      <c r="A889" t="str">
        <f>Sinistrés!H894</f>
        <v>Colza d'hiver</v>
      </c>
      <c r="B889">
        <f>Sinistrés!J894</f>
        <v>25620</v>
      </c>
      <c r="C889">
        <f>Sinistrés!X894</f>
        <v>0</v>
      </c>
      <c r="D889">
        <f>Sinistrés!L894</f>
        <v>30</v>
      </c>
      <c r="E889">
        <f>Sinistrés!M894</f>
        <v>27.6</v>
      </c>
      <c r="F889">
        <f t="shared" si="26"/>
        <v>0</v>
      </c>
      <c r="G889">
        <f t="shared" si="27"/>
        <v>0.92</v>
      </c>
    </row>
    <row r="890" spans="1:7" hidden="1">
      <c r="A890" t="str">
        <f>Sinistrés!H895</f>
        <v>Orge d'hiver</v>
      </c>
      <c r="B890">
        <f>Sinistrés!J895</f>
        <v>12889.5</v>
      </c>
      <c r="C890">
        <f>Sinistrés!X895</f>
        <v>0</v>
      </c>
      <c r="D890">
        <f>Sinistrés!L895</f>
        <v>15</v>
      </c>
      <c r="E890">
        <f>Sinistrés!M895</f>
        <v>20.03</v>
      </c>
      <c r="F890">
        <f t="shared" si="26"/>
        <v>0</v>
      </c>
      <c r="G890">
        <f t="shared" si="27"/>
        <v>1.3353333333333335</v>
      </c>
    </row>
    <row r="891" spans="1:7" hidden="1">
      <c r="A891" t="str">
        <f>Sinistrés!H896</f>
        <v>Lin oléagineux</v>
      </c>
      <c r="B891">
        <f>Sinistrés!J896</f>
        <v>5122</v>
      </c>
      <c r="C891">
        <f>Sinistrés!X896</f>
        <v>0</v>
      </c>
      <c r="D891">
        <f>Sinistrés!L896</f>
        <v>6.5</v>
      </c>
      <c r="E891">
        <f>Sinistrés!M896</f>
        <v>6.34</v>
      </c>
      <c r="F891">
        <f t="shared" si="26"/>
        <v>0</v>
      </c>
      <c r="G891">
        <f t="shared" si="27"/>
        <v>0.97538461538461541</v>
      </c>
    </row>
    <row r="892" spans="1:7" hidden="1">
      <c r="A892" t="str">
        <f>Sinistrés!H897</f>
        <v>Féveroles et fèves</v>
      </c>
      <c r="B892">
        <f>Sinistrés!J897</f>
        <v>2926</v>
      </c>
      <c r="C892">
        <f>Sinistrés!X897</f>
        <v>0</v>
      </c>
      <c r="D892">
        <f>Sinistrés!L897</f>
        <v>5</v>
      </c>
      <c r="E892">
        <f>Sinistrés!M897</f>
        <v>2.97</v>
      </c>
      <c r="F892">
        <f t="shared" si="26"/>
        <v>0</v>
      </c>
      <c r="G892">
        <f t="shared" si="27"/>
        <v>0.59400000000000008</v>
      </c>
    </row>
    <row r="893" spans="1:7">
      <c r="A893" t="str">
        <f>Sinistrés!H898</f>
        <v>Tournesol</v>
      </c>
      <c r="B893">
        <f>Sinistrés!J898</f>
        <v>11014.97</v>
      </c>
      <c r="C893">
        <f>Sinistrés!X898</f>
        <v>55.74</v>
      </c>
      <c r="D893">
        <f>Sinistrés!L898</f>
        <v>9.91</v>
      </c>
      <c r="E893">
        <f>Sinistrés!M898</f>
        <v>9.91</v>
      </c>
      <c r="F893">
        <f t="shared" si="26"/>
        <v>5.0603860019591525E-3</v>
      </c>
      <c r="G893">
        <f t="shared" si="27"/>
        <v>1</v>
      </c>
    </row>
    <row r="894" spans="1:7" hidden="1">
      <c r="A894" t="str">
        <f>Sinistrés!H899</f>
        <v>Blé tendre d'hiver</v>
      </c>
      <c r="B894">
        <f>Sinistrés!J899</f>
        <v>24409.79</v>
      </c>
      <c r="C894">
        <f>Sinistrés!X899</f>
        <v>0</v>
      </c>
      <c r="D894">
        <f>Sinistrés!L899</f>
        <v>20.66</v>
      </c>
      <c r="E894">
        <f>Sinistrés!M899</f>
        <v>20.66</v>
      </c>
      <c r="F894">
        <f t="shared" si="26"/>
        <v>0</v>
      </c>
      <c r="G894">
        <f t="shared" si="27"/>
        <v>1</v>
      </c>
    </row>
    <row r="895" spans="1:7" hidden="1">
      <c r="A895" t="str">
        <f>Sinistrés!H900</f>
        <v>Colza d'hiver</v>
      </c>
      <c r="B895">
        <f>Sinistrés!J900</f>
        <v>15537.6</v>
      </c>
      <c r="C895">
        <f>Sinistrés!X900</f>
        <v>0</v>
      </c>
      <c r="D895">
        <f>Sinistrés!L900</f>
        <v>13.28</v>
      </c>
      <c r="E895">
        <f>Sinistrés!M900</f>
        <v>13.28</v>
      </c>
      <c r="F895">
        <f t="shared" si="26"/>
        <v>0</v>
      </c>
      <c r="G895">
        <f t="shared" si="27"/>
        <v>1</v>
      </c>
    </row>
    <row r="896" spans="1:7">
      <c r="A896" t="str">
        <f>Sinistrés!H901</f>
        <v>Avoine d'hiver</v>
      </c>
      <c r="B896">
        <f>Sinistrés!J901</f>
        <v>4654.07</v>
      </c>
      <c r="C896">
        <f>Sinistrés!X901</f>
        <v>474.67</v>
      </c>
      <c r="D896">
        <f>Sinistrés!L901</f>
        <v>8.24</v>
      </c>
      <c r="E896">
        <f>Sinistrés!M901</f>
        <v>8.23</v>
      </c>
      <c r="F896">
        <f t="shared" si="26"/>
        <v>0.10199030096238347</v>
      </c>
      <c r="G896">
        <f t="shared" si="27"/>
        <v>0.99878640776699035</v>
      </c>
    </row>
    <row r="897" spans="1:7">
      <c r="A897" t="str">
        <f>Sinistrés!H902</f>
        <v>Triticale</v>
      </c>
      <c r="B897">
        <f>Sinistrés!J902</f>
        <v>7130.45</v>
      </c>
      <c r="C897">
        <f>Sinistrés!X902</f>
        <v>224.99</v>
      </c>
      <c r="D897">
        <f>Sinistrés!L902</f>
        <v>8.6999999999999993</v>
      </c>
      <c r="E897">
        <f>Sinistrés!M902</f>
        <v>8.7899999999999991</v>
      </c>
      <c r="F897">
        <f t="shared" si="26"/>
        <v>3.1553408270165277E-2</v>
      </c>
      <c r="G897">
        <f t="shared" si="27"/>
        <v>1.0103448275862068</v>
      </c>
    </row>
    <row r="898" spans="1:7">
      <c r="A898" t="str">
        <f>Sinistrés!H903</f>
        <v>Blé tendre d'hiver</v>
      </c>
      <c r="B898">
        <f>Sinistrés!J903</f>
        <v>12502.68</v>
      </c>
      <c r="C898">
        <f>Sinistrés!X903</f>
        <v>843.47</v>
      </c>
      <c r="D898">
        <f>Sinistrés!L903</f>
        <v>11.66</v>
      </c>
      <c r="E898">
        <f>Sinistrés!M903</f>
        <v>11.77</v>
      </c>
      <c r="F898">
        <f t="shared" si="26"/>
        <v>6.746313590366225E-2</v>
      </c>
      <c r="G898">
        <f t="shared" si="27"/>
        <v>1.0094339622641508</v>
      </c>
    </row>
    <row r="899" spans="1:7">
      <c r="A899" t="str">
        <f>Sinistrés!H904</f>
        <v>Orge d'hiver</v>
      </c>
      <c r="B899">
        <f>Sinistrés!J904</f>
        <v>13397.06</v>
      </c>
      <c r="C899">
        <f>Sinistrés!X904</f>
        <v>543.29999999999995</v>
      </c>
      <c r="D899">
        <f>Sinistrés!L904</f>
        <v>14.07</v>
      </c>
      <c r="E899">
        <f>Sinistrés!M904</f>
        <v>14.12</v>
      </c>
      <c r="F899">
        <f t="shared" ref="F899:F962" si="28">C899/B899</f>
        <v>4.0553673716472123E-2</v>
      </c>
      <c r="G899">
        <f t="shared" ref="G899:G962" si="29">E899/D899</f>
        <v>1.0035536602700781</v>
      </c>
    </row>
    <row r="900" spans="1:7">
      <c r="A900" t="str">
        <f>Sinistrés!H905</f>
        <v>Pois protéagineux</v>
      </c>
      <c r="B900">
        <f>Sinistrés!J905</f>
        <v>10303.200000000001</v>
      </c>
      <c r="C900">
        <f>Sinistrés!X905</f>
        <v>4121.28</v>
      </c>
      <c r="D900">
        <f>Sinistrés!L905</f>
        <v>14.25</v>
      </c>
      <c r="E900">
        <f>Sinistrés!M905</f>
        <v>14.31</v>
      </c>
      <c r="F900">
        <f t="shared" si="28"/>
        <v>0.39999999999999997</v>
      </c>
      <c r="G900">
        <f t="shared" si="29"/>
        <v>1.0042105263157894</v>
      </c>
    </row>
    <row r="901" spans="1:7" hidden="1">
      <c r="A901" t="str">
        <f>Sinistrés!H906</f>
        <v>Blé tendre d'hiver</v>
      </c>
      <c r="B901">
        <f>Sinistrés!J906</f>
        <v>27839.040000000001</v>
      </c>
      <c r="C901">
        <f>Sinistrés!X906</f>
        <v>0</v>
      </c>
      <c r="D901">
        <f>Sinistrés!L906</f>
        <v>24.68</v>
      </c>
      <c r="E901">
        <f>Sinistrés!M906</f>
        <v>24.68</v>
      </c>
      <c r="F901">
        <f t="shared" si="28"/>
        <v>0</v>
      </c>
      <c r="G901">
        <f t="shared" si="29"/>
        <v>1</v>
      </c>
    </row>
    <row r="902" spans="1:7" hidden="1">
      <c r="A902" t="str">
        <f>Sinistrés!H907</f>
        <v>Blé dur d'hiver</v>
      </c>
      <c r="B902">
        <f>Sinistrés!J907</f>
        <v>9182.7999999999993</v>
      </c>
      <c r="C902">
        <f>Sinistrés!X907</f>
        <v>0</v>
      </c>
      <c r="D902">
        <f>Sinistrés!L907</f>
        <v>11.27</v>
      </c>
      <c r="E902">
        <f>Sinistrés!M907</f>
        <v>11.27</v>
      </c>
      <c r="F902">
        <f t="shared" si="28"/>
        <v>0</v>
      </c>
      <c r="G902">
        <f t="shared" si="29"/>
        <v>1</v>
      </c>
    </row>
    <row r="903" spans="1:7" hidden="1">
      <c r="A903" t="str">
        <f>Sinistrés!H908</f>
        <v>Colza d'hiver</v>
      </c>
      <c r="B903">
        <f>Sinistrés!J908</f>
        <v>17614.8</v>
      </c>
      <c r="C903">
        <f>Sinistrés!X908</f>
        <v>0</v>
      </c>
      <c r="D903">
        <f>Sinistrés!L908</f>
        <v>13.98</v>
      </c>
      <c r="E903">
        <f>Sinistrés!M908</f>
        <v>13.98</v>
      </c>
      <c r="F903">
        <f t="shared" si="28"/>
        <v>0</v>
      </c>
      <c r="G903">
        <f t="shared" si="29"/>
        <v>1</v>
      </c>
    </row>
    <row r="904" spans="1:7" hidden="1">
      <c r="A904" t="str">
        <f>Sinistrés!H909</f>
        <v>Orge de printemps</v>
      </c>
      <c r="B904">
        <f>Sinistrés!J909</f>
        <v>14819.2</v>
      </c>
      <c r="C904">
        <f>Sinistrés!X909</f>
        <v>0</v>
      </c>
      <c r="D904">
        <f>Sinistrés!L909</f>
        <v>16.84</v>
      </c>
      <c r="E904">
        <f>Sinistrés!M909</f>
        <v>16.84</v>
      </c>
      <c r="F904">
        <f t="shared" si="28"/>
        <v>0</v>
      </c>
      <c r="G904">
        <f t="shared" si="29"/>
        <v>1</v>
      </c>
    </row>
    <row r="905" spans="1:7" hidden="1">
      <c r="A905" t="str">
        <f>Sinistrés!H910</f>
        <v>Blé tendre d'hiver</v>
      </c>
      <c r="B905">
        <f>Sinistrés!J910</f>
        <v>86227.39</v>
      </c>
      <c r="C905">
        <f>Sinistrés!X910</f>
        <v>0</v>
      </c>
      <c r="D905">
        <f>Sinistrés!L910</f>
        <v>78.739999999999995</v>
      </c>
      <c r="E905">
        <f>Sinistrés!M910</f>
        <v>56.37</v>
      </c>
      <c r="F905">
        <f t="shared" si="28"/>
        <v>0</v>
      </c>
      <c r="G905">
        <f t="shared" si="29"/>
        <v>0.7159004318008636</v>
      </c>
    </row>
    <row r="906" spans="1:7">
      <c r="A906" t="str">
        <f>Sinistrés!H911</f>
        <v>Triticale</v>
      </c>
      <c r="B906">
        <f>Sinistrés!J911</f>
        <v>19622.740000000002</v>
      </c>
      <c r="C906">
        <f>Sinistrés!X911</f>
        <v>3377.29</v>
      </c>
      <c r="D906">
        <f>Sinistrés!L911</f>
        <v>24.72</v>
      </c>
      <c r="E906">
        <f>Sinistrés!M911</f>
        <v>24.72</v>
      </c>
      <c r="F906">
        <f t="shared" si="28"/>
        <v>0.17211103036578987</v>
      </c>
      <c r="G906">
        <f t="shared" si="29"/>
        <v>1</v>
      </c>
    </row>
    <row r="907" spans="1:7">
      <c r="A907" t="str">
        <f>Sinistrés!H912</f>
        <v>Blé tendre d'hiver</v>
      </c>
      <c r="B907">
        <f>Sinistrés!J912</f>
        <v>87282</v>
      </c>
      <c r="C907">
        <f>Sinistrés!X912</f>
        <v>7920.66</v>
      </c>
      <c r="D907">
        <f>Sinistrés!L912</f>
        <v>89.52</v>
      </c>
      <c r="E907">
        <f>Sinistrés!M912</f>
        <v>89.52</v>
      </c>
      <c r="F907">
        <f t="shared" si="28"/>
        <v>9.0747920533443313E-2</v>
      </c>
      <c r="G907">
        <f t="shared" si="29"/>
        <v>1</v>
      </c>
    </row>
    <row r="908" spans="1:7">
      <c r="A908" t="str">
        <f>Sinistrés!H913</f>
        <v>Colza d'hiver</v>
      </c>
      <c r="B908">
        <f>Sinistrés!J913</f>
        <v>17337.599999999999</v>
      </c>
      <c r="C908">
        <f>Sinistrés!X913</f>
        <v>1582.63</v>
      </c>
      <c r="D908">
        <f>Sinistrés!L913</f>
        <v>20.64</v>
      </c>
      <c r="E908">
        <f>Sinistrés!M913</f>
        <v>20.64</v>
      </c>
      <c r="F908">
        <f t="shared" si="28"/>
        <v>9.128310723514213E-2</v>
      </c>
      <c r="G908">
        <f t="shared" si="29"/>
        <v>1</v>
      </c>
    </row>
    <row r="909" spans="1:7" hidden="1">
      <c r="A909" t="str">
        <f>Sinistrés!H914</f>
        <v>Blé tendre d'hiver</v>
      </c>
      <c r="B909">
        <f>Sinistrés!J914</f>
        <v>104566.15</v>
      </c>
      <c r="C909">
        <f>Sinistrés!X914</f>
        <v>0</v>
      </c>
      <c r="D909">
        <f>Sinistrés!L914</f>
        <v>94.63</v>
      </c>
      <c r="E909">
        <f>Sinistrés!M914</f>
        <v>94.63</v>
      </c>
      <c r="F909">
        <f t="shared" si="28"/>
        <v>0</v>
      </c>
      <c r="G909">
        <f t="shared" si="29"/>
        <v>1</v>
      </c>
    </row>
    <row r="910" spans="1:7" hidden="1">
      <c r="A910" t="str">
        <f>Sinistrés!H915</f>
        <v>Colza d'hiver</v>
      </c>
      <c r="B910">
        <f>Sinistrés!J915</f>
        <v>100175.4</v>
      </c>
      <c r="C910">
        <f>Sinistrés!X915</f>
        <v>0</v>
      </c>
      <c r="D910">
        <f>Sinistrés!L915</f>
        <v>71.349999999999994</v>
      </c>
      <c r="E910">
        <f>Sinistrés!M915</f>
        <v>71.349999999999994</v>
      </c>
      <c r="F910">
        <f t="shared" si="28"/>
        <v>0</v>
      </c>
      <c r="G910">
        <f t="shared" si="29"/>
        <v>1</v>
      </c>
    </row>
    <row r="911" spans="1:7" hidden="1">
      <c r="A911" t="str">
        <f>Sinistrés!H916</f>
        <v>Féveroles et fèves</v>
      </c>
      <c r="B911">
        <f>Sinistrés!J916</f>
        <v>6953.8</v>
      </c>
      <c r="C911">
        <f>Sinistrés!X916</f>
        <v>0</v>
      </c>
      <c r="D911">
        <f>Sinistrés!L916</f>
        <v>20.77</v>
      </c>
      <c r="E911">
        <f>Sinistrés!M916</f>
        <v>20.77</v>
      </c>
      <c r="F911">
        <f t="shared" si="28"/>
        <v>0</v>
      </c>
      <c r="G911">
        <f t="shared" si="29"/>
        <v>1</v>
      </c>
    </row>
    <row r="912" spans="1:7" hidden="1">
      <c r="A912" t="str">
        <f>Sinistrés!H917</f>
        <v>Orge de printemps</v>
      </c>
      <c r="B912">
        <f>Sinistrés!J917</f>
        <v>23122.94</v>
      </c>
      <c r="C912">
        <f>Sinistrés!X917</f>
        <v>0</v>
      </c>
      <c r="D912">
        <f>Sinistrés!L917</f>
        <v>30.88</v>
      </c>
      <c r="E912">
        <f>Sinistrés!M917</f>
        <v>30.88</v>
      </c>
      <c r="F912">
        <f t="shared" si="28"/>
        <v>0</v>
      </c>
      <c r="G912">
        <f t="shared" si="29"/>
        <v>1</v>
      </c>
    </row>
    <row r="913" spans="1:7" hidden="1">
      <c r="A913" t="str">
        <f>Sinistrés!H918</f>
        <v>Orge d'hiver</v>
      </c>
      <c r="B913">
        <f>Sinistrés!J918</f>
        <v>33768</v>
      </c>
      <c r="C913">
        <f>Sinistrés!X918</f>
        <v>0</v>
      </c>
      <c r="D913">
        <f>Sinistrés!L918</f>
        <v>37.520000000000003</v>
      </c>
      <c r="E913">
        <f>Sinistrés!M918</f>
        <v>37.520000000000003</v>
      </c>
      <c r="F913">
        <f t="shared" si="28"/>
        <v>0</v>
      </c>
      <c r="G913">
        <f t="shared" si="29"/>
        <v>1</v>
      </c>
    </row>
    <row r="914" spans="1:7" hidden="1">
      <c r="A914" t="str">
        <f>Sinistrés!H919</f>
        <v>Pois protéagineux</v>
      </c>
      <c r="B914">
        <f>Sinistrés!J919</f>
        <v>13212.4</v>
      </c>
      <c r="C914">
        <f>Sinistrés!X919</f>
        <v>0</v>
      </c>
      <c r="D914">
        <f>Sinistrés!L919</f>
        <v>29</v>
      </c>
      <c r="E914">
        <f>Sinistrés!M919</f>
        <v>29</v>
      </c>
      <c r="F914">
        <f t="shared" si="28"/>
        <v>0</v>
      </c>
      <c r="G914">
        <f t="shared" si="29"/>
        <v>1</v>
      </c>
    </row>
    <row r="915" spans="1:7">
      <c r="A915" t="str">
        <f>Sinistrés!H920</f>
        <v>Blé tendre d'hiver</v>
      </c>
      <c r="B915">
        <f>Sinistrés!J920</f>
        <v>30784.799999999999</v>
      </c>
      <c r="C915">
        <f>Sinistrés!X920</f>
        <v>2463.58</v>
      </c>
      <c r="D915">
        <f>Sinistrés!L920</f>
        <v>23.08</v>
      </c>
      <c r="E915">
        <f>Sinistrés!M920</f>
        <v>23.08</v>
      </c>
      <c r="F915">
        <f t="shared" si="28"/>
        <v>8.0025856916400295E-2</v>
      </c>
      <c r="G915">
        <f t="shared" si="29"/>
        <v>1</v>
      </c>
    </row>
    <row r="916" spans="1:7" hidden="1">
      <c r="A916" t="str">
        <f>Sinistrés!H921</f>
        <v>Colza d'hiver</v>
      </c>
      <c r="B916">
        <f>Sinistrés!J921</f>
        <v>7673.6</v>
      </c>
      <c r="C916">
        <f>Sinistrés!X921</f>
        <v>0</v>
      </c>
      <c r="D916">
        <f>Sinistrés!L921</f>
        <v>10.9</v>
      </c>
      <c r="E916">
        <f>Sinistrés!M921</f>
        <v>10.9</v>
      </c>
      <c r="F916">
        <f t="shared" si="28"/>
        <v>0</v>
      </c>
      <c r="G916">
        <f t="shared" si="29"/>
        <v>1</v>
      </c>
    </row>
    <row r="917" spans="1:7" hidden="1">
      <c r="A917" t="str">
        <f>Sinistrés!H922</f>
        <v>Féveroles et fèves</v>
      </c>
      <c r="B917">
        <f>Sinistrés!J922</f>
        <v>2294.25</v>
      </c>
      <c r="C917">
        <f>Sinistrés!X922</f>
        <v>0</v>
      </c>
      <c r="D917">
        <f>Sinistrés!L922</f>
        <v>4.75</v>
      </c>
      <c r="E917">
        <f>Sinistrés!M922</f>
        <v>4.75</v>
      </c>
      <c r="F917">
        <f t="shared" si="28"/>
        <v>0</v>
      </c>
      <c r="G917">
        <f t="shared" si="29"/>
        <v>1</v>
      </c>
    </row>
    <row r="918" spans="1:7">
      <c r="A918" t="str">
        <f>Sinistrés!H923</f>
        <v>Tournesol</v>
      </c>
      <c r="B918">
        <f>Sinistrés!J923</f>
        <v>13615.68</v>
      </c>
      <c r="C918">
        <f>Sinistrés!X923</f>
        <v>1523.91</v>
      </c>
      <c r="D918">
        <f>Sinistrés!L923</f>
        <v>10.91</v>
      </c>
      <c r="E918">
        <f>Sinistrés!M923</f>
        <v>10.91</v>
      </c>
      <c r="F918">
        <f t="shared" si="28"/>
        <v>0.11192316505675809</v>
      </c>
      <c r="G918">
        <f t="shared" si="29"/>
        <v>1</v>
      </c>
    </row>
    <row r="919" spans="1:7">
      <c r="A919" t="str">
        <f>Sinistrés!H924</f>
        <v>Orge d'hiver</v>
      </c>
      <c r="B919">
        <f>Sinistrés!J924</f>
        <v>10878.34</v>
      </c>
      <c r="C919">
        <f>Sinistrés!X924</f>
        <v>1059.74</v>
      </c>
      <c r="D919">
        <f>Sinistrés!L924</f>
        <v>10.64</v>
      </c>
      <c r="E919">
        <f>Sinistrés!M924</f>
        <v>10.64</v>
      </c>
      <c r="F919">
        <f t="shared" si="28"/>
        <v>9.7417436851578457E-2</v>
      </c>
      <c r="G919">
        <f t="shared" si="29"/>
        <v>1</v>
      </c>
    </row>
    <row r="920" spans="1:7" hidden="1">
      <c r="A920" t="str">
        <f>Sinistrés!H925</f>
        <v>Blé tendre d'hiver</v>
      </c>
      <c r="B920">
        <f>Sinistrés!J925</f>
        <v>73427.210000000006</v>
      </c>
      <c r="C920">
        <f>Sinistrés!X925</f>
        <v>0</v>
      </c>
      <c r="D920">
        <f>Sinistrés!L925</f>
        <v>55.04</v>
      </c>
      <c r="E920">
        <f>Sinistrés!M925</f>
        <v>55.04</v>
      </c>
      <c r="F920">
        <f t="shared" si="28"/>
        <v>0</v>
      </c>
      <c r="G920">
        <f t="shared" si="29"/>
        <v>1</v>
      </c>
    </row>
    <row r="921" spans="1:7" hidden="1">
      <c r="A921" t="str">
        <f>Sinistrés!H926</f>
        <v>Colza d'hiver</v>
      </c>
      <c r="B921">
        <f>Sinistrés!J926</f>
        <v>31701.599999999999</v>
      </c>
      <c r="C921">
        <f>Sinistrés!X926</f>
        <v>0</v>
      </c>
      <c r="D921">
        <f>Sinistrés!L926</f>
        <v>20.72</v>
      </c>
      <c r="E921">
        <f>Sinistrés!M926</f>
        <v>20.72</v>
      </c>
      <c r="F921">
        <f t="shared" si="28"/>
        <v>0</v>
      </c>
      <c r="G921">
        <f t="shared" si="29"/>
        <v>1</v>
      </c>
    </row>
    <row r="922" spans="1:7" hidden="1">
      <c r="A922" t="str">
        <f>Sinistrés!H927</f>
        <v>Maïs ensilage non irrigué</v>
      </c>
      <c r="B922">
        <f>Sinistrés!J927</f>
        <v>30464.93</v>
      </c>
      <c r="C922">
        <f>Sinistrés!X927</f>
        <v>0</v>
      </c>
      <c r="D922">
        <f>Sinistrés!L927</f>
        <v>24.91</v>
      </c>
      <c r="E922">
        <f>Sinistrés!M927</f>
        <v>24.91</v>
      </c>
      <c r="F922">
        <f t="shared" si="28"/>
        <v>0</v>
      </c>
      <c r="G922">
        <f t="shared" si="29"/>
        <v>1</v>
      </c>
    </row>
    <row r="923" spans="1:7" hidden="1">
      <c r="A923" t="str">
        <f>Sinistrés!H928</f>
        <v>Colza d'hiver</v>
      </c>
      <c r="B923">
        <f>Sinistrés!J928</f>
        <v>39767.49</v>
      </c>
      <c r="C923">
        <f>Sinistrés!X928</f>
        <v>0</v>
      </c>
      <c r="D923">
        <f>Sinistrés!L928</f>
        <v>23.82</v>
      </c>
      <c r="E923">
        <f>Sinistrés!M928</f>
        <v>23.8</v>
      </c>
      <c r="F923">
        <f t="shared" si="28"/>
        <v>0</v>
      </c>
      <c r="G923">
        <f t="shared" si="29"/>
        <v>0.99916036943744757</v>
      </c>
    </row>
    <row r="924" spans="1:7" hidden="1">
      <c r="A924" t="str">
        <f>Sinistrés!H929</f>
        <v>Tournesol</v>
      </c>
      <c r="B924">
        <f>Sinistrés!J929</f>
        <v>10098</v>
      </c>
      <c r="C924">
        <f>Sinistrés!X929</f>
        <v>0</v>
      </c>
      <c r="D924">
        <f>Sinistrés!L929</f>
        <v>11</v>
      </c>
      <c r="E924">
        <f>Sinistrés!M929</f>
        <v>11</v>
      </c>
      <c r="F924">
        <f t="shared" si="28"/>
        <v>0</v>
      </c>
      <c r="G924">
        <f t="shared" si="29"/>
        <v>1</v>
      </c>
    </row>
    <row r="925" spans="1:7" hidden="1">
      <c r="A925" t="str">
        <f>Sinistrés!H930</f>
        <v>Maïs ensilage non irrigué</v>
      </c>
      <c r="B925">
        <f>Sinistrés!J930</f>
        <v>28587.19</v>
      </c>
      <c r="C925">
        <f>Sinistrés!X930</f>
        <v>0</v>
      </c>
      <c r="D925">
        <f>Sinistrés!L930</f>
        <v>24.85</v>
      </c>
      <c r="E925">
        <f>Sinistrés!M930</f>
        <v>20.85</v>
      </c>
      <c r="F925">
        <f t="shared" si="28"/>
        <v>0</v>
      </c>
      <c r="G925">
        <f t="shared" si="29"/>
        <v>0.83903420523138839</v>
      </c>
    </row>
    <row r="926" spans="1:7" hidden="1">
      <c r="A926" t="str">
        <f>Sinistrés!H931</f>
        <v>Blé de force</v>
      </c>
      <c r="B926">
        <f>Sinistrés!J931</f>
        <v>6708.8</v>
      </c>
      <c r="C926">
        <f>Sinistrés!X931</f>
        <v>0</v>
      </c>
      <c r="D926">
        <f>Sinistrés!L931</f>
        <v>5</v>
      </c>
      <c r="E926">
        <f>Sinistrés!M931</f>
        <v>5</v>
      </c>
      <c r="F926">
        <f t="shared" si="28"/>
        <v>0</v>
      </c>
      <c r="G926">
        <f t="shared" si="29"/>
        <v>1</v>
      </c>
    </row>
    <row r="927" spans="1:7" hidden="1">
      <c r="A927" t="str">
        <f>Sinistrés!H932</f>
        <v>Blé tendre d'hiver</v>
      </c>
      <c r="B927">
        <f>Sinistrés!J932</f>
        <v>64510.78</v>
      </c>
      <c r="C927">
        <f>Sinistrés!X932</f>
        <v>0</v>
      </c>
      <c r="D927">
        <f>Sinistrés!L932</f>
        <v>42.87</v>
      </c>
      <c r="E927">
        <f>Sinistrés!M932</f>
        <v>42.87</v>
      </c>
      <c r="F927">
        <f t="shared" si="28"/>
        <v>0</v>
      </c>
      <c r="G927">
        <f t="shared" si="29"/>
        <v>1</v>
      </c>
    </row>
    <row r="928" spans="1:7" hidden="1">
      <c r="A928" t="str">
        <f>Sinistrés!H933</f>
        <v>Triticale</v>
      </c>
      <c r="B928">
        <f>Sinistrés!J933</f>
        <v>10730.91</v>
      </c>
      <c r="C928">
        <f>Sinistrés!X933</f>
        <v>0</v>
      </c>
      <c r="D928">
        <f>Sinistrés!L933</f>
        <v>14.02</v>
      </c>
      <c r="E928">
        <f>Sinistrés!M933</f>
        <v>14.02</v>
      </c>
      <c r="F928">
        <f t="shared" si="28"/>
        <v>0</v>
      </c>
      <c r="G928">
        <f t="shared" si="29"/>
        <v>1</v>
      </c>
    </row>
    <row r="929" spans="1:7" hidden="1">
      <c r="A929" t="str">
        <f>Sinistrés!H934</f>
        <v>Blé tendre d'hiver</v>
      </c>
      <c r="B929">
        <f>Sinistrés!J934</f>
        <v>14641</v>
      </c>
      <c r="C929">
        <f>Sinistrés!X934</f>
        <v>0</v>
      </c>
      <c r="D929">
        <f>Sinistrés!L934</f>
        <v>12.1</v>
      </c>
      <c r="E929">
        <f>Sinistrés!M934</f>
        <v>12.1</v>
      </c>
      <c r="F929">
        <f t="shared" si="28"/>
        <v>0</v>
      </c>
      <c r="G929">
        <f t="shared" si="29"/>
        <v>1</v>
      </c>
    </row>
    <row r="930" spans="1:7" hidden="1">
      <c r="A930" t="str">
        <f>Sinistrés!H935</f>
        <v>Pois protéagineux</v>
      </c>
      <c r="B930">
        <f>Sinistrés!J935</f>
        <v>5119.66</v>
      </c>
      <c r="C930">
        <f>Sinistrés!X935</f>
        <v>0</v>
      </c>
      <c r="D930">
        <f>Sinistrés!L935</f>
        <v>3.88</v>
      </c>
      <c r="E930">
        <f>Sinistrés!M935</f>
        <v>3.88</v>
      </c>
      <c r="F930">
        <f t="shared" si="28"/>
        <v>0</v>
      </c>
      <c r="G930">
        <f t="shared" si="29"/>
        <v>1</v>
      </c>
    </row>
    <row r="931" spans="1:7">
      <c r="A931" t="str">
        <f>Sinistrés!H936</f>
        <v>Tournesol</v>
      </c>
      <c r="B931">
        <f>Sinistrés!J936</f>
        <v>19481</v>
      </c>
      <c r="C931">
        <f>Sinistrés!X936</f>
        <v>6856.16</v>
      </c>
      <c r="D931">
        <f>Sinistrés!L936</f>
        <v>14</v>
      </c>
      <c r="E931">
        <f>Sinistrés!M936</f>
        <v>14</v>
      </c>
      <c r="F931">
        <f t="shared" si="28"/>
        <v>0.351940865458652</v>
      </c>
      <c r="G931">
        <f t="shared" si="29"/>
        <v>1</v>
      </c>
    </row>
    <row r="932" spans="1:7" hidden="1">
      <c r="A932" t="str">
        <f>Sinistrés!H937</f>
        <v>Orge d'hiver</v>
      </c>
      <c r="B932">
        <f>Sinistrés!J937</f>
        <v>23740.5</v>
      </c>
      <c r="C932">
        <f>Sinistrés!X937</f>
        <v>0</v>
      </c>
      <c r="D932">
        <f>Sinistrés!L937</f>
        <v>22.61</v>
      </c>
      <c r="E932">
        <f>Sinistrés!M937</f>
        <v>22.61</v>
      </c>
      <c r="F932">
        <f t="shared" si="28"/>
        <v>0</v>
      </c>
      <c r="G932">
        <f t="shared" si="29"/>
        <v>1</v>
      </c>
    </row>
    <row r="933" spans="1:7">
      <c r="A933" t="str">
        <f>Sinistrés!H938</f>
        <v>Blé tendre d'hiver</v>
      </c>
      <c r="B933">
        <f>Sinistrés!J938</f>
        <v>49285.57</v>
      </c>
      <c r="C933">
        <f>Sinistrés!X938</f>
        <v>16256.22</v>
      </c>
      <c r="D933">
        <f>Sinistrés!L938</f>
        <v>42.44</v>
      </c>
      <c r="E933">
        <f>Sinistrés!M938</f>
        <v>42.44</v>
      </c>
      <c r="F933">
        <f t="shared" si="28"/>
        <v>0.32983731343677264</v>
      </c>
      <c r="G933">
        <f t="shared" si="29"/>
        <v>1</v>
      </c>
    </row>
    <row r="934" spans="1:7" hidden="1">
      <c r="A934" t="str">
        <f>Sinistrés!H939</f>
        <v>Colza d'hiver</v>
      </c>
      <c r="B934">
        <f>Sinistrés!J939</f>
        <v>13060.58</v>
      </c>
      <c r="C934">
        <f>Sinistrés!X939</f>
        <v>0</v>
      </c>
      <c r="D934">
        <f>Sinistrés!L939</f>
        <v>9.5500000000000007</v>
      </c>
      <c r="E934">
        <f>Sinistrés!M939</f>
        <v>9.5500000000000007</v>
      </c>
      <c r="F934">
        <f t="shared" si="28"/>
        <v>0</v>
      </c>
      <c r="G934">
        <f t="shared" si="29"/>
        <v>1</v>
      </c>
    </row>
    <row r="935" spans="1:7">
      <c r="A935" t="str">
        <f>Sinistrés!H940</f>
        <v>Orge d'hiver</v>
      </c>
      <c r="B935">
        <f>Sinistrés!J940</f>
        <v>14697.21</v>
      </c>
      <c r="C935">
        <f>Sinistrés!X940</f>
        <v>5671.97</v>
      </c>
      <c r="D935">
        <f>Sinistrés!L940</f>
        <v>14.49</v>
      </c>
      <c r="E935">
        <f>Sinistrés!M940</f>
        <v>14.49</v>
      </c>
      <c r="F935">
        <f t="shared" si="28"/>
        <v>0.38592154565390308</v>
      </c>
      <c r="G935">
        <f t="shared" si="29"/>
        <v>1</v>
      </c>
    </row>
    <row r="936" spans="1:7">
      <c r="A936" t="str">
        <f>Sinistrés!H941</f>
        <v>Tournesol</v>
      </c>
      <c r="B936">
        <f>Sinistrés!J941</f>
        <v>38176.86</v>
      </c>
      <c r="C936">
        <f>Sinistrés!X941</f>
        <v>10359.89</v>
      </c>
      <c r="D936">
        <f>Sinistrés!L941</f>
        <v>28.03</v>
      </c>
      <c r="E936">
        <f>Sinistrés!M941</f>
        <v>28.03</v>
      </c>
      <c r="F936">
        <f t="shared" si="28"/>
        <v>0.27136569115427511</v>
      </c>
      <c r="G936">
        <f t="shared" si="29"/>
        <v>1</v>
      </c>
    </row>
    <row r="937" spans="1:7" hidden="1">
      <c r="A937" t="str">
        <f>Sinistrés!H942</f>
        <v>Blé tendre d'hiver</v>
      </c>
      <c r="B937">
        <f>Sinistrés!J942</f>
        <v>17880.91</v>
      </c>
      <c r="C937">
        <f>Sinistrés!X942</f>
        <v>0</v>
      </c>
      <c r="D937">
        <f>Sinistrés!L942</f>
        <v>10.9</v>
      </c>
      <c r="E937">
        <f>Sinistrés!M942</f>
        <v>10.9</v>
      </c>
      <c r="F937">
        <f t="shared" si="28"/>
        <v>0</v>
      </c>
      <c r="G937">
        <f t="shared" si="29"/>
        <v>1</v>
      </c>
    </row>
    <row r="938" spans="1:7">
      <c r="A938" t="str">
        <f>Sinistrés!H943</f>
        <v>Blé tendre d'hiver</v>
      </c>
      <c r="B938">
        <f>Sinistrés!J943</f>
        <v>58039.12</v>
      </c>
      <c r="C938">
        <f>Sinistrés!X943</f>
        <v>8198.9599999999991</v>
      </c>
      <c r="D938">
        <f>Sinistrés!L943</f>
        <v>35.380000000000003</v>
      </c>
      <c r="E938">
        <f>Sinistrés!M943</f>
        <v>35.380000000000003</v>
      </c>
      <c r="F938">
        <f t="shared" si="28"/>
        <v>0.14126609776302601</v>
      </c>
      <c r="G938">
        <f t="shared" si="29"/>
        <v>1</v>
      </c>
    </row>
    <row r="939" spans="1:7">
      <c r="A939" t="str">
        <f>Sinistrés!H944</f>
        <v>Orge d'hiver</v>
      </c>
      <c r="B939">
        <f>Sinistrés!J944</f>
        <v>24805.24</v>
      </c>
      <c r="C939">
        <f>Sinistrés!X944</f>
        <v>907.59</v>
      </c>
      <c r="D939">
        <f>Sinistrés!L944</f>
        <v>17.059999999999999</v>
      </c>
      <c r="E939">
        <f>Sinistrés!M944</f>
        <v>17.059999999999999</v>
      </c>
      <c r="F939">
        <f t="shared" si="28"/>
        <v>3.6588640142163509E-2</v>
      </c>
      <c r="G939">
        <f t="shared" si="29"/>
        <v>1</v>
      </c>
    </row>
    <row r="940" spans="1:7">
      <c r="A940" t="str">
        <f>Sinistrés!H945</f>
        <v>Pois protéagineux</v>
      </c>
      <c r="B940">
        <f>Sinistrés!J945</f>
        <v>5727.12</v>
      </c>
      <c r="C940">
        <f>Sinistrés!X945</f>
        <v>1799.6</v>
      </c>
      <c r="D940">
        <f>Sinistrés!L945</f>
        <v>4.82</v>
      </c>
      <c r="E940">
        <f>Sinistrés!M945</f>
        <v>4.82</v>
      </c>
      <c r="F940">
        <f t="shared" si="28"/>
        <v>0.31422425232926843</v>
      </c>
      <c r="G940">
        <f t="shared" si="29"/>
        <v>1</v>
      </c>
    </row>
    <row r="941" spans="1:7">
      <c r="A941" t="str">
        <f>Sinistrés!H946</f>
        <v>Tournesol</v>
      </c>
      <c r="B941">
        <f>Sinistrés!J946</f>
        <v>12482.68</v>
      </c>
      <c r="C941">
        <f>Sinistrés!X946</f>
        <v>1285.03</v>
      </c>
      <c r="D941">
        <f>Sinistrés!L946</f>
        <v>9.2100000000000009</v>
      </c>
      <c r="E941">
        <f>Sinistrés!M946</f>
        <v>2</v>
      </c>
      <c r="F941">
        <f t="shared" si="28"/>
        <v>0.10294504064832231</v>
      </c>
      <c r="G941">
        <f t="shared" si="29"/>
        <v>0.21715526601520085</v>
      </c>
    </row>
    <row r="942" spans="1:7">
      <c r="A942" t="str">
        <f>Sinistrés!H947</f>
        <v>Maïs grain non irrigué</v>
      </c>
      <c r="B942">
        <f>Sinistrés!J947</f>
        <v>9981.74</v>
      </c>
      <c r="C942">
        <f>Sinistrés!X947</f>
        <v>1267.3900000000001</v>
      </c>
      <c r="D942">
        <f>Sinistrés!L947</f>
        <v>7.67</v>
      </c>
      <c r="E942">
        <f>Sinistrés!M947</f>
        <v>7.23</v>
      </c>
      <c r="F942">
        <f t="shared" si="28"/>
        <v>0.12697084876985376</v>
      </c>
      <c r="G942">
        <f t="shared" si="29"/>
        <v>0.94263363754889185</v>
      </c>
    </row>
    <row r="943" spans="1:7">
      <c r="A943" t="str">
        <f>Sinistrés!H948</f>
        <v>Blé tendre d'hiver</v>
      </c>
      <c r="B943">
        <f>Sinistrés!J948</f>
        <v>84726.399999999994</v>
      </c>
      <c r="C943">
        <f>Sinistrés!X948</f>
        <v>3079.37</v>
      </c>
      <c r="D943">
        <f>Sinistrés!L948</f>
        <v>73.040000000000006</v>
      </c>
      <c r="E943">
        <f>Sinistrés!M948</f>
        <v>73.040000000000006</v>
      </c>
      <c r="F943">
        <f t="shared" si="28"/>
        <v>3.6344870075914949E-2</v>
      </c>
      <c r="G943">
        <f t="shared" si="29"/>
        <v>1</v>
      </c>
    </row>
    <row r="944" spans="1:7">
      <c r="A944" t="str">
        <f>Sinistrés!H949</f>
        <v>Blé dur d'hiver</v>
      </c>
      <c r="B944">
        <f>Sinistrés!J949</f>
        <v>9438.86</v>
      </c>
      <c r="C944">
        <f>Sinistrés!X949</f>
        <v>2061.39</v>
      </c>
      <c r="D944">
        <f>Sinistrés!L949</f>
        <v>7.41</v>
      </c>
      <c r="E944">
        <f>Sinistrés!M949</f>
        <v>7.41</v>
      </c>
      <c r="F944">
        <f t="shared" si="28"/>
        <v>0.21839395859245711</v>
      </c>
      <c r="G944">
        <f t="shared" si="29"/>
        <v>1</v>
      </c>
    </row>
    <row r="945" spans="1:7">
      <c r="A945" t="str">
        <f>Sinistrés!H950</f>
        <v>Pois protéagineux</v>
      </c>
      <c r="B945">
        <f>Sinistrés!J950</f>
        <v>6141.96</v>
      </c>
      <c r="C945">
        <f>Sinistrés!X950</f>
        <v>2513.4699999999998</v>
      </c>
      <c r="D945">
        <f>Sinistrés!L950</f>
        <v>8.4600000000000009</v>
      </c>
      <c r="E945">
        <f>Sinistrés!M950</f>
        <v>8.4600000000000009</v>
      </c>
      <c r="F945">
        <f t="shared" si="28"/>
        <v>0.40922930139564567</v>
      </c>
      <c r="G945">
        <f t="shared" si="29"/>
        <v>1</v>
      </c>
    </row>
    <row r="946" spans="1:7">
      <c r="A946" t="str">
        <f>Sinistrés!H951</f>
        <v>Colza d'hiver</v>
      </c>
      <c r="B946">
        <f>Sinistrés!J951</f>
        <v>18564.349999999999</v>
      </c>
      <c r="C946">
        <f>Sinistrés!X951</f>
        <v>4772.83</v>
      </c>
      <c r="D946">
        <f>Sinistrés!L951</f>
        <v>17.11</v>
      </c>
      <c r="E946">
        <f>Sinistrés!M951</f>
        <v>17.11</v>
      </c>
      <c r="F946">
        <f t="shared" si="28"/>
        <v>0.25709653179346437</v>
      </c>
      <c r="G946">
        <f t="shared" si="29"/>
        <v>1</v>
      </c>
    </row>
    <row r="947" spans="1:7">
      <c r="A947" t="str">
        <f>Sinistrés!H952</f>
        <v>Blé tendre d'hiver</v>
      </c>
      <c r="B947">
        <f>Sinistrés!J952</f>
        <v>13991.6</v>
      </c>
      <c r="C947">
        <f>Sinistrés!X952</f>
        <v>525.26</v>
      </c>
      <c r="D947">
        <f>Sinistrés!L952</f>
        <v>13.3</v>
      </c>
      <c r="E947">
        <f>Sinistrés!M952</f>
        <v>13.3</v>
      </c>
      <c r="F947">
        <f t="shared" si="28"/>
        <v>3.7541096086223164E-2</v>
      </c>
      <c r="G947">
        <f t="shared" si="29"/>
        <v>1</v>
      </c>
    </row>
    <row r="948" spans="1:7" hidden="1">
      <c r="A948" t="str">
        <f>Sinistrés!H953</f>
        <v>Triticale</v>
      </c>
      <c r="B948">
        <f>Sinistrés!J953</f>
        <v>6862.71</v>
      </c>
      <c r="C948">
        <f>Sinistrés!X953</f>
        <v>0</v>
      </c>
      <c r="D948">
        <f>Sinistrés!L953</f>
        <v>9.41</v>
      </c>
      <c r="E948">
        <f>Sinistrés!M953</f>
        <v>9.41</v>
      </c>
      <c r="F948">
        <f t="shared" si="28"/>
        <v>0</v>
      </c>
      <c r="G948">
        <f t="shared" si="29"/>
        <v>1</v>
      </c>
    </row>
    <row r="949" spans="1:7">
      <c r="A949" t="str">
        <f>Sinistrés!H954</f>
        <v>Blé tendre d'hiver</v>
      </c>
      <c r="B949">
        <f>Sinistrés!J954</f>
        <v>23512.01</v>
      </c>
      <c r="C949">
        <f>Sinistrés!X954</f>
        <v>2956.48</v>
      </c>
      <c r="D949">
        <f>Sinistrés!L954</f>
        <v>22.3</v>
      </c>
      <c r="E949">
        <f>Sinistrés!M954</f>
        <v>22.3</v>
      </c>
      <c r="F949">
        <f t="shared" si="28"/>
        <v>0.12574339667259415</v>
      </c>
      <c r="G949">
        <f t="shared" si="29"/>
        <v>1</v>
      </c>
    </row>
    <row r="950" spans="1:7">
      <c r="A950" t="str">
        <f>Sinistrés!H955</f>
        <v>Orge d'hiver</v>
      </c>
      <c r="B950">
        <f>Sinistrés!J955</f>
        <v>10880.19</v>
      </c>
      <c r="C950">
        <f>Sinistrés!X955</f>
        <v>1807.26</v>
      </c>
      <c r="D950">
        <f>Sinistrés!L955</f>
        <v>10.62</v>
      </c>
      <c r="E950">
        <f>Sinistrés!M955</f>
        <v>10.62</v>
      </c>
      <c r="F950">
        <f t="shared" si="28"/>
        <v>0.16610555514195982</v>
      </c>
      <c r="G950">
        <f t="shared" si="29"/>
        <v>1</v>
      </c>
    </row>
    <row r="951" spans="1:7">
      <c r="A951" t="str">
        <f>Sinistrés!H956</f>
        <v>Tournesol</v>
      </c>
      <c r="B951">
        <f>Sinistrés!J956</f>
        <v>22128</v>
      </c>
      <c r="C951">
        <f>Sinistrés!X956</f>
        <v>1073</v>
      </c>
      <c r="D951">
        <f>Sinistrés!L956</f>
        <v>27.66</v>
      </c>
      <c r="E951">
        <f>Sinistrés!M956</f>
        <v>11.87</v>
      </c>
      <c r="F951">
        <f t="shared" si="28"/>
        <v>4.8490600144613157E-2</v>
      </c>
      <c r="G951">
        <f t="shared" si="29"/>
        <v>0.42913955169920459</v>
      </c>
    </row>
    <row r="952" spans="1:7">
      <c r="A952" t="str">
        <f>Sinistrés!H957</f>
        <v>Pois protéagineux</v>
      </c>
      <c r="B952">
        <f>Sinistrés!J957</f>
        <v>3786.92</v>
      </c>
      <c r="C952">
        <f>Sinistrés!X957</f>
        <v>900.41</v>
      </c>
      <c r="D952">
        <f>Sinistrés!L957</f>
        <v>4.9000000000000004</v>
      </c>
      <c r="E952">
        <f>Sinistrés!M957</f>
        <v>4.9000000000000004</v>
      </c>
      <c r="F952">
        <f t="shared" si="28"/>
        <v>0.23776842394346856</v>
      </c>
      <c r="G952">
        <f t="shared" si="29"/>
        <v>1</v>
      </c>
    </row>
    <row r="953" spans="1:7">
      <c r="A953" t="str">
        <f>Sinistrés!H958</f>
        <v>Lentilles</v>
      </c>
      <c r="B953">
        <f>Sinistrés!J958</f>
        <v>2119.92</v>
      </c>
      <c r="C953">
        <f>Sinistrés!X958</f>
        <v>1075.3800000000001</v>
      </c>
      <c r="D953">
        <f>Sinistrés!L958</f>
        <v>3.65</v>
      </c>
      <c r="E953">
        <f>Sinistrés!M958</f>
        <v>3.65</v>
      </c>
      <c r="F953">
        <f t="shared" si="28"/>
        <v>0.5072738593909204</v>
      </c>
      <c r="G953">
        <f t="shared" si="29"/>
        <v>1</v>
      </c>
    </row>
    <row r="954" spans="1:7">
      <c r="A954" t="str">
        <f>Sinistrés!H959</f>
        <v>Pois protéagineux</v>
      </c>
      <c r="B954">
        <f>Sinistrés!J959</f>
        <v>7338.32</v>
      </c>
      <c r="C954">
        <f>Sinistrés!X959</f>
        <v>127.47</v>
      </c>
      <c r="D954">
        <f>Sinistrés!L959</f>
        <v>10.76</v>
      </c>
      <c r="E954">
        <f>Sinistrés!M959</f>
        <v>10.76</v>
      </c>
      <c r="F954">
        <f t="shared" si="28"/>
        <v>1.7370460813919263E-2</v>
      </c>
      <c r="G954">
        <f t="shared" si="29"/>
        <v>1</v>
      </c>
    </row>
    <row r="955" spans="1:7" hidden="1">
      <c r="A955" t="str">
        <f>Sinistrés!H960</f>
        <v>Colza d'hiver</v>
      </c>
      <c r="B955">
        <f>Sinistrés!J960</f>
        <v>22562.3</v>
      </c>
      <c r="C955">
        <f>Sinistrés!X960</f>
        <v>0</v>
      </c>
      <c r="D955">
        <f>Sinistrés!L960</f>
        <v>17.760000000000002</v>
      </c>
      <c r="E955">
        <f>Sinistrés!M960</f>
        <v>17.760000000000002</v>
      </c>
      <c r="F955">
        <f t="shared" si="28"/>
        <v>0</v>
      </c>
      <c r="G955">
        <f t="shared" si="29"/>
        <v>1</v>
      </c>
    </row>
    <row r="956" spans="1:7" hidden="1">
      <c r="A956" t="str">
        <f>Sinistrés!H961</f>
        <v>Blé tendre d'hiver</v>
      </c>
      <c r="B956">
        <f>Sinistrés!J961</f>
        <v>9153.56</v>
      </c>
      <c r="C956">
        <f>Sinistrés!X961</f>
        <v>0</v>
      </c>
      <c r="D956">
        <f>Sinistrés!L961</f>
        <v>12.14</v>
      </c>
      <c r="E956">
        <f>Sinistrés!M961</f>
        <v>12.14</v>
      </c>
      <c r="F956">
        <f t="shared" si="28"/>
        <v>0</v>
      </c>
      <c r="G956">
        <f t="shared" si="29"/>
        <v>1</v>
      </c>
    </row>
    <row r="957" spans="1:7" hidden="1">
      <c r="A957" t="str">
        <f>Sinistrés!H962</f>
        <v>Tournesol</v>
      </c>
      <c r="B957">
        <f>Sinistrés!J962</f>
        <v>6180.75</v>
      </c>
      <c r="C957">
        <f>Sinistrés!X962</f>
        <v>0</v>
      </c>
      <c r="D957">
        <f>Sinistrés!L962</f>
        <v>10.050000000000001</v>
      </c>
      <c r="E957">
        <f>Sinistrés!M962</f>
        <v>10.050000000000001</v>
      </c>
      <c r="F957">
        <f t="shared" si="28"/>
        <v>0</v>
      </c>
      <c r="G957">
        <f t="shared" si="29"/>
        <v>1</v>
      </c>
    </row>
    <row r="958" spans="1:7">
      <c r="A958" t="str">
        <f>Sinistrés!H963</f>
        <v>Tournesol</v>
      </c>
      <c r="B958">
        <f>Sinistrés!J963</f>
        <v>19187.87</v>
      </c>
      <c r="C958">
        <f>Sinistrés!X963</f>
        <v>16769.66</v>
      </c>
      <c r="D958">
        <f>Sinistrés!L963</f>
        <v>28.69</v>
      </c>
      <c r="E958">
        <f>Sinistrés!M963</f>
        <v>28.69</v>
      </c>
      <c r="F958">
        <f t="shared" si="28"/>
        <v>0.87397194164855196</v>
      </c>
      <c r="G958">
        <f t="shared" si="29"/>
        <v>1</v>
      </c>
    </row>
    <row r="959" spans="1:7">
      <c r="A959" t="str">
        <f>Sinistrés!H964</f>
        <v>Maïs grain non irrigué</v>
      </c>
      <c r="B959">
        <f>Sinistrés!J964</f>
        <v>1654.38</v>
      </c>
      <c r="C959">
        <f>Sinistrés!X964</f>
        <v>963.61</v>
      </c>
      <c r="D959">
        <f>Sinistrés!L964</f>
        <v>1.3</v>
      </c>
      <c r="E959">
        <f>Sinistrés!M964</f>
        <v>1.3</v>
      </c>
      <c r="F959">
        <f t="shared" si="28"/>
        <v>0.58245989434108247</v>
      </c>
      <c r="G959">
        <f t="shared" si="29"/>
        <v>1</v>
      </c>
    </row>
    <row r="960" spans="1:7" hidden="1">
      <c r="A960" t="str">
        <f>Sinistrés!H965</f>
        <v>Orge d'hiver</v>
      </c>
      <c r="B960">
        <f>Sinistrés!J965</f>
        <v>23560.22</v>
      </c>
      <c r="C960">
        <f>Sinistrés!X965</f>
        <v>0</v>
      </c>
      <c r="D960">
        <f>Sinistrés!L965</f>
        <v>22.78</v>
      </c>
      <c r="E960">
        <f>Sinistrés!M965</f>
        <v>22.78</v>
      </c>
      <c r="F960">
        <f t="shared" si="28"/>
        <v>0</v>
      </c>
      <c r="G960">
        <f t="shared" si="29"/>
        <v>1</v>
      </c>
    </row>
    <row r="961" spans="1:7">
      <c r="A961" t="str">
        <f>Sinistrés!H966</f>
        <v>Blé tendre d'hiver</v>
      </c>
      <c r="B961">
        <f>Sinistrés!J966</f>
        <v>41443.08</v>
      </c>
      <c r="C961">
        <f>Sinistrés!X966</f>
        <v>4608.32</v>
      </c>
      <c r="D961">
        <f>Sinistrés!L966</f>
        <v>37.39</v>
      </c>
      <c r="E961">
        <f>Sinistrés!M966</f>
        <v>37.39</v>
      </c>
      <c r="F961">
        <f t="shared" si="28"/>
        <v>0.11119636860966896</v>
      </c>
      <c r="G961">
        <f t="shared" si="29"/>
        <v>1</v>
      </c>
    </row>
    <row r="962" spans="1:7">
      <c r="A962" t="str">
        <f>Sinistrés!H967</f>
        <v>Tournesol</v>
      </c>
      <c r="B962">
        <f>Sinistrés!J967</f>
        <v>17127.18</v>
      </c>
      <c r="C962">
        <f>Sinistrés!X967</f>
        <v>4207.8999999999996</v>
      </c>
      <c r="D962">
        <f>Sinistrés!L967</f>
        <v>24.84</v>
      </c>
      <c r="E962">
        <f>Sinistrés!M967</f>
        <v>24.84</v>
      </c>
      <c r="F962">
        <f t="shared" si="28"/>
        <v>0.24568551273472922</v>
      </c>
      <c r="G962">
        <f t="shared" si="29"/>
        <v>1</v>
      </c>
    </row>
    <row r="963" spans="1:7">
      <c r="A963" t="str">
        <f>Sinistrés!H968</f>
        <v>Colza d'hiver</v>
      </c>
      <c r="B963">
        <f>Sinistrés!J968</f>
        <v>19454.54</v>
      </c>
      <c r="C963">
        <f>Sinistrés!X968</f>
        <v>1680.72</v>
      </c>
      <c r="D963">
        <f>Sinistrés!L968</f>
        <v>17.59</v>
      </c>
      <c r="E963">
        <f>Sinistrés!M968</f>
        <v>17.59</v>
      </c>
      <c r="F963">
        <f t="shared" ref="F963:F1026" si="30">C963/B963</f>
        <v>8.6392173754815074E-2</v>
      </c>
      <c r="G963">
        <f t="shared" ref="G963:G1026" si="31">E963/D963</f>
        <v>1</v>
      </c>
    </row>
    <row r="964" spans="1:7" hidden="1">
      <c r="A964" t="str">
        <f>Sinistrés!H969</f>
        <v>Tournesol</v>
      </c>
      <c r="B964">
        <f>Sinistrés!J969</f>
        <v>17964.87</v>
      </c>
      <c r="C964">
        <f>Sinistrés!X969</f>
        <v>0</v>
      </c>
      <c r="D964">
        <f>Sinistrés!L969</f>
        <v>10.78</v>
      </c>
      <c r="E964">
        <f>Sinistrés!M969</f>
        <v>10.78</v>
      </c>
      <c r="F964">
        <f t="shared" si="30"/>
        <v>0</v>
      </c>
      <c r="G964">
        <f t="shared" si="31"/>
        <v>1</v>
      </c>
    </row>
    <row r="965" spans="1:7" hidden="1">
      <c r="A965" t="str">
        <f>Sinistrés!H970</f>
        <v xml:space="preserve">Maïs grain irrigué </v>
      </c>
      <c r="B965">
        <f>Sinistrés!J970</f>
        <v>82308.36</v>
      </c>
      <c r="C965">
        <f>Sinistrés!X970</f>
        <v>0</v>
      </c>
      <c r="D965">
        <f>Sinistrés!L970</f>
        <v>32.74</v>
      </c>
      <c r="E965">
        <f>Sinistrés!M970</f>
        <v>32.74</v>
      </c>
      <c r="F965">
        <f t="shared" si="30"/>
        <v>0</v>
      </c>
      <c r="G965">
        <f t="shared" si="31"/>
        <v>1</v>
      </c>
    </row>
    <row r="966" spans="1:7">
      <c r="A966" t="str">
        <f>Sinistrés!H971</f>
        <v>Maïs grain non irrigué</v>
      </c>
      <c r="B966">
        <f>Sinistrés!J971</f>
        <v>46112</v>
      </c>
      <c r="C966">
        <f>Sinistrés!X971</f>
        <v>266</v>
      </c>
      <c r="D966">
        <f>Sinistrés!L971</f>
        <v>20.96</v>
      </c>
      <c r="E966">
        <f>Sinistrés!M971</f>
        <v>20.96</v>
      </c>
      <c r="F966">
        <f t="shared" si="30"/>
        <v>5.768563497571131E-3</v>
      </c>
      <c r="G966">
        <f t="shared" si="31"/>
        <v>1</v>
      </c>
    </row>
    <row r="967" spans="1:7">
      <c r="A967" t="str">
        <f>Sinistrés!H972</f>
        <v>Blé tendre d'hiver</v>
      </c>
      <c r="B967">
        <f>Sinistrés!J972</f>
        <v>37977.120000000003</v>
      </c>
      <c r="C967">
        <f>Sinistrés!X972</f>
        <v>1853.73</v>
      </c>
      <c r="D967">
        <f>Sinistrés!L972</f>
        <v>40.840000000000003</v>
      </c>
      <c r="E967">
        <f>Sinistrés!M972</f>
        <v>40.840000000000003</v>
      </c>
      <c r="F967">
        <f t="shared" si="30"/>
        <v>4.8811758237591471E-2</v>
      </c>
      <c r="G967">
        <f t="shared" si="31"/>
        <v>1</v>
      </c>
    </row>
    <row r="968" spans="1:7" hidden="1">
      <c r="A968" t="str">
        <f>Sinistrés!H973</f>
        <v>Blé tendre d'hiver</v>
      </c>
      <c r="B968">
        <f>Sinistrés!J973</f>
        <v>85365.08</v>
      </c>
      <c r="C968">
        <f>Sinistrés!X973</f>
        <v>0</v>
      </c>
      <c r="D968">
        <f>Sinistrés!L973</f>
        <v>81.650000000000006</v>
      </c>
      <c r="E968">
        <f>Sinistrés!M973</f>
        <v>83.56</v>
      </c>
      <c r="F968">
        <f t="shared" si="30"/>
        <v>0</v>
      </c>
      <c r="G968">
        <f t="shared" si="31"/>
        <v>1.0233925290875689</v>
      </c>
    </row>
    <row r="969" spans="1:7" hidden="1">
      <c r="A969" t="str">
        <f>Sinistrés!H974</f>
        <v>Pois protéagineux</v>
      </c>
      <c r="B969">
        <f>Sinistrés!J974</f>
        <v>7848.67</v>
      </c>
      <c r="C969">
        <f>Sinistrés!X974</f>
        <v>0</v>
      </c>
      <c r="D969">
        <f>Sinistrés!L974</f>
        <v>12.16</v>
      </c>
      <c r="E969">
        <f>Sinistrés!M974</f>
        <v>12.14</v>
      </c>
      <c r="F969">
        <f t="shared" si="30"/>
        <v>0</v>
      </c>
      <c r="G969">
        <f t="shared" si="31"/>
        <v>0.9983552631578948</v>
      </c>
    </row>
    <row r="970" spans="1:7" hidden="1">
      <c r="A970" t="str">
        <f>Sinistrés!H975</f>
        <v>Colza d'hiver</v>
      </c>
      <c r="B970">
        <f>Sinistrés!J975</f>
        <v>54652.43</v>
      </c>
      <c r="C970">
        <f>Sinistrés!X975</f>
        <v>0</v>
      </c>
      <c r="D970">
        <f>Sinistrés!L975</f>
        <v>45.13</v>
      </c>
      <c r="E970">
        <f>Sinistrés!M975</f>
        <v>45.47</v>
      </c>
      <c r="F970">
        <f t="shared" si="30"/>
        <v>0</v>
      </c>
      <c r="G970">
        <f t="shared" si="31"/>
        <v>1.0075337912696654</v>
      </c>
    </row>
    <row r="971" spans="1:7" hidden="1">
      <c r="A971" t="str">
        <f>Sinistrés!H976</f>
        <v>Orge d'hiver</v>
      </c>
      <c r="B971">
        <f>Sinistrés!J976</f>
        <v>20458.89</v>
      </c>
      <c r="C971">
        <f>Sinistrés!X976</f>
        <v>0</v>
      </c>
      <c r="D971">
        <f>Sinistrés!L976</f>
        <v>22.07</v>
      </c>
      <c r="E971">
        <f>Sinistrés!M976</f>
        <v>22.14</v>
      </c>
      <c r="F971">
        <f t="shared" si="30"/>
        <v>0</v>
      </c>
      <c r="G971">
        <f t="shared" si="31"/>
        <v>1.0031717263253286</v>
      </c>
    </row>
    <row r="972" spans="1:7" hidden="1">
      <c r="A972" t="str">
        <f>Sinistrés!H977</f>
        <v>Tournesol</v>
      </c>
      <c r="B972">
        <f>Sinistrés!J977</f>
        <v>35020.730000000003</v>
      </c>
      <c r="C972">
        <f>Sinistrés!X977</f>
        <v>0</v>
      </c>
      <c r="D972">
        <f>Sinistrés!L977</f>
        <v>44.42</v>
      </c>
      <c r="E972">
        <f>Sinistrés!M977</f>
        <v>36.83</v>
      </c>
      <c r="F972">
        <f t="shared" si="30"/>
        <v>0</v>
      </c>
      <c r="G972">
        <f t="shared" si="31"/>
        <v>0.82913102206213407</v>
      </c>
    </row>
    <row r="973" spans="1:7">
      <c r="A973" t="str">
        <f>Sinistrés!H978</f>
        <v>Blé tendre d'hiver</v>
      </c>
      <c r="B973">
        <f>Sinistrés!J978</f>
        <v>64278.77</v>
      </c>
      <c r="C973">
        <f>Sinistrés!X978</f>
        <v>7072.11</v>
      </c>
      <c r="D973">
        <f>Sinistrés!L978</f>
        <v>42.58</v>
      </c>
      <c r="E973">
        <f>Sinistrés!M978</f>
        <v>42.58</v>
      </c>
      <c r="F973">
        <f t="shared" si="30"/>
        <v>0.11002248487331043</v>
      </c>
      <c r="G973">
        <f t="shared" si="31"/>
        <v>1</v>
      </c>
    </row>
    <row r="974" spans="1:7">
      <c r="A974" t="str">
        <f>Sinistrés!H979</f>
        <v>Orge d'hiver</v>
      </c>
      <c r="B974">
        <f>Sinistrés!J979</f>
        <v>22535.24</v>
      </c>
      <c r="C974">
        <f>Sinistrés!X979</f>
        <v>3693.69</v>
      </c>
      <c r="D974">
        <f>Sinistrés!L979</f>
        <v>22.96</v>
      </c>
      <c r="E974">
        <f>Sinistrés!M979</f>
        <v>22.96</v>
      </c>
      <c r="F974">
        <f t="shared" si="30"/>
        <v>0.16390728476821192</v>
      </c>
      <c r="G974">
        <f t="shared" si="31"/>
        <v>1</v>
      </c>
    </row>
    <row r="975" spans="1:7" hidden="1">
      <c r="A975" t="str">
        <f>Sinistrés!H980</f>
        <v>Colza d'hiver</v>
      </c>
      <c r="B975">
        <f>Sinistrés!J980</f>
        <v>18298.8</v>
      </c>
      <c r="C975">
        <f>Sinistrés!X980</f>
        <v>0</v>
      </c>
      <c r="D975">
        <f>Sinistrés!L980</f>
        <v>18</v>
      </c>
      <c r="E975">
        <f>Sinistrés!M980</f>
        <v>18</v>
      </c>
      <c r="F975">
        <f t="shared" si="30"/>
        <v>0</v>
      </c>
      <c r="G975">
        <f t="shared" si="31"/>
        <v>1</v>
      </c>
    </row>
    <row r="976" spans="1:7">
      <c r="A976" t="str">
        <f>Sinistrés!H981</f>
        <v>Blé tendre d'hiver</v>
      </c>
      <c r="B976">
        <f>Sinistrés!J981</f>
        <v>25500</v>
      </c>
      <c r="C976">
        <f>Sinistrés!X981</f>
        <v>667.25</v>
      </c>
      <c r="D976">
        <f>Sinistrés!L981</f>
        <v>25</v>
      </c>
      <c r="E976">
        <f>Sinistrés!M981</f>
        <v>25</v>
      </c>
      <c r="F976">
        <f t="shared" si="30"/>
        <v>2.6166666666666668E-2</v>
      </c>
      <c r="G976">
        <f t="shared" si="31"/>
        <v>1</v>
      </c>
    </row>
    <row r="977" spans="1:7">
      <c r="A977" t="str">
        <f>Sinistrés!H982</f>
        <v>Maïs grain non irrigué</v>
      </c>
      <c r="B977">
        <f>Sinistrés!J982</f>
        <v>17139.900000000001</v>
      </c>
      <c r="C977">
        <f>Sinistrés!X982</f>
        <v>2813.99</v>
      </c>
      <c r="D977">
        <f>Sinistrés!L982</f>
        <v>18.43</v>
      </c>
      <c r="E977">
        <f>Sinistrés!M982</f>
        <v>18.43</v>
      </c>
      <c r="F977">
        <f t="shared" si="30"/>
        <v>0.16417773732635543</v>
      </c>
      <c r="G977">
        <f t="shared" si="31"/>
        <v>1</v>
      </c>
    </row>
    <row r="978" spans="1:7">
      <c r="A978" t="str">
        <f>Sinistrés!H983</f>
        <v>Tournesol</v>
      </c>
      <c r="B978">
        <f>Sinistrés!J983</f>
        <v>12400</v>
      </c>
      <c r="C978">
        <f>Sinistrés!X983</f>
        <v>3038.88</v>
      </c>
      <c r="D978">
        <f>Sinistrés!L983</f>
        <v>12.4</v>
      </c>
      <c r="E978">
        <f>Sinistrés!M983</f>
        <v>12.4</v>
      </c>
      <c r="F978">
        <f t="shared" si="30"/>
        <v>0.24507096774193549</v>
      </c>
      <c r="G978">
        <f t="shared" si="31"/>
        <v>1</v>
      </c>
    </row>
    <row r="979" spans="1:7" hidden="1">
      <c r="A979" t="str">
        <f>Sinistrés!H984</f>
        <v>Orge d'hiver</v>
      </c>
      <c r="B979">
        <f>Sinistrés!J984</f>
        <v>13208.03</v>
      </c>
      <c r="C979">
        <f>Sinistrés!X984</f>
        <v>0</v>
      </c>
      <c r="D979">
        <f>Sinistrés!L984</f>
        <v>14.38</v>
      </c>
      <c r="E979">
        <f>Sinistrés!M984</f>
        <v>14.38</v>
      </c>
      <c r="F979">
        <f t="shared" si="30"/>
        <v>0</v>
      </c>
      <c r="G979">
        <f t="shared" si="31"/>
        <v>1</v>
      </c>
    </row>
    <row r="980" spans="1:7" hidden="1">
      <c r="A980" t="str">
        <f>Sinistrés!H985</f>
        <v>Blé de force</v>
      </c>
      <c r="B980">
        <f>Sinistrés!J985</f>
        <v>16380</v>
      </c>
      <c r="C980">
        <f>Sinistrés!X985</f>
        <v>0</v>
      </c>
      <c r="D980">
        <f>Sinistrés!L985</f>
        <v>14</v>
      </c>
      <c r="E980">
        <f>Sinistrés!M985</f>
        <v>14</v>
      </c>
      <c r="F980">
        <f t="shared" si="30"/>
        <v>0</v>
      </c>
      <c r="G980">
        <f t="shared" si="31"/>
        <v>1</v>
      </c>
    </row>
    <row r="981" spans="1:7" hidden="1">
      <c r="A981" t="str">
        <f>Sinistrés!H986</f>
        <v>Colza d'hiver</v>
      </c>
      <c r="B981">
        <f>Sinistrés!J986</f>
        <v>13554</v>
      </c>
      <c r="C981">
        <f>Sinistrés!X986</f>
        <v>0</v>
      </c>
      <c r="D981">
        <f>Sinistrés!L986</f>
        <v>15.06</v>
      </c>
      <c r="E981">
        <f>Sinistrés!M986</f>
        <v>15.06</v>
      </c>
      <c r="F981">
        <f t="shared" si="30"/>
        <v>0</v>
      </c>
      <c r="G981">
        <f t="shared" si="31"/>
        <v>1</v>
      </c>
    </row>
    <row r="982" spans="1:7" hidden="1">
      <c r="A982" t="str">
        <f>Sinistrés!H987</f>
        <v>Blé tendre d'hiver</v>
      </c>
      <c r="B982">
        <f>Sinistrés!J987</f>
        <v>63350.01</v>
      </c>
      <c r="C982">
        <f>Sinistrés!X987</f>
        <v>0</v>
      </c>
      <c r="D982">
        <f>Sinistrés!L987</f>
        <v>61.19</v>
      </c>
      <c r="E982">
        <f>Sinistrés!M987</f>
        <v>61.19</v>
      </c>
      <c r="F982">
        <f t="shared" si="30"/>
        <v>0</v>
      </c>
      <c r="G982">
        <f t="shared" si="31"/>
        <v>1</v>
      </c>
    </row>
    <row r="983" spans="1:7" hidden="1">
      <c r="A983" t="str">
        <f>Sinistrés!H988</f>
        <v>Colza d'hiver</v>
      </c>
      <c r="B983">
        <f>Sinistrés!J988</f>
        <v>29516.13</v>
      </c>
      <c r="C983">
        <f>Sinistrés!X988</f>
        <v>0</v>
      </c>
      <c r="D983">
        <f>Sinistrés!L988</f>
        <v>28.98</v>
      </c>
      <c r="E983">
        <f>Sinistrés!M988</f>
        <v>28.98</v>
      </c>
      <c r="F983">
        <f t="shared" si="30"/>
        <v>0</v>
      </c>
      <c r="G983">
        <f t="shared" si="31"/>
        <v>1</v>
      </c>
    </row>
    <row r="984" spans="1:7" hidden="1">
      <c r="A984" t="str">
        <f>Sinistrés!H989</f>
        <v>Féveroles et fèves</v>
      </c>
      <c r="B984">
        <f>Sinistrés!J989</f>
        <v>27060.48</v>
      </c>
      <c r="C984">
        <f>Sinistrés!X989</f>
        <v>0</v>
      </c>
      <c r="D984">
        <f>Sinistrés!L989</f>
        <v>38.880000000000003</v>
      </c>
      <c r="E984">
        <f>Sinistrés!M989</f>
        <v>38.880000000000003</v>
      </c>
      <c r="F984">
        <f t="shared" si="30"/>
        <v>0</v>
      </c>
      <c r="G984">
        <f t="shared" si="31"/>
        <v>1</v>
      </c>
    </row>
    <row r="985" spans="1:7" hidden="1">
      <c r="A985" t="str">
        <f>Sinistrés!H990</f>
        <v>Seigle et méteil BIO</v>
      </c>
      <c r="B985">
        <f>Sinistrés!J990</f>
        <v>7548</v>
      </c>
      <c r="C985">
        <f>Sinistrés!X990</f>
        <v>0</v>
      </c>
      <c r="D985">
        <f>Sinistrés!L990</f>
        <v>8.5</v>
      </c>
      <c r="E985">
        <f>Sinistrés!M990</f>
        <v>8.5</v>
      </c>
      <c r="F985">
        <f t="shared" si="30"/>
        <v>0</v>
      </c>
      <c r="G985">
        <f t="shared" si="31"/>
        <v>1</v>
      </c>
    </row>
    <row r="986" spans="1:7" hidden="1">
      <c r="A986" t="str">
        <f>Sinistrés!H991</f>
        <v>Pois protéagineux BIO</v>
      </c>
      <c r="B986">
        <f>Sinistrés!J991</f>
        <v>17093.669999999998</v>
      </c>
      <c r="C986">
        <f>Sinistrés!X991</f>
        <v>0</v>
      </c>
      <c r="D986">
        <f>Sinistrés!L991</f>
        <v>20.57</v>
      </c>
      <c r="E986">
        <f>Sinistrés!M991</f>
        <v>20.57</v>
      </c>
      <c r="F986">
        <f t="shared" si="30"/>
        <v>0</v>
      </c>
      <c r="G986">
        <f t="shared" si="31"/>
        <v>1</v>
      </c>
    </row>
    <row r="987" spans="1:7">
      <c r="A987" t="str">
        <f>Sinistrés!H992</f>
        <v>Orge d'hiver</v>
      </c>
      <c r="B987">
        <f>Sinistrés!J992</f>
        <v>19094.400000000001</v>
      </c>
      <c r="C987">
        <f>Sinistrés!X992</f>
        <v>2911.83</v>
      </c>
      <c r="D987">
        <f>Sinistrés!L992</f>
        <v>19.5</v>
      </c>
      <c r="E987">
        <f>Sinistrés!M992</f>
        <v>19.5</v>
      </c>
      <c r="F987">
        <f t="shared" si="30"/>
        <v>0.15249654348919053</v>
      </c>
      <c r="G987">
        <f t="shared" si="31"/>
        <v>1</v>
      </c>
    </row>
    <row r="988" spans="1:7" hidden="1">
      <c r="A988" t="str">
        <f>Sinistrés!H993</f>
        <v>Maïs grain irrigué BIO</v>
      </c>
      <c r="B988">
        <f>Sinistrés!J993</f>
        <v>29738.16</v>
      </c>
      <c r="C988">
        <f>Sinistrés!X993</f>
        <v>0</v>
      </c>
      <c r="D988">
        <f>Sinistrés!L993</f>
        <v>12.36</v>
      </c>
      <c r="E988">
        <f>Sinistrés!M993</f>
        <v>12.36</v>
      </c>
      <c r="F988">
        <f t="shared" si="30"/>
        <v>0</v>
      </c>
      <c r="G988">
        <f t="shared" si="31"/>
        <v>1</v>
      </c>
    </row>
    <row r="989" spans="1:7">
      <c r="A989" t="str">
        <f>Sinistrés!H994</f>
        <v>Tournesol</v>
      </c>
      <c r="B989">
        <f>Sinistrés!J994</f>
        <v>42212.73</v>
      </c>
      <c r="C989">
        <f>Sinistrés!X994</f>
        <v>21528.49</v>
      </c>
      <c r="D989">
        <f>Sinistrés!L994</f>
        <v>30.64</v>
      </c>
      <c r="E989">
        <f>Sinistrés!M994</f>
        <v>30.64</v>
      </c>
      <c r="F989">
        <f t="shared" si="30"/>
        <v>0.50999994551406647</v>
      </c>
      <c r="G989">
        <f t="shared" si="31"/>
        <v>1</v>
      </c>
    </row>
    <row r="990" spans="1:7" hidden="1">
      <c r="A990" t="str">
        <f>Sinistrés!H995</f>
        <v>Blé tendre d'hiver BIO</v>
      </c>
      <c r="B990">
        <f>Sinistrés!J995</f>
        <v>66800.63</v>
      </c>
      <c r="C990">
        <f>Sinistrés!X995</f>
        <v>859.37</v>
      </c>
      <c r="D990">
        <f>Sinistrés!L995</f>
        <v>37.700000000000003</v>
      </c>
      <c r="E990">
        <f>Sinistrés!M995</f>
        <v>37.700000000000003</v>
      </c>
      <c r="F990">
        <f t="shared" si="30"/>
        <v>1.2864699030533094E-2</v>
      </c>
      <c r="G990">
        <f t="shared" si="31"/>
        <v>1</v>
      </c>
    </row>
    <row r="991" spans="1:7" hidden="1">
      <c r="A991" t="str">
        <f>Sinistrés!H996</f>
        <v>Orge de printemps</v>
      </c>
      <c r="B991">
        <f>Sinistrés!J996</f>
        <v>48505.08</v>
      </c>
      <c r="C991">
        <f>Sinistrés!X996</f>
        <v>0</v>
      </c>
      <c r="D991">
        <f>Sinistrés!L996</f>
        <v>46.02</v>
      </c>
      <c r="E991">
        <f>Sinistrés!M996</f>
        <v>46.02</v>
      </c>
      <c r="F991">
        <f t="shared" si="30"/>
        <v>0</v>
      </c>
      <c r="G991">
        <f t="shared" si="31"/>
        <v>1</v>
      </c>
    </row>
    <row r="992" spans="1:7">
      <c r="A992" t="str">
        <f>Sinistrés!H997</f>
        <v>Tournesol</v>
      </c>
      <c r="B992">
        <f>Sinistrés!J997</f>
        <v>49625.67</v>
      </c>
      <c r="C992">
        <f>Sinistrés!X997</f>
        <v>1204</v>
      </c>
      <c r="D992">
        <f>Sinistrés!L997</f>
        <v>35.49</v>
      </c>
      <c r="E992">
        <f>Sinistrés!M997</f>
        <v>35.49</v>
      </c>
      <c r="F992">
        <f t="shared" si="30"/>
        <v>2.426163717285832E-2</v>
      </c>
      <c r="G992">
        <f t="shared" si="31"/>
        <v>1</v>
      </c>
    </row>
    <row r="993" spans="1:7" hidden="1">
      <c r="A993" t="str">
        <f>Sinistrés!H998</f>
        <v>Blé tendre d'hiver</v>
      </c>
      <c r="B993">
        <f>Sinistrés!J998</f>
        <v>75783.5</v>
      </c>
      <c r="C993">
        <f>Sinistrés!X998</f>
        <v>0</v>
      </c>
      <c r="D993">
        <f>Sinistrés!L998</f>
        <v>57.85</v>
      </c>
      <c r="E993">
        <f>Sinistrés!M998</f>
        <v>57.85</v>
      </c>
      <c r="F993">
        <f t="shared" si="30"/>
        <v>0</v>
      </c>
      <c r="G993">
        <f t="shared" si="31"/>
        <v>1</v>
      </c>
    </row>
    <row r="994" spans="1:7" hidden="1">
      <c r="A994" t="str">
        <f>Sinistrés!H999</f>
        <v>Orge d'hiver</v>
      </c>
      <c r="B994">
        <f>Sinistrés!J999</f>
        <v>48212.14</v>
      </c>
      <c r="C994">
        <f>Sinistrés!X999</f>
        <v>0</v>
      </c>
      <c r="D994">
        <f>Sinistrés!L999</f>
        <v>37.49</v>
      </c>
      <c r="E994">
        <f>Sinistrés!M999</f>
        <v>37.49</v>
      </c>
      <c r="F994">
        <f t="shared" si="30"/>
        <v>0</v>
      </c>
      <c r="G994">
        <f t="shared" si="31"/>
        <v>1</v>
      </c>
    </row>
    <row r="995" spans="1:7">
      <c r="A995" t="str">
        <f>Sinistrés!H1000</f>
        <v>Orge de printemps</v>
      </c>
      <c r="B995">
        <f>Sinistrés!J1000</f>
        <v>57410.400000000001</v>
      </c>
      <c r="C995">
        <f>Sinistrés!X1000</f>
        <v>9920.92</v>
      </c>
      <c r="D995">
        <f>Sinistrés!L1000</f>
        <v>50.36</v>
      </c>
      <c r="E995">
        <f>Sinistrés!M1000</f>
        <v>50.36</v>
      </c>
      <c r="F995">
        <f t="shared" si="30"/>
        <v>0.17280701754385966</v>
      </c>
      <c r="G995">
        <f t="shared" si="31"/>
        <v>1</v>
      </c>
    </row>
    <row r="996" spans="1:7" hidden="1">
      <c r="A996" t="str">
        <f>Sinistrés!H1001</f>
        <v>Tournesol</v>
      </c>
      <c r="B996">
        <f>Sinistrés!J1001</f>
        <v>18769.52</v>
      </c>
      <c r="C996">
        <f>Sinistrés!X1001</f>
        <v>0</v>
      </c>
      <c r="D996">
        <f>Sinistrés!L1001</f>
        <v>19.39</v>
      </c>
      <c r="E996">
        <f>Sinistrés!M1001</f>
        <v>19.39</v>
      </c>
      <c r="F996">
        <f t="shared" si="30"/>
        <v>0</v>
      </c>
      <c r="G996">
        <f t="shared" si="31"/>
        <v>1</v>
      </c>
    </row>
    <row r="997" spans="1:7">
      <c r="A997" t="str">
        <f>Sinistrés!H1002</f>
        <v>Blé tendre d'hiver</v>
      </c>
      <c r="B997">
        <f>Sinistrés!J1002</f>
        <v>56635.199999999997</v>
      </c>
      <c r="C997">
        <f>Sinistrés!X1002</f>
        <v>6230.37</v>
      </c>
      <c r="D997">
        <f>Sinistrés!L1002</f>
        <v>42.75</v>
      </c>
      <c r="E997">
        <f>Sinistrés!M1002</f>
        <v>42.75</v>
      </c>
      <c r="F997">
        <f t="shared" si="30"/>
        <v>0.11000879311806086</v>
      </c>
      <c r="G997">
        <f t="shared" si="31"/>
        <v>1</v>
      </c>
    </row>
    <row r="998" spans="1:7">
      <c r="A998" t="str">
        <f>Sinistrés!H1003</f>
        <v>Orge d'hiver</v>
      </c>
      <c r="B998">
        <f>Sinistrés!J1003</f>
        <v>19928.5</v>
      </c>
      <c r="C998">
        <f>Sinistrés!X1003</f>
        <v>706.34</v>
      </c>
      <c r="D998">
        <f>Sinistrés!L1003</f>
        <v>18.13</v>
      </c>
      <c r="E998">
        <f>Sinistrés!M1003</f>
        <v>18.13</v>
      </c>
      <c r="F998">
        <f t="shared" si="30"/>
        <v>3.5443711267782327E-2</v>
      </c>
      <c r="G998">
        <f t="shared" si="31"/>
        <v>1</v>
      </c>
    </row>
    <row r="999" spans="1:7">
      <c r="A999" t="str">
        <f>Sinistrés!H1004</f>
        <v>Colza d'hiver</v>
      </c>
      <c r="B999">
        <f>Sinistrés!J1004</f>
        <v>27047.4</v>
      </c>
      <c r="C999">
        <f>Sinistrés!X1004</f>
        <v>4216.84</v>
      </c>
      <c r="D999">
        <f>Sinistrés!L1004</f>
        <v>14.78</v>
      </c>
      <c r="E999">
        <f>Sinistrés!M1004</f>
        <v>14.77</v>
      </c>
      <c r="F999">
        <f t="shared" si="30"/>
        <v>0.15590555839008555</v>
      </c>
      <c r="G999">
        <f t="shared" si="31"/>
        <v>0.99932341001353187</v>
      </c>
    </row>
    <row r="1000" spans="1:7">
      <c r="A1000" t="str">
        <f>Sinistrés!H1005</f>
        <v>Maïs ensilage non irrigué</v>
      </c>
      <c r="B1000">
        <f>Sinistrés!J1005</f>
        <v>10721.53</v>
      </c>
      <c r="C1000">
        <f>Sinistrés!X1005</f>
        <v>2908.94</v>
      </c>
      <c r="D1000">
        <f>Sinistrés!L1005</f>
        <v>10.07</v>
      </c>
      <c r="E1000">
        <f>Sinistrés!M1005</f>
        <v>10.07</v>
      </c>
      <c r="F1000">
        <f t="shared" si="30"/>
        <v>0.27131761978001273</v>
      </c>
      <c r="G1000">
        <f t="shared" si="31"/>
        <v>1</v>
      </c>
    </row>
    <row r="1001" spans="1:7">
      <c r="A1001" t="str">
        <f>Sinistrés!H1006</f>
        <v>Maïs grain non irrigué</v>
      </c>
      <c r="B1001">
        <f>Sinistrés!J1006</f>
        <v>32618.61</v>
      </c>
      <c r="C1001">
        <f>Sinistrés!X1006</f>
        <v>11646.58</v>
      </c>
      <c r="D1001">
        <f>Sinistrés!L1006</f>
        <v>35.54</v>
      </c>
      <c r="E1001">
        <f>Sinistrés!M1006</f>
        <v>35.54</v>
      </c>
      <c r="F1001">
        <f t="shared" si="30"/>
        <v>0.35705322820316376</v>
      </c>
      <c r="G1001">
        <f t="shared" si="31"/>
        <v>1</v>
      </c>
    </row>
    <row r="1002" spans="1:7">
      <c r="A1002" t="str">
        <f>Sinistrés!H1007</f>
        <v>Pois protéagineux</v>
      </c>
      <c r="B1002">
        <f>Sinistrés!J1007</f>
        <v>7911.33</v>
      </c>
      <c r="C1002">
        <f>Sinistrés!X1007</f>
        <v>2161.42</v>
      </c>
      <c r="D1002">
        <f>Sinistrés!L1007</f>
        <v>7.07</v>
      </c>
      <c r="E1002">
        <f>Sinistrés!M1007</f>
        <v>7.07</v>
      </c>
      <c r="F1002">
        <f t="shared" si="30"/>
        <v>0.27320564304611233</v>
      </c>
      <c r="G1002">
        <f t="shared" si="31"/>
        <v>1</v>
      </c>
    </row>
    <row r="1003" spans="1:7" hidden="1">
      <c r="A1003" t="str">
        <f>Sinistrés!H1008</f>
        <v>Blé tendre d'hiver</v>
      </c>
      <c r="B1003">
        <f>Sinistrés!J1008</f>
        <v>60228.959999999999</v>
      </c>
      <c r="C1003">
        <f>Sinistrés!X1008</f>
        <v>0</v>
      </c>
      <c r="D1003">
        <f>Sinistrés!L1008</f>
        <v>40.26</v>
      </c>
      <c r="E1003">
        <f>Sinistrés!M1008</f>
        <v>40.26</v>
      </c>
      <c r="F1003">
        <f t="shared" si="30"/>
        <v>0</v>
      </c>
      <c r="G1003">
        <f t="shared" si="31"/>
        <v>1</v>
      </c>
    </row>
    <row r="1004" spans="1:7" hidden="1">
      <c r="A1004" t="str">
        <f>Sinistrés!H1009</f>
        <v>Orge d'hiver</v>
      </c>
      <c r="B1004">
        <f>Sinistrés!J1009</f>
        <v>21420</v>
      </c>
      <c r="C1004">
        <f>Sinistrés!X1009</f>
        <v>0</v>
      </c>
      <c r="D1004">
        <f>Sinistrés!L1009</f>
        <v>17</v>
      </c>
      <c r="E1004">
        <f>Sinistrés!M1009</f>
        <v>17</v>
      </c>
      <c r="F1004">
        <f t="shared" si="30"/>
        <v>0</v>
      </c>
      <c r="G1004">
        <f t="shared" si="31"/>
        <v>1</v>
      </c>
    </row>
    <row r="1005" spans="1:7">
      <c r="A1005" t="str">
        <f>Sinistrés!H1010</f>
        <v>Pois protéagineux</v>
      </c>
      <c r="B1005">
        <f>Sinistrés!J1010</f>
        <v>8603.1</v>
      </c>
      <c r="C1005">
        <f>Sinistrés!X1010</f>
        <v>1353.27</v>
      </c>
      <c r="D1005">
        <f>Sinistrés!L1010</f>
        <v>11.85</v>
      </c>
      <c r="E1005">
        <f>Sinistrés!M1010</f>
        <v>11.85</v>
      </c>
      <c r="F1005">
        <f t="shared" si="30"/>
        <v>0.15730027548209366</v>
      </c>
      <c r="G1005">
        <f t="shared" si="31"/>
        <v>1</v>
      </c>
    </row>
    <row r="1006" spans="1:7">
      <c r="A1006" t="str">
        <f>Sinistrés!H1011</f>
        <v>Tournesol</v>
      </c>
      <c r="B1006">
        <f>Sinistrés!J1011</f>
        <v>24880.91</v>
      </c>
      <c r="C1006">
        <f>Sinistrés!X1011</f>
        <v>4484.97</v>
      </c>
      <c r="D1006">
        <f>Sinistrés!L1011</f>
        <v>23.73</v>
      </c>
      <c r="E1006">
        <f>Sinistrés!M1011</f>
        <v>23.73</v>
      </c>
      <c r="F1006">
        <f t="shared" si="30"/>
        <v>0.18025747450555468</v>
      </c>
      <c r="G1006">
        <f t="shared" si="31"/>
        <v>1</v>
      </c>
    </row>
    <row r="1007" spans="1:7">
      <c r="A1007" t="str">
        <f>Sinistrés!H1012</f>
        <v>Blé dur d'hiver</v>
      </c>
      <c r="B1007">
        <f>Sinistrés!J1012</f>
        <v>16560</v>
      </c>
      <c r="C1007">
        <f>Sinistrés!X1012</f>
        <v>282.72000000000003</v>
      </c>
      <c r="D1007">
        <f>Sinistrés!L1012</f>
        <v>12</v>
      </c>
      <c r="E1007">
        <f>Sinistrés!M1012</f>
        <v>12</v>
      </c>
      <c r="F1007">
        <f t="shared" si="30"/>
        <v>1.7072463768115945E-2</v>
      </c>
      <c r="G1007">
        <f t="shared" si="31"/>
        <v>1</v>
      </c>
    </row>
    <row r="1008" spans="1:7">
      <c r="A1008" t="str">
        <f>Sinistrés!H1013</f>
        <v>Avoine d'hiver</v>
      </c>
      <c r="B1008">
        <f>Sinistrés!J1013</f>
        <v>3600</v>
      </c>
      <c r="C1008">
        <f>Sinistrés!X1013</f>
        <v>1509</v>
      </c>
      <c r="D1008">
        <f>Sinistrés!L1013</f>
        <v>6</v>
      </c>
      <c r="E1008">
        <f>Sinistrés!M1013</f>
        <v>6</v>
      </c>
      <c r="F1008">
        <f t="shared" si="30"/>
        <v>0.41916666666666669</v>
      </c>
      <c r="G1008">
        <f t="shared" si="31"/>
        <v>1</v>
      </c>
    </row>
    <row r="1009" spans="1:7">
      <c r="A1009" t="str">
        <f>Sinistrés!H1014</f>
        <v>Seigle et méteil</v>
      </c>
      <c r="B1009">
        <f>Sinistrés!J1014</f>
        <v>2729.76</v>
      </c>
      <c r="C1009">
        <f>Sinistrés!X1014</f>
        <v>557.57000000000005</v>
      </c>
      <c r="D1009">
        <f>Sinistrés!L1014</f>
        <v>3.52</v>
      </c>
      <c r="E1009">
        <f>Sinistrés!M1014</f>
        <v>3.52</v>
      </c>
      <c r="F1009">
        <f t="shared" si="30"/>
        <v>0.20425605181407888</v>
      </c>
      <c r="G1009">
        <f t="shared" si="31"/>
        <v>1</v>
      </c>
    </row>
    <row r="1010" spans="1:7">
      <c r="A1010" t="str">
        <f>Sinistrés!H1015</f>
        <v>Blé dur d'hiver</v>
      </c>
      <c r="B1010">
        <f>Sinistrés!J1015</f>
        <v>8461.58</v>
      </c>
      <c r="C1010">
        <f>Sinistrés!X1015</f>
        <v>1318.49</v>
      </c>
      <c r="D1010">
        <f>Sinistrés!L1015</f>
        <v>6.97</v>
      </c>
      <c r="E1010">
        <f>Sinistrés!M1015</f>
        <v>6.97</v>
      </c>
      <c r="F1010">
        <f t="shared" si="30"/>
        <v>0.15582078051616838</v>
      </c>
      <c r="G1010">
        <f t="shared" si="31"/>
        <v>1</v>
      </c>
    </row>
    <row r="1011" spans="1:7">
      <c r="A1011" t="str">
        <f>Sinistrés!H1016</f>
        <v>Tournesol</v>
      </c>
      <c r="B1011">
        <f>Sinistrés!J1016</f>
        <v>36480</v>
      </c>
      <c r="C1011">
        <f>Sinistrés!X1016</f>
        <v>1340.64</v>
      </c>
      <c r="D1011">
        <f>Sinistrés!L1016</f>
        <v>38</v>
      </c>
      <c r="E1011">
        <f>Sinistrés!M1016</f>
        <v>8</v>
      </c>
      <c r="F1011">
        <f t="shared" si="30"/>
        <v>3.6750000000000005E-2</v>
      </c>
      <c r="G1011">
        <f t="shared" si="31"/>
        <v>0.21052631578947367</v>
      </c>
    </row>
    <row r="1012" spans="1:7">
      <c r="A1012" t="str">
        <f>Sinistrés!H1017</f>
        <v>Maïs grain non irrigué</v>
      </c>
      <c r="B1012">
        <f>Sinistrés!J1017</f>
        <v>72479.5</v>
      </c>
      <c r="C1012">
        <f>Sinistrés!X1017</f>
        <v>486</v>
      </c>
      <c r="D1012">
        <f>Sinistrés!L1017</f>
        <v>38.11</v>
      </c>
      <c r="E1012">
        <f>Sinistrés!M1017</f>
        <v>2.4500000000000002</v>
      </c>
      <c r="F1012">
        <f t="shared" si="30"/>
        <v>6.7053442697590357E-3</v>
      </c>
      <c r="G1012">
        <f t="shared" si="31"/>
        <v>6.4287588559433229E-2</v>
      </c>
    </row>
    <row r="1013" spans="1:7">
      <c r="A1013" t="str">
        <f>Sinistrés!H1018</f>
        <v>Blé dur d'hiver</v>
      </c>
      <c r="B1013">
        <f>Sinistrés!J1018</f>
        <v>20823.36</v>
      </c>
      <c r="C1013">
        <f>Sinistrés!X1018</f>
        <v>3094.03</v>
      </c>
      <c r="D1013">
        <f>Sinistrés!L1018</f>
        <v>31.84</v>
      </c>
      <c r="E1013">
        <f>Sinistrés!M1018</f>
        <v>31.84</v>
      </c>
      <c r="F1013">
        <f t="shared" si="30"/>
        <v>0.14858457040554454</v>
      </c>
      <c r="G1013">
        <f t="shared" si="31"/>
        <v>1</v>
      </c>
    </row>
    <row r="1014" spans="1:7" hidden="1">
      <c r="A1014" t="str">
        <f>Sinistrés!H1019</f>
        <v>Blé tendre d'hiver</v>
      </c>
      <c r="B1014">
        <f>Sinistrés!J1019</f>
        <v>26125.200000000001</v>
      </c>
      <c r="C1014">
        <f>Sinistrés!X1019</f>
        <v>0</v>
      </c>
      <c r="D1014">
        <f>Sinistrés!L1019</f>
        <v>26.55</v>
      </c>
      <c r="E1014">
        <f>Sinistrés!M1019</f>
        <v>26.55</v>
      </c>
      <c r="F1014">
        <f t="shared" si="30"/>
        <v>0</v>
      </c>
      <c r="G1014">
        <f t="shared" si="31"/>
        <v>1</v>
      </c>
    </row>
    <row r="1015" spans="1:7" hidden="1">
      <c r="A1015" t="str">
        <f>Sinistrés!H1020</f>
        <v>Orge d'hiver</v>
      </c>
      <c r="B1015">
        <f>Sinistrés!J1020</f>
        <v>15707.85</v>
      </c>
      <c r="C1015">
        <f>Sinistrés!X1020</f>
        <v>0</v>
      </c>
      <c r="D1015">
        <f>Sinistrés!L1020</f>
        <v>15.7</v>
      </c>
      <c r="E1015">
        <f>Sinistrés!M1020</f>
        <v>15.7</v>
      </c>
      <c r="F1015">
        <f t="shared" si="30"/>
        <v>0</v>
      </c>
      <c r="G1015">
        <f t="shared" si="31"/>
        <v>1</v>
      </c>
    </row>
    <row r="1016" spans="1:7">
      <c r="A1016" t="str">
        <f>Sinistrés!H1021</f>
        <v>Maïs pop corn irrigué</v>
      </c>
      <c r="B1016">
        <f>Sinistrés!J1021</f>
        <v>14064.75</v>
      </c>
      <c r="C1016">
        <f>Sinistrés!X1021</f>
        <v>9556.0499999999993</v>
      </c>
      <c r="D1016">
        <f>Sinistrés!L1021</f>
        <v>9.5</v>
      </c>
      <c r="E1016">
        <f>Sinistrés!M1021</f>
        <v>9.5</v>
      </c>
      <c r="F1016">
        <f t="shared" si="30"/>
        <v>0.67943262411347516</v>
      </c>
      <c r="G1016">
        <f t="shared" si="31"/>
        <v>1</v>
      </c>
    </row>
    <row r="1017" spans="1:7">
      <c r="A1017" t="str">
        <f>Sinistrés!H1022</f>
        <v>Maïs grain irrigué</v>
      </c>
      <c r="B1017">
        <f>Sinistrés!J1022</f>
        <v>15307.95</v>
      </c>
      <c r="C1017">
        <f>Sinistrés!X1022</f>
        <v>2617.5100000000002</v>
      </c>
      <c r="D1017">
        <f>Sinistrés!L1022</f>
        <v>15.25</v>
      </c>
      <c r="E1017">
        <f>Sinistrés!M1022</f>
        <v>15.25</v>
      </c>
      <c r="F1017">
        <f t="shared" si="30"/>
        <v>0.17099023709902372</v>
      </c>
      <c r="G1017">
        <f t="shared" si="31"/>
        <v>1</v>
      </c>
    </row>
    <row r="1018" spans="1:7">
      <c r="A1018" t="str">
        <f>Sinistrés!H1023</f>
        <v>Maïs ensilage irrigué</v>
      </c>
      <c r="B1018">
        <f>Sinistrés!J1023</f>
        <v>21430</v>
      </c>
      <c r="C1018">
        <f>Sinistrés!X1023</f>
        <v>7500.5</v>
      </c>
      <c r="D1018">
        <f>Sinistrés!L1023</f>
        <v>21.43</v>
      </c>
      <c r="E1018">
        <f>Sinistrés!M1023</f>
        <v>21.43</v>
      </c>
      <c r="F1018">
        <f t="shared" si="30"/>
        <v>0.35</v>
      </c>
      <c r="G1018">
        <f t="shared" si="31"/>
        <v>1</v>
      </c>
    </row>
    <row r="1019" spans="1:7">
      <c r="A1019" t="str">
        <f>Sinistrés!H1024</f>
        <v>Maïs grain non irrigué</v>
      </c>
      <c r="B1019">
        <f>Sinistrés!J1024</f>
        <v>4116</v>
      </c>
      <c r="C1019">
        <f>Sinistrés!X1024</f>
        <v>535.08000000000004</v>
      </c>
      <c r="D1019">
        <f>Sinistrés!L1024</f>
        <v>4.2</v>
      </c>
      <c r="E1019">
        <f>Sinistrés!M1024</f>
        <v>4.2</v>
      </c>
      <c r="F1019">
        <f t="shared" si="30"/>
        <v>0.13</v>
      </c>
      <c r="G1019">
        <f t="shared" si="31"/>
        <v>1</v>
      </c>
    </row>
    <row r="1020" spans="1:7" hidden="1">
      <c r="A1020" t="str">
        <f>Sinistrés!H1025</f>
        <v>Blé tendre d'hiver</v>
      </c>
      <c r="B1020">
        <f>Sinistrés!J1025</f>
        <v>106060.8</v>
      </c>
      <c r="C1020">
        <f>Sinistrés!X1025</f>
        <v>0</v>
      </c>
      <c r="D1020">
        <f>Sinistrés!L1025</f>
        <v>82.86</v>
      </c>
      <c r="E1020">
        <f>Sinistrés!M1025</f>
        <v>83.05</v>
      </c>
      <c r="F1020">
        <f t="shared" si="30"/>
        <v>0</v>
      </c>
      <c r="G1020">
        <f t="shared" si="31"/>
        <v>1.0022930243784698</v>
      </c>
    </row>
    <row r="1021" spans="1:7" hidden="1">
      <c r="A1021" t="str">
        <f>Sinistrés!H1026</f>
        <v>Orge de printemps</v>
      </c>
      <c r="B1021">
        <f>Sinistrés!J1026</f>
        <v>88431.16</v>
      </c>
      <c r="C1021">
        <f>Sinistrés!X1026</f>
        <v>0</v>
      </c>
      <c r="D1021">
        <f>Sinistrés!L1026</f>
        <v>67.67</v>
      </c>
      <c r="E1021">
        <f>Sinistrés!M1026</f>
        <v>67.62</v>
      </c>
      <c r="F1021">
        <f t="shared" si="30"/>
        <v>0</v>
      </c>
      <c r="G1021">
        <f t="shared" si="31"/>
        <v>0.99926112014186497</v>
      </c>
    </row>
    <row r="1022" spans="1:7" hidden="1">
      <c r="A1022" t="str">
        <f>Sinistrés!H1027</f>
        <v>Orge d'hiver</v>
      </c>
      <c r="B1022">
        <f>Sinistrés!J1027</f>
        <v>41908.94</v>
      </c>
      <c r="C1022">
        <f>Sinistrés!X1027</f>
        <v>0</v>
      </c>
      <c r="D1022">
        <f>Sinistrés!L1027</f>
        <v>31.28</v>
      </c>
      <c r="E1022">
        <f>Sinistrés!M1027</f>
        <v>31.2</v>
      </c>
      <c r="F1022">
        <f t="shared" si="30"/>
        <v>0</v>
      </c>
      <c r="G1022">
        <f t="shared" si="31"/>
        <v>0.99744245524296671</v>
      </c>
    </row>
    <row r="1023" spans="1:7" hidden="1">
      <c r="A1023" t="str">
        <f>Sinistrés!H1028</f>
        <v>Tournesol</v>
      </c>
      <c r="B1023">
        <f>Sinistrés!J1028</f>
        <v>28543.46</v>
      </c>
      <c r="C1023">
        <f>Sinistrés!X1028</f>
        <v>0</v>
      </c>
      <c r="D1023">
        <f>Sinistrés!L1028</f>
        <v>32.76</v>
      </c>
      <c r="E1023">
        <f>Sinistrés!M1028</f>
        <v>41.5</v>
      </c>
      <c r="F1023">
        <f t="shared" si="30"/>
        <v>0</v>
      </c>
      <c r="G1023">
        <f t="shared" si="31"/>
        <v>1.266788766788767</v>
      </c>
    </row>
    <row r="1024" spans="1:7" hidden="1">
      <c r="A1024" t="str">
        <f>Sinistrés!H1029</f>
        <v>Maïs ensilage non irrigué</v>
      </c>
      <c r="B1024">
        <f>Sinistrés!J1029</f>
        <v>18532.080000000002</v>
      </c>
      <c r="C1024">
        <f>Sinistrés!X1029</f>
        <v>0</v>
      </c>
      <c r="D1024">
        <f>Sinistrés!L1029</f>
        <v>20.41</v>
      </c>
      <c r="E1024">
        <f>Sinistrés!M1029</f>
        <v>11.75</v>
      </c>
      <c r="F1024">
        <f t="shared" si="30"/>
        <v>0</v>
      </c>
      <c r="G1024">
        <f t="shared" si="31"/>
        <v>0.57569818716315535</v>
      </c>
    </row>
    <row r="1025" spans="1:7" hidden="1">
      <c r="A1025" t="str">
        <f>Sinistrés!H1030</f>
        <v>Féveroles et fèves</v>
      </c>
      <c r="B1025">
        <f>Sinistrés!J1030</f>
        <v>12463.24</v>
      </c>
      <c r="C1025">
        <f>Sinistrés!X1030</f>
        <v>0</v>
      </c>
      <c r="D1025">
        <f>Sinistrés!L1030</f>
        <v>23.56</v>
      </c>
      <c r="E1025">
        <f>Sinistrés!M1030</f>
        <v>23.55</v>
      </c>
      <c r="F1025">
        <f t="shared" si="30"/>
        <v>0</v>
      </c>
      <c r="G1025">
        <f t="shared" si="31"/>
        <v>0.99957555178268265</v>
      </c>
    </row>
    <row r="1026" spans="1:7" hidden="1">
      <c r="A1026" t="str">
        <f>Sinistrés!H1031</f>
        <v>Lin oléagineux</v>
      </c>
      <c r="B1026">
        <f>Sinistrés!J1031</f>
        <v>10073.14</v>
      </c>
      <c r="C1026">
        <f>Sinistrés!X1031</f>
        <v>0</v>
      </c>
      <c r="D1026">
        <f>Sinistrés!L1031</f>
        <v>11</v>
      </c>
      <c r="E1026">
        <f>Sinistrés!M1031</f>
        <v>10.65</v>
      </c>
      <c r="F1026">
        <f t="shared" si="30"/>
        <v>0</v>
      </c>
      <c r="G1026">
        <f t="shared" si="31"/>
        <v>0.96818181818181825</v>
      </c>
    </row>
    <row r="1027" spans="1:7" hidden="1">
      <c r="A1027" t="str">
        <f>Sinistrés!H1032</f>
        <v>Colza d'hiver</v>
      </c>
      <c r="B1027">
        <f>Sinistrés!J1032</f>
        <v>17468</v>
      </c>
      <c r="C1027">
        <f>Sinistrés!X1032</f>
        <v>0</v>
      </c>
      <c r="D1027">
        <f>Sinistrés!L1032</f>
        <v>16</v>
      </c>
      <c r="E1027">
        <f>Sinistrés!M1032</f>
        <v>12.79</v>
      </c>
      <c r="F1027">
        <f t="shared" ref="F1027:F1090" si="32">C1027/B1027</f>
        <v>0</v>
      </c>
      <c r="G1027">
        <f t="shared" ref="G1027:G1090" si="33">E1027/D1027</f>
        <v>0.79937499999999995</v>
      </c>
    </row>
    <row r="1028" spans="1:7" hidden="1">
      <c r="A1028" t="str">
        <f>Sinistrés!H1033</f>
        <v>Maïs grain non irrigué</v>
      </c>
      <c r="B1028">
        <f>Sinistrés!J1033</f>
        <v>38382.400000000001</v>
      </c>
      <c r="C1028">
        <f>Sinistrés!X1033</f>
        <v>0</v>
      </c>
      <c r="D1028">
        <f>Sinistrés!L1033</f>
        <v>40</v>
      </c>
      <c r="E1028">
        <f>Sinistrés!M1033</f>
        <v>38.64</v>
      </c>
      <c r="F1028">
        <f t="shared" si="32"/>
        <v>0</v>
      </c>
      <c r="G1028">
        <f t="shared" si="33"/>
        <v>0.96599999999999997</v>
      </c>
    </row>
    <row r="1029" spans="1:7" hidden="1">
      <c r="A1029" t="str">
        <f>Sinistrés!H1034</f>
        <v>Orge de printemps</v>
      </c>
      <c r="B1029">
        <f>Sinistrés!J1034</f>
        <v>38591.699999999997</v>
      </c>
      <c r="C1029">
        <f>Sinistrés!X1034</f>
        <v>0</v>
      </c>
      <c r="D1029">
        <f>Sinistrés!L1034</f>
        <v>47</v>
      </c>
      <c r="E1029">
        <f>Sinistrés!M1034</f>
        <v>44.04</v>
      </c>
      <c r="F1029">
        <f t="shared" si="32"/>
        <v>0</v>
      </c>
      <c r="G1029">
        <f t="shared" si="33"/>
        <v>0.93702127659574463</v>
      </c>
    </row>
    <row r="1030" spans="1:7" hidden="1">
      <c r="A1030" t="str">
        <f>Sinistrés!H1035</f>
        <v>Avoine d'hiver</v>
      </c>
      <c r="B1030">
        <f>Sinistrés!J1035</f>
        <v>24272</v>
      </c>
      <c r="C1030">
        <f>Sinistrés!X1035</f>
        <v>0</v>
      </c>
      <c r="D1030">
        <f>Sinistrés!L1035</f>
        <v>37</v>
      </c>
      <c r="E1030">
        <f>Sinistrés!M1035</f>
        <v>55.12</v>
      </c>
      <c r="F1030">
        <f t="shared" si="32"/>
        <v>0</v>
      </c>
      <c r="G1030">
        <f t="shared" si="33"/>
        <v>1.4897297297297296</v>
      </c>
    </row>
    <row r="1031" spans="1:7" hidden="1">
      <c r="A1031" t="str">
        <f>Sinistrés!H1036</f>
        <v>Blé tendre d'hiver</v>
      </c>
      <c r="B1031">
        <f>Sinistrés!J1036</f>
        <v>79115.839999999997</v>
      </c>
      <c r="C1031">
        <f>Sinistrés!X1036</f>
        <v>0</v>
      </c>
      <c r="D1031">
        <f>Sinistrés!L1036</f>
        <v>108.99</v>
      </c>
      <c r="E1031">
        <f>Sinistrés!M1036</f>
        <v>102.77</v>
      </c>
      <c r="F1031">
        <f t="shared" si="32"/>
        <v>0</v>
      </c>
      <c r="G1031">
        <f t="shared" si="33"/>
        <v>0.94293054408661348</v>
      </c>
    </row>
    <row r="1032" spans="1:7" hidden="1">
      <c r="A1032" t="str">
        <f>Sinistrés!H1037</f>
        <v>Orge d'hiver</v>
      </c>
      <c r="B1032">
        <f>Sinistrés!J1037</f>
        <v>12820.5</v>
      </c>
      <c r="C1032">
        <f>Sinistrés!X1037</f>
        <v>0</v>
      </c>
      <c r="D1032">
        <f>Sinistrés!L1037</f>
        <v>21</v>
      </c>
      <c r="E1032">
        <f>Sinistrés!M1037</f>
        <v>20</v>
      </c>
      <c r="F1032">
        <f t="shared" si="32"/>
        <v>0</v>
      </c>
      <c r="G1032">
        <f t="shared" si="33"/>
        <v>0.95238095238095233</v>
      </c>
    </row>
    <row r="1033" spans="1:7" hidden="1">
      <c r="A1033" t="str">
        <f>Sinistrés!H1038</f>
        <v>Tournesol</v>
      </c>
      <c r="B1033">
        <f>Sinistrés!J1038</f>
        <v>11434.2</v>
      </c>
      <c r="C1033">
        <f>Sinistrés!X1038</f>
        <v>0</v>
      </c>
      <c r="D1033">
        <f>Sinistrés!L1038</f>
        <v>17</v>
      </c>
      <c r="E1033">
        <f>Sinistrés!M1038</f>
        <v>35.25</v>
      </c>
      <c r="F1033">
        <f t="shared" si="32"/>
        <v>0</v>
      </c>
      <c r="G1033">
        <f t="shared" si="33"/>
        <v>2.0735294117647061</v>
      </c>
    </row>
    <row r="1034" spans="1:7" hidden="1">
      <c r="A1034" t="str">
        <f>Sinistrés!H1039</f>
        <v>Maïs grain non irrigué BIO</v>
      </c>
      <c r="B1034">
        <f>Sinistrés!J1039</f>
        <v>6000</v>
      </c>
      <c r="C1034">
        <f>Sinistrés!X1039</f>
        <v>0</v>
      </c>
      <c r="D1034">
        <f>Sinistrés!L1039</f>
        <v>6</v>
      </c>
      <c r="E1034">
        <f>Sinistrés!M1039</f>
        <v>6</v>
      </c>
      <c r="F1034">
        <f t="shared" si="32"/>
        <v>0</v>
      </c>
      <c r="G1034">
        <f t="shared" si="33"/>
        <v>1</v>
      </c>
    </row>
    <row r="1035" spans="1:7" hidden="1">
      <c r="A1035" t="str">
        <f>Sinistrés!H1040</f>
        <v>Seigle et méteil BIO</v>
      </c>
      <c r="B1035">
        <f>Sinistrés!J1040</f>
        <v>8388.7999999999993</v>
      </c>
      <c r="C1035">
        <f>Sinistrés!X1040</f>
        <v>0</v>
      </c>
      <c r="D1035">
        <f>Sinistrés!L1040</f>
        <v>7.49</v>
      </c>
      <c r="E1035">
        <f>Sinistrés!M1040</f>
        <v>7.49</v>
      </c>
      <c r="F1035">
        <f t="shared" si="32"/>
        <v>0</v>
      </c>
      <c r="G1035">
        <f t="shared" si="33"/>
        <v>1</v>
      </c>
    </row>
    <row r="1036" spans="1:7" hidden="1">
      <c r="A1036" t="str">
        <f>Sinistrés!H1041</f>
        <v>Blé tendre d'hiver BIO</v>
      </c>
      <c r="B1036">
        <f>Sinistrés!J1041</f>
        <v>18671.400000000001</v>
      </c>
      <c r="C1036">
        <f>Sinistrés!X1041</f>
        <v>0</v>
      </c>
      <c r="D1036">
        <f>Sinistrés!L1041</f>
        <v>16.399999999999999</v>
      </c>
      <c r="E1036">
        <f>Sinistrés!M1041</f>
        <v>16.399999999999999</v>
      </c>
      <c r="F1036">
        <f t="shared" si="32"/>
        <v>0</v>
      </c>
      <c r="G1036">
        <f t="shared" si="33"/>
        <v>1</v>
      </c>
    </row>
    <row r="1037" spans="1:7" hidden="1">
      <c r="A1037" t="str">
        <f>Sinistrés!H1042</f>
        <v>Seigle et méteil BIO</v>
      </c>
      <c r="B1037">
        <f>Sinistrés!J1042</f>
        <v>11670.4</v>
      </c>
      <c r="C1037">
        <f>Sinistrés!X1042</f>
        <v>0</v>
      </c>
      <c r="D1037">
        <f>Sinistrés!L1042</f>
        <v>10.42</v>
      </c>
      <c r="E1037">
        <f>Sinistrés!M1042</f>
        <v>10.42</v>
      </c>
      <c r="F1037">
        <f t="shared" si="32"/>
        <v>0</v>
      </c>
      <c r="G1037">
        <f t="shared" si="33"/>
        <v>1</v>
      </c>
    </row>
    <row r="1038" spans="1:7" hidden="1">
      <c r="A1038" t="str">
        <f>Sinistrés!H1043</f>
        <v>Blé tendre d'hiver</v>
      </c>
      <c r="B1038">
        <f>Sinistrés!J1043</f>
        <v>10832.4</v>
      </c>
      <c r="C1038">
        <f>Sinistrés!X1043</f>
        <v>0</v>
      </c>
      <c r="D1038">
        <f>Sinistrés!L1043</f>
        <v>10.029999999999999</v>
      </c>
      <c r="E1038">
        <f>Sinistrés!M1043</f>
        <v>10.029999999999999</v>
      </c>
      <c r="F1038">
        <f t="shared" si="32"/>
        <v>0</v>
      </c>
      <c r="G1038">
        <f t="shared" si="33"/>
        <v>1</v>
      </c>
    </row>
    <row r="1039" spans="1:7">
      <c r="A1039" t="str">
        <f>Sinistrés!H1044</f>
        <v>Triticale</v>
      </c>
      <c r="B1039">
        <f>Sinistrés!J1044</f>
        <v>8175.14</v>
      </c>
      <c r="C1039">
        <f>Sinistrés!X1044</f>
        <v>1130.22</v>
      </c>
      <c r="D1039">
        <f>Sinistrés!L1044</f>
        <v>14.23</v>
      </c>
      <c r="E1039">
        <f>Sinistrés!M1044</f>
        <v>14.23</v>
      </c>
      <c r="F1039">
        <f t="shared" si="32"/>
        <v>0.13825084341063273</v>
      </c>
      <c r="G1039">
        <f t="shared" si="33"/>
        <v>1</v>
      </c>
    </row>
    <row r="1040" spans="1:7">
      <c r="A1040" t="str">
        <f>Sinistrés!H1045</f>
        <v>Tournesol</v>
      </c>
      <c r="B1040">
        <f>Sinistrés!J1045</f>
        <v>9091.44</v>
      </c>
      <c r="C1040">
        <f>Sinistrés!X1045</f>
        <v>3308.41</v>
      </c>
      <c r="D1040">
        <f>Sinistrés!L1045</f>
        <v>12.42</v>
      </c>
      <c r="E1040">
        <f>Sinistrés!M1045</f>
        <v>12.42</v>
      </c>
      <c r="F1040">
        <f t="shared" si="32"/>
        <v>0.36390384801527587</v>
      </c>
      <c r="G1040">
        <f t="shared" si="33"/>
        <v>1</v>
      </c>
    </row>
    <row r="1041" spans="1:7" hidden="1">
      <c r="A1041" t="str">
        <f>Sinistrés!H1046</f>
        <v>Pois protéagineux BIO</v>
      </c>
      <c r="B1041">
        <f>Sinistrés!J1046</f>
        <v>3323.9</v>
      </c>
      <c r="C1041">
        <f>Sinistrés!X1046</f>
        <v>1056.49</v>
      </c>
      <c r="D1041">
        <f>Sinistrés!L1046</f>
        <v>3.66</v>
      </c>
      <c r="E1041">
        <f>Sinistrés!M1046</f>
        <v>3.66</v>
      </c>
      <c r="F1041">
        <f t="shared" si="32"/>
        <v>0.31784650561087879</v>
      </c>
      <c r="G1041">
        <f t="shared" si="33"/>
        <v>1</v>
      </c>
    </row>
    <row r="1042" spans="1:7" hidden="1">
      <c r="A1042" t="str">
        <f>Sinistrés!H1047</f>
        <v>Triticale BIO</v>
      </c>
      <c r="B1042">
        <f>Sinistrés!J1047</f>
        <v>7534.61</v>
      </c>
      <c r="C1042">
        <f>Sinistrés!X1047</f>
        <v>0</v>
      </c>
      <c r="D1042">
        <f>Sinistrés!L1047</f>
        <v>12.75</v>
      </c>
      <c r="E1042">
        <f>Sinistrés!M1047</f>
        <v>12.75</v>
      </c>
      <c r="F1042">
        <f t="shared" si="32"/>
        <v>0</v>
      </c>
      <c r="G1042">
        <f t="shared" si="33"/>
        <v>1</v>
      </c>
    </row>
    <row r="1043" spans="1:7" hidden="1">
      <c r="A1043" t="str">
        <f>Sinistrés!H1048</f>
        <v>Maïs grain non irrigué BIO</v>
      </c>
      <c r="B1043">
        <f>Sinistrés!J1048</f>
        <v>3981.29</v>
      </c>
      <c r="C1043">
        <f>Sinistrés!X1048</f>
        <v>0</v>
      </c>
      <c r="D1043">
        <f>Sinistrés!L1048</f>
        <v>3.85</v>
      </c>
      <c r="E1043">
        <f>Sinistrés!M1048</f>
        <v>3.85</v>
      </c>
      <c r="F1043">
        <f t="shared" si="32"/>
        <v>0</v>
      </c>
      <c r="G1043">
        <f t="shared" si="33"/>
        <v>1</v>
      </c>
    </row>
    <row r="1044" spans="1:7" hidden="1">
      <c r="A1044" t="str">
        <f>Sinistrés!H1049</f>
        <v>Tournesol BIO</v>
      </c>
      <c r="B1044">
        <f>Sinistrés!J1049</f>
        <v>3281.15</v>
      </c>
      <c r="C1044">
        <f>Sinistrés!X1049</f>
        <v>494</v>
      </c>
      <c r="D1044">
        <f>Sinistrés!L1049</f>
        <v>4.9400000000000004</v>
      </c>
      <c r="E1044">
        <f>Sinistrés!M1049</f>
        <v>4.9400000000000004</v>
      </c>
      <c r="F1044">
        <f t="shared" si="32"/>
        <v>0.15055696935525653</v>
      </c>
      <c r="G1044">
        <f t="shared" si="33"/>
        <v>1</v>
      </c>
    </row>
    <row r="1045" spans="1:7" hidden="1">
      <c r="A1045" t="str">
        <f>Sinistrés!H1050</f>
        <v>Blé tendre d'hiver BIO</v>
      </c>
      <c r="B1045">
        <f>Sinistrés!J1050</f>
        <v>13922.2</v>
      </c>
      <c r="C1045">
        <f>Sinistrés!X1050</f>
        <v>0</v>
      </c>
      <c r="D1045">
        <f>Sinistrés!L1050</f>
        <v>9.2200000000000006</v>
      </c>
      <c r="E1045">
        <f>Sinistrés!M1050</f>
        <v>9.2200000000000006</v>
      </c>
      <c r="F1045">
        <f t="shared" si="32"/>
        <v>0</v>
      </c>
      <c r="G1045">
        <f t="shared" si="33"/>
        <v>1</v>
      </c>
    </row>
    <row r="1046" spans="1:7" hidden="1">
      <c r="A1046" t="str">
        <f>Sinistrés!H1051</f>
        <v>Blé tendre d'hiver</v>
      </c>
      <c r="B1046">
        <f>Sinistrés!J1051</f>
        <v>16979.87</v>
      </c>
      <c r="C1046">
        <f>Sinistrés!X1051</f>
        <v>0</v>
      </c>
      <c r="D1046">
        <f>Sinistrés!L1051</f>
        <v>14.58</v>
      </c>
      <c r="E1046">
        <f>Sinistrés!M1051</f>
        <v>14.58</v>
      </c>
      <c r="F1046">
        <f t="shared" si="32"/>
        <v>0</v>
      </c>
      <c r="G1046">
        <f t="shared" si="33"/>
        <v>1</v>
      </c>
    </row>
    <row r="1047" spans="1:7" hidden="1">
      <c r="A1047" t="str">
        <f>Sinistrés!H1052</f>
        <v>Orge d'hiver</v>
      </c>
      <c r="B1047">
        <f>Sinistrés!J1052</f>
        <v>13463.47</v>
      </c>
      <c r="C1047">
        <f>Sinistrés!X1052</f>
        <v>0</v>
      </c>
      <c r="D1047">
        <f>Sinistrés!L1052</f>
        <v>14.19</v>
      </c>
      <c r="E1047">
        <f>Sinistrés!M1052</f>
        <v>14.19</v>
      </c>
      <c r="F1047">
        <f t="shared" si="32"/>
        <v>0</v>
      </c>
      <c r="G1047">
        <f t="shared" si="33"/>
        <v>1</v>
      </c>
    </row>
    <row r="1048" spans="1:7" hidden="1">
      <c r="A1048" t="str">
        <f>Sinistrés!H1053</f>
        <v>Tournesol</v>
      </c>
      <c r="B1048">
        <f>Sinistrés!J1053</f>
        <v>6746.44</v>
      </c>
      <c r="C1048">
        <f>Sinistrés!X1053</f>
        <v>0</v>
      </c>
      <c r="D1048">
        <f>Sinistrés!L1053</f>
        <v>7.43</v>
      </c>
      <c r="E1048">
        <f>Sinistrés!M1053</f>
        <v>10.93</v>
      </c>
      <c r="F1048">
        <f t="shared" si="32"/>
        <v>0</v>
      </c>
      <c r="G1048">
        <f t="shared" si="33"/>
        <v>1.471063257065949</v>
      </c>
    </row>
    <row r="1049" spans="1:7" hidden="1">
      <c r="A1049" t="str">
        <f>Sinistrés!H1054</f>
        <v>Blé tendre d'hiver</v>
      </c>
      <c r="B1049">
        <f>Sinistrés!J1054</f>
        <v>46867.14</v>
      </c>
      <c r="C1049">
        <f>Sinistrés!X1054</f>
        <v>0</v>
      </c>
      <c r="D1049">
        <f>Sinistrés!L1054</f>
        <v>34.11</v>
      </c>
      <c r="E1049">
        <f>Sinistrés!M1054</f>
        <v>34.11</v>
      </c>
      <c r="F1049">
        <f t="shared" si="32"/>
        <v>0</v>
      </c>
      <c r="G1049">
        <f t="shared" si="33"/>
        <v>1</v>
      </c>
    </row>
    <row r="1050" spans="1:7" hidden="1">
      <c r="A1050" t="str">
        <f>Sinistrés!H1055</f>
        <v>Colza d'hiver</v>
      </c>
      <c r="B1050">
        <f>Sinistrés!J1055</f>
        <v>33003.629999999997</v>
      </c>
      <c r="C1050">
        <f>Sinistrés!X1055</f>
        <v>0</v>
      </c>
      <c r="D1050">
        <f>Sinistrés!L1055</f>
        <v>18.02</v>
      </c>
      <c r="E1050">
        <f>Sinistrés!M1055</f>
        <v>18.02</v>
      </c>
      <c r="F1050">
        <f t="shared" si="32"/>
        <v>0</v>
      </c>
      <c r="G1050">
        <f t="shared" si="33"/>
        <v>1</v>
      </c>
    </row>
    <row r="1051" spans="1:7" hidden="1">
      <c r="A1051" t="str">
        <f>Sinistrés!H1056</f>
        <v>Orge d'hiver BIO</v>
      </c>
      <c r="B1051">
        <f>Sinistrés!J1056</f>
        <v>18588.53</v>
      </c>
      <c r="C1051">
        <f>Sinistrés!X1056</f>
        <v>0</v>
      </c>
      <c r="D1051">
        <f>Sinistrés!L1056</f>
        <v>17.010000000000002</v>
      </c>
      <c r="E1051">
        <f>Sinistrés!M1056</f>
        <v>17.010000000000002</v>
      </c>
      <c r="F1051">
        <f t="shared" si="32"/>
        <v>0</v>
      </c>
      <c r="G1051">
        <f t="shared" si="33"/>
        <v>1</v>
      </c>
    </row>
    <row r="1052" spans="1:7" hidden="1">
      <c r="A1052" t="str">
        <f>Sinistrés!H1057</f>
        <v>Maïs ensilage non irrigué</v>
      </c>
      <c r="B1052">
        <f>Sinistrés!J1057</f>
        <v>23352</v>
      </c>
      <c r="C1052">
        <f>Sinistrés!X1057</f>
        <v>0</v>
      </c>
      <c r="D1052">
        <f>Sinistrés!L1057</f>
        <v>20.85</v>
      </c>
      <c r="E1052">
        <f>Sinistrés!M1057</f>
        <v>20.85</v>
      </c>
      <c r="F1052">
        <f t="shared" si="32"/>
        <v>0</v>
      </c>
      <c r="G1052">
        <f t="shared" si="33"/>
        <v>1</v>
      </c>
    </row>
    <row r="1053" spans="1:7">
      <c r="A1053" t="str">
        <f>Sinistrés!H1058</f>
        <v>Orge d'hiver</v>
      </c>
      <c r="B1053">
        <f>Sinistrés!J1058</f>
        <v>5654.93</v>
      </c>
      <c r="C1053">
        <f>Sinistrés!X1058</f>
        <v>620.04999999999995</v>
      </c>
      <c r="D1053">
        <f>Sinistrés!L1058</f>
        <v>6.15</v>
      </c>
      <c r="E1053">
        <f>Sinistrés!M1058</f>
        <v>6.15</v>
      </c>
      <c r="F1053">
        <f t="shared" si="32"/>
        <v>0.10964768794662355</v>
      </c>
      <c r="G1053">
        <f t="shared" si="33"/>
        <v>1</v>
      </c>
    </row>
    <row r="1054" spans="1:7">
      <c r="A1054" t="str">
        <f>Sinistrés!H1059</f>
        <v>Maïs grain non irrigué</v>
      </c>
      <c r="B1054">
        <f>Sinistrés!J1059</f>
        <v>5754</v>
      </c>
      <c r="C1054">
        <f>Sinistrés!X1059</f>
        <v>1984.44</v>
      </c>
      <c r="D1054">
        <f>Sinistrés!L1059</f>
        <v>6.85</v>
      </c>
      <c r="E1054">
        <f>Sinistrés!M1059</f>
        <v>6.85</v>
      </c>
      <c r="F1054">
        <f t="shared" si="32"/>
        <v>0.34488008342022941</v>
      </c>
      <c r="G1054">
        <f t="shared" si="33"/>
        <v>1</v>
      </c>
    </row>
    <row r="1055" spans="1:7">
      <c r="A1055" t="str">
        <f>Sinistrés!H1060</f>
        <v>Tournesol</v>
      </c>
      <c r="B1055">
        <f>Sinistrés!J1060</f>
        <v>4295.75</v>
      </c>
      <c r="C1055">
        <f>Sinistrés!X1060</f>
        <v>859.45</v>
      </c>
      <c r="D1055">
        <f>Sinistrés!L1060</f>
        <v>4.88</v>
      </c>
      <c r="E1055">
        <f>Sinistrés!M1060</f>
        <v>4.9800000000000004</v>
      </c>
      <c r="F1055">
        <f t="shared" si="32"/>
        <v>0.20006983646627483</v>
      </c>
      <c r="G1055">
        <f t="shared" si="33"/>
        <v>1.0204918032786887</v>
      </c>
    </row>
    <row r="1056" spans="1:7" hidden="1">
      <c r="A1056" t="str">
        <f>Sinistrés!H1061</f>
        <v>Blé tendre d'hiver</v>
      </c>
      <c r="B1056">
        <f>Sinistrés!J1061</f>
        <v>13814.71</v>
      </c>
      <c r="C1056">
        <f>Sinistrés!X1061</f>
        <v>0</v>
      </c>
      <c r="D1056">
        <f>Sinistrés!L1061</f>
        <v>13.3</v>
      </c>
      <c r="E1056">
        <f>Sinistrés!M1061</f>
        <v>13.3</v>
      </c>
      <c r="F1056">
        <f t="shared" si="32"/>
        <v>0</v>
      </c>
      <c r="G1056">
        <f t="shared" si="33"/>
        <v>1</v>
      </c>
    </row>
    <row r="1057" spans="1:7" hidden="1">
      <c r="A1057" t="str">
        <f>Sinistrés!H1062</f>
        <v>Triticale</v>
      </c>
      <c r="B1057">
        <f>Sinistrés!J1062</f>
        <v>6236.1</v>
      </c>
      <c r="C1057">
        <f>Sinistrés!X1062</f>
        <v>0</v>
      </c>
      <c r="D1057">
        <f>Sinistrés!L1062</f>
        <v>7.8</v>
      </c>
      <c r="E1057">
        <f>Sinistrés!M1062</f>
        <v>7.8</v>
      </c>
      <c r="F1057">
        <f t="shared" si="32"/>
        <v>0</v>
      </c>
      <c r="G1057">
        <f t="shared" si="33"/>
        <v>1</v>
      </c>
    </row>
    <row r="1058" spans="1:7" hidden="1">
      <c r="A1058" t="str">
        <f>Sinistrés!H1063</f>
        <v>Colza d'hiver</v>
      </c>
      <c r="B1058">
        <f>Sinistrés!J1063</f>
        <v>17270.400000000001</v>
      </c>
      <c r="C1058">
        <f>Sinistrés!X1063</f>
        <v>0</v>
      </c>
      <c r="D1058">
        <f>Sinistrés!L1063</f>
        <v>19.2</v>
      </c>
      <c r="E1058">
        <f>Sinistrés!M1063</f>
        <v>19.2</v>
      </c>
      <c r="F1058">
        <f t="shared" si="32"/>
        <v>0</v>
      </c>
      <c r="G1058">
        <f t="shared" si="33"/>
        <v>1</v>
      </c>
    </row>
    <row r="1059" spans="1:7" hidden="1">
      <c r="A1059" t="str">
        <f>Sinistrés!H1064</f>
        <v>Orge d'hiver</v>
      </c>
      <c r="B1059">
        <f>Sinistrés!J1064</f>
        <v>17813.12</v>
      </c>
      <c r="C1059">
        <f>Sinistrés!X1064</f>
        <v>0</v>
      </c>
      <c r="D1059">
        <f>Sinistrés!L1064</f>
        <v>16.29</v>
      </c>
      <c r="E1059">
        <f>Sinistrés!M1064</f>
        <v>16.29</v>
      </c>
      <c r="F1059">
        <f t="shared" si="32"/>
        <v>0</v>
      </c>
      <c r="G1059">
        <f t="shared" si="33"/>
        <v>1</v>
      </c>
    </row>
    <row r="1060" spans="1:7">
      <c r="A1060" t="str">
        <f>Sinistrés!H1065</f>
        <v>Blé dur d'hiver</v>
      </c>
      <c r="B1060">
        <f>Sinistrés!J1065</f>
        <v>9474.2999999999993</v>
      </c>
      <c r="C1060">
        <f>Sinistrés!X1065</f>
        <v>636.41</v>
      </c>
      <c r="D1060">
        <f>Sinistrés!L1065</f>
        <v>7.25</v>
      </c>
      <c r="E1060">
        <f>Sinistrés!M1065</f>
        <v>7.25</v>
      </c>
      <c r="F1060">
        <f t="shared" si="32"/>
        <v>6.7172244915191623E-2</v>
      </c>
      <c r="G1060">
        <f t="shared" si="33"/>
        <v>1</v>
      </c>
    </row>
    <row r="1061" spans="1:7">
      <c r="A1061" t="str">
        <f>Sinistrés!H1066</f>
        <v>Blé tendre d'hiver</v>
      </c>
      <c r="B1061">
        <f>Sinistrés!J1066</f>
        <v>51853.82</v>
      </c>
      <c r="C1061">
        <f>Sinistrés!X1066</f>
        <v>5119.91</v>
      </c>
      <c r="D1061">
        <f>Sinistrés!L1066</f>
        <v>40.92</v>
      </c>
      <c r="E1061">
        <f>Sinistrés!M1066</f>
        <v>40.92</v>
      </c>
      <c r="F1061">
        <f t="shared" si="32"/>
        <v>9.873737363997484E-2</v>
      </c>
      <c r="G1061">
        <f t="shared" si="33"/>
        <v>1</v>
      </c>
    </row>
    <row r="1062" spans="1:7">
      <c r="A1062" t="str">
        <f>Sinistrés!H1067</f>
        <v>Féveroles et fèves</v>
      </c>
      <c r="B1062">
        <f>Sinistrés!J1067</f>
        <v>8057.72</v>
      </c>
      <c r="C1062">
        <f>Sinistrés!X1067</f>
        <v>2483.16</v>
      </c>
      <c r="D1062">
        <f>Sinistrés!L1067</f>
        <v>14.83</v>
      </c>
      <c r="E1062">
        <f>Sinistrés!M1067</f>
        <v>14.83</v>
      </c>
      <c r="F1062">
        <f t="shared" si="32"/>
        <v>0.30817154232214566</v>
      </c>
      <c r="G1062">
        <f t="shared" si="33"/>
        <v>1</v>
      </c>
    </row>
    <row r="1063" spans="1:7">
      <c r="A1063" t="str">
        <f>Sinistrés!H1068</f>
        <v>Pois protéagineux</v>
      </c>
      <c r="B1063">
        <f>Sinistrés!J1068</f>
        <v>4302.6000000000004</v>
      </c>
      <c r="C1063">
        <f>Sinistrés!X1068</f>
        <v>727.04</v>
      </c>
      <c r="D1063">
        <f>Sinistrés!L1068</f>
        <v>7.1</v>
      </c>
      <c r="E1063">
        <f>Sinistrés!M1068</f>
        <v>7.1</v>
      </c>
      <c r="F1063">
        <f t="shared" si="32"/>
        <v>0.16897689768976895</v>
      </c>
      <c r="G1063">
        <f t="shared" si="33"/>
        <v>1</v>
      </c>
    </row>
    <row r="1064" spans="1:7" hidden="1">
      <c r="A1064" t="str">
        <f>Sinistrés!H1069</f>
        <v>Avoine d'hiver</v>
      </c>
      <c r="B1064">
        <f>Sinistrés!J1069</f>
        <v>19863.36</v>
      </c>
      <c r="C1064">
        <f>Sinistrés!X1069</f>
        <v>0</v>
      </c>
      <c r="D1064">
        <f>Sinistrés!L1069</f>
        <v>21.12</v>
      </c>
      <c r="E1064">
        <f>Sinistrés!M1069</f>
        <v>8.7200000000000006</v>
      </c>
      <c r="F1064">
        <f t="shared" si="32"/>
        <v>0</v>
      </c>
      <c r="G1064">
        <f t="shared" si="33"/>
        <v>0.4128787878787879</v>
      </c>
    </row>
    <row r="1065" spans="1:7" hidden="1">
      <c r="A1065" t="str">
        <f>Sinistrés!H1070</f>
        <v>Blé tendre de printemps</v>
      </c>
      <c r="B1065">
        <f>Sinistrés!J1070</f>
        <v>16467.75</v>
      </c>
      <c r="C1065">
        <f>Sinistrés!X1070</f>
        <v>0</v>
      </c>
      <c r="D1065">
        <f>Sinistrés!L1070</f>
        <v>11.7</v>
      </c>
      <c r="E1065">
        <f>Sinistrés!M1070</f>
        <v>11.7</v>
      </c>
      <c r="F1065">
        <f t="shared" si="32"/>
        <v>0</v>
      </c>
      <c r="G1065">
        <f t="shared" si="33"/>
        <v>1</v>
      </c>
    </row>
    <row r="1066" spans="1:7" hidden="1">
      <c r="A1066" t="str">
        <f>Sinistrés!H1071</f>
        <v>Blé tendre d'hiver</v>
      </c>
      <c r="B1066">
        <f>Sinistrés!J1071</f>
        <v>125680.76</v>
      </c>
      <c r="C1066">
        <f>Sinistrés!X1071</f>
        <v>0</v>
      </c>
      <c r="D1066">
        <f>Sinistrés!L1071</f>
        <v>94.27</v>
      </c>
      <c r="E1066">
        <f>Sinistrés!M1071</f>
        <v>94.27</v>
      </c>
      <c r="F1066">
        <f t="shared" si="32"/>
        <v>0</v>
      </c>
      <c r="G1066">
        <f t="shared" si="33"/>
        <v>1</v>
      </c>
    </row>
    <row r="1067" spans="1:7">
      <c r="A1067" t="str">
        <f>Sinistrés!H1072</f>
        <v>Orge d'hiver</v>
      </c>
      <c r="B1067">
        <f>Sinistrés!J1072</f>
        <v>42195.96</v>
      </c>
      <c r="C1067">
        <f>Sinistrés!X1072</f>
        <v>69.62</v>
      </c>
      <c r="D1067">
        <f>Sinistrés!L1072</f>
        <v>35.340000000000003</v>
      </c>
      <c r="E1067">
        <f>Sinistrés!M1072</f>
        <v>35.340000000000003</v>
      </c>
      <c r="F1067">
        <f t="shared" si="32"/>
        <v>1.6499209876964527E-3</v>
      </c>
      <c r="G1067">
        <f t="shared" si="33"/>
        <v>1</v>
      </c>
    </row>
    <row r="1068" spans="1:7" hidden="1">
      <c r="A1068" t="str">
        <f>Sinistrés!H1073</f>
        <v>Colza d'hiver</v>
      </c>
      <c r="B1068">
        <f>Sinistrés!J1073</f>
        <v>71505</v>
      </c>
      <c r="C1068">
        <f>Sinistrés!X1073</f>
        <v>0</v>
      </c>
      <c r="D1068">
        <f>Sinistrés!L1073</f>
        <v>70</v>
      </c>
      <c r="E1068">
        <f>Sinistrés!M1073</f>
        <v>70</v>
      </c>
      <c r="F1068">
        <f t="shared" si="32"/>
        <v>0</v>
      </c>
      <c r="G1068">
        <f t="shared" si="33"/>
        <v>1</v>
      </c>
    </row>
    <row r="1069" spans="1:7" hidden="1">
      <c r="A1069" t="str">
        <f>Sinistrés!H1074</f>
        <v>Blé tendre d'hiver</v>
      </c>
      <c r="B1069">
        <f>Sinistrés!J1074</f>
        <v>27610.42</v>
      </c>
      <c r="C1069">
        <f>Sinistrés!X1074</f>
        <v>0</v>
      </c>
      <c r="D1069">
        <f>Sinistrés!L1074</f>
        <v>21.47</v>
      </c>
      <c r="E1069">
        <f>Sinistrés!M1074</f>
        <v>21.47</v>
      </c>
      <c r="F1069">
        <f t="shared" si="32"/>
        <v>0</v>
      </c>
      <c r="G1069">
        <f t="shared" si="33"/>
        <v>1</v>
      </c>
    </row>
    <row r="1070" spans="1:7" hidden="1">
      <c r="A1070" t="str">
        <f>Sinistrés!H1075</f>
        <v>Maïs grain non irrigué</v>
      </c>
      <c r="B1070">
        <f>Sinistrés!J1075</f>
        <v>3616.2</v>
      </c>
      <c r="C1070">
        <f>Sinistrés!X1075</f>
        <v>0</v>
      </c>
      <c r="D1070">
        <f>Sinistrés!L1075</f>
        <v>2.87</v>
      </c>
      <c r="E1070">
        <f>Sinistrés!M1075</f>
        <v>2.87</v>
      </c>
      <c r="F1070">
        <f t="shared" si="32"/>
        <v>0</v>
      </c>
      <c r="G1070">
        <f t="shared" si="33"/>
        <v>1</v>
      </c>
    </row>
    <row r="1071" spans="1:7" hidden="1">
      <c r="A1071" t="str">
        <f>Sinistrés!H1076</f>
        <v>Orge d'hiver</v>
      </c>
      <c r="B1071">
        <f>Sinistrés!J1076</f>
        <v>12394.14</v>
      </c>
      <c r="C1071">
        <f>Sinistrés!X1076</f>
        <v>0</v>
      </c>
      <c r="D1071">
        <f>Sinistrés!L1076</f>
        <v>9.7899999999999991</v>
      </c>
      <c r="E1071">
        <f>Sinistrés!M1076</f>
        <v>9.7899999999999991</v>
      </c>
      <c r="F1071">
        <f t="shared" si="32"/>
        <v>0</v>
      </c>
      <c r="G1071">
        <f t="shared" si="33"/>
        <v>1</v>
      </c>
    </row>
    <row r="1072" spans="1:7" hidden="1">
      <c r="A1072" t="str">
        <f>Sinistrés!H1077</f>
        <v>Tournesol</v>
      </c>
      <c r="B1072">
        <f>Sinistrés!J1077</f>
        <v>24254.37</v>
      </c>
      <c r="C1072">
        <f>Sinistrés!X1077</f>
        <v>0</v>
      </c>
      <c r="D1072">
        <f>Sinistrés!L1077</f>
        <v>21.91</v>
      </c>
      <c r="E1072">
        <f>Sinistrés!M1077</f>
        <v>21.91</v>
      </c>
      <c r="F1072">
        <f t="shared" si="32"/>
        <v>0</v>
      </c>
      <c r="G1072">
        <f t="shared" si="33"/>
        <v>1</v>
      </c>
    </row>
    <row r="1073" spans="1:7">
      <c r="A1073" t="str">
        <f>Sinistrés!H1078</f>
        <v>Blé tendre d'hiver</v>
      </c>
      <c r="B1073">
        <f>Sinistrés!J1078</f>
        <v>25444.16</v>
      </c>
      <c r="C1073">
        <f>Sinistrés!X1078</f>
        <v>3398.08</v>
      </c>
      <c r="D1073">
        <f>Sinistrés!L1078</f>
        <v>20.72</v>
      </c>
      <c r="E1073">
        <f>Sinistrés!M1078</f>
        <v>20.72</v>
      </c>
      <c r="F1073">
        <f t="shared" si="32"/>
        <v>0.13355048859934854</v>
      </c>
      <c r="G1073">
        <f t="shared" si="33"/>
        <v>1</v>
      </c>
    </row>
    <row r="1074" spans="1:7" hidden="1">
      <c r="A1074" t="str">
        <f>Sinistrés!H1079</f>
        <v>Maïs grain non irrigué</v>
      </c>
      <c r="B1074">
        <f>Sinistrés!J1079</f>
        <v>1868.4</v>
      </c>
      <c r="C1074">
        <f>Sinistrés!X1079</f>
        <v>0</v>
      </c>
      <c r="D1074">
        <f>Sinistrés!L1079</f>
        <v>1.73</v>
      </c>
      <c r="E1074">
        <f>Sinistrés!M1079</f>
        <v>1.73</v>
      </c>
      <c r="F1074">
        <f t="shared" si="32"/>
        <v>0</v>
      </c>
      <c r="G1074">
        <f t="shared" si="33"/>
        <v>1</v>
      </c>
    </row>
    <row r="1075" spans="1:7" hidden="1">
      <c r="A1075" t="str">
        <f>Sinistrés!H1080</f>
        <v>Orge d'hiver</v>
      </c>
      <c r="B1075">
        <f>Sinistrés!J1080</f>
        <v>7081.2</v>
      </c>
      <c r="C1075">
        <f>Sinistrés!X1080</f>
        <v>0</v>
      </c>
      <c r="D1075">
        <f>Sinistrés!L1080</f>
        <v>5.62</v>
      </c>
      <c r="E1075">
        <f>Sinistrés!M1080</f>
        <v>5.62</v>
      </c>
      <c r="F1075">
        <f t="shared" si="32"/>
        <v>0</v>
      </c>
      <c r="G1075">
        <f t="shared" si="33"/>
        <v>1</v>
      </c>
    </row>
    <row r="1076" spans="1:7" hidden="1">
      <c r="A1076" t="str">
        <f>Sinistrés!H1081</f>
        <v>Tournesol</v>
      </c>
      <c r="B1076">
        <f>Sinistrés!J1081</f>
        <v>16073.64</v>
      </c>
      <c r="C1076">
        <f>Sinistrés!X1081</f>
        <v>0</v>
      </c>
      <c r="D1076">
        <f>Sinistrés!L1081</f>
        <v>14.52</v>
      </c>
      <c r="E1076">
        <f>Sinistrés!M1081</f>
        <v>14.52</v>
      </c>
      <c r="F1076">
        <f t="shared" si="32"/>
        <v>0</v>
      </c>
      <c r="G1076">
        <f t="shared" si="33"/>
        <v>1</v>
      </c>
    </row>
    <row r="1077" spans="1:7" hidden="1">
      <c r="A1077" t="str">
        <f>Sinistrés!H1082</f>
        <v>Colza d'hiver</v>
      </c>
      <c r="B1077">
        <f>Sinistrés!J1082</f>
        <v>32729.759999999998</v>
      </c>
      <c r="C1077">
        <f>Sinistrés!X1082</f>
        <v>0</v>
      </c>
      <c r="D1077">
        <f>Sinistrés!L1082</f>
        <v>17.850000000000001</v>
      </c>
      <c r="E1077">
        <f>Sinistrés!M1082</f>
        <v>17.850000000000001</v>
      </c>
      <c r="F1077">
        <f t="shared" si="32"/>
        <v>0</v>
      </c>
      <c r="G1077">
        <f t="shared" si="33"/>
        <v>1</v>
      </c>
    </row>
    <row r="1078" spans="1:7" hidden="1">
      <c r="A1078" t="str">
        <f>Sinistrés!H1083</f>
        <v>Blé tendre d'hiver</v>
      </c>
      <c r="B1078">
        <f>Sinistrés!J1083</f>
        <v>33251.360000000001</v>
      </c>
      <c r="C1078">
        <f>Sinistrés!X1083</f>
        <v>0</v>
      </c>
      <c r="D1078">
        <f>Sinistrés!L1083</f>
        <v>29.94</v>
      </c>
      <c r="E1078">
        <f>Sinistrés!M1083</f>
        <v>29.94</v>
      </c>
      <c r="F1078">
        <f t="shared" si="32"/>
        <v>0</v>
      </c>
      <c r="G1078">
        <f t="shared" si="33"/>
        <v>1</v>
      </c>
    </row>
    <row r="1079" spans="1:7" hidden="1">
      <c r="A1079" t="str">
        <f>Sinistrés!H1084</f>
        <v>Orge d'hiver</v>
      </c>
      <c r="B1079">
        <f>Sinistrés!J1084</f>
        <v>11833.48</v>
      </c>
      <c r="C1079">
        <f>Sinistrés!X1084</f>
        <v>0</v>
      </c>
      <c r="D1079">
        <f>Sinistrés!L1084</f>
        <v>11.43</v>
      </c>
      <c r="E1079">
        <f>Sinistrés!M1084</f>
        <v>11.43</v>
      </c>
      <c r="F1079">
        <f t="shared" si="32"/>
        <v>0</v>
      </c>
      <c r="G1079">
        <f t="shared" si="33"/>
        <v>1</v>
      </c>
    </row>
    <row r="1080" spans="1:7">
      <c r="A1080" t="str">
        <f>Sinistrés!H1085</f>
        <v>Pois protéagineux</v>
      </c>
      <c r="B1080">
        <f>Sinistrés!J1085</f>
        <v>3327.16</v>
      </c>
      <c r="C1080">
        <f>Sinistrés!X1085</f>
        <v>895.53</v>
      </c>
      <c r="D1080">
        <f>Sinistrés!L1085</f>
        <v>4.46</v>
      </c>
      <c r="E1080">
        <f>Sinistrés!M1085</f>
        <v>4.46</v>
      </c>
      <c r="F1080">
        <f t="shared" si="32"/>
        <v>0.26915747965231607</v>
      </c>
      <c r="G1080">
        <f t="shared" si="33"/>
        <v>1</v>
      </c>
    </row>
    <row r="1081" spans="1:7">
      <c r="A1081" t="str">
        <f>Sinistrés!H1086</f>
        <v>Maïs grain non irrigué</v>
      </c>
      <c r="B1081">
        <f>Sinistrés!J1086</f>
        <v>3162.38</v>
      </c>
      <c r="C1081">
        <f>Sinistrés!X1086</f>
        <v>851.15</v>
      </c>
      <c r="D1081">
        <f>Sinistrés!L1086</f>
        <v>2.65</v>
      </c>
      <c r="E1081">
        <f>Sinistrés!M1086</f>
        <v>2.65</v>
      </c>
      <c r="F1081">
        <f t="shared" si="32"/>
        <v>0.26914855267235432</v>
      </c>
      <c r="G1081">
        <f t="shared" si="33"/>
        <v>1</v>
      </c>
    </row>
    <row r="1082" spans="1:7" hidden="1">
      <c r="A1082" t="str">
        <f>Sinistrés!H1087</f>
        <v>Vigne à raisin de cuve (VCU1)</v>
      </c>
      <c r="B1082">
        <f>Sinistrés!J1087</f>
        <v>503806.46</v>
      </c>
      <c r="C1082">
        <f>Sinistrés!X1087</f>
        <v>0</v>
      </c>
      <c r="D1082">
        <f>Sinistrés!L1087</f>
        <v>50.88</v>
      </c>
      <c r="E1082">
        <f>Sinistrés!M1087</f>
        <v>50.88</v>
      </c>
      <c r="F1082">
        <f t="shared" si="32"/>
        <v>0</v>
      </c>
      <c r="G1082">
        <f t="shared" si="33"/>
        <v>1</v>
      </c>
    </row>
    <row r="1083" spans="1:7">
      <c r="A1083" t="str">
        <f>Sinistrés!H1088</f>
        <v>Blé tendre d'hiver</v>
      </c>
      <c r="B1083">
        <f>Sinistrés!J1088</f>
        <v>12272</v>
      </c>
      <c r="C1083">
        <f>Sinistrés!X1088</f>
        <v>2447.46</v>
      </c>
      <c r="D1083">
        <f>Sinistrés!L1088</f>
        <v>13</v>
      </c>
      <c r="E1083">
        <f>Sinistrés!M1088</f>
        <v>13</v>
      </c>
      <c r="F1083">
        <f t="shared" si="32"/>
        <v>0.19943448500651892</v>
      </c>
      <c r="G1083">
        <f t="shared" si="33"/>
        <v>1</v>
      </c>
    </row>
    <row r="1084" spans="1:7" hidden="1">
      <c r="A1084" t="str">
        <f>Sinistrés!H1089</f>
        <v>Colza d'hiver</v>
      </c>
      <c r="B1084">
        <f>Sinistrés!J1089</f>
        <v>3601.8</v>
      </c>
      <c r="C1084">
        <f>Sinistrés!X1089</f>
        <v>0</v>
      </c>
      <c r="D1084">
        <f>Sinistrés!L1089</f>
        <v>3.6</v>
      </c>
      <c r="E1084">
        <f>Sinistrés!M1089</f>
        <v>3.6</v>
      </c>
      <c r="F1084">
        <f t="shared" si="32"/>
        <v>0</v>
      </c>
      <c r="G1084">
        <f t="shared" si="33"/>
        <v>1</v>
      </c>
    </row>
    <row r="1085" spans="1:7" hidden="1">
      <c r="A1085" t="str">
        <f>Sinistrés!H1090</f>
        <v>Maïs grain non irrigué</v>
      </c>
      <c r="B1085">
        <f>Sinistrés!J1090</f>
        <v>6636</v>
      </c>
      <c r="C1085">
        <f>Sinistrés!X1090</f>
        <v>0</v>
      </c>
      <c r="D1085">
        <f>Sinistrés!L1090</f>
        <v>7</v>
      </c>
      <c r="E1085">
        <f>Sinistrés!M1090</f>
        <v>7</v>
      </c>
      <c r="F1085">
        <f t="shared" si="32"/>
        <v>0</v>
      </c>
      <c r="G1085">
        <f t="shared" si="33"/>
        <v>1</v>
      </c>
    </row>
    <row r="1086" spans="1:7" hidden="1">
      <c r="A1086" t="str">
        <f>Sinistrés!H1091</f>
        <v>Tournesol</v>
      </c>
      <c r="B1086">
        <f>Sinistrés!J1091</f>
        <v>10086.4</v>
      </c>
      <c r="C1086">
        <f>Sinistrés!X1091</f>
        <v>0</v>
      </c>
      <c r="D1086">
        <f>Sinistrés!L1091</f>
        <v>16</v>
      </c>
      <c r="E1086">
        <f>Sinistrés!M1091</f>
        <v>16</v>
      </c>
      <c r="F1086">
        <f t="shared" si="32"/>
        <v>0</v>
      </c>
      <c r="G1086">
        <f t="shared" si="33"/>
        <v>1</v>
      </c>
    </row>
    <row r="1087" spans="1:7" hidden="1">
      <c r="A1087" t="str">
        <f>Sinistrés!H1092</f>
        <v>Blé tendre d'hiver semences</v>
      </c>
      <c r="B1087">
        <f>Sinistrés!J1092</f>
        <v>15695.68</v>
      </c>
      <c r="C1087">
        <f>Sinistrés!X1092</f>
        <v>0</v>
      </c>
      <c r="D1087">
        <f>Sinistrés!L1092</f>
        <v>11.4</v>
      </c>
      <c r="E1087">
        <f>Sinistrés!M1092</f>
        <v>11.4</v>
      </c>
      <c r="F1087">
        <f t="shared" si="32"/>
        <v>0</v>
      </c>
      <c r="G1087">
        <f t="shared" si="33"/>
        <v>1</v>
      </c>
    </row>
    <row r="1088" spans="1:7">
      <c r="A1088" t="str">
        <f>Sinistrés!H1093</f>
        <v>Maïs pop corn irrigué</v>
      </c>
      <c r="B1088">
        <f>Sinistrés!J1093</f>
        <v>16270.65</v>
      </c>
      <c r="C1088">
        <f>Sinistrés!X1093</f>
        <v>7960.79</v>
      </c>
      <c r="D1088">
        <f>Sinistrés!L1093</f>
        <v>8.5500000000000007</v>
      </c>
      <c r="E1088">
        <f>Sinistrés!M1093</f>
        <v>8.5500000000000007</v>
      </c>
      <c r="F1088">
        <f t="shared" si="32"/>
        <v>0.48927301613641744</v>
      </c>
      <c r="G1088">
        <f t="shared" si="33"/>
        <v>1</v>
      </c>
    </row>
    <row r="1089" spans="1:7">
      <c r="A1089" t="str">
        <f>Sinistrés!H1094</f>
        <v>Orge de printemps</v>
      </c>
      <c r="B1089">
        <f>Sinistrés!J1094</f>
        <v>5773.2</v>
      </c>
      <c r="C1089">
        <f>Sinistrés!X1094</f>
        <v>651.07000000000005</v>
      </c>
      <c r="D1089">
        <f>Sinistrés!L1094</f>
        <v>5.66</v>
      </c>
      <c r="E1089">
        <f>Sinistrés!M1094</f>
        <v>5.66</v>
      </c>
      <c r="F1089">
        <f t="shared" si="32"/>
        <v>0.11277454444675399</v>
      </c>
      <c r="G1089">
        <f t="shared" si="33"/>
        <v>1</v>
      </c>
    </row>
    <row r="1090" spans="1:7" hidden="1">
      <c r="A1090" t="str">
        <f>Sinistrés!H1095</f>
        <v>Tournesol</v>
      </c>
      <c r="B1090">
        <f>Sinistrés!J1095</f>
        <v>5236.96</v>
      </c>
      <c r="C1090">
        <f>Sinistrés!X1095</f>
        <v>0</v>
      </c>
      <c r="D1090">
        <f>Sinistrés!L1095</f>
        <v>5.68</v>
      </c>
      <c r="E1090">
        <f>Sinistrés!M1095</f>
        <v>5.68</v>
      </c>
      <c r="F1090">
        <f t="shared" si="32"/>
        <v>0</v>
      </c>
      <c r="G1090">
        <f t="shared" si="33"/>
        <v>1</v>
      </c>
    </row>
    <row r="1091" spans="1:7" hidden="1">
      <c r="A1091" t="str">
        <f>Sinistrés!H1096</f>
        <v>Pois protéagineux SEMENCES</v>
      </c>
      <c r="B1091">
        <f>Sinistrés!J1096</f>
        <v>3933.7</v>
      </c>
      <c r="C1091">
        <f>Sinistrés!X1096</f>
        <v>0</v>
      </c>
      <c r="D1091">
        <f>Sinistrés!L1096</f>
        <v>5.66</v>
      </c>
      <c r="E1091">
        <f>Sinistrés!M1096</f>
        <v>5.66</v>
      </c>
      <c r="F1091">
        <f t="shared" ref="F1091:F1154" si="34">C1091/B1091</f>
        <v>0</v>
      </c>
      <c r="G1091">
        <f t="shared" ref="G1091:G1154" si="35">E1091/D1091</f>
        <v>1</v>
      </c>
    </row>
    <row r="1092" spans="1:7">
      <c r="A1092" t="str">
        <f>Sinistrés!H1097</f>
        <v>Orge d'hiver</v>
      </c>
      <c r="B1092">
        <f>Sinistrés!J1097</f>
        <v>8725.74</v>
      </c>
      <c r="C1092">
        <f>Sinistrés!X1097</f>
        <v>203.05</v>
      </c>
      <c r="D1092">
        <f>Sinistrés!L1097</f>
        <v>9.9700000000000006</v>
      </c>
      <c r="E1092">
        <f>Sinistrés!M1097</f>
        <v>6.96</v>
      </c>
      <c r="F1092">
        <f t="shared" si="34"/>
        <v>2.3270232667945642E-2</v>
      </c>
      <c r="G1092">
        <f t="shared" si="35"/>
        <v>0.69809428284854558</v>
      </c>
    </row>
    <row r="1093" spans="1:7" hidden="1">
      <c r="A1093" t="str">
        <f>Sinistrés!H1098</f>
        <v>Blé tendre d'hiver</v>
      </c>
      <c r="B1093">
        <f>Sinistrés!J1098</f>
        <v>15903</v>
      </c>
      <c r="C1093">
        <f>Sinistrés!X1098</f>
        <v>0</v>
      </c>
      <c r="D1093">
        <f>Sinistrés!L1098</f>
        <v>14.25</v>
      </c>
      <c r="E1093">
        <f>Sinistrés!M1098</f>
        <v>14.25</v>
      </c>
      <c r="F1093">
        <f t="shared" si="34"/>
        <v>0</v>
      </c>
      <c r="G1093">
        <f t="shared" si="35"/>
        <v>1</v>
      </c>
    </row>
    <row r="1094" spans="1:7">
      <c r="A1094" t="str">
        <f>Sinistrés!H1099</f>
        <v>Blé tendre d'hiver</v>
      </c>
      <c r="B1094">
        <f>Sinistrés!J1099</f>
        <v>5624.64</v>
      </c>
      <c r="C1094">
        <f>Sinistrés!X1099</f>
        <v>1442.45</v>
      </c>
      <c r="D1094">
        <f>Sinistrés!L1099</f>
        <v>5.04</v>
      </c>
      <c r="E1094">
        <f>Sinistrés!M1099</f>
        <v>5.04</v>
      </c>
      <c r="F1094">
        <f t="shared" si="34"/>
        <v>0.25645196848153839</v>
      </c>
      <c r="G1094">
        <f t="shared" si="35"/>
        <v>1</v>
      </c>
    </row>
    <row r="1095" spans="1:7" hidden="1">
      <c r="A1095" t="str">
        <f>Sinistrés!H1100</f>
        <v>Colza d'hiver</v>
      </c>
      <c r="B1095">
        <f>Sinistrés!J1100</f>
        <v>8530.7000000000007</v>
      </c>
      <c r="C1095">
        <f>Sinistrés!X1100</f>
        <v>0</v>
      </c>
      <c r="D1095">
        <f>Sinistrés!L1100</f>
        <v>6.47</v>
      </c>
      <c r="E1095">
        <f>Sinistrés!M1100</f>
        <v>6.47</v>
      </c>
      <c r="F1095">
        <f t="shared" si="34"/>
        <v>0</v>
      </c>
      <c r="G1095">
        <f t="shared" si="35"/>
        <v>1</v>
      </c>
    </row>
    <row r="1096" spans="1:7" hidden="1">
      <c r="A1096" t="str">
        <f>Sinistrés!H1101</f>
        <v>Colza d'hiver</v>
      </c>
      <c r="B1096">
        <f>Sinistrés!J1101</f>
        <v>13505</v>
      </c>
      <c r="C1096">
        <f>Sinistrés!X1101</f>
        <v>0</v>
      </c>
      <c r="D1096">
        <f>Sinistrés!L1101</f>
        <v>9.25</v>
      </c>
      <c r="E1096">
        <f>Sinistrés!M1101</f>
        <v>9.25</v>
      </c>
      <c r="F1096">
        <f t="shared" si="34"/>
        <v>0</v>
      </c>
      <c r="G1096">
        <f t="shared" si="35"/>
        <v>1</v>
      </c>
    </row>
    <row r="1097" spans="1:7" hidden="1">
      <c r="A1097" t="str">
        <f>Sinistrés!H1102</f>
        <v>Blé tendre d'hiver</v>
      </c>
      <c r="B1097">
        <f>Sinistrés!J1102</f>
        <v>9105</v>
      </c>
      <c r="C1097">
        <f>Sinistrés!X1102</f>
        <v>0</v>
      </c>
      <c r="D1097">
        <f>Sinistrés!L1102</f>
        <v>7.5</v>
      </c>
      <c r="E1097">
        <f>Sinistrés!M1102</f>
        <v>7.5</v>
      </c>
      <c r="F1097">
        <f t="shared" si="34"/>
        <v>0</v>
      </c>
      <c r="G1097">
        <f t="shared" si="35"/>
        <v>1</v>
      </c>
    </row>
    <row r="1098" spans="1:7" hidden="1">
      <c r="A1098" t="str">
        <f>Sinistrés!H1103</f>
        <v>Lin oléagineux BIO</v>
      </c>
      <c r="B1098">
        <f>Sinistrés!J1103</f>
        <v>47419.37</v>
      </c>
      <c r="C1098">
        <f>Sinistrés!X1103</f>
        <v>12544.32</v>
      </c>
      <c r="D1098">
        <f>Sinistrés!L1103</f>
        <v>40.4</v>
      </c>
      <c r="E1098">
        <f>Sinistrés!M1103</f>
        <v>18.190000000000001</v>
      </c>
      <c r="F1098">
        <f t="shared" si="34"/>
        <v>0.26453999705183767</v>
      </c>
      <c r="G1098">
        <f t="shared" si="35"/>
        <v>0.45024752475247531</v>
      </c>
    </row>
    <row r="1099" spans="1:7" hidden="1">
      <c r="A1099" t="str">
        <f>Sinistrés!H1104</f>
        <v>Tournesol BIO</v>
      </c>
      <c r="B1099">
        <f>Sinistrés!J1104</f>
        <v>29699.279999999999</v>
      </c>
      <c r="C1099">
        <f>Sinistrés!X1104</f>
        <v>7451.79</v>
      </c>
      <c r="D1099">
        <f>Sinistrés!L1104</f>
        <v>31.73</v>
      </c>
      <c r="E1099">
        <f>Sinistrés!M1104</f>
        <v>30.09</v>
      </c>
      <c r="F1099">
        <f t="shared" si="34"/>
        <v>0.25090810282269471</v>
      </c>
      <c r="G1099">
        <f t="shared" si="35"/>
        <v>0.94831389851875192</v>
      </c>
    </row>
    <row r="1100" spans="1:7" hidden="1">
      <c r="A1100" t="str">
        <f>Sinistrés!H1105</f>
        <v>Blé tendre d'hiver BIO</v>
      </c>
      <c r="B1100">
        <f>Sinistrés!J1105</f>
        <v>82865.440000000002</v>
      </c>
      <c r="C1100">
        <f>Sinistrés!X1105</f>
        <v>3248.51</v>
      </c>
      <c r="D1100">
        <f>Sinistrés!L1105</f>
        <v>67.48</v>
      </c>
      <c r="E1100">
        <f>Sinistrés!M1105</f>
        <v>67.48</v>
      </c>
      <c r="F1100">
        <f t="shared" si="34"/>
        <v>3.9202229542255496E-2</v>
      </c>
      <c r="G1100">
        <f t="shared" si="35"/>
        <v>1</v>
      </c>
    </row>
    <row r="1101" spans="1:7" hidden="1">
      <c r="A1101" t="str">
        <f>Sinistrés!H1106</f>
        <v>Lentilles BIO</v>
      </c>
      <c r="B1101">
        <f>Sinistrés!J1106</f>
        <v>14222.34</v>
      </c>
      <c r="C1101">
        <f>Sinistrés!X1106</f>
        <v>7591.01</v>
      </c>
      <c r="D1101">
        <f>Sinistrés!L1106</f>
        <v>13.06</v>
      </c>
      <c r="E1101">
        <f>Sinistrés!M1106</f>
        <v>13.06</v>
      </c>
      <c r="F1101">
        <f t="shared" si="34"/>
        <v>0.53373847060329027</v>
      </c>
      <c r="G1101">
        <f t="shared" si="35"/>
        <v>1</v>
      </c>
    </row>
    <row r="1102" spans="1:7" hidden="1">
      <c r="A1102" t="str">
        <f>Sinistrés!H1107</f>
        <v xml:space="preserve">Blé tendre d'hiver </v>
      </c>
      <c r="B1102">
        <f>Sinistrés!J1107</f>
        <v>51229.64</v>
      </c>
      <c r="C1102">
        <f>Sinistrés!X1107</f>
        <v>0</v>
      </c>
      <c r="D1102">
        <f>Sinistrés!L1107</f>
        <v>49.16</v>
      </c>
      <c r="E1102">
        <f>Sinistrés!M1107</f>
        <v>49.16</v>
      </c>
      <c r="F1102">
        <f t="shared" si="34"/>
        <v>0</v>
      </c>
      <c r="G1102">
        <f t="shared" si="35"/>
        <v>1</v>
      </c>
    </row>
    <row r="1103" spans="1:7" hidden="1">
      <c r="A1103" t="str">
        <f>Sinistrés!H1108</f>
        <v>Colza d'hiver</v>
      </c>
      <c r="B1103">
        <f>Sinistrés!J1108</f>
        <v>32717.52</v>
      </c>
      <c r="C1103">
        <f>Sinistrés!X1108</f>
        <v>0</v>
      </c>
      <c r="D1103">
        <f>Sinistrés!L1108</f>
        <v>26.73</v>
      </c>
      <c r="E1103">
        <f>Sinistrés!M1108</f>
        <v>26.73</v>
      </c>
      <c r="F1103">
        <f t="shared" si="34"/>
        <v>0</v>
      </c>
      <c r="G1103">
        <f t="shared" si="35"/>
        <v>1</v>
      </c>
    </row>
    <row r="1104" spans="1:7" hidden="1">
      <c r="A1104" t="str">
        <f>Sinistrés!H1109</f>
        <v xml:space="preserve">Lupin doux </v>
      </c>
      <c r="B1104">
        <f>Sinistrés!J1109</f>
        <v>10997.91</v>
      </c>
      <c r="C1104">
        <f>Sinistrés!X1109</f>
        <v>0</v>
      </c>
      <c r="D1104">
        <f>Sinistrés!L1109</f>
        <v>10.58</v>
      </c>
      <c r="E1104">
        <f>Sinistrés!M1109</f>
        <v>10.58</v>
      </c>
      <c r="F1104">
        <f t="shared" si="34"/>
        <v>0</v>
      </c>
      <c r="G1104">
        <f t="shared" si="35"/>
        <v>1</v>
      </c>
    </row>
    <row r="1105" spans="1:7" hidden="1">
      <c r="A1105" t="str">
        <f>Sinistrés!H1110</f>
        <v xml:space="preserve">Maïs grain irrigué </v>
      </c>
      <c r="B1105">
        <f>Sinistrés!J1110</f>
        <v>69094.259999999995</v>
      </c>
      <c r="C1105">
        <f>Sinistrés!X1110</f>
        <v>0</v>
      </c>
      <c r="D1105">
        <f>Sinistrés!L1110</f>
        <v>43.13</v>
      </c>
      <c r="E1105">
        <f>Sinistrés!M1110</f>
        <v>43.16</v>
      </c>
      <c r="F1105">
        <f t="shared" si="34"/>
        <v>0</v>
      </c>
      <c r="G1105">
        <f t="shared" si="35"/>
        <v>1.0006955715279386</v>
      </c>
    </row>
    <row r="1106" spans="1:7" hidden="1">
      <c r="A1106" t="str">
        <f>Sinistrés!H1111</f>
        <v>Tournesol</v>
      </c>
      <c r="B1106">
        <f>Sinistrés!J1111</f>
        <v>43397.42</v>
      </c>
      <c r="C1106">
        <f>Sinistrés!X1111</f>
        <v>0</v>
      </c>
      <c r="D1106">
        <f>Sinistrés!L1111</f>
        <v>41.39</v>
      </c>
      <c r="E1106">
        <f>Sinistrés!M1111</f>
        <v>41.39</v>
      </c>
      <c r="F1106">
        <f t="shared" si="34"/>
        <v>0</v>
      </c>
      <c r="G1106">
        <f t="shared" si="35"/>
        <v>1</v>
      </c>
    </row>
    <row r="1107" spans="1:7" hidden="1">
      <c r="A1107" t="str">
        <f>Sinistrés!H1112</f>
        <v>Blé tendre d'hiver</v>
      </c>
      <c r="B1107">
        <f>Sinistrés!J1112</f>
        <v>31005.040000000001</v>
      </c>
      <c r="C1107">
        <f>Sinistrés!X1112</f>
        <v>0</v>
      </c>
      <c r="D1107">
        <f>Sinistrés!L1112</f>
        <v>30.86</v>
      </c>
      <c r="E1107">
        <f>Sinistrés!M1112</f>
        <v>30.86</v>
      </c>
      <c r="F1107">
        <f t="shared" si="34"/>
        <v>0</v>
      </c>
      <c r="G1107">
        <f t="shared" si="35"/>
        <v>1</v>
      </c>
    </row>
    <row r="1108" spans="1:7" hidden="1">
      <c r="A1108" t="str">
        <f>Sinistrés!H1113</f>
        <v>Colza d'hiver</v>
      </c>
      <c r="B1108">
        <f>Sinistrés!J1113</f>
        <v>3207.6</v>
      </c>
      <c r="C1108">
        <f>Sinistrés!X1113</f>
        <v>0</v>
      </c>
      <c r="D1108">
        <f>Sinistrés!L1113</f>
        <v>2.16</v>
      </c>
      <c r="E1108">
        <f>Sinistrés!M1113</f>
        <v>2.16</v>
      </c>
      <c r="F1108">
        <f t="shared" si="34"/>
        <v>0</v>
      </c>
      <c r="G1108">
        <f t="shared" si="35"/>
        <v>1</v>
      </c>
    </row>
    <row r="1109" spans="1:7" hidden="1">
      <c r="A1109" t="str">
        <f>Sinistrés!H1114</f>
        <v>Pois secs / Pois Chiches BIO</v>
      </c>
      <c r="B1109">
        <f>Sinistrés!J1114</f>
        <v>17316</v>
      </c>
      <c r="C1109">
        <f>Sinistrés!X1114</f>
        <v>5483.4</v>
      </c>
      <c r="D1109">
        <f>Sinistrés!L1114</f>
        <v>14.43</v>
      </c>
      <c r="E1109">
        <f>Sinistrés!M1114</f>
        <v>14.43</v>
      </c>
      <c r="F1109">
        <f t="shared" si="34"/>
        <v>0.31666666666666665</v>
      </c>
      <c r="G1109">
        <f t="shared" si="35"/>
        <v>1</v>
      </c>
    </row>
    <row r="1110" spans="1:7" hidden="1">
      <c r="A1110" t="str">
        <f>Sinistrés!H1115</f>
        <v>Lin oléagineux</v>
      </c>
      <c r="B1110">
        <f>Sinistrés!J1115</f>
        <v>5941.67</v>
      </c>
      <c r="C1110">
        <f>Sinistrés!X1115</f>
        <v>0</v>
      </c>
      <c r="D1110">
        <f>Sinistrés!L1115</f>
        <v>8.41</v>
      </c>
      <c r="E1110">
        <f>Sinistrés!M1115</f>
        <v>8.41</v>
      </c>
      <c r="F1110">
        <f t="shared" si="34"/>
        <v>0</v>
      </c>
      <c r="G1110">
        <f t="shared" si="35"/>
        <v>1</v>
      </c>
    </row>
    <row r="1111" spans="1:7" hidden="1">
      <c r="A1111" t="str">
        <f>Sinistrés!H1116</f>
        <v>Pois protéagineux</v>
      </c>
      <c r="B1111">
        <f>Sinistrés!J1116</f>
        <v>12637.8</v>
      </c>
      <c r="C1111">
        <f>Sinistrés!X1116</f>
        <v>0</v>
      </c>
      <c r="D1111">
        <f>Sinistrés!L1116</f>
        <v>15.3</v>
      </c>
      <c r="E1111">
        <f>Sinistrés!M1116</f>
        <v>15.3</v>
      </c>
      <c r="F1111">
        <f t="shared" si="34"/>
        <v>0</v>
      </c>
      <c r="G1111">
        <f t="shared" si="35"/>
        <v>1</v>
      </c>
    </row>
    <row r="1112" spans="1:7" hidden="1">
      <c r="A1112" t="str">
        <f>Sinistrés!H1117</f>
        <v>Pois protéagineux BIO</v>
      </c>
      <c r="B1112">
        <f>Sinistrés!J1117</f>
        <v>9232.5</v>
      </c>
      <c r="C1112">
        <f>Sinistrés!X1117</f>
        <v>3212.91</v>
      </c>
      <c r="D1112">
        <f>Sinistrés!L1117</f>
        <v>12.31</v>
      </c>
      <c r="E1112">
        <f>Sinistrés!M1117</f>
        <v>12.31</v>
      </c>
      <c r="F1112">
        <f t="shared" si="34"/>
        <v>0.34799999999999998</v>
      </c>
      <c r="G1112">
        <f t="shared" si="35"/>
        <v>1</v>
      </c>
    </row>
    <row r="1113" spans="1:7">
      <c r="A1113" t="str">
        <f>Sinistrés!H1118</f>
        <v>Maïs grain non irrigué</v>
      </c>
      <c r="B1113">
        <f>Sinistrés!J1118</f>
        <v>14942.07</v>
      </c>
      <c r="C1113">
        <f>Sinistrés!X1118</f>
        <v>6716.27</v>
      </c>
      <c r="D1113">
        <f>Sinistrés!L1118</f>
        <v>14.19</v>
      </c>
      <c r="E1113">
        <f>Sinistrés!M1118</f>
        <v>14.19</v>
      </c>
      <c r="F1113">
        <f t="shared" si="34"/>
        <v>0.44948725310482418</v>
      </c>
      <c r="G1113">
        <f t="shared" si="35"/>
        <v>1</v>
      </c>
    </row>
    <row r="1114" spans="1:7">
      <c r="A1114" t="str">
        <f>Sinistrés!H1119</f>
        <v>Blé tendre d'hiver</v>
      </c>
      <c r="B1114">
        <f>Sinistrés!J1119</f>
        <v>119600</v>
      </c>
      <c r="C1114">
        <f>Sinistrés!X1119</f>
        <v>2660</v>
      </c>
      <c r="D1114">
        <f>Sinistrés!L1119</f>
        <v>100</v>
      </c>
      <c r="E1114">
        <f>Sinistrés!M1119</f>
        <v>100</v>
      </c>
      <c r="F1114">
        <f t="shared" si="34"/>
        <v>2.2240802675585283E-2</v>
      </c>
      <c r="G1114">
        <f t="shared" si="35"/>
        <v>1</v>
      </c>
    </row>
    <row r="1115" spans="1:7" hidden="1">
      <c r="A1115" t="str">
        <f>Sinistrés!H1120</f>
        <v>Colza d'hiver</v>
      </c>
      <c r="B1115">
        <f>Sinistrés!J1120</f>
        <v>40614.21</v>
      </c>
      <c r="C1115">
        <f>Sinistrés!X1120</f>
        <v>0</v>
      </c>
      <c r="D1115">
        <f>Sinistrés!L1120</f>
        <v>36.54</v>
      </c>
      <c r="E1115">
        <f>Sinistrés!M1120</f>
        <v>36.54</v>
      </c>
      <c r="F1115">
        <f t="shared" si="34"/>
        <v>0</v>
      </c>
      <c r="G1115">
        <f t="shared" si="35"/>
        <v>1</v>
      </c>
    </row>
    <row r="1116" spans="1:7" hidden="1">
      <c r="A1116" t="str">
        <f>Sinistrés!H1121</f>
        <v>Lentilles BIO</v>
      </c>
      <c r="B1116">
        <f>Sinistrés!J1121</f>
        <v>12460</v>
      </c>
      <c r="C1116">
        <f>Sinistrés!X1121</f>
        <v>0</v>
      </c>
      <c r="D1116">
        <f>Sinistrés!L1121</f>
        <v>12.46</v>
      </c>
      <c r="E1116">
        <f>Sinistrés!M1121</f>
        <v>12.46</v>
      </c>
      <c r="F1116">
        <f t="shared" si="34"/>
        <v>0</v>
      </c>
      <c r="G1116">
        <f t="shared" si="35"/>
        <v>1</v>
      </c>
    </row>
    <row r="1117" spans="1:7" hidden="1">
      <c r="A1117" t="str">
        <f>Sinistrés!H1122</f>
        <v>Orge de printemps BIO</v>
      </c>
      <c r="B1117">
        <f>Sinistrés!J1122</f>
        <v>12898.71</v>
      </c>
      <c r="C1117">
        <f>Sinistrés!X1122</f>
        <v>4097.3599999999997</v>
      </c>
      <c r="D1117">
        <f>Sinistrés!L1122</f>
        <v>14.19</v>
      </c>
      <c r="E1117">
        <f>Sinistrés!M1122</f>
        <v>14.19</v>
      </c>
      <c r="F1117">
        <f t="shared" si="34"/>
        <v>0.31765657185873625</v>
      </c>
      <c r="G1117">
        <f t="shared" si="35"/>
        <v>1</v>
      </c>
    </row>
    <row r="1118" spans="1:7">
      <c r="A1118" t="str">
        <f>Sinistrés!H1123</f>
        <v>Blé tendre d'hiver</v>
      </c>
      <c r="B1118">
        <f>Sinistrés!J1123</f>
        <v>38909.449999999997</v>
      </c>
      <c r="C1118">
        <f>Sinistrés!X1123</f>
        <v>3400.93</v>
      </c>
      <c r="D1118">
        <f>Sinistrés!L1123</f>
        <v>38.89</v>
      </c>
      <c r="E1118">
        <f>Sinistrés!M1123</f>
        <v>38.89</v>
      </c>
      <c r="F1118">
        <f t="shared" si="34"/>
        <v>8.740627276921159E-2</v>
      </c>
      <c r="G1118">
        <f t="shared" si="35"/>
        <v>1</v>
      </c>
    </row>
    <row r="1119" spans="1:7">
      <c r="A1119" t="str">
        <f>Sinistrés!H1124</f>
        <v>Pois protéagineux</v>
      </c>
      <c r="B1119">
        <f>Sinistrés!J1124</f>
        <v>12207.78</v>
      </c>
      <c r="C1119">
        <f>Sinistrés!X1124</f>
        <v>1201.21</v>
      </c>
      <c r="D1119">
        <f>Sinistrés!L1124</f>
        <v>21.15</v>
      </c>
      <c r="E1119">
        <f>Sinistrés!M1124</f>
        <v>21.15</v>
      </c>
      <c r="F1119">
        <f t="shared" si="34"/>
        <v>9.8397087758789886E-2</v>
      </c>
      <c r="G1119">
        <f t="shared" si="35"/>
        <v>1</v>
      </c>
    </row>
    <row r="1120" spans="1:7" hidden="1">
      <c r="A1120" t="str">
        <f>Sinistrés!H1125</f>
        <v>Féveroles et fèves</v>
      </c>
      <c r="B1120">
        <f>Sinistrés!J1125</f>
        <v>7828.56</v>
      </c>
      <c r="C1120">
        <f>Sinistrés!X1125</f>
        <v>0</v>
      </c>
      <c r="D1120">
        <f>Sinistrés!L1125</f>
        <v>12</v>
      </c>
      <c r="E1120">
        <f>Sinistrés!M1125</f>
        <v>12</v>
      </c>
      <c r="F1120">
        <f t="shared" si="34"/>
        <v>0</v>
      </c>
      <c r="G1120">
        <f t="shared" si="35"/>
        <v>1</v>
      </c>
    </row>
    <row r="1121" spans="1:7" hidden="1">
      <c r="A1121" t="str">
        <f>Sinistrés!H1126</f>
        <v>Triticale</v>
      </c>
      <c r="B1121">
        <f>Sinistrés!J1126</f>
        <v>12960.2</v>
      </c>
      <c r="C1121">
        <f>Sinistrés!X1126</f>
        <v>0</v>
      </c>
      <c r="D1121">
        <f>Sinistrés!L1126</f>
        <v>22</v>
      </c>
      <c r="E1121">
        <f>Sinistrés!M1126</f>
        <v>19.89</v>
      </c>
      <c r="F1121">
        <f t="shared" si="34"/>
        <v>0</v>
      </c>
      <c r="G1121">
        <f t="shared" si="35"/>
        <v>0.90409090909090917</v>
      </c>
    </row>
    <row r="1122" spans="1:7" hidden="1">
      <c r="A1122" t="str">
        <f>Sinistrés!H1127</f>
        <v>Orge d'hiver</v>
      </c>
      <c r="B1122">
        <f>Sinistrés!J1127</f>
        <v>3727.44</v>
      </c>
      <c r="C1122">
        <f>Sinistrés!X1127</f>
        <v>0</v>
      </c>
      <c r="D1122">
        <f>Sinistrés!L1127</f>
        <v>4</v>
      </c>
      <c r="E1122">
        <f>Sinistrés!M1127</f>
        <v>4</v>
      </c>
      <c r="F1122">
        <f t="shared" si="34"/>
        <v>0</v>
      </c>
      <c r="G1122">
        <f t="shared" si="35"/>
        <v>1</v>
      </c>
    </row>
    <row r="1123" spans="1:7" hidden="1">
      <c r="A1123" t="str">
        <f>Sinistrés!H1128</f>
        <v>Blé tendre d'hiver</v>
      </c>
      <c r="B1123">
        <f>Sinistrés!J1128</f>
        <v>20708.099999999999</v>
      </c>
      <c r="C1123">
        <f>Sinistrés!X1128</f>
        <v>0</v>
      </c>
      <c r="D1123">
        <f>Sinistrés!L1128</f>
        <v>18</v>
      </c>
      <c r="E1123">
        <f>Sinistrés!M1128</f>
        <v>18</v>
      </c>
      <c r="F1123">
        <f t="shared" si="34"/>
        <v>0</v>
      </c>
      <c r="G1123">
        <f t="shared" si="35"/>
        <v>1</v>
      </c>
    </row>
    <row r="1124" spans="1:7">
      <c r="A1124" t="str">
        <f>Sinistrés!H1129</f>
        <v>Blé tendre d'hiver</v>
      </c>
      <c r="B1124">
        <f>Sinistrés!J1129</f>
        <v>72488.05</v>
      </c>
      <c r="C1124">
        <f>Sinistrés!X1129</f>
        <v>1866.25</v>
      </c>
      <c r="D1124">
        <f>Sinistrés!L1129</f>
        <v>63.22</v>
      </c>
      <c r="E1124">
        <f>Sinistrés!M1129</f>
        <v>63.22</v>
      </c>
      <c r="F1124">
        <f t="shared" si="34"/>
        <v>2.5745622899222699E-2</v>
      </c>
      <c r="G1124">
        <f t="shared" si="35"/>
        <v>1</v>
      </c>
    </row>
    <row r="1125" spans="1:7" hidden="1">
      <c r="A1125" t="str">
        <f>Sinistrés!H1130</f>
        <v>Colza d'hiver</v>
      </c>
      <c r="B1125">
        <f>Sinistrés!J1130</f>
        <v>55401</v>
      </c>
      <c r="C1125">
        <f>Sinistrés!X1130</f>
        <v>0</v>
      </c>
      <c r="D1125">
        <f>Sinistrés!L1130</f>
        <v>37.56</v>
      </c>
      <c r="E1125">
        <f>Sinistrés!M1130</f>
        <v>37.56</v>
      </c>
      <c r="F1125">
        <f t="shared" si="34"/>
        <v>0</v>
      </c>
      <c r="G1125">
        <f t="shared" si="35"/>
        <v>1</v>
      </c>
    </row>
    <row r="1126" spans="1:7" hidden="1">
      <c r="A1126" t="str">
        <f>Sinistrés!H1131</f>
        <v>Tournesol</v>
      </c>
      <c r="B1126">
        <f>Sinistrés!J1131</f>
        <v>26862.42</v>
      </c>
      <c r="C1126">
        <f>Sinistrés!X1131</f>
        <v>0</v>
      </c>
      <c r="D1126">
        <f>Sinistrés!L1131</f>
        <v>26.13</v>
      </c>
      <c r="E1126">
        <f>Sinistrés!M1131</f>
        <v>26.13</v>
      </c>
      <c r="F1126">
        <f t="shared" si="34"/>
        <v>0</v>
      </c>
      <c r="G1126">
        <f t="shared" si="35"/>
        <v>1</v>
      </c>
    </row>
    <row r="1127" spans="1:7" hidden="1">
      <c r="A1127" t="str">
        <f>Sinistrés!H1132</f>
        <v>Orge de printemps</v>
      </c>
      <c r="B1127">
        <f>Sinistrés!J1132</f>
        <v>21097</v>
      </c>
      <c r="C1127">
        <f>Sinistrés!X1132</f>
        <v>0</v>
      </c>
      <c r="D1127">
        <f>Sinistrés!L1132</f>
        <v>17</v>
      </c>
      <c r="E1127">
        <f>Sinistrés!M1132</f>
        <v>17</v>
      </c>
      <c r="F1127">
        <f t="shared" si="34"/>
        <v>0</v>
      </c>
      <c r="G1127">
        <f t="shared" si="35"/>
        <v>1</v>
      </c>
    </row>
    <row r="1128" spans="1:7">
      <c r="A1128" t="str">
        <f>Sinistrés!H1133</f>
        <v>Pois protéagineux</v>
      </c>
      <c r="B1128">
        <f>Sinistrés!J1133</f>
        <v>19824</v>
      </c>
      <c r="C1128">
        <f>Sinistrés!X1133</f>
        <v>1953.75</v>
      </c>
      <c r="D1128">
        <f>Sinistrés!L1133</f>
        <v>15</v>
      </c>
      <c r="E1128">
        <f>Sinistrés!M1133</f>
        <v>15</v>
      </c>
      <c r="F1128">
        <f t="shared" si="34"/>
        <v>9.855478208232446E-2</v>
      </c>
      <c r="G1128">
        <f t="shared" si="35"/>
        <v>1</v>
      </c>
    </row>
    <row r="1129" spans="1:7" hidden="1">
      <c r="A1129" t="str">
        <f>Sinistrés!H1134</f>
        <v>Blé tendre d'hiver</v>
      </c>
      <c r="B1129">
        <f>Sinistrés!J1134</f>
        <v>100021.5</v>
      </c>
      <c r="C1129">
        <f>Sinistrés!X1134</f>
        <v>0</v>
      </c>
      <c r="D1129">
        <f>Sinistrés!L1134</f>
        <v>93</v>
      </c>
      <c r="E1129">
        <f>Sinistrés!M1134</f>
        <v>93</v>
      </c>
      <c r="F1129">
        <f t="shared" si="34"/>
        <v>0</v>
      </c>
      <c r="G1129">
        <f t="shared" si="35"/>
        <v>1</v>
      </c>
    </row>
    <row r="1130" spans="1:7" hidden="1">
      <c r="A1130" t="str">
        <f>Sinistrés!H1135</f>
        <v>Colza d'hiver</v>
      </c>
      <c r="B1130">
        <f>Sinistrés!J1135</f>
        <v>19482</v>
      </c>
      <c r="C1130">
        <f>Sinistrés!X1135</f>
        <v>0</v>
      </c>
      <c r="D1130">
        <f>Sinistrés!L1135</f>
        <v>17</v>
      </c>
      <c r="E1130">
        <f>Sinistrés!M1135</f>
        <v>17</v>
      </c>
      <c r="F1130">
        <f t="shared" si="34"/>
        <v>0</v>
      </c>
      <c r="G1130">
        <f t="shared" si="35"/>
        <v>1</v>
      </c>
    </row>
    <row r="1131" spans="1:7" hidden="1">
      <c r="A1131" t="str">
        <f>Sinistrés!H1136</f>
        <v>Orge d'hiver</v>
      </c>
      <c r="B1131">
        <f>Sinistrés!J1136</f>
        <v>6841.38</v>
      </c>
      <c r="C1131">
        <f>Sinistrés!X1136</f>
        <v>0</v>
      </c>
      <c r="D1131">
        <f>Sinistrés!L1136</f>
        <v>10.71</v>
      </c>
      <c r="E1131">
        <f>Sinistrés!M1136</f>
        <v>10.71</v>
      </c>
      <c r="F1131">
        <f t="shared" si="34"/>
        <v>0</v>
      </c>
      <c r="G1131">
        <f t="shared" si="35"/>
        <v>1</v>
      </c>
    </row>
    <row r="1132" spans="1:7" hidden="1">
      <c r="A1132" t="str">
        <f>Sinistrés!H1137</f>
        <v>Pois protéagineux</v>
      </c>
      <c r="B1132">
        <f>Sinistrés!J1137</f>
        <v>7737.13</v>
      </c>
      <c r="C1132">
        <f>Sinistrés!X1137</f>
        <v>0</v>
      </c>
      <c r="D1132">
        <f>Sinistrés!L1137</f>
        <v>9.52</v>
      </c>
      <c r="E1132">
        <f>Sinistrés!M1137</f>
        <v>9.52</v>
      </c>
      <c r="F1132">
        <f t="shared" si="34"/>
        <v>0</v>
      </c>
      <c r="G1132">
        <f t="shared" si="35"/>
        <v>1</v>
      </c>
    </row>
    <row r="1133" spans="1:7" hidden="1">
      <c r="A1133" t="str">
        <f>Sinistrés!H1138</f>
        <v>Tournesol</v>
      </c>
      <c r="B1133">
        <f>Sinistrés!J1138</f>
        <v>20014.560000000001</v>
      </c>
      <c r="C1133">
        <f>Sinistrés!X1138</f>
        <v>0</v>
      </c>
      <c r="D1133">
        <f>Sinistrés!L1138</f>
        <v>19.87</v>
      </c>
      <c r="E1133">
        <f>Sinistrés!M1138</f>
        <v>19.87</v>
      </c>
      <c r="F1133">
        <f t="shared" si="34"/>
        <v>0</v>
      </c>
      <c r="G1133">
        <f t="shared" si="35"/>
        <v>1</v>
      </c>
    </row>
    <row r="1134" spans="1:7" hidden="1">
      <c r="A1134" t="str">
        <f>Sinistrés!H1139</f>
        <v>Blé tendre d'hiver</v>
      </c>
      <c r="B1134">
        <f>Sinistrés!J1139</f>
        <v>53931.21</v>
      </c>
      <c r="C1134">
        <f>Sinistrés!X1139</f>
        <v>0</v>
      </c>
      <c r="D1134">
        <f>Sinistrés!L1139</f>
        <v>42.17</v>
      </c>
      <c r="E1134">
        <f>Sinistrés!M1139</f>
        <v>42.17</v>
      </c>
      <c r="F1134">
        <f t="shared" si="34"/>
        <v>0</v>
      </c>
      <c r="G1134">
        <f t="shared" si="35"/>
        <v>1</v>
      </c>
    </row>
    <row r="1135" spans="1:7" hidden="1">
      <c r="A1135" t="str">
        <f>Sinistrés!H1140</f>
        <v>Orge d'hiver</v>
      </c>
      <c r="B1135">
        <f>Sinistrés!J1140</f>
        <v>25034.94</v>
      </c>
      <c r="C1135">
        <f>Sinistrés!X1140</f>
        <v>0</v>
      </c>
      <c r="D1135">
        <f>Sinistrés!L1140</f>
        <v>23.31</v>
      </c>
      <c r="E1135">
        <f>Sinistrés!M1140</f>
        <v>23.31</v>
      </c>
      <c r="F1135">
        <f t="shared" si="34"/>
        <v>0</v>
      </c>
      <c r="G1135">
        <f t="shared" si="35"/>
        <v>1</v>
      </c>
    </row>
    <row r="1136" spans="1:7" hidden="1">
      <c r="A1136" t="str">
        <f>Sinistrés!H1141</f>
        <v>Maïs grain non irrigué</v>
      </c>
      <c r="B1136">
        <f>Sinistrés!J1141</f>
        <v>114950</v>
      </c>
      <c r="C1136">
        <f>Sinistrés!X1141</f>
        <v>0</v>
      </c>
      <c r="D1136">
        <f>Sinistrés!L1141</f>
        <v>50</v>
      </c>
      <c r="E1136">
        <f>Sinistrés!M1141</f>
        <v>50</v>
      </c>
      <c r="F1136">
        <f t="shared" si="34"/>
        <v>0</v>
      </c>
      <c r="G1136">
        <f t="shared" si="35"/>
        <v>1</v>
      </c>
    </row>
    <row r="1137" spans="1:7" hidden="1">
      <c r="A1137" t="str">
        <f>Sinistrés!H1142</f>
        <v>Colza d'hiver</v>
      </c>
      <c r="B1137">
        <f>Sinistrés!J1142</f>
        <v>16391.34</v>
      </c>
      <c r="C1137">
        <f>Sinistrés!X1142</f>
        <v>0</v>
      </c>
      <c r="D1137">
        <f>Sinistrés!L1142</f>
        <v>10.4</v>
      </c>
      <c r="E1137">
        <f>Sinistrés!M1142</f>
        <v>10.47</v>
      </c>
      <c r="F1137">
        <f t="shared" si="34"/>
        <v>0</v>
      </c>
      <c r="G1137">
        <f t="shared" si="35"/>
        <v>1.0067307692307692</v>
      </c>
    </row>
    <row r="1138" spans="1:7" hidden="1">
      <c r="A1138" t="str">
        <f>Sinistrés!H1143</f>
        <v>Orge d'hiver</v>
      </c>
      <c r="B1138">
        <f>Sinistrés!J1143</f>
        <v>15848.3</v>
      </c>
      <c r="C1138">
        <f>Sinistrés!X1143</f>
        <v>0</v>
      </c>
      <c r="D1138">
        <f>Sinistrés!L1143</f>
        <v>13</v>
      </c>
      <c r="E1138">
        <f>Sinistrés!M1143</f>
        <v>17.989999999999998</v>
      </c>
      <c r="F1138">
        <f t="shared" si="34"/>
        <v>0</v>
      </c>
      <c r="G1138">
        <f t="shared" si="35"/>
        <v>1.3838461538461537</v>
      </c>
    </row>
    <row r="1139" spans="1:7" hidden="1">
      <c r="A1139" t="str">
        <f>Sinistrés!H1144</f>
        <v>Betteraves industrielles</v>
      </c>
      <c r="B1139">
        <f>Sinistrés!J1144</f>
        <v>33312.6</v>
      </c>
      <c r="C1139">
        <f>Sinistrés!X1144</f>
        <v>0</v>
      </c>
      <c r="D1139">
        <f>Sinistrés!L1144</f>
        <v>15.5</v>
      </c>
      <c r="E1139">
        <f>Sinistrés!M1144</f>
        <v>15.51</v>
      </c>
      <c r="F1139">
        <f t="shared" si="34"/>
        <v>0</v>
      </c>
      <c r="G1139">
        <f t="shared" si="35"/>
        <v>1.0006451612903227</v>
      </c>
    </row>
    <row r="1140" spans="1:7" hidden="1">
      <c r="A1140" t="str">
        <f>Sinistrés!H1145</f>
        <v>Blé tendre d'hiver</v>
      </c>
      <c r="B1140">
        <f>Sinistrés!J1145</f>
        <v>61208.5</v>
      </c>
      <c r="C1140">
        <f>Sinistrés!X1145</f>
        <v>0</v>
      </c>
      <c r="D1140">
        <f>Sinistrés!L1145</f>
        <v>37.9</v>
      </c>
      <c r="E1140">
        <f>Sinistrés!M1145</f>
        <v>38.04</v>
      </c>
      <c r="F1140">
        <f t="shared" si="34"/>
        <v>0</v>
      </c>
      <c r="G1140">
        <f t="shared" si="35"/>
        <v>1.003693931398417</v>
      </c>
    </row>
    <row r="1141" spans="1:7" hidden="1">
      <c r="A1141" t="str">
        <f>Sinistrés!H1146</f>
        <v>Blé dur d'hiver</v>
      </c>
      <c r="B1141">
        <f>Sinistrés!J1146</f>
        <v>11210</v>
      </c>
      <c r="C1141">
        <f>Sinistrés!X1146</f>
        <v>0</v>
      </c>
      <c r="D1141">
        <f>Sinistrés!L1146</f>
        <v>7.6</v>
      </c>
      <c r="E1141">
        <f>Sinistrés!M1146</f>
        <v>7.65</v>
      </c>
      <c r="F1141">
        <f t="shared" si="34"/>
        <v>0</v>
      </c>
      <c r="G1141">
        <f t="shared" si="35"/>
        <v>1.0065789473684212</v>
      </c>
    </row>
    <row r="1142" spans="1:7" hidden="1">
      <c r="A1142" t="str">
        <f>Sinistrés!H1147</f>
        <v>Blé tendre d'hiver</v>
      </c>
      <c r="B1142">
        <f>Sinistrés!J1147</f>
        <v>71310.58</v>
      </c>
      <c r="C1142">
        <f>Sinistrés!X1147</f>
        <v>0</v>
      </c>
      <c r="D1142">
        <f>Sinistrés!L1147</f>
        <v>50.6</v>
      </c>
      <c r="E1142">
        <f>Sinistrés!M1147</f>
        <v>45.17</v>
      </c>
      <c r="F1142">
        <f t="shared" si="34"/>
        <v>0</v>
      </c>
      <c r="G1142">
        <f t="shared" si="35"/>
        <v>0.89268774703557308</v>
      </c>
    </row>
    <row r="1143" spans="1:7" hidden="1">
      <c r="A1143" t="str">
        <f>Sinistrés!H1148</f>
        <v>Colza d'hiver</v>
      </c>
      <c r="B1143">
        <f>Sinistrés!J1148</f>
        <v>49103.6</v>
      </c>
      <c r="C1143">
        <f>Sinistrés!X1148</f>
        <v>0</v>
      </c>
      <c r="D1143">
        <f>Sinistrés!L1148</f>
        <v>36.4</v>
      </c>
      <c r="E1143">
        <f>Sinistrés!M1148</f>
        <v>36.64</v>
      </c>
      <c r="F1143">
        <f t="shared" si="34"/>
        <v>0</v>
      </c>
      <c r="G1143">
        <f t="shared" si="35"/>
        <v>1.0065934065934066</v>
      </c>
    </row>
    <row r="1144" spans="1:7" hidden="1">
      <c r="A1144" t="str">
        <f>Sinistrés!H1149</f>
        <v>Lin textile</v>
      </c>
      <c r="B1144">
        <f>Sinistrés!J1149</f>
        <v>33341.9</v>
      </c>
      <c r="C1144">
        <f>Sinistrés!X1149</f>
        <v>0</v>
      </c>
      <c r="D1144">
        <f>Sinistrés!L1149</f>
        <v>16.399999999999999</v>
      </c>
      <c r="E1144">
        <f>Sinistrés!M1149</f>
        <v>16.440000000000001</v>
      </c>
      <c r="F1144">
        <f t="shared" si="34"/>
        <v>0</v>
      </c>
      <c r="G1144">
        <f t="shared" si="35"/>
        <v>1.0024390243902441</v>
      </c>
    </row>
    <row r="1145" spans="1:7" hidden="1">
      <c r="A1145" t="str">
        <f>Sinistrés!H1150</f>
        <v>Blé tendre d'hiver</v>
      </c>
      <c r="B1145">
        <f>Sinistrés!J1150</f>
        <v>24355.46</v>
      </c>
      <c r="C1145">
        <f>Sinistrés!X1150</f>
        <v>0</v>
      </c>
      <c r="D1145">
        <f>Sinistrés!L1150</f>
        <v>21.26</v>
      </c>
      <c r="E1145">
        <f>Sinistrés!M1150</f>
        <v>21.26</v>
      </c>
      <c r="F1145">
        <f t="shared" si="34"/>
        <v>0</v>
      </c>
      <c r="G1145">
        <f t="shared" si="35"/>
        <v>1</v>
      </c>
    </row>
    <row r="1146" spans="1:7" hidden="1">
      <c r="A1146" t="str">
        <f>Sinistrés!H1151</f>
        <v>Colza d'hiver</v>
      </c>
      <c r="B1146">
        <f>Sinistrés!J1151</f>
        <v>29512.35</v>
      </c>
      <c r="C1146">
        <f>Sinistrés!X1151</f>
        <v>0</v>
      </c>
      <c r="D1146">
        <f>Sinistrés!L1151</f>
        <v>18.899999999999999</v>
      </c>
      <c r="E1146">
        <f>Sinistrés!M1151</f>
        <v>18.899999999999999</v>
      </c>
      <c r="F1146">
        <f t="shared" si="34"/>
        <v>0</v>
      </c>
      <c r="G1146">
        <f t="shared" si="35"/>
        <v>1</v>
      </c>
    </row>
    <row r="1147" spans="1:7" hidden="1">
      <c r="A1147" t="str">
        <f>Sinistrés!H1152</f>
        <v>Blé tendre d'hiver</v>
      </c>
      <c r="B1147">
        <f>Sinistrés!J1152</f>
        <v>236141.40000000002</v>
      </c>
      <c r="C1147">
        <f>Sinistrés!X1152</f>
        <v>0</v>
      </c>
      <c r="D1147">
        <f>Sinistrés!L1152</f>
        <v>111</v>
      </c>
      <c r="E1147">
        <f>Sinistrés!M1152</f>
        <v>111</v>
      </c>
      <c r="F1147">
        <f t="shared" si="34"/>
        <v>0</v>
      </c>
      <c r="G1147">
        <f t="shared" si="35"/>
        <v>1</v>
      </c>
    </row>
    <row r="1148" spans="1:7" hidden="1">
      <c r="A1148" t="str">
        <f>Sinistrés!H1153</f>
        <v>Colza d'hiver</v>
      </c>
      <c r="B1148">
        <f>Sinistrés!J1153</f>
        <v>53865</v>
      </c>
      <c r="C1148">
        <f>Sinistrés!X1153</f>
        <v>0</v>
      </c>
      <c r="D1148">
        <f>Sinistrés!L1153</f>
        <v>28.5</v>
      </c>
      <c r="E1148">
        <f>Sinistrés!M1153</f>
        <v>28.5</v>
      </c>
      <c r="F1148">
        <f t="shared" si="34"/>
        <v>0</v>
      </c>
      <c r="G1148">
        <f t="shared" si="35"/>
        <v>1</v>
      </c>
    </row>
    <row r="1149" spans="1:7" hidden="1">
      <c r="A1149" t="str">
        <f>Sinistrés!H1154</f>
        <v>Blé dur d'hiver</v>
      </c>
      <c r="B1149">
        <f>Sinistrés!J1154</f>
        <v>20310.399999999998</v>
      </c>
      <c r="C1149">
        <f>Sinistrés!X1154</f>
        <v>0</v>
      </c>
      <c r="D1149">
        <f>Sinistrés!L1154</f>
        <v>16</v>
      </c>
      <c r="E1149">
        <f>Sinistrés!M1154</f>
        <v>16</v>
      </c>
      <c r="F1149">
        <f t="shared" si="34"/>
        <v>0</v>
      </c>
      <c r="G1149">
        <f t="shared" si="35"/>
        <v>1</v>
      </c>
    </row>
    <row r="1150" spans="1:7" hidden="1">
      <c r="A1150" t="str">
        <f>Sinistrés!H1155</f>
        <v>Lin textile</v>
      </c>
      <c r="B1150">
        <f>Sinistrés!J1155</f>
        <v>41664</v>
      </c>
      <c r="C1150">
        <f>Sinistrés!X1155</f>
        <v>0</v>
      </c>
      <c r="D1150">
        <f>Sinistrés!L1155</f>
        <v>24</v>
      </c>
      <c r="E1150">
        <f>Sinistrés!M1155</f>
        <v>24</v>
      </c>
      <c r="F1150">
        <f t="shared" si="34"/>
        <v>0</v>
      </c>
      <c r="G1150">
        <f t="shared" si="35"/>
        <v>1</v>
      </c>
    </row>
    <row r="1151" spans="1:7" hidden="1">
      <c r="A1151" t="str">
        <f>Sinistrés!H1156</f>
        <v>Blé tendre d'hiver</v>
      </c>
      <c r="B1151">
        <f>Sinistrés!J1156</f>
        <v>211767.34</v>
      </c>
      <c r="C1151">
        <f>Sinistrés!X1156</f>
        <v>0</v>
      </c>
      <c r="D1151">
        <f>Sinistrés!L1156</f>
        <v>113.78</v>
      </c>
      <c r="E1151">
        <f>Sinistrés!M1156</f>
        <v>113.78</v>
      </c>
      <c r="F1151">
        <f t="shared" si="34"/>
        <v>0</v>
      </c>
      <c r="G1151">
        <f t="shared" si="35"/>
        <v>1</v>
      </c>
    </row>
    <row r="1152" spans="1:7" hidden="1">
      <c r="A1152" t="str">
        <f>Sinistrés!H1157</f>
        <v>Orge d'hiver</v>
      </c>
      <c r="B1152">
        <f>Sinistrés!J1157</f>
        <v>21736.26</v>
      </c>
      <c r="C1152">
        <f>Sinistrés!X1157</f>
        <v>0</v>
      </c>
      <c r="D1152">
        <f>Sinistrés!L1157</f>
        <v>13.27</v>
      </c>
      <c r="E1152">
        <f>Sinistrés!M1157</f>
        <v>13.27</v>
      </c>
      <c r="F1152">
        <f t="shared" si="34"/>
        <v>0</v>
      </c>
      <c r="G1152">
        <f t="shared" si="35"/>
        <v>1</v>
      </c>
    </row>
    <row r="1153" spans="1:7" hidden="1">
      <c r="A1153" t="str">
        <f>Sinistrés!H1158</f>
        <v>Orge d'hiver</v>
      </c>
      <c r="B1153">
        <f>Sinistrés!J1158</f>
        <v>6787.94</v>
      </c>
      <c r="C1153">
        <f>Sinistrés!X1158</f>
        <v>0</v>
      </c>
      <c r="D1153">
        <f>Sinistrés!L1158</f>
        <v>6.53</v>
      </c>
      <c r="E1153">
        <f>Sinistrés!M1158</f>
        <v>6.53</v>
      </c>
      <c r="F1153">
        <f t="shared" si="34"/>
        <v>0</v>
      </c>
      <c r="G1153">
        <f t="shared" si="35"/>
        <v>1</v>
      </c>
    </row>
    <row r="1154" spans="1:7" hidden="1">
      <c r="A1154" t="str">
        <f>Sinistrés!H1159</f>
        <v>Blé tendre d'hiver</v>
      </c>
      <c r="B1154">
        <f>Sinistrés!J1159</f>
        <v>14877.85</v>
      </c>
      <c r="C1154">
        <f>Sinistrés!X1159</f>
        <v>0</v>
      </c>
      <c r="D1154">
        <f>Sinistrés!L1159</f>
        <v>8.3800000000000008</v>
      </c>
      <c r="E1154">
        <f>Sinistrés!M1159</f>
        <v>8.4600000000000009</v>
      </c>
      <c r="F1154">
        <f t="shared" si="34"/>
        <v>0</v>
      </c>
      <c r="G1154">
        <f t="shared" si="35"/>
        <v>1.0095465393794749</v>
      </c>
    </row>
    <row r="1155" spans="1:7" hidden="1">
      <c r="A1155" t="str">
        <f>Sinistrés!H1160</f>
        <v>Maïs grain non irrigué</v>
      </c>
      <c r="B1155">
        <f>Sinistrés!J1160</f>
        <v>3299.67</v>
      </c>
      <c r="C1155">
        <f>Sinistrés!X1160</f>
        <v>0</v>
      </c>
      <c r="D1155">
        <f>Sinistrés!L1160</f>
        <v>2.42</v>
      </c>
      <c r="E1155">
        <f>Sinistrés!M1160</f>
        <v>2.42</v>
      </c>
      <c r="F1155">
        <f t="shared" ref="F1155:F1218" si="36">C1155/B1155</f>
        <v>0</v>
      </c>
      <c r="G1155">
        <f t="shared" ref="G1155:G1218" si="37">E1155/D1155</f>
        <v>1</v>
      </c>
    </row>
    <row r="1156" spans="1:7" hidden="1">
      <c r="A1156" t="str">
        <f>Sinistrés!H1161</f>
        <v>Féveroles et fèves BIO</v>
      </c>
      <c r="B1156">
        <f>Sinistrés!J1161</f>
        <v>9026.06</v>
      </c>
      <c r="C1156">
        <f>Sinistrés!X1161</f>
        <v>0</v>
      </c>
      <c r="D1156">
        <f>Sinistrés!L1161</f>
        <v>18.190000000000001</v>
      </c>
      <c r="E1156">
        <f>Sinistrés!M1161</f>
        <v>18.190000000000001</v>
      </c>
      <c r="F1156">
        <f t="shared" si="36"/>
        <v>0</v>
      </c>
      <c r="G1156">
        <f t="shared" si="37"/>
        <v>1</v>
      </c>
    </row>
    <row r="1157" spans="1:7" hidden="1">
      <c r="A1157" t="str">
        <f>Sinistrés!H1162</f>
        <v>Féveroles et fèves BIO</v>
      </c>
      <c r="B1157">
        <f>Sinistrés!J1162</f>
        <v>15820.98</v>
      </c>
      <c r="C1157">
        <f>Sinistrés!X1162</f>
        <v>0</v>
      </c>
      <c r="D1157">
        <f>Sinistrés!L1162</f>
        <v>35.619999999999997</v>
      </c>
      <c r="E1157">
        <f>Sinistrés!M1162</f>
        <v>35.619999999999997</v>
      </c>
      <c r="F1157">
        <f t="shared" si="36"/>
        <v>0</v>
      </c>
      <c r="G1157">
        <f t="shared" si="37"/>
        <v>1</v>
      </c>
    </row>
    <row r="1158" spans="1:7" hidden="1">
      <c r="A1158" t="str">
        <f>Sinistrés!H1163</f>
        <v>Triticale BIO</v>
      </c>
      <c r="B1158">
        <f>Sinistrés!J1163</f>
        <v>21750.1</v>
      </c>
      <c r="C1158">
        <f>Sinistrés!X1163</f>
        <v>0</v>
      </c>
      <c r="D1158">
        <f>Sinistrés!L1163</f>
        <v>28.15</v>
      </c>
      <c r="E1158">
        <f>Sinistrés!M1163</f>
        <v>28.15</v>
      </c>
      <c r="F1158">
        <f t="shared" si="36"/>
        <v>0</v>
      </c>
      <c r="G1158">
        <f t="shared" si="37"/>
        <v>1</v>
      </c>
    </row>
    <row r="1159" spans="1:7" hidden="1">
      <c r="A1159" t="str">
        <f>Sinistrés!H1164</f>
        <v>Triticale BIO</v>
      </c>
      <c r="B1159">
        <f>Sinistrés!J1164</f>
        <v>35001.050000000003</v>
      </c>
      <c r="C1159">
        <f>Sinistrés!X1164</f>
        <v>0</v>
      </c>
      <c r="D1159">
        <f>Sinistrés!L1164</f>
        <v>45.3</v>
      </c>
      <c r="E1159">
        <f>Sinistrés!M1164</f>
        <v>45.3</v>
      </c>
      <c r="F1159">
        <f t="shared" si="36"/>
        <v>0</v>
      </c>
      <c r="G1159">
        <f t="shared" si="37"/>
        <v>1</v>
      </c>
    </row>
    <row r="1160" spans="1:7" hidden="1">
      <c r="A1160" t="str">
        <f>Sinistrés!H1165</f>
        <v>Blé tendre d'hiver BIO</v>
      </c>
      <c r="B1160">
        <f>Sinistrés!J1165</f>
        <v>14508.37</v>
      </c>
      <c r="C1160">
        <f>Sinistrés!X1165</f>
        <v>0</v>
      </c>
      <c r="D1160">
        <f>Sinistrés!L1165</f>
        <v>13.16</v>
      </c>
      <c r="E1160">
        <f>Sinistrés!M1165</f>
        <v>13.16</v>
      </c>
      <c r="F1160">
        <f t="shared" si="36"/>
        <v>0</v>
      </c>
      <c r="G1160">
        <f t="shared" si="37"/>
        <v>1</v>
      </c>
    </row>
    <row r="1161" spans="1:7" hidden="1">
      <c r="A1161" t="str">
        <f>Sinistrés!H1166</f>
        <v>Blé tendre d'hiver BIO</v>
      </c>
      <c r="B1161">
        <f>Sinistrés!J1166</f>
        <v>33439.440000000002</v>
      </c>
      <c r="C1161">
        <f>Sinistrés!X1166</f>
        <v>0</v>
      </c>
      <c r="D1161">
        <f>Sinistrés!L1166</f>
        <v>30.18</v>
      </c>
      <c r="E1161">
        <f>Sinistrés!M1166</f>
        <v>30.18</v>
      </c>
      <c r="F1161">
        <f t="shared" si="36"/>
        <v>0</v>
      </c>
      <c r="G1161">
        <f t="shared" si="37"/>
        <v>1</v>
      </c>
    </row>
    <row r="1162" spans="1:7" hidden="1">
      <c r="A1162" t="str">
        <f>Sinistrés!H1167</f>
        <v>Pois protéagineux SEMENCES</v>
      </c>
      <c r="B1162">
        <f>Sinistrés!J1167</f>
        <v>19957.28</v>
      </c>
      <c r="C1162">
        <f>Sinistrés!X1167</f>
        <v>5023.93</v>
      </c>
      <c r="D1162">
        <f>Sinistrés!L1167</f>
        <v>14.42</v>
      </c>
      <c r="E1162">
        <f>Sinistrés!M1167</f>
        <v>14.42</v>
      </c>
      <c r="F1162">
        <f t="shared" si="36"/>
        <v>0.25173420426030002</v>
      </c>
      <c r="G1162">
        <f t="shared" si="37"/>
        <v>1</v>
      </c>
    </row>
    <row r="1163" spans="1:7" hidden="1">
      <c r="A1163" t="str">
        <f>Sinistrés!H1168</f>
        <v>Orge d'hiver</v>
      </c>
      <c r="B1163">
        <f>Sinistrés!J1168</f>
        <v>52517.52</v>
      </c>
      <c r="C1163">
        <f>Sinistrés!X1168</f>
        <v>0</v>
      </c>
      <c r="D1163">
        <f>Sinistrés!L1168</f>
        <v>41.88</v>
      </c>
      <c r="E1163">
        <f>Sinistrés!M1168</f>
        <v>41.81</v>
      </c>
      <c r="F1163">
        <f t="shared" si="36"/>
        <v>0</v>
      </c>
      <c r="G1163">
        <f t="shared" si="37"/>
        <v>0.9983285577841452</v>
      </c>
    </row>
    <row r="1164" spans="1:7" hidden="1">
      <c r="A1164" t="str">
        <f>Sinistrés!H1169</f>
        <v>Blé tendre d'hiver</v>
      </c>
      <c r="B1164">
        <f>Sinistrés!J1169</f>
        <v>212283.5</v>
      </c>
      <c r="C1164">
        <f>Sinistrés!X1169</f>
        <v>0</v>
      </c>
      <c r="D1164">
        <f>Sinistrés!L1169</f>
        <v>148.44999999999999</v>
      </c>
      <c r="E1164">
        <f>Sinistrés!M1169</f>
        <v>148.44999999999999</v>
      </c>
      <c r="F1164">
        <f t="shared" si="36"/>
        <v>0</v>
      </c>
      <c r="G1164">
        <f t="shared" si="37"/>
        <v>1</v>
      </c>
    </row>
    <row r="1165" spans="1:7" hidden="1">
      <c r="A1165" t="str">
        <f>Sinistrés!H1170</f>
        <v>Colza d'hiver</v>
      </c>
      <c r="B1165">
        <f>Sinistrés!J1170</f>
        <v>60687.79</v>
      </c>
      <c r="C1165">
        <f>Sinistrés!X1170</f>
        <v>0</v>
      </c>
      <c r="D1165">
        <f>Sinistrés!L1170</f>
        <v>48.4</v>
      </c>
      <c r="E1165">
        <f>Sinistrés!M1170</f>
        <v>48.4</v>
      </c>
      <c r="F1165">
        <f t="shared" si="36"/>
        <v>0</v>
      </c>
      <c r="G1165">
        <f t="shared" si="37"/>
        <v>1</v>
      </c>
    </row>
    <row r="1166" spans="1:7">
      <c r="A1166" t="str">
        <f>Sinistrés!H1171</f>
        <v>Maïs grain non irrigué</v>
      </c>
      <c r="B1166">
        <f>Sinistrés!J1171</f>
        <v>16667.2</v>
      </c>
      <c r="C1166">
        <f>Sinistrés!X1171</f>
        <v>4083.46</v>
      </c>
      <c r="D1166">
        <f>Sinistrés!L1171</f>
        <v>18.940000000000001</v>
      </c>
      <c r="E1166">
        <f>Sinistrés!M1171</f>
        <v>18.940000000000001</v>
      </c>
      <c r="F1166">
        <f t="shared" si="36"/>
        <v>0.24499976000767976</v>
      </c>
      <c r="G1166">
        <f t="shared" si="37"/>
        <v>1</v>
      </c>
    </row>
    <row r="1167" spans="1:7">
      <c r="A1167" t="str">
        <f>Sinistrés!H1172</f>
        <v>Blé dur d'hiver</v>
      </c>
      <c r="B1167">
        <f>Sinistrés!J1172</f>
        <v>12421.25</v>
      </c>
      <c r="C1167">
        <f>Sinistrés!X1172</f>
        <v>891.81</v>
      </c>
      <c r="D1167">
        <f>Sinistrés!L1172</f>
        <v>9.5</v>
      </c>
      <c r="E1167">
        <f>Sinistrés!M1172</f>
        <v>9.5</v>
      </c>
      <c r="F1167">
        <f t="shared" si="36"/>
        <v>7.1797121867766933E-2</v>
      </c>
      <c r="G1167">
        <f t="shared" si="37"/>
        <v>1</v>
      </c>
    </row>
    <row r="1168" spans="1:7">
      <c r="A1168" t="str">
        <f>Sinistrés!H1173</f>
        <v>Avoine d'hiver</v>
      </c>
      <c r="B1168">
        <f>Sinistrés!J1173</f>
        <v>8628.9500000000007</v>
      </c>
      <c r="C1168">
        <f>Sinistrés!X1173</f>
        <v>1275.27</v>
      </c>
      <c r="D1168">
        <f>Sinistrés!L1173</f>
        <v>12.35</v>
      </c>
      <c r="E1168">
        <f>Sinistrés!M1173</f>
        <v>12.35</v>
      </c>
      <c r="F1168">
        <f t="shared" si="36"/>
        <v>0.14778970790188839</v>
      </c>
      <c r="G1168">
        <f t="shared" si="37"/>
        <v>1</v>
      </c>
    </row>
    <row r="1169" spans="1:7" hidden="1">
      <c r="A1169" t="str">
        <f>Sinistrés!H1174</f>
        <v>Blé tendre d'hiver</v>
      </c>
      <c r="B1169">
        <f>Sinistrés!J1174</f>
        <v>56981.43</v>
      </c>
      <c r="C1169">
        <f>Sinistrés!X1174</f>
        <v>0</v>
      </c>
      <c r="D1169">
        <f>Sinistrés!L1174</f>
        <v>46.59</v>
      </c>
      <c r="E1169">
        <f>Sinistrés!M1174</f>
        <v>46.31</v>
      </c>
      <c r="F1169">
        <f t="shared" si="36"/>
        <v>0</v>
      </c>
      <c r="G1169">
        <f t="shared" si="37"/>
        <v>0.99399012663661723</v>
      </c>
    </row>
    <row r="1170" spans="1:7">
      <c r="A1170" t="str">
        <f>Sinistrés!H1175</f>
        <v>Féveroles et fèves</v>
      </c>
      <c r="B1170">
        <f>Sinistrés!J1175</f>
        <v>13262.17</v>
      </c>
      <c r="C1170">
        <f>Sinistrés!X1175</f>
        <v>3623.49</v>
      </c>
      <c r="D1170">
        <f>Sinistrés!L1175</f>
        <v>24.19</v>
      </c>
      <c r="E1170">
        <f>Sinistrés!M1175</f>
        <v>24.18</v>
      </c>
      <c r="F1170">
        <f t="shared" si="36"/>
        <v>0.27321999340982656</v>
      </c>
      <c r="G1170">
        <f t="shared" si="37"/>
        <v>0.99958660603555183</v>
      </c>
    </row>
    <row r="1171" spans="1:7">
      <c r="A1171" t="str">
        <f>Sinistrés!H1176</f>
        <v>Orge de printemps</v>
      </c>
      <c r="B1171">
        <f>Sinistrés!J1176</f>
        <v>10048.9</v>
      </c>
      <c r="C1171">
        <f>Sinistrés!X1176</f>
        <v>806.64</v>
      </c>
      <c r="D1171">
        <f>Sinistrés!L1176</f>
        <v>8.32</v>
      </c>
      <c r="E1171">
        <f>Sinistrés!M1176</f>
        <v>6.74</v>
      </c>
      <c r="F1171">
        <f t="shared" si="36"/>
        <v>8.0271472499477553E-2</v>
      </c>
      <c r="G1171">
        <f t="shared" si="37"/>
        <v>0.81009615384615385</v>
      </c>
    </row>
    <row r="1172" spans="1:7">
      <c r="A1172" t="str">
        <f>Sinistrés!H1177</f>
        <v>Orge d'hiver</v>
      </c>
      <c r="B1172">
        <f>Sinistrés!J1177</f>
        <v>4398.24</v>
      </c>
      <c r="C1172">
        <f>Sinistrés!X1177</f>
        <v>288.29000000000002</v>
      </c>
      <c r="D1172">
        <f>Sinistrés!L1177</f>
        <v>5.39</v>
      </c>
      <c r="E1172">
        <f>Sinistrés!M1177</f>
        <v>5.44</v>
      </c>
      <c r="F1172">
        <f t="shared" si="36"/>
        <v>6.5546673214740447E-2</v>
      </c>
      <c r="G1172">
        <f t="shared" si="37"/>
        <v>1.0092764378478665</v>
      </c>
    </row>
    <row r="1173" spans="1:7">
      <c r="A1173" t="str">
        <f>Sinistrés!H1178</f>
        <v>Triticale</v>
      </c>
      <c r="B1173">
        <f>Sinistrés!J1178</f>
        <v>6266.7</v>
      </c>
      <c r="C1173">
        <f>Sinistrés!X1178</f>
        <v>1086.23</v>
      </c>
      <c r="D1173">
        <f>Sinistrés!L1178</f>
        <v>6.33</v>
      </c>
      <c r="E1173">
        <f>Sinistrés!M1178</f>
        <v>6.33</v>
      </c>
      <c r="F1173">
        <f t="shared" si="36"/>
        <v>0.17333365248057192</v>
      </c>
      <c r="G1173">
        <f t="shared" si="37"/>
        <v>1</v>
      </c>
    </row>
    <row r="1174" spans="1:7" hidden="1">
      <c r="A1174" t="str">
        <f>Sinistrés!H1179</f>
        <v>Blé tendre d'hiver</v>
      </c>
      <c r="B1174">
        <f>Sinistrés!J1179</f>
        <v>78277.95</v>
      </c>
      <c r="C1174">
        <f>Sinistrés!X1179</f>
        <v>0</v>
      </c>
      <c r="D1174">
        <f>Sinistrés!L1179</f>
        <v>94.55</v>
      </c>
      <c r="E1174">
        <f>Sinistrés!M1179</f>
        <v>94.54</v>
      </c>
      <c r="F1174">
        <f t="shared" si="36"/>
        <v>0</v>
      </c>
      <c r="G1174">
        <f t="shared" si="37"/>
        <v>0.99989423585404558</v>
      </c>
    </row>
    <row r="1175" spans="1:7" hidden="1">
      <c r="A1175" t="str">
        <f>Sinistrés!H1180</f>
        <v>Colza d'hiver</v>
      </c>
      <c r="B1175">
        <f>Sinistrés!J1180</f>
        <v>50356.38</v>
      </c>
      <c r="C1175">
        <f>Sinistrés!X1180</f>
        <v>0</v>
      </c>
      <c r="D1175">
        <f>Sinistrés!L1180</f>
        <v>47.84</v>
      </c>
      <c r="E1175">
        <f>Sinistrés!M1180</f>
        <v>47.83</v>
      </c>
      <c r="F1175">
        <f t="shared" si="36"/>
        <v>0</v>
      </c>
      <c r="G1175">
        <f t="shared" si="37"/>
        <v>0.99979096989966543</v>
      </c>
    </row>
    <row r="1176" spans="1:7" hidden="1">
      <c r="A1176" t="str">
        <f>Sinistrés!H1181</f>
        <v>Avoine d'hiver</v>
      </c>
      <c r="B1176">
        <f>Sinistrés!J1181</f>
        <v>34684.15</v>
      </c>
      <c r="C1176">
        <f>Sinistrés!X1181</f>
        <v>0</v>
      </c>
      <c r="D1176">
        <f>Sinistrés!L1181</f>
        <v>41.3</v>
      </c>
      <c r="E1176">
        <f>Sinistrés!M1181</f>
        <v>41.3</v>
      </c>
      <c r="F1176">
        <f t="shared" si="36"/>
        <v>0</v>
      </c>
      <c r="G1176">
        <f t="shared" si="37"/>
        <v>1</v>
      </c>
    </row>
    <row r="1177" spans="1:7" hidden="1">
      <c r="A1177" t="str">
        <f>Sinistrés!H1182</f>
        <v>Blé tendre d'hiver</v>
      </c>
      <c r="B1177">
        <f>Sinistrés!J1182</f>
        <v>11682.89</v>
      </c>
      <c r="C1177">
        <f>Sinistrés!X1182</f>
        <v>0</v>
      </c>
      <c r="D1177">
        <f>Sinistrés!L1182</f>
        <v>13.79</v>
      </c>
      <c r="E1177">
        <f>Sinistrés!M1182</f>
        <v>13.79</v>
      </c>
      <c r="F1177">
        <f t="shared" si="36"/>
        <v>0</v>
      </c>
      <c r="G1177">
        <f t="shared" si="37"/>
        <v>1</v>
      </c>
    </row>
    <row r="1178" spans="1:7" hidden="1">
      <c r="A1178" t="str">
        <f>Sinistrés!H1183</f>
        <v>Tournesol</v>
      </c>
      <c r="B1178">
        <f>Sinistrés!J1183</f>
        <v>14113.93</v>
      </c>
      <c r="C1178">
        <f>Sinistrés!X1183</f>
        <v>0</v>
      </c>
      <c r="D1178">
        <f>Sinistrés!L1183</f>
        <v>12.81</v>
      </c>
      <c r="E1178">
        <f>Sinistrés!M1183</f>
        <v>12.81</v>
      </c>
      <c r="F1178">
        <f t="shared" si="36"/>
        <v>0</v>
      </c>
      <c r="G1178">
        <f t="shared" si="37"/>
        <v>1</v>
      </c>
    </row>
    <row r="1179" spans="1:7" hidden="1">
      <c r="A1179" t="str">
        <f>Sinistrés!H1184</f>
        <v>Orge d'hiver</v>
      </c>
      <c r="B1179">
        <f>Sinistrés!J1184</f>
        <v>13521.66</v>
      </c>
      <c r="C1179">
        <f>Sinistrés!X1184</f>
        <v>0</v>
      </c>
      <c r="D1179">
        <f>Sinistrés!L1184</f>
        <v>13.96</v>
      </c>
      <c r="E1179">
        <f>Sinistrés!M1184</f>
        <v>13.96</v>
      </c>
      <c r="F1179">
        <f t="shared" si="36"/>
        <v>0</v>
      </c>
      <c r="G1179">
        <f t="shared" si="37"/>
        <v>1</v>
      </c>
    </row>
    <row r="1180" spans="1:7">
      <c r="A1180" t="str">
        <f>Sinistrés!H1185</f>
        <v>Blé tendre d'hiver</v>
      </c>
      <c r="B1180">
        <f>Sinistrés!J1185</f>
        <v>50013.33</v>
      </c>
      <c r="C1180">
        <f>Sinistrés!X1185</f>
        <v>5857.22</v>
      </c>
      <c r="D1180">
        <f>Sinistrés!L1185</f>
        <v>43.02</v>
      </c>
      <c r="E1180">
        <f>Sinistrés!M1185</f>
        <v>43.02</v>
      </c>
      <c r="F1180">
        <f t="shared" si="36"/>
        <v>0.11711317762684469</v>
      </c>
      <c r="G1180">
        <f t="shared" si="37"/>
        <v>1</v>
      </c>
    </row>
    <row r="1181" spans="1:7">
      <c r="A1181" t="str">
        <f>Sinistrés!H1186</f>
        <v>Colza d'hiver</v>
      </c>
      <c r="B1181">
        <f>Sinistrés!J1186</f>
        <v>29447.87</v>
      </c>
      <c r="C1181">
        <f>Sinistrés!X1186</f>
        <v>125.93</v>
      </c>
      <c r="D1181">
        <f>Sinistrés!L1186</f>
        <v>24.4</v>
      </c>
      <c r="E1181">
        <f>Sinistrés!M1186</f>
        <v>24.4</v>
      </c>
      <c r="F1181">
        <f t="shared" si="36"/>
        <v>4.2763704132081541E-3</v>
      </c>
      <c r="G1181">
        <f t="shared" si="37"/>
        <v>1</v>
      </c>
    </row>
    <row r="1182" spans="1:7">
      <c r="A1182" t="str">
        <f>Sinistrés!H1187</f>
        <v>Lentilles</v>
      </c>
      <c r="B1182">
        <f>Sinistrés!J1187</f>
        <v>5994.07</v>
      </c>
      <c r="C1182">
        <f>Sinistrés!X1187</f>
        <v>2626.11</v>
      </c>
      <c r="D1182">
        <f>Sinistrés!L1187</f>
        <v>11.24</v>
      </c>
      <c r="E1182">
        <f>Sinistrés!M1187</f>
        <v>11.24</v>
      </c>
      <c r="F1182">
        <f t="shared" si="36"/>
        <v>0.43811800662988593</v>
      </c>
      <c r="G1182">
        <f t="shared" si="37"/>
        <v>1</v>
      </c>
    </row>
    <row r="1183" spans="1:7" hidden="1">
      <c r="A1183" t="str">
        <f>Sinistrés!H1188</f>
        <v>Colza d'hiver</v>
      </c>
      <c r="B1183">
        <f>Sinistrés!J1188</f>
        <v>28795.52</v>
      </c>
      <c r="C1183">
        <f>Sinistrés!X1188</f>
        <v>0</v>
      </c>
      <c r="D1183">
        <f>Sinistrés!L1188</f>
        <v>24.84</v>
      </c>
      <c r="E1183">
        <f>Sinistrés!M1188</f>
        <v>24.84</v>
      </c>
      <c r="F1183">
        <f t="shared" si="36"/>
        <v>0</v>
      </c>
      <c r="G1183">
        <f t="shared" si="37"/>
        <v>1</v>
      </c>
    </row>
    <row r="1184" spans="1:7" hidden="1">
      <c r="A1184" t="str">
        <f>Sinistrés!H1189</f>
        <v>Blé dur d'hiver</v>
      </c>
      <c r="B1184">
        <f>Sinistrés!J1189</f>
        <v>42533.26</v>
      </c>
      <c r="C1184">
        <f>Sinistrés!X1189</f>
        <v>0</v>
      </c>
      <c r="D1184">
        <f>Sinistrés!L1189</f>
        <v>27.23</v>
      </c>
      <c r="E1184">
        <f>Sinistrés!M1189</f>
        <v>27.23</v>
      </c>
      <c r="F1184">
        <f t="shared" si="36"/>
        <v>0</v>
      </c>
      <c r="G1184">
        <f t="shared" si="37"/>
        <v>1</v>
      </c>
    </row>
    <row r="1185" spans="1:7" hidden="1">
      <c r="A1185" t="str">
        <f>Sinistrés!H1190</f>
        <v>Blé tendre d'hiver</v>
      </c>
      <c r="B1185">
        <f>Sinistrés!J1190</f>
        <v>27778.17</v>
      </c>
      <c r="C1185">
        <f>Sinistrés!X1190</f>
        <v>0</v>
      </c>
      <c r="D1185">
        <f>Sinistrés!L1190</f>
        <v>21.7</v>
      </c>
      <c r="E1185">
        <f>Sinistrés!M1190</f>
        <v>21.7</v>
      </c>
      <c r="F1185">
        <f t="shared" si="36"/>
        <v>0</v>
      </c>
      <c r="G1185">
        <f t="shared" si="37"/>
        <v>1</v>
      </c>
    </row>
    <row r="1186" spans="1:7" hidden="1">
      <c r="A1186" t="str">
        <f>Sinistrés!H1191</f>
        <v>Orge d'hiver</v>
      </c>
      <c r="B1186">
        <f>Sinistrés!J1191</f>
        <v>14087.16</v>
      </c>
      <c r="C1186">
        <f>Sinistrés!X1191</f>
        <v>0</v>
      </c>
      <c r="D1186">
        <f>Sinistrés!L1191</f>
        <v>14.36</v>
      </c>
      <c r="E1186">
        <f>Sinistrés!M1191</f>
        <v>14.36</v>
      </c>
      <c r="F1186">
        <f t="shared" si="36"/>
        <v>0</v>
      </c>
      <c r="G1186">
        <f t="shared" si="37"/>
        <v>1</v>
      </c>
    </row>
    <row r="1187" spans="1:7" hidden="1">
      <c r="A1187" t="str">
        <f>Sinistrés!H1192</f>
        <v>Blé tendre d'hiver</v>
      </c>
      <c r="B1187">
        <f>Sinistrés!J1192</f>
        <v>103424.75</v>
      </c>
      <c r="C1187">
        <f>Sinistrés!X1192</f>
        <v>0</v>
      </c>
      <c r="D1187">
        <f>Sinistrés!L1192</f>
        <v>98.99</v>
      </c>
      <c r="E1187">
        <f>Sinistrés!M1192</f>
        <v>98.99</v>
      </c>
      <c r="F1187">
        <f t="shared" si="36"/>
        <v>0</v>
      </c>
      <c r="G1187">
        <f t="shared" si="37"/>
        <v>1</v>
      </c>
    </row>
    <row r="1188" spans="1:7" hidden="1">
      <c r="A1188" t="str">
        <f>Sinistrés!H1193</f>
        <v>Blé tendre d'hiver semences</v>
      </c>
      <c r="B1188">
        <f>Sinistrés!J1193</f>
        <v>49096.46</v>
      </c>
      <c r="C1188">
        <f>Sinistrés!X1193</f>
        <v>0</v>
      </c>
      <c r="D1188">
        <f>Sinistrés!L1193</f>
        <v>41.77</v>
      </c>
      <c r="E1188">
        <f>Sinistrés!M1193</f>
        <v>41.77</v>
      </c>
      <c r="F1188">
        <f t="shared" si="36"/>
        <v>0</v>
      </c>
      <c r="G1188">
        <f t="shared" si="37"/>
        <v>1</v>
      </c>
    </row>
    <row r="1189" spans="1:7" hidden="1">
      <c r="A1189" t="str">
        <f>Sinistrés!H1194</f>
        <v>Avoine d'hiver SEMENCES</v>
      </c>
      <c r="B1189">
        <f>Sinistrés!J1194</f>
        <v>5735.18</v>
      </c>
      <c r="C1189">
        <f>Sinistrés!X1194</f>
        <v>0</v>
      </c>
      <c r="D1189">
        <f>Sinistrés!L1194</f>
        <v>7.04</v>
      </c>
      <c r="E1189">
        <f>Sinistrés!M1194</f>
        <v>7.04</v>
      </c>
      <c r="F1189">
        <f t="shared" si="36"/>
        <v>0</v>
      </c>
      <c r="G1189">
        <f t="shared" si="37"/>
        <v>1</v>
      </c>
    </row>
    <row r="1190" spans="1:7" hidden="1">
      <c r="A1190" t="str">
        <f>Sinistrés!H1195</f>
        <v>Orge d'hiver</v>
      </c>
      <c r="B1190">
        <f>Sinistrés!J1195</f>
        <v>8055.2</v>
      </c>
      <c r="C1190">
        <f>Sinistrés!X1195</f>
        <v>0</v>
      </c>
      <c r="D1190">
        <f>Sinistrés!L1195</f>
        <v>10.19</v>
      </c>
      <c r="E1190">
        <f>Sinistrés!M1195</f>
        <v>10.19</v>
      </c>
      <c r="F1190">
        <f t="shared" si="36"/>
        <v>0</v>
      </c>
      <c r="G1190">
        <f t="shared" si="37"/>
        <v>1</v>
      </c>
    </row>
    <row r="1191" spans="1:7">
      <c r="A1191" t="str">
        <f>Sinistrés!H1196</f>
        <v>Colza d'hiver</v>
      </c>
      <c r="B1191">
        <f>Sinistrés!J1196</f>
        <v>27913.86</v>
      </c>
      <c r="C1191">
        <f>Sinistrés!X1196</f>
        <v>3919.03</v>
      </c>
      <c r="D1191">
        <f>Sinistrés!L1196</f>
        <v>23.7</v>
      </c>
      <c r="E1191">
        <f>Sinistrés!M1196</f>
        <v>23.7</v>
      </c>
      <c r="F1191">
        <f t="shared" si="36"/>
        <v>0.14039727934438304</v>
      </c>
      <c r="G1191">
        <f t="shared" si="37"/>
        <v>1</v>
      </c>
    </row>
    <row r="1192" spans="1:7" hidden="1">
      <c r="A1192" t="str">
        <f>Sinistrés!H1197</f>
        <v>Féveroles et fèves</v>
      </c>
      <c r="B1192">
        <f>Sinistrés!J1197</f>
        <v>2382.66</v>
      </c>
      <c r="C1192">
        <f>Sinistrés!X1197</f>
        <v>0</v>
      </c>
      <c r="D1192">
        <f>Sinistrés!L1197</f>
        <v>5.49</v>
      </c>
      <c r="E1192">
        <f>Sinistrés!M1197</f>
        <v>5.49</v>
      </c>
      <c r="F1192">
        <f t="shared" si="36"/>
        <v>0</v>
      </c>
      <c r="G1192">
        <f t="shared" si="37"/>
        <v>1</v>
      </c>
    </row>
    <row r="1193" spans="1:7" hidden="1">
      <c r="A1193" t="str">
        <f>Sinistrés!H1198</f>
        <v>Pois protéagineux SEMENCES</v>
      </c>
      <c r="B1193">
        <f>Sinistrés!J1198</f>
        <v>12412.4</v>
      </c>
      <c r="C1193">
        <f>Sinistrés!X1198</f>
        <v>2950.6</v>
      </c>
      <c r="D1193">
        <f>Sinistrés!L1198</f>
        <v>16.12</v>
      </c>
      <c r="E1193">
        <f>Sinistrés!M1198</f>
        <v>16.12</v>
      </c>
      <c r="F1193">
        <f t="shared" si="36"/>
        <v>0.23771389900422157</v>
      </c>
      <c r="G1193">
        <f t="shared" si="37"/>
        <v>1</v>
      </c>
    </row>
    <row r="1194" spans="1:7">
      <c r="A1194" t="str">
        <f>Sinistrés!H1199</f>
        <v>Orge d'hiver</v>
      </c>
      <c r="B1194">
        <f>Sinistrés!J1199</f>
        <v>7014</v>
      </c>
      <c r="C1194">
        <f>Sinistrés!X1199</f>
        <v>739.81</v>
      </c>
      <c r="D1194">
        <f>Sinistrés!L1199</f>
        <v>7</v>
      </c>
      <c r="E1194">
        <f>Sinistrés!M1199</f>
        <v>7</v>
      </c>
      <c r="F1194">
        <f t="shared" si="36"/>
        <v>0.10547619047619047</v>
      </c>
      <c r="G1194">
        <f t="shared" si="37"/>
        <v>1</v>
      </c>
    </row>
    <row r="1195" spans="1:7" hidden="1">
      <c r="A1195" t="str">
        <f>Sinistrés!H1200</f>
        <v>Blé tendre d'hiver</v>
      </c>
      <c r="B1195">
        <f>Sinistrés!J1200</f>
        <v>40339.199999999997</v>
      </c>
      <c r="C1195">
        <f>Sinistrés!X1200</f>
        <v>0</v>
      </c>
      <c r="D1195">
        <f>Sinistrés!L1200</f>
        <v>44</v>
      </c>
      <c r="E1195">
        <f>Sinistrés!M1200</f>
        <v>44</v>
      </c>
      <c r="F1195">
        <f t="shared" si="36"/>
        <v>0</v>
      </c>
      <c r="G1195">
        <f t="shared" si="37"/>
        <v>1</v>
      </c>
    </row>
    <row r="1196" spans="1:7">
      <c r="A1196" t="str">
        <f>Sinistrés!H1201</f>
        <v>Avoine d'hiver</v>
      </c>
      <c r="B1196">
        <f>Sinistrés!J1201</f>
        <v>4277</v>
      </c>
      <c r="C1196">
        <f>Sinistrés!X1201</f>
        <v>650.45000000000005</v>
      </c>
      <c r="D1196">
        <f>Sinistrés!L1201</f>
        <v>6.5</v>
      </c>
      <c r="E1196">
        <f>Sinistrés!M1201</f>
        <v>6.5</v>
      </c>
      <c r="F1196">
        <f t="shared" si="36"/>
        <v>0.15208089782557868</v>
      </c>
      <c r="G1196">
        <f t="shared" si="37"/>
        <v>1</v>
      </c>
    </row>
    <row r="1197" spans="1:7">
      <c r="A1197" t="str">
        <f>Sinistrés!H1202</f>
        <v>Avoine d'hiver</v>
      </c>
      <c r="B1197">
        <f>Sinistrés!J1202</f>
        <v>11105.58</v>
      </c>
      <c r="C1197">
        <f>Sinistrés!X1202</f>
        <v>943.38</v>
      </c>
      <c r="D1197">
        <f>Sinistrés!L1202</f>
        <v>10.84</v>
      </c>
      <c r="E1197">
        <f>Sinistrés!M1202</f>
        <v>10.84</v>
      </c>
      <c r="F1197">
        <f t="shared" si="36"/>
        <v>8.4946486360910456E-2</v>
      </c>
      <c r="G1197">
        <f t="shared" si="37"/>
        <v>1</v>
      </c>
    </row>
    <row r="1198" spans="1:7">
      <c r="A1198" t="str">
        <f>Sinistrés!H1203</f>
        <v>Blé tendre d'hiver</v>
      </c>
      <c r="B1198">
        <f>Sinistrés!J1203</f>
        <v>11735.82</v>
      </c>
      <c r="C1198">
        <f>Sinistrés!X1203</f>
        <v>1317.27</v>
      </c>
      <c r="D1198">
        <f>Sinistrés!L1203</f>
        <v>10.3</v>
      </c>
      <c r="E1198">
        <f>Sinistrés!M1203</f>
        <v>10.3</v>
      </c>
      <c r="F1198">
        <f t="shared" si="36"/>
        <v>0.11224354156761096</v>
      </c>
      <c r="G1198">
        <f t="shared" si="37"/>
        <v>1</v>
      </c>
    </row>
    <row r="1199" spans="1:7" hidden="1">
      <c r="A1199" t="str">
        <f>Sinistrés!H1204</f>
        <v>Blé tendre d'hiver</v>
      </c>
      <c r="B1199">
        <f>Sinistrés!J1204</f>
        <v>136105.20000000001</v>
      </c>
      <c r="C1199">
        <f>Sinistrés!X1204</f>
        <v>0</v>
      </c>
      <c r="D1199">
        <f>Sinistrés!L1204</f>
        <v>108.02</v>
      </c>
      <c r="E1199">
        <f>Sinistrés!M1204</f>
        <v>108.02</v>
      </c>
      <c r="F1199">
        <f t="shared" si="36"/>
        <v>0</v>
      </c>
      <c r="G1199">
        <f t="shared" si="37"/>
        <v>1</v>
      </c>
    </row>
    <row r="1200" spans="1:7" hidden="1">
      <c r="A1200" t="str">
        <f>Sinistrés!H1205</f>
        <v>Féveroles et fèves</v>
      </c>
      <c r="B1200">
        <f>Sinistrés!J1205</f>
        <v>3054.92</v>
      </c>
      <c r="C1200">
        <f>Sinistrés!X1205</f>
        <v>0</v>
      </c>
      <c r="D1200">
        <f>Sinistrés!L1205</f>
        <v>5.83</v>
      </c>
      <c r="E1200">
        <f>Sinistrés!M1205</f>
        <v>5.83</v>
      </c>
      <c r="F1200">
        <f t="shared" si="36"/>
        <v>0</v>
      </c>
      <c r="G1200">
        <f t="shared" si="37"/>
        <v>1</v>
      </c>
    </row>
    <row r="1201" spans="1:7">
      <c r="A1201" t="str">
        <f>Sinistrés!H1206</f>
        <v>Colza d'hiver</v>
      </c>
      <c r="B1201">
        <f>Sinistrés!J1206</f>
        <v>33777</v>
      </c>
      <c r="C1201">
        <f>Sinistrés!X1206</f>
        <v>4758.8100000000004</v>
      </c>
      <c r="D1201">
        <f>Sinistrés!L1206</f>
        <v>20.85</v>
      </c>
      <c r="E1201">
        <f>Sinistrés!M1206</f>
        <v>20.85</v>
      </c>
      <c r="F1201">
        <f t="shared" si="36"/>
        <v>0.14088906652455815</v>
      </c>
      <c r="G1201">
        <f t="shared" si="37"/>
        <v>1</v>
      </c>
    </row>
    <row r="1202" spans="1:7" hidden="1">
      <c r="A1202" t="str">
        <f>Sinistrés!H1207</f>
        <v>Blé dur d'hiver</v>
      </c>
      <c r="B1202">
        <f>Sinistrés!J1207</f>
        <v>12242.36</v>
      </c>
      <c r="C1202">
        <f>Sinistrés!X1207</f>
        <v>0</v>
      </c>
      <c r="D1202">
        <f>Sinistrés!L1207</f>
        <v>6.98</v>
      </c>
      <c r="E1202">
        <f>Sinistrés!M1207</f>
        <v>6.98</v>
      </c>
      <c r="F1202">
        <f t="shared" si="36"/>
        <v>0</v>
      </c>
      <c r="G1202">
        <f t="shared" si="37"/>
        <v>1</v>
      </c>
    </row>
    <row r="1203" spans="1:7" hidden="1">
      <c r="A1203" t="str">
        <f>Sinistrés!H1208</f>
        <v>Blé tendre d'hiver</v>
      </c>
      <c r="B1203">
        <f>Sinistrés!J1208</f>
        <v>70574.14</v>
      </c>
      <c r="C1203">
        <f>Sinistrés!X1208</f>
        <v>0</v>
      </c>
      <c r="D1203">
        <f>Sinistrés!L1208</f>
        <v>52.1</v>
      </c>
      <c r="E1203">
        <f>Sinistrés!M1208</f>
        <v>52.1</v>
      </c>
      <c r="F1203">
        <f t="shared" si="36"/>
        <v>0</v>
      </c>
      <c r="G1203">
        <f t="shared" si="37"/>
        <v>1</v>
      </c>
    </row>
    <row r="1204" spans="1:7">
      <c r="A1204" t="str">
        <f>Sinistrés!H1209</f>
        <v>Orge de printemps</v>
      </c>
      <c r="B1204">
        <f>Sinistrés!J1209</f>
        <v>77002.61</v>
      </c>
      <c r="C1204">
        <f>Sinistrés!X1209</f>
        <v>18436.28</v>
      </c>
      <c r="D1204">
        <f>Sinistrés!L1209</f>
        <v>47.43</v>
      </c>
      <c r="E1204">
        <f>Sinistrés!M1209</f>
        <v>47.43</v>
      </c>
      <c r="F1204">
        <f t="shared" si="36"/>
        <v>0.23942409224830169</v>
      </c>
      <c r="G1204">
        <f t="shared" si="37"/>
        <v>1</v>
      </c>
    </row>
    <row r="1205" spans="1:7" hidden="1">
      <c r="A1205" t="str">
        <f>Sinistrés!H1210</f>
        <v>Colza d'hiver</v>
      </c>
      <c r="B1205">
        <f>Sinistrés!J1210</f>
        <v>22602.6</v>
      </c>
      <c r="C1205">
        <f>Sinistrés!X1210</f>
        <v>0</v>
      </c>
      <c r="D1205">
        <f>Sinistrés!L1210</f>
        <v>21.65</v>
      </c>
      <c r="E1205">
        <f>Sinistrés!M1210</f>
        <v>21.65</v>
      </c>
      <c r="F1205">
        <f t="shared" si="36"/>
        <v>0</v>
      </c>
      <c r="G1205">
        <f t="shared" si="37"/>
        <v>1</v>
      </c>
    </row>
    <row r="1206" spans="1:7" hidden="1">
      <c r="A1206" t="str">
        <f>Sinistrés!H1211</f>
        <v>Blé tendre d'hiver</v>
      </c>
      <c r="B1206">
        <f>Sinistrés!J1211</f>
        <v>38607.1</v>
      </c>
      <c r="C1206">
        <f>Sinistrés!X1211</f>
        <v>0</v>
      </c>
      <c r="D1206">
        <f>Sinistrés!L1211</f>
        <v>38.24</v>
      </c>
      <c r="E1206">
        <f>Sinistrés!M1211</f>
        <v>38.24</v>
      </c>
      <c r="F1206">
        <f t="shared" si="36"/>
        <v>0</v>
      </c>
      <c r="G1206">
        <f t="shared" si="37"/>
        <v>1</v>
      </c>
    </row>
    <row r="1207" spans="1:7" hidden="1">
      <c r="A1207" t="str">
        <f>Sinistrés!H1212</f>
        <v>Orge d'hiver</v>
      </c>
      <c r="B1207">
        <f>Sinistrés!J1212</f>
        <v>37240.800000000003</v>
      </c>
      <c r="C1207">
        <f>Sinistrés!X1212</f>
        <v>0</v>
      </c>
      <c r="D1207">
        <f>Sinistrés!L1212</f>
        <v>42.08</v>
      </c>
      <c r="E1207">
        <f>Sinistrés!M1212</f>
        <v>42.08</v>
      </c>
      <c r="F1207">
        <f t="shared" si="36"/>
        <v>0</v>
      </c>
      <c r="G1207">
        <f t="shared" si="37"/>
        <v>1</v>
      </c>
    </row>
    <row r="1208" spans="1:7" hidden="1">
      <c r="A1208" t="str">
        <f>Sinistrés!H1213</f>
        <v>Tournesol</v>
      </c>
      <c r="B1208">
        <f>Sinistrés!J1213</f>
        <v>7000.56</v>
      </c>
      <c r="C1208">
        <f>Sinistrés!X1213</f>
        <v>0</v>
      </c>
      <c r="D1208">
        <f>Sinistrés!L1213</f>
        <v>9.26</v>
      </c>
      <c r="E1208">
        <f>Sinistrés!M1213</f>
        <v>9.26</v>
      </c>
      <c r="F1208">
        <f t="shared" si="36"/>
        <v>0</v>
      </c>
      <c r="G1208">
        <f t="shared" si="37"/>
        <v>1</v>
      </c>
    </row>
    <row r="1209" spans="1:7" hidden="1">
      <c r="A1209" t="str">
        <f>Sinistrés!H1214</f>
        <v>Tournesol</v>
      </c>
      <c r="B1209">
        <f>Sinistrés!J1214</f>
        <v>1431.34</v>
      </c>
      <c r="C1209">
        <f>Sinistrés!X1214</f>
        <v>0</v>
      </c>
      <c r="D1209">
        <f>Sinistrés!L1214</f>
        <v>24.21</v>
      </c>
      <c r="E1209">
        <f>Sinistrés!M1214</f>
        <v>17.84</v>
      </c>
      <c r="F1209">
        <f t="shared" si="36"/>
        <v>0</v>
      </c>
      <c r="G1209">
        <f t="shared" si="37"/>
        <v>0.73688558446922758</v>
      </c>
    </row>
    <row r="1210" spans="1:7" hidden="1">
      <c r="A1210" t="str">
        <f>Sinistrés!H1215</f>
        <v>Seigle et méteil BIO</v>
      </c>
      <c r="B1210">
        <f>Sinistrés!J1215</f>
        <v>23754.6</v>
      </c>
      <c r="C1210">
        <f>Sinistrés!X1215</f>
        <v>0</v>
      </c>
      <c r="D1210">
        <f>Sinistrés!L1215</f>
        <v>30</v>
      </c>
      <c r="E1210">
        <f>Sinistrés!M1215</f>
        <v>30</v>
      </c>
      <c r="F1210">
        <f t="shared" si="36"/>
        <v>0</v>
      </c>
      <c r="G1210">
        <f t="shared" si="37"/>
        <v>1</v>
      </c>
    </row>
    <row r="1211" spans="1:7" hidden="1">
      <c r="A1211" t="str">
        <f>Sinistrés!H1216</f>
        <v>Tournesol</v>
      </c>
      <c r="B1211">
        <f>Sinistrés!J1216</f>
        <v>17212.650000000001</v>
      </c>
      <c r="C1211">
        <f>Sinistrés!X1216</f>
        <v>0</v>
      </c>
      <c r="D1211">
        <f>Sinistrés!L1216</f>
        <v>13</v>
      </c>
      <c r="E1211">
        <f>Sinistrés!M1216</f>
        <v>13</v>
      </c>
      <c r="F1211">
        <f t="shared" si="36"/>
        <v>0</v>
      </c>
      <c r="G1211">
        <f t="shared" si="37"/>
        <v>1</v>
      </c>
    </row>
    <row r="1212" spans="1:7" hidden="1">
      <c r="A1212" t="str">
        <f>Sinistrés!H1217</f>
        <v>Blé tendre d'hiver</v>
      </c>
      <c r="B1212">
        <f>Sinistrés!J1217</f>
        <v>66643.740000000005</v>
      </c>
      <c r="C1212">
        <f>Sinistrés!X1217</f>
        <v>0</v>
      </c>
      <c r="D1212">
        <f>Sinistrés!L1217</f>
        <v>67.89</v>
      </c>
      <c r="E1212">
        <f>Sinistrés!M1217</f>
        <v>67.59</v>
      </c>
      <c r="F1212">
        <f t="shared" si="36"/>
        <v>0</v>
      </c>
      <c r="G1212">
        <f t="shared" si="37"/>
        <v>0.99558108705258508</v>
      </c>
    </row>
    <row r="1213" spans="1:7" hidden="1">
      <c r="A1213" t="str">
        <f>Sinistrés!H1218</f>
        <v>Colza d'hiver</v>
      </c>
      <c r="B1213">
        <f>Sinistrés!J1218</f>
        <v>40470</v>
      </c>
      <c r="C1213">
        <f>Sinistrés!X1218</f>
        <v>0</v>
      </c>
      <c r="D1213">
        <f>Sinistrés!L1218</f>
        <v>38</v>
      </c>
      <c r="E1213">
        <f>Sinistrés!M1218</f>
        <v>38</v>
      </c>
      <c r="F1213">
        <f t="shared" si="36"/>
        <v>0</v>
      </c>
      <c r="G1213">
        <f t="shared" si="37"/>
        <v>1</v>
      </c>
    </row>
    <row r="1214" spans="1:7">
      <c r="A1214" t="str">
        <f>Sinistrés!H1219</f>
        <v>Orge d'hiver</v>
      </c>
      <c r="B1214">
        <f>Sinistrés!J1219</f>
        <v>36812.93</v>
      </c>
      <c r="C1214">
        <f>Sinistrés!X1219</f>
        <v>3046.89</v>
      </c>
      <c r="D1214">
        <f>Sinistrés!L1219</f>
        <v>45.91</v>
      </c>
      <c r="E1214">
        <f>Sinistrés!M1219</f>
        <v>45.91</v>
      </c>
      <c r="F1214">
        <f t="shared" si="36"/>
        <v>8.2766843063021608E-2</v>
      </c>
      <c r="G1214">
        <f t="shared" si="37"/>
        <v>1</v>
      </c>
    </row>
    <row r="1215" spans="1:7">
      <c r="A1215" t="str">
        <f>Sinistrés!H1220</f>
        <v>Blé tendre d'hiver</v>
      </c>
      <c r="B1215">
        <f>Sinistrés!J1220</f>
        <v>62459.65</v>
      </c>
      <c r="C1215">
        <f>Sinistrés!X1220</f>
        <v>8574.91</v>
      </c>
      <c r="D1215">
        <f>Sinistrés!L1220</f>
        <v>59.77</v>
      </c>
      <c r="E1215">
        <f>Sinistrés!M1220</f>
        <v>59.77</v>
      </c>
      <c r="F1215">
        <f t="shared" si="36"/>
        <v>0.13728719261155001</v>
      </c>
      <c r="G1215">
        <f t="shared" si="37"/>
        <v>1</v>
      </c>
    </row>
    <row r="1216" spans="1:7" hidden="1">
      <c r="A1216" t="str">
        <f>Sinistrés!H1221</f>
        <v>Maïs grain non irrigué</v>
      </c>
      <c r="B1216">
        <f>Sinistrés!J1221</f>
        <v>37386.68</v>
      </c>
      <c r="C1216">
        <f>Sinistrés!X1221</f>
        <v>0</v>
      </c>
      <c r="D1216">
        <f>Sinistrés!L1221</f>
        <v>31.14</v>
      </c>
      <c r="E1216">
        <f>Sinistrés!M1221</f>
        <v>31.14</v>
      </c>
      <c r="F1216">
        <f t="shared" si="36"/>
        <v>0</v>
      </c>
      <c r="G1216">
        <f t="shared" si="37"/>
        <v>1</v>
      </c>
    </row>
    <row r="1217" spans="1:7" hidden="1">
      <c r="A1217" t="str">
        <f>Sinistrés!H1222</f>
        <v>Tournesol</v>
      </c>
      <c r="B1217">
        <f>Sinistrés!J1222</f>
        <v>34904.400000000001</v>
      </c>
      <c r="C1217">
        <f>Sinistrés!X1222</f>
        <v>0</v>
      </c>
      <c r="D1217">
        <f>Sinistrés!L1222</f>
        <v>51.33</v>
      </c>
      <c r="E1217">
        <f>Sinistrés!M1222</f>
        <v>51.33</v>
      </c>
      <c r="F1217">
        <f t="shared" si="36"/>
        <v>0</v>
      </c>
      <c r="G1217">
        <f t="shared" si="37"/>
        <v>1</v>
      </c>
    </row>
    <row r="1218" spans="1:7" hidden="1">
      <c r="A1218" t="str">
        <f>Sinistrés!H1223</f>
        <v>Blé tendre d'hiver</v>
      </c>
      <c r="B1218">
        <f>Sinistrés!J1223</f>
        <v>16772.509999999998</v>
      </c>
      <c r="C1218">
        <f>Sinistrés!X1223</f>
        <v>0</v>
      </c>
      <c r="D1218">
        <f>Sinistrés!L1223</f>
        <v>14.66</v>
      </c>
      <c r="E1218">
        <f>Sinistrés!M1223</f>
        <v>14.66</v>
      </c>
      <c r="F1218">
        <f t="shared" si="36"/>
        <v>0</v>
      </c>
      <c r="G1218">
        <f t="shared" si="37"/>
        <v>1</v>
      </c>
    </row>
    <row r="1219" spans="1:7" hidden="1">
      <c r="A1219" t="str">
        <f>Sinistrés!H1224</f>
        <v>Orge d'hiver</v>
      </c>
      <c r="B1219">
        <f>Sinistrés!J1224</f>
        <v>8937.92</v>
      </c>
      <c r="C1219">
        <f>Sinistrés!X1224</f>
        <v>0</v>
      </c>
      <c r="D1219">
        <f>Sinistrés!L1224</f>
        <v>9.01</v>
      </c>
      <c r="E1219">
        <f>Sinistrés!M1224</f>
        <v>9.01</v>
      </c>
      <c r="F1219">
        <f t="shared" ref="F1219:F1282" si="38">C1219/B1219</f>
        <v>0</v>
      </c>
      <c r="G1219">
        <f t="shared" ref="G1219:G1282" si="39">E1219/D1219</f>
        <v>1</v>
      </c>
    </row>
    <row r="1220" spans="1:7" hidden="1">
      <c r="A1220" t="str">
        <f>Sinistrés!H1225</f>
        <v>Triticale</v>
      </c>
      <c r="B1220">
        <f>Sinistrés!J1225</f>
        <v>22426.54</v>
      </c>
      <c r="C1220">
        <f>Sinistrés!X1225</f>
        <v>0</v>
      </c>
      <c r="D1220">
        <f>Sinistrés!L1225</f>
        <v>21.04</v>
      </c>
      <c r="E1220">
        <f>Sinistrés!M1225</f>
        <v>21.04</v>
      </c>
      <c r="F1220">
        <f t="shared" si="38"/>
        <v>0</v>
      </c>
      <c r="G1220">
        <f t="shared" si="39"/>
        <v>1</v>
      </c>
    </row>
    <row r="1221" spans="1:7">
      <c r="A1221" t="str">
        <f>Sinistrés!H1226</f>
        <v>Blé tendre d'hiver</v>
      </c>
      <c r="B1221">
        <f>Sinistrés!J1226</f>
        <v>5916</v>
      </c>
      <c r="C1221">
        <f>Sinistrés!X1226</f>
        <v>2662.2</v>
      </c>
      <c r="D1221">
        <f>Sinistrés!L1226</f>
        <v>5.8</v>
      </c>
      <c r="E1221">
        <f>Sinistrés!M1226</f>
        <v>5.8</v>
      </c>
      <c r="F1221">
        <f t="shared" si="38"/>
        <v>0.44999999999999996</v>
      </c>
      <c r="G1221">
        <f t="shared" si="39"/>
        <v>1</v>
      </c>
    </row>
    <row r="1222" spans="1:7" hidden="1">
      <c r="A1222" t="str">
        <f>Sinistrés!H1227</f>
        <v>Tournesol</v>
      </c>
      <c r="B1222">
        <f>Sinistrés!J1227</f>
        <v>11826.17</v>
      </c>
      <c r="C1222">
        <f>Sinistrés!X1227</f>
        <v>0</v>
      </c>
      <c r="D1222">
        <f>Sinistrés!L1227</f>
        <v>11.01</v>
      </c>
      <c r="E1222">
        <f>Sinistrés!M1227</f>
        <v>5.25</v>
      </c>
      <c r="F1222">
        <f t="shared" si="38"/>
        <v>0</v>
      </c>
      <c r="G1222">
        <f t="shared" si="39"/>
        <v>0.4768392370572207</v>
      </c>
    </row>
    <row r="1223" spans="1:7" hidden="1">
      <c r="A1223" t="str">
        <f>Sinistrés!H1228</f>
        <v>Soja</v>
      </c>
      <c r="B1223">
        <f>Sinistrés!J1228</f>
        <v>13044.15</v>
      </c>
      <c r="C1223">
        <f>Sinistrés!X1228</f>
        <v>0</v>
      </c>
      <c r="D1223">
        <f>Sinistrés!L1228</f>
        <v>12.3</v>
      </c>
      <c r="E1223">
        <f>Sinistrés!M1228</f>
        <v>12.3</v>
      </c>
      <c r="F1223">
        <f t="shared" si="38"/>
        <v>0</v>
      </c>
      <c r="G1223">
        <f t="shared" si="39"/>
        <v>1</v>
      </c>
    </row>
    <row r="1224" spans="1:7" hidden="1">
      <c r="A1224" t="str">
        <f>Sinistrés!H1229</f>
        <v>Maïs grain irrigué</v>
      </c>
      <c r="B1224">
        <f>Sinistrés!J1229</f>
        <v>23059.8</v>
      </c>
      <c r="C1224">
        <f>Sinistrés!X1229</f>
        <v>0</v>
      </c>
      <c r="D1224">
        <f>Sinistrés!L1229</f>
        <v>11.14</v>
      </c>
      <c r="E1224">
        <f>Sinistrés!M1229</f>
        <v>11.14</v>
      </c>
      <c r="F1224">
        <f t="shared" si="38"/>
        <v>0</v>
      </c>
      <c r="G1224">
        <f t="shared" si="39"/>
        <v>1</v>
      </c>
    </row>
    <row r="1225" spans="1:7" hidden="1">
      <c r="A1225" t="str">
        <f>Sinistrés!H1230</f>
        <v>Maïs grain non irrigué</v>
      </c>
      <c r="B1225">
        <f>Sinistrés!J1230</f>
        <v>21736.26</v>
      </c>
      <c r="C1225">
        <f>Sinistrés!X1230</f>
        <v>0</v>
      </c>
      <c r="D1225">
        <f>Sinistrés!L1230</f>
        <v>13.27</v>
      </c>
      <c r="E1225">
        <f>Sinistrés!M1230</f>
        <v>1.9950000000000001</v>
      </c>
      <c r="F1225">
        <f t="shared" si="38"/>
        <v>0</v>
      </c>
      <c r="G1225">
        <f t="shared" si="39"/>
        <v>0.15033911077618689</v>
      </c>
    </row>
    <row r="1226" spans="1:7">
      <c r="A1226" t="str">
        <f>Sinistrés!H1231</f>
        <v>Orge d'hiver</v>
      </c>
      <c r="B1226">
        <f>Sinistrés!J1231</f>
        <v>9309.6</v>
      </c>
      <c r="C1226">
        <f>Sinistrés!X1231</f>
        <v>968.98</v>
      </c>
      <c r="D1226">
        <f>Sinistrés!L1231</f>
        <v>8.6199999999999992</v>
      </c>
      <c r="E1226">
        <f>Sinistrés!M1231</f>
        <v>8.6199999999999992</v>
      </c>
      <c r="F1226">
        <f t="shared" si="38"/>
        <v>0.10408395634613732</v>
      </c>
      <c r="G1226">
        <f t="shared" si="39"/>
        <v>1</v>
      </c>
    </row>
    <row r="1227" spans="1:7" hidden="1">
      <c r="A1227" t="str">
        <f>Sinistrés!H1232</f>
        <v>Maïs grain irrigué</v>
      </c>
      <c r="B1227">
        <f>Sinistrés!J1232</f>
        <v>54065.02</v>
      </c>
      <c r="C1227">
        <f>Sinistrés!X1232</f>
        <v>0</v>
      </c>
      <c r="D1227">
        <f>Sinistrés!L1232</f>
        <v>20.55</v>
      </c>
      <c r="E1227">
        <f>Sinistrés!M1232</f>
        <v>10.63</v>
      </c>
      <c r="F1227">
        <f t="shared" si="38"/>
        <v>0</v>
      </c>
      <c r="G1227">
        <f t="shared" si="39"/>
        <v>0.51727493917274936</v>
      </c>
    </row>
    <row r="1228" spans="1:7" hidden="1">
      <c r="A1228" t="str">
        <f>Sinistrés!H1233</f>
        <v>Maïs grain non irrigué</v>
      </c>
      <c r="B1228">
        <f>Sinistrés!J1233</f>
        <v>111918.53</v>
      </c>
      <c r="C1228">
        <f>Sinistrés!X1233</f>
        <v>0</v>
      </c>
      <c r="D1228">
        <f>Sinistrés!L1233</f>
        <v>42.54</v>
      </c>
      <c r="E1228">
        <f>Sinistrés!M1233</f>
        <v>15.46</v>
      </c>
      <c r="F1228">
        <f t="shared" si="38"/>
        <v>0</v>
      </c>
      <c r="G1228">
        <f t="shared" si="39"/>
        <v>0.36342266102491777</v>
      </c>
    </row>
    <row r="1229" spans="1:7" hidden="1">
      <c r="A1229" t="str">
        <f>Sinistrés!H1234</f>
        <v>Tournesol</v>
      </c>
      <c r="B1229">
        <f>Sinistrés!J1234</f>
        <v>7205.26</v>
      </c>
      <c r="C1229">
        <f>Sinistrés!X1234</f>
        <v>0</v>
      </c>
      <c r="D1229">
        <f>Sinistrés!L1234</f>
        <v>5.16</v>
      </c>
      <c r="E1229">
        <f>Sinistrés!M1234</f>
        <v>5.16</v>
      </c>
      <c r="F1229">
        <f t="shared" si="38"/>
        <v>0</v>
      </c>
      <c r="G1229">
        <f t="shared" si="39"/>
        <v>1</v>
      </c>
    </row>
    <row r="1230" spans="1:7" hidden="1">
      <c r="A1230" t="str">
        <f>Sinistrés!H1235</f>
        <v>Orge d'hiver</v>
      </c>
      <c r="B1230">
        <f>Sinistrés!J1235</f>
        <v>2087.5</v>
      </c>
      <c r="C1230">
        <f>Sinistrés!X1235</f>
        <v>0</v>
      </c>
      <c r="D1230">
        <f>Sinistrés!L1235</f>
        <v>2.5</v>
      </c>
      <c r="E1230">
        <f>Sinistrés!M1235</f>
        <v>2.5</v>
      </c>
      <c r="F1230">
        <f t="shared" si="38"/>
        <v>0</v>
      </c>
      <c r="G1230">
        <f t="shared" si="39"/>
        <v>1</v>
      </c>
    </row>
    <row r="1231" spans="1:7" hidden="1">
      <c r="A1231" t="str">
        <f>Sinistrés!H1236</f>
        <v>Blé tendre d'hiver</v>
      </c>
      <c r="B1231">
        <f>Sinistrés!J1236</f>
        <v>23086.799999999999</v>
      </c>
      <c r="C1231">
        <f>Sinistrés!X1236</f>
        <v>0</v>
      </c>
      <c r="D1231">
        <f>Sinistrés!L1236</f>
        <v>22</v>
      </c>
      <c r="E1231">
        <f>Sinistrés!M1236</f>
        <v>22</v>
      </c>
      <c r="F1231">
        <f t="shared" si="38"/>
        <v>0</v>
      </c>
      <c r="G1231">
        <f t="shared" si="39"/>
        <v>1</v>
      </c>
    </row>
    <row r="1232" spans="1:7" hidden="1">
      <c r="A1232" t="str">
        <f>Sinistrés!H1237</f>
        <v>Colza d'hiver</v>
      </c>
      <c r="B1232">
        <f>Sinistrés!J1237</f>
        <v>9748.5</v>
      </c>
      <c r="C1232">
        <f>Sinistrés!X1237</f>
        <v>0</v>
      </c>
      <c r="D1232">
        <f>Sinistrés!L1237</f>
        <v>6.7</v>
      </c>
      <c r="E1232">
        <f>Sinistrés!M1237</f>
        <v>6.6</v>
      </c>
      <c r="F1232">
        <f t="shared" si="38"/>
        <v>0</v>
      </c>
      <c r="G1232">
        <f t="shared" si="39"/>
        <v>0.9850746268656716</v>
      </c>
    </row>
    <row r="1233" spans="1:7" hidden="1">
      <c r="A1233" t="str">
        <f>Sinistrés!H1238</f>
        <v>Blé tendre d'hiver</v>
      </c>
      <c r="B1233">
        <f>Sinistrés!J1238</f>
        <v>72338.759999999995</v>
      </c>
      <c r="C1233">
        <f>Sinistrés!X1238</f>
        <v>0</v>
      </c>
      <c r="D1233">
        <f>Sinistrés!L1238</f>
        <v>53.3</v>
      </c>
      <c r="E1233">
        <f>Sinistrés!M1238</f>
        <v>52.5</v>
      </c>
      <c r="F1233">
        <f t="shared" si="38"/>
        <v>0</v>
      </c>
      <c r="G1233">
        <f t="shared" si="39"/>
        <v>0.98499061913696062</v>
      </c>
    </row>
    <row r="1234" spans="1:7" hidden="1">
      <c r="A1234" t="str">
        <f>Sinistrés!H1239</f>
        <v>Maïs ensilage irrigué</v>
      </c>
      <c r="B1234">
        <f>Sinistrés!J1239</f>
        <v>45288</v>
      </c>
      <c r="C1234">
        <f>Sinistrés!X1239</f>
        <v>0</v>
      </c>
      <c r="D1234">
        <f>Sinistrés!L1239</f>
        <v>25.16</v>
      </c>
      <c r="E1234">
        <f>Sinistrés!M1239</f>
        <v>24.4</v>
      </c>
      <c r="F1234">
        <f t="shared" si="38"/>
        <v>0</v>
      </c>
      <c r="G1234">
        <f t="shared" si="39"/>
        <v>0.96979332273449914</v>
      </c>
    </row>
    <row r="1235" spans="1:7" hidden="1">
      <c r="A1235" t="str">
        <f>Sinistrés!H1240</f>
        <v>Blé tendre d'hiver</v>
      </c>
      <c r="B1235">
        <f>Sinistrés!J1240</f>
        <v>16965</v>
      </c>
      <c r="C1235">
        <f>Sinistrés!X1240</f>
        <v>0</v>
      </c>
      <c r="D1235">
        <f>Sinistrés!L1240</f>
        <v>12.5</v>
      </c>
      <c r="E1235">
        <f>Sinistrés!M1240</f>
        <v>12</v>
      </c>
      <c r="F1235">
        <f t="shared" si="38"/>
        <v>0</v>
      </c>
      <c r="G1235">
        <f t="shared" si="39"/>
        <v>0.96</v>
      </c>
    </row>
    <row r="1236" spans="1:7" hidden="1">
      <c r="A1236" t="str">
        <f>Sinistrés!H1241</f>
        <v>Maïs grain non irrigué</v>
      </c>
      <c r="B1236">
        <f>Sinistrés!J1241</f>
        <v>8447.58</v>
      </c>
      <c r="C1236">
        <f>Sinistrés!X1241</f>
        <v>0</v>
      </c>
      <c r="D1236">
        <f>Sinistrés!L1241</f>
        <v>6.61</v>
      </c>
      <c r="E1236">
        <f>Sinistrés!M1241</f>
        <v>6</v>
      </c>
      <c r="F1236">
        <f t="shared" si="38"/>
        <v>0</v>
      </c>
      <c r="G1236">
        <f t="shared" si="39"/>
        <v>0.90771558245083206</v>
      </c>
    </row>
    <row r="1237" spans="1:7" hidden="1">
      <c r="A1237" t="str">
        <f>Sinistrés!H1242</f>
        <v>Tournesol</v>
      </c>
      <c r="B1237">
        <f>Sinistrés!J1242</f>
        <v>27320.75</v>
      </c>
      <c r="C1237">
        <f>Sinistrés!X1242</f>
        <v>0</v>
      </c>
      <c r="D1237">
        <f>Sinistrés!L1242</f>
        <v>28.63</v>
      </c>
      <c r="E1237">
        <f>Sinistrés!M1242</f>
        <v>28</v>
      </c>
      <c r="F1237">
        <f t="shared" si="38"/>
        <v>0</v>
      </c>
      <c r="G1237">
        <f t="shared" si="39"/>
        <v>0.97799511002444994</v>
      </c>
    </row>
    <row r="1238" spans="1:7" hidden="1">
      <c r="A1238" t="str">
        <f>Sinistrés!H1243</f>
        <v>Colza d'hiver</v>
      </c>
      <c r="B1238">
        <f>Sinistrés!J1243</f>
        <v>21053.85</v>
      </c>
      <c r="C1238">
        <f>Sinistrés!X1243</f>
        <v>0</v>
      </c>
      <c r="D1238">
        <f>Sinistrés!L1243</f>
        <v>14.47</v>
      </c>
      <c r="E1238">
        <f>Sinistrés!M1243</f>
        <v>13.8</v>
      </c>
      <c r="F1238">
        <f t="shared" si="38"/>
        <v>0</v>
      </c>
      <c r="G1238">
        <f t="shared" si="39"/>
        <v>0.95369730476848658</v>
      </c>
    </row>
    <row r="1239" spans="1:7">
      <c r="A1239" t="str">
        <f>Sinistrés!H1244</f>
        <v>Maïs ensilage non irrigué</v>
      </c>
      <c r="B1239">
        <f>Sinistrés!J1244</f>
        <v>13812.06</v>
      </c>
      <c r="C1239">
        <f>Sinistrés!X1244</f>
        <v>5498.07</v>
      </c>
      <c r="D1239">
        <f>Sinistrés!L1244</f>
        <v>10.91</v>
      </c>
      <c r="E1239">
        <f>Sinistrés!M1244</f>
        <v>10.1</v>
      </c>
      <c r="F1239">
        <f t="shared" si="38"/>
        <v>0.39806299711990822</v>
      </c>
      <c r="G1239">
        <f t="shared" si="39"/>
        <v>0.92575618698441797</v>
      </c>
    </row>
    <row r="1240" spans="1:7" hidden="1">
      <c r="A1240" t="str">
        <f>Sinistrés!H1245</f>
        <v>Maïs grain non irrigué</v>
      </c>
      <c r="B1240">
        <f>Sinistrés!J1245</f>
        <v>56285.46</v>
      </c>
      <c r="C1240">
        <f>Sinistrés!X1245</f>
        <v>0</v>
      </c>
      <c r="D1240">
        <f>Sinistrés!L1245</f>
        <v>27.51</v>
      </c>
      <c r="E1240">
        <f>Sinistrés!M1245</f>
        <v>24.11</v>
      </c>
      <c r="F1240">
        <f t="shared" si="38"/>
        <v>0</v>
      </c>
      <c r="G1240">
        <f t="shared" si="39"/>
        <v>0.87640857869865496</v>
      </c>
    </row>
    <row r="1241" spans="1:7" hidden="1">
      <c r="A1241" t="str">
        <f>Sinistrés!H1246</f>
        <v>Orge d'hiver</v>
      </c>
      <c r="B1241">
        <f>Sinistrés!J1246</f>
        <v>13345.99</v>
      </c>
      <c r="C1241">
        <f>Sinistrés!X1246</f>
        <v>0</v>
      </c>
      <c r="D1241">
        <f>Sinistrés!L1246</f>
        <v>11.15</v>
      </c>
      <c r="E1241">
        <f>Sinistrés!M1246</f>
        <v>11</v>
      </c>
      <c r="F1241">
        <f t="shared" si="38"/>
        <v>0</v>
      </c>
      <c r="G1241">
        <f t="shared" si="39"/>
        <v>0.98654708520179368</v>
      </c>
    </row>
    <row r="1242" spans="1:7">
      <c r="A1242" t="str">
        <f>Sinistrés!H1247</f>
        <v>Tournesol</v>
      </c>
      <c r="B1242">
        <f>Sinistrés!J1247</f>
        <v>9858.49</v>
      </c>
      <c r="C1242">
        <f>Sinistrés!X1247</f>
        <v>597.79999999999995</v>
      </c>
      <c r="D1242">
        <f>Sinistrés!L1247</f>
        <v>9.1</v>
      </c>
      <c r="E1242">
        <f>Sinistrés!M1247</f>
        <v>9.1</v>
      </c>
      <c r="F1242">
        <f t="shared" si="38"/>
        <v>6.063808960601471E-2</v>
      </c>
      <c r="G1242">
        <f t="shared" si="39"/>
        <v>1</v>
      </c>
    </row>
    <row r="1243" spans="1:7" hidden="1">
      <c r="A1243" t="str">
        <f>Sinistrés!H1248</f>
        <v>Orge de printemps</v>
      </c>
      <c r="B1243">
        <f>Sinistrés!J1248</f>
        <v>35754.25</v>
      </c>
      <c r="C1243">
        <f>Sinistrés!X1248</f>
        <v>0</v>
      </c>
      <c r="D1243">
        <f>Sinistrés!L1248</f>
        <v>32.31</v>
      </c>
      <c r="E1243">
        <f>Sinistrés!M1248</f>
        <v>32.31</v>
      </c>
      <c r="F1243">
        <f t="shared" si="38"/>
        <v>0</v>
      </c>
      <c r="G1243">
        <f t="shared" si="39"/>
        <v>1</v>
      </c>
    </row>
    <row r="1244" spans="1:7" hidden="1">
      <c r="A1244" t="str">
        <f>Sinistrés!H1249</f>
        <v>Blé tendre d'hiver</v>
      </c>
      <c r="B1244">
        <f>Sinistrés!J1249</f>
        <v>51603.31</v>
      </c>
      <c r="C1244">
        <f>Sinistrés!X1249</f>
        <v>0</v>
      </c>
      <c r="D1244">
        <f>Sinistrés!L1249</f>
        <v>42.25</v>
      </c>
      <c r="E1244">
        <f>Sinistrés!M1249</f>
        <v>42</v>
      </c>
      <c r="F1244">
        <f t="shared" si="38"/>
        <v>0</v>
      </c>
      <c r="G1244">
        <f t="shared" si="39"/>
        <v>0.99408284023668636</v>
      </c>
    </row>
    <row r="1245" spans="1:7" hidden="1">
      <c r="A1245" t="str">
        <f>Sinistrés!H1250</f>
        <v>Blé tendre d'hiver</v>
      </c>
      <c r="B1245">
        <f>Sinistrés!J1250</f>
        <v>88114.62</v>
      </c>
      <c r="C1245">
        <f>Sinistrés!X1250</f>
        <v>0</v>
      </c>
      <c r="D1245">
        <f>Sinistrés!L1250</f>
        <v>58.3</v>
      </c>
      <c r="E1245">
        <f>Sinistrés!M1250</f>
        <v>58.59</v>
      </c>
      <c r="F1245">
        <f t="shared" si="38"/>
        <v>0</v>
      </c>
      <c r="G1245">
        <f t="shared" si="39"/>
        <v>1.0049742710120069</v>
      </c>
    </row>
    <row r="1246" spans="1:7" hidden="1">
      <c r="A1246" t="str">
        <f>Sinistrés!H1251</f>
        <v>Colza d'hiver</v>
      </c>
      <c r="B1246">
        <f>Sinistrés!J1251</f>
        <v>47850</v>
      </c>
      <c r="C1246">
        <f>Sinistrés!X1251</f>
        <v>0</v>
      </c>
      <c r="D1246">
        <f>Sinistrés!L1251</f>
        <v>29</v>
      </c>
      <c r="E1246">
        <f>Sinistrés!M1251</f>
        <v>29.2</v>
      </c>
      <c r="F1246">
        <f t="shared" si="38"/>
        <v>0</v>
      </c>
      <c r="G1246">
        <f t="shared" si="39"/>
        <v>1.0068965517241379</v>
      </c>
    </row>
    <row r="1247" spans="1:7" hidden="1">
      <c r="A1247" t="str">
        <f>Sinistrés!H1252</f>
        <v>Orge d'hiver</v>
      </c>
      <c r="B1247">
        <f>Sinistrés!J1252</f>
        <v>54589.919999999998</v>
      </c>
      <c r="C1247">
        <f>Sinistrés!X1252</f>
        <v>0</v>
      </c>
      <c r="D1247">
        <f>Sinistrés!L1252</f>
        <v>39.200000000000003</v>
      </c>
      <c r="E1247">
        <f>Sinistrés!M1252</f>
        <v>41.72</v>
      </c>
      <c r="F1247">
        <f t="shared" si="38"/>
        <v>0</v>
      </c>
      <c r="G1247">
        <f t="shared" si="39"/>
        <v>1.0642857142857143</v>
      </c>
    </row>
    <row r="1248" spans="1:7" hidden="1">
      <c r="A1248" t="str">
        <f>Sinistrés!H1253</f>
        <v>Blé dur d'hiver</v>
      </c>
      <c r="B1248">
        <f>Sinistrés!J1253</f>
        <v>31977.95</v>
      </c>
      <c r="C1248">
        <f>Sinistrés!X1253</f>
        <v>0</v>
      </c>
      <c r="D1248">
        <f>Sinistrés!L1253</f>
        <v>20.27</v>
      </c>
      <c r="E1248">
        <f>Sinistrés!M1253</f>
        <v>20.27</v>
      </c>
      <c r="F1248">
        <f t="shared" si="38"/>
        <v>0</v>
      </c>
      <c r="G1248">
        <f t="shared" si="39"/>
        <v>1</v>
      </c>
    </row>
    <row r="1249" spans="1:7" hidden="1">
      <c r="A1249" t="str">
        <f>Sinistrés!H1254</f>
        <v>Blé tendre d'hiver</v>
      </c>
      <c r="B1249">
        <f>Sinistrés!J1254</f>
        <v>13689.48</v>
      </c>
      <c r="C1249">
        <f>Sinistrés!X1254</f>
        <v>0</v>
      </c>
      <c r="D1249">
        <f>Sinistrés!L1254</f>
        <v>11.37</v>
      </c>
      <c r="E1249">
        <f>Sinistrés!M1254</f>
        <v>11.37</v>
      </c>
      <c r="F1249">
        <f t="shared" si="38"/>
        <v>0</v>
      </c>
      <c r="G1249">
        <f t="shared" si="39"/>
        <v>1</v>
      </c>
    </row>
    <row r="1250" spans="1:7" hidden="1">
      <c r="A1250" t="str">
        <f>Sinistrés!H1255</f>
        <v>Colza d'hiver</v>
      </c>
      <c r="B1250">
        <f>Sinistrés!J1255</f>
        <v>50635.199999999997</v>
      </c>
      <c r="C1250">
        <f>Sinistrés!X1255</f>
        <v>0</v>
      </c>
      <c r="D1250">
        <f>Sinistrés!L1255</f>
        <v>28.77</v>
      </c>
      <c r="E1250">
        <f>Sinistrés!M1255</f>
        <v>28.77</v>
      </c>
      <c r="F1250">
        <f t="shared" si="38"/>
        <v>0</v>
      </c>
      <c r="G1250">
        <f t="shared" si="39"/>
        <v>1</v>
      </c>
    </row>
    <row r="1251" spans="1:7" hidden="1">
      <c r="A1251" t="str">
        <f>Sinistrés!H1256</f>
        <v>Blé tendre d'hiver</v>
      </c>
      <c r="B1251">
        <f>Sinistrés!J1256</f>
        <v>97383.67</v>
      </c>
      <c r="C1251">
        <f>Sinistrés!X1256</f>
        <v>0</v>
      </c>
      <c r="D1251">
        <f>Sinistrés!L1256</f>
        <v>83.43</v>
      </c>
      <c r="E1251">
        <f>Sinistrés!M1256</f>
        <v>83.43</v>
      </c>
      <c r="F1251">
        <f t="shared" si="38"/>
        <v>0</v>
      </c>
      <c r="G1251">
        <f t="shared" si="39"/>
        <v>1</v>
      </c>
    </row>
    <row r="1252" spans="1:7" hidden="1">
      <c r="A1252" t="str">
        <f>Sinistrés!H1257</f>
        <v>Orge de printemps</v>
      </c>
      <c r="B1252">
        <f>Sinistrés!J1257</f>
        <v>37767.599999999999</v>
      </c>
      <c r="C1252">
        <f>Sinistrés!X1257</f>
        <v>0</v>
      </c>
      <c r="D1252">
        <f>Sinistrés!L1257</f>
        <v>34.97</v>
      </c>
      <c r="E1252">
        <f>Sinistrés!M1257</f>
        <v>34.97</v>
      </c>
      <c r="F1252">
        <f t="shared" si="38"/>
        <v>0</v>
      </c>
      <c r="G1252">
        <f t="shared" si="39"/>
        <v>1</v>
      </c>
    </row>
    <row r="1253" spans="1:7" hidden="1">
      <c r="A1253" t="str">
        <f>Sinistrés!H1258</f>
        <v>Orge d'hiver</v>
      </c>
      <c r="B1253">
        <f>Sinistrés!J1258</f>
        <v>33189.120000000003</v>
      </c>
      <c r="C1253">
        <f>Sinistrés!X1258</f>
        <v>0</v>
      </c>
      <c r="D1253">
        <f>Sinistrés!L1258</f>
        <v>28.81</v>
      </c>
      <c r="E1253">
        <f>Sinistrés!M1258</f>
        <v>28.81</v>
      </c>
      <c r="F1253">
        <f t="shared" si="38"/>
        <v>0</v>
      </c>
      <c r="G1253">
        <f t="shared" si="39"/>
        <v>1</v>
      </c>
    </row>
    <row r="1254" spans="1:7" hidden="1">
      <c r="A1254" t="str">
        <f>Sinistrés!H1259</f>
        <v>Pois protéagineux</v>
      </c>
      <c r="B1254">
        <f>Sinistrés!J1259</f>
        <v>31919.1</v>
      </c>
      <c r="C1254">
        <f>Sinistrés!X1259</f>
        <v>0</v>
      </c>
      <c r="D1254">
        <f>Sinistrés!L1259</f>
        <v>31.63</v>
      </c>
      <c r="E1254">
        <f>Sinistrés!M1259</f>
        <v>31.68</v>
      </c>
      <c r="F1254">
        <f t="shared" si="38"/>
        <v>0</v>
      </c>
      <c r="G1254">
        <f t="shared" si="39"/>
        <v>1.0015807777426493</v>
      </c>
    </row>
    <row r="1255" spans="1:7" hidden="1">
      <c r="A1255" t="str">
        <f>Sinistrés!H1260</f>
        <v>Colza d'hiver</v>
      </c>
      <c r="B1255">
        <f>Sinistrés!J1260</f>
        <v>65758.100000000006</v>
      </c>
      <c r="C1255">
        <f>Sinistrés!X1260</f>
        <v>0</v>
      </c>
      <c r="D1255">
        <f>Sinistrés!L1260</f>
        <v>54.73</v>
      </c>
      <c r="E1255">
        <f>Sinistrés!M1260</f>
        <v>54.73</v>
      </c>
      <c r="F1255">
        <f t="shared" si="38"/>
        <v>0</v>
      </c>
      <c r="G1255">
        <f t="shared" si="39"/>
        <v>1</v>
      </c>
    </row>
    <row r="1256" spans="1:7" hidden="1">
      <c r="A1256" t="str">
        <f>Sinistrés!H1261</f>
        <v>Colza d'hiver</v>
      </c>
      <c r="B1256">
        <f>Sinistrés!J1261</f>
        <v>14395.92</v>
      </c>
      <c r="C1256">
        <f>Sinistrés!X1261</f>
        <v>0</v>
      </c>
      <c r="D1256">
        <f>Sinistrés!L1261</f>
        <v>13.2</v>
      </c>
      <c r="E1256">
        <f>Sinistrés!M1261</f>
        <v>13.2</v>
      </c>
      <c r="F1256">
        <f t="shared" si="38"/>
        <v>0</v>
      </c>
      <c r="G1256">
        <f t="shared" si="39"/>
        <v>1</v>
      </c>
    </row>
    <row r="1257" spans="1:7" hidden="1">
      <c r="A1257" t="str">
        <f>Sinistrés!H1262</f>
        <v>Orge d'hiver</v>
      </c>
      <c r="B1257">
        <f>Sinistrés!J1262</f>
        <v>20185.57</v>
      </c>
      <c r="C1257">
        <f>Sinistrés!X1262</f>
        <v>0</v>
      </c>
      <c r="D1257">
        <f>Sinistrés!L1262</f>
        <v>16.489999999999998</v>
      </c>
      <c r="E1257">
        <f>Sinistrés!M1262</f>
        <v>16.489999999999998</v>
      </c>
      <c r="F1257">
        <f t="shared" si="38"/>
        <v>0</v>
      </c>
      <c r="G1257">
        <f t="shared" si="39"/>
        <v>1</v>
      </c>
    </row>
    <row r="1258" spans="1:7">
      <c r="A1258" t="str">
        <f>Sinistrés!H1263</f>
        <v>Blé tendre d'hiver</v>
      </c>
      <c r="B1258">
        <f>Sinistrés!J1263</f>
        <v>76762.45</v>
      </c>
      <c r="C1258">
        <f>Sinistrés!X1263</f>
        <v>513.12</v>
      </c>
      <c r="D1258">
        <f>Sinistrés!L1263</f>
        <v>59.32</v>
      </c>
      <c r="E1258">
        <f>Sinistrés!M1263</f>
        <v>59.32</v>
      </c>
      <c r="F1258">
        <f t="shared" si="38"/>
        <v>6.6845182768397833E-3</v>
      </c>
      <c r="G1258">
        <f t="shared" si="39"/>
        <v>1</v>
      </c>
    </row>
    <row r="1259" spans="1:7">
      <c r="A1259" t="str">
        <f>Sinistrés!H1264</f>
        <v>Pois protéagineux</v>
      </c>
      <c r="B1259">
        <f>Sinistrés!J1264</f>
        <v>5619.22</v>
      </c>
      <c r="C1259">
        <f>Sinistrés!X1264</f>
        <v>265.67</v>
      </c>
      <c r="D1259">
        <f>Sinistrés!L1264</f>
        <v>8.31</v>
      </c>
      <c r="E1259">
        <f>Sinistrés!M1264</f>
        <v>8.31</v>
      </c>
      <c r="F1259">
        <f t="shared" si="38"/>
        <v>4.7278803819747223E-2</v>
      </c>
      <c r="G1259">
        <f t="shared" si="39"/>
        <v>1</v>
      </c>
    </row>
    <row r="1260" spans="1:7" hidden="1">
      <c r="A1260" t="str">
        <f>Sinistrés!H1265</f>
        <v>Orge d'hiver</v>
      </c>
      <c r="B1260">
        <f>Sinistrés!J1265</f>
        <v>15819.3</v>
      </c>
      <c r="C1260">
        <f>Sinistrés!X1265</f>
        <v>0</v>
      </c>
      <c r="D1260">
        <f>Sinistrés!L1265</f>
        <v>19.53</v>
      </c>
      <c r="E1260">
        <f>Sinistrés!M1265</f>
        <v>19.53</v>
      </c>
      <c r="F1260">
        <f t="shared" si="38"/>
        <v>0</v>
      </c>
      <c r="G1260">
        <f t="shared" si="39"/>
        <v>1</v>
      </c>
    </row>
    <row r="1261" spans="1:7" hidden="1">
      <c r="A1261" t="str">
        <f>Sinistrés!H1266</f>
        <v>Blé tendre d'hiver</v>
      </c>
      <c r="B1261">
        <f>Sinistrés!J1266</f>
        <v>51738.06</v>
      </c>
      <c r="C1261">
        <f>Sinistrés!X1266</f>
        <v>0</v>
      </c>
      <c r="D1261">
        <f>Sinistrés!L1266</f>
        <v>54.53</v>
      </c>
      <c r="E1261">
        <f>Sinistrés!M1266</f>
        <v>54.53</v>
      </c>
      <c r="F1261">
        <f t="shared" si="38"/>
        <v>0</v>
      </c>
      <c r="G1261">
        <f t="shared" si="39"/>
        <v>1</v>
      </c>
    </row>
    <row r="1262" spans="1:7">
      <c r="A1262" t="str">
        <f>Sinistrés!H1267</f>
        <v>Orge de printemps</v>
      </c>
      <c r="B1262">
        <f>Sinistrés!J1267</f>
        <v>19110.28</v>
      </c>
      <c r="C1262">
        <f>Sinistrés!X1267</f>
        <v>3056.71</v>
      </c>
      <c r="D1262">
        <f>Sinistrés!L1267</f>
        <v>12.47</v>
      </c>
      <c r="E1262">
        <f>Sinistrés!M1267</f>
        <v>12.47</v>
      </c>
      <c r="F1262">
        <f t="shared" si="38"/>
        <v>0.15995108391923091</v>
      </c>
      <c r="G1262">
        <f t="shared" si="39"/>
        <v>1</v>
      </c>
    </row>
    <row r="1263" spans="1:7" hidden="1">
      <c r="A1263" t="str">
        <f>Sinistrés!H1268</f>
        <v>Tournesol BIO</v>
      </c>
      <c r="B1263">
        <f>Sinistrés!J1268</f>
        <v>12342</v>
      </c>
      <c r="C1263">
        <f>Sinistrés!X1268</f>
        <v>0</v>
      </c>
      <c r="D1263">
        <f>Sinistrés!L1268</f>
        <v>11</v>
      </c>
      <c r="E1263">
        <f>Sinistrés!M1268</f>
        <v>11</v>
      </c>
      <c r="F1263">
        <f t="shared" si="38"/>
        <v>0</v>
      </c>
      <c r="G1263">
        <f t="shared" si="39"/>
        <v>1</v>
      </c>
    </row>
    <row r="1264" spans="1:7" hidden="1">
      <c r="A1264" t="str">
        <f>Sinistrés!H1269</f>
        <v>Soja BIO</v>
      </c>
      <c r="B1264">
        <f>Sinistrés!J1269</f>
        <v>16562</v>
      </c>
      <c r="C1264">
        <f>Sinistrés!X1269</f>
        <v>0</v>
      </c>
      <c r="D1264">
        <f>Sinistrés!L1269</f>
        <v>13</v>
      </c>
      <c r="E1264">
        <f>Sinistrés!M1269</f>
        <v>13</v>
      </c>
      <c r="F1264">
        <f t="shared" si="38"/>
        <v>0</v>
      </c>
      <c r="G1264">
        <f t="shared" si="39"/>
        <v>1</v>
      </c>
    </row>
    <row r="1265" spans="1:7" hidden="1">
      <c r="A1265" t="str">
        <f>Sinistrés!H1270</f>
        <v>Blé tendre d'hiver BIO</v>
      </c>
      <c r="B1265">
        <f>Sinistrés!J1270</f>
        <v>4860</v>
      </c>
      <c r="C1265">
        <f>Sinistrés!X1270</f>
        <v>0</v>
      </c>
      <c r="D1265">
        <f>Sinistrés!L1270</f>
        <v>7.2</v>
      </c>
      <c r="E1265">
        <f>Sinistrés!M1270</f>
        <v>7.2</v>
      </c>
      <c r="F1265">
        <f t="shared" si="38"/>
        <v>0</v>
      </c>
      <c r="G1265">
        <f t="shared" si="39"/>
        <v>1</v>
      </c>
    </row>
    <row r="1266" spans="1:7" hidden="1">
      <c r="A1266" t="str">
        <f>Sinistrés!H1271</f>
        <v>Orge d'hiver BIO</v>
      </c>
      <c r="B1266">
        <f>Sinistrés!J1271</f>
        <v>50625</v>
      </c>
      <c r="C1266">
        <f>Sinistrés!X1271</f>
        <v>0</v>
      </c>
      <c r="D1266">
        <f>Sinistrés!L1271</f>
        <v>27</v>
      </c>
      <c r="E1266">
        <f>Sinistrés!M1271</f>
        <v>27</v>
      </c>
      <c r="F1266">
        <f t="shared" si="38"/>
        <v>0</v>
      </c>
      <c r="G1266">
        <f t="shared" si="39"/>
        <v>1</v>
      </c>
    </row>
    <row r="1267" spans="1:7" hidden="1">
      <c r="A1267" t="str">
        <f>Sinistrés!H1272</f>
        <v>Blé tendre d'hiver</v>
      </c>
      <c r="B1267">
        <f>Sinistrés!J1272</f>
        <v>25440</v>
      </c>
      <c r="C1267">
        <f>Sinistrés!X1272</f>
        <v>0</v>
      </c>
      <c r="D1267">
        <f>Sinistrés!L1272</f>
        <v>20</v>
      </c>
      <c r="E1267">
        <f>Sinistrés!M1272</f>
        <v>20</v>
      </c>
      <c r="F1267">
        <f t="shared" si="38"/>
        <v>0</v>
      </c>
      <c r="G1267">
        <f t="shared" si="39"/>
        <v>1</v>
      </c>
    </row>
    <row r="1268" spans="1:7" hidden="1">
      <c r="A1268" t="str">
        <f>Sinistrés!H1273</f>
        <v>Blé tendre d'hiver</v>
      </c>
      <c r="B1268">
        <f>Sinistrés!J1273</f>
        <v>47954.400000000001</v>
      </c>
      <c r="C1268">
        <f>Sinistrés!X1273</f>
        <v>0</v>
      </c>
      <c r="D1268">
        <f>Sinistrés!L1273</f>
        <v>37.700000000000003</v>
      </c>
      <c r="E1268">
        <f>Sinistrés!M1273</f>
        <v>37.700000000000003</v>
      </c>
      <c r="F1268">
        <f t="shared" si="38"/>
        <v>0</v>
      </c>
      <c r="G1268">
        <f t="shared" si="39"/>
        <v>1</v>
      </c>
    </row>
    <row r="1269" spans="1:7" hidden="1">
      <c r="A1269" t="str">
        <f>Sinistrés!H1274</f>
        <v>Colza d'hiver</v>
      </c>
      <c r="B1269">
        <f>Sinistrés!J1274</f>
        <v>12704.1</v>
      </c>
      <c r="C1269">
        <f>Sinistrés!X1274</f>
        <v>0</v>
      </c>
      <c r="D1269">
        <f>Sinistrés!L1274</f>
        <v>7.99</v>
      </c>
      <c r="E1269">
        <f>Sinistrés!M1274</f>
        <v>7.99</v>
      </c>
      <c r="F1269">
        <f t="shared" si="38"/>
        <v>0</v>
      </c>
      <c r="G1269">
        <f t="shared" si="39"/>
        <v>1</v>
      </c>
    </row>
    <row r="1270" spans="1:7" hidden="1">
      <c r="A1270" t="str">
        <f>Sinistrés!H1275</f>
        <v>Soja</v>
      </c>
      <c r="B1270">
        <f>Sinistrés!J1275</f>
        <v>6133.12</v>
      </c>
      <c r="C1270">
        <f>Sinistrés!X1275</f>
        <v>0</v>
      </c>
      <c r="D1270">
        <f>Sinistrés!L1275</f>
        <v>5.92</v>
      </c>
      <c r="E1270">
        <f>Sinistrés!M1275</f>
        <v>5.92</v>
      </c>
      <c r="F1270">
        <f t="shared" si="38"/>
        <v>0</v>
      </c>
      <c r="G1270">
        <f t="shared" si="39"/>
        <v>1</v>
      </c>
    </row>
    <row r="1271" spans="1:7" hidden="1">
      <c r="A1271" t="str">
        <f>Sinistrés!H1276</f>
        <v>Maïs grain irrigué</v>
      </c>
      <c r="B1271">
        <f>Sinistrés!J1276</f>
        <v>48885.26</v>
      </c>
      <c r="C1271">
        <f>Sinistrés!X1276</f>
        <v>0</v>
      </c>
      <c r="D1271">
        <f>Sinistrés!L1276</f>
        <v>29.14</v>
      </c>
      <c r="E1271">
        <f>Sinistrés!M1276</f>
        <v>29.14</v>
      </c>
      <c r="F1271">
        <f t="shared" si="38"/>
        <v>0</v>
      </c>
      <c r="G1271">
        <f t="shared" si="39"/>
        <v>1</v>
      </c>
    </row>
    <row r="1272" spans="1:7" hidden="1">
      <c r="A1272" t="str">
        <f>Sinistrés!H1277</f>
        <v>Sorgho</v>
      </c>
      <c r="B1272">
        <f>Sinistrés!J1277</f>
        <v>12556.97</v>
      </c>
      <c r="C1272">
        <f>Sinistrés!X1277</f>
        <v>0</v>
      </c>
      <c r="D1272">
        <f>Sinistrés!L1277</f>
        <v>15.17</v>
      </c>
      <c r="E1272">
        <f>Sinistrés!M1277</f>
        <v>15.17</v>
      </c>
      <c r="F1272">
        <f t="shared" si="38"/>
        <v>0</v>
      </c>
      <c r="G1272">
        <f t="shared" si="39"/>
        <v>1</v>
      </c>
    </row>
    <row r="1273" spans="1:7" hidden="1">
      <c r="A1273" t="str">
        <f>Sinistrés!H1278</f>
        <v>Féveroles et fèves BIO</v>
      </c>
      <c r="B1273">
        <f>Sinistrés!J1278</f>
        <v>4340.7</v>
      </c>
      <c r="C1273">
        <f>Sinistrés!X1278</f>
        <v>1314.5</v>
      </c>
      <c r="D1273">
        <f>Sinistrés!L1278</f>
        <v>13</v>
      </c>
      <c r="E1273">
        <f>Sinistrés!M1278</f>
        <v>13</v>
      </c>
      <c r="F1273">
        <f t="shared" si="38"/>
        <v>0.30283134056718963</v>
      </c>
      <c r="G1273">
        <f t="shared" si="39"/>
        <v>1</v>
      </c>
    </row>
    <row r="1274" spans="1:7" hidden="1">
      <c r="A1274" t="str">
        <f>Sinistrés!H1279</f>
        <v>Blé tendre d'hiver</v>
      </c>
      <c r="B1274">
        <f>Sinistrés!J1279</f>
        <v>10297.58</v>
      </c>
      <c r="C1274">
        <f>Sinistrés!X1279</f>
        <v>0</v>
      </c>
      <c r="D1274">
        <f>Sinistrés!L1279</f>
        <v>17.73</v>
      </c>
      <c r="E1274">
        <f>Sinistrés!M1279</f>
        <v>17.73</v>
      </c>
      <c r="F1274">
        <f t="shared" si="38"/>
        <v>0</v>
      </c>
      <c r="G1274">
        <f t="shared" si="39"/>
        <v>1</v>
      </c>
    </row>
    <row r="1275" spans="1:7" hidden="1">
      <c r="A1275" t="str">
        <f>Sinistrés!H1280</f>
        <v>Blé dur d'hiver</v>
      </c>
      <c r="B1275">
        <f>Sinistrés!J1280</f>
        <v>3235.68</v>
      </c>
      <c r="C1275">
        <f>Sinistrés!X1280</f>
        <v>0</v>
      </c>
      <c r="D1275">
        <f>Sinistrés!L1280</f>
        <v>3.36</v>
      </c>
      <c r="E1275">
        <f>Sinistrés!M1280</f>
        <v>3.36</v>
      </c>
      <c r="F1275">
        <f t="shared" si="38"/>
        <v>0</v>
      </c>
      <c r="G1275">
        <f t="shared" si="39"/>
        <v>1</v>
      </c>
    </row>
    <row r="1276" spans="1:7" hidden="1">
      <c r="A1276" t="str">
        <f>Sinistrés!H1281</f>
        <v>Orge de printemps</v>
      </c>
      <c r="B1276">
        <f>Sinistrés!J1281</f>
        <v>10969.11</v>
      </c>
      <c r="C1276">
        <f>Sinistrés!X1281</f>
        <v>0</v>
      </c>
      <c r="D1276">
        <f>Sinistrés!L1281</f>
        <v>14.98</v>
      </c>
      <c r="E1276">
        <f>Sinistrés!M1281</f>
        <v>14.98</v>
      </c>
      <c r="F1276">
        <f t="shared" si="38"/>
        <v>0</v>
      </c>
      <c r="G1276">
        <f t="shared" si="39"/>
        <v>1</v>
      </c>
    </row>
    <row r="1277" spans="1:7" hidden="1">
      <c r="A1277" t="str">
        <f>Sinistrés!H1282</f>
        <v>Pois protéagineux</v>
      </c>
      <c r="B1277">
        <f>Sinistrés!J1282</f>
        <v>2617.02</v>
      </c>
      <c r="C1277">
        <f>Sinistrés!X1282</f>
        <v>0</v>
      </c>
      <c r="D1277">
        <f>Sinistrés!L1282</f>
        <v>6.03</v>
      </c>
      <c r="E1277">
        <f>Sinistrés!M1282</f>
        <v>6.03</v>
      </c>
      <c r="F1277">
        <f t="shared" si="38"/>
        <v>0</v>
      </c>
      <c r="G1277">
        <f t="shared" si="39"/>
        <v>1</v>
      </c>
    </row>
    <row r="1278" spans="1:7" hidden="1">
      <c r="A1278" t="str">
        <f>Sinistrés!H1283</f>
        <v>Blé tendre d'hiver</v>
      </c>
      <c r="B1278">
        <f>Sinistrés!J1283</f>
        <v>71118.240000000005</v>
      </c>
      <c r="C1278">
        <f>Sinistrés!X1283</f>
        <v>0</v>
      </c>
      <c r="D1278">
        <f>Sinistrés!L1283</f>
        <v>51.76</v>
      </c>
      <c r="E1278">
        <f>Sinistrés!M1283</f>
        <v>51.76</v>
      </c>
      <c r="F1278">
        <f t="shared" si="38"/>
        <v>0</v>
      </c>
      <c r="G1278">
        <f t="shared" si="39"/>
        <v>1</v>
      </c>
    </row>
    <row r="1279" spans="1:7" hidden="1">
      <c r="A1279" t="str">
        <f>Sinistrés!H1284</f>
        <v>Colza d'hiver</v>
      </c>
      <c r="B1279">
        <f>Sinistrés!J1284</f>
        <v>35626.5</v>
      </c>
      <c r="C1279">
        <f>Sinistrés!X1284</f>
        <v>0</v>
      </c>
      <c r="D1279">
        <f>Sinistrés!L1284</f>
        <v>21</v>
      </c>
      <c r="E1279">
        <f>Sinistrés!M1284</f>
        <v>21</v>
      </c>
      <c r="F1279">
        <f t="shared" si="38"/>
        <v>0</v>
      </c>
      <c r="G1279">
        <f t="shared" si="39"/>
        <v>1</v>
      </c>
    </row>
    <row r="1280" spans="1:7" hidden="1">
      <c r="A1280" t="str">
        <f>Sinistrés!H1285</f>
        <v>Triticale</v>
      </c>
      <c r="B1280">
        <f>Sinistrés!J1285</f>
        <v>7747.95</v>
      </c>
      <c r="C1280">
        <f>Sinistrés!X1285</f>
        <v>0</v>
      </c>
      <c r="D1280">
        <f>Sinistrés!L1285</f>
        <v>9.41</v>
      </c>
      <c r="E1280">
        <f>Sinistrés!M1285</f>
        <v>9.42</v>
      </c>
      <c r="F1280">
        <f t="shared" si="38"/>
        <v>0</v>
      </c>
      <c r="G1280">
        <f t="shared" si="39"/>
        <v>1.0010626992561105</v>
      </c>
    </row>
    <row r="1281" spans="1:7" hidden="1">
      <c r="A1281" t="str">
        <f>Sinistrés!H1286</f>
        <v>Triticale SEMENCES</v>
      </c>
      <c r="B1281">
        <f>Sinistrés!J1286</f>
        <v>13505.45</v>
      </c>
      <c r="C1281">
        <f>Sinistrés!X1286</f>
        <v>0</v>
      </c>
      <c r="D1281">
        <f>Sinistrés!L1286</f>
        <v>16.420000000000002</v>
      </c>
      <c r="E1281">
        <f>Sinistrés!M1286</f>
        <v>16.420000000000002</v>
      </c>
      <c r="F1281">
        <f t="shared" si="38"/>
        <v>0</v>
      </c>
      <c r="G1281">
        <f t="shared" si="39"/>
        <v>1</v>
      </c>
    </row>
    <row r="1282" spans="1:7">
      <c r="A1282" t="str">
        <f>Sinistrés!H1287</f>
        <v>Blé tendre d'hiver</v>
      </c>
      <c r="B1282">
        <f>Sinistrés!J1287</f>
        <v>43031.75</v>
      </c>
      <c r="C1282">
        <f>Sinistrés!X1287</f>
        <v>2081.4899999999998</v>
      </c>
      <c r="D1282">
        <f>Sinistrés!L1287</f>
        <v>34.79</v>
      </c>
      <c r="E1282">
        <f>Sinistrés!M1287</f>
        <v>34.79</v>
      </c>
      <c r="F1282">
        <f t="shared" si="38"/>
        <v>4.8371028368588302E-2</v>
      </c>
      <c r="G1282">
        <f t="shared" si="39"/>
        <v>1</v>
      </c>
    </row>
    <row r="1283" spans="1:7" hidden="1">
      <c r="A1283" t="str">
        <f>Sinistrés!H1288</f>
        <v>Colza d'hiver</v>
      </c>
      <c r="B1283">
        <f>Sinistrés!J1288</f>
        <v>11870.76</v>
      </c>
      <c r="C1283">
        <f>Sinistrés!X1288</f>
        <v>0</v>
      </c>
      <c r="D1283">
        <f>Sinistrés!L1288</f>
        <v>10.58</v>
      </c>
      <c r="E1283">
        <f>Sinistrés!M1288</f>
        <v>10.58</v>
      </c>
      <c r="F1283">
        <f t="shared" ref="F1283:F1346" si="40">C1283/B1283</f>
        <v>0</v>
      </c>
      <c r="G1283">
        <f t="shared" ref="G1283:G1346" si="41">E1283/D1283</f>
        <v>1</v>
      </c>
    </row>
    <row r="1284" spans="1:7">
      <c r="A1284" t="str">
        <f>Sinistrés!H1289</f>
        <v>Pois protéagineux</v>
      </c>
      <c r="B1284">
        <f>Sinistrés!J1289</f>
        <v>8603.2000000000007</v>
      </c>
      <c r="C1284">
        <f>Sinistrés!X1289</f>
        <v>1660.42</v>
      </c>
      <c r="D1284">
        <f>Sinistrés!L1289</f>
        <v>11.32</v>
      </c>
      <c r="E1284">
        <f>Sinistrés!M1289</f>
        <v>11.32</v>
      </c>
      <c r="F1284">
        <f t="shared" si="40"/>
        <v>0.19300027896596614</v>
      </c>
      <c r="G1284">
        <f t="shared" si="41"/>
        <v>1</v>
      </c>
    </row>
    <row r="1285" spans="1:7" hidden="1">
      <c r="A1285" t="str">
        <f>Sinistrés!H1290</f>
        <v>Orge de printemps</v>
      </c>
      <c r="B1285">
        <f>Sinistrés!J1290</f>
        <v>12925.44</v>
      </c>
      <c r="C1285">
        <f>Sinistrés!X1290</f>
        <v>0</v>
      </c>
      <c r="D1285">
        <f>Sinistrés!L1290</f>
        <v>11.88</v>
      </c>
      <c r="E1285">
        <f>Sinistrés!M1290</f>
        <v>11.88</v>
      </c>
      <c r="F1285">
        <f t="shared" si="40"/>
        <v>0</v>
      </c>
      <c r="G1285">
        <f t="shared" si="41"/>
        <v>1</v>
      </c>
    </row>
    <row r="1286" spans="1:7" hidden="1">
      <c r="A1286" t="str">
        <f>Sinistrés!H1291</f>
        <v>Féveroles et fèves</v>
      </c>
      <c r="B1286">
        <f>Sinistrés!J1291</f>
        <v>3094.04</v>
      </c>
      <c r="C1286">
        <f>Sinistrés!X1291</f>
        <v>0</v>
      </c>
      <c r="D1286">
        <f>Sinistrés!L1291</f>
        <v>8.07</v>
      </c>
      <c r="E1286">
        <f>Sinistrés!M1291</f>
        <v>8.07</v>
      </c>
      <c r="F1286">
        <f t="shared" si="40"/>
        <v>0</v>
      </c>
      <c r="G1286">
        <f t="shared" si="41"/>
        <v>1</v>
      </c>
    </row>
    <row r="1287" spans="1:7">
      <c r="A1287" t="str">
        <f>Sinistrés!H1292</f>
        <v>Blé tendre d'hiver</v>
      </c>
      <c r="B1287">
        <f>Sinistrés!J1292</f>
        <v>14972.36</v>
      </c>
      <c r="C1287">
        <f>Sinistrés!X1292</f>
        <v>6287.62</v>
      </c>
      <c r="D1287">
        <f>Sinistrés!L1292</f>
        <v>13.6</v>
      </c>
      <c r="E1287">
        <f>Sinistrés!M1292</f>
        <v>13.6</v>
      </c>
      <c r="F1287">
        <f t="shared" si="40"/>
        <v>0.41994849175413895</v>
      </c>
      <c r="G1287">
        <f t="shared" si="41"/>
        <v>1</v>
      </c>
    </row>
    <row r="1288" spans="1:7" hidden="1">
      <c r="A1288" t="str">
        <f>Sinistrés!H1293</f>
        <v>Avoine d'hiver</v>
      </c>
      <c r="B1288">
        <f>Sinistrés!J1293</f>
        <v>4531.16</v>
      </c>
      <c r="C1288">
        <f>Sinistrés!X1293</f>
        <v>0</v>
      </c>
      <c r="D1288">
        <f>Sinistrés!L1293</f>
        <v>7.07</v>
      </c>
      <c r="E1288">
        <f>Sinistrés!M1293</f>
        <v>7.07</v>
      </c>
      <c r="F1288">
        <f t="shared" si="40"/>
        <v>0</v>
      </c>
      <c r="G1288">
        <f t="shared" si="41"/>
        <v>1</v>
      </c>
    </row>
    <row r="1289" spans="1:7">
      <c r="A1289" t="str">
        <f>Sinistrés!H1294</f>
        <v>Triticale</v>
      </c>
      <c r="B1289">
        <f>Sinistrés!J1294</f>
        <v>2768.28</v>
      </c>
      <c r="C1289">
        <f>Sinistrés!X1294</f>
        <v>966.52</v>
      </c>
      <c r="D1289">
        <f>Sinistrés!L1294</f>
        <v>3.54</v>
      </c>
      <c r="E1289">
        <f>Sinistrés!M1294</f>
        <v>3.54</v>
      </c>
      <c r="F1289">
        <f t="shared" si="40"/>
        <v>0.34914098284855577</v>
      </c>
      <c r="G1289">
        <f t="shared" si="41"/>
        <v>1</v>
      </c>
    </row>
    <row r="1290" spans="1:7">
      <c r="A1290" t="str">
        <f>Sinistrés!H1295</f>
        <v>Orge de printemps</v>
      </c>
      <c r="B1290">
        <f>Sinistrés!J1295</f>
        <v>5992.03</v>
      </c>
      <c r="C1290">
        <f>Sinistrés!X1295</f>
        <v>3215.65</v>
      </c>
      <c r="D1290">
        <f>Sinistrés!L1295</f>
        <v>6.1</v>
      </c>
      <c r="E1290">
        <f>Sinistrés!M1295</f>
        <v>6.1</v>
      </c>
      <c r="F1290">
        <f t="shared" si="40"/>
        <v>0.53665452275772985</v>
      </c>
      <c r="G1290">
        <f t="shared" si="41"/>
        <v>1</v>
      </c>
    </row>
    <row r="1291" spans="1:7" hidden="1">
      <c r="A1291" t="str">
        <f>Sinistrés!H1296</f>
        <v>Blé tendre d'hiver</v>
      </c>
      <c r="B1291">
        <f>Sinistrés!J1296</f>
        <v>38784.32</v>
      </c>
      <c r="C1291">
        <f>Sinistrés!X1296</f>
        <v>0</v>
      </c>
      <c r="D1291">
        <f>Sinistrés!L1296</f>
        <v>29.51</v>
      </c>
      <c r="E1291">
        <f>Sinistrés!M1296</f>
        <v>29.58</v>
      </c>
      <c r="F1291">
        <f t="shared" si="40"/>
        <v>0</v>
      </c>
      <c r="G1291">
        <f t="shared" si="41"/>
        <v>1.0023720772619449</v>
      </c>
    </row>
    <row r="1292" spans="1:7" hidden="1">
      <c r="A1292" t="str">
        <f>Sinistrés!H1297</f>
        <v>Blé tendre d'hiver</v>
      </c>
      <c r="B1292">
        <f>Sinistrés!J1297</f>
        <v>45943.29</v>
      </c>
      <c r="C1292">
        <f>Sinistrés!X1297</f>
        <v>0</v>
      </c>
      <c r="D1292">
        <f>Sinistrés!L1297</f>
        <v>33</v>
      </c>
      <c r="E1292">
        <f>Sinistrés!M1297</f>
        <v>35.04</v>
      </c>
      <c r="F1292">
        <f t="shared" si="40"/>
        <v>0</v>
      </c>
      <c r="G1292">
        <f t="shared" si="41"/>
        <v>1.0618181818181818</v>
      </c>
    </row>
    <row r="1293" spans="1:7" hidden="1">
      <c r="A1293" t="str">
        <f>Sinistrés!H1298</f>
        <v>Orge d'hiver</v>
      </c>
      <c r="B1293">
        <f>Sinistrés!J1298</f>
        <v>6914.64</v>
      </c>
      <c r="C1293">
        <f>Sinistrés!X1298</f>
        <v>0</v>
      </c>
      <c r="D1293">
        <f>Sinistrés!L1298</f>
        <v>6.5</v>
      </c>
      <c r="E1293">
        <f>Sinistrés!M1298</f>
        <v>6.5</v>
      </c>
      <c r="F1293">
        <f t="shared" si="40"/>
        <v>0</v>
      </c>
      <c r="G1293">
        <f t="shared" si="41"/>
        <v>1</v>
      </c>
    </row>
    <row r="1294" spans="1:7" hidden="1">
      <c r="A1294" t="str">
        <f>Sinistrés!H1299</f>
        <v>Orge d'hiver</v>
      </c>
      <c r="B1294">
        <f>Sinistrés!J1299</f>
        <v>15403.68</v>
      </c>
      <c r="C1294">
        <f>Sinistrés!X1299</f>
        <v>0</v>
      </c>
      <c r="D1294">
        <f>Sinistrés!L1299</f>
        <v>14.43</v>
      </c>
      <c r="E1294">
        <f>Sinistrés!M1299</f>
        <v>14.48</v>
      </c>
      <c r="F1294">
        <f t="shared" si="40"/>
        <v>0</v>
      </c>
      <c r="G1294">
        <f t="shared" si="41"/>
        <v>1.0034650034650034</v>
      </c>
    </row>
    <row r="1295" spans="1:7" hidden="1">
      <c r="A1295" t="str">
        <f>Sinistrés!H1300</f>
        <v>Triticale</v>
      </c>
      <c r="B1295">
        <f>Sinistrés!J1300</f>
        <v>26049.62</v>
      </c>
      <c r="C1295">
        <f>Sinistrés!X1300</f>
        <v>0</v>
      </c>
      <c r="D1295">
        <f>Sinistrés!L1300</f>
        <v>30.93</v>
      </c>
      <c r="E1295">
        <f>Sinistrés!M1300</f>
        <v>31.12</v>
      </c>
      <c r="F1295">
        <f t="shared" si="40"/>
        <v>0</v>
      </c>
      <c r="G1295">
        <f t="shared" si="41"/>
        <v>1.0061429033301004</v>
      </c>
    </row>
    <row r="1296" spans="1:7">
      <c r="A1296" t="str">
        <f>Sinistrés!H1301</f>
        <v>Blé tendre d'hiver</v>
      </c>
      <c r="B1296">
        <f>Sinistrés!J1301</f>
        <v>65199.07</v>
      </c>
      <c r="C1296">
        <f>Sinistrés!X1301</f>
        <v>339.49</v>
      </c>
      <c r="D1296">
        <f>Sinistrés!L1301</f>
        <v>55.69</v>
      </c>
      <c r="E1296">
        <f>Sinistrés!M1301</f>
        <v>55.68</v>
      </c>
      <c r="F1296">
        <f t="shared" si="40"/>
        <v>5.2069761117758276E-3</v>
      </c>
      <c r="G1296">
        <f t="shared" si="41"/>
        <v>0.99982043454839298</v>
      </c>
    </row>
    <row r="1297" spans="1:7">
      <c r="A1297" t="str">
        <f>Sinistrés!H1302</f>
        <v>Orge d'hiver</v>
      </c>
      <c r="B1297">
        <f>Sinistrés!J1302</f>
        <v>15205.44</v>
      </c>
      <c r="C1297">
        <f>Sinistrés!X1302</f>
        <v>570.77</v>
      </c>
      <c r="D1297">
        <f>Sinistrés!L1302</f>
        <v>14.1</v>
      </c>
      <c r="E1297">
        <f>Sinistrés!M1302</f>
        <v>14.1</v>
      </c>
      <c r="F1297">
        <f t="shared" si="40"/>
        <v>3.7537223520003361E-2</v>
      </c>
      <c r="G1297">
        <f t="shared" si="41"/>
        <v>1</v>
      </c>
    </row>
    <row r="1298" spans="1:7" hidden="1">
      <c r="A1298" t="str">
        <f>Sinistrés!H1303</f>
        <v>Pois protéagineux</v>
      </c>
      <c r="B1298">
        <f>Sinistrés!J1303</f>
        <v>9643.92</v>
      </c>
      <c r="C1298">
        <f>Sinistrés!X1303</f>
        <v>0</v>
      </c>
      <c r="D1298">
        <f>Sinistrés!L1303</f>
        <v>14.05</v>
      </c>
      <c r="E1298">
        <f>Sinistrés!M1303</f>
        <v>14.05</v>
      </c>
      <c r="F1298">
        <f t="shared" si="40"/>
        <v>0</v>
      </c>
      <c r="G1298">
        <f t="shared" si="41"/>
        <v>1</v>
      </c>
    </row>
    <row r="1299" spans="1:7">
      <c r="A1299" t="str">
        <f>Sinistrés!H1304</f>
        <v>Maïs ensilage non irrigué</v>
      </c>
      <c r="B1299">
        <f>Sinistrés!J1304</f>
        <v>18341.09</v>
      </c>
      <c r="C1299">
        <f>Sinistrés!X1304</f>
        <v>8413.84</v>
      </c>
      <c r="D1299">
        <f>Sinistrés!L1304</f>
        <v>20.68</v>
      </c>
      <c r="E1299">
        <f>Sinistrés!M1304</f>
        <v>20.68</v>
      </c>
      <c r="F1299">
        <f t="shared" si="40"/>
        <v>0.45874263743321692</v>
      </c>
      <c r="G1299">
        <f t="shared" si="41"/>
        <v>1</v>
      </c>
    </row>
    <row r="1300" spans="1:7">
      <c r="A1300" t="str">
        <f>Sinistrés!H1305</f>
        <v>Tournesol</v>
      </c>
      <c r="B1300">
        <f>Sinistrés!J1305</f>
        <v>13686.16</v>
      </c>
      <c r="C1300">
        <f>Sinistrés!X1305</f>
        <v>4661.93</v>
      </c>
      <c r="D1300">
        <f>Sinistrés!L1305</f>
        <v>18.190000000000001</v>
      </c>
      <c r="E1300">
        <f>Sinistrés!M1305</f>
        <v>18.190000000000001</v>
      </c>
      <c r="F1300">
        <f t="shared" si="40"/>
        <v>0.34063097318751206</v>
      </c>
      <c r="G1300">
        <f t="shared" si="41"/>
        <v>1</v>
      </c>
    </row>
    <row r="1301" spans="1:7">
      <c r="A1301" t="str">
        <f>Sinistrés!H1306</f>
        <v>Blé tendre d'hiver</v>
      </c>
      <c r="B1301">
        <f>Sinistrés!J1306</f>
        <v>51920.1</v>
      </c>
      <c r="C1301">
        <f>Sinistrés!X1306</f>
        <v>4429.8500000000004</v>
      </c>
      <c r="D1301">
        <f>Sinistrés!L1306</f>
        <v>46.82</v>
      </c>
      <c r="E1301">
        <f>Sinistrés!M1306</f>
        <v>46.82</v>
      </c>
      <c r="F1301">
        <f t="shared" si="40"/>
        <v>8.532052133951977E-2</v>
      </c>
      <c r="G1301">
        <f t="shared" si="41"/>
        <v>1</v>
      </c>
    </row>
    <row r="1302" spans="1:7" hidden="1">
      <c r="A1302" t="str">
        <f>Sinistrés!H1307</f>
        <v>Pois protéagineux</v>
      </c>
      <c r="B1302">
        <f>Sinistrés!J1307</f>
        <v>8715.2800000000007</v>
      </c>
      <c r="C1302">
        <f>Sinistrés!X1307</f>
        <v>0</v>
      </c>
      <c r="D1302">
        <f>Sinistrés!L1307</f>
        <v>13.79</v>
      </c>
      <c r="E1302">
        <f>Sinistrés!M1307</f>
        <v>13.79</v>
      </c>
      <c r="F1302">
        <f t="shared" si="40"/>
        <v>0</v>
      </c>
      <c r="G1302">
        <f t="shared" si="41"/>
        <v>1</v>
      </c>
    </row>
    <row r="1303" spans="1:7" hidden="1">
      <c r="A1303" t="str">
        <f>Sinistrés!H1308</f>
        <v>Maïs grain irrigué SEMENCES STERILES</v>
      </c>
      <c r="B1303">
        <f>Sinistrés!J1308</f>
        <v>23400</v>
      </c>
      <c r="C1303">
        <f>Sinistrés!X1308</f>
        <v>6732</v>
      </c>
      <c r="D1303">
        <f>Sinistrés!L1308</f>
        <v>6</v>
      </c>
      <c r="E1303">
        <f>Sinistrés!M1308</f>
        <v>6</v>
      </c>
      <c r="F1303">
        <f t="shared" si="40"/>
        <v>0.28769230769230769</v>
      </c>
      <c r="G1303">
        <f t="shared" si="41"/>
        <v>1</v>
      </c>
    </row>
    <row r="1304" spans="1:7" hidden="1">
      <c r="A1304" t="str">
        <f>Sinistrés!H1309</f>
        <v>Maïs grain irrigué SEMENCES FERTILES</v>
      </c>
      <c r="B1304">
        <f>Sinistrés!J1309</f>
        <v>138775</v>
      </c>
      <c r="C1304">
        <f>Sinistrés!X1309</f>
        <v>0</v>
      </c>
      <c r="D1304">
        <f>Sinistrés!L1309</f>
        <v>30.5</v>
      </c>
      <c r="E1304">
        <f>Sinistrés!M1309</f>
        <v>30.5</v>
      </c>
      <c r="F1304">
        <f t="shared" si="40"/>
        <v>0</v>
      </c>
      <c r="G1304">
        <f t="shared" si="41"/>
        <v>1</v>
      </c>
    </row>
    <row r="1305" spans="1:7" hidden="1">
      <c r="A1305" t="str">
        <f>Sinistrés!H1310</f>
        <v>Maïs grain non irrigué</v>
      </c>
      <c r="B1305">
        <f>Sinistrés!J1310</f>
        <v>54000</v>
      </c>
      <c r="C1305">
        <f>Sinistrés!X1310</f>
        <v>0</v>
      </c>
      <c r="D1305">
        <f>Sinistrés!L1310</f>
        <v>27</v>
      </c>
      <c r="E1305">
        <f>Sinistrés!M1310</f>
        <v>27</v>
      </c>
      <c r="F1305">
        <f t="shared" si="40"/>
        <v>0</v>
      </c>
      <c r="G1305">
        <f t="shared" si="41"/>
        <v>1</v>
      </c>
    </row>
    <row r="1306" spans="1:7" hidden="1">
      <c r="A1306" t="str">
        <f>Sinistrés!H1311</f>
        <v>Soja BIO</v>
      </c>
      <c r="B1306">
        <f>Sinistrés!J1311</f>
        <v>7770</v>
      </c>
      <c r="C1306">
        <f>Sinistrés!X1311</f>
        <v>0</v>
      </c>
      <c r="D1306">
        <f>Sinistrés!L1311</f>
        <v>5.5</v>
      </c>
      <c r="E1306">
        <f>Sinistrés!M1311</f>
        <v>5.5</v>
      </c>
      <c r="F1306">
        <f t="shared" si="40"/>
        <v>0</v>
      </c>
      <c r="G1306">
        <f t="shared" si="41"/>
        <v>1</v>
      </c>
    </row>
    <row r="1307" spans="1:7" hidden="1">
      <c r="A1307" t="str">
        <f>Sinistrés!H1312</f>
        <v xml:space="preserve">Maïs waxy non irrigué </v>
      </c>
      <c r="B1307">
        <f>Sinistrés!J1312</f>
        <v>45884.84</v>
      </c>
      <c r="C1307">
        <f>Sinistrés!X1312</f>
        <v>0</v>
      </c>
      <c r="D1307">
        <f>Sinistrés!L1312</f>
        <v>19.93</v>
      </c>
      <c r="E1307">
        <f>Sinistrés!M1312</f>
        <v>19.93</v>
      </c>
      <c r="F1307">
        <f t="shared" si="40"/>
        <v>0</v>
      </c>
      <c r="G1307">
        <f t="shared" si="41"/>
        <v>1</v>
      </c>
    </row>
    <row r="1308" spans="1:7" hidden="1">
      <c r="A1308" t="str">
        <f>Sinistrés!H1313</f>
        <v>Maïs grain irrigué</v>
      </c>
      <c r="B1308">
        <f>Sinistrés!J1313</f>
        <v>67418.67</v>
      </c>
      <c r="C1308">
        <f>Sinistrés!X1313</f>
        <v>0</v>
      </c>
      <c r="D1308">
        <f>Sinistrés!L1313</f>
        <v>28.01</v>
      </c>
      <c r="E1308">
        <f>Sinistrés!M1313</f>
        <v>28.01</v>
      </c>
      <c r="F1308">
        <f t="shared" si="40"/>
        <v>0</v>
      </c>
      <c r="G1308">
        <f t="shared" si="41"/>
        <v>1</v>
      </c>
    </row>
    <row r="1309" spans="1:7" hidden="1">
      <c r="A1309" t="str">
        <f>Sinistrés!H1314</f>
        <v xml:space="preserve">Maïs waxy irrigué </v>
      </c>
      <c r="B1309">
        <f>Sinistrés!J1314</f>
        <v>8058.05</v>
      </c>
      <c r="C1309">
        <f>Sinistrés!X1314</f>
        <v>0</v>
      </c>
      <c r="D1309">
        <f>Sinistrés!L1314</f>
        <v>3.5</v>
      </c>
      <c r="E1309">
        <f>Sinistrés!M1314</f>
        <v>3.5</v>
      </c>
      <c r="F1309">
        <f t="shared" si="40"/>
        <v>0</v>
      </c>
      <c r="G1309">
        <f t="shared" si="41"/>
        <v>1</v>
      </c>
    </row>
    <row r="1310" spans="1:7" hidden="1">
      <c r="A1310" t="str">
        <f>Sinistrés!H1315</f>
        <v>Soja</v>
      </c>
      <c r="B1310">
        <f>Sinistrés!J1315</f>
        <v>13250.04</v>
      </c>
      <c r="C1310">
        <f>Sinistrés!X1315</f>
        <v>0</v>
      </c>
      <c r="D1310">
        <f>Sinistrés!L1315</f>
        <v>10.130000000000001</v>
      </c>
      <c r="E1310">
        <f>Sinistrés!M1315</f>
        <v>10.130000000000001</v>
      </c>
      <c r="F1310">
        <f t="shared" si="40"/>
        <v>0</v>
      </c>
      <c r="G1310">
        <f t="shared" si="41"/>
        <v>1</v>
      </c>
    </row>
    <row r="1311" spans="1:7" hidden="1">
      <c r="A1311" t="str">
        <f>Sinistrés!H1316</f>
        <v>Sorgho</v>
      </c>
      <c r="B1311">
        <f>Sinistrés!J1316</f>
        <v>10047.09</v>
      </c>
      <c r="C1311">
        <f>Sinistrés!X1316</f>
        <v>0</v>
      </c>
      <c r="D1311">
        <f>Sinistrés!L1316</f>
        <v>14.23</v>
      </c>
      <c r="E1311">
        <f>Sinistrés!M1316</f>
        <v>14.23</v>
      </c>
      <c r="F1311">
        <f t="shared" si="40"/>
        <v>0</v>
      </c>
      <c r="G1311">
        <f t="shared" si="41"/>
        <v>1</v>
      </c>
    </row>
    <row r="1312" spans="1:7" hidden="1">
      <c r="A1312" t="str">
        <f>Sinistrés!H1317</f>
        <v>Blé tendre d'hiver</v>
      </c>
      <c r="B1312">
        <f>Sinistrés!J1317</f>
        <v>41748.65</v>
      </c>
      <c r="C1312">
        <f>Sinistrés!X1317</f>
        <v>0</v>
      </c>
      <c r="D1312">
        <f>Sinistrés!L1317</f>
        <v>41.63</v>
      </c>
      <c r="E1312">
        <f>Sinistrés!M1317</f>
        <v>41</v>
      </c>
      <c r="F1312">
        <f t="shared" si="40"/>
        <v>0</v>
      </c>
      <c r="G1312">
        <f t="shared" si="41"/>
        <v>0.98486668268075905</v>
      </c>
    </row>
    <row r="1313" spans="1:7" hidden="1">
      <c r="A1313" t="str">
        <f>Sinistrés!H1318</f>
        <v>Maïs grain irrigué</v>
      </c>
      <c r="B1313">
        <f>Sinistrés!J1318</f>
        <v>41644.81</v>
      </c>
      <c r="C1313">
        <f>Sinistrés!X1318</f>
        <v>0</v>
      </c>
      <c r="D1313">
        <f>Sinistrés!L1318</f>
        <v>29.67</v>
      </c>
      <c r="E1313">
        <f>Sinistrés!M1318</f>
        <v>27</v>
      </c>
      <c r="F1313">
        <f t="shared" si="40"/>
        <v>0</v>
      </c>
      <c r="G1313">
        <f t="shared" si="41"/>
        <v>0.91001011122345798</v>
      </c>
    </row>
    <row r="1314" spans="1:7" hidden="1">
      <c r="A1314" t="str">
        <f>Sinistrés!H1319</f>
        <v>Colza d'hiver</v>
      </c>
      <c r="B1314">
        <f>Sinistrés!J1319</f>
        <v>11558.4</v>
      </c>
      <c r="C1314">
        <f>Sinistrés!X1319</f>
        <v>0</v>
      </c>
      <c r="D1314">
        <f>Sinistrés!L1319</f>
        <v>8.9600000000000009</v>
      </c>
      <c r="E1314">
        <f>Sinistrés!M1319</f>
        <v>8.9600000000000009</v>
      </c>
      <c r="F1314">
        <f t="shared" si="40"/>
        <v>0</v>
      </c>
      <c r="G1314">
        <f t="shared" si="41"/>
        <v>1</v>
      </c>
    </row>
    <row r="1315" spans="1:7" hidden="1">
      <c r="A1315" t="str">
        <f>Sinistrés!H1320</f>
        <v>Tournesol</v>
      </c>
      <c r="B1315">
        <f>Sinistrés!J1320</f>
        <v>17770.89</v>
      </c>
      <c r="C1315">
        <f>Sinistrés!X1320</f>
        <v>0</v>
      </c>
      <c r="D1315">
        <f>Sinistrés!L1320</f>
        <v>12.06</v>
      </c>
      <c r="E1315">
        <f>Sinistrés!M1320</f>
        <v>6.2</v>
      </c>
      <c r="F1315">
        <f t="shared" si="40"/>
        <v>0</v>
      </c>
      <c r="G1315">
        <f t="shared" si="41"/>
        <v>0.51409618573797677</v>
      </c>
    </row>
    <row r="1316" spans="1:7">
      <c r="A1316" t="str">
        <f>Sinistrés!H1321</f>
        <v>Orge de printemps</v>
      </c>
      <c r="B1316">
        <f>Sinistrés!J1321</f>
        <v>3992.06</v>
      </c>
      <c r="C1316">
        <f>Sinistrés!X1321</f>
        <v>47.21</v>
      </c>
      <c r="D1316">
        <f>Sinistrés!L1321</f>
        <v>4.13</v>
      </c>
      <c r="E1316">
        <f>Sinistrés!M1321</f>
        <v>5.37</v>
      </c>
      <c r="F1316">
        <f t="shared" si="40"/>
        <v>1.1825974559500609E-2</v>
      </c>
      <c r="G1316">
        <f t="shared" si="41"/>
        <v>1.3002421307506054</v>
      </c>
    </row>
    <row r="1317" spans="1:7" hidden="1">
      <c r="A1317" t="str">
        <f>Sinistrés!H1322</f>
        <v>Orge d'hiver</v>
      </c>
      <c r="B1317">
        <f>Sinistrés!J1322</f>
        <v>5564.52</v>
      </c>
      <c r="C1317">
        <f>Sinistrés!X1322</f>
        <v>0</v>
      </c>
      <c r="D1317">
        <f>Sinistrés!L1322</f>
        <v>5.8</v>
      </c>
      <c r="E1317">
        <f>Sinistrés!M1322</f>
        <v>5.8</v>
      </c>
      <c r="F1317">
        <f t="shared" si="40"/>
        <v>0</v>
      </c>
      <c r="G1317">
        <f t="shared" si="41"/>
        <v>1</v>
      </c>
    </row>
    <row r="1318" spans="1:7" hidden="1">
      <c r="A1318" t="str">
        <f>Sinistrés!H1323</f>
        <v>Blé tendre d'hiver</v>
      </c>
      <c r="B1318">
        <f>Sinistrés!J1323</f>
        <v>9030</v>
      </c>
      <c r="C1318">
        <f>Sinistrés!X1323</f>
        <v>0</v>
      </c>
      <c r="D1318">
        <f>Sinistrés!L1323</f>
        <v>7</v>
      </c>
      <c r="E1318">
        <f>Sinistrés!M1323</f>
        <v>7</v>
      </c>
      <c r="F1318">
        <f t="shared" si="40"/>
        <v>0</v>
      </c>
      <c r="G1318">
        <f t="shared" si="41"/>
        <v>1</v>
      </c>
    </row>
    <row r="1319" spans="1:7">
      <c r="A1319" t="str">
        <f>Sinistrés!H1324</f>
        <v>Pois protéagineux</v>
      </c>
      <c r="B1319">
        <f>Sinistrés!J1324</f>
        <v>10373.629999999999</v>
      </c>
      <c r="C1319">
        <f>Sinistrés!X1324</f>
        <v>952.15</v>
      </c>
      <c r="D1319">
        <f>Sinistrés!L1324</f>
        <v>11.04</v>
      </c>
      <c r="E1319">
        <f>Sinistrés!M1324</f>
        <v>6.25</v>
      </c>
      <c r="F1319">
        <f t="shared" si="40"/>
        <v>9.1785614100367952E-2</v>
      </c>
      <c r="G1319">
        <f t="shared" si="41"/>
        <v>0.56612318840579712</v>
      </c>
    </row>
    <row r="1320" spans="1:7" hidden="1">
      <c r="A1320" t="str">
        <f>Sinistrés!H1325</f>
        <v>Blé dur d'hiver</v>
      </c>
      <c r="B1320">
        <f>Sinistrés!J1325</f>
        <v>16807.189999999999</v>
      </c>
      <c r="C1320">
        <f>Sinistrés!X1325</f>
        <v>0</v>
      </c>
      <c r="D1320">
        <f>Sinistrés!L1325</f>
        <v>11.44</v>
      </c>
      <c r="E1320">
        <f>Sinistrés!M1325</f>
        <v>11.44</v>
      </c>
      <c r="F1320">
        <f t="shared" si="40"/>
        <v>0</v>
      </c>
      <c r="G1320">
        <f t="shared" si="41"/>
        <v>1</v>
      </c>
    </row>
    <row r="1321" spans="1:7" hidden="1">
      <c r="A1321" t="str">
        <f>Sinistrés!H1326</f>
        <v>Blé tendre d'hiver</v>
      </c>
      <c r="B1321">
        <f>Sinistrés!J1326</f>
        <v>44014.23</v>
      </c>
      <c r="C1321">
        <f>Sinistrés!X1326</f>
        <v>0</v>
      </c>
      <c r="D1321">
        <f>Sinistrés!L1326</f>
        <v>37.25</v>
      </c>
      <c r="E1321">
        <f>Sinistrés!M1326</f>
        <v>37.24</v>
      </c>
      <c r="F1321">
        <f t="shared" si="40"/>
        <v>0</v>
      </c>
      <c r="G1321">
        <f t="shared" si="41"/>
        <v>0.99973154362416117</v>
      </c>
    </row>
    <row r="1322" spans="1:7" hidden="1">
      <c r="A1322" t="str">
        <f>Sinistrés!H1327</f>
        <v>Colza d'hiver</v>
      </c>
      <c r="B1322">
        <f>Sinistrés!J1327</f>
        <v>32866.519999999997</v>
      </c>
      <c r="C1322">
        <f>Sinistrés!X1327</f>
        <v>0</v>
      </c>
      <c r="D1322">
        <f>Sinistrés!L1327</f>
        <v>25.24</v>
      </c>
      <c r="E1322">
        <f>Sinistrés!M1327</f>
        <v>25.24</v>
      </c>
      <c r="F1322">
        <f t="shared" si="40"/>
        <v>0</v>
      </c>
      <c r="G1322">
        <f t="shared" si="41"/>
        <v>1</v>
      </c>
    </row>
    <row r="1323" spans="1:7" hidden="1">
      <c r="A1323" t="str">
        <f>Sinistrés!H1328</f>
        <v>Orge d'hiver</v>
      </c>
      <c r="B1323">
        <f>Sinistrés!J1328</f>
        <v>7078.33</v>
      </c>
      <c r="C1323">
        <f>Sinistrés!X1328</f>
        <v>0</v>
      </c>
      <c r="D1323">
        <f>Sinistrés!L1328</f>
        <v>6.76</v>
      </c>
      <c r="E1323">
        <f>Sinistrés!M1328</f>
        <v>6.41</v>
      </c>
      <c r="F1323">
        <f t="shared" si="40"/>
        <v>0</v>
      </c>
      <c r="G1323">
        <f t="shared" si="41"/>
        <v>0.94822485207100593</v>
      </c>
    </row>
    <row r="1324" spans="1:7" hidden="1">
      <c r="A1324" t="str">
        <f>Sinistrés!H1329</f>
        <v>Colza d'hiver</v>
      </c>
      <c r="B1324">
        <f>Sinistrés!J1329</f>
        <v>7462</v>
      </c>
      <c r="C1324">
        <f>Sinistrés!X1329</f>
        <v>0</v>
      </c>
      <c r="D1324">
        <f>Sinistrés!L1329</f>
        <v>4.55</v>
      </c>
      <c r="E1324">
        <f>Sinistrés!M1329</f>
        <v>4.55</v>
      </c>
      <c r="F1324">
        <f t="shared" si="40"/>
        <v>0</v>
      </c>
      <c r="G1324">
        <f t="shared" si="41"/>
        <v>1</v>
      </c>
    </row>
    <row r="1325" spans="1:7" hidden="1">
      <c r="A1325" t="str">
        <f>Sinistrés!H1330</f>
        <v>Blé dur d'hiver</v>
      </c>
      <c r="B1325">
        <f>Sinistrés!J1330</f>
        <v>40600.620000000003</v>
      </c>
      <c r="C1325">
        <f>Sinistrés!X1330</f>
        <v>0</v>
      </c>
      <c r="D1325">
        <f>Sinistrés!L1330</f>
        <v>21.38</v>
      </c>
      <c r="E1325">
        <f>Sinistrés!M1330</f>
        <v>21.38</v>
      </c>
      <c r="F1325">
        <f t="shared" si="40"/>
        <v>0</v>
      </c>
      <c r="G1325">
        <f t="shared" si="41"/>
        <v>1</v>
      </c>
    </row>
    <row r="1326" spans="1:7" hidden="1">
      <c r="A1326" t="str">
        <f>Sinistrés!H1331</f>
        <v>Blé tendre d'hiver semences</v>
      </c>
      <c r="B1326">
        <f>Sinistrés!J1331</f>
        <v>39694.449999999997</v>
      </c>
      <c r="C1326">
        <f>Sinistrés!X1331</f>
        <v>0</v>
      </c>
      <c r="D1326">
        <f>Sinistrés!L1331</f>
        <v>26.97</v>
      </c>
      <c r="E1326">
        <f>Sinistrés!M1331</f>
        <v>26.97</v>
      </c>
      <c r="F1326">
        <f t="shared" si="40"/>
        <v>0</v>
      </c>
      <c r="G1326">
        <f t="shared" si="41"/>
        <v>1</v>
      </c>
    </row>
    <row r="1327" spans="1:7" hidden="1">
      <c r="A1327" t="str">
        <f>Sinistrés!H1332</f>
        <v>Orge de printemps</v>
      </c>
      <c r="B1327">
        <f>Sinistrés!J1332</f>
        <v>14952.4</v>
      </c>
      <c r="C1327">
        <f>Sinistrés!X1332</f>
        <v>0</v>
      </c>
      <c r="D1327">
        <f>Sinistrés!L1332</f>
        <v>12.89</v>
      </c>
      <c r="E1327">
        <f>Sinistrés!M1332</f>
        <v>12.89</v>
      </c>
      <c r="F1327">
        <f t="shared" si="40"/>
        <v>0</v>
      </c>
      <c r="G1327">
        <f t="shared" si="41"/>
        <v>1</v>
      </c>
    </row>
    <row r="1328" spans="1:7">
      <c r="A1328" t="str">
        <f>Sinistrés!H1333</f>
        <v>Orge d'hiver</v>
      </c>
      <c r="B1328">
        <f>Sinistrés!J1333</f>
        <v>40843.24</v>
      </c>
      <c r="C1328">
        <f>Sinistrés!X1333</f>
        <v>113.07</v>
      </c>
      <c r="D1328">
        <f>Sinistrés!L1333</f>
        <v>32.97</v>
      </c>
      <c r="E1328">
        <f>Sinistrés!M1333</f>
        <v>32.97</v>
      </c>
      <c r="F1328">
        <f t="shared" si="40"/>
        <v>2.7683895792792149E-3</v>
      </c>
      <c r="G1328">
        <f t="shared" si="41"/>
        <v>1</v>
      </c>
    </row>
    <row r="1329" spans="1:7" hidden="1">
      <c r="A1329" t="str">
        <f>Sinistrés!H1334</f>
        <v>Avoine d'hiver</v>
      </c>
      <c r="B1329">
        <f>Sinistrés!J1334</f>
        <v>9742.5</v>
      </c>
      <c r="C1329">
        <f>Sinistrés!X1334</f>
        <v>0</v>
      </c>
      <c r="D1329">
        <f>Sinistrés!L1334</f>
        <v>15</v>
      </c>
      <c r="E1329">
        <f>Sinistrés!M1334</f>
        <v>15</v>
      </c>
      <c r="F1329">
        <f t="shared" si="40"/>
        <v>0</v>
      </c>
      <c r="G1329">
        <f t="shared" si="41"/>
        <v>1</v>
      </c>
    </row>
    <row r="1330" spans="1:7" hidden="1">
      <c r="A1330" t="str">
        <f>Sinistrés!H1335</f>
        <v>Blé tendre d'hiver</v>
      </c>
      <c r="B1330">
        <f>Sinistrés!J1335</f>
        <v>30420</v>
      </c>
      <c r="C1330">
        <f>Sinistrés!X1335</f>
        <v>0</v>
      </c>
      <c r="D1330">
        <f>Sinistrés!L1335</f>
        <v>26</v>
      </c>
      <c r="E1330">
        <f>Sinistrés!M1335</f>
        <v>26</v>
      </c>
      <c r="F1330">
        <f t="shared" si="40"/>
        <v>0</v>
      </c>
      <c r="G1330">
        <f t="shared" si="41"/>
        <v>1</v>
      </c>
    </row>
    <row r="1331" spans="1:7" hidden="1">
      <c r="A1331" t="str">
        <f>Sinistrés!H1336</f>
        <v>Colza d'hiver</v>
      </c>
      <c r="B1331">
        <f>Sinistrés!J1336</f>
        <v>39730.5</v>
      </c>
      <c r="C1331">
        <f>Sinistrés!X1336</f>
        <v>0</v>
      </c>
      <c r="D1331">
        <f>Sinistrés!L1336</f>
        <v>27</v>
      </c>
      <c r="E1331">
        <f>Sinistrés!M1336</f>
        <v>27</v>
      </c>
      <c r="F1331">
        <f t="shared" si="40"/>
        <v>0</v>
      </c>
      <c r="G1331">
        <f t="shared" si="41"/>
        <v>1</v>
      </c>
    </row>
    <row r="1332" spans="1:7" hidden="1">
      <c r="A1332" t="str">
        <f>Sinistrés!H1337</f>
        <v>Orge d'hiver</v>
      </c>
      <c r="B1332">
        <f>Sinistrés!J1337</f>
        <v>23460</v>
      </c>
      <c r="C1332">
        <f>Sinistrés!X1337</f>
        <v>0</v>
      </c>
      <c r="D1332">
        <f>Sinistrés!L1337</f>
        <v>23</v>
      </c>
      <c r="E1332">
        <f>Sinistrés!M1337</f>
        <v>23</v>
      </c>
      <c r="F1332">
        <f t="shared" si="40"/>
        <v>0</v>
      </c>
      <c r="G1332">
        <f t="shared" si="41"/>
        <v>1</v>
      </c>
    </row>
    <row r="1333" spans="1:7" hidden="1">
      <c r="A1333" t="str">
        <f>Sinistrés!H1338</f>
        <v>Seigle et méteil SEMENCES</v>
      </c>
      <c r="B1333">
        <f>Sinistrés!J1338</f>
        <v>3027.36</v>
      </c>
      <c r="C1333">
        <f>Sinistrés!X1338</f>
        <v>0</v>
      </c>
      <c r="D1333">
        <f>Sinistrés!L1338</f>
        <v>5.3</v>
      </c>
      <c r="E1333">
        <f>Sinistrés!M1338</f>
        <v>5.3</v>
      </c>
      <c r="F1333">
        <f t="shared" si="40"/>
        <v>0</v>
      </c>
      <c r="G1333">
        <f t="shared" si="41"/>
        <v>1</v>
      </c>
    </row>
    <row r="1334" spans="1:7" hidden="1">
      <c r="A1334" t="str">
        <f>Sinistrés!H1339</f>
        <v>Triticale</v>
      </c>
      <c r="B1334">
        <f>Sinistrés!J1339</f>
        <v>41684</v>
      </c>
      <c r="C1334">
        <f>Sinistrés!X1339</f>
        <v>0</v>
      </c>
      <c r="D1334">
        <f>Sinistrés!L1339</f>
        <v>40</v>
      </c>
      <c r="E1334">
        <f>Sinistrés!M1339</f>
        <v>40</v>
      </c>
      <c r="F1334">
        <f t="shared" si="40"/>
        <v>0</v>
      </c>
      <c r="G1334">
        <f t="shared" si="41"/>
        <v>1</v>
      </c>
    </row>
    <row r="1335" spans="1:7" hidden="1">
      <c r="A1335" t="str">
        <f>Sinistrés!H1340</f>
        <v>Lentilles</v>
      </c>
      <c r="B1335">
        <f>Sinistrés!J1340</f>
        <v>2640</v>
      </c>
      <c r="C1335">
        <f>Sinistrés!X1340</f>
        <v>0</v>
      </c>
      <c r="D1335">
        <f>Sinistrés!L1340</f>
        <v>5</v>
      </c>
      <c r="E1335">
        <f>Sinistrés!M1340</f>
        <v>5</v>
      </c>
      <c r="F1335">
        <f t="shared" si="40"/>
        <v>0</v>
      </c>
      <c r="G1335">
        <f t="shared" si="41"/>
        <v>1</v>
      </c>
    </row>
    <row r="1336" spans="1:7">
      <c r="A1336" t="str">
        <f>Sinistrés!H1341</f>
        <v>Tournesol</v>
      </c>
      <c r="B1336">
        <f>Sinistrés!J1341</f>
        <v>47805.68</v>
      </c>
      <c r="C1336">
        <f>Sinistrés!X1341</f>
        <v>8388.98</v>
      </c>
      <c r="D1336">
        <f>Sinistrés!L1341</f>
        <v>38.630000000000003</v>
      </c>
      <c r="E1336">
        <f>Sinistrés!M1341</f>
        <v>53.45</v>
      </c>
      <c r="F1336">
        <f t="shared" si="40"/>
        <v>0.17548082152581032</v>
      </c>
      <c r="G1336">
        <f t="shared" si="41"/>
        <v>1.3836396582966606</v>
      </c>
    </row>
    <row r="1337" spans="1:7">
      <c r="A1337" t="str">
        <f>Sinistrés!H1342</f>
        <v>Maïs grain non irrigué</v>
      </c>
      <c r="B1337">
        <f>Sinistrés!J1342</f>
        <v>27982.26</v>
      </c>
      <c r="C1337">
        <f>Sinistrés!X1342</f>
        <v>7475.45</v>
      </c>
      <c r="D1337">
        <f>Sinistrés!L1342</f>
        <v>30.04</v>
      </c>
      <c r="E1337">
        <f>Sinistrés!M1342</f>
        <v>30.04</v>
      </c>
      <c r="F1337">
        <f t="shared" si="40"/>
        <v>0.26714961550639582</v>
      </c>
      <c r="G1337">
        <f t="shared" si="41"/>
        <v>1</v>
      </c>
    </row>
    <row r="1338" spans="1:7">
      <c r="A1338" t="str">
        <f>Sinistrés!H1343</f>
        <v>Pois protéagineux</v>
      </c>
      <c r="B1338">
        <f>Sinistrés!J1343</f>
        <v>10867.86</v>
      </c>
      <c r="C1338">
        <f>Sinistrés!X1343</f>
        <v>3275.33</v>
      </c>
      <c r="D1338">
        <f>Sinistrés!L1343</f>
        <v>12.74</v>
      </c>
      <c r="E1338">
        <f>Sinistrés!M1343</f>
        <v>12.74</v>
      </c>
      <c r="F1338">
        <f t="shared" si="40"/>
        <v>0.30137764012418267</v>
      </c>
      <c r="G1338">
        <f t="shared" si="41"/>
        <v>1</v>
      </c>
    </row>
    <row r="1339" spans="1:7" hidden="1">
      <c r="A1339" t="str">
        <f>Sinistrés!H1344</f>
        <v>Blé tendre d'hiver</v>
      </c>
      <c r="B1339">
        <f>Sinistrés!J1344</f>
        <v>77160.710000000006</v>
      </c>
      <c r="C1339">
        <f>Sinistrés!X1344</f>
        <v>0</v>
      </c>
      <c r="D1339">
        <f>Sinistrés!L1344</f>
        <v>70.37</v>
      </c>
      <c r="E1339">
        <f>Sinistrés!M1344</f>
        <v>70.37</v>
      </c>
      <c r="F1339">
        <f t="shared" si="40"/>
        <v>0</v>
      </c>
      <c r="G1339">
        <f t="shared" si="41"/>
        <v>1</v>
      </c>
    </row>
    <row r="1340" spans="1:7" hidden="1">
      <c r="A1340" t="str">
        <f>Sinistrés!H1345</f>
        <v>Blé tendre d'hiver BIO</v>
      </c>
      <c r="B1340">
        <f>Sinistrés!J1345</f>
        <v>24523.61</v>
      </c>
      <c r="C1340">
        <f>Sinistrés!X1345</f>
        <v>250.39</v>
      </c>
      <c r="D1340">
        <f>Sinistrés!L1345</f>
        <v>22.48</v>
      </c>
      <c r="E1340">
        <f>Sinistrés!M1345</f>
        <v>22.48</v>
      </c>
      <c r="F1340">
        <f t="shared" si="40"/>
        <v>1.0210160738977661E-2</v>
      </c>
      <c r="G1340">
        <f t="shared" si="41"/>
        <v>1</v>
      </c>
    </row>
    <row r="1341" spans="1:7" hidden="1">
      <c r="A1341" t="str">
        <f>Sinistrés!H1346</f>
        <v>Colza d'hiver BIO</v>
      </c>
      <c r="B1341">
        <f>Sinistrés!J1346</f>
        <v>13896</v>
      </c>
      <c r="C1341">
        <f>Sinistrés!X1346</f>
        <v>0</v>
      </c>
      <c r="D1341">
        <f>Sinistrés!L1346</f>
        <v>9</v>
      </c>
      <c r="E1341">
        <f>Sinistrés!M1346</f>
        <v>9</v>
      </c>
      <c r="F1341">
        <f t="shared" si="40"/>
        <v>0</v>
      </c>
      <c r="G1341">
        <f t="shared" si="41"/>
        <v>1</v>
      </c>
    </row>
    <row r="1342" spans="1:7" hidden="1">
      <c r="A1342" t="str">
        <f>Sinistrés!H1347</f>
        <v>Blé tendre d'hiver</v>
      </c>
      <c r="B1342">
        <f>Sinistrés!J1347</f>
        <v>25768.14</v>
      </c>
      <c r="C1342">
        <f>Sinistrés!X1347</f>
        <v>0</v>
      </c>
      <c r="D1342">
        <f>Sinistrés!L1347</f>
        <v>23.87</v>
      </c>
      <c r="E1342">
        <f>Sinistrés!M1347</f>
        <v>23.87</v>
      </c>
      <c r="F1342">
        <f t="shared" si="40"/>
        <v>0</v>
      </c>
      <c r="G1342">
        <f t="shared" si="41"/>
        <v>1</v>
      </c>
    </row>
    <row r="1343" spans="1:7" hidden="1">
      <c r="A1343" t="str">
        <f>Sinistrés!H1348</f>
        <v>Orge de printemps</v>
      </c>
      <c r="B1343">
        <f>Sinistrés!J1348</f>
        <v>13807.52</v>
      </c>
      <c r="C1343">
        <f>Sinistrés!X1348</f>
        <v>0</v>
      </c>
      <c r="D1343">
        <f>Sinistrés!L1348</f>
        <v>15.71</v>
      </c>
      <c r="E1343">
        <f>Sinistrés!M1348</f>
        <v>15.71</v>
      </c>
      <c r="F1343">
        <f t="shared" si="40"/>
        <v>0</v>
      </c>
      <c r="G1343">
        <f t="shared" si="41"/>
        <v>1</v>
      </c>
    </row>
    <row r="1344" spans="1:7" hidden="1">
      <c r="A1344" t="str">
        <f>Sinistrés!H1349</f>
        <v>Soja</v>
      </c>
      <c r="B1344">
        <f>Sinistrés!J1349</f>
        <v>13840</v>
      </c>
      <c r="C1344">
        <f>Sinistrés!X1349</f>
        <v>0</v>
      </c>
      <c r="D1344">
        <f>Sinistrés!L1349</f>
        <v>10</v>
      </c>
      <c r="E1344">
        <f>Sinistrés!M1349</f>
        <v>10</v>
      </c>
      <c r="F1344">
        <f t="shared" si="40"/>
        <v>0</v>
      </c>
      <c r="G1344">
        <f t="shared" si="41"/>
        <v>1</v>
      </c>
    </row>
    <row r="1345" spans="1:7" hidden="1">
      <c r="A1345" t="str">
        <f>Sinistrés!H1350</f>
        <v>Maïs grain non irrigué</v>
      </c>
      <c r="B1345">
        <f>Sinistrés!J1350</f>
        <v>30810</v>
      </c>
      <c r="C1345">
        <f>Sinistrés!X1350</f>
        <v>0</v>
      </c>
      <c r="D1345">
        <f>Sinistrés!L1350</f>
        <v>15</v>
      </c>
      <c r="E1345">
        <f>Sinistrés!M1350</f>
        <v>5</v>
      </c>
      <c r="F1345">
        <f t="shared" si="40"/>
        <v>0</v>
      </c>
      <c r="G1345">
        <f t="shared" si="41"/>
        <v>0.33333333333333331</v>
      </c>
    </row>
    <row r="1346" spans="1:7" hidden="1">
      <c r="A1346" t="str">
        <f>Sinistrés!H1351</f>
        <v>Blé tendre d'hiver</v>
      </c>
      <c r="B1346">
        <f>Sinistrés!J1351</f>
        <v>8000</v>
      </c>
      <c r="C1346">
        <f>Sinistrés!X1351</f>
        <v>0</v>
      </c>
      <c r="D1346">
        <f>Sinistrés!L1351</f>
        <v>5</v>
      </c>
      <c r="E1346">
        <f>Sinistrés!M1351</f>
        <v>5</v>
      </c>
      <c r="F1346">
        <f t="shared" si="40"/>
        <v>0</v>
      </c>
      <c r="G1346">
        <f t="shared" si="41"/>
        <v>1</v>
      </c>
    </row>
    <row r="1347" spans="1:7" hidden="1">
      <c r="A1347" t="str">
        <f>Sinistrés!H1352</f>
        <v>Colza d'hiver</v>
      </c>
      <c r="B1347">
        <f>Sinistrés!J1352</f>
        <v>12240</v>
      </c>
      <c r="C1347">
        <f>Sinistrés!X1352</f>
        <v>0</v>
      </c>
      <c r="D1347">
        <f>Sinistrés!L1352</f>
        <v>8</v>
      </c>
      <c r="E1347">
        <f>Sinistrés!M1352</f>
        <v>8</v>
      </c>
      <c r="F1347">
        <f t="shared" ref="F1347:F1410" si="42">C1347/B1347</f>
        <v>0</v>
      </c>
      <c r="G1347">
        <f t="shared" ref="G1347:G1410" si="43">E1347/D1347</f>
        <v>1</v>
      </c>
    </row>
    <row r="1348" spans="1:7" hidden="1">
      <c r="A1348" t="str">
        <f>Sinistrés!H1353</f>
        <v>Orge d'hiver</v>
      </c>
      <c r="B1348">
        <f>Sinistrés!J1353</f>
        <v>8430</v>
      </c>
      <c r="C1348">
        <f>Sinistrés!X1353</f>
        <v>0</v>
      </c>
      <c r="D1348">
        <f>Sinistrés!L1353</f>
        <v>10</v>
      </c>
      <c r="E1348">
        <f>Sinistrés!M1353</f>
        <v>10</v>
      </c>
      <c r="F1348">
        <f t="shared" si="42"/>
        <v>0</v>
      </c>
      <c r="G1348">
        <f t="shared" si="43"/>
        <v>1</v>
      </c>
    </row>
    <row r="1349" spans="1:7" hidden="1">
      <c r="A1349" t="str">
        <f>Sinistrés!H1354</f>
        <v>Blé tendre d'hiver</v>
      </c>
      <c r="B1349">
        <f>Sinistrés!J1354</f>
        <v>76966.39</v>
      </c>
      <c r="C1349">
        <f>Sinistrés!X1354</f>
        <v>0</v>
      </c>
      <c r="D1349">
        <f>Sinistrés!L1354</f>
        <v>59.24</v>
      </c>
      <c r="E1349">
        <f>Sinistrés!M1354</f>
        <v>59.24</v>
      </c>
      <c r="F1349">
        <f t="shared" si="42"/>
        <v>0</v>
      </c>
      <c r="G1349">
        <f t="shared" si="43"/>
        <v>1</v>
      </c>
    </row>
    <row r="1350" spans="1:7" hidden="1">
      <c r="A1350" t="str">
        <f>Sinistrés!H1355</f>
        <v>Colza d'hiver</v>
      </c>
      <c r="B1350">
        <f>Sinistrés!J1355</f>
        <v>40095.08</v>
      </c>
      <c r="C1350">
        <f>Sinistrés!X1355</f>
        <v>0</v>
      </c>
      <c r="D1350">
        <f>Sinistrés!L1355</f>
        <v>27.27</v>
      </c>
      <c r="E1350">
        <f>Sinistrés!M1355</f>
        <v>27.27</v>
      </c>
      <c r="F1350">
        <f t="shared" si="42"/>
        <v>0</v>
      </c>
      <c r="G1350">
        <f t="shared" si="43"/>
        <v>1</v>
      </c>
    </row>
    <row r="1351" spans="1:7" hidden="1">
      <c r="A1351" t="str">
        <f>Sinistrés!H1356</f>
        <v>Orge d'hiver</v>
      </c>
      <c r="B1351">
        <f>Sinistrés!J1356</f>
        <v>18512.259999999998</v>
      </c>
      <c r="C1351">
        <f>Sinistrés!X1356</f>
        <v>0</v>
      </c>
      <c r="D1351">
        <f>Sinistrés!L1356</f>
        <v>17.04</v>
      </c>
      <c r="E1351">
        <f>Sinistrés!M1356</f>
        <v>17.04</v>
      </c>
      <c r="F1351">
        <f t="shared" si="42"/>
        <v>0</v>
      </c>
      <c r="G1351">
        <f t="shared" si="43"/>
        <v>1</v>
      </c>
    </row>
    <row r="1352" spans="1:7" hidden="1">
      <c r="A1352" t="str">
        <f>Sinistrés!H1357</f>
        <v>Blé tendre d'hiver</v>
      </c>
      <c r="B1352">
        <f>Sinistrés!J1357</f>
        <v>49747.71</v>
      </c>
      <c r="C1352">
        <f>Sinistrés!X1357</f>
        <v>0</v>
      </c>
      <c r="D1352">
        <f>Sinistrés!L1357</f>
        <v>39.76</v>
      </c>
      <c r="E1352">
        <f>Sinistrés!M1357</f>
        <v>39.76</v>
      </c>
      <c r="F1352">
        <f t="shared" si="42"/>
        <v>0</v>
      </c>
      <c r="G1352">
        <f t="shared" si="43"/>
        <v>1</v>
      </c>
    </row>
    <row r="1353" spans="1:7" hidden="1">
      <c r="A1353" t="str">
        <f>Sinistrés!H1358</f>
        <v>Colza d'hiver</v>
      </c>
      <c r="B1353">
        <f>Sinistrés!J1358</f>
        <v>67501.149999999994</v>
      </c>
      <c r="C1353">
        <f>Sinistrés!X1358</f>
        <v>0</v>
      </c>
      <c r="D1353">
        <f>Sinistrés!L1358</f>
        <v>62.11</v>
      </c>
      <c r="E1353">
        <f>Sinistrés!M1358</f>
        <v>62.11</v>
      </c>
      <c r="F1353">
        <f t="shared" si="42"/>
        <v>0</v>
      </c>
      <c r="G1353">
        <f t="shared" si="43"/>
        <v>1</v>
      </c>
    </row>
    <row r="1354" spans="1:7" hidden="1">
      <c r="A1354" t="str">
        <f>Sinistrés!H1359</f>
        <v>Orge d'hiver</v>
      </c>
      <c r="B1354">
        <f>Sinistrés!J1359</f>
        <v>26533.26</v>
      </c>
      <c r="C1354">
        <f>Sinistrés!X1359</f>
        <v>0</v>
      </c>
      <c r="D1354">
        <f>Sinistrés!L1359</f>
        <v>33.35</v>
      </c>
      <c r="E1354">
        <f>Sinistrés!M1359</f>
        <v>33.35</v>
      </c>
      <c r="F1354">
        <f t="shared" si="42"/>
        <v>0</v>
      </c>
      <c r="G1354">
        <f t="shared" si="43"/>
        <v>1</v>
      </c>
    </row>
    <row r="1355" spans="1:7" hidden="1">
      <c r="A1355" t="str">
        <f>Sinistrés!H1360</f>
        <v>Blé tendre d'hiver</v>
      </c>
      <c r="B1355">
        <f>Sinistrés!J1360</f>
        <v>59696</v>
      </c>
      <c r="C1355">
        <f>Sinistrés!X1360</f>
        <v>0</v>
      </c>
      <c r="D1355">
        <f>Sinistrés!L1360</f>
        <v>70</v>
      </c>
      <c r="E1355">
        <f>Sinistrés!M1360</f>
        <v>70</v>
      </c>
      <c r="F1355">
        <f t="shared" si="42"/>
        <v>0</v>
      </c>
      <c r="G1355">
        <f t="shared" si="43"/>
        <v>1</v>
      </c>
    </row>
    <row r="1356" spans="1:7" hidden="1">
      <c r="A1356" t="str">
        <f>Sinistrés!H1361</f>
        <v>Colza d'hiver</v>
      </c>
      <c r="B1356">
        <f>Sinistrés!J1361</f>
        <v>22253</v>
      </c>
      <c r="C1356">
        <f>Sinistrés!X1361</f>
        <v>0</v>
      </c>
      <c r="D1356">
        <f>Sinistrés!L1361</f>
        <v>22</v>
      </c>
      <c r="E1356">
        <f>Sinistrés!M1361</f>
        <v>22</v>
      </c>
      <c r="F1356">
        <f t="shared" si="42"/>
        <v>0</v>
      </c>
      <c r="G1356">
        <f t="shared" si="43"/>
        <v>1</v>
      </c>
    </row>
    <row r="1357" spans="1:7" hidden="1">
      <c r="A1357" t="str">
        <f>Sinistrés!H1362</f>
        <v>Orge d'hiver</v>
      </c>
      <c r="B1357">
        <f>Sinistrés!J1362</f>
        <v>30976</v>
      </c>
      <c r="C1357">
        <f>Sinistrés!X1362</f>
        <v>0</v>
      </c>
      <c r="D1357">
        <f>Sinistrés!L1362</f>
        <v>40</v>
      </c>
      <c r="E1357">
        <f>Sinistrés!M1362</f>
        <v>40</v>
      </c>
      <c r="F1357">
        <f t="shared" si="42"/>
        <v>0</v>
      </c>
      <c r="G1357">
        <f t="shared" si="43"/>
        <v>1</v>
      </c>
    </row>
    <row r="1358" spans="1:7" hidden="1">
      <c r="A1358" t="str">
        <f>Sinistrés!H1363</f>
        <v>Maïs ensilage non irrigué</v>
      </c>
      <c r="B1358">
        <f>Sinistrés!J1363</f>
        <v>12306</v>
      </c>
      <c r="C1358">
        <f>Sinistrés!X1363</f>
        <v>0</v>
      </c>
      <c r="D1358">
        <f>Sinistrés!L1363</f>
        <v>15</v>
      </c>
      <c r="E1358">
        <f>Sinistrés!M1363</f>
        <v>8</v>
      </c>
      <c r="F1358">
        <f t="shared" si="42"/>
        <v>0</v>
      </c>
      <c r="G1358">
        <f t="shared" si="43"/>
        <v>0.53333333333333333</v>
      </c>
    </row>
    <row r="1359" spans="1:7" hidden="1">
      <c r="A1359" t="str">
        <f>Sinistrés!H1364</f>
        <v>Blé tendre d'hiver</v>
      </c>
      <c r="B1359">
        <f>Sinistrés!J1364</f>
        <v>59699.21</v>
      </c>
      <c r="C1359">
        <f>Sinistrés!X1364</f>
        <v>0</v>
      </c>
      <c r="D1359">
        <f>Sinistrés!L1364</f>
        <v>48.99</v>
      </c>
      <c r="E1359">
        <f>Sinistrés!M1364</f>
        <v>48.99</v>
      </c>
      <c r="F1359">
        <f t="shared" si="42"/>
        <v>0</v>
      </c>
      <c r="G1359">
        <f t="shared" si="43"/>
        <v>1</v>
      </c>
    </row>
    <row r="1360" spans="1:7" hidden="1">
      <c r="A1360" t="str">
        <f>Sinistrés!H1365</f>
        <v>Avoine d'hiver SEMENCES</v>
      </c>
      <c r="B1360">
        <f>Sinistrés!J1365</f>
        <v>3651.9</v>
      </c>
      <c r="C1360">
        <f>Sinistrés!X1365</f>
        <v>0</v>
      </c>
      <c r="D1360">
        <f>Sinistrés!L1365</f>
        <v>7</v>
      </c>
      <c r="E1360">
        <f>Sinistrés!M1365</f>
        <v>7</v>
      </c>
      <c r="F1360">
        <f t="shared" si="42"/>
        <v>0</v>
      </c>
      <c r="G1360">
        <f t="shared" si="43"/>
        <v>1</v>
      </c>
    </row>
    <row r="1361" spans="1:7" hidden="1">
      <c r="A1361" t="str">
        <f>Sinistrés!H1366</f>
        <v>Orge d'hiver</v>
      </c>
      <c r="B1361">
        <f>Sinistrés!J1366</f>
        <v>14631.89</v>
      </c>
      <c r="C1361">
        <f>Sinistrés!X1366</f>
        <v>0</v>
      </c>
      <c r="D1361">
        <f>Sinistrés!L1366</f>
        <v>15.73</v>
      </c>
      <c r="E1361">
        <f>Sinistrés!M1366</f>
        <v>15.73</v>
      </c>
      <c r="F1361">
        <f t="shared" si="42"/>
        <v>0</v>
      </c>
      <c r="G1361">
        <f t="shared" si="43"/>
        <v>1</v>
      </c>
    </row>
    <row r="1362" spans="1:7">
      <c r="A1362" t="str">
        <f>Sinistrés!H1367</f>
        <v>Blé tendre d'hiver</v>
      </c>
      <c r="B1362">
        <f>Sinistrés!J1367</f>
        <v>10494</v>
      </c>
      <c r="C1362">
        <f>Sinistrés!X1367</f>
        <v>617.34</v>
      </c>
      <c r="D1362">
        <f>Sinistrés!L1367</f>
        <v>9</v>
      </c>
      <c r="E1362">
        <f>Sinistrés!M1367</f>
        <v>9</v>
      </c>
      <c r="F1362">
        <f t="shared" si="42"/>
        <v>5.8827901658090341E-2</v>
      </c>
      <c r="G1362">
        <f t="shared" si="43"/>
        <v>1</v>
      </c>
    </row>
    <row r="1363" spans="1:7" hidden="1">
      <c r="A1363" t="str">
        <f>Sinistrés!H1368</f>
        <v>Avoine de printemps</v>
      </c>
      <c r="B1363">
        <f>Sinistrés!J1368</f>
        <v>9795.5</v>
      </c>
      <c r="C1363">
        <f>Sinistrés!X1368</f>
        <v>0</v>
      </c>
      <c r="D1363">
        <f>Sinistrés!L1368</f>
        <v>11</v>
      </c>
      <c r="E1363">
        <f>Sinistrés!M1368</f>
        <v>11.16</v>
      </c>
      <c r="F1363">
        <f t="shared" si="42"/>
        <v>0</v>
      </c>
      <c r="G1363">
        <f t="shared" si="43"/>
        <v>1.0145454545454546</v>
      </c>
    </row>
    <row r="1364" spans="1:7" hidden="1">
      <c r="A1364" t="str">
        <f>Sinistrés!H1369</f>
        <v>Tournesol SEMENCES</v>
      </c>
      <c r="B1364">
        <f>Sinistrés!J1369</f>
        <v>42000</v>
      </c>
      <c r="C1364">
        <f>Sinistrés!X1369</f>
        <v>0</v>
      </c>
      <c r="D1364">
        <f>Sinistrés!L1369</f>
        <v>12</v>
      </c>
      <c r="E1364">
        <f>Sinistrés!M1369</f>
        <v>12</v>
      </c>
      <c r="F1364">
        <f t="shared" si="42"/>
        <v>0</v>
      </c>
      <c r="G1364">
        <f t="shared" si="43"/>
        <v>1</v>
      </c>
    </row>
    <row r="1365" spans="1:7" hidden="1">
      <c r="A1365" t="str">
        <f>Sinistrés!H1370</f>
        <v>Orge d'hiver</v>
      </c>
      <c r="B1365">
        <f>Sinistrés!J1370</f>
        <v>5000.9399999999996</v>
      </c>
      <c r="C1365">
        <f>Sinistrés!X1370</f>
        <v>0</v>
      </c>
      <c r="D1365">
        <f>Sinistrés!L1370</f>
        <v>4.9000000000000004</v>
      </c>
      <c r="E1365">
        <f>Sinistrés!M1370</f>
        <v>4.9000000000000004</v>
      </c>
      <c r="F1365">
        <f t="shared" si="42"/>
        <v>0</v>
      </c>
      <c r="G1365">
        <f t="shared" si="43"/>
        <v>1</v>
      </c>
    </row>
    <row r="1366" spans="1:7" hidden="1">
      <c r="A1366" t="str">
        <f>Sinistrés!H1371</f>
        <v>Blé tendre d'hiver</v>
      </c>
      <c r="B1366">
        <f>Sinistrés!J1371</f>
        <v>6682.11</v>
      </c>
      <c r="C1366">
        <f>Sinistrés!X1371</f>
        <v>0</v>
      </c>
      <c r="D1366">
        <f>Sinistrés!L1371</f>
        <v>5.7</v>
      </c>
      <c r="E1366">
        <f>Sinistrés!M1371</f>
        <v>5.7</v>
      </c>
      <c r="F1366">
        <f t="shared" si="42"/>
        <v>0</v>
      </c>
      <c r="G1366">
        <f t="shared" si="43"/>
        <v>1</v>
      </c>
    </row>
    <row r="1367" spans="1:7" hidden="1">
      <c r="A1367" t="str">
        <f>Sinistrés!H1372</f>
        <v>Féveroles et fèves</v>
      </c>
      <c r="B1367">
        <f>Sinistrés!J1372</f>
        <v>430.92</v>
      </c>
      <c r="C1367">
        <f>Sinistrés!X1372</f>
        <v>0</v>
      </c>
      <c r="D1367">
        <f>Sinistrés!L1372</f>
        <v>1.8</v>
      </c>
      <c r="E1367">
        <f>Sinistrés!M1372</f>
        <v>1.8</v>
      </c>
      <c r="F1367">
        <f t="shared" si="42"/>
        <v>0</v>
      </c>
      <c r="G1367">
        <f t="shared" si="43"/>
        <v>1</v>
      </c>
    </row>
    <row r="1368" spans="1:7">
      <c r="A1368" t="str">
        <f>Sinistrés!H1373</f>
        <v>Féveroles et fèves</v>
      </c>
      <c r="B1368">
        <f>Sinistrés!J1373</f>
        <v>5704.38</v>
      </c>
      <c r="C1368">
        <f>Sinistrés!X1373</f>
        <v>4031.51</v>
      </c>
      <c r="D1368">
        <f>Sinistrés!L1373</f>
        <v>12.06</v>
      </c>
      <c r="E1368">
        <f>Sinistrés!M1373</f>
        <v>12.02</v>
      </c>
      <c r="F1368">
        <f t="shared" si="42"/>
        <v>0.70673938271994508</v>
      </c>
      <c r="G1368">
        <f t="shared" si="43"/>
        <v>0.9966832504145936</v>
      </c>
    </row>
    <row r="1369" spans="1:7">
      <c r="A1369" t="str">
        <f>Sinistrés!H1374</f>
        <v>Blé tendre d'hiver</v>
      </c>
      <c r="B1369">
        <f>Sinistrés!J1374</f>
        <v>60210.96</v>
      </c>
      <c r="C1369">
        <f>Sinistrés!X1374</f>
        <v>10158.34</v>
      </c>
      <c r="D1369">
        <f>Sinistrés!L1374</f>
        <v>47.56</v>
      </c>
      <c r="E1369">
        <f>Sinistrés!M1374</f>
        <v>47.56</v>
      </c>
      <c r="F1369">
        <f t="shared" si="42"/>
        <v>0.16871247360945582</v>
      </c>
      <c r="G1369">
        <f t="shared" si="43"/>
        <v>1</v>
      </c>
    </row>
    <row r="1370" spans="1:7" hidden="1">
      <c r="A1370" t="str">
        <f>Sinistrés!H1375</f>
        <v>Maïs grain irrigué BIO</v>
      </c>
      <c r="B1370">
        <f>Sinistrés!J1375</f>
        <v>26789.119999999999</v>
      </c>
      <c r="C1370">
        <f>Sinistrés!X1375</f>
        <v>14164.79</v>
      </c>
      <c r="D1370">
        <f>Sinistrés!L1375</f>
        <v>11.89</v>
      </c>
      <c r="E1370">
        <f>Sinistrés!M1375</f>
        <v>11.89</v>
      </c>
      <c r="F1370">
        <f t="shared" si="42"/>
        <v>0.52875159766352908</v>
      </c>
      <c r="G1370">
        <f t="shared" si="43"/>
        <v>1</v>
      </c>
    </row>
    <row r="1371" spans="1:7" hidden="1">
      <c r="A1371" t="str">
        <f>Sinistrés!H1376</f>
        <v>Tournesol BIO</v>
      </c>
      <c r="B1371">
        <f>Sinistrés!J1376</f>
        <v>30294.66</v>
      </c>
      <c r="C1371">
        <f>Sinistrés!X1376</f>
        <v>6873.97</v>
      </c>
      <c r="D1371">
        <f>Sinistrés!L1376</f>
        <v>25.63</v>
      </c>
      <c r="E1371">
        <f>Sinistrés!M1376</f>
        <v>25.63</v>
      </c>
      <c r="F1371">
        <f t="shared" si="42"/>
        <v>0.2269036853359635</v>
      </c>
      <c r="G1371">
        <f t="shared" si="43"/>
        <v>1</v>
      </c>
    </row>
    <row r="1372" spans="1:7" hidden="1">
      <c r="A1372" t="str">
        <f>Sinistrés!H1377</f>
        <v>Blé tendre d'hiver BIO</v>
      </c>
      <c r="B1372">
        <f>Sinistrés!J1377</f>
        <v>32040.959999999999</v>
      </c>
      <c r="C1372">
        <f>Sinistrés!X1377</f>
        <v>6746.51</v>
      </c>
      <c r="D1372">
        <f>Sinistrés!L1377</f>
        <v>30.43</v>
      </c>
      <c r="E1372">
        <f>Sinistrés!M1377</f>
        <v>30.43</v>
      </c>
      <c r="F1372">
        <f t="shared" si="42"/>
        <v>0.21055892207973795</v>
      </c>
      <c r="G1372">
        <f t="shared" si="43"/>
        <v>1</v>
      </c>
    </row>
    <row r="1373" spans="1:7" hidden="1">
      <c r="A1373" t="str">
        <f>Sinistrés!H1378</f>
        <v>Maïs grain irrigué BIO</v>
      </c>
      <c r="B1373">
        <f>Sinistrés!J1378</f>
        <v>111286.22</v>
      </c>
      <c r="C1373">
        <f>Sinistrés!X1378</f>
        <v>0</v>
      </c>
      <c r="D1373">
        <f>Sinistrés!L1378</f>
        <v>54.52</v>
      </c>
      <c r="E1373">
        <f>Sinistrés!M1378</f>
        <v>10</v>
      </c>
      <c r="F1373">
        <f t="shared" si="42"/>
        <v>0</v>
      </c>
      <c r="G1373">
        <f t="shared" si="43"/>
        <v>0.18341892883345559</v>
      </c>
    </row>
    <row r="1374" spans="1:7" hidden="1">
      <c r="A1374" t="str">
        <f>Sinistrés!H1379</f>
        <v>Tournesol</v>
      </c>
      <c r="B1374">
        <f>Sinistrés!J1379</f>
        <v>38746.129999999997</v>
      </c>
      <c r="C1374">
        <f>Sinistrés!X1379</f>
        <v>0</v>
      </c>
      <c r="D1374">
        <f>Sinistrés!L1379</f>
        <v>35.020000000000003</v>
      </c>
      <c r="E1374">
        <f>Sinistrés!M1379</f>
        <v>35.020000000000003</v>
      </c>
      <c r="F1374">
        <f t="shared" si="42"/>
        <v>0</v>
      </c>
      <c r="G1374">
        <f t="shared" si="43"/>
        <v>1</v>
      </c>
    </row>
    <row r="1375" spans="1:7">
      <c r="A1375" t="str">
        <f>Sinistrés!H1380</f>
        <v>Blé tendre d'hiver</v>
      </c>
      <c r="B1375">
        <f>Sinistrés!J1380</f>
        <v>117722.18</v>
      </c>
      <c r="C1375">
        <f>Sinistrés!X1380</f>
        <v>4095.06</v>
      </c>
      <c r="D1375">
        <f>Sinistrés!L1380</f>
        <v>91.52</v>
      </c>
      <c r="E1375">
        <f>Sinistrés!M1380</f>
        <v>91.52</v>
      </c>
      <c r="F1375">
        <f t="shared" si="42"/>
        <v>3.4785798224259867E-2</v>
      </c>
      <c r="G1375">
        <f t="shared" si="43"/>
        <v>1</v>
      </c>
    </row>
    <row r="1376" spans="1:7">
      <c r="A1376" t="str">
        <f>Sinistrés!H1381</f>
        <v>Pois protéagineux</v>
      </c>
      <c r="B1376">
        <f>Sinistrés!J1381</f>
        <v>7640.16</v>
      </c>
      <c r="C1376">
        <f>Sinistrés!X1381</f>
        <v>1723.39</v>
      </c>
      <c r="D1376">
        <f>Sinistrés!L1381</f>
        <v>10.59</v>
      </c>
      <c r="E1376">
        <f>Sinistrés!M1381</f>
        <v>10.59</v>
      </c>
      <c r="F1376">
        <f t="shared" si="42"/>
        <v>0.22556988335322822</v>
      </c>
      <c r="G1376">
        <f t="shared" si="43"/>
        <v>1</v>
      </c>
    </row>
    <row r="1377" spans="1:7">
      <c r="A1377" t="str">
        <f>Sinistrés!H1382</f>
        <v>Orge d'hiver</v>
      </c>
      <c r="B1377">
        <f>Sinistrés!J1382</f>
        <v>4937.9799999999996</v>
      </c>
      <c r="C1377">
        <f>Sinistrés!X1382</f>
        <v>338.12</v>
      </c>
      <c r="D1377">
        <f>Sinistrés!L1382</f>
        <v>4.04</v>
      </c>
      <c r="E1377">
        <f>Sinistrés!M1382</f>
        <v>4.04</v>
      </c>
      <c r="F1377">
        <f t="shared" si="42"/>
        <v>6.8473343350924878E-2</v>
      </c>
      <c r="G1377">
        <f t="shared" si="43"/>
        <v>1</v>
      </c>
    </row>
    <row r="1378" spans="1:7">
      <c r="A1378" t="str">
        <f>Sinistrés!H1383</f>
        <v>Blé tendre d'hiver</v>
      </c>
      <c r="B1378">
        <f>Sinistrés!J1383</f>
        <v>23599.03</v>
      </c>
      <c r="C1378">
        <f>Sinistrés!X1383</f>
        <v>2311.14</v>
      </c>
      <c r="D1378">
        <f>Sinistrés!L1383</f>
        <v>21.68</v>
      </c>
      <c r="E1378">
        <f>Sinistrés!M1383</f>
        <v>21.68</v>
      </c>
      <c r="F1378">
        <f t="shared" si="42"/>
        <v>9.7933686257443628E-2</v>
      </c>
      <c r="G1378">
        <f t="shared" si="43"/>
        <v>1</v>
      </c>
    </row>
    <row r="1379" spans="1:7" hidden="1">
      <c r="A1379" t="str">
        <f>Sinistrés!H1384</f>
        <v>Tournesol</v>
      </c>
      <c r="B1379">
        <f>Sinistrés!J1384</f>
        <v>18874.62</v>
      </c>
      <c r="C1379">
        <f>Sinistrés!X1384</f>
        <v>0</v>
      </c>
      <c r="D1379">
        <f>Sinistrés!L1384</f>
        <v>17.190000000000001</v>
      </c>
      <c r="E1379">
        <f>Sinistrés!M1384</f>
        <v>17.190000000000001</v>
      </c>
      <c r="F1379">
        <f t="shared" si="42"/>
        <v>0</v>
      </c>
      <c r="G1379">
        <f t="shared" si="43"/>
        <v>1</v>
      </c>
    </row>
    <row r="1380" spans="1:7" hidden="1">
      <c r="A1380" t="str">
        <f>Sinistrés!H1385</f>
        <v>Blé tendre d'hiver</v>
      </c>
      <c r="B1380">
        <f>Sinistrés!J1385</f>
        <v>7846.66</v>
      </c>
      <c r="C1380">
        <f>Sinistrés!X1385</f>
        <v>0</v>
      </c>
      <c r="D1380">
        <f>Sinistrés!L1385</f>
        <v>8.16</v>
      </c>
      <c r="E1380">
        <f>Sinistrés!M1385</f>
        <v>8.16</v>
      </c>
      <c r="F1380">
        <f t="shared" si="42"/>
        <v>0</v>
      </c>
      <c r="G1380">
        <f t="shared" si="43"/>
        <v>1</v>
      </c>
    </row>
    <row r="1381" spans="1:7" hidden="1">
      <c r="A1381" t="str">
        <f>Sinistrés!H1386</f>
        <v>Blé de force</v>
      </c>
      <c r="B1381">
        <f>Sinistrés!J1386</f>
        <v>14996</v>
      </c>
      <c r="C1381">
        <f>Sinistrés!X1386</f>
        <v>0</v>
      </c>
      <c r="D1381">
        <f>Sinistrés!L1386</f>
        <v>13.04</v>
      </c>
      <c r="E1381">
        <f>Sinistrés!M1386</f>
        <v>13.04</v>
      </c>
      <c r="F1381">
        <f t="shared" si="42"/>
        <v>0</v>
      </c>
      <c r="G1381">
        <f t="shared" si="43"/>
        <v>1</v>
      </c>
    </row>
    <row r="1382" spans="1:7" hidden="1">
      <c r="A1382" t="str">
        <f>Sinistrés!H1387</f>
        <v>Orge d'hiver</v>
      </c>
      <c r="B1382">
        <f>Sinistrés!J1387</f>
        <v>11303.57</v>
      </c>
      <c r="C1382">
        <f>Sinistrés!X1387</f>
        <v>0</v>
      </c>
      <c r="D1382">
        <f>Sinistrés!L1387</f>
        <v>11.83</v>
      </c>
      <c r="E1382">
        <f>Sinistrés!M1387</f>
        <v>11.83</v>
      </c>
      <c r="F1382">
        <f t="shared" si="42"/>
        <v>0</v>
      </c>
      <c r="G1382">
        <f t="shared" si="43"/>
        <v>1</v>
      </c>
    </row>
    <row r="1383" spans="1:7">
      <c r="A1383" t="str">
        <f>Sinistrés!H1388</f>
        <v>Tournesol</v>
      </c>
      <c r="B1383">
        <f>Sinistrés!J1388</f>
        <v>51710.58</v>
      </c>
      <c r="C1383">
        <f>Sinistrés!X1388</f>
        <v>421.5</v>
      </c>
      <c r="D1383">
        <f>Sinistrés!L1388</f>
        <v>50.41</v>
      </c>
      <c r="E1383">
        <f>Sinistrés!M1388</f>
        <v>50.41</v>
      </c>
      <c r="F1383">
        <f t="shared" si="42"/>
        <v>8.1511365759192791E-3</v>
      </c>
      <c r="G1383">
        <f t="shared" si="43"/>
        <v>1</v>
      </c>
    </row>
    <row r="1384" spans="1:7">
      <c r="A1384" t="str">
        <f>Sinistrés!H1389</f>
        <v>Blé dur d'hiver</v>
      </c>
      <c r="B1384">
        <f>Sinistrés!J1389</f>
        <v>30370.57</v>
      </c>
      <c r="C1384">
        <f>Sinistrés!X1389</f>
        <v>2709.93</v>
      </c>
      <c r="D1384">
        <f>Sinistrés!L1389</f>
        <v>21.19</v>
      </c>
      <c r="E1384">
        <f>Sinistrés!M1389</f>
        <v>21.19</v>
      </c>
      <c r="F1384">
        <f t="shared" si="42"/>
        <v>8.9228815922783131E-2</v>
      </c>
      <c r="G1384">
        <f t="shared" si="43"/>
        <v>1</v>
      </c>
    </row>
    <row r="1385" spans="1:7">
      <c r="A1385" t="str">
        <f>Sinistrés!H1390</f>
        <v>Blé tendre d'hiver</v>
      </c>
      <c r="B1385">
        <f>Sinistrés!J1390</f>
        <v>96582.88</v>
      </c>
      <c r="C1385">
        <f>Sinistrés!X1390</f>
        <v>1092.1199999999999</v>
      </c>
      <c r="D1385">
        <f>Sinistrés!L1390</f>
        <v>87.54</v>
      </c>
      <c r="E1385">
        <f>Sinistrés!M1390</f>
        <v>87.54</v>
      </c>
      <c r="F1385">
        <f t="shared" si="42"/>
        <v>1.1307594058077372E-2</v>
      </c>
      <c r="G1385">
        <f t="shared" si="43"/>
        <v>1</v>
      </c>
    </row>
    <row r="1386" spans="1:7">
      <c r="A1386" t="str">
        <f>Sinistrés!H1391</f>
        <v>Maïs grain irrigué</v>
      </c>
      <c r="B1386">
        <f>Sinistrés!J1391</f>
        <v>104500.94</v>
      </c>
      <c r="C1386">
        <f>Sinistrés!X1391</f>
        <v>2997.25</v>
      </c>
      <c r="D1386">
        <f>Sinistrés!L1391</f>
        <v>56.7</v>
      </c>
      <c r="E1386">
        <f>Sinistrés!M1391</f>
        <v>56.7</v>
      </c>
      <c r="F1386">
        <f t="shared" si="42"/>
        <v>2.8681560185008861E-2</v>
      </c>
      <c r="G1386">
        <f t="shared" si="43"/>
        <v>1</v>
      </c>
    </row>
    <row r="1387" spans="1:7">
      <c r="A1387" t="str">
        <f>Sinistrés!H1392</f>
        <v xml:space="preserve">Maïs grain non irrigué </v>
      </c>
      <c r="B1387">
        <f>Sinistrés!J1392</f>
        <v>23897.02</v>
      </c>
      <c r="C1387">
        <f>Sinistrés!X1392</f>
        <v>5392.38</v>
      </c>
      <c r="D1387">
        <f>Sinistrés!L1392</f>
        <v>22.88</v>
      </c>
      <c r="E1387">
        <f>Sinistrés!M1392</f>
        <v>22.88</v>
      </c>
      <c r="F1387">
        <f t="shared" si="42"/>
        <v>0.22565072967257005</v>
      </c>
      <c r="G1387">
        <f t="shared" si="43"/>
        <v>1</v>
      </c>
    </row>
    <row r="1388" spans="1:7">
      <c r="A1388" t="str">
        <f>Sinistrés!H1393</f>
        <v>Orge d'hiver</v>
      </c>
      <c r="B1388">
        <f>Sinistrés!J1393</f>
        <v>7165.04</v>
      </c>
      <c r="C1388">
        <f>Sinistrés!X1393</f>
        <v>629.82000000000005</v>
      </c>
      <c r="D1388">
        <f>Sinistrés!L1393</f>
        <v>6.65</v>
      </c>
      <c r="E1388">
        <f>Sinistrés!M1393</f>
        <v>6.65</v>
      </c>
      <c r="F1388">
        <f t="shared" si="42"/>
        <v>8.7901812132242116E-2</v>
      </c>
      <c r="G1388">
        <f t="shared" si="43"/>
        <v>1</v>
      </c>
    </row>
    <row r="1389" spans="1:7">
      <c r="A1389" t="str">
        <f>Sinistrés!H1394</f>
        <v>Soja</v>
      </c>
      <c r="B1389">
        <f>Sinistrés!J1394</f>
        <v>16250</v>
      </c>
      <c r="C1389">
        <f>Sinistrés!X1394</f>
        <v>24.62</v>
      </c>
      <c r="D1389">
        <f>Sinistrés!L1394</f>
        <v>10</v>
      </c>
      <c r="E1389">
        <f>Sinistrés!M1394</f>
        <v>10</v>
      </c>
      <c r="F1389">
        <f t="shared" si="42"/>
        <v>1.5150769230769232E-3</v>
      </c>
      <c r="G1389">
        <f t="shared" si="43"/>
        <v>1</v>
      </c>
    </row>
    <row r="1390" spans="1:7">
      <c r="A1390" t="str">
        <f>Sinistrés!H1395</f>
        <v>Orge de printemps</v>
      </c>
      <c r="B1390">
        <f>Sinistrés!J1395</f>
        <v>27416</v>
      </c>
      <c r="C1390">
        <f>Sinistrés!X1395</f>
        <v>1228.5</v>
      </c>
      <c r="D1390">
        <f>Sinistrés!L1395</f>
        <v>11.5</v>
      </c>
      <c r="E1390">
        <f>Sinistrés!M1395</f>
        <v>11.5</v>
      </c>
      <c r="F1390">
        <f t="shared" si="42"/>
        <v>4.4809600233440328E-2</v>
      </c>
      <c r="G1390">
        <f t="shared" si="43"/>
        <v>1</v>
      </c>
    </row>
    <row r="1391" spans="1:7" hidden="1">
      <c r="A1391" t="str">
        <f>Sinistrés!H1396</f>
        <v>Maïs grain irrigué</v>
      </c>
      <c r="B1391">
        <f>Sinistrés!J1396</f>
        <v>30625</v>
      </c>
      <c r="C1391">
        <f>Sinistrés!X1396</f>
        <v>0</v>
      </c>
      <c r="D1391">
        <f>Sinistrés!L1396</f>
        <v>14</v>
      </c>
      <c r="E1391">
        <f>Sinistrés!M1396</f>
        <v>5</v>
      </c>
      <c r="F1391">
        <f t="shared" si="42"/>
        <v>0</v>
      </c>
      <c r="G1391">
        <f t="shared" si="43"/>
        <v>0.35714285714285715</v>
      </c>
    </row>
    <row r="1392" spans="1:7" hidden="1">
      <c r="A1392" t="str">
        <f>Sinistrés!H1397</f>
        <v xml:space="preserve">Maïs waxy non irrigué </v>
      </c>
      <c r="B1392">
        <f>Sinistrés!J1397</f>
        <v>7700</v>
      </c>
      <c r="C1392">
        <f>Sinistrés!X1397</f>
        <v>0</v>
      </c>
      <c r="D1392">
        <f>Sinistrés!L1397</f>
        <v>4</v>
      </c>
      <c r="E1392">
        <f>Sinistrés!M1397</f>
        <v>4</v>
      </c>
      <c r="F1392">
        <f t="shared" si="42"/>
        <v>0</v>
      </c>
      <c r="G1392">
        <f t="shared" si="43"/>
        <v>1</v>
      </c>
    </row>
    <row r="1393" spans="1:7" hidden="1">
      <c r="A1393" t="str">
        <f>Sinistrés!H1398</f>
        <v>Maïs grain non irrigué</v>
      </c>
      <c r="B1393">
        <f>Sinistrés!J1398</f>
        <v>57750</v>
      </c>
      <c r="C1393">
        <f>Sinistrés!X1398</f>
        <v>0</v>
      </c>
      <c r="D1393">
        <f>Sinistrés!L1398</f>
        <v>30</v>
      </c>
      <c r="E1393">
        <f>Sinistrés!M1398</f>
        <v>10</v>
      </c>
      <c r="F1393">
        <f t="shared" si="42"/>
        <v>0</v>
      </c>
      <c r="G1393">
        <f t="shared" si="43"/>
        <v>0.33333333333333331</v>
      </c>
    </row>
    <row r="1394" spans="1:7">
      <c r="A1394" t="str">
        <f>Sinistrés!H1399</f>
        <v>Blé tendre d'hiver</v>
      </c>
      <c r="B1394">
        <f>Sinistrés!J1399</f>
        <v>4233.5200000000004</v>
      </c>
      <c r="C1394">
        <f>Sinistrés!X1399</f>
        <v>1025.81</v>
      </c>
      <c r="D1394">
        <f>Sinistrés!L1399</f>
        <v>3.62</v>
      </c>
      <c r="E1394">
        <f>Sinistrés!M1399</f>
        <v>3.62</v>
      </c>
      <c r="F1394">
        <f t="shared" si="42"/>
        <v>0.24230663844743849</v>
      </c>
      <c r="G1394">
        <f t="shared" si="43"/>
        <v>1</v>
      </c>
    </row>
    <row r="1395" spans="1:7">
      <c r="A1395" t="str">
        <f>Sinistrés!H1400</f>
        <v>Orge d'hiver</v>
      </c>
      <c r="B1395">
        <f>Sinistrés!J1400</f>
        <v>6651.61</v>
      </c>
      <c r="C1395">
        <f>Sinistrés!X1400</f>
        <v>406.34</v>
      </c>
      <c r="D1395">
        <f>Sinistrés!L1400</f>
        <v>5.69</v>
      </c>
      <c r="E1395">
        <f>Sinistrés!M1400</f>
        <v>5.69</v>
      </c>
      <c r="F1395">
        <f t="shared" si="42"/>
        <v>6.1088969437474536E-2</v>
      </c>
      <c r="G1395">
        <f t="shared" si="43"/>
        <v>1</v>
      </c>
    </row>
    <row r="1396" spans="1:7" hidden="1">
      <c r="A1396" t="str">
        <f>Sinistrés!H1401</f>
        <v>Blé tendre d'hiver</v>
      </c>
      <c r="B1396">
        <f>Sinistrés!J1401</f>
        <v>93607.1</v>
      </c>
      <c r="C1396">
        <f>Sinistrés!X1401</f>
        <v>0</v>
      </c>
      <c r="D1396">
        <f>Sinistrés!L1401</f>
        <v>53.7</v>
      </c>
      <c r="E1396">
        <f>Sinistrés!M1401</f>
        <v>53.6</v>
      </c>
      <c r="F1396">
        <f t="shared" si="42"/>
        <v>0</v>
      </c>
      <c r="G1396">
        <f t="shared" si="43"/>
        <v>0.9981378026070763</v>
      </c>
    </row>
    <row r="1397" spans="1:7" hidden="1">
      <c r="A1397" t="str">
        <f>Sinistrés!H1402</f>
        <v>Colza d'hiver</v>
      </c>
      <c r="B1397">
        <f>Sinistrés!J1402</f>
        <v>16631.71</v>
      </c>
      <c r="C1397">
        <f>Sinistrés!X1402</f>
        <v>0</v>
      </c>
      <c r="D1397">
        <f>Sinistrés!L1402</f>
        <v>10.199999999999999</v>
      </c>
      <c r="E1397">
        <f>Sinistrés!M1402</f>
        <v>10.1</v>
      </c>
      <c r="F1397">
        <f t="shared" si="42"/>
        <v>0</v>
      </c>
      <c r="G1397">
        <f t="shared" si="43"/>
        <v>0.99019607843137258</v>
      </c>
    </row>
    <row r="1398" spans="1:7" hidden="1">
      <c r="A1398" t="str">
        <f>Sinistrés!H1403</f>
        <v>Maïs grain non irrigué</v>
      </c>
      <c r="B1398">
        <f>Sinistrés!J1403</f>
        <v>111918.53</v>
      </c>
      <c r="C1398">
        <f>Sinistrés!X1403</f>
        <v>0</v>
      </c>
      <c r="D1398">
        <f>Sinistrés!L1403</f>
        <v>42.54</v>
      </c>
      <c r="E1398">
        <f>Sinistrés!M1403</f>
        <v>15.76</v>
      </c>
      <c r="F1398">
        <f t="shared" si="42"/>
        <v>0</v>
      </c>
      <c r="G1398">
        <f t="shared" si="43"/>
        <v>0.3704748472026328</v>
      </c>
    </row>
    <row r="1399" spans="1:7" hidden="1">
      <c r="A1399" t="str">
        <f>Sinistrés!H1404</f>
        <v>Blé tendre d'hiver</v>
      </c>
      <c r="B1399">
        <f>Sinistrés!J1404</f>
        <v>36085.29</v>
      </c>
      <c r="C1399">
        <f>Sinistrés!X1404</f>
        <v>0</v>
      </c>
      <c r="D1399">
        <f>Sinistrés!L1404</f>
        <v>28.85</v>
      </c>
      <c r="E1399">
        <f>Sinistrés!M1404</f>
        <v>29.67</v>
      </c>
      <c r="F1399">
        <f t="shared" si="42"/>
        <v>0</v>
      </c>
      <c r="G1399">
        <f t="shared" si="43"/>
        <v>1.0284228769497401</v>
      </c>
    </row>
    <row r="1400" spans="1:7" hidden="1">
      <c r="A1400" t="str">
        <f>Sinistrés!H1405</f>
        <v>Colza d'hiver</v>
      </c>
      <c r="B1400">
        <f>Sinistrés!J1405</f>
        <v>20800.82</v>
      </c>
      <c r="C1400">
        <f>Sinistrés!X1405</f>
        <v>0</v>
      </c>
      <c r="D1400">
        <f>Sinistrés!L1405</f>
        <v>14.97</v>
      </c>
      <c r="E1400">
        <f>Sinistrés!M1405</f>
        <v>14.7</v>
      </c>
      <c r="F1400">
        <f t="shared" si="42"/>
        <v>0</v>
      </c>
      <c r="G1400">
        <f t="shared" si="43"/>
        <v>0.98196392785571129</v>
      </c>
    </row>
    <row r="1401" spans="1:7" hidden="1">
      <c r="A1401" t="str">
        <f>Sinistrés!H1406</f>
        <v>Maïs grain irrigué</v>
      </c>
      <c r="B1401">
        <f>Sinistrés!J1406</f>
        <v>32987.79</v>
      </c>
      <c r="C1401">
        <f>Sinistrés!X1406</f>
        <v>0</v>
      </c>
      <c r="D1401">
        <f>Sinistrés!L1406</f>
        <v>23.47</v>
      </c>
      <c r="E1401">
        <f>Sinistrés!M1406</f>
        <v>23.6</v>
      </c>
      <c r="F1401">
        <f t="shared" si="42"/>
        <v>0</v>
      </c>
      <c r="G1401">
        <f t="shared" si="43"/>
        <v>1.0055389859394974</v>
      </c>
    </row>
    <row r="1402" spans="1:7" hidden="1">
      <c r="A1402" t="str">
        <f>Sinistrés!H1407</f>
        <v>Maïs grain non irrigué</v>
      </c>
      <c r="B1402">
        <f>Sinistrés!J1407</f>
        <v>10747.31</v>
      </c>
      <c r="C1402">
        <f>Sinistrés!X1407</f>
        <v>0</v>
      </c>
      <c r="D1402">
        <f>Sinistrés!L1407</f>
        <v>11.45</v>
      </c>
      <c r="E1402">
        <f>Sinistrés!M1407</f>
        <v>11.45</v>
      </c>
      <c r="F1402">
        <f t="shared" si="42"/>
        <v>0</v>
      </c>
      <c r="G1402">
        <f t="shared" si="43"/>
        <v>1</v>
      </c>
    </row>
    <row r="1403" spans="1:7" hidden="1">
      <c r="A1403" t="str">
        <f>Sinistrés!H1408</f>
        <v>Orge d'hiver</v>
      </c>
      <c r="B1403">
        <f>Sinistrés!J1408</f>
        <v>15492.32</v>
      </c>
      <c r="C1403">
        <f>Sinistrés!X1408</f>
        <v>0</v>
      </c>
      <c r="D1403">
        <f>Sinistrés!L1408</f>
        <v>14.12</v>
      </c>
      <c r="E1403">
        <f>Sinistrés!M1408</f>
        <v>13.7</v>
      </c>
      <c r="F1403">
        <f t="shared" si="42"/>
        <v>0</v>
      </c>
      <c r="G1403">
        <f t="shared" si="43"/>
        <v>0.97025495750708213</v>
      </c>
    </row>
    <row r="1404" spans="1:7" hidden="1">
      <c r="A1404" t="str">
        <f>Sinistrés!H1409</f>
        <v>Blé tendre d'hiver</v>
      </c>
      <c r="B1404">
        <f>Sinistrés!J1409</f>
        <v>18809.400000000001</v>
      </c>
      <c r="C1404">
        <f>Sinistrés!X1409</f>
        <v>0</v>
      </c>
      <c r="D1404">
        <f>Sinistrés!L1409</f>
        <v>18.8</v>
      </c>
      <c r="E1404">
        <f>Sinistrés!M1409</f>
        <v>18.8</v>
      </c>
      <c r="F1404">
        <f t="shared" si="42"/>
        <v>0</v>
      </c>
      <c r="G1404">
        <f t="shared" si="43"/>
        <v>1</v>
      </c>
    </row>
    <row r="1405" spans="1:7" hidden="1">
      <c r="A1405" t="str">
        <f>Sinistrés!H1410</f>
        <v>Féveroles et fèves</v>
      </c>
      <c r="B1405">
        <f>Sinistrés!J1410</f>
        <v>6805.04</v>
      </c>
      <c r="C1405">
        <f>Sinistrés!X1410</f>
        <v>0</v>
      </c>
      <c r="D1405">
        <f>Sinistrés!L1410</f>
        <v>16.28</v>
      </c>
      <c r="E1405">
        <f>Sinistrés!M1410</f>
        <v>16.28</v>
      </c>
      <c r="F1405">
        <f t="shared" si="42"/>
        <v>0</v>
      </c>
      <c r="G1405">
        <f t="shared" si="43"/>
        <v>1</v>
      </c>
    </row>
    <row r="1406" spans="1:7" hidden="1">
      <c r="A1406" t="str">
        <f>Sinistrés!H1411</f>
        <v>Maïs grain irrigué</v>
      </c>
      <c r="B1406">
        <f>Sinistrés!J1411</f>
        <v>37801.230000000003</v>
      </c>
      <c r="C1406">
        <f>Sinistrés!X1411</f>
        <v>0</v>
      </c>
      <c r="D1406">
        <f>Sinistrés!L1411</f>
        <v>28.54</v>
      </c>
      <c r="E1406">
        <f>Sinistrés!M1411</f>
        <v>28.54</v>
      </c>
      <c r="F1406">
        <f t="shared" si="42"/>
        <v>0</v>
      </c>
      <c r="G1406">
        <f t="shared" si="43"/>
        <v>1</v>
      </c>
    </row>
    <row r="1407" spans="1:7" hidden="1">
      <c r="A1407" t="str">
        <f>Sinistrés!H1412</f>
        <v>Orge d'hiver</v>
      </c>
      <c r="B1407">
        <f>Sinistrés!J1412</f>
        <v>11847.48</v>
      </c>
      <c r="C1407">
        <f>Sinistrés!X1412</f>
        <v>0</v>
      </c>
      <c r="D1407">
        <f>Sinistrés!L1412</f>
        <v>11.63</v>
      </c>
      <c r="E1407">
        <f>Sinistrés!M1412</f>
        <v>11.63</v>
      </c>
      <c r="F1407">
        <f t="shared" si="42"/>
        <v>0</v>
      </c>
      <c r="G1407">
        <f t="shared" si="43"/>
        <v>1</v>
      </c>
    </row>
    <row r="1408" spans="1:7" hidden="1">
      <c r="A1408" t="str">
        <f>Sinistrés!H1413</f>
        <v>Blé tendre d'hiver</v>
      </c>
      <c r="B1408">
        <f>Sinistrés!J1413</f>
        <v>35863.9</v>
      </c>
      <c r="C1408">
        <f>Sinistrés!X1413</f>
        <v>0</v>
      </c>
      <c r="D1408">
        <f>Sinistrés!L1413</f>
        <v>25.15</v>
      </c>
      <c r="E1408">
        <f>Sinistrés!M1413</f>
        <v>25.15</v>
      </c>
      <c r="F1408">
        <f t="shared" si="42"/>
        <v>0</v>
      </c>
      <c r="G1408">
        <f t="shared" si="43"/>
        <v>1</v>
      </c>
    </row>
    <row r="1409" spans="1:7" hidden="1">
      <c r="A1409" t="str">
        <f>Sinistrés!H1414</f>
        <v>Maïs ensilage non irrigué</v>
      </c>
      <c r="B1409">
        <f>Sinistrés!J1414</f>
        <v>15075.36</v>
      </c>
      <c r="C1409">
        <f>Sinistrés!X1414</f>
        <v>0</v>
      </c>
      <c r="D1409">
        <f>Sinistrés!L1414</f>
        <v>11.6</v>
      </c>
      <c r="E1409">
        <f>Sinistrés!M1414</f>
        <v>11.6</v>
      </c>
      <c r="F1409">
        <f t="shared" si="42"/>
        <v>0</v>
      </c>
      <c r="G1409">
        <f t="shared" si="43"/>
        <v>1</v>
      </c>
    </row>
    <row r="1410" spans="1:7">
      <c r="A1410" t="str">
        <f>Sinistrés!H1415</f>
        <v>Orge d'hiver</v>
      </c>
      <c r="B1410">
        <f>Sinistrés!J1415</f>
        <v>5583.06</v>
      </c>
      <c r="C1410">
        <f>Sinistrés!X1415</f>
        <v>162.29</v>
      </c>
      <c r="D1410">
        <f>Sinistrés!L1415</f>
        <v>4.9000000000000004</v>
      </c>
      <c r="E1410">
        <f>Sinistrés!M1415</f>
        <v>4.9000000000000004</v>
      </c>
      <c r="F1410">
        <f t="shared" si="42"/>
        <v>2.9068288716223717E-2</v>
      </c>
      <c r="G1410">
        <f t="shared" si="43"/>
        <v>1</v>
      </c>
    </row>
    <row r="1411" spans="1:7">
      <c r="A1411" t="str">
        <f>Sinistrés!H1416</f>
        <v>Quinoa</v>
      </c>
      <c r="B1411">
        <f>Sinistrés!J1416</f>
        <v>14946</v>
      </c>
      <c r="C1411">
        <f>Sinistrés!X1416</f>
        <v>5702.8</v>
      </c>
      <c r="D1411">
        <f>Sinistrés!L1416</f>
        <v>5.3</v>
      </c>
      <c r="E1411">
        <f>Sinistrés!M1416</f>
        <v>5.3</v>
      </c>
      <c r="F1411">
        <f t="shared" ref="F1411:F1474" si="44">C1411/B1411</f>
        <v>0.38156028368794326</v>
      </c>
      <c r="G1411">
        <f t="shared" ref="G1411:G1474" si="45">E1411/D1411</f>
        <v>1</v>
      </c>
    </row>
    <row r="1412" spans="1:7" hidden="1">
      <c r="A1412" t="str">
        <f>Sinistrés!H1417</f>
        <v>Maïs grain irrigué</v>
      </c>
      <c r="B1412">
        <f>Sinistrés!J1417</f>
        <v>63477.07</v>
      </c>
      <c r="C1412">
        <f>Sinistrés!X1417</f>
        <v>0</v>
      </c>
      <c r="D1412">
        <f>Sinistrés!L1417</f>
        <v>39.01</v>
      </c>
      <c r="E1412">
        <f>Sinistrés!M1417</f>
        <v>39.01</v>
      </c>
      <c r="F1412">
        <f t="shared" si="44"/>
        <v>0</v>
      </c>
      <c r="G1412">
        <f t="shared" si="45"/>
        <v>1</v>
      </c>
    </row>
    <row r="1413" spans="1:7" hidden="1">
      <c r="A1413" t="str">
        <f>Sinistrés!H1418</f>
        <v>Tournesol</v>
      </c>
      <c r="B1413">
        <f>Sinistrés!J1418</f>
        <v>27370</v>
      </c>
      <c r="C1413">
        <f>Sinistrés!X1418</f>
        <v>0</v>
      </c>
      <c r="D1413">
        <f>Sinistrés!L1418</f>
        <v>34</v>
      </c>
      <c r="E1413">
        <f>Sinistrés!M1418</f>
        <v>34</v>
      </c>
      <c r="F1413">
        <f t="shared" si="44"/>
        <v>0</v>
      </c>
      <c r="G1413">
        <f t="shared" si="45"/>
        <v>1</v>
      </c>
    </row>
    <row r="1414" spans="1:7">
      <c r="A1414" t="str">
        <f>Sinistrés!H1419</f>
        <v>Féveroles et fèves</v>
      </c>
      <c r="B1414">
        <f>Sinistrés!J1419</f>
        <v>5435.45</v>
      </c>
      <c r="C1414">
        <f>Sinistrés!X1419</f>
        <v>3396.55</v>
      </c>
      <c r="D1414">
        <f>Sinistrés!L1419</f>
        <v>17.510000000000002</v>
      </c>
      <c r="E1414">
        <f>Sinistrés!M1419</f>
        <v>17.510000000000002</v>
      </c>
      <c r="F1414">
        <f t="shared" si="44"/>
        <v>0.62488846369665807</v>
      </c>
      <c r="G1414">
        <f t="shared" si="45"/>
        <v>1</v>
      </c>
    </row>
    <row r="1415" spans="1:7">
      <c r="A1415" t="str">
        <f>Sinistrés!H1420</f>
        <v>Blé tendre d'hiver</v>
      </c>
      <c r="B1415">
        <f>Sinistrés!J1420</f>
        <v>39722.129999999997</v>
      </c>
      <c r="C1415">
        <f>Sinistrés!X1420</f>
        <v>2542.8000000000002</v>
      </c>
      <c r="D1415">
        <f>Sinistrés!L1420</f>
        <v>39.409999999999997</v>
      </c>
      <c r="E1415">
        <f>Sinistrés!M1420</f>
        <v>39.409999999999997</v>
      </c>
      <c r="F1415">
        <f t="shared" si="44"/>
        <v>6.4014694076072964E-2</v>
      </c>
      <c r="G1415">
        <f t="shared" si="45"/>
        <v>1</v>
      </c>
    </row>
    <row r="1416" spans="1:7" hidden="1">
      <c r="A1416" t="str">
        <f>Sinistrés!H1421</f>
        <v>Triticale</v>
      </c>
      <c r="B1416">
        <f>Sinistrés!J1421</f>
        <v>5559.57</v>
      </c>
      <c r="C1416">
        <f>Sinistrés!X1421</f>
        <v>0</v>
      </c>
      <c r="D1416">
        <f>Sinistrés!L1421</f>
        <v>10.62</v>
      </c>
      <c r="E1416">
        <f>Sinistrés!M1421</f>
        <v>10.62</v>
      </c>
      <c r="F1416">
        <f t="shared" si="44"/>
        <v>0</v>
      </c>
      <c r="G1416">
        <f t="shared" si="45"/>
        <v>1</v>
      </c>
    </row>
    <row r="1417" spans="1:7" hidden="1">
      <c r="A1417" t="str">
        <f>Sinistrés!H1422</f>
        <v>Orge d'hiver</v>
      </c>
      <c r="B1417">
        <f>Sinistrés!J1422</f>
        <v>14362.86</v>
      </c>
      <c r="C1417">
        <f>Sinistrés!X1422</f>
        <v>0</v>
      </c>
      <c r="D1417">
        <f>Sinistrés!L1422</f>
        <v>16.353999999999999</v>
      </c>
      <c r="E1417">
        <f>Sinistrés!M1422</f>
        <v>16.353999999999999</v>
      </c>
      <c r="F1417">
        <f t="shared" si="44"/>
        <v>0</v>
      </c>
      <c r="G1417">
        <f t="shared" si="45"/>
        <v>1</v>
      </c>
    </row>
    <row r="1418" spans="1:7">
      <c r="A1418" t="str">
        <f>Sinistrés!H1423</f>
        <v>Colza d'hiver</v>
      </c>
      <c r="B1418">
        <f>Sinistrés!J1423</f>
        <v>347772</v>
      </c>
      <c r="C1418">
        <f>Sinistrés!X1423</f>
        <v>2745.08</v>
      </c>
      <c r="D1418">
        <f>Sinistrés!L1423</f>
        <v>11.68</v>
      </c>
      <c r="E1418">
        <f>Sinistrés!M1423</f>
        <v>11.68</v>
      </c>
      <c r="F1418">
        <f t="shared" si="44"/>
        <v>7.8933324131902505E-3</v>
      </c>
      <c r="G1418">
        <f t="shared" si="45"/>
        <v>1</v>
      </c>
    </row>
    <row r="1419" spans="1:7">
      <c r="A1419" t="str">
        <f>Sinistrés!H1424</f>
        <v>Orge d'hiver</v>
      </c>
      <c r="B1419">
        <f>Sinistrés!J1424</f>
        <v>31026.93</v>
      </c>
      <c r="C1419">
        <f>Sinistrés!X1424</f>
        <v>1992.23</v>
      </c>
      <c r="D1419">
        <f>Sinistrés!L1424</f>
        <v>33</v>
      </c>
      <c r="E1419">
        <f>Sinistrés!M1424</f>
        <v>33</v>
      </c>
      <c r="F1419">
        <f t="shared" si="44"/>
        <v>6.4209704279475921E-2</v>
      </c>
      <c r="G1419">
        <f t="shared" si="45"/>
        <v>1</v>
      </c>
    </row>
    <row r="1420" spans="1:7" hidden="1">
      <c r="A1420" t="str">
        <f>Sinistrés!H1425</f>
        <v>Blé tendre d'hiver</v>
      </c>
      <c r="B1420">
        <f>Sinistrés!J1425</f>
        <v>53768.92</v>
      </c>
      <c r="C1420">
        <f>Sinistrés!X1425</f>
        <v>0</v>
      </c>
      <c r="D1420">
        <f>Sinistrés!L1425</f>
        <v>49.1</v>
      </c>
      <c r="E1420">
        <f>Sinistrés!M1425</f>
        <v>49.1</v>
      </c>
      <c r="F1420">
        <f t="shared" si="44"/>
        <v>0</v>
      </c>
      <c r="G1420">
        <f t="shared" si="45"/>
        <v>1</v>
      </c>
    </row>
    <row r="1421" spans="1:7">
      <c r="A1421" t="str">
        <f>Sinistrés!H1426</f>
        <v>Blé dur d'hiver</v>
      </c>
      <c r="B1421">
        <f>Sinistrés!J1426</f>
        <v>13084.25</v>
      </c>
      <c r="C1421">
        <f>Sinistrés!X1426</f>
        <v>3544.69</v>
      </c>
      <c r="D1421">
        <f>Sinistrés!L1426</f>
        <v>9.9499999999999993</v>
      </c>
      <c r="E1421">
        <f>Sinistrés!M1426</f>
        <v>9.9499999999999993</v>
      </c>
      <c r="F1421">
        <f t="shared" si="44"/>
        <v>0.27091273859793263</v>
      </c>
      <c r="G1421">
        <f t="shared" si="45"/>
        <v>1</v>
      </c>
    </row>
    <row r="1422" spans="1:7" hidden="1">
      <c r="A1422" t="str">
        <f>Sinistrés!H1427</f>
        <v>Orge de printemps</v>
      </c>
      <c r="B1422">
        <f>Sinistrés!J1427</f>
        <v>7140</v>
      </c>
      <c r="C1422">
        <f>Sinistrés!X1427</f>
        <v>0</v>
      </c>
      <c r="D1422">
        <f>Sinistrés!L1427</f>
        <v>10</v>
      </c>
      <c r="E1422">
        <f>Sinistrés!M1427</f>
        <v>10</v>
      </c>
      <c r="F1422">
        <f t="shared" si="44"/>
        <v>0</v>
      </c>
      <c r="G1422">
        <f t="shared" si="45"/>
        <v>1</v>
      </c>
    </row>
    <row r="1423" spans="1:7" hidden="1">
      <c r="A1423" t="str">
        <f>Sinistrés!H1428</f>
        <v>Pois protéagineux</v>
      </c>
      <c r="B1423">
        <f>Sinistrés!J1428</f>
        <v>4940</v>
      </c>
      <c r="C1423">
        <f>Sinistrés!X1428</f>
        <v>0</v>
      </c>
      <c r="D1423">
        <f>Sinistrés!L1428</f>
        <v>10</v>
      </c>
      <c r="E1423">
        <f>Sinistrés!M1428</f>
        <v>10</v>
      </c>
      <c r="F1423">
        <f t="shared" si="44"/>
        <v>0</v>
      </c>
      <c r="G1423">
        <f t="shared" si="45"/>
        <v>1</v>
      </c>
    </row>
    <row r="1424" spans="1:7" hidden="1">
      <c r="A1424" t="str">
        <f>Sinistrés!H1429</f>
        <v>Avoine d'hiver</v>
      </c>
      <c r="B1424">
        <f>Sinistrés!J1429</f>
        <v>7098</v>
      </c>
      <c r="C1424">
        <f>Sinistrés!X1429</f>
        <v>0</v>
      </c>
      <c r="D1424">
        <f>Sinistrés!L1429</f>
        <v>13</v>
      </c>
      <c r="E1424">
        <f>Sinistrés!M1429</f>
        <v>13</v>
      </c>
      <c r="F1424">
        <f t="shared" si="44"/>
        <v>0</v>
      </c>
      <c r="G1424">
        <f t="shared" si="45"/>
        <v>1</v>
      </c>
    </row>
    <row r="1425" spans="1:7" hidden="1">
      <c r="A1425" t="str">
        <f>Sinistrés!H1430</f>
        <v>Colza d'hiver</v>
      </c>
      <c r="B1425">
        <f>Sinistrés!J1430</f>
        <v>21600</v>
      </c>
      <c r="C1425">
        <f>Sinistrés!X1430</f>
        <v>0</v>
      </c>
      <c r="D1425">
        <f>Sinistrés!L1430</f>
        <v>20</v>
      </c>
      <c r="E1425">
        <f>Sinistrés!M1430</f>
        <v>20</v>
      </c>
      <c r="F1425">
        <f t="shared" si="44"/>
        <v>0</v>
      </c>
      <c r="G1425">
        <f t="shared" si="45"/>
        <v>1</v>
      </c>
    </row>
    <row r="1426" spans="1:7" hidden="1">
      <c r="A1426" t="str">
        <f>Sinistrés!H1431</f>
        <v>Maïs grain irrigué</v>
      </c>
      <c r="B1426">
        <f>Sinistrés!J1431</f>
        <v>41944</v>
      </c>
      <c r="C1426">
        <f>Sinistrés!X1431</f>
        <v>0</v>
      </c>
      <c r="D1426">
        <f>Sinistrés!L1431</f>
        <v>28</v>
      </c>
      <c r="E1426">
        <f>Sinistrés!M1431</f>
        <v>28</v>
      </c>
      <c r="F1426">
        <f t="shared" si="44"/>
        <v>0</v>
      </c>
      <c r="G1426">
        <f t="shared" si="45"/>
        <v>1</v>
      </c>
    </row>
    <row r="1427" spans="1:7" hidden="1">
      <c r="A1427" t="str">
        <f>Sinistrés!H1432</f>
        <v>Maïs grain non irrigué</v>
      </c>
      <c r="B1427">
        <f>Sinistrés!J1432</f>
        <v>24260.6</v>
      </c>
      <c r="C1427">
        <f>Sinistrés!X1432</f>
        <v>0</v>
      </c>
      <c r="D1427">
        <f>Sinistrés!L1432</f>
        <v>28</v>
      </c>
      <c r="E1427">
        <f>Sinistrés!M1432</f>
        <v>28</v>
      </c>
      <c r="F1427">
        <f t="shared" si="44"/>
        <v>0</v>
      </c>
      <c r="G1427">
        <f t="shared" si="45"/>
        <v>1</v>
      </c>
    </row>
    <row r="1428" spans="1:7" hidden="1">
      <c r="A1428" t="str">
        <f>Sinistrés!H1433</f>
        <v>Tournesol</v>
      </c>
      <c r="B1428">
        <f>Sinistrés!J1433</f>
        <v>36900</v>
      </c>
      <c r="C1428">
        <f>Sinistrés!X1433</f>
        <v>0</v>
      </c>
      <c r="D1428">
        <f>Sinistrés!L1433</f>
        <v>41</v>
      </c>
      <c r="E1428">
        <f>Sinistrés!M1433</f>
        <v>41</v>
      </c>
      <c r="F1428">
        <f t="shared" si="44"/>
        <v>0</v>
      </c>
      <c r="G1428">
        <f t="shared" si="45"/>
        <v>1</v>
      </c>
    </row>
    <row r="1429" spans="1:7">
      <c r="A1429" t="str">
        <f>Sinistrés!H1434</f>
        <v>Blé tendre d'hiver</v>
      </c>
      <c r="B1429">
        <f>Sinistrés!J1434</f>
        <v>85050</v>
      </c>
      <c r="C1429">
        <f>Sinistrés!X1434</f>
        <v>1833.57</v>
      </c>
      <c r="D1429">
        <f>Sinistrés!L1434</f>
        <v>90</v>
      </c>
      <c r="E1429">
        <f>Sinistrés!M1434</f>
        <v>90</v>
      </c>
      <c r="F1429">
        <f t="shared" si="44"/>
        <v>2.1558730158730159E-2</v>
      </c>
      <c r="G1429">
        <f t="shared" si="45"/>
        <v>1</v>
      </c>
    </row>
    <row r="1430" spans="1:7" hidden="1">
      <c r="A1430" t="str">
        <f>Sinistrés!H1435</f>
        <v>Pois protéagineux</v>
      </c>
      <c r="B1430">
        <f>Sinistrés!J1435</f>
        <v>9386.14</v>
      </c>
      <c r="C1430">
        <f>Sinistrés!X1435</f>
        <v>0</v>
      </c>
      <c r="D1430">
        <f>Sinistrés!L1435</f>
        <v>9.73</v>
      </c>
      <c r="E1430">
        <f>Sinistrés!M1435</f>
        <v>9.73</v>
      </c>
      <c r="F1430">
        <f t="shared" si="44"/>
        <v>0</v>
      </c>
      <c r="G1430">
        <f t="shared" si="45"/>
        <v>1</v>
      </c>
    </row>
    <row r="1431" spans="1:7" hidden="1">
      <c r="A1431" t="str">
        <f>Sinistrés!H1436</f>
        <v>Orge d'hiver</v>
      </c>
      <c r="B1431">
        <f>Sinistrés!J1436</f>
        <v>10266.89</v>
      </c>
      <c r="C1431">
        <f>Sinistrés!X1436</f>
        <v>0</v>
      </c>
      <c r="D1431">
        <f>Sinistrés!L1436</f>
        <v>10.71</v>
      </c>
      <c r="E1431">
        <f>Sinistrés!M1436</f>
        <v>10.71</v>
      </c>
      <c r="F1431">
        <f t="shared" si="44"/>
        <v>0</v>
      </c>
      <c r="G1431">
        <f t="shared" si="45"/>
        <v>1</v>
      </c>
    </row>
    <row r="1432" spans="1:7" hidden="1">
      <c r="A1432" t="str">
        <f>Sinistrés!H1437</f>
        <v>Pois protéagineux</v>
      </c>
      <c r="B1432">
        <f>Sinistrés!J1437</f>
        <v>7737.13</v>
      </c>
      <c r="C1432">
        <f>Sinistrés!X1437</f>
        <v>0</v>
      </c>
      <c r="D1432">
        <f>Sinistrés!L1437</f>
        <v>9.52</v>
      </c>
      <c r="E1432">
        <f>Sinistrés!M1437</f>
        <v>9.52</v>
      </c>
      <c r="F1432">
        <f t="shared" si="44"/>
        <v>0</v>
      </c>
      <c r="G1432">
        <f t="shared" si="45"/>
        <v>1</v>
      </c>
    </row>
    <row r="1433" spans="1:7" hidden="1">
      <c r="A1433" t="str">
        <f>Sinistrés!H1438</f>
        <v>Tournesol</v>
      </c>
      <c r="B1433">
        <f>Sinistrés!J1438</f>
        <v>20014.560000000001</v>
      </c>
      <c r="C1433">
        <f>Sinistrés!X1438</f>
        <v>0</v>
      </c>
      <c r="D1433">
        <f>Sinistrés!L1438</f>
        <v>19.87</v>
      </c>
      <c r="E1433">
        <f>Sinistrés!M1438</f>
        <v>19.87</v>
      </c>
      <c r="F1433">
        <f t="shared" si="44"/>
        <v>0</v>
      </c>
      <c r="G1433">
        <f t="shared" si="45"/>
        <v>1</v>
      </c>
    </row>
    <row r="1434" spans="1:7">
      <c r="A1434" t="str">
        <f>Sinistrés!H1439</f>
        <v>Orge d'hiver</v>
      </c>
      <c r="B1434">
        <f>Sinistrés!J1439</f>
        <v>1019.54</v>
      </c>
      <c r="C1434">
        <f>Sinistrés!X1439</f>
        <v>286.32</v>
      </c>
      <c r="D1434">
        <f>Sinistrés!L1439</f>
        <v>1.5</v>
      </c>
      <c r="E1434">
        <f>Sinistrés!M1439</f>
        <v>1.5</v>
      </c>
      <c r="F1434">
        <f t="shared" si="44"/>
        <v>0.28083253231849659</v>
      </c>
      <c r="G1434">
        <f t="shared" si="45"/>
        <v>1</v>
      </c>
    </row>
    <row r="1435" spans="1:7" hidden="1">
      <c r="A1435" t="str">
        <f>Sinistrés!H1440</f>
        <v>Maïs grain non irrigué</v>
      </c>
      <c r="B1435">
        <f>Sinistrés!J1440</f>
        <v>34615</v>
      </c>
      <c r="C1435">
        <f>Sinistrés!X1440</f>
        <v>0</v>
      </c>
      <c r="D1435">
        <f>Sinistrés!L1440</f>
        <v>21.5</v>
      </c>
      <c r="E1435">
        <f>Sinistrés!M1440</f>
        <v>5.5</v>
      </c>
      <c r="F1435">
        <f t="shared" si="44"/>
        <v>0</v>
      </c>
      <c r="G1435">
        <f t="shared" si="45"/>
        <v>0.2558139534883721</v>
      </c>
    </row>
    <row r="1436" spans="1:7" hidden="1">
      <c r="A1436" t="str">
        <f>Sinistrés!H1441</f>
        <v>Blé tendre d'hiver</v>
      </c>
      <c r="B1436">
        <f>Sinistrés!J1441</f>
        <v>2892.56</v>
      </c>
      <c r="C1436">
        <f>Sinistrés!X1441</f>
        <v>0</v>
      </c>
      <c r="D1436">
        <f>Sinistrés!L1441</f>
        <v>4</v>
      </c>
      <c r="E1436">
        <f>Sinistrés!M1441</f>
        <v>3.1</v>
      </c>
      <c r="F1436">
        <f t="shared" si="44"/>
        <v>0</v>
      </c>
      <c r="G1436">
        <f t="shared" si="45"/>
        <v>0.77500000000000002</v>
      </c>
    </row>
    <row r="1437" spans="1:7" hidden="1">
      <c r="A1437" t="str">
        <f>Sinistrés!H1442</f>
        <v>Maïs grain non irrigué</v>
      </c>
      <c r="B1437">
        <f>Sinistrés!J1442</f>
        <v>61267.5</v>
      </c>
      <c r="C1437">
        <f>Sinistrés!X1442</f>
        <v>0</v>
      </c>
      <c r="D1437">
        <f>Sinistrés!L1442</f>
        <v>35</v>
      </c>
      <c r="E1437">
        <f>Sinistrés!M1442</f>
        <v>14</v>
      </c>
      <c r="F1437">
        <f t="shared" si="44"/>
        <v>0</v>
      </c>
      <c r="G1437">
        <f t="shared" si="45"/>
        <v>0.4</v>
      </c>
    </row>
    <row r="1438" spans="1:7" hidden="1">
      <c r="A1438" t="str">
        <f>Sinistrés!H1443</f>
        <v>Maïs grain non irrigué</v>
      </c>
      <c r="B1438">
        <f>Sinistrés!J1443</f>
        <v>30810</v>
      </c>
      <c r="C1438">
        <f>Sinistrés!X1443</f>
        <v>0</v>
      </c>
      <c r="D1438">
        <f>Sinistrés!L1443</f>
        <v>15</v>
      </c>
      <c r="E1438">
        <f>Sinistrés!M1443</f>
        <v>7</v>
      </c>
      <c r="F1438">
        <f t="shared" si="44"/>
        <v>0</v>
      </c>
      <c r="G1438">
        <f t="shared" si="45"/>
        <v>0.46666666666666667</v>
      </c>
    </row>
    <row r="1439" spans="1:7" hidden="1">
      <c r="A1439" t="str">
        <f>Sinistrés!H1444</f>
        <v>Tournesol</v>
      </c>
      <c r="B1439">
        <f>Sinistrés!J1444</f>
        <v>41083.56</v>
      </c>
      <c r="C1439">
        <f>Sinistrés!X1444</f>
        <v>0</v>
      </c>
      <c r="D1439">
        <f>Sinistrés!L1444</f>
        <v>57.54</v>
      </c>
      <c r="E1439">
        <f>Sinistrés!M1444</f>
        <v>57.54</v>
      </c>
      <c r="F1439">
        <f t="shared" si="44"/>
        <v>0</v>
      </c>
      <c r="G1439">
        <f t="shared" si="45"/>
        <v>1</v>
      </c>
    </row>
    <row r="1440" spans="1:7">
      <c r="A1440" t="str">
        <f>Sinistrés!H1445</f>
        <v>Blé de force</v>
      </c>
      <c r="B1440">
        <f>Sinistrés!J1445</f>
        <v>29980.57</v>
      </c>
      <c r="C1440">
        <f>Sinistrés!X1445</f>
        <v>3848.02</v>
      </c>
      <c r="D1440">
        <f>Sinistrés!L1445</f>
        <v>24.53</v>
      </c>
      <c r="E1440">
        <f>Sinistrés!M1445</f>
        <v>24.53</v>
      </c>
      <c r="F1440">
        <f t="shared" si="44"/>
        <v>0.12835046164899466</v>
      </c>
      <c r="G1440">
        <f t="shared" si="45"/>
        <v>1</v>
      </c>
    </row>
    <row r="1441" spans="1:7">
      <c r="A1441" t="str">
        <f>Sinistrés!H1446</f>
        <v>Blé dur d'hiver</v>
      </c>
      <c r="B1441">
        <f>Sinistrés!J1446</f>
        <v>18186.400000000001</v>
      </c>
      <c r="C1441">
        <f>Sinistrés!X1446</f>
        <v>203.64</v>
      </c>
      <c r="D1441">
        <f>Sinistrés!L1446</f>
        <v>17.899999999999999</v>
      </c>
      <c r="E1441">
        <f>Sinistrés!M1446</f>
        <v>17.899999999999999</v>
      </c>
      <c r="F1441">
        <f t="shared" si="44"/>
        <v>1.1197378260678308E-2</v>
      </c>
      <c r="G1441">
        <f t="shared" si="45"/>
        <v>1</v>
      </c>
    </row>
    <row r="1442" spans="1:7" hidden="1">
      <c r="A1442" t="str">
        <f>Sinistrés!H1447</f>
        <v>Blé tendre d'hiver</v>
      </c>
      <c r="B1442">
        <f>Sinistrés!J1447</f>
        <v>47478.33</v>
      </c>
      <c r="C1442">
        <f>Sinistrés!X1447</f>
        <v>0</v>
      </c>
      <c r="D1442">
        <f>Sinistrés!L1447</f>
        <v>46.16</v>
      </c>
      <c r="E1442">
        <f>Sinistrés!M1447</f>
        <v>46.16</v>
      </c>
      <c r="F1442">
        <f t="shared" si="44"/>
        <v>0</v>
      </c>
      <c r="G1442">
        <f t="shared" si="45"/>
        <v>1</v>
      </c>
    </row>
    <row r="1443" spans="1:7" hidden="1">
      <c r="A1443" t="str">
        <f>Sinistrés!H1448</f>
        <v>Orge d'hiver</v>
      </c>
      <c r="B1443">
        <f>Sinistrés!J1448</f>
        <v>13373.82</v>
      </c>
      <c r="C1443">
        <f>Sinistrés!X1448</f>
        <v>0</v>
      </c>
      <c r="D1443">
        <f>Sinistrés!L1448</f>
        <v>15.56</v>
      </c>
      <c r="E1443">
        <f>Sinistrés!M1448</f>
        <v>15.56</v>
      </c>
      <c r="F1443">
        <f t="shared" si="44"/>
        <v>0</v>
      </c>
      <c r="G1443">
        <f t="shared" si="45"/>
        <v>1</v>
      </c>
    </row>
    <row r="1444" spans="1:7" hidden="1">
      <c r="A1444" t="str">
        <f>Sinistrés!H1449</f>
        <v>Lentilles BIO</v>
      </c>
      <c r="B1444">
        <f>Sinistrés!J1449</f>
        <v>5820</v>
      </c>
      <c r="C1444">
        <f>Sinistrés!X1449</f>
        <v>2736</v>
      </c>
      <c r="D1444">
        <f>Sinistrés!L1449</f>
        <v>4</v>
      </c>
      <c r="E1444">
        <f>Sinistrés!M1449</f>
        <v>4</v>
      </c>
      <c r="F1444">
        <f t="shared" si="44"/>
        <v>0.47010309278350515</v>
      </c>
      <c r="G1444">
        <f t="shared" si="45"/>
        <v>1</v>
      </c>
    </row>
    <row r="1445" spans="1:7" hidden="1">
      <c r="A1445" t="str">
        <f>Sinistrés!H1450</f>
        <v>Triticale BIO</v>
      </c>
      <c r="B1445">
        <f>Sinistrés!J1450</f>
        <v>10974.99</v>
      </c>
      <c r="C1445">
        <f>Sinistrés!X1450</f>
        <v>0</v>
      </c>
      <c r="D1445">
        <f>Sinistrés!L1450</f>
        <v>15.26</v>
      </c>
      <c r="E1445">
        <f>Sinistrés!M1450</f>
        <v>15.26</v>
      </c>
      <c r="F1445">
        <f t="shared" si="44"/>
        <v>0</v>
      </c>
      <c r="G1445">
        <f t="shared" si="45"/>
        <v>1</v>
      </c>
    </row>
    <row r="1446" spans="1:7" hidden="1">
      <c r="A1446" t="str">
        <f>Sinistrés!H1451</f>
        <v>Maïs grain non irrigué BIO</v>
      </c>
      <c r="B1446">
        <f>Sinistrés!J1451</f>
        <v>8036</v>
      </c>
      <c r="C1446">
        <f>Sinistrés!X1451</f>
        <v>0</v>
      </c>
      <c r="D1446">
        <f>Sinistrés!L1451</f>
        <v>7</v>
      </c>
      <c r="E1446">
        <f>Sinistrés!M1451</f>
        <v>7</v>
      </c>
      <c r="F1446">
        <f t="shared" si="44"/>
        <v>0</v>
      </c>
      <c r="G1446">
        <f t="shared" si="45"/>
        <v>1</v>
      </c>
    </row>
    <row r="1447" spans="1:7" hidden="1">
      <c r="A1447" t="str">
        <f>Sinistrés!H1452</f>
        <v>Lin oléagineux BIO</v>
      </c>
      <c r="B1447">
        <f>Sinistrés!J1452</f>
        <v>85095.360000000001</v>
      </c>
      <c r="C1447">
        <f>Sinistrés!X1452</f>
        <v>0</v>
      </c>
      <c r="D1447">
        <f>Sinistrés!L1452</f>
        <v>48.24</v>
      </c>
      <c r="E1447">
        <f>Sinistrés!M1452</f>
        <v>48.24</v>
      </c>
      <c r="F1447">
        <f t="shared" si="44"/>
        <v>0</v>
      </c>
      <c r="G1447">
        <f t="shared" si="45"/>
        <v>1</v>
      </c>
    </row>
    <row r="1448" spans="1:7" hidden="1">
      <c r="A1448" t="str">
        <f>Sinistrés!H1453</f>
        <v>Blé tendre d'hiver BIO</v>
      </c>
      <c r="B1448">
        <f>Sinistrés!J1453</f>
        <v>133447.07999999999</v>
      </c>
      <c r="C1448">
        <f>Sinistrés!X1453</f>
        <v>0</v>
      </c>
      <c r="D1448">
        <f>Sinistrés!L1453</f>
        <v>84.89</v>
      </c>
      <c r="E1448">
        <f>Sinistrés!M1453</f>
        <v>84.89</v>
      </c>
      <c r="F1448">
        <f t="shared" si="44"/>
        <v>0</v>
      </c>
      <c r="G1448">
        <f t="shared" si="45"/>
        <v>1</v>
      </c>
    </row>
    <row r="1449" spans="1:7" hidden="1">
      <c r="A1449" t="str">
        <f>Sinistrés!H1454</f>
        <v>Colza d'hiver BIO</v>
      </c>
      <c r="B1449">
        <f>Sinistrés!J1454</f>
        <v>54576.34</v>
      </c>
      <c r="C1449">
        <f>Sinistrés!X1454</f>
        <v>0</v>
      </c>
      <c r="D1449">
        <f>Sinistrés!L1454</f>
        <v>40.82</v>
      </c>
      <c r="E1449">
        <f>Sinistrés!M1454</f>
        <v>40.82</v>
      </c>
      <c r="F1449">
        <f t="shared" si="44"/>
        <v>0</v>
      </c>
      <c r="G1449">
        <f t="shared" si="45"/>
        <v>1</v>
      </c>
    </row>
    <row r="1450" spans="1:7" hidden="1">
      <c r="A1450" t="str">
        <f>Sinistrés!H1455</f>
        <v>Orge d'hiver BIO</v>
      </c>
      <c r="B1450">
        <f>Sinistrés!J1455</f>
        <v>12015.47</v>
      </c>
      <c r="C1450">
        <f>Sinistrés!X1455</f>
        <v>0</v>
      </c>
      <c r="D1450">
        <f>Sinistrés!L1455</f>
        <v>11.33</v>
      </c>
      <c r="E1450">
        <f>Sinistrés!M1455</f>
        <v>11.33</v>
      </c>
      <c r="F1450">
        <f t="shared" si="44"/>
        <v>0</v>
      </c>
      <c r="G1450">
        <f t="shared" si="45"/>
        <v>1</v>
      </c>
    </row>
    <row r="1451" spans="1:7" hidden="1">
      <c r="A1451" t="str">
        <f>Sinistrés!H1456</f>
        <v>Tournesol BIO</v>
      </c>
      <c r="B1451">
        <f>Sinistrés!J1456</f>
        <v>19000</v>
      </c>
      <c r="C1451">
        <f>Sinistrés!X1456</f>
        <v>0</v>
      </c>
      <c r="D1451">
        <f>Sinistrés!L1456</f>
        <v>9.5</v>
      </c>
      <c r="E1451">
        <f>Sinistrés!M1456</f>
        <v>9.5</v>
      </c>
      <c r="F1451">
        <f t="shared" si="44"/>
        <v>0</v>
      </c>
      <c r="G1451">
        <f t="shared" si="45"/>
        <v>1</v>
      </c>
    </row>
    <row r="1452" spans="1:7" hidden="1">
      <c r="A1452" t="str">
        <f>Sinistrés!H1457</f>
        <v>Sorgho BIO</v>
      </c>
      <c r="B1452">
        <f>Sinistrés!J1457</f>
        <v>2821</v>
      </c>
      <c r="C1452">
        <f>Sinistrés!X1457</f>
        <v>0</v>
      </c>
      <c r="D1452">
        <f>Sinistrés!L1457</f>
        <v>2.6</v>
      </c>
      <c r="E1452">
        <f>Sinistrés!M1457</f>
        <v>2.6</v>
      </c>
      <c r="F1452">
        <f t="shared" si="44"/>
        <v>0</v>
      </c>
      <c r="G1452">
        <f t="shared" si="45"/>
        <v>1</v>
      </c>
    </row>
    <row r="1453" spans="1:7" hidden="1">
      <c r="A1453" t="str">
        <f>Sinistrés!H1458</f>
        <v>Tournesol</v>
      </c>
      <c r="B1453">
        <f>Sinistrés!J1458</f>
        <v>41529.599999999999</v>
      </c>
      <c r="C1453">
        <f>Sinistrés!X1458</f>
        <v>0</v>
      </c>
      <c r="D1453">
        <f>Sinistrés!L1458</f>
        <v>51.5</v>
      </c>
      <c r="E1453">
        <f>Sinistrés!M1458</f>
        <v>51.5</v>
      </c>
      <c r="F1453">
        <f t="shared" si="44"/>
        <v>0</v>
      </c>
      <c r="G1453">
        <f t="shared" si="45"/>
        <v>1</v>
      </c>
    </row>
    <row r="1454" spans="1:7" hidden="1">
      <c r="A1454" t="str">
        <f>Sinistrés!H1459</f>
        <v>Maïs grain irrigué</v>
      </c>
      <c r="B1454">
        <f>Sinistrés!J1459</f>
        <v>17676.23</v>
      </c>
      <c r="C1454">
        <f>Sinistrés!X1459</f>
        <v>0</v>
      </c>
      <c r="D1454">
        <f>Sinistrés!L1459</f>
        <v>12.47</v>
      </c>
      <c r="E1454">
        <f>Sinistrés!M1459</f>
        <v>12.47</v>
      </c>
      <c r="F1454">
        <f t="shared" si="44"/>
        <v>0</v>
      </c>
      <c r="G1454">
        <f t="shared" si="45"/>
        <v>1</v>
      </c>
    </row>
    <row r="1455" spans="1:7" hidden="1">
      <c r="A1455" t="str">
        <f>Sinistrés!H1460</f>
        <v>Soja</v>
      </c>
      <c r="B1455">
        <f>Sinistrés!J1460</f>
        <v>7911.36</v>
      </c>
      <c r="C1455">
        <f>Sinistrés!X1460</f>
        <v>0</v>
      </c>
      <c r="D1455">
        <f>Sinistrés!L1460</f>
        <v>12.06</v>
      </c>
      <c r="E1455">
        <f>Sinistrés!M1460</f>
        <v>12.06</v>
      </c>
      <c r="F1455">
        <f t="shared" si="44"/>
        <v>0</v>
      </c>
      <c r="G1455">
        <f t="shared" si="45"/>
        <v>1</v>
      </c>
    </row>
    <row r="1456" spans="1:7" hidden="1">
      <c r="A1456" t="str">
        <f>Sinistrés!H1461</f>
        <v>Tournesol</v>
      </c>
      <c r="B1456">
        <f>Sinistrés!J1461</f>
        <v>8217.2199999999993</v>
      </c>
      <c r="C1456">
        <f>Sinistrés!X1461</f>
        <v>0</v>
      </c>
      <c r="D1456">
        <f>Sinistrés!L1461</f>
        <v>10.19</v>
      </c>
      <c r="E1456">
        <f>Sinistrés!M1461</f>
        <v>10.19</v>
      </c>
      <c r="F1456">
        <f t="shared" si="44"/>
        <v>0</v>
      </c>
      <c r="G1456">
        <f t="shared" si="45"/>
        <v>1</v>
      </c>
    </row>
    <row r="1457" spans="1:7">
      <c r="A1457" t="str">
        <f>Sinistrés!H1462</f>
        <v>Colza d'hiver</v>
      </c>
      <c r="B1457">
        <f>Sinistrés!J1462</f>
        <v>3593.05</v>
      </c>
      <c r="C1457">
        <f>Sinistrés!X1462</f>
        <v>185.96</v>
      </c>
      <c r="D1457">
        <f>Sinistrés!L1462</f>
        <v>3.09</v>
      </c>
      <c r="E1457">
        <f>Sinistrés!M1462</f>
        <v>3.09</v>
      </c>
      <c r="F1457">
        <f t="shared" si="44"/>
        <v>5.1755472370270381E-2</v>
      </c>
      <c r="G1457">
        <f t="shared" si="45"/>
        <v>1</v>
      </c>
    </row>
    <row r="1458" spans="1:7">
      <c r="A1458" t="str">
        <f>Sinistrés!H1463</f>
        <v>Blé dur d'hiver</v>
      </c>
      <c r="B1458">
        <f>Sinistrés!J1463</f>
        <v>11422.32</v>
      </c>
      <c r="C1458">
        <f>Sinistrés!X1463</f>
        <v>1543.9</v>
      </c>
      <c r="D1458">
        <f>Sinistrés!L1463</f>
        <v>10.46</v>
      </c>
      <c r="E1458">
        <f>Sinistrés!M1463</f>
        <v>10.46</v>
      </c>
      <c r="F1458">
        <f t="shared" si="44"/>
        <v>0.13516518535638997</v>
      </c>
      <c r="G1458">
        <f t="shared" si="45"/>
        <v>1</v>
      </c>
    </row>
    <row r="1459" spans="1:7" hidden="1">
      <c r="A1459" t="str">
        <f>Sinistrés!H1464</f>
        <v>Blé tendre d'hiver</v>
      </c>
      <c r="B1459">
        <f>Sinistrés!J1464</f>
        <v>14414.11</v>
      </c>
      <c r="C1459">
        <f>Sinistrés!X1464</f>
        <v>0</v>
      </c>
      <c r="D1459">
        <f>Sinistrés!L1464</f>
        <v>14.94</v>
      </c>
      <c r="E1459">
        <f>Sinistrés!M1464</f>
        <v>14.94</v>
      </c>
      <c r="F1459">
        <f t="shared" si="44"/>
        <v>0</v>
      </c>
      <c r="G1459">
        <f t="shared" si="45"/>
        <v>1</v>
      </c>
    </row>
    <row r="1460" spans="1:7">
      <c r="A1460" t="str">
        <f>Sinistrés!H1465</f>
        <v>Colza d'hiver</v>
      </c>
      <c r="B1460">
        <f>Sinistrés!J1465</f>
        <v>15186.78</v>
      </c>
      <c r="C1460">
        <f>Sinistrés!X1465</f>
        <v>1048.6099999999999</v>
      </c>
      <c r="D1460">
        <f>Sinistrés!L1465</f>
        <v>14.18</v>
      </c>
      <c r="E1460">
        <f>Sinistrés!M1465</f>
        <v>14.18</v>
      </c>
      <c r="F1460">
        <f t="shared" si="44"/>
        <v>6.9047553200876022E-2</v>
      </c>
      <c r="G1460">
        <f t="shared" si="45"/>
        <v>1</v>
      </c>
    </row>
    <row r="1461" spans="1:7" hidden="1">
      <c r="A1461" t="str">
        <f>Sinistrés!H1466</f>
        <v>Blé de force</v>
      </c>
      <c r="B1461">
        <f>Sinistrés!J1466</f>
        <v>11486.87</v>
      </c>
      <c r="C1461">
        <f>Sinistrés!X1466</f>
        <v>0</v>
      </c>
      <c r="D1461">
        <f>Sinistrés!L1466</f>
        <v>12.14</v>
      </c>
      <c r="E1461">
        <f>Sinistrés!M1466</f>
        <v>12.14</v>
      </c>
      <c r="F1461">
        <f t="shared" si="44"/>
        <v>0</v>
      </c>
      <c r="G1461">
        <f t="shared" si="45"/>
        <v>1</v>
      </c>
    </row>
    <row r="1462" spans="1:7" hidden="1">
      <c r="A1462" t="str">
        <f>Sinistrés!H1467</f>
        <v>Blé tendre d'hiver</v>
      </c>
      <c r="B1462">
        <f>Sinistrés!J1467</f>
        <v>25711.919999999998</v>
      </c>
      <c r="C1462">
        <f>Sinistrés!X1467</f>
        <v>0</v>
      </c>
      <c r="D1462">
        <f>Sinistrés!L1467</f>
        <v>26.65</v>
      </c>
      <c r="E1462">
        <f>Sinistrés!M1467</f>
        <v>26.65</v>
      </c>
      <c r="F1462">
        <f t="shared" si="44"/>
        <v>0</v>
      </c>
      <c r="G1462">
        <f t="shared" si="45"/>
        <v>1</v>
      </c>
    </row>
    <row r="1463" spans="1:7">
      <c r="A1463" t="str">
        <f>Sinistrés!H1468</f>
        <v>Maïs ensilage non irrigué</v>
      </c>
      <c r="B1463">
        <f>Sinistrés!J1468</f>
        <v>27592.36</v>
      </c>
      <c r="C1463">
        <f>Sinistrés!X1468</f>
        <v>12253.63</v>
      </c>
      <c r="D1463">
        <f>Sinistrés!L1468</f>
        <v>20.39</v>
      </c>
      <c r="E1463">
        <f>Sinistrés!M1468</f>
        <v>20.39</v>
      </c>
      <c r="F1463">
        <f t="shared" si="44"/>
        <v>0.44409503210308937</v>
      </c>
      <c r="G1463">
        <f t="shared" si="45"/>
        <v>1</v>
      </c>
    </row>
    <row r="1464" spans="1:7" hidden="1">
      <c r="A1464" t="str">
        <f>Sinistrés!H1469</f>
        <v>Seigle et méteil</v>
      </c>
      <c r="B1464">
        <f>Sinistrés!J1469</f>
        <v>5086.3999999999996</v>
      </c>
      <c r="C1464">
        <f>Sinistrés!X1469</f>
        <v>0</v>
      </c>
      <c r="D1464">
        <f>Sinistrés!L1469</f>
        <v>5.78</v>
      </c>
      <c r="E1464">
        <f>Sinistrés!M1469</f>
        <v>5.78</v>
      </c>
      <c r="F1464">
        <f t="shared" si="44"/>
        <v>0</v>
      </c>
      <c r="G1464">
        <f t="shared" si="45"/>
        <v>1</v>
      </c>
    </row>
    <row r="1465" spans="1:7" hidden="1">
      <c r="A1465" t="str">
        <f>Sinistrés!H1470</f>
        <v>Triticale</v>
      </c>
      <c r="B1465">
        <f>Sinistrés!J1470</f>
        <v>14827.4</v>
      </c>
      <c r="C1465">
        <f>Sinistrés!X1470</f>
        <v>0</v>
      </c>
      <c r="D1465">
        <f>Sinistrés!L1470</f>
        <v>16.66</v>
      </c>
      <c r="E1465">
        <f>Sinistrés!M1470</f>
        <v>16.66</v>
      </c>
      <c r="F1465">
        <f t="shared" si="44"/>
        <v>0</v>
      </c>
      <c r="G1465">
        <f t="shared" si="45"/>
        <v>1</v>
      </c>
    </row>
    <row r="1466" spans="1:7" hidden="1">
      <c r="A1466" t="str">
        <f>Sinistrés!H1471</f>
        <v>Maïs grain non irrigué</v>
      </c>
      <c r="B1466">
        <f>Sinistrés!J1471</f>
        <v>20840.78</v>
      </c>
      <c r="C1466">
        <f>Sinistrés!X1471</f>
        <v>0</v>
      </c>
      <c r="D1466">
        <f>Sinistrés!L1471</f>
        <v>13.45</v>
      </c>
      <c r="E1466">
        <f>Sinistrés!M1471</f>
        <v>2.2999999999999998</v>
      </c>
      <c r="F1466">
        <f t="shared" si="44"/>
        <v>0</v>
      </c>
      <c r="G1466">
        <f t="shared" si="45"/>
        <v>0.17100371747211895</v>
      </c>
    </row>
    <row r="1467" spans="1:7" hidden="1">
      <c r="A1467" t="str">
        <f>Sinistrés!H1472</f>
        <v>Féveroles et fèves BIO</v>
      </c>
      <c r="B1467">
        <f>Sinistrés!J1472</f>
        <v>9909.76</v>
      </c>
      <c r="C1467">
        <f>Sinistrés!X1472</f>
        <v>0</v>
      </c>
      <c r="D1467">
        <f>Sinistrés!L1472</f>
        <v>12.64</v>
      </c>
      <c r="E1467">
        <f>Sinistrés!M1472</f>
        <v>12.64</v>
      </c>
      <c r="F1467">
        <f t="shared" si="44"/>
        <v>0</v>
      </c>
      <c r="G1467">
        <f t="shared" si="45"/>
        <v>1</v>
      </c>
    </row>
    <row r="1468" spans="1:7" hidden="1">
      <c r="A1468" t="str">
        <f>Sinistrés!H1473</f>
        <v>Seigle et méteil BIO</v>
      </c>
      <c r="B1468">
        <f>Sinistrés!J1473</f>
        <v>27654.9</v>
      </c>
      <c r="C1468">
        <f>Sinistrés!X1473</f>
        <v>0</v>
      </c>
      <c r="D1468">
        <f>Sinistrés!L1473</f>
        <v>20.260000000000002</v>
      </c>
      <c r="E1468">
        <f>Sinistrés!M1473</f>
        <v>20.260000000000002</v>
      </c>
      <c r="F1468">
        <f t="shared" si="44"/>
        <v>0</v>
      </c>
      <c r="G1468">
        <f t="shared" si="45"/>
        <v>1</v>
      </c>
    </row>
    <row r="1469" spans="1:7" hidden="1">
      <c r="A1469" t="str">
        <f>Sinistrés!H1474</f>
        <v>Maïs grain irrigué</v>
      </c>
      <c r="B1469">
        <f>Sinistrés!J1474</f>
        <v>52744.7</v>
      </c>
      <c r="C1469">
        <f>Sinistrés!X1474</f>
        <v>0</v>
      </c>
      <c r="D1469">
        <f>Sinistrés!L1474</f>
        <v>29.86</v>
      </c>
      <c r="E1469">
        <f>Sinistrés!M1474</f>
        <v>29.86</v>
      </c>
      <c r="F1469">
        <f t="shared" si="44"/>
        <v>0</v>
      </c>
      <c r="G1469">
        <f t="shared" si="45"/>
        <v>1</v>
      </c>
    </row>
    <row r="1470" spans="1:7">
      <c r="A1470" t="str">
        <f>Sinistrés!H1475</f>
        <v>Triticale</v>
      </c>
      <c r="B1470">
        <f>Sinistrés!J1475</f>
        <v>3286.14</v>
      </c>
      <c r="C1470">
        <f>Sinistrés!X1475</f>
        <v>929.92</v>
      </c>
      <c r="D1470">
        <f>Sinistrés!L1475</f>
        <v>5.72</v>
      </c>
      <c r="E1470">
        <f>Sinistrés!M1475</f>
        <v>5.72</v>
      </c>
      <c r="F1470">
        <f t="shared" si="44"/>
        <v>0.28298246575008978</v>
      </c>
      <c r="G1470">
        <f t="shared" si="45"/>
        <v>1</v>
      </c>
    </row>
    <row r="1471" spans="1:7">
      <c r="A1471" t="str">
        <f>Sinistrés!H1476</f>
        <v>Blé tendre d'hiver</v>
      </c>
      <c r="B1471">
        <f>Sinistrés!J1476</f>
        <v>95901.35</v>
      </c>
      <c r="C1471">
        <f>Sinistrés!X1476</f>
        <v>2629.55</v>
      </c>
      <c r="D1471">
        <f>Sinistrés!L1476</f>
        <v>89.93</v>
      </c>
      <c r="E1471">
        <f>Sinistrés!M1476</f>
        <v>89.93</v>
      </c>
      <c r="F1471">
        <f t="shared" si="44"/>
        <v>2.7419322042911805E-2</v>
      </c>
      <c r="G1471">
        <f t="shared" si="45"/>
        <v>1</v>
      </c>
    </row>
    <row r="1472" spans="1:7">
      <c r="A1472" t="str">
        <f>Sinistrés!H1477</f>
        <v>Colza d'hiver</v>
      </c>
      <c r="B1472">
        <f>Sinistrés!J1477</f>
        <v>11263.56</v>
      </c>
      <c r="C1472">
        <f>Sinistrés!X1477</f>
        <v>6815.47</v>
      </c>
      <c r="D1472">
        <f>Sinistrés!L1477</f>
        <v>12.19</v>
      </c>
      <c r="E1472">
        <f>Sinistrés!M1477</f>
        <v>12.19</v>
      </c>
      <c r="F1472">
        <f t="shared" si="44"/>
        <v>0.60509022014354263</v>
      </c>
      <c r="G1472">
        <f t="shared" si="45"/>
        <v>1</v>
      </c>
    </row>
    <row r="1473" spans="1:7" hidden="1">
      <c r="A1473" t="str">
        <f>Sinistrés!H1478</f>
        <v>Orge d'hiver</v>
      </c>
      <c r="B1473">
        <f>Sinistrés!J1478</f>
        <v>26686.26</v>
      </c>
      <c r="C1473">
        <f>Sinistrés!X1478</f>
        <v>0</v>
      </c>
      <c r="D1473">
        <f>Sinistrés!L1478</f>
        <v>38.76</v>
      </c>
      <c r="E1473">
        <f>Sinistrés!M1478</f>
        <v>38.76</v>
      </c>
      <c r="F1473">
        <f t="shared" si="44"/>
        <v>0</v>
      </c>
      <c r="G1473">
        <f t="shared" si="45"/>
        <v>1</v>
      </c>
    </row>
    <row r="1474" spans="1:7" hidden="1">
      <c r="A1474" t="str">
        <f>Sinistrés!H1479</f>
        <v>Tournesol</v>
      </c>
      <c r="B1474">
        <f>Sinistrés!J1479</f>
        <v>64908.41</v>
      </c>
      <c r="C1474">
        <f>Sinistrés!X1479</f>
        <v>0</v>
      </c>
      <c r="D1474">
        <f>Sinistrés!L1479</f>
        <v>85.07</v>
      </c>
      <c r="E1474">
        <f>Sinistrés!M1479</f>
        <v>85.07</v>
      </c>
      <c r="F1474">
        <f t="shared" si="44"/>
        <v>0</v>
      </c>
      <c r="G1474">
        <f t="shared" si="45"/>
        <v>1</v>
      </c>
    </row>
    <row r="1475" spans="1:7" hidden="1">
      <c r="A1475" t="str">
        <f>Sinistrés!H1480</f>
        <v>Blé tendre d'hiver BIO</v>
      </c>
      <c r="B1475">
        <f>Sinistrés!J1480</f>
        <v>14996.02</v>
      </c>
      <c r="C1475">
        <f>Sinistrés!X1480</f>
        <v>1511.04</v>
      </c>
      <c r="D1475">
        <f>Sinistrés!L1480</f>
        <v>9.1199999999999992</v>
      </c>
      <c r="E1475">
        <f>Sinistrés!M1480</f>
        <v>9.1199999999999992</v>
      </c>
      <c r="F1475">
        <f t="shared" ref="F1475:F1538" si="46">C1475/B1475</f>
        <v>0.10076273571254239</v>
      </c>
      <c r="G1475">
        <f t="shared" ref="G1475:G1538" si="47">E1475/D1475</f>
        <v>1</v>
      </c>
    </row>
    <row r="1476" spans="1:7" hidden="1">
      <c r="A1476" t="str">
        <f>Sinistrés!H1481</f>
        <v>Orge de printemps BIO</v>
      </c>
      <c r="B1476">
        <f>Sinistrés!J1481</f>
        <v>15446.34</v>
      </c>
      <c r="C1476">
        <f>Sinistrés!X1481</f>
        <v>4711.3900000000003</v>
      </c>
      <c r="D1476">
        <f>Sinistrés!L1481</f>
        <v>11.48</v>
      </c>
      <c r="E1476">
        <f>Sinistrés!M1481</f>
        <v>11.48</v>
      </c>
      <c r="F1476">
        <f t="shared" si="46"/>
        <v>0.30501659292751554</v>
      </c>
      <c r="G1476">
        <f t="shared" si="47"/>
        <v>1</v>
      </c>
    </row>
    <row r="1477" spans="1:7" hidden="1">
      <c r="A1477" t="str">
        <f>Sinistrés!H1482</f>
        <v>Triticale BIO</v>
      </c>
      <c r="B1477">
        <f>Sinistrés!J1482</f>
        <v>7233.84</v>
      </c>
      <c r="C1477">
        <f>Sinistrés!X1482</f>
        <v>2994.82</v>
      </c>
      <c r="D1477">
        <f>Sinistrés!L1482</f>
        <v>5.91</v>
      </c>
      <c r="E1477">
        <f>Sinistrés!M1482</f>
        <v>5.91</v>
      </c>
      <c r="F1477">
        <f t="shared" si="46"/>
        <v>0.41400141556904774</v>
      </c>
      <c r="G1477">
        <f t="shared" si="47"/>
        <v>1</v>
      </c>
    </row>
    <row r="1478" spans="1:7">
      <c r="A1478" t="str">
        <f>Sinistrés!H1483</f>
        <v>Tournesol</v>
      </c>
      <c r="B1478">
        <f>Sinistrés!J1483</f>
        <v>15219.75</v>
      </c>
      <c r="C1478">
        <f>Sinistrés!X1483</f>
        <v>4951.9799999999996</v>
      </c>
      <c r="D1478">
        <f>Sinistrés!L1483</f>
        <v>16.25</v>
      </c>
      <c r="E1478">
        <f>Sinistrés!M1483</f>
        <v>16.25</v>
      </c>
      <c r="F1478">
        <f t="shared" si="46"/>
        <v>0.32536539693490363</v>
      </c>
      <c r="G1478">
        <f t="shared" si="47"/>
        <v>1</v>
      </c>
    </row>
    <row r="1479" spans="1:7" hidden="1">
      <c r="A1479" t="str">
        <f>Sinistrés!H1484</f>
        <v>Blé tendre d'hiver</v>
      </c>
      <c r="B1479">
        <f>Sinistrés!J1484</f>
        <v>46106.85</v>
      </c>
      <c r="C1479">
        <f>Sinistrés!X1484</f>
        <v>0</v>
      </c>
      <c r="D1479">
        <f>Sinistrés!L1484</f>
        <v>50.39</v>
      </c>
      <c r="E1479">
        <f>Sinistrés!M1484</f>
        <v>50.39</v>
      </c>
      <c r="F1479">
        <f t="shared" si="46"/>
        <v>0</v>
      </c>
      <c r="G1479">
        <f t="shared" si="47"/>
        <v>1</v>
      </c>
    </row>
    <row r="1480" spans="1:7" hidden="1">
      <c r="A1480" t="str">
        <f>Sinistrés!H1485</f>
        <v>Colza d'hiver</v>
      </c>
      <c r="B1480">
        <f>Sinistrés!J1485</f>
        <v>41184.720000000001</v>
      </c>
      <c r="C1480">
        <f>Sinistrés!X1485</f>
        <v>0</v>
      </c>
      <c r="D1480">
        <f>Sinistrés!L1485</f>
        <v>33.159999999999997</v>
      </c>
      <c r="E1480">
        <f>Sinistrés!M1485</f>
        <v>33.159999999999997</v>
      </c>
      <c r="F1480">
        <f t="shared" si="46"/>
        <v>0</v>
      </c>
      <c r="G1480">
        <f t="shared" si="47"/>
        <v>1</v>
      </c>
    </row>
    <row r="1481" spans="1:7" hidden="1">
      <c r="A1481" t="str">
        <f>Sinistrés!H1486</f>
        <v>Soja</v>
      </c>
      <c r="B1481">
        <f>Sinistrés!J1486</f>
        <v>2950.81</v>
      </c>
      <c r="C1481">
        <f>Sinistrés!X1486</f>
        <v>0</v>
      </c>
      <c r="D1481">
        <f>Sinistrés!L1486</f>
        <v>6.32</v>
      </c>
      <c r="E1481">
        <f>Sinistrés!M1486</f>
        <v>6.32</v>
      </c>
      <c r="F1481">
        <f t="shared" si="46"/>
        <v>0</v>
      </c>
      <c r="G1481">
        <f t="shared" si="47"/>
        <v>1</v>
      </c>
    </row>
    <row r="1482" spans="1:7">
      <c r="A1482" t="str">
        <f>Sinistrés!H1487</f>
        <v>Blé tendre d'hiver</v>
      </c>
      <c r="B1482">
        <f>Sinistrés!J1487</f>
        <v>14950</v>
      </c>
      <c r="C1482">
        <f>Sinistrés!X1487</f>
        <v>2793.75</v>
      </c>
      <c r="D1482">
        <f>Sinistrés!L1487</f>
        <v>11.5</v>
      </c>
      <c r="E1482">
        <f>Sinistrés!M1487</f>
        <v>7.3</v>
      </c>
      <c r="F1482">
        <f t="shared" si="46"/>
        <v>0.18687290969899664</v>
      </c>
      <c r="G1482">
        <f t="shared" si="47"/>
        <v>0.63478260869565217</v>
      </c>
    </row>
    <row r="1483" spans="1:7">
      <c r="A1483" t="str">
        <f>Sinistrés!H1488</f>
        <v>Blé dur d'hiver</v>
      </c>
      <c r="B1483">
        <f>Sinistrés!J1488</f>
        <v>14322.6</v>
      </c>
      <c r="C1483">
        <f>Sinistrés!X1488</f>
        <v>2987.96</v>
      </c>
      <c r="D1483">
        <f>Sinistrés!L1488</f>
        <v>7.3</v>
      </c>
      <c r="E1483">
        <f>Sinistrés!M1488</f>
        <v>7.3</v>
      </c>
      <c r="F1483">
        <f t="shared" si="46"/>
        <v>0.20861854691187354</v>
      </c>
      <c r="G1483">
        <f t="shared" si="47"/>
        <v>1</v>
      </c>
    </row>
    <row r="1484" spans="1:7" hidden="1">
      <c r="A1484" t="str">
        <f>Sinistrés!H1489</f>
        <v>Colza d'hiver</v>
      </c>
      <c r="B1484">
        <f>Sinistrés!J1489</f>
        <v>28875</v>
      </c>
      <c r="C1484">
        <f>Sinistrés!X1489</f>
        <v>0</v>
      </c>
      <c r="D1484">
        <f>Sinistrés!L1489</f>
        <v>16.5</v>
      </c>
      <c r="E1484">
        <f>Sinistrés!M1489</f>
        <v>16.5</v>
      </c>
      <c r="F1484">
        <f t="shared" si="46"/>
        <v>0</v>
      </c>
      <c r="G1484">
        <f t="shared" si="47"/>
        <v>1</v>
      </c>
    </row>
    <row r="1485" spans="1:7" hidden="1">
      <c r="A1485" t="str">
        <f>Sinistrés!H1490</f>
        <v>Orge de printemps</v>
      </c>
      <c r="B1485">
        <f>Sinistrés!J1490</f>
        <v>11700</v>
      </c>
      <c r="C1485">
        <f>Sinistrés!X1490</f>
        <v>0</v>
      </c>
      <c r="D1485">
        <f>Sinistrés!L1490</f>
        <v>9</v>
      </c>
      <c r="E1485">
        <f>Sinistrés!M1490</f>
        <v>9</v>
      </c>
      <c r="F1485">
        <f t="shared" si="46"/>
        <v>0</v>
      </c>
      <c r="G1485">
        <f t="shared" si="47"/>
        <v>1</v>
      </c>
    </row>
    <row r="1486" spans="1:7">
      <c r="A1486" t="str">
        <f>Sinistrés!H1491</f>
        <v>Lentilles</v>
      </c>
      <c r="B1486">
        <f>Sinistrés!J1491</f>
        <v>1646.4</v>
      </c>
      <c r="C1486">
        <f>Sinistrés!X1491</f>
        <v>979.75</v>
      </c>
      <c r="D1486">
        <f>Sinistrés!L1491</f>
        <v>2</v>
      </c>
      <c r="E1486">
        <f>Sinistrés!M1491</f>
        <v>15</v>
      </c>
      <c r="F1486">
        <f t="shared" si="46"/>
        <v>0.59508624878522831</v>
      </c>
      <c r="G1486">
        <f t="shared" si="47"/>
        <v>7.5</v>
      </c>
    </row>
    <row r="1487" spans="1:7" hidden="1">
      <c r="A1487" t="str">
        <f>Sinistrés!H1492</f>
        <v>Tournesol</v>
      </c>
      <c r="B1487">
        <f>Sinistrés!J1492</f>
        <v>16759.16</v>
      </c>
      <c r="C1487">
        <f>Sinistrés!X1492</f>
        <v>0</v>
      </c>
      <c r="D1487">
        <f>Sinistrés!L1492</f>
        <v>24.81</v>
      </c>
      <c r="E1487">
        <f>Sinistrés!M1492</f>
        <v>24.81</v>
      </c>
      <c r="F1487">
        <f t="shared" si="46"/>
        <v>0</v>
      </c>
      <c r="G1487">
        <f t="shared" si="47"/>
        <v>1</v>
      </c>
    </row>
    <row r="1488" spans="1:7">
      <c r="A1488" t="str">
        <f>Sinistrés!H1493</f>
        <v>Blé dur d'hiver</v>
      </c>
      <c r="B1488">
        <f>Sinistrés!J1493</f>
        <v>10629.36</v>
      </c>
      <c r="C1488">
        <f>Sinistrés!X1493</f>
        <v>1346.04</v>
      </c>
      <c r="D1488">
        <f>Sinistrés!L1493</f>
        <v>10.36</v>
      </c>
      <c r="E1488">
        <f>Sinistrés!M1493</f>
        <v>10.36</v>
      </c>
      <c r="F1488">
        <f t="shared" si="46"/>
        <v>0.1266341529499424</v>
      </c>
      <c r="G1488">
        <f t="shared" si="47"/>
        <v>1</v>
      </c>
    </row>
    <row r="1489" spans="1:7" hidden="1">
      <c r="A1489" t="str">
        <f>Sinistrés!H1494</f>
        <v>Blé tendre d'hiver</v>
      </c>
      <c r="B1489">
        <f>Sinistrés!J1494</f>
        <v>10155.450000000001</v>
      </c>
      <c r="C1489">
        <f>Sinistrés!X1494</f>
        <v>0</v>
      </c>
      <c r="D1489">
        <f>Sinistrés!L1494</f>
        <v>9.89</v>
      </c>
      <c r="E1489">
        <f>Sinistrés!M1494</f>
        <v>9.89</v>
      </c>
      <c r="F1489">
        <f t="shared" si="46"/>
        <v>0</v>
      </c>
      <c r="G1489">
        <f t="shared" si="47"/>
        <v>1</v>
      </c>
    </row>
    <row r="1490" spans="1:7" hidden="1">
      <c r="A1490" t="str">
        <f>Sinistrés!H1495</f>
        <v xml:space="preserve">Triticale </v>
      </c>
      <c r="B1490">
        <f>Sinistrés!J1495</f>
        <v>8861.16</v>
      </c>
      <c r="C1490">
        <f>Sinistrés!X1495</f>
        <v>0</v>
      </c>
      <c r="D1490">
        <f>Sinistrés!L1495</f>
        <v>13.2</v>
      </c>
      <c r="E1490">
        <f>Sinistrés!M1495</f>
        <v>12.95</v>
      </c>
      <c r="F1490">
        <f t="shared" si="46"/>
        <v>0</v>
      </c>
      <c r="G1490">
        <f t="shared" si="47"/>
        <v>0.98106060606060608</v>
      </c>
    </row>
    <row r="1491" spans="1:7" hidden="1">
      <c r="A1491" t="str">
        <f>Sinistrés!H1496</f>
        <v>Colza d'hiver</v>
      </c>
      <c r="B1491">
        <f>Sinistrés!J1496</f>
        <v>7258.95</v>
      </c>
      <c r="C1491">
        <f>Sinistrés!X1496</f>
        <v>0</v>
      </c>
      <c r="D1491">
        <f>Sinistrés!L1496</f>
        <v>6.75</v>
      </c>
      <c r="E1491">
        <f>Sinistrés!M1496</f>
        <v>6.75</v>
      </c>
      <c r="F1491">
        <f t="shared" si="46"/>
        <v>0</v>
      </c>
      <c r="G1491">
        <f t="shared" si="47"/>
        <v>1</v>
      </c>
    </row>
    <row r="1492" spans="1:7" hidden="1">
      <c r="A1492" t="str">
        <f>Sinistrés!H1497</f>
        <v>Orge d'hiver</v>
      </c>
      <c r="B1492">
        <f>Sinistrés!J1497</f>
        <v>4347.53</v>
      </c>
      <c r="C1492">
        <f>Sinistrés!X1497</f>
        <v>0</v>
      </c>
      <c r="D1492">
        <f>Sinistrés!L1497</f>
        <v>4.55</v>
      </c>
      <c r="E1492">
        <f>Sinistrés!M1497</f>
        <v>4.55</v>
      </c>
      <c r="F1492">
        <f t="shared" si="46"/>
        <v>0</v>
      </c>
      <c r="G1492">
        <f t="shared" si="47"/>
        <v>1</v>
      </c>
    </row>
    <row r="1493" spans="1:7" hidden="1">
      <c r="A1493" t="str">
        <f>Sinistrés!H1498</f>
        <v>Orge de printemps</v>
      </c>
      <c r="B1493">
        <f>Sinistrés!J1498</f>
        <v>2599.3000000000002</v>
      </c>
      <c r="C1493">
        <f>Sinistrés!X1498</f>
        <v>0</v>
      </c>
      <c r="D1493">
        <f>Sinistrés!L1498</f>
        <v>2.78</v>
      </c>
      <c r="E1493">
        <f>Sinistrés!M1498</f>
        <v>2.78</v>
      </c>
      <c r="F1493">
        <f t="shared" si="46"/>
        <v>0</v>
      </c>
      <c r="G1493">
        <f t="shared" si="47"/>
        <v>1</v>
      </c>
    </row>
    <row r="1494" spans="1:7">
      <c r="A1494" t="str">
        <f>Sinistrés!H1499</f>
        <v>Blé tendre d'hiver</v>
      </c>
      <c r="B1494">
        <f>Sinistrés!J1499</f>
        <v>46711.62</v>
      </c>
      <c r="C1494">
        <f>Sinistrés!X1499</f>
        <v>910.81</v>
      </c>
      <c r="D1494">
        <f>Sinistrés!L1499</f>
        <v>37.520000000000003</v>
      </c>
      <c r="E1494">
        <f>Sinistrés!M1499</f>
        <v>37.520000000000003</v>
      </c>
      <c r="F1494">
        <f t="shared" si="46"/>
        <v>1.9498574444645676E-2</v>
      </c>
      <c r="G1494">
        <f t="shared" si="47"/>
        <v>1</v>
      </c>
    </row>
    <row r="1495" spans="1:7" hidden="1">
      <c r="A1495" t="str">
        <f>Sinistrés!H1500</f>
        <v>Orge d'hiver</v>
      </c>
      <c r="B1495">
        <f>Sinistrés!J1500</f>
        <v>7390.97</v>
      </c>
      <c r="C1495">
        <f>Sinistrés!X1500</f>
        <v>0</v>
      </c>
      <c r="D1495">
        <f>Sinistrés!L1500</f>
        <v>7.21</v>
      </c>
      <c r="E1495">
        <f>Sinistrés!M1500</f>
        <v>7.21</v>
      </c>
      <c r="F1495">
        <f t="shared" si="46"/>
        <v>0</v>
      </c>
      <c r="G1495">
        <f t="shared" si="47"/>
        <v>1</v>
      </c>
    </row>
    <row r="1496" spans="1:7">
      <c r="A1496" t="str">
        <f>Sinistrés!H1501</f>
        <v>Colza d'hiver</v>
      </c>
      <c r="B1496">
        <f>Sinistrés!J1501</f>
        <v>7390.97</v>
      </c>
      <c r="C1496">
        <f>Sinistrés!X1501</f>
        <v>695.59</v>
      </c>
      <c r="D1496">
        <f>Sinistrés!L1501</f>
        <v>10.01</v>
      </c>
      <c r="E1496">
        <f>Sinistrés!M1501</f>
        <v>10.01</v>
      </c>
      <c r="F1496">
        <f t="shared" si="46"/>
        <v>9.4113492545633393E-2</v>
      </c>
      <c r="G1496">
        <f t="shared" si="47"/>
        <v>1</v>
      </c>
    </row>
    <row r="1497" spans="1:7" hidden="1">
      <c r="A1497" t="str">
        <f>Sinistrés!H1502</f>
        <v>Blé tendre d'hiver</v>
      </c>
      <c r="B1497">
        <f>Sinistrés!J1502</f>
        <v>53960</v>
      </c>
      <c r="C1497">
        <f>Sinistrés!X1502</f>
        <v>0</v>
      </c>
      <c r="D1497">
        <f>Sinistrés!L1502</f>
        <v>59.35</v>
      </c>
      <c r="E1497">
        <f>Sinistrés!M1502</f>
        <v>59.35</v>
      </c>
      <c r="F1497">
        <f t="shared" si="46"/>
        <v>0</v>
      </c>
      <c r="G1497">
        <f t="shared" si="47"/>
        <v>1</v>
      </c>
    </row>
    <row r="1498" spans="1:7" hidden="1">
      <c r="A1498" t="str">
        <f>Sinistrés!H1503</f>
        <v>Colza d'hiver</v>
      </c>
      <c r="B1498">
        <f>Sinistrés!J1503</f>
        <v>25620</v>
      </c>
      <c r="C1498">
        <f>Sinistrés!X1503</f>
        <v>0</v>
      </c>
      <c r="D1498">
        <f>Sinistrés!L1503</f>
        <v>27.6</v>
      </c>
      <c r="E1498">
        <f>Sinistrés!M1503</f>
        <v>27.6</v>
      </c>
      <c r="F1498">
        <f t="shared" si="46"/>
        <v>0</v>
      </c>
      <c r="G1498">
        <f t="shared" si="47"/>
        <v>1</v>
      </c>
    </row>
    <row r="1499" spans="1:7" hidden="1">
      <c r="A1499" t="str">
        <f>Sinistrés!H1504</f>
        <v>Orge d'hiver</v>
      </c>
      <c r="B1499">
        <f>Sinistrés!J1504</f>
        <v>12889.5</v>
      </c>
      <c r="C1499">
        <f>Sinistrés!X1504</f>
        <v>0</v>
      </c>
      <c r="D1499">
        <f>Sinistrés!L1504</f>
        <v>20.03</v>
      </c>
      <c r="E1499">
        <f>Sinistrés!M1504</f>
        <v>20.03</v>
      </c>
      <c r="F1499">
        <f t="shared" si="46"/>
        <v>0</v>
      </c>
      <c r="G1499">
        <f t="shared" si="47"/>
        <v>1</v>
      </c>
    </row>
    <row r="1500" spans="1:7">
      <c r="A1500" t="str">
        <f>Sinistrés!H1505</f>
        <v>Lin oléagineux</v>
      </c>
      <c r="B1500">
        <f>Sinistrés!J1505</f>
        <v>5122</v>
      </c>
      <c r="C1500">
        <f>Sinistrés!X1505</f>
        <v>1133.5899999999999</v>
      </c>
      <c r="D1500">
        <f>Sinistrés!L1505</f>
        <v>6.34</v>
      </c>
      <c r="E1500">
        <f>Sinistrés!M1505</f>
        <v>6.34</v>
      </c>
      <c r="F1500">
        <f t="shared" si="46"/>
        <v>0.22131784459195625</v>
      </c>
      <c r="G1500">
        <f t="shared" si="47"/>
        <v>1</v>
      </c>
    </row>
    <row r="1501" spans="1:7">
      <c r="A1501" t="str">
        <f>Sinistrés!H1506</f>
        <v>Féveroles et fèves</v>
      </c>
      <c r="B1501">
        <f>Sinistrés!J1506</f>
        <v>2926</v>
      </c>
      <c r="C1501">
        <f>Sinistrés!X1506</f>
        <v>528.75</v>
      </c>
      <c r="D1501">
        <f>Sinistrés!L1506</f>
        <v>2.97</v>
      </c>
      <c r="E1501">
        <f>Sinistrés!M1506</f>
        <v>2.97</v>
      </c>
      <c r="F1501">
        <f t="shared" si="46"/>
        <v>0.18070745044429254</v>
      </c>
      <c r="G1501">
        <f t="shared" si="47"/>
        <v>1</v>
      </c>
    </row>
    <row r="1502" spans="1:7">
      <c r="A1502" t="str">
        <f>Sinistrés!H1507</f>
        <v>Blé tendre d'hiver</v>
      </c>
      <c r="B1502">
        <f>Sinistrés!J1507</f>
        <v>28289.360000000001</v>
      </c>
      <c r="C1502">
        <f>Sinistrés!X1507</f>
        <v>4238.04</v>
      </c>
      <c r="D1502">
        <f>Sinistrés!L1507</f>
        <v>33.549999999999997</v>
      </c>
      <c r="E1502">
        <f>Sinistrés!M1507</f>
        <v>33.54</v>
      </c>
      <c r="F1502">
        <f t="shared" si="46"/>
        <v>0.14981038807523395</v>
      </c>
      <c r="G1502">
        <f t="shared" si="47"/>
        <v>0.99970193740685553</v>
      </c>
    </row>
    <row r="1503" spans="1:7">
      <c r="A1503" t="str">
        <f>Sinistrés!H1508</f>
        <v>Colza d'hiver</v>
      </c>
      <c r="B1503">
        <f>Sinistrés!J1508</f>
        <v>21777.56</v>
      </c>
      <c r="C1503">
        <f>Sinistrés!X1508</f>
        <v>1589.69</v>
      </c>
      <c r="D1503">
        <f>Sinistrés!L1508</f>
        <v>21.68</v>
      </c>
      <c r="E1503">
        <f>Sinistrés!M1508</f>
        <v>21.67</v>
      </c>
      <c r="F1503">
        <f t="shared" si="46"/>
        <v>7.2996699354748645E-2</v>
      </c>
      <c r="G1503">
        <f t="shared" si="47"/>
        <v>0.99953874538745402</v>
      </c>
    </row>
    <row r="1504" spans="1:7" hidden="1">
      <c r="A1504" t="str">
        <f>Sinistrés!H1509</f>
        <v>Maïs grain irrigué</v>
      </c>
      <c r="B1504">
        <f>Sinistrés!J1509</f>
        <v>126316.08</v>
      </c>
      <c r="C1504">
        <f>Sinistrés!X1509</f>
        <v>0</v>
      </c>
      <c r="D1504">
        <f>Sinistrés!L1509</f>
        <v>67.650000000000006</v>
      </c>
      <c r="E1504">
        <f>Sinistrés!M1509</f>
        <v>67.64</v>
      </c>
      <c r="F1504">
        <f t="shared" si="46"/>
        <v>0</v>
      </c>
      <c r="G1504">
        <f t="shared" si="47"/>
        <v>0.99985218033998513</v>
      </c>
    </row>
    <row r="1505" spans="1:7" hidden="1">
      <c r="A1505" t="str">
        <f>Sinistrés!H1510</f>
        <v>Colza d'hiver</v>
      </c>
      <c r="B1505">
        <f>Sinistrés!J1510</f>
        <v>19521.439999999999</v>
      </c>
      <c r="C1505">
        <f>Sinistrés!X1510</f>
        <v>0</v>
      </c>
      <c r="D1505">
        <f>Sinistrés!L1510</f>
        <v>18.84</v>
      </c>
      <c r="E1505">
        <f>Sinistrés!M1510</f>
        <v>18.84</v>
      </c>
      <c r="F1505">
        <f t="shared" si="46"/>
        <v>0</v>
      </c>
      <c r="G1505">
        <f t="shared" si="47"/>
        <v>1</v>
      </c>
    </row>
    <row r="1506" spans="1:7" hidden="1">
      <c r="A1506" t="str">
        <f>Sinistrés!H1511</f>
        <v>Tournesol</v>
      </c>
      <c r="B1506">
        <f>Sinistrés!J1511</f>
        <v>11826.17</v>
      </c>
      <c r="C1506">
        <f>Sinistrés!X1511</f>
        <v>0</v>
      </c>
      <c r="D1506">
        <f>Sinistrés!L1511</f>
        <v>11.01</v>
      </c>
      <c r="E1506">
        <f>Sinistrés!M1511</f>
        <v>5.76</v>
      </c>
      <c r="F1506">
        <f t="shared" si="46"/>
        <v>0</v>
      </c>
      <c r="G1506">
        <f t="shared" si="47"/>
        <v>0.52316076294277924</v>
      </c>
    </row>
    <row r="1507" spans="1:7" hidden="1">
      <c r="A1507" t="str">
        <f>Sinistrés!H1512</f>
        <v>Maïs grain non irrigué</v>
      </c>
      <c r="B1507">
        <f>Sinistrés!J1512</f>
        <v>21736.26</v>
      </c>
      <c r="C1507">
        <f>Sinistrés!X1512</f>
        <v>0</v>
      </c>
      <c r="D1507">
        <f>Sinistrés!L1512</f>
        <v>13.27</v>
      </c>
      <c r="E1507">
        <f>Sinistrés!M1512</f>
        <v>11.34</v>
      </c>
      <c r="F1507">
        <f t="shared" si="46"/>
        <v>0</v>
      </c>
      <c r="G1507">
        <f t="shared" si="47"/>
        <v>0.85455915599095711</v>
      </c>
    </row>
    <row r="1508" spans="1:7" hidden="1">
      <c r="A1508" t="str">
        <f>Sinistrés!H1513</f>
        <v>Blé tendre d'hiver</v>
      </c>
      <c r="B1508">
        <f>Sinistrés!J1513</f>
        <v>107469.42</v>
      </c>
      <c r="C1508">
        <f>Sinistrés!X1513</f>
        <v>0</v>
      </c>
      <c r="D1508">
        <f>Sinistrés!L1513</f>
        <v>85.03</v>
      </c>
      <c r="E1508">
        <f>Sinistrés!M1513</f>
        <v>65</v>
      </c>
      <c r="F1508">
        <f t="shared" si="46"/>
        <v>0</v>
      </c>
      <c r="G1508">
        <f t="shared" si="47"/>
        <v>0.76443608138304131</v>
      </c>
    </row>
    <row r="1509" spans="1:7" hidden="1">
      <c r="A1509" t="str">
        <f>Sinistrés!H1514</f>
        <v>Triticale</v>
      </c>
      <c r="B1509">
        <f>Sinistrés!J1514</f>
        <v>12662.14</v>
      </c>
      <c r="C1509">
        <f>Sinistrés!X1514</f>
        <v>0</v>
      </c>
      <c r="D1509">
        <f>Sinistrés!L1514</f>
        <v>14.88</v>
      </c>
      <c r="E1509">
        <f>Sinistrés!M1514</f>
        <v>14.88</v>
      </c>
      <c r="F1509">
        <f t="shared" si="46"/>
        <v>0</v>
      </c>
      <c r="G1509">
        <f t="shared" si="47"/>
        <v>1</v>
      </c>
    </row>
    <row r="1510" spans="1:7" hidden="1">
      <c r="A1510" t="str">
        <f>Sinistrés!H1515</f>
        <v>Colza d'hiver</v>
      </c>
      <c r="B1510">
        <f>Sinistrés!J1515</f>
        <v>61258.239999999998</v>
      </c>
      <c r="C1510">
        <f>Sinistrés!X1515</f>
        <v>0</v>
      </c>
      <c r="D1510">
        <f>Sinistrés!L1515</f>
        <v>51.96</v>
      </c>
      <c r="E1510">
        <f>Sinistrés!M1515</f>
        <v>51.96</v>
      </c>
      <c r="F1510">
        <f t="shared" si="46"/>
        <v>0</v>
      </c>
      <c r="G1510">
        <f t="shared" si="47"/>
        <v>1</v>
      </c>
    </row>
    <row r="1511" spans="1:7">
      <c r="A1511" t="str">
        <f>Sinistrés!H1516</f>
        <v>Orge d'hiver</v>
      </c>
      <c r="B1511">
        <f>Sinistrés!J1516</f>
        <v>8693.92</v>
      </c>
      <c r="C1511">
        <f>Sinistrés!X1516</f>
        <v>588.12</v>
      </c>
      <c r="D1511">
        <f>Sinistrés!L1516</f>
        <v>8.4600000000000009</v>
      </c>
      <c r="E1511">
        <f>Sinistrés!M1516</f>
        <v>8.4600000000000009</v>
      </c>
      <c r="F1511">
        <f t="shared" si="46"/>
        <v>6.7647275337247181E-2</v>
      </c>
      <c r="G1511">
        <f t="shared" si="47"/>
        <v>1</v>
      </c>
    </row>
    <row r="1512" spans="1:7">
      <c r="A1512" t="str">
        <f>Sinistrés!H1517</f>
        <v>Blé dur d'hiver</v>
      </c>
      <c r="B1512">
        <f>Sinistrés!J1517</f>
        <v>30002.25</v>
      </c>
      <c r="C1512">
        <f>Sinistrés!X1517</f>
        <v>5689.8</v>
      </c>
      <c r="D1512">
        <f>Sinistrés!L1517</f>
        <v>25</v>
      </c>
      <c r="E1512">
        <f>Sinistrés!M1517</f>
        <v>25</v>
      </c>
      <c r="F1512">
        <f t="shared" si="46"/>
        <v>0.18964577656675749</v>
      </c>
      <c r="G1512">
        <f t="shared" si="47"/>
        <v>1</v>
      </c>
    </row>
    <row r="1513" spans="1:7" hidden="1">
      <c r="A1513" t="str">
        <f>Sinistrés!H1518</f>
        <v>Blé dur d'hiver</v>
      </c>
      <c r="B1513">
        <f>Sinistrés!J1518</f>
        <v>28439.19</v>
      </c>
      <c r="C1513">
        <f>Sinistrés!X1518</f>
        <v>0</v>
      </c>
      <c r="D1513">
        <f>Sinistrés!L1518</f>
        <v>33.450000000000003</v>
      </c>
      <c r="E1513">
        <f>Sinistrés!M1518</f>
        <v>33.44</v>
      </c>
      <c r="F1513">
        <f t="shared" si="46"/>
        <v>0</v>
      </c>
      <c r="G1513">
        <f t="shared" si="47"/>
        <v>0.99970104633781753</v>
      </c>
    </row>
    <row r="1514" spans="1:7">
      <c r="A1514" t="str">
        <f>Sinistrés!H1519</f>
        <v>Blé tendre d'hiver</v>
      </c>
      <c r="B1514">
        <f>Sinistrés!J1519</f>
        <v>8055.6</v>
      </c>
      <c r="C1514">
        <f>Sinistrés!X1519</f>
        <v>1406.58</v>
      </c>
      <c r="D1514">
        <f>Sinistrés!L1519</f>
        <v>9.59</v>
      </c>
      <c r="E1514">
        <f>Sinistrés!M1519</f>
        <v>9.58</v>
      </c>
      <c r="F1514">
        <f t="shared" si="46"/>
        <v>0.17460896767466108</v>
      </c>
      <c r="G1514">
        <f t="shared" si="47"/>
        <v>0.99895724713242962</v>
      </c>
    </row>
    <row r="1515" spans="1:7">
      <c r="A1515" t="str">
        <f>Sinistrés!H1520</f>
        <v>Blé dur d'hiver</v>
      </c>
      <c r="B1515">
        <f>Sinistrés!J1520</f>
        <v>29630.22</v>
      </c>
      <c r="C1515">
        <f>Sinistrés!X1520</f>
        <v>11888.92</v>
      </c>
      <c r="D1515">
        <f>Sinistrés!L1520</f>
        <v>24.69</v>
      </c>
      <c r="E1515">
        <f>Sinistrés!M1520</f>
        <v>24.68</v>
      </c>
      <c r="F1515">
        <f t="shared" si="46"/>
        <v>0.4012430552321245</v>
      </c>
      <c r="G1515">
        <f t="shared" si="47"/>
        <v>0.9995949777237747</v>
      </c>
    </row>
    <row r="1516" spans="1:7">
      <c r="A1516" t="str">
        <f>Sinistrés!H1521</f>
        <v>Orge d'hiver</v>
      </c>
      <c r="B1516">
        <f>Sinistrés!J1521</f>
        <v>21529.24</v>
      </c>
      <c r="C1516">
        <f>Sinistrés!X1521</f>
        <v>9809.25</v>
      </c>
      <c r="D1516">
        <f>Sinistrés!L1521</f>
        <v>23.46</v>
      </c>
      <c r="E1516">
        <f>Sinistrés!M1521</f>
        <v>23.46</v>
      </c>
      <c r="F1516">
        <f t="shared" si="46"/>
        <v>0.45562453667663139</v>
      </c>
      <c r="G1516">
        <f t="shared" si="47"/>
        <v>1</v>
      </c>
    </row>
    <row r="1517" spans="1:7">
      <c r="A1517" t="str">
        <f>Sinistrés!H1522</f>
        <v>Féveroles et fèves</v>
      </c>
      <c r="B1517">
        <f>Sinistrés!J1522</f>
        <v>764.4</v>
      </c>
      <c r="C1517">
        <f>Sinistrés!X1522</f>
        <v>538.72</v>
      </c>
      <c r="D1517">
        <f>Sinistrés!L1522</f>
        <v>2.6</v>
      </c>
      <c r="E1517">
        <f>Sinistrés!M1522</f>
        <v>2.6</v>
      </c>
      <c r="F1517">
        <f t="shared" si="46"/>
        <v>0.70476190476190481</v>
      </c>
      <c r="G1517">
        <f t="shared" si="47"/>
        <v>1</v>
      </c>
    </row>
    <row r="1518" spans="1:7" hidden="1">
      <c r="A1518" t="str">
        <f>Sinistrés!H1523</f>
        <v>Maïs grain non irrigué</v>
      </c>
      <c r="B1518">
        <f>Sinistrés!J1523</f>
        <v>44730</v>
      </c>
      <c r="C1518">
        <f>Sinistrés!X1523</f>
        <v>0</v>
      </c>
      <c r="D1518">
        <f>Sinistrés!L1523</f>
        <v>36</v>
      </c>
      <c r="E1518">
        <f>Sinistrés!M1523</f>
        <v>36</v>
      </c>
      <c r="F1518">
        <f t="shared" si="46"/>
        <v>0</v>
      </c>
      <c r="G1518">
        <f t="shared" si="47"/>
        <v>1</v>
      </c>
    </row>
    <row r="1519" spans="1:7" hidden="1">
      <c r="A1519" t="str">
        <f>Sinistrés!H1524</f>
        <v>Blé tendre d'hiver</v>
      </c>
      <c r="B1519">
        <f>Sinistrés!J1524</f>
        <v>158785.1</v>
      </c>
      <c r="C1519">
        <f>Sinistrés!X1524</f>
        <v>0</v>
      </c>
      <c r="D1519">
        <f>Sinistrés!L1524</f>
        <v>131</v>
      </c>
      <c r="E1519">
        <f>Sinistrés!M1524</f>
        <v>131</v>
      </c>
      <c r="F1519">
        <f t="shared" si="46"/>
        <v>0</v>
      </c>
      <c r="G1519">
        <f t="shared" si="47"/>
        <v>1</v>
      </c>
    </row>
    <row r="1520" spans="1:7" hidden="1">
      <c r="A1520" t="str">
        <f>Sinistrés!H1525</f>
        <v>Colza d'hiver</v>
      </c>
      <c r="B1520">
        <f>Sinistrés!J1525</f>
        <v>38362.5</v>
      </c>
      <c r="C1520">
        <f>Sinistrés!X1525</f>
        <v>0</v>
      </c>
      <c r="D1520">
        <f>Sinistrés!L1525</f>
        <v>33</v>
      </c>
      <c r="E1520">
        <f>Sinistrés!M1525</f>
        <v>33</v>
      </c>
      <c r="F1520">
        <f t="shared" si="46"/>
        <v>0</v>
      </c>
      <c r="G1520">
        <f t="shared" si="47"/>
        <v>1</v>
      </c>
    </row>
    <row r="1521" spans="1:7" hidden="1">
      <c r="A1521" t="str">
        <f>Sinistrés!H1526</f>
        <v>Tournesol</v>
      </c>
      <c r="B1521">
        <f>Sinistrés!J1526</f>
        <v>90097.5</v>
      </c>
      <c r="C1521">
        <f>Sinistrés!X1526</f>
        <v>0</v>
      </c>
      <c r="D1521">
        <f>Sinistrés!L1526</f>
        <v>82</v>
      </c>
      <c r="E1521">
        <f>Sinistrés!M1526</f>
        <v>82</v>
      </c>
      <c r="F1521">
        <f t="shared" si="46"/>
        <v>0</v>
      </c>
      <c r="G1521">
        <f t="shared" si="47"/>
        <v>1</v>
      </c>
    </row>
    <row r="1522" spans="1:7" hidden="1">
      <c r="A1522" t="str">
        <f>Sinistrés!H1527</f>
        <v>Colza d'hiver</v>
      </c>
      <c r="B1522">
        <f>Sinistrés!J1527</f>
        <v>21887.88</v>
      </c>
      <c r="C1522">
        <f>Sinistrés!X1527</f>
        <v>0</v>
      </c>
      <c r="D1522">
        <f>Sinistrés!L1527</f>
        <v>16.36</v>
      </c>
      <c r="E1522">
        <f>Sinistrés!M1527</f>
        <v>16.36</v>
      </c>
      <c r="F1522">
        <f t="shared" si="46"/>
        <v>0</v>
      </c>
      <c r="G1522">
        <f t="shared" si="47"/>
        <v>1</v>
      </c>
    </row>
    <row r="1523" spans="1:7" hidden="1">
      <c r="A1523" t="str">
        <f>Sinistrés!H1528</f>
        <v>Pois protéagineux</v>
      </c>
      <c r="B1523">
        <f>Sinistrés!J1528</f>
        <v>5932.21</v>
      </c>
      <c r="C1523">
        <f>Sinistrés!X1528</f>
        <v>0</v>
      </c>
      <c r="D1523">
        <f>Sinistrés!L1528</f>
        <v>8.01</v>
      </c>
      <c r="E1523">
        <f>Sinistrés!M1528</f>
        <v>8.01</v>
      </c>
      <c r="F1523">
        <f t="shared" si="46"/>
        <v>0</v>
      </c>
      <c r="G1523">
        <f t="shared" si="47"/>
        <v>1</v>
      </c>
    </row>
    <row r="1524" spans="1:7" hidden="1">
      <c r="A1524" t="str">
        <f>Sinistrés!H1529</f>
        <v>Tournesol</v>
      </c>
      <c r="B1524">
        <f>Sinistrés!J1529</f>
        <v>18925.43</v>
      </c>
      <c r="C1524">
        <f>Sinistrés!X1529</f>
        <v>0</v>
      </c>
      <c r="D1524">
        <f>Sinistrés!L1529</f>
        <v>18.05</v>
      </c>
      <c r="E1524">
        <f>Sinistrés!M1529</f>
        <v>18.05</v>
      </c>
      <c r="F1524">
        <f t="shared" si="46"/>
        <v>0</v>
      </c>
      <c r="G1524">
        <f t="shared" si="47"/>
        <v>1</v>
      </c>
    </row>
    <row r="1525" spans="1:7" hidden="1">
      <c r="A1525" t="str">
        <f>Sinistrés!H1530</f>
        <v>Blé tendre d'hiver</v>
      </c>
      <c r="B1525">
        <f>Sinistrés!J1530</f>
        <v>33143.370000000003</v>
      </c>
      <c r="C1525">
        <f>Sinistrés!X1530</f>
        <v>0</v>
      </c>
      <c r="D1525">
        <f>Sinistrés!L1530</f>
        <v>24.22</v>
      </c>
      <c r="E1525">
        <f>Sinistrés!M1530</f>
        <v>24.22</v>
      </c>
      <c r="F1525">
        <f t="shared" si="46"/>
        <v>0</v>
      </c>
      <c r="G1525">
        <f t="shared" si="47"/>
        <v>1</v>
      </c>
    </row>
    <row r="1526" spans="1:7" hidden="1">
      <c r="A1526" t="str">
        <f>Sinistrés!H1531</f>
        <v>Triticale</v>
      </c>
      <c r="B1526">
        <f>Sinistrés!J1531</f>
        <v>15523.06</v>
      </c>
      <c r="C1526">
        <f>Sinistrés!X1531</f>
        <v>0</v>
      </c>
      <c r="D1526">
        <f>Sinistrés!L1531</f>
        <v>21.2</v>
      </c>
      <c r="E1526">
        <f>Sinistrés!M1531</f>
        <v>21.2</v>
      </c>
      <c r="F1526">
        <f t="shared" si="46"/>
        <v>0</v>
      </c>
      <c r="G1526">
        <f t="shared" si="47"/>
        <v>1</v>
      </c>
    </row>
    <row r="1527" spans="1:7" hidden="1">
      <c r="A1527" t="str">
        <f>Sinistrés!H1532</f>
        <v>Blé tendre d'hiver semences</v>
      </c>
      <c r="B1527">
        <f>Sinistrés!J1532</f>
        <v>11378.78</v>
      </c>
      <c r="C1527">
        <f>Sinistrés!X1532</f>
        <v>0</v>
      </c>
      <c r="D1527">
        <f>Sinistrés!L1532</f>
        <v>8.5</v>
      </c>
      <c r="E1527">
        <f>Sinistrés!M1532</f>
        <v>8.5</v>
      </c>
      <c r="F1527">
        <f t="shared" si="46"/>
        <v>0</v>
      </c>
      <c r="G1527">
        <f t="shared" si="47"/>
        <v>1</v>
      </c>
    </row>
    <row r="1528" spans="1:7">
      <c r="A1528" t="str">
        <f>Sinistrés!H1533</f>
        <v>Blé tendre d'hiver</v>
      </c>
      <c r="B1528">
        <f>Sinistrés!J1533</f>
        <v>106548</v>
      </c>
      <c r="C1528">
        <f>Sinistrés!X1533</f>
        <v>156</v>
      </c>
      <c r="D1528">
        <f>Sinistrés!L1533</f>
        <v>78</v>
      </c>
      <c r="E1528">
        <f>Sinistrés!M1533</f>
        <v>78</v>
      </c>
      <c r="F1528">
        <f t="shared" si="46"/>
        <v>1.4641288433382138E-3</v>
      </c>
      <c r="G1528">
        <f t="shared" si="47"/>
        <v>1</v>
      </c>
    </row>
    <row r="1529" spans="1:7">
      <c r="A1529" t="str">
        <f>Sinistrés!H1534</f>
        <v>Colza d'hiver</v>
      </c>
      <c r="B1529">
        <f>Sinistrés!J1534</f>
        <v>58307</v>
      </c>
      <c r="C1529">
        <f>Sinistrés!X1534</f>
        <v>2743.25</v>
      </c>
      <c r="D1529">
        <f>Sinistrés!L1534</f>
        <v>39.799999999999997</v>
      </c>
      <c r="E1529">
        <f>Sinistrés!M1534</f>
        <v>39.799999999999997</v>
      </c>
      <c r="F1529">
        <f t="shared" si="46"/>
        <v>4.7048381840945341E-2</v>
      </c>
      <c r="G1529">
        <f t="shared" si="47"/>
        <v>1</v>
      </c>
    </row>
    <row r="1530" spans="1:7" hidden="1">
      <c r="A1530" t="str">
        <f>Sinistrés!H1535</f>
        <v>Orge d'hiver</v>
      </c>
      <c r="B1530">
        <f>Sinistrés!J1535</f>
        <v>15583.85</v>
      </c>
      <c r="C1530">
        <f>Sinistrés!X1535</f>
        <v>0</v>
      </c>
      <c r="D1530">
        <f>Sinistrés!L1535</f>
        <v>12.9</v>
      </c>
      <c r="E1530">
        <f>Sinistrés!M1535</f>
        <v>12.9</v>
      </c>
      <c r="F1530">
        <f t="shared" si="46"/>
        <v>0</v>
      </c>
      <c r="G1530">
        <f t="shared" si="47"/>
        <v>1</v>
      </c>
    </row>
    <row r="1531" spans="1:7" hidden="1">
      <c r="A1531" t="str">
        <f>Sinistrés!H1536</f>
        <v>Triticale SEMENCES</v>
      </c>
      <c r="B1531">
        <f>Sinistrés!J1536</f>
        <v>17605.98</v>
      </c>
      <c r="C1531">
        <f>Sinistrés!X1536</f>
        <v>768.51</v>
      </c>
      <c r="D1531">
        <f>Sinistrés!L1536</f>
        <v>15.7</v>
      </c>
      <c r="E1531">
        <f>Sinistrés!M1536</f>
        <v>15.7</v>
      </c>
      <c r="F1531">
        <f t="shared" si="46"/>
        <v>4.3650509656378116E-2</v>
      </c>
      <c r="G1531">
        <f t="shared" si="47"/>
        <v>1</v>
      </c>
    </row>
    <row r="1532" spans="1:7" hidden="1">
      <c r="A1532" t="str">
        <f>Sinistrés!H1537</f>
        <v>Tournesol</v>
      </c>
      <c r="B1532">
        <f>Sinistrés!J1537</f>
        <v>36511.199999999997</v>
      </c>
      <c r="C1532">
        <f>Sinistrés!X1537</f>
        <v>0</v>
      </c>
      <c r="D1532">
        <f>Sinistrés!L1537</f>
        <v>33</v>
      </c>
      <c r="E1532">
        <f>Sinistrés!M1537</f>
        <v>33</v>
      </c>
      <c r="F1532">
        <f t="shared" si="46"/>
        <v>0</v>
      </c>
      <c r="G1532">
        <f t="shared" si="47"/>
        <v>1</v>
      </c>
    </row>
    <row r="1533" spans="1:7" hidden="1">
      <c r="A1533" t="str">
        <f>Sinistrés!H1538</f>
        <v>Blé tendre d'hiver</v>
      </c>
      <c r="B1533">
        <f>Sinistrés!J1538</f>
        <v>29881.599999999999</v>
      </c>
      <c r="C1533">
        <f>Sinistrés!X1538</f>
        <v>0</v>
      </c>
      <c r="D1533">
        <f>Sinistrés!L1538</f>
        <v>28</v>
      </c>
      <c r="E1533">
        <f>Sinistrés!M1538</f>
        <v>28</v>
      </c>
      <c r="F1533">
        <f t="shared" si="46"/>
        <v>0</v>
      </c>
      <c r="G1533">
        <f t="shared" si="47"/>
        <v>1</v>
      </c>
    </row>
    <row r="1534" spans="1:7">
      <c r="A1534" t="str">
        <f>Sinistrés!H1539</f>
        <v>Orge d'hiver</v>
      </c>
      <c r="B1534">
        <f>Sinistrés!J1539</f>
        <v>20851.599999999999</v>
      </c>
      <c r="C1534">
        <f>Sinistrés!X1539</f>
        <v>594.44000000000005</v>
      </c>
      <c r="D1534">
        <f>Sinistrés!L1539</f>
        <v>22</v>
      </c>
      <c r="E1534">
        <f>Sinistrés!M1539</f>
        <v>22</v>
      </c>
      <c r="F1534">
        <f t="shared" si="46"/>
        <v>2.8508124076809457E-2</v>
      </c>
      <c r="G1534">
        <f t="shared" si="47"/>
        <v>1</v>
      </c>
    </row>
    <row r="1535" spans="1:7" hidden="1">
      <c r="A1535" t="str">
        <f>Sinistrés!H1540</f>
        <v>Blé tendre d'hiver</v>
      </c>
      <c r="B1535">
        <f>Sinistrés!J1540</f>
        <v>76954.19</v>
      </c>
      <c r="C1535">
        <f>Sinistrés!X1540</f>
        <v>0</v>
      </c>
      <c r="D1535">
        <f>Sinistrés!L1540</f>
        <v>74.03</v>
      </c>
      <c r="E1535">
        <f>Sinistrés!M1540</f>
        <v>74</v>
      </c>
      <c r="F1535">
        <f t="shared" si="46"/>
        <v>0</v>
      </c>
      <c r="G1535">
        <f t="shared" si="47"/>
        <v>0.99959475888153448</v>
      </c>
    </row>
    <row r="1536" spans="1:7" hidden="1">
      <c r="A1536" t="str">
        <f>Sinistrés!H1541</f>
        <v>Féveroles et fèves</v>
      </c>
      <c r="B1536">
        <f>Sinistrés!J1541</f>
        <v>7432.81</v>
      </c>
      <c r="C1536">
        <f>Sinistrés!X1541</f>
        <v>0</v>
      </c>
      <c r="D1536">
        <f>Sinistrés!L1541</f>
        <v>12.71</v>
      </c>
      <c r="E1536">
        <f>Sinistrés!M1541</f>
        <v>12.69</v>
      </c>
      <c r="F1536">
        <f t="shared" si="46"/>
        <v>0</v>
      </c>
      <c r="G1536">
        <f t="shared" si="47"/>
        <v>0.99842643587726188</v>
      </c>
    </row>
    <row r="1537" spans="1:7" hidden="1">
      <c r="A1537" t="str">
        <f>Sinistrés!H1542</f>
        <v>Pois protéagineux</v>
      </c>
      <c r="B1537">
        <f>Sinistrés!J1542</f>
        <v>3563.6</v>
      </c>
      <c r="C1537">
        <f>Sinistrés!X1542</f>
        <v>0</v>
      </c>
      <c r="D1537">
        <f>Sinistrés!L1542</f>
        <v>5.9</v>
      </c>
      <c r="E1537">
        <f>Sinistrés!M1542</f>
        <v>5.85</v>
      </c>
      <c r="F1537">
        <f t="shared" si="46"/>
        <v>0</v>
      </c>
      <c r="G1537">
        <f t="shared" si="47"/>
        <v>0.99152542372881347</v>
      </c>
    </row>
    <row r="1538" spans="1:7" hidden="1">
      <c r="A1538" t="str">
        <f>Sinistrés!H1543</f>
        <v>Triticale</v>
      </c>
      <c r="B1538">
        <f>Sinistrés!J1543</f>
        <v>30396.13</v>
      </c>
      <c r="C1538">
        <f>Sinistrés!X1543</f>
        <v>0</v>
      </c>
      <c r="D1538">
        <f>Sinistrés!L1543</f>
        <v>36.42</v>
      </c>
      <c r="E1538">
        <f>Sinistrés!M1543</f>
        <v>36.380000000000003</v>
      </c>
      <c r="F1538">
        <f t="shared" si="46"/>
        <v>0</v>
      </c>
      <c r="G1538">
        <f t="shared" si="47"/>
        <v>0.9989017023613399</v>
      </c>
    </row>
    <row r="1539" spans="1:7" hidden="1">
      <c r="A1539" t="str">
        <f>Sinistrés!H1544</f>
        <v>Orge d'hiver</v>
      </c>
      <c r="B1539">
        <f>Sinistrés!J1544</f>
        <v>13257.22</v>
      </c>
      <c r="C1539">
        <f>Sinistrés!X1544</f>
        <v>0</v>
      </c>
      <c r="D1539">
        <f>Sinistrés!L1544</f>
        <v>16.440000000000001</v>
      </c>
      <c r="E1539">
        <f>Sinistrés!M1544</f>
        <v>16.38</v>
      </c>
      <c r="F1539">
        <f t="shared" ref="F1539:F1602" si="48">C1539/B1539</f>
        <v>0</v>
      </c>
      <c r="G1539">
        <f t="shared" ref="G1539:G1602" si="49">E1539/D1539</f>
        <v>0.99635036496350349</v>
      </c>
    </row>
    <row r="1540" spans="1:7" hidden="1">
      <c r="A1540" t="str">
        <f>Sinistrés!H1545</f>
        <v>Colza d'hiver</v>
      </c>
      <c r="B1540">
        <f>Sinistrés!J1545</f>
        <v>26081.279999999999</v>
      </c>
      <c r="C1540">
        <f>Sinistrés!X1545</f>
        <v>0</v>
      </c>
      <c r="D1540">
        <f>Sinistrés!L1545</f>
        <v>20.48</v>
      </c>
      <c r="E1540">
        <f>Sinistrés!M1545</f>
        <v>20.420000000000002</v>
      </c>
      <c r="F1540">
        <f t="shared" si="48"/>
        <v>0</v>
      </c>
      <c r="G1540">
        <f t="shared" si="49"/>
        <v>0.99707031250000011</v>
      </c>
    </row>
    <row r="1541" spans="1:7">
      <c r="A1541" t="str">
        <f>Sinistrés!H1546</f>
        <v>Blé tendre d'hiver</v>
      </c>
      <c r="B1541">
        <f>Sinistrés!J1546</f>
        <v>131802.09</v>
      </c>
      <c r="C1541">
        <f>Sinistrés!X1546</f>
        <v>13629.07</v>
      </c>
      <c r="D1541">
        <f>Sinistrés!L1546</f>
        <v>92.74</v>
      </c>
      <c r="E1541">
        <f>Sinistrés!M1546</f>
        <v>92.74</v>
      </c>
      <c r="F1541">
        <f t="shared" si="48"/>
        <v>0.10340556815146103</v>
      </c>
      <c r="G1541">
        <f t="shared" si="49"/>
        <v>1</v>
      </c>
    </row>
    <row r="1542" spans="1:7" hidden="1">
      <c r="A1542" t="str">
        <f>Sinistrés!H1547</f>
        <v>Colza d'hiver</v>
      </c>
      <c r="B1542">
        <f>Sinistrés!J1547</f>
        <v>98543.9</v>
      </c>
      <c r="C1542">
        <f>Sinistrés!X1547</f>
        <v>0</v>
      </c>
      <c r="D1542">
        <f>Sinistrés!L1547</f>
        <v>58.31</v>
      </c>
      <c r="E1542">
        <f>Sinistrés!M1547</f>
        <v>58.31</v>
      </c>
      <c r="F1542">
        <f t="shared" si="48"/>
        <v>0</v>
      </c>
      <c r="G1542">
        <f t="shared" si="49"/>
        <v>1</v>
      </c>
    </row>
    <row r="1543" spans="1:7">
      <c r="A1543" t="str">
        <f>Sinistrés!H1548</f>
        <v>Orge d'hiver</v>
      </c>
      <c r="B1543">
        <f>Sinistrés!J1548</f>
        <v>88061.74</v>
      </c>
      <c r="C1543">
        <f>Sinistrés!X1548</f>
        <v>10441.39</v>
      </c>
      <c r="D1543">
        <f>Sinistrés!L1548</f>
        <v>75.010000000000005</v>
      </c>
      <c r="E1543">
        <f>Sinistrés!M1548</f>
        <v>75.010000000000005</v>
      </c>
      <c r="F1543">
        <f t="shared" si="48"/>
        <v>0.11856897217792879</v>
      </c>
      <c r="G1543">
        <f t="shared" si="49"/>
        <v>1</v>
      </c>
    </row>
    <row r="1544" spans="1:7">
      <c r="A1544" t="str">
        <f>Sinistrés!H1549</f>
        <v>Maïs grain non irrigué</v>
      </c>
      <c r="B1544">
        <f>Sinistrés!J1549</f>
        <v>3107.1</v>
      </c>
      <c r="C1544">
        <f>Sinistrés!X1549</f>
        <v>332.14</v>
      </c>
      <c r="D1544">
        <f>Sinistrés!L1549</f>
        <v>10.43</v>
      </c>
      <c r="E1544">
        <f>Sinistrés!M1549</f>
        <v>10.43</v>
      </c>
      <c r="F1544">
        <f t="shared" si="48"/>
        <v>0.10689710662675807</v>
      </c>
      <c r="G1544">
        <f t="shared" si="49"/>
        <v>1</v>
      </c>
    </row>
    <row r="1545" spans="1:7" hidden="1">
      <c r="A1545" t="str">
        <f>Sinistrés!H1550</f>
        <v>Blé tendre d'hiver</v>
      </c>
      <c r="B1545">
        <f>Sinistrés!J1550</f>
        <v>31785.08</v>
      </c>
      <c r="C1545">
        <f>Sinistrés!X1550</f>
        <v>0</v>
      </c>
      <c r="D1545">
        <f>Sinistrés!L1550</f>
        <v>28.83</v>
      </c>
      <c r="E1545">
        <f>Sinistrés!M1550</f>
        <v>28.83</v>
      </c>
      <c r="F1545">
        <f t="shared" si="48"/>
        <v>0</v>
      </c>
      <c r="G1545">
        <f t="shared" si="49"/>
        <v>1</v>
      </c>
    </row>
    <row r="1546" spans="1:7" hidden="1">
      <c r="A1546" t="str">
        <f>Sinistrés!H1551</f>
        <v>Colza d'hiver</v>
      </c>
      <c r="B1546">
        <f>Sinistrés!J1551</f>
        <v>22908.92</v>
      </c>
      <c r="C1546">
        <f>Sinistrés!X1551</f>
        <v>0</v>
      </c>
      <c r="D1546">
        <f>Sinistrés!L1551</f>
        <v>15.43</v>
      </c>
      <c r="E1546">
        <f>Sinistrés!M1551</f>
        <v>15.43</v>
      </c>
      <c r="F1546">
        <f t="shared" si="48"/>
        <v>0</v>
      </c>
      <c r="G1546">
        <f t="shared" si="49"/>
        <v>1</v>
      </c>
    </row>
    <row r="1547" spans="1:7">
      <c r="A1547" t="str">
        <f>Sinistrés!H1552</f>
        <v>Maïs ensilage non irrigué</v>
      </c>
      <c r="B1547">
        <f>Sinistrés!J1552</f>
        <v>14661.98</v>
      </c>
      <c r="C1547">
        <f>Sinistrés!X1552</f>
        <v>1432.91</v>
      </c>
      <c r="D1547">
        <f>Sinistrés!L1552</f>
        <v>9.0399999999999991</v>
      </c>
      <c r="E1547">
        <f>Sinistrés!M1552</f>
        <v>9.0399999999999991</v>
      </c>
      <c r="F1547">
        <f t="shared" si="48"/>
        <v>9.7729638152555115E-2</v>
      </c>
      <c r="G1547">
        <f t="shared" si="49"/>
        <v>1</v>
      </c>
    </row>
    <row r="1548" spans="1:7">
      <c r="A1548" t="str">
        <f>Sinistrés!H1553</f>
        <v>Maïs grain non irrigué</v>
      </c>
      <c r="B1548">
        <f>Sinistrés!J1553</f>
        <v>9003.85</v>
      </c>
      <c r="C1548">
        <f>Sinistrés!X1553</f>
        <v>298.07</v>
      </c>
      <c r="D1548">
        <f>Sinistrés!L1553</f>
        <v>9.36</v>
      </c>
      <c r="E1548">
        <f>Sinistrés!M1553</f>
        <v>9.36</v>
      </c>
      <c r="F1548">
        <f t="shared" si="48"/>
        <v>3.3104727422158295E-2</v>
      </c>
      <c r="G1548">
        <f t="shared" si="49"/>
        <v>1</v>
      </c>
    </row>
    <row r="1549" spans="1:7" hidden="1">
      <c r="A1549" t="str">
        <f>Sinistrés!H1554</f>
        <v>Orge d'hiver</v>
      </c>
      <c r="B1549">
        <f>Sinistrés!J1554</f>
        <v>5092.51</v>
      </c>
      <c r="C1549">
        <f>Sinistrés!X1554</f>
        <v>0</v>
      </c>
      <c r="D1549">
        <f>Sinistrés!L1554</f>
        <v>6.39</v>
      </c>
      <c r="E1549">
        <f>Sinistrés!M1554</f>
        <v>6.39</v>
      </c>
      <c r="F1549">
        <f t="shared" si="48"/>
        <v>0</v>
      </c>
      <c r="G1549">
        <f t="shared" si="49"/>
        <v>1</v>
      </c>
    </row>
    <row r="1550" spans="1:7" hidden="1">
      <c r="A1550" t="str">
        <f>Sinistrés!H1555</f>
        <v>Blé tendre d'hiver</v>
      </c>
      <c r="B1550">
        <f>Sinistrés!J1555</f>
        <v>10275.299999999999</v>
      </c>
      <c r="C1550">
        <f>Sinistrés!X1555</f>
        <v>0</v>
      </c>
      <c r="D1550">
        <f>Sinistrés!L1555</f>
        <v>9.32</v>
      </c>
      <c r="E1550">
        <f>Sinistrés!M1555</f>
        <v>9.32</v>
      </c>
      <c r="F1550">
        <f t="shared" si="48"/>
        <v>0</v>
      </c>
      <c r="G1550">
        <f t="shared" si="49"/>
        <v>1</v>
      </c>
    </row>
    <row r="1551" spans="1:7">
      <c r="A1551" t="str">
        <f>Sinistrés!H1556</f>
        <v>Maïs ensilage non irrigué</v>
      </c>
      <c r="B1551">
        <f>Sinistrés!J1556</f>
        <v>9385.1299999999992</v>
      </c>
      <c r="C1551">
        <f>Sinistrés!X1556</f>
        <v>1629.46</v>
      </c>
      <c r="D1551">
        <f>Sinistrés!L1556</f>
        <v>10.28</v>
      </c>
      <c r="E1551">
        <f>Sinistrés!M1556</f>
        <v>10.28</v>
      </c>
      <c r="F1551">
        <f t="shared" si="48"/>
        <v>0.17362146288863342</v>
      </c>
      <c r="G1551">
        <f t="shared" si="49"/>
        <v>1</v>
      </c>
    </row>
    <row r="1552" spans="1:7" hidden="1">
      <c r="A1552" t="str">
        <f>Sinistrés!H1557</f>
        <v>Triticale</v>
      </c>
      <c r="B1552">
        <f>Sinistrés!J1557</f>
        <v>5775.33</v>
      </c>
      <c r="C1552">
        <f>Sinistrés!X1557</f>
        <v>0</v>
      </c>
      <c r="D1552">
        <f>Sinistrés!L1557</f>
        <v>8.14</v>
      </c>
      <c r="E1552">
        <f>Sinistrés!M1557</f>
        <v>8.14</v>
      </c>
      <c r="F1552">
        <f t="shared" si="48"/>
        <v>0</v>
      </c>
      <c r="G1552">
        <f t="shared" si="49"/>
        <v>1</v>
      </c>
    </row>
    <row r="1553" spans="1:7" hidden="1">
      <c r="A1553" t="str">
        <f>Sinistrés!H1558</f>
        <v>Orge d'hiver</v>
      </c>
      <c r="B1553">
        <f>Sinistrés!J1558</f>
        <v>3291.4</v>
      </c>
      <c r="C1553">
        <f>Sinistrés!X1558</f>
        <v>0</v>
      </c>
      <c r="D1553">
        <f>Sinistrés!L1558</f>
        <v>4.13</v>
      </c>
      <c r="E1553">
        <f>Sinistrés!M1558</f>
        <v>4.13</v>
      </c>
      <c r="F1553">
        <f t="shared" si="48"/>
        <v>0</v>
      </c>
      <c r="G1553">
        <f t="shared" si="49"/>
        <v>1</v>
      </c>
    </row>
    <row r="1554" spans="1:7" hidden="1">
      <c r="A1554" t="str">
        <f>Sinistrés!H1559</f>
        <v>Colza d'hiver</v>
      </c>
      <c r="B1554">
        <f>Sinistrés!J1559</f>
        <v>7960.52</v>
      </c>
      <c r="C1554">
        <f>Sinistrés!X1559</f>
        <v>0</v>
      </c>
      <c r="D1554">
        <f>Sinistrés!L1559</f>
        <v>7.51</v>
      </c>
      <c r="E1554">
        <f>Sinistrés!M1559</f>
        <v>7.51</v>
      </c>
      <c r="F1554">
        <f t="shared" si="48"/>
        <v>0</v>
      </c>
      <c r="G1554">
        <f t="shared" si="49"/>
        <v>1</v>
      </c>
    </row>
    <row r="1555" spans="1:7" hidden="1">
      <c r="A1555" t="str">
        <f>Sinistrés!H1560</f>
        <v>Avoine d'hiver</v>
      </c>
      <c r="B1555">
        <f>Sinistrés!J1560</f>
        <v>3658.74</v>
      </c>
      <c r="C1555">
        <f>Sinistrés!X1560</f>
        <v>0</v>
      </c>
      <c r="D1555">
        <f>Sinistrés!L1560</f>
        <v>5.78</v>
      </c>
      <c r="E1555">
        <f>Sinistrés!M1560</f>
        <v>5.78</v>
      </c>
      <c r="F1555">
        <f t="shared" si="48"/>
        <v>0</v>
      </c>
      <c r="G1555">
        <f t="shared" si="49"/>
        <v>1</v>
      </c>
    </row>
    <row r="1556" spans="1:7" hidden="1">
      <c r="A1556" t="str">
        <f>Sinistrés!H1561</f>
        <v>Blé dur d'hiver</v>
      </c>
      <c r="B1556">
        <f>Sinistrés!J1561</f>
        <v>13600</v>
      </c>
      <c r="C1556">
        <f>Sinistrés!X1561</f>
        <v>0</v>
      </c>
      <c r="D1556">
        <f>Sinistrés!L1561</f>
        <v>10</v>
      </c>
      <c r="E1556">
        <f>Sinistrés!M1561</f>
        <v>10</v>
      </c>
      <c r="F1556">
        <f t="shared" si="48"/>
        <v>0</v>
      </c>
      <c r="G1556">
        <f t="shared" si="49"/>
        <v>1</v>
      </c>
    </row>
    <row r="1557" spans="1:7" hidden="1">
      <c r="A1557" t="str">
        <f>Sinistrés!H1562</f>
        <v>Blé tendre d'hiver</v>
      </c>
      <c r="B1557">
        <f>Sinistrés!J1562</f>
        <v>72647.58</v>
      </c>
      <c r="C1557">
        <f>Sinistrés!X1562</f>
        <v>0</v>
      </c>
      <c r="D1557">
        <f>Sinistrés!L1562</f>
        <v>59.14</v>
      </c>
      <c r="E1557">
        <f>Sinistrés!M1562</f>
        <v>59.14</v>
      </c>
      <c r="F1557">
        <f t="shared" si="48"/>
        <v>0</v>
      </c>
      <c r="G1557">
        <f t="shared" si="49"/>
        <v>1</v>
      </c>
    </row>
    <row r="1558" spans="1:7" hidden="1">
      <c r="A1558" t="str">
        <f>Sinistrés!H1563</f>
        <v>Orge d'hiver</v>
      </c>
      <c r="B1558">
        <f>Sinistrés!J1563</f>
        <v>22188.79</v>
      </c>
      <c r="C1558">
        <f>Sinistrés!X1563</f>
        <v>0</v>
      </c>
      <c r="D1558">
        <f>Sinistrés!L1563</f>
        <v>19.98</v>
      </c>
      <c r="E1558">
        <f>Sinistrés!M1563</f>
        <v>19.98</v>
      </c>
      <c r="F1558">
        <f t="shared" si="48"/>
        <v>0</v>
      </c>
      <c r="G1558">
        <f t="shared" si="49"/>
        <v>1</v>
      </c>
    </row>
    <row r="1559" spans="1:7">
      <c r="A1559" t="str">
        <f>Sinistrés!H1564</f>
        <v>Seigle et méteil</v>
      </c>
      <c r="B1559">
        <f>Sinistrés!J1564</f>
        <v>3244.61</v>
      </c>
      <c r="C1559">
        <f>Sinistrés!X1564</f>
        <v>449.13</v>
      </c>
      <c r="D1559">
        <f>Sinistrés!L1564</f>
        <v>5.16</v>
      </c>
      <c r="E1559">
        <f>Sinistrés!M1564</f>
        <v>5.16</v>
      </c>
      <c r="F1559">
        <f t="shared" si="48"/>
        <v>0.13842341606541309</v>
      </c>
      <c r="G1559">
        <f t="shared" si="49"/>
        <v>1</v>
      </c>
    </row>
    <row r="1560" spans="1:7" hidden="1">
      <c r="A1560" t="str">
        <f>Sinistrés!H1565</f>
        <v>Tournesol</v>
      </c>
      <c r="B1560">
        <f>Sinistrés!J1565</f>
        <v>40211.199999999997</v>
      </c>
      <c r="C1560">
        <f>Sinistrés!X1565</f>
        <v>0</v>
      </c>
      <c r="D1560">
        <f>Sinistrés!L1565</f>
        <v>48.8</v>
      </c>
      <c r="E1560">
        <f>Sinistrés!M1565</f>
        <v>8</v>
      </c>
      <c r="F1560">
        <f t="shared" si="48"/>
        <v>0</v>
      </c>
      <c r="G1560">
        <f t="shared" si="49"/>
        <v>0.16393442622950821</v>
      </c>
    </row>
    <row r="1561" spans="1:7" hidden="1">
      <c r="A1561" t="str">
        <f>Sinistrés!H1566</f>
        <v>Triticale</v>
      </c>
      <c r="B1561">
        <f>Sinistrés!J1566</f>
        <v>14845.22</v>
      </c>
      <c r="C1561">
        <f>Sinistrés!X1566</f>
        <v>0</v>
      </c>
      <c r="D1561">
        <f>Sinistrés!L1566</f>
        <v>18.82</v>
      </c>
      <c r="E1561">
        <f>Sinistrés!M1566</f>
        <v>18.82</v>
      </c>
      <c r="F1561">
        <f t="shared" si="48"/>
        <v>0</v>
      </c>
      <c r="G1561">
        <f t="shared" si="49"/>
        <v>1</v>
      </c>
    </row>
    <row r="1562" spans="1:7" hidden="1">
      <c r="A1562" t="str">
        <f>Sinistrés!H1567</f>
        <v>Blé tendre d'hiver</v>
      </c>
      <c r="B1562">
        <f>Sinistrés!J1567</f>
        <v>20384.82</v>
      </c>
      <c r="C1562">
        <f>Sinistrés!X1567</f>
        <v>0</v>
      </c>
      <c r="D1562">
        <f>Sinistrés!L1567</f>
        <v>21.05</v>
      </c>
      <c r="E1562">
        <f>Sinistrés!M1567</f>
        <v>21.05</v>
      </c>
      <c r="F1562">
        <f t="shared" si="48"/>
        <v>0</v>
      </c>
      <c r="G1562">
        <f t="shared" si="49"/>
        <v>1</v>
      </c>
    </row>
    <row r="1563" spans="1:7" hidden="1">
      <c r="A1563" t="str">
        <f>Sinistrés!H1568</f>
        <v>Blé de force</v>
      </c>
      <c r="B1563">
        <f>Sinistrés!J1568</f>
        <v>24102.9</v>
      </c>
      <c r="C1563">
        <f>Sinistrés!X1568</f>
        <v>0</v>
      </c>
      <c r="D1563">
        <f>Sinistrés!L1568</f>
        <v>21.33</v>
      </c>
      <c r="E1563">
        <f>Sinistrés!M1568</f>
        <v>21.33</v>
      </c>
      <c r="F1563">
        <f t="shared" si="48"/>
        <v>0</v>
      </c>
      <c r="G1563">
        <f t="shared" si="49"/>
        <v>1</v>
      </c>
    </row>
    <row r="1564" spans="1:7" hidden="1">
      <c r="A1564" t="str">
        <f>Sinistrés!H1569</f>
        <v>Orge d'hiver</v>
      </c>
      <c r="B1564">
        <f>Sinistrés!J1569</f>
        <v>13847.18</v>
      </c>
      <c r="C1564">
        <f>Sinistrés!X1569</f>
        <v>0</v>
      </c>
      <c r="D1564">
        <f>Sinistrés!L1569</f>
        <v>15.21</v>
      </c>
      <c r="E1564">
        <f>Sinistrés!M1569</f>
        <v>15.21</v>
      </c>
      <c r="F1564">
        <f t="shared" si="48"/>
        <v>0</v>
      </c>
      <c r="G1564">
        <f t="shared" si="49"/>
        <v>1</v>
      </c>
    </row>
    <row r="1565" spans="1:7" hidden="1">
      <c r="A1565" t="str">
        <f>Sinistrés!H1570</f>
        <v>Triticale</v>
      </c>
      <c r="B1565">
        <f>Sinistrés!J1570</f>
        <v>1885.23</v>
      </c>
      <c r="C1565">
        <f>Sinistrés!X1570</f>
        <v>0</v>
      </c>
      <c r="D1565">
        <f>Sinistrés!L1570</f>
        <v>2.39</v>
      </c>
      <c r="E1565">
        <f>Sinistrés!M1570</f>
        <v>2.39</v>
      </c>
      <c r="F1565">
        <f t="shared" si="48"/>
        <v>0</v>
      </c>
      <c r="G1565">
        <f t="shared" si="49"/>
        <v>1</v>
      </c>
    </row>
    <row r="1566" spans="1:7">
      <c r="A1566" t="str">
        <f>Sinistrés!H1571</f>
        <v>Blé tendre d'hiver</v>
      </c>
      <c r="B1566">
        <f>Sinistrés!J1571</f>
        <v>46592.56</v>
      </c>
      <c r="C1566">
        <f>Sinistrés!X1571</f>
        <v>1819.16</v>
      </c>
      <c r="D1566">
        <f>Sinistrés!L1571</f>
        <v>42.28</v>
      </c>
      <c r="E1566">
        <f>Sinistrés!M1571</f>
        <v>42.28</v>
      </c>
      <c r="F1566">
        <f t="shared" si="48"/>
        <v>3.9044001874977467E-2</v>
      </c>
      <c r="G1566">
        <f t="shared" si="49"/>
        <v>1</v>
      </c>
    </row>
    <row r="1567" spans="1:7" hidden="1">
      <c r="A1567" t="str">
        <f>Sinistrés!H1572</f>
        <v>Orge d'hiver</v>
      </c>
      <c r="B1567">
        <f>Sinistrés!J1572</f>
        <v>11004.96</v>
      </c>
      <c r="C1567">
        <f>Sinistrés!X1572</f>
        <v>0</v>
      </c>
      <c r="D1567">
        <f>Sinistrés!L1572</f>
        <v>12.12</v>
      </c>
      <c r="E1567">
        <f>Sinistrés!M1572</f>
        <v>12.12</v>
      </c>
      <c r="F1567">
        <f t="shared" si="48"/>
        <v>0</v>
      </c>
      <c r="G1567">
        <f t="shared" si="49"/>
        <v>1</v>
      </c>
    </row>
    <row r="1568" spans="1:7" hidden="1">
      <c r="A1568" t="str">
        <f>Sinistrés!H1573</f>
        <v>Colza d'hiver</v>
      </c>
      <c r="B1568">
        <f>Sinistrés!J1573</f>
        <v>12858.3</v>
      </c>
      <c r="C1568">
        <f>Sinistrés!X1573</f>
        <v>0</v>
      </c>
      <c r="D1568">
        <f>Sinistrés!L1573</f>
        <v>9.42</v>
      </c>
      <c r="E1568">
        <f>Sinistrés!M1573</f>
        <v>9.42</v>
      </c>
      <c r="F1568">
        <f t="shared" si="48"/>
        <v>0</v>
      </c>
      <c r="G1568">
        <f t="shared" si="49"/>
        <v>1</v>
      </c>
    </row>
    <row r="1569" spans="1:7">
      <c r="A1569" t="str">
        <f>Sinistrés!H1574</f>
        <v>Lin oléagineux</v>
      </c>
      <c r="B1569">
        <f>Sinistrés!J1574</f>
        <v>11116.04</v>
      </c>
      <c r="C1569">
        <f>Sinistrés!X1574</f>
        <v>423.47</v>
      </c>
      <c r="D1569">
        <f>Sinistrés!L1574</f>
        <v>13.07</v>
      </c>
      <c r="E1569">
        <f>Sinistrés!M1574</f>
        <v>13.07</v>
      </c>
      <c r="F1569">
        <f t="shared" si="48"/>
        <v>3.8095400880169557E-2</v>
      </c>
      <c r="G1569">
        <f t="shared" si="49"/>
        <v>1</v>
      </c>
    </row>
    <row r="1570" spans="1:7">
      <c r="A1570" t="str">
        <f>Sinistrés!H1575</f>
        <v>Colza de printemps</v>
      </c>
      <c r="B1570">
        <f>Sinistrés!J1575</f>
        <v>19059.3</v>
      </c>
      <c r="C1570">
        <f>Sinistrés!X1575</f>
        <v>3067.47</v>
      </c>
      <c r="D1570">
        <f>Sinistrés!L1575</f>
        <v>10.86</v>
      </c>
      <c r="E1570">
        <f>Sinistrés!M1575</f>
        <v>10.86</v>
      </c>
      <c r="F1570">
        <f t="shared" si="48"/>
        <v>0.16094347641308968</v>
      </c>
      <c r="G1570">
        <f t="shared" si="49"/>
        <v>1</v>
      </c>
    </row>
    <row r="1571" spans="1:7">
      <c r="A1571" t="str">
        <f>Sinistrés!H1576</f>
        <v>Triticale</v>
      </c>
      <c r="B1571">
        <f>Sinistrés!J1576</f>
        <v>8206.35</v>
      </c>
      <c r="C1571">
        <f>Sinistrés!X1576</f>
        <v>966.56</v>
      </c>
      <c r="D1571">
        <f>Sinistrés!L1576</f>
        <v>6.43</v>
      </c>
      <c r="E1571">
        <f>Sinistrés!M1576</f>
        <v>6.43</v>
      </c>
      <c r="F1571">
        <f t="shared" si="48"/>
        <v>0.11778196152979094</v>
      </c>
      <c r="G1571">
        <f t="shared" si="49"/>
        <v>1</v>
      </c>
    </row>
    <row r="1572" spans="1:7" hidden="1">
      <c r="A1572" t="str">
        <f>Sinistrés!H1577</f>
        <v>Sorgho</v>
      </c>
      <c r="B1572">
        <f>Sinistrés!J1577</f>
        <v>10692</v>
      </c>
      <c r="C1572">
        <f>Sinistrés!X1577</f>
        <v>0</v>
      </c>
      <c r="D1572">
        <f>Sinistrés!L1577</f>
        <v>16.5</v>
      </c>
      <c r="E1572">
        <f>Sinistrés!M1577</f>
        <v>16.5</v>
      </c>
      <c r="F1572">
        <f t="shared" si="48"/>
        <v>0</v>
      </c>
      <c r="G1572">
        <f t="shared" si="49"/>
        <v>1</v>
      </c>
    </row>
    <row r="1573" spans="1:7" hidden="1">
      <c r="A1573" t="str">
        <f>Sinistrés!H1578</f>
        <v>Soja</v>
      </c>
      <c r="B1573">
        <f>Sinistrés!J1578</f>
        <v>18482.099999999999</v>
      </c>
      <c r="C1573">
        <f>Sinistrés!X1578</f>
        <v>0</v>
      </c>
      <c r="D1573">
        <f>Sinistrés!L1578</f>
        <v>13.54</v>
      </c>
      <c r="E1573">
        <f>Sinistrés!M1578</f>
        <v>13.54</v>
      </c>
      <c r="F1573">
        <f t="shared" si="48"/>
        <v>0</v>
      </c>
      <c r="G1573">
        <f t="shared" si="49"/>
        <v>1</v>
      </c>
    </row>
    <row r="1574" spans="1:7" hidden="1">
      <c r="A1574" t="str">
        <f>Sinistrés!H1579</f>
        <v xml:space="preserve">Maïs grain non irrigué </v>
      </c>
      <c r="B1574">
        <f>Sinistrés!J1579</f>
        <v>15731.72</v>
      </c>
      <c r="C1574">
        <f>Sinistrés!X1579</f>
        <v>0</v>
      </c>
      <c r="D1574">
        <f>Sinistrés!L1579</f>
        <v>14.45</v>
      </c>
      <c r="E1574">
        <f>Sinistrés!M1579</f>
        <v>14.45</v>
      </c>
      <c r="F1574">
        <f t="shared" si="48"/>
        <v>0</v>
      </c>
      <c r="G1574">
        <f t="shared" si="49"/>
        <v>1</v>
      </c>
    </row>
    <row r="1575" spans="1:7" hidden="1">
      <c r="A1575" t="str">
        <f>Sinistrés!H1580</f>
        <v>Tournesol</v>
      </c>
      <c r="B1575">
        <f>Sinistrés!J1580</f>
        <v>19121.13</v>
      </c>
      <c r="C1575">
        <f>Sinistrés!X1580</f>
        <v>0</v>
      </c>
      <c r="D1575">
        <f>Sinistrés!L1580</f>
        <v>17.649999999999999</v>
      </c>
      <c r="E1575">
        <f>Sinistrés!M1580</f>
        <v>17.649999999999999</v>
      </c>
      <c r="F1575">
        <f t="shared" si="48"/>
        <v>0</v>
      </c>
      <c r="G1575">
        <f t="shared" si="49"/>
        <v>1</v>
      </c>
    </row>
    <row r="1576" spans="1:7">
      <c r="A1576" t="str">
        <f>Sinistrés!H1581</f>
        <v>Tournesol</v>
      </c>
      <c r="B1576">
        <f>Sinistrés!J1581</f>
        <v>35054.9</v>
      </c>
      <c r="C1576">
        <f>Sinistrés!X1581</f>
        <v>15344.45</v>
      </c>
      <c r="D1576">
        <f>Sinistrés!L1581</f>
        <v>36.21</v>
      </c>
      <c r="E1576">
        <f>Sinistrés!M1581</f>
        <v>36.21</v>
      </c>
      <c r="F1576">
        <f t="shared" si="48"/>
        <v>0.43772625225004208</v>
      </c>
      <c r="G1576">
        <f t="shared" si="49"/>
        <v>1</v>
      </c>
    </row>
    <row r="1577" spans="1:7">
      <c r="A1577" t="str">
        <f>Sinistrés!H1582</f>
        <v>Blé tendre d'hiver</v>
      </c>
      <c r="B1577">
        <f>Sinistrés!J1582</f>
        <v>14833.9</v>
      </c>
      <c r="C1577">
        <f>Sinistrés!X1582</f>
        <v>1061.0999999999999</v>
      </c>
      <c r="D1577">
        <f>Sinistrés!L1582</f>
        <v>13.96</v>
      </c>
      <c r="E1577">
        <f>Sinistrés!M1582</f>
        <v>13.96</v>
      </c>
      <c r="F1577">
        <f t="shared" si="48"/>
        <v>7.1532098773754701E-2</v>
      </c>
      <c r="G1577">
        <f t="shared" si="49"/>
        <v>1</v>
      </c>
    </row>
    <row r="1578" spans="1:7">
      <c r="A1578" t="str">
        <f>Sinistrés!H1583</f>
        <v>Soja</v>
      </c>
      <c r="B1578">
        <f>Sinistrés!J1583</f>
        <v>42025.2</v>
      </c>
      <c r="C1578">
        <f>Sinistrés!X1583</f>
        <v>35721.42</v>
      </c>
      <c r="D1578">
        <f>Sinistrés!L1583</f>
        <v>50.03</v>
      </c>
      <c r="E1578">
        <f>Sinistrés!M1583</f>
        <v>50.03</v>
      </c>
      <c r="F1578">
        <f t="shared" si="48"/>
        <v>0.85</v>
      </c>
      <c r="G1578">
        <f t="shared" si="49"/>
        <v>1</v>
      </c>
    </row>
    <row r="1579" spans="1:7">
      <c r="A1579" t="str">
        <f>Sinistrés!H1584</f>
        <v>Maïs grain non irrigué</v>
      </c>
      <c r="B1579">
        <f>Sinistrés!J1584</f>
        <v>32869.54</v>
      </c>
      <c r="C1579">
        <f>Sinistrés!X1584</f>
        <v>14788.71</v>
      </c>
      <c r="D1579">
        <f>Sinistrés!L1584</f>
        <v>28.19</v>
      </c>
      <c r="E1579">
        <f>Sinistrés!M1584</f>
        <v>28.19</v>
      </c>
      <c r="F1579">
        <f t="shared" si="48"/>
        <v>0.4499214166063778</v>
      </c>
      <c r="G1579">
        <f t="shared" si="49"/>
        <v>1</v>
      </c>
    </row>
    <row r="1580" spans="1:7" hidden="1">
      <c r="A1580" t="str">
        <f>Sinistrés!H1585</f>
        <v>Blé tendre d'hiver</v>
      </c>
      <c r="B1580">
        <f>Sinistrés!J1585</f>
        <v>33145.550000000003</v>
      </c>
      <c r="C1580">
        <f>Sinistrés!X1585</f>
        <v>0</v>
      </c>
      <c r="D1580">
        <f>Sinistrés!L1585</f>
        <v>22.69</v>
      </c>
      <c r="E1580">
        <f>Sinistrés!M1585</f>
        <v>22.69</v>
      </c>
      <c r="F1580">
        <f t="shared" si="48"/>
        <v>0</v>
      </c>
      <c r="G1580">
        <f t="shared" si="49"/>
        <v>1</v>
      </c>
    </row>
    <row r="1581" spans="1:7" hidden="1">
      <c r="A1581" t="str">
        <f>Sinistrés!H1586</f>
        <v>Colza d'hiver</v>
      </c>
      <c r="B1581">
        <f>Sinistrés!J1586</f>
        <v>30473.65</v>
      </c>
      <c r="C1581">
        <f>Sinistrés!X1586</f>
        <v>0</v>
      </c>
      <c r="D1581">
        <f>Sinistrés!L1586</f>
        <v>23.33</v>
      </c>
      <c r="E1581">
        <f>Sinistrés!M1586</f>
        <v>23.33</v>
      </c>
      <c r="F1581">
        <f t="shared" si="48"/>
        <v>0</v>
      </c>
      <c r="G1581">
        <f t="shared" si="49"/>
        <v>1</v>
      </c>
    </row>
    <row r="1582" spans="1:7" hidden="1">
      <c r="A1582" t="str">
        <f>Sinistrés!H1587</f>
        <v>Orge d'hiver</v>
      </c>
      <c r="B1582">
        <f>Sinistrés!J1587</f>
        <v>28907.42</v>
      </c>
      <c r="C1582">
        <f>Sinistrés!X1587</f>
        <v>0</v>
      </c>
      <c r="D1582">
        <f>Sinistrés!L1587</f>
        <v>22.06</v>
      </c>
      <c r="E1582">
        <f>Sinistrés!M1587</f>
        <v>22.06</v>
      </c>
      <c r="F1582">
        <f t="shared" si="48"/>
        <v>0</v>
      </c>
      <c r="G1582">
        <f t="shared" si="49"/>
        <v>1</v>
      </c>
    </row>
    <row r="1583" spans="1:7" hidden="1">
      <c r="A1583" t="str">
        <f>Sinistrés!H1588</f>
        <v>Orge de printemps</v>
      </c>
      <c r="B1583">
        <f>Sinistrés!J1588</f>
        <v>21955.25</v>
      </c>
      <c r="C1583">
        <f>Sinistrés!X1588</f>
        <v>0</v>
      </c>
      <c r="D1583">
        <f>Sinistrés!L1588</f>
        <v>18.5</v>
      </c>
      <c r="E1583">
        <f>Sinistrés!M1588</f>
        <v>18.5</v>
      </c>
      <c r="F1583">
        <f t="shared" si="48"/>
        <v>0</v>
      </c>
      <c r="G1583">
        <f t="shared" si="49"/>
        <v>1</v>
      </c>
    </row>
    <row r="1584" spans="1:7" hidden="1">
      <c r="A1584" t="str">
        <f>Sinistrés!H1589</f>
        <v>Blé tendre d'hiver</v>
      </c>
      <c r="B1584">
        <f>Sinistrés!J1589</f>
        <v>32077.71</v>
      </c>
      <c r="C1584">
        <f>Sinistrés!X1589</f>
        <v>0</v>
      </c>
      <c r="D1584">
        <f>Sinistrés!L1589</f>
        <v>25.89</v>
      </c>
      <c r="E1584">
        <f>Sinistrés!M1589</f>
        <v>25.89</v>
      </c>
      <c r="F1584">
        <f t="shared" si="48"/>
        <v>0</v>
      </c>
      <c r="G1584">
        <f t="shared" si="49"/>
        <v>1</v>
      </c>
    </row>
    <row r="1585" spans="1:7" hidden="1">
      <c r="A1585" t="str">
        <f>Sinistrés!H1590</f>
        <v>Colza d'hiver</v>
      </c>
      <c r="B1585">
        <f>Sinistrés!J1590</f>
        <v>7877.73</v>
      </c>
      <c r="C1585">
        <f>Sinistrés!X1590</f>
        <v>0</v>
      </c>
      <c r="D1585">
        <f>Sinistrés!L1590</f>
        <v>8.0500000000000007</v>
      </c>
      <c r="E1585">
        <f>Sinistrés!M1590</f>
        <v>8.0500000000000007</v>
      </c>
      <c r="F1585">
        <f t="shared" si="48"/>
        <v>0</v>
      </c>
      <c r="G1585">
        <f t="shared" si="49"/>
        <v>1</v>
      </c>
    </row>
    <row r="1586" spans="1:7">
      <c r="A1586" t="str">
        <f>Sinistrés!H1591</f>
        <v>Blé de force</v>
      </c>
      <c r="B1586">
        <f>Sinistrés!J1591</f>
        <v>12517.2</v>
      </c>
      <c r="C1586">
        <f>Sinistrés!X1591</f>
        <v>943.92</v>
      </c>
      <c r="D1586">
        <f>Sinistrés!L1591</f>
        <v>8.5500000000000007</v>
      </c>
      <c r="E1586">
        <f>Sinistrés!M1591</f>
        <v>8.5500000000000007</v>
      </c>
      <c r="F1586">
        <f t="shared" si="48"/>
        <v>7.5409836065573763E-2</v>
      </c>
      <c r="G1586">
        <f t="shared" si="49"/>
        <v>1</v>
      </c>
    </row>
    <row r="1587" spans="1:7" hidden="1">
      <c r="A1587" t="str">
        <f>Sinistrés!H1592</f>
        <v>Blé dur d'hiver</v>
      </c>
      <c r="B1587">
        <f>Sinistrés!J1592</f>
        <v>12164.8</v>
      </c>
      <c r="C1587">
        <f>Sinistrés!X1592</f>
        <v>0</v>
      </c>
      <c r="D1587">
        <f>Sinistrés!L1592</f>
        <v>7.89</v>
      </c>
      <c r="E1587">
        <f>Sinistrés!M1592</f>
        <v>7.89</v>
      </c>
      <c r="F1587">
        <f t="shared" si="48"/>
        <v>0</v>
      </c>
      <c r="G1587">
        <f t="shared" si="49"/>
        <v>1</v>
      </c>
    </row>
    <row r="1588" spans="1:7">
      <c r="A1588" t="str">
        <f>Sinistrés!H1593</f>
        <v>Orge d'hiver</v>
      </c>
      <c r="B1588">
        <f>Sinistrés!J1593</f>
        <v>7751.24</v>
      </c>
      <c r="C1588">
        <f>Sinistrés!X1593</f>
        <v>113.09</v>
      </c>
      <c r="D1588">
        <f>Sinistrés!L1593</f>
        <v>6.58</v>
      </c>
      <c r="E1588">
        <f>Sinistrés!M1593</f>
        <v>6.58</v>
      </c>
      <c r="F1588">
        <f t="shared" si="48"/>
        <v>1.4589923676727854E-2</v>
      </c>
      <c r="G1588">
        <f t="shared" si="49"/>
        <v>1</v>
      </c>
    </row>
    <row r="1589" spans="1:7">
      <c r="A1589" t="str">
        <f>Sinistrés!H1594</f>
        <v>Pois protéagineux</v>
      </c>
      <c r="B1589">
        <f>Sinistrés!J1594</f>
        <v>3418.52</v>
      </c>
      <c r="C1589">
        <f>Sinistrés!X1594</f>
        <v>938.46</v>
      </c>
      <c r="D1589">
        <f>Sinistrés!L1594</f>
        <v>5.73</v>
      </c>
      <c r="E1589">
        <f>Sinistrés!M1594</f>
        <v>5.73</v>
      </c>
      <c r="F1589">
        <f t="shared" si="48"/>
        <v>0.27452230789932486</v>
      </c>
      <c r="G1589">
        <f t="shared" si="49"/>
        <v>1</v>
      </c>
    </row>
    <row r="1590" spans="1:7" hidden="1">
      <c r="A1590" t="str">
        <f>Sinistrés!H1595</f>
        <v>Soja</v>
      </c>
      <c r="B1590">
        <f>Sinistrés!J1595</f>
        <v>13518.46</v>
      </c>
      <c r="C1590">
        <f>Sinistrés!X1595</f>
        <v>0</v>
      </c>
      <c r="D1590">
        <f>Sinistrés!L1595</f>
        <v>12.01</v>
      </c>
      <c r="E1590">
        <f>Sinistrés!M1595</f>
        <v>12.01</v>
      </c>
      <c r="F1590">
        <f t="shared" si="48"/>
        <v>0</v>
      </c>
      <c r="G1590">
        <f t="shared" si="49"/>
        <v>1</v>
      </c>
    </row>
    <row r="1591" spans="1:7" hidden="1">
      <c r="A1591" t="str">
        <f>Sinistrés!H1596</f>
        <v>Blé dur d'hiver</v>
      </c>
      <c r="B1591">
        <f>Sinistrés!J1596</f>
        <v>36185.82</v>
      </c>
      <c r="C1591">
        <f>Sinistrés!X1596</f>
        <v>0</v>
      </c>
      <c r="D1591">
        <f>Sinistrés!L1596</f>
        <v>22</v>
      </c>
      <c r="E1591">
        <f>Sinistrés!M1596</f>
        <v>22</v>
      </c>
      <c r="F1591">
        <f t="shared" si="48"/>
        <v>0</v>
      </c>
      <c r="G1591">
        <f t="shared" si="49"/>
        <v>1</v>
      </c>
    </row>
    <row r="1592" spans="1:7" hidden="1">
      <c r="A1592" t="str">
        <f>Sinistrés!H1597</f>
        <v>Blé tendre d'hiver</v>
      </c>
      <c r="B1592">
        <f>Sinistrés!J1597</f>
        <v>28147.84</v>
      </c>
      <c r="C1592">
        <f>Sinistrés!X1597</f>
        <v>0</v>
      </c>
      <c r="D1592">
        <f>Sinistrés!L1597</f>
        <v>20.6</v>
      </c>
      <c r="E1592">
        <f>Sinistrés!M1597</f>
        <v>20.6</v>
      </c>
      <c r="F1592">
        <f t="shared" si="48"/>
        <v>0</v>
      </c>
      <c r="G1592">
        <f t="shared" si="49"/>
        <v>1</v>
      </c>
    </row>
    <row r="1593" spans="1:7" hidden="1">
      <c r="A1593" t="str">
        <f>Sinistrés!H1598</f>
        <v>Colza d'hiver</v>
      </c>
      <c r="B1593">
        <f>Sinistrés!J1598</f>
        <v>34056</v>
      </c>
      <c r="C1593">
        <f>Sinistrés!X1598</f>
        <v>0</v>
      </c>
      <c r="D1593">
        <f>Sinistrés!L1598</f>
        <v>30</v>
      </c>
      <c r="E1593">
        <f>Sinistrés!M1598</f>
        <v>30</v>
      </c>
      <c r="F1593">
        <f t="shared" si="48"/>
        <v>0</v>
      </c>
      <c r="G1593">
        <f t="shared" si="49"/>
        <v>1</v>
      </c>
    </row>
    <row r="1594" spans="1:7">
      <c r="A1594" t="str">
        <f>Sinistrés!H1599</f>
        <v>Orge de printemps</v>
      </c>
      <c r="B1594">
        <f>Sinistrés!J1599</f>
        <v>50195.199999999997</v>
      </c>
      <c r="C1594">
        <f>Sinistrés!X1599</f>
        <v>2421.7600000000002</v>
      </c>
      <c r="D1594">
        <f>Sinistrés!L1599</f>
        <v>32</v>
      </c>
      <c r="E1594">
        <f>Sinistrés!M1599</f>
        <v>32</v>
      </c>
      <c r="F1594">
        <f t="shared" si="48"/>
        <v>4.8246844319775606E-2</v>
      </c>
      <c r="G1594">
        <f t="shared" si="49"/>
        <v>1</v>
      </c>
    </row>
    <row r="1595" spans="1:7">
      <c r="A1595" t="str">
        <f>Sinistrés!H1600</f>
        <v>Orge d'hiver</v>
      </c>
      <c r="B1595">
        <f>Sinistrés!J1600</f>
        <v>22542</v>
      </c>
      <c r="C1595">
        <f>Sinistrés!X1600</f>
        <v>921.4</v>
      </c>
      <c r="D1595">
        <f>Sinistrés!L1600</f>
        <v>17</v>
      </c>
      <c r="E1595">
        <f>Sinistrés!M1600</f>
        <v>17</v>
      </c>
      <c r="F1595">
        <f t="shared" si="48"/>
        <v>4.0874811463046758E-2</v>
      </c>
      <c r="G1595">
        <f t="shared" si="49"/>
        <v>1</v>
      </c>
    </row>
    <row r="1596" spans="1:7" hidden="1">
      <c r="A1596" t="str">
        <f>Sinistrés!H1601</f>
        <v>Tournesol BIO</v>
      </c>
      <c r="B1596">
        <f>Sinistrés!J1601</f>
        <v>22680</v>
      </c>
      <c r="C1596">
        <f>Sinistrés!X1601</f>
        <v>0</v>
      </c>
      <c r="D1596">
        <f>Sinistrés!L1601</f>
        <v>27</v>
      </c>
      <c r="E1596">
        <f>Sinistrés!M1601</f>
        <v>13.5</v>
      </c>
      <c r="F1596">
        <f t="shared" si="48"/>
        <v>0</v>
      </c>
      <c r="G1596">
        <f t="shared" si="49"/>
        <v>0.5</v>
      </c>
    </row>
    <row r="1597" spans="1:7" hidden="1">
      <c r="A1597" t="str">
        <f>Sinistrés!H1602</f>
        <v>Soja BIO</v>
      </c>
      <c r="B1597">
        <f>Sinistrés!J1602</f>
        <v>14400</v>
      </c>
      <c r="C1597">
        <f>Sinistrés!X1602</f>
        <v>0</v>
      </c>
      <c r="D1597">
        <f>Sinistrés!L1602</f>
        <v>16</v>
      </c>
      <c r="E1597">
        <f>Sinistrés!M1602</f>
        <v>11.5</v>
      </c>
      <c r="F1597">
        <f t="shared" si="48"/>
        <v>0</v>
      </c>
      <c r="G1597">
        <f t="shared" si="49"/>
        <v>0.71875</v>
      </c>
    </row>
    <row r="1598" spans="1:7" hidden="1">
      <c r="A1598" t="str">
        <f>Sinistrés!H1603</f>
        <v>Colza d'hiver</v>
      </c>
      <c r="B1598">
        <f>Sinistrés!J1603</f>
        <v>22602.6</v>
      </c>
      <c r="C1598">
        <f>Sinistrés!X1603</f>
        <v>0</v>
      </c>
      <c r="D1598">
        <f>Sinistrés!L1603</f>
        <v>21.65</v>
      </c>
      <c r="E1598">
        <f>Sinistrés!M1603</f>
        <v>21.65</v>
      </c>
      <c r="F1598">
        <f t="shared" si="48"/>
        <v>0</v>
      </c>
      <c r="G1598">
        <f t="shared" si="49"/>
        <v>1</v>
      </c>
    </row>
    <row r="1599" spans="1:7">
      <c r="A1599" t="str">
        <f>Sinistrés!H1604</f>
        <v>Blé tendre d'hiver</v>
      </c>
      <c r="B1599">
        <f>Sinistrés!J1604</f>
        <v>38607.1</v>
      </c>
      <c r="C1599">
        <f>Sinistrés!X1604</f>
        <v>2257.69</v>
      </c>
      <c r="D1599">
        <f>Sinistrés!L1604</f>
        <v>38.24</v>
      </c>
      <c r="E1599">
        <f>Sinistrés!M1604</f>
        <v>38.24</v>
      </c>
      <c r="F1599">
        <f t="shared" si="48"/>
        <v>5.8478621807905806E-2</v>
      </c>
      <c r="G1599">
        <f t="shared" si="49"/>
        <v>1</v>
      </c>
    </row>
    <row r="1600" spans="1:7">
      <c r="A1600" t="str">
        <f>Sinistrés!H1605</f>
        <v>Orge d'hiver</v>
      </c>
      <c r="B1600">
        <f>Sinistrés!J1605</f>
        <v>37240.800000000003</v>
      </c>
      <c r="C1600">
        <f>Sinistrés!X1605</f>
        <v>8899.92</v>
      </c>
      <c r="D1600">
        <f>Sinistrés!L1605</f>
        <v>42.08</v>
      </c>
      <c r="E1600">
        <f>Sinistrés!M1605</f>
        <v>42.08</v>
      </c>
      <c r="F1600">
        <f t="shared" si="48"/>
        <v>0.23898305084745761</v>
      </c>
      <c r="G1600">
        <f t="shared" si="49"/>
        <v>1</v>
      </c>
    </row>
    <row r="1601" spans="1:7" hidden="1">
      <c r="A1601" t="str">
        <f>Sinistrés!H1606</f>
        <v>Tournesol</v>
      </c>
      <c r="B1601">
        <f>Sinistrés!J1606</f>
        <v>7000.56</v>
      </c>
      <c r="C1601">
        <f>Sinistrés!X1606</f>
        <v>0</v>
      </c>
      <c r="D1601">
        <f>Sinistrés!L1606</f>
        <v>9.26</v>
      </c>
      <c r="E1601">
        <f>Sinistrés!M1606</f>
        <v>9.26</v>
      </c>
      <c r="F1601">
        <f t="shared" si="48"/>
        <v>0</v>
      </c>
      <c r="G1601">
        <f t="shared" si="49"/>
        <v>1</v>
      </c>
    </row>
    <row r="1602" spans="1:7" hidden="1">
      <c r="A1602" t="str">
        <f>Sinistrés!H1607</f>
        <v>Avoine de printemps BIO</v>
      </c>
      <c r="B1602">
        <f>Sinistrés!J1607</f>
        <v>34020</v>
      </c>
      <c r="C1602">
        <f>Sinistrés!X1607</f>
        <v>0</v>
      </c>
      <c r="D1602">
        <f>Sinistrés!L1607</f>
        <v>63</v>
      </c>
      <c r="E1602">
        <f>Sinistrés!M1607</f>
        <v>63</v>
      </c>
      <c r="F1602">
        <f t="shared" si="48"/>
        <v>0</v>
      </c>
      <c r="G1602">
        <f t="shared" si="49"/>
        <v>1</v>
      </c>
    </row>
    <row r="1603" spans="1:7">
      <c r="A1603" t="str">
        <f>Sinistrés!H1608</f>
        <v>Colza d'hiver</v>
      </c>
      <c r="B1603">
        <f>Sinistrés!J1608</f>
        <v>58296</v>
      </c>
      <c r="C1603">
        <f>Sinistrés!X1608</f>
        <v>3500.26</v>
      </c>
      <c r="D1603">
        <f>Sinistrés!L1608</f>
        <v>42</v>
      </c>
      <c r="E1603">
        <f>Sinistrés!M1608</f>
        <v>8.08</v>
      </c>
      <c r="F1603">
        <f t="shared" ref="F1603:F1666" si="50">C1603/B1603</f>
        <v>6.0042884588994101E-2</v>
      </c>
      <c r="G1603">
        <f t="shared" ref="G1603:G1666" si="51">E1603/D1603</f>
        <v>0.19238095238095237</v>
      </c>
    </row>
    <row r="1604" spans="1:7">
      <c r="A1604" t="str">
        <f>Sinistrés!H1609</f>
        <v>Orge de printemps</v>
      </c>
      <c r="B1604">
        <f>Sinistrés!J1609</f>
        <v>15030.4</v>
      </c>
      <c r="C1604">
        <f>Sinistrés!X1609</f>
        <v>4347.2</v>
      </c>
      <c r="D1604">
        <f>Sinistrés!L1609</f>
        <v>15.4</v>
      </c>
      <c r="E1604">
        <f>Sinistrés!M1609</f>
        <v>13</v>
      </c>
      <c r="F1604">
        <f t="shared" si="50"/>
        <v>0.28922716627634659</v>
      </c>
      <c r="G1604">
        <f t="shared" si="51"/>
        <v>0.8441558441558441</v>
      </c>
    </row>
    <row r="1605" spans="1:7" hidden="1">
      <c r="A1605" t="str">
        <f>Sinistrés!H1610</f>
        <v>Maïs ensilage non irrigué</v>
      </c>
      <c r="B1605">
        <f>Sinistrés!J1610</f>
        <v>41490</v>
      </c>
      <c r="C1605">
        <f>Sinistrés!X1610</f>
        <v>0</v>
      </c>
      <c r="D1605">
        <f>Sinistrés!L1610</f>
        <v>30</v>
      </c>
      <c r="E1605">
        <f>Sinistrés!M1610</f>
        <v>30</v>
      </c>
      <c r="F1605">
        <f t="shared" si="50"/>
        <v>0</v>
      </c>
      <c r="G1605">
        <f t="shared" si="51"/>
        <v>1</v>
      </c>
    </row>
    <row r="1606" spans="1:7" hidden="1">
      <c r="A1606" t="str">
        <f>Sinistrés!H1611</f>
        <v>Blé tendre d'hiver</v>
      </c>
      <c r="B1606">
        <f>Sinistrés!J1611</f>
        <v>84684.800000000003</v>
      </c>
      <c r="C1606">
        <f>Sinistrés!X1611</f>
        <v>0</v>
      </c>
      <c r="D1606">
        <f>Sinistrés!L1611</f>
        <v>64</v>
      </c>
      <c r="E1606">
        <f>Sinistrés!M1611</f>
        <v>29.87</v>
      </c>
      <c r="F1606">
        <f t="shared" si="50"/>
        <v>0</v>
      </c>
      <c r="G1606">
        <f t="shared" si="51"/>
        <v>0.46671875000000002</v>
      </c>
    </row>
    <row r="1607" spans="1:7" hidden="1">
      <c r="A1607" t="str">
        <f>Sinistrés!H1612</f>
        <v>Tournesol</v>
      </c>
      <c r="B1607">
        <f>Sinistrés!J1612</f>
        <v>45687.18</v>
      </c>
      <c r="C1607">
        <f>Sinistrés!X1612</f>
        <v>0</v>
      </c>
      <c r="D1607">
        <f>Sinistrés!L1612</f>
        <v>71.62</v>
      </c>
      <c r="E1607">
        <f>Sinistrés!M1612</f>
        <v>71.62</v>
      </c>
      <c r="F1607">
        <f t="shared" si="50"/>
        <v>0</v>
      </c>
      <c r="G1607">
        <f t="shared" si="51"/>
        <v>1</v>
      </c>
    </row>
    <row r="1608" spans="1:7" hidden="1">
      <c r="A1608" t="str">
        <f>Sinistrés!H1613</f>
        <v>Blé tendre d'hiver</v>
      </c>
      <c r="B1608">
        <f>Sinistrés!J1613</f>
        <v>98854.07</v>
      </c>
      <c r="C1608">
        <f>Sinistrés!X1613</f>
        <v>0</v>
      </c>
      <c r="D1608">
        <f>Sinistrés!L1613</f>
        <v>82.98</v>
      </c>
      <c r="E1608">
        <f>Sinistrés!M1613</f>
        <v>82.98</v>
      </c>
      <c r="F1608">
        <f t="shared" si="50"/>
        <v>0</v>
      </c>
      <c r="G1608">
        <f t="shared" si="51"/>
        <v>1</v>
      </c>
    </row>
    <row r="1609" spans="1:7" hidden="1">
      <c r="A1609" t="str">
        <f>Sinistrés!H1614</f>
        <v>Orge d'hiver</v>
      </c>
      <c r="B1609">
        <f>Sinistrés!J1614</f>
        <v>46919.25</v>
      </c>
      <c r="C1609">
        <f>Sinistrés!X1614</f>
        <v>0</v>
      </c>
      <c r="D1609">
        <f>Sinistrés!L1614</f>
        <v>49.65</v>
      </c>
      <c r="E1609">
        <f>Sinistrés!M1614</f>
        <v>49.65</v>
      </c>
      <c r="F1609">
        <f t="shared" si="50"/>
        <v>0</v>
      </c>
      <c r="G1609">
        <f t="shared" si="51"/>
        <v>1</v>
      </c>
    </row>
    <row r="1610" spans="1:7" hidden="1">
      <c r="A1610" t="str">
        <f>Sinistrés!H1615</f>
        <v>Blé de force</v>
      </c>
      <c r="B1610">
        <f>Sinistrés!J1615</f>
        <v>18375.66</v>
      </c>
      <c r="C1610">
        <f>Sinistrés!X1615</f>
        <v>0</v>
      </c>
      <c r="D1610">
        <f>Sinistrés!L1615</f>
        <v>17.91</v>
      </c>
      <c r="E1610">
        <f>Sinistrés!M1615</f>
        <v>17.91</v>
      </c>
      <c r="F1610">
        <f t="shared" si="50"/>
        <v>0</v>
      </c>
      <c r="G1610">
        <f t="shared" si="51"/>
        <v>1</v>
      </c>
    </row>
    <row r="1611" spans="1:7" hidden="1">
      <c r="A1611" t="str">
        <f>Sinistrés!H1616</f>
        <v>Blé tendre d'hiver</v>
      </c>
      <c r="B1611">
        <f>Sinistrés!J1616</f>
        <v>14525.08</v>
      </c>
      <c r="C1611">
        <f>Sinistrés!X1616</f>
        <v>0</v>
      </c>
      <c r="D1611">
        <f>Sinistrés!L1616</f>
        <v>15.73</v>
      </c>
      <c r="E1611">
        <f>Sinistrés!M1616</f>
        <v>15.73</v>
      </c>
      <c r="F1611">
        <f t="shared" si="50"/>
        <v>0</v>
      </c>
      <c r="G1611">
        <f t="shared" si="51"/>
        <v>1</v>
      </c>
    </row>
    <row r="1612" spans="1:7" hidden="1">
      <c r="A1612" t="str">
        <f>Sinistrés!H1617</f>
        <v>Blé tendre d'hiver</v>
      </c>
      <c r="B1612">
        <f>Sinistrés!J1617</f>
        <v>91377.31</v>
      </c>
      <c r="C1612">
        <f>Sinistrés!X1617</f>
        <v>0</v>
      </c>
      <c r="D1612">
        <f>Sinistrés!L1617</f>
        <v>61.36</v>
      </c>
      <c r="E1612">
        <f>Sinistrés!M1617</f>
        <v>61.36</v>
      </c>
      <c r="F1612">
        <f t="shared" si="50"/>
        <v>0</v>
      </c>
      <c r="G1612">
        <f t="shared" si="51"/>
        <v>1</v>
      </c>
    </row>
    <row r="1613" spans="1:7" hidden="1">
      <c r="A1613" t="str">
        <f>Sinistrés!H1618</f>
        <v>Colza d'hiver</v>
      </c>
      <c r="B1613">
        <f>Sinistrés!J1618</f>
        <v>59370.05</v>
      </c>
      <c r="C1613">
        <f>Sinistrés!X1618</f>
        <v>0</v>
      </c>
      <c r="D1613">
        <f>Sinistrés!L1618</f>
        <v>33.71</v>
      </c>
      <c r="E1613">
        <f>Sinistrés!M1618</f>
        <v>33.71</v>
      </c>
      <c r="F1613">
        <f t="shared" si="50"/>
        <v>0</v>
      </c>
      <c r="G1613">
        <f t="shared" si="51"/>
        <v>1</v>
      </c>
    </row>
    <row r="1614" spans="1:7" hidden="1">
      <c r="A1614" t="str">
        <f>Sinistrés!H1619</f>
        <v>Pois protéagineux</v>
      </c>
      <c r="B1614">
        <f>Sinistrés!J1619</f>
        <v>25379.82</v>
      </c>
      <c r="C1614">
        <f>Sinistrés!X1619</f>
        <v>0</v>
      </c>
      <c r="D1614">
        <f>Sinistrés!L1619</f>
        <v>23.37</v>
      </c>
      <c r="E1614">
        <f>Sinistrés!M1619</f>
        <v>23.37</v>
      </c>
      <c r="F1614">
        <f t="shared" si="50"/>
        <v>0</v>
      </c>
      <c r="G1614">
        <f t="shared" si="51"/>
        <v>1</v>
      </c>
    </row>
    <row r="1615" spans="1:7" hidden="1">
      <c r="A1615" t="str">
        <f>Sinistrés!H1620</f>
        <v>Lupin doux SEMENCES</v>
      </c>
      <c r="B1615">
        <f>Sinistrés!J1620</f>
        <v>28576.9</v>
      </c>
      <c r="C1615">
        <f>Sinistrés!X1620</f>
        <v>0</v>
      </c>
      <c r="D1615">
        <f>Sinistrés!L1620</f>
        <v>20.75</v>
      </c>
      <c r="E1615">
        <f>Sinistrés!M1620</f>
        <v>20.75</v>
      </c>
      <c r="F1615">
        <f t="shared" si="50"/>
        <v>0</v>
      </c>
      <c r="G1615">
        <f t="shared" si="51"/>
        <v>1</v>
      </c>
    </row>
    <row r="1616" spans="1:7" hidden="1">
      <c r="A1616" t="str">
        <f>Sinistrés!H1621</f>
        <v>Colza d'hiver</v>
      </c>
      <c r="B1616">
        <f>Sinistrés!J1621</f>
        <v>66360</v>
      </c>
      <c r="C1616">
        <f>Sinistrés!X1621</f>
        <v>0</v>
      </c>
      <c r="D1616">
        <f>Sinistrés!L1621</f>
        <v>42</v>
      </c>
      <c r="E1616">
        <f>Sinistrés!M1621</f>
        <v>42</v>
      </c>
      <c r="F1616">
        <f t="shared" si="50"/>
        <v>0</v>
      </c>
      <c r="G1616">
        <f t="shared" si="51"/>
        <v>1</v>
      </c>
    </row>
    <row r="1617" spans="1:7" hidden="1">
      <c r="A1617" t="str">
        <f>Sinistrés!H1622</f>
        <v>Orge d'hiver</v>
      </c>
      <c r="B1617">
        <f>Sinistrés!J1622</f>
        <v>1800</v>
      </c>
      <c r="C1617">
        <f>Sinistrés!X1622</f>
        <v>0</v>
      </c>
      <c r="D1617">
        <f>Sinistrés!L1622</f>
        <v>27.27</v>
      </c>
      <c r="E1617">
        <f>Sinistrés!M1622</f>
        <v>12.5</v>
      </c>
      <c r="F1617">
        <f t="shared" si="50"/>
        <v>0</v>
      </c>
      <c r="G1617">
        <f t="shared" si="51"/>
        <v>0.45837917125045841</v>
      </c>
    </row>
    <row r="1618" spans="1:7">
      <c r="A1618" t="str">
        <f>Sinistrés!H1623</f>
        <v>Féveroles et fèves</v>
      </c>
      <c r="B1618">
        <f>Sinistrés!J1623</f>
        <v>6935.04</v>
      </c>
      <c r="C1618">
        <f>Sinistrés!X1623</f>
        <v>1265.6400000000001</v>
      </c>
      <c r="D1618">
        <f>Sinistrés!L1623</f>
        <v>7.74</v>
      </c>
      <c r="E1618">
        <f>Sinistrés!M1623</f>
        <v>7.4</v>
      </c>
      <c r="F1618">
        <f t="shared" si="50"/>
        <v>0.18249930786267998</v>
      </c>
      <c r="G1618">
        <f t="shared" si="51"/>
        <v>0.95607235142118863</v>
      </c>
    </row>
    <row r="1619" spans="1:7" hidden="1">
      <c r="A1619" t="str">
        <f>Sinistrés!H1624</f>
        <v>Colza d'hiver</v>
      </c>
      <c r="B1619">
        <f>Sinistrés!J1624</f>
        <v>8045.28</v>
      </c>
      <c r="C1619">
        <f>Sinistrés!X1624</f>
        <v>0</v>
      </c>
      <c r="D1619">
        <f>Sinistrés!L1624</f>
        <v>5.55</v>
      </c>
      <c r="E1619">
        <f>Sinistrés!M1624</f>
        <v>5.53</v>
      </c>
      <c r="F1619">
        <f t="shared" si="50"/>
        <v>0</v>
      </c>
      <c r="G1619">
        <f t="shared" si="51"/>
        <v>0.99639639639639643</v>
      </c>
    </row>
    <row r="1620" spans="1:7" hidden="1">
      <c r="A1620" t="str">
        <f>Sinistrés!H1625</f>
        <v>Blé tendre d'hiver</v>
      </c>
      <c r="B1620">
        <f>Sinistrés!J1625</f>
        <v>28977.61</v>
      </c>
      <c r="C1620">
        <f>Sinistrés!X1625</f>
        <v>0</v>
      </c>
      <c r="D1620">
        <f>Sinistrés!L1625</f>
        <v>23.69</v>
      </c>
      <c r="E1620">
        <f>Sinistrés!M1625</f>
        <v>23.45</v>
      </c>
      <c r="F1620">
        <f t="shared" si="50"/>
        <v>0</v>
      </c>
      <c r="G1620">
        <f t="shared" si="51"/>
        <v>0.98986914309835361</v>
      </c>
    </row>
    <row r="1621" spans="1:7" hidden="1">
      <c r="A1621" t="str">
        <f>Sinistrés!H1626</f>
        <v>Orge d'hiver</v>
      </c>
      <c r="B1621">
        <f>Sinistrés!J1626</f>
        <v>26818.85</v>
      </c>
      <c r="C1621">
        <f>Sinistrés!X1626</f>
        <v>0</v>
      </c>
      <c r="D1621">
        <f>Sinistrés!L1626</f>
        <v>30.12</v>
      </c>
      <c r="E1621">
        <f>Sinistrés!M1626</f>
        <v>30</v>
      </c>
      <c r="F1621">
        <f t="shared" si="50"/>
        <v>0</v>
      </c>
      <c r="G1621">
        <f t="shared" si="51"/>
        <v>0.99601593625498008</v>
      </c>
    </row>
    <row r="1622" spans="1:7">
      <c r="A1622" t="str">
        <f>Sinistrés!H1627</f>
        <v>Orge d'hiver</v>
      </c>
      <c r="B1622">
        <f>Sinistrés!J1627</f>
        <v>26686.26</v>
      </c>
      <c r="C1622">
        <f>Sinistrés!X1627</f>
        <v>4053.85</v>
      </c>
      <c r="D1622">
        <f>Sinistrés!L1627</f>
        <v>38.76</v>
      </c>
      <c r="E1622">
        <f>Sinistrés!M1627</f>
        <v>17</v>
      </c>
      <c r="F1622">
        <f t="shared" si="50"/>
        <v>0.15190776077277221</v>
      </c>
      <c r="G1622">
        <f t="shared" si="51"/>
        <v>0.43859649122807021</v>
      </c>
    </row>
    <row r="1623" spans="1:7">
      <c r="A1623" t="str">
        <f>Sinistrés!H1628</f>
        <v>Avoine d'hiver</v>
      </c>
      <c r="B1623">
        <f>Sinistrés!J1628</f>
        <v>1578.24</v>
      </c>
      <c r="C1623">
        <f>Sinistrés!X1628</f>
        <v>262.45999999999998</v>
      </c>
      <c r="D1623">
        <f>Sinistrés!L1628</f>
        <v>3.2</v>
      </c>
      <c r="E1623">
        <f>Sinistrés!M1628</f>
        <v>3.2</v>
      </c>
      <c r="F1623">
        <f t="shared" si="50"/>
        <v>0.16629916869424166</v>
      </c>
      <c r="G1623">
        <f t="shared" si="51"/>
        <v>1</v>
      </c>
    </row>
    <row r="1624" spans="1:7">
      <c r="A1624" t="str">
        <f>Sinistrés!H1629</f>
        <v>Blé tendre d'hiver</v>
      </c>
      <c r="B1624">
        <f>Sinistrés!J1629</f>
        <v>20326.64</v>
      </c>
      <c r="C1624">
        <f>Sinistrés!X1629</f>
        <v>4332.68</v>
      </c>
      <c r="D1624">
        <f>Sinistrés!L1629</f>
        <v>18.649999999999999</v>
      </c>
      <c r="E1624">
        <f>Sinistrés!M1629</f>
        <v>18.649999999999999</v>
      </c>
      <c r="F1624">
        <f t="shared" si="50"/>
        <v>0.21315278865567552</v>
      </c>
      <c r="G1624">
        <f t="shared" si="51"/>
        <v>1</v>
      </c>
    </row>
    <row r="1625" spans="1:7">
      <c r="A1625" t="str">
        <f>Sinistrés!H1630</f>
        <v>Triticale</v>
      </c>
      <c r="B1625">
        <f>Sinistrés!J1630</f>
        <v>15515.32</v>
      </c>
      <c r="C1625">
        <f>Sinistrés!X1630</f>
        <v>1715.49</v>
      </c>
      <c r="D1625">
        <f>Sinistrés!L1630</f>
        <v>20.9</v>
      </c>
      <c r="E1625">
        <f>Sinistrés!M1630</f>
        <v>20.9</v>
      </c>
      <c r="F1625">
        <f t="shared" si="50"/>
        <v>0.11056749071240554</v>
      </c>
      <c r="G1625">
        <f t="shared" si="51"/>
        <v>1</v>
      </c>
    </row>
    <row r="1626" spans="1:7" hidden="1">
      <c r="A1626" t="str">
        <f>Sinistrés!H1631</f>
        <v>Blé dur d'hiver</v>
      </c>
      <c r="B1626">
        <f>Sinistrés!J1631</f>
        <v>39158.21</v>
      </c>
      <c r="C1626">
        <f>Sinistrés!X1631</f>
        <v>0</v>
      </c>
      <c r="D1626">
        <f>Sinistrés!L1631</f>
        <v>28.8</v>
      </c>
      <c r="E1626">
        <f>Sinistrés!M1631</f>
        <v>19.57</v>
      </c>
      <c r="F1626">
        <f t="shared" si="50"/>
        <v>0</v>
      </c>
      <c r="G1626">
        <f t="shared" si="51"/>
        <v>0.67951388888888886</v>
      </c>
    </row>
    <row r="1627" spans="1:7" hidden="1">
      <c r="A1627" t="str">
        <f>Sinistrés!H1632</f>
        <v>Tournesol BIO</v>
      </c>
      <c r="B1627">
        <f>Sinistrés!J1632</f>
        <v>26713.8</v>
      </c>
      <c r="C1627">
        <f>Sinistrés!X1632</f>
        <v>0</v>
      </c>
      <c r="D1627">
        <f>Sinistrés!L1632</f>
        <v>19.399999999999999</v>
      </c>
      <c r="E1627">
        <f>Sinistrés!M1632</f>
        <v>26.26</v>
      </c>
      <c r="F1627">
        <f t="shared" si="50"/>
        <v>0</v>
      </c>
      <c r="G1627">
        <f t="shared" si="51"/>
        <v>1.3536082474226805</v>
      </c>
    </row>
    <row r="1628" spans="1:7" hidden="1">
      <c r="A1628" t="str">
        <f>Sinistrés!H1633</f>
        <v>Pois secs / Pois Chiches</v>
      </c>
      <c r="B1628">
        <f>Sinistrés!J1633</f>
        <v>43131.83</v>
      </c>
      <c r="C1628">
        <f>Sinistrés!X1633</f>
        <v>0</v>
      </c>
      <c r="D1628">
        <f>Sinistrés!L1633</f>
        <v>23.55</v>
      </c>
      <c r="E1628">
        <f>Sinistrés!M1633</f>
        <v>21.55</v>
      </c>
      <c r="F1628">
        <f t="shared" si="50"/>
        <v>0</v>
      </c>
      <c r="G1628">
        <f t="shared" si="51"/>
        <v>0.9150743099787686</v>
      </c>
    </row>
    <row r="1629" spans="1:7" hidden="1">
      <c r="A1629" t="str">
        <f>Sinistrés!H1634</f>
        <v>Blé tendre d'hiver</v>
      </c>
      <c r="B1629">
        <f>Sinistrés!J1634</f>
        <v>39550.43</v>
      </c>
      <c r="C1629">
        <f>Sinistrés!X1634</f>
        <v>0</v>
      </c>
      <c r="D1629">
        <f>Sinistrés!L1634</f>
        <v>35.15</v>
      </c>
      <c r="E1629">
        <f>Sinistrés!M1634</f>
        <v>13.59</v>
      </c>
      <c r="F1629">
        <f t="shared" si="50"/>
        <v>0</v>
      </c>
      <c r="G1629">
        <f t="shared" si="51"/>
        <v>0.38662873399715508</v>
      </c>
    </row>
    <row r="1630" spans="1:7" hidden="1">
      <c r="A1630" t="str">
        <f>Sinistrés!H1635</f>
        <v>Lentilles BIO</v>
      </c>
      <c r="B1630">
        <f>Sinistrés!J1635</f>
        <v>26392.5</v>
      </c>
      <c r="C1630">
        <f>Sinistrés!X1635</f>
        <v>0</v>
      </c>
      <c r="D1630">
        <f>Sinistrés!L1635</f>
        <v>19.55</v>
      </c>
      <c r="E1630">
        <f>Sinistrés!M1635</f>
        <v>19.55</v>
      </c>
      <c r="F1630">
        <f t="shared" si="50"/>
        <v>0</v>
      </c>
      <c r="G1630">
        <f t="shared" si="51"/>
        <v>1</v>
      </c>
    </row>
    <row r="1631" spans="1:7" hidden="1">
      <c r="A1631" t="str">
        <f>Sinistrés!H1636</f>
        <v>Maïs grain irrigué</v>
      </c>
      <c r="B1631">
        <f>Sinistrés!J1636</f>
        <v>13772.21</v>
      </c>
      <c r="C1631">
        <f>Sinistrés!X1636</f>
        <v>0</v>
      </c>
      <c r="D1631">
        <f>Sinistrés!L1636</f>
        <v>7.32</v>
      </c>
      <c r="E1631">
        <f>Sinistrés!M1636</f>
        <v>5.34</v>
      </c>
      <c r="F1631">
        <f t="shared" si="50"/>
        <v>0</v>
      </c>
      <c r="G1631">
        <f t="shared" si="51"/>
        <v>0.7295081967213114</v>
      </c>
    </row>
    <row r="1632" spans="1:7" hidden="1">
      <c r="A1632" t="str">
        <f>Sinistrés!H1637</f>
        <v>Colza d'hiver</v>
      </c>
      <c r="B1632">
        <f>Sinistrés!J1637</f>
        <v>8530.7000000000007</v>
      </c>
      <c r="C1632">
        <f>Sinistrés!X1637</f>
        <v>0</v>
      </c>
      <c r="D1632">
        <f>Sinistrés!L1637</f>
        <v>6.47</v>
      </c>
      <c r="E1632">
        <f>Sinistrés!M1637</f>
        <v>6.47</v>
      </c>
      <c r="F1632">
        <f t="shared" si="50"/>
        <v>0</v>
      </c>
      <c r="G1632">
        <f t="shared" si="51"/>
        <v>1</v>
      </c>
    </row>
    <row r="1633" spans="1:7" hidden="1">
      <c r="A1633" t="str">
        <f>Sinistrés!H1638</f>
        <v>Blé dur d'hiver</v>
      </c>
      <c r="B1633">
        <f>Sinistrés!J1638</f>
        <v>16876.830000000002</v>
      </c>
      <c r="C1633">
        <f>Sinistrés!X1638</f>
        <v>0</v>
      </c>
      <c r="D1633">
        <f>Sinistrés!L1638</f>
        <v>8.0500000000000007</v>
      </c>
      <c r="E1633">
        <f>Sinistrés!M1638</f>
        <v>8.0500000000000007</v>
      </c>
      <c r="F1633">
        <f t="shared" si="50"/>
        <v>0</v>
      </c>
      <c r="G1633">
        <f t="shared" si="51"/>
        <v>1</v>
      </c>
    </row>
    <row r="1634" spans="1:7" hidden="1">
      <c r="A1634" t="str">
        <f>Sinistrés!H1639</f>
        <v>Blé tendre d'hiver</v>
      </c>
      <c r="B1634">
        <f>Sinistrés!J1639</f>
        <v>126187.8</v>
      </c>
      <c r="C1634">
        <f>Sinistrés!X1639</f>
        <v>0</v>
      </c>
      <c r="D1634">
        <f>Sinistrés!L1639</f>
        <v>86.43</v>
      </c>
      <c r="E1634">
        <f>Sinistrés!M1639</f>
        <v>86.43</v>
      </c>
      <c r="F1634">
        <f t="shared" si="50"/>
        <v>0</v>
      </c>
      <c r="G1634">
        <f t="shared" si="51"/>
        <v>1</v>
      </c>
    </row>
    <row r="1635" spans="1:7" hidden="1">
      <c r="A1635" t="str">
        <f>Sinistrés!H1640</f>
        <v>Colza d'hiver</v>
      </c>
      <c r="B1635">
        <f>Sinistrés!J1640</f>
        <v>73946.600000000006</v>
      </c>
      <c r="C1635">
        <f>Sinistrés!X1640</f>
        <v>0</v>
      </c>
      <c r="D1635">
        <f>Sinistrés!L1640</f>
        <v>40.630000000000003</v>
      </c>
      <c r="E1635">
        <f>Sinistrés!M1640</f>
        <v>40.630000000000003</v>
      </c>
      <c r="F1635">
        <f t="shared" si="50"/>
        <v>0</v>
      </c>
      <c r="G1635">
        <f t="shared" si="51"/>
        <v>1</v>
      </c>
    </row>
    <row r="1636" spans="1:7" hidden="1">
      <c r="A1636" t="str">
        <f>Sinistrés!H1641</f>
        <v>Orge d'hiver</v>
      </c>
      <c r="B1636">
        <f>Sinistrés!J1641</f>
        <v>56566.06</v>
      </c>
      <c r="C1636">
        <f>Sinistrés!X1641</f>
        <v>0</v>
      </c>
      <c r="D1636">
        <f>Sinistrés!L1641</f>
        <v>41.41</v>
      </c>
      <c r="E1636">
        <f>Sinistrés!M1641</f>
        <v>41.41</v>
      </c>
      <c r="F1636">
        <f t="shared" si="50"/>
        <v>0</v>
      </c>
      <c r="G1636">
        <f t="shared" si="51"/>
        <v>1</v>
      </c>
    </row>
    <row r="1637" spans="1:7" hidden="1">
      <c r="A1637" t="str">
        <f>Sinistrés!H1642</f>
        <v>Tournesol</v>
      </c>
      <c r="B1637">
        <f>Sinistrés!J1642</f>
        <v>16055</v>
      </c>
      <c r="C1637">
        <f>Sinistrés!X1642</f>
        <v>0</v>
      </c>
      <c r="D1637">
        <f>Sinistrés!L1642</f>
        <v>13</v>
      </c>
      <c r="E1637">
        <f>Sinistrés!M1642</f>
        <v>13</v>
      </c>
      <c r="F1637">
        <f t="shared" si="50"/>
        <v>0</v>
      </c>
      <c r="G1637">
        <f t="shared" si="51"/>
        <v>1</v>
      </c>
    </row>
    <row r="1638" spans="1:7" hidden="1">
      <c r="A1638" t="str">
        <f>Sinistrés!H1643</f>
        <v>Blé tendre d'hiver</v>
      </c>
      <c r="B1638">
        <f>Sinistrés!J1643</f>
        <v>16449.689999999999</v>
      </c>
      <c r="C1638">
        <f>Sinistrés!X1643</f>
        <v>0</v>
      </c>
      <c r="D1638">
        <f>Sinistrés!L1643</f>
        <v>14.62</v>
      </c>
      <c r="E1638">
        <f>Sinistrés!M1643</f>
        <v>14.62</v>
      </c>
      <c r="F1638">
        <f t="shared" si="50"/>
        <v>0</v>
      </c>
      <c r="G1638">
        <f t="shared" si="51"/>
        <v>1</v>
      </c>
    </row>
    <row r="1639" spans="1:7">
      <c r="A1639" t="str">
        <f>Sinistrés!H1644</f>
        <v>Colza d'hiver</v>
      </c>
      <c r="B1639">
        <f>Sinistrés!J1644</f>
        <v>40257.379999999997</v>
      </c>
      <c r="C1639">
        <f>Sinistrés!X1644</f>
        <v>7647.81</v>
      </c>
      <c r="D1639">
        <f>Sinistrés!L1644</f>
        <v>34.630000000000003</v>
      </c>
      <c r="E1639">
        <f>Sinistrés!M1644</f>
        <v>34.630000000000003</v>
      </c>
      <c r="F1639">
        <f t="shared" si="50"/>
        <v>0.18997286957074705</v>
      </c>
      <c r="G1639">
        <f t="shared" si="51"/>
        <v>1</v>
      </c>
    </row>
    <row r="1640" spans="1:7">
      <c r="A1640" t="str">
        <f>Sinistrés!H1645</f>
        <v>Blé tendre d'hiver</v>
      </c>
      <c r="B1640">
        <f>Sinistrés!J1645</f>
        <v>36448.559999999998</v>
      </c>
      <c r="C1640">
        <f>Sinistrés!X1645</f>
        <v>1466.42</v>
      </c>
      <c r="D1640">
        <f>Sinistrés!L1645</f>
        <v>32.659999999999997</v>
      </c>
      <c r="E1640">
        <f>Sinistrés!M1645</f>
        <v>32.659999999999997</v>
      </c>
      <c r="F1640">
        <f t="shared" si="50"/>
        <v>4.0232590807428338E-2</v>
      </c>
      <c r="G1640">
        <f t="shared" si="51"/>
        <v>1</v>
      </c>
    </row>
    <row r="1641" spans="1:7" hidden="1">
      <c r="A1641" t="str">
        <f>Sinistrés!H1646</f>
        <v>Tournesol</v>
      </c>
      <c r="B1641">
        <f>Sinistrés!J1646</f>
        <v>21262.799999999999</v>
      </c>
      <c r="C1641">
        <f>Sinistrés!X1646</f>
        <v>0</v>
      </c>
      <c r="D1641">
        <f>Sinistrés!L1646</f>
        <v>18.329999999999998</v>
      </c>
      <c r="E1641">
        <f>Sinistrés!M1646</f>
        <v>18.329999999999998</v>
      </c>
      <c r="F1641">
        <f t="shared" si="50"/>
        <v>0</v>
      </c>
      <c r="G1641">
        <f t="shared" si="51"/>
        <v>1</v>
      </c>
    </row>
    <row r="1642" spans="1:7" hidden="1">
      <c r="A1642" t="str">
        <f>Sinistrés!H1647</f>
        <v>Tournesol</v>
      </c>
      <c r="B1642">
        <f>Sinistrés!J1647</f>
        <v>19267.599999999999</v>
      </c>
      <c r="C1642">
        <f>Sinistrés!X1647</f>
        <v>0</v>
      </c>
      <c r="D1642">
        <f>Sinistrés!L1647</f>
        <v>16.61</v>
      </c>
      <c r="E1642">
        <f>Sinistrés!M1647</f>
        <v>16.61</v>
      </c>
      <c r="F1642">
        <f t="shared" si="50"/>
        <v>0</v>
      </c>
      <c r="G1642">
        <f t="shared" si="51"/>
        <v>1</v>
      </c>
    </row>
    <row r="1643" spans="1:7" hidden="1">
      <c r="A1643" t="str">
        <f>Sinistrés!H1648</f>
        <v>Colza d'hiver</v>
      </c>
      <c r="B1643">
        <f>Sinistrés!J1648</f>
        <v>69186.649999999994</v>
      </c>
      <c r="C1643">
        <f>Sinistrés!X1648</f>
        <v>0</v>
      </c>
      <c r="D1643">
        <f>Sinistrés!L1648</f>
        <v>60.76</v>
      </c>
      <c r="E1643">
        <f>Sinistrés!M1648</f>
        <v>60.76</v>
      </c>
      <c r="F1643">
        <f t="shared" si="50"/>
        <v>0</v>
      </c>
      <c r="G1643">
        <f t="shared" si="51"/>
        <v>1</v>
      </c>
    </row>
    <row r="1644" spans="1:7" hidden="1">
      <c r="A1644" t="str">
        <f>Sinistrés!H1649</f>
        <v>Orge de printemps</v>
      </c>
      <c r="B1644">
        <f>Sinistrés!J1649</f>
        <v>92166.28</v>
      </c>
      <c r="C1644">
        <f>Sinistrés!X1649</f>
        <v>0</v>
      </c>
      <c r="D1644">
        <f>Sinistrés!L1649</f>
        <v>77.23</v>
      </c>
      <c r="E1644">
        <f>Sinistrés!M1649</f>
        <v>77.22</v>
      </c>
      <c r="F1644">
        <f t="shared" si="50"/>
        <v>0</v>
      </c>
      <c r="G1644">
        <f t="shared" si="51"/>
        <v>0.99987051663861182</v>
      </c>
    </row>
    <row r="1645" spans="1:7" hidden="1">
      <c r="A1645" t="str">
        <f>Sinistrés!H1650</f>
        <v>Tournesol</v>
      </c>
      <c r="B1645">
        <f>Sinistrés!J1650</f>
        <v>33603.9</v>
      </c>
      <c r="C1645">
        <f>Sinistrés!X1650</f>
        <v>0</v>
      </c>
      <c r="D1645">
        <f>Sinistrés!L1650</f>
        <v>22.44</v>
      </c>
      <c r="E1645">
        <f>Sinistrés!M1650</f>
        <v>22.43</v>
      </c>
      <c r="F1645">
        <f t="shared" si="50"/>
        <v>0</v>
      </c>
      <c r="G1645">
        <f t="shared" si="51"/>
        <v>0.99955436720142599</v>
      </c>
    </row>
    <row r="1646" spans="1:7">
      <c r="A1646" t="str">
        <f>Sinistrés!H1651</f>
        <v>Blé tendre d'hiver</v>
      </c>
      <c r="B1646">
        <f>Sinistrés!J1651</f>
        <v>119537.93</v>
      </c>
      <c r="C1646">
        <f>Sinistrés!X1651</f>
        <v>793.92</v>
      </c>
      <c r="D1646">
        <f>Sinistrés!L1651</f>
        <v>99.6</v>
      </c>
      <c r="E1646">
        <f>Sinistrés!M1651</f>
        <v>23</v>
      </c>
      <c r="F1646">
        <f t="shared" si="50"/>
        <v>6.6415739338969645E-3</v>
      </c>
      <c r="G1646">
        <f t="shared" si="51"/>
        <v>0.23092369477911648</v>
      </c>
    </row>
    <row r="1647" spans="1:7">
      <c r="A1647" t="str">
        <f>Sinistrés!H1652</f>
        <v>Blé tendre d'hiver</v>
      </c>
      <c r="B1647">
        <f>Sinistrés!J1652</f>
        <v>104566.15</v>
      </c>
      <c r="C1647">
        <f>Sinistrés!X1652</f>
        <v>8043.55</v>
      </c>
      <c r="D1647">
        <f>Sinistrés!L1652</f>
        <v>94.63</v>
      </c>
      <c r="E1647">
        <f>Sinistrés!M1652</f>
        <v>94.63</v>
      </c>
      <c r="F1647">
        <f t="shared" si="50"/>
        <v>7.6923076923076927E-2</v>
      </c>
      <c r="G1647">
        <f t="shared" si="51"/>
        <v>1</v>
      </c>
    </row>
    <row r="1648" spans="1:7" hidden="1">
      <c r="A1648" t="str">
        <f>Sinistrés!H1653</f>
        <v>Colza d'hiver</v>
      </c>
      <c r="B1648">
        <f>Sinistrés!J1653</f>
        <v>100175.4</v>
      </c>
      <c r="C1648">
        <f>Sinistrés!X1653</f>
        <v>0</v>
      </c>
      <c r="D1648">
        <f>Sinistrés!L1653</f>
        <v>71.349999999999994</v>
      </c>
      <c r="E1648">
        <f>Sinistrés!M1653</f>
        <v>71.349999999999994</v>
      </c>
      <c r="F1648">
        <f t="shared" si="50"/>
        <v>0</v>
      </c>
      <c r="G1648">
        <f t="shared" si="51"/>
        <v>1</v>
      </c>
    </row>
    <row r="1649" spans="1:7">
      <c r="A1649" t="str">
        <f>Sinistrés!H1654</f>
        <v>Féveroles et fèves</v>
      </c>
      <c r="B1649">
        <f>Sinistrés!J1654</f>
        <v>6953.8</v>
      </c>
      <c r="C1649">
        <f>Sinistrés!X1654</f>
        <v>702.86</v>
      </c>
      <c r="D1649">
        <f>Sinistrés!L1654</f>
        <v>20.77</v>
      </c>
      <c r="E1649">
        <f>Sinistrés!M1654</f>
        <v>20.77</v>
      </c>
      <c r="F1649">
        <f t="shared" si="50"/>
        <v>0.1010756708562225</v>
      </c>
      <c r="G1649">
        <f t="shared" si="51"/>
        <v>1</v>
      </c>
    </row>
    <row r="1650" spans="1:7">
      <c r="A1650" t="str">
        <f>Sinistrés!H1655</f>
        <v>Orge de printemps</v>
      </c>
      <c r="B1650">
        <f>Sinistrés!J1655</f>
        <v>23122.94</v>
      </c>
      <c r="C1650">
        <f>Sinistrés!X1655</f>
        <v>2638.39</v>
      </c>
      <c r="D1650">
        <f>Sinistrés!L1655</f>
        <v>30.88</v>
      </c>
      <c r="E1650">
        <f>Sinistrés!M1655</f>
        <v>30.88</v>
      </c>
      <c r="F1650">
        <f t="shared" si="50"/>
        <v>0.11410270493285024</v>
      </c>
      <c r="G1650">
        <f t="shared" si="51"/>
        <v>1</v>
      </c>
    </row>
    <row r="1651" spans="1:7">
      <c r="A1651" t="str">
        <f>Sinistrés!H1656</f>
        <v>Orge d'hiver</v>
      </c>
      <c r="B1651">
        <f>Sinistrés!J1656</f>
        <v>33768</v>
      </c>
      <c r="C1651">
        <f>Sinistrés!X1656</f>
        <v>2026.08</v>
      </c>
      <c r="D1651">
        <f>Sinistrés!L1656</f>
        <v>37.520000000000003</v>
      </c>
      <c r="E1651">
        <f>Sinistrés!M1656</f>
        <v>37.520000000000003</v>
      </c>
      <c r="F1651">
        <f t="shared" si="50"/>
        <v>0.06</v>
      </c>
      <c r="G1651">
        <f t="shared" si="51"/>
        <v>1</v>
      </c>
    </row>
    <row r="1652" spans="1:7">
      <c r="A1652" t="str">
        <f>Sinistrés!H1657</f>
        <v>Pois protéagineux</v>
      </c>
      <c r="B1652">
        <f>Sinistrés!J1657</f>
        <v>13212.4</v>
      </c>
      <c r="C1652">
        <f>Sinistrés!X1657</f>
        <v>3421.42</v>
      </c>
      <c r="D1652">
        <f>Sinistrés!L1657</f>
        <v>29</v>
      </c>
      <c r="E1652">
        <f>Sinistrés!M1657</f>
        <v>29</v>
      </c>
      <c r="F1652">
        <f t="shared" si="50"/>
        <v>0.25895522388059705</v>
      </c>
      <c r="G1652">
        <f t="shared" si="51"/>
        <v>1</v>
      </c>
    </row>
    <row r="1653" spans="1:7" hidden="1">
      <c r="A1653" t="str">
        <f>Sinistrés!H1658</f>
        <v>Colza d'hiver</v>
      </c>
      <c r="B1653">
        <f>Sinistrés!J1658</f>
        <v>15137.61</v>
      </c>
      <c r="C1653">
        <f>Sinistrés!X1658</f>
        <v>0</v>
      </c>
      <c r="D1653">
        <f>Sinistrés!L1658</f>
        <v>12.3</v>
      </c>
      <c r="E1653">
        <f>Sinistrés!M1658</f>
        <v>12.3</v>
      </c>
      <c r="F1653">
        <f t="shared" si="50"/>
        <v>0</v>
      </c>
      <c r="G1653">
        <f t="shared" si="51"/>
        <v>1</v>
      </c>
    </row>
    <row r="1654" spans="1:7" hidden="1">
      <c r="A1654" t="str">
        <f>Sinistrés!H1659</f>
        <v>Blé tendre d'hiver</v>
      </c>
      <c r="B1654">
        <f>Sinistrés!J1659</f>
        <v>28620.15</v>
      </c>
      <c r="C1654">
        <f>Sinistrés!X1659</f>
        <v>0</v>
      </c>
      <c r="D1654">
        <f>Sinistrés!L1659</f>
        <v>34.04</v>
      </c>
      <c r="E1654">
        <f>Sinistrés!M1659</f>
        <v>34.04</v>
      </c>
      <c r="F1654">
        <f t="shared" si="50"/>
        <v>0</v>
      </c>
      <c r="G1654">
        <f t="shared" si="51"/>
        <v>1</v>
      </c>
    </row>
    <row r="1655" spans="1:7" hidden="1">
      <c r="A1655" t="str">
        <f>Sinistrés!H1660</f>
        <v>Orge d'hiver</v>
      </c>
      <c r="B1655">
        <f>Sinistrés!J1660</f>
        <v>11816.09</v>
      </c>
      <c r="C1655">
        <f>Sinistrés!X1660</f>
        <v>0</v>
      </c>
      <c r="D1655">
        <f>Sinistrés!L1660</f>
        <v>13.25</v>
      </c>
      <c r="E1655">
        <f>Sinistrés!M1660</f>
        <v>13.25</v>
      </c>
      <c r="F1655">
        <f t="shared" si="50"/>
        <v>0</v>
      </c>
      <c r="G1655">
        <f t="shared" si="51"/>
        <v>1</v>
      </c>
    </row>
    <row r="1656" spans="1:7" hidden="1">
      <c r="A1656" t="str">
        <f>Sinistrés!H1661</f>
        <v>Avoine d'hiver</v>
      </c>
      <c r="B1656">
        <f>Sinistrés!J1661</f>
        <v>9638.73</v>
      </c>
      <c r="C1656">
        <f>Sinistrés!X1661</f>
        <v>0</v>
      </c>
      <c r="D1656">
        <f>Sinistrés!L1661</f>
        <v>13.17</v>
      </c>
      <c r="E1656">
        <f>Sinistrés!M1661</f>
        <v>13.17</v>
      </c>
      <c r="F1656">
        <f t="shared" si="50"/>
        <v>0</v>
      </c>
      <c r="G1656">
        <f t="shared" si="51"/>
        <v>1</v>
      </c>
    </row>
    <row r="1657" spans="1:7" hidden="1">
      <c r="A1657" t="str">
        <f>Sinistrés!H1662</f>
        <v>Blé tendre d'hiver</v>
      </c>
      <c r="B1657">
        <f>Sinistrés!J1662</f>
        <v>28875.439999999999</v>
      </c>
      <c r="C1657">
        <f>Sinistrés!X1662</f>
        <v>0</v>
      </c>
      <c r="D1657">
        <f>Sinistrés!L1662</f>
        <v>29.83</v>
      </c>
      <c r="E1657">
        <f>Sinistrés!M1662</f>
        <v>29.83</v>
      </c>
      <c r="F1657">
        <f t="shared" si="50"/>
        <v>0</v>
      </c>
      <c r="G1657">
        <f t="shared" si="51"/>
        <v>1</v>
      </c>
    </row>
    <row r="1658" spans="1:7" hidden="1">
      <c r="A1658" t="str">
        <f>Sinistrés!H1663</f>
        <v>Orge de printemps</v>
      </c>
      <c r="B1658">
        <f>Sinistrés!J1663</f>
        <v>32984</v>
      </c>
      <c r="C1658">
        <f>Sinistrés!X1663</f>
        <v>0</v>
      </c>
      <c r="D1658">
        <f>Sinistrés!L1663</f>
        <v>41.23</v>
      </c>
      <c r="E1658">
        <f>Sinistrés!M1663</f>
        <v>41.23</v>
      </c>
      <c r="F1658">
        <f t="shared" si="50"/>
        <v>0</v>
      </c>
      <c r="G1658">
        <f t="shared" si="51"/>
        <v>1</v>
      </c>
    </row>
    <row r="1659" spans="1:7">
      <c r="A1659" t="str">
        <f>Sinistrés!H1664</f>
        <v>Pois protéagineux</v>
      </c>
      <c r="B1659">
        <f>Sinistrés!J1664</f>
        <v>31412.48</v>
      </c>
      <c r="C1659">
        <f>Sinistrés!X1664</f>
        <v>7294.4</v>
      </c>
      <c r="D1659">
        <f>Sinistrés!L1664</f>
        <v>62.08</v>
      </c>
      <c r="E1659">
        <f>Sinistrés!M1664</f>
        <v>62.07</v>
      </c>
      <c r="F1659">
        <f t="shared" si="50"/>
        <v>0.23221343873517786</v>
      </c>
      <c r="G1659">
        <f t="shared" si="51"/>
        <v>0.99983891752577325</v>
      </c>
    </row>
    <row r="1660" spans="1:7">
      <c r="A1660" t="str">
        <f>Sinistrés!H1665</f>
        <v>Blé tendre d'hiver</v>
      </c>
      <c r="B1660">
        <f>Sinistrés!J1665</f>
        <v>74282.179999999993</v>
      </c>
      <c r="C1660">
        <f>Sinistrés!X1665</f>
        <v>1916.73</v>
      </c>
      <c r="D1660">
        <f>Sinistrés!L1665</f>
        <v>70.209999999999994</v>
      </c>
      <c r="E1660">
        <f>Sinistrés!M1665</f>
        <v>70.209999999999994</v>
      </c>
      <c r="F1660">
        <f t="shared" si="50"/>
        <v>2.5803362259965986E-2</v>
      </c>
      <c r="G1660">
        <f t="shared" si="51"/>
        <v>1</v>
      </c>
    </row>
    <row r="1661" spans="1:7">
      <c r="A1661" t="str">
        <f>Sinistrés!H1666</f>
        <v>Orge de printemps</v>
      </c>
      <c r="B1661">
        <f>Sinistrés!J1666</f>
        <v>37559.160000000003</v>
      </c>
      <c r="C1661">
        <f>Sinistrés!X1666</f>
        <v>1985.53</v>
      </c>
      <c r="D1661">
        <f>Sinistrés!L1666</f>
        <v>44.82</v>
      </c>
      <c r="E1661">
        <f>Sinistrés!M1666</f>
        <v>44.82</v>
      </c>
      <c r="F1661">
        <f t="shared" si="50"/>
        <v>5.2864068312496869E-2</v>
      </c>
      <c r="G1661">
        <f t="shared" si="51"/>
        <v>1</v>
      </c>
    </row>
    <row r="1662" spans="1:7">
      <c r="A1662" t="str">
        <f>Sinistrés!H1667</f>
        <v>Tournesol</v>
      </c>
      <c r="B1662">
        <f>Sinistrés!J1667</f>
        <v>74117.84</v>
      </c>
      <c r="C1662">
        <f>Sinistrés!X1667</f>
        <v>12732.12</v>
      </c>
      <c r="D1662">
        <f>Sinistrés!L1667</f>
        <v>9.73</v>
      </c>
      <c r="E1662">
        <f>Sinistrés!M1667</f>
        <v>9.73</v>
      </c>
      <c r="F1662">
        <f t="shared" si="50"/>
        <v>0.17178212424970832</v>
      </c>
      <c r="G1662">
        <f t="shared" si="51"/>
        <v>1</v>
      </c>
    </row>
    <row r="1663" spans="1:7" hidden="1">
      <c r="A1663" t="str">
        <f>Sinistrés!H1668</f>
        <v xml:space="preserve">Colza d'hiver </v>
      </c>
      <c r="B1663">
        <f>Sinistrés!J1668</f>
        <v>76540.800000000003</v>
      </c>
      <c r="C1663">
        <f>Sinistrés!X1668</f>
        <v>0</v>
      </c>
      <c r="D1663">
        <f>Sinistrés!L1668</f>
        <v>42.88</v>
      </c>
      <c r="E1663">
        <f>Sinistrés!M1668</f>
        <v>42.88</v>
      </c>
      <c r="F1663">
        <f t="shared" si="50"/>
        <v>0</v>
      </c>
      <c r="G1663">
        <f t="shared" si="51"/>
        <v>1</v>
      </c>
    </row>
    <row r="1664" spans="1:7">
      <c r="A1664" t="str">
        <f>Sinistrés!H1669</f>
        <v>Orge d'hiver</v>
      </c>
      <c r="B1664">
        <f>Sinistrés!J1669</f>
        <v>27433.14</v>
      </c>
      <c r="C1664">
        <f>Sinistrés!X1669</f>
        <v>500</v>
      </c>
      <c r="D1664">
        <f>Sinistrés!L1669</f>
        <v>21.07</v>
      </c>
      <c r="E1664">
        <f>Sinistrés!M1669</f>
        <v>21.07</v>
      </c>
      <c r="F1664">
        <f t="shared" si="50"/>
        <v>1.8226130876742509E-2</v>
      </c>
      <c r="G1664">
        <f t="shared" si="51"/>
        <v>1</v>
      </c>
    </row>
    <row r="1665" spans="1:7" hidden="1">
      <c r="A1665" t="str">
        <f>Sinistrés!H1670</f>
        <v>Blé tendre d'hiver</v>
      </c>
      <c r="B1665">
        <f>Sinistrés!J1670</f>
        <v>66761.36</v>
      </c>
      <c r="C1665">
        <f>Sinistrés!X1670</f>
        <v>0</v>
      </c>
      <c r="D1665">
        <f>Sinistrés!L1670</f>
        <v>41.51</v>
      </c>
      <c r="E1665">
        <f>Sinistrés!M1670</f>
        <v>41.51</v>
      </c>
      <c r="F1665">
        <f t="shared" si="50"/>
        <v>0</v>
      </c>
      <c r="G1665">
        <f t="shared" si="51"/>
        <v>1</v>
      </c>
    </row>
    <row r="1666" spans="1:7" hidden="1">
      <c r="A1666" t="str">
        <f>Sinistrés!H1671</f>
        <v>Orge de printemps</v>
      </c>
      <c r="B1666">
        <f>Sinistrés!J1671</f>
        <v>16364.7</v>
      </c>
      <c r="C1666">
        <f>Sinistrés!X1671</f>
        <v>0</v>
      </c>
      <c r="D1666">
        <f>Sinistrés!L1671</f>
        <v>14.5</v>
      </c>
      <c r="E1666">
        <f>Sinistrés!M1671</f>
        <v>14.5</v>
      </c>
      <c r="F1666">
        <f t="shared" si="50"/>
        <v>0</v>
      </c>
      <c r="G1666">
        <f t="shared" si="51"/>
        <v>1</v>
      </c>
    </row>
    <row r="1667" spans="1:7" hidden="1">
      <c r="A1667" t="str">
        <f>Sinistrés!H1672</f>
        <v>Blé tendre d'hiver</v>
      </c>
      <c r="B1667">
        <f>Sinistrés!J1672</f>
        <v>27404</v>
      </c>
      <c r="C1667">
        <f>Sinistrés!X1672</f>
        <v>0</v>
      </c>
      <c r="D1667">
        <f>Sinistrés!L1672</f>
        <v>26</v>
      </c>
      <c r="E1667">
        <f>Sinistrés!M1672</f>
        <v>21.9</v>
      </c>
      <c r="F1667">
        <f t="shared" ref="F1667:F1730" si="52">C1667/B1667</f>
        <v>0</v>
      </c>
      <c r="G1667">
        <f t="shared" ref="G1667:G1730" si="53">E1667/D1667</f>
        <v>0.8423076923076922</v>
      </c>
    </row>
    <row r="1668" spans="1:7" hidden="1">
      <c r="A1668" t="str">
        <f>Sinistrés!H1673</f>
        <v>Colza d'hiver</v>
      </c>
      <c r="B1668">
        <f>Sinistrés!J1673</f>
        <v>22232</v>
      </c>
      <c r="C1668">
        <f>Sinistrés!X1673</f>
        <v>0</v>
      </c>
      <c r="D1668">
        <f>Sinistrés!L1673</f>
        <v>16</v>
      </c>
      <c r="E1668">
        <f>Sinistrés!M1673</f>
        <v>16</v>
      </c>
      <c r="F1668">
        <f t="shared" si="52"/>
        <v>0</v>
      </c>
      <c r="G1668">
        <f t="shared" si="53"/>
        <v>1</v>
      </c>
    </row>
    <row r="1669" spans="1:7" hidden="1">
      <c r="A1669" t="str">
        <f>Sinistrés!H1674</f>
        <v>Blé tendre d'hiver</v>
      </c>
      <c r="B1669">
        <f>Sinistrés!J1674</f>
        <v>83665</v>
      </c>
      <c r="C1669">
        <f>Sinistrés!X1674</f>
        <v>0</v>
      </c>
      <c r="D1669">
        <f>Sinistrés!L1674</f>
        <v>57.7</v>
      </c>
      <c r="E1669">
        <f>Sinistrés!M1674</f>
        <v>27.04</v>
      </c>
      <c r="F1669">
        <f t="shared" si="52"/>
        <v>0</v>
      </c>
      <c r="G1669">
        <f t="shared" si="53"/>
        <v>0.46863084922010395</v>
      </c>
    </row>
    <row r="1670" spans="1:7" hidden="1">
      <c r="A1670" t="str">
        <f>Sinistrés!H1675</f>
        <v>Orge de printemps</v>
      </c>
      <c r="B1670">
        <f>Sinistrés!J1675</f>
        <v>21167.26</v>
      </c>
      <c r="C1670">
        <f>Sinistrés!X1675</f>
        <v>0</v>
      </c>
      <c r="D1670">
        <f>Sinistrés!L1675</f>
        <v>16.28</v>
      </c>
      <c r="E1670">
        <f>Sinistrés!M1675</f>
        <v>16.28</v>
      </c>
      <c r="F1670">
        <f t="shared" si="52"/>
        <v>0</v>
      </c>
      <c r="G1670">
        <f t="shared" si="53"/>
        <v>1</v>
      </c>
    </row>
    <row r="1671" spans="1:7" hidden="1">
      <c r="A1671" t="str">
        <f>Sinistrés!H1676</f>
        <v>Colza d'hiver</v>
      </c>
      <c r="B1671">
        <f>Sinistrés!J1676</f>
        <v>46432.1</v>
      </c>
      <c r="C1671">
        <f>Sinistrés!X1676</f>
        <v>0</v>
      </c>
      <c r="D1671">
        <f>Sinistrés!L1676</f>
        <v>32.47</v>
      </c>
      <c r="E1671">
        <f>Sinistrés!M1676</f>
        <v>32.47</v>
      </c>
      <c r="F1671">
        <f t="shared" si="52"/>
        <v>0</v>
      </c>
      <c r="G1671">
        <f t="shared" si="53"/>
        <v>1</v>
      </c>
    </row>
    <row r="1672" spans="1:7" hidden="1">
      <c r="A1672" t="str">
        <f>Sinistrés!H1677</f>
        <v>Féveroles et fèves SEMENCES</v>
      </c>
      <c r="B1672">
        <f>Sinistrés!J1677</f>
        <v>7574.58</v>
      </c>
      <c r="C1672">
        <f>Sinistrés!X1677</f>
        <v>5353.71</v>
      </c>
      <c r="D1672">
        <f>Sinistrés!L1677</f>
        <v>7.02</v>
      </c>
      <c r="E1672">
        <f>Sinistrés!M1677</f>
        <v>7.02</v>
      </c>
      <c r="F1672">
        <f t="shared" si="52"/>
        <v>0.70679958492748118</v>
      </c>
      <c r="G1672">
        <f t="shared" si="53"/>
        <v>1</v>
      </c>
    </row>
    <row r="1673" spans="1:7">
      <c r="A1673" t="str">
        <f>Sinistrés!H1678</f>
        <v>Pois protéagineux</v>
      </c>
      <c r="B1673">
        <f>Sinistrés!J1678</f>
        <v>4983.83</v>
      </c>
      <c r="C1673">
        <f>Sinistrés!X1678</f>
        <v>41.4</v>
      </c>
      <c r="D1673">
        <f>Sinistrés!L1678</f>
        <v>5.62</v>
      </c>
      <c r="E1673">
        <f>Sinistrés!M1678</f>
        <v>5.62</v>
      </c>
      <c r="F1673">
        <f t="shared" si="52"/>
        <v>8.3068643994678795E-3</v>
      </c>
      <c r="G1673">
        <f t="shared" si="53"/>
        <v>1</v>
      </c>
    </row>
    <row r="1674" spans="1:7">
      <c r="A1674" t="str">
        <f>Sinistrés!H1679</f>
        <v>Blé tendre d'hiver</v>
      </c>
      <c r="B1674">
        <f>Sinistrés!J1679</f>
        <v>26507.200000000001</v>
      </c>
      <c r="C1674">
        <f>Sinistrés!X1679</f>
        <v>1101.6199999999999</v>
      </c>
      <c r="D1674">
        <f>Sinistrés!L1679</f>
        <v>21.92</v>
      </c>
      <c r="E1674">
        <f>Sinistrés!M1679</f>
        <v>21.92</v>
      </c>
      <c r="F1674">
        <f t="shared" si="52"/>
        <v>4.1559274461278439E-2</v>
      </c>
      <c r="G1674">
        <f t="shared" si="53"/>
        <v>1</v>
      </c>
    </row>
    <row r="1675" spans="1:7">
      <c r="A1675" t="str">
        <f>Sinistrés!H1680</f>
        <v>Colza d'hiver</v>
      </c>
      <c r="B1675">
        <f>Sinistrés!J1680</f>
        <v>13597.25</v>
      </c>
      <c r="C1675">
        <f>Sinistrés!X1680</f>
        <v>4912.88</v>
      </c>
      <c r="D1675">
        <f>Sinistrés!L1680</f>
        <v>12.5</v>
      </c>
      <c r="E1675">
        <f>Sinistrés!M1680</f>
        <v>12.5</v>
      </c>
      <c r="F1675">
        <f t="shared" si="52"/>
        <v>0.36131423633455295</v>
      </c>
      <c r="G1675">
        <f t="shared" si="53"/>
        <v>1</v>
      </c>
    </row>
    <row r="1676" spans="1:7" hidden="1">
      <c r="A1676" t="str">
        <f>Sinistrés!H1681</f>
        <v>Tournesol</v>
      </c>
      <c r="B1676">
        <f>Sinistrés!J1681</f>
        <v>20254.04</v>
      </c>
      <c r="C1676">
        <f>Sinistrés!X1681</f>
        <v>0</v>
      </c>
      <c r="D1676">
        <f>Sinistrés!L1681</f>
        <v>14.5</v>
      </c>
      <c r="E1676">
        <f>Sinistrés!M1681</f>
        <v>14.5</v>
      </c>
      <c r="F1676">
        <f t="shared" si="52"/>
        <v>0</v>
      </c>
      <c r="G1676">
        <f t="shared" si="53"/>
        <v>1</v>
      </c>
    </row>
    <row r="1677" spans="1:7" hidden="1">
      <c r="A1677" t="str">
        <f>Sinistrés!H1682</f>
        <v>Maïs ensilage non irrigué</v>
      </c>
      <c r="B1677">
        <f>Sinistrés!J1682</f>
        <v>148058.82</v>
      </c>
      <c r="C1677">
        <f>Sinistrés!X1682</f>
        <v>0</v>
      </c>
      <c r="D1677">
        <f>Sinistrés!L1682</f>
        <v>98.28</v>
      </c>
      <c r="E1677">
        <f>Sinistrés!M1682</f>
        <v>56.12</v>
      </c>
      <c r="F1677">
        <f t="shared" si="52"/>
        <v>0</v>
      </c>
      <c r="G1677">
        <f t="shared" si="53"/>
        <v>0.57102157102157103</v>
      </c>
    </row>
    <row r="1678" spans="1:7" hidden="1">
      <c r="A1678" t="str">
        <f>Sinistrés!H1683</f>
        <v>Colza d'hiver</v>
      </c>
      <c r="B1678">
        <f>Sinistrés!J1683</f>
        <v>112014.46</v>
      </c>
      <c r="C1678">
        <f>Sinistrés!X1683</f>
        <v>0</v>
      </c>
      <c r="D1678">
        <f>Sinistrés!L1683</f>
        <v>82.11</v>
      </c>
      <c r="E1678">
        <f>Sinistrés!M1683</f>
        <v>29.1</v>
      </c>
      <c r="F1678">
        <f t="shared" si="52"/>
        <v>0</v>
      </c>
      <c r="G1678">
        <f t="shared" si="53"/>
        <v>0.35440263061746441</v>
      </c>
    </row>
    <row r="1679" spans="1:7" hidden="1">
      <c r="A1679" t="str">
        <f>Sinistrés!H1684</f>
        <v>Orge de printemps</v>
      </c>
      <c r="B1679">
        <f>Sinistrés!J1684</f>
        <v>76328.02</v>
      </c>
      <c r="C1679">
        <f>Sinistrés!X1684</f>
        <v>0</v>
      </c>
      <c r="D1679">
        <f>Sinistrés!L1684</f>
        <v>60.96</v>
      </c>
      <c r="E1679">
        <f>Sinistrés!M1684</f>
        <v>60.96</v>
      </c>
      <c r="F1679">
        <f t="shared" si="52"/>
        <v>0</v>
      </c>
      <c r="G1679">
        <f t="shared" si="53"/>
        <v>1</v>
      </c>
    </row>
    <row r="1680" spans="1:7" hidden="1">
      <c r="A1680" t="str">
        <f>Sinistrés!H1685</f>
        <v>Blé tendre d'hiver</v>
      </c>
      <c r="B1680">
        <f>Sinistrés!J1685</f>
        <v>130416.07</v>
      </c>
      <c r="C1680">
        <f>Sinistrés!X1685</f>
        <v>0</v>
      </c>
      <c r="D1680">
        <f>Sinistrés!L1685</f>
        <v>92.77</v>
      </c>
      <c r="E1680">
        <f>Sinistrés!M1685</f>
        <v>92.77</v>
      </c>
      <c r="F1680">
        <f t="shared" si="52"/>
        <v>0</v>
      </c>
      <c r="G1680">
        <f t="shared" si="53"/>
        <v>1</v>
      </c>
    </row>
    <row r="1681" spans="1:7" hidden="1">
      <c r="A1681" t="str">
        <f>Sinistrés!H1686</f>
        <v>Blé tendre d'hiver</v>
      </c>
      <c r="B1681">
        <f>Sinistrés!J1686</f>
        <v>23501.56</v>
      </c>
      <c r="C1681">
        <f>Sinistrés!X1686</f>
        <v>0</v>
      </c>
      <c r="D1681">
        <f>Sinistrés!L1686</f>
        <v>26.43</v>
      </c>
      <c r="E1681">
        <f>Sinistrés!M1686</f>
        <v>26.43</v>
      </c>
      <c r="F1681">
        <f t="shared" si="52"/>
        <v>0</v>
      </c>
      <c r="G1681">
        <f t="shared" si="53"/>
        <v>1</v>
      </c>
    </row>
    <row r="1682" spans="1:7" hidden="1">
      <c r="A1682" t="str">
        <f>Sinistrés!H1687</f>
        <v>Orge d'hiver</v>
      </c>
      <c r="B1682">
        <f>Sinistrés!J1687</f>
        <v>12758.53</v>
      </c>
      <c r="C1682">
        <f>Sinistrés!X1687</f>
        <v>0</v>
      </c>
      <c r="D1682">
        <f>Sinistrés!L1687</f>
        <v>13.71</v>
      </c>
      <c r="E1682">
        <f>Sinistrés!M1687</f>
        <v>13.7</v>
      </c>
      <c r="F1682">
        <f t="shared" si="52"/>
        <v>0</v>
      </c>
      <c r="G1682">
        <f t="shared" si="53"/>
        <v>0.99927060539752</v>
      </c>
    </row>
    <row r="1683" spans="1:7" hidden="1">
      <c r="A1683" t="str">
        <f>Sinistrés!H1688</f>
        <v>Triticale</v>
      </c>
      <c r="B1683">
        <f>Sinistrés!J1688</f>
        <v>33888.089999999997</v>
      </c>
      <c r="C1683">
        <f>Sinistrés!X1688</f>
        <v>0</v>
      </c>
      <c r="D1683">
        <f>Sinistrés!L1688</f>
        <v>40.25</v>
      </c>
      <c r="E1683">
        <f>Sinistrés!M1688</f>
        <v>40.25</v>
      </c>
      <c r="F1683">
        <f t="shared" si="52"/>
        <v>0</v>
      </c>
      <c r="G1683">
        <f t="shared" si="53"/>
        <v>1</v>
      </c>
    </row>
    <row r="1684" spans="1:7" hidden="1">
      <c r="A1684" t="str">
        <f>Sinistrés!H1689</f>
        <v>Blé tendre d'hiver</v>
      </c>
      <c r="B1684">
        <f>Sinistrés!J1689</f>
        <v>51261.06</v>
      </c>
      <c r="C1684">
        <f>Sinistrés!X1689</f>
        <v>0</v>
      </c>
      <c r="D1684">
        <f>Sinistrés!L1689</f>
        <v>37.15</v>
      </c>
      <c r="E1684">
        <f>Sinistrés!M1689</f>
        <v>37.15</v>
      </c>
      <c r="F1684">
        <f t="shared" si="52"/>
        <v>0</v>
      </c>
      <c r="G1684">
        <f t="shared" si="53"/>
        <v>1</v>
      </c>
    </row>
    <row r="1685" spans="1:7">
      <c r="A1685" t="str">
        <f>Sinistrés!H1690</f>
        <v>Blé dur d'hiver</v>
      </c>
      <c r="B1685">
        <f>Sinistrés!J1690</f>
        <v>29249.18</v>
      </c>
      <c r="C1685">
        <f>Sinistrés!X1690</f>
        <v>2636.1</v>
      </c>
      <c r="D1685">
        <f>Sinistrés!L1690</f>
        <v>16.41</v>
      </c>
      <c r="E1685">
        <f>Sinistrés!M1690</f>
        <v>16.41</v>
      </c>
      <c r="F1685">
        <f t="shared" si="52"/>
        <v>9.0125603521192726E-2</v>
      </c>
      <c r="G1685">
        <f t="shared" si="53"/>
        <v>1</v>
      </c>
    </row>
    <row r="1686" spans="1:7">
      <c r="A1686" t="str">
        <f>Sinistrés!H1691</f>
        <v>Orge de printemps</v>
      </c>
      <c r="B1686">
        <f>Sinistrés!J1691</f>
        <v>14392.73</v>
      </c>
      <c r="C1686">
        <f>Sinistrés!X1691</f>
        <v>7145.86</v>
      </c>
      <c r="D1686">
        <f>Sinistrés!L1691</f>
        <v>13.36</v>
      </c>
      <c r="E1686">
        <f>Sinistrés!M1691</f>
        <v>13.36</v>
      </c>
      <c r="F1686">
        <f t="shared" si="52"/>
        <v>0.49649093674375883</v>
      </c>
      <c r="G1686">
        <f t="shared" si="53"/>
        <v>1</v>
      </c>
    </row>
    <row r="1687" spans="1:7">
      <c r="A1687" t="str">
        <f>Sinistrés!H1692</f>
        <v>Blé tendre d'hiver</v>
      </c>
      <c r="B1687">
        <f>Sinistrés!J1692</f>
        <v>41164.44</v>
      </c>
      <c r="C1687">
        <f>Sinistrés!X1692</f>
        <v>4993.58</v>
      </c>
      <c r="D1687">
        <f>Sinistrés!L1692</f>
        <v>38.770000000000003</v>
      </c>
      <c r="E1687">
        <f>Sinistrés!M1692</f>
        <v>38.770000000000003</v>
      </c>
      <c r="F1687">
        <f t="shared" si="52"/>
        <v>0.12130809990370328</v>
      </c>
      <c r="G1687">
        <f t="shared" si="53"/>
        <v>1</v>
      </c>
    </row>
    <row r="1688" spans="1:7" hidden="1">
      <c r="A1688" t="str">
        <f>Sinistrés!H1693</f>
        <v>Blé dur d'hiver</v>
      </c>
      <c r="B1688">
        <f>Sinistrés!J1693</f>
        <v>3958.26</v>
      </c>
      <c r="C1688">
        <f>Sinistrés!X1693</f>
        <v>0</v>
      </c>
      <c r="D1688">
        <f>Sinistrés!L1693</f>
        <v>2.82</v>
      </c>
      <c r="E1688">
        <f>Sinistrés!M1693</f>
        <v>2.82</v>
      </c>
      <c r="F1688">
        <f t="shared" si="52"/>
        <v>0</v>
      </c>
      <c r="G1688">
        <f t="shared" si="53"/>
        <v>1</v>
      </c>
    </row>
    <row r="1689" spans="1:7">
      <c r="A1689" t="str">
        <f>Sinistrés!H1694</f>
        <v>Orge d'hiver</v>
      </c>
      <c r="B1689">
        <f>Sinistrés!J1694</f>
        <v>16914.22</v>
      </c>
      <c r="C1689">
        <f>Sinistrés!X1694</f>
        <v>1353.51</v>
      </c>
      <c r="D1689">
        <f>Sinistrés!L1694</f>
        <v>14.76</v>
      </c>
      <c r="E1689">
        <f>Sinistrés!M1694</f>
        <v>14.76</v>
      </c>
      <c r="F1689">
        <f t="shared" si="52"/>
        <v>8.0022016977430818E-2</v>
      </c>
      <c r="G1689">
        <f t="shared" si="53"/>
        <v>1</v>
      </c>
    </row>
    <row r="1690" spans="1:7" hidden="1">
      <c r="A1690" t="str">
        <f>Sinistrés!H1695</f>
        <v>Orge de printemps</v>
      </c>
      <c r="B1690">
        <f>Sinistrés!J1695</f>
        <v>18510.36</v>
      </c>
      <c r="C1690">
        <f>Sinistrés!X1695</f>
        <v>0</v>
      </c>
      <c r="D1690">
        <f>Sinistrés!L1695</f>
        <v>22.74</v>
      </c>
      <c r="E1690">
        <f>Sinistrés!M1695</f>
        <v>22.74</v>
      </c>
      <c r="F1690">
        <f t="shared" si="52"/>
        <v>0</v>
      </c>
      <c r="G1690">
        <f t="shared" si="53"/>
        <v>1</v>
      </c>
    </row>
    <row r="1691" spans="1:7" hidden="1">
      <c r="A1691" t="str">
        <f>Sinistrés!H1696</f>
        <v>Blé tendre d'hiver</v>
      </c>
      <c r="B1691">
        <f>Sinistrés!J1696</f>
        <v>25778.46</v>
      </c>
      <c r="C1691">
        <f>Sinistrés!X1696</f>
        <v>0</v>
      </c>
      <c r="D1691">
        <f>Sinistrés!L1696</f>
        <v>19.899999999999999</v>
      </c>
      <c r="E1691">
        <f>Sinistrés!M1696</f>
        <v>19.899999999999999</v>
      </c>
      <c r="F1691">
        <f t="shared" si="52"/>
        <v>0</v>
      </c>
      <c r="G1691">
        <f t="shared" si="53"/>
        <v>1</v>
      </c>
    </row>
    <row r="1692" spans="1:7">
      <c r="A1692" t="str">
        <f>Sinistrés!H1697</f>
        <v>Colza d'hiver</v>
      </c>
      <c r="B1692">
        <f>Sinistrés!J1697</f>
        <v>31932.16</v>
      </c>
      <c r="C1692">
        <f>Sinistrés!X1697</f>
        <v>1588.7</v>
      </c>
      <c r="D1692">
        <f>Sinistrés!L1697</f>
        <v>20.2</v>
      </c>
      <c r="E1692">
        <f>Sinistrés!M1697</f>
        <v>20.2</v>
      </c>
      <c r="F1692">
        <f t="shared" si="52"/>
        <v>4.9752349981961763E-2</v>
      </c>
      <c r="G1692">
        <f t="shared" si="53"/>
        <v>1</v>
      </c>
    </row>
    <row r="1693" spans="1:7">
      <c r="A1693" t="str">
        <f>Sinistrés!H1698</f>
        <v>Orge de printemps</v>
      </c>
      <c r="B1693">
        <f>Sinistrés!J1698</f>
        <v>20365.830000000002</v>
      </c>
      <c r="C1693">
        <f>Sinistrés!X1698</f>
        <v>2149.62</v>
      </c>
      <c r="D1693">
        <f>Sinistrés!L1698</f>
        <v>15.3</v>
      </c>
      <c r="E1693">
        <f>Sinistrés!M1698</f>
        <v>15.3</v>
      </c>
      <c r="F1693">
        <f t="shared" si="52"/>
        <v>0.10555032620816336</v>
      </c>
      <c r="G1693">
        <f t="shared" si="53"/>
        <v>1</v>
      </c>
    </row>
    <row r="1694" spans="1:7" hidden="1">
      <c r="A1694" t="str">
        <f>Sinistrés!H1699</f>
        <v>Blé tendre d'hiver</v>
      </c>
      <c r="B1694">
        <f>Sinistrés!J1699</f>
        <v>39391.129999999997</v>
      </c>
      <c r="C1694">
        <f>Sinistrés!X1699</f>
        <v>0</v>
      </c>
      <c r="D1694">
        <f>Sinistrés!L1699</f>
        <v>61.79</v>
      </c>
      <c r="E1694">
        <f>Sinistrés!M1699</f>
        <v>45</v>
      </c>
      <c r="F1694">
        <f t="shared" si="52"/>
        <v>0</v>
      </c>
      <c r="G1694">
        <f t="shared" si="53"/>
        <v>0.72827318336300373</v>
      </c>
    </row>
    <row r="1695" spans="1:7" hidden="1">
      <c r="A1695" t="str">
        <f>Sinistrés!H1700</f>
        <v>Orge d'hiver</v>
      </c>
      <c r="B1695">
        <f>Sinistrés!J1700</f>
        <v>56324.27</v>
      </c>
      <c r="C1695">
        <f>Sinistrés!X1700</f>
        <v>0</v>
      </c>
      <c r="D1695">
        <f>Sinistrés!L1700</f>
        <v>67.73</v>
      </c>
      <c r="E1695">
        <f>Sinistrés!M1700</f>
        <v>67</v>
      </c>
      <c r="F1695">
        <f t="shared" si="52"/>
        <v>0</v>
      </c>
      <c r="G1695">
        <f t="shared" si="53"/>
        <v>0.98922191052709285</v>
      </c>
    </row>
    <row r="1696" spans="1:7">
      <c r="A1696" t="str">
        <f>Sinistrés!H1701</f>
        <v>Blé dur d'hiver</v>
      </c>
      <c r="B1696">
        <f>Sinistrés!J1701</f>
        <v>18520</v>
      </c>
      <c r="C1696">
        <f>Sinistrés!X1701</f>
        <v>118.3</v>
      </c>
      <c r="D1696">
        <f>Sinistrés!L1701</f>
        <v>10</v>
      </c>
      <c r="E1696">
        <f>Sinistrés!M1701</f>
        <v>10</v>
      </c>
      <c r="F1696">
        <f t="shared" si="52"/>
        <v>6.3876889848812094E-3</v>
      </c>
      <c r="G1696">
        <f t="shared" si="53"/>
        <v>1</v>
      </c>
    </row>
    <row r="1697" spans="1:7">
      <c r="A1697" t="str">
        <f>Sinistrés!H1702</f>
        <v>Blé tendre d'hiver</v>
      </c>
      <c r="B1697">
        <f>Sinistrés!J1702</f>
        <v>81796</v>
      </c>
      <c r="C1697">
        <f>Sinistrés!X1702</f>
        <v>10904.1</v>
      </c>
      <c r="D1697">
        <f>Sinistrés!L1702</f>
        <v>55</v>
      </c>
      <c r="E1697">
        <f>Sinistrés!M1702</f>
        <v>55</v>
      </c>
      <c r="F1697">
        <f t="shared" si="52"/>
        <v>0.13330847474204119</v>
      </c>
      <c r="G1697">
        <f t="shared" si="53"/>
        <v>1</v>
      </c>
    </row>
    <row r="1698" spans="1:7" hidden="1">
      <c r="A1698" t="str">
        <f>Sinistrés!H1703</f>
        <v>Maïs grain irrigué SEMENCES STERILES</v>
      </c>
      <c r="B1698">
        <f>Sinistrés!J1703</f>
        <v>15984</v>
      </c>
      <c r="C1698">
        <f>Sinistrés!X1703</f>
        <v>0</v>
      </c>
      <c r="D1698">
        <f>Sinistrés!L1703</f>
        <v>4</v>
      </c>
      <c r="E1698">
        <f>Sinistrés!M1703</f>
        <v>4</v>
      </c>
      <c r="F1698">
        <f t="shared" si="52"/>
        <v>0</v>
      </c>
      <c r="G1698">
        <f t="shared" si="53"/>
        <v>1</v>
      </c>
    </row>
    <row r="1699" spans="1:7" hidden="1">
      <c r="A1699" t="str">
        <f>Sinistrés!H1704</f>
        <v>Orge d'hiver</v>
      </c>
      <c r="B1699">
        <f>Sinistrés!J1704</f>
        <v>25760</v>
      </c>
      <c r="C1699">
        <f>Sinistrés!X1704</f>
        <v>0</v>
      </c>
      <c r="D1699">
        <f>Sinistrés!L1704</f>
        <v>28</v>
      </c>
      <c r="E1699">
        <f>Sinistrés!M1704</f>
        <v>28</v>
      </c>
      <c r="F1699">
        <f t="shared" si="52"/>
        <v>0</v>
      </c>
      <c r="G1699">
        <f t="shared" si="53"/>
        <v>1</v>
      </c>
    </row>
    <row r="1700" spans="1:7" hidden="1">
      <c r="A1700" t="str">
        <f>Sinistrés!H1705</f>
        <v>Tournesol</v>
      </c>
      <c r="B1700">
        <f>Sinistrés!J1705</f>
        <v>33900</v>
      </c>
      <c r="C1700">
        <f>Sinistrés!X1705</f>
        <v>0</v>
      </c>
      <c r="D1700">
        <f>Sinistrés!L1705</f>
        <v>30</v>
      </c>
      <c r="E1700">
        <f>Sinistrés!M1705</f>
        <v>30</v>
      </c>
      <c r="F1700">
        <f t="shared" si="52"/>
        <v>0</v>
      </c>
      <c r="G1700">
        <f t="shared" si="53"/>
        <v>1</v>
      </c>
    </row>
    <row r="1701" spans="1:7" hidden="1">
      <c r="A1701" t="str">
        <f>Sinistrés!H1706</f>
        <v>Blé tendre d'hiver</v>
      </c>
      <c r="B1701">
        <f>Sinistrés!J1706</f>
        <v>106247.9</v>
      </c>
      <c r="C1701">
        <f>Sinistrés!X1706</f>
        <v>0</v>
      </c>
      <c r="D1701">
        <f>Sinistrés!L1706</f>
        <v>66.900000000000006</v>
      </c>
      <c r="E1701">
        <f>Sinistrés!M1706</f>
        <v>66.900000000000006</v>
      </c>
      <c r="F1701">
        <f t="shared" si="52"/>
        <v>0</v>
      </c>
      <c r="G1701">
        <f t="shared" si="53"/>
        <v>1</v>
      </c>
    </row>
    <row r="1702" spans="1:7" hidden="1">
      <c r="A1702" t="str">
        <f>Sinistrés!H1707</f>
        <v>Orge d'hiver</v>
      </c>
      <c r="B1702">
        <f>Sinistrés!J1707</f>
        <v>59677.17</v>
      </c>
      <c r="C1702">
        <f>Sinistrés!X1707</f>
        <v>0</v>
      </c>
      <c r="D1702">
        <f>Sinistrés!L1707</f>
        <v>44.5</v>
      </c>
      <c r="E1702">
        <f>Sinistrés!M1707</f>
        <v>44.5</v>
      </c>
      <c r="F1702">
        <f t="shared" si="52"/>
        <v>0</v>
      </c>
      <c r="G1702">
        <f t="shared" si="53"/>
        <v>1</v>
      </c>
    </row>
    <row r="1703" spans="1:7" hidden="1">
      <c r="A1703" t="str">
        <f>Sinistrés!H1708</f>
        <v>Colza d'hiver</v>
      </c>
      <c r="B1703">
        <f>Sinistrés!J1708</f>
        <v>113737.55</v>
      </c>
      <c r="C1703">
        <f>Sinistrés!X1708</f>
        <v>0</v>
      </c>
      <c r="D1703">
        <f>Sinistrés!L1708</f>
        <v>56.23</v>
      </c>
      <c r="E1703">
        <f>Sinistrés!M1708</f>
        <v>56.23</v>
      </c>
      <c r="F1703">
        <f t="shared" si="52"/>
        <v>0</v>
      </c>
      <c r="G1703">
        <f t="shared" si="53"/>
        <v>1</v>
      </c>
    </row>
    <row r="1704" spans="1:7">
      <c r="A1704" t="str">
        <f>Sinistrés!H1709</f>
        <v>Oeillette</v>
      </c>
      <c r="B1704">
        <f>Sinistrés!J1709</f>
        <v>38454</v>
      </c>
      <c r="C1704">
        <f>Sinistrés!X1709</f>
        <v>4082.04</v>
      </c>
      <c r="D1704">
        <f>Sinistrés!L1709</f>
        <v>24.65</v>
      </c>
      <c r="E1704">
        <f>Sinistrés!M1709</f>
        <v>24.65</v>
      </c>
      <c r="F1704">
        <f t="shared" si="52"/>
        <v>0.10615384615384615</v>
      </c>
      <c r="G1704">
        <f t="shared" si="53"/>
        <v>1</v>
      </c>
    </row>
    <row r="1705" spans="1:7" hidden="1">
      <c r="A1705" t="str">
        <f>Sinistrés!H1710</f>
        <v>Colza d'hiver</v>
      </c>
      <c r="B1705">
        <f>Sinistrés!J1710</f>
        <v>35628.29</v>
      </c>
      <c r="C1705">
        <f>Sinistrés!X1710</f>
        <v>0</v>
      </c>
      <c r="D1705">
        <f>Sinistrés!L1710</f>
        <v>35.97</v>
      </c>
      <c r="E1705">
        <f>Sinistrés!M1710</f>
        <v>35.97</v>
      </c>
      <c r="F1705">
        <f t="shared" si="52"/>
        <v>0</v>
      </c>
      <c r="G1705">
        <f t="shared" si="53"/>
        <v>1</v>
      </c>
    </row>
    <row r="1706" spans="1:7">
      <c r="A1706" t="str">
        <f>Sinistrés!H1711</f>
        <v>Pois protéagineux</v>
      </c>
      <c r="B1706">
        <f>Sinistrés!J1711</f>
        <v>34950.160000000003</v>
      </c>
      <c r="C1706">
        <f>Sinistrés!X1711</f>
        <v>4444.6499999999996</v>
      </c>
      <c r="D1706">
        <f>Sinistrés!L1711</f>
        <v>29.05</v>
      </c>
      <c r="E1706">
        <f>Sinistrés!M1711</f>
        <v>29.05</v>
      </c>
      <c r="F1706">
        <f t="shared" si="52"/>
        <v>0.12717109163448748</v>
      </c>
      <c r="G1706">
        <f t="shared" si="53"/>
        <v>1</v>
      </c>
    </row>
    <row r="1707" spans="1:7">
      <c r="A1707" t="str">
        <f>Sinistrés!H1712</f>
        <v>Blé dur d'hiver</v>
      </c>
      <c r="B1707">
        <f>Sinistrés!J1712</f>
        <v>62035.05</v>
      </c>
      <c r="C1707">
        <f>Sinistrés!X1712</f>
        <v>6086.04</v>
      </c>
      <c r="D1707">
        <f>Sinistrés!L1712</f>
        <v>25.31</v>
      </c>
      <c r="E1707">
        <f>Sinistrés!M1712</f>
        <v>25.31</v>
      </c>
      <c r="F1707">
        <f t="shared" si="52"/>
        <v>9.8106473678992764E-2</v>
      </c>
      <c r="G1707">
        <f t="shared" si="53"/>
        <v>1</v>
      </c>
    </row>
    <row r="1708" spans="1:7" hidden="1">
      <c r="A1708" t="str">
        <f>Sinistrés!H1713</f>
        <v>Blé tendre d'hiver</v>
      </c>
      <c r="B1708">
        <f>Sinistrés!J1713</f>
        <v>181334.31</v>
      </c>
      <c r="C1708">
        <f>Sinistrés!X1713</f>
        <v>0</v>
      </c>
      <c r="D1708">
        <f>Sinistrés!L1713</f>
        <v>112.9</v>
      </c>
      <c r="E1708">
        <f>Sinistrés!M1713</f>
        <v>112.9</v>
      </c>
      <c r="F1708">
        <f t="shared" si="52"/>
        <v>0</v>
      </c>
      <c r="G1708">
        <f t="shared" si="53"/>
        <v>1</v>
      </c>
    </row>
    <row r="1709" spans="1:7">
      <c r="A1709" t="str">
        <f>Sinistrés!H1714</f>
        <v>Blé tendre d'hiver</v>
      </c>
      <c r="B1709">
        <f>Sinistrés!J1714</f>
        <v>16400.400000000001</v>
      </c>
      <c r="C1709">
        <f>Sinistrés!X1714</f>
        <v>3111.51</v>
      </c>
      <c r="D1709">
        <f>Sinistrés!L1714</f>
        <v>12</v>
      </c>
      <c r="E1709">
        <f>Sinistrés!M1714</f>
        <v>12</v>
      </c>
      <c r="F1709">
        <f t="shared" si="52"/>
        <v>0.18972159215628887</v>
      </c>
      <c r="G1709">
        <f t="shared" si="53"/>
        <v>1</v>
      </c>
    </row>
    <row r="1710" spans="1:7" hidden="1">
      <c r="A1710" t="str">
        <f>Sinistrés!H1715</f>
        <v xml:space="preserve">Orge d'hiver </v>
      </c>
      <c r="B1710">
        <f>Sinistrés!J1715</f>
        <v>3824.48</v>
      </c>
      <c r="C1710">
        <f>Sinistrés!X1715</f>
        <v>0</v>
      </c>
      <c r="D1710">
        <f>Sinistrés!L1715</f>
        <v>4.0999999999999996</v>
      </c>
      <c r="E1710">
        <f>Sinistrés!M1715</f>
        <v>4</v>
      </c>
      <c r="F1710">
        <f t="shared" si="52"/>
        <v>0</v>
      </c>
      <c r="G1710">
        <f t="shared" si="53"/>
        <v>0.97560975609756106</v>
      </c>
    </row>
    <row r="1711" spans="1:7" hidden="1">
      <c r="A1711" t="str">
        <f>Sinistrés!H1716</f>
        <v>Maïs grain non irrigué BIO</v>
      </c>
      <c r="B1711">
        <f>Sinistrés!J1716</f>
        <v>4929.6000000000004</v>
      </c>
      <c r="C1711">
        <f>Sinistrés!X1716</f>
        <v>0</v>
      </c>
      <c r="D1711">
        <f>Sinistrés!L1716</f>
        <v>4</v>
      </c>
      <c r="E1711">
        <f>Sinistrés!M1716</f>
        <v>4</v>
      </c>
      <c r="F1711">
        <f t="shared" si="52"/>
        <v>0</v>
      </c>
      <c r="G1711">
        <f t="shared" si="53"/>
        <v>1</v>
      </c>
    </row>
    <row r="1712" spans="1:7" hidden="1">
      <c r="A1712" t="str">
        <f>Sinistrés!H1717</f>
        <v>Blé tendre de printemps BIO</v>
      </c>
      <c r="B1712">
        <f>Sinistrés!J1717</f>
        <v>32611.41</v>
      </c>
      <c r="C1712">
        <f>Sinistrés!X1717</f>
        <v>0</v>
      </c>
      <c r="D1712">
        <f>Sinistrés!L1717</f>
        <v>21.19</v>
      </c>
      <c r="E1712">
        <f>Sinistrés!M1717</f>
        <v>21.19</v>
      </c>
      <c r="F1712">
        <f t="shared" si="52"/>
        <v>0</v>
      </c>
      <c r="G1712">
        <f t="shared" si="53"/>
        <v>1</v>
      </c>
    </row>
    <row r="1713" spans="1:7" hidden="1">
      <c r="A1713" t="str">
        <f>Sinistrés!H1718</f>
        <v>Lin oléagineux BIO</v>
      </c>
      <c r="B1713">
        <f>Sinistrés!J1718</f>
        <v>14345.76</v>
      </c>
      <c r="C1713">
        <f>Sinistrés!X1718</f>
        <v>1594.45</v>
      </c>
      <c r="D1713">
        <f>Sinistrés!L1718</f>
        <v>8.36</v>
      </c>
      <c r="E1713">
        <f>Sinistrés!M1718</f>
        <v>8.36</v>
      </c>
      <c r="F1713">
        <f t="shared" si="52"/>
        <v>0.11114433811802232</v>
      </c>
      <c r="G1713">
        <f t="shared" si="53"/>
        <v>1</v>
      </c>
    </row>
    <row r="1714" spans="1:7" hidden="1">
      <c r="A1714" t="str">
        <f>Sinistrés!H1719</f>
        <v>Orge de printemps BIO</v>
      </c>
      <c r="B1714">
        <f>Sinistrés!J1719</f>
        <v>1982.88</v>
      </c>
      <c r="C1714">
        <f>Sinistrés!X1719</f>
        <v>0</v>
      </c>
      <c r="D1714">
        <f>Sinistrés!L1719</f>
        <v>1.8</v>
      </c>
      <c r="E1714">
        <f>Sinistrés!M1719</f>
        <v>1.8</v>
      </c>
      <c r="F1714">
        <f t="shared" si="52"/>
        <v>0</v>
      </c>
      <c r="G1714">
        <f t="shared" si="53"/>
        <v>1</v>
      </c>
    </row>
    <row r="1715" spans="1:7" hidden="1">
      <c r="A1715" t="str">
        <f>Sinistrés!H1720</f>
        <v>Tournesol BIO</v>
      </c>
      <c r="B1715">
        <f>Sinistrés!J1720</f>
        <v>3098.25</v>
      </c>
      <c r="C1715">
        <f>Sinistrés!X1720</f>
        <v>0</v>
      </c>
      <c r="D1715">
        <f>Sinistrés!L1720</f>
        <v>2.25</v>
      </c>
      <c r="E1715">
        <f>Sinistrés!M1720</f>
        <v>2.25</v>
      </c>
      <c r="F1715">
        <f t="shared" si="52"/>
        <v>0</v>
      </c>
      <c r="G1715">
        <f t="shared" si="53"/>
        <v>1</v>
      </c>
    </row>
    <row r="1716" spans="1:7">
      <c r="A1716" t="str">
        <f>Sinistrés!H1721</f>
        <v>Orge d'hiver</v>
      </c>
      <c r="B1716">
        <f>Sinistrés!J1721</f>
        <v>14675.5</v>
      </c>
      <c r="C1716">
        <f>Sinistrés!X1721</f>
        <v>214.38</v>
      </c>
      <c r="D1716">
        <f>Sinistrés!L1721</f>
        <v>12.25</v>
      </c>
      <c r="E1716">
        <f>Sinistrés!M1721</f>
        <v>12.25</v>
      </c>
      <c r="F1716">
        <f t="shared" si="52"/>
        <v>1.4608020169670539E-2</v>
      </c>
      <c r="G1716">
        <f t="shared" si="53"/>
        <v>1</v>
      </c>
    </row>
    <row r="1717" spans="1:7" hidden="1">
      <c r="A1717" t="str">
        <f>Sinistrés!H1722</f>
        <v>Colza d'hiver</v>
      </c>
      <c r="B1717">
        <f>Sinistrés!J1722</f>
        <v>7585.12</v>
      </c>
      <c r="C1717">
        <f>Sinistrés!X1722</f>
        <v>0</v>
      </c>
      <c r="D1717">
        <f>Sinistrés!L1722</f>
        <v>8.9700000000000006</v>
      </c>
      <c r="E1717">
        <f>Sinistrés!M1722</f>
        <v>8.9700000000000006</v>
      </c>
      <c r="F1717">
        <f t="shared" si="52"/>
        <v>0</v>
      </c>
      <c r="G1717">
        <f t="shared" si="53"/>
        <v>1</v>
      </c>
    </row>
    <row r="1718" spans="1:7">
      <c r="A1718" t="str">
        <f>Sinistrés!H1723</f>
        <v>Pois protéagineux</v>
      </c>
      <c r="B1718">
        <f>Sinistrés!J1723</f>
        <v>8851.41</v>
      </c>
      <c r="C1718">
        <f>Sinistrés!X1723</f>
        <v>2889.39</v>
      </c>
      <c r="D1718">
        <f>Sinistrés!L1723</f>
        <v>14.38</v>
      </c>
      <c r="E1718">
        <f>Sinistrés!M1723</f>
        <v>14.38</v>
      </c>
      <c r="F1718">
        <f t="shared" si="52"/>
        <v>0.326432737834989</v>
      </c>
      <c r="G1718">
        <f t="shared" si="53"/>
        <v>1</v>
      </c>
    </row>
    <row r="1719" spans="1:7">
      <c r="A1719" t="str">
        <f>Sinistrés!H1724</f>
        <v>Tournesol</v>
      </c>
      <c r="B1719">
        <f>Sinistrés!J1724</f>
        <v>10672.98</v>
      </c>
      <c r="C1719">
        <f>Sinistrés!X1724</f>
        <v>3990.55</v>
      </c>
      <c r="D1719">
        <f>Sinistrés!L1724</f>
        <v>10.14</v>
      </c>
      <c r="E1719">
        <f>Sinistrés!M1724</f>
        <v>10.14</v>
      </c>
      <c r="F1719">
        <f t="shared" si="52"/>
        <v>0.37389276471988148</v>
      </c>
      <c r="G1719">
        <f t="shared" si="53"/>
        <v>1</v>
      </c>
    </row>
    <row r="1720" spans="1:7">
      <c r="A1720" t="str">
        <f>Sinistrés!H1725</f>
        <v>Féveroles et fèves</v>
      </c>
      <c r="B1720">
        <f>Sinistrés!J1725</f>
        <v>4543.62</v>
      </c>
      <c r="C1720">
        <f>Sinistrés!X1725</f>
        <v>1094.95</v>
      </c>
      <c r="D1720">
        <f>Sinistrés!L1725</f>
        <v>9.07</v>
      </c>
      <c r="E1720">
        <f>Sinistrés!M1725</f>
        <v>9.07</v>
      </c>
      <c r="F1720">
        <f t="shared" si="52"/>
        <v>0.24098626205536555</v>
      </c>
      <c r="G1720">
        <f t="shared" si="53"/>
        <v>1</v>
      </c>
    </row>
    <row r="1721" spans="1:7">
      <c r="A1721" t="str">
        <f>Sinistrés!H1726</f>
        <v>Blé tendre d'hiver</v>
      </c>
      <c r="B1721">
        <f>Sinistrés!J1726</f>
        <v>66761.36</v>
      </c>
      <c r="C1721">
        <f>Sinistrés!X1726</f>
        <v>1000</v>
      </c>
      <c r="D1721">
        <f>Sinistrés!L1726</f>
        <v>41.51</v>
      </c>
      <c r="E1721">
        <f>Sinistrés!M1726</f>
        <v>20</v>
      </c>
      <c r="F1721">
        <f t="shared" si="52"/>
        <v>1.4978724220117744E-2</v>
      </c>
      <c r="G1721">
        <f t="shared" si="53"/>
        <v>0.48181161165984104</v>
      </c>
    </row>
    <row r="1722" spans="1:7" hidden="1">
      <c r="A1722" t="str">
        <f>Sinistrés!H1727</f>
        <v>Maïs grain non irrigué</v>
      </c>
      <c r="B1722">
        <f>Sinistrés!J1727</f>
        <v>49856.23</v>
      </c>
      <c r="C1722">
        <f>Sinistrés!X1727</f>
        <v>0</v>
      </c>
      <c r="D1722">
        <f>Sinistrés!L1727</f>
        <v>73.73</v>
      </c>
      <c r="E1722">
        <f>Sinistrés!M1727</f>
        <v>9.52</v>
      </c>
      <c r="F1722">
        <f t="shared" si="52"/>
        <v>0</v>
      </c>
      <c r="G1722">
        <f t="shared" si="53"/>
        <v>0.12911976129119759</v>
      </c>
    </row>
    <row r="1723" spans="1:7" hidden="1">
      <c r="A1723" t="str">
        <f>Sinistrés!H1728</f>
        <v>Maïs grain non irrigué</v>
      </c>
      <c r="B1723">
        <f>Sinistrés!J1728</f>
        <v>49856.23</v>
      </c>
      <c r="C1723">
        <f>Sinistrés!X1728</f>
        <v>0</v>
      </c>
      <c r="D1723">
        <f>Sinistrés!L1728</f>
        <v>73.73</v>
      </c>
      <c r="E1723">
        <f>Sinistrés!M1728</f>
        <v>20.21</v>
      </c>
      <c r="F1723">
        <f t="shared" si="52"/>
        <v>0</v>
      </c>
      <c r="G1723">
        <f t="shared" si="53"/>
        <v>0.27410823274108231</v>
      </c>
    </row>
    <row r="1724" spans="1:7">
      <c r="A1724" t="str">
        <f>Sinistrés!H1729</f>
        <v>Tournesol</v>
      </c>
      <c r="B1724">
        <f>Sinistrés!J1729</f>
        <v>116474.09</v>
      </c>
      <c r="C1724">
        <f>Sinistrés!X1729</f>
        <v>8228.6299999999992</v>
      </c>
      <c r="D1724">
        <f>Sinistrés!L1729</f>
        <v>134.72999999999999</v>
      </c>
      <c r="E1724">
        <f>Sinistrés!M1729</f>
        <v>13.01</v>
      </c>
      <c r="F1724">
        <f t="shared" si="52"/>
        <v>7.0647729464982295E-2</v>
      </c>
      <c r="G1724">
        <f t="shared" si="53"/>
        <v>9.6563497365100573E-2</v>
      </c>
    </row>
    <row r="1725" spans="1:7">
      <c r="A1725" t="str">
        <f>Sinistrés!H1730</f>
        <v>Avoine d'hiver</v>
      </c>
      <c r="B1725">
        <f>Sinistrés!J1730</f>
        <v>5031</v>
      </c>
      <c r="C1725">
        <f>Sinistrés!X1730</f>
        <v>1589.8</v>
      </c>
      <c r="D1725">
        <f>Sinistrés!L1730</f>
        <v>7.74</v>
      </c>
      <c r="E1725">
        <f>Sinistrés!M1730</f>
        <v>7.74</v>
      </c>
      <c r="F1725">
        <f t="shared" si="52"/>
        <v>0.3160007950705625</v>
      </c>
      <c r="G1725">
        <f t="shared" si="53"/>
        <v>1</v>
      </c>
    </row>
    <row r="1726" spans="1:7">
      <c r="A1726" t="str">
        <f>Sinistrés!H1731</f>
        <v>Blé tendre d'hiver</v>
      </c>
      <c r="B1726">
        <f>Sinistrés!J1731</f>
        <v>207483.6</v>
      </c>
      <c r="C1726">
        <f>Sinistrés!X1731</f>
        <v>7177.49</v>
      </c>
      <c r="D1726">
        <f>Sinistrés!L1731</f>
        <v>201.05</v>
      </c>
      <c r="E1726">
        <f>Sinistrés!M1731</f>
        <v>149.22</v>
      </c>
      <c r="F1726">
        <f t="shared" si="52"/>
        <v>3.459304735410413E-2</v>
      </c>
      <c r="G1726">
        <f t="shared" si="53"/>
        <v>0.74220343198209393</v>
      </c>
    </row>
    <row r="1727" spans="1:7">
      <c r="A1727" t="str">
        <f>Sinistrés!H1732</f>
        <v>Colza d'hiver</v>
      </c>
      <c r="B1727">
        <f>Sinistrés!J1732</f>
        <v>75130.83</v>
      </c>
      <c r="C1727">
        <f>Sinistrés!X1732</f>
        <v>6233.85</v>
      </c>
      <c r="D1727">
        <f>Sinistrés!L1732</f>
        <v>62.95</v>
      </c>
      <c r="E1727">
        <f>Sinistrés!M1732</f>
        <v>62.95</v>
      </c>
      <c r="F1727">
        <f t="shared" si="52"/>
        <v>8.2973261442739282E-2</v>
      </c>
      <c r="G1727">
        <f t="shared" si="53"/>
        <v>1</v>
      </c>
    </row>
    <row r="1728" spans="1:7">
      <c r="A1728" t="str">
        <f>Sinistrés!H1733</f>
        <v>Orge d'hiver</v>
      </c>
      <c r="B1728">
        <f>Sinistrés!J1733</f>
        <v>29206.45</v>
      </c>
      <c r="C1728">
        <f>Sinistrés!X1733</f>
        <v>1396.13</v>
      </c>
      <c r="D1728">
        <f>Sinistrés!L1733</f>
        <v>32.75</v>
      </c>
      <c r="E1728">
        <f>Sinistrés!M1733</f>
        <v>14.54</v>
      </c>
      <c r="F1728">
        <f t="shared" si="52"/>
        <v>4.7802112204667124E-2</v>
      </c>
      <c r="G1728">
        <f t="shared" si="53"/>
        <v>0.44396946564885492</v>
      </c>
    </row>
    <row r="1729" spans="1:7" hidden="1">
      <c r="A1729" t="str">
        <f>Sinistrés!H1734</f>
        <v>Orge d'hiver</v>
      </c>
      <c r="B1729">
        <f>Sinistrés!J1734</f>
        <v>6957.82</v>
      </c>
      <c r="C1729">
        <f>Sinistrés!X1734</f>
        <v>0</v>
      </c>
      <c r="D1729">
        <f>Sinistrés!L1734</f>
        <v>7.48</v>
      </c>
      <c r="E1729">
        <f>Sinistrés!M1734</f>
        <v>7.48</v>
      </c>
      <c r="F1729">
        <f t="shared" si="52"/>
        <v>0</v>
      </c>
      <c r="G1729">
        <f t="shared" si="53"/>
        <v>1</v>
      </c>
    </row>
    <row r="1730" spans="1:7">
      <c r="A1730" t="str">
        <f>Sinistrés!H1735</f>
        <v>Blé tendre d'hiver</v>
      </c>
      <c r="B1730">
        <f>Sinistrés!J1735</f>
        <v>7585.89</v>
      </c>
      <c r="C1730">
        <f>Sinistrés!X1735</f>
        <v>181.95</v>
      </c>
      <c r="D1730">
        <f>Sinistrés!L1735</f>
        <v>7.87</v>
      </c>
      <c r="E1730">
        <f>Sinistrés!M1735</f>
        <v>7.87</v>
      </c>
      <c r="F1730">
        <f t="shared" si="52"/>
        <v>2.3985320114053854E-2</v>
      </c>
      <c r="G1730">
        <f t="shared" si="53"/>
        <v>1</v>
      </c>
    </row>
    <row r="1731" spans="1:7" hidden="1">
      <c r="A1731" t="str">
        <f>Sinistrés!H1736</f>
        <v>Colza d'hiver</v>
      </c>
      <c r="B1731">
        <f>Sinistrés!J1736</f>
        <v>28523.25</v>
      </c>
      <c r="C1731">
        <f>Sinistrés!X1736</f>
        <v>0</v>
      </c>
      <c r="D1731">
        <f>Sinistrés!L1736</f>
        <v>19</v>
      </c>
      <c r="E1731">
        <f>Sinistrés!M1736</f>
        <v>18.11</v>
      </c>
      <c r="F1731">
        <f t="shared" ref="F1731:F1794" si="54">C1731/B1731</f>
        <v>0</v>
      </c>
      <c r="G1731">
        <f t="shared" ref="G1731:G1794" si="55">E1731/D1731</f>
        <v>0.95315789473684209</v>
      </c>
    </row>
    <row r="1732" spans="1:7" hidden="1">
      <c r="A1732" t="str">
        <f>Sinistrés!H1737</f>
        <v>Orge de printemps</v>
      </c>
      <c r="B1732">
        <f>Sinistrés!J1737</f>
        <v>15263.82</v>
      </c>
      <c r="C1732">
        <f>Sinistrés!X1737</f>
        <v>0</v>
      </c>
      <c r="D1732">
        <f>Sinistrés!L1737</f>
        <v>13.5</v>
      </c>
      <c r="E1732">
        <f>Sinistrés!M1737</f>
        <v>12.87</v>
      </c>
      <c r="F1732">
        <f t="shared" si="54"/>
        <v>0</v>
      </c>
      <c r="G1732">
        <f t="shared" si="55"/>
        <v>0.95333333333333325</v>
      </c>
    </row>
    <row r="1733" spans="1:7" hidden="1">
      <c r="A1733" t="str">
        <f>Sinistrés!H1738</f>
        <v>Blé dur d'hiver</v>
      </c>
      <c r="B1733">
        <f>Sinistrés!J1738</f>
        <v>7498.53</v>
      </c>
      <c r="C1733">
        <f>Sinistrés!X1738</f>
        <v>0</v>
      </c>
      <c r="D1733">
        <f>Sinistrés!L1738</f>
        <v>5.5</v>
      </c>
      <c r="E1733">
        <f>Sinistrés!M1738</f>
        <v>5.07</v>
      </c>
      <c r="F1733">
        <f t="shared" si="54"/>
        <v>0</v>
      </c>
      <c r="G1733">
        <f t="shared" si="55"/>
        <v>0.92181818181818187</v>
      </c>
    </row>
    <row r="1734" spans="1:7" hidden="1">
      <c r="A1734" t="str">
        <f>Sinistrés!H1739</f>
        <v>Blé tendre d'hiver</v>
      </c>
      <c r="B1734">
        <f>Sinistrés!J1739</f>
        <v>9108</v>
      </c>
      <c r="C1734">
        <f>Sinistrés!X1739</f>
        <v>0</v>
      </c>
      <c r="D1734">
        <f>Sinistrés!L1739</f>
        <v>8</v>
      </c>
      <c r="E1734">
        <f>Sinistrés!M1739</f>
        <v>7.59</v>
      </c>
      <c r="F1734">
        <f t="shared" si="54"/>
        <v>0</v>
      </c>
      <c r="G1734">
        <f t="shared" si="55"/>
        <v>0.94874999999999998</v>
      </c>
    </row>
    <row r="1735" spans="1:7" hidden="1">
      <c r="A1735" t="str">
        <f>Sinistrés!H1740</f>
        <v>Maïs ensilage non irrigué</v>
      </c>
      <c r="B1735">
        <f>Sinistrés!J1740</f>
        <v>13103.39</v>
      </c>
      <c r="C1735">
        <f>Sinistrés!X1740</f>
        <v>0</v>
      </c>
      <c r="D1735">
        <f>Sinistrés!L1740</f>
        <v>9</v>
      </c>
      <c r="E1735">
        <f>Sinistrés!M1740</f>
        <v>9.83</v>
      </c>
      <c r="F1735">
        <f t="shared" si="54"/>
        <v>0</v>
      </c>
      <c r="G1735">
        <f t="shared" si="55"/>
        <v>1.0922222222222222</v>
      </c>
    </row>
    <row r="1736" spans="1:7">
      <c r="A1736" t="str">
        <f>Sinistrés!H1741</f>
        <v>Maïs grain non irrigué</v>
      </c>
      <c r="B1736">
        <f>Sinistrés!J1741</f>
        <v>16490.02</v>
      </c>
      <c r="C1736">
        <f>Sinistrés!X1741</f>
        <v>6823.2</v>
      </c>
      <c r="D1736">
        <f>Sinistrés!L1741</f>
        <v>13.25</v>
      </c>
      <c r="E1736">
        <f>Sinistrés!M1741</f>
        <v>13.25</v>
      </c>
      <c r="F1736">
        <f t="shared" si="54"/>
        <v>0.41377754544870166</v>
      </c>
      <c r="G1736">
        <f t="shared" si="55"/>
        <v>1</v>
      </c>
    </row>
    <row r="1737" spans="1:7">
      <c r="A1737" t="str">
        <f>Sinistrés!H1742</f>
        <v>Tournesol</v>
      </c>
      <c r="B1737">
        <f>Sinistrés!J1742</f>
        <v>16490.02</v>
      </c>
      <c r="C1737">
        <f>Sinistrés!X1742</f>
        <v>2229.0500000000002</v>
      </c>
      <c r="D1737">
        <f>Sinistrés!L1742</f>
        <v>18.57</v>
      </c>
      <c r="E1737">
        <f>Sinistrés!M1742</f>
        <v>18.559999999999999</v>
      </c>
      <c r="F1737">
        <f t="shared" si="54"/>
        <v>0.1351757002114006</v>
      </c>
      <c r="G1737">
        <f t="shared" si="55"/>
        <v>0.99946149703823361</v>
      </c>
    </row>
    <row r="1738" spans="1:7">
      <c r="A1738" t="str">
        <f>Sinistrés!H1743</f>
        <v>Blé tendre d'hiver</v>
      </c>
      <c r="B1738">
        <f>Sinistrés!J1743</f>
        <v>78301.58</v>
      </c>
      <c r="C1738">
        <f>Sinistrés!X1743</f>
        <v>12334.49</v>
      </c>
      <c r="D1738">
        <f>Sinistrés!L1743</f>
        <v>59.79</v>
      </c>
      <c r="E1738">
        <f>Sinistrés!M1743</f>
        <v>59.79</v>
      </c>
      <c r="F1738">
        <f t="shared" si="54"/>
        <v>0.15752542924421192</v>
      </c>
      <c r="G1738">
        <f t="shared" si="55"/>
        <v>1</v>
      </c>
    </row>
    <row r="1739" spans="1:7">
      <c r="A1739" t="str">
        <f>Sinistrés!H1744</f>
        <v>Colza d'hiver</v>
      </c>
      <c r="B1739">
        <f>Sinistrés!J1744</f>
        <v>42983.35</v>
      </c>
      <c r="C1739">
        <f>Sinistrés!X1744</f>
        <v>14444.06</v>
      </c>
      <c r="D1739">
        <f>Sinistrés!L1744</f>
        <v>27.62</v>
      </c>
      <c r="E1739">
        <f>Sinistrés!M1744</f>
        <v>27.62</v>
      </c>
      <c r="F1739">
        <f t="shared" si="54"/>
        <v>0.33603848932202818</v>
      </c>
      <c r="G1739">
        <f t="shared" si="55"/>
        <v>1</v>
      </c>
    </row>
    <row r="1740" spans="1:7">
      <c r="A1740" t="str">
        <f>Sinistrés!H1745</f>
        <v>Orge d'hiver</v>
      </c>
      <c r="B1740">
        <f>Sinistrés!J1745</f>
        <v>11274.3</v>
      </c>
      <c r="C1740">
        <f>Sinistrés!X1745</f>
        <v>2333.6799999999998</v>
      </c>
      <c r="D1740">
        <f>Sinistrés!L1745</f>
        <v>10.26</v>
      </c>
      <c r="E1740">
        <f>Sinistrés!M1745</f>
        <v>10.26</v>
      </c>
      <c r="F1740">
        <f t="shared" si="54"/>
        <v>0.20699112139999823</v>
      </c>
      <c r="G1740">
        <f t="shared" si="55"/>
        <v>1</v>
      </c>
    </row>
    <row r="1741" spans="1:7">
      <c r="A1741" t="str">
        <f>Sinistrés!H1746</f>
        <v>Pois protéagineux</v>
      </c>
      <c r="B1741">
        <f>Sinistrés!J1746</f>
        <v>4888.2299999999996</v>
      </c>
      <c r="C1741">
        <f>Sinistrés!X1746</f>
        <v>330.1</v>
      </c>
      <c r="D1741">
        <f>Sinistrés!L1746</f>
        <v>7.79</v>
      </c>
      <c r="E1741">
        <f>Sinistrés!M1746</f>
        <v>7.79</v>
      </c>
      <c r="F1741">
        <f t="shared" si="54"/>
        <v>6.7529555687846118E-2</v>
      </c>
      <c r="G1741">
        <f t="shared" si="55"/>
        <v>1</v>
      </c>
    </row>
    <row r="1742" spans="1:7">
      <c r="A1742" t="str">
        <f>Sinistrés!H1747</f>
        <v>Orge de printemps</v>
      </c>
      <c r="B1742">
        <f>Sinistrés!J1747</f>
        <v>25220.38</v>
      </c>
      <c r="C1742">
        <f>Sinistrés!X1747</f>
        <v>16511.259999999998</v>
      </c>
      <c r="D1742">
        <f>Sinistrés!L1747</f>
        <v>20.329999999999998</v>
      </c>
      <c r="E1742">
        <f>Sinistrés!M1747</f>
        <v>20.329999999999998</v>
      </c>
      <c r="F1742">
        <f t="shared" si="54"/>
        <v>0.65467927128774417</v>
      </c>
      <c r="G1742">
        <f t="shared" si="55"/>
        <v>1</v>
      </c>
    </row>
    <row r="1743" spans="1:7">
      <c r="A1743" t="str">
        <f>Sinistrés!H1748</f>
        <v>Blé dur d'hiver</v>
      </c>
      <c r="B1743">
        <f>Sinistrés!J1748</f>
        <v>8634.91</v>
      </c>
      <c r="C1743">
        <f>Sinistrés!X1748</f>
        <v>1943.24</v>
      </c>
      <c r="D1743">
        <f>Sinistrés!L1748</f>
        <v>4.8099999999999996</v>
      </c>
      <c r="E1743">
        <f>Sinistrés!M1748</f>
        <v>4.8099999999999996</v>
      </c>
      <c r="F1743">
        <f t="shared" si="54"/>
        <v>0.22504461540421383</v>
      </c>
      <c r="G1743">
        <f t="shared" si="55"/>
        <v>1</v>
      </c>
    </row>
    <row r="1744" spans="1:7" hidden="1">
      <c r="A1744" t="str">
        <f>Sinistrés!H1749</f>
        <v>Blé tendre d'hiver</v>
      </c>
      <c r="B1744">
        <f>Sinistrés!J1749</f>
        <v>87995</v>
      </c>
      <c r="C1744">
        <f>Sinistrés!X1749</f>
        <v>0</v>
      </c>
      <c r="D1744">
        <f>Sinistrés!L1749</f>
        <v>80.010000000000005</v>
      </c>
      <c r="E1744">
        <f>Sinistrés!M1749</f>
        <v>80.010000000000005</v>
      </c>
      <c r="F1744">
        <f t="shared" si="54"/>
        <v>0</v>
      </c>
      <c r="G1744">
        <f t="shared" si="55"/>
        <v>1</v>
      </c>
    </row>
    <row r="1745" spans="1:7" hidden="1">
      <c r="A1745" t="str">
        <f>Sinistrés!H1750</f>
        <v>Colza d'hiver</v>
      </c>
      <c r="B1745">
        <f>Sinistrés!J1750</f>
        <v>28665.919999999998</v>
      </c>
      <c r="C1745">
        <f>Sinistrés!X1750</f>
        <v>0</v>
      </c>
      <c r="D1745">
        <f>Sinistrés!L1750</f>
        <v>30.89</v>
      </c>
      <c r="E1745">
        <f>Sinistrés!M1750</f>
        <v>30.89</v>
      </c>
      <c r="F1745">
        <f t="shared" si="54"/>
        <v>0</v>
      </c>
      <c r="G1745">
        <f t="shared" si="55"/>
        <v>1</v>
      </c>
    </row>
    <row r="1746" spans="1:7" hidden="1">
      <c r="A1746" t="str">
        <f>Sinistrés!H1751</f>
        <v>Orge d'hiver</v>
      </c>
      <c r="B1746">
        <f>Sinistrés!J1751</f>
        <v>35491.620000000003</v>
      </c>
      <c r="C1746">
        <f>Sinistrés!X1751</f>
        <v>0</v>
      </c>
      <c r="D1746">
        <f>Sinistrés!L1751</f>
        <v>36.29</v>
      </c>
      <c r="E1746">
        <f>Sinistrés!M1751</f>
        <v>36.29</v>
      </c>
      <c r="F1746">
        <f t="shared" si="54"/>
        <v>0</v>
      </c>
      <c r="G1746">
        <f t="shared" si="55"/>
        <v>1</v>
      </c>
    </row>
    <row r="1747" spans="1:7" hidden="1">
      <c r="A1747" t="str">
        <f>Sinistrés!H1752</f>
        <v>Lin textile</v>
      </c>
      <c r="B1747">
        <f>Sinistrés!J1752</f>
        <v>173160</v>
      </c>
      <c r="C1747">
        <f>Sinistrés!X1752</f>
        <v>0</v>
      </c>
      <c r="D1747">
        <f>Sinistrés!L1752</f>
        <v>58.5</v>
      </c>
      <c r="E1747">
        <f>Sinistrés!M1752</f>
        <v>58.5</v>
      </c>
      <c r="F1747">
        <f t="shared" si="54"/>
        <v>0</v>
      </c>
      <c r="G1747">
        <f t="shared" si="55"/>
        <v>1</v>
      </c>
    </row>
    <row r="1748" spans="1:7" hidden="1">
      <c r="A1748" t="str">
        <f>Sinistrés!H1753</f>
        <v>Blé tendre d'hiver</v>
      </c>
      <c r="B1748">
        <f>Sinistrés!J1753</f>
        <v>24572.06</v>
      </c>
      <c r="C1748">
        <f>Sinistrés!X1753</f>
        <v>0</v>
      </c>
      <c r="D1748">
        <f>Sinistrés!L1753</f>
        <v>16.71</v>
      </c>
      <c r="E1748">
        <f>Sinistrés!M1753</f>
        <v>16.71</v>
      </c>
      <c r="F1748">
        <f t="shared" si="54"/>
        <v>0</v>
      </c>
      <c r="G1748">
        <f t="shared" si="55"/>
        <v>1</v>
      </c>
    </row>
    <row r="1749" spans="1:7" hidden="1">
      <c r="A1749" t="str">
        <f>Sinistrés!H1754</f>
        <v>Blé tendre d'hiver</v>
      </c>
      <c r="B1749">
        <f>Sinistrés!J1754</f>
        <v>37365.410000000003</v>
      </c>
      <c r="C1749">
        <f>Sinistrés!X1754</f>
        <v>0</v>
      </c>
      <c r="D1749">
        <f>Sinistrés!L1754</f>
        <v>25.41</v>
      </c>
      <c r="E1749">
        <f>Sinistrés!M1754</f>
        <v>25.41</v>
      </c>
      <c r="F1749">
        <f t="shared" si="54"/>
        <v>0</v>
      </c>
      <c r="G1749">
        <f t="shared" si="55"/>
        <v>1</v>
      </c>
    </row>
    <row r="1750" spans="1:7">
      <c r="A1750" t="str">
        <f>Sinistrés!H1755</f>
        <v>Colza d'hiver</v>
      </c>
      <c r="B1750">
        <f>Sinistrés!J1755</f>
        <v>16864.560000000001</v>
      </c>
      <c r="C1750">
        <f>Sinistrés!X1755</f>
        <v>4574.55</v>
      </c>
      <c r="D1750">
        <f>Sinistrés!L1755</f>
        <v>10.62</v>
      </c>
      <c r="E1750">
        <f>Sinistrés!M1755</f>
        <v>10.62</v>
      </c>
      <c r="F1750">
        <f t="shared" si="54"/>
        <v>0.27125225917545431</v>
      </c>
      <c r="G1750">
        <f t="shared" si="55"/>
        <v>1</v>
      </c>
    </row>
    <row r="1751" spans="1:7" hidden="1">
      <c r="A1751" t="str">
        <f>Sinistrés!H1756</f>
        <v>Colza d'hiver</v>
      </c>
      <c r="B1751">
        <f>Sinistrés!J1756</f>
        <v>16705.759999999998</v>
      </c>
      <c r="C1751">
        <f>Sinistrés!X1756</f>
        <v>0</v>
      </c>
      <c r="D1751">
        <f>Sinistrés!L1756</f>
        <v>10.52</v>
      </c>
      <c r="E1751">
        <f>Sinistrés!M1756</f>
        <v>10.52</v>
      </c>
      <c r="F1751">
        <f t="shared" si="54"/>
        <v>0</v>
      </c>
      <c r="G1751">
        <f t="shared" si="55"/>
        <v>1</v>
      </c>
    </row>
    <row r="1752" spans="1:7" hidden="1">
      <c r="A1752" t="str">
        <f>Sinistrés!H1757</f>
        <v>Orge d'hiver</v>
      </c>
      <c r="B1752">
        <f>Sinistrés!J1757</f>
        <v>12344.64</v>
      </c>
      <c r="C1752">
        <f>Sinistrés!X1757</f>
        <v>0</v>
      </c>
      <c r="D1752">
        <f>Sinistrés!L1757</f>
        <v>9.24</v>
      </c>
      <c r="E1752">
        <f>Sinistrés!M1757</f>
        <v>9.24</v>
      </c>
      <c r="F1752">
        <f t="shared" si="54"/>
        <v>0</v>
      </c>
      <c r="G1752">
        <f t="shared" si="55"/>
        <v>1</v>
      </c>
    </row>
    <row r="1753" spans="1:7" hidden="1">
      <c r="A1753" t="str">
        <f>Sinistrés!H1758</f>
        <v>Tournesol</v>
      </c>
      <c r="B1753">
        <f>Sinistrés!J1758</f>
        <v>23992.75</v>
      </c>
      <c r="C1753">
        <f>Sinistrés!X1758</f>
        <v>0</v>
      </c>
      <c r="D1753">
        <f>Sinistrés!L1758</f>
        <v>14.87</v>
      </c>
      <c r="E1753">
        <f>Sinistrés!M1758</f>
        <v>14.87</v>
      </c>
      <c r="F1753">
        <f t="shared" si="54"/>
        <v>0</v>
      </c>
      <c r="G1753">
        <f t="shared" si="55"/>
        <v>1</v>
      </c>
    </row>
    <row r="1754" spans="1:7" hidden="1">
      <c r="A1754" t="str">
        <f>Sinistrés!H1759</f>
        <v>Orge d'hiver</v>
      </c>
      <c r="B1754">
        <f>Sinistrés!J1759</f>
        <v>15803.47</v>
      </c>
      <c r="C1754">
        <f>Sinistrés!X1759</f>
        <v>0</v>
      </c>
      <c r="D1754">
        <f>Sinistrés!L1759</f>
        <v>17.12</v>
      </c>
      <c r="E1754">
        <f>Sinistrés!M1759</f>
        <v>17.12</v>
      </c>
      <c r="F1754">
        <f t="shared" si="54"/>
        <v>0</v>
      </c>
      <c r="G1754">
        <f t="shared" si="55"/>
        <v>1</v>
      </c>
    </row>
    <row r="1755" spans="1:7" hidden="1">
      <c r="A1755" t="str">
        <f>Sinistrés!H1760</f>
        <v>Blé tendre d'hiver</v>
      </c>
      <c r="B1755">
        <f>Sinistrés!J1760</f>
        <v>37453.67</v>
      </c>
      <c r="C1755">
        <f>Sinistrés!X1760</f>
        <v>0</v>
      </c>
      <c r="D1755">
        <f>Sinistrés!L1760</f>
        <v>37.79</v>
      </c>
      <c r="E1755">
        <f>Sinistrés!M1760</f>
        <v>37.79</v>
      </c>
      <c r="F1755">
        <f t="shared" si="54"/>
        <v>0</v>
      </c>
      <c r="G1755">
        <f t="shared" si="55"/>
        <v>1</v>
      </c>
    </row>
    <row r="1756" spans="1:7" hidden="1">
      <c r="A1756" t="str">
        <f>Sinistrés!H1761</f>
        <v>Orge d'hiver</v>
      </c>
      <c r="B1756">
        <f>Sinistrés!J1761</f>
        <v>11051.99</v>
      </c>
      <c r="C1756">
        <f>Sinistrés!X1761</f>
        <v>0</v>
      </c>
      <c r="D1756">
        <f>Sinistrés!L1761</f>
        <v>11.63</v>
      </c>
      <c r="E1756">
        <f>Sinistrés!M1761</f>
        <v>11.63</v>
      </c>
      <c r="F1756">
        <f t="shared" si="54"/>
        <v>0</v>
      </c>
      <c r="G1756">
        <f t="shared" si="55"/>
        <v>1</v>
      </c>
    </row>
    <row r="1757" spans="1:7" hidden="1">
      <c r="A1757" t="str">
        <f>Sinistrés!H1762</f>
        <v>Colza d'hiver</v>
      </c>
      <c r="B1757">
        <f>Sinistrés!J1762</f>
        <v>30420.400000000001</v>
      </c>
      <c r="C1757">
        <f>Sinistrés!X1762</f>
        <v>0</v>
      </c>
      <c r="D1757">
        <f>Sinistrés!L1762</f>
        <v>25.78</v>
      </c>
      <c r="E1757">
        <f>Sinistrés!M1762</f>
        <v>25.78</v>
      </c>
      <c r="F1757">
        <f t="shared" si="54"/>
        <v>0</v>
      </c>
      <c r="G1757">
        <f t="shared" si="55"/>
        <v>1</v>
      </c>
    </row>
    <row r="1758" spans="1:7" hidden="1">
      <c r="A1758" t="str">
        <f>Sinistrés!H1763</f>
        <v>Blé tendre d'hiver</v>
      </c>
      <c r="B1758">
        <f>Sinistrés!J1763</f>
        <v>52381.61</v>
      </c>
      <c r="C1758">
        <f>Sinistrés!X1763</f>
        <v>0</v>
      </c>
      <c r="D1758">
        <f>Sinistrés!L1763</f>
        <v>49.15</v>
      </c>
      <c r="E1758">
        <f>Sinistrés!M1763</f>
        <v>49.15</v>
      </c>
      <c r="F1758">
        <f t="shared" si="54"/>
        <v>0</v>
      </c>
      <c r="G1758">
        <f t="shared" si="55"/>
        <v>1</v>
      </c>
    </row>
    <row r="1759" spans="1:7" hidden="1">
      <c r="A1759" t="str">
        <f>Sinistrés!H1764</f>
        <v>Blé dur d'hiver</v>
      </c>
      <c r="B1759">
        <f>Sinistrés!J1764</f>
        <v>7155</v>
      </c>
      <c r="C1759">
        <f>Sinistrés!X1764</f>
        <v>0</v>
      </c>
      <c r="D1759">
        <f>Sinistrés!L1764</f>
        <v>4.5</v>
      </c>
      <c r="E1759">
        <f>Sinistrés!M1764</f>
        <v>4.5</v>
      </c>
      <c r="F1759">
        <f t="shared" si="54"/>
        <v>0</v>
      </c>
      <c r="G1759">
        <f t="shared" si="55"/>
        <v>1</v>
      </c>
    </row>
    <row r="1760" spans="1:7" hidden="1">
      <c r="A1760" t="str">
        <f>Sinistrés!H1765</f>
        <v>Blé tendre d'hiver</v>
      </c>
      <c r="B1760">
        <f>Sinistrés!J1765</f>
        <v>15002</v>
      </c>
      <c r="C1760">
        <f>Sinistrés!X1765</f>
        <v>0</v>
      </c>
      <c r="D1760">
        <f>Sinistrés!L1765</f>
        <v>13</v>
      </c>
      <c r="E1760">
        <f>Sinistrés!M1765</f>
        <v>13</v>
      </c>
      <c r="F1760">
        <f t="shared" si="54"/>
        <v>0</v>
      </c>
      <c r="G1760">
        <f t="shared" si="55"/>
        <v>1</v>
      </c>
    </row>
    <row r="1761" spans="1:7" hidden="1">
      <c r="A1761" t="str">
        <f>Sinistrés!H1766</f>
        <v>Orge d'hiver</v>
      </c>
      <c r="B1761">
        <f>Sinistrés!J1766</f>
        <v>14587</v>
      </c>
      <c r="C1761">
        <f>Sinistrés!X1766</f>
        <v>0</v>
      </c>
      <c r="D1761">
        <f>Sinistrés!L1766</f>
        <v>14.5</v>
      </c>
      <c r="E1761">
        <f>Sinistrés!M1766</f>
        <v>14.5</v>
      </c>
      <c r="F1761">
        <f t="shared" si="54"/>
        <v>0</v>
      </c>
      <c r="G1761">
        <f t="shared" si="55"/>
        <v>1</v>
      </c>
    </row>
    <row r="1762" spans="1:7" hidden="1">
      <c r="A1762" t="str">
        <f>Sinistrés!H1767</f>
        <v>Tournesol</v>
      </c>
      <c r="B1762">
        <f>Sinistrés!J1767</f>
        <v>11847.7</v>
      </c>
      <c r="C1762">
        <f>Sinistrés!X1767</f>
        <v>0</v>
      </c>
      <c r="D1762">
        <f>Sinistrés!L1767</f>
        <v>10</v>
      </c>
      <c r="E1762">
        <f>Sinistrés!M1767</f>
        <v>10</v>
      </c>
      <c r="F1762">
        <f t="shared" si="54"/>
        <v>0</v>
      </c>
      <c r="G1762">
        <f t="shared" si="55"/>
        <v>1</v>
      </c>
    </row>
    <row r="1763" spans="1:7" hidden="1">
      <c r="A1763" t="str">
        <f>Sinistrés!H1768</f>
        <v>Tournesol</v>
      </c>
      <c r="B1763">
        <f>Sinistrés!J1768</f>
        <v>150116.85</v>
      </c>
      <c r="C1763">
        <f>Sinistrés!X1768</f>
        <v>0</v>
      </c>
      <c r="D1763">
        <f>Sinistrés!L1768</f>
        <v>43.55</v>
      </c>
      <c r="E1763">
        <f>Sinistrés!M1768</f>
        <v>5</v>
      </c>
      <c r="F1763">
        <f t="shared" si="54"/>
        <v>0</v>
      </c>
      <c r="G1763">
        <f t="shared" si="55"/>
        <v>0.11481056257175661</v>
      </c>
    </row>
    <row r="1764" spans="1:7" hidden="1">
      <c r="A1764" t="str">
        <f>Sinistrés!H1769</f>
        <v>Pois secs / Pois Chiches BIO</v>
      </c>
      <c r="B1764">
        <f>Sinistrés!J1769</f>
        <v>30667.45</v>
      </c>
      <c r="C1764">
        <f>Sinistrés!X1769</f>
        <v>5954.41</v>
      </c>
      <c r="D1764">
        <f>Sinistrés!L1769</f>
        <v>20.350000000000001</v>
      </c>
      <c r="E1764">
        <f>Sinistrés!M1769</f>
        <v>20.350000000000001</v>
      </c>
      <c r="F1764">
        <f t="shared" si="54"/>
        <v>0.19416058394160582</v>
      </c>
      <c r="G1764">
        <f t="shared" si="55"/>
        <v>1</v>
      </c>
    </row>
    <row r="1765" spans="1:7" hidden="1">
      <c r="A1765" t="str">
        <f>Sinistrés!H1770</f>
        <v>Colza d'hiver</v>
      </c>
      <c r="B1765">
        <f>Sinistrés!J1770</f>
        <v>14162.9</v>
      </c>
      <c r="C1765">
        <f>Sinistrés!X1770</f>
        <v>0</v>
      </c>
      <c r="D1765">
        <f>Sinistrés!L1770</f>
        <v>9.69</v>
      </c>
      <c r="E1765">
        <f>Sinistrés!M1770</f>
        <v>9.69</v>
      </c>
      <c r="F1765">
        <f t="shared" si="54"/>
        <v>0</v>
      </c>
      <c r="G1765">
        <f t="shared" si="55"/>
        <v>1</v>
      </c>
    </row>
    <row r="1766" spans="1:7" hidden="1">
      <c r="A1766" t="str">
        <f>Sinistrés!H1771</f>
        <v>Blé tendre d'hiver</v>
      </c>
      <c r="B1766">
        <f>Sinistrés!J1771</f>
        <v>29715.89</v>
      </c>
      <c r="C1766">
        <f>Sinistrés!X1771</f>
        <v>0</v>
      </c>
      <c r="D1766">
        <f>Sinistrés!L1771</f>
        <v>26.57</v>
      </c>
      <c r="E1766">
        <f>Sinistrés!M1771</f>
        <v>26.27</v>
      </c>
      <c r="F1766">
        <f t="shared" si="54"/>
        <v>0</v>
      </c>
      <c r="G1766">
        <f t="shared" si="55"/>
        <v>0.9887090703801279</v>
      </c>
    </row>
    <row r="1767" spans="1:7">
      <c r="A1767" t="str">
        <f>Sinistrés!H1772</f>
        <v>Orge d'hiver</v>
      </c>
      <c r="B1767">
        <f>Sinistrés!J1772</f>
        <v>4039.56</v>
      </c>
      <c r="C1767">
        <f>Sinistrés!X1772</f>
        <v>553.77</v>
      </c>
      <c r="D1767">
        <f>Sinistrés!L1772</f>
        <v>4.58</v>
      </c>
      <c r="E1767">
        <f>Sinistrés!M1772</f>
        <v>4.58</v>
      </c>
      <c r="F1767">
        <f t="shared" si="54"/>
        <v>0.13708671241422332</v>
      </c>
      <c r="G1767">
        <f t="shared" si="55"/>
        <v>1</v>
      </c>
    </row>
    <row r="1768" spans="1:7" hidden="1">
      <c r="A1768" t="str">
        <f>Sinistrés!H1773</f>
        <v>Colza d'hiver</v>
      </c>
      <c r="B1768">
        <f>Sinistrés!J1773</f>
        <v>28071.87</v>
      </c>
      <c r="C1768">
        <f>Sinistrés!X1773</f>
        <v>0</v>
      </c>
      <c r="D1768">
        <f>Sinistrés!L1773</f>
        <v>23.57</v>
      </c>
      <c r="E1768">
        <f>Sinistrés!M1773</f>
        <v>23.57</v>
      </c>
      <c r="F1768">
        <f t="shared" si="54"/>
        <v>0</v>
      </c>
      <c r="G1768">
        <f t="shared" si="55"/>
        <v>1</v>
      </c>
    </row>
    <row r="1769" spans="1:7">
      <c r="A1769" t="str">
        <f>Sinistrés!H1774</f>
        <v>Blé tendre d'hiver</v>
      </c>
      <c r="B1769">
        <f>Sinistrés!J1774</f>
        <v>36847.25</v>
      </c>
      <c r="C1769">
        <f>Sinistrés!X1774</f>
        <v>2767.57</v>
      </c>
      <c r="D1769">
        <f>Sinistrés!L1774</f>
        <v>31.55</v>
      </c>
      <c r="E1769">
        <f>Sinistrés!M1774</f>
        <v>31.55</v>
      </c>
      <c r="F1769">
        <f t="shared" si="54"/>
        <v>7.510926866998216E-2</v>
      </c>
      <c r="G1769">
        <f t="shared" si="55"/>
        <v>1</v>
      </c>
    </row>
    <row r="1770" spans="1:7" hidden="1">
      <c r="A1770" t="str">
        <f>Sinistrés!H1775</f>
        <v>Orge d'hiver</v>
      </c>
      <c r="B1770">
        <f>Sinistrés!J1775</f>
        <v>20540.12</v>
      </c>
      <c r="C1770">
        <f>Sinistrés!X1775</f>
        <v>0</v>
      </c>
      <c r="D1770">
        <f>Sinistrés!L1775</f>
        <v>20.97</v>
      </c>
      <c r="E1770">
        <f>Sinistrés!M1775</f>
        <v>20.97</v>
      </c>
      <c r="F1770">
        <f t="shared" si="54"/>
        <v>0</v>
      </c>
      <c r="G1770">
        <f t="shared" si="55"/>
        <v>1</v>
      </c>
    </row>
    <row r="1771" spans="1:7">
      <c r="A1771" t="str">
        <f>Sinistrés!H1776</f>
        <v>Triticale</v>
      </c>
      <c r="B1771">
        <f>Sinistrés!J1776</f>
        <v>8303.76</v>
      </c>
      <c r="C1771">
        <f>Sinistrés!X1776</f>
        <v>2019.17</v>
      </c>
      <c r="D1771">
        <f>Sinistrés!L1776</f>
        <v>9.1199999999999992</v>
      </c>
      <c r="E1771">
        <f>Sinistrés!M1776</f>
        <v>9.1199999999999992</v>
      </c>
      <c r="F1771">
        <f t="shared" si="54"/>
        <v>0.24316333805408635</v>
      </c>
      <c r="G1771">
        <f t="shared" si="55"/>
        <v>1</v>
      </c>
    </row>
    <row r="1772" spans="1:7" hidden="1">
      <c r="A1772" t="str">
        <f>Sinistrés!H1777</f>
        <v>Tournesol</v>
      </c>
      <c r="B1772">
        <f>Sinistrés!J1777</f>
        <v>8680.26</v>
      </c>
      <c r="C1772">
        <f>Sinistrés!X1777</f>
        <v>0</v>
      </c>
      <c r="D1772">
        <f>Sinistrés!L1777</f>
        <v>8.84</v>
      </c>
      <c r="E1772">
        <f>Sinistrés!M1777</f>
        <v>8.84</v>
      </c>
      <c r="F1772">
        <f t="shared" si="54"/>
        <v>0</v>
      </c>
      <c r="G1772">
        <f t="shared" si="55"/>
        <v>1</v>
      </c>
    </row>
    <row r="1773" spans="1:7" hidden="1">
      <c r="A1773" t="str">
        <f>Sinistrés!H1778</f>
        <v>Blé tendre d'hiver</v>
      </c>
      <c r="B1773">
        <f>Sinistrés!J1778</f>
        <v>12137.85</v>
      </c>
      <c r="C1773">
        <f>Sinistrés!X1778</f>
        <v>0</v>
      </c>
      <c r="D1773">
        <f>Sinistrés!L1778</f>
        <v>12.85</v>
      </c>
      <c r="E1773">
        <f>Sinistrés!M1778</f>
        <v>12.85</v>
      </c>
      <c r="F1773">
        <f t="shared" si="54"/>
        <v>0</v>
      </c>
      <c r="G1773">
        <f t="shared" si="55"/>
        <v>1</v>
      </c>
    </row>
    <row r="1774" spans="1:7" hidden="1">
      <c r="A1774" t="str">
        <f>Sinistrés!H1779</f>
        <v>Colza d'hiver</v>
      </c>
      <c r="B1774">
        <f>Sinistrés!J1779</f>
        <v>10275</v>
      </c>
      <c r="C1774">
        <f>Sinistrés!X1779</f>
        <v>0</v>
      </c>
      <c r="D1774">
        <f>Sinistrés!L1779</f>
        <v>10.11</v>
      </c>
      <c r="E1774">
        <f>Sinistrés!M1779</f>
        <v>10.11</v>
      </c>
      <c r="F1774">
        <f t="shared" si="54"/>
        <v>0</v>
      </c>
      <c r="G1774">
        <f t="shared" si="55"/>
        <v>1</v>
      </c>
    </row>
    <row r="1775" spans="1:7" hidden="1">
      <c r="A1775" t="str">
        <f>Sinistrés!H1780</f>
        <v>Blé tendre d'hiver</v>
      </c>
      <c r="B1775">
        <f>Sinistrés!J1780</f>
        <v>22457.09</v>
      </c>
      <c r="C1775">
        <f>Sinistrés!X1780</f>
        <v>0</v>
      </c>
      <c r="D1775">
        <f>Sinistrés!L1780</f>
        <v>28.8</v>
      </c>
      <c r="E1775">
        <f>Sinistrés!M1780</f>
        <v>12.3</v>
      </c>
      <c r="F1775">
        <f t="shared" si="54"/>
        <v>0</v>
      </c>
      <c r="G1775">
        <f t="shared" si="55"/>
        <v>0.42708333333333337</v>
      </c>
    </row>
    <row r="1776" spans="1:7" hidden="1">
      <c r="A1776" t="str">
        <f>Sinistrés!H1781</f>
        <v>Maïs grain irrigué</v>
      </c>
      <c r="B1776">
        <f>Sinistrés!J1781</f>
        <v>58696</v>
      </c>
      <c r="C1776">
        <f>Sinistrés!X1781</f>
        <v>0</v>
      </c>
      <c r="D1776">
        <f>Sinistrés!L1781</f>
        <v>44</v>
      </c>
      <c r="E1776">
        <f>Sinistrés!M1781</f>
        <v>20</v>
      </c>
      <c r="F1776">
        <f t="shared" si="54"/>
        <v>0</v>
      </c>
      <c r="G1776">
        <f t="shared" si="55"/>
        <v>0.45454545454545453</v>
      </c>
    </row>
    <row r="1777" spans="1:7">
      <c r="A1777" t="str">
        <f>Sinistrés!H1782</f>
        <v>Tournesol</v>
      </c>
      <c r="B1777">
        <f>Sinistrés!J1782</f>
        <v>34904.400000000001</v>
      </c>
      <c r="C1777">
        <f>Sinistrés!X1782</f>
        <v>3100</v>
      </c>
      <c r="D1777">
        <f>Sinistrés!L1782</f>
        <v>51.33</v>
      </c>
      <c r="E1777">
        <f>Sinistrés!M1782</f>
        <v>51.33</v>
      </c>
      <c r="F1777">
        <f t="shared" si="54"/>
        <v>8.8814017716964053E-2</v>
      </c>
      <c r="G1777">
        <f t="shared" si="55"/>
        <v>1</v>
      </c>
    </row>
    <row r="1778" spans="1:7" hidden="1">
      <c r="A1778" t="str">
        <f>Sinistrés!H1783</f>
        <v>Blé dur d'hiver</v>
      </c>
      <c r="B1778">
        <f>Sinistrés!J1783</f>
        <v>16807.189999999999</v>
      </c>
      <c r="C1778">
        <f>Sinistrés!X1783</f>
        <v>0</v>
      </c>
      <c r="D1778">
        <f>Sinistrés!L1783</f>
        <v>11.44</v>
      </c>
      <c r="E1778">
        <f>Sinistrés!M1783</f>
        <v>9</v>
      </c>
      <c r="F1778">
        <f t="shared" si="54"/>
        <v>0</v>
      </c>
      <c r="G1778">
        <f t="shared" si="55"/>
        <v>0.78671328671328677</v>
      </c>
    </row>
    <row r="1779" spans="1:7" hidden="1">
      <c r="A1779" t="str">
        <f>Sinistrés!H1784</f>
        <v>Blé tendre d'hiver</v>
      </c>
      <c r="B1779">
        <f>Sinistrés!J1784</f>
        <v>44002.41</v>
      </c>
      <c r="C1779">
        <f>Sinistrés!X1784</f>
        <v>0</v>
      </c>
      <c r="D1779">
        <f>Sinistrés!L1784</f>
        <v>37.24</v>
      </c>
      <c r="E1779">
        <f>Sinistrés!M1784</f>
        <v>10</v>
      </c>
      <c r="F1779">
        <f t="shared" si="54"/>
        <v>0</v>
      </c>
      <c r="G1779">
        <f t="shared" si="55"/>
        <v>0.26852846401718583</v>
      </c>
    </row>
    <row r="1780" spans="1:7" hidden="1">
      <c r="A1780" t="str">
        <f>Sinistrés!H1785</f>
        <v>Colza d'hiver</v>
      </c>
      <c r="B1780">
        <f>Sinistrés!J1785</f>
        <v>32866.519999999997</v>
      </c>
      <c r="C1780">
        <f>Sinistrés!X1785</f>
        <v>0</v>
      </c>
      <c r="D1780">
        <f>Sinistrés!L1785</f>
        <v>25.24</v>
      </c>
      <c r="E1780">
        <f>Sinistrés!M1785</f>
        <v>17</v>
      </c>
      <c r="F1780">
        <f t="shared" si="54"/>
        <v>0</v>
      </c>
      <c r="G1780">
        <f t="shared" si="55"/>
        <v>0.67353407290015854</v>
      </c>
    </row>
    <row r="1781" spans="1:7" hidden="1">
      <c r="A1781" t="str">
        <f>Sinistrés!H1786</f>
        <v>Triticale</v>
      </c>
      <c r="B1781">
        <f>Sinistrés!J1786</f>
        <v>2895.58</v>
      </c>
      <c r="C1781">
        <f>Sinistrés!X1786</f>
        <v>0</v>
      </c>
      <c r="D1781">
        <f>Sinistrés!L1786</f>
        <v>4.12</v>
      </c>
      <c r="E1781">
        <f>Sinistrés!M1786</f>
        <v>4.0999999999999996</v>
      </c>
      <c r="F1781">
        <f t="shared" si="54"/>
        <v>0</v>
      </c>
      <c r="G1781">
        <f t="shared" si="55"/>
        <v>0.99514563106796106</v>
      </c>
    </row>
    <row r="1782" spans="1:7" hidden="1">
      <c r="A1782" t="str">
        <f>Sinistrés!H1787</f>
        <v>Pois protéagineux</v>
      </c>
      <c r="B1782">
        <f>Sinistrés!J1787</f>
        <v>17540.830000000002</v>
      </c>
      <c r="C1782">
        <f>Sinistrés!X1787</f>
        <v>0</v>
      </c>
      <c r="D1782">
        <f>Sinistrés!L1787</f>
        <v>23.81</v>
      </c>
      <c r="E1782">
        <f>Sinistrés!M1787</f>
        <v>23.81</v>
      </c>
      <c r="F1782">
        <f t="shared" si="54"/>
        <v>0</v>
      </c>
      <c r="G1782">
        <f t="shared" si="55"/>
        <v>1</v>
      </c>
    </row>
    <row r="1783" spans="1:7" hidden="1">
      <c r="A1783" t="str">
        <f>Sinistrés!H1788</f>
        <v>Orge d'hiver</v>
      </c>
      <c r="B1783">
        <f>Sinistrés!J1788</f>
        <v>5232</v>
      </c>
      <c r="C1783">
        <f>Sinistrés!X1788</f>
        <v>0</v>
      </c>
      <c r="D1783">
        <f>Sinistrés!L1788</f>
        <v>6</v>
      </c>
      <c r="E1783">
        <f>Sinistrés!M1788</f>
        <v>6</v>
      </c>
      <c r="F1783">
        <f t="shared" si="54"/>
        <v>0</v>
      </c>
      <c r="G1783">
        <f t="shared" si="55"/>
        <v>1</v>
      </c>
    </row>
    <row r="1784" spans="1:7">
      <c r="A1784" t="str">
        <f>Sinistrés!H1789</f>
        <v>Orge d'hiver</v>
      </c>
      <c r="B1784">
        <f>Sinistrés!J1789</f>
        <v>14234.99</v>
      </c>
      <c r="C1784">
        <f>Sinistrés!X1789</f>
        <v>514.20000000000005</v>
      </c>
      <c r="D1784">
        <f>Sinistrés!L1789</f>
        <v>15.29</v>
      </c>
      <c r="E1784">
        <f>Sinistrés!M1789</f>
        <v>15.29</v>
      </c>
      <c r="F1784">
        <f t="shared" si="54"/>
        <v>3.6122259306118239E-2</v>
      </c>
      <c r="G1784">
        <f t="shared" si="55"/>
        <v>1</v>
      </c>
    </row>
    <row r="1785" spans="1:7" hidden="1">
      <c r="A1785" t="str">
        <f>Sinistrés!H1790</f>
        <v>Blé tendre d'hiver</v>
      </c>
      <c r="B1785">
        <f>Sinistrés!J1790</f>
        <v>31968</v>
      </c>
      <c r="C1785">
        <f>Sinistrés!X1790</f>
        <v>0</v>
      </c>
      <c r="D1785">
        <f>Sinistrés!L1790</f>
        <v>33.299999999999997</v>
      </c>
      <c r="E1785">
        <f>Sinistrés!M1790</f>
        <v>33.299999999999997</v>
      </c>
      <c r="F1785">
        <f t="shared" si="54"/>
        <v>0</v>
      </c>
      <c r="G1785">
        <f t="shared" si="55"/>
        <v>1</v>
      </c>
    </row>
    <row r="1786" spans="1:7">
      <c r="A1786" t="str">
        <f>Sinistrés!H1791</f>
        <v>Orge d'hiver</v>
      </c>
      <c r="B1786">
        <f>Sinistrés!J1791</f>
        <v>13373.82</v>
      </c>
      <c r="C1786">
        <f>Sinistrés!X1791</f>
        <v>2588.4</v>
      </c>
      <c r="D1786">
        <f>Sinistrés!L1791</f>
        <v>15.56</v>
      </c>
      <c r="E1786">
        <f>Sinistrés!M1791</f>
        <v>15.56</v>
      </c>
      <c r="F1786">
        <f t="shared" si="54"/>
        <v>0.19354230877939138</v>
      </c>
      <c r="G1786">
        <f t="shared" si="55"/>
        <v>1</v>
      </c>
    </row>
    <row r="1787" spans="1:7" hidden="1">
      <c r="A1787" t="str">
        <f>Sinistrés!H1792</f>
        <v xml:space="preserve">Colza d'hiver </v>
      </c>
      <c r="B1787">
        <f>Sinistrés!J1792</f>
        <v>34100.239999999998</v>
      </c>
      <c r="C1787">
        <f>Sinistrés!X1792</f>
        <v>0</v>
      </c>
      <c r="D1787">
        <f>Sinistrés!L1792</f>
        <v>23.09</v>
      </c>
      <c r="E1787">
        <f>Sinistrés!M1792</f>
        <v>23.09</v>
      </c>
      <c r="F1787">
        <f t="shared" si="54"/>
        <v>0</v>
      </c>
      <c r="G1787">
        <f t="shared" si="55"/>
        <v>1</v>
      </c>
    </row>
    <row r="1788" spans="1:7" hidden="1">
      <c r="A1788" t="str">
        <f>Sinistrés!H1793</f>
        <v>Blé tendre d'hiver</v>
      </c>
      <c r="B1788">
        <f>Sinistrés!J1793</f>
        <v>50982.2</v>
      </c>
      <c r="C1788">
        <f>Sinistrés!X1793</f>
        <v>0</v>
      </c>
      <c r="D1788">
        <f>Sinistrés!L1793</f>
        <v>40.76</v>
      </c>
      <c r="E1788">
        <f>Sinistrés!M1793</f>
        <v>40.76</v>
      </c>
      <c r="F1788">
        <f t="shared" si="54"/>
        <v>0</v>
      </c>
      <c r="G1788">
        <f t="shared" si="55"/>
        <v>1</v>
      </c>
    </row>
    <row r="1789" spans="1:7" hidden="1">
      <c r="A1789" t="str">
        <f>Sinistrés!H1794</f>
        <v>Colza d'hiver</v>
      </c>
      <c r="B1789">
        <f>Sinistrés!J1794</f>
        <v>28884</v>
      </c>
      <c r="C1789">
        <f>Sinistrés!X1794</f>
        <v>0</v>
      </c>
      <c r="D1789">
        <f>Sinistrés!L1794</f>
        <v>24.07</v>
      </c>
      <c r="E1789">
        <f>Sinistrés!M1794</f>
        <v>24.06</v>
      </c>
      <c r="F1789">
        <f t="shared" si="54"/>
        <v>0</v>
      </c>
      <c r="G1789">
        <f t="shared" si="55"/>
        <v>0.99958454507685912</v>
      </c>
    </row>
    <row r="1790" spans="1:7">
      <c r="A1790" t="str">
        <f>Sinistrés!H1795</f>
        <v>Blé dur d'hiver</v>
      </c>
      <c r="B1790">
        <f>Sinistrés!J1795</f>
        <v>27684</v>
      </c>
      <c r="C1790">
        <f>Sinistrés!X1795</f>
        <v>1105</v>
      </c>
      <c r="D1790">
        <f>Sinistrés!L1795</f>
        <v>15.38</v>
      </c>
      <c r="E1790">
        <f>Sinistrés!M1795</f>
        <v>15.37</v>
      </c>
      <c r="F1790">
        <f t="shared" si="54"/>
        <v>3.9914752203438812E-2</v>
      </c>
      <c r="G1790">
        <f t="shared" si="55"/>
        <v>0.99934980494148229</v>
      </c>
    </row>
    <row r="1791" spans="1:7">
      <c r="A1791" t="str">
        <f>Sinistrés!H1796</f>
        <v>Blé tendre d'hiver</v>
      </c>
      <c r="B1791">
        <f>Sinistrés!J1796</f>
        <v>79872</v>
      </c>
      <c r="C1791">
        <f>Sinistrés!X1796</f>
        <v>18632.2</v>
      </c>
      <c r="D1791">
        <f>Sinistrés!L1796</f>
        <v>66.56</v>
      </c>
      <c r="E1791">
        <f>Sinistrés!M1796</f>
        <v>66.55</v>
      </c>
      <c r="F1791">
        <f t="shared" si="54"/>
        <v>0.23327574118589745</v>
      </c>
      <c r="G1791">
        <f t="shared" si="55"/>
        <v>0.99984975961538458</v>
      </c>
    </row>
    <row r="1792" spans="1:7">
      <c r="A1792" t="str">
        <f>Sinistrés!H1797</f>
        <v>Tournesol</v>
      </c>
      <c r="B1792">
        <f>Sinistrés!J1797</f>
        <v>21696</v>
      </c>
      <c r="C1792">
        <f>Sinistrés!X1797</f>
        <v>6617.28</v>
      </c>
      <c r="D1792">
        <f>Sinistrés!L1797</f>
        <v>27.12</v>
      </c>
      <c r="E1792">
        <f>Sinistrés!M1797</f>
        <v>27.12</v>
      </c>
      <c r="F1792">
        <f t="shared" si="54"/>
        <v>0.30499999999999999</v>
      </c>
      <c r="G1792">
        <f t="shared" si="55"/>
        <v>1</v>
      </c>
    </row>
    <row r="1793" spans="1:7">
      <c r="A1793" t="str">
        <f>Sinistrés!H1798</f>
        <v>Blé tendre d'hiver</v>
      </c>
      <c r="B1793">
        <f>Sinistrés!J1798</f>
        <v>44524.35</v>
      </c>
      <c r="C1793">
        <f>Sinistrés!X1798</f>
        <v>732.57</v>
      </c>
      <c r="D1793">
        <f>Sinistrés!L1798</f>
        <v>50.31</v>
      </c>
      <c r="E1793">
        <f>Sinistrés!M1798</f>
        <v>51</v>
      </c>
      <c r="F1793">
        <f t="shared" si="54"/>
        <v>1.6453244123721067E-2</v>
      </c>
      <c r="G1793">
        <f t="shared" si="55"/>
        <v>1.0137149672033392</v>
      </c>
    </row>
    <row r="1794" spans="1:7">
      <c r="A1794" t="str">
        <f>Sinistrés!H1799</f>
        <v>Tournesol</v>
      </c>
      <c r="B1794">
        <f>Sinistrés!J1799</f>
        <v>30024</v>
      </c>
      <c r="C1794">
        <f>Sinistrés!X1799</f>
        <v>8882.1</v>
      </c>
      <c r="D1794">
        <f>Sinistrés!L1799</f>
        <v>41.7</v>
      </c>
      <c r="E1794">
        <f>Sinistrés!M1799</f>
        <v>41</v>
      </c>
      <c r="F1794">
        <f t="shared" si="54"/>
        <v>0.29583333333333334</v>
      </c>
      <c r="G1794">
        <f t="shared" si="55"/>
        <v>0.98321342925659461</v>
      </c>
    </row>
    <row r="1795" spans="1:7" hidden="1">
      <c r="A1795" t="str">
        <f>Sinistrés!H1800</f>
        <v>Maïs grain non irrigué</v>
      </c>
      <c r="B1795">
        <f>Sinistrés!J1800</f>
        <v>0</v>
      </c>
      <c r="C1795">
        <f>Sinistrés!X1800</f>
        <v>0</v>
      </c>
      <c r="D1795">
        <f>Sinistrés!L1800</f>
        <v>0</v>
      </c>
      <c r="E1795">
        <f>Sinistrés!M1800</f>
        <v>14</v>
      </c>
      <c r="F1795" t="e">
        <f t="shared" ref="F1795:F1858" si="56">C1795/B1795</f>
        <v>#DIV/0!</v>
      </c>
      <c r="G1795" t="e">
        <f t="shared" ref="G1795:G1858" si="57">E1795/D1795</f>
        <v>#DIV/0!</v>
      </c>
    </row>
    <row r="1796" spans="1:7" hidden="1">
      <c r="A1796" t="str">
        <f>Sinistrés!H1801</f>
        <v>Blé tendre d'hiver</v>
      </c>
      <c r="B1796">
        <f>Sinistrés!J1801</f>
        <v>21580.74</v>
      </c>
      <c r="C1796">
        <f>Sinistrés!X1801</f>
        <v>0</v>
      </c>
      <c r="D1796">
        <f>Sinistrés!L1801</f>
        <v>15.22</v>
      </c>
      <c r="E1796">
        <f>Sinistrés!M1801</f>
        <v>15.22</v>
      </c>
      <c r="F1796">
        <f t="shared" si="56"/>
        <v>0</v>
      </c>
      <c r="G1796">
        <f t="shared" si="57"/>
        <v>1</v>
      </c>
    </row>
    <row r="1797" spans="1:7" hidden="1">
      <c r="A1797" t="str">
        <f>Sinistrés!H1802</f>
        <v>Orge d'hiver</v>
      </c>
      <c r="B1797">
        <f>Sinistrés!J1802</f>
        <v>14539.77</v>
      </c>
      <c r="C1797">
        <f>Sinistrés!X1802</f>
        <v>0</v>
      </c>
      <c r="D1797">
        <f>Sinistrés!L1802</f>
        <v>14.13</v>
      </c>
      <c r="E1797">
        <f>Sinistrés!M1802</f>
        <v>14.13</v>
      </c>
      <c r="F1797">
        <f t="shared" si="56"/>
        <v>0</v>
      </c>
      <c r="G1797">
        <f t="shared" si="57"/>
        <v>1</v>
      </c>
    </row>
    <row r="1798" spans="1:7" hidden="1">
      <c r="A1798" t="str">
        <f>Sinistrés!H1803</f>
        <v>Tournesol</v>
      </c>
      <c r="B1798">
        <f>Sinistrés!J1803</f>
        <v>20560.599999999999</v>
      </c>
      <c r="C1798">
        <f>Sinistrés!X1803</f>
        <v>0</v>
      </c>
      <c r="D1798">
        <f>Sinistrés!L1803</f>
        <v>20</v>
      </c>
      <c r="E1798">
        <f>Sinistrés!M1803</f>
        <v>20</v>
      </c>
      <c r="F1798">
        <f t="shared" si="56"/>
        <v>0</v>
      </c>
      <c r="G1798">
        <f t="shared" si="57"/>
        <v>1</v>
      </c>
    </row>
    <row r="1799" spans="1:7" hidden="1">
      <c r="A1799" t="str">
        <f>Sinistrés!H1804</f>
        <v>Maïs grain non irrigué</v>
      </c>
      <c r="B1799">
        <f>Sinistrés!J1804</f>
        <v>12645.67</v>
      </c>
      <c r="C1799">
        <f>Sinistrés!X1804</f>
        <v>0</v>
      </c>
      <c r="D1799">
        <f>Sinistrés!L1804</f>
        <v>6.71</v>
      </c>
      <c r="E1799">
        <f>Sinistrés!M1804</f>
        <v>2.4500000000000002</v>
      </c>
      <c r="F1799">
        <f t="shared" si="56"/>
        <v>0</v>
      </c>
      <c r="G1799">
        <f t="shared" si="57"/>
        <v>0.36512667660208648</v>
      </c>
    </row>
    <row r="1800" spans="1:7" hidden="1">
      <c r="A1800" t="str">
        <f>Sinistrés!H1805</f>
        <v>Colza d'hiver</v>
      </c>
      <c r="B1800">
        <f>Sinistrés!J1805</f>
        <v>12212.87</v>
      </c>
      <c r="C1800">
        <f>Sinistrés!X1805</f>
        <v>0</v>
      </c>
      <c r="D1800">
        <f>Sinistrés!L1805</f>
        <v>9.59</v>
      </c>
      <c r="E1800">
        <f>Sinistrés!M1805</f>
        <v>9.58</v>
      </c>
      <c r="F1800">
        <f t="shared" si="56"/>
        <v>0</v>
      </c>
      <c r="G1800">
        <f t="shared" si="57"/>
        <v>0.99895724713242962</v>
      </c>
    </row>
    <row r="1801" spans="1:7">
      <c r="A1801" t="str">
        <f>Sinistrés!H1806</f>
        <v>Blé tendre d'hiver</v>
      </c>
      <c r="B1801">
        <f>Sinistrés!J1806</f>
        <v>65208</v>
      </c>
      <c r="C1801">
        <f>Sinistrés!X1806</f>
        <v>1681.02</v>
      </c>
      <c r="D1801">
        <f>Sinistrés!L1806</f>
        <v>49.4</v>
      </c>
      <c r="E1801">
        <f>Sinistrés!M1806</f>
        <v>18.04</v>
      </c>
      <c r="F1801">
        <f t="shared" si="56"/>
        <v>2.5779352226720648E-2</v>
      </c>
      <c r="G1801">
        <f t="shared" si="57"/>
        <v>0.3651821862348178</v>
      </c>
    </row>
    <row r="1802" spans="1:7" hidden="1">
      <c r="A1802" t="str">
        <f>Sinistrés!H1807</f>
        <v>Orge de printemps</v>
      </c>
      <c r="B1802">
        <f>Sinistrés!J1807</f>
        <v>25396.799999999999</v>
      </c>
      <c r="C1802">
        <f>Sinistrés!X1807</f>
        <v>0</v>
      </c>
      <c r="D1802">
        <f>Sinistrés!L1807</f>
        <v>28.86</v>
      </c>
      <c r="E1802">
        <f>Sinistrés!M1807</f>
        <v>28.85</v>
      </c>
      <c r="F1802">
        <f t="shared" si="56"/>
        <v>0</v>
      </c>
      <c r="G1802">
        <f t="shared" si="57"/>
        <v>0.9996534996534997</v>
      </c>
    </row>
    <row r="1803" spans="1:7">
      <c r="A1803" t="str">
        <f>Sinistrés!H1808</f>
        <v>Orge d'hiver</v>
      </c>
      <c r="B1803">
        <f>Sinistrés!J1808</f>
        <v>47902.32</v>
      </c>
      <c r="C1803">
        <f>Sinistrés!X1808</f>
        <v>4005.93</v>
      </c>
      <c r="D1803">
        <f>Sinistrés!L1808</f>
        <v>39.72</v>
      </c>
      <c r="E1803">
        <f>Sinistrés!M1808</f>
        <v>35.89</v>
      </c>
      <c r="F1803">
        <f t="shared" si="56"/>
        <v>8.3627056059080232E-2</v>
      </c>
      <c r="G1803">
        <f t="shared" si="57"/>
        <v>0.90357502517623367</v>
      </c>
    </row>
    <row r="1804" spans="1:7" hidden="1">
      <c r="A1804" t="str">
        <f>Sinistrés!H1809</f>
        <v>Triticale</v>
      </c>
      <c r="B1804">
        <f>Sinistrés!J1809</f>
        <v>3987.75</v>
      </c>
      <c r="C1804">
        <f>Sinistrés!X1809</f>
        <v>0</v>
      </c>
      <c r="D1804">
        <f>Sinistrés!L1809</f>
        <v>4.09</v>
      </c>
      <c r="E1804">
        <f>Sinistrés!M1809</f>
        <v>4.07</v>
      </c>
      <c r="F1804">
        <f t="shared" si="56"/>
        <v>0</v>
      </c>
      <c r="G1804">
        <f t="shared" si="57"/>
        <v>0.99511002444987784</v>
      </c>
    </row>
    <row r="1805" spans="1:7" hidden="1">
      <c r="A1805" t="str">
        <f>Sinistrés!H1810</f>
        <v>Tournesol</v>
      </c>
      <c r="B1805">
        <f>Sinistrés!J1810</f>
        <v>23446.799999999999</v>
      </c>
      <c r="C1805">
        <f>Sinistrés!X1810</f>
        <v>0</v>
      </c>
      <c r="D1805">
        <f>Sinistrés!L1810</f>
        <v>20.04</v>
      </c>
      <c r="E1805">
        <f>Sinistrés!M1810</f>
        <v>19.510000000000002</v>
      </c>
      <c r="F1805">
        <f t="shared" si="56"/>
        <v>0</v>
      </c>
      <c r="G1805">
        <f t="shared" si="57"/>
        <v>0.97355289421157698</v>
      </c>
    </row>
    <row r="1806" spans="1:7" hidden="1">
      <c r="A1806" t="str">
        <f>Sinistrés!H1811</f>
        <v>Blé tendre d'hiver</v>
      </c>
      <c r="B1806">
        <f>Sinistrés!J1811</f>
        <v>29351.52</v>
      </c>
      <c r="C1806">
        <f>Sinistrés!X1811</f>
        <v>0</v>
      </c>
      <c r="D1806">
        <f>Sinistrés!L1811</f>
        <v>26.16</v>
      </c>
      <c r="E1806">
        <f>Sinistrés!M1811</f>
        <v>26.16</v>
      </c>
      <c r="F1806">
        <f t="shared" si="56"/>
        <v>0</v>
      </c>
      <c r="G1806">
        <f t="shared" si="57"/>
        <v>1</v>
      </c>
    </row>
    <row r="1807" spans="1:7" hidden="1">
      <c r="A1807" t="str">
        <f>Sinistrés!H1812</f>
        <v>Colza d'hiver</v>
      </c>
      <c r="B1807">
        <f>Sinistrés!J1812</f>
        <v>23413.47</v>
      </c>
      <c r="C1807">
        <f>Sinistrés!X1812</f>
        <v>0</v>
      </c>
      <c r="D1807">
        <f>Sinistrés!L1812</f>
        <v>18.43</v>
      </c>
      <c r="E1807">
        <f>Sinistrés!M1812</f>
        <v>18.43</v>
      </c>
      <c r="F1807">
        <f t="shared" si="56"/>
        <v>0</v>
      </c>
      <c r="G1807">
        <f t="shared" si="57"/>
        <v>1</v>
      </c>
    </row>
    <row r="1808" spans="1:7" hidden="1">
      <c r="A1808" t="str">
        <f>Sinistrés!H1813</f>
        <v>Blé tendre d'hiver</v>
      </c>
      <c r="B1808">
        <f>Sinistrés!J1813</f>
        <v>51040.7</v>
      </c>
      <c r="C1808">
        <f>Sinistrés!X1813</f>
        <v>0</v>
      </c>
      <c r="D1808">
        <f>Sinistrés!L1813</f>
        <v>43.94</v>
      </c>
      <c r="E1808">
        <f>Sinistrés!M1813</f>
        <v>43.94</v>
      </c>
      <c r="F1808">
        <f t="shared" si="56"/>
        <v>0</v>
      </c>
      <c r="G1808">
        <f t="shared" si="57"/>
        <v>1</v>
      </c>
    </row>
    <row r="1809" spans="1:7" hidden="1">
      <c r="A1809" t="str">
        <f>Sinistrés!H1814</f>
        <v>Orge d'hiver</v>
      </c>
      <c r="B1809">
        <f>Sinistrés!J1814</f>
        <v>16530.63</v>
      </c>
      <c r="C1809">
        <f>Sinistrés!X1814</f>
        <v>0</v>
      </c>
      <c r="D1809">
        <f>Sinistrés!L1814</f>
        <v>18.579999999999998</v>
      </c>
      <c r="E1809">
        <f>Sinistrés!M1814</f>
        <v>18.579999999999998</v>
      </c>
      <c r="F1809">
        <f t="shared" si="56"/>
        <v>0</v>
      </c>
      <c r="G1809">
        <f t="shared" si="57"/>
        <v>1</v>
      </c>
    </row>
    <row r="1810" spans="1:7" hidden="1">
      <c r="A1810" t="str">
        <f>Sinistrés!H1815</f>
        <v>Blé tendre d'hiver</v>
      </c>
      <c r="B1810">
        <f>Sinistrés!J1815</f>
        <v>79217.279999999999</v>
      </c>
      <c r="C1810">
        <f>Sinistrés!X1815</f>
        <v>0</v>
      </c>
      <c r="D1810">
        <f>Sinistrés!L1815</f>
        <v>57.6</v>
      </c>
      <c r="E1810">
        <f>Sinistrés!M1815</f>
        <v>57.6</v>
      </c>
      <c r="F1810">
        <f t="shared" si="56"/>
        <v>0</v>
      </c>
      <c r="G1810">
        <f t="shared" si="57"/>
        <v>1</v>
      </c>
    </row>
    <row r="1811" spans="1:7" hidden="1">
      <c r="A1811" t="str">
        <f>Sinistrés!H1816</f>
        <v>Colza d'hiver</v>
      </c>
      <c r="B1811">
        <f>Sinistrés!J1816</f>
        <v>54974.6</v>
      </c>
      <c r="C1811">
        <f>Sinistrés!X1816</f>
        <v>0</v>
      </c>
      <c r="D1811">
        <f>Sinistrés!L1816</f>
        <v>42.55</v>
      </c>
      <c r="E1811">
        <f>Sinistrés!M1816</f>
        <v>42.55</v>
      </c>
      <c r="F1811">
        <f t="shared" si="56"/>
        <v>0</v>
      </c>
      <c r="G1811">
        <f t="shared" si="57"/>
        <v>1</v>
      </c>
    </row>
    <row r="1812" spans="1:7" hidden="1">
      <c r="A1812" t="str">
        <f>Sinistrés!H1817</f>
        <v>Orge d'hiver</v>
      </c>
      <c r="B1812">
        <f>Sinistrés!J1817</f>
        <v>39989.46</v>
      </c>
      <c r="C1812">
        <f>Sinistrés!X1817</f>
        <v>0</v>
      </c>
      <c r="D1812">
        <f>Sinistrés!L1817</f>
        <v>30.51</v>
      </c>
      <c r="E1812">
        <f>Sinistrés!M1817</f>
        <v>25.18</v>
      </c>
      <c r="F1812">
        <f t="shared" si="56"/>
        <v>0</v>
      </c>
      <c r="G1812">
        <f t="shared" si="57"/>
        <v>0.82530317928548014</v>
      </c>
    </row>
    <row r="1813" spans="1:7" hidden="1">
      <c r="A1813" t="str">
        <f>Sinistrés!H1818</f>
        <v>Orge de printemps</v>
      </c>
      <c r="B1813">
        <f>Sinistrés!J1818</f>
        <v>18848</v>
      </c>
      <c r="C1813">
        <f>Sinistrés!X1818</f>
        <v>0</v>
      </c>
      <c r="D1813">
        <f>Sinistrés!L1818</f>
        <v>15.5</v>
      </c>
      <c r="E1813">
        <f>Sinistrés!M1818</f>
        <v>15.5</v>
      </c>
      <c r="F1813">
        <f t="shared" si="56"/>
        <v>0</v>
      </c>
      <c r="G1813">
        <f t="shared" si="57"/>
        <v>1</v>
      </c>
    </row>
    <row r="1814" spans="1:7" hidden="1">
      <c r="A1814" t="str">
        <f>Sinistrés!H1819</f>
        <v>Lin oléagineux</v>
      </c>
      <c r="B1814">
        <f>Sinistrés!J1819</f>
        <v>22610.34</v>
      </c>
      <c r="C1814">
        <f>Sinistrés!X1819</f>
        <v>0</v>
      </c>
      <c r="D1814">
        <f>Sinistrés!L1819</f>
        <v>20.45</v>
      </c>
      <c r="E1814">
        <f>Sinistrés!M1819</f>
        <v>20.45</v>
      </c>
      <c r="F1814">
        <f t="shared" si="56"/>
        <v>0</v>
      </c>
      <c r="G1814">
        <f t="shared" si="57"/>
        <v>1</v>
      </c>
    </row>
    <row r="1815" spans="1:7" hidden="1">
      <c r="A1815" t="str">
        <f>Sinistrés!H1820</f>
        <v>Lin textile</v>
      </c>
      <c r="B1815">
        <f>Sinistrés!J1820</f>
        <v>40404</v>
      </c>
      <c r="C1815">
        <f>Sinistrés!X1820</f>
        <v>0</v>
      </c>
      <c r="D1815">
        <f>Sinistrés!L1820</f>
        <v>22.75</v>
      </c>
      <c r="E1815">
        <f>Sinistrés!M1820</f>
        <v>22.75</v>
      </c>
      <c r="F1815">
        <f t="shared" si="56"/>
        <v>0</v>
      </c>
      <c r="G1815">
        <f t="shared" si="57"/>
        <v>1</v>
      </c>
    </row>
    <row r="1816" spans="1:7" hidden="1">
      <c r="A1816" t="str">
        <f>Sinistrés!H1821</f>
        <v>Blé tendre d'hiver</v>
      </c>
      <c r="B1816">
        <f>Sinistrés!J1821</f>
        <v>91392</v>
      </c>
      <c r="C1816">
        <f>Sinistrés!X1821</f>
        <v>0</v>
      </c>
      <c r="D1816">
        <f>Sinistrés!L1821</f>
        <v>51</v>
      </c>
      <c r="E1816">
        <f>Sinistrés!M1821</f>
        <v>51</v>
      </c>
      <c r="F1816">
        <f t="shared" si="56"/>
        <v>0</v>
      </c>
      <c r="G1816">
        <f t="shared" si="57"/>
        <v>1</v>
      </c>
    </row>
    <row r="1817" spans="1:7">
      <c r="A1817" t="str">
        <f>Sinistrés!H1822</f>
        <v>Colza d'hiver</v>
      </c>
      <c r="B1817">
        <f>Sinistrés!J1822</f>
        <v>42840</v>
      </c>
      <c r="C1817">
        <f>Sinistrés!X1822</f>
        <v>16870.240000000002</v>
      </c>
      <c r="D1817">
        <f>Sinistrés!L1822</f>
        <v>21</v>
      </c>
      <c r="E1817">
        <f>Sinistrés!M1822</f>
        <v>21</v>
      </c>
      <c r="F1817">
        <f t="shared" si="56"/>
        <v>0.39379645191409901</v>
      </c>
      <c r="G1817">
        <f t="shared" si="57"/>
        <v>1</v>
      </c>
    </row>
    <row r="1818" spans="1:7">
      <c r="A1818" t="str">
        <f>Sinistrés!H1823</f>
        <v>Orge de printemps</v>
      </c>
      <c r="B1818">
        <f>Sinistrés!J1823</f>
        <v>22815</v>
      </c>
      <c r="C1818">
        <f>Sinistrés!X1823</f>
        <v>295.49</v>
      </c>
      <c r="D1818">
        <f>Sinistrés!L1823</f>
        <v>25</v>
      </c>
      <c r="E1818">
        <f>Sinistrés!M1823</f>
        <v>25</v>
      </c>
      <c r="F1818">
        <f t="shared" si="56"/>
        <v>1.2951566951566951E-2</v>
      </c>
      <c r="G1818">
        <f t="shared" si="57"/>
        <v>1</v>
      </c>
    </row>
    <row r="1819" spans="1:7" hidden="1">
      <c r="A1819" t="str">
        <f>Sinistrés!H1824</f>
        <v>Orge d'hiver</v>
      </c>
      <c r="B1819">
        <f>Sinistrés!J1824</f>
        <v>17680</v>
      </c>
      <c r="C1819">
        <f>Sinistrés!X1824</f>
        <v>0</v>
      </c>
      <c r="D1819">
        <f>Sinistrés!L1824</f>
        <v>17</v>
      </c>
      <c r="E1819">
        <f>Sinistrés!M1824</f>
        <v>17</v>
      </c>
      <c r="F1819">
        <f t="shared" si="56"/>
        <v>0</v>
      </c>
      <c r="G1819">
        <f t="shared" si="57"/>
        <v>1</v>
      </c>
    </row>
    <row r="1820" spans="1:7" hidden="1">
      <c r="A1820" t="str">
        <f>Sinistrés!H1825</f>
        <v>Blé tendre d'hiver</v>
      </c>
      <c r="B1820">
        <f>Sinistrés!J1825</f>
        <v>43401</v>
      </c>
      <c r="C1820">
        <f>Sinistrés!X1825</f>
        <v>0</v>
      </c>
      <c r="D1820">
        <f>Sinistrés!L1825</f>
        <v>37</v>
      </c>
      <c r="E1820">
        <f>Sinistrés!M1825</f>
        <v>37</v>
      </c>
      <c r="F1820">
        <f t="shared" si="56"/>
        <v>0</v>
      </c>
      <c r="G1820">
        <f t="shared" si="57"/>
        <v>1</v>
      </c>
    </row>
    <row r="1821" spans="1:7" hidden="1">
      <c r="A1821" t="str">
        <f>Sinistrés!H1826</f>
        <v>Orge de printemps</v>
      </c>
      <c r="B1821">
        <f>Sinistrés!J1826</f>
        <v>31677.119999999999</v>
      </c>
      <c r="C1821">
        <f>Sinistrés!X1826</f>
        <v>0</v>
      </c>
      <c r="D1821">
        <f>Sinistrés!L1826</f>
        <v>25.88</v>
      </c>
      <c r="E1821">
        <f>Sinistrés!M1826</f>
        <v>25.87</v>
      </c>
      <c r="F1821">
        <f t="shared" si="56"/>
        <v>0</v>
      </c>
      <c r="G1821">
        <f t="shared" si="57"/>
        <v>0.99961360123647613</v>
      </c>
    </row>
    <row r="1822" spans="1:7" hidden="1">
      <c r="A1822" t="str">
        <f>Sinistrés!H1827</f>
        <v>Blé tendre d'hiver</v>
      </c>
      <c r="B1822">
        <f>Sinistrés!J1827</f>
        <v>199169.81</v>
      </c>
      <c r="C1822">
        <f>Sinistrés!X1827</f>
        <v>0</v>
      </c>
      <c r="D1822">
        <f>Sinistrés!L1827</f>
        <v>158.31</v>
      </c>
      <c r="E1822">
        <f>Sinistrés!M1827</f>
        <v>158.31</v>
      </c>
      <c r="F1822">
        <f t="shared" si="56"/>
        <v>0</v>
      </c>
      <c r="G1822">
        <f t="shared" si="57"/>
        <v>1</v>
      </c>
    </row>
    <row r="1823" spans="1:7">
      <c r="A1823" t="str">
        <f>Sinistrés!H1828</f>
        <v>Orge de printemps</v>
      </c>
      <c r="B1823">
        <f>Sinistrés!J1828</f>
        <v>121039.8</v>
      </c>
      <c r="C1823">
        <f>Sinistrés!X1828</f>
        <v>33979.050000000003</v>
      </c>
      <c r="D1823">
        <f>Sinistrés!L1828</f>
        <v>90.16</v>
      </c>
      <c r="E1823">
        <f>Sinistrés!M1828</f>
        <v>90.16</v>
      </c>
      <c r="F1823">
        <f t="shared" si="56"/>
        <v>0.28072625698324022</v>
      </c>
      <c r="G1823">
        <f t="shared" si="57"/>
        <v>1</v>
      </c>
    </row>
    <row r="1824" spans="1:7" hidden="1">
      <c r="A1824" t="str">
        <f>Sinistrés!H1829</f>
        <v>Orge d'hiver</v>
      </c>
      <c r="B1824">
        <f>Sinistrés!J1829</f>
        <v>38737.839999999997</v>
      </c>
      <c r="C1824">
        <f>Sinistrés!X1829</f>
        <v>0</v>
      </c>
      <c r="D1824">
        <f>Sinistrés!L1829</f>
        <v>34.729999999999997</v>
      </c>
      <c r="E1824">
        <f>Sinistrés!M1829</f>
        <v>34.729999999999997</v>
      </c>
      <c r="F1824">
        <f t="shared" si="56"/>
        <v>0</v>
      </c>
      <c r="G1824">
        <f t="shared" si="57"/>
        <v>1</v>
      </c>
    </row>
    <row r="1825" spans="1:7">
      <c r="A1825" t="str">
        <f>Sinistrés!H1830</f>
        <v>Maïs grain non irrigué</v>
      </c>
      <c r="B1825">
        <f>Sinistrés!J1830</f>
        <v>39146.29</v>
      </c>
      <c r="C1825">
        <f>Sinistrés!X1830</f>
        <v>16449.330000000002</v>
      </c>
      <c r="D1825">
        <f>Sinistrés!L1830</f>
        <v>20.25</v>
      </c>
      <c r="E1825">
        <f>Sinistrés!M1830</f>
        <v>20.25</v>
      </c>
      <c r="F1825">
        <f t="shared" si="56"/>
        <v>0.42020150568546855</v>
      </c>
      <c r="G1825">
        <f t="shared" si="57"/>
        <v>1</v>
      </c>
    </row>
    <row r="1826" spans="1:7">
      <c r="A1826" t="str">
        <f>Sinistrés!H1831</f>
        <v>Tournesol</v>
      </c>
      <c r="B1826">
        <f>Sinistrés!J1831</f>
        <v>83770.62</v>
      </c>
      <c r="C1826">
        <f>Sinistrés!X1831</f>
        <v>24652.55</v>
      </c>
      <c r="D1826">
        <f>Sinistrés!L1831</f>
        <v>63.67</v>
      </c>
      <c r="E1826">
        <f>Sinistrés!M1831</f>
        <v>63.67</v>
      </c>
      <c r="F1826">
        <f t="shared" si="56"/>
        <v>0.2942863500353704</v>
      </c>
      <c r="G1826">
        <f t="shared" si="57"/>
        <v>1</v>
      </c>
    </row>
    <row r="1827" spans="1:7" hidden="1">
      <c r="A1827" t="str">
        <f>Sinistrés!H1832</f>
        <v>Blé tendre d'hiver</v>
      </c>
      <c r="B1827">
        <f>Sinistrés!J1832</f>
        <v>9716.82</v>
      </c>
      <c r="C1827">
        <f>Sinistrés!X1832</f>
        <v>0</v>
      </c>
      <c r="D1827">
        <f>Sinistrés!L1832</f>
        <v>10.46</v>
      </c>
      <c r="E1827">
        <f>Sinistrés!M1832</f>
        <v>10.46</v>
      </c>
      <c r="F1827">
        <f t="shared" si="56"/>
        <v>0</v>
      </c>
      <c r="G1827">
        <f t="shared" si="57"/>
        <v>1</v>
      </c>
    </row>
    <row r="1828" spans="1:7" hidden="1">
      <c r="A1828" t="str">
        <f>Sinistrés!H1833</f>
        <v>Triticale</v>
      </c>
      <c r="B1828">
        <f>Sinistrés!J1833</f>
        <v>21486.6</v>
      </c>
      <c r="C1828">
        <f>Sinistrés!X1833</f>
        <v>0</v>
      </c>
      <c r="D1828">
        <f>Sinistrés!L1833</f>
        <v>27.6</v>
      </c>
      <c r="E1828">
        <f>Sinistrés!M1833</f>
        <v>27.5</v>
      </c>
      <c r="F1828">
        <f t="shared" si="56"/>
        <v>0</v>
      </c>
      <c r="G1828">
        <f t="shared" si="57"/>
        <v>0.99637681159420288</v>
      </c>
    </row>
    <row r="1829" spans="1:7" hidden="1">
      <c r="A1829" t="str">
        <f>Sinistrés!H1834</f>
        <v>Colza d'hiver</v>
      </c>
      <c r="B1829">
        <f>Sinistrés!J1834</f>
        <v>12973.88</v>
      </c>
      <c r="C1829">
        <f>Sinistrés!X1834</f>
        <v>0</v>
      </c>
      <c r="D1829">
        <f>Sinistrés!L1834</f>
        <v>11.93</v>
      </c>
      <c r="E1829">
        <f>Sinistrés!M1834</f>
        <v>11.93</v>
      </c>
      <c r="F1829">
        <f t="shared" si="56"/>
        <v>0</v>
      </c>
      <c r="G1829">
        <f t="shared" si="57"/>
        <v>1</v>
      </c>
    </row>
    <row r="1830" spans="1:7" hidden="1">
      <c r="A1830" t="str">
        <f>Sinistrés!H1835</f>
        <v>Avoine d'hiver</v>
      </c>
      <c r="B1830">
        <f>Sinistrés!J1835</f>
        <v>12527.09</v>
      </c>
      <c r="C1830">
        <f>Sinistrés!X1835</f>
        <v>0</v>
      </c>
      <c r="D1830">
        <f>Sinistrés!L1835</f>
        <v>16.21</v>
      </c>
      <c r="E1830">
        <f>Sinistrés!M1835</f>
        <v>16.16</v>
      </c>
      <c r="F1830">
        <f t="shared" si="56"/>
        <v>0</v>
      </c>
      <c r="G1830">
        <f t="shared" si="57"/>
        <v>0.9969154842689697</v>
      </c>
    </row>
    <row r="1831" spans="1:7" hidden="1">
      <c r="A1831" t="str">
        <f>Sinistrés!H1836</f>
        <v>Tournesol</v>
      </c>
      <c r="B1831">
        <f>Sinistrés!J1836</f>
        <v>14244.9</v>
      </c>
      <c r="C1831">
        <f>Sinistrés!X1836</f>
        <v>0</v>
      </c>
      <c r="D1831">
        <f>Sinistrés!L1836</f>
        <v>15</v>
      </c>
      <c r="E1831">
        <f>Sinistrés!M1836</f>
        <v>18</v>
      </c>
      <c r="F1831">
        <f t="shared" si="56"/>
        <v>0</v>
      </c>
      <c r="G1831">
        <f t="shared" si="57"/>
        <v>1.2</v>
      </c>
    </row>
    <row r="1832" spans="1:7">
      <c r="A1832" t="str">
        <f>Sinistrés!H1837</f>
        <v>Pois protéagineux</v>
      </c>
      <c r="B1832">
        <f>Sinistrés!J1837</f>
        <v>11942.6</v>
      </c>
      <c r="C1832">
        <f>Sinistrés!X1837</f>
        <v>4667.97</v>
      </c>
      <c r="D1832">
        <f>Sinistrés!L1837</f>
        <v>13.3</v>
      </c>
      <c r="E1832">
        <f>Sinistrés!M1837</f>
        <v>13.3</v>
      </c>
      <c r="F1832">
        <f t="shared" si="56"/>
        <v>0.39086714785725052</v>
      </c>
      <c r="G1832">
        <f t="shared" si="57"/>
        <v>1</v>
      </c>
    </row>
    <row r="1833" spans="1:7">
      <c r="A1833" t="str">
        <f>Sinistrés!H1838</f>
        <v>Blé tendre d'hiver</v>
      </c>
      <c r="B1833">
        <f>Sinistrés!J1838</f>
        <v>3482.75</v>
      </c>
      <c r="C1833">
        <f>Sinistrés!X1838</f>
        <v>296.36</v>
      </c>
      <c r="D1833">
        <f>Sinistrés!L1838</f>
        <v>3.38</v>
      </c>
      <c r="E1833">
        <f>Sinistrés!M1838</f>
        <v>3</v>
      </c>
      <c r="F1833">
        <f t="shared" si="56"/>
        <v>8.509367597444549E-2</v>
      </c>
      <c r="G1833">
        <f t="shared" si="57"/>
        <v>0.8875739644970414</v>
      </c>
    </row>
    <row r="1834" spans="1:7" hidden="1">
      <c r="A1834" t="str">
        <f>Sinistrés!H1839</f>
        <v>Colza d'hiver</v>
      </c>
      <c r="B1834">
        <f>Sinistrés!J1839</f>
        <v>15936</v>
      </c>
      <c r="C1834">
        <f>Sinistrés!X1839</f>
        <v>0</v>
      </c>
      <c r="D1834">
        <f>Sinistrés!L1839</f>
        <v>16.600000000000001</v>
      </c>
      <c r="E1834">
        <f>Sinistrés!M1839</f>
        <v>16</v>
      </c>
      <c r="F1834">
        <f t="shared" si="56"/>
        <v>0</v>
      </c>
      <c r="G1834">
        <f t="shared" si="57"/>
        <v>0.96385542168674687</v>
      </c>
    </row>
    <row r="1835" spans="1:7" hidden="1">
      <c r="A1835" t="str">
        <f>Sinistrés!H1840</f>
        <v>Blé tendre d'hiver semences</v>
      </c>
      <c r="B1835">
        <f>Sinistrés!J1840</f>
        <v>42217.18</v>
      </c>
      <c r="C1835">
        <f>Sinistrés!X1840</f>
        <v>0</v>
      </c>
      <c r="D1835">
        <f>Sinistrés!L1840</f>
        <v>31.33</v>
      </c>
      <c r="E1835">
        <f>Sinistrés!M1840</f>
        <v>31</v>
      </c>
      <c r="F1835">
        <f t="shared" si="56"/>
        <v>0</v>
      </c>
      <c r="G1835">
        <f t="shared" si="57"/>
        <v>0.98946696457069905</v>
      </c>
    </row>
    <row r="1836" spans="1:7">
      <c r="A1836" t="str">
        <f>Sinistrés!H1841</f>
        <v>Orge de printemps</v>
      </c>
      <c r="B1836">
        <f>Sinistrés!J1841</f>
        <v>10250.24</v>
      </c>
      <c r="C1836">
        <f>Sinistrés!X1841</f>
        <v>1031.68</v>
      </c>
      <c r="D1836">
        <f>Sinistrés!L1841</f>
        <v>10.4</v>
      </c>
      <c r="E1836">
        <f>Sinistrés!M1841</f>
        <v>10</v>
      </c>
      <c r="F1836">
        <f t="shared" si="56"/>
        <v>0.10064935064935066</v>
      </c>
      <c r="G1836">
        <f t="shared" si="57"/>
        <v>0.96153846153846145</v>
      </c>
    </row>
    <row r="1837" spans="1:7">
      <c r="A1837" t="str">
        <f>Sinistrés!H1842</f>
        <v>Blé tendre d'hiver</v>
      </c>
      <c r="B1837">
        <f>Sinistrés!J1842</f>
        <v>14316.23</v>
      </c>
      <c r="C1837">
        <f>Sinistrés!X1842</f>
        <v>4149.18</v>
      </c>
      <c r="D1837">
        <f>Sinistrés!L1842</f>
        <v>12.95</v>
      </c>
      <c r="E1837">
        <f>Sinistrés!M1842</f>
        <v>12.65</v>
      </c>
      <c r="F1837">
        <f t="shared" si="56"/>
        <v>0.28982350800455153</v>
      </c>
      <c r="G1837">
        <f t="shared" si="57"/>
        <v>0.97683397683397688</v>
      </c>
    </row>
    <row r="1838" spans="1:7" hidden="1">
      <c r="A1838" t="str">
        <f>Sinistrés!H1843</f>
        <v>Blé tendre d'hiver semences</v>
      </c>
      <c r="B1838">
        <f>Sinistrés!J1843</f>
        <v>25570.22</v>
      </c>
      <c r="C1838">
        <f>Sinistrés!X1843</f>
        <v>2654.17</v>
      </c>
      <c r="D1838">
        <f>Sinistrés!L1843</f>
        <v>23.13</v>
      </c>
      <c r="E1838">
        <f>Sinistrés!M1843</f>
        <v>23.13</v>
      </c>
      <c r="F1838">
        <f t="shared" si="56"/>
        <v>0.10379926336183264</v>
      </c>
      <c r="G1838">
        <f t="shared" si="57"/>
        <v>1</v>
      </c>
    </row>
    <row r="1839" spans="1:7">
      <c r="A1839" t="str">
        <f>Sinistrés!H1844</f>
        <v>Colza d'hiver</v>
      </c>
      <c r="B1839">
        <f>Sinistrés!J1844</f>
        <v>67091.199999999997</v>
      </c>
      <c r="C1839">
        <f>Sinistrés!X1844</f>
        <v>14009.1</v>
      </c>
      <c r="D1839">
        <f>Sinistrés!L1844</f>
        <v>38.119999999999997</v>
      </c>
      <c r="E1839">
        <f>Sinistrés!M1844</f>
        <v>38.409999999999997</v>
      </c>
      <c r="F1839">
        <f t="shared" si="56"/>
        <v>0.2088068181818182</v>
      </c>
      <c r="G1839">
        <f t="shared" si="57"/>
        <v>1.0076075550891921</v>
      </c>
    </row>
    <row r="1840" spans="1:7" hidden="1">
      <c r="A1840" t="str">
        <f>Sinistrés!H1845</f>
        <v>Orge d'hiver SEMENCES</v>
      </c>
      <c r="B1840">
        <f>Sinistrés!J1845</f>
        <v>14428.8</v>
      </c>
      <c r="C1840">
        <f>Sinistrés!X1845</f>
        <v>0</v>
      </c>
      <c r="D1840">
        <f>Sinistrés!L1845</f>
        <v>15.03</v>
      </c>
      <c r="E1840">
        <f>Sinistrés!M1845</f>
        <v>15.03</v>
      </c>
      <c r="F1840">
        <f t="shared" si="56"/>
        <v>0</v>
      </c>
      <c r="G1840">
        <f t="shared" si="57"/>
        <v>1</v>
      </c>
    </row>
    <row r="1841" spans="1:7">
      <c r="A1841" t="str">
        <f>Sinistrés!H1846</f>
        <v>Lin oléagineux</v>
      </c>
      <c r="B1841">
        <f>Sinistrés!J1846</f>
        <v>19380</v>
      </c>
      <c r="C1841">
        <f>Sinistrés!X1846</f>
        <v>395.68</v>
      </c>
      <c r="D1841">
        <f>Sinistrés!L1846</f>
        <v>16.149999999999999</v>
      </c>
      <c r="E1841">
        <f>Sinistrés!M1846</f>
        <v>16.149999999999999</v>
      </c>
      <c r="F1841">
        <f t="shared" si="56"/>
        <v>2.0416924664602685E-2</v>
      </c>
      <c r="G1841">
        <f t="shared" si="57"/>
        <v>1</v>
      </c>
    </row>
    <row r="1842" spans="1:7">
      <c r="A1842" t="str">
        <f>Sinistrés!H1847</f>
        <v>Orge d'hiver</v>
      </c>
      <c r="B1842">
        <f>Sinistrés!J1847</f>
        <v>31794</v>
      </c>
      <c r="C1842">
        <f>Sinistrés!X1847</f>
        <v>10134.6</v>
      </c>
      <c r="D1842">
        <f>Sinistrés!L1847</f>
        <v>28</v>
      </c>
      <c r="E1842">
        <f>Sinistrés!M1847</f>
        <v>28</v>
      </c>
      <c r="F1842">
        <f t="shared" si="56"/>
        <v>0.31875825627476884</v>
      </c>
      <c r="G1842">
        <f t="shared" si="57"/>
        <v>1</v>
      </c>
    </row>
    <row r="1843" spans="1:7" hidden="1">
      <c r="A1843" t="str">
        <f>Sinistrés!H1848</f>
        <v>Soja</v>
      </c>
      <c r="B1843">
        <f>Sinistrés!J1848</f>
        <v>18001.8</v>
      </c>
      <c r="C1843">
        <f>Sinistrés!X1848</f>
        <v>0</v>
      </c>
      <c r="D1843">
        <f>Sinistrés!L1848</f>
        <v>21.42</v>
      </c>
      <c r="E1843">
        <f>Sinistrés!M1848</f>
        <v>21.41</v>
      </c>
      <c r="F1843">
        <f t="shared" si="56"/>
        <v>0</v>
      </c>
      <c r="G1843">
        <f t="shared" si="57"/>
        <v>0.99953314659197001</v>
      </c>
    </row>
    <row r="1844" spans="1:7" hidden="1">
      <c r="A1844" t="str">
        <f>Sinistrés!H1849</f>
        <v>Tournesol</v>
      </c>
      <c r="B1844">
        <f>Sinistrés!J1849</f>
        <v>28639.33</v>
      </c>
      <c r="C1844">
        <f>Sinistrés!X1849</f>
        <v>0</v>
      </c>
      <c r="D1844">
        <f>Sinistrés!L1849</f>
        <v>24.27</v>
      </c>
      <c r="E1844">
        <f>Sinistrés!M1849</f>
        <v>24.27</v>
      </c>
      <c r="F1844">
        <f t="shared" si="56"/>
        <v>0</v>
      </c>
      <c r="G1844">
        <f t="shared" si="57"/>
        <v>1</v>
      </c>
    </row>
    <row r="1845" spans="1:7">
      <c r="A1845" t="str">
        <f>Sinistrés!H1850</f>
        <v>Tournesol</v>
      </c>
      <c r="B1845">
        <f>Sinistrés!J1850</f>
        <v>26862.42</v>
      </c>
      <c r="C1845">
        <f>Sinistrés!X1850</f>
        <v>3794.47</v>
      </c>
      <c r="D1845">
        <f>Sinistrés!L1850</f>
        <v>26.13</v>
      </c>
      <c r="E1845">
        <f>Sinistrés!M1850</f>
        <v>26.13</v>
      </c>
      <c r="F1845">
        <f t="shared" si="56"/>
        <v>0.14125570220404565</v>
      </c>
      <c r="G1845">
        <f t="shared" si="57"/>
        <v>1</v>
      </c>
    </row>
    <row r="1846" spans="1:7" hidden="1">
      <c r="A1846" t="str">
        <f>Sinistrés!H1851</f>
        <v xml:space="preserve">Maïs waxy non irrigué </v>
      </c>
      <c r="B1846">
        <f>Sinistrés!J1851</f>
        <v>48020</v>
      </c>
      <c r="C1846">
        <f>Sinistrés!X1851</f>
        <v>0</v>
      </c>
      <c r="D1846">
        <f>Sinistrés!L1851</f>
        <v>26</v>
      </c>
      <c r="E1846">
        <f>Sinistrés!M1851</f>
        <v>7</v>
      </c>
      <c r="F1846">
        <f t="shared" si="56"/>
        <v>0</v>
      </c>
      <c r="G1846">
        <f t="shared" si="57"/>
        <v>0.26923076923076922</v>
      </c>
    </row>
    <row r="1847" spans="1:7" hidden="1">
      <c r="A1847" t="str">
        <f>Sinistrés!H1852</f>
        <v>Soja</v>
      </c>
      <c r="B1847">
        <f>Sinistrés!J1852</f>
        <v>20054.89</v>
      </c>
      <c r="C1847">
        <f>Sinistrés!X1852</f>
        <v>0</v>
      </c>
      <c r="D1847">
        <f>Sinistrés!L1852</f>
        <v>12</v>
      </c>
      <c r="E1847">
        <f>Sinistrés!M1852</f>
        <v>12</v>
      </c>
      <c r="F1847">
        <f t="shared" si="56"/>
        <v>0</v>
      </c>
      <c r="G1847">
        <f t="shared" si="57"/>
        <v>1</v>
      </c>
    </row>
    <row r="1848" spans="1:7" hidden="1">
      <c r="A1848" t="str">
        <f>Sinistrés!H1853</f>
        <v>Lin textile</v>
      </c>
      <c r="B1848">
        <f>Sinistrés!J1853</f>
        <v>37915.5</v>
      </c>
      <c r="C1848">
        <f>Sinistrés!X1853</f>
        <v>0</v>
      </c>
      <c r="D1848">
        <f>Sinistrés!L1853</f>
        <v>10.5</v>
      </c>
      <c r="E1848">
        <f>Sinistrés!M1853</f>
        <v>10.5</v>
      </c>
      <c r="F1848">
        <f t="shared" si="56"/>
        <v>0</v>
      </c>
      <c r="G1848">
        <f t="shared" si="57"/>
        <v>1</v>
      </c>
    </row>
    <row r="1849" spans="1:7" hidden="1">
      <c r="A1849" t="str">
        <f>Sinistrés!H1854</f>
        <v>Lin textile</v>
      </c>
      <c r="B1849">
        <f>Sinistrés!J1854</f>
        <v>56343.1</v>
      </c>
      <c r="C1849">
        <f>Sinistrés!X1854</f>
        <v>0</v>
      </c>
      <c r="D1849">
        <f>Sinistrés!L1854</f>
        <v>18.7</v>
      </c>
      <c r="E1849">
        <f>Sinistrés!M1854</f>
        <v>18.7</v>
      </c>
      <c r="F1849">
        <f t="shared" si="56"/>
        <v>0</v>
      </c>
      <c r="G1849">
        <f t="shared" si="57"/>
        <v>1</v>
      </c>
    </row>
    <row r="1850" spans="1:7">
      <c r="A1850" t="str">
        <f>Sinistrés!H1855</f>
        <v>Blé dur d'hiver</v>
      </c>
      <c r="B1850">
        <f>Sinistrés!J1855</f>
        <v>15438.53</v>
      </c>
      <c r="C1850">
        <f>Sinistrés!X1855</f>
        <v>1927.06</v>
      </c>
      <c r="D1850">
        <f>Sinistrés!L1855</f>
        <v>10.94</v>
      </c>
      <c r="E1850">
        <f>Sinistrés!M1855</f>
        <v>10.94</v>
      </c>
      <c r="F1850">
        <f t="shared" si="56"/>
        <v>0.12482146940155571</v>
      </c>
      <c r="G1850">
        <f t="shared" si="57"/>
        <v>1</v>
      </c>
    </row>
    <row r="1851" spans="1:7" hidden="1">
      <c r="A1851" t="str">
        <f>Sinistrés!H1856</f>
        <v>Pois protéagineux</v>
      </c>
      <c r="B1851">
        <f>Sinistrés!J1856</f>
        <v>12883.91</v>
      </c>
      <c r="C1851">
        <f>Sinistrés!X1856</f>
        <v>0</v>
      </c>
      <c r="D1851">
        <f>Sinistrés!L1856</f>
        <v>11.5</v>
      </c>
      <c r="E1851">
        <f>Sinistrés!M1856</f>
        <v>11.5</v>
      </c>
      <c r="F1851">
        <f t="shared" si="56"/>
        <v>0</v>
      </c>
      <c r="G1851">
        <f t="shared" si="57"/>
        <v>1</v>
      </c>
    </row>
    <row r="1852" spans="1:7" hidden="1">
      <c r="A1852" t="str">
        <f>Sinistrés!H1857</f>
        <v>Blé tendre d'hiver BIO</v>
      </c>
      <c r="B1852">
        <f>Sinistrés!J1857</f>
        <v>58248.45</v>
      </c>
      <c r="C1852">
        <f>Sinistrés!X1857</f>
        <v>9608.51</v>
      </c>
      <c r="D1852">
        <f>Sinistrés!L1857</f>
        <v>33.19</v>
      </c>
      <c r="E1852">
        <f>Sinistrés!M1857</f>
        <v>33.19</v>
      </c>
      <c r="F1852">
        <f t="shared" si="56"/>
        <v>0.16495735079645898</v>
      </c>
      <c r="G1852">
        <f t="shared" si="57"/>
        <v>1</v>
      </c>
    </row>
    <row r="1853" spans="1:7" hidden="1">
      <c r="A1853" t="str">
        <f>Sinistrés!H1858</f>
        <v>Blé tendre d'hiver BIO</v>
      </c>
      <c r="B1853">
        <f>Sinistrés!J1858</f>
        <v>126728.55</v>
      </c>
      <c r="C1853">
        <f>Sinistrés!X1858</f>
        <v>4188.18</v>
      </c>
      <c r="D1853">
        <f>Sinistrés!L1858</f>
        <v>72.209999999999994</v>
      </c>
      <c r="E1853">
        <f>Sinistrés!M1858</f>
        <v>72.209999999999994</v>
      </c>
      <c r="F1853">
        <f t="shared" si="56"/>
        <v>3.3048433048433051E-2</v>
      </c>
      <c r="G1853">
        <f t="shared" si="57"/>
        <v>1</v>
      </c>
    </row>
    <row r="1854" spans="1:7">
      <c r="A1854" t="str">
        <f>Sinistrés!H1859</f>
        <v>Blé tendre d'hiver</v>
      </c>
      <c r="B1854">
        <f>Sinistrés!J1859</f>
        <v>78926.539999999994</v>
      </c>
      <c r="C1854">
        <f>Sinistrés!X1859</f>
        <v>1957.95</v>
      </c>
      <c r="D1854">
        <f>Sinistrés!L1859</f>
        <v>56.36</v>
      </c>
      <c r="E1854">
        <f>Sinistrés!M1859</f>
        <v>56.36</v>
      </c>
      <c r="F1854">
        <f t="shared" si="56"/>
        <v>2.4807244812708122E-2</v>
      </c>
      <c r="G1854">
        <f t="shared" si="57"/>
        <v>1</v>
      </c>
    </row>
    <row r="1855" spans="1:7" hidden="1">
      <c r="A1855" t="str">
        <f>Sinistrés!H1860</f>
        <v>Colza d'hiver</v>
      </c>
      <c r="B1855">
        <f>Sinistrés!J1860</f>
        <v>41854.32</v>
      </c>
      <c r="C1855">
        <f>Sinistrés!X1860</f>
        <v>0</v>
      </c>
      <c r="D1855">
        <f>Sinistrés!L1860</f>
        <v>21.53</v>
      </c>
      <c r="E1855">
        <f>Sinistrés!M1860</f>
        <v>21.53</v>
      </c>
      <c r="F1855">
        <f t="shared" si="56"/>
        <v>0</v>
      </c>
      <c r="G1855">
        <f t="shared" si="57"/>
        <v>1</v>
      </c>
    </row>
    <row r="1856" spans="1:7" hidden="1">
      <c r="A1856" t="str">
        <f>Sinistrés!H1861</f>
        <v>Orge de printemps</v>
      </c>
      <c r="B1856">
        <f>Sinistrés!J1861</f>
        <v>72876.2</v>
      </c>
      <c r="C1856">
        <f>Sinistrés!X1861</f>
        <v>0</v>
      </c>
      <c r="D1856">
        <f>Sinistrés!L1861</f>
        <v>65.849999999999994</v>
      </c>
      <c r="E1856">
        <f>Sinistrés!M1861</f>
        <v>65.849999999999994</v>
      </c>
      <c r="F1856">
        <f t="shared" si="56"/>
        <v>0</v>
      </c>
      <c r="G1856">
        <f t="shared" si="57"/>
        <v>1</v>
      </c>
    </row>
    <row r="1857" spans="1:7" hidden="1">
      <c r="A1857" t="str">
        <f>Sinistrés!H1862</f>
        <v>Blé tendre d'hiver</v>
      </c>
      <c r="B1857">
        <f>Sinistrés!J1862</f>
        <v>71604</v>
      </c>
      <c r="C1857">
        <f>Sinistrés!X1862</f>
        <v>0</v>
      </c>
      <c r="D1857">
        <f>Sinistrés!L1862</f>
        <v>54</v>
      </c>
      <c r="E1857">
        <f>Sinistrés!M1862</f>
        <v>54</v>
      </c>
      <c r="F1857">
        <f t="shared" si="56"/>
        <v>0</v>
      </c>
      <c r="G1857">
        <f t="shared" si="57"/>
        <v>1</v>
      </c>
    </row>
    <row r="1858" spans="1:7" hidden="1">
      <c r="A1858" t="str">
        <f>Sinistrés!H1863</f>
        <v>Orge d'hiver</v>
      </c>
      <c r="B1858">
        <f>Sinistrés!J1863</f>
        <v>30747.599999999999</v>
      </c>
      <c r="C1858">
        <f>Sinistrés!X1863</f>
        <v>0</v>
      </c>
      <c r="D1858">
        <f>Sinistrés!L1863</f>
        <v>26</v>
      </c>
      <c r="E1858">
        <f>Sinistrés!M1863</f>
        <v>26</v>
      </c>
      <c r="F1858">
        <f t="shared" si="56"/>
        <v>0</v>
      </c>
      <c r="G1858">
        <f t="shared" si="57"/>
        <v>1</v>
      </c>
    </row>
    <row r="1859" spans="1:7" hidden="1">
      <c r="A1859" t="str">
        <f>Sinistrés!H1864</f>
        <v>Orge de printemps</v>
      </c>
      <c r="B1859">
        <f>Sinistrés!J1864</f>
        <v>22542</v>
      </c>
      <c r="C1859">
        <f>Sinistrés!X1864</f>
        <v>0</v>
      </c>
      <c r="D1859">
        <f>Sinistrés!L1864</f>
        <v>17</v>
      </c>
      <c r="E1859">
        <f>Sinistrés!M1864</f>
        <v>17</v>
      </c>
      <c r="F1859">
        <f t="shared" ref="F1859:F1922" si="58">C1859/B1859</f>
        <v>0</v>
      </c>
      <c r="G1859">
        <f t="shared" ref="G1859:G1922" si="59">E1859/D1859</f>
        <v>1</v>
      </c>
    </row>
    <row r="1860" spans="1:7" hidden="1">
      <c r="A1860" t="str">
        <f>Sinistrés!H1865</f>
        <v>Triticale</v>
      </c>
      <c r="B1860">
        <f>Sinistrés!J1865</f>
        <v>16855.5</v>
      </c>
      <c r="C1860">
        <f>Sinistrés!X1865</f>
        <v>0</v>
      </c>
      <c r="D1860">
        <f>Sinistrés!L1865</f>
        <v>15</v>
      </c>
      <c r="E1860">
        <f>Sinistrés!M1865</f>
        <v>15</v>
      </c>
      <c r="F1860">
        <f t="shared" si="58"/>
        <v>0</v>
      </c>
      <c r="G1860">
        <f t="shared" si="59"/>
        <v>1</v>
      </c>
    </row>
    <row r="1861" spans="1:7" hidden="1">
      <c r="A1861" t="str">
        <f>Sinistrés!H1866</f>
        <v>Lin oléagineux</v>
      </c>
      <c r="B1861">
        <f>Sinistrés!J1866</f>
        <v>8370</v>
      </c>
      <c r="C1861">
        <f>Sinistrés!X1866</f>
        <v>0</v>
      </c>
      <c r="D1861">
        <f>Sinistrés!L1866</f>
        <v>12</v>
      </c>
      <c r="E1861">
        <f>Sinistrés!M1866</f>
        <v>12</v>
      </c>
      <c r="F1861">
        <f t="shared" si="58"/>
        <v>0</v>
      </c>
      <c r="G1861">
        <f t="shared" si="59"/>
        <v>1</v>
      </c>
    </row>
    <row r="1862" spans="1:7" hidden="1">
      <c r="A1862" t="str">
        <f>Sinistrés!H1867</f>
        <v>Colza d'hiver</v>
      </c>
      <c r="B1862">
        <f>Sinistrés!J1867</f>
        <v>32906.5</v>
      </c>
      <c r="C1862">
        <f>Sinistrés!X1867</f>
        <v>0</v>
      </c>
      <c r="D1862">
        <f>Sinistrés!L1867</f>
        <v>19.3</v>
      </c>
      <c r="E1862">
        <f>Sinistrés!M1867</f>
        <v>19.3</v>
      </c>
      <c r="F1862">
        <f t="shared" si="58"/>
        <v>0</v>
      </c>
      <c r="G1862">
        <f t="shared" si="59"/>
        <v>1</v>
      </c>
    </row>
    <row r="1863" spans="1:7">
      <c r="A1863" t="str">
        <f>Sinistrés!H1868</f>
        <v>Maïs grain non irrigué</v>
      </c>
      <c r="B1863">
        <f>Sinistrés!J1868</f>
        <v>14879.28</v>
      </c>
      <c r="C1863">
        <f>Sinistrés!X1868</f>
        <v>3611.14</v>
      </c>
      <c r="D1863">
        <f>Sinistrés!L1868</f>
        <v>9.8800000000000008</v>
      </c>
      <c r="E1863">
        <f>Sinistrés!M1868</f>
        <v>9.8800000000000008</v>
      </c>
      <c r="F1863">
        <f t="shared" si="58"/>
        <v>0.24269588313413012</v>
      </c>
      <c r="G1863">
        <f t="shared" si="59"/>
        <v>1</v>
      </c>
    </row>
    <row r="1864" spans="1:7">
      <c r="A1864" t="str">
        <f>Sinistrés!H1869</f>
        <v>Pois protéagineux</v>
      </c>
      <c r="B1864">
        <f>Sinistrés!J1869</f>
        <v>9087.6200000000008</v>
      </c>
      <c r="C1864">
        <f>Sinistrés!X1869</f>
        <v>495.38</v>
      </c>
      <c r="D1864">
        <f>Sinistrés!L1869</f>
        <v>13.14</v>
      </c>
      <c r="E1864">
        <f>Sinistrés!M1869</f>
        <v>13.14</v>
      </c>
      <c r="F1864">
        <f t="shared" si="58"/>
        <v>5.4511522268756829E-2</v>
      </c>
      <c r="G1864">
        <f t="shared" si="59"/>
        <v>1</v>
      </c>
    </row>
    <row r="1865" spans="1:7" hidden="1">
      <c r="A1865" t="str">
        <f>Sinistrés!H1870</f>
        <v>Blé tendre d'hiver</v>
      </c>
      <c r="B1865">
        <f>Sinistrés!J1870</f>
        <v>84183.3</v>
      </c>
      <c r="C1865">
        <f>Sinistrés!X1870</f>
        <v>0</v>
      </c>
      <c r="D1865">
        <f>Sinistrés!L1870</f>
        <v>81</v>
      </c>
      <c r="E1865">
        <f>Sinistrés!M1870</f>
        <v>81</v>
      </c>
      <c r="F1865">
        <f t="shared" si="58"/>
        <v>0</v>
      </c>
      <c r="G1865">
        <f t="shared" si="59"/>
        <v>1</v>
      </c>
    </row>
    <row r="1866" spans="1:7" hidden="1">
      <c r="A1866" t="str">
        <f>Sinistrés!H1871</f>
        <v>Orge de printemps</v>
      </c>
      <c r="B1866">
        <f>Sinistrés!J1871</f>
        <v>6772.08</v>
      </c>
      <c r="C1866">
        <f>Sinistrés!X1871</f>
        <v>0</v>
      </c>
      <c r="D1866">
        <f>Sinistrés!L1871</f>
        <v>8.34</v>
      </c>
      <c r="E1866">
        <f>Sinistrés!M1871</f>
        <v>8.34</v>
      </c>
      <c r="F1866">
        <f t="shared" si="58"/>
        <v>0</v>
      </c>
      <c r="G1866">
        <f t="shared" si="59"/>
        <v>1</v>
      </c>
    </row>
    <row r="1867" spans="1:7" hidden="1">
      <c r="A1867" t="str">
        <f>Sinistrés!H1872</f>
        <v>Orge d'hiver</v>
      </c>
      <c r="B1867">
        <f>Sinistrés!J1872</f>
        <v>37860.35</v>
      </c>
      <c r="C1867">
        <f>Sinistrés!X1872</f>
        <v>0</v>
      </c>
      <c r="D1867">
        <f>Sinistrés!L1872</f>
        <v>36.229999999999997</v>
      </c>
      <c r="E1867">
        <f>Sinistrés!M1872</f>
        <v>36.229999999999997</v>
      </c>
      <c r="F1867">
        <f t="shared" si="58"/>
        <v>0</v>
      </c>
      <c r="G1867">
        <f t="shared" si="59"/>
        <v>1</v>
      </c>
    </row>
    <row r="1868" spans="1:7" hidden="1">
      <c r="A1868" t="str">
        <f>Sinistrés!H1873</f>
        <v>Tournesol</v>
      </c>
      <c r="B1868">
        <f>Sinistrés!J1873</f>
        <v>29458.3</v>
      </c>
      <c r="C1868">
        <f>Sinistrés!X1873</f>
        <v>0</v>
      </c>
      <c r="D1868">
        <f>Sinistrés!L1873</f>
        <v>26.42</v>
      </c>
      <c r="E1868">
        <f>Sinistrés!M1873</f>
        <v>26.42</v>
      </c>
      <c r="F1868">
        <f t="shared" si="58"/>
        <v>0</v>
      </c>
      <c r="G1868">
        <f t="shared" si="59"/>
        <v>1</v>
      </c>
    </row>
    <row r="1869" spans="1:7" hidden="1">
      <c r="A1869" t="str">
        <f>Sinistrés!H1874</f>
        <v>Maïs grain non irrigué</v>
      </c>
      <c r="B1869">
        <f>Sinistrés!J1874</f>
        <v>11308.8</v>
      </c>
      <c r="C1869">
        <f>Sinistrés!X1874</f>
        <v>0</v>
      </c>
      <c r="D1869">
        <f>Sinistrés!L1874</f>
        <v>11.4</v>
      </c>
      <c r="E1869">
        <f>Sinistrés!M1874</f>
        <v>11.03</v>
      </c>
      <c r="F1869">
        <f t="shared" si="58"/>
        <v>0</v>
      </c>
      <c r="G1869">
        <f t="shared" si="59"/>
        <v>0.96754385964912271</v>
      </c>
    </row>
    <row r="1870" spans="1:7">
      <c r="A1870" t="str">
        <f>Sinistrés!H1875</f>
        <v>Avoine d'hiver</v>
      </c>
      <c r="B1870">
        <f>Sinistrés!J1875</f>
        <v>13563</v>
      </c>
      <c r="C1870">
        <f>Sinistrés!X1875</f>
        <v>3204.69</v>
      </c>
      <c r="D1870">
        <f>Sinistrés!L1875</f>
        <v>22</v>
      </c>
      <c r="E1870">
        <f>Sinistrés!M1875</f>
        <v>21.15</v>
      </c>
      <c r="F1870">
        <f t="shared" si="58"/>
        <v>0.23628179606281796</v>
      </c>
      <c r="G1870">
        <f t="shared" si="59"/>
        <v>0.96136363636363631</v>
      </c>
    </row>
    <row r="1871" spans="1:7">
      <c r="A1871" t="str">
        <f>Sinistrés!H1876</f>
        <v>Pois secs / Pois Chiches</v>
      </c>
      <c r="B1871">
        <f>Sinistrés!J1876</f>
        <v>39501</v>
      </c>
      <c r="C1871">
        <f>Sinistrés!X1876</f>
        <v>10422.959999999999</v>
      </c>
      <c r="D1871">
        <f>Sinistrés!L1876</f>
        <v>23.94</v>
      </c>
      <c r="E1871">
        <f>Sinistrés!M1876</f>
        <v>24.74</v>
      </c>
      <c r="F1871">
        <f t="shared" si="58"/>
        <v>0.26386572491835647</v>
      </c>
      <c r="G1871">
        <f t="shared" si="59"/>
        <v>1.0334168755221385</v>
      </c>
    </row>
    <row r="1872" spans="1:7" hidden="1">
      <c r="A1872" t="str">
        <f>Sinistrés!H1877</f>
        <v>Blé tendre d'hiver</v>
      </c>
      <c r="B1872">
        <f>Sinistrés!J1877</f>
        <v>20501.599999999999</v>
      </c>
      <c r="C1872">
        <f>Sinistrés!X1877</f>
        <v>0</v>
      </c>
      <c r="D1872">
        <f>Sinistrés!L1877</f>
        <v>24.5</v>
      </c>
      <c r="E1872">
        <f>Sinistrés!M1877</f>
        <v>23.28</v>
      </c>
      <c r="F1872">
        <f t="shared" si="58"/>
        <v>0</v>
      </c>
      <c r="G1872">
        <f t="shared" si="59"/>
        <v>0.95020408163265313</v>
      </c>
    </row>
    <row r="1873" spans="1:7" hidden="1">
      <c r="A1873" t="str">
        <f>Sinistrés!H1878</f>
        <v>Colza d'hiver</v>
      </c>
      <c r="B1873">
        <f>Sinistrés!J1878</f>
        <v>32841.120000000003</v>
      </c>
      <c r="C1873">
        <f>Sinistrés!X1878</f>
        <v>0</v>
      </c>
      <c r="D1873">
        <f>Sinistrés!L1878</f>
        <v>30.4</v>
      </c>
      <c r="E1873">
        <f>Sinistrés!M1878</f>
        <v>30.4</v>
      </c>
      <c r="F1873">
        <f t="shared" si="58"/>
        <v>0</v>
      </c>
      <c r="G1873">
        <f t="shared" si="59"/>
        <v>1</v>
      </c>
    </row>
    <row r="1874" spans="1:7">
      <c r="A1874" t="str">
        <f>Sinistrés!H1879</f>
        <v>Triticale</v>
      </c>
      <c r="B1874">
        <f>Sinistrés!J1879</f>
        <v>5503.95</v>
      </c>
      <c r="C1874">
        <f>Sinistrés!X1879</f>
        <v>2457.84</v>
      </c>
      <c r="D1874">
        <f>Sinistrés!L1879</f>
        <v>8.1</v>
      </c>
      <c r="E1874">
        <f>Sinistrés!M1879</f>
        <v>9.2200000000000006</v>
      </c>
      <c r="F1874">
        <f t="shared" si="58"/>
        <v>0.44655928923772931</v>
      </c>
      <c r="G1874">
        <f t="shared" si="59"/>
        <v>1.1382716049382717</v>
      </c>
    </row>
    <row r="1875" spans="1:7">
      <c r="A1875" t="str">
        <f>Sinistrés!H1880</f>
        <v>Orge d'hiver</v>
      </c>
      <c r="B1875">
        <f>Sinistrés!J1880</f>
        <v>8749.44</v>
      </c>
      <c r="C1875">
        <f>Sinistrés!X1880</f>
        <v>671.58</v>
      </c>
      <c r="D1875">
        <f>Sinistrés!L1880</f>
        <v>12.4</v>
      </c>
      <c r="E1875">
        <f>Sinistrés!M1880</f>
        <v>12.4</v>
      </c>
      <c r="F1875">
        <f t="shared" si="58"/>
        <v>7.6756912442396311E-2</v>
      </c>
      <c r="G1875">
        <f t="shared" si="59"/>
        <v>1</v>
      </c>
    </row>
    <row r="1876" spans="1:7">
      <c r="A1876" t="str">
        <f>Sinistrés!H1881</f>
        <v>Blé dur d'hiver</v>
      </c>
      <c r="B1876">
        <f>Sinistrés!J1881</f>
        <v>19987.5</v>
      </c>
      <c r="C1876">
        <f>Sinistrés!X1881</f>
        <v>2385.5</v>
      </c>
      <c r="D1876">
        <f>Sinistrés!L1881</f>
        <v>15</v>
      </c>
      <c r="E1876">
        <f>Sinistrés!M1881</f>
        <v>16.02</v>
      </c>
      <c r="F1876">
        <f t="shared" si="58"/>
        <v>0.11934959349593496</v>
      </c>
      <c r="G1876">
        <f t="shared" si="59"/>
        <v>1.0680000000000001</v>
      </c>
    </row>
    <row r="1877" spans="1:7" hidden="1">
      <c r="A1877" t="str">
        <f>Sinistrés!H1882</f>
        <v>Soja</v>
      </c>
      <c r="B1877">
        <f>Sinistrés!J1882</f>
        <v>13250.04</v>
      </c>
      <c r="C1877">
        <f>Sinistrés!X1882</f>
        <v>0</v>
      </c>
      <c r="D1877">
        <f>Sinistrés!L1882</f>
        <v>10.130000000000001</v>
      </c>
      <c r="E1877">
        <f>Sinistrés!M1882</f>
        <v>10.130000000000001</v>
      </c>
      <c r="F1877">
        <f t="shared" si="58"/>
        <v>0</v>
      </c>
      <c r="G1877">
        <f t="shared" si="59"/>
        <v>1</v>
      </c>
    </row>
    <row r="1878" spans="1:7">
      <c r="A1878" t="str">
        <f>Sinistrés!H1883</f>
        <v>Maïs grain irrigué</v>
      </c>
      <c r="B1878">
        <f>Sinistrés!J1883</f>
        <v>182310.72</v>
      </c>
      <c r="C1878">
        <f>Sinistrés!X1883</f>
        <v>26859.22</v>
      </c>
      <c r="D1878">
        <f>Sinistrés!L1883</f>
        <v>111.71</v>
      </c>
      <c r="E1878">
        <f>Sinistrés!M1883</f>
        <v>111.71</v>
      </c>
      <c r="F1878">
        <f t="shared" si="58"/>
        <v>0.14732660811168977</v>
      </c>
      <c r="G1878">
        <f t="shared" si="59"/>
        <v>1</v>
      </c>
    </row>
    <row r="1879" spans="1:7">
      <c r="A1879" t="str">
        <f>Sinistrés!H1884</f>
        <v>Maïs grain non irrigué</v>
      </c>
      <c r="B1879">
        <f>Sinistrés!J1884</f>
        <v>30849</v>
      </c>
      <c r="C1879">
        <f>Sinistrés!X1884</f>
        <v>634.61</v>
      </c>
      <c r="D1879">
        <f>Sinistrés!L1884</f>
        <v>29.38</v>
      </c>
      <c r="E1879">
        <f>Sinistrés!M1884</f>
        <v>29.38</v>
      </c>
      <c r="F1879">
        <f t="shared" si="58"/>
        <v>2.057149340335181E-2</v>
      </c>
      <c r="G1879">
        <f t="shared" si="59"/>
        <v>1</v>
      </c>
    </row>
    <row r="1880" spans="1:7" hidden="1">
      <c r="A1880" t="str">
        <f>Sinistrés!H1885</f>
        <v>Blé tendre d'hiver</v>
      </c>
      <c r="B1880">
        <f>Sinistrés!J1885</f>
        <v>68847.789999999994</v>
      </c>
      <c r="C1880">
        <f>Sinistrés!X1885</f>
        <v>0</v>
      </c>
      <c r="D1880">
        <f>Sinistrés!L1885</f>
        <v>66.94</v>
      </c>
      <c r="E1880">
        <f>Sinistrés!M1885</f>
        <v>66.94</v>
      </c>
      <c r="F1880">
        <f t="shared" si="58"/>
        <v>0</v>
      </c>
      <c r="G1880">
        <f t="shared" si="59"/>
        <v>1</v>
      </c>
    </row>
    <row r="1881" spans="1:7">
      <c r="A1881" t="str">
        <f>Sinistrés!H1886</f>
        <v>Orge d'hiver</v>
      </c>
      <c r="B1881">
        <f>Sinistrés!J1886</f>
        <v>22988.39</v>
      </c>
      <c r="C1881">
        <f>Sinistrés!X1886</f>
        <v>784.52</v>
      </c>
      <c r="D1881">
        <f>Sinistrés!L1886</f>
        <v>21.85</v>
      </c>
      <c r="E1881">
        <f>Sinistrés!M1886</f>
        <v>21.85</v>
      </c>
      <c r="F1881">
        <f t="shared" si="58"/>
        <v>3.4126791828396855E-2</v>
      </c>
      <c r="G1881">
        <f t="shared" si="59"/>
        <v>1</v>
      </c>
    </row>
    <row r="1882" spans="1:7" hidden="1">
      <c r="A1882" t="str">
        <f>Sinistrés!H1887</f>
        <v>Triticale</v>
      </c>
      <c r="B1882">
        <f>Sinistrés!J1887</f>
        <v>6149.16</v>
      </c>
      <c r="C1882">
        <f>Sinistrés!X1887</f>
        <v>0</v>
      </c>
      <c r="D1882">
        <f>Sinistrés!L1887</f>
        <v>7.2</v>
      </c>
      <c r="E1882">
        <f>Sinistrés!M1887</f>
        <v>7.2</v>
      </c>
      <c r="F1882">
        <f t="shared" si="58"/>
        <v>0</v>
      </c>
      <c r="G1882">
        <f t="shared" si="59"/>
        <v>1</v>
      </c>
    </row>
    <row r="1883" spans="1:7" hidden="1">
      <c r="A1883" t="str">
        <f>Sinistrés!H1888</f>
        <v>Colza d'hiver</v>
      </c>
      <c r="B1883">
        <f>Sinistrés!J1888</f>
        <v>44535.93</v>
      </c>
      <c r="C1883">
        <f>Sinistrés!X1888</f>
        <v>0</v>
      </c>
      <c r="D1883">
        <f>Sinistrés!L1888</f>
        <v>40.93</v>
      </c>
      <c r="E1883">
        <f>Sinistrés!M1888</f>
        <v>40.93</v>
      </c>
      <c r="F1883">
        <f t="shared" si="58"/>
        <v>0</v>
      </c>
      <c r="G1883">
        <f t="shared" si="59"/>
        <v>1</v>
      </c>
    </row>
    <row r="1884" spans="1:7">
      <c r="A1884" t="str">
        <f>Sinistrés!H1889</f>
        <v>Féveroles et fèves</v>
      </c>
      <c r="B1884">
        <f>Sinistrés!J1889</f>
        <v>3984.73</v>
      </c>
      <c r="C1884">
        <f>Sinistrés!X1889</f>
        <v>869.47</v>
      </c>
      <c r="D1884">
        <f>Sinistrés!L1889</f>
        <v>7.41</v>
      </c>
      <c r="E1884">
        <f>Sinistrés!M1889</f>
        <v>7.41</v>
      </c>
      <c r="F1884">
        <f t="shared" si="58"/>
        <v>0.21820048033367381</v>
      </c>
      <c r="G1884">
        <f t="shared" si="59"/>
        <v>1</v>
      </c>
    </row>
    <row r="1885" spans="1:7">
      <c r="A1885" t="str">
        <f>Sinistrés!H1890</f>
        <v>Orge de printemps</v>
      </c>
      <c r="B1885">
        <f>Sinistrés!J1890</f>
        <v>1746.45</v>
      </c>
      <c r="C1885">
        <f>Sinistrés!X1890</f>
        <v>1062.45</v>
      </c>
      <c r="D1885">
        <f>Sinistrés!L1890</f>
        <v>1.45</v>
      </c>
      <c r="E1885">
        <f>Sinistrés!M1890</f>
        <v>1.45</v>
      </c>
      <c r="F1885">
        <f t="shared" si="58"/>
        <v>0.60834836382375679</v>
      </c>
      <c r="G1885">
        <f t="shared" si="59"/>
        <v>1</v>
      </c>
    </row>
    <row r="1886" spans="1:7" hidden="1">
      <c r="A1886" t="str">
        <f>Sinistrés!H1891</f>
        <v>Orge de printemps</v>
      </c>
      <c r="B1886">
        <f>Sinistrés!J1891</f>
        <v>176076</v>
      </c>
      <c r="C1886">
        <f>Sinistrés!X1891</f>
        <v>0</v>
      </c>
      <c r="D1886">
        <f>Sinistrés!L1891</f>
        <v>100.5</v>
      </c>
      <c r="E1886">
        <f>Sinistrés!M1891</f>
        <v>100.5</v>
      </c>
      <c r="F1886">
        <f t="shared" si="58"/>
        <v>0</v>
      </c>
      <c r="G1886">
        <f t="shared" si="59"/>
        <v>1</v>
      </c>
    </row>
    <row r="1887" spans="1:7" hidden="1">
      <c r="A1887" t="str">
        <f>Sinistrés!H1892</f>
        <v>Blé tendre d'hiver</v>
      </c>
      <c r="B1887">
        <f>Sinistrés!J1892</f>
        <v>24582.959999999999</v>
      </c>
      <c r="C1887">
        <f>Sinistrés!X1892</f>
        <v>0</v>
      </c>
      <c r="D1887">
        <f>Sinistrés!L1892</f>
        <v>29.95</v>
      </c>
      <c r="E1887">
        <f>Sinistrés!M1892</f>
        <v>29.95</v>
      </c>
      <c r="F1887">
        <f t="shared" si="58"/>
        <v>0</v>
      </c>
      <c r="G1887">
        <f t="shared" si="59"/>
        <v>1</v>
      </c>
    </row>
    <row r="1888" spans="1:7" hidden="1">
      <c r="A1888" t="str">
        <f>Sinistrés!H1893</f>
        <v>Colza d'hiver</v>
      </c>
      <c r="B1888">
        <f>Sinistrés!J1893</f>
        <v>17706.740000000002</v>
      </c>
      <c r="C1888">
        <f>Sinistrés!X1893</f>
        <v>0</v>
      </c>
      <c r="D1888">
        <f>Sinistrés!L1893</f>
        <v>17.38</v>
      </c>
      <c r="E1888">
        <f>Sinistrés!M1893</f>
        <v>17.38</v>
      </c>
      <c r="F1888">
        <f t="shared" si="58"/>
        <v>0</v>
      </c>
      <c r="G1888">
        <f t="shared" si="59"/>
        <v>1</v>
      </c>
    </row>
    <row r="1889" spans="1:7" hidden="1">
      <c r="A1889" t="str">
        <f>Sinistrés!H1894</f>
        <v>Orge d'hiver</v>
      </c>
      <c r="B1889">
        <f>Sinistrés!J1894</f>
        <v>9456.35</v>
      </c>
      <c r="C1889">
        <f>Sinistrés!X1894</f>
        <v>0</v>
      </c>
      <c r="D1889">
        <f>Sinistrés!L1894</f>
        <v>11.61</v>
      </c>
      <c r="E1889">
        <f>Sinistrés!M1894</f>
        <v>11.61</v>
      </c>
      <c r="F1889">
        <f t="shared" si="58"/>
        <v>0</v>
      </c>
      <c r="G1889">
        <f t="shared" si="59"/>
        <v>1</v>
      </c>
    </row>
    <row r="1890" spans="1:7" hidden="1">
      <c r="A1890" t="str">
        <f>Sinistrés!H1895</f>
        <v>Colza d'hiver</v>
      </c>
      <c r="B1890">
        <f>Sinistrés!J1895</f>
        <v>18631.96</v>
      </c>
      <c r="C1890">
        <f>Sinistrés!X1895</f>
        <v>0</v>
      </c>
      <c r="D1890">
        <f>Sinistrés!L1895</f>
        <v>14.53</v>
      </c>
      <c r="E1890">
        <f>Sinistrés!M1895</f>
        <v>14.95</v>
      </c>
      <c r="F1890">
        <f t="shared" si="58"/>
        <v>0</v>
      </c>
      <c r="G1890">
        <f t="shared" si="59"/>
        <v>1.0289057123193392</v>
      </c>
    </row>
    <row r="1891" spans="1:7">
      <c r="A1891" t="str">
        <f>Sinistrés!H1896</f>
        <v>Blé de force</v>
      </c>
      <c r="B1891">
        <f>Sinistrés!J1896</f>
        <v>7027.39</v>
      </c>
      <c r="C1891">
        <f>Sinistrés!X1896</f>
        <v>1895.63</v>
      </c>
      <c r="D1891">
        <f>Sinistrés!L1896</f>
        <v>6.47</v>
      </c>
      <c r="E1891">
        <f>Sinistrés!M1896</f>
        <v>6.47</v>
      </c>
      <c r="F1891">
        <f t="shared" si="58"/>
        <v>0.26974879720635969</v>
      </c>
      <c r="G1891">
        <f t="shared" si="59"/>
        <v>1</v>
      </c>
    </row>
    <row r="1892" spans="1:7" hidden="1">
      <c r="A1892" t="str">
        <f>Sinistrés!H1897</f>
        <v>Blé tendre d'hiver</v>
      </c>
      <c r="B1892">
        <f>Sinistrés!J1897</f>
        <v>15711.37</v>
      </c>
      <c r="C1892">
        <f>Sinistrés!X1897</f>
        <v>0</v>
      </c>
      <c r="D1892">
        <f>Sinistrés!L1897</f>
        <v>14.74</v>
      </c>
      <c r="E1892">
        <f>Sinistrés!M1897</f>
        <v>14.74</v>
      </c>
      <c r="F1892">
        <f t="shared" si="58"/>
        <v>0</v>
      </c>
      <c r="G1892">
        <f t="shared" si="59"/>
        <v>1</v>
      </c>
    </row>
    <row r="1893" spans="1:7" hidden="1">
      <c r="A1893" t="str">
        <f>Sinistrés!H1898</f>
        <v>Orge d'hiver</v>
      </c>
      <c r="B1893">
        <f>Sinistrés!J1898</f>
        <v>6693.12</v>
      </c>
      <c r="C1893">
        <f>Sinistrés!X1898</f>
        <v>0</v>
      </c>
      <c r="D1893">
        <f>Sinistrés!L1898</f>
        <v>8.4</v>
      </c>
      <c r="E1893">
        <f>Sinistrés!M1898</f>
        <v>8.4</v>
      </c>
      <c r="F1893">
        <f t="shared" si="58"/>
        <v>0</v>
      </c>
      <c r="G1893">
        <f t="shared" si="59"/>
        <v>1</v>
      </c>
    </row>
    <row r="1894" spans="1:7">
      <c r="A1894" t="str">
        <f>Sinistrés!H1899</f>
        <v>Colza d'hiver</v>
      </c>
      <c r="B1894">
        <f>Sinistrés!J1899</f>
        <v>25835.040000000001</v>
      </c>
      <c r="C1894">
        <f>Sinistrés!X1899</f>
        <v>1325.3</v>
      </c>
      <c r="D1894">
        <f>Sinistrés!L1899</f>
        <v>23.3</v>
      </c>
      <c r="E1894">
        <f>Sinistrés!M1899</f>
        <v>23.3</v>
      </c>
      <c r="F1894">
        <f t="shared" si="58"/>
        <v>5.1298546470220287E-2</v>
      </c>
      <c r="G1894">
        <f t="shared" si="59"/>
        <v>1</v>
      </c>
    </row>
    <row r="1895" spans="1:7" hidden="1">
      <c r="A1895" t="str">
        <f>Sinistrés!H1900</f>
        <v>Blé tendre d'hiver</v>
      </c>
      <c r="B1895">
        <f>Sinistrés!J1900</f>
        <v>69198.399999999994</v>
      </c>
      <c r="C1895">
        <f>Sinistrés!X1900</f>
        <v>0</v>
      </c>
      <c r="D1895">
        <f>Sinistrés!L1900</f>
        <v>61</v>
      </c>
      <c r="E1895">
        <f>Sinistrés!M1900</f>
        <v>61</v>
      </c>
      <c r="F1895">
        <f t="shared" si="58"/>
        <v>0</v>
      </c>
      <c r="G1895">
        <f t="shared" si="59"/>
        <v>1</v>
      </c>
    </row>
    <row r="1896" spans="1:7">
      <c r="A1896" t="str">
        <f>Sinistrés!H1901</f>
        <v>Blé tendre d'hiver</v>
      </c>
      <c r="B1896">
        <f>Sinistrés!J1901</f>
        <v>49747.71</v>
      </c>
      <c r="C1896">
        <f>Sinistrés!X1901</f>
        <v>15721.9</v>
      </c>
      <c r="D1896">
        <f>Sinistrés!L1901</f>
        <v>39.76</v>
      </c>
      <c r="E1896">
        <f>Sinistrés!M1901</f>
        <v>39.76</v>
      </c>
      <c r="F1896">
        <f t="shared" si="58"/>
        <v>0.31603263748220772</v>
      </c>
      <c r="G1896">
        <f t="shared" si="59"/>
        <v>1</v>
      </c>
    </row>
    <row r="1897" spans="1:7">
      <c r="A1897" t="str">
        <f>Sinistrés!H1902</f>
        <v>Colza d'hiver</v>
      </c>
      <c r="B1897">
        <f>Sinistrés!J1902</f>
        <v>67501.149999999994</v>
      </c>
      <c r="C1897">
        <f>Sinistrés!X1902</f>
        <v>13075.4</v>
      </c>
      <c r="D1897">
        <f>Sinistrés!L1902</f>
        <v>62.11</v>
      </c>
      <c r="E1897">
        <f>Sinistrés!M1902</f>
        <v>62.11</v>
      </c>
      <c r="F1897">
        <f t="shared" si="58"/>
        <v>0.19370632944772054</v>
      </c>
      <c r="G1897">
        <f t="shared" si="59"/>
        <v>1</v>
      </c>
    </row>
    <row r="1898" spans="1:7" hidden="1">
      <c r="A1898" t="str">
        <f>Sinistrés!H1903</f>
        <v>Orge d'hiver</v>
      </c>
      <c r="B1898">
        <f>Sinistrés!J1903</f>
        <v>26533.26</v>
      </c>
      <c r="C1898">
        <f>Sinistrés!X1903</f>
        <v>0</v>
      </c>
      <c r="D1898">
        <f>Sinistrés!L1903</f>
        <v>33.35</v>
      </c>
      <c r="E1898">
        <f>Sinistrés!M1903</f>
        <v>33.35</v>
      </c>
      <c r="F1898">
        <f t="shared" si="58"/>
        <v>0</v>
      </c>
      <c r="G1898">
        <f t="shared" si="59"/>
        <v>1</v>
      </c>
    </row>
    <row r="1899" spans="1:7" hidden="1">
      <c r="A1899" t="str">
        <f>Sinistrés!H1904</f>
        <v>Blé tendre d'hiver</v>
      </c>
      <c r="B1899">
        <f>Sinistrés!J1904</f>
        <v>76966.39</v>
      </c>
      <c r="C1899">
        <f>Sinistrés!X1904</f>
        <v>0</v>
      </c>
      <c r="D1899">
        <f>Sinistrés!L1904</f>
        <v>59.24</v>
      </c>
      <c r="E1899">
        <f>Sinistrés!M1904</f>
        <v>59.24</v>
      </c>
      <c r="F1899">
        <f t="shared" si="58"/>
        <v>0</v>
      </c>
      <c r="G1899">
        <f t="shared" si="59"/>
        <v>1</v>
      </c>
    </row>
    <row r="1900" spans="1:7" hidden="1">
      <c r="A1900" t="str">
        <f>Sinistrés!H1905</f>
        <v>Colza d'hiver</v>
      </c>
      <c r="B1900">
        <f>Sinistrés!J1905</f>
        <v>40095.08</v>
      </c>
      <c r="C1900">
        <f>Sinistrés!X1905</f>
        <v>0</v>
      </c>
      <c r="D1900">
        <f>Sinistrés!L1905</f>
        <v>27.27</v>
      </c>
      <c r="E1900">
        <f>Sinistrés!M1905</f>
        <v>27.27</v>
      </c>
      <c r="F1900">
        <f t="shared" si="58"/>
        <v>0</v>
      </c>
      <c r="G1900">
        <f t="shared" si="59"/>
        <v>1</v>
      </c>
    </row>
    <row r="1901" spans="1:7">
      <c r="A1901" t="str">
        <f>Sinistrés!H1906</f>
        <v>Orge d'hiver</v>
      </c>
      <c r="B1901">
        <f>Sinistrés!J1906</f>
        <v>18512.259999999998</v>
      </c>
      <c r="C1901">
        <f>Sinistrés!X1906</f>
        <v>3575.67</v>
      </c>
      <c r="D1901">
        <f>Sinistrés!L1906</f>
        <v>17.04</v>
      </c>
      <c r="E1901">
        <f>Sinistrés!M1906</f>
        <v>17.04</v>
      </c>
      <c r="F1901">
        <f t="shared" si="58"/>
        <v>0.19315145746656542</v>
      </c>
      <c r="G1901">
        <f t="shared" si="59"/>
        <v>1</v>
      </c>
    </row>
    <row r="1902" spans="1:7" hidden="1">
      <c r="A1902" t="str">
        <f>Sinistrés!H1907</f>
        <v>Blé tendre d'hiver</v>
      </c>
      <c r="B1902">
        <f>Sinistrés!J1907</f>
        <v>18512.259999999998</v>
      </c>
      <c r="C1902">
        <f>Sinistrés!X1907</f>
        <v>0</v>
      </c>
      <c r="D1902">
        <f>Sinistrés!L1907</f>
        <v>22.5</v>
      </c>
      <c r="E1902">
        <f>Sinistrés!M1907</f>
        <v>22.5</v>
      </c>
      <c r="F1902">
        <f t="shared" si="58"/>
        <v>0</v>
      </c>
      <c r="G1902">
        <f t="shared" si="59"/>
        <v>1</v>
      </c>
    </row>
    <row r="1903" spans="1:7">
      <c r="A1903" t="str">
        <f>Sinistrés!H1908</f>
        <v>Blé dur d'hiver</v>
      </c>
      <c r="B1903">
        <f>Sinistrés!J1908</f>
        <v>7076.47</v>
      </c>
      <c r="C1903">
        <f>Sinistrés!X1908</f>
        <v>451.95</v>
      </c>
      <c r="D1903">
        <f>Sinistrés!L1908</f>
        <v>4.8099999999999996</v>
      </c>
      <c r="E1903">
        <f>Sinistrés!M1908</f>
        <v>4.8099999999999996</v>
      </c>
      <c r="F1903">
        <f t="shared" si="58"/>
        <v>6.3866588850090514E-2</v>
      </c>
      <c r="G1903">
        <f t="shared" si="59"/>
        <v>1</v>
      </c>
    </row>
    <row r="1904" spans="1:7">
      <c r="A1904" t="str">
        <f>Sinistrés!H1909</f>
        <v>Orge d'hiver</v>
      </c>
      <c r="B1904">
        <f>Sinistrés!J1909</f>
        <v>31641.599999999999</v>
      </c>
      <c r="C1904">
        <f>Sinistrés!X1909</f>
        <v>253.13</v>
      </c>
      <c r="D1904">
        <f>Sinistrés!L1909</f>
        <v>32.96</v>
      </c>
      <c r="E1904">
        <f>Sinistrés!M1909</f>
        <v>32.96</v>
      </c>
      <c r="F1904">
        <f t="shared" si="58"/>
        <v>7.999911508899676E-3</v>
      </c>
      <c r="G1904">
        <f t="shared" si="59"/>
        <v>1</v>
      </c>
    </row>
    <row r="1905" spans="1:7" hidden="1">
      <c r="A1905" t="str">
        <f>Sinistrés!H1910</f>
        <v>Blé tendre d'hiver</v>
      </c>
      <c r="B1905">
        <f>Sinistrés!J1910</f>
        <v>44448.61</v>
      </c>
      <c r="C1905">
        <f>Sinistrés!X1910</f>
        <v>0</v>
      </c>
      <c r="D1905">
        <f>Sinistrés!L1910</f>
        <v>38.520000000000003</v>
      </c>
      <c r="E1905">
        <f>Sinistrés!M1910</f>
        <v>38.520000000000003</v>
      </c>
      <c r="F1905">
        <f t="shared" si="58"/>
        <v>0</v>
      </c>
      <c r="G1905">
        <f t="shared" si="59"/>
        <v>1</v>
      </c>
    </row>
    <row r="1906" spans="1:7" hidden="1">
      <c r="A1906" t="str">
        <f>Sinistrés!H1911</f>
        <v>Orge d'hiver</v>
      </c>
      <c r="B1906">
        <f>Sinistrés!J1911</f>
        <v>18269.11</v>
      </c>
      <c r="C1906">
        <f>Sinistrés!X1911</f>
        <v>0</v>
      </c>
      <c r="D1906">
        <f>Sinistrés!L1911</f>
        <v>18.04</v>
      </c>
      <c r="E1906">
        <f>Sinistrés!M1911</f>
        <v>18.04</v>
      </c>
      <c r="F1906">
        <f t="shared" si="58"/>
        <v>0</v>
      </c>
      <c r="G1906">
        <f t="shared" si="59"/>
        <v>1</v>
      </c>
    </row>
    <row r="1907" spans="1:7" hidden="1">
      <c r="A1907" t="str">
        <f>Sinistrés!H1912</f>
        <v>Pois protéagineux</v>
      </c>
      <c r="B1907">
        <f>Sinistrés!J1912</f>
        <v>30488.87</v>
      </c>
      <c r="C1907">
        <f>Sinistrés!X1912</f>
        <v>0</v>
      </c>
      <c r="D1907">
        <f>Sinistrés!L1912</f>
        <v>34.380000000000003</v>
      </c>
      <c r="E1907">
        <f>Sinistrés!M1912</f>
        <v>34.380000000000003</v>
      </c>
      <c r="F1907">
        <f t="shared" si="58"/>
        <v>0</v>
      </c>
      <c r="G1907">
        <f t="shared" si="59"/>
        <v>1</v>
      </c>
    </row>
    <row r="1908" spans="1:7" hidden="1">
      <c r="A1908" t="str">
        <f>Sinistrés!H1913</f>
        <v>Blé tendre d'hiver</v>
      </c>
      <c r="B1908">
        <f>Sinistrés!J1913</f>
        <v>105727.61</v>
      </c>
      <c r="C1908">
        <f>Sinistrés!X1913</f>
        <v>0</v>
      </c>
      <c r="D1908">
        <f>Sinistrés!L1913</f>
        <v>72.72</v>
      </c>
      <c r="E1908">
        <f>Sinistrés!M1913</f>
        <v>32.43</v>
      </c>
      <c r="F1908">
        <f t="shared" si="58"/>
        <v>0</v>
      </c>
      <c r="G1908">
        <f t="shared" si="59"/>
        <v>0.44595709570957098</v>
      </c>
    </row>
    <row r="1909" spans="1:7">
      <c r="A1909" t="str">
        <f>Sinistrés!H1914</f>
        <v>Orge de printemps</v>
      </c>
      <c r="B1909">
        <f>Sinistrés!J1914</f>
        <v>52473.01</v>
      </c>
      <c r="C1909">
        <f>Sinistrés!X1914</f>
        <v>4299.46</v>
      </c>
      <c r="D1909">
        <f>Sinistrés!L1914</f>
        <v>45.03</v>
      </c>
      <c r="E1909">
        <f>Sinistrés!M1914</f>
        <v>45.03</v>
      </c>
      <c r="F1909">
        <f t="shared" si="58"/>
        <v>8.1936599406056562E-2</v>
      </c>
      <c r="G1909">
        <f t="shared" si="59"/>
        <v>1</v>
      </c>
    </row>
    <row r="1910" spans="1:7" hidden="1">
      <c r="A1910" t="str">
        <f>Sinistrés!H1915</f>
        <v>Tournesol</v>
      </c>
      <c r="B1910">
        <f>Sinistrés!J1915</f>
        <v>40377.51</v>
      </c>
      <c r="C1910">
        <f>Sinistrés!X1915</f>
        <v>0</v>
      </c>
      <c r="D1910">
        <f>Sinistrés!L1915</f>
        <v>27.74</v>
      </c>
      <c r="E1910">
        <f>Sinistrés!M1915</f>
        <v>27.74</v>
      </c>
      <c r="F1910">
        <f t="shared" si="58"/>
        <v>0</v>
      </c>
      <c r="G1910">
        <f t="shared" si="59"/>
        <v>1</v>
      </c>
    </row>
    <row r="1911" spans="1:7">
      <c r="A1911" t="str">
        <f>Sinistrés!H1916</f>
        <v>Blé tendre d'hiver</v>
      </c>
      <c r="B1911">
        <f>Sinistrés!J1916</f>
        <v>168341.18</v>
      </c>
      <c r="C1911">
        <f>Sinistrés!X1916</f>
        <v>28994.959999999999</v>
      </c>
      <c r="D1911">
        <f>Sinistrés!L1916</f>
        <v>143.44</v>
      </c>
      <c r="E1911">
        <f>Sinistrés!M1916</f>
        <v>143.44</v>
      </c>
      <c r="F1911">
        <f t="shared" si="58"/>
        <v>0.17223925839179693</v>
      </c>
      <c r="G1911">
        <f t="shared" si="59"/>
        <v>1</v>
      </c>
    </row>
    <row r="1912" spans="1:7" hidden="1">
      <c r="A1912" t="str">
        <f>Sinistrés!H1917</f>
        <v>Colza d'hiver</v>
      </c>
      <c r="B1912">
        <f>Sinistrés!J1917</f>
        <v>92883.199999999997</v>
      </c>
      <c r="C1912">
        <f>Sinistrés!X1917</f>
        <v>0</v>
      </c>
      <c r="D1912">
        <f>Sinistrés!L1917</f>
        <v>70.58</v>
      </c>
      <c r="E1912">
        <f>Sinistrés!M1917</f>
        <v>70.58</v>
      </c>
      <c r="F1912">
        <f t="shared" si="58"/>
        <v>0</v>
      </c>
      <c r="G1912">
        <f t="shared" si="59"/>
        <v>1</v>
      </c>
    </row>
    <row r="1913" spans="1:7" hidden="1">
      <c r="A1913" t="str">
        <f>Sinistrés!H1918</f>
        <v>Maïs grain irrigué</v>
      </c>
      <c r="B1913">
        <f>Sinistrés!J1918</f>
        <v>61249.5</v>
      </c>
      <c r="C1913">
        <f>Sinistrés!X1918</f>
        <v>0</v>
      </c>
      <c r="D1913">
        <f>Sinistrés!L1918</f>
        <v>39</v>
      </c>
      <c r="E1913">
        <f>Sinistrés!M1918</f>
        <v>39</v>
      </c>
      <c r="F1913">
        <f t="shared" si="58"/>
        <v>0</v>
      </c>
      <c r="G1913">
        <f t="shared" si="59"/>
        <v>1</v>
      </c>
    </row>
    <row r="1914" spans="1:7" hidden="1">
      <c r="A1914" t="str">
        <f>Sinistrés!H1919</f>
        <v>Orge d'hiver</v>
      </c>
      <c r="B1914">
        <f>Sinistrés!J1919</f>
        <v>2826.72</v>
      </c>
      <c r="C1914">
        <f>Sinistrés!X1919</f>
        <v>0</v>
      </c>
      <c r="D1914">
        <f>Sinistrés!L1919</f>
        <v>4.16</v>
      </c>
      <c r="E1914">
        <f>Sinistrés!M1919</f>
        <v>4.16</v>
      </c>
      <c r="F1914">
        <f t="shared" si="58"/>
        <v>0</v>
      </c>
      <c r="G1914">
        <f t="shared" si="59"/>
        <v>1</v>
      </c>
    </row>
    <row r="1915" spans="1:7" hidden="1">
      <c r="A1915" t="str">
        <f>Sinistrés!H1920</f>
        <v>Blé dur d'hiver</v>
      </c>
      <c r="B1915">
        <f>Sinistrés!J1920</f>
        <v>31370.63</v>
      </c>
      <c r="C1915">
        <f>Sinistrés!X1920</f>
        <v>0</v>
      </c>
      <c r="D1915">
        <f>Sinistrés!L1920</f>
        <v>25.35</v>
      </c>
      <c r="E1915">
        <f>Sinistrés!M1920</f>
        <v>25.35</v>
      </c>
      <c r="F1915">
        <f t="shared" si="58"/>
        <v>0</v>
      </c>
      <c r="G1915">
        <f t="shared" si="59"/>
        <v>1</v>
      </c>
    </row>
    <row r="1916" spans="1:7" hidden="1">
      <c r="A1916" t="str">
        <f>Sinistrés!H1921</f>
        <v>Pois secs / Pois Chiches BIO</v>
      </c>
      <c r="B1916">
        <f>Sinistrés!J1921</f>
        <v>30210</v>
      </c>
      <c r="C1916">
        <f>Sinistrés!X1921</f>
        <v>0</v>
      </c>
      <c r="D1916">
        <f>Sinistrés!L1921</f>
        <v>20.14</v>
      </c>
      <c r="E1916">
        <f>Sinistrés!M1921</f>
        <v>20.14</v>
      </c>
      <c r="F1916">
        <f t="shared" si="58"/>
        <v>0</v>
      </c>
      <c r="G1916">
        <f t="shared" si="59"/>
        <v>1</v>
      </c>
    </row>
    <row r="1917" spans="1:7" hidden="1">
      <c r="A1917" t="str">
        <f>Sinistrés!H1922</f>
        <v>Blé dur d'hiver</v>
      </c>
      <c r="B1917">
        <f>Sinistrés!J1922</f>
        <v>3248.6</v>
      </c>
      <c r="C1917">
        <f>Sinistrés!X1922</f>
        <v>0</v>
      </c>
      <c r="D1917">
        <f>Sinistrés!L1922</f>
        <v>2.96</v>
      </c>
      <c r="E1917">
        <f>Sinistrés!M1922</f>
        <v>2.96</v>
      </c>
      <c r="F1917">
        <f t="shared" si="58"/>
        <v>0</v>
      </c>
      <c r="G1917">
        <f t="shared" si="59"/>
        <v>1</v>
      </c>
    </row>
    <row r="1918" spans="1:7">
      <c r="A1918" t="str">
        <f>Sinistrés!H1923</f>
        <v>Sorgho</v>
      </c>
      <c r="B1918">
        <f>Sinistrés!J1923</f>
        <v>5972.4</v>
      </c>
      <c r="C1918">
        <f>Sinistrés!X1923</f>
        <v>3996</v>
      </c>
      <c r="D1918">
        <f>Sinistrés!L1923</f>
        <v>7.11</v>
      </c>
      <c r="E1918">
        <f>Sinistrés!M1923</f>
        <v>7.11</v>
      </c>
      <c r="F1918">
        <f t="shared" si="58"/>
        <v>0.66907775768535271</v>
      </c>
      <c r="G1918">
        <f t="shared" si="59"/>
        <v>1</v>
      </c>
    </row>
    <row r="1919" spans="1:7" hidden="1">
      <c r="A1919" t="str">
        <f>Sinistrés!H1924</f>
        <v>Lin oléagineux BIO</v>
      </c>
      <c r="B1919">
        <f>Sinistrés!J1924</f>
        <v>5436</v>
      </c>
      <c r="C1919">
        <f>Sinistrés!X1924</f>
        <v>2772.36</v>
      </c>
      <c r="D1919">
        <f>Sinistrés!L1924</f>
        <v>6.04</v>
      </c>
      <c r="E1919">
        <f>Sinistrés!M1924</f>
        <v>6.04</v>
      </c>
      <c r="F1919">
        <f t="shared" si="58"/>
        <v>0.51</v>
      </c>
      <c r="G1919">
        <f t="shared" si="59"/>
        <v>1</v>
      </c>
    </row>
    <row r="1920" spans="1:7" hidden="1">
      <c r="A1920" t="str">
        <f>Sinistrés!H1925</f>
        <v>Chanvre BIO</v>
      </c>
      <c r="B1920">
        <f>Sinistrés!J1925</f>
        <v>3564</v>
      </c>
      <c r="C1920">
        <f>Sinistrés!X1925</f>
        <v>0</v>
      </c>
      <c r="D1920">
        <f>Sinistrés!L1925</f>
        <v>1.98</v>
      </c>
      <c r="E1920">
        <f>Sinistrés!M1925</f>
        <v>1.98</v>
      </c>
      <c r="F1920">
        <f t="shared" si="58"/>
        <v>0</v>
      </c>
      <c r="G1920">
        <f t="shared" si="59"/>
        <v>1</v>
      </c>
    </row>
    <row r="1921" spans="1:7">
      <c r="A1921" t="str">
        <f>Sinistrés!H1926</f>
        <v>Pois protéagineux</v>
      </c>
      <c r="B1921">
        <f>Sinistrés!J1926</f>
        <v>1595.88</v>
      </c>
      <c r="C1921">
        <f>Sinistrés!X1926</f>
        <v>469.87</v>
      </c>
      <c r="D1921">
        <f>Sinistrés!L1926</f>
        <v>2.34</v>
      </c>
      <c r="E1921">
        <f>Sinistrés!M1926</f>
        <v>2.34</v>
      </c>
      <c r="F1921">
        <f t="shared" si="58"/>
        <v>0.29442689926560894</v>
      </c>
      <c r="G1921">
        <f t="shared" si="59"/>
        <v>1</v>
      </c>
    </row>
    <row r="1922" spans="1:7" hidden="1">
      <c r="A1922" t="str">
        <f>Sinistrés!H1927</f>
        <v>Blé tendre d'hiver</v>
      </c>
      <c r="B1922">
        <f>Sinistrés!J1927</f>
        <v>24585.93</v>
      </c>
      <c r="C1922">
        <f>Sinistrés!X1927</f>
        <v>0</v>
      </c>
      <c r="D1922">
        <f>Sinistrés!L1927</f>
        <v>20.69</v>
      </c>
      <c r="E1922">
        <f>Sinistrés!M1927</f>
        <v>20.69</v>
      </c>
      <c r="F1922">
        <f t="shared" si="58"/>
        <v>0</v>
      </c>
      <c r="G1922">
        <f t="shared" si="59"/>
        <v>1</v>
      </c>
    </row>
    <row r="1923" spans="1:7" hidden="1">
      <c r="A1923" t="str">
        <f>Sinistrés!H1928</f>
        <v>Orge d'hiver</v>
      </c>
      <c r="B1923">
        <f>Sinistrés!J1928</f>
        <v>7970.4</v>
      </c>
      <c r="C1923">
        <f>Sinistrés!X1928</f>
        <v>0</v>
      </c>
      <c r="D1923">
        <f>Sinistrés!L1928</f>
        <v>8.64</v>
      </c>
      <c r="E1923">
        <f>Sinistrés!M1928</f>
        <v>8.64</v>
      </c>
      <c r="F1923">
        <f t="shared" ref="F1923:F1986" si="60">C1923/B1923</f>
        <v>0</v>
      </c>
      <c r="G1923">
        <f t="shared" ref="G1923:G1986" si="61">E1923/D1923</f>
        <v>1</v>
      </c>
    </row>
    <row r="1924" spans="1:7" hidden="1">
      <c r="A1924" t="str">
        <f>Sinistrés!H1929</f>
        <v>Triticale BIO</v>
      </c>
      <c r="B1924">
        <f>Sinistrés!J1929</f>
        <v>1963.5</v>
      </c>
      <c r="C1924">
        <f>Sinistrés!X1929</f>
        <v>0</v>
      </c>
      <c r="D1924">
        <f>Sinistrés!L1929</f>
        <v>4.62</v>
      </c>
      <c r="E1924">
        <f>Sinistrés!M1929</f>
        <v>4.62</v>
      </c>
      <c r="F1924">
        <f t="shared" si="60"/>
        <v>0</v>
      </c>
      <c r="G1924">
        <f t="shared" si="61"/>
        <v>1</v>
      </c>
    </row>
    <row r="1925" spans="1:7" hidden="1">
      <c r="A1925" t="str">
        <f>Sinistrés!H1930</f>
        <v>Maïs grain non irrigué BIO</v>
      </c>
      <c r="B1925">
        <f>Sinistrés!J1930</f>
        <v>9426.9</v>
      </c>
      <c r="C1925">
        <f>Sinistrés!X1930</f>
        <v>0</v>
      </c>
      <c r="D1925">
        <f>Sinistrés!L1930</f>
        <v>9.3800000000000008</v>
      </c>
      <c r="E1925">
        <f>Sinistrés!M1930</f>
        <v>9.3800000000000008</v>
      </c>
      <c r="F1925">
        <f t="shared" si="60"/>
        <v>0</v>
      </c>
      <c r="G1925">
        <f t="shared" si="61"/>
        <v>1</v>
      </c>
    </row>
    <row r="1926" spans="1:7" hidden="1">
      <c r="A1926" t="str">
        <f>Sinistrés!H1931</f>
        <v>Soja BIO</v>
      </c>
      <c r="B1926">
        <f>Sinistrés!J1931</f>
        <v>17358.75</v>
      </c>
      <c r="C1926">
        <f>Sinistrés!X1931</f>
        <v>0</v>
      </c>
      <c r="D1926">
        <f>Sinistrés!L1931</f>
        <v>15.43</v>
      </c>
      <c r="E1926">
        <f>Sinistrés!M1931</f>
        <v>15.43</v>
      </c>
      <c r="F1926">
        <f t="shared" si="60"/>
        <v>0</v>
      </c>
      <c r="G1926">
        <f t="shared" si="61"/>
        <v>1</v>
      </c>
    </row>
    <row r="1927" spans="1:7" hidden="1">
      <c r="A1927" t="str">
        <f>Sinistrés!H1932</f>
        <v>Colza d'hiver</v>
      </c>
      <c r="B1927">
        <f>Sinistrés!J1932</f>
        <v>73746.720000000001</v>
      </c>
      <c r="C1927">
        <f>Sinistrés!X1932</f>
        <v>0</v>
      </c>
      <c r="D1927">
        <f>Sinistrés!L1932</f>
        <v>48</v>
      </c>
      <c r="E1927">
        <f>Sinistrés!M1932</f>
        <v>48</v>
      </c>
      <c r="F1927">
        <f t="shared" si="60"/>
        <v>0</v>
      </c>
      <c r="G1927">
        <f t="shared" si="61"/>
        <v>1</v>
      </c>
    </row>
    <row r="1928" spans="1:7">
      <c r="A1928" t="str">
        <f>Sinistrés!H1933</f>
        <v>Blé de force</v>
      </c>
      <c r="B1928">
        <f>Sinistrés!J1933</f>
        <v>13732.74</v>
      </c>
      <c r="C1928">
        <f>Sinistrés!X1933</f>
        <v>3413.81</v>
      </c>
      <c r="D1928">
        <f>Sinistrés!L1933</f>
        <v>14</v>
      </c>
      <c r="E1928">
        <f>Sinistrés!M1933</f>
        <v>14</v>
      </c>
      <c r="F1928">
        <f t="shared" si="60"/>
        <v>0.24858913807441196</v>
      </c>
      <c r="G1928">
        <f t="shared" si="61"/>
        <v>1</v>
      </c>
    </row>
    <row r="1929" spans="1:7" hidden="1">
      <c r="A1929" t="str">
        <f>Sinistrés!H1934</f>
        <v>Blé tendre d'hiver</v>
      </c>
      <c r="B1929">
        <f>Sinistrés!J1934</f>
        <v>106007.55</v>
      </c>
      <c r="C1929">
        <f>Sinistrés!X1934</f>
        <v>0</v>
      </c>
      <c r="D1929">
        <f>Sinistrés!L1934</f>
        <v>102.88</v>
      </c>
      <c r="E1929">
        <f>Sinistrés!M1934</f>
        <v>102.88</v>
      </c>
      <c r="F1929">
        <f t="shared" si="60"/>
        <v>0</v>
      </c>
      <c r="G1929">
        <f t="shared" si="61"/>
        <v>1</v>
      </c>
    </row>
    <row r="1930" spans="1:7" hidden="1">
      <c r="A1930" t="str">
        <f>Sinistrés!H1935</f>
        <v>Colza d'hiver</v>
      </c>
      <c r="B1930">
        <f>Sinistrés!J1935</f>
        <v>10861.56</v>
      </c>
      <c r="C1930">
        <f>Sinistrés!X1935</f>
        <v>0</v>
      </c>
      <c r="D1930">
        <f>Sinistrés!L1935</f>
        <v>8.9</v>
      </c>
      <c r="E1930">
        <f>Sinistrés!M1935</f>
        <v>8.9</v>
      </c>
      <c r="F1930">
        <f t="shared" si="60"/>
        <v>0</v>
      </c>
      <c r="G1930">
        <f t="shared" si="61"/>
        <v>1</v>
      </c>
    </row>
    <row r="1931" spans="1:7" hidden="1">
      <c r="A1931" t="str">
        <f>Sinistrés!H1936</f>
        <v>Orge d'hiver</v>
      </c>
      <c r="B1931">
        <f>Sinistrés!J1936</f>
        <v>54877.68</v>
      </c>
      <c r="C1931">
        <f>Sinistrés!X1936</f>
        <v>0</v>
      </c>
      <c r="D1931">
        <f>Sinistrés!L1936</f>
        <v>54.12</v>
      </c>
      <c r="E1931">
        <f>Sinistrés!M1936</f>
        <v>54.12</v>
      </c>
      <c r="F1931">
        <f t="shared" si="60"/>
        <v>0</v>
      </c>
      <c r="G1931">
        <f t="shared" si="61"/>
        <v>1</v>
      </c>
    </row>
    <row r="1932" spans="1:7">
      <c r="A1932" t="str">
        <f>Sinistrés!H1937</f>
        <v>Maïs grain non irrigué</v>
      </c>
      <c r="B1932">
        <f>Sinistrés!J1937</f>
        <v>37469.949999999997</v>
      </c>
      <c r="C1932">
        <f>Sinistrés!X1937</f>
        <v>675</v>
      </c>
      <c r="D1932">
        <f>Sinistrés!L1937</f>
        <v>24.96</v>
      </c>
      <c r="E1932">
        <f>Sinistrés!M1937</f>
        <v>13.3</v>
      </c>
      <c r="F1932">
        <f t="shared" si="60"/>
        <v>1.8014435567701586E-2</v>
      </c>
      <c r="G1932">
        <f t="shared" si="61"/>
        <v>0.5328525641025641</v>
      </c>
    </row>
    <row r="1933" spans="1:7" hidden="1">
      <c r="A1933" t="str">
        <f>Sinistrés!H1938</f>
        <v>Blé tendre d'hiver</v>
      </c>
      <c r="B1933">
        <f>Sinistrés!J1938</f>
        <v>72960</v>
      </c>
      <c r="C1933">
        <f>Sinistrés!X1938</f>
        <v>0</v>
      </c>
      <c r="D1933">
        <f>Sinistrés!L1938</f>
        <v>80</v>
      </c>
      <c r="E1933">
        <f>Sinistrés!M1938</f>
        <v>80</v>
      </c>
      <c r="F1933">
        <f t="shared" si="60"/>
        <v>0</v>
      </c>
      <c r="G1933">
        <f t="shared" si="61"/>
        <v>1</v>
      </c>
    </row>
    <row r="1934" spans="1:7" hidden="1">
      <c r="A1934" t="str">
        <f>Sinistrés!H1939</f>
        <v>Colza d'hiver</v>
      </c>
      <c r="B1934">
        <f>Sinistrés!J1939</f>
        <v>47775</v>
      </c>
      <c r="C1934">
        <f>Sinistrés!X1939</f>
        <v>0</v>
      </c>
      <c r="D1934">
        <f>Sinistrés!L1939</f>
        <v>50</v>
      </c>
      <c r="E1934">
        <f>Sinistrés!M1939</f>
        <v>50</v>
      </c>
      <c r="F1934">
        <f t="shared" si="60"/>
        <v>0</v>
      </c>
      <c r="G1934">
        <f t="shared" si="61"/>
        <v>1</v>
      </c>
    </row>
    <row r="1935" spans="1:7">
      <c r="A1935" t="str">
        <f>Sinistrés!H1940</f>
        <v>Orge d'hiver</v>
      </c>
      <c r="B1935">
        <f>Sinistrés!J1940</f>
        <v>35926.5</v>
      </c>
      <c r="C1935">
        <f>Sinistrés!X1940</f>
        <v>4262.13</v>
      </c>
      <c r="D1935">
        <f>Sinistrés!L1940</f>
        <v>43</v>
      </c>
      <c r="E1935">
        <f>Sinistrés!M1940</f>
        <v>43</v>
      </c>
      <c r="F1935">
        <f t="shared" si="60"/>
        <v>0.11863471253809862</v>
      </c>
      <c r="G1935">
        <f t="shared" si="61"/>
        <v>1</v>
      </c>
    </row>
    <row r="1936" spans="1:7" hidden="1">
      <c r="A1936" t="str">
        <f>Sinistrés!H1941</f>
        <v>Blé tendre d'hiver BIO</v>
      </c>
      <c r="B1936">
        <f>Sinistrés!J1941</f>
        <v>35486.21</v>
      </c>
      <c r="C1936">
        <f>Sinistrés!X1941</f>
        <v>0</v>
      </c>
      <c r="D1936">
        <f>Sinistrés!L1941</f>
        <v>24.48</v>
      </c>
      <c r="E1936">
        <f>Sinistrés!M1941</f>
        <v>24.48</v>
      </c>
      <c r="F1936">
        <f t="shared" si="60"/>
        <v>0</v>
      </c>
      <c r="G1936">
        <f t="shared" si="61"/>
        <v>1</v>
      </c>
    </row>
    <row r="1937" spans="1:7" hidden="1">
      <c r="A1937" t="str">
        <f>Sinistrés!H1942</f>
        <v>Pois protéagineux BIO</v>
      </c>
      <c r="B1937">
        <f>Sinistrés!J1942</f>
        <v>17969.849999999999</v>
      </c>
      <c r="C1937">
        <f>Sinistrés!X1942</f>
        <v>519.63</v>
      </c>
      <c r="D1937">
        <f>Sinistrés!L1942</f>
        <v>13.77</v>
      </c>
      <c r="E1937">
        <f>Sinistrés!M1942</f>
        <v>13.77</v>
      </c>
      <c r="F1937">
        <f t="shared" si="60"/>
        <v>2.8916768921276474E-2</v>
      </c>
      <c r="G1937">
        <f t="shared" si="61"/>
        <v>1</v>
      </c>
    </row>
    <row r="1938" spans="1:7" hidden="1">
      <c r="A1938" t="str">
        <f>Sinistrés!H1943</f>
        <v>Lentilles BIO</v>
      </c>
      <c r="B1938">
        <f>Sinistrés!J1943</f>
        <v>31285.200000000001</v>
      </c>
      <c r="C1938">
        <f>Sinistrés!X1943</f>
        <v>16416.150000000001</v>
      </c>
      <c r="D1938">
        <f>Sinistrés!L1943</f>
        <v>17.98</v>
      </c>
      <c r="E1938">
        <f>Sinistrés!M1943</f>
        <v>17.98</v>
      </c>
      <c r="F1938">
        <f t="shared" si="60"/>
        <v>0.52472574891642054</v>
      </c>
      <c r="G1938">
        <f t="shared" si="61"/>
        <v>1</v>
      </c>
    </row>
    <row r="1939" spans="1:7" hidden="1">
      <c r="A1939" t="str">
        <f>Sinistrés!H1944</f>
        <v>Pois secs / Pois Chiches BIO</v>
      </c>
      <c r="B1939">
        <f>Sinistrés!J1944</f>
        <v>28248.44</v>
      </c>
      <c r="C1939">
        <f>Sinistrés!X1944</f>
        <v>9977.66</v>
      </c>
      <c r="D1939">
        <f>Sinistrés!L1944</f>
        <v>15.78</v>
      </c>
      <c r="E1939">
        <f>Sinistrés!M1944</f>
        <v>13.64</v>
      </c>
      <c r="F1939">
        <f t="shared" si="60"/>
        <v>0.35321100917431192</v>
      </c>
      <c r="G1939">
        <f t="shared" si="61"/>
        <v>0.86438529784537399</v>
      </c>
    </row>
    <row r="1940" spans="1:7" hidden="1">
      <c r="A1940" t="str">
        <f>Sinistrés!H1945</f>
        <v>Tournesol BIO</v>
      </c>
      <c r="B1940">
        <f>Sinistrés!J1945</f>
        <v>18747.3</v>
      </c>
      <c r="C1940">
        <f>Sinistrés!X1945</f>
        <v>257.56</v>
      </c>
      <c r="D1940">
        <f>Sinistrés!L1945</f>
        <v>15</v>
      </c>
      <c r="E1940">
        <f>Sinistrés!M1945</f>
        <v>17.48</v>
      </c>
      <c r="F1940">
        <f t="shared" si="60"/>
        <v>1.3738511679015112E-2</v>
      </c>
      <c r="G1940">
        <f t="shared" si="61"/>
        <v>1.1653333333333333</v>
      </c>
    </row>
    <row r="1941" spans="1:7" hidden="1">
      <c r="A1941" t="str">
        <f>Sinistrés!H1946</f>
        <v>Avoine de printemps BIO</v>
      </c>
      <c r="B1941">
        <f>Sinistrés!J1946</f>
        <v>1247.9100000000001</v>
      </c>
      <c r="C1941">
        <f>Sinistrés!X1946</f>
        <v>449.75</v>
      </c>
      <c r="D1941">
        <f>Sinistrés!L1946</f>
        <v>2.96</v>
      </c>
      <c r="E1941">
        <f>Sinistrés!M1946</f>
        <v>2.96</v>
      </c>
      <c r="F1941">
        <f t="shared" si="60"/>
        <v>0.36040259313572293</v>
      </c>
      <c r="G1941">
        <f t="shared" si="61"/>
        <v>1</v>
      </c>
    </row>
    <row r="1942" spans="1:7" hidden="1">
      <c r="A1942" t="str">
        <f>Sinistrés!H1947</f>
        <v>Orge d'hiver BIO</v>
      </c>
      <c r="B1942">
        <f>Sinistrés!J1947</f>
        <v>35058.82</v>
      </c>
      <c r="C1942">
        <f>Sinistrés!X1947</f>
        <v>5867.48</v>
      </c>
      <c r="D1942">
        <f>Sinistrés!L1947</f>
        <v>23.41</v>
      </c>
      <c r="E1942">
        <f>Sinistrés!M1947</f>
        <v>23.41</v>
      </c>
      <c r="F1942">
        <f t="shared" si="60"/>
        <v>0.16736102355983457</v>
      </c>
      <c r="G1942">
        <f t="shared" si="61"/>
        <v>1</v>
      </c>
    </row>
    <row r="1943" spans="1:7" hidden="1">
      <c r="A1943" t="str">
        <f>Sinistrés!H1948</f>
        <v xml:space="preserve">Triticale </v>
      </c>
      <c r="B1943">
        <f>Sinistrés!J1948</f>
        <v>8693.34</v>
      </c>
      <c r="C1943">
        <f>Sinistrés!X1948</f>
        <v>0</v>
      </c>
      <c r="D1943">
        <f>Sinistrés!L1948</f>
        <v>13.2</v>
      </c>
      <c r="E1943">
        <f>Sinistrés!M1948</f>
        <v>12.95</v>
      </c>
      <c r="F1943">
        <f t="shared" si="60"/>
        <v>0</v>
      </c>
      <c r="G1943">
        <f t="shared" si="61"/>
        <v>0.98106060606060608</v>
      </c>
    </row>
    <row r="1944" spans="1:7" hidden="1">
      <c r="A1944" t="str">
        <f>Sinistrés!H1949</f>
        <v>Orge d'hiver</v>
      </c>
      <c r="B1944">
        <f>Sinistrés!J1949</f>
        <v>4347.53</v>
      </c>
      <c r="C1944">
        <f>Sinistrés!X1949</f>
        <v>0</v>
      </c>
      <c r="D1944">
        <f>Sinistrés!L1949</f>
        <v>4.55</v>
      </c>
      <c r="E1944">
        <f>Sinistrés!M1949</f>
        <v>4.55</v>
      </c>
      <c r="F1944">
        <f t="shared" si="60"/>
        <v>0</v>
      </c>
      <c r="G1944">
        <f t="shared" si="61"/>
        <v>1</v>
      </c>
    </row>
    <row r="1945" spans="1:7" hidden="1">
      <c r="A1945" t="str">
        <f>Sinistrés!H1950</f>
        <v>Colza d'hiver</v>
      </c>
      <c r="B1945">
        <f>Sinistrés!J1950</f>
        <v>7258.95</v>
      </c>
      <c r="C1945">
        <f>Sinistrés!X1950</f>
        <v>0</v>
      </c>
      <c r="D1945">
        <f>Sinistrés!L1950</f>
        <v>6.75</v>
      </c>
      <c r="E1945">
        <f>Sinistrés!M1950</f>
        <v>6.75</v>
      </c>
      <c r="F1945">
        <f t="shared" si="60"/>
        <v>0</v>
      </c>
      <c r="G1945">
        <f t="shared" si="61"/>
        <v>1</v>
      </c>
    </row>
    <row r="1946" spans="1:7">
      <c r="A1946" t="str">
        <f>Sinistrés!H1951</f>
        <v>Maïs ensilage non irrigué</v>
      </c>
      <c r="B1946">
        <f>Sinistrés!J1951</f>
        <v>24516.34</v>
      </c>
      <c r="C1946">
        <f>Sinistrés!X1951</f>
        <v>813.5</v>
      </c>
      <c r="D1946">
        <f>Sinistrés!L1951</f>
        <v>20.8</v>
      </c>
      <c r="E1946">
        <f>Sinistrés!M1951</f>
        <v>17.8</v>
      </c>
      <c r="F1946">
        <f t="shared" si="60"/>
        <v>3.3181951302682214E-2</v>
      </c>
      <c r="G1946">
        <f t="shared" si="61"/>
        <v>0.85576923076923073</v>
      </c>
    </row>
    <row r="1947" spans="1:7" hidden="1">
      <c r="A1947" t="str">
        <f>Sinistrés!H1952</f>
        <v>Orge d'hiver</v>
      </c>
      <c r="B1947">
        <f>Sinistrés!J1952</f>
        <v>9537</v>
      </c>
      <c r="C1947">
        <f>Sinistrés!X1952</f>
        <v>0</v>
      </c>
      <c r="D1947">
        <f>Sinistrés!L1952</f>
        <v>9.35</v>
      </c>
      <c r="E1947">
        <f>Sinistrés!M1952</f>
        <v>9.35</v>
      </c>
      <c r="F1947">
        <f t="shared" si="60"/>
        <v>0</v>
      </c>
      <c r="G1947">
        <f t="shared" si="61"/>
        <v>1</v>
      </c>
    </row>
    <row r="1948" spans="1:7" hidden="1">
      <c r="A1948" t="str">
        <f>Sinistrés!H1953</f>
        <v>Blé dur d'hiver</v>
      </c>
      <c r="B1948">
        <f>Sinistrés!J1953</f>
        <v>11537</v>
      </c>
      <c r="C1948">
        <f>Sinistrés!X1953</f>
        <v>0</v>
      </c>
      <c r="D1948">
        <f>Sinistrés!L1953</f>
        <v>291.2</v>
      </c>
      <c r="E1948">
        <f>Sinistrés!M1953</f>
        <v>293.77</v>
      </c>
      <c r="F1948">
        <f t="shared" si="60"/>
        <v>0</v>
      </c>
      <c r="G1948">
        <f t="shared" si="61"/>
        <v>1.0088255494505494</v>
      </c>
    </row>
    <row r="1949" spans="1:7" hidden="1">
      <c r="A1949" t="str">
        <f>Sinistrés!H1954</f>
        <v>Blé tendre d'hiver</v>
      </c>
      <c r="B1949">
        <f>Sinistrés!J1954</f>
        <v>52482.16</v>
      </c>
      <c r="C1949">
        <f>Sinistrés!X1954</f>
        <v>0</v>
      </c>
      <c r="D1949">
        <f>Sinistrés!L1954</f>
        <v>44.78</v>
      </c>
      <c r="E1949">
        <f>Sinistrés!M1954</f>
        <v>44.78</v>
      </c>
      <c r="F1949">
        <f t="shared" si="60"/>
        <v>0</v>
      </c>
      <c r="G1949">
        <f t="shared" si="61"/>
        <v>1</v>
      </c>
    </row>
    <row r="1950" spans="1:7">
      <c r="A1950" t="str">
        <f>Sinistrés!H1955</f>
        <v>Colza d'hiver</v>
      </c>
      <c r="B1950">
        <f>Sinistrés!J1955</f>
        <v>16927.439999999999</v>
      </c>
      <c r="C1950">
        <f>Sinistrés!X1955</f>
        <v>1470.19</v>
      </c>
      <c r="D1950">
        <f>Sinistrés!L1955</f>
        <v>16.86</v>
      </c>
      <c r="E1950">
        <f>Sinistrés!M1955</f>
        <v>16.86</v>
      </c>
      <c r="F1950">
        <f t="shared" si="60"/>
        <v>8.685247149007766E-2</v>
      </c>
      <c r="G1950">
        <f t="shared" si="61"/>
        <v>1</v>
      </c>
    </row>
    <row r="1951" spans="1:7">
      <c r="A1951" t="str">
        <f>Sinistrés!H1956</f>
        <v>Lin oléagineux</v>
      </c>
      <c r="B1951">
        <f>Sinistrés!J1956</f>
        <v>8676.32</v>
      </c>
      <c r="C1951">
        <f>Sinistrés!X1956</f>
        <v>1906.09</v>
      </c>
      <c r="D1951">
        <f>Sinistrés!L1956</f>
        <v>9.99</v>
      </c>
      <c r="E1951">
        <f>Sinistrés!M1956</f>
        <v>9.99</v>
      </c>
      <c r="F1951">
        <f t="shared" si="60"/>
        <v>0.21968876205580246</v>
      </c>
      <c r="G1951">
        <f t="shared" si="61"/>
        <v>1</v>
      </c>
    </row>
    <row r="1952" spans="1:7" hidden="1">
      <c r="A1952" t="str">
        <f>Sinistrés!H1957</f>
        <v>Pois protéagineux</v>
      </c>
      <c r="B1952">
        <f>Sinistrés!J1957</f>
        <v>8068.68</v>
      </c>
      <c r="C1952">
        <f>Sinistrés!X1957</f>
        <v>0</v>
      </c>
      <c r="D1952">
        <f>Sinistrés!L1957</f>
        <v>11.16</v>
      </c>
      <c r="E1952">
        <f>Sinistrés!M1957</f>
        <v>11.16</v>
      </c>
      <c r="F1952">
        <f t="shared" si="60"/>
        <v>0</v>
      </c>
      <c r="G1952">
        <f t="shared" si="61"/>
        <v>1</v>
      </c>
    </row>
    <row r="1953" spans="1:7">
      <c r="A1953" t="str">
        <f>Sinistrés!H1958</f>
        <v>Triticale</v>
      </c>
      <c r="B1953">
        <f>Sinistrés!J1958</f>
        <v>987.56</v>
      </c>
      <c r="C1953">
        <f>Sinistrés!X1958</f>
        <v>497.62</v>
      </c>
      <c r="D1953">
        <f>Sinistrés!L1958</f>
        <v>1.41</v>
      </c>
      <c r="E1953">
        <f>Sinistrés!M1958</f>
        <v>1.41</v>
      </c>
      <c r="F1953">
        <f t="shared" si="60"/>
        <v>0.50388837133946296</v>
      </c>
      <c r="G1953">
        <f t="shared" si="61"/>
        <v>1</v>
      </c>
    </row>
    <row r="1954" spans="1:7" hidden="1">
      <c r="A1954" t="str">
        <f>Sinistrés!H1959</f>
        <v>Orge de printemps</v>
      </c>
      <c r="B1954">
        <f>Sinistrés!J1959</f>
        <v>11537</v>
      </c>
      <c r="C1954">
        <f>Sinistrés!X1959</f>
        <v>0</v>
      </c>
      <c r="D1954">
        <f>Sinistrés!L1959</f>
        <v>13.9</v>
      </c>
      <c r="E1954">
        <f>Sinistrés!M1959</f>
        <v>13.9</v>
      </c>
      <c r="F1954">
        <f t="shared" si="60"/>
        <v>0</v>
      </c>
      <c r="G1954">
        <f t="shared" si="61"/>
        <v>1</v>
      </c>
    </row>
    <row r="1955" spans="1:7" hidden="1">
      <c r="A1955" t="str">
        <f>Sinistrés!H1960</f>
        <v>Blé dur d'hiver BIO</v>
      </c>
      <c r="B1955">
        <f>Sinistrés!J1960</f>
        <v>11610.18</v>
      </c>
      <c r="C1955">
        <f>Sinistrés!X1960</f>
        <v>0</v>
      </c>
      <c r="D1955">
        <f>Sinistrés!L1960</f>
        <v>8.91</v>
      </c>
      <c r="E1955">
        <f>Sinistrés!M1960</f>
        <v>8.9</v>
      </c>
      <c r="F1955">
        <f t="shared" si="60"/>
        <v>0</v>
      </c>
      <c r="G1955">
        <f t="shared" si="61"/>
        <v>0.99887766554433222</v>
      </c>
    </row>
    <row r="1956" spans="1:7" hidden="1">
      <c r="A1956" t="str">
        <f>Sinistrés!H1961</f>
        <v>Blé tendre d'hiver</v>
      </c>
      <c r="B1956">
        <f>Sinistrés!J1961</f>
        <v>32620.71</v>
      </c>
      <c r="C1956">
        <f>Sinistrés!X1961</f>
        <v>0</v>
      </c>
      <c r="D1956">
        <f>Sinistrés!L1961</f>
        <v>28.7</v>
      </c>
      <c r="E1956">
        <f>Sinistrés!M1961</f>
        <v>28.6</v>
      </c>
      <c r="F1956">
        <f t="shared" si="60"/>
        <v>0</v>
      </c>
      <c r="G1956">
        <f t="shared" si="61"/>
        <v>0.99651567944250874</v>
      </c>
    </row>
    <row r="1957" spans="1:7" hidden="1">
      <c r="A1957" t="str">
        <f>Sinistrés!H1962</f>
        <v>Blé tendre d'hiver</v>
      </c>
      <c r="B1957">
        <f>Sinistrés!J1962</f>
        <v>123275.1</v>
      </c>
      <c r="C1957">
        <f>Sinistrés!X1962</f>
        <v>0</v>
      </c>
      <c r="D1957">
        <f>Sinistrés!L1962</f>
        <v>86.44</v>
      </c>
      <c r="E1957">
        <f>Sinistrés!M1962</f>
        <v>86.6</v>
      </c>
      <c r="F1957">
        <f t="shared" si="60"/>
        <v>0</v>
      </c>
      <c r="G1957">
        <f t="shared" si="61"/>
        <v>1.001850994909764</v>
      </c>
    </row>
    <row r="1958" spans="1:7" hidden="1">
      <c r="A1958" t="str">
        <f>Sinistrés!H1963</f>
        <v>Colza d'hiver</v>
      </c>
      <c r="B1958">
        <f>Sinistrés!J1963</f>
        <v>118234.05</v>
      </c>
      <c r="C1958">
        <f>Sinistrés!X1963</f>
        <v>0</v>
      </c>
      <c r="D1958">
        <f>Sinistrés!L1963</f>
        <v>61.1</v>
      </c>
      <c r="E1958">
        <f>Sinistrés!M1963</f>
        <v>60.17</v>
      </c>
      <c r="F1958">
        <f t="shared" si="60"/>
        <v>0</v>
      </c>
      <c r="G1958">
        <f t="shared" si="61"/>
        <v>0.98477905073649752</v>
      </c>
    </row>
    <row r="1959" spans="1:7" hidden="1">
      <c r="A1959" t="str">
        <f>Sinistrés!H1964</f>
        <v>Orge d'hiver</v>
      </c>
      <c r="B1959">
        <f>Sinistrés!J1964</f>
        <v>54849.19</v>
      </c>
      <c r="C1959">
        <f>Sinistrés!X1964</f>
        <v>0</v>
      </c>
      <c r="D1959">
        <f>Sinistrés!L1964</f>
        <v>47.91</v>
      </c>
      <c r="E1959">
        <f>Sinistrés!M1964</f>
        <v>47.39</v>
      </c>
      <c r="F1959">
        <f t="shared" si="60"/>
        <v>0</v>
      </c>
      <c r="G1959">
        <f t="shared" si="61"/>
        <v>0.98914631600918401</v>
      </c>
    </row>
    <row r="1960" spans="1:7" hidden="1">
      <c r="A1960" t="str">
        <f>Sinistrés!H1965</f>
        <v>Lin oléagineux</v>
      </c>
      <c r="B1960">
        <f>Sinistrés!J1965</f>
        <v>10255.209999999999</v>
      </c>
      <c r="C1960">
        <f>Sinistrés!X1965</f>
        <v>0</v>
      </c>
      <c r="D1960">
        <f>Sinistrés!L1965</f>
        <v>11</v>
      </c>
      <c r="E1960">
        <f>Sinistrés!M1965</f>
        <v>11.02</v>
      </c>
      <c r="F1960">
        <f t="shared" si="60"/>
        <v>0</v>
      </c>
      <c r="G1960">
        <f t="shared" si="61"/>
        <v>1.0018181818181817</v>
      </c>
    </row>
    <row r="1961" spans="1:7" hidden="1">
      <c r="A1961" t="str">
        <f>Sinistrés!H1966</f>
        <v>Orge de printemps</v>
      </c>
      <c r="B1961">
        <f>Sinistrés!J1966</f>
        <v>22052.16</v>
      </c>
      <c r="C1961">
        <f>Sinistrés!X1966</f>
        <v>0</v>
      </c>
      <c r="D1961">
        <f>Sinistrés!L1966</f>
        <v>24.75</v>
      </c>
      <c r="E1961">
        <f>Sinistrés!M1966</f>
        <v>24.8</v>
      </c>
      <c r="F1961">
        <f t="shared" si="60"/>
        <v>0</v>
      </c>
      <c r="G1961">
        <f t="shared" si="61"/>
        <v>1.002020202020202</v>
      </c>
    </row>
    <row r="1962" spans="1:7" hidden="1">
      <c r="A1962" t="str">
        <f>Sinistrés!H1967</f>
        <v>Colza d'hiver</v>
      </c>
      <c r="B1962">
        <f>Sinistrés!J1967</f>
        <v>7824.87</v>
      </c>
      <c r="C1962">
        <f>Sinistrés!X1967</f>
        <v>0</v>
      </c>
      <c r="D1962">
        <f>Sinistrés!L1967</f>
        <v>6.75</v>
      </c>
      <c r="E1962">
        <f>Sinistrés!M1967</f>
        <v>6.75</v>
      </c>
      <c r="F1962">
        <f t="shared" si="60"/>
        <v>0</v>
      </c>
      <c r="G1962">
        <f t="shared" si="61"/>
        <v>1</v>
      </c>
    </row>
    <row r="1963" spans="1:7">
      <c r="A1963" t="str">
        <f>Sinistrés!H1968</f>
        <v>Blé tendre d'hiver</v>
      </c>
      <c r="B1963">
        <f>Sinistrés!J1968</f>
        <v>12941.25</v>
      </c>
      <c r="C1963">
        <f>Sinistrés!X1968</f>
        <v>1253.96</v>
      </c>
      <c r="D1963">
        <f>Sinistrés!L1968</f>
        <v>11.9</v>
      </c>
      <c r="E1963">
        <f>Sinistrés!M1968</f>
        <v>11.9</v>
      </c>
      <c r="F1963">
        <f t="shared" si="60"/>
        <v>9.6896358543417369E-2</v>
      </c>
      <c r="G1963">
        <f t="shared" si="61"/>
        <v>1</v>
      </c>
    </row>
    <row r="1964" spans="1:7" hidden="1">
      <c r="A1964" t="str">
        <f>Sinistrés!H1969</f>
        <v>Orge d'hiver</v>
      </c>
      <c r="B1964">
        <f>Sinistrés!J1969</f>
        <v>11855.77</v>
      </c>
      <c r="C1964">
        <f>Sinistrés!X1969</f>
        <v>0</v>
      </c>
      <c r="D1964">
        <f>Sinistrés!L1969</f>
        <v>13.83</v>
      </c>
      <c r="E1964">
        <f>Sinistrés!M1969</f>
        <v>13.83</v>
      </c>
      <c r="F1964">
        <f t="shared" si="60"/>
        <v>0</v>
      </c>
      <c r="G1964">
        <f t="shared" si="61"/>
        <v>1</v>
      </c>
    </row>
    <row r="1965" spans="1:7">
      <c r="A1965" t="str">
        <f>Sinistrés!H1970</f>
        <v>Pois protéagineux</v>
      </c>
      <c r="B1965">
        <f>Sinistrés!J1970</f>
        <v>9319.68</v>
      </c>
      <c r="C1965">
        <f>Sinistrés!X1970</f>
        <v>1843.55</v>
      </c>
      <c r="D1965">
        <f>Sinistrés!L1970</f>
        <v>8.09</v>
      </c>
      <c r="E1965">
        <f>Sinistrés!M1970</f>
        <v>8.09</v>
      </c>
      <c r="F1965">
        <f t="shared" si="60"/>
        <v>0.19781258583985714</v>
      </c>
      <c r="G1965">
        <f t="shared" si="61"/>
        <v>1</v>
      </c>
    </row>
    <row r="1966" spans="1:7" hidden="1">
      <c r="A1966" t="str">
        <f>Sinistrés!H1971</f>
        <v>Blé tendre d'hiver</v>
      </c>
      <c r="B1966">
        <f>Sinistrés!J1971</f>
        <v>33166.18</v>
      </c>
      <c r="C1966">
        <f>Sinistrés!X1971</f>
        <v>0</v>
      </c>
      <c r="D1966">
        <f>Sinistrés!L1971</f>
        <v>59.91</v>
      </c>
      <c r="E1966">
        <f>Sinistrés!M1971</f>
        <v>59.91</v>
      </c>
      <c r="F1966">
        <f t="shared" si="60"/>
        <v>0</v>
      </c>
      <c r="G1966">
        <f t="shared" si="61"/>
        <v>1</v>
      </c>
    </row>
    <row r="1967" spans="1:7" hidden="1">
      <c r="A1967" t="str">
        <f>Sinistrés!H1972</f>
        <v>Colza d'hiver</v>
      </c>
      <c r="B1967">
        <f>Sinistrés!J1972</f>
        <v>62566.6</v>
      </c>
      <c r="C1967">
        <f>Sinistrés!X1972</f>
        <v>0</v>
      </c>
      <c r="D1967">
        <f>Sinistrés!L1972</f>
        <v>40.76</v>
      </c>
      <c r="E1967">
        <f>Sinistrés!M1972</f>
        <v>40.76</v>
      </c>
      <c r="F1967">
        <f t="shared" si="60"/>
        <v>0</v>
      </c>
      <c r="G1967">
        <f t="shared" si="61"/>
        <v>1</v>
      </c>
    </row>
    <row r="1968" spans="1:7">
      <c r="A1968" t="str">
        <f>Sinistrés!H1973</f>
        <v>Maïs ensilage non irrigué</v>
      </c>
      <c r="B1968">
        <f>Sinistrés!J1973</f>
        <v>191416.13</v>
      </c>
      <c r="C1968">
        <f>Sinistrés!X1973</f>
        <v>68697.279999999999</v>
      </c>
      <c r="D1968">
        <f>Sinistrés!L1973</f>
        <v>102.57</v>
      </c>
      <c r="E1968">
        <f>Sinistrés!M1973</f>
        <v>102.57</v>
      </c>
      <c r="F1968">
        <f t="shared" si="60"/>
        <v>0.35888971321277885</v>
      </c>
      <c r="G1968">
        <f t="shared" si="61"/>
        <v>1</v>
      </c>
    </row>
    <row r="1969" spans="1:7" hidden="1">
      <c r="A1969" t="str">
        <f>Sinistrés!H1974</f>
        <v>Tournesol</v>
      </c>
      <c r="B1969">
        <f>Sinistrés!J1974</f>
        <v>37189.93</v>
      </c>
      <c r="C1969">
        <f>Sinistrés!X1974</f>
        <v>0</v>
      </c>
      <c r="D1969">
        <f>Sinistrés!L1974</f>
        <v>31.39</v>
      </c>
      <c r="E1969">
        <f>Sinistrés!M1974</f>
        <v>31.39</v>
      </c>
      <c r="F1969">
        <f t="shared" si="60"/>
        <v>0</v>
      </c>
      <c r="G1969">
        <f t="shared" si="61"/>
        <v>1</v>
      </c>
    </row>
    <row r="1970" spans="1:7">
      <c r="A1970" t="str">
        <f>Sinistrés!H1975</f>
        <v>Orge de printemps</v>
      </c>
      <c r="B1970">
        <f>Sinistrés!J1975</f>
        <v>76398.509999999995</v>
      </c>
      <c r="C1970">
        <f>Sinistrés!X1975</f>
        <v>2719.27</v>
      </c>
      <c r="D1970">
        <f>Sinistrés!L1975</f>
        <v>76.17</v>
      </c>
      <c r="E1970">
        <f>Sinistrés!M1975</f>
        <v>76.17</v>
      </c>
      <c r="F1970">
        <f t="shared" si="60"/>
        <v>3.5593233428243561E-2</v>
      </c>
      <c r="G1970">
        <f t="shared" si="61"/>
        <v>1</v>
      </c>
    </row>
    <row r="1971" spans="1:7" hidden="1">
      <c r="A1971" t="str">
        <f>Sinistrés!H1976</f>
        <v>Orge de printemps</v>
      </c>
      <c r="B1971">
        <f>Sinistrés!J1976</f>
        <v>16940</v>
      </c>
      <c r="C1971">
        <f>Sinistrés!X1976</f>
        <v>0</v>
      </c>
      <c r="D1971">
        <f>Sinistrés!L1976</f>
        <v>15.4</v>
      </c>
      <c r="E1971">
        <f>Sinistrés!M1976</f>
        <v>15.4</v>
      </c>
      <c r="F1971">
        <f t="shared" si="60"/>
        <v>0</v>
      </c>
      <c r="G1971">
        <f t="shared" si="61"/>
        <v>1</v>
      </c>
    </row>
    <row r="1972" spans="1:7" hidden="1">
      <c r="A1972" t="str">
        <f>Sinistrés!H1977</f>
        <v>Blé tendre d'hiver</v>
      </c>
      <c r="B1972">
        <f>Sinistrés!J1977</f>
        <v>94680.29</v>
      </c>
      <c r="C1972">
        <f>Sinistrés!X1977</f>
        <v>0</v>
      </c>
      <c r="D1972">
        <f>Sinistrés!L1977</f>
        <v>125.04</v>
      </c>
      <c r="E1972">
        <f>Sinistrés!M1977</f>
        <v>125.04</v>
      </c>
      <c r="F1972">
        <f t="shared" si="60"/>
        <v>0</v>
      </c>
      <c r="G1972">
        <f t="shared" si="61"/>
        <v>1</v>
      </c>
    </row>
    <row r="1973" spans="1:7" hidden="1">
      <c r="A1973" t="str">
        <f>Sinistrés!H1978</f>
        <v xml:space="preserve">Pois protéagineux </v>
      </c>
      <c r="B1973">
        <f>Sinistrés!J1978</f>
        <v>4048.8809999999999</v>
      </c>
      <c r="C1973">
        <f>Sinistrés!X1978</f>
        <v>0</v>
      </c>
      <c r="D1973">
        <f>Sinistrés!L1978</f>
        <v>5.45</v>
      </c>
      <c r="E1973">
        <f>Sinistrés!M1978</f>
        <v>5.45</v>
      </c>
      <c r="F1973">
        <f t="shared" si="60"/>
        <v>0</v>
      </c>
      <c r="G1973">
        <f t="shared" si="61"/>
        <v>1</v>
      </c>
    </row>
    <row r="1974" spans="1:7">
      <c r="A1974" t="str">
        <f>Sinistrés!H1979</f>
        <v>Lentilles</v>
      </c>
      <c r="B1974">
        <f>Sinistrés!J1979</f>
        <v>4296.6000000000004</v>
      </c>
      <c r="C1974">
        <f>Sinistrés!X1979</f>
        <v>909.22</v>
      </c>
      <c r="D1974">
        <f>Sinistrés!L1979</f>
        <v>5.25</v>
      </c>
      <c r="E1974">
        <f>Sinistrés!M1979</f>
        <v>5.25</v>
      </c>
      <c r="F1974">
        <f t="shared" si="60"/>
        <v>0.21161383419447935</v>
      </c>
      <c r="G1974">
        <f t="shared" si="61"/>
        <v>1</v>
      </c>
    </row>
    <row r="1975" spans="1:7">
      <c r="A1975" t="str">
        <f>Sinistrés!H1980</f>
        <v>Blé tendre d'hiver</v>
      </c>
      <c r="B1975">
        <f>Sinistrés!J1980</f>
        <v>88278.31</v>
      </c>
      <c r="C1975">
        <f>Sinistrés!X1980</f>
        <v>260.47000000000003</v>
      </c>
      <c r="D1975">
        <f>Sinistrés!L1980</f>
        <v>70.75</v>
      </c>
      <c r="E1975">
        <f>Sinistrés!M1980</f>
        <v>50.53</v>
      </c>
      <c r="F1975">
        <f t="shared" si="60"/>
        <v>2.950554898479593E-3</v>
      </c>
      <c r="G1975">
        <f t="shared" si="61"/>
        <v>0.71420494699646642</v>
      </c>
    </row>
    <row r="1976" spans="1:7">
      <c r="A1976" t="str">
        <f>Sinistrés!H1981</f>
        <v>Colza d'hiver</v>
      </c>
      <c r="B1976">
        <f>Sinistrés!J1981</f>
        <v>62882.239999999998</v>
      </c>
      <c r="C1976">
        <f>Sinistrés!X1981</f>
        <v>23325.38</v>
      </c>
      <c r="D1976">
        <f>Sinistrés!L1981</f>
        <v>53.11</v>
      </c>
      <c r="E1976">
        <f>Sinistrés!M1981</f>
        <v>53.11</v>
      </c>
      <c r="F1976">
        <f t="shared" si="60"/>
        <v>0.37093748568753276</v>
      </c>
      <c r="G1976">
        <f t="shared" si="61"/>
        <v>1</v>
      </c>
    </row>
    <row r="1977" spans="1:7" hidden="1">
      <c r="A1977" t="str">
        <f>Sinistrés!H1982</f>
        <v>Blé tendre d'hiver</v>
      </c>
      <c r="B1977">
        <f>Sinistrés!J1982</f>
        <v>42764</v>
      </c>
      <c r="C1977">
        <f>Sinistrés!X1982</f>
        <v>0</v>
      </c>
      <c r="D1977">
        <f>Sinistrés!L1982</f>
        <v>32.86</v>
      </c>
      <c r="E1977">
        <f>Sinistrés!M1982</f>
        <v>32</v>
      </c>
      <c r="F1977">
        <f t="shared" si="60"/>
        <v>0</v>
      </c>
      <c r="G1977">
        <f t="shared" si="61"/>
        <v>0.9738283627510651</v>
      </c>
    </row>
    <row r="1978" spans="1:7" hidden="1">
      <c r="A1978" t="str">
        <f>Sinistrés!H1983</f>
        <v>Colza d'hiver</v>
      </c>
      <c r="B1978">
        <f>Sinistrés!J1983</f>
        <v>14273.28</v>
      </c>
      <c r="C1978">
        <f>Sinistrés!X1983</f>
        <v>0</v>
      </c>
      <c r="D1978">
        <f>Sinistrés!L1983</f>
        <v>9.44</v>
      </c>
      <c r="E1978">
        <f>Sinistrés!M1983</f>
        <v>9.44</v>
      </c>
      <c r="F1978">
        <f t="shared" si="60"/>
        <v>0</v>
      </c>
      <c r="G1978">
        <f t="shared" si="61"/>
        <v>1</v>
      </c>
    </row>
    <row r="1979" spans="1:7" hidden="1">
      <c r="A1979" t="str">
        <f>Sinistrés!H1984</f>
        <v>Orge d'hiver</v>
      </c>
      <c r="B1979">
        <f>Sinistrés!J1984</f>
        <v>17523.54</v>
      </c>
      <c r="C1979">
        <f>Sinistrés!X1984</f>
        <v>0</v>
      </c>
      <c r="D1979">
        <f>Sinistrés!L1984</f>
        <v>13.05</v>
      </c>
      <c r="E1979">
        <f>Sinistrés!M1984</f>
        <v>13</v>
      </c>
      <c r="F1979">
        <f t="shared" si="60"/>
        <v>0</v>
      </c>
      <c r="G1979">
        <f t="shared" si="61"/>
        <v>0.99616858237547889</v>
      </c>
    </row>
    <row r="1980" spans="1:7">
      <c r="A1980" t="str">
        <f>Sinistrés!H1985</f>
        <v>Triticale</v>
      </c>
      <c r="B1980">
        <f>Sinistrés!J1985</f>
        <v>90958.28</v>
      </c>
      <c r="C1980">
        <f>Sinistrés!X1985</f>
        <v>6850.14</v>
      </c>
      <c r="D1980">
        <f>Sinistrés!L1985</f>
        <v>57.7</v>
      </c>
      <c r="E1980">
        <f>Sinistrés!M1985</f>
        <v>57</v>
      </c>
      <c r="F1980">
        <f t="shared" si="60"/>
        <v>7.5310790837293765E-2</v>
      </c>
      <c r="G1980">
        <f t="shared" si="61"/>
        <v>0.98786828422876949</v>
      </c>
    </row>
    <row r="1981" spans="1:7">
      <c r="A1981" t="str">
        <f>Sinistrés!H1986</f>
        <v>Blé tendre d'hiver</v>
      </c>
      <c r="B1981">
        <f>Sinistrés!J1986</f>
        <v>270510.59999999998</v>
      </c>
      <c r="C1981">
        <f>Sinistrés!X1986</f>
        <v>31042.2</v>
      </c>
      <c r="D1981">
        <f>Sinistrés!L1986</f>
        <v>147.82</v>
      </c>
      <c r="E1981">
        <f>Sinistrés!M1986</f>
        <v>147</v>
      </c>
      <c r="F1981">
        <f t="shared" si="60"/>
        <v>0.11475409836065575</v>
      </c>
      <c r="G1981">
        <f t="shared" si="61"/>
        <v>0.99445271275876068</v>
      </c>
    </row>
    <row r="1982" spans="1:7">
      <c r="A1982" t="str">
        <f>Sinistrés!H1987</f>
        <v>Blé tendre d'hiver</v>
      </c>
      <c r="B1982">
        <f>Sinistrés!J1987</f>
        <v>30076.799999999999</v>
      </c>
      <c r="C1982">
        <f>Sinistrés!X1987</f>
        <v>367.39</v>
      </c>
      <c r="D1982">
        <f>Sinistrés!L1987</f>
        <v>26</v>
      </c>
      <c r="E1982">
        <f>Sinistrés!M1987</f>
        <v>8.6</v>
      </c>
      <c r="F1982">
        <f t="shared" si="60"/>
        <v>1.2215062772635387E-2</v>
      </c>
      <c r="G1982">
        <f t="shared" si="61"/>
        <v>0.33076923076923076</v>
      </c>
    </row>
    <row r="1983" spans="1:7" hidden="1">
      <c r="A1983" t="str">
        <f>Sinistrés!H1988</f>
        <v>Colza d'hiver</v>
      </c>
      <c r="B1983">
        <f>Sinistrés!J1988</f>
        <v>34665.300000000003</v>
      </c>
      <c r="C1983">
        <f>Sinistrés!X1988</f>
        <v>0</v>
      </c>
      <c r="D1983">
        <f>Sinistrés!L1988</f>
        <v>20</v>
      </c>
      <c r="E1983">
        <f>Sinistrés!M1988</f>
        <v>20.82</v>
      </c>
      <c r="F1983">
        <f t="shared" si="60"/>
        <v>0</v>
      </c>
      <c r="G1983">
        <f t="shared" si="61"/>
        <v>1.0409999999999999</v>
      </c>
    </row>
    <row r="1984" spans="1:7">
      <c r="A1984" t="str">
        <f>Sinistrés!H1989</f>
        <v>Blé tendre d'hiver</v>
      </c>
      <c r="B1984">
        <f>Sinistrés!J1989</f>
        <v>36048.78</v>
      </c>
      <c r="C1984">
        <f>Sinistrés!X1989</f>
        <v>2173.9</v>
      </c>
      <c r="D1984">
        <f>Sinistrés!L1989</f>
        <v>38.08</v>
      </c>
      <c r="E1984">
        <f>Sinistrés!M1989</f>
        <v>27.7</v>
      </c>
      <c r="F1984">
        <f t="shared" si="60"/>
        <v>6.0304398650939096E-2</v>
      </c>
      <c r="G1984">
        <f t="shared" si="61"/>
        <v>0.72741596638655459</v>
      </c>
    </row>
    <row r="1985" spans="1:7">
      <c r="A1985" t="str">
        <f>Sinistrés!H1990</f>
        <v>Tournesol</v>
      </c>
      <c r="B1985">
        <f>Sinistrés!J1990</f>
        <v>13887.86</v>
      </c>
      <c r="C1985">
        <f>Sinistrés!X1990</f>
        <v>1330</v>
      </c>
      <c r="D1985">
        <f>Sinistrés!L1990</f>
        <v>13.3</v>
      </c>
      <c r="E1985">
        <f>Sinistrés!M1990</f>
        <v>13.3</v>
      </c>
      <c r="F1985">
        <f t="shared" si="60"/>
        <v>9.5767094426355101E-2</v>
      </c>
      <c r="G1985">
        <f t="shared" si="61"/>
        <v>1</v>
      </c>
    </row>
    <row r="1986" spans="1:7">
      <c r="A1986" t="str">
        <f>Sinistrés!H1991</f>
        <v>Avoine d'hiver</v>
      </c>
      <c r="B1986">
        <f>Sinistrés!J1991</f>
        <v>4732.8</v>
      </c>
      <c r="C1986">
        <f>Sinistrés!X1991</f>
        <v>995.28</v>
      </c>
      <c r="D1986">
        <f>Sinistrés!L1991</f>
        <v>8.6999999999999993</v>
      </c>
      <c r="E1986">
        <f>Sinistrés!M1991</f>
        <v>8.6999999999999993</v>
      </c>
      <c r="F1986">
        <f t="shared" si="60"/>
        <v>0.2102941176470588</v>
      </c>
      <c r="G1986">
        <f t="shared" si="61"/>
        <v>1</v>
      </c>
    </row>
    <row r="1987" spans="1:7">
      <c r="A1987" t="str">
        <f>Sinistrés!H1992</f>
        <v>Blé tendre d'hiver</v>
      </c>
      <c r="B1987">
        <f>Sinistrés!J1992</f>
        <v>11789.95</v>
      </c>
      <c r="C1987">
        <f>Sinistrés!X1992</f>
        <v>1099.72</v>
      </c>
      <c r="D1987">
        <f>Sinistrés!L1992</f>
        <v>11.75</v>
      </c>
      <c r="E1987">
        <f>Sinistrés!M1992</f>
        <v>11.75</v>
      </c>
      <c r="F1987">
        <f t="shared" ref="F1987:F2050" si="62">C1987/B1987</f>
        <v>9.3276052909469498E-2</v>
      </c>
      <c r="G1987">
        <f t="shared" ref="G1987:G2050" si="63">E1987/D1987</f>
        <v>1</v>
      </c>
    </row>
    <row r="1988" spans="1:7">
      <c r="A1988" t="str">
        <f>Sinistrés!H1993</f>
        <v>Orge d'hiver</v>
      </c>
      <c r="B1988">
        <f>Sinistrés!J1993</f>
        <v>8487.1200000000008</v>
      </c>
      <c r="C1988">
        <f>Sinistrés!X1993</f>
        <v>1705.63</v>
      </c>
      <c r="D1988">
        <f>Sinistrés!L1993</f>
        <v>9.83</v>
      </c>
      <c r="E1988">
        <f>Sinistrés!M1993</f>
        <v>9.83</v>
      </c>
      <c r="F1988">
        <f t="shared" si="62"/>
        <v>0.20096687686753575</v>
      </c>
      <c r="G1988">
        <f t="shared" si="63"/>
        <v>1</v>
      </c>
    </row>
    <row r="1989" spans="1:7" hidden="1">
      <c r="A1989" t="str">
        <f>Sinistrés!H1994</f>
        <v>Colza d'hiver</v>
      </c>
      <c r="B1989">
        <f>Sinistrés!J1994</f>
        <v>11689.7</v>
      </c>
      <c r="C1989">
        <f>Sinistrés!X1994</f>
        <v>0</v>
      </c>
      <c r="D1989">
        <f>Sinistrés!L1994</f>
        <v>10.63</v>
      </c>
      <c r="E1989">
        <f>Sinistrés!M1994</f>
        <v>10.63</v>
      </c>
      <c r="F1989">
        <f t="shared" si="62"/>
        <v>0</v>
      </c>
      <c r="G1989">
        <f t="shared" si="63"/>
        <v>1</v>
      </c>
    </row>
    <row r="1990" spans="1:7">
      <c r="A1990" t="str">
        <f>Sinistrés!H1995</f>
        <v>Blé dur de printemps</v>
      </c>
      <c r="B1990">
        <f>Sinistrés!J1995</f>
        <v>15209.68</v>
      </c>
      <c r="C1990">
        <f>Sinistrés!X1995</f>
        <v>5825.59</v>
      </c>
      <c r="D1990">
        <f>Sinistrés!L1995</f>
        <v>8.83</v>
      </c>
      <c r="E1990">
        <f>Sinistrés!M1995</f>
        <v>8.83</v>
      </c>
      <c r="F1990">
        <f t="shared" si="62"/>
        <v>0.38301857764265917</v>
      </c>
      <c r="G1990">
        <f t="shared" si="63"/>
        <v>1</v>
      </c>
    </row>
    <row r="1991" spans="1:7" hidden="1">
      <c r="A1991" t="str">
        <f>Sinistrés!H1996</f>
        <v>Tournesol</v>
      </c>
      <c r="B1991">
        <f>Sinistrés!J1996</f>
        <v>23744.1</v>
      </c>
      <c r="C1991">
        <f>Sinistrés!X1996</f>
        <v>0</v>
      </c>
      <c r="D1991">
        <f>Sinistrés!L1996</f>
        <v>16.309999999999999</v>
      </c>
      <c r="E1991">
        <f>Sinistrés!M1996</f>
        <v>16.309999999999999</v>
      </c>
      <c r="F1991">
        <f t="shared" si="62"/>
        <v>0</v>
      </c>
      <c r="G1991">
        <f t="shared" si="63"/>
        <v>1</v>
      </c>
    </row>
    <row r="1992" spans="1:7" hidden="1">
      <c r="A1992" t="str">
        <f>Sinistrés!H1997</f>
        <v>Colza d'hiver</v>
      </c>
      <c r="B1992">
        <f>Sinistrés!J1997</f>
        <v>8347.9599999999991</v>
      </c>
      <c r="C1992">
        <f>Sinistrés!X1997</f>
        <v>0</v>
      </c>
      <c r="D1992">
        <f>Sinistrés!L1997</f>
        <v>7.08</v>
      </c>
      <c r="E1992">
        <f>Sinistrés!M1997</f>
        <v>7.08</v>
      </c>
      <c r="F1992">
        <f t="shared" si="62"/>
        <v>0</v>
      </c>
      <c r="G1992">
        <f t="shared" si="63"/>
        <v>1</v>
      </c>
    </row>
    <row r="1993" spans="1:7" hidden="1">
      <c r="A1993" t="str">
        <f>Sinistrés!H1998</f>
        <v>Colza d'hiver</v>
      </c>
      <c r="B1993">
        <f>Sinistrés!J1998</f>
        <v>12597.68</v>
      </c>
      <c r="C1993">
        <f>Sinistrés!X1998</f>
        <v>0</v>
      </c>
      <c r="D1993">
        <f>Sinistrés!L1998</f>
        <v>10.37</v>
      </c>
      <c r="E1993">
        <f>Sinistrés!M1998</f>
        <v>10.37</v>
      </c>
      <c r="F1993">
        <f t="shared" si="62"/>
        <v>0</v>
      </c>
      <c r="G1993">
        <f t="shared" si="63"/>
        <v>1</v>
      </c>
    </row>
    <row r="1994" spans="1:7" hidden="1">
      <c r="A1994" t="str">
        <f>Sinistrés!H1999</f>
        <v>Blé dur d'hiver</v>
      </c>
      <c r="B1994">
        <f>Sinistrés!J1999</f>
        <v>9446.01</v>
      </c>
      <c r="C1994">
        <f>Sinistrés!X1999</f>
        <v>0</v>
      </c>
      <c r="D1994">
        <f>Sinistrés!L1999</f>
        <v>7.18</v>
      </c>
      <c r="E1994">
        <f>Sinistrés!M1999</f>
        <v>7.18</v>
      </c>
      <c r="F1994">
        <f t="shared" si="62"/>
        <v>0</v>
      </c>
      <c r="G1994">
        <f t="shared" si="63"/>
        <v>1</v>
      </c>
    </row>
    <row r="1995" spans="1:7" hidden="1">
      <c r="A1995" t="str">
        <f>Sinistrés!H2000</f>
        <v>Blé tendre d'hiver</v>
      </c>
      <c r="B1995">
        <f>Sinistrés!J2000</f>
        <v>28005.119999999999</v>
      </c>
      <c r="C1995">
        <f>Sinistrés!X2000</f>
        <v>0</v>
      </c>
      <c r="D1995">
        <f>Sinistrés!L2000</f>
        <v>24.31</v>
      </c>
      <c r="E1995">
        <f>Sinistrés!M2000</f>
        <v>24.31</v>
      </c>
      <c r="F1995">
        <f t="shared" si="62"/>
        <v>0</v>
      </c>
      <c r="G1995">
        <f t="shared" si="63"/>
        <v>1</v>
      </c>
    </row>
    <row r="1996" spans="1:7" hidden="1">
      <c r="A1996" t="str">
        <f>Sinistrés!H2001</f>
        <v>Blé de force</v>
      </c>
      <c r="B1996">
        <f>Sinistrés!J2001</f>
        <v>35075.949999999997</v>
      </c>
      <c r="C1996">
        <f>Sinistrés!X2001</f>
        <v>0</v>
      </c>
      <c r="D1996">
        <f>Sinistrés!L2001</f>
        <v>33.799999999999997</v>
      </c>
      <c r="E1996">
        <f>Sinistrés!M2001</f>
        <v>33.799999999999997</v>
      </c>
      <c r="F1996">
        <f t="shared" si="62"/>
        <v>0</v>
      </c>
      <c r="G1996">
        <f t="shared" si="63"/>
        <v>1</v>
      </c>
    </row>
    <row r="1997" spans="1:7">
      <c r="A1997" t="str">
        <f>Sinistrés!H2002</f>
        <v>Maïs grain non irrigué</v>
      </c>
      <c r="B1997">
        <f>Sinistrés!J2002</f>
        <v>13838</v>
      </c>
      <c r="C1997">
        <f>Sinistrés!X2002</f>
        <v>8650.4</v>
      </c>
      <c r="D1997">
        <f>Sinistrés!L2002</f>
        <v>11</v>
      </c>
      <c r="E1997">
        <f>Sinistrés!M2002</f>
        <v>11</v>
      </c>
      <c r="F1997">
        <f t="shared" si="62"/>
        <v>0.62511923688394277</v>
      </c>
      <c r="G1997">
        <f t="shared" si="63"/>
        <v>1</v>
      </c>
    </row>
    <row r="1998" spans="1:7">
      <c r="A1998" t="str">
        <f>Sinistrés!H2003</f>
        <v>Orge de printemps</v>
      </c>
      <c r="B1998">
        <f>Sinistrés!J2003</f>
        <v>21173.360000000001</v>
      </c>
      <c r="C1998">
        <f>Sinistrés!X2003</f>
        <v>3925.45</v>
      </c>
      <c r="D1998">
        <f>Sinistrés!L2003</f>
        <v>23.86</v>
      </c>
      <c r="E1998">
        <f>Sinistrés!M2003</f>
        <v>23.86</v>
      </c>
      <c r="F1998">
        <f t="shared" si="62"/>
        <v>0.18539570479130377</v>
      </c>
      <c r="G1998">
        <f t="shared" si="63"/>
        <v>1</v>
      </c>
    </row>
    <row r="1999" spans="1:7">
      <c r="A1999" t="str">
        <f>Sinistrés!H2004</f>
        <v>Tournesol</v>
      </c>
      <c r="B1999">
        <f>Sinistrés!J2004</f>
        <v>32398.2</v>
      </c>
      <c r="C1999">
        <f>Sinistrés!X2004</f>
        <v>10588.68</v>
      </c>
      <c r="D1999">
        <f>Sinistrés!L2004</f>
        <v>35.119999999999997</v>
      </c>
      <c r="E1999">
        <f>Sinistrés!M2004</f>
        <v>35.119999999999997</v>
      </c>
      <c r="F1999">
        <f t="shared" si="62"/>
        <v>0.32682926829268294</v>
      </c>
      <c r="G1999">
        <f t="shared" si="63"/>
        <v>1</v>
      </c>
    </row>
    <row r="2000" spans="1:7" hidden="1">
      <c r="A2000" t="str">
        <f>Sinistrés!H2005</f>
        <v>Maïs grain non irrigué</v>
      </c>
      <c r="B2000">
        <f>Sinistrés!J2005</f>
        <v>12949.74</v>
      </c>
      <c r="C2000">
        <f>Sinistrés!X2005</f>
        <v>0</v>
      </c>
      <c r="D2000">
        <f>Sinistrés!L2005</f>
        <v>7.35</v>
      </c>
      <c r="E2000">
        <f>Sinistrés!M2005</f>
        <v>7.35</v>
      </c>
      <c r="F2000">
        <f t="shared" si="62"/>
        <v>0</v>
      </c>
      <c r="G2000">
        <f t="shared" si="63"/>
        <v>1</v>
      </c>
    </row>
    <row r="2001" spans="1:7" hidden="1">
      <c r="A2001" t="str">
        <f>Sinistrés!H2006</f>
        <v>Tournesol</v>
      </c>
      <c r="B2001">
        <f>Sinistrés!J2006</f>
        <v>27676.14</v>
      </c>
      <c r="C2001">
        <f>Sinistrés!X2006</f>
        <v>0</v>
      </c>
      <c r="D2001">
        <f>Sinistrés!L2006</f>
        <v>19.829999999999998</v>
      </c>
      <c r="E2001">
        <f>Sinistrés!M2006</f>
        <v>19.829999999999998</v>
      </c>
      <c r="F2001">
        <f t="shared" si="62"/>
        <v>0</v>
      </c>
      <c r="G2001">
        <f t="shared" si="63"/>
        <v>1</v>
      </c>
    </row>
    <row r="2002" spans="1:7" hidden="1">
      <c r="A2002" t="str">
        <f>Sinistrés!H2007</f>
        <v>Blé tendre d'hiver</v>
      </c>
      <c r="B2002">
        <f>Sinistrés!J2007</f>
        <v>77355.649999999994</v>
      </c>
      <c r="C2002">
        <f>Sinistrés!X2007</f>
        <v>0</v>
      </c>
      <c r="D2002">
        <f>Sinistrés!L2007</f>
        <v>56.53</v>
      </c>
      <c r="E2002">
        <f>Sinistrés!M2007</f>
        <v>56.53</v>
      </c>
      <c r="F2002">
        <f t="shared" si="62"/>
        <v>0</v>
      </c>
      <c r="G2002">
        <f t="shared" si="63"/>
        <v>1</v>
      </c>
    </row>
    <row r="2003" spans="1:7" hidden="1">
      <c r="A2003" t="str">
        <f>Sinistrés!H2008</f>
        <v>Colza d'hiver</v>
      </c>
      <c r="B2003">
        <f>Sinistrés!J2008</f>
        <v>25531.11</v>
      </c>
      <c r="C2003">
        <f>Sinistrés!X2008</f>
        <v>0</v>
      </c>
      <c r="D2003">
        <f>Sinistrés!L2008</f>
        <v>20.350000000000001</v>
      </c>
      <c r="E2003">
        <f>Sinistrés!M2008</f>
        <v>20.350000000000001</v>
      </c>
      <c r="F2003">
        <f t="shared" si="62"/>
        <v>0</v>
      </c>
      <c r="G2003">
        <f t="shared" si="63"/>
        <v>1</v>
      </c>
    </row>
    <row r="2004" spans="1:7" hidden="1">
      <c r="A2004" t="str">
        <f>Sinistrés!H2009</f>
        <v>Maïs grain non irrigué</v>
      </c>
      <c r="B2004">
        <f>Sinistrés!J2009</f>
        <v>35992.44</v>
      </c>
      <c r="C2004">
        <f>Sinistrés!X2009</f>
        <v>0</v>
      </c>
      <c r="D2004">
        <f>Sinistrés!L2009</f>
        <v>26.82</v>
      </c>
      <c r="E2004">
        <f>Sinistrés!M2009</f>
        <v>26.82</v>
      </c>
      <c r="F2004">
        <f t="shared" si="62"/>
        <v>0</v>
      </c>
      <c r="G2004">
        <f t="shared" si="63"/>
        <v>1</v>
      </c>
    </row>
    <row r="2005" spans="1:7" hidden="1">
      <c r="A2005" t="str">
        <f>Sinistrés!H2010</f>
        <v>Orge d'hiver</v>
      </c>
      <c r="B2005">
        <f>Sinistrés!J2010</f>
        <v>27384</v>
      </c>
      <c r="C2005">
        <f>Sinistrés!X2010</f>
        <v>0</v>
      </c>
      <c r="D2005">
        <f>Sinistrés!L2010</f>
        <v>26.08</v>
      </c>
      <c r="E2005">
        <f>Sinistrés!M2010</f>
        <v>26.08</v>
      </c>
      <c r="F2005">
        <f t="shared" si="62"/>
        <v>0</v>
      </c>
      <c r="G2005">
        <f t="shared" si="63"/>
        <v>1</v>
      </c>
    </row>
    <row r="2006" spans="1:7">
      <c r="A2006" t="str">
        <f>Sinistrés!H2011</f>
        <v>Soja</v>
      </c>
      <c r="B2006">
        <f>Sinistrés!J2011</f>
        <v>16083.9</v>
      </c>
      <c r="C2006">
        <f>Sinistrés!X2011</f>
        <v>2408.6999999999998</v>
      </c>
      <c r="D2006">
        <f>Sinistrés!L2011</f>
        <v>12.5</v>
      </c>
      <c r="E2006">
        <f>Sinistrés!M2011</f>
        <v>11.1</v>
      </c>
      <c r="F2006">
        <f t="shared" si="62"/>
        <v>0.14975845410628019</v>
      </c>
      <c r="G2006">
        <f t="shared" si="63"/>
        <v>0.88800000000000001</v>
      </c>
    </row>
    <row r="2007" spans="1:7" hidden="1">
      <c r="A2007" t="str">
        <f>Sinistrés!H2012</f>
        <v>Blé dur d'hiver</v>
      </c>
      <c r="B2007">
        <f>Sinistrés!J2012</f>
        <v>25792.5</v>
      </c>
      <c r="C2007">
        <f>Sinistrés!X2012</f>
        <v>0</v>
      </c>
      <c r="D2007">
        <f>Sinistrés!L2012</f>
        <v>19</v>
      </c>
      <c r="E2007">
        <f>Sinistrés!M2012</f>
        <v>19</v>
      </c>
      <c r="F2007">
        <f t="shared" si="62"/>
        <v>0</v>
      </c>
      <c r="G2007">
        <f t="shared" si="63"/>
        <v>1</v>
      </c>
    </row>
    <row r="2008" spans="1:7" hidden="1">
      <c r="A2008" t="str">
        <f>Sinistrés!H2013</f>
        <v>Blé de force</v>
      </c>
      <c r="B2008">
        <f>Sinistrés!J2013</f>
        <v>9720</v>
      </c>
      <c r="C2008">
        <f>Sinistrés!X2013</f>
        <v>0</v>
      </c>
      <c r="D2008">
        <f>Sinistrés!L2013</f>
        <v>9</v>
      </c>
      <c r="E2008">
        <f>Sinistrés!M2013</f>
        <v>9</v>
      </c>
      <c r="F2008">
        <f t="shared" si="62"/>
        <v>0</v>
      </c>
      <c r="G2008">
        <f t="shared" si="63"/>
        <v>1</v>
      </c>
    </row>
    <row r="2009" spans="1:7" hidden="1">
      <c r="A2009" t="str">
        <f>Sinistrés!H2014</f>
        <v>Blé tendre d'hiver</v>
      </c>
      <c r="B2009">
        <f>Sinistrés!J2014</f>
        <v>31333.5</v>
      </c>
      <c r="C2009">
        <f>Sinistrés!X2014</f>
        <v>0</v>
      </c>
      <c r="D2009">
        <f>Sinistrés!L2014</f>
        <v>30</v>
      </c>
      <c r="E2009">
        <f>Sinistrés!M2014</f>
        <v>30</v>
      </c>
      <c r="F2009">
        <f t="shared" si="62"/>
        <v>0</v>
      </c>
      <c r="G2009">
        <f t="shared" si="63"/>
        <v>1</v>
      </c>
    </row>
    <row r="2010" spans="1:7" hidden="1">
      <c r="A2010" t="str">
        <f>Sinistrés!H2015</f>
        <v>Colza d'hiver</v>
      </c>
      <c r="B2010">
        <f>Sinistrés!J2015</f>
        <v>11200</v>
      </c>
      <c r="C2010">
        <f>Sinistrés!X2015</f>
        <v>0</v>
      </c>
      <c r="D2010">
        <f>Sinistrés!L2015</f>
        <v>10</v>
      </c>
      <c r="E2010">
        <f>Sinistrés!M2015</f>
        <v>10</v>
      </c>
      <c r="F2010">
        <f t="shared" si="62"/>
        <v>0</v>
      </c>
      <c r="G2010">
        <f t="shared" si="63"/>
        <v>1</v>
      </c>
    </row>
    <row r="2011" spans="1:7">
      <c r="A2011" t="str">
        <f>Sinistrés!H2016</f>
        <v>Orge de printemps</v>
      </c>
      <c r="B2011">
        <f>Sinistrés!J2016</f>
        <v>9225.9</v>
      </c>
      <c r="C2011">
        <f>Sinistrés!X2016</f>
        <v>822.22</v>
      </c>
      <c r="D2011">
        <f>Sinistrés!L2016</f>
        <v>9</v>
      </c>
      <c r="E2011">
        <f>Sinistrés!M2016</f>
        <v>9</v>
      </c>
      <c r="F2011">
        <f t="shared" si="62"/>
        <v>8.9120844578848682E-2</v>
      </c>
      <c r="G2011">
        <f t="shared" si="63"/>
        <v>1</v>
      </c>
    </row>
    <row r="2012" spans="1:7" hidden="1">
      <c r="A2012" t="str">
        <f>Sinistrés!H2017</f>
        <v>Maïs grain non irrigué</v>
      </c>
      <c r="B2012">
        <f>Sinistrés!J2017</f>
        <v>13576.25</v>
      </c>
      <c r="C2012">
        <f>Sinistrés!X2017</f>
        <v>0</v>
      </c>
      <c r="D2012">
        <f>Sinistrés!L2017</f>
        <v>12.5</v>
      </c>
      <c r="E2012">
        <f>Sinistrés!M2017</f>
        <v>12.5</v>
      </c>
      <c r="F2012">
        <f t="shared" si="62"/>
        <v>0</v>
      </c>
      <c r="G2012">
        <f t="shared" si="63"/>
        <v>1</v>
      </c>
    </row>
    <row r="2013" spans="1:7" hidden="1">
      <c r="A2013" t="str">
        <f>Sinistrés!H2018</f>
        <v>Tournesol</v>
      </c>
      <c r="B2013">
        <f>Sinistrés!J2018</f>
        <v>30972</v>
      </c>
      <c r="C2013">
        <f>Sinistrés!X2018</f>
        <v>0</v>
      </c>
      <c r="D2013">
        <f>Sinistrés!L2018</f>
        <v>29</v>
      </c>
      <c r="E2013">
        <f>Sinistrés!M2018</f>
        <v>29</v>
      </c>
      <c r="F2013">
        <f t="shared" si="62"/>
        <v>0</v>
      </c>
      <c r="G2013">
        <f t="shared" si="63"/>
        <v>1</v>
      </c>
    </row>
    <row r="2014" spans="1:7" hidden="1">
      <c r="A2014" t="str">
        <f>Sinistrés!H2019</f>
        <v>Blé de force</v>
      </c>
      <c r="B2014">
        <f>Sinistrés!J2019</f>
        <v>6708.8</v>
      </c>
      <c r="C2014">
        <f>Sinistrés!X2019</f>
        <v>0</v>
      </c>
      <c r="D2014">
        <f>Sinistrés!L2019</f>
        <v>5</v>
      </c>
      <c r="E2014">
        <f>Sinistrés!M2019</f>
        <v>5</v>
      </c>
      <c r="F2014">
        <f t="shared" si="62"/>
        <v>0</v>
      </c>
      <c r="G2014">
        <f t="shared" si="63"/>
        <v>1</v>
      </c>
    </row>
    <row r="2015" spans="1:7" hidden="1">
      <c r="A2015" t="str">
        <f>Sinistrés!H2020</f>
        <v>Blé tendre d'hiver</v>
      </c>
      <c r="B2015">
        <f>Sinistrés!J2020</f>
        <v>64510.777999999998</v>
      </c>
      <c r="C2015">
        <f>Sinistrés!X2020</f>
        <v>0</v>
      </c>
      <c r="D2015">
        <f>Sinistrés!L2020</f>
        <v>42.87</v>
      </c>
      <c r="E2015">
        <f>Sinistrés!M2020</f>
        <v>42.85</v>
      </c>
      <c r="F2015">
        <f t="shared" si="62"/>
        <v>0</v>
      </c>
      <c r="G2015">
        <f t="shared" si="63"/>
        <v>0.99953347329134601</v>
      </c>
    </row>
    <row r="2016" spans="1:7">
      <c r="A2016" t="str">
        <f>Sinistrés!H2021</f>
        <v>Maïs ensilage non irrigué</v>
      </c>
      <c r="B2016">
        <f>Sinistrés!J2021</f>
        <v>28587.19</v>
      </c>
      <c r="C2016">
        <f>Sinistrés!X2021</f>
        <v>688</v>
      </c>
      <c r="D2016">
        <f>Sinistrés!L2021</f>
        <v>24.85</v>
      </c>
      <c r="E2016">
        <f>Sinistrés!M2021</f>
        <v>24.85</v>
      </c>
      <c r="F2016">
        <f t="shared" si="62"/>
        <v>2.4066723591930513E-2</v>
      </c>
      <c r="G2016">
        <f t="shared" si="63"/>
        <v>1</v>
      </c>
    </row>
    <row r="2017" spans="1:7" hidden="1">
      <c r="A2017" t="str">
        <f>Sinistrés!H2022</f>
        <v>Blé tendre d'hiver BIO</v>
      </c>
      <c r="B2017">
        <f>Sinistrés!J2022</f>
        <v>29436</v>
      </c>
      <c r="C2017">
        <f>Sinistrés!X2022</f>
        <v>0</v>
      </c>
      <c r="D2017">
        <f>Sinistrés!L2022</f>
        <v>33</v>
      </c>
      <c r="E2017">
        <f>Sinistrés!M2022</f>
        <v>33</v>
      </c>
      <c r="F2017">
        <f t="shared" si="62"/>
        <v>0</v>
      </c>
      <c r="G2017">
        <f t="shared" si="63"/>
        <v>1</v>
      </c>
    </row>
    <row r="2018" spans="1:7" hidden="1">
      <c r="A2018" t="str">
        <f>Sinistrés!H2023</f>
        <v>Soja BIO</v>
      </c>
      <c r="B2018">
        <f>Sinistrés!J2023</f>
        <v>23046</v>
      </c>
      <c r="C2018">
        <f>Sinistrés!X2023</f>
        <v>11580</v>
      </c>
      <c r="D2018">
        <f>Sinistrés!L2023</f>
        <v>23</v>
      </c>
      <c r="E2018">
        <f>Sinistrés!M2023</f>
        <v>23</v>
      </c>
      <c r="F2018">
        <f t="shared" si="62"/>
        <v>0.5024733142410831</v>
      </c>
      <c r="G2018">
        <f t="shared" si="63"/>
        <v>1</v>
      </c>
    </row>
    <row r="2019" spans="1:7" hidden="1">
      <c r="A2019" t="str">
        <f>Sinistrés!H2024</f>
        <v>Tournesol BIO</v>
      </c>
      <c r="B2019">
        <f>Sinistrés!J2024</f>
        <v>29340</v>
      </c>
      <c r="C2019">
        <f>Sinistrés!X2024</f>
        <v>8505</v>
      </c>
      <c r="D2019">
        <f>Sinistrés!L2024</f>
        <v>30</v>
      </c>
      <c r="E2019">
        <f>Sinistrés!M2024</f>
        <v>30</v>
      </c>
      <c r="F2019">
        <f t="shared" si="62"/>
        <v>0.28987730061349692</v>
      </c>
      <c r="G2019">
        <f t="shared" si="63"/>
        <v>1</v>
      </c>
    </row>
    <row r="2020" spans="1:7">
      <c r="A2020" t="str">
        <f>Sinistrés!H2025</f>
        <v>Blé de force</v>
      </c>
      <c r="B2020">
        <f>Sinistrés!J2025</f>
        <v>14065.26</v>
      </c>
      <c r="C2020">
        <f>Sinistrés!X2025</f>
        <v>3511.87</v>
      </c>
      <c r="D2020">
        <f>Sinistrés!L2025</f>
        <v>10.1</v>
      </c>
      <c r="E2020">
        <f>Sinistrés!M2025</f>
        <v>10.1</v>
      </c>
      <c r="F2020">
        <f t="shared" si="62"/>
        <v>0.24968397313665014</v>
      </c>
      <c r="G2020">
        <f t="shared" si="63"/>
        <v>1</v>
      </c>
    </row>
    <row r="2021" spans="1:7">
      <c r="A2021" t="str">
        <f>Sinistrés!H2026</f>
        <v>Blé dur d'hiver</v>
      </c>
      <c r="B2021">
        <f>Sinistrés!J2026</f>
        <v>13292.1</v>
      </c>
      <c r="C2021">
        <f>Sinistrés!X2026</f>
        <v>2258.69</v>
      </c>
      <c r="D2021">
        <f>Sinistrés!L2026</f>
        <v>9</v>
      </c>
      <c r="E2021">
        <f>Sinistrés!M2026</f>
        <v>9</v>
      </c>
      <c r="F2021">
        <f t="shared" si="62"/>
        <v>0.16992725002068898</v>
      </c>
      <c r="G2021">
        <f t="shared" si="63"/>
        <v>1</v>
      </c>
    </row>
    <row r="2022" spans="1:7">
      <c r="A2022" t="str">
        <f>Sinistrés!H2027</f>
        <v>Blé tendre d'hiver</v>
      </c>
      <c r="B2022">
        <f>Sinistrés!J2027</f>
        <v>24372</v>
      </c>
      <c r="C2022">
        <f>Sinistrés!X2027</f>
        <v>8116.2</v>
      </c>
      <c r="D2022">
        <f>Sinistrés!L2027</f>
        <v>18</v>
      </c>
      <c r="E2022">
        <f>Sinistrés!M2027</f>
        <v>18</v>
      </c>
      <c r="F2022">
        <f t="shared" si="62"/>
        <v>0.33301329394387003</v>
      </c>
      <c r="G2022">
        <f t="shared" si="63"/>
        <v>1</v>
      </c>
    </row>
    <row r="2023" spans="1:7" hidden="1">
      <c r="A2023" t="str">
        <f>Sinistrés!H2028</f>
        <v>Orge d'hiver</v>
      </c>
      <c r="B2023">
        <f>Sinistrés!J2028</f>
        <v>11832</v>
      </c>
      <c r="C2023">
        <f>Sinistrés!X2028</f>
        <v>0</v>
      </c>
      <c r="D2023">
        <f>Sinistrés!L2028</f>
        <v>12</v>
      </c>
      <c r="E2023">
        <f>Sinistrés!M2028</f>
        <v>12</v>
      </c>
      <c r="F2023">
        <f t="shared" si="62"/>
        <v>0</v>
      </c>
      <c r="G2023">
        <f t="shared" si="63"/>
        <v>1</v>
      </c>
    </row>
    <row r="2024" spans="1:7" hidden="1">
      <c r="A2024" t="str">
        <f>Sinistrés!H2029</f>
        <v>Orge d'hiver</v>
      </c>
      <c r="B2024">
        <f>Sinistrés!J2029</f>
        <v>61120.46</v>
      </c>
      <c r="C2024">
        <f>Sinistrés!X2029</f>
        <v>0</v>
      </c>
      <c r="D2024">
        <f>Sinistrés!L2029</f>
        <v>54.46</v>
      </c>
      <c r="E2024">
        <f>Sinistrés!M2029</f>
        <v>54.46</v>
      </c>
      <c r="F2024">
        <f t="shared" si="62"/>
        <v>0</v>
      </c>
      <c r="G2024">
        <f t="shared" si="63"/>
        <v>1</v>
      </c>
    </row>
    <row r="2025" spans="1:7">
      <c r="A2025" t="str">
        <f>Sinistrés!H2030</f>
        <v>Blé tendre d'hiver</v>
      </c>
      <c r="B2025">
        <f>Sinistrés!J2030</f>
        <v>13049.69</v>
      </c>
      <c r="C2025">
        <f>Sinistrés!X2030</f>
        <v>1929.09</v>
      </c>
      <c r="D2025">
        <f>Sinistrés!L2030</f>
        <v>15.01</v>
      </c>
      <c r="E2025">
        <f>Sinistrés!M2030</f>
        <v>15.01</v>
      </c>
      <c r="F2025">
        <f t="shared" si="62"/>
        <v>0.14782650009310566</v>
      </c>
      <c r="G2025">
        <f t="shared" si="63"/>
        <v>1</v>
      </c>
    </row>
    <row r="2026" spans="1:7" hidden="1">
      <c r="A2026" t="str">
        <f>Sinistrés!H2031</f>
        <v>Colza d'hiver</v>
      </c>
      <c r="B2026">
        <f>Sinistrés!J2031</f>
        <v>11502</v>
      </c>
      <c r="C2026">
        <f>Sinistrés!X2031</f>
        <v>0</v>
      </c>
      <c r="D2026">
        <f>Sinistrés!L2031</f>
        <v>10.65</v>
      </c>
      <c r="E2026">
        <f>Sinistrés!M2031</f>
        <v>10.65</v>
      </c>
      <c r="F2026">
        <f t="shared" si="62"/>
        <v>0</v>
      </c>
      <c r="G2026">
        <f t="shared" si="63"/>
        <v>1</v>
      </c>
    </row>
    <row r="2027" spans="1:7" hidden="1">
      <c r="A2027" t="str">
        <f>Sinistrés!H2032</f>
        <v>Orge d'hiver</v>
      </c>
      <c r="B2027">
        <f>Sinistrés!J2032</f>
        <v>1999.2</v>
      </c>
      <c r="C2027">
        <f>Sinistrés!X2032</f>
        <v>0</v>
      </c>
      <c r="D2027">
        <f>Sinistrés!L2032</f>
        <v>2.5499999999999998</v>
      </c>
      <c r="E2027">
        <f>Sinistrés!M2032</f>
        <v>2.65</v>
      </c>
      <c r="F2027">
        <f t="shared" si="62"/>
        <v>0</v>
      </c>
      <c r="G2027">
        <f t="shared" si="63"/>
        <v>1.0392156862745099</v>
      </c>
    </row>
    <row r="2028" spans="1:7">
      <c r="A2028" t="str">
        <f>Sinistrés!H2033</f>
        <v>Blé dur d'hiver</v>
      </c>
      <c r="B2028">
        <f>Sinistrés!J2033</f>
        <v>8149.68</v>
      </c>
      <c r="C2028">
        <f>Sinistrés!X2033</f>
        <v>303.76</v>
      </c>
      <c r="D2028">
        <f>Sinistrés!L2033</f>
        <v>6</v>
      </c>
      <c r="E2028">
        <f>Sinistrés!M2033</f>
        <v>5.88</v>
      </c>
      <c r="F2028">
        <f t="shared" si="62"/>
        <v>3.7272629109363797E-2</v>
      </c>
      <c r="G2028">
        <f t="shared" si="63"/>
        <v>0.98</v>
      </c>
    </row>
    <row r="2029" spans="1:7">
      <c r="A2029" t="str">
        <f>Sinistrés!H2034</f>
        <v>Triticale</v>
      </c>
      <c r="B2029">
        <f>Sinistrés!J2034</f>
        <v>5129.32</v>
      </c>
      <c r="C2029">
        <f>Sinistrés!X2034</f>
        <v>516.84</v>
      </c>
      <c r="D2029">
        <f>Sinistrés!L2034</f>
        <v>4.5999999999999996</v>
      </c>
      <c r="E2029">
        <f>Sinistrés!M2034</f>
        <v>4.9400000000000004</v>
      </c>
      <c r="F2029">
        <f t="shared" si="62"/>
        <v>0.10076189436416524</v>
      </c>
      <c r="G2029">
        <f t="shared" si="63"/>
        <v>1.0739130434782611</v>
      </c>
    </row>
    <row r="2030" spans="1:7" hidden="1">
      <c r="A2030" t="str">
        <f>Sinistrés!H2035</f>
        <v>Blé tendre d'hiver</v>
      </c>
      <c r="B2030">
        <f>Sinistrés!J2035</f>
        <v>21518.37</v>
      </c>
      <c r="C2030">
        <f>Sinistrés!X2035</f>
        <v>0</v>
      </c>
      <c r="D2030">
        <f>Sinistrés!L2035</f>
        <v>19.23</v>
      </c>
      <c r="E2030">
        <f>Sinistrés!M2035</f>
        <v>19.23</v>
      </c>
      <c r="F2030">
        <f t="shared" si="62"/>
        <v>0</v>
      </c>
      <c r="G2030">
        <f t="shared" si="63"/>
        <v>1</v>
      </c>
    </row>
    <row r="2031" spans="1:7" hidden="1">
      <c r="A2031" t="str">
        <f>Sinistrés!H2036</f>
        <v>Colza d'hiver</v>
      </c>
      <c r="B2031">
        <f>Sinistrés!J2036</f>
        <v>14889.04</v>
      </c>
      <c r="C2031">
        <f>Sinistrés!X2036</f>
        <v>0</v>
      </c>
      <c r="D2031">
        <f>Sinistrés!L2036</f>
        <v>13.23</v>
      </c>
      <c r="E2031">
        <f>Sinistrés!M2036</f>
        <v>13.23</v>
      </c>
      <c r="F2031">
        <f t="shared" si="62"/>
        <v>0</v>
      </c>
      <c r="G2031">
        <f t="shared" si="63"/>
        <v>1</v>
      </c>
    </row>
    <row r="2032" spans="1:7" hidden="1">
      <c r="A2032" t="str">
        <f>Sinistrés!H2037</f>
        <v>Orge d'hiver</v>
      </c>
      <c r="B2032">
        <f>Sinistrés!J2037</f>
        <v>13315.2</v>
      </c>
      <c r="C2032">
        <f>Sinistrés!X2037</f>
        <v>0</v>
      </c>
      <c r="D2032">
        <f>Sinistrés!L2037</f>
        <v>14.6</v>
      </c>
      <c r="E2032">
        <f>Sinistrés!M2037</f>
        <v>14.6</v>
      </c>
      <c r="F2032">
        <f t="shared" si="62"/>
        <v>0</v>
      </c>
      <c r="G2032">
        <f t="shared" si="63"/>
        <v>1</v>
      </c>
    </row>
    <row r="2033" spans="1:7">
      <c r="A2033" t="str">
        <f>Sinistrés!H2038</f>
        <v>Blé tendre d'hiver</v>
      </c>
      <c r="B2033">
        <f>Sinistrés!J2038</f>
        <v>27304.79</v>
      </c>
      <c r="C2033">
        <f>Sinistrés!X2038</f>
        <v>5666.81</v>
      </c>
      <c r="D2033">
        <f>Sinistrés!L2038</f>
        <v>26.29</v>
      </c>
      <c r="E2033">
        <f>Sinistrés!M2038</f>
        <v>26.29</v>
      </c>
      <c r="F2033">
        <f t="shared" si="62"/>
        <v>0.20753904351580804</v>
      </c>
      <c r="G2033">
        <f t="shared" si="63"/>
        <v>1</v>
      </c>
    </row>
    <row r="2034" spans="1:7">
      <c r="A2034" t="str">
        <f>Sinistrés!H2039</f>
        <v>Féveroles et fèves</v>
      </c>
      <c r="B2034">
        <f>Sinistrés!J2039</f>
        <v>3129.12</v>
      </c>
      <c r="C2034">
        <f>Sinistrés!X2039</f>
        <v>820.44</v>
      </c>
      <c r="D2034">
        <f>Sinistrés!L2039</f>
        <v>10.6</v>
      </c>
      <c r="E2034">
        <f>Sinistrés!M2039</f>
        <v>10.6</v>
      </c>
      <c r="F2034">
        <f t="shared" si="62"/>
        <v>0.26219512195121952</v>
      </c>
      <c r="G2034">
        <f t="shared" si="63"/>
        <v>1</v>
      </c>
    </row>
    <row r="2035" spans="1:7">
      <c r="A2035" t="str">
        <f>Sinistrés!H2040</f>
        <v>Orge d'hiver</v>
      </c>
      <c r="B2035">
        <f>Sinistrés!J2040</f>
        <v>19275.04</v>
      </c>
      <c r="C2035">
        <f>Sinistrés!X2040</f>
        <v>6091.64</v>
      </c>
      <c r="D2035">
        <f>Sinistrés!L2040</f>
        <v>22.73</v>
      </c>
      <c r="E2035">
        <f>Sinistrés!M2040</f>
        <v>22.73</v>
      </c>
      <c r="F2035">
        <f t="shared" si="62"/>
        <v>0.31603773584905659</v>
      </c>
      <c r="G2035">
        <f t="shared" si="63"/>
        <v>1</v>
      </c>
    </row>
    <row r="2036" spans="1:7">
      <c r="A2036" t="str">
        <f>Sinistrés!H2041</f>
        <v>Tournesol</v>
      </c>
      <c r="B2036">
        <f>Sinistrés!J2041</f>
        <v>9650</v>
      </c>
      <c r="C2036">
        <f>Sinistrés!X2041</f>
        <v>5737.5</v>
      </c>
      <c r="D2036">
        <f>Sinistrés!L2041</f>
        <v>12.5</v>
      </c>
      <c r="E2036">
        <f>Sinistrés!M2041</f>
        <v>12.5</v>
      </c>
      <c r="F2036">
        <f t="shared" si="62"/>
        <v>0.59455958549222798</v>
      </c>
      <c r="G2036">
        <f t="shared" si="63"/>
        <v>1</v>
      </c>
    </row>
    <row r="2037" spans="1:7">
      <c r="A2037" t="str">
        <f>Sinistrés!H2042</f>
        <v xml:space="preserve">Soja </v>
      </c>
      <c r="B2037">
        <f>Sinistrés!J2042</f>
        <v>3257.45</v>
      </c>
      <c r="C2037">
        <f>Sinistrés!X2042</f>
        <v>608.51</v>
      </c>
      <c r="D2037">
        <f>Sinistrés!L2042</f>
        <v>4.0999999999999996</v>
      </c>
      <c r="E2037">
        <f>Sinistrés!M2042</f>
        <v>41.1</v>
      </c>
      <c r="F2037">
        <f t="shared" si="62"/>
        <v>0.18680563017083915</v>
      </c>
      <c r="G2037">
        <f t="shared" si="63"/>
        <v>10.02439024390244</v>
      </c>
    </row>
    <row r="2038" spans="1:7">
      <c r="A2038" t="str">
        <f>Sinistrés!H2043</f>
        <v>Tournesol</v>
      </c>
      <c r="B2038">
        <f>Sinistrés!J2043</f>
        <v>5930.4</v>
      </c>
      <c r="C2038">
        <f>Sinistrés!X2043</f>
        <v>1044.8800000000001</v>
      </c>
      <c r="D2038">
        <f>Sinistrés!L2043</f>
        <v>7.06</v>
      </c>
      <c r="E2038">
        <f>Sinistrés!M2043</f>
        <v>7.06</v>
      </c>
      <c r="F2038">
        <f t="shared" si="62"/>
        <v>0.17619047619047623</v>
      </c>
      <c r="G2038">
        <f t="shared" si="63"/>
        <v>1</v>
      </c>
    </row>
    <row r="2039" spans="1:7" hidden="1">
      <c r="A2039" t="str">
        <f>Sinistrés!H2044</f>
        <v>Blé de force</v>
      </c>
      <c r="B2039">
        <f>Sinistrés!J2044</f>
        <v>10688.38</v>
      </c>
      <c r="C2039">
        <f>Sinistrés!X2044</f>
        <v>0</v>
      </c>
      <c r="D2039">
        <f>Sinistrés!L2044</f>
        <v>9.77</v>
      </c>
      <c r="E2039">
        <f>Sinistrés!M2044</f>
        <v>9.77</v>
      </c>
      <c r="F2039">
        <f t="shared" si="62"/>
        <v>0</v>
      </c>
      <c r="G2039">
        <f t="shared" si="63"/>
        <v>1</v>
      </c>
    </row>
    <row r="2040" spans="1:7" hidden="1">
      <c r="A2040" t="str">
        <f>Sinistrés!H2045</f>
        <v>Orge d'hiver</v>
      </c>
      <c r="B2040">
        <f>Sinistrés!J2045</f>
        <v>2170.9</v>
      </c>
      <c r="C2040">
        <f>Sinistrés!X2045</f>
        <v>0</v>
      </c>
      <c r="D2040">
        <f>Sinistrés!L2045</f>
        <v>2.73</v>
      </c>
      <c r="E2040">
        <f>Sinistrés!M2045</f>
        <v>2.73</v>
      </c>
      <c r="F2040">
        <f t="shared" si="62"/>
        <v>0</v>
      </c>
      <c r="G2040">
        <f t="shared" si="63"/>
        <v>1</v>
      </c>
    </row>
    <row r="2041" spans="1:7" hidden="1">
      <c r="A2041" t="str">
        <f>Sinistrés!H2046</f>
        <v>Blé dur d'hiver</v>
      </c>
      <c r="B2041">
        <f>Sinistrés!J2046</f>
        <v>17358.740000000002</v>
      </c>
      <c r="C2041">
        <f>Sinistrés!X2046</f>
        <v>0</v>
      </c>
      <c r="D2041">
        <f>Sinistrés!L2046</f>
        <v>14.16</v>
      </c>
      <c r="E2041">
        <f>Sinistrés!M2046</f>
        <v>14.16</v>
      </c>
      <c r="F2041">
        <f t="shared" si="62"/>
        <v>0</v>
      </c>
      <c r="G2041">
        <f t="shared" si="63"/>
        <v>1</v>
      </c>
    </row>
    <row r="2042" spans="1:7" hidden="1">
      <c r="A2042" t="str">
        <f>Sinistrés!H2047</f>
        <v>Blé tendre d'hiver</v>
      </c>
      <c r="B2042">
        <f>Sinistrés!J2047</f>
        <v>32237.57</v>
      </c>
      <c r="C2042">
        <f>Sinistrés!X2047</f>
        <v>0</v>
      </c>
      <c r="D2042">
        <f>Sinistrés!L2047</f>
        <v>30.72</v>
      </c>
      <c r="E2042">
        <f>Sinistrés!M2047</f>
        <v>30.72</v>
      </c>
      <c r="F2042">
        <f t="shared" si="62"/>
        <v>0</v>
      </c>
      <c r="G2042">
        <f t="shared" si="63"/>
        <v>1</v>
      </c>
    </row>
    <row r="2043" spans="1:7" hidden="1">
      <c r="A2043" t="str">
        <f>Sinistrés!H2048</f>
        <v>Colza d'hiver</v>
      </c>
      <c r="B2043">
        <f>Sinistrés!J2048</f>
        <v>22821.84</v>
      </c>
      <c r="C2043">
        <f>Sinistrés!X2048</f>
        <v>0</v>
      </c>
      <c r="D2043">
        <f>Sinistrés!L2048</f>
        <v>19.93</v>
      </c>
      <c r="E2043">
        <f>Sinistrés!M2048</f>
        <v>19.93</v>
      </c>
      <c r="F2043">
        <f t="shared" si="62"/>
        <v>0</v>
      </c>
      <c r="G2043">
        <f t="shared" si="63"/>
        <v>1</v>
      </c>
    </row>
    <row r="2044" spans="1:7">
      <c r="A2044" t="str">
        <f>Sinistrés!H2049</f>
        <v>Tournesol</v>
      </c>
      <c r="B2044">
        <f>Sinistrés!J2049</f>
        <v>13939.73</v>
      </c>
      <c r="C2044">
        <f>Sinistrés!X2049</f>
        <v>1034.54</v>
      </c>
      <c r="D2044">
        <f>Sinistrés!L2049</f>
        <v>17.86</v>
      </c>
      <c r="E2044">
        <f>Sinistrés!M2049</f>
        <v>17.86</v>
      </c>
      <c r="F2044">
        <f t="shared" si="62"/>
        <v>7.4215210768070833E-2</v>
      </c>
      <c r="G2044">
        <f t="shared" si="63"/>
        <v>1</v>
      </c>
    </row>
    <row r="2045" spans="1:7" hidden="1">
      <c r="A2045" t="str">
        <f>Sinistrés!H2050</f>
        <v>Maïs grain irrigué</v>
      </c>
      <c r="B2045">
        <f>Sinistrés!J2050</f>
        <v>127465.60000000001</v>
      </c>
      <c r="C2045">
        <f>Sinistrés!X2050</f>
        <v>0</v>
      </c>
      <c r="D2045">
        <f>Sinistrés!L2050</f>
        <v>61</v>
      </c>
      <c r="E2045">
        <f>Sinistrés!M2050</f>
        <v>61</v>
      </c>
      <c r="F2045">
        <f t="shared" si="62"/>
        <v>0</v>
      </c>
      <c r="G2045">
        <f t="shared" si="63"/>
        <v>1</v>
      </c>
    </row>
    <row r="2046" spans="1:7" hidden="1">
      <c r="A2046" t="str">
        <f>Sinistrés!H2051</f>
        <v>Soja</v>
      </c>
      <c r="B2046">
        <f>Sinistrés!J2051</f>
        <v>9916.48</v>
      </c>
      <c r="C2046">
        <f>Sinistrés!X2051</f>
        <v>0</v>
      </c>
      <c r="D2046">
        <f>Sinistrés!L2051</f>
        <v>9.32</v>
      </c>
      <c r="E2046">
        <f>Sinistrés!M2051</f>
        <v>9.32</v>
      </c>
      <c r="F2046">
        <f t="shared" si="62"/>
        <v>0</v>
      </c>
      <c r="G2046">
        <f t="shared" si="63"/>
        <v>1</v>
      </c>
    </row>
    <row r="2047" spans="1:7" hidden="1">
      <c r="A2047" t="str">
        <f>Sinistrés!H2052</f>
        <v>Blé de force</v>
      </c>
      <c r="B2047">
        <f>Sinistrés!J2052</f>
        <v>11825.48</v>
      </c>
      <c r="C2047">
        <f>Sinistrés!X2052</f>
        <v>0</v>
      </c>
      <c r="D2047">
        <f>Sinistrés!L2052</f>
        <v>8.8699999999999992</v>
      </c>
      <c r="E2047">
        <f>Sinistrés!M2052</f>
        <v>8.8699999999999992</v>
      </c>
      <c r="F2047">
        <f t="shared" si="62"/>
        <v>0</v>
      </c>
      <c r="G2047">
        <f t="shared" si="63"/>
        <v>1</v>
      </c>
    </row>
    <row r="2048" spans="1:7" hidden="1">
      <c r="A2048" t="str">
        <f>Sinistrés!H2053</f>
        <v>Blé tendre d'hiver</v>
      </c>
      <c r="B2048">
        <f>Sinistrés!J2053</f>
        <v>34104</v>
      </c>
      <c r="C2048">
        <f>Sinistrés!X2053</f>
        <v>0</v>
      </c>
      <c r="D2048">
        <f>Sinistrés!L2053</f>
        <v>28.42</v>
      </c>
      <c r="E2048">
        <f>Sinistrés!M2053</f>
        <v>28.42</v>
      </c>
      <c r="F2048">
        <f t="shared" si="62"/>
        <v>0</v>
      </c>
      <c r="G2048">
        <f t="shared" si="63"/>
        <v>1</v>
      </c>
    </row>
    <row r="2049" spans="1:7">
      <c r="A2049" t="str">
        <f>Sinistrés!H2054</f>
        <v>Colza d'hiver</v>
      </c>
      <c r="B2049">
        <f>Sinistrés!J2054</f>
        <v>59850</v>
      </c>
      <c r="C2049">
        <f>Sinistrés!X2054</f>
        <v>2541.96</v>
      </c>
      <c r="D2049">
        <f>Sinistrés!L2054</f>
        <v>35</v>
      </c>
      <c r="E2049">
        <f>Sinistrés!M2054</f>
        <v>35</v>
      </c>
      <c r="F2049">
        <f t="shared" si="62"/>
        <v>4.2472180451127821E-2</v>
      </c>
      <c r="G2049">
        <f t="shared" si="63"/>
        <v>1</v>
      </c>
    </row>
    <row r="2050" spans="1:7" hidden="1">
      <c r="A2050" t="str">
        <f>Sinistrés!H2055</f>
        <v>Blé tendre d'hiver</v>
      </c>
      <c r="B2050">
        <f>Sinistrés!J2055</f>
        <v>45244.66</v>
      </c>
      <c r="C2050">
        <f>Sinistrés!X2055</f>
        <v>0</v>
      </c>
      <c r="D2050">
        <f>Sinistrés!L2055</f>
        <v>34.479999999999997</v>
      </c>
      <c r="E2050">
        <f>Sinistrés!M2055</f>
        <v>34.479999999999997</v>
      </c>
      <c r="F2050">
        <f t="shared" si="62"/>
        <v>0</v>
      </c>
      <c r="G2050">
        <f t="shared" si="63"/>
        <v>1</v>
      </c>
    </row>
    <row r="2051" spans="1:7" hidden="1">
      <c r="A2051" t="str">
        <f>Sinistrés!H2056</f>
        <v>Blé tendre d'hiver</v>
      </c>
      <c r="B2051">
        <f>Sinistrés!J2056</f>
        <v>18672.61</v>
      </c>
      <c r="C2051">
        <f>Sinistrés!X2056</f>
        <v>0</v>
      </c>
      <c r="D2051">
        <f>Sinistrés!L2056</f>
        <v>14.23</v>
      </c>
      <c r="E2051">
        <f>Sinistrés!M2056</f>
        <v>14.23</v>
      </c>
      <c r="F2051">
        <f t="shared" ref="F2051:F2114" si="64">C2051/B2051</f>
        <v>0</v>
      </c>
      <c r="G2051">
        <f t="shared" ref="G2051:G2114" si="65">E2051/D2051</f>
        <v>1</v>
      </c>
    </row>
    <row r="2052" spans="1:7" hidden="1">
      <c r="A2052" t="str">
        <f>Sinistrés!H2057</f>
        <v>Pois protéagineux</v>
      </c>
      <c r="B2052">
        <f>Sinistrés!J2057</f>
        <v>6092.56</v>
      </c>
      <c r="C2052">
        <f>Sinistrés!X2057</f>
        <v>0</v>
      </c>
      <c r="D2052">
        <f>Sinistrés!L2057</f>
        <v>7.42</v>
      </c>
      <c r="E2052">
        <f>Sinistrés!M2057</f>
        <v>7.42</v>
      </c>
      <c r="F2052">
        <f t="shared" si="64"/>
        <v>0</v>
      </c>
      <c r="G2052">
        <f t="shared" si="65"/>
        <v>1</v>
      </c>
    </row>
    <row r="2053" spans="1:7" hidden="1">
      <c r="A2053" t="str">
        <f>Sinistrés!H2058</f>
        <v>Colza d'hiver</v>
      </c>
      <c r="B2053">
        <f>Sinistrés!J2058</f>
        <v>3641.4</v>
      </c>
      <c r="C2053">
        <f>Sinistrés!X2058</f>
        <v>0</v>
      </c>
      <c r="D2053">
        <f>Sinistrés!L2058</f>
        <v>3</v>
      </c>
      <c r="E2053">
        <f>Sinistrés!M2058</f>
        <v>3</v>
      </c>
      <c r="F2053">
        <f t="shared" si="64"/>
        <v>0</v>
      </c>
      <c r="G2053">
        <f t="shared" si="65"/>
        <v>1</v>
      </c>
    </row>
    <row r="2054" spans="1:7" hidden="1">
      <c r="A2054" t="str">
        <f>Sinistrés!H2059</f>
        <v>Maïs grain irrigué</v>
      </c>
      <c r="B2054">
        <f>Sinistrés!J2059</f>
        <v>60328.800000000003</v>
      </c>
      <c r="C2054">
        <f>Sinistrés!X2059</f>
        <v>0</v>
      </c>
      <c r="D2054">
        <f>Sinistrés!L2059</f>
        <v>28</v>
      </c>
      <c r="E2054">
        <f>Sinistrés!M2059</f>
        <v>28</v>
      </c>
      <c r="F2054">
        <f t="shared" si="64"/>
        <v>0</v>
      </c>
      <c r="G2054">
        <f t="shared" si="65"/>
        <v>1</v>
      </c>
    </row>
    <row r="2055" spans="1:7" hidden="1">
      <c r="A2055" t="str">
        <f>Sinistrés!H2060</f>
        <v>Soja</v>
      </c>
      <c r="B2055">
        <f>Sinistrés!J2060</f>
        <v>17192</v>
      </c>
      <c r="C2055">
        <f>Sinistrés!X2060</f>
        <v>0</v>
      </c>
      <c r="D2055">
        <f>Sinistrés!L2060</f>
        <v>14</v>
      </c>
      <c r="E2055">
        <f>Sinistrés!M2060</f>
        <v>14</v>
      </c>
      <c r="F2055">
        <f t="shared" si="64"/>
        <v>0</v>
      </c>
      <c r="G2055">
        <f t="shared" si="65"/>
        <v>1</v>
      </c>
    </row>
    <row r="2056" spans="1:7" hidden="1">
      <c r="A2056" t="str">
        <f>Sinistrés!H2061</f>
        <v>Tournesol</v>
      </c>
      <c r="B2056">
        <f>Sinistrés!J2061</f>
        <v>13380</v>
      </c>
      <c r="C2056">
        <f>Sinistrés!X2061</f>
        <v>0</v>
      </c>
      <c r="D2056">
        <f>Sinistrés!L2061</f>
        <v>15</v>
      </c>
      <c r="E2056">
        <f>Sinistrés!M2061</f>
        <v>15</v>
      </c>
      <c r="F2056">
        <f t="shared" si="64"/>
        <v>0</v>
      </c>
      <c r="G2056">
        <f t="shared" si="65"/>
        <v>1</v>
      </c>
    </row>
    <row r="2057" spans="1:7" hidden="1">
      <c r="A2057" t="str">
        <f>Sinistrés!H2062</f>
        <v>Blé de force</v>
      </c>
      <c r="B2057">
        <f>Sinistrés!J2062</f>
        <v>29640</v>
      </c>
      <c r="C2057">
        <f>Sinistrés!X2062</f>
        <v>0</v>
      </c>
      <c r="D2057">
        <f>Sinistrés!L2062</f>
        <v>26</v>
      </c>
      <c r="E2057">
        <f>Sinistrés!M2062</f>
        <v>26</v>
      </c>
      <c r="F2057">
        <f t="shared" si="64"/>
        <v>0</v>
      </c>
      <c r="G2057">
        <f t="shared" si="65"/>
        <v>1</v>
      </c>
    </row>
    <row r="2058" spans="1:7" hidden="1">
      <c r="A2058" t="str">
        <f>Sinistrés!H2063</f>
        <v>Blé tendre d'hiver</v>
      </c>
      <c r="B2058">
        <f>Sinistrés!J2063</f>
        <v>25920</v>
      </c>
      <c r="C2058">
        <f>Sinistrés!X2063</f>
        <v>0</v>
      </c>
      <c r="D2058">
        <f>Sinistrés!L2063</f>
        <v>24</v>
      </c>
      <c r="E2058">
        <f>Sinistrés!M2063</f>
        <v>24</v>
      </c>
      <c r="F2058">
        <f t="shared" si="64"/>
        <v>0</v>
      </c>
      <c r="G2058">
        <f t="shared" si="65"/>
        <v>1</v>
      </c>
    </row>
    <row r="2059" spans="1:7" hidden="1">
      <c r="A2059" t="str">
        <f>Sinistrés!H2064</f>
        <v>Orge d'hiver</v>
      </c>
      <c r="B2059">
        <f>Sinistrés!J2064</f>
        <v>9318.5499999999993</v>
      </c>
      <c r="C2059">
        <f>Sinistrés!X2064</f>
        <v>0</v>
      </c>
      <c r="D2059">
        <f>Sinistrés!L2064</f>
        <v>9.5</v>
      </c>
      <c r="E2059">
        <f>Sinistrés!M2064</f>
        <v>9.5</v>
      </c>
      <c r="F2059">
        <f t="shared" si="64"/>
        <v>0</v>
      </c>
      <c r="G2059">
        <f t="shared" si="65"/>
        <v>1</v>
      </c>
    </row>
    <row r="2060" spans="1:7">
      <c r="A2060" t="str">
        <f>Sinistrés!H2065</f>
        <v>Blé de force</v>
      </c>
      <c r="B2060">
        <f>Sinistrés!J2065</f>
        <v>24717.040000000001</v>
      </c>
      <c r="C2060">
        <f>Sinistrés!X2065</f>
        <v>1504.6</v>
      </c>
      <c r="D2060">
        <f>Sinistrés!L2065</f>
        <v>20.36</v>
      </c>
      <c r="E2060">
        <f>Sinistrés!M2065</f>
        <v>20.36</v>
      </c>
      <c r="F2060">
        <f t="shared" si="64"/>
        <v>6.0872984791059119E-2</v>
      </c>
      <c r="G2060">
        <f t="shared" si="65"/>
        <v>1</v>
      </c>
    </row>
    <row r="2061" spans="1:7">
      <c r="A2061" t="str">
        <f>Sinistrés!H2066</f>
        <v>Blé tendre d'hiver</v>
      </c>
      <c r="B2061">
        <f>Sinistrés!J2066</f>
        <v>16651.8</v>
      </c>
      <c r="C2061">
        <f>Sinistrés!X2066</f>
        <v>681.21</v>
      </c>
      <c r="D2061">
        <f>Sinistrés!L2066</f>
        <v>16.82</v>
      </c>
      <c r="E2061">
        <f>Sinistrés!M2066</f>
        <v>16.82</v>
      </c>
      <c r="F2061">
        <f t="shared" si="64"/>
        <v>4.0909090909090916E-2</v>
      </c>
      <c r="G2061">
        <f t="shared" si="65"/>
        <v>1</v>
      </c>
    </row>
    <row r="2062" spans="1:7">
      <c r="A2062" t="str">
        <f>Sinistrés!H2067</f>
        <v>Orge d'hiver</v>
      </c>
      <c r="B2062">
        <f>Sinistrés!J2067</f>
        <v>3526.22</v>
      </c>
      <c r="C2062">
        <f>Sinistrés!X2067</f>
        <v>159.28</v>
      </c>
      <c r="D2062">
        <f>Sinistrés!L2067</f>
        <v>4.7300000000000004</v>
      </c>
      <c r="E2062">
        <f>Sinistrés!M2067</f>
        <v>4.7300000000000004</v>
      </c>
      <c r="F2062">
        <f t="shared" si="64"/>
        <v>4.5170182234801008E-2</v>
      </c>
      <c r="G2062">
        <f t="shared" si="65"/>
        <v>1</v>
      </c>
    </row>
    <row r="2063" spans="1:7">
      <c r="A2063" t="str">
        <f>Sinistrés!H2068</f>
        <v>Tournesol</v>
      </c>
      <c r="B2063">
        <f>Sinistrés!J2068</f>
        <v>22567.55</v>
      </c>
      <c r="C2063">
        <f>Sinistrés!X2068</f>
        <v>1502.86</v>
      </c>
      <c r="D2063">
        <f>Sinistrés!L2068</f>
        <v>28.69</v>
      </c>
      <c r="E2063">
        <f>Sinistrés!M2068</f>
        <v>28.69</v>
      </c>
      <c r="F2063">
        <f t="shared" si="64"/>
        <v>6.659384824670822E-2</v>
      </c>
      <c r="G2063">
        <f t="shared" si="65"/>
        <v>1</v>
      </c>
    </row>
    <row r="2064" spans="1:7">
      <c r="A2064" t="str">
        <f>Sinistrés!H2069</f>
        <v>Blé dur d'hiver</v>
      </c>
      <c r="B2064">
        <f>Sinistrés!J2069</f>
        <v>26688.75</v>
      </c>
      <c r="C2064">
        <f>Sinistrés!X2069</f>
        <v>2038.05</v>
      </c>
      <c r="D2064">
        <f>Sinistrés!L2069</f>
        <v>19.41</v>
      </c>
      <c r="E2064">
        <f>Sinistrés!M2069</f>
        <v>19.600000000000001</v>
      </c>
      <c r="F2064">
        <f t="shared" si="64"/>
        <v>7.6363636363636356E-2</v>
      </c>
      <c r="G2064">
        <f t="shared" si="65"/>
        <v>1.0097887686759404</v>
      </c>
    </row>
    <row r="2065" spans="1:7" hidden="1">
      <c r="A2065" t="str">
        <f>Sinistrés!H2070</f>
        <v>Blé tendre d'hiver</v>
      </c>
      <c r="B2065">
        <f>Sinistrés!J2070</f>
        <v>12293</v>
      </c>
      <c r="C2065">
        <f>Sinistrés!X2070</f>
        <v>0</v>
      </c>
      <c r="D2065">
        <f>Sinistrés!L2070</f>
        <v>10</v>
      </c>
      <c r="E2065">
        <f>Sinistrés!M2070</f>
        <v>10</v>
      </c>
      <c r="F2065">
        <f t="shared" si="64"/>
        <v>0</v>
      </c>
      <c r="G2065">
        <f t="shared" si="65"/>
        <v>1</v>
      </c>
    </row>
    <row r="2066" spans="1:7" hidden="1">
      <c r="A2066" t="str">
        <f>Sinistrés!H2071</f>
        <v>Orge de printemps</v>
      </c>
      <c r="B2066">
        <f>Sinistrés!J2071</f>
        <v>13240.8</v>
      </c>
      <c r="C2066">
        <f>Sinistrés!X2071</f>
        <v>0</v>
      </c>
      <c r="D2066">
        <f>Sinistrés!L2071</f>
        <v>12</v>
      </c>
      <c r="E2066">
        <f>Sinistrés!M2071</f>
        <v>12</v>
      </c>
      <c r="F2066">
        <f t="shared" si="64"/>
        <v>0</v>
      </c>
      <c r="G2066">
        <f t="shared" si="65"/>
        <v>1</v>
      </c>
    </row>
    <row r="2067" spans="1:7" hidden="1">
      <c r="A2067" t="str">
        <f>Sinistrés!H2072</f>
        <v>Blé tendre d'hiver</v>
      </c>
      <c r="B2067">
        <f>Sinistrés!J2072</f>
        <v>124221.52</v>
      </c>
      <c r="C2067">
        <f>Sinistrés!X2072</f>
        <v>0</v>
      </c>
      <c r="D2067">
        <f>Sinistrés!L2072</f>
        <v>111.7</v>
      </c>
      <c r="E2067">
        <f>Sinistrés!M2072</f>
        <v>111.7</v>
      </c>
      <c r="F2067">
        <f t="shared" si="64"/>
        <v>0</v>
      </c>
      <c r="G2067">
        <f t="shared" si="65"/>
        <v>1</v>
      </c>
    </row>
    <row r="2068" spans="1:7" hidden="1">
      <c r="A2068" t="str">
        <f>Sinistrés!H2073</f>
        <v>Colza d'hiver</v>
      </c>
      <c r="B2068">
        <f>Sinistrés!J2073</f>
        <v>54472.56</v>
      </c>
      <c r="C2068">
        <f>Sinistrés!X2073</f>
        <v>0</v>
      </c>
      <c r="D2068">
        <f>Sinistrés!L2073</f>
        <v>51.78</v>
      </c>
      <c r="E2068">
        <f>Sinistrés!M2073</f>
        <v>51.78</v>
      </c>
      <c r="F2068">
        <f t="shared" si="64"/>
        <v>0</v>
      </c>
      <c r="G2068">
        <f t="shared" si="65"/>
        <v>1</v>
      </c>
    </row>
    <row r="2069" spans="1:7" hidden="1">
      <c r="A2069" t="str">
        <f>Sinistrés!H2074</f>
        <v>Tournesol</v>
      </c>
      <c r="B2069">
        <f>Sinistrés!J2074</f>
        <v>19440</v>
      </c>
      <c r="C2069">
        <f>Sinistrés!X2074</f>
        <v>0</v>
      </c>
      <c r="D2069">
        <f>Sinistrés!L2074</f>
        <v>15</v>
      </c>
      <c r="E2069">
        <f>Sinistrés!M2074</f>
        <v>15</v>
      </c>
      <c r="F2069">
        <f t="shared" si="64"/>
        <v>0</v>
      </c>
      <c r="G2069">
        <f t="shared" si="65"/>
        <v>1</v>
      </c>
    </row>
    <row r="2070" spans="1:7" hidden="1">
      <c r="A2070" t="str">
        <f>Sinistrés!H2075</f>
        <v>Blé tendre d'hiver</v>
      </c>
      <c r="B2070">
        <f>Sinistrés!J2075</f>
        <v>22812.3</v>
      </c>
      <c r="C2070">
        <f>Sinistrés!X2075</f>
        <v>0</v>
      </c>
      <c r="D2070">
        <f>Sinistrés!L2075</f>
        <v>22.95</v>
      </c>
      <c r="E2070">
        <f>Sinistrés!M2075</f>
        <v>22.95</v>
      </c>
      <c r="F2070">
        <f t="shared" si="64"/>
        <v>0</v>
      </c>
      <c r="G2070">
        <f t="shared" si="65"/>
        <v>1</v>
      </c>
    </row>
    <row r="2071" spans="1:7" hidden="1">
      <c r="A2071" t="str">
        <f>Sinistrés!H2076</f>
        <v>Maïs grain non irrigué</v>
      </c>
      <c r="B2071">
        <f>Sinistrés!J2076</f>
        <v>5834.4</v>
      </c>
      <c r="C2071">
        <f>Sinistrés!X2076</f>
        <v>0</v>
      </c>
      <c r="D2071">
        <f>Sinistrés!L2076</f>
        <v>5.2</v>
      </c>
      <c r="E2071">
        <f>Sinistrés!M2076</f>
        <v>5.2</v>
      </c>
      <c r="F2071">
        <f t="shared" si="64"/>
        <v>0</v>
      </c>
      <c r="G2071">
        <f t="shared" si="65"/>
        <v>1</v>
      </c>
    </row>
    <row r="2072" spans="1:7" hidden="1">
      <c r="A2072" t="str">
        <f>Sinistrés!H2077</f>
        <v>Sorgho</v>
      </c>
      <c r="B2072">
        <f>Sinistrés!J2077</f>
        <v>4641</v>
      </c>
      <c r="C2072">
        <f>Sinistrés!X2077</f>
        <v>0</v>
      </c>
      <c r="D2072">
        <f>Sinistrés!L2077</f>
        <v>5.2</v>
      </c>
      <c r="E2072">
        <f>Sinistrés!M2077</f>
        <v>5.2</v>
      </c>
      <c r="F2072">
        <f t="shared" si="64"/>
        <v>0</v>
      </c>
      <c r="G2072">
        <f t="shared" si="65"/>
        <v>1</v>
      </c>
    </row>
    <row r="2073" spans="1:7" hidden="1">
      <c r="A2073" t="str">
        <f>Sinistrés!H2078</f>
        <v>Tournesol</v>
      </c>
      <c r="B2073">
        <f>Sinistrés!J2078</f>
        <v>5382</v>
      </c>
      <c r="C2073">
        <f>Sinistrés!X2078</f>
        <v>0</v>
      </c>
      <c r="D2073">
        <f>Sinistrés!L2078</f>
        <v>5.2</v>
      </c>
      <c r="E2073">
        <f>Sinistrés!M2078</f>
        <v>5.2</v>
      </c>
      <c r="F2073">
        <f t="shared" si="64"/>
        <v>0</v>
      </c>
      <c r="G2073">
        <f t="shared" si="65"/>
        <v>1</v>
      </c>
    </row>
    <row r="2074" spans="1:7" hidden="1">
      <c r="A2074" t="str">
        <f>Sinistrés!H2079</f>
        <v>Blé tendre d'hiver</v>
      </c>
      <c r="B2074">
        <f>Sinistrés!J2079</f>
        <v>51757.74</v>
      </c>
      <c r="C2074">
        <f>Sinistrés!X2079</f>
        <v>0</v>
      </c>
      <c r="D2074">
        <f>Sinistrés!L2079</f>
        <v>42.1</v>
      </c>
      <c r="E2074">
        <f>Sinistrés!M2079</f>
        <v>42.1</v>
      </c>
      <c r="F2074">
        <f t="shared" si="64"/>
        <v>0</v>
      </c>
      <c r="G2074">
        <f t="shared" si="65"/>
        <v>1</v>
      </c>
    </row>
    <row r="2075" spans="1:7" hidden="1">
      <c r="A2075" t="str">
        <f>Sinistrés!H2080</f>
        <v>Colza d'hiver</v>
      </c>
      <c r="B2075">
        <f>Sinistrés!J2080</f>
        <v>16759.009999999998</v>
      </c>
      <c r="C2075">
        <f>Sinistrés!X2080</f>
        <v>0</v>
      </c>
      <c r="D2075">
        <f>Sinistrés!L2080</f>
        <v>13.04</v>
      </c>
      <c r="E2075">
        <f>Sinistrés!M2080</f>
        <v>13.04</v>
      </c>
      <c r="F2075">
        <f t="shared" si="64"/>
        <v>0</v>
      </c>
      <c r="G2075">
        <f t="shared" si="65"/>
        <v>1</v>
      </c>
    </row>
    <row r="2076" spans="1:7" hidden="1">
      <c r="A2076" t="str">
        <f>Sinistrés!H2081</f>
        <v>Blé tendre d'hiver</v>
      </c>
      <c r="B2076">
        <f>Sinistrés!J2081</f>
        <v>22570.9</v>
      </c>
      <c r="C2076">
        <f>Sinistrés!X2081</f>
        <v>0</v>
      </c>
      <c r="D2076">
        <f>Sinistrés!L2081</f>
        <v>14.45</v>
      </c>
      <c r="E2076">
        <f>Sinistrés!M2081</f>
        <v>14.45</v>
      </c>
      <c r="F2076">
        <f t="shared" si="64"/>
        <v>0</v>
      </c>
      <c r="G2076">
        <f t="shared" si="65"/>
        <v>1</v>
      </c>
    </row>
    <row r="2077" spans="1:7">
      <c r="A2077" t="str">
        <f>Sinistrés!H2082</f>
        <v>Blé de force</v>
      </c>
      <c r="B2077">
        <f>Sinistrés!J2082</f>
        <v>10944.57</v>
      </c>
      <c r="C2077">
        <f>Sinistrés!X2082</f>
        <v>2176.35</v>
      </c>
      <c r="D2077">
        <f>Sinistrés!L2082</f>
        <v>7.01</v>
      </c>
      <c r="E2077">
        <f>Sinistrés!M2082</f>
        <v>7.01</v>
      </c>
      <c r="F2077">
        <f t="shared" si="64"/>
        <v>0.19885203347413374</v>
      </c>
      <c r="G2077">
        <f t="shared" si="65"/>
        <v>1</v>
      </c>
    </row>
    <row r="2078" spans="1:7">
      <c r="A2078" t="str">
        <f>Sinistrés!H2083</f>
        <v>Maïs grain non irrigué</v>
      </c>
      <c r="B2078">
        <f>Sinistrés!J2083</f>
        <v>23231.93</v>
      </c>
      <c r="C2078">
        <f>Sinistrés!X2083</f>
        <v>43.19</v>
      </c>
      <c r="D2078">
        <f>Sinistrés!L2083</f>
        <v>15.05</v>
      </c>
      <c r="E2078">
        <f>Sinistrés!M2083</f>
        <v>15.05</v>
      </c>
      <c r="F2078">
        <f t="shared" si="64"/>
        <v>1.8590792930247293E-3</v>
      </c>
      <c r="G2078">
        <f t="shared" si="65"/>
        <v>1</v>
      </c>
    </row>
    <row r="2079" spans="1:7" hidden="1">
      <c r="A2079" t="str">
        <f>Sinistrés!H2084</f>
        <v>Tournesol</v>
      </c>
      <c r="B2079">
        <f>Sinistrés!J2084</f>
        <v>9816.6200000000008</v>
      </c>
      <c r="C2079">
        <f>Sinistrés!X2084</f>
        <v>0</v>
      </c>
      <c r="D2079">
        <f>Sinistrés!L2084</f>
        <v>9.61</v>
      </c>
      <c r="E2079">
        <f>Sinistrés!M2084</f>
        <v>9.61</v>
      </c>
      <c r="F2079">
        <f t="shared" si="64"/>
        <v>0</v>
      </c>
      <c r="G2079">
        <f t="shared" si="65"/>
        <v>1</v>
      </c>
    </row>
    <row r="2080" spans="1:7" hidden="1">
      <c r="A2080" t="str">
        <f>Sinistrés!H2085</f>
        <v>Orge d'hiver</v>
      </c>
      <c r="B2080">
        <f>Sinistrés!J2085</f>
        <v>15769.86</v>
      </c>
      <c r="C2080">
        <f>Sinistrés!X2085</f>
        <v>0</v>
      </c>
      <c r="D2080">
        <f>Sinistrés!L2085</f>
        <v>12.99</v>
      </c>
      <c r="E2080">
        <f>Sinistrés!M2085</f>
        <v>12.99</v>
      </c>
      <c r="F2080">
        <f t="shared" si="64"/>
        <v>0</v>
      </c>
      <c r="G2080">
        <f t="shared" si="65"/>
        <v>1</v>
      </c>
    </row>
    <row r="2081" spans="1:7" hidden="1">
      <c r="A2081" t="str">
        <f>Sinistrés!H2086</f>
        <v>Pois protéagineux</v>
      </c>
      <c r="B2081">
        <f>Sinistrés!J2086</f>
        <v>6902.88</v>
      </c>
      <c r="C2081">
        <f>Sinistrés!X2086</f>
        <v>0</v>
      </c>
      <c r="D2081">
        <f>Sinistrés!L2086</f>
        <v>8.0500000000000007</v>
      </c>
      <c r="E2081">
        <f>Sinistrés!M2086</f>
        <v>8.0500000000000007</v>
      </c>
      <c r="F2081">
        <f t="shared" si="64"/>
        <v>0</v>
      </c>
      <c r="G2081">
        <f t="shared" si="65"/>
        <v>1</v>
      </c>
    </row>
    <row r="2082" spans="1:7" hidden="1">
      <c r="A2082" t="str">
        <f>Sinistrés!H2087</f>
        <v>Blé tendre d'hiver</v>
      </c>
      <c r="B2082">
        <f>Sinistrés!J2087</f>
        <v>59739.24</v>
      </c>
      <c r="C2082">
        <f>Sinistrés!X2087</f>
        <v>0</v>
      </c>
      <c r="D2082">
        <f>Sinistrés!L2087</f>
        <v>51.51</v>
      </c>
      <c r="E2082">
        <f>Sinistrés!M2087</f>
        <v>51.51</v>
      </c>
      <c r="F2082">
        <f t="shared" si="64"/>
        <v>0</v>
      </c>
      <c r="G2082">
        <f t="shared" si="65"/>
        <v>1</v>
      </c>
    </row>
    <row r="2083" spans="1:7" hidden="1">
      <c r="A2083" t="str">
        <f>Sinistrés!H2088</f>
        <v>Pois protéagineux</v>
      </c>
      <c r="B2083">
        <f>Sinistrés!J2088</f>
        <v>12887.22</v>
      </c>
      <c r="C2083">
        <f>Sinistrés!X2088</f>
        <v>0</v>
      </c>
      <c r="D2083">
        <f>Sinistrés!L2088</f>
        <v>18.21</v>
      </c>
      <c r="E2083">
        <f>Sinistrés!M2088</f>
        <v>18.21</v>
      </c>
      <c r="F2083">
        <f t="shared" si="64"/>
        <v>0</v>
      </c>
      <c r="G2083">
        <f t="shared" si="65"/>
        <v>1</v>
      </c>
    </row>
    <row r="2084" spans="1:7" hidden="1">
      <c r="A2084" t="str">
        <f>Sinistrés!H2089</f>
        <v>Blé tendre d'hiver</v>
      </c>
      <c r="B2084">
        <f>Sinistrés!J2089</f>
        <v>87925.13</v>
      </c>
      <c r="C2084">
        <f>Sinistrés!X2089</f>
        <v>0</v>
      </c>
      <c r="D2084">
        <f>Sinistrés!L2089</f>
        <v>53.79</v>
      </c>
      <c r="E2084">
        <f>Sinistrés!M2089</f>
        <v>50</v>
      </c>
      <c r="F2084">
        <f t="shared" si="64"/>
        <v>0</v>
      </c>
      <c r="G2084">
        <f t="shared" si="65"/>
        <v>0.92954080684142038</v>
      </c>
    </row>
    <row r="2085" spans="1:7" hidden="1">
      <c r="A2085" t="str">
        <f>Sinistrés!H2090</f>
        <v>Orge d'hiver</v>
      </c>
      <c r="B2085">
        <f>Sinistrés!J2090</f>
        <v>18387.46</v>
      </c>
      <c r="C2085">
        <f>Sinistrés!X2090</f>
        <v>0</v>
      </c>
      <c r="D2085">
        <f>Sinistrés!L2090</f>
        <v>14.73</v>
      </c>
      <c r="E2085">
        <f>Sinistrés!M2090</f>
        <v>16</v>
      </c>
      <c r="F2085">
        <f t="shared" si="64"/>
        <v>0</v>
      </c>
      <c r="G2085">
        <f t="shared" si="65"/>
        <v>1.0862186014935507</v>
      </c>
    </row>
    <row r="2086" spans="1:7" hidden="1">
      <c r="A2086" t="str">
        <f>Sinistrés!H2091</f>
        <v>Colza d'hiver</v>
      </c>
      <c r="B2086">
        <f>Sinistrés!J2091</f>
        <v>29403</v>
      </c>
      <c r="C2086">
        <f>Sinistrés!X2091</f>
        <v>0</v>
      </c>
      <c r="D2086">
        <f>Sinistrés!L2091</f>
        <v>16.2</v>
      </c>
      <c r="E2086">
        <f>Sinistrés!M2091</f>
        <v>16</v>
      </c>
      <c r="F2086">
        <f t="shared" si="64"/>
        <v>0</v>
      </c>
      <c r="G2086">
        <f t="shared" si="65"/>
        <v>0.98765432098765438</v>
      </c>
    </row>
    <row r="2087" spans="1:7" hidden="1">
      <c r="A2087" t="str">
        <f>Sinistrés!H2092</f>
        <v>Colza d'hiver</v>
      </c>
      <c r="B2087">
        <f>Sinistrés!J2092</f>
        <v>16823.669999999998</v>
      </c>
      <c r="C2087">
        <f>Sinistrés!X2092</f>
        <v>0</v>
      </c>
      <c r="D2087">
        <f>Sinistrés!L2092</f>
        <v>13.67</v>
      </c>
      <c r="E2087">
        <f>Sinistrés!M2092</f>
        <v>13.67</v>
      </c>
      <c r="F2087">
        <f t="shared" si="64"/>
        <v>0</v>
      </c>
      <c r="G2087">
        <f t="shared" si="65"/>
        <v>1</v>
      </c>
    </row>
    <row r="2088" spans="1:7" hidden="1">
      <c r="A2088" t="str">
        <f>Sinistrés!H2093</f>
        <v>Pois protéagineux SEMENCES</v>
      </c>
      <c r="B2088">
        <f>Sinistrés!J2093</f>
        <v>6586.65</v>
      </c>
      <c r="C2088">
        <f>Sinistrés!X2093</f>
        <v>210.95</v>
      </c>
      <c r="D2088">
        <f>Sinistrés!L2093</f>
        <v>10.25</v>
      </c>
      <c r="E2088">
        <f>Sinistrés!M2093</f>
        <v>10.25</v>
      </c>
      <c r="F2088">
        <f t="shared" si="64"/>
        <v>3.2026902902082245E-2</v>
      </c>
      <c r="G2088">
        <f t="shared" si="65"/>
        <v>1</v>
      </c>
    </row>
    <row r="2089" spans="1:7" hidden="1">
      <c r="A2089" t="str">
        <f>Sinistrés!H2094</f>
        <v>Orge d'hiver SEMENCES</v>
      </c>
      <c r="B2089">
        <f>Sinistrés!J2094</f>
        <v>8597.66</v>
      </c>
      <c r="C2089">
        <f>Sinistrés!X2094</f>
        <v>0</v>
      </c>
      <c r="D2089">
        <f>Sinistrés!L2094</f>
        <v>9.6300000000000008</v>
      </c>
      <c r="E2089">
        <f>Sinistrés!M2094</f>
        <v>9.6300000000000008</v>
      </c>
      <c r="F2089">
        <f t="shared" si="64"/>
        <v>0</v>
      </c>
      <c r="G2089">
        <f t="shared" si="65"/>
        <v>1</v>
      </c>
    </row>
    <row r="2090" spans="1:7" hidden="1">
      <c r="A2090" t="str">
        <f>Sinistrés!H2095</f>
        <v>Blé tendre d'hiver semences</v>
      </c>
      <c r="B2090">
        <f>Sinistrés!J2095</f>
        <v>11036.4</v>
      </c>
      <c r="C2090">
        <f>Sinistrés!X2095</f>
        <v>1282.1400000000001</v>
      </c>
      <c r="D2090">
        <f>Sinistrés!L2095</f>
        <v>12</v>
      </c>
      <c r="E2090">
        <f>Sinistrés!M2095</f>
        <v>12</v>
      </c>
      <c r="F2090">
        <f t="shared" si="64"/>
        <v>0.11617375231053606</v>
      </c>
      <c r="G2090">
        <f t="shared" si="65"/>
        <v>1</v>
      </c>
    </row>
    <row r="2091" spans="1:7" hidden="1">
      <c r="A2091" t="str">
        <f>Sinistrés!H2096</f>
        <v>Blé tendre d'hiver</v>
      </c>
      <c r="B2091">
        <f>Sinistrés!J2096</f>
        <v>15126.36</v>
      </c>
      <c r="C2091">
        <f>Sinistrés!X2096</f>
        <v>0</v>
      </c>
      <c r="D2091">
        <f>Sinistrés!L2096</f>
        <v>18.64</v>
      </c>
      <c r="E2091">
        <f>Sinistrés!M2096</f>
        <v>18.64</v>
      </c>
      <c r="F2091">
        <f t="shared" si="64"/>
        <v>0</v>
      </c>
      <c r="G2091">
        <f t="shared" si="65"/>
        <v>1</v>
      </c>
    </row>
    <row r="2092" spans="1:7" hidden="1">
      <c r="A2092" t="str">
        <f>Sinistrés!H2097</f>
        <v>Blé tendre d'hiver BIO</v>
      </c>
      <c r="B2092">
        <f>Sinistrés!J2097</f>
        <v>19936.34</v>
      </c>
      <c r="C2092">
        <f>Sinistrés!X2097</f>
        <v>0</v>
      </c>
      <c r="D2092">
        <f>Sinistrés!L2097</f>
        <v>23.27</v>
      </c>
      <c r="E2092">
        <f>Sinistrés!M2097</f>
        <v>23.27</v>
      </c>
      <c r="F2092">
        <f t="shared" si="64"/>
        <v>0</v>
      </c>
      <c r="G2092">
        <f t="shared" si="65"/>
        <v>1</v>
      </c>
    </row>
    <row r="2093" spans="1:7" hidden="1">
      <c r="A2093" t="str">
        <f>Sinistrés!H2098</f>
        <v>Orge d'hiver BIO</v>
      </c>
      <c r="B2093">
        <f>Sinistrés!J2098</f>
        <v>18876</v>
      </c>
      <c r="C2093">
        <f>Sinistrés!X2098</f>
        <v>5788.64</v>
      </c>
      <c r="D2093">
        <f>Sinistrés!L2098</f>
        <v>15.73</v>
      </c>
      <c r="E2093">
        <f>Sinistrés!M2098</f>
        <v>15.73</v>
      </c>
      <c r="F2093">
        <f t="shared" si="64"/>
        <v>0.3066666666666667</v>
      </c>
      <c r="G2093">
        <f t="shared" si="65"/>
        <v>1</v>
      </c>
    </row>
    <row r="2094" spans="1:7">
      <c r="A2094" t="str">
        <f>Sinistrés!H2099</f>
        <v>Maïs grain irrigué</v>
      </c>
      <c r="B2094">
        <f>Sinistrés!J2099</f>
        <v>115115</v>
      </c>
      <c r="C2094">
        <f>Sinistrés!X2099</f>
        <v>7446.25</v>
      </c>
      <c r="D2094">
        <f>Sinistrés!L2099</f>
        <v>55</v>
      </c>
      <c r="E2094">
        <f>Sinistrés!M2099</f>
        <v>55</v>
      </c>
      <c r="F2094">
        <f t="shared" si="64"/>
        <v>6.4685314685314688E-2</v>
      </c>
      <c r="G2094">
        <f t="shared" si="65"/>
        <v>1</v>
      </c>
    </row>
    <row r="2095" spans="1:7">
      <c r="A2095" t="str">
        <f>Sinistrés!H2100</f>
        <v>Maïs grain non irrigué</v>
      </c>
      <c r="B2095">
        <f>Sinistrés!J2100</f>
        <v>16905</v>
      </c>
      <c r="C2095">
        <f>Sinistrés!X2100</f>
        <v>2898</v>
      </c>
      <c r="D2095">
        <f>Sinistrés!L2100</f>
        <v>15</v>
      </c>
      <c r="E2095">
        <f>Sinistrés!M2100</f>
        <v>15</v>
      </c>
      <c r="F2095">
        <f t="shared" si="64"/>
        <v>0.17142857142857143</v>
      </c>
      <c r="G2095">
        <f t="shared" si="65"/>
        <v>1</v>
      </c>
    </row>
    <row r="2096" spans="1:7">
      <c r="A2096" t="str">
        <f>Sinistrés!H2101</f>
        <v>Blé tendre d'hiver</v>
      </c>
      <c r="B2096">
        <f>Sinistrés!J2101</f>
        <v>60550</v>
      </c>
      <c r="C2096">
        <f>Sinistrés!X2101</f>
        <v>29444.6</v>
      </c>
      <c r="D2096">
        <f>Sinistrés!L2101</f>
        <v>50</v>
      </c>
      <c r="E2096">
        <f>Sinistrés!M2101</f>
        <v>50</v>
      </c>
      <c r="F2096">
        <f t="shared" si="64"/>
        <v>0.48628571428571427</v>
      </c>
      <c r="G2096">
        <f t="shared" si="65"/>
        <v>1</v>
      </c>
    </row>
    <row r="2097" spans="1:7" hidden="1">
      <c r="A2097" t="str">
        <f>Sinistrés!H2102</f>
        <v>Orge d'hiver</v>
      </c>
      <c r="B2097">
        <f>Sinistrés!J2102</f>
        <v>17535</v>
      </c>
      <c r="C2097">
        <f>Sinistrés!X2102</f>
        <v>0</v>
      </c>
      <c r="D2097">
        <f>Sinistrés!L2102</f>
        <v>15</v>
      </c>
      <c r="E2097">
        <f>Sinistrés!M2102</f>
        <v>15</v>
      </c>
      <c r="F2097">
        <f t="shared" si="64"/>
        <v>0</v>
      </c>
      <c r="G2097">
        <f t="shared" si="65"/>
        <v>1</v>
      </c>
    </row>
    <row r="2098" spans="1:7" hidden="1">
      <c r="A2098" t="str">
        <f>Sinistrés!H2103</f>
        <v>Colza d'hiver</v>
      </c>
      <c r="B2098">
        <f>Sinistrés!J2103</f>
        <v>16674</v>
      </c>
      <c r="C2098">
        <f>Sinistrés!X2103</f>
        <v>0</v>
      </c>
      <c r="D2098">
        <f>Sinistrés!L2103</f>
        <v>14</v>
      </c>
      <c r="E2098">
        <f>Sinistrés!M2103</f>
        <v>14</v>
      </c>
      <c r="F2098">
        <f t="shared" si="64"/>
        <v>0</v>
      </c>
      <c r="G2098">
        <f t="shared" si="65"/>
        <v>1</v>
      </c>
    </row>
    <row r="2099" spans="1:7" hidden="1">
      <c r="A2099" t="str">
        <f>Sinistrés!H2104</f>
        <v>Blé tendre d'hiver BIO</v>
      </c>
      <c r="B2099">
        <f>Sinistrés!J2104</f>
        <v>29000.16</v>
      </c>
      <c r="C2099">
        <f>Sinistrés!X2104</f>
        <v>0</v>
      </c>
      <c r="D2099">
        <f>Sinistrés!L2104</f>
        <v>28</v>
      </c>
      <c r="E2099">
        <f>Sinistrés!M2104</f>
        <v>28</v>
      </c>
      <c r="F2099">
        <f t="shared" si="64"/>
        <v>0</v>
      </c>
      <c r="G2099">
        <f t="shared" si="65"/>
        <v>1</v>
      </c>
    </row>
    <row r="2100" spans="1:7" hidden="1">
      <c r="A2100" t="str">
        <f>Sinistrés!H2105</f>
        <v>Féveroles et fèves BIO</v>
      </c>
      <c r="B2100">
        <f>Sinistrés!J2105</f>
        <v>68724</v>
      </c>
      <c r="C2100">
        <f>Sinistrés!X2105</f>
        <v>0</v>
      </c>
      <c r="D2100">
        <f>Sinistrés!L2105</f>
        <v>83</v>
      </c>
      <c r="E2100">
        <f>Sinistrés!M2105</f>
        <v>83</v>
      </c>
      <c r="F2100">
        <f t="shared" si="64"/>
        <v>0</v>
      </c>
      <c r="G2100">
        <f t="shared" si="65"/>
        <v>1</v>
      </c>
    </row>
    <row r="2101" spans="1:7" hidden="1">
      <c r="A2101" t="str">
        <f>Sinistrés!H2106</f>
        <v>Orge d'hiver BIO</v>
      </c>
      <c r="B2101">
        <f>Sinistrés!J2106</f>
        <v>6613.75</v>
      </c>
      <c r="C2101">
        <f>Sinistrés!X2106</f>
        <v>0</v>
      </c>
      <c r="D2101">
        <f>Sinistrés!L2106</f>
        <v>6.5</v>
      </c>
      <c r="E2101">
        <f>Sinistrés!M2106</f>
        <v>6.5</v>
      </c>
      <c r="F2101">
        <f t="shared" si="64"/>
        <v>0</v>
      </c>
      <c r="G2101">
        <f t="shared" si="65"/>
        <v>1</v>
      </c>
    </row>
    <row r="2102" spans="1:7" hidden="1">
      <c r="A2102" t="str">
        <f>Sinistrés!H2107</f>
        <v>Triticale BIO</v>
      </c>
      <c r="B2102">
        <f>Sinistrés!J2107</f>
        <v>5500</v>
      </c>
      <c r="C2102">
        <f>Sinistrés!X2107</f>
        <v>0</v>
      </c>
      <c r="D2102">
        <f>Sinistrés!L2107</f>
        <v>5.5</v>
      </c>
      <c r="E2102">
        <f>Sinistrés!M2107</f>
        <v>5.5</v>
      </c>
      <c r="F2102">
        <f t="shared" si="64"/>
        <v>0</v>
      </c>
      <c r="G2102">
        <f t="shared" si="65"/>
        <v>1</v>
      </c>
    </row>
    <row r="2103" spans="1:7" hidden="1">
      <c r="A2103" t="str">
        <f>Sinistrés!H2108</f>
        <v>Blé de force</v>
      </c>
      <c r="B2103">
        <f>Sinistrés!J2108</f>
        <v>29607.9</v>
      </c>
      <c r="C2103">
        <f>Sinistrés!X2108</f>
        <v>0</v>
      </c>
      <c r="D2103">
        <f>Sinistrés!L2108</f>
        <v>23</v>
      </c>
      <c r="E2103">
        <f>Sinistrés!M2108</f>
        <v>23</v>
      </c>
      <c r="F2103">
        <f t="shared" si="64"/>
        <v>0</v>
      </c>
      <c r="G2103">
        <f t="shared" si="65"/>
        <v>1</v>
      </c>
    </row>
    <row r="2104" spans="1:7">
      <c r="A2104" t="str">
        <f>Sinistrés!H2109</f>
        <v>Blé tendre d'hiver</v>
      </c>
      <c r="B2104">
        <f>Sinistrés!J2109</f>
        <v>41125.56</v>
      </c>
      <c r="C2104">
        <f>Sinistrés!X2109</f>
        <v>3478.41</v>
      </c>
      <c r="D2104">
        <f>Sinistrés!L2109</f>
        <v>35.31</v>
      </c>
      <c r="E2104">
        <f>Sinistrés!M2109</f>
        <v>35.31</v>
      </c>
      <c r="F2104">
        <f t="shared" si="64"/>
        <v>8.4580246445276369E-2</v>
      </c>
      <c r="G2104">
        <f t="shared" si="65"/>
        <v>1</v>
      </c>
    </row>
    <row r="2105" spans="1:7" hidden="1">
      <c r="A2105" t="str">
        <f>Sinistrés!H2110</f>
        <v>Tournesol</v>
      </c>
      <c r="B2105">
        <f>Sinistrés!J2110</f>
        <v>37113.599999999999</v>
      </c>
      <c r="C2105">
        <f>Sinistrés!X2110</f>
        <v>0</v>
      </c>
      <c r="D2105">
        <f>Sinistrés!L2110</f>
        <v>38.659999999999997</v>
      </c>
      <c r="E2105">
        <f>Sinistrés!M2110</f>
        <v>38.659999999999997</v>
      </c>
      <c r="F2105">
        <f t="shared" si="64"/>
        <v>0</v>
      </c>
      <c r="G2105">
        <f t="shared" si="65"/>
        <v>1</v>
      </c>
    </row>
    <row r="2106" spans="1:7" hidden="1">
      <c r="A2106" t="str">
        <f>Sinistrés!H2111</f>
        <v>Lin oléagineux BIO</v>
      </c>
      <c r="B2106">
        <f>Sinistrés!J2111</f>
        <v>25808.76</v>
      </c>
      <c r="C2106">
        <f>Sinistrés!X2111</f>
        <v>4746.6499999999996</v>
      </c>
      <c r="D2106">
        <f>Sinistrés!L2111</f>
        <v>20.78</v>
      </c>
      <c r="E2106">
        <f>Sinistrés!M2111</f>
        <v>15</v>
      </c>
      <c r="F2106">
        <f t="shared" si="64"/>
        <v>0.18391623619267256</v>
      </c>
      <c r="G2106">
        <f t="shared" si="65"/>
        <v>0.72184793070259856</v>
      </c>
    </row>
    <row r="2107" spans="1:7" hidden="1">
      <c r="A2107" t="str">
        <f>Sinistrés!H2112</f>
        <v>Blé tendre d'hiver</v>
      </c>
      <c r="B2107">
        <f>Sinistrés!J2112</f>
        <v>49823.97</v>
      </c>
      <c r="C2107">
        <f>Sinistrés!X2112</f>
        <v>0</v>
      </c>
      <c r="D2107">
        <f>Sinistrés!L2112</f>
        <v>42</v>
      </c>
      <c r="E2107">
        <f>Sinistrés!M2112</f>
        <v>41.89</v>
      </c>
      <c r="F2107">
        <f t="shared" si="64"/>
        <v>0</v>
      </c>
      <c r="G2107">
        <f t="shared" si="65"/>
        <v>0.99738095238095237</v>
      </c>
    </row>
    <row r="2108" spans="1:7" hidden="1">
      <c r="A2108" t="str">
        <f>Sinistrés!H2113</f>
        <v>Colza d'hiver</v>
      </c>
      <c r="B2108">
        <f>Sinistrés!J2113</f>
        <v>24667.4</v>
      </c>
      <c r="C2108">
        <f>Sinistrés!X2113</f>
        <v>0</v>
      </c>
      <c r="D2108">
        <f>Sinistrés!L2113</f>
        <v>21.72</v>
      </c>
      <c r="E2108">
        <f>Sinistrés!M2113</f>
        <v>21.72</v>
      </c>
      <c r="F2108">
        <f t="shared" si="64"/>
        <v>0</v>
      </c>
      <c r="G2108">
        <f t="shared" si="65"/>
        <v>1</v>
      </c>
    </row>
    <row r="2109" spans="1:7" hidden="1">
      <c r="A2109" t="str">
        <f>Sinistrés!H2114</f>
        <v>Lin oléagineux</v>
      </c>
      <c r="B2109">
        <f>Sinistrés!J2114</f>
        <v>13952.41</v>
      </c>
      <c r="C2109">
        <f>Sinistrés!X2114</f>
        <v>0</v>
      </c>
      <c r="D2109">
        <f>Sinistrés!L2114</f>
        <v>15.62</v>
      </c>
      <c r="E2109">
        <f>Sinistrés!M2114</f>
        <v>15.62</v>
      </c>
      <c r="F2109">
        <f t="shared" si="64"/>
        <v>0</v>
      </c>
      <c r="G2109">
        <f t="shared" si="65"/>
        <v>1</v>
      </c>
    </row>
    <row r="2110" spans="1:7" hidden="1">
      <c r="A2110" t="str">
        <f>Sinistrés!H2115</f>
        <v>Orge de printemps</v>
      </c>
      <c r="B2110">
        <f>Sinistrés!J2115</f>
        <v>44349.98</v>
      </c>
      <c r="C2110">
        <f>Sinistrés!X2115</f>
        <v>0</v>
      </c>
      <c r="D2110">
        <f>Sinistrés!L2115</f>
        <v>41.12</v>
      </c>
      <c r="E2110">
        <f>Sinistrés!M2115</f>
        <v>41.12</v>
      </c>
      <c r="F2110">
        <f t="shared" si="64"/>
        <v>0</v>
      </c>
      <c r="G2110">
        <f t="shared" si="65"/>
        <v>1</v>
      </c>
    </row>
    <row r="2111" spans="1:7" hidden="1">
      <c r="A2111" t="str">
        <f>Sinistrés!H2116</f>
        <v>Blé tendre d'hiver BIO</v>
      </c>
      <c r="B2111">
        <f>Sinistrés!J2116</f>
        <v>43464.6</v>
      </c>
      <c r="C2111">
        <f>Sinistrés!X2116</f>
        <v>7007.36</v>
      </c>
      <c r="D2111">
        <f>Sinistrés!L2116</f>
        <v>26.83</v>
      </c>
      <c r="E2111">
        <f>Sinistrés!M2116</f>
        <v>26.83</v>
      </c>
      <c r="F2111">
        <f t="shared" si="64"/>
        <v>0.1612199353036724</v>
      </c>
      <c r="G2111">
        <f t="shared" si="65"/>
        <v>1</v>
      </c>
    </row>
    <row r="2112" spans="1:7" hidden="1">
      <c r="A2112" t="str">
        <f>Sinistrés!H2117</f>
        <v>Soja BIO</v>
      </c>
      <c r="B2112">
        <f>Sinistrés!J2117</f>
        <v>16289.91</v>
      </c>
      <c r="C2112">
        <f>Sinistrés!X2117</f>
        <v>0</v>
      </c>
      <c r="D2112">
        <f>Sinistrés!L2117</f>
        <v>8.4499999999999993</v>
      </c>
      <c r="E2112">
        <f>Sinistrés!M2117</f>
        <v>8.4499999999999993</v>
      </c>
      <c r="F2112">
        <f t="shared" si="64"/>
        <v>0</v>
      </c>
      <c r="G2112">
        <f t="shared" si="65"/>
        <v>1</v>
      </c>
    </row>
    <row r="2113" spans="1:7" hidden="1">
      <c r="A2113" t="str">
        <f>Sinistrés!H2118</f>
        <v>Tournesol BIO</v>
      </c>
      <c r="B2113">
        <f>Sinistrés!J2118</f>
        <v>33907.5</v>
      </c>
      <c r="C2113">
        <f>Sinistrés!X2118</f>
        <v>0</v>
      </c>
      <c r="D2113">
        <f>Sinistrés!L2118</f>
        <v>34.25</v>
      </c>
      <c r="E2113">
        <f>Sinistrés!M2118</f>
        <v>34.25</v>
      </c>
      <c r="F2113">
        <f t="shared" si="64"/>
        <v>0</v>
      </c>
      <c r="G2113">
        <f t="shared" si="65"/>
        <v>1</v>
      </c>
    </row>
    <row r="2114" spans="1:7" hidden="1">
      <c r="A2114" t="str">
        <f>Sinistrés!H2119</f>
        <v>Sorgho</v>
      </c>
      <c r="B2114">
        <f>Sinistrés!J2119</f>
        <v>1405.9</v>
      </c>
      <c r="C2114">
        <f>Sinistrés!X2119</f>
        <v>0</v>
      </c>
      <c r="D2114">
        <f>Sinistrés!L2119</f>
        <v>2.23</v>
      </c>
      <c r="E2114">
        <f>Sinistrés!M2119</f>
        <v>2.23</v>
      </c>
      <c r="F2114">
        <f t="shared" si="64"/>
        <v>0</v>
      </c>
      <c r="G2114">
        <f t="shared" si="65"/>
        <v>1</v>
      </c>
    </row>
    <row r="2115" spans="1:7">
      <c r="A2115" t="str">
        <f>Sinistrés!H2120</f>
        <v>Triticale</v>
      </c>
      <c r="B2115">
        <f>Sinistrés!J2120</f>
        <v>19290.25</v>
      </c>
      <c r="C2115">
        <f>Sinistrés!X2120</f>
        <v>894.62</v>
      </c>
      <c r="D2115">
        <f>Sinistrés!L2120</f>
        <v>23.22</v>
      </c>
      <c r="E2115">
        <f>Sinistrés!M2120</f>
        <v>23.22</v>
      </c>
      <c r="F2115">
        <f t="shared" ref="F2115:F2178" si="66">C2115/B2115</f>
        <v>4.6376796568214515E-2</v>
      </c>
      <c r="G2115">
        <f t="shared" ref="G2115:G2178" si="67">E2115/D2115</f>
        <v>1</v>
      </c>
    </row>
    <row r="2116" spans="1:7">
      <c r="A2116" t="str">
        <f>Sinistrés!H2121</f>
        <v>Orge de printemps</v>
      </c>
      <c r="B2116">
        <f>Sinistrés!J2121</f>
        <v>144054.71</v>
      </c>
      <c r="C2116">
        <f>Sinistrés!X2121</f>
        <v>49108.47</v>
      </c>
      <c r="D2116">
        <f>Sinistrés!L2121</f>
        <v>85.89</v>
      </c>
      <c r="E2116">
        <f>Sinistrés!M2121</f>
        <v>85.89</v>
      </c>
      <c r="F2116">
        <f t="shared" si="66"/>
        <v>0.34090152276173408</v>
      </c>
      <c r="G2116">
        <f t="shared" si="67"/>
        <v>1</v>
      </c>
    </row>
    <row r="2117" spans="1:7" hidden="1">
      <c r="A2117" t="str">
        <f>Sinistrés!H2122</f>
        <v>Blé tendre d'hiver</v>
      </c>
      <c r="B2117">
        <f>Sinistrés!J2122</f>
        <v>145406.76999999999</v>
      </c>
      <c r="C2117">
        <f>Sinistrés!X2122</f>
        <v>0</v>
      </c>
      <c r="D2117">
        <f>Sinistrés!L2122</f>
        <v>102.6</v>
      </c>
      <c r="E2117">
        <f>Sinistrés!M2122</f>
        <v>102.6</v>
      </c>
      <c r="F2117">
        <f t="shared" si="66"/>
        <v>0</v>
      </c>
      <c r="G2117">
        <f t="shared" si="67"/>
        <v>1</v>
      </c>
    </row>
    <row r="2118" spans="1:7" hidden="1">
      <c r="A2118" t="str">
        <f>Sinistrés!H2123</f>
        <v>Blé de force</v>
      </c>
      <c r="B2118">
        <f>Sinistrés!J2123</f>
        <v>14363</v>
      </c>
      <c r="C2118">
        <f>Sinistrés!X2123</f>
        <v>0</v>
      </c>
      <c r="D2118">
        <f>Sinistrés!L2123</f>
        <v>13.55</v>
      </c>
      <c r="E2118">
        <f>Sinistrés!M2123</f>
        <v>13.55</v>
      </c>
      <c r="F2118">
        <f t="shared" si="66"/>
        <v>0</v>
      </c>
      <c r="G2118">
        <f t="shared" si="67"/>
        <v>1</v>
      </c>
    </row>
    <row r="2119" spans="1:7" hidden="1">
      <c r="A2119" t="str">
        <f>Sinistrés!H2124</f>
        <v>Blé de force</v>
      </c>
      <c r="B2119">
        <f>Sinistrés!J2124</f>
        <v>58437.66</v>
      </c>
      <c r="C2119">
        <f>Sinistrés!X2124</f>
        <v>0</v>
      </c>
      <c r="D2119">
        <f>Sinistrés!L2124</f>
        <v>53.81</v>
      </c>
      <c r="E2119">
        <f>Sinistrés!M2124</f>
        <v>53.81</v>
      </c>
      <c r="F2119">
        <f t="shared" si="66"/>
        <v>0</v>
      </c>
      <c r="G2119">
        <f t="shared" si="67"/>
        <v>1</v>
      </c>
    </row>
    <row r="2120" spans="1:7">
      <c r="A2120" t="str">
        <f>Sinistrés!H2125</f>
        <v>Colza d'hiver</v>
      </c>
      <c r="B2120">
        <f>Sinistrés!J2125</f>
        <v>29324.5</v>
      </c>
      <c r="C2120">
        <f>Sinistrés!X2125</f>
        <v>1380.75</v>
      </c>
      <c r="D2120">
        <f>Sinistrés!L2125</f>
        <v>22.3</v>
      </c>
      <c r="E2120">
        <f>Sinistrés!M2125</f>
        <v>22.2</v>
      </c>
      <c r="F2120">
        <f t="shared" si="66"/>
        <v>4.708520179372197E-2</v>
      </c>
      <c r="G2120">
        <f t="shared" si="67"/>
        <v>0.99551569506726456</v>
      </c>
    </row>
    <row r="2121" spans="1:7" hidden="1">
      <c r="A2121" t="str">
        <f>Sinistrés!H2126</f>
        <v>Blé tendre d'hiver</v>
      </c>
      <c r="B2121">
        <f>Sinistrés!J2126</f>
        <v>48909.96</v>
      </c>
      <c r="C2121">
        <f>Sinistrés!X2126</f>
        <v>0</v>
      </c>
      <c r="D2121">
        <f>Sinistrés!L2126</f>
        <v>37.950000000000003</v>
      </c>
      <c r="E2121">
        <f>Sinistrés!M2126</f>
        <v>37.950000000000003</v>
      </c>
      <c r="F2121">
        <f t="shared" si="66"/>
        <v>0</v>
      </c>
      <c r="G2121">
        <f t="shared" si="67"/>
        <v>1</v>
      </c>
    </row>
    <row r="2122" spans="1:7" hidden="1">
      <c r="A2122" t="str">
        <f>Sinistrés!H2127</f>
        <v>Colza d'hiver</v>
      </c>
      <c r="B2122">
        <f>Sinistrés!J2127</f>
        <v>32897.68</v>
      </c>
      <c r="C2122">
        <f>Sinistrés!X2127</f>
        <v>0</v>
      </c>
      <c r="D2122">
        <f>Sinistrés!L2127</f>
        <v>23.77</v>
      </c>
      <c r="E2122">
        <f>Sinistrés!M2127</f>
        <v>23.77</v>
      </c>
      <c r="F2122">
        <f t="shared" si="66"/>
        <v>0</v>
      </c>
      <c r="G2122">
        <f t="shared" si="67"/>
        <v>1</v>
      </c>
    </row>
    <row r="2123" spans="1:7" hidden="1">
      <c r="A2123" t="str">
        <f>Sinistrés!H2128</f>
        <v>Orge de printemps</v>
      </c>
      <c r="B2123">
        <f>Sinistrés!J2128</f>
        <v>23022.34</v>
      </c>
      <c r="C2123">
        <f>Sinistrés!X2128</f>
        <v>0</v>
      </c>
      <c r="D2123">
        <f>Sinistrés!L2128</f>
        <v>20.53</v>
      </c>
      <c r="E2123">
        <f>Sinistrés!M2128</f>
        <v>20.53</v>
      </c>
      <c r="F2123">
        <f t="shared" si="66"/>
        <v>0</v>
      </c>
      <c r="G2123">
        <f t="shared" si="67"/>
        <v>1</v>
      </c>
    </row>
    <row r="2124" spans="1:7" hidden="1">
      <c r="A2124" t="str">
        <f>Sinistrés!H2129</f>
        <v>Tournesol</v>
      </c>
      <c r="B2124">
        <f>Sinistrés!J2129</f>
        <v>28854</v>
      </c>
      <c r="C2124">
        <f>Sinistrés!X2129</f>
        <v>0</v>
      </c>
      <c r="D2124">
        <f>Sinistrés!L2129</f>
        <v>32.06</v>
      </c>
      <c r="E2124">
        <f>Sinistrés!M2129</f>
        <v>32.06</v>
      </c>
      <c r="F2124">
        <f t="shared" si="66"/>
        <v>0</v>
      </c>
      <c r="G2124">
        <f t="shared" si="67"/>
        <v>1</v>
      </c>
    </row>
    <row r="2125" spans="1:7" hidden="1">
      <c r="A2125" t="str">
        <f>Sinistrés!H2130</f>
        <v>Tournesol</v>
      </c>
      <c r="B2125">
        <f>Sinistrés!J2130</f>
        <v>43275.73</v>
      </c>
      <c r="C2125">
        <f>Sinistrés!X2130</f>
        <v>0</v>
      </c>
      <c r="D2125">
        <f>Sinistrés!L2130</f>
        <v>38.159999999999997</v>
      </c>
      <c r="E2125">
        <f>Sinistrés!M2130</f>
        <v>13</v>
      </c>
      <c r="F2125">
        <f t="shared" si="66"/>
        <v>0</v>
      </c>
      <c r="G2125">
        <f t="shared" si="67"/>
        <v>0.34067085953878412</v>
      </c>
    </row>
    <row r="2126" spans="1:7" hidden="1">
      <c r="A2126" t="str">
        <f>Sinistrés!H2131</f>
        <v>Blé dur d'hiver</v>
      </c>
      <c r="B2126">
        <f>Sinistrés!J2131</f>
        <v>11638.68</v>
      </c>
      <c r="C2126">
        <f>Sinistrés!X2131</f>
        <v>0</v>
      </c>
      <c r="D2126">
        <f>Sinistrés!L2131</f>
        <v>6.39</v>
      </c>
      <c r="E2126">
        <f>Sinistrés!M2131</f>
        <v>6.39</v>
      </c>
      <c r="F2126">
        <f t="shared" si="66"/>
        <v>0</v>
      </c>
      <c r="G2126">
        <f t="shared" si="67"/>
        <v>1</v>
      </c>
    </row>
    <row r="2127" spans="1:7">
      <c r="A2127" t="str">
        <f>Sinistrés!H2132</f>
        <v>Blé de force</v>
      </c>
      <c r="B2127">
        <f>Sinistrés!J2132</f>
        <v>8008</v>
      </c>
      <c r="C2127">
        <f>Sinistrés!X2132</f>
        <v>338.8</v>
      </c>
      <c r="D2127">
        <f>Sinistrés!L2132</f>
        <v>7</v>
      </c>
      <c r="E2127">
        <f>Sinistrés!M2132</f>
        <v>7</v>
      </c>
      <c r="F2127">
        <f t="shared" si="66"/>
        <v>4.230769230769231E-2</v>
      </c>
      <c r="G2127">
        <f t="shared" si="67"/>
        <v>1</v>
      </c>
    </row>
    <row r="2128" spans="1:7">
      <c r="A2128" t="str">
        <f>Sinistrés!H2133</f>
        <v>Blé tendre d'hiver</v>
      </c>
      <c r="B2128">
        <f>Sinistrés!J2133</f>
        <v>49534.06</v>
      </c>
      <c r="C2128">
        <f>Sinistrés!X2133</f>
        <v>2589.59</v>
      </c>
      <c r="D2128">
        <f>Sinistrés!L2133</f>
        <v>48.11</v>
      </c>
      <c r="E2128">
        <f>Sinistrés!M2133</f>
        <v>48.11</v>
      </c>
      <c r="F2128">
        <f t="shared" si="66"/>
        <v>5.2278977333979897E-2</v>
      </c>
      <c r="G2128">
        <f t="shared" si="67"/>
        <v>1</v>
      </c>
    </row>
    <row r="2129" spans="1:7" hidden="1">
      <c r="A2129" t="str">
        <f>Sinistrés!H2134</f>
        <v>Colza d'hiver</v>
      </c>
      <c r="B2129">
        <f>Sinistrés!J2134</f>
        <v>8937.6</v>
      </c>
      <c r="C2129">
        <f>Sinistrés!X2134</f>
        <v>0</v>
      </c>
      <c r="D2129">
        <f>Sinistrés!L2134</f>
        <v>7.98</v>
      </c>
      <c r="E2129">
        <f>Sinistrés!M2134</f>
        <v>7.98</v>
      </c>
      <c r="F2129">
        <f t="shared" si="66"/>
        <v>0</v>
      </c>
      <c r="G2129">
        <f t="shared" si="67"/>
        <v>1</v>
      </c>
    </row>
    <row r="2130" spans="1:7" hidden="1">
      <c r="A2130" t="str">
        <f>Sinistrés!H2135</f>
        <v>Maïs grain non irrigué</v>
      </c>
      <c r="B2130">
        <f>Sinistrés!J2135</f>
        <v>10794.82</v>
      </c>
      <c r="C2130">
        <f>Sinistrés!X2135</f>
        <v>0</v>
      </c>
      <c r="D2130">
        <f>Sinistrés!L2135</f>
        <v>7.57</v>
      </c>
      <c r="E2130">
        <f>Sinistrés!M2135</f>
        <v>7.5</v>
      </c>
      <c r="F2130">
        <f t="shared" si="66"/>
        <v>0</v>
      </c>
      <c r="G2130">
        <f t="shared" si="67"/>
        <v>0.99075297225891679</v>
      </c>
    </row>
    <row r="2131" spans="1:7" hidden="1">
      <c r="A2131" t="str">
        <f>Sinistrés!H2136</f>
        <v>Blé de force</v>
      </c>
      <c r="B2131">
        <f>Sinistrés!J2136</f>
        <v>25920.09</v>
      </c>
      <c r="C2131">
        <f>Sinistrés!X2136</f>
        <v>0</v>
      </c>
      <c r="D2131">
        <f>Sinistrés!L2136</f>
        <v>19.22</v>
      </c>
      <c r="E2131">
        <f>Sinistrés!M2136</f>
        <v>19.22</v>
      </c>
      <c r="F2131">
        <f t="shared" si="66"/>
        <v>0</v>
      </c>
      <c r="G2131">
        <f t="shared" si="67"/>
        <v>1</v>
      </c>
    </row>
    <row r="2132" spans="1:7" hidden="1">
      <c r="A2132" t="str">
        <f>Sinistrés!H2137</f>
        <v>Blé dur d'hiver</v>
      </c>
      <c r="B2132">
        <f>Sinistrés!J2137</f>
        <v>12544</v>
      </c>
      <c r="C2132">
        <f>Sinistrés!X2137</f>
        <v>0</v>
      </c>
      <c r="D2132">
        <f>Sinistrés!L2137</f>
        <v>8</v>
      </c>
      <c r="E2132">
        <f>Sinistrés!M2137</f>
        <v>8</v>
      </c>
      <c r="F2132">
        <f t="shared" si="66"/>
        <v>0</v>
      </c>
      <c r="G2132">
        <f t="shared" si="67"/>
        <v>1</v>
      </c>
    </row>
    <row r="2133" spans="1:7" hidden="1">
      <c r="A2133" t="str">
        <f>Sinistrés!H2138</f>
        <v>Blé tendre d'hiver</v>
      </c>
      <c r="B2133">
        <f>Sinistrés!J2138</f>
        <v>48298.2</v>
      </c>
      <c r="C2133">
        <f>Sinistrés!X2138</f>
        <v>0</v>
      </c>
      <c r="D2133">
        <f>Sinistrés!L2138</f>
        <v>39.85</v>
      </c>
      <c r="E2133">
        <f>Sinistrés!M2138</f>
        <v>39.85</v>
      </c>
      <c r="F2133">
        <f t="shared" si="66"/>
        <v>0</v>
      </c>
      <c r="G2133">
        <f t="shared" si="67"/>
        <v>1</v>
      </c>
    </row>
    <row r="2134" spans="1:7" hidden="1">
      <c r="A2134" t="str">
        <f>Sinistrés!H2139</f>
        <v>Maïs ensilage irrigué</v>
      </c>
      <c r="B2134">
        <f>Sinistrés!J2139</f>
        <v>11232</v>
      </c>
      <c r="C2134">
        <f>Sinistrés!X2139</f>
        <v>0</v>
      </c>
      <c r="D2134">
        <f>Sinistrés!L2139</f>
        <v>5.4</v>
      </c>
      <c r="E2134">
        <f>Sinistrés!M2139</f>
        <v>5.4</v>
      </c>
      <c r="F2134">
        <f t="shared" si="66"/>
        <v>0</v>
      </c>
      <c r="G2134">
        <f t="shared" si="67"/>
        <v>1</v>
      </c>
    </row>
    <row r="2135" spans="1:7" hidden="1">
      <c r="A2135" t="str">
        <f>Sinistrés!H2140</f>
        <v>Maïs grain irrigué</v>
      </c>
      <c r="B2135">
        <f>Sinistrés!J2140</f>
        <v>183207.52</v>
      </c>
      <c r="C2135">
        <f>Sinistrés!X2140</f>
        <v>0</v>
      </c>
      <c r="D2135">
        <f>Sinistrés!L2140</f>
        <v>85.9</v>
      </c>
      <c r="E2135">
        <f>Sinistrés!M2140</f>
        <v>85.9</v>
      </c>
      <c r="F2135">
        <f t="shared" si="66"/>
        <v>0</v>
      </c>
      <c r="G2135">
        <f t="shared" si="67"/>
        <v>1</v>
      </c>
    </row>
    <row r="2136" spans="1:7" hidden="1">
      <c r="A2136" t="str">
        <f>Sinistrés!H2141</f>
        <v>Tournesol</v>
      </c>
      <c r="B2136">
        <f>Sinistrés!J2141</f>
        <v>13435.7</v>
      </c>
      <c r="C2136">
        <f>Sinistrés!X2141</f>
        <v>0</v>
      </c>
      <c r="D2136">
        <f>Sinistrés!L2141</f>
        <v>11.89</v>
      </c>
      <c r="E2136">
        <f>Sinistrés!M2141</f>
        <v>11.89</v>
      </c>
      <c r="F2136">
        <f t="shared" si="66"/>
        <v>0</v>
      </c>
      <c r="G2136">
        <f t="shared" si="67"/>
        <v>1</v>
      </c>
    </row>
    <row r="2137" spans="1:7" hidden="1">
      <c r="A2137" t="str">
        <f>Sinistrés!H2142</f>
        <v>Blé de force</v>
      </c>
      <c r="B2137">
        <f>Sinistrés!J2142</f>
        <v>27573.48</v>
      </c>
      <c r="C2137">
        <f>Sinistrés!X2142</f>
        <v>0</v>
      </c>
      <c r="D2137">
        <f>Sinistrés!L2142</f>
        <v>19.8</v>
      </c>
      <c r="E2137">
        <f>Sinistrés!M2142</f>
        <v>19.8</v>
      </c>
      <c r="F2137">
        <f t="shared" si="66"/>
        <v>0</v>
      </c>
      <c r="G2137">
        <f t="shared" si="67"/>
        <v>1</v>
      </c>
    </row>
    <row r="2138" spans="1:7">
      <c r="A2138" t="str">
        <f>Sinistrés!H2143</f>
        <v>Blé tendre d'hiver</v>
      </c>
      <c r="B2138">
        <f>Sinistrés!J2143</f>
        <v>27852</v>
      </c>
      <c r="C2138">
        <f>Sinistrés!X2143</f>
        <v>4653</v>
      </c>
      <c r="D2138">
        <f>Sinistrés!L2143</f>
        <v>22</v>
      </c>
      <c r="E2138">
        <f>Sinistrés!M2143</f>
        <v>22</v>
      </c>
      <c r="F2138">
        <f t="shared" si="66"/>
        <v>0.16706161137440759</v>
      </c>
      <c r="G2138">
        <f t="shared" si="67"/>
        <v>1</v>
      </c>
    </row>
    <row r="2139" spans="1:7">
      <c r="A2139" t="str">
        <f>Sinistrés!H2144</f>
        <v>Seigle et méteil</v>
      </c>
      <c r="B2139">
        <f>Sinistrés!J2144</f>
        <v>6408</v>
      </c>
      <c r="C2139">
        <f>Sinistrés!X2144</f>
        <v>2109.3000000000002</v>
      </c>
      <c r="D2139">
        <f>Sinistrés!L2144</f>
        <v>13.35</v>
      </c>
      <c r="E2139">
        <f>Sinistrés!M2144</f>
        <v>13.35</v>
      </c>
      <c r="F2139">
        <f t="shared" si="66"/>
        <v>0.32916666666666672</v>
      </c>
      <c r="G2139">
        <f t="shared" si="67"/>
        <v>1</v>
      </c>
    </row>
    <row r="2140" spans="1:7" hidden="1">
      <c r="A2140" t="str">
        <f>Sinistrés!H2145</f>
        <v>Blé tendre d'hiver</v>
      </c>
      <c r="B2140">
        <f>Sinistrés!J2145</f>
        <v>30046.63</v>
      </c>
      <c r="C2140">
        <f>Sinistrés!X2145</f>
        <v>0</v>
      </c>
      <c r="D2140">
        <f>Sinistrés!L2145</f>
        <v>27.48</v>
      </c>
      <c r="E2140">
        <f>Sinistrés!M2145</f>
        <v>27.48</v>
      </c>
      <c r="F2140">
        <f t="shared" si="66"/>
        <v>0</v>
      </c>
      <c r="G2140">
        <f t="shared" si="67"/>
        <v>1</v>
      </c>
    </row>
    <row r="2141" spans="1:7" hidden="1">
      <c r="A2141" t="str">
        <f>Sinistrés!H2146</f>
        <v>Colza d'hiver</v>
      </c>
      <c r="B2141">
        <f>Sinistrés!J2146</f>
        <v>15243.5</v>
      </c>
      <c r="C2141">
        <f>Sinistrés!X2146</f>
        <v>0</v>
      </c>
      <c r="D2141">
        <f>Sinistrés!L2146</f>
        <v>13.99</v>
      </c>
      <c r="E2141">
        <f>Sinistrés!M2146</f>
        <v>13.99</v>
      </c>
      <c r="F2141">
        <f t="shared" si="66"/>
        <v>0</v>
      </c>
      <c r="G2141">
        <f t="shared" si="67"/>
        <v>1</v>
      </c>
    </row>
    <row r="2142" spans="1:7" hidden="1">
      <c r="A2142" t="str">
        <f>Sinistrés!H2147</f>
        <v>Sorgho</v>
      </c>
      <c r="B2142">
        <f>Sinistrés!J2147</f>
        <v>25784.86</v>
      </c>
      <c r="C2142">
        <f>Sinistrés!X2147</f>
        <v>0</v>
      </c>
      <c r="D2142">
        <f>Sinistrés!L2147</f>
        <v>22.67</v>
      </c>
      <c r="E2142">
        <f>Sinistrés!M2147</f>
        <v>12</v>
      </c>
      <c r="F2142">
        <f t="shared" si="66"/>
        <v>0</v>
      </c>
      <c r="G2142">
        <f t="shared" si="67"/>
        <v>0.52933392148213498</v>
      </c>
    </row>
    <row r="2143" spans="1:7" hidden="1">
      <c r="A2143" t="str">
        <f>Sinistrés!H2148</f>
        <v>Blé de force</v>
      </c>
      <c r="B2143">
        <f>Sinistrés!J2148</f>
        <v>31059.34</v>
      </c>
      <c r="C2143">
        <f>Sinistrés!X2148</f>
        <v>0</v>
      </c>
      <c r="D2143">
        <f>Sinistrés!L2148</f>
        <v>20.58</v>
      </c>
      <c r="E2143">
        <f>Sinistrés!M2148</f>
        <v>20.57</v>
      </c>
      <c r="F2143">
        <f t="shared" si="66"/>
        <v>0</v>
      </c>
      <c r="G2143">
        <f t="shared" si="67"/>
        <v>0.99951409135082614</v>
      </c>
    </row>
    <row r="2144" spans="1:7" hidden="1">
      <c r="A2144" t="str">
        <f>Sinistrés!H2149</f>
        <v>Blé tendre d'hiver</v>
      </c>
      <c r="B2144">
        <f>Sinistrés!J2149</f>
        <v>60153.599999999999</v>
      </c>
      <c r="C2144">
        <f>Sinistrés!X2149</f>
        <v>0</v>
      </c>
      <c r="D2144">
        <f>Sinistrés!L2149</f>
        <v>41.6</v>
      </c>
      <c r="E2144">
        <f>Sinistrés!M2149</f>
        <v>41.59</v>
      </c>
      <c r="F2144">
        <f t="shared" si="66"/>
        <v>0</v>
      </c>
      <c r="G2144">
        <f t="shared" si="67"/>
        <v>0.99975961538461544</v>
      </c>
    </row>
    <row r="2145" spans="1:7" hidden="1">
      <c r="A2145" t="str">
        <f>Sinistrés!H2150</f>
        <v>Blé dur d'hiver</v>
      </c>
      <c r="B2145">
        <f>Sinistrés!J2150</f>
        <v>9058.23</v>
      </c>
      <c r="C2145">
        <f>Sinistrés!X2150</f>
        <v>0</v>
      </c>
      <c r="D2145">
        <f>Sinistrés!L2150</f>
        <v>5.3</v>
      </c>
      <c r="E2145">
        <f>Sinistrés!M2150</f>
        <v>5.29</v>
      </c>
      <c r="F2145">
        <f t="shared" si="66"/>
        <v>0</v>
      </c>
      <c r="G2145">
        <f t="shared" si="67"/>
        <v>0.99811320754716981</v>
      </c>
    </row>
    <row r="2146" spans="1:7" hidden="1">
      <c r="A2146" t="str">
        <f>Sinistrés!H2151</f>
        <v>Féveroles et fèves</v>
      </c>
      <c r="B2146">
        <f>Sinistrés!J2151</f>
        <v>1221.44</v>
      </c>
      <c r="C2146">
        <f>Sinistrés!X2151</f>
        <v>0</v>
      </c>
      <c r="D2146">
        <f>Sinistrés!L2151</f>
        <v>3.47</v>
      </c>
      <c r="E2146">
        <f>Sinistrés!M2151</f>
        <v>3.46</v>
      </c>
      <c r="F2146">
        <f t="shared" si="66"/>
        <v>0</v>
      </c>
      <c r="G2146">
        <f t="shared" si="67"/>
        <v>0.99711815561959649</v>
      </c>
    </row>
    <row r="2147" spans="1:7" hidden="1">
      <c r="A2147" t="str">
        <f>Sinistrés!H2152</f>
        <v>Blé tendre d'hiver</v>
      </c>
      <c r="B2147">
        <f>Sinistrés!J2152</f>
        <v>6073.2</v>
      </c>
      <c r="C2147">
        <f>Sinistrés!X2152</f>
        <v>0</v>
      </c>
      <c r="D2147">
        <f>Sinistrés!L2152</f>
        <v>4.2</v>
      </c>
      <c r="E2147">
        <f>Sinistrés!M2152</f>
        <v>4</v>
      </c>
      <c r="F2147">
        <f t="shared" si="66"/>
        <v>0</v>
      </c>
      <c r="G2147">
        <f t="shared" si="67"/>
        <v>0.95238095238095233</v>
      </c>
    </row>
    <row r="2148" spans="1:7" hidden="1">
      <c r="A2148" t="str">
        <f>Sinistrés!H2153</f>
        <v>Blé dur d'hiver</v>
      </c>
      <c r="B2148">
        <f>Sinistrés!J2153</f>
        <v>14202.62</v>
      </c>
      <c r="C2148">
        <f>Sinistrés!X2153</f>
        <v>0</v>
      </c>
      <c r="D2148">
        <f>Sinistrés!L2153</f>
        <v>8.31</v>
      </c>
      <c r="E2148">
        <f>Sinistrés!M2153</f>
        <v>8.2899999999999991</v>
      </c>
      <c r="F2148">
        <f t="shared" si="66"/>
        <v>0</v>
      </c>
      <c r="G2148">
        <f t="shared" si="67"/>
        <v>0.99759326113116709</v>
      </c>
    </row>
    <row r="2149" spans="1:7" hidden="1">
      <c r="A2149" t="str">
        <f>Sinistrés!H2154</f>
        <v>Orge d'hiver</v>
      </c>
      <c r="B2149">
        <f>Sinistrés!J2154</f>
        <v>9066.82</v>
      </c>
      <c r="C2149">
        <f>Sinistrés!X2154</f>
        <v>0</v>
      </c>
      <c r="D2149">
        <f>Sinistrés!L2154</f>
        <v>8.91</v>
      </c>
      <c r="E2149">
        <f>Sinistrés!M2154</f>
        <v>8.8800000000000008</v>
      </c>
      <c r="F2149">
        <f t="shared" si="66"/>
        <v>0</v>
      </c>
      <c r="G2149">
        <f t="shared" si="67"/>
        <v>0.99663299663299676</v>
      </c>
    </row>
    <row r="2150" spans="1:7" hidden="1">
      <c r="A2150" t="str">
        <f>Sinistrés!H2155</f>
        <v>Colza d'hiver</v>
      </c>
      <c r="B2150">
        <f>Sinistrés!J2155</f>
        <v>9232.6299999999992</v>
      </c>
      <c r="C2150">
        <f>Sinistrés!X2155</f>
        <v>0</v>
      </c>
      <c r="D2150">
        <f>Sinistrés!L2155</f>
        <v>6.84</v>
      </c>
      <c r="E2150">
        <f>Sinistrés!M2155</f>
        <v>6.84</v>
      </c>
      <c r="F2150">
        <f t="shared" si="66"/>
        <v>0</v>
      </c>
      <c r="G2150">
        <f t="shared" si="67"/>
        <v>1</v>
      </c>
    </row>
    <row r="2151" spans="1:7" hidden="1">
      <c r="A2151" t="str">
        <f>Sinistrés!H2156</f>
        <v>Soja</v>
      </c>
      <c r="B2151">
        <f>Sinistrés!J2156</f>
        <v>8723.44</v>
      </c>
      <c r="C2151">
        <f>Sinistrés!X2156</f>
        <v>0</v>
      </c>
      <c r="D2151">
        <f>Sinistrés!L2156</f>
        <v>7.66</v>
      </c>
      <c r="E2151">
        <f>Sinistrés!M2156</f>
        <v>7.66</v>
      </c>
      <c r="F2151">
        <f t="shared" si="66"/>
        <v>0</v>
      </c>
      <c r="G2151">
        <f t="shared" si="67"/>
        <v>1</v>
      </c>
    </row>
    <row r="2152" spans="1:7">
      <c r="A2152" t="str">
        <f>Sinistrés!H2157</f>
        <v>Blé dur d'hiver</v>
      </c>
      <c r="B2152">
        <f>Sinistrés!J2157</f>
        <v>13431.6</v>
      </c>
      <c r="C2152">
        <f>Sinistrés!X2157</f>
        <v>1173.31</v>
      </c>
      <c r="D2152">
        <f>Sinistrés!L2157</f>
        <v>10</v>
      </c>
      <c r="E2152">
        <f>Sinistrés!M2157</f>
        <v>10</v>
      </c>
      <c r="F2152">
        <f t="shared" si="66"/>
        <v>8.7354447720301376E-2</v>
      </c>
      <c r="G2152">
        <f t="shared" si="67"/>
        <v>1</v>
      </c>
    </row>
    <row r="2153" spans="1:7">
      <c r="A2153" t="str">
        <f>Sinistrés!H2158</f>
        <v>Tournesol</v>
      </c>
      <c r="B2153">
        <f>Sinistrés!J2158</f>
        <v>11100</v>
      </c>
      <c r="C2153">
        <f>Sinistrés!X2158</f>
        <v>1145.0999999999999</v>
      </c>
      <c r="D2153">
        <f>Sinistrés!L2158</f>
        <v>11.1</v>
      </c>
      <c r="E2153">
        <f>Sinistrés!M2158</f>
        <v>11.1</v>
      </c>
      <c r="F2153">
        <f t="shared" si="66"/>
        <v>0.10316216216216216</v>
      </c>
      <c r="G2153">
        <f t="shared" si="67"/>
        <v>1</v>
      </c>
    </row>
    <row r="2154" spans="1:7">
      <c r="A2154" t="str">
        <f>Sinistrés!H2159</f>
        <v>Maïs grain irrigué</v>
      </c>
      <c r="B2154">
        <f>Sinistrés!J2159</f>
        <v>38900.879999999997</v>
      </c>
      <c r="C2154">
        <f>Sinistrés!X2159</f>
        <v>1724.47</v>
      </c>
      <c r="D2154">
        <f>Sinistrés!L2159</f>
        <v>22.28</v>
      </c>
      <c r="E2154">
        <f>Sinistrés!M2159</f>
        <v>22.28</v>
      </c>
      <c r="F2154">
        <f t="shared" si="66"/>
        <v>4.4329845494497817E-2</v>
      </c>
      <c r="G2154">
        <f t="shared" si="67"/>
        <v>1</v>
      </c>
    </row>
    <row r="2155" spans="1:7">
      <c r="A2155" t="str">
        <f>Sinistrés!H2160</f>
        <v>Soja</v>
      </c>
      <c r="B2155">
        <f>Sinistrés!J2160</f>
        <v>28010.560000000001</v>
      </c>
      <c r="C2155">
        <f>Sinistrés!X2160</f>
        <v>7823.2</v>
      </c>
      <c r="D2155">
        <f>Sinistrés!L2160</f>
        <v>21.68</v>
      </c>
      <c r="E2155">
        <f>Sinistrés!M2160</f>
        <v>21.68</v>
      </c>
      <c r="F2155">
        <f t="shared" si="66"/>
        <v>0.27929466601167557</v>
      </c>
      <c r="G2155">
        <f t="shared" si="67"/>
        <v>1</v>
      </c>
    </row>
    <row r="2156" spans="1:7">
      <c r="A2156" t="str">
        <f>Sinistrés!H2161</f>
        <v>Orge de printemps</v>
      </c>
      <c r="B2156">
        <f>Sinistrés!J2161</f>
        <v>10621.26</v>
      </c>
      <c r="C2156">
        <f>Sinistrés!X2161</f>
        <v>720.8</v>
      </c>
      <c r="D2156">
        <f>Sinistrés!L2161</f>
        <v>11.57</v>
      </c>
      <c r="E2156">
        <f>Sinistrés!M2161</f>
        <v>11.57</v>
      </c>
      <c r="F2156">
        <f t="shared" si="66"/>
        <v>6.7863888088607188E-2</v>
      </c>
      <c r="G2156">
        <f t="shared" si="67"/>
        <v>1</v>
      </c>
    </row>
    <row r="2157" spans="1:7">
      <c r="A2157" t="str">
        <f>Sinistrés!H2162</f>
        <v>Blé de force</v>
      </c>
      <c r="B2157">
        <f>Sinistrés!J2162</f>
        <v>51888.5</v>
      </c>
      <c r="C2157">
        <f>Sinistrés!X2162</f>
        <v>6875.8</v>
      </c>
      <c r="D2157">
        <f>Sinistrés!L2162</f>
        <v>39.25</v>
      </c>
      <c r="E2157">
        <f>Sinistrés!M2162</f>
        <v>39.25</v>
      </c>
      <c r="F2157">
        <f t="shared" si="66"/>
        <v>0.13251105736338495</v>
      </c>
      <c r="G2157">
        <f t="shared" si="67"/>
        <v>1</v>
      </c>
    </row>
    <row r="2158" spans="1:7">
      <c r="A2158" t="str">
        <f>Sinistrés!H2163</f>
        <v>Colza d'hiver</v>
      </c>
      <c r="B2158">
        <f>Sinistrés!J2163</f>
        <v>13991.25</v>
      </c>
      <c r="C2158">
        <f>Sinistrés!X2163</f>
        <v>2550.71</v>
      </c>
      <c r="D2158">
        <f>Sinistrés!L2163</f>
        <v>12.3</v>
      </c>
      <c r="E2158">
        <f>Sinistrés!M2163</f>
        <v>12.3</v>
      </c>
      <c r="F2158">
        <f t="shared" si="66"/>
        <v>0.1823075136245868</v>
      </c>
      <c r="G2158">
        <f t="shared" si="67"/>
        <v>1</v>
      </c>
    </row>
    <row r="2159" spans="1:7">
      <c r="A2159" t="str">
        <f>Sinistrés!H2164</f>
        <v>Maïs grain irrigué</v>
      </c>
      <c r="B2159">
        <f>Sinistrés!J2164</f>
        <v>232344</v>
      </c>
      <c r="C2159">
        <f>Sinistrés!X2164</f>
        <v>24962.6</v>
      </c>
      <c r="D2159">
        <f>Sinistrés!L2164</f>
        <v>82.98</v>
      </c>
      <c r="E2159">
        <f>Sinistrés!M2164</f>
        <v>82.98</v>
      </c>
      <c r="F2159">
        <f t="shared" si="66"/>
        <v>0.10743810901077712</v>
      </c>
      <c r="G2159">
        <f t="shared" si="67"/>
        <v>1</v>
      </c>
    </row>
    <row r="2160" spans="1:7">
      <c r="A2160" t="str">
        <f>Sinistrés!H2165</f>
        <v>Blé tendre d'hiver</v>
      </c>
      <c r="B2160">
        <f>Sinistrés!J2165</f>
        <v>15820</v>
      </c>
      <c r="C2160">
        <f>Sinistrés!X2165</f>
        <v>1921</v>
      </c>
      <c r="D2160">
        <f>Sinistrés!L2165</f>
        <v>11.3</v>
      </c>
      <c r="E2160">
        <f>Sinistrés!M2165</f>
        <v>11.3</v>
      </c>
      <c r="F2160">
        <f t="shared" si="66"/>
        <v>0.12142857142857143</v>
      </c>
      <c r="G2160">
        <f t="shared" si="67"/>
        <v>1</v>
      </c>
    </row>
    <row r="2161" spans="1:7">
      <c r="A2161" t="str">
        <f>Sinistrés!H2166</f>
        <v>Blé dur d'hiver</v>
      </c>
      <c r="B2161">
        <f>Sinistrés!J2166</f>
        <v>9055.2000000000007</v>
      </c>
      <c r="C2161">
        <f>Sinistrés!X2166</f>
        <v>1433.74</v>
      </c>
      <c r="D2161">
        <f>Sinistrés!L2166</f>
        <v>5.39</v>
      </c>
      <c r="E2161">
        <f>Sinistrés!M2166</f>
        <v>5.39</v>
      </c>
      <c r="F2161">
        <f t="shared" si="66"/>
        <v>0.15833333333333333</v>
      </c>
      <c r="G2161">
        <f t="shared" si="67"/>
        <v>1</v>
      </c>
    </row>
    <row r="2162" spans="1:7">
      <c r="A2162" t="str">
        <f>Sinistrés!H2167</f>
        <v>Colza d'hiver</v>
      </c>
      <c r="B2162">
        <f>Sinistrés!J2167</f>
        <v>29152</v>
      </c>
      <c r="C2162">
        <f>Sinistrés!X2167</f>
        <v>8162.56</v>
      </c>
      <c r="D2162">
        <f>Sinistrés!L2167</f>
        <v>18.22</v>
      </c>
      <c r="E2162">
        <f>Sinistrés!M2167</f>
        <v>18.22</v>
      </c>
      <c r="F2162">
        <f t="shared" si="66"/>
        <v>0.28000000000000003</v>
      </c>
      <c r="G2162">
        <f t="shared" si="67"/>
        <v>1</v>
      </c>
    </row>
    <row r="2163" spans="1:7" hidden="1">
      <c r="A2163" t="str">
        <f>Sinistrés!H2168</f>
        <v>Blé tendre d'hiver</v>
      </c>
      <c r="B2163">
        <f>Sinistrés!J2168</f>
        <v>45025.2</v>
      </c>
      <c r="C2163">
        <f>Sinistrés!X2168</f>
        <v>0</v>
      </c>
      <c r="D2163">
        <f>Sinistrés!L2168</f>
        <v>45.48</v>
      </c>
      <c r="E2163">
        <f>Sinistrés!M2168</f>
        <v>7.31</v>
      </c>
      <c r="F2163">
        <f t="shared" si="66"/>
        <v>0</v>
      </c>
      <c r="G2163">
        <f t="shared" si="67"/>
        <v>0.16072999120492523</v>
      </c>
    </row>
    <row r="2164" spans="1:7">
      <c r="A2164" t="str">
        <f>Sinistrés!H2169</f>
        <v>Pois protéagineux</v>
      </c>
      <c r="B2164">
        <f>Sinistrés!J2169</f>
        <v>14710.29</v>
      </c>
      <c r="C2164">
        <f>Sinistrés!X2169</f>
        <v>3640.07</v>
      </c>
      <c r="D2164">
        <f>Sinistrés!L2169</f>
        <v>14.99</v>
      </c>
      <c r="E2164">
        <f>Sinistrés!M2169</f>
        <v>14.99</v>
      </c>
      <c r="F2164">
        <f t="shared" si="66"/>
        <v>0.24745059410793396</v>
      </c>
      <c r="G2164">
        <f t="shared" si="67"/>
        <v>1</v>
      </c>
    </row>
    <row r="2165" spans="1:7" hidden="1">
      <c r="A2165" t="str">
        <f>Sinistrés!H2170</f>
        <v>Blé dur d'hiver</v>
      </c>
      <c r="B2165">
        <f>Sinistrés!J2170</f>
        <v>23786.18</v>
      </c>
      <c r="C2165">
        <f>Sinistrés!X2170</f>
        <v>0</v>
      </c>
      <c r="D2165">
        <f>Sinistrés!L2170</f>
        <v>16.079999999999998</v>
      </c>
      <c r="E2165">
        <f>Sinistrés!M2170</f>
        <v>16.079999999999998</v>
      </c>
      <c r="F2165">
        <f t="shared" si="66"/>
        <v>0</v>
      </c>
      <c r="G2165">
        <f t="shared" si="67"/>
        <v>1</v>
      </c>
    </row>
    <row r="2166" spans="1:7" hidden="1">
      <c r="A2166" t="str">
        <f>Sinistrés!H2171</f>
        <v>Orge d'hiver</v>
      </c>
      <c r="B2166">
        <f>Sinistrés!J2171</f>
        <v>19926.439999999999</v>
      </c>
      <c r="C2166">
        <f>Sinistrés!X2171</f>
        <v>0</v>
      </c>
      <c r="D2166">
        <f>Sinistrés!L2171</f>
        <v>19</v>
      </c>
      <c r="E2166">
        <f>Sinistrés!M2171</f>
        <v>19</v>
      </c>
      <c r="F2166">
        <f t="shared" si="66"/>
        <v>0</v>
      </c>
      <c r="G2166">
        <f t="shared" si="67"/>
        <v>1</v>
      </c>
    </row>
    <row r="2167" spans="1:7" hidden="1">
      <c r="A2167" t="str">
        <f>Sinistrés!H2172</f>
        <v>Colza d'hiver</v>
      </c>
      <c r="B2167">
        <f>Sinistrés!J2172</f>
        <v>30333.8</v>
      </c>
      <c r="C2167">
        <f>Sinistrés!X2172</f>
        <v>0</v>
      </c>
      <c r="D2167">
        <f>Sinistrés!L2172</f>
        <v>22.85</v>
      </c>
      <c r="E2167">
        <f>Sinistrés!M2172</f>
        <v>22.85</v>
      </c>
      <c r="F2167">
        <f t="shared" si="66"/>
        <v>0</v>
      </c>
      <c r="G2167">
        <f t="shared" si="67"/>
        <v>1</v>
      </c>
    </row>
    <row r="2168" spans="1:7">
      <c r="A2168" t="str">
        <f>Sinistrés!H2173</f>
        <v>Blé dur d'hiver</v>
      </c>
      <c r="B2168">
        <f>Sinistrés!J2173</f>
        <v>14772.12</v>
      </c>
      <c r="C2168">
        <f>Sinistrés!X2173</f>
        <v>1554.07</v>
      </c>
      <c r="D2168">
        <f>Sinistrés!L2173</f>
        <v>12.4</v>
      </c>
      <c r="E2168">
        <f>Sinistrés!M2173</f>
        <v>12.4</v>
      </c>
      <c r="F2168">
        <f t="shared" si="66"/>
        <v>0.10520290926420851</v>
      </c>
      <c r="G2168">
        <f t="shared" si="67"/>
        <v>1</v>
      </c>
    </row>
    <row r="2169" spans="1:7" hidden="1">
      <c r="A2169" t="str">
        <f>Sinistrés!H2174</f>
        <v>Blé dur d'hiver</v>
      </c>
      <c r="B2169">
        <f>Sinistrés!J2174</f>
        <v>5956.5</v>
      </c>
      <c r="C2169">
        <f>Sinistrés!X2174</f>
        <v>0</v>
      </c>
      <c r="D2169">
        <f>Sinistrés!L2174</f>
        <v>5</v>
      </c>
      <c r="E2169">
        <f>Sinistrés!M2174</f>
        <v>5</v>
      </c>
      <c r="F2169">
        <f t="shared" si="66"/>
        <v>0</v>
      </c>
      <c r="G2169">
        <f t="shared" si="67"/>
        <v>1</v>
      </c>
    </row>
    <row r="2170" spans="1:7">
      <c r="A2170" t="str">
        <f>Sinistrés!H2175</f>
        <v>Blé tendre d'hiver</v>
      </c>
      <c r="B2170">
        <f>Sinistrés!J2175</f>
        <v>18328.05</v>
      </c>
      <c r="C2170">
        <f>Sinistrés!X2175</f>
        <v>881.16</v>
      </c>
      <c r="D2170">
        <f>Sinistrés!L2175</f>
        <v>16.899999999999999</v>
      </c>
      <c r="E2170">
        <f>Sinistrés!M2175</f>
        <v>16.899999999999999</v>
      </c>
      <c r="F2170">
        <f t="shared" si="66"/>
        <v>4.8077127681340898E-2</v>
      </c>
      <c r="G2170">
        <f t="shared" si="67"/>
        <v>1</v>
      </c>
    </row>
    <row r="2171" spans="1:7">
      <c r="A2171" t="str">
        <f>Sinistrés!H2176</f>
        <v>Orge de printemps</v>
      </c>
      <c r="B2171">
        <f>Sinistrés!J2176</f>
        <v>11278.5</v>
      </c>
      <c r="C2171">
        <f>Sinistrés!X2176</f>
        <v>2172.61</v>
      </c>
      <c r="D2171">
        <f>Sinistrés!L2176</f>
        <v>10.3</v>
      </c>
      <c r="E2171">
        <f>Sinistrés!M2176</f>
        <v>10.3</v>
      </c>
      <c r="F2171">
        <f t="shared" si="66"/>
        <v>0.19263288557875605</v>
      </c>
      <c r="G2171">
        <f t="shared" si="67"/>
        <v>1</v>
      </c>
    </row>
    <row r="2172" spans="1:7" hidden="1">
      <c r="A2172" t="str">
        <f>Sinistrés!H2177</f>
        <v>Colza d'hiver</v>
      </c>
      <c r="B2172">
        <f>Sinistrés!J2177</f>
        <v>15669.86</v>
      </c>
      <c r="C2172">
        <f>Sinistrés!X2177</f>
        <v>0</v>
      </c>
      <c r="D2172">
        <f>Sinistrés!L2177</f>
        <v>14.33</v>
      </c>
      <c r="E2172">
        <f>Sinistrés!M2177</f>
        <v>14.33</v>
      </c>
      <c r="F2172">
        <f t="shared" si="66"/>
        <v>0</v>
      </c>
      <c r="G2172">
        <f t="shared" si="67"/>
        <v>1</v>
      </c>
    </row>
    <row r="2173" spans="1:7">
      <c r="A2173" t="str">
        <f>Sinistrés!H2178</f>
        <v>Blé de force</v>
      </c>
      <c r="B2173">
        <f>Sinistrés!J2178</f>
        <v>14471.6</v>
      </c>
      <c r="C2173">
        <f>Sinistrés!X2178</f>
        <v>2183.9</v>
      </c>
      <c r="D2173">
        <f>Sinistrés!L2178</f>
        <v>11.96</v>
      </c>
      <c r="E2173">
        <f>Sinistrés!M2178</f>
        <v>11.96</v>
      </c>
      <c r="F2173">
        <f t="shared" si="66"/>
        <v>0.15090936731252938</v>
      </c>
      <c r="G2173">
        <f t="shared" si="67"/>
        <v>1</v>
      </c>
    </row>
    <row r="2174" spans="1:7">
      <c r="A2174" t="str">
        <f>Sinistrés!H2179</f>
        <v>Orge d'hiver</v>
      </c>
      <c r="B2174">
        <f>Sinistrés!J2179</f>
        <v>11252.8</v>
      </c>
      <c r="C2174">
        <f>Sinistrés!X2179</f>
        <v>1428.24</v>
      </c>
      <c r="D2174">
        <f>Sinistrés!L2179</f>
        <v>10.82</v>
      </c>
      <c r="E2174">
        <f>Sinistrés!M2179</f>
        <v>10.82</v>
      </c>
      <c r="F2174">
        <f t="shared" si="66"/>
        <v>0.12692307692307694</v>
      </c>
      <c r="G2174">
        <f t="shared" si="67"/>
        <v>1</v>
      </c>
    </row>
    <row r="2175" spans="1:7" hidden="1">
      <c r="A2175" t="str">
        <f>Sinistrés!H2180</f>
        <v>Blé tendre d'hiver</v>
      </c>
      <c r="B2175">
        <f>Sinistrés!J2180</f>
        <v>20239.8</v>
      </c>
      <c r="C2175">
        <f>Sinistrés!X2180</f>
        <v>0</v>
      </c>
      <c r="D2175">
        <f>Sinistrés!L2180</f>
        <v>18.3</v>
      </c>
      <c r="E2175">
        <f>Sinistrés!M2180</f>
        <v>18.3</v>
      </c>
      <c r="F2175">
        <f t="shared" si="66"/>
        <v>0</v>
      </c>
      <c r="G2175">
        <f t="shared" si="67"/>
        <v>1</v>
      </c>
    </row>
    <row r="2176" spans="1:7" hidden="1">
      <c r="A2176" t="str">
        <f>Sinistrés!H2181</f>
        <v>Maïs grain non irrigué</v>
      </c>
      <c r="B2176">
        <f>Sinistrés!J2181</f>
        <v>168590.4</v>
      </c>
      <c r="C2176">
        <f>Sinistrés!X2181</f>
        <v>0</v>
      </c>
      <c r="D2176">
        <f>Sinistrés!L2181</f>
        <v>80</v>
      </c>
      <c r="E2176">
        <f>Sinistrés!M2181</f>
        <v>2</v>
      </c>
      <c r="F2176">
        <f t="shared" si="66"/>
        <v>0</v>
      </c>
      <c r="G2176">
        <f t="shared" si="67"/>
        <v>2.5000000000000001E-2</v>
      </c>
    </row>
    <row r="2177" spans="1:7" hidden="1">
      <c r="A2177" t="str">
        <f>Sinistrés!H2182</f>
        <v>Maïs grain non irrigué</v>
      </c>
      <c r="B2177">
        <f>Sinistrés!J2182</f>
        <v>11708.64</v>
      </c>
      <c r="C2177">
        <f>Sinistrés!X2182</f>
        <v>0</v>
      </c>
      <c r="D2177">
        <f>Sinistrés!L2182</f>
        <v>7.54</v>
      </c>
      <c r="E2177">
        <f>Sinistrés!M2182</f>
        <v>0.85</v>
      </c>
      <c r="F2177">
        <f t="shared" si="66"/>
        <v>0</v>
      </c>
      <c r="G2177">
        <f t="shared" si="67"/>
        <v>0.11273209549071618</v>
      </c>
    </row>
    <row r="2178" spans="1:7" hidden="1">
      <c r="A2178" t="str">
        <f>Sinistrés!H2183</f>
        <v>Tournesol</v>
      </c>
      <c r="B2178">
        <f>Sinistrés!J2183</f>
        <v>13175.35</v>
      </c>
      <c r="C2178">
        <f>Sinistrés!X2183</f>
        <v>0</v>
      </c>
      <c r="D2178">
        <f>Sinistrés!L2183</f>
        <v>11.11</v>
      </c>
      <c r="E2178">
        <f>Sinistrés!M2183</f>
        <v>7.78</v>
      </c>
      <c r="F2178">
        <f t="shared" si="66"/>
        <v>0</v>
      </c>
      <c r="G2178">
        <f t="shared" si="67"/>
        <v>0.70027002700270036</v>
      </c>
    </row>
    <row r="2179" spans="1:7" hidden="1">
      <c r="A2179" t="str">
        <f>Sinistrés!H2184</f>
        <v>Blé tendre d'hiver</v>
      </c>
      <c r="B2179">
        <f>Sinistrés!J2184</f>
        <v>85823.73</v>
      </c>
      <c r="C2179">
        <f>Sinistrés!X2184</f>
        <v>0</v>
      </c>
      <c r="D2179">
        <f>Sinistrés!L2184</f>
        <v>78.55</v>
      </c>
      <c r="E2179">
        <f>Sinistrés!M2184</f>
        <v>8.7899999999999991</v>
      </c>
      <c r="F2179">
        <f t="shared" ref="F2179:F2242" si="68">C2179/B2179</f>
        <v>0</v>
      </c>
      <c r="G2179">
        <f t="shared" ref="G2179:G2242" si="69">E2179/D2179</f>
        <v>0.11190324633991088</v>
      </c>
    </row>
    <row r="2180" spans="1:7" hidden="1">
      <c r="A2180" t="str">
        <f>Sinistrés!H2185</f>
        <v>Blé tendre d'hiver</v>
      </c>
      <c r="B2180">
        <f>Sinistrés!J2185</f>
        <v>59398.52</v>
      </c>
      <c r="C2180">
        <f>Sinistrés!X2185</f>
        <v>0</v>
      </c>
      <c r="D2180">
        <f>Sinistrés!L2185</f>
        <v>59.7</v>
      </c>
      <c r="E2180">
        <f>Sinistrés!M2185</f>
        <v>59.7</v>
      </c>
      <c r="F2180">
        <f t="shared" si="68"/>
        <v>0</v>
      </c>
      <c r="G2180">
        <f t="shared" si="69"/>
        <v>1</v>
      </c>
    </row>
    <row r="2181" spans="1:7" hidden="1">
      <c r="A2181" t="str">
        <f>Sinistrés!H2186</f>
        <v>Colza d'hiver</v>
      </c>
      <c r="B2181">
        <f>Sinistrés!J2186</f>
        <v>27573.29</v>
      </c>
      <c r="C2181">
        <f>Sinistrés!X2186</f>
        <v>0</v>
      </c>
      <c r="D2181">
        <f>Sinistrés!L2186</f>
        <v>22.89</v>
      </c>
      <c r="E2181">
        <f>Sinistrés!M2186</f>
        <v>22.89</v>
      </c>
      <c r="F2181">
        <f t="shared" si="68"/>
        <v>0</v>
      </c>
      <c r="G2181">
        <f t="shared" si="69"/>
        <v>1</v>
      </c>
    </row>
    <row r="2182" spans="1:7" hidden="1">
      <c r="A2182" t="str">
        <f>Sinistrés!H2187</f>
        <v>Orge d'hiver</v>
      </c>
      <c r="B2182">
        <f>Sinistrés!J2187</f>
        <v>32930.339999999997</v>
      </c>
      <c r="C2182">
        <f>Sinistrés!X2187</f>
        <v>0</v>
      </c>
      <c r="D2182">
        <f>Sinistrés!L2187</f>
        <v>39.86</v>
      </c>
      <c r="E2182">
        <f>Sinistrés!M2187</f>
        <v>39.86</v>
      </c>
      <c r="F2182">
        <f t="shared" si="68"/>
        <v>0</v>
      </c>
      <c r="G2182">
        <f t="shared" si="69"/>
        <v>1</v>
      </c>
    </row>
    <row r="2183" spans="1:7">
      <c r="A2183" t="str">
        <f>Sinistrés!H2188</f>
        <v>Orge d'hiver</v>
      </c>
      <c r="B2183">
        <f>Sinistrés!J2188</f>
        <v>8062.59</v>
      </c>
      <c r="C2183">
        <f>Sinistrés!X2188</f>
        <v>862.58</v>
      </c>
      <c r="D2183">
        <f>Sinistrés!L2188</f>
        <v>7.7</v>
      </c>
      <c r="E2183">
        <f>Sinistrés!M2188</f>
        <v>7.6</v>
      </c>
      <c r="F2183">
        <f t="shared" si="68"/>
        <v>0.10698547241023046</v>
      </c>
      <c r="G2183">
        <f t="shared" si="69"/>
        <v>0.9870129870129869</v>
      </c>
    </row>
    <row r="2184" spans="1:7">
      <c r="A2184" t="str">
        <f>Sinistrés!H2189</f>
        <v>Soja</v>
      </c>
      <c r="B2184">
        <f>Sinistrés!J2189</f>
        <v>7380</v>
      </c>
      <c r="C2184">
        <f>Sinistrés!X2189</f>
        <v>1402.32</v>
      </c>
      <c r="D2184">
        <f>Sinistrés!L2189</f>
        <v>6</v>
      </c>
      <c r="E2184">
        <f>Sinistrés!M2189</f>
        <v>6</v>
      </c>
      <c r="F2184">
        <f t="shared" si="68"/>
        <v>0.19001626016260162</v>
      </c>
      <c r="G2184">
        <f t="shared" si="69"/>
        <v>1</v>
      </c>
    </row>
    <row r="2185" spans="1:7" hidden="1">
      <c r="A2185" t="str">
        <f>Sinistrés!H2190</f>
        <v>Maïs grain non irrigué</v>
      </c>
      <c r="B2185">
        <f>Sinistrés!J2190</f>
        <v>97442.38</v>
      </c>
      <c r="C2185">
        <f>Sinistrés!X2190</f>
        <v>0</v>
      </c>
      <c r="D2185">
        <f>Sinistrés!L2190</f>
        <v>43.05</v>
      </c>
      <c r="E2185">
        <f>Sinistrés!M2190</f>
        <v>35</v>
      </c>
      <c r="F2185">
        <f t="shared" si="68"/>
        <v>0</v>
      </c>
      <c r="G2185">
        <f t="shared" si="69"/>
        <v>0.81300813008130091</v>
      </c>
    </row>
    <row r="2186" spans="1:7" hidden="1">
      <c r="A2186" t="str">
        <f>Sinistrés!H2191</f>
        <v>Maïs pop corn irrigué</v>
      </c>
      <c r="B2186">
        <f>Sinistrés!J2191</f>
        <v>12750.1</v>
      </c>
      <c r="C2186">
        <f>Sinistrés!X2191</f>
        <v>0</v>
      </c>
      <c r="D2186">
        <f>Sinistrés!L2191</f>
        <v>6.7</v>
      </c>
      <c r="E2186">
        <f>Sinistrés!M2191</f>
        <v>6.7</v>
      </c>
      <c r="F2186">
        <f t="shared" si="68"/>
        <v>0</v>
      </c>
      <c r="G2186">
        <f t="shared" si="69"/>
        <v>1</v>
      </c>
    </row>
    <row r="2187" spans="1:7" hidden="1">
      <c r="A2187" t="str">
        <f>Sinistrés!H2192</f>
        <v>Maïs grain irrigué</v>
      </c>
      <c r="B2187">
        <f>Sinistrés!J2192</f>
        <v>33516</v>
      </c>
      <c r="C2187">
        <f>Sinistrés!X2192</f>
        <v>0</v>
      </c>
      <c r="D2187">
        <f>Sinistrés!L2192</f>
        <v>14.7</v>
      </c>
      <c r="E2187">
        <f>Sinistrés!M2192</f>
        <v>14.7</v>
      </c>
      <c r="F2187">
        <f t="shared" si="68"/>
        <v>0</v>
      </c>
      <c r="G2187">
        <f t="shared" si="69"/>
        <v>1</v>
      </c>
    </row>
    <row r="2188" spans="1:7" hidden="1">
      <c r="A2188" t="str">
        <f>Sinistrés!H2193</f>
        <v>Tournesol</v>
      </c>
      <c r="B2188">
        <f>Sinistrés!J2193</f>
        <v>14292.6</v>
      </c>
      <c r="C2188">
        <f>Sinistrés!X2193</f>
        <v>0</v>
      </c>
      <c r="D2188">
        <f>Sinistrés!L2193</f>
        <v>11.48</v>
      </c>
      <c r="E2188">
        <f>Sinistrés!M2193</f>
        <v>11</v>
      </c>
      <c r="F2188">
        <f t="shared" si="68"/>
        <v>0</v>
      </c>
      <c r="G2188">
        <f t="shared" si="69"/>
        <v>0.95818815331010454</v>
      </c>
    </row>
    <row r="2189" spans="1:7">
      <c r="A2189" t="str">
        <f>Sinistrés!H2194</f>
        <v>Blé tendre d'hiver</v>
      </c>
      <c r="B2189">
        <f>Sinistrés!J2194</f>
        <v>56740.46</v>
      </c>
      <c r="C2189">
        <f>Sinistrés!X2194</f>
        <v>190.78</v>
      </c>
      <c r="D2189">
        <f>Sinistrés!L2194</f>
        <v>51.4</v>
      </c>
      <c r="E2189">
        <f>Sinistrés!M2194</f>
        <v>12</v>
      </c>
      <c r="F2189">
        <f t="shared" si="68"/>
        <v>3.3623273410190893E-3</v>
      </c>
      <c r="G2189">
        <f t="shared" si="69"/>
        <v>0.23346303501945526</v>
      </c>
    </row>
    <row r="2190" spans="1:7" hidden="1">
      <c r="A2190" t="str">
        <f>Sinistrés!H2195</f>
        <v>Soja</v>
      </c>
      <c r="B2190">
        <f>Sinistrés!J2195</f>
        <v>2950.81</v>
      </c>
      <c r="C2190">
        <f>Sinistrés!X2195</f>
        <v>0</v>
      </c>
      <c r="D2190">
        <f>Sinistrés!L2195</f>
        <v>6.32</v>
      </c>
      <c r="E2190">
        <f>Sinistrés!M2195</f>
        <v>6</v>
      </c>
      <c r="F2190">
        <f t="shared" si="68"/>
        <v>0</v>
      </c>
      <c r="G2190">
        <f t="shared" si="69"/>
        <v>0.94936708860759489</v>
      </c>
    </row>
    <row r="2191" spans="1:7" hidden="1">
      <c r="A2191" t="str">
        <f>Sinistrés!H2196</f>
        <v xml:space="preserve">Maïs waxy irrigué </v>
      </c>
      <c r="B2191">
        <f>Sinistrés!J2196</f>
        <v>12928.3</v>
      </c>
      <c r="C2191">
        <f>Sinistrés!X2196</f>
        <v>0</v>
      </c>
      <c r="D2191">
        <f>Sinistrés!L2196</f>
        <v>7.3</v>
      </c>
      <c r="E2191">
        <f>Sinistrés!M2196</f>
        <v>7</v>
      </c>
      <c r="F2191">
        <f t="shared" si="68"/>
        <v>0</v>
      </c>
      <c r="G2191">
        <f t="shared" si="69"/>
        <v>0.95890410958904115</v>
      </c>
    </row>
    <row r="2192" spans="1:7" hidden="1">
      <c r="A2192" t="str">
        <f>Sinistrés!H2197</f>
        <v xml:space="preserve">Maïs waxy non irrigué </v>
      </c>
      <c r="B2192">
        <f>Sinistrés!J2197</f>
        <v>12768.91</v>
      </c>
      <c r="C2192">
        <f>Sinistrés!X2197</f>
        <v>0</v>
      </c>
      <c r="D2192">
        <f>Sinistrés!L2197</f>
        <v>11.33</v>
      </c>
      <c r="E2192">
        <f>Sinistrés!M2197</f>
        <v>11</v>
      </c>
      <c r="F2192">
        <f t="shared" si="68"/>
        <v>0</v>
      </c>
      <c r="G2192">
        <f t="shared" si="69"/>
        <v>0.970873786407767</v>
      </c>
    </row>
    <row r="2193" spans="1:7" hidden="1">
      <c r="A2193" t="str">
        <f>Sinistrés!H2198</f>
        <v>Blé tendre d'hiver BIO</v>
      </c>
      <c r="B2193">
        <f>Sinistrés!J2198</f>
        <v>53083.16</v>
      </c>
      <c r="C2193">
        <f>Sinistrés!X2198</f>
        <v>0</v>
      </c>
      <c r="D2193">
        <f>Sinistrés!L2198</f>
        <v>40.299999999999997</v>
      </c>
      <c r="E2193">
        <f>Sinistrés!M2198</f>
        <v>40.340000000000003</v>
      </c>
      <c r="F2193">
        <f t="shared" si="68"/>
        <v>0</v>
      </c>
      <c r="G2193">
        <f t="shared" si="69"/>
        <v>1.0009925558312656</v>
      </c>
    </row>
    <row r="2194" spans="1:7" hidden="1">
      <c r="A2194" t="str">
        <f>Sinistrés!H2199</f>
        <v>Orge d'hiver BIO</v>
      </c>
      <c r="B2194">
        <f>Sinistrés!J2199</f>
        <v>10679.76</v>
      </c>
      <c r="C2194">
        <f>Sinistrés!X2199</f>
        <v>0</v>
      </c>
      <c r="D2194">
        <f>Sinistrés!L2199</f>
        <v>11.7</v>
      </c>
      <c r="E2194">
        <f>Sinistrés!M2199</f>
        <v>11.68</v>
      </c>
      <c r="F2194">
        <f t="shared" si="68"/>
        <v>0</v>
      </c>
      <c r="G2194">
        <f t="shared" si="69"/>
        <v>0.9982905982905983</v>
      </c>
    </row>
    <row r="2195" spans="1:7">
      <c r="A2195" t="str">
        <f>Sinistrés!H2200</f>
        <v>Tournesol</v>
      </c>
      <c r="B2195">
        <f>Sinistrés!J2200</f>
        <v>13400</v>
      </c>
      <c r="C2195">
        <f>Sinistrés!X2200</f>
        <v>1089.4000000000001</v>
      </c>
      <c r="D2195">
        <f>Sinistrés!L2200</f>
        <v>13.4</v>
      </c>
      <c r="E2195">
        <f>Sinistrés!M2200</f>
        <v>13.4</v>
      </c>
      <c r="F2195">
        <f t="shared" si="68"/>
        <v>8.1298507462686576E-2</v>
      </c>
      <c r="G2195">
        <f t="shared" si="69"/>
        <v>1</v>
      </c>
    </row>
    <row r="2196" spans="1:7" hidden="1">
      <c r="A2196" t="str">
        <f>Sinistrés!H2201</f>
        <v>Maïs grain non irrigué</v>
      </c>
      <c r="B2196">
        <f>Sinistrés!J2201</f>
        <v>114420.18</v>
      </c>
      <c r="C2196">
        <f>Sinistrés!X2201</f>
        <v>0</v>
      </c>
      <c r="D2196">
        <f>Sinistrés!L2201</f>
        <v>61.22</v>
      </c>
      <c r="E2196">
        <f>Sinistrés!M2201</f>
        <v>61.22</v>
      </c>
      <c r="F2196">
        <f t="shared" si="68"/>
        <v>0</v>
      </c>
      <c r="G2196">
        <f t="shared" si="69"/>
        <v>1</v>
      </c>
    </row>
    <row r="2197" spans="1:7">
      <c r="A2197" t="str">
        <f>Sinistrés!H2202</f>
        <v>Blé tendre d'hiver</v>
      </c>
      <c r="B2197">
        <f>Sinistrés!J2202</f>
        <v>33878.11</v>
      </c>
      <c r="C2197">
        <f>Sinistrés!X2202</f>
        <v>1545.99</v>
      </c>
      <c r="D2197">
        <f>Sinistrés!L2202</f>
        <v>29.49</v>
      </c>
      <c r="E2197">
        <f>Sinistrés!M2202</f>
        <v>29.49</v>
      </c>
      <c r="F2197">
        <f t="shared" si="68"/>
        <v>4.5633891619101537E-2</v>
      </c>
      <c r="G2197">
        <f t="shared" si="69"/>
        <v>1</v>
      </c>
    </row>
    <row r="2198" spans="1:7">
      <c r="A2198" t="str">
        <f>Sinistrés!H2203</f>
        <v>Pois protéagineux</v>
      </c>
      <c r="B2198">
        <f>Sinistrés!J2203</f>
        <v>7835.76</v>
      </c>
      <c r="C2198">
        <f>Sinistrés!X2203</f>
        <v>1569.47</v>
      </c>
      <c r="D2198">
        <f>Sinistrés!L2203</f>
        <v>12.14</v>
      </c>
      <c r="E2198">
        <f>Sinistrés!M2203</f>
        <v>12.14</v>
      </c>
      <c r="F2198">
        <f t="shared" si="68"/>
        <v>0.20029582325135023</v>
      </c>
      <c r="G2198">
        <f t="shared" si="69"/>
        <v>1</v>
      </c>
    </row>
    <row r="2199" spans="1:7">
      <c r="A2199" t="str">
        <f>Sinistrés!H2204</f>
        <v>Blé tendre d'hiver</v>
      </c>
      <c r="B2199">
        <f>Sinistrés!J2204</f>
        <v>52780.15</v>
      </c>
      <c r="C2199">
        <f>Sinistrés!X2204</f>
        <v>3449.88</v>
      </c>
      <c r="D2199">
        <f>Sinistrés!L2204</f>
        <v>42.61</v>
      </c>
      <c r="E2199">
        <f>Sinistrés!M2204</f>
        <v>13.76</v>
      </c>
      <c r="F2199">
        <f t="shared" si="68"/>
        <v>6.5363209464164088E-2</v>
      </c>
      <c r="G2199">
        <f t="shared" si="69"/>
        <v>0.32292888993194085</v>
      </c>
    </row>
    <row r="2200" spans="1:7">
      <c r="A2200" t="str">
        <f>Sinistrés!H2205</f>
        <v>Blé de force</v>
      </c>
      <c r="B2200">
        <f>Sinistrés!J2205</f>
        <v>8890.2000000000007</v>
      </c>
      <c r="C2200">
        <f>Sinistrés!X2205</f>
        <v>2972.38</v>
      </c>
      <c r="D2200">
        <f>Sinistrés!L2205</f>
        <v>8.98</v>
      </c>
      <c r="E2200">
        <f>Sinistrés!M2205</f>
        <v>8.98</v>
      </c>
      <c r="F2200">
        <f t="shared" si="68"/>
        <v>0.33434343434343433</v>
      </c>
      <c r="G2200">
        <f t="shared" si="69"/>
        <v>1</v>
      </c>
    </row>
    <row r="2201" spans="1:7">
      <c r="A2201" t="str">
        <f>Sinistrés!H2206</f>
        <v>Blé tendre d'hiver</v>
      </c>
      <c r="B2201">
        <f>Sinistrés!J2206</f>
        <v>71201.88</v>
      </c>
      <c r="C2201">
        <f>Sinistrés!X2206</f>
        <v>16124.41</v>
      </c>
      <c r="D2201">
        <f>Sinistrés!L2206</f>
        <v>61.17</v>
      </c>
      <c r="E2201">
        <f>Sinistrés!M2206</f>
        <v>61.17</v>
      </c>
      <c r="F2201">
        <f t="shared" si="68"/>
        <v>0.22646045301051038</v>
      </c>
      <c r="G2201">
        <f t="shared" si="69"/>
        <v>1</v>
      </c>
    </row>
    <row r="2202" spans="1:7" hidden="1">
      <c r="A2202" t="str">
        <f>Sinistrés!H2207</f>
        <v>Colza d'hiver SEMENCES</v>
      </c>
      <c r="B2202">
        <f>Sinistrés!J2207</f>
        <v>17248</v>
      </c>
      <c r="C2202">
        <f>Sinistrés!X2207</f>
        <v>10348.799999999999</v>
      </c>
      <c r="D2202">
        <f>Sinistrés!L2207</f>
        <v>15.4</v>
      </c>
      <c r="E2202">
        <f>Sinistrés!M2207</f>
        <v>15.4</v>
      </c>
      <c r="F2202">
        <f t="shared" si="68"/>
        <v>0.6</v>
      </c>
      <c r="G2202">
        <f t="shared" si="69"/>
        <v>1</v>
      </c>
    </row>
    <row r="2203" spans="1:7" hidden="1">
      <c r="A2203" t="str">
        <f>Sinistrés!H2208</f>
        <v>Maïs grain irrigué</v>
      </c>
      <c r="B2203">
        <f>Sinistrés!J2208</f>
        <v>50088.22</v>
      </c>
      <c r="C2203">
        <f>Sinistrés!X2208</f>
        <v>0</v>
      </c>
      <c r="D2203">
        <f>Sinistrés!L2208</f>
        <v>26.39</v>
      </c>
      <c r="E2203">
        <f>Sinistrés!M2208</f>
        <v>26.39</v>
      </c>
      <c r="F2203">
        <f t="shared" si="68"/>
        <v>0</v>
      </c>
      <c r="G2203">
        <f t="shared" si="69"/>
        <v>1</v>
      </c>
    </row>
    <row r="2204" spans="1:7" hidden="1">
      <c r="A2204" t="str">
        <f>Sinistrés!H2209</f>
        <v>Maïs grain non irrigué</v>
      </c>
      <c r="B2204">
        <f>Sinistrés!J2209</f>
        <v>19223.400000000001</v>
      </c>
      <c r="C2204">
        <f>Sinistrés!X2209</f>
        <v>0</v>
      </c>
      <c r="D2204">
        <f>Sinistrés!L2209</f>
        <v>13.93</v>
      </c>
      <c r="E2204">
        <f>Sinistrés!M2209</f>
        <v>13.93</v>
      </c>
      <c r="F2204">
        <f t="shared" si="68"/>
        <v>0</v>
      </c>
      <c r="G2204">
        <f t="shared" si="69"/>
        <v>1</v>
      </c>
    </row>
    <row r="2205" spans="1:7" hidden="1">
      <c r="A2205" t="str">
        <f>Sinistrés!H2210</f>
        <v>Tournesol</v>
      </c>
      <c r="B2205">
        <f>Sinistrés!J2210</f>
        <v>70994.28</v>
      </c>
      <c r="C2205">
        <f>Sinistrés!X2210</f>
        <v>0</v>
      </c>
      <c r="D2205">
        <f>Sinistrés!L2210</f>
        <v>56.85</v>
      </c>
      <c r="E2205">
        <f>Sinistrés!M2210</f>
        <v>56.85</v>
      </c>
      <c r="F2205">
        <f t="shared" si="68"/>
        <v>0</v>
      </c>
      <c r="G2205">
        <f t="shared" si="69"/>
        <v>1</v>
      </c>
    </row>
    <row r="2206" spans="1:7" hidden="1">
      <c r="A2206" t="str">
        <f>Sinistrés!H2211</f>
        <v>Tournesol</v>
      </c>
      <c r="B2206">
        <f>Sinistrés!J2211</f>
        <v>8168.92</v>
      </c>
      <c r="C2206">
        <f>Sinistrés!X2211</f>
        <v>0</v>
      </c>
      <c r="D2206">
        <f>Sinistrés!L2211</f>
        <v>8.86</v>
      </c>
      <c r="E2206">
        <f>Sinistrés!M2211</f>
        <v>8.86</v>
      </c>
      <c r="F2206">
        <f t="shared" si="68"/>
        <v>0</v>
      </c>
      <c r="G2206">
        <f t="shared" si="69"/>
        <v>1</v>
      </c>
    </row>
    <row r="2207" spans="1:7" hidden="1">
      <c r="A2207" t="str">
        <f>Sinistrés!H2212</f>
        <v>Blé de force</v>
      </c>
      <c r="B2207">
        <f>Sinistrés!J2212</f>
        <v>3930.92</v>
      </c>
      <c r="C2207">
        <f>Sinistrés!X2212</f>
        <v>0</v>
      </c>
      <c r="D2207">
        <f>Sinistrés!L2212</f>
        <v>4.04</v>
      </c>
      <c r="E2207">
        <f>Sinistrés!M2212</f>
        <v>4.04</v>
      </c>
      <c r="F2207">
        <f t="shared" si="68"/>
        <v>0</v>
      </c>
      <c r="G2207">
        <f t="shared" si="69"/>
        <v>1</v>
      </c>
    </row>
    <row r="2208" spans="1:7" hidden="1">
      <c r="A2208" t="str">
        <f>Sinistrés!H2213</f>
        <v>Blé tendre d'hiver</v>
      </c>
      <c r="B2208">
        <f>Sinistrés!J2213</f>
        <v>25470.720000000001</v>
      </c>
      <c r="C2208">
        <f>Sinistrés!X2213</f>
        <v>0</v>
      </c>
      <c r="D2208">
        <f>Sinistrés!L2213</f>
        <v>26.4</v>
      </c>
      <c r="E2208">
        <f>Sinistrés!M2213</f>
        <v>26.4</v>
      </c>
      <c r="F2208">
        <f t="shared" si="68"/>
        <v>0</v>
      </c>
      <c r="G2208">
        <f t="shared" si="69"/>
        <v>1</v>
      </c>
    </row>
    <row r="2209" spans="1:7" hidden="1">
      <c r="A2209" t="str">
        <f>Sinistrés!H2214</f>
        <v>Orge d'hiver</v>
      </c>
      <c r="B2209">
        <f>Sinistrés!J2214</f>
        <v>6659.84</v>
      </c>
      <c r="C2209">
        <f>Sinistrés!X2214</f>
        <v>0</v>
      </c>
      <c r="D2209">
        <f>Sinistrés!L2214</f>
        <v>8.33</v>
      </c>
      <c r="E2209">
        <f>Sinistrés!M2214</f>
        <v>8.33</v>
      </c>
      <c r="F2209">
        <f t="shared" si="68"/>
        <v>0</v>
      </c>
      <c r="G2209">
        <f t="shared" si="69"/>
        <v>1</v>
      </c>
    </row>
    <row r="2210" spans="1:7">
      <c r="A2210" t="str">
        <f>Sinistrés!H2215</f>
        <v>Orge de printemps</v>
      </c>
      <c r="B2210">
        <f>Sinistrés!J2215</f>
        <v>5778.43</v>
      </c>
      <c r="C2210">
        <f>Sinistrés!X2215</f>
        <v>1169.77</v>
      </c>
      <c r="D2210">
        <f>Sinistrés!L2215</f>
        <v>7.04</v>
      </c>
      <c r="E2210">
        <f>Sinistrés!M2215</f>
        <v>7.04</v>
      </c>
      <c r="F2210">
        <f t="shared" si="68"/>
        <v>0.20243734024639909</v>
      </c>
      <c r="G2210">
        <f t="shared" si="69"/>
        <v>1</v>
      </c>
    </row>
    <row r="2211" spans="1:7" hidden="1">
      <c r="A2211" t="str">
        <f>Sinistrés!H2216</f>
        <v>Tournesol</v>
      </c>
      <c r="B2211">
        <f>Sinistrés!J2216</f>
        <v>19121.13</v>
      </c>
      <c r="C2211">
        <f>Sinistrés!X2216</f>
        <v>0</v>
      </c>
      <c r="D2211">
        <f>Sinistrés!L2216</f>
        <v>17.649999999999999</v>
      </c>
      <c r="E2211">
        <f>Sinistrés!M2216</f>
        <v>17.649999999999999</v>
      </c>
      <c r="F2211">
        <f t="shared" si="68"/>
        <v>0</v>
      </c>
      <c r="G2211">
        <f t="shared" si="69"/>
        <v>1</v>
      </c>
    </row>
    <row r="2212" spans="1:7" hidden="1">
      <c r="A2212" t="str">
        <f>Sinistrés!H2217</f>
        <v>Sorgho</v>
      </c>
      <c r="B2212">
        <f>Sinistrés!J2217</f>
        <v>10692</v>
      </c>
      <c r="C2212">
        <f>Sinistrés!X2217</f>
        <v>0</v>
      </c>
      <c r="D2212">
        <f>Sinistrés!L2217</f>
        <v>16.5</v>
      </c>
      <c r="E2212">
        <f>Sinistrés!M2217</f>
        <v>16.5</v>
      </c>
      <c r="F2212">
        <f t="shared" si="68"/>
        <v>0</v>
      </c>
      <c r="G2212">
        <f t="shared" si="69"/>
        <v>1</v>
      </c>
    </row>
    <row r="2213" spans="1:7" hidden="1">
      <c r="A2213" t="str">
        <f>Sinistrés!H2218</f>
        <v>Blé tendre d'hiver</v>
      </c>
      <c r="B2213">
        <f>Sinistrés!J2218</f>
        <v>103578.75</v>
      </c>
      <c r="C2213">
        <f>Sinistrés!X2218</f>
        <v>0</v>
      </c>
      <c r="D2213">
        <f>Sinistrés!L2218</f>
        <v>83.7</v>
      </c>
      <c r="E2213">
        <f>Sinistrés!M2218</f>
        <v>83.7</v>
      </c>
      <c r="F2213">
        <f t="shared" si="68"/>
        <v>0</v>
      </c>
      <c r="G2213">
        <f t="shared" si="69"/>
        <v>1</v>
      </c>
    </row>
    <row r="2214" spans="1:7" hidden="1">
      <c r="A2214" t="str">
        <f>Sinistrés!H2219</f>
        <v>Colza d'hiver</v>
      </c>
      <c r="B2214">
        <f>Sinistrés!J2219</f>
        <v>17696.39</v>
      </c>
      <c r="C2214">
        <f>Sinistrés!X2219</f>
        <v>0</v>
      </c>
      <c r="D2214">
        <f>Sinistrés!L2219</f>
        <v>13.38</v>
      </c>
      <c r="E2214">
        <f>Sinistrés!M2219</f>
        <v>13.38</v>
      </c>
      <c r="F2214">
        <f t="shared" si="68"/>
        <v>0</v>
      </c>
      <c r="G2214">
        <f t="shared" si="69"/>
        <v>1</v>
      </c>
    </row>
    <row r="2215" spans="1:7" hidden="1">
      <c r="A2215" t="str">
        <f>Sinistrés!H2220</f>
        <v>Soja</v>
      </c>
      <c r="B2215">
        <f>Sinistrés!J2220</f>
        <v>18482.099999999999</v>
      </c>
      <c r="C2215">
        <f>Sinistrés!X2220</f>
        <v>0</v>
      </c>
      <c r="D2215">
        <f>Sinistrés!L2220</f>
        <v>13.54</v>
      </c>
      <c r="E2215">
        <f>Sinistrés!M2220</f>
        <v>13.54</v>
      </c>
      <c r="F2215">
        <f t="shared" si="68"/>
        <v>0</v>
      </c>
      <c r="G2215">
        <f t="shared" si="69"/>
        <v>1</v>
      </c>
    </row>
    <row r="2216" spans="1:7" hidden="1">
      <c r="A2216" t="str">
        <f>Sinistrés!H2221</f>
        <v>Blé tendre d'hiver</v>
      </c>
      <c r="B2216">
        <f>Sinistrés!J2221</f>
        <v>35934.699999999997</v>
      </c>
      <c r="C2216">
        <f>Sinistrés!X2221</f>
        <v>0</v>
      </c>
      <c r="D2216">
        <f>Sinistrés!L2221</f>
        <v>34.78</v>
      </c>
      <c r="E2216">
        <f>Sinistrés!M2221</f>
        <v>34.78</v>
      </c>
      <c r="F2216">
        <f t="shared" si="68"/>
        <v>0</v>
      </c>
      <c r="G2216">
        <f t="shared" si="69"/>
        <v>1</v>
      </c>
    </row>
    <row r="2217" spans="1:7" hidden="1">
      <c r="A2217" t="str">
        <f>Sinistrés!H2222</f>
        <v>Colza d'hiver</v>
      </c>
      <c r="B2217">
        <f>Sinistrés!J2222</f>
        <v>21601.58</v>
      </c>
      <c r="C2217">
        <f>Sinistrés!X2222</f>
        <v>0</v>
      </c>
      <c r="D2217">
        <f>Sinistrés!L2222</f>
        <v>18.260000000000002</v>
      </c>
      <c r="E2217">
        <f>Sinistrés!M2222</f>
        <v>18.260000000000002</v>
      </c>
      <c r="F2217">
        <f t="shared" si="68"/>
        <v>0</v>
      </c>
      <c r="G2217">
        <f t="shared" si="69"/>
        <v>1</v>
      </c>
    </row>
    <row r="2218" spans="1:7" hidden="1">
      <c r="A2218" t="str">
        <f>Sinistrés!H2223</f>
        <v>Colza d'hiver</v>
      </c>
      <c r="B2218">
        <f>Sinistrés!J2223</f>
        <v>54212.09</v>
      </c>
      <c r="C2218">
        <f>Sinistrés!X2223</f>
        <v>0</v>
      </c>
      <c r="D2218">
        <f>Sinistrés!L2223</f>
        <v>37.53</v>
      </c>
      <c r="E2218">
        <f>Sinistrés!M2223</f>
        <v>37.53</v>
      </c>
      <c r="F2218">
        <f t="shared" si="68"/>
        <v>0</v>
      </c>
      <c r="G2218">
        <f t="shared" si="69"/>
        <v>1</v>
      </c>
    </row>
    <row r="2219" spans="1:7" hidden="1">
      <c r="A2219" t="str">
        <f>Sinistrés!H2224</f>
        <v>Orge d'hiver</v>
      </c>
      <c r="B2219">
        <f>Sinistrés!J2224</f>
        <v>15605.46</v>
      </c>
      <c r="C2219">
        <f>Sinistrés!X2224</f>
        <v>0</v>
      </c>
      <c r="D2219">
        <f>Sinistrés!L2224</f>
        <v>14.82</v>
      </c>
      <c r="E2219">
        <f>Sinistrés!M2224</f>
        <v>14.82</v>
      </c>
      <c r="F2219">
        <f t="shared" si="68"/>
        <v>0</v>
      </c>
      <c r="G2219">
        <f t="shared" si="69"/>
        <v>1</v>
      </c>
    </row>
    <row r="2220" spans="1:7" hidden="1">
      <c r="A2220" t="str">
        <f>Sinistrés!H2225</f>
        <v>Blé tendre d'hiver</v>
      </c>
      <c r="B2220">
        <f>Sinistrés!J2225</f>
        <v>47279.44</v>
      </c>
      <c r="C2220">
        <f>Sinistrés!X2225</f>
        <v>0</v>
      </c>
      <c r="D2220">
        <f>Sinistrés!L2225</f>
        <v>34.97</v>
      </c>
      <c r="E2220">
        <f>Sinistrés!M2225</f>
        <v>34.97</v>
      </c>
      <c r="F2220">
        <f t="shared" si="68"/>
        <v>0</v>
      </c>
      <c r="G2220">
        <f t="shared" si="69"/>
        <v>1</v>
      </c>
    </row>
    <row r="2221" spans="1:7" hidden="1">
      <c r="A2221" t="str">
        <f>Sinistrés!H2226</f>
        <v>Orge de printemps</v>
      </c>
      <c r="B2221">
        <f>Sinistrés!J2226</f>
        <v>25462.5</v>
      </c>
      <c r="C2221">
        <f>Sinistrés!X2226</f>
        <v>0</v>
      </c>
      <c r="D2221">
        <f>Sinistrés!L2226</f>
        <v>26.25</v>
      </c>
      <c r="E2221">
        <f>Sinistrés!M2226</f>
        <v>26.25</v>
      </c>
      <c r="F2221">
        <f t="shared" si="68"/>
        <v>0</v>
      </c>
      <c r="G2221">
        <f t="shared" si="69"/>
        <v>1</v>
      </c>
    </row>
    <row r="2222" spans="1:7">
      <c r="A2222" t="str">
        <f>Sinistrés!H2227</f>
        <v>Pois protéagineux</v>
      </c>
      <c r="B2222">
        <f>Sinistrés!J2227</f>
        <v>5107.1499999999996</v>
      </c>
      <c r="C2222">
        <f>Sinistrés!X2227</f>
        <v>386.35</v>
      </c>
      <c r="D2222">
        <f>Sinistrés!L2227</f>
        <v>6.69</v>
      </c>
      <c r="E2222">
        <f>Sinistrés!M2227</f>
        <v>6.69</v>
      </c>
      <c r="F2222">
        <f t="shared" si="68"/>
        <v>7.5648845246370292E-2</v>
      </c>
      <c r="G2222">
        <f t="shared" si="69"/>
        <v>1</v>
      </c>
    </row>
    <row r="2223" spans="1:7" hidden="1">
      <c r="A2223" t="str">
        <f>Sinistrés!H2228</f>
        <v>Avoine de printemps</v>
      </c>
      <c r="B2223">
        <f>Sinistrés!J2228</f>
        <v>4126.82</v>
      </c>
      <c r="C2223">
        <f>Sinistrés!X2228</f>
        <v>0</v>
      </c>
      <c r="D2223">
        <f>Sinistrés!L2228</f>
        <v>6.3</v>
      </c>
      <c r="E2223">
        <f>Sinistrés!M2228</f>
        <v>6.3</v>
      </c>
      <c r="F2223">
        <f t="shared" si="68"/>
        <v>0</v>
      </c>
      <c r="G2223">
        <f t="shared" si="69"/>
        <v>1</v>
      </c>
    </row>
    <row r="2224" spans="1:7" hidden="1">
      <c r="A2224" t="str">
        <f>Sinistrés!H2229</f>
        <v>Soja</v>
      </c>
      <c r="B2224">
        <f>Sinistrés!J2229</f>
        <v>35123.199999999997</v>
      </c>
      <c r="C2224">
        <f>Sinistrés!X2229</f>
        <v>0</v>
      </c>
      <c r="D2224">
        <f>Sinistrés!L2229</f>
        <v>35.840000000000003</v>
      </c>
      <c r="E2224">
        <f>Sinistrés!M2229</f>
        <v>11.5</v>
      </c>
      <c r="F2224">
        <f t="shared" si="68"/>
        <v>0</v>
      </c>
      <c r="G2224">
        <f t="shared" si="69"/>
        <v>0.3208705357142857</v>
      </c>
    </row>
    <row r="2225" spans="1:7">
      <c r="A2225" t="str">
        <f>Sinistrés!H2230</f>
        <v>Blé tendre d'hiver</v>
      </c>
      <c r="B2225">
        <f>Sinistrés!J2230</f>
        <v>83952.26</v>
      </c>
      <c r="C2225">
        <f>Sinistrés!X2230</f>
        <v>1380.93</v>
      </c>
      <c r="D2225">
        <f>Sinistrés!L2230</f>
        <v>53.2</v>
      </c>
      <c r="E2225">
        <f>Sinistrés!M2230</f>
        <v>12.26</v>
      </c>
      <c r="F2225">
        <f t="shared" si="68"/>
        <v>1.6448991367236571E-2</v>
      </c>
      <c r="G2225">
        <f t="shared" si="69"/>
        <v>0.23045112781954885</v>
      </c>
    </row>
    <row r="2226" spans="1:7" hidden="1">
      <c r="A2226" t="str">
        <f>Sinistrés!H2231</f>
        <v>Soja</v>
      </c>
      <c r="B2226">
        <f>Sinistrés!J2231</f>
        <v>35796.199999999997</v>
      </c>
      <c r="C2226">
        <f>Sinistrés!X2231</f>
        <v>0</v>
      </c>
      <c r="D2226">
        <f>Sinistrés!L2231</f>
        <v>23.32</v>
      </c>
      <c r="E2226">
        <f>Sinistrés!M2231</f>
        <v>13.98</v>
      </c>
      <c r="F2226">
        <f t="shared" si="68"/>
        <v>0</v>
      </c>
      <c r="G2226">
        <f t="shared" si="69"/>
        <v>0.59948542024013718</v>
      </c>
    </row>
    <row r="2227" spans="1:7" hidden="1">
      <c r="A2227" t="str">
        <f>Sinistrés!H2232</f>
        <v>Colza d'hiver</v>
      </c>
      <c r="B2227">
        <f>Sinistrés!J2232</f>
        <v>59867.14</v>
      </c>
      <c r="C2227">
        <f>Sinistrés!X2232</f>
        <v>0</v>
      </c>
      <c r="D2227">
        <f>Sinistrés!L2232</f>
        <v>40.96</v>
      </c>
      <c r="E2227">
        <f>Sinistrés!M2232</f>
        <v>7.02</v>
      </c>
      <c r="F2227">
        <f t="shared" si="68"/>
        <v>0</v>
      </c>
      <c r="G2227">
        <f t="shared" si="69"/>
        <v>0.17138671874999997</v>
      </c>
    </row>
    <row r="2228" spans="1:7" hidden="1">
      <c r="A2228" t="str">
        <f>Sinistrés!H2233</f>
        <v>Orge d'hiver</v>
      </c>
      <c r="B2228">
        <f>Sinistrés!J2233</f>
        <v>51224.4</v>
      </c>
      <c r="C2228">
        <f>Sinistrés!X2233</f>
        <v>0</v>
      </c>
      <c r="D2228">
        <f>Sinistrés!L2233</f>
        <v>33.479999999999997</v>
      </c>
      <c r="E2228">
        <f>Sinistrés!M2233</f>
        <v>21.62</v>
      </c>
      <c r="F2228">
        <f t="shared" si="68"/>
        <v>0</v>
      </c>
      <c r="G2228">
        <f t="shared" si="69"/>
        <v>0.64575866188769426</v>
      </c>
    </row>
    <row r="2229" spans="1:7">
      <c r="A2229" t="str">
        <f>Sinistrés!H2234</f>
        <v>Blé tendre d'hiver</v>
      </c>
      <c r="B2229">
        <f>Sinistrés!J2234</f>
        <v>151897.20000000001</v>
      </c>
      <c r="C2229">
        <f>Sinistrés!X2234</f>
        <v>13242.32</v>
      </c>
      <c r="D2229">
        <f>Sinistrés!L2234</f>
        <v>97.37</v>
      </c>
      <c r="E2229">
        <f>Sinistrés!M2234</f>
        <v>95</v>
      </c>
      <c r="F2229">
        <f t="shared" si="68"/>
        <v>8.7179487179487175E-2</v>
      </c>
      <c r="G2229">
        <f t="shared" si="69"/>
        <v>0.97565985416452705</v>
      </c>
    </row>
    <row r="2230" spans="1:7" hidden="1">
      <c r="A2230" t="str">
        <f>Sinistrés!H2235</f>
        <v>Colza d'hiver</v>
      </c>
      <c r="B2230">
        <f>Sinistrés!J2235</f>
        <v>132046.35</v>
      </c>
      <c r="C2230">
        <f>Sinistrés!X2235</f>
        <v>0</v>
      </c>
      <c r="D2230">
        <f>Sinistrés!L2235</f>
        <v>83.31</v>
      </c>
      <c r="E2230">
        <f>Sinistrés!M2235</f>
        <v>86</v>
      </c>
      <c r="F2230">
        <f t="shared" si="68"/>
        <v>0</v>
      </c>
      <c r="G2230">
        <f t="shared" si="69"/>
        <v>1.0322890409314607</v>
      </c>
    </row>
    <row r="2231" spans="1:7" hidden="1">
      <c r="A2231" t="str">
        <f>Sinistrés!H2236</f>
        <v>Orge d'hiver</v>
      </c>
      <c r="B2231">
        <f>Sinistrés!J2236</f>
        <v>35299.5</v>
      </c>
      <c r="C2231">
        <f>Sinistrés!X2236</f>
        <v>0</v>
      </c>
      <c r="D2231">
        <f>Sinistrés!L2236</f>
        <v>25.25</v>
      </c>
      <c r="E2231">
        <f>Sinistrés!M2236</f>
        <v>25</v>
      </c>
      <c r="F2231">
        <f t="shared" si="68"/>
        <v>0</v>
      </c>
      <c r="G2231">
        <f t="shared" si="69"/>
        <v>0.99009900990099009</v>
      </c>
    </row>
    <row r="2232" spans="1:7" hidden="1">
      <c r="A2232" t="str">
        <f>Sinistrés!H2237</f>
        <v>Tournesol</v>
      </c>
      <c r="B2232">
        <f>Sinistrés!J2237</f>
        <v>24920.06</v>
      </c>
      <c r="C2232">
        <f>Sinistrés!X2237</f>
        <v>0</v>
      </c>
      <c r="D2232">
        <f>Sinistrés!L2237</f>
        <v>19.96</v>
      </c>
      <c r="E2232">
        <f>Sinistrés!M2237</f>
        <v>19.96</v>
      </c>
      <c r="F2232">
        <f t="shared" si="68"/>
        <v>0</v>
      </c>
      <c r="G2232">
        <f t="shared" si="69"/>
        <v>1</v>
      </c>
    </row>
    <row r="2233" spans="1:7" hidden="1">
      <c r="A2233" t="str">
        <f>Sinistrés!H2238</f>
        <v>Maïs grain non irrigué</v>
      </c>
      <c r="B2233">
        <f>Sinistrés!J2238</f>
        <v>49623.519999999997</v>
      </c>
      <c r="C2233">
        <f>Sinistrés!X2238</f>
        <v>0</v>
      </c>
      <c r="D2233">
        <f>Sinistrés!L2238</f>
        <v>37.479999999999997</v>
      </c>
      <c r="E2233">
        <f>Sinistrés!M2238</f>
        <v>37.479999999999997</v>
      </c>
      <c r="F2233">
        <f t="shared" si="68"/>
        <v>0</v>
      </c>
      <c r="G2233">
        <f t="shared" si="69"/>
        <v>1</v>
      </c>
    </row>
    <row r="2234" spans="1:7">
      <c r="A2234" t="str">
        <f>Sinistrés!H2239</f>
        <v>Blé tendre d'hiver</v>
      </c>
      <c r="B2234">
        <f>Sinistrés!J2239</f>
        <v>39223.08</v>
      </c>
      <c r="C2234">
        <f>Sinistrés!X2239</f>
        <v>20979.97</v>
      </c>
      <c r="D2234">
        <f>Sinistrés!L2239</f>
        <v>39.78</v>
      </c>
      <c r="E2234">
        <f>Sinistrés!M2239</f>
        <v>39.78</v>
      </c>
      <c r="F2234">
        <f t="shared" si="68"/>
        <v>0.53488838714348796</v>
      </c>
      <c r="G2234">
        <f t="shared" si="69"/>
        <v>1</v>
      </c>
    </row>
    <row r="2235" spans="1:7">
      <c r="A2235" t="str">
        <f>Sinistrés!H2240</f>
        <v>Blé de force</v>
      </c>
      <c r="B2235">
        <f>Sinistrés!J2240</f>
        <v>16850.740000000002</v>
      </c>
      <c r="C2235">
        <f>Sinistrés!X2240</f>
        <v>7304.27</v>
      </c>
      <c r="D2235">
        <f>Sinistrés!L2240</f>
        <v>17.09</v>
      </c>
      <c r="E2235">
        <f>Sinistrés!M2240</f>
        <v>17.09</v>
      </c>
      <c r="F2235">
        <f t="shared" si="68"/>
        <v>0.43346879721602727</v>
      </c>
      <c r="G2235">
        <f t="shared" si="69"/>
        <v>1</v>
      </c>
    </row>
    <row r="2236" spans="1:7">
      <c r="A2236" t="str">
        <f>Sinistrés!H2241</f>
        <v>Blé tendre d'hiver</v>
      </c>
      <c r="B2236">
        <f>Sinistrés!J2241</f>
        <v>27706.6</v>
      </c>
      <c r="C2236">
        <f>Sinistrés!X2241</f>
        <v>12571.94</v>
      </c>
      <c r="D2236">
        <f>Sinistrés!L2241</f>
        <v>28.1</v>
      </c>
      <c r="E2236">
        <f>Sinistrés!M2241</f>
        <v>28.1</v>
      </c>
      <c r="F2236">
        <f t="shared" si="68"/>
        <v>0.45375253549695743</v>
      </c>
      <c r="G2236">
        <f t="shared" si="69"/>
        <v>1</v>
      </c>
    </row>
    <row r="2237" spans="1:7">
      <c r="A2237" t="str">
        <f>Sinistrés!H2242</f>
        <v>Maïs grain irrigué</v>
      </c>
      <c r="B2237">
        <f>Sinistrés!J2242</f>
        <v>96496.92</v>
      </c>
      <c r="C2237">
        <f>Sinistrés!X2242</f>
        <v>23369.15</v>
      </c>
      <c r="D2237">
        <f>Sinistrés!L2242</f>
        <v>45.82</v>
      </c>
      <c r="E2237">
        <f>Sinistrés!M2242</f>
        <v>45.82</v>
      </c>
      <c r="F2237">
        <f t="shared" si="68"/>
        <v>0.24217508703904747</v>
      </c>
      <c r="G2237">
        <f t="shared" si="69"/>
        <v>1</v>
      </c>
    </row>
    <row r="2238" spans="1:7" hidden="1">
      <c r="A2238" t="str">
        <f>Sinistrés!H2243</f>
        <v>Blé tendre d'hiver</v>
      </c>
      <c r="B2238">
        <f>Sinistrés!J2243</f>
        <v>117403.72</v>
      </c>
      <c r="C2238">
        <f>Sinistrés!X2243</f>
        <v>0</v>
      </c>
      <c r="D2238">
        <f>Sinistrés!L2243</f>
        <v>84.53</v>
      </c>
      <c r="E2238">
        <f>Sinistrés!M2243</f>
        <v>84.53</v>
      </c>
      <c r="F2238">
        <f t="shared" si="68"/>
        <v>0</v>
      </c>
      <c r="G2238">
        <f t="shared" si="69"/>
        <v>1</v>
      </c>
    </row>
    <row r="2239" spans="1:7" hidden="1">
      <c r="A2239" t="str">
        <f>Sinistrés!H2244</f>
        <v>Orge de printemps</v>
      </c>
      <c r="B2239">
        <f>Sinistrés!J2244</f>
        <v>60414.84</v>
      </c>
      <c r="C2239">
        <f>Sinistrés!X2244</f>
        <v>0</v>
      </c>
      <c r="D2239">
        <f>Sinistrés!L2244</f>
        <v>53.37</v>
      </c>
      <c r="E2239">
        <f>Sinistrés!M2244</f>
        <v>53.37</v>
      </c>
      <c r="F2239">
        <f t="shared" si="68"/>
        <v>0</v>
      </c>
      <c r="G2239">
        <f t="shared" si="69"/>
        <v>1</v>
      </c>
    </row>
    <row r="2240" spans="1:7" hidden="1">
      <c r="A2240" t="str">
        <f>Sinistrés!H2245</f>
        <v>Blé tendre d'hiver</v>
      </c>
      <c r="B2240">
        <f>Sinistrés!J2245</f>
        <v>30451.74</v>
      </c>
      <c r="C2240">
        <f>Sinistrés!X2245</f>
        <v>0</v>
      </c>
      <c r="D2240">
        <f>Sinistrés!L2245</f>
        <v>24.94</v>
      </c>
      <c r="E2240">
        <f>Sinistrés!M2245</f>
        <v>24.94</v>
      </c>
      <c r="F2240">
        <f t="shared" si="68"/>
        <v>0</v>
      </c>
      <c r="G2240">
        <f t="shared" si="69"/>
        <v>1</v>
      </c>
    </row>
    <row r="2241" spans="1:7" hidden="1">
      <c r="A2241" t="str">
        <f>Sinistrés!H2246</f>
        <v>Blé tendre d'hiver</v>
      </c>
      <c r="B2241">
        <f>Sinistrés!J2246</f>
        <v>51526.2</v>
      </c>
      <c r="C2241">
        <f>Sinistrés!X2246</f>
        <v>0</v>
      </c>
      <c r="D2241">
        <f>Sinistrés!L2246</f>
        <v>42.2</v>
      </c>
      <c r="E2241">
        <f>Sinistrés!M2246</f>
        <v>42.2</v>
      </c>
      <c r="F2241">
        <f t="shared" si="68"/>
        <v>0</v>
      </c>
      <c r="G2241">
        <f t="shared" si="69"/>
        <v>1</v>
      </c>
    </row>
    <row r="2242" spans="1:7" hidden="1">
      <c r="A2242" t="str">
        <f>Sinistrés!H2247</f>
        <v>Colza d'hiver</v>
      </c>
      <c r="B2242">
        <f>Sinistrés!J2247</f>
        <v>73357.19</v>
      </c>
      <c r="C2242">
        <f>Sinistrés!X2247</f>
        <v>0</v>
      </c>
      <c r="D2242">
        <f>Sinistrés!L2247</f>
        <v>53.52</v>
      </c>
      <c r="E2242">
        <f>Sinistrés!M2247</f>
        <v>53.52</v>
      </c>
      <c r="F2242">
        <f t="shared" si="68"/>
        <v>0</v>
      </c>
      <c r="G2242">
        <f t="shared" si="69"/>
        <v>1</v>
      </c>
    </row>
    <row r="2243" spans="1:7" hidden="1">
      <c r="A2243" t="str">
        <f>Sinistrés!H2248</f>
        <v>Colza d'hiver</v>
      </c>
      <c r="B2243">
        <f>Sinistrés!J2248</f>
        <v>5756.73</v>
      </c>
      <c r="C2243">
        <f>Sinistrés!X2248</f>
        <v>0</v>
      </c>
      <c r="D2243">
        <f>Sinistrés!L2248</f>
        <v>4.2</v>
      </c>
      <c r="E2243">
        <f>Sinistrés!M2248</f>
        <v>4.2</v>
      </c>
      <c r="F2243">
        <f t="shared" ref="F2243:F2306" si="70">C2243/B2243</f>
        <v>0</v>
      </c>
      <c r="G2243">
        <f t="shared" ref="G2243:G2306" si="71">E2243/D2243</f>
        <v>1</v>
      </c>
    </row>
    <row r="2244" spans="1:7" hidden="1">
      <c r="A2244" t="str">
        <f>Sinistrés!H2249</f>
        <v>Oeillette</v>
      </c>
      <c r="B2244">
        <f>Sinistrés!J2249</f>
        <v>957.6</v>
      </c>
      <c r="C2244">
        <f>Sinistrés!X2249</f>
        <v>0</v>
      </c>
      <c r="D2244">
        <f>Sinistrés!L2249</f>
        <v>2.2799999999999998</v>
      </c>
      <c r="E2244">
        <f>Sinistrés!M2249</f>
        <v>2.2799999999999998</v>
      </c>
      <c r="F2244">
        <f t="shared" si="70"/>
        <v>0</v>
      </c>
      <c r="G2244">
        <f t="shared" si="71"/>
        <v>1</v>
      </c>
    </row>
    <row r="2245" spans="1:7">
      <c r="A2245" t="str">
        <f>Sinistrés!H2250</f>
        <v>Blé tendre d'hiver</v>
      </c>
      <c r="B2245">
        <f>Sinistrés!J2250</f>
        <v>141488.99</v>
      </c>
      <c r="C2245">
        <f>Sinistrés!X2250</f>
        <v>52937.29</v>
      </c>
      <c r="D2245">
        <f>Sinistrés!L2250</f>
        <v>114.39</v>
      </c>
      <c r="E2245">
        <f>Sinistrés!M2250</f>
        <v>114.37</v>
      </c>
      <c r="F2245">
        <f t="shared" si="70"/>
        <v>0.37414423553380377</v>
      </c>
      <c r="G2245">
        <f t="shared" si="71"/>
        <v>0.99982515954191808</v>
      </c>
    </row>
    <row r="2246" spans="1:7">
      <c r="A2246" t="str">
        <f>Sinistrés!H2251</f>
        <v>Colza d'hiver</v>
      </c>
      <c r="B2246">
        <f>Sinistrés!J2251</f>
        <v>46344.959999999999</v>
      </c>
      <c r="C2246">
        <f>Sinistrés!X2251</f>
        <v>20616.080000000002</v>
      </c>
      <c r="D2246">
        <f>Sinistrés!L2251</f>
        <v>34.56</v>
      </c>
      <c r="E2246">
        <f>Sinistrés!M2251</f>
        <v>34.56</v>
      </c>
      <c r="F2246">
        <f t="shared" si="70"/>
        <v>0.44483974093407358</v>
      </c>
      <c r="G2246">
        <f t="shared" si="71"/>
        <v>1</v>
      </c>
    </row>
    <row r="2247" spans="1:7">
      <c r="A2247" t="str">
        <f>Sinistrés!H2252</f>
        <v>Orge d'hiver</v>
      </c>
      <c r="B2247">
        <f>Sinistrés!J2252</f>
        <v>35285.22</v>
      </c>
      <c r="C2247">
        <f>Sinistrés!X2252</f>
        <v>19070.46</v>
      </c>
      <c r="D2247">
        <f>Sinistrés!L2252</f>
        <v>28.41</v>
      </c>
      <c r="E2247">
        <f>Sinistrés!M2252</f>
        <v>28.4</v>
      </c>
      <c r="F2247">
        <f t="shared" si="70"/>
        <v>0.54046595146636467</v>
      </c>
      <c r="G2247">
        <f t="shared" si="71"/>
        <v>0.99964801126363956</v>
      </c>
    </row>
    <row r="2248" spans="1:7">
      <c r="A2248" t="str">
        <f>Sinistrés!H2253</f>
        <v>Tournesol</v>
      </c>
      <c r="B2248">
        <f>Sinistrés!J2253</f>
        <v>16815.62</v>
      </c>
      <c r="C2248">
        <f>Sinistrés!X2253</f>
        <v>4123.62</v>
      </c>
      <c r="D2248">
        <f>Sinistrés!L2253</f>
        <v>14.48</v>
      </c>
      <c r="E2248">
        <f>Sinistrés!M2253</f>
        <v>14.48</v>
      </c>
      <c r="F2248">
        <f t="shared" si="70"/>
        <v>0.24522557003547893</v>
      </c>
      <c r="G2248">
        <f t="shared" si="71"/>
        <v>1</v>
      </c>
    </row>
    <row r="2249" spans="1:7" hidden="1">
      <c r="A2249" t="str">
        <f>Sinistrés!H2254</f>
        <v>Tournesol</v>
      </c>
      <c r="B2249">
        <f>Sinistrés!J2254</f>
        <v>11250.9</v>
      </c>
      <c r="C2249">
        <f>Sinistrés!X2254</f>
        <v>0</v>
      </c>
      <c r="D2249">
        <f>Sinistrés!L2254</f>
        <v>9.26</v>
      </c>
      <c r="E2249">
        <f>Sinistrés!M2254</f>
        <v>9.26</v>
      </c>
      <c r="F2249">
        <f t="shared" si="70"/>
        <v>0</v>
      </c>
      <c r="G2249">
        <f t="shared" si="71"/>
        <v>1</v>
      </c>
    </row>
    <row r="2250" spans="1:7" hidden="1">
      <c r="A2250" t="str">
        <f>Sinistrés!H2255</f>
        <v>Maïs grain non irrigué</v>
      </c>
      <c r="B2250">
        <f>Sinistrés!J2255</f>
        <v>1328</v>
      </c>
      <c r="C2250">
        <f>Sinistrés!X2255</f>
        <v>0</v>
      </c>
      <c r="D2250">
        <f>Sinistrés!L2255</f>
        <v>1</v>
      </c>
      <c r="E2250">
        <f>Sinistrés!M2255</f>
        <v>1</v>
      </c>
      <c r="F2250">
        <f t="shared" si="70"/>
        <v>0</v>
      </c>
      <c r="G2250">
        <f t="shared" si="71"/>
        <v>1</v>
      </c>
    </row>
    <row r="2251" spans="1:7">
      <c r="A2251" t="str">
        <f>Sinistrés!H2256</f>
        <v>Orge de printemps</v>
      </c>
      <c r="B2251">
        <f>Sinistrés!J2256</f>
        <v>33148.5</v>
      </c>
      <c r="C2251">
        <f>Sinistrés!X2256</f>
        <v>8476.7800000000007</v>
      </c>
      <c r="D2251">
        <f>Sinistrés!L2256</f>
        <v>30.75</v>
      </c>
      <c r="E2251">
        <f>Sinistrés!M2256</f>
        <v>30.75</v>
      </c>
      <c r="F2251">
        <f t="shared" si="70"/>
        <v>0.25572137502451092</v>
      </c>
      <c r="G2251">
        <f t="shared" si="71"/>
        <v>1</v>
      </c>
    </row>
    <row r="2252" spans="1:7">
      <c r="A2252" t="str">
        <f>Sinistrés!H2257</f>
        <v>Blé tendre d'hiver</v>
      </c>
      <c r="B2252">
        <f>Sinistrés!J2257</f>
        <v>36020.959999999999</v>
      </c>
      <c r="C2252">
        <f>Sinistrés!X2257</f>
        <v>1988.52</v>
      </c>
      <c r="D2252">
        <f>Sinistrés!L2257</f>
        <v>25.84</v>
      </c>
      <c r="E2252">
        <f>Sinistrés!M2257</f>
        <v>25.84</v>
      </c>
      <c r="F2252">
        <f t="shared" si="70"/>
        <v>5.52045253652318E-2</v>
      </c>
      <c r="G2252">
        <f t="shared" si="71"/>
        <v>1</v>
      </c>
    </row>
    <row r="2253" spans="1:7">
      <c r="A2253" t="str">
        <f>Sinistrés!H2258</f>
        <v>Féveroles et fèves</v>
      </c>
      <c r="B2253">
        <f>Sinistrés!J2258</f>
        <v>13885.44</v>
      </c>
      <c r="C2253">
        <f>Sinistrés!X2258</f>
        <v>3319.09</v>
      </c>
      <c r="D2253">
        <f>Sinistrés!L2258</f>
        <v>16.8</v>
      </c>
      <c r="E2253">
        <f>Sinistrés!M2258</f>
        <v>16.8</v>
      </c>
      <c r="F2253">
        <f t="shared" si="70"/>
        <v>0.23903383688237465</v>
      </c>
      <c r="G2253">
        <f t="shared" si="71"/>
        <v>1</v>
      </c>
    </row>
    <row r="2254" spans="1:7" hidden="1">
      <c r="A2254" t="str">
        <f>Sinistrés!H2259</f>
        <v>Soja</v>
      </c>
      <c r="B2254">
        <f>Sinistrés!J2259</f>
        <v>9270.24</v>
      </c>
      <c r="C2254">
        <f>Sinistrés!X2259</f>
        <v>0</v>
      </c>
      <c r="D2254">
        <f>Sinistrés!L2259</f>
        <v>8.68</v>
      </c>
      <c r="E2254">
        <f>Sinistrés!M2259</f>
        <v>8.68</v>
      </c>
      <c r="F2254">
        <f t="shared" si="70"/>
        <v>0</v>
      </c>
      <c r="G2254">
        <f t="shared" si="71"/>
        <v>1</v>
      </c>
    </row>
    <row r="2255" spans="1:7">
      <c r="A2255" t="str">
        <f>Sinistrés!H2260</f>
        <v>Pois protéagineux</v>
      </c>
      <c r="B2255">
        <f>Sinistrés!J2260</f>
        <v>3799.29</v>
      </c>
      <c r="C2255">
        <f>Sinistrés!X2260</f>
        <v>680.06</v>
      </c>
      <c r="D2255">
        <f>Sinistrés!L2260</f>
        <v>3.97</v>
      </c>
      <c r="E2255">
        <f>Sinistrés!M2260</f>
        <v>3.97</v>
      </c>
      <c r="F2255">
        <f t="shared" si="70"/>
        <v>0.17899660199668885</v>
      </c>
      <c r="G2255">
        <f t="shared" si="71"/>
        <v>1</v>
      </c>
    </row>
    <row r="2256" spans="1:7">
      <c r="A2256" t="str">
        <f>Sinistrés!H2261</f>
        <v>Triticale</v>
      </c>
      <c r="B2256">
        <f>Sinistrés!J2261</f>
        <v>1940.91</v>
      </c>
      <c r="C2256">
        <f>Sinistrés!X2261</f>
        <v>301.45999999999998</v>
      </c>
      <c r="D2256">
        <f>Sinistrés!L2261</f>
        <v>2.3199999999999998</v>
      </c>
      <c r="E2256">
        <f>Sinistrés!M2261</f>
        <v>2.3199999999999998</v>
      </c>
      <c r="F2256">
        <f t="shared" si="70"/>
        <v>0.15531889680613731</v>
      </c>
      <c r="G2256">
        <f t="shared" si="71"/>
        <v>1</v>
      </c>
    </row>
    <row r="2257" spans="1:7">
      <c r="A2257" t="str">
        <f>Sinistrés!H2262</f>
        <v>Blé tendre d'hiver</v>
      </c>
      <c r="B2257">
        <f>Sinistrés!J2262</f>
        <v>40363.07</v>
      </c>
      <c r="C2257">
        <f>Sinistrés!X2262</f>
        <v>10632.11</v>
      </c>
      <c r="D2257">
        <f>Sinistrés!L2262</f>
        <v>39.56</v>
      </c>
      <c r="E2257">
        <f>Sinistrés!M2262</f>
        <v>39.56</v>
      </c>
      <c r="F2257">
        <f t="shared" si="70"/>
        <v>0.26341182670198282</v>
      </c>
      <c r="G2257">
        <f t="shared" si="71"/>
        <v>1</v>
      </c>
    </row>
    <row r="2258" spans="1:7">
      <c r="A2258" t="str">
        <f>Sinistrés!H2263</f>
        <v>Colza d'hiver</v>
      </c>
      <c r="B2258">
        <f>Sinistrés!J2263</f>
        <v>13010.18</v>
      </c>
      <c r="C2258">
        <f>Sinistrés!X2263</f>
        <v>2614.5500000000002</v>
      </c>
      <c r="D2258">
        <f>Sinistrés!L2263</f>
        <v>10.91</v>
      </c>
      <c r="E2258">
        <f>Sinistrés!M2263</f>
        <v>10.91</v>
      </c>
      <c r="F2258">
        <f t="shared" si="70"/>
        <v>0.20096186217254489</v>
      </c>
      <c r="G2258">
        <f t="shared" si="71"/>
        <v>1</v>
      </c>
    </row>
    <row r="2259" spans="1:7">
      <c r="A2259" t="str">
        <f>Sinistrés!H2264</f>
        <v>Orge d'hiver</v>
      </c>
      <c r="B2259">
        <f>Sinistrés!J2264</f>
        <v>11066.33</v>
      </c>
      <c r="C2259">
        <f>Sinistrés!X2264</f>
        <v>4689.95</v>
      </c>
      <c r="D2259">
        <f>Sinistrés!L2264</f>
        <v>10.92</v>
      </c>
      <c r="E2259">
        <f>Sinistrés!M2264</f>
        <v>10.92</v>
      </c>
      <c r="F2259">
        <f t="shared" si="70"/>
        <v>0.42380355546960913</v>
      </c>
      <c r="G2259">
        <f t="shared" si="71"/>
        <v>1</v>
      </c>
    </row>
    <row r="2260" spans="1:7" hidden="1">
      <c r="A2260" t="str">
        <f>Sinistrés!H2265</f>
        <v>Triticale</v>
      </c>
      <c r="B2260">
        <f>Sinistrés!J2265</f>
        <v>8575.84</v>
      </c>
      <c r="C2260">
        <f>Sinistrés!X2265</f>
        <v>0</v>
      </c>
      <c r="D2260">
        <f>Sinistrés!L2265</f>
        <v>10.4</v>
      </c>
      <c r="E2260">
        <f>Sinistrés!M2265</f>
        <v>10.4</v>
      </c>
      <c r="F2260">
        <f t="shared" si="70"/>
        <v>0</v>
      </c>
      <c r="G2260">
        <f t="shared" si="71"/>
        <v>1</v>
      </c>
    </row>
    <row r="2261" spans="1:7" hidden="1">
      <c r="A2261" t="str">
        <f>Sinistrés!H2266</f>
        <v>Tournesol</v>
      </c>
      <c r="B2261">
        <f>Sinistrés!J2266</f>
        <v>20560.599999999999</v>
      </c>
      <c r="C2261">
        <f>Sinistrés!X2266</f>
        <v>0</v>
      </c>
      <c r="D2261">
        <f>Sinistrés!L2266</f>
        <v>20</v>
      </c>
      <c r="E2261">
        <f>Sinistrés!M2266</f>
        <v>16.440000000000001</v>
      </c>
      <c r="F2261">
        <f t="shared" si="70"/>
        <v>0</v>
      </c>
      <c r="G2261">
        <f t="shared" si="71"/>
        <v>0.82200000000000006</v>
      </c>
    </row>
    <row r="2262" spans="1:7" hidden="1">
      <c r="A2262" t="str">
        <f>Sinistrés!H2267</f>
        <v>Blé tendre d'hiver</v>
      </c>
      <c r="B2262">
        <f>Sinistrés!J2267</f>
        <v>21580.74</v>
      </c>
      <c r="C2262">
        <f>Sinistrés!X2267</f>
        <v>0</v>
      </c>
      <c r="D2262">
        <f>Sinistrés!L2267</f>
        <v>15.22</v>
      </c>
      <c r="E2262">
        <f>Sinistrés!M2267</f>
        <v>15.22</v>
      </c>
      <c r="F2262">
        <f t="shared" si="70"/>
        <v>0</v>
      </c>
      <c r="G2262">
        <f t="shared" si="71"/>
        <v>1</v>
      </c>
    </row>
    <row r="2263" spans="1:7">
      <c r="A2263" t="str">
        <f>Sinistrés!H2268</f>
        <v>Orge d'hiver</v>
      </c>
      <c r="B2263">
        <f>Sinistrés!J2268</f>
        <v>14539.77</v>
      </c>
      <c r="C2263">
        <f>Sinistrés!X2268</f>
        <v>3338.22</v>
      </c>
      <c r="D2263">
        <f>Sinistrés!L2268</f>
        <v>14.13</v>
      </c>
      <c r="E2263">
        <f>Sinistrés!M2268</f>
        <v>14.13</v>
      </c>
      <c r="F2263">
        <f t="shared" si="70"/>
        <v>0.22959235256128532</v>
      </c>
      <c r="G2263">
        <f t="shared" si="71"/>
        <v>1</v>
      </c>
    </row>
    <row r="2264" spans="1:7" hidden="1">
      <c r="A2264" t="str">
        <f>Sinistrés!H2269</f>
        <v>Blé tendre d'hiver BIO</v>
      </c>
      <c r="B2264">
        <f>Sinistrés!J2269</f>
        <v>24500</v>
      </c>
      <c r="C2264">
        <f>Sinistrés!X2269</f>
        <v>10130.4</v>
      </c>
      <c r="D2264">
        <f>Sinistrés!L2269</f>
        <v>20</v>
      </c>
      <c r="E2264">
        <f>Sinistrés!M2269</f>
        <v>20</v>
      </c>
      <c r="F2264">
        <f t="shared" si="70"/>
        <v>0.41348571428571429</v>
      </c>
      <c r="G2264">
        <f t="shared" si="71"/>
        <v>1</v>
      </c>
    </row>
    <row r="2265" spans="1:7" hidden="1">
      <c r="A2265" t="str">
        <f>Sinistrés!H2270</f>
        <v>Colza d'hiver BIO</v>
      </c>
      <c r="B2265">
        <f>Sinistrés!J2270</f>
        <v>16716.7</v>
      </c>
      <c r="C2265">
        <f>Sinistrés!X2270</f>
        <v>0</v>
      </c>
      <c r="D2265">
        <f>Sinistrés!L2270</f>
        <v>22</v>
      </c>
      <c r="E2265">
        <f>Sinistrés!M2270</f>
        <v>22</v>
      </c>
      <c r="F2265">
        <f t="shared" si="70"/>
        <v>0</v>
      </c>
      <c r="G2265">
        <f t="shared" si="71"/>
        <v>1</v>
      </c>
    </row>
    <row r="2266" spans="1:7" hidden="1">
      <c r="A2266" t="str">
        <f>Sinistrés!H2271</f>
        <v>Orge de printemps BIO</v>
      </c>
      <c r="B2266">
        <f>Sinistrés!J2271</f>
        <v>6340</v>
      </c>
      <c r="C2266">
        <f>Sinistrés!X2271</f>
        <v>2366</v>
      </c>
      <c r="D2266">
        <f>Sinistrés!L2271</f>
        <v>8</v>
      </c>
      <c r="E2266">
        <f>Sinistrés!M2271</f>
        <v>8</v>
      </c>
      <c r="F2266">
        <f t="shared" si="70"/>
        <v>0.37318611987381706</v>
      </c>
      <c r="G2266">
        <f t="shared" si="71"/>
        <v>1</v>
      </c>
    </row>
    <row r="2267" spans="1:7" hidden="1">
      <c r="A2267" t="str">
        <f>Sinistrés!H2272</f>
        <v>Pois protéagineux BIO</v>
      </c>
      <c r="B2267">
        <f>Sinistrés!J2272</f>
        <v>5207.2</v>
      </c>
      <c r="C2267">
        <f>Sinistrés!X2272</f>
        <v>0</v>
      </c>
      <c r="D2267">
        <f>Sinistrés!L2272</f>
        <v>8</v>
      </c>
      <c r="E2267">
        <f>Sinistrés!M2272</f>
        <v>8</v>
      </c>
      <c r="F2267">
        <f t="shared" si="70"/>
        <v>0</v>
      </c>
      <c r="G2267">
        <f t="shared" si="71"/>
        <v>1</v>
      </c>
    </row>
    <row r="2268" spans="1:7" hidden="1">
      <c r="A2268" t="str">
        <f>Sinistrés!H2273</f>
        <v>Triticale BIO</v>
      </c>
      <c r="B2268">
        <f>Sinistrés!J2273</f>
        <v>3471</v>
      </c>
      <c r="C2268">
        <f>Sinistrés!X2273</f>
        <v>0</v>
      </c>
      <c r="D2268">
        <f>Sinistrés!L2273</f>
        <v>6.5</v>
      </c>
      <c r="E2268">
        <f>Sinistrés!M2273</f>
        <v>6.5</v>
      </c>
      <c r="F2268">
        <f t="shared" si="70"/>
        <v>0</v>
      </c>
      <c r="G2268">
        <f t="shared" si="71"/>
        <v>1</v>
      </c>
    </row>
    <row r="2269" spans="1:7" hidden="1">
      <c r="A2269" t="str">
        <f>Sinistrés!H2274</f>
        <v>Blé de force</v>
      </c>
      <c r="B2269">
        <f>Sinistrés!J2274</f>
        <v>14895.1</v>
      </c>
      <c r="C2269">
        <f>Sinistrés!X2274</f>
        <v>0</v>
      </c>
      <c r="D2269">
        <f>Sinistrés!L2274</f>
        <v>12.31</v>
      </c>
      <c r="E2269">
        <f>Sinistrés!M2274</f>
        <v>12.31</v>
      </c>
      <c r="F2269">
        <f t="shared" si="70"/>
        <v>0</v>
      </c>
      <c r="G2269">
        <f t="shared" si="71"/>
        <v>1</v>
      </c>
    </row>
    <row r="2270" spans="1:7" hidden="1">
      <c r="A2270" t="str">
        <f>Sinistrés!H2275</f>
        <v>Blé tendre d'hiver BIO</v>
      </c>
      <c r="B2270">
        <f>Sinistrés!J2275</f>
        <v>9998.91</v>
      </c>
      <c r="C2270">
        <f>Sinistrés!X2275</f>
        <v>0</v>
      </c>
      <c r="D2270">
        <f>Sinistrés!L2275</f>
        <v>12.77</v>
      </c>
      <c r="E2270">
        <f>Sinistrés!M2275</f>
        <v>12.77</v>
      </c>
      <c r="F2270">
        <f t="shared" si="70"/>
        <v>0</v>
      </c>
      <c r="G2270">
        <f t="shared" si="71"/>
        <v>1</v>
      </c>
    </row>
    <row r="2271" spans="1:7" hidden="1">
      <c r="A2271" t="str">
        <f>Sinistrés!H2276</f>
        <v>Soja</v>
      </c>
      <c r="B2271">
        <f>Sinistrés!J2276</f>
        <v>14653.99</v>
      </c>
      <c r="C2271">
        <f>Sinistrés!X2276</f>
        <v>0</v>
      </c>
      <c r="D2271">
        <f>Sinistrés!L2276</f>
        <v>13.34</v>
      </c>
      <c r="E2271">
        <f>Sinistrés!M2276</f>
        <v>13.34</v>
      </c>
      <c r="F2271">
        <f t="shared" si="70"/>
        <v>0</v>
      </c>
      <c r="G2271">
        <f t="shared" si="71"/>
        <v>1</v>
      </c>
    </row>
    <row r="2272" spans="1:7" hidden="1">
      <c r="A2272" t="str">
        <f>Sinistrés!H2277</f>
        <v>Orge d'hiver</v>
      </c>
      <c r="B2272">
        <f>Sinistrés!J2277</f>
        <v>29647.3</v>
      </c>
      <c r="C2272">
        <f>Sinistrés!X2277</f>
        <v>0</v>
      </c>
      <c r="D2272">
        <f>Sinistrés!L2277</f>
        <v>25.92</v>
      </c>
      <c r="E2272">
        <f>Sinistrés!M2277</f>
        <v>25.9</v>
      </c>
      <c r="F2272">
        <f t="shared" si="70"/>
        <v>0</v>
      </c>
      <c r="G2272">
        <f t="shared" si="71"/>
        <v>0.99922839506172823</v>
      </c>
    </row>
    <row r="2273" spans="1:7" hidden="1">
      <c r="A2273" t="str">
        <f>Sinistrés!H2278</f>
        <v>Orge de printemps</v>
      </c>
      <c r="B2273">
        <f>Sinistrés!J2278</f>
        <v>21851.73</v>
      </c>
      <c r="C2273">
        <f>Sinistrés!X2278</f>
        <v>0</v>
      </c>
      <c r="D2273">
        <f>Sinistrés!L2278</f>
        <v>14.03</v>
      </c>
      <c r="E2273">
        <f>Sinistrés!M2278</f>
        <v>14</v>
      </c>
      <c r="F2273">
        <f t="shared" si="70"/>
        <v>0</v>
      </c>
      <c r="G2273">
        <f t="shared" si="71"/>
        <v>0.99786172487526736</v>
      </c>
    </row>
    <row r="2274" spans="1:7">
      <c r="A2274" t="str">
        <f>Sinistrés!H2279</f>
        <v>Pois protéagineux</v>
      </c>
      <c r="B2274">
        <f>Sinistrés!J2279</f>
        <v>5600.84</v>
      </c>
      <c r="C2274">
        <f>Sinistrés!X2279</f>
        <v>1174.1500000000001</v>
      </c>
      <c r="D2274">
        <f>Sinistrés!L2279</f>
        <v>4.82</v>
      </c>
      <c r="E2274">
        <f>Sinistrés!M2279</f>
        <v>4.8</v>
      </c>
      <c r="F2274">
        <f t="shared" si="70"/>
        <v>0.20963819712757373</v>
      </c>
      <c r="G2274">
        <f t="shared" si="71"/>
        <v>0.99585062240663891</v>
      </c>
    </row>
    <row r="2275" spans="1:7" hidden="1">
      <c r="A2275" t="str">
        <f>Sinistrés!H2280</f>
        <v>Blé tendre d'hiver</v>
      </c>
      <c r="B2275">
        <f>Sinistrés!J2280</f>
        <v>57621</v>
      </c>
      <c r="C2275">
        <f>Sinistrés!X2280</f>
        <v>0</v>
      </c>
      <c r="D2275">
        <f>Sinistrés!L2280</f>
        <v>50.21</v>
      </c>
      <c r="E2275">
        <f>Sinistrés!M2280</f>
        <v>50.2</v>
      </c>
      <c r="F2275">
        <f t="shared" si="70"/>
        <v>0</v>
      </c>
      <c r="G2275">
        <f t="shared" si="71"/>
        <v>0.99980083648675566</v>
      </c>
    </row>
    <row r="2276" spans="1:7" hidden="1">
      <c r="A2276" t="str">
        <f>Sinistrés!H2281</f>
        <v>Colza d'hiver</v>
      </c>
      <c r="B2276">
        <f>Sinistrés!J2281</f>
        <v>30874.03</v>
      </c>
      <c r="C2276">
        <f>Sinistrés!X2281</f>
        <v>0</v>
      </c>
      <c r="D2276">
        <f>Sinistrés!L2281</f>
        <v>26.16</v>
      </c>
      <c r="E2276">
        <f>Sinistrés!M2281</f>
        <v>26</v>
      </c>
      <c r="F2276">
        <f t="shared" si="70"/>
        <v>0</v>
      </c>
      <c r="G2276">
        <f t="shared" si="71"/>
        <v>0.99388379204892963</v>
      </c>
    </row>
    <row r="2277" spans="1:7" hidden="1">
      <c r="A2277" t="str">
        <f>Sinistrés!H2282</f>
        <v>Orge d'hiver</v>
      </c>
      <c r="B2277">
        <f>Sinistrés!J2282</f>
        <v>24467.99</v>
      </c>
      <c r="C2277">
        <f>Sinistrés!X2282</f>
        <v>0</v>
      </c>
      <c r="D2277">
        <f>Sinistrés!L2282</f>
        <v>20.69</v>
      </c>
      <c r="E2277">
        <f>Sinistrés!M2282</f>
        <v>20.69</v>
      </c>
      <c r="F2277">
        <f t="shared" si="70"/>
        <v>0</v>
      </c>
      <c r="G2277">
        <f t="shared" si="71"/>
        <v>1</v>
      </c>
    </row>
    <row r="2278" spans="1:7" hidden="1">
      <c r="A2278" t="str">
        <f>Sinistrés!H2283</f>
        <v>Tournesol</v>
      </c>
      <c r="B2278">
        <f>Sinistrés!J2283</f>
        <v>16996.32</v>
      </c>
      <c r="C2278">
        <f>Sinistrés!X2283</f>
        <v>0</v>
      </c>
      <c r="D2278">
        <f>Sinistrés!L2283</f>
        <v>21.46</v>
      </c>
      <c r="E2278">
        <f>Sinistrés!M2283</f>
        <v>21.46</v>
      </c>
      <c r="F2278">
        <f t="shared" si="70"/>
        <v>0</v>
      </c>
      <c r="G2278">
        <f t="shared" si="71"/>
        <v>1</v>
      </c>
    </row>
    <row r="2279" spans="1:7" hidden="1">
      <c r="A2279" t="str">
        <f>Sinistrés!H2284</f>
        <v>Blé tendre d'hiver</v>
      </c>
      <c r="B2279">
        <f>Sinistrés!J2284</f>
        <v>51558.1</v>
      </c>
      <c r="C2279">
        <f>Sinistrés!X2284</f>
        <v>0</v>
      </c>
      <c r="D2279">
        <f>Sinistrés!L2284</f>
        <v>42.61</v>
      </c>
      <c r="E2279">
        <f>Sinistrés!M2284</f>
        <v>42.61</v>
      </c>
      <c r="F2279">
        <f t="shared" si="70"/>
        <v>0</v>
      </c>
      <c r="G2279">
        <f t="shared" si="71"/>
        <v>1</v>
      </c>
    </row>
    <row r="2280" spans="1:7" hidden="1">
      <c r="A2280" t="str">
        <f>Sinistrés!H2285</f>
        <v>Blé dur d'hiver</v>
      </c>
      <c r="B2280">
        <f>Sinistrés!J2285</f>
        <v>19613.099999999999</v>
      </c>
      <c r="C2280">
        <f>Sinistrés!X2285</f>
        <v>0</v>
      </c>
      <c r="D2280">
        <f>Sinistrés!L2285</f>
        <v>10.7</v>
      </c>
      <c r="E2280">
        <f>Sinistrés!M2285</f>
        <v>10.7</v>
      </c>
      <c r="F2280">
        <f t="shared" si="70"/>
        <v>0</v>
      </c>
      <c r="G2280">
        <f t="shared" si="71"/>
        <v>1</v>
      </c>
    </row>
    <row r="2281" spans="1:7" hidden="1">
      <c r="A2281" t="str">
        <f>Sinistrés!H2286</f>
        <v>Blé de force</v>
      </c>
      <c r="B2281">
        <f>Sinistrés!J2286</f>
        <v>12432.24</v>
      </c>
      <c r="C2281">
        <f>Sinistrés!X2286</f>
        <v>0</v>
      </c>
      <c r="D2281">
        <f>Sinistrés!L2286</f>
        <v>11.16</v>
      </c>
      <c r="E2281">
        <f>Sinistrés!M2286</f>
        <v>11.16</v>
      </c>
      <c r="F2281">
        <f t="shared" si="70"/>
        <v>0</v>
      </c>
      <c r="G2281">
        <f t="shared" si="71"/>
        <v>1</v>
      </c>
    </row>
    <row r="2282" spans="1:7" hidden="1">
      <c r="A2282" t="str">
        <f>Sinistrés!H2287</f>
        <v>Blé tendre d'hiver</v>
      </c>
      <c r="B2282">
        <f>Sinistrés!J2287</f>
        <v>26067.599999999999</v>
      </c>
      <c r="C2282">
        <f>Sinistrés!X2287</f>
        <v>0</v>
      </c>
      <c r="D2282">
        <f>Sinistrés!L2287</f>
        <v>26</v>
      </c>
      <c r="E2282">
        <f>Sinistrés!M2287</f>
        <v>26</v>
      </c>
      <c r="F2282">
        <f t="shared" si="70"/>
        <v>0</v>
      </c>
      <c r="G2282">
        <f t="shared" si="71"/>
        <v>1</v>
      </c>
    </row>
    <row r="2283" spans="1:7" hidden="1">
      <c r="A2283" t="str">
        <f>Sinistrés!H2288</f>
        <v>Colza d'hiver</v>
      </c>
      <c r="B2283">
        <f>Sinistrés!J2288</f>
        <v>26318.04</v>
      </c>
      <c r="C2283">
        <f>Sinistrés!X2288</f>
        <v>0</v>
      </c>
      <c r="D2283">
        <f>Sinistrés!L2288</f>
        <v>18.43</v>
      </c>
      <c r="E2283">
        <f>Sinistrés!M2288</f>
        <v>18.43</v>
      </c>
      <c r="F2283">
        <f t="shared" si="70"/>
        <v>0</v>
      </c>
      <c r="G2283">
        <f t="shared" si="71"/>
        <v>1</v>
      </c>
    </row>
    <row r="2284" spans="1:7" hidden="1">
      <c r="A2284" t="str">
        <f>Sinistrés!H2289</f>
        <v>Orge d'hiver</v>
      </c>
      <c r="B2284">
        <f>Sinistrés!J2289</f>
        <v>22839.19</v>
      </c>
      <c r="C2284">
        <f>Sinistrés!X2289</f>
        <v>0</v>
      </c>
      <c r="D2284">
        <f>Sinistrés!L2289</f>
        <v>24.59</v>
      </c>
      <c r="E2284">
        <f>Sinistrés!M2289</f>
        <v>24.59</v>
      </c>
      <c r="F2284">
        <f t="shared" si="70"/>
        <v>0</v>
      </c>
      <c r="G2284">
        <f t="shared" si="71"/>
        <v>1</v>
      </c>
    </row>
    <row r="2285" spans="1:7">
      <c r="A2285" t="str">
        <f>Sinistrés!H2290</f>
        <v>Blé tendre d'hiver</v>
      </c>
      <c r="B2285">
        <f>Sinistrés!J2290</f>
        <v>75330.8</v>
      </c>
      <c r="C2285">
        <f>Sinistrés!X2290</f>
        <v>9823.43</v>
      </c>
      <c r="D2285">
        <f>Sinistrés!L2290</f>
        <v>54.99</v>
      </c>
      <c r="E2285">
        <f>Sinistrés!M2290</f>
        <v>40</v>
      </c>
      <c r="F2285">
        <f t="shared" si="70"/>
        <v>0.13040389853818093</v>
      </c>
      <c r="G2285">
        <f t="shared" si="71"/>
        <v>0.72740498272413168</v>
      </c>
    </row>
    <row r="2286" spans="1:7">
      <c r="A2286" t="str">
        <f>Sinistrés!H2291</f>
        <v>Colza d'hiver</v>
      </c>
      <c r="B2286">
        <f>Sinistrés!J2291</f>
        <v>21821.56</v>
      </c>
      <c r="C2286">
        <f>Sinistrés!X2291</f>
        <v>397.31</v>
      </c>
      <c r="D2286">
        <f>Sinistrés!L2291</f>
        <v>17.77</v>
      </c>
      <c r="E2286">
        <f>Sinistrés!M2291</f>
        <v>17.77</v>
      </c>
      <c r="F2286">
        <f t="shared" si="70"/>
        <v>1.8207222581703597E-2</v>
      </c>
      <c r="G2286">
        <f t="shared" si="71"/>
        <v>1</v>
      </c>
    </row>
    <row r="2287" spans="1:7" hidden="1">
      <c r="A2287" t="str">
        <f>Sinistrés!H2292</f>
        <v>Tournesol</v>
      </c>
      <c r="B2287">
        <f>Sinistrés!J2292</f>
        <v>4222.37</v>
      </c>
      <c r="C2287">
        <f>Sinistrés!X2292</f>
        <v>0</v>
      </c>
      <c r="D2287">
        <f>Sinistrés!L2292</f>
        <v>3.62</v>
      </c>
      <c r="E2287">
        <f>Sinistrés!M2292</f>
        <v>3.62</v>
      </c>
      <c r="F2287">
        <f t="shared" si="70"/>
        <v>0</v>
      </c>
      <c r="G2287">
        <f t="shared" si="71"/>
        <v>1</v>
      </c>
    </row>
    <row r="2288" spans="1:7" hidden="1">
      <c r="A2288" t="str">
        <f>Sinistrés!H2293</f>
        <v>Maïs grain non irrigué</v>
      </c>
      <c r="B2288">
        <f>Sinistrés!J2293</f>
        <v>49536.82</v>
      </c>
      <c r="C2288">
        <f>Sinistrés!X2293</f>
        <v>0</v>
      </c>
      <c r="D2288">
        <f>Sinistrés!L2293</f>
        <v>26.53</v>
      </c>
      <c r="E2288">
        <f>Sinistrés!M2293</f>
        <v>26.53</v>
      </c>
      <c r="F2288">
        <f t="shared" si="70"/>
        <v>0</v>
      </c>
      <c r="G2288">
        <f t="shared" si="71"/>
        <v>1</v>
      </c>
    </row>
    <row r="2289" spans="1:7" hidden="1">
      <c r="A2289" t="str">
        <f>Sinistrés!H2294</f>
        <v>Tournesol</v>
      </c>
      <c r="B2289">
        <f>Sinistrés!J2294</f>
        <v>4691.7</v>
      </c>
      <c r="C2289">
        <f>Sinistrés!X2294</f>
        <v>0</v>
      </c>
      <c r="D2289">
        <f>Sinistrés!L2294</f>
        <v>4.01</v>
      </c>
      <c r="E2289">
        <f>Sinistrés!M2294</f>
        <v>4</v>
      </c>
      <c r="F2289">
        <f t="shared" si="70"/>
        <v>0</v>
      </c>
      <c r="G2289">
        <f t="shared" si="71"/>
        <v>0.99750623441396513</v>
      </c>
    </row>
    <row r="2290" spans="1:7" hidden="1">
      <c r="A2290" t="str">
        <f>Sinistrés!H2295</f>
        <v>Soja</v>
      </c>
      <c r="B2290">
        <f>Sinistrés!J2295</f>
        <v>8417.52</v>
      </c>
      <c r="C2290">
        <f>Sinistrés!X2295</f>
        <v>0</v>
      </c>
      <c r="D2290">
        <f>Sinistrés!L2295</f>
        <v>8.66</v>
      </c>
      <c r="E2290">
        <f>Sinistrés!M2295</f>
        <v>8</v>
      </c>
      <c r="F2290">
        <f t="shared" si="70"/>
        <v>0</v>
      </c>
      <c r="G2290">
        <f t="shared" si="71"/>
        <v>0.92378752886836024</v>
      </c>
    </row>
    <row r="2291" spans="1:7">
      <c r="A2291" t="str">
        <f>Sinistrés!H2296</f>
        <v>Blé de force</v>
      </c>
      <c r="B2291">
        <f>Sinistrés!J2296</f>
        <v>19079.28</v>
      </c>
      <c r="C2291">
        <f>Sinistrés!X2296</f>
        <v>1547.83</v>
      </c>
      <c r="D2291">
        <f>Sinistrés!L2296</f>
        <v>13.2</v>
      </c>
      <c r="E2291">
        <f>Sinistrés!M2296</f>
        <v>13.3</v>
      </c>
      <c r="F2291">
        <f t="shared" si="70"/>
        <v>8.1126226985504701E-2</v>
      </c>
      <c r="G2291">
        <f t="shared" si="71"/>
        <v>1.0075757575757578</v>
      </c>
    </row>
    <row r="2292" spans="1:7">
      <c r="A2292" t="str">
        <f>Sinistrés!H2297</f>
        <v>Blé tendre d'hiver</v>
      </c>
      <c r="B2292">
        <f>Sinistrés!J2297</f>
        <v>35262.400000000001</v>
      </c>
      <c r="C2292">
        <f>Sinistrés!X2297</f>
        <v>1690.18</v>
      </c>
      <c r="D2292">
        <f>Sinistrés!L2297</f>
        <v>29.59</v>
      </c>
      <c r="E2292">
        <f>Sinistrés!M2297</f>
        <v>29.59</v>
      </c>
      <c r="F2292">
        <f t="shared" si="70"/>
        <v>4.7931507781659784E-2</v>
      </c>
      <c r="G2292">
        <f t="shared" si="71"/>
        <v>1</v>
      </c>
    </row>
    <row r="2293" spans="1:7" hidden="1">
      <c r="A2293" t="str">
        <f>Sinistrés!H2298</f>
        <v>Orge d'hiver</v>
      </c>
      <c r="B2293">
        <f>Sinistrés!J2298</f>
        <v>10128</v>
      </c>
      <c r="C2293">
        <f>Sinistrés!X2298</f>
        <v>0</v>
      </c>
      <c r="D2293">
        <f>Sinistrés!L2298</f>
        <v>10</v>
      </c>
      <c r="E2293">
        <f>Sinistrés!M2298</f>
        <v>10</v>
      </c>
      <c r="F2293">
        <f t="shared" si="70"/>
        <v>0</v>
      </c>
      <c r="G2293">
        <f t="shared" si="71"/>
        <v>1</v>
      </c>
    </row>
    <row r="2294" spans="1:7" hidden="1">
      <c r="A2294" t="str">
        <f>Sinistrés!H2299</f>
        <v>Blé tendre d'hiver</v>
      </c>
      <c r="B2294">
        <f>Sinistrés!J2299</f>
        <v>21857.599999999999</v>
      </c>
      <c r="C2294">
        <f>Sinistrés!X2299</f>
        <v>0</v>
      </c>
      <c r="D2294">
        <f>Sinistrés!L2299</f>
        <v>14.38</v>
      </c>
      <c r="E2294">
        <f>Sinistrés!M2299</f>
        <v>12.43</v>
      </c>
      <c r="F2294">
        <f t="shared" si="70"/>
        <v>0</v>
      </c>
      <c r="G2294">
        <f t="shared" si="71"/>
        <v>0.86439499304589706</v>
      </c>
    </row>
    <row r="2295" spans="1:7" hidden="1">
      <c r="A2295" t="str">
        <f>Sinistrés!H2300</f>
        <v>Maïs grain non irrigué</v>
      </c>
      <c r="B2295">
        <f>Sinistrés!J2300</f>
        <v>25998.48</v>
      </c>
      <c r="C2295">
        <f>Sinistrés!X2300</f>
        <v>0</v>
      </c>
      <c r="D2295">
        <f>Sinistrés!L2300</f>
        <v>15.71</v>
      </c>
      <c r="E2295">
        <f>Sinistrés!M2300</f>
        <v>12.22</v>
      </c>
      <c r="F2295">
        <f t="shared" si="70"/>
        <v>0</v>
      </c>
      <c r="G2295">
        <f t="shared" si="71"/>
        <v>0.77784850413749207</v>
      </c>
    </row>
    <row r="2296" spans="1:7">
      <c r="A2296" t="str">
        <f>Sinistrés!H2301</f>
        <v>Tournesol</v>
      </c>
      <c r="B2296">
        <f>Sinistrés!J2301</f>
        <v>43275.73</v>
      </c>
      <c r="C2296">
        <f>Sinistrés!X2301</f>
        <v>2475.65</v>
      </c>
      <c r="D2296">
        <f>Sinistrés!L2301</f>
        <v>38.159999999999997</v>
      </c>
      <c r="E2296">
        <f>Sinistrés!M2301</f>
        <v>15.17</v>
      </c>
      <c r="F2296">
        <f t="shared" si="70"/>
        <v>5.7206429562251172E-2</v>
      </c>
      <c r="G2296">
        <f t="shared" si="71"/>
        <v>0.39753668763102729</v>
      </c>
    </row>
    <row r="2297" spans="1:7">
      <c r="A2297" t="str">
        <f>Sinistrés!H2302</f>
        <v>Blé tendre d'hiver</v>
      </c>
      <c r="B2297">
        <f>Sinistrés!J2302</f>
        <v>68614.320000000007</v>
      </c>
      <c r="C2297">
        <f>Sinistrés!X2302</f>
        <v>156.66999999999999</v>
      </c>
      <c r="D2297">
        <f>Sinistrés!L2302</f>
        <v>49.2</v>
      </c>
      <c r="E2297">
        <f>Sinistrés!M2302</f>
        <v>3.1</v>
      </c>
      <c r="F2297">
        <f t="shared" si="70"/>
        <v>2.2833426025354472E-3</v>
      </c>
      <c r="G2297">
        <f t="shared" si="71"/>
        <v>6.3008130081300809E-2</v>
      </c>
    </row>
    <row r="2298" spans="1:7">
      <c r="A2298" t="str">
        <f>Sinistrés!H2303</f>
        <v>Blé de force</v>
      </c>
      <c r="B2298">
        <f>Sinistrés!J2303</f>
        <v>14363</v>
      </c>
      <c r="C2298">
        <f>Sinistrés!X2303</f>
        <v>1016.25</v>
      </c>
      <c r="D2298">
        <f>Sinistrés!L2303</f>
        <v>13.55</v>
      </c>
      <c r="E2298">
        <f>Sinistrés!M2303</f>
        <v>13.55</v>
      </c>
      <c r="F2298">
        <f t="shared" si="70"/>
        <v>7.0754716981132074E-2</v>
      </c>
      <c r="G2298">
        <f t="shared" si="71"/>
        <v>1</v>
      </c>
    </row>
    <row r="2299" spans="1:7" hidden="1">
      <c r="A2299" t="str">
        <f>Sinistrés!H2304</f>
        <v>Tournesol BIO</v>
      </c>
      <c r="B2299">
        <f>Sinistrés!J2304</f>
        <v>32470</v>
      </c>
      <c r="C2299">
        <f>Sinistrés!X2304</f>
        <v>4297.5</v>
      </c>
      <c r="D2299">
        <f>Sinistrés!L2304</f>
        <v>19.100000000000001</v>
      </c>
      <c r="E2299">
        <f>Sinistrés!M2304</f>
        <v>19.100000000000001</v>
      </c>
      <c r="F2299">
        <f t="shared" si="70"/>
        <v>0.13235294117647059</v>
      </c>
      <c r="G2299">
        <f t="shared" si="71"/>
        <v>1</v>
      </c>
    </row>
    <row r="2300" spans="1:7">
      <c r="A2300" t="str">
        <f>Sinistrés!H2305</f>
        <v>Blé dur d'hiver</v>
      </c>
      <c r="B2300">
        <f>Sinistrés!J2305</f>
        <v>23012</v>
      </c>
      <c r="C2300">
        <f>Sinistrés!X2305</f>
        <v>4763</v>
      </c>
      <c r="D2300">
        <f>Sinistrés!L2305</f>
        <v>22</v>
      </c>
      <c r="E2300">
        <f>Sinistrés!M2305</f>
        <v>22</v>
      </c>
      <c r="F2300">
        <f t="shared" si="70"/>
        <v>0.20697896749521988</v>
      </c>
      <c r="G2300">
        <f t="shared" si="71"/>
        <v>1</v>
      </c>
    </row>
    <row r="2301" spans="1:7">
      <c r="A2301" t="str">
        <f>Sinistrés!H2306</f>
        <v>Orge de printemps</v>
      </c>
      <c r="B2301">
        <f>Sinistrés!J2306</f>
        <v>8246.7000000000007</v>
      </c>
      <c r="C2301">
        <f>Sinistrés!X2306</f>
        <v>2323.48</v>
      </c>
      <c r="D2301">
        <f>Sinistrés!L2306</f>
        <v>7.7</v>
      </c>
      <c r="E2301">
        <f>Sinistrés!M2306</f>
        <v>7.7</v>
      </c>
      <c r="F2301">
        <f t="shared" si="70"/>
        <v>0.28174663804915906</v>
      </c>
      <c r="G2301">
        <f t="shared" si="71"/>
        <v>1</v>
      </c>
    </row>
    <row r="2302" spans="1:7" hidden="1">
      <c r="A2302" t="str">
        <f>Sinistrés!H2307</f>
        <v xml:space="preserve">Maïs doux irrigué </v>
      </c>
      <c r="B2302">
        <f>Sinistrés!J2307</f>
        <v>18143.28</v>
      </c>
      <c r="C2302">
        <f>Sinistrés!X2307</f>
        <v>0</v>
      </c>
      <c r="D2302">
        <f>Sinistrés!L2307</f>
        <v>12</v>
      </c>
      <c r="E2302">
        <f>Sinistrés!M2307</f>
        <v>12</v>
      </c>
      <c r="F2302">
        <f t="shared" si="70"/>
        <v>0</v>
      </c>
      <c r="G2302">
        <f t="shared" si="71"/>
        <v>1</v>
      </c>
    </row>
    <row r="2303" spans="1:7">
      <c r="A2303" t="str">
        <f>Sinistrés!H2308</f>
        <v>Blé dur d'hiver</v>
      </c>
      <c r="B2303">
        <f>Sinistrés!J2308</f>
        <v>52326</v>
      </c>
      <c r="C2303">
        <f>Sinistrés!X2308</f>
        <v>855</v>
      </c>
      <c r="D2303">
        <f>Sinistrés!L2308</f>
        <v>36.72</v>
      </c>
      <c r="E2303">
        <f>Sinistrés!M2308</f>
        <v>21.5</v>
      </c>
      <c r="F2303">
        <f t="shared" si="70"/>
        <v>1.6339869281045753E-2</v>
      </c>
      <c r="G2303">
        <f t="shared" si="71"/>
        <v>0.58551198257080617</v>
      </c>
    </row>
    <row r="2304" spans="1:7">
      <c r="A2304" t="str">
        <f>Sinistrés!H2309</f>
        <v>Colza d'hiver</v>
      </c>
      <c r="B2304">
        <f>Sinistrés!J2309</f>
        <v>196118</v>
      </c>
      <c r="C2304">
        <f>Sinistrés!X2309</f>
        <v>54785.21</v>
      </c>
      <c r="D2304">
        <f>Sinistrés!L2309</f>
        <v>130</v>
      </c>
      <c r="E2304">
        <f>Sinistrés!M2309</f>
        <v>130</v>
      </c>
      <c r="F2304">
        <f t="shared" si="70"/>
        <v>0.27934819853353593</v>
      </c>
      <c r="G2304">
        <f t="shared" si="71"/>
        <v>1</v>
      </c>
    </row>
    <row r="2305" spans="1:7">
      <c r="A2305" t="str">
        <f>Sinistrés!H2310</f>
        <v>Maïs grain irrigué</v>
      </c>
      <c r="B2305">
        <f>Sinistrés!J2310</f>
        <v>238680</v>
      </c>
      <c r="C2305">
        <f>Sinistrés!X2310</f>
        <v>25069.360000000001</v>
      </c>
      <c r="D2305">
        <f>Sinistrés!L2310</f>
        <v>120</v>
      </c>
      <c r="E2305">
        <f>Sinistrés!M2310</f>
        <v>105</v>
      </c>
      <c r="F2305">
        <f t="shared" si="70"/>
        <v>0.10503335009217363</v>
      </c>
      <c r="G2305">
        <f t="shared" si="71"/>
        <v>0.875</v>
      </c>
    </row>
    <row r="2306" spans="1:7" hidden="1">
      <c r="A2306" t="str">
        <f>Sinistrés!H2311</f>
        <v>Maïs grain irrigué BIO</v>
      </c>
      <c r="B2306">
        <f>Sinistrés!J2311</f>
        <v>80000</v>
      </c>
      <c r="C2306">
        <f>Sinistrés!X2311</f>
        <v>4300</v>
      </c>
      <c r="D2306">
        <f>Sinistrés!L2311</f>
        <v>40</v>
      </c>
      <c r="E2306">
        <f>Sinistrés!M2311</f>
        <v>37</v>
      </c>
      <c r="F2306">
        <f t="shared" si="70"/>
        <v>5.3749999999999999E-2</v>
      </c>
      <c r="G2306">
        <f t="shared" si="71"/>
        <v>0.92500000000000004</v>
      </c>
    </row>
    <row r="2307" spans="1:7" hidden="1">
      <c r="A2307" t="str">
        <f>Sinistrés!H2312</f>
        <v>Soja BIO</v>
      </c>
      <c r="B2307">
        <f>Sinistrés!J2312</f>
        <v>178500</v>
      </c>
      <c r="C2307">
        <f>Sinistrés!X2312</f>
        <v>0</v>
      </c>
      <c r="D2307">
        <f>Sinistrés!L2312</f>
        <v>85</v>
      </c>
      <c r="E2307">
        <f>Sinistrés!M2312</f>
        <v>45</v>
      </c>
      <c r="F2307">
        <f t="shared" ref="F2307:F2370" si="72">C2307/B2307</f>
        <v>0</v>
      </c>
      <c r="G2307">
        <f t="shared" ref="G2307:G2370" si="73">E2307/D2307</f>
        <v>0.52941176470588236</v>
      </c>
    </row>
    <row r="2308" spans="1:7">
      <c r="A2308" t="str">
        <f>Sinistrés!H2313</f>
        <v>Colza d'hiver</v>
      </c>
      <c r="B2308">
        <f>Sinistrés!J2313</f>
        <v>19721.52</v>
      </c>
      <c r="C2308">
        <f>Sinistrés!X2313</f>
        <v>2300.84</v>
      </c>
      <c r="D2308">
        <f>Sinistrés!L2313</f>
        <v>12.74</v>
      </c>
      <c r="E2308">
        <f>Sinistrés!M2313</f>
        <v>12.74</v>
      </c>
      <c r="F2308">
        <f t="shared" si="72"/>
        <v>0.11666646384254359</v>
      </c>
      <c r="G2308">
        <f t="shared" si="73"/>
        <v>1</v>
      </c>
    </row>
    <row r="2309" spans="1:7" hidden="1">
      <c r="A2309" t="str">
        <f>Sinistrés!H2314</f>
        <v>Blé tendre d'hiver</v>
      </c>
      <c r="B2309">
        <f>Sinistrés!J2314</f>
        <v>33432.25</v>
      </c>
      <c r="C2309">
        <f>Sinistrés!X2314</f>
        <v>0</v>
      </c>
      <c r="D2309">
        <f>Sinistrés!L2314</f>
        <v>25</v>
      </c>
      <c r="E2309">
        <f>Sinistrés!M2314</f>
        <v>25</v>
      </c>
      <c r="F2309">
        <f t="shared" si="72"/>
        <v>0</v>
      </c>
      <c r="G2309">
        <f t="shared" si="73"/>
        <v>1</v>
      </c>
    </row>
    <row r="2310" spans="1:7" hidden="1">
      <c r="A2310" t="str">
        <f>Sinistrés!H2315</f>
        <v>Colza d'hiver</v>
      </c>
      <c r="B2310">
        <f>Sinistrés!J2315</f>
        <v>16605.91</v>
      </c>
      <c r="C2310">
        <f>Sinistrés!X2315</f>
        <v>0</v>
      </c>
      <c r="D2310">
        <f>Sinistrés!L2315</f>
        <v>12.95</v>
      </c>
      <c r="E2310">
        <f>Sinistrés!M2315</f>
        <v>12.95</v>
      </c>
      <c r="F2310">
        <f t="shared" si="72"/>
        <v>0</v>
      </c>
      <c r="G2310">
        <f t="shared" si="73"/>
        <v>1</v>
      </c>
    </row>
    <row r="2311" spans="1:7" hidden="1">
      <c r="A2311" t="str">
        <f>Sinistrés!H2316</f>
        <v>Blé tendre d'hiver</v>
      </c>
      <c r="B2311">
        <f>Sinistrés!J2316</f>
        <v>14098.74</v>
      </c>
      <c r="C2311">
        <f>Sinistrés!X2316</f>
        <v>0</v>
      </c>
      <c r="D2311">
        <f>Sinistrés!L2316</f>
        <v>14.24</v>
      </c>
      <c r="E2311">
        <f>Sinistrés!M2316</f>
        <v>14.23</v>
      </c>
      <c r="F2311">
        <f t="shared" si="72"/>
        <v>0</v>
      </c>
      <c r="G2311">
        <f t="shared" si="73"/>
        <v>0.9992977528089888</v>
      </c>
    </row>
    <row r="2312" spans="1:7" hidden="1">
      <c r="A2312" t="str">
        <f>Sinistrés!H2317</f>
        <v>Maïs grain irrigué</v>
      </c>
      <c r="B2312">
        <f>Sinistrés!J2317</f>
        <v>47760.92</v>
      </c>
      <c r="C2312">
        <f>Sinistrés!X2317</f>
        <v>0</v>
      </c>
      <c r="D2312">
        <f>Sinistrés!L2317</f>
        <v>25.29</v>
      </c>
      <c r="E2312">
        <f>Sinistrés!M2317</f>
        <v>25.15</v>
      </c>
      <c r="F2312">
        <f t="shared" si="72"/>
        <v>0</v>
      </c>
      <c r="G2312">
        <f t="shared" si="73"/>
        <v>0.99446421510478444</v>
      </c>
    </row>
    <row r="2313" spans="1:7">
      <c r="A2313" t="str">
        <f>Sinistrés!H2318</f>
        <v>Blé tendre d'hiver</v>
      </c>
      <c r="B2313">
        <f>Sinistrés!J2318</f>
        <v>93607.1</v>
      </c>
      <c r="C2313">
        <f>Sinistrés!X2318</f>
        <v>25799.3</v>
      </c>
      <c r="D2313">
        <f>Sinistrés!L2318</f>
        <v>53.72</v>
      </c>
      <c r="E2313">
        <f>Sinistrés!M2318</f>
        <v>53.69</v>
      </c>
      <c r="F2313">
        <f t="shared" si="72"/>
        <v>0.27561264049415052</v>
      </c>
      <c r="G2313">
        <f t="shared" si="73"/>
        <v>0.99944154877140723</v>
      </c>
    </row>
    <row r="2314" spans="1:7" hidden="1">
      <c r="A2314" t="str">
        <f>Sinistrés!H2319</f>
        <v>Colza d'hiver</v>
      </c>
      <c r="B2314">
        <f>Sinistrés!J2319</f>
        <v>16631.71</v>
      </c>
      <c r="C2314">
        <f>Sinistrés!X2319</f>
        <v>0</v>
      </c>
      <c r="D2314">
        <f>Sinistrés!L2319</f>
        <v>10.199999999999999</v>
      </c>
      <c r="E2314">
        <f>Sinistrés!M2319</f>
        <v>10.050000000000001</v>
      </c>
      <c r="F2314">
        <f t="shared" si="72"/>
        <v>0</v>
      </c>
      <c r="G2314">
        <f t="shared" si="73"/>
        <v>0.98529411764705899</v>
      </c>
    </row>
    <row r="2315" spans="1:7" hidden="1">
      <c r="A2315" t="str">
        <f>Sinistrés!H2320</f>
        <v>Tournesol</v>
      </c>
      <c r="B2315">
        <f>Sinistrés!J2320</f>
        <v>80517.45</v>
      </c>
      <c r="C2315">
        <f>Sinistrés!X2320</f>
        <v>0</v>
      </c>
      <c r="D2315">
        <f>Sinistrés!L2320</f>
        <v>39.25</v>
      </c>
      <c r="E2315">
        <f>Sinistrés!M2320</f>
        <v>26.1</v>
      </c>
      <c r="F2315">
        <f t="shared" si="72"/>
        <v>0</v>
      </c>
      <c r="G2315">
        <f t="shared" si="73"/>
        <v>0.66496815286624211</v>
      </c>
    </row>
    <row r="2316" spans="1:7">
      <c r="A2316" t="str">
        <f>Sinistrés!H2321</f>
        <v>Blé dur d'hiver</v>
      </c>
      <c r="B2316">
        <f>Sinistrés!J2321</f>
        <v>18071.349999999999</v>
      </c>
      <c r="C2316">
        <f>Sinistrés!X2321</f>
        <v>1084.28</v>
      </c>
      <c r="D2316">
        <f>Sinistrés!L2321</f>
        <v>11.33</v>
      </c>
      <c r="E2316">
        <f>Sinistrés!M2321</f>
        <v>11.33</v>
      </c>
      <c r="F2316">
        <f t="shared" si="72"/>
        <v>5.9999944663791029E-2</v>
      </c>
      <c r="G2316">
        <f t="shared" si="73"/>
        <v>1</v>
      </c>
    </row>
    <row r="2317" spans="1:7" hidden="1">
      <c r="A2317" t="str">
        <f>Sinistrés!H2322</f>
        <v>Blé tendre d'hiver</v>
      </c>
      <c r="B2317">
        <f>Sinistrés!J2322</f>
        <v>26681.98</v>
      </c>
      <c r="C2317">
        <f>Sinistrés!X2322</f>
        <v>0</v>
      </c>
      <c r="D2317">
        <f>Sinistrés!L2322</f>
        <v>24.56</v>
      </c>
      <c r="E2317">
        <f>Sinistrés!M2322</f>
        <v>24.56</v>
      </c>
      <c r="F2317">
        <f t="shared" si="72"/>
        <v>0</v>
      </c>
      <c r="G2317">
        <f t="shared" si="73"/>
        <v>1</v>
      </c>
    </row>
    <row r="2318" spans="1:7" hidden="1">
      <c r="A2318" t="str">
        <f>Sinistrés!H2323</f>
        <v>Colza d'hiver</v>
      </c>
      <c r="B2318">
        <f>Sinistrés!J2323</f>
        <v>11510.4</v>
      </c>
      <c r="C2318">
        <f>Sinistrés!X2323</f>
        <v>0</v>
      </c>
      <c r="D2318">
        <f>Sinistrés!L2323</f>
        <v>8.7200000000000006</v>
      </c>
      <c r="E2318">
        <f>Sinistrés!M2323</f>
        <v>8.7200000000000006</v>
      </c>
      <c r="F2318">
        <f t="shared" si="72"/>
        <v>0</v>
      </c>
      <c r="G2318">
        <f t="shared" si="73"/>
        <v>1</v>
      </c>
    </row>
    <row r="2319" spans="1:7" hidden="1">
      <c r="A2319" t="str">
        <f>Sinistrés!H2324</f>
        <v>Maïs grain non irrigué</v>
      </c>
      <c r="B2319">
        <f>Sinistrés!J2324</f>
        <v>16119.6</v>
      </c>
      <c r="C2319">
        <f>Sinistrés!X2324</f>
        <v>0</v>
      </c>
      <c r="D2319">
        <f>Sinistrés!L2324</f>
        <v>14.14</v>
      </c>
      <c r="E2319">
        <f>Sinistrés!M2324</f>
        <v>14.14</v>
      </c>
      <c r="F2319">
        <f t="shared" si="72"/>
        <v>0</v>
      </c>
      <c r="G2319">
        <f t="shared" si="73"/>
        <v>1</v>
      </c>
    </row>
    <row r="2320" spans="1:7" hidden="1">
      <c r="A2320" t="str">
        <f>Sinistrés!H2325</f>
        <v>Orge de printemps</v>
      </c>
      <c r="B2320">
        <f>Sinistrés!J2325</f>
        <v>2920.68</v>
      </c>
      <c r="C2320">
        <f>Sinistrés!X2325</f>
        <v>0</v>
      </c>
      <c r="D2320">
        <f>Sinistrés!L2325</f>
        <v>3.99</v>
      </c>
      <c r="E2320">
        <f>Sinistrés!M2325</f>
        <v>3.99</v>
      </c>
      <c r="F2320">
        <f t="shared" si="72"/>
        <v>0</v>
      </c>
      <c r="G2320">
        <f t="shared" si="73"/>
        <v>1</v>
      </c>
    </row>
    <row r="2321" spans="1:7" hidden="1">
      <c r="A2321" t="str">
        <f>Sinistrés!H2326</f>
        <v>Tournesol</v>
      </c>
      <c r="B2321">
        <f>Sinistrés!J2326</f>
        <v>17420.759999999998</v>
      </c>
      <c r="C2321">
        <f>Sinistrés!X2326</f>
        <v>0</v>
      </c>
      <c r="D2321">
        <f>Sinistrés!L2326</f>
        <v>13.02</v>
      </c>
      <c r="E2321">
        <f>Sinistrés!M2326</f>
        <v>13.02</v>
      </c>
      <c r="F2321">
        <f t="shared" si="72"/>
        <v>0</v>
      </c>
      <c r="G2321">
        <f t="shared" si="73"/>
        <v>1</v>
      </c>
    </row>
    <row r="2322" spans="1:7" hidden="1">
      <c r="A2322" t="str">
        <f>Sinistrés!H2327</f>
        <v>Blé tendre d'hiver</v>
      </c>
      <c r="B2322">
        <f>Sinistrés!J2327</f>
        <v>8131.1</v>
      </c>
      <c r="C2322">
        <f>Sinistrés!X2327</f>
        <v>0</v>
      </c>
      <c r="D2322">
        <f>Sinistrés!L2327</f>
        <v>21.73</v>
      </c>
      <c r="E2322">
        <f>Sinistrés!M2327</f>
        <v>22</v>
      </c>
      <c r="F2322">
        <f t="shared" si="72"/>
        <v>0</v>
      </c>
      <c r="G2322">
        <f t="shared" si="73"/>
        <v>1.0124252185918086</v>
      </c>
    </row>
    <row r="2323" spans="1:7" hidden="1">
      <c r="A2323" t="str">
        <f>Sinistrés!H2328</f>
        <v>Orge d'hiver</v>
      </c>
      <c r="B2323">
        <f>Sinistrés!J2328</f>
        <v>5406.49</v>
      </c>
      <c r="C2323">
        <f>Sinistrés!X2328</f>
        <v>0</v>
      </c>
      <c r="D2323">
        <f>Sinistrés!L2328</f>
        <v>4.74</v>
      </c>
      <c r="E2323">
        <f>Sinistrés!M2328</f>
        <v>4.8</v>
      </c>
      <c r="F2323">
        <f t="shared" si="72"/>
        <v>0</v>
      </c>
      <c r="G2323">
        <f t="shared" si="73"/>
        <v>1.0126582278481011</v>
      </c>
    </row>
    <row r="2324" spans="1:7" hidden="1">
      <c r="A2324" t="str">
        <f>Sinistrés!H2329</f>
        <v>Orge d'hiver</v>
      </c>
      <c r="B2324">
        <f>Sinistrés!J2329</f>
        <v>5935.38</v>
      </c>
      <c r="C2324">
        <f>Sinistrés!X2329</f>
        <v>0</v>
      </c>
      <c r="D2324">
        <f>Sinistrés!L2329</f>
        <v>6.6</v>
      </c>
      <c r="E2324">
        <f>Sinistrés!M2329</f>
        <v>7</v>
      </c>
      <c r="F2324">
        <f t="shared" si="72"/>
        <v>0</v>
      </c>
      <c r="G2324">
        <f t="shared" si="73"/>
        <v>1.0606060606060606</v>
      </c>
    </row>
    <row r="2325" spans="1:7" hidden="1">
      <c r="A2325" t="str">
        <f>Sinistrés!H2330</f>
        <v>Blé de force</v>
      </c>
      <c r="B2325">
        <f>Sinistrés!J2330</f>
        <v>27025.8</v>
      </c>
      <c r="C2325">
        <f>Sinistrés!X2330</f>
        <v>0</v>
      </c>
      <c r="D2325">
        <f>Sinistrés!L2330</f>
        <v>21.43</v>
      </c>
      <c r="E2325">
        <f>Sinistrés!M2330</f>
        <v>12</v>
      </c>
      <c r="F2325">
        <f t="shared" si="72"/>
        <v>0</v>
      </c>
      <c r="G2325">
        <f t="shared" si="73"/>
        <v>0.55996266915538961</v>
      </c>
    </row>
    <row r="2326" spans="1:7">
      <c r="A2326" t="str">
        <f>Sinistrés!H2331</f>
        <v>Blé dur d'hiver</v>
      </c>
      <c r="B2326">
        <f>Sinistrés!J2331</f>
        <v>6737.51</v>
      </c>
      <c r="C2326">
        <f>Sinistrés!X2331</f>
        <v>706.78</v>
      </c>
      <c r="D2326">
        <f>Sinistrés!L2331</f>
        <v>4.04</v>
      </c>
      <c r="E2326">
        <f>Sinistrés!M2331</f>
        <v>4</v>
      </c>
      <c r="F2326">
        <f t="shared" si="72"/>
        <v>0.10490225617475891</v>
      </c>
      <c r="G2326">
        <f t="shared" si="73"/>
        <v>0.99009900990099009</v>
      </c>
    </row>
    <row r="2327" spans="1:7" hidden="1">
      <c r="A2327" t="str">
        <f>Sinistrés!H2332</f>
        <v>Blé tendre d'hiver</v>
      </c>
      <c r="B2327">
        <f>Sinistrés!J2332</f>
        <v>7381.04</v>
      </c>
      <c r="C2327">
        <f>Sinistrés!X2332</f>
        <v>0</v>
      </c>
      <c r="D2327">
        <f>Sinistrés!L2332</f>
        <v>7.18</v>
      </c>
      <c r="E2327">
        <f>Sinistrés!M2332</f>
        <v>12</v>
      </c>
      <c r="F2327">
        <f t="shared" si="72"/>
        <v>0</v>
      </c>
      <c r="G2327">
        <f t="shared" si="73"/>
        <v>1.6713091922005572</v>
      </c>
    </row>
    <row r="2328" spans="1:7">
      <c r="A2328" t="str">
        <f>Sinistrés!H2333</f>
        <v>Orge d'hiver</v>
      </c>
      <c r="B2328">
        <f>Sinistrés!J2333</f>
        <v>22815.31</v>
      </c>
      <c r="C2328">
        <f>Sinistrés!X2333</f>
        <v>914.47</v>
      </c>
      <c r="D2328">
        <f>Sinistrés!L2333</f>
        <v>22.11</v>
      </c>
      <c r="E2328">
        <f>Sinistrés!M2333</f>
        <v>22.18</v>
      </c>
      <c r="F2328">
        <f t="shared" si="72"/>
        <v>4.0081419012058132E-2</v>
      </c>
      <c r="G2328">
        <f t="shared" si="73"/>
        <v>1.0031659882406152</v>
      </c>
    </row>
    <row r="2329" spans="1:7" hidden="1">
      <c r="A2329" t="str">
        <f>Sinistrés!H2334</f>
        <v>Blé tendre d'hiver</v>
      </c>
      <c r="B2329">
        <f>Sinistrés!J2334</f>
        <v>35244.86</v>
      </c>
      <c r="C2329">
        <f>Sinistrés!X2334</f>
        <v>0</v>
      </c>
      <c r="D2329">
        <f>Sinistrés!L2334</f>
        <v>28.46</v>
      </c>
      <c r="E2329">
        <f>Sinistrés!M2334</f>
        <v>28.26</v>
      </c>
      <c r="F2329">
        <f t="shared" si="72"/>
        <v>0</v>
      </c>
      <c r="G2329">
        <f t="shared" si="73"/>
        <v>0.99297259311314123</v>
      </c>
    </row>
    <row r="2330" spans="1:7" hidden="1">
      <c r="A2330" t="str">
        <f>Sinistrés!H2335</f>
        <v>Colza d'hiver</v>
      </c>
      <c r="B2330">
        <f>Sinistrés!J2335</f>
        <v>23335</v>
      </c>
      <c r="C2330">
        <f>Sinistrés!X2335</f>
        <v>0</v>
      </c>
      <c r="D2330">
        <f>Sinistrés!L2335</f>
        <v>14.36</v>
      </c>
      <c r="E2330">
        <f>Sinistrés!M2335</f>
        <v>14.37</v>
      </c>
      <c r="F2330">
        <f t="shared" si="72"/>
        <v>0</v>
      </c>
      <c r="G2330">
        <f t="shared" si="73"/>
        <v>1.0006963788300836</v>
      </c>
    </row>
    <row r="2331" spans="1:7">
      <c r="A2331" t="str">
        <f>Sinistrés!H2336</f>
        <v>Blé tendre d'hiver</v>
      </c>
      <c r="B2331">
        <f>Sinistrés!J2336</f>
        <v>63602.57</v>
      </c>
      <c r="C2331">
        <f>Sinistrés!X2336</f>
        <v>16285.63</v>
      </c>
      <c r="D2331">
        <f>Sinistrés!L2336</f>
        <v>53.47</v>
      </c>
      <c r="E2331">
        <f>Sinistrés!M2336</f>
        <v>53.47</v>
      </c>
      <c r="F2331">
        <f t="shared" si="72"/>
        <v>0.25605301798339281</v>
      </c>
      <c r="G2331">
        <f t="shared" si="73"/>
        <v>1</v>
      </c>
    </row>
    <row r="2332" spans="1:7" hidden="1">
      <c r="A2332" t="str">
        <f>Sinistrés!H2337</f>
        <v>Colza d'hiver</v>
      </c>
      <c r="B2332">
        <f>Sinistrés!J2337</f>
        <v>18836.3</v>
      </c>
      <c r="C2332">
        <f>Sinistrés!X2337</f>
        <v>0</v>
      </c>
      <c r="D2332">
        <f>Sinistrés!L2337</f>
        <v>15.16</v>
      </c>
      <c r="E2332">
        <f>Sinistrés!M2337</f>
        <v>15.16</v>
      </c>
      <c r="F2332">
        <f t="shared" si="72"/>
        <v>0</v>
      </c>
      <c r="G2332">
        <f t="shared" si="73"/>
        <v>1</v>
      </c>
    </row>
    <row r="2333" spans="1:7">
      <c r="A2333" t="str">
        <f>Sinistrés!H2338</f>
        <v>Tournesol</v>
      </c>
      <c r="B2333">
        <f>Sinistrés!J2338</f>
        <v>16818.75</v>
      </c>
      <c r="C2333">
        <f>Sinistrés!X2338</f>
        <v>4271.96</v>
      </c>
      <c r="D2333">
        <f>Sinistrés!L2338</f>
        <v>14.95</v>
      </c>
      <c r="E2333">
        <f>Sinistrés!M2338</f>
        <v>14.95</v>
      </c>
      <c r="F2333">
        <f t="shared" si="72"/>
        <v>0.2539998513563731</v>
      </c>
      <c r="G2333">
        <f t="shared" si="73"/>
        <v>1</v>
      </c>
    </row>
    <row r="2334" spans="1:7" hidden="1">
      <c r="A2334" t="str">
        <f>Sinistrés!H2339</f>
        <v>Pois protéagineux SEMENCES</v>
      </c>
      <c r="B2334">
        <f>Sinistrés!J2339</f>
        <v>19296.45</v>
      </c>
      <c r="C2334">
        <f>Sinistrés!X2339</f>
        <v>3085.58</v>
      </c>
      <c r="D2334">
        <f>Sinistrés!L2339</f>
        <v>12.33</v>
      </c>
      <c r="E2334">
        <f>Sinistrés!M2339</f>
        <v>12.33</v>
      </c>
      <c r="F2334">
        <f t="shared" si="72"/>
        <v>0.15990402379712329</v>
      </c>
      <c r="G2334">
        <f t="shared" si="73"/>
        <v>1</v>
      </c>
    </row>
    <row r="2335" spans="1:7" hidden="1">
      <c r="A2335" t="str">
        <f>Sinistrés!H2340</f>
        <v>Maïs grain irrigué</v>
      </c>
      <c r="B2335">
        <f>Sinistrés!J2340</f>
        <v>158590.88</v>
      </c>
      <c r="C2335">
        <f>Sinistrés!X2340</f>
        <v>0</v>
      </c>
      <c r="D2335">
        <f>Sinistrés!L2340</f>
        <v>63.64</v>
      </c>
      <c r="E2335">
        <f>Sinistrés!M2340</f>
        <v>63.64</v>
      </c>
      <c r="F2335">
        <f t="shared" si="72"/>
        <v>0</v>
      </c>
      <c r="G2335">
        <f t="shared" si="73"/>
        <v>1</v>
      </c>
    </row>
    <row r="2336" spans="1:7">
      <c r="A2336" t="str">
        <f>Sinistrés!H2341</f>
        <v>Maïs grain non irrigué</v>
      </c>
      <c r="B2336">
        <f>Sinistrés!J2341</f>
        <v>40986</v>
      </c>
      <c r="C2336">
        <f>Sinistrés!X2341</f>
        <v>7265.7</v>
      </c>
      <c r="D2336">
        <f>Sinistrés!L2341</f>
        <v>18.63</v>
      </c>
      <c r="E2336">
        <f>Sinistrés!M2341</f>
        <v>18.63</v>
      </c>
      <c r="F2336">
        <f t="shared" si="72"/>
        <v>0.17727272727272728</v>
      </c>
      <c r="G2336">
        <f t="shared" si="73"/>
        <v>1</v>
      </c>
    </row>
    <row r="2337" spans="1:7">
      <c r="A2337" t="str">
        <f>Sinistrés!H2342</f>
        <v>Maïs ensilage non irrigué</v>
      </c>
      <c r="B2337">
        <f>Sinistrés!J2342</f>
        <v>26818</v>
      </c>
      <c r="C2337">
        <f>Sinistrés!X2342</f>
        <v>10190.84</v>
      </c>
      <c r="D2337">
        <f>Sinistrés!L2342</f>
        <v>12.19</v>
      </c>
      <c r="E2337">
        <f>Sinistrés!M2342</f>
        <v>12.19</v>
      </c>
      <c r="F2337">
        <f t="shared" si="72"/>
        <v>0.38</v>
      </c>
      <c r="G2337">
        <f t="shared" si="73"/>
        <v>1</v>
      </c>
    </row>
    <row r="2338" spans="1:7" hidden="1">
      <c r="A2338" t="str">
        <f>Sinistrés!H2343</f>
        <v>Blé tendre d'hiver</v>
      </c>
      <c r="B2338">
        <f>Sinistrés!J2343</f>
        <v>10200.75</v>
      </c>
      <c r="C2338">
        <f>Sinistrés!X2343</f>
        <v>0</v>
      </c>
      <c r="D2338">
        <f>Sinistrés!L2343</f>
        <v>10.15</v>
      </c>
      <c r="E2338">
        <f>Sinistrés!M2343</f>
        <v>10.15</v>
      </c>
      <c r="F2338">
        <f t="shared" si="72"/>
        <v>0</v>
      </c>
      <c r="G2338">
        <f t="shared" si="73"/>
        <v>1</v>
      </c>
    </row>
    <row r="2339" spans="1:7" hidden="1">
      <c r="A2339" t="str">
        <f>Sinistrés!H2344</f>
        <v>Orge d'hiver</v>
      </c>
      <c r="B2339">
        <f>Sinistrés!J2344</f>
        <v>8390.5400000000009</v>
      </c>
      <c r="C2339">
        <f>Sinistrés!X2344</f>
        <v>0</v>
      </c>
      <c r="D2339">
        <f>Sinistrés!L2344</f>
        <v>10.28</v>
      </c>
      <c r="E2339">
        <f>Sinistrés!M2344</f>
        <v>10.28</v>
      </c>
      <c r="F2339">
        <f t="shared" si="72"/>
        <v>0</v>
      </c>
      <c r="G2339">
        <f t="shared" si="73"/>
        <v>1</v>
      </c>
    </row>
    <row r="2340" spans="1:7" hidden="1">
      <c r="A2340" t="str">
        <f>Sinistrés!H2345</f>
        <v>Avoine de printemps</v>
      </c>
      <c r="B2340">
        <f>Sinistrés!J2345</f>
        <v>15920.18</v>
      </c>
      <c r="C2340">
        <f>Sinistrés!X2345</f>
        <v>0</v>
      </c>
      <c r="D2340">
        <f>Sinistrés!L2345</f>
        <v>17.57</v>
      </c>
      <c r="E2340">
        <f>Sinistrés!M2345</f>
        <v>17.57</v>
      </c>
      <c r="F2340">
        <f t="shared" si="72"/>
        <v>0</v>
      </c>
      <c r="G2340">
        <f t="shared" si="73"/>
        <v>1</v>
      </c>
    </row>
    <row r="2341" spans="1:7" hidden="1">
      <c r="A2341" t="str">
        <f>Sinistrés!H2346</f>
        <v>Blé de force</v>
      </c>
      <c r="B2341">
        <f>Sinistrés!J2346</f>
        <v>62586.99</v>
      </c>
      <c r="C2341">
        <f>Sinistrés!X2346</f>
        <v>0</v>
      </c>
      <c r="D2341">
        <f>Sinistrés!L2346</f>
        <v>44.14</v>
      </c>
      <c r="E2341">
        <f>Sinistrés!M2346</f>
        <v>44.14</v>
      </c>
      <c r="F2341">
        <f t="shared" si="72"/>
        <v>0</v>
      </c>
      <c r="G2341">
        <f t="shared" si="73"/>
        <v>1</v>
      </c>
    </row>
    <row r="2342" spans="1:7" hidden="1">
      <c r="A2342" t="str">
        <f>Sinistrés!H2347</f>
        <v>Blé tendre d'hiver</v>
      </c>
      <c r="B2342">
        <f>Sinistrés!J2347</f>
        <v>70395.179999999993</v>
      </c>
      <c r="C2342">
        <f>Sinistrés!X2347</f>
        <v>0</v>
      </c>
      <c r="D2342">
        <f>Sinistrés!L2347</f>
        <v>52.77</v>
      </c>
      <c r="E2342">
        <f>Sinistrés!M2347</f>
        <v>52.77</v>
      </c>
      <c r="F2342">
        <f t="shared" si="72"/>
        <v>0</v>
      </c>
      <c r="G2342">
        <f t="shared" si="73"/>
        <v>1</v>
      </c>
    </row>
    <row r="2343" spans="1:7" hidden="1">
      <c r="A2343" t="str">
        <f>Sinistrés!H2348</f>
        <v>Colza d'hiver</v>
      </c>
      <c r="B2343">
        <f>Sinistrés!J2348</f>
        <v>55339.35</v>
      </c>
      <c r="C2343">
        <f>Sinistrés!X2348</f>
        <v>0</v>
      </c>
      <c r="D2343">
        <f>Sinistrés!L2348</f>
        <v>30.49</v>
      </c>
      <c r="E2343">
        <f>Sinistrés!M2348</f>
        <v>30.49</v>
      </c>
      <c r="F2343">
        <f t="shared" si="72"/>
        <v>0</v>
      </c>
      <c r="G2343">
        <f t="shared" si="73"/>
        <v>1</v>
      </c>
    </row>
    <row r="2344" spans="1:7" hidden="1">
      <c r="A2344" t="str">
        <f>Sinistrés!H2349</f>
        <v>Tournesol</v>
      </c>
      <c r="B2344">
        <f>Sinistrés!J2349</f>
        <v>102813.17</v>
      </c>
      <c r="C2344">
        <f>Sinistrés!X2349</f>
        <v>0</v>
      </c>
      <c r="D2344">
        <f>Sinistrés!L2349</f>
        <v>83.69</v>
      </c>
      <c r="E2344">
        <f>Sinistrés!M2349</f>
        <v>83.69</v>
      </c>
      <c r="F2344">
        <f t="shared" si="72"/>
        <v>0</v>
      </c>
      <c r="G2344">
        <f t="shared" si="73"/>
        <v>1</v>
      </c>
    </row>
    <row r="2345" spans="1:7" hidden="1">
      <c r="A2345" t="str">
        <f>Sinistrés!H2350</f>
        <v>Triticale BIO</v>
      </c>
      <c r="B2345">
        <f>Sinistrés!J2350</f>
        <v>14436</v>
      </c>
      <c r="C2345">
        <f>Sinistrés!X2350</f>
        <v>0</v>
      </c>
      <c r="D2345">
        <f>Sinistrés!L2350</f>
        <v>20.05</v>
      </c>
      <c r="E2345">
        <f>Sinistrés!M2350</f>
        <v>20.05</v>
      </c>
      <c r="F2345">
        <f t="shared" si="72"/>
        <v>0</v>
      </c>
      <c r="G2345">
        <f t="shared" si="73"/>
        <v>1</v>
      </c>
    </row>
    <row r="2346" spans="1:7" hidden="1">
      <c r="A2346" t="str">
        <f>Sinistrés!H2351</f>
        <v>Lin textile</v>
      </c>
      <c r="B2346">
        <f>Sinistrés!J2351</f>
        <v>100529.57</v>
      </c>
      <c r="C2346">
        <f>Sinistrés!X2351</f>
        <v>0</v>
      </c>
      <c r="D2346">
        <f>Sinistrés!L2351</f>
        <v>40.659999999999997</v>
      </c>
      <c r="E2346">
        <f>Sinistrés!M2351</f>
        <v>40.659999999999997</v>
      </c>
      <c r="F2346">
        <f t="shared" si="72"/>
        <v>0</v>
      </c>
      <c r="G2346">
        <f t="shared" si="73"/>
        <v>1</v>
      </c>
    </row>
    <row r="2347" spans="1:7" hidden="1">
      <c r="A2347" t="str">
        <f>Sinistrés!H2352</f>
        <v>Orge de printemps</v>
      </c>
      <c r="B2347">
        <f>Sinistrés!J2352</f>
        <v>15812.55</v>
      </c>
      <c r="C2347">
        <f>Sinistrés!X2352</f>
        <v>0</v>
      </c>
      <c r="D2347">
        <f>Sinistrés!L2352</f>
        <v>14.31</v>
      </c>
      <c r="E2347">
        <f>Sinistrés!M2352</f>
        <v>14.31</v>
      </c>
      <c r="F2347">
        <f t="shared" si="72"/>
        <v>0</v>
      </c>
      <c r="G2347">
        <f t="shared" si="73"/>
        <v>1</v>
      </c>
    </row>
    <row r="2348" spans="1:7" hidden="1">
      <c r="A2348" t="str">
        <f>Sinistrés!H2353</f>
        <v>Colza d'hiver</v>
      </c>
      <c r="B2348">
        <f>Sinistrés!J2353</f>
        <v>21777.56</v>
      </c>
      <c r="C2348">
        <f>Sinistrés!X2353</f>
        <v>0</v>
      </c>
      <c r="D2348">
        <f>Sinistrés!L2353</f>
        <v>21.68</v>
      </c>
      <c r="E2348">
        <f>Sinistrés!M2353</f>
        <v>21.66</v>
      </c>
      <c r="F2348">
        <f t="shared" si="72"/>
        <v>0</v>
      </c>
      <c r="G2348">
        <f t="shared" si="73"/>
        <v>0.99907749077490782</v>
      </c>
    </row>
    <row r="2349" spans="1:7" hidden="1">
      <c r="A2349" t="str">
        <f>Sinistrés!H2354</f>
        <v>Blé tendre d'hiver</v>
      </c>
      <c r="B2349">
        <f>Sinistrés!J2354</f>
        <v>28289.360000000001</v>
      </c>
      <c r="C2349">
        <f>Sinistrés!X2354</f>
        <v>0</v>
      </c>
      <c r="D2349">
        <f>Sinistrés!L2354</f>
        <v>33.549999999999997</v>
      </c>
      <c r="E2349">
        <f>Sinistrés!M2354</f>
        <v>33.54</v>
      </c>
      <c r="F2349">
        <f t="shared" si="72"/>
        <v>0</v>
      </c>
      <c r="G2349">
        <f t="shared" si="73"/>
        <v>0.99970193740685553</v>
      </c>
    </row>
    <row r="2350" spans="1:7" hidden="1">
      <c r="A2350" t="str">
        <f>Sinistrés!H2355</f>
        <v>Maïs grain irrigué</v>
      </c>
      <c r="B2350">
        <f>Sinistrés!J2355</f>
        <v>126316.08</v>
      </c>
      <c r="C2350">
        <f>Sinistrés!X2355</f>
        <v>0</v>
      </c>
      <c r="D2350">
        <f>Sinistrés!L2355</f>
        <v>67.650000000000006</v>
      </c>
      <c r="E2350">
        <f>Sinistrés!M2355</f>
        <v>67.64</v>
      </c>
      <c r="F2350">
        <f t="shared" si="72"/>
        <v>0</v>
      </c>
      <c r="G2350">
        <f t="shared" si="73"/>
        <v>0.99985218033998513</v>
      </c>
    </row>
    <row r="2351" spans="1:7" hidden="1">
      <c r="A2351" t="str">
        <f>Sinistrés!H2356</f>
        <v>Blé tendre d'hiver</v>
      </c>
      <c r="B2351">
        <f>Sinistrés!J2356</f>
        <v>32307.55</v>
      </c>
      <c r="C2351">
        <f>Sinistrés!X2356</f>
        <v>0</v>
      </c>
      <c r="D2351">
        <f>Sinistrés!L2356</f>
        <v>36.78</v>
      </c>
      <c r="E2351">
        <f>Sinistrés!M2356</f>
        <v>36.78</v>
      </c>
      <c r="F2351">
        <f t="shared" si="72"/>
        <v>0</v>
      </c>
      <c r="G2351">
        <f t="shared" si="73"/>
        <v>1</v>
      </c>
    </row>
    <row r="2352" spans="1:7" hidden="1">
      <c r="A2352" t="str">
        <f>Sinistrés!H2357</f>
        <v>Colza d'hiver</v>
      </c>
      <c r="B2352">
        <f>Sinistrés!J2357</f>
        <v>14879.16</v>
      </c>
      <c r="C2352">
        <f>Sinistrés!X2357</f>
        <v>0</v>
      </c>
      <c r="D2352">
        <f>Sinistrés!L2357</f>
        <v>17.97</v>
      </c>
      <c r="E2352">
        <f>Sinistrés!M2357</f>
        <v>17.97</v>
      </c>
      <c r="F2352">
        <f t="shared" si="72"/>
        <v>0</v>
      </c>
      <c r="G2352">
        <f t="shared" si="73"/>
        <v>1</v>
      </c>
    </row>
    <row r="2353" spans="1:7" hidden="1">
      <c r="A2353" t="str">
        <f>Sinistrés!H2358</f>
        <v>Orge d'hiver</v>
      </c>
      <c r="B2353">
        <f>Sinistrés!J2358</f>
        <v>9675.18</v>
      </c>
      <c r="C2353">
        <f>Sinistrés!X2358</f>
        <v>0</v>
      </c>
      <c r="D2353">
        <f>Sinistrés!L2358</f>
        <v>14.76</v>
      </c>
      <c r="E2353">
        <f>Sinistrés!M2358</f>
        <v>14.76</v>
      </c>
      <c r="F2353">
        <f t="shared" si="72"/>
        <v>0</v>
      </c>
      <c r="G2353">
        <f t="shared" si="73"/>
        <v>1</v>
      </c>
    </row>
    <row r="2354" spans="1:7" hidden="1">
      <c r="A2354" t="str">
        <f>Sinistrés!H2359</f>
        <v>Blé tendre d'hiver semences</v>
      </c>
      <c r="B2354">
        <f>Sinistrés!J2359</f>
        <v>14417.64</v>
      </c>
      <c r="C2354">
        <f>Sinistrés!X2359</f>
        <v>0</v>
      </c>
      <c r="D2354">
        <f>Sinistrés!L2359</f>
        <v>13.81</v>
      </c>
      <c r="E2354">
        <f>Sinistrés!M2359</f>
        <v>13.81</v>
      </c>
      <c r="F2354">
        <f t="shared" si="72"/>
        <v>0</v>
      </c>
      <c r="G2354">
        <f t="shared" si="73"/>
        <v>1</v>
      </c>
    </row>
    <row r="2355" spans="1:7">
      <c r="A2355" t="str">
        <f>Sinistrés!H2360</f>
        <v>Blé tendre d'hiver</v>
      </c>
      <c r="B2355">
        <f>Sinistrés!J2360</f>
        <v>42712.35</v>
      </c>
      <c r="C2355">
        <f>Sinistrés!X2360</f>
        <v>1623.99</v>
      </c>
      <c r="D2355">
        <f>Sinistrés!L2360</f>
        <v>41.26</v>
      </c>
      <c r="E2355">
        <f>Sinistrés!M2360</f>
        <v>41.26</v>
      </c>
      <c r="F2355">
        <f t="shared" si="72"/>
        <v>3.8021555826359354E-2</v>
      </c>
      <c r="G2355">
        <f t="shared" si="73"/>
        <v>1</v>
      </c>
    </row>
    <row r="2356" spans="1:7" hidden="1">
      <c r="A2356" t="str">
        <f>Sinistrés!H2361</f>
        <v>Blé tendre d'hiver</v>
      </c>
      <c r="B2356">
        <f>Sinistrés!J2361</f>
        <v>12067.27</v>
      </c>
      <c r="C2356">
        <f>Sinistrés!X2361</f>
        <v>0</v>
      </c>
      <c r="D2356">
        <f>Sinistrés!L2361</f>
        <v>10.41</v>
      </c>
      <c r="E2356">
        <f>Sinistrés!M2361</f>
        <v>10.41</v>
      </c>
      <c r="F2356">
        <f t="shared" si="72"/>
        <v>0</v>
      </c>
      <c r="G2356">
        <f t="shared" si="73"/>
        <v>1</v>
      </c>
    </row>
    <row r="2357" spans="1:7" hidden="1">
      <c r="A2357" t="str">
        <f>Sinistrés!H2362</f>
        <v>Orge d'hiver</v>
      </c>
      <c r="B2357">
        <f>Sinistrés!J2362</f>
        <v>13178.75</v>
      </c>
      <c r="C2357">
        <f>Sinistrés!X2362</f>
        <v>0</v>
      </c>
      <c r="D2357">
        <f>Sinistrés!L2362</f>
        <v>13.82</v>
      </c>
      <c r="E2357">
        <f>Sinistrés!M2362</f>
        <v>13.82</v>
      </c>
      <c r="F2357">
        <f t="shared" si="72"/>
        <v>0</v>
      </c>
      <c r="G2357">
        <f t="shared" si="73"/>
        <v>1</v>
      </c>
    </row>
    <row r="2358" spans="1:7" hidden="1">
      <c r="A2358" t="str">
        <f>Sinistrés!H2363</f>
        <v>Blé tendre d'hiver BIO</v>
      </c>
      <c r="B2358">
        <f>Sinistrés!J2363</f>
        <v>32130</v>
      </c>
      <c r="C2358">
        <f>Sinistrés!X2363</f>
        <v>0</v>
      </c>
      <c r="D2358">
        <f>Sinistrés!L2363</f>
        <v>22.95</v>
      </c>
      <c r="E2358">
        <f>Sinistrés!M2363</f>
        <v>22.95</v>
      </c>
      <c r="F2358">
        <f t="shared" si="72"/>
        <v>0</v>
      </c>
      <c r="G2358">
        <f t="shared" si="73"/>
        <v>1</v>
      </c>
    </row>
    <row r="2359" spans="1:7">
      <c r="A2359" t="str">
        <f>Sinistrés!H2364</f>
        <v>Blé tendre d'hiver</v>
      </c>
      <c r="B2359">
        <f>Sinistrés!J2364</f>
        <v>83972.35</v>
      </c>
      <c r="C2359">
        <f>Sinistrés!X2364</f>
        <v>962.07</v>
      </c>
      <c r="D2359">
        <f>Sinistrés!L2364</f>
        <v>82.52</v>
      </c>
      <c r="E2359">
        <f>Sinistrés!M2364</f>
        <v>82.52</v>
      </c>
      <c r="F2359">
        <f t="shared" si="72"/>
        <v>1.1456985543455672E-2</v>
      </c>
      <c r="G2359">
        <f t="shared" si="73"/>
        <v>1</v>
      </c>
    </row>
    <row r="2360" spans="1:7" hidden="1">
      <c r="A2360" t="str">
        <f>Sinistrés!H2365</f>
        <v>Colza d'hiver</v>
      </c>
      <c r="B2360">
        <f>Sinistrés!J2365</f>
        <v>54378.239999999998</v>
      </c>
      <c r="C2360">
        <f>Sinistrés!X2365</f>
        <v>0</v>
      </c>
      <c r="D2360">
        <f>Sinistrés!L2365</f>
        <v>38.08</v>
      </c>
      <c r="E2360">
        <f>Sinistrés!M2365</f>
        <v>38.08</v>
      </c>
      <c r="F2360">
        <f t="shared" si="72"/>
        <v>0</v>
      </c>
      <c r="G2360">
        <f t="shared" si="73"/>
        <v>1</v>
      </c>
    </row>
    <row r="2361" spans="1:7" hidden="1">
      <c r="A2361" t="str">
        <f>Sinistrés!H2366</f>
        <v>Orge d'hiver</v>
      </c>
      <c r="B2361">
        <f>Sinistrés!J2366</f>
        <v>27307.88</v>
      </c>
      <c r="C2361">
        <f>Sinistrés!X2366</f>
        <v>0</v>
      </c>
      <c r="D2361">
        <f>Sinistrés!L2366</f>
        <v>36.049999999999997</v>
      </c>
      <c r="E2361">
        <f>Sinistrés!M2366</f>
        <v>36.049999999999997</v>
      </c>
      <c r="F2361">
        <f t="shared" si="72"/>
        <v>0</v>
      </c>
      <c r="G2361">
        <f t="shared" si="73"/>
        <v>1</v>
      </c>
    </row>
    <row r="2362" spans="1:7">
      <c r="A2362" t="str">
        <f>Sinistrés!H2367</f>
        <v>Tournesol</v>
      </c>
      <c r="B2362">
        <f>Sinistrés!J2367</f>
        <v>22396.5</v>
      </c>
      <c r="C2362">
        <f>Sinistrés!X2367</f>
        <v>5647.32</v>
      </c>
      <c r="D2362">
        <f>Sinistrés!L2367</f>
        <v>21</v>
      </c>
      <c r="E2362">
        <f>Sinistrés!M2367</f>
        <v>19.739999999999998</v>
      </c>
      <c r="F2362">
        <f t="shared" si="72"/>
        <v>0.2521518987341772</v>
      </c>
      <c r="G2362">
        <f t="shared" si="73"/>
        <v>0.94</v>
      </c>
    </row>
    <row r="2363" spans="1:7">
      <c r="A2363" t="str">
        <f>Sinistrés!H2368</f>
        <v>Maïs grain non irrigué</v>
      </c>
      <c r="B2363">
        <f>Sinistrés!J2368</f>
        <v>16632</v>
      </c>
      <c r="C2363">
        <f>Sinistrés!X2368</f>
        <v>3883.32</v>
      </c>
      <c r="D2363">
        <f>Sinistrés!L2368</f>
        <v>14</v>
      </c>
      <c r="E2363">
        <f>Sinistrés!M2368</f>
        <v>14.15</v>
      </c>
      <c r="F2363">
        <f t="shared" si="72"/>
        <v>0.23348484848484849</v>
      </c>
      <c r="G2363">
        <f t="shared" si="73"/>
        <v>1.0107142857142857</v>
      </c>
    </row>
    <row r="2364" spans="1:7" hidden="1">
      <c r="A2364" t="str">
        <f>Sinistrés!H2369</f>
        <v>Orge d'hiver</v>
      </c>
      <c r="B2364">
        <f>Sinistrés!J2369</f>
        <v>16551</v>
      </c>
      <c r="C2364">
        <f>Sinistrés!X2369</f>
        <v>0</v>
      </c>
      <c r="D2364">
        <f>Sinistrés!L2369</f>
        <v>15</v>
      </c>
      <c r="E2364">
        <f>Sinistrés!M2369</f>
        <v>16.63</v>
      </c>
      <c r="F2364">
        <f t="shared" si="72"/>
        <v>0</v>
      </c>
      <c r="G2364">
        <f t="shared" si="73"/>
        <v>1.1086666666666667</v>
      </c>
    </row>
    <row r="2365" spans="1:7" hidden="1">
      <c r="A2365" t="str">
        <f>Sinistrés!H2370</f>
        <v>Soja BIO</v>
      </c>
      <c r="B2365">
        <f>Sinistrés!J2370</f>
        <v>8121.6</v>
      </c>
      <c r="C2365">
        <f>Sinistrés!X2370</f>
        <v>4452.4799999999996</v>
      </c>
      <c r="D2365">
        <f>Sinistrés!L2370</f>
        <v>12.69</v>
      </c>
      <c r="E2365">
        <f>Sinistrés!M2370</f>
        <v>12.68</v>
      </c>
      <c r="F2365">
        <f t="shared" si="72"/>
        <v>0.54822695035460989</v>
      </c>
      <c r="G2365">
        <f t="shared" si="73"/>
        <v>0.99921197793538219</v>
      </c>
    </row>
    <row r="2366" spans="1:7" hidden="1">
      <c r="A2366" t="str">
        <f>Sinistrés!H2371</f>
        <v>Tournesol BIO</v>
      </c>
      <c r="B2366">
        <f>Sinistrés!J2371</f>
        <v>8793.9599999999991</v>
      </c>
      <c r="C2366">
        <f>Sinistrés!X2371</f>
        <v>0</v>
      </c>
      <c r="D2366">
        <f>Sinistrés!L2371</f>
        <v>11.02</v>
      </c>
      <c r="E2366">
        <f>Sinistrés!M2371</f>
        <v>11</v>
      </c>
      <c r="F2366">
        <f t="shared" si="72"/>
        <v>0</v>
      </c>
      <c r="G2366">
        <f t="shared" si="73"/>
        <v>0.99818511796733211</v>
      </c>
    </row>
    <row r="2367" spans="1:7" hidden="1">
      <c r="A2367" t="str">
        <f>Sinistrés!H2372</f>
        <v>Avoine d'hiver</v>
      </c>
      <c r="B2367">
        <f>Sinistrés!J2372</f>
        <v>9724.67</v>
      </c>
      <c r="C2367">
        <f>Sinistrés!X2372</f>
        <v>0</v>
      </c>
      <c r="D2367">
        <f>Sinistrés!L2372</f>
        <v>21.51</v>
      </c>
      <c r="E2367">
        <f>Sinistrés!M2372</f>
        <v>21.5</v>
      </c>
      <c r="F2367">
        <f t="shared" si="72"/>
        <v>0</v>
      </c>
      <c r="G2367">
        <f t="shared" si="73"/>
        <v>0.99953509995350998</v>
      </c>
    </row>
    <row r="2368" spans="1:7" hidden="1">
      <c r="A2368" t="str">
        <f>Sinistrés!H2373</f>
        <v>Blé tendre d'hiver BIO</v>
      </c>
      <c r="B2368">
        <f>Sinistrés!J2373</f>
        <v>23292.720000000001</v>
      </c>
      <c r="C2368">
        <f>Sinistrés!X2373</f>
        <v>0</v>
      </c>
      <c r="D2368">
        <f>Sinistrés!L2373</f>
        <v>29.41</v>
      </c>
      <c r="E2368">
        <f>Sinistrés!M2373</f>
        <v>29.4</v>
      </c>
      <c r="F2368">
        <f t="shared" si="72"/>
        <v>0</v>
      </c>
      <c r="G2368">
        <f t="shared" si="73"/>
        <v>0.99965997959877584</v>
      </c>
    </row>
    <row r="2369" spans="1:7" hidden="1">
      <c r="A2369" t="str">
        <f>Sinistrés!H2374</f>
        <v>Orge d'hiver</v>
      </c>
      <c r="B2369">
        <f>Sinistrés!J2374</f>
        <v>16458.29</v>
      </c>
      <c r="C2369">
        <f>Sinistrés!X2374</f>
        <v>0</v>
      </c>
      <c r="D2369">
        <f>Sinistrés!L2374</f>
        <v>12.37</v>
      </c>
      <c r="E2369">
        <f>Sinistrés!M2374</f>
        <v>6.67</v>
      </c>
      <c r="F2369">
        <f t="shared" si="72"/>
        <v>0</v>
      </c>
      <c r="G2369">
        <f t="shared" si="73"/>
        <v>0.53920776071139853</v>
      </c>
    </row>
    <row r="2370" spans="1:7" hidden="1">
      <c r="A2370" t="str">
        <f>Sinistrés!H2375</f>
        <v>Lin textile</v>
      </c>
      <c r="B2370">
        <f>Sinistrés!J2375</f>
        <v>40404</v>
      </c>
      <c r="C2370">
        <f>Sinistrés!X2375</f>
        <v>0</v>
      </c>
      <c r="D2370">
        <f>Sinistrés!L2375</f>
        <v>22.75</v>
      </c>
      <c r="E2370">
        <f>Sinistrés!M2375</f>
        <v>7.01</v>
      </c>
      <c r="F2370">
        <f t="shared" si="72"/>
        <v>0</v>
      </c>
      <c r="G2370">
        <f t="shared" si="73"/>
        <v>0.3081318681318681</v>
      </c>
    </row>
    <row r="2371" spans="1:7" hidden="1">
      <c r="A2371" t="str">
        <f>Sinistrés!H2376</f>
        <v>Tournesol</v>
      </c>
      <c r="B2371">
        <f>Sinistrés!J2376</f>
        <v>6810</v>
      </c>
      <c r="C2371">
        <f>Sinistrés!X2376</f>
        <v>0</v>
      </c>
      <c r="D2371">
        <f>Sinistrés!L2376</f>
        <v>6</v>
      </c>
      <c r="E2371">
        <f>Sinistrés!M2376</f>
        <v>3.5</v>
      </c>
      <c r="F2371">
        <f t="shared" ref="F2371:F2434" si="74">C2371/B2371</f>
        <v>0</v>
      </c>
      <c r="G2371">
        <f t="shared" ref="G2371:G2434" si="75">E2371/D2371</f>
        <v>0.58333333333333337</v>
      </c>
    </row>
    <row r="2372" spans="1:7" hidden="1">
      <c r="A2372" t="str">
        <f>Sinistrés!H2377</f>
        <v>Maïs grain irrigué</v>
      </c>
      <c r="B2372">
        <f>Sinistrés!J2377</f>
        <v>62912</v>
      </c>
      <c r="C2372">
        <f>Sinistrés!X2377</f>
        <v>0</v>
      </c>
      <c r="D2372">
        <f>Sinistrés!L2377</f>
        <v>32</v>
      </c>
      <c r="E2372">
        <f>Sinistrés!M2377</f>
        <v>5.4</v>
      </c>
      <c r="F2372">
        <f t="shared" si="74"/>
        <v>0</v>
      </c>
      <c r="G2372">
        <f t="shared" si="75"/>
        <v>0.16875000000000001</v>
      </c>
    </row>
    <row r="2373" spans="1:7" hidden="1">
      <c r="A2373" t="str">
        <f>Sinistrés!H2378</f>
        <v>Maïs grain non irrigué</v>
      </c>
      <c r="B2373">
        <f>Sinistrés!J2378</f>
        <v>8300</v>
      </c>
      <c r="C2373">
        <f>Sinistrés!X2378</f>
        <v>0</v>
      </c>
      <c r="D2373">
        <f>Sinistrés!L2378</f>
        <v>5</v>
      </c>
      <c r="E2373">
        <f>Sinistrés!M2378</f>
        <v>0.8</v>
      </c>
      <c r="F2373">
        <f t="shared" si="74"/>
        <v>0</v>
      </c>
      <c r="G2373">
        <f t="shared" si="75"/>
        <v>0.16</v>
      </c>
    </row>
    <row r="2374" spans="1:7" hidden="1">
      <c r="A2374" t="str">
        <f>Sinistrés!H2379</f>
        <v>Blé tendre d'hiver</v>
      </c>
      <c r="B2374">
        <f>Sinistrés!J2379</f>
        <v>47349.83</v>
      </c>
      <c r="C2374">
        <f>Sinistrés!X2379</f>
        <v>0</v>
      </c>
      <c r="D2374">
        <f>Sinistrés!L2379</f>
        <v>55.87</v>
      </c>
      <c r="E2374">
        <f>Sinistrés!M2379</f>
        <v>55.5</v>
      </c>
      <c r="F2374">
        <f t="shared" si="74"/>
        <v>0</v>
      </c>
      <c r="G2374">
        <f t="shared" si="75"/>
        <v>0.99337748344370869</v>
      </c>
    </row>
    <row r="2375" spans="1:7" hidden="1">
      <c r="A2375" t="str">
        <f>Sinistrés!H2380</f>
        <v>Blé de force</v>
      </c>
      <c r="B2375">
        <f>Sinistrés!J2380</f>
        <v>13748.4</v>
      </c>
      <c r="C2375">
        <f>Sinistrés!X2380</f>
        <v>0</v>
      </c>
      <c r="D2375">
        <f>Sinistrés!L2380</f>
        <v>13.4</v>
      </c>
      <c r="E2375">
        <f>Sinistrés!M2380</f>
        <v>13.4</v>
      </c>
      <c r="F2375">
        <f t="shared" si="74"/>
        <v>0</v>
      </c>
      <c r="G2375">
        <f t="shared" si="75"/>
        <v>1</v>
      </c>
    </row>
    <row r="2376" spans="1:7" hidden="1">
      <c r="A2376" t="str">
        <f>Sinistrés!H2381</f>
        <v>Blé dur d'hiver</v>
      </c>
      <c r="B2376">
        <f>Sinistrés!J2381</f>
        <v>19863.84</v>
      </c>
      <c r="C2376">
        <f>Sinistrés!X2381</f>
        <v>0</v>
      </c>
      <c r="D2376">
        <f>Sinistrés!L2381</f>
        <v>15.73</v>
      </c>
      <c r="E2376">
        <f>Sinistrés!M2381</f>
        <v>15.7</v>
      </c>
      <c r="F2376">
        <f t="shared" si="74"/>
        <v>0</v>
      </c>
      <c r="G2376">
        <f t="shared" si="75"/>
        <v>0.99809281627463442</v>
      </c>
    </row>
    <row r="2377" spans="1:7">
      <c r="A2377" t="str">
        <f>Sinistrés!H2382</f>
        <v>Pois protéagineux</v>
      </c>
      <c r="B2377">
        <f>Sinistrés!J2382</f>
        <v>5355.35</v>
      </c>
      <c r="C2377">
        <f>Sinistrés!X2382</f>
        <v>497.64</v>
      </c>
      <c r="D2377">
        <f>Sinistrés!L2382</f>
        <v>7.49</v>
      </c>
      <c r="E2377">
        <f>Sinistrés!M2382</f>
        <v>7</v>
      </c>
      <c r="F2377">
        <f t="shared" si="74"/>
        <v>9.2923898531375157E-2</v>
      </c>
      <c r="G2377">
        <f t="shared" si="75"/>
        <v>0.93457943925233644</v>
      </c>
    </row>
    <row r="2378" spans="1:7" hidden="1">
      <c r="A2378" t="str">
        <f>Sinistrés!H2383</f>
        <v>Blé tendre d'hiver</v>
      </c>
      <c r="B2378">
        <f>Sinistrés!J2383</f>
        <v>19503.330000000002</v>
      </c>
      <c r="C2378">
        <f>Sinistrés!X2383</f>
        <v>0</v>
      </c>
      <c r="D2378">
        <f>Sinistrés!L2383</f>
        <v>20.8</v>
      </c>
      <c r="E2378">
        <f>Sinistrés!M2383</f>
        <v>20</v>
      </c>
      <c r="F2378">
        <f t="shared" si="74"/>
        <v>0</v>
      </c>
      <c r="G2378">
        <f t="shared" si="75"/>
        <v>0.96153846153846145</v>
      </c>
    </row>
    <row r="2379" spans="1:7" hidden="1">
      <c r="A2379" t="str">
        <f>Sinistrés!H2384</f>
        <v>Tournesol</v>
      </c>
      <c r="B2379">
        <f>Sinistrés!J2384</f>
        <v>10555.64</v>
      </c>
      <c r="C2379">
        <f>Sinistrés!X2384</f>
        <v>0</v>
      </c>
      <c r="D2379">
        <f>Sinistrés!L2384</f>
        <v>12.92</v>
      </c>
      <c r="E2379">
        <f>Sinistrés!M2384</f>
        <v>12.9</v>
      </c>
      <c r="F2379">
        <f t="shared" si="74"/>
        <v>0</v>
      </c>
      <c r="G2379">
        <f t="shared" si="75"/>
        <v>0.99845201238390091</v>
      </c>
    </row>
    <row r="2380" spans="1:7" hidden="1">
      <c r="A2380" t="str">
        <f>Sinistrés!H2385</f>
        <v>Orge de printemps</v>
      </c>
      <c r="B2380">
        <f>Sinistrés!J2385</f>
        <v>10721.7</v>
      </c>
      <c r="C2380">
        <f>Sinistrés!X2385</f>
        <v>0</v>
      </c>
      <c r="D2380">
        <f>Sinistrés!L2385</f>
        <v>8.5500000000000007</v>
      </c>
      <c r="E2380">
        <f>Sinistrés!M2385</f>
        <v>8.5500000000000007</v>
      </c>
      <c r="F2380">
        <f t="shared" si="74"/>
        <v>0</v>
      </c>
      <c r="G2380">
        <f t="shared" si="75"/>
        <v>1</v>
      </c>
    </row>
    <row r="2381" spans="1:7" hidden="1">
      <c r="A2381" t="str">
        <f>Sinistrés!H2386</f>
        <v>Blé tendre d'hiver</v>
      </c>
      <c r="B2381">
        <f>Sinistrés!J2386</f>
        <v>51108.480000000003</v>
      </c>
      <c r="C2381">
        <f>Sinistrés!X2386</f>
        <v>0</v>
      </c>
      <c r="D2381">
        <f>Sinistrés!L2386</f>
        <v>42.03</v>
      </c>
      <c r="E2381">
        <f>Sinistrés!M2386</f>
        <v>42.03</v>
      </c>
      <c r="F2381">
        <f t="shared" si="74"/>
        <v>0</v>
      </c>
      <c r="G2381">
        <f t="shared" si="75"/>
        <v>1</v>
      </c>
    </row>
    <row r="2382" spans="1:7" hidden="1">
      <c r="A2382" t="str">
        <f>Sinistrés!H2387</f>
        <v>Colza d'hiver</v>
      </c>
      <c r="B2382">
        <f>Sinistrés!J2387</f>
        <v>60997.22</v>
      </c>
      <c r="C2382">
        <f>Sinistrés!X2387</f>
        <v>0</v>
      </c>
      <c r="D2382">
        <f>Sinistrés!L2387</f>
        <v>35.479999999999997</v>
      </c>
      <c r="E2382">
        <f>Sinistrés!M2387</f>
        <v>35.479999999999997</v>
      </c>
      <c r="F2382">
        <f t="shared" si="74"/>
        <v>0</v>
      </c>
      <c r="G2382">
        <f t="shared" si="75"/>
        <v>1</v>
      </c>
    </row>
    <row r="2383" spans="1:7" hidden="1">
      <c r="A2383" t="str">
        <f>Sinistrés!H2388</f>
        <v>Orge d'hiver</v>
      </c>
      <c r="B2383">
        <f>Sinistrés!J2388</f>
        <v>42332.13</v>
      </c>
      <c r="C2383">
        <f>Sinistrés!X2388</f>
        <v>0</v>
      </c>
      <c r="D2383">
        <f>Sinistrés!L2388</f>
        <v>32.909999999999997</v>
      </c>
      <c r="E2383">
        <f>Sinistrés!M2388</f>
        <v>32.9</v>
      </c>
      <c r="F2383">
        <f t="shared" si="74"/>
        <v>0</v>
      </c>
      <c r="G2383">
        <f t="shared" si="75"/>
        <v>0.99969614099058046</v>
      </c>
    </row>
    <row r="2384" spans="1:7" hidden="1">
      <c r="A2384" t="str">
        <f>Sinistrés!H2389</f>
        <v>Blé tendre d'hiver</v>
      </c>
      <c r="B2384">
        <f>Sinistrés!J2389</f>
        <v>90908.93</v>
      </c>
      <c r="C2384">
        <f>Sinistrés!X2389</f>
        <v>0</v>
      </c>
      <c r="D2384">
        <f>Sinistrés!L2389</f>
        <v>87.04</v>
      </c>
      <c r="E2384">
        <f>Sinistrés!M2389</f>
        <v>80</v>
      </c>
      <c r="F2384">
        <f t="shared" si="74"/>
        <v>0</v>
      </c>
      <c r="G2384">
        <f t="shared" si="75"/>
        <v>0.91911764705882348</v>
      </c>
    </row>
    <row r="2385" spans="1:7" hidden="1">
      <c r="A2385" t="str">
        <f>Sinistrés!H2390</f>
        <v>Maïs grain non irrigué</v>
      </c>
      <c r="B2385">
        <f>Sinistrés!J2390</f>
        <v>64896.84</v>
      </c>
      <c r="C2385">
        <f>Sinistrés!X2390</f>
        <v>0</v>
      </c>
      <c r="D2385">
        <f>Sinistrés!L2390</f>
        <v>57.91</v>
      </c>
      <c r="E2385">
        <f>Sinistrés!M2390</f>
        <v>40</v>
      </c>
      <c r="F2385">
        <f t="shared" si="74"/>
        <v>0</v>
      </c>
      <c r="G2385">
        <f t="shared" si="75"/>
        <v>0.69072699015714045</v>
      </c>
    </row>
    <row r="2386" spans="1:7" hidden="1">
      <c r="A2386" t="str">
        <f>Sinistrés!H2391</f>
        <v>Tournesol</v>
      </c>
      <c r="B2386">
        <f>Sinistrés!J2391</f>
        <v>21027.83</v>
      </c>
      <c r="C2386">
        <f>Sinistrés!X2391</f>
        <v>0</v>
      </c>
      <c r="D2386">
        <f>Sinistrés!L2391</f>
        <v>25.35</v>
      </c>
      <c r="E2386">
        <f>Sinistrés!M2391</f>
        <v>40</v>
      </c>
      <c r="F2386">
        <f t="shared" si="74"/>
        <v>0</v>
      </c>
      <c r="G2386">
        <f t="shared" si="75"/>
        <v>1.5779092702169624</v>
      </c>
    </row>
    <row r="2387" spans="1:7" hidden="1">
      <c r="A2387" t="str">
        <f>Sinistrés!H2392</f>
        <v>Blé dur d'hiver</v>
      </c>
      <c r="B2387">
        <f>Sinistrés!J2392</f>
        <v>24599.89</v>
      </c>
      <c r="C2387">
        <f>Sinistrés!X2392</f>
        <v>0</v>
      </c>
      <c r="D2387">
        <f>Sinistrés!L2392</f>
        <v>17.39</v>
      </c>
      <c r="E2387">
        <f>Sinistrés!M2392</f>
        <v>34</v>
      </c>
      <c r="F2387">
        <f t="shared" si="74"/>
        <v>0</v>
      </c>
      <c r="G2387">
        <f t="shared" si="75"/>
        <v>1.9551466359976997</v>
      </c>
    </row>
    <row r="2388" spans="1:7" hidden="1">
      <c r="A2388" t="str">
        <f>Sinistrés!H2393</f>
        <v>Blé tendre d'hiver</v>
      </c>
      <c r="B2388">
        <f>Sinistrés!J2393</f>
        <v>14584.64</v>
      </c>
      <c r="C2388">
        <f>Sinistrés!X2393</f>
        <v>0</v>
      </c>
      <c r="D2388">
        <f>Sinistrés!L2393</f>
        <v>8.5</v>
      </c>
      <c r="E2388">
        <f>Sinistrés!M2393</f>
        <v>8.5</v>
      </c>
      <c r="F2388">
        <f t="shared" si="74"/>
        <v>0</v>
      </c>
      <c r="G2388">
        <f t="shared" si="75"/>
        <v>1</v>
      </c>
    </row>
    <row r="2389" spans="1:7" hidden="1">
      <c r="A2389" t="str">
        <f>Sinistrés!H2394</f>
        <v>Colza d'hiver</v>
      </c>
      <c r="B2389">
        <f>Sinistrés!J2394</f>
        <v>28896</v>
      </c>
      <c r="C2389">
        <f>Sinistrés!X2394</f>
        <v>0</v>
      </c>
      <c r="D2389">
        <f>Sinistrés!L2394</f>
        <v>14</v>
      </c>
      <c r="E2389">
        <f>Sinistrés!M2394</f>
        <v>14</v>
      </c>
      <c r="F2389">
        <f t="shared" si="74"/>
        <v>0</v>
      </c>
      <c r="G2389">
        <f t="shared" si="75"/>
        <v>1</v>
      </c>
    </row>
    <row r="2390" spans="1:7" hidden="1">
      <c r="A2390" t="str">
        <f>Sinistrés!H2395</f>
        <v>Orge d'hiver</v>
      </c>
      <c r="B2390">
        <f>Sinistrés!J2395</f>
        <v>25941.919999999998</v>
      </c>
      <c r="C2390">
        <f>Sinistrés!X2395</f>
        <v>0</v>
      </c>
      <c r="D2390">
        <f>Sinistrés!L2395</f>
        <v>14.3</v>
      </c>
      <c r="E2390">
        <f>Sinistrés!M2395</f>
        <v>14.3</v>
      </c>
      <c r="F2390">
        <f t="shared" si="74"/>
        <v>0</v>
      </c>
      <c r="G2390">
        <f t="shared" si="75"/>
        <v>1</v>
      </c>
    </row>
    <row r="2391" spans="1:7" hidden="1">
      <c r="A2391" t="str">
        <f>Sinistrés!H2396</f>
        <v>Blé tendre d'hiver</v>
      </c>
      <c r="B2391">
        <f>Sinistrés!J2396</f>
        <v>5147.5200000000004</v>
      </c>
      <c r="C2391">
        <f>Sinistrés!X2396</f>
        <v>0</v>
      </c>
      <c r="D2391">
        <f>Sinistrés!L2396</f>
        <v>3</v>
      </c>
      <c r="E2391">
        <f>Sinistrés!M2396</f>
        <v>3</v>
      </c>
      <c r="F2391">
        <f t="shared" si="74"/>
        <v>0</v>
      </c>
      <c r="G2391">
        <f t="shared" si="75"/>
        <v>1</v>
      </c>
    </row>
    <row r="2392" spans="1:7" hidden="1">
      <c r="A2392" t="str">
        <f>Sinistrés!H2397</f>
        <v>Blé tendre d'hiver</v>
      </c>
      <c r="B2392">
        <f>Sinistrés!J2397</f>
        <v>34316.800000000003</v>
      </c>
      <c r="C2392">
        <f>Sinistrés!X2397</f>
        <v>0</v>
      </c>
      <c r="D2392">
        <f>Sinistrés!L2397</f>
        <v>20</v>
      </c>
      <c r="E2392">
        <f>Sinistrés!M2397</f>
        <v>20</v>
      </c>
      <c r="F2392">
        <f t="shared" si="74"/>
        <v>0</v>
      </c>
      <c r="G2392">
        <f t="shared" si="75"/>
        <v>1</v>
      </c>
    </row>
    <row r="2393" spans="1:7">
      <c r="A2393" t="str">
        <f>Sinistrés!H2398</f>
        <v>Maïs grain irrigué</v>
      </c>
      <c r="B2393">
        <f>Sinistrés!J2398</f>
        <v>34210.800000000003</v>
      </c>
      <c r="C2393">
        <f>Sinistrés!X2398</f>
        <v>5355.19</v>
      </c>
      <c r="D2393">
        <f>Sinistrés!L2398</f>
        <v>16.77</v>
      </c>
      <c r="E2393">
        <f>Sinistrés!M2398</f>
        <v>16.77</v>
      </c>
      <c r="F2393">
        <f t="shared" si="74"/>
        <v>0.15653507079635667</v>
      </c>
      <c r="G2393">
        <f t="shared" si="75"/>
        <v>1</v>
      </c>
    </row>
    <row r="2394" spans="1:7" hidden="1">
      <c r="A2394" t="str">
        <f>Sinistrés!H2399</f>
        <v>Tournesol</v>
      </c>
      <c r="B2394">
        <f>Sinistrés!J2399</f>
        <v>34917.75</v>
      </c>
      <c r="C2394">
        <f>Sinistrés!X2399</f>
        <v>0</v>
      </c>
      <c r="D2394">
        <f>Sinistrés!L2399</f>
        <v>36.950000000000003</v>
      </c>
      <c r="E2394">
        <f>Sinistrés!M2399</f>
        <v>36.950000000000003</v>
      </c>
      <c r="F2394">
        <f t="shared" si="74"/>
        <v>0</v>
      </c>
      <c r="G2394">
        <f t="shared" si="75"/>
        <v>1</v>
      </c>
    </row>
    <row r="2395" spans="1:7" hidden="1">
      <c r="A2395" t="str">
        <f>Sinistrés!H2400</f>
        <v>Avoine d'hiver</v>
      </c>
      <c r="B2395">
        <f>Sinistrés!J2400</f>
        <v>3377.1</v>
      </c>
      <c r="C2395">
        <f>Sinistrés!X2400</f>
        <v>0</v>
      </c>
      <c r="D2395">
        <f>Sinistrés!L2400</f>
        <v>4.8099999999999996</v>
      </c>
      <c r="E2395">
        <f>Sinistrés!M2400</f>
        <v>4.8099999999999996</v>
      </c>
      <c r="F2395">
        <f t="shared" si="74"/>
        <v>0</v>
      </c>
      <c r="G2395">
        <f t="shared" si="75"/>
        <v>1</v>
      </c>
    </row>
    <row r="2396" spans="1:7" hidden="1">
      <c r="A2396" t="str">
        <f>Sinistrés!H2401</f>
        <v>Orge d'hiver</v>
      </c>
      <c r="B2396">
        <f>Sinistrés!J2401</f>
        <v>30923.17</v>
      </c>
      <c r="C2396">
        <f>Sinistrés!X2401</f>
        <v>0</v>
      </c>
      <c r="D2396">
        <f>Sinistrés!L2401</f>
        <v>33.24</v>
      </c>
      <c r="E2396">
        <f>Sinistrés!M2401</f>
        <v>33.24</v>
      </c>
      <c r="F2396">
        <f t="shared" si="74"/>
        <v>0</v>
      </c>
      <c r="G2396">
        <f t="shared" si="75"/>
        <v>1</v>
      </c>
    </row>
    <row r="2397" spans="1:7">
      <c r="A2397" t="str">
        <f>Sinistrés!H2402</f>
        <v>Triticale</v>
      </c>
      <c r="B2397">
        <f>Sinistrés!J2402</f>
        <v>3435.7</v>
      </c>
      <c r="C2397">
        <f>Sinistrés!X2402</f>
        <v>596.02</v>
      </c>
      <c r="D2397">
        <f>Sinistrés!L2402</f>
        <v>4.3</v>
      </c>
      <c r="E2397">
        <f>Sinistrés!M2402</f>
        <v>4.3</v>
      </c>
      <c r="F2397">
        <f t="shared" si="74"/>
        <v>0.17347847600197921</v>
      </c>
      <c r="G2397">
        <f t="shared" si="75"/>
        <v>1</v>
      </c>
    </row>
    <row r="2398" spans="1:7">
      <c r="A2398" t="str">
        <f>Sinistrés!H2403</f>
        <v>Pois protéagineux</v>
      </c>
      <c r="B2398">
        <f>Sinistrés!J2403</f>
        <v>12181.02</v>
      </c>
      <c r="C2398">
        <f>Sinistrés!X2403</f>
        <v>1515.94</v>
      </c>
      <c r="D2398">
        <f>Sinistrés!L2403</f>
        <v>10.91</v>
      </c>
      <c r="E2398">
        <f>Sinistrés!M2403</f>
        <v>10.91</v>
      </c>
      <c r="F2398">
        <f t="shared" si="74"/>
        <v>0.12445099014696634</v>
      </c>
      <c r="G2398">
        <f t="shared" si="75"/>
        <v>1</v>
      </c>
    </row>
    <row r="2399" spans="1:7">
      <c r="A2399" t="str">
        <f>Sinistrés!H2404</f>
        <v>Blé tendre d'hiver</v>
      </c>
      <c r="B2399">
        <f>Sinistrés!J2404</f>
        <v>80533.490000000005</v>
      </c>
      <c r="C2399">
        <f>Sinistrés!X2404</f>
        <v>9170.0400000000009</v>
      </c>
      <c r="D2399">
        <f>Sinistrés!L2404</f>
        <v>62.56</v>
      </c>
      <c r="E2399">
        <f>Sinistrés!M2404</f>
        <v>62.56</v>
      </c>
      <c r="F2399">
        <f t="shared" si="74"/>
        <v>0.11386616921730326</v>
      </c>
      <c r="G2399">
        <f t="shared" si="75"/>
        <v>1</v>
      </c>
    </row>
    <row r="2400" spans="1:7" hidden="1">
      <c r="A2400" t="str">
        <f>Sinistrés!H2405</f>
        <v>Maïs grain non irrigué</v>
      </c>
      <c r="B2400">
        <f>Sinistrés!J2405</f>
        <v>9388</v>
      </c>
      <c r="C2400">
        <f>Sinistrés!X2405</f>
        <v>0</v>
      </c>
      <c r="D2400">
        <f>Sinistrés!L2405</f>
        <v>7</v>
      </c>
      <c r="E2400">
        <f>Sinistrés!M2405</f>
        <v>7</v>
      </c>
      <c r="F2400">
        <f t="shared" si="74"/>
        <v>0</v>
      </c>
      <c r="G2400">
        <f t="shared" si="75"/>
        <v>1</v>
      </c>
    </row>
    <row r="2401" spans="1:7">
      <c r="A2401" t="str">
        <f>Sinistrés!H2406</f>
        <v>Blé tendre d'hiver</v>
      </c>
      <c r="B2401">
        <f>Sinistrés!J2406</f>
        <v>42764</v>
      </c>
      <c r="C2401">
        <f>Sinistrés!X2406</f>
        <v>12212.93</v>
      </c>
      <c r="D2401">
        <f>Sinistrés!L2406</f>
        <v>32.86</v>
      </c>
      <c r="E2401">
        <f>Sinistrés!M2406</f>
        <v>20</v>
      </c>
      <c r="F2401">
        <f t="shared" si="74"/>
        <v>0.28558904686184644</v>
      </c>
      <c r="G2401">
        <f t="shared" si="75"/>
        <v>0.60864272671941566</v>
      </c>
    </row>
    <row r="2402" spans="1:7">
      <c r="A2402" t="str">
        <f>Sinistrés!H2407</f>
        <v>Orge d'hiver</v>
      </c>
      <c r="B2402">
        <f>Sinistrés!J2407</f>
        <v>17523.54</v>
      </c>
      <c r="C2402">
        <f>Sinistrés!X2407</f>
        <v>2682.67</v>
      </c>
      <c r="D2402">
        <f>Sinistrés!L2407</f>
        <v>13.05</v>
      </c>
      <c r="E2402">
        <f>Sinistrés!M2407</f>
        <v>13.08</v>
      </c>
      <c r="F2402">
        <f t="shared" si="74"/>
        <v>0.15308950132222143</v>
      </c>
      <c r="G2402">
        <f t="shared" si="75"/>
        <v>1.0022988505747126</v>
      </c>
    </row>
    <row r="2403" spans="1:7">
      <c r="A2403" t="str">
        <f>Sinistrés!H2408</f>
        <v>Colza d'hiver</v>
      </c>
      <c r="B2403">
        <f>Sinistrés!J2408</f>
        <v>14273.28</v>
      </c>
      <c r="C2403">
        <f>Sinistrés!X2408</f>
        <v>594.72</v>
      </c>
      <c r="D2403">
        <f>Sinistrés!L2408</f>
        <v>9.44</v>
      </c>
      <c r="E2403">
        <f>Sinistrés!M2408</f>
        <v>9.44</v>
      </c>
      <c r="F2403">
        <f t="shared" si="74"/>
        <v>4.1666666666666664E-2</v>
      </c>
      <c r="G2403">
        <f t="shared" si="75"/>
        <v>1</v>
      </c>
    </row>
    <row r="2404" spans="1:7" hidden="1">
      <c r="A2404" t="str">
        <f>Sinistrés!H2409</f>
        <v>Blé tendre d'hiver BIO</v>
      </c>
      <c r="B2404">
        <f>Sinistrés!J2409</f>
        <v>56074.2</v>
      </c>
      <c r="C2404">
        <f>Sinistrés!X2409</f>
        <v>19857.05</v>
      </c>
      <c r="D2404">
        <f>Sinistrés!L2409</f>
        <v>30.81</v>
      </c>
      <c r="E2404">
        <f>Sinistrés!M2409</f>
        <v>30.81</v>
      </c>
      <c r="F2404">
        <f t="shared" si="74"/>
        <v>0.35412096828844636</v>
      </c>
      <c r="G2404">
        <f t="shared" si="75"/>
        <v>1</v>
      </c>
    </row>
    <row r="2405" spans="1:7" hidden="1">
      <c r="A2405" t="str">
        <f>Sinistrés!H2410</f>
        <v>Orge de printemps BIO</v>
      </c>
      <c r="B2405">
        <f>Sinistrés!J2410</f>
        <v>7027.02</v>
      </c>
      <c r="C2405">
        <f>Sinistrés!X2410</f>
        <v>2727.27</v>
      </c>
      <c r="D2405">
        <f>Sinistrés!L2410</f>
        <v>7.02</v>
      </c>
      <c r="E2405">
        <f>Sinistrés!M2410</f>
        <v>7.02</v>
      </c>
      <c r="F2405">
        <f t="shared" si="74"/>
        <v>0.38811188811188807</v>
      </c>
      <c r="G2405">
        <f t="shared" si="75"/>
        <v>1</v>
      </c>
    </row>
    <row r="2406" spans="1:7">
      <c r="A2406" t="str">
        <f>Sinistrés!H2411</f>
        <v>Tournesol</v>
      </c>
      <c r="B2406">
        <f>Sinistrés!J2411</f>
        <v>17212.650000000001</v>
      </c>
      <c r="C2406">
        <f>Sinistrés!X2411</f>
        <v>2411.63</v>
      </c>
      <c r="D2406">
        <f>Sinistrés!L2411</f>
        <v>13</v>
      </c>
      <c r="E2406">
        <f>Sinistrés!M2411</f>
        <v>13</v>
      </c>
      <c r="F2406">
        <f t="shared" si="74"/>
        <v>0.14010800196367207</v>
      </c>
      <c r="G2406">
        <f t="shared" si="75"/>
        <v>1</v>
      </c>
    </row>
    <row r="2407" spans="1:7">
      <c r="A2407" t="str">
        <f>Sinistrés!H2412</f>
        <v>Blé tendre d'hiver</v>
      </c>
      <c r="B2407">
        <f>Sinistrés!J2412</f>
        <v>42434.93</v>
      </c>
      <c r="C2407">
        <f>Sinistrés!X2412</f>
        <v>284.55</v>
      </c>
      <c r="D2407">
        <f>Sinistrés!L2412</f>
        <v>37.49</v>
      </c>
      <c r="E2407">
        <f>Sinistrés!M2412</f>
        <v>37.49</v>
      </c>
      <c r="F2407">
        <f t="shared" si="74"/>
        <v>6.705560725562644E-3</v>
      </c>
      <c r="G2407">
        <f t="shared" si="75"/>
        <v>1</v>
      </c>
    </row>
    <row r="2408" spans="1:7" hidden="1">
      <c r="A2408" t="str">
        <f>Sinistrés!H2413</f>
        <v>Triticale</v>
      </c>
      <c r="B2408">
        <f>Sinistrés!J2413</f>
        <v>1363.45</v>
      </c>
      <c r="C2408">
        <f>Sinistrés!X2413</f>
        <v>0</v>
      </c>
      <c r="D2408">
        <f>Sinistrés!L2413</f>
        <v>1.94</v>
      </c>
      <c r="E2408">
        <f>Sinistrés!M2413</f>
        <v>1.94</v>
      </c>
      <c r="F2408">
        <f t="shared" si="74"/>
        <v>0</v>
      </c>
      <c r="G2408">
        <f t="shared" si="75"/>
        <v>1</v>
      </c>
    </row>
    <row r="2409" spans="1:7" hidden="1">
      <c r="A2409" t="str">
        <f>Sinistrés!H2414</f>
        <v>Blé tendre d'hiver</v>
      </c>
      <c r="B2409">
        <f>Sinistrés!J2414</f>
        <v>52642.22</v>
      </c>
      <c r="C2409">
        <f>Sinistrés!X2414</f>
        <v>0</v>
      </c>
      <c r="D2409">
        <f>Sinistrés!L2414</f>
        <v>36.24</v>
      </c>
      <c r="E2409">
        <f>Sinistrés!M2414</f>
        <v>36</v>
      </c>
      <c r="F2409">
        <f t="shared" si="74"/>
        <v>0</v>
      </c>
      <c r="G2409">
        <f t="shared" si="75"/>
        <v>0.99337748344370858</v>
      </c>
    </row>
    <row r="2410" spans="1:7">
      <c r="A2410" t="str">
        <f>Sinistrés!H2415</f>
        <v>Féveroles et fèves</v>
      </c>
      <c r="B2410">
        <f>Sinistrés!J2415</f>
        <v>3994.2</v>
      </c>
      <c r="C2410">
        <f>Sinistrés!X2415</f>
        <v>1840.7</v>
      </c>
      <c r="D2410">
        <f>Sinistrés!L2415</f>
        <v>7</v>
      </c>
      <c r="E2410">
        <f>Sinistrés!M2415</f>
        <v>7</v>
      </c>
      <c r="F2410">
        <f t="shared" si="74"/>
        <v>0.4608432226728757</v>
      </c>
      <c r="G2410">
        <f t="shared" si="75"/>
        <v>1</v>
      </c>
    </row>
    <row r="2411" spans="1:7">
      <c r="A2411" t="str">
        <f>Sinistrés!H2416</f>
        <v>Tournesol</v>
      </c>
      <c r="B2411">
        <f>Sinistrés!J2416</f>
        <v>15820.919999999998</v>
      </c>
      <c r="C2411">
        <f>Sinistrés!X2416</f>
        <v>2373.14</v>
      </c>
      <c r="D2411">
        <f>Sinistrés!L2416</f>
        <v>15.39</v>
      </c>
      <c r="E2411">
        <f>Sinistrés!M2416</f>
        <v>15.39</v>
      </c>
      <c r="F2411">
        <f t="shared" si="74"/>
        <v>0.15000012641489877</v>
      </c>
      <c r="G2411">
        <f t="shared" si="75"/>
        <v>1</v>
      </c>
    </row>
    <row r="2412" spans="1:7" hidden="1">
      <c r="A2412" t="str">
        <f>Sinistrés!H2417</f>
        <v>Tournesol</v>
      </c>
      <c r="B2412">
        <f>Sinistrés!J2417</f>
        <v>7196</v>
      </c>
      <c r="C2412">
        <f>Sinistrés!X2417</f>
        <v>0</v>
      </c>
      <c r="D2412">
        <f>Sinistrés!L2417</f>
        <v>7</v>
      </c>
      <c r="E2412">
        <f>Sinistrés!M2417</f>
        <v>7</v>
      </c>
      <c r="F2412">
        <f t="shared" si="74"/>
        <v>0</v>
      </c>
      <c r="G2412">
        <f t="shared" si="75"/>
        <v>1</v>
      </c>
    </row>
    <row r="2413" spans="1:7" hidden="1">
      <c r="A2413" t="str">
        <f>Sinistrés!H2418</f>
        <v>Colza d'hiver</v>
      </c>
      <c r="B2413">
        <f>Sinistrés!J2418</f>
        <v>12602.3</v>
      </c>
      <c r="C2413">
        <f>Sinistrés!X2418</f>
        <v>0</v>
      </c>
      <c r="D2413">
        <f>Sinistrés!L2418</f>
        <v>9.18</v>
      </c>
      <c r="E2413">
        <f>Sinistrés!M2418</f>
        <v>9.18</v>
      </c>
      <c r="F2413">
        <f t="shared" si="74"/>
        <v>0</v>
      </c>
      <c r="G2413">
        <f t="shared" si="75"/>
        <v>1</v>
      </c>
    </row>
    <row r="2414" spans="1:7" hidden="1">
      <c r="A2414" t="str">
        <f>Sinistrés!H2419</f>
        <v>Blé tendre d'hiver</v>
      </c>
      <c r="B2414">
        <f>Sinistrés!J2419</f>
        <v>15394.22</v>
      </c>
      <c r="C2414">
        <f>Sinistrés!X2419</f>
        <v>0</v>
      </c>
      <c r="D2414">
        <f>Sinistrés!L2419</f>
        <v>14.14</v>
      </c>
      <c r="E2414">
        <f>Sinistrés!M2419</f>
        <v>14.14</v>
      </c>
      <c r="F2414">
        <f t="shared" si="74"/>
        <v>0</v>
      </c>
      <c r="G2414">
        <f t="shared" si="75"/>
        <v>1</v>
      </c>
    </row>
    <row r="2415" spans="1:7">
      <c r="A2415" t="str">
        <f>Sinistrés!H2420</f>
        <v>Blé tendre d'hiver</v>
      </c>
      <c r="B2415">
        <f>Sinistrés!J2420</f>
        <v>45760</v>
      </c>
      <c r="C2415">
        <f>Sinistrés!X2420</f>
        <v>6236</v>
      </c>
      <c r="D2415">
        <f>Sinistrés!L2420</f>
        <v>28.6</v>
      </c>
      <c r="E2415">
        <f>Sinistrés!M2420</f>
        <v>28.6</v>
      </c>
      <c r="F2415">
        <f t="shared" si="74"/>
        <v>0.13627622377622378</v>
      </c>
      <c r="G2415">
        <f t="shared" si="75"/>
        <v>1</v>
      </c>
    </row>
    <row r="2416" spans="1:7">
      <c r="A2416" t="str">
        <f>Sinistrés!H2421</f>
        <v>Colza d'hiver</v>
      </c>
      <c r="B2416">
        <f>Sinistrés!J2421</f>
        <v>19568</v>
      </c>
      <c r="C2416">
        <f>Sinistrés!X2421</f>
        <v>4892</v>
      </c>
      <c r="D2416">
        <f>Sinistrés!L2421</f>
        <v>12.23</v>
      </c>
      <c r="E2416">
        <f>Sinistrés!M2421</f>
        <v>12.23</v>
      </c>
      <c r="F2416">
        <f t="shared" si="74"/>
        <v>0.25</v>
      </c>
      <c r="G2416">
        <f t="shared" si="75"/>
        <v>1</v>
      </c>
    </row>
    <row r="2417" spans="1:7">
      <c r="A2417" t="str">
        <f>Sinistrés!H2422</f>
        <v>Orge d'hiver</v>
      </c>
      <c r="B2417">
        <f>Sinistrés!J2422</f>
        <v>10992</v>
      </c>
      <c r="C2417">
        <f>Sinistrés!X2422</f>
        <v>3435</v>
      </c>
      <c r="D2417">
        <f>Sinistrés!L2422</f>
        <v>6.87</v>
      </c>
      <c r="E2417">
        <f>Sinistrés!M2422</f>
        <v>6.87</v>
      </c>
      <c r="F2417">
        <f t="shared" si="74"/>
        <v>0.3125</v>
      </c>
      <c r="G2417">
        <f t="shared" si="75"/>
        <v>1</v>
      </c>
    </row>
    <row r="2418" spans="1:7">
      <c r="A2418" t="str">
        <f>Sinistrés!H2423</f>
        <v>Blé tendre d'hiver</v>
      </c>
      <c r="B2418">
        <f>Sinistrés!J2423</f>
        <v>17072</v>
      </c>
      <c r="C2418">
        <f>Sinistrés!X2423</f>
        <v>3081.6</v>
      </c>
      <c r="D2418">
        <f>Sinistrés!L2423</f>
        <v>10.67</v>
      </c>
      <c r="E2418">
        <f>Sinistrés!M2423</f>
        <v>10.67</v>
      </c>
      <c r="F2418">
        <f t="shared" si="74"/>
        <v>0.18050609184629804</v>
      </c>
      <c r="G2418">
        <f t="shared" si="75"/>
        <v>1</v>
      </c>
    </row>
    <row r="2419" spans="1:7">
      <c r="A2419" t="str">
        <f>Sinistrés!H2424</f>
        <v>Colza d'hiver</v>
      </c>
      <c r="B2419">
        <f>Sinistrés!J2424</f>
        <v>15408</v>
      </c>
      <c r="C2419">
        <f>Sinistrés!X2424</f>
        <v>4054.6</v>
      </c>
      <c r="D2419">
        <f>Sinistrés!L2424</f>
        <v>9.6300000000000008</v>
      </c>
      <c r="E2419">
        <f>Sinistrés!M2424</f>
        <v>9.6300000000000008</v>
      </c>
      <c r="F2419">
        <f t="shared" si="74"/>
        <v>0.26314901349948078</v>
      </c>
      <c r="G2419">
        <f t="shared" si="75"/>
        <v>1</v>
      </c>
    </row>
    <row r="2420" spans="1:7" hidden="1">
      <c r="A2420" t="str">
        <f>Sinistrés!H2425</f>
        <v>Blé de force</v>
      </c>
      <c r="B2420">
        <f>Sinistrés!J2425</f>
        <v>37508.129999999997</v>
      </c>
      <c r="C2420">
        <f>Sinistrés!X2425</f>
        <v>0</v>
      </c>
      <c r="D2420">
        <f>Sinistrés!L2425</f>
        <v>25.95</v>
      </c>
      <c r="E2420">
        <f>Sinistrés!M2425</f>
        <v>25.95</v>
      </c>
      <c r="F2420">
        <f t="shared" si="74"/>
        <v>0</v>
      </c>
      <c r="G2420">
        <f t="shared" si="75"/>
        <v>1</v>
      </c>
    </row>
    <row r="2421" spans="1:7" hidden="1">
      <c r="A2421" t="str">
        <f>Sinistrés!H2426</f>
        <v>Blé dur d'hiver</v>
      </c>
      <c r="B2421">
        <f>Sinistrés!J2426</f>
        <v>11575.95</v>
      </c>
      <c r="C2421">
        <f>Sinistrés!X2426</f>
        <v>0</v>
      </c>
      <c r="D2421">
        <f>Sinistrés!L2426</f>
        <v>6.74</v>
      </c>
      <c r="E2421">
        <f>Sinistrés!M2426</f>
        <v>6.74</v>
      </c>
      <c r="F2421">
        <f t="shared" si="74"/>
        <v>0</v>
      </c>
      <c r="G2421">
        <f t="shared" si="75"/>
        <v>1</v>
      </c>
    </row>
    <row r="2422" spans="1:7" hidden="1">
      <c r="A2422" t="str">
        <f>Sinistrés!H2427</f>
        <v>Blé tendre d'hiver</v>
      </c>
      <c r="B2422">
        <f>Sinistrés!J2427</f>
        <v>118900.8</v>
      </c>
      <c r="C2422">
        <f>Sinistrés!X2427</f>
        <v>0</v>
      </c>
      <c r="D2422">
        <f>Sinistrés!L2427</f>
        <v>86.16</v>
      </c>
      <c r="E2422">
        <f>Sinistrés!M2427</f>
        <v>86.16</v>
      </c>
      <c r="F2422">
        <f t="shared" si="74"/>
        <v>0</v>
      </c>
      <c r="G2422">
        <f t="shared" si="75"/>
        <v>1</v>
      </c>
    </row>
    <row r="2423" spans="1:7" hidden="1">
      <c r="A2423" t="str">
        <f>Sinistrés!H2428</f>
        <v>Colza d'hiver</v>
      </c>
      <c r="B2423">
        <f>Sinistrés!J2428</f>
        <v>58423.95</v>
      </c>
      <c r="C2423">
        <f>Sinistrés!X2428</f>
        <v>0</v>
      </c>
      <c r="D2423">
        <f>Sinistrés!L2428</f>
        <v>33.29</v>
      </c>
      <c r="E2423">
        <f>Sinistrés!M2428</f>
        <v>33.29</v>
      </c>
      <c r="F2423">
        <f t="shared" si="74"/>
        <v>0</v>
      </c>
      <c r="G2423">
        <f t="shared" si="75"/>
        <v>1</v>
      </c>
    </row>
    <row r="2424" spans="1:7" hidden="1">
      <c r="A2424" t="str">
        <f>Sinistrés!H2429</f>
        <v>Orge de printemps</v>
      </c>
      <c r="B2424">
        <f>Sinistrés!J2429</f>
        <v>25227.759999999998</v>
      </c>
      <c r="C2424">
        <f>Sinistrés!X2429</f>
        <v>0</v>
      </c>
      <c r="D2424">
        <f>Sinistrés!L2429</f>
        <v>23.82</v>
      </c>
      <c r="E2424">
        <f>Sinistrés!M2429</f>
        <v>23.82</v>
      </c>
      <c r="F2424">
        <f t="shared" si="74"/>
        <v>0</v>
      </c>
      <c r="G2424">
        <f t="shared" si="75"/>
        <v>1</v>
      </c>
    </row>
    <row r="2425" spans="1:7" hidden="1">
      <c r="A2425" t="str">
        <f>Sinistrés!H2430</f>
        <v>Blé tendre d'hiver</v>
      </c>
      <c r="B2425">
        <f>Sinistrés!J2430</f>
        <v>12288</v>
      </c>
      <c r="C2425">
        <f>Sinistrés!X2430</f>
        <v>0</v>
      </c>
      <c r="D2425">
        <f>Sinistrés!L2430</f>
        <v>7.68</v>
      </c>
      <c r="E2425">
        <f>Sinistrés!M2430</f>
        <v>7.68</v>
      </c>
      <c r="F2425">
        <f t="shared" si="74"/>
        <v>0</v>
      </c>
      <c r="G2425">
        <f t="shared" si="75"/>
        <v>1</v>
      </c>
    </row>
    <row r="2426" spans="1:7">
      <c r="A2426" t="str">
        <f>Sinistrés!H2431</f>
        <v>Colza d'hiver</v>
      </c>
      <c r="B2426">
        <f>Sinistrés!J2431</f>
        <v>11584</v>
      </c>
      <c r="C2426">
        <f>Sinistrés!X2431</f>
        <v>1882.4</v>
      </c>
      <c r="D2426">
        <f>Sinistrés!L2431</f>
        <v>7.24</v>
      </c>
      <c r="E2426">
        <f>Sinistrés!M2431</f>
        <v>7.24</v>
      </c>
      <c r="F2426">
        <f t="shared" si="74"/>
        <v>0.16250000000000001</v>
      </c>
      <c r="G2426">
        <f t="shared" si="75"/>
        <v>1</v>
      </c>
    </row>
    <row r="2427" spans="1:7" hidden="1">
      <c r="A2427" t="str">
        <f>Sinistrés!H2432</f>
        <v>Orge de printemps</v>
      </c>
      <c r="B2427">
        <f>Sinistrés!J2432</f>
        <v>63371.31</v>
      </c>
      <c r="C2427">
        <f>Sinistrés!X2432</f>
        <v>0</v>
      </c>
      <c r="D2427">
        <f>Sinistrés!L2432</f>
        <v>37.24</v>
      </c>
      <c r="E2427">
        <f>Sinistrés!M2432</f>
        <v>37.24</v>
      </c>
      <c r="F2427">
        <f t="shared" si="74"/>
        <v>0</v>
      </c>
      <c r="G2427">
        <f t="shared" si="75"/>
        <v>1</v>
      </c>
    </row>
    <row r="2428" spans="1:7" hidden="1">
      <c r="A2428" t="str">
        <f>Sinistrés!H2433</f>
        <v>Blé tendre d'hiver</v>
      </c>
      <c r="B2428">
        <f>Sinistrés!J2433</f>
        <v>106247.9</v>
      </c>
      <c r="C2428">
        <f>Sinistrés!X2433</f>
        <v>0</v>
      </c>
      <c r="D2428">
        <f>Sinistrés!L2433</f>
        <v>66.900000000000006</v>
      </c>
      <c r="E2428">
        <f>Sinistrés!M2433</f>
        <v>66.8</v>
      </c>
      <c r="F2428">
        <f t="shared" si="74"/>
        <v>0</v>
      </c>
      <c r="G2428">
        <f t="shared" si="75"/>
        <v>0.99850523168908811</v>
      </c>
    </row>
    <row r="2429" spans="1:7">
      <c r="A2429" t="str">
        <f>Sinistrés!H2434</f>
        <v>Orge d'hiver</v>
      </c>
      <c r="B2429">
        <f>Sinistrés!J2434</f>
        <v>59677.17</v>
      </c>
      <c r="C2429">
        <f>Sinistrés!X2434</f>
        <v>4895</v>
      </c>
      <c r="D2429">
        <f>Sinistrés!L2434</f>
        <v>44.5</v>
      </c>
      <c r="E2429">
        <f>Sinistrés!M2434</f>
        <v>44.4</v>
      </c>
      <c r="F2429">
        <f t="shared" si="74"/>
        <v>8.2024667054419645E-2</v>
      </c>
      <c r="G2429">
        <f t="shared" si="75"/>
        <v>0.99775280898876406</v>
      </c>
    </row>
    <row r="2430" spans="1:7" hidden="1">
      <c r="A2430" t="str">
        <f>Sinistrés!H2435</f>
        <v>Colza d'hiver</v>
      </c>
      <c r="B2430">
        <f>Sinistrés!J2435</f>
        <v>113737.55</v>
      </c>
      <c r="C2430">
        <f>Sinistrés!X2435</f>
        <v>0</v>
      </c>
      <c r="D2430">
        <f>Sinistrés!L2435</f>
        <v>56.23</v>
      </c>
      <c r="E2430">
        <f>Sinistrés!M2435</f>
        <v>56.22</v>
      </c>
      <c r="F2430">
        <f t="shared" si="74"/>
        <v>0</v>
      </c>
      <c r="G2430">
        <f t="shared" si="75"/>
        <v>0.99982215898986315</v>
      </c>
    </row>
    <row r="2431" spans="1:7" hidden="1">
      <c r="A2431" t="str">
        <f>Sinistrés!H2436</f>
        <v>Blé tendre d'hiver</v>
      </c>
      <c r="B2431">
        <f>Sinistrés!J2436</f>
        <v>106247.9</v>
      </c>
      <c r="C2431">
        <f>Sinistrés!X2436</f>
        <v>0</v>
      </c>
      <c r="D2431">
        <f>Sinistrés!L2436</f>
        <v>66.900000000000006</v>
      </c>
      <c r="E2431">
        <f>Sinistrés!M2436</f>
        <v>12.74</v>
      </c>
      <c r="F2431">
        <f t="shared" si="74"/>
        <v>0</v>
      </c>
      <c r="G2431">
        <f t="shared" si="75"/>
        <v>0.19043348281016442</v>
      </c>
    </row>
    <row r="2432" spans="1:7" hidden="1">
      <c r="A2432" t="str">
        <f>Sinistrés!H2437</f>
        <v>Orge de printemps</v>
      </c>
      <c r="B2432">
        <f>Sinistrés!J2437</f>
        <v>29394</v>
      </c>
      <c r="C2432">
        <f>Sinistrés!X2437</f>
        <v>0</v>
      </c>
      <c r="D2432">
        <f>Sinistrés!L2437</f>
        <v>17.04</v>
      </c>
      <c r="E2432">
        <f>Sinistrés!M2437</f>
        <v>17.04</v>
      </c>
      <c r="F2432">
        <f t="shared" si="74"/>
        <v>0</v>
      </c>
      <c r="G2432">
        <f t="shared" si="75"/>
        <v>1</v>
      </c>
    </row>
    <row r="2433" spans="1:7" hidden="1">
      <c r="A2433" t="str">
        <f>Sinistrés!H2438</f>
        <v>Blé tendre d'hiver</v>
      </c>
      <c r="B2433">
        <f>Sinistrés!J2438</f>
        <v>130750.68</v>
      </c>
      <c r="C2433">
        <f>Sinistrés!X2438</f>
        <v>0</v>
      </c>
      <c r="D2433">
        <f>Sinistrés!L2438</f>
        <v>112.04</v>
      </c>
      <c r="E2433">
        <f>Sinistrés!M2438</f>
        <v>112.04</v>
      </c>
      <c r="F2433">
        <f t="shared" si="74"/>
        <v>0</v>
      </c>
      <c r="G2433">
        <f t="shared" si="75"/>
        <v>1</v>
      </c>
    </row>
    <row r="2434" spans="1:7" hidden="1">
      <c r="A2434" t="str">
        <f>Sinistrés!H2439</f>
        <v>Orge d'hiver</v>
      </c>
      <c r="B2434">
        <f>Sinistrés!J2439</f>
        <v>25208.82</v>
      </c>
      <c r="C2434">
        <f>Sinistrés!X2439</f>
        <v>0</v>
      </c>
      <c r="D2434">
        <f>Sinistrés!L2439</f>
        <v>26.6</v>
      </c>
      <c r="E2434">
        <f>Sinistrés!M2439</f>
        <v>26.6</v>
      </c>
      <c r="F2434">
        <f t="shared" si="74"/>
        <v>0</v>
      </c>
      <c r="G2434">
        <f t="shared" si="75"/>
        <v>1</v>
      </c>
    </row>
    <row r="2435" spans="1:7" hidden="1">
      <c r="A2435" t="str">
        <f>Sinistrés!H2440</f>
        <v>Blé tendre d'hiver</v>
      </c>
      <c r="B2435">
        <f>Sinistrés!J2440</f>
        <v>12119.26</v>
      </c>
      <c r="C2435">
        <f>Sinistrés!X2440</f>
        <v>0</v>
      </c>
      <c r="D2435">
        <f>Sinistrés!L2440</f>
        <v>13.55</v>
      </c>
      <c r="E2435">
        <f>Sinistrés!M2440</f>
        <v>13.55</v>
      </c>
      <c r="F2435">
        <f t="shared" ref="F2435:F2498" si="76">C2435/B2435</f>
        <v>0</v>
      </c>
      <c r="G2435">
        <f t="shared" ref="G2435:G2498" si="77">E2435/D2435</f>
        <v>1</v>
      </c>
    </row>
    <row r="2436" spans="1:7" hidden="1">
      <c r="A2436" t="str">
        <f>Sinistrés!H2441</f>
        <v>Blé tendre d'hiver</v>
      </c>
      <c r="B2436">
        <f>Sinistrés!J2441</f>
        <v>155712.98000000001</v>
      </c>
      <c r="C2436">
        <f>Sinistrés!X2441</f>
        <v>0</v>
      </c>
      <c r="D2436">
        <f>Sinistrés!L2441</f>
        <v>120.01</v>
      </c>
      <c r="E2436">
        <f>Sinistrés!M2441</f>
        <v>120.01</v>
      </c>
      <c r="F2436">
        <f t="shared" si="76"/>
        <v>0</v>
      </c>
      <c r="G2436">
        <f t="shared" si="77"/>
        <v>1</v>
      </c>
    </row>
    <row r="2437" spans="1:7" hidden="1">
      <c r="A2437" t="str">
        <f>Sinistrés!H2442</f>
        <v>Colza d'hiver</v>
      </c>
      <c r="B2437">
        <f>Sinistrés!J2442</f>
        <v>71282.94</v>
      </c>
      <c r="C2437">
        <f>Sinistrés!X2442</f>
        <v>0</v>
      </c>
      <c r="D2437">
        <f>Sinistrés!L2442</f>
        <v>52.81</v>
      </c>
      <c r="E2437">
        <f>Sinistrés!M2442</f>
        <v>52.81</v>
      </c>
      <c r="F2437">
        <f t="shared" si="76"/>
        <v>0</v>
      </c>
      <c r="G2437">
        <f t="shared" si="77"/>
        <v>1</v>
      </c>
    </row>
    <row r="2438" spans="1:7">
      <c r="A2438" t="str">
        <f>Sinistrés!H2443</f>
        <v>Blé tendre d'hiver</v>
      </c>
      <c r="B2438">
        <f>Sinistrés!J2443</f>
        <v>45035.19</v>
      </c>
      <c r="C2438">
        <f>Sinistrés!X2443</f>
        <v>1556.81</v>
      </c>
      <c r="D2438">
        <f>Sinistrés!L2443</f>
        <v>32.29</v>
      </c>
      <c r="E2438">
        <f>Sinistrés!M2443</f>
        <v>32.29</v>
      </c>
      <c r="F2438">
        <f t="shared" si="76"/>
        <v>3.4568745019172779E-2</v>
      </c>
      <c r="G2438">
        <f t="shared" si="77"/>
        <v>1</v>
      </c>
    </row>
    <row r="2439" spans="1:7" hidden="1">
      <c r="A2439" t="str">
        <f>Sinistrés!H2444</f>
        <v>Orge d'hiver</v>
      </c>
      <c r="B2439">
        <f>Sinistrés!J2444</f>
        <v>16392.13</v>
      </c>
      <c r="C2439">
        <f>Sinistrés!X2444</f>
        <v>0</v>
      </c>
      <c r="D2439">
        <f>Sinistrés!L2444</f>
        <v>11.71</v>
      </c>
      <c r="E2439">
        <f>Sinistrés!M2444</f>
        <v>11.71</v>
      </c>
      <c r="F2439">
        <f t="shared" si="76"/>
        <v>0</v>
      </c>
      <c r="G2439">
        <f t="shared" si="77"/>
        <v>1</v>
      </c>
    </row>
    <row r="2440" spans="1:7">
      <c r="A2440" t="str">
        <f>Sinistrés!H2445</f>
        <v>Triticale</v>
      </c>
      <c r="B2440">
        <f>Sinistrés!J2445</f>
        <v>13916.75</v>
      </c>
      <c r="C2440">
        <f>Sinistrés!X2445</f>
        <v>2375.4499999999998</v>
      </c>
      <c r="D2440">
        <f>Sinistrés!L2445</f>
        <v>13.48</v>
      </c>
      <c r="E2440">
        <f>Sinistrés!M2445</f>
        <v>13.48</v>
      </c>
      <c r="F2440">
        <f t="shared" si="76"/>
        <v>0.1706899958682882</v>
      </c>
      <c r="G2440">
        <f t="shared" si="77"/>
        <v>1</v>
      </c>
    </row>
    <row r="2441" spans="1:7" hidden="1">
      <c r="A2441" t="str">
        <f>Sinistrés!H2446</f>
        <v>Orge de printemps</v>
      </c>
      <c r="B2441">
        <f>Sinistrés!J2446</f>
        <v>22603</v>
      </c>
      <c r="C2441">
        <f>Sinistrés!X2446</f>
        <v>0</v>
      </c>
      <c r="D2441">
        <f>Sinistrés!L2446</f>
        <v>18.940000000000001</v>
      </c>
      <c r="E2441">
        <f>Sinistrés!M2446</f>
        <v>18.940000000000001</v>
      </c>
      <c r="F2441">
        <f t="shared" si="76"/>
        <v>0</v>
      </c>
      <c r="G2441">
        <f t="shared" si="77"/>
        <v>1</v>
      </c>
    </row>
    <row r="2442" spans="1:7" hidden="1">
      <c r="A2442" t="str">
        <f>Sinistrés!H2447</f>
        <v>Colza d'hiver</v>
      </c>
      <c r="B2442">
        <f>Sinistrés!J2447</f>
        <v>18268.169999999998</v>
      </c>
      <c r="C2442">
        <f>Sinistrés!X2447</f>
        <v>0</v>
      </c>
      <c r="D2442">
        <f>Sinistrés!L2447</f>
        <v>12.18</v>
      </c>
      <c r="E2442">
        <f>Sinistrés!M2447</f>
        <v>12.18</v>
      </c>
      <c r="F2442">
        <f t="shared" si="76"/>
        <v>0</v>
      </c>
      <c r="G2442">
        <f t="shared" si="77"/>
        <v>1</v>
      </c>
    </row>
    <row r="2443" spans="1:7">
      <c r="A2443" t="str">
        <f>Sinistrés!H2448</f>
        <v>Pois protéagineux</v>
      </c>
      <c r="B2443">
        <f>Sinistrés!J2448</f>
        <v>13572.74</v>
      </c>
      <c r="C2443">
        <f>Sinistrés!X2448</f>
        <v>1200.21</v>
      </c>
      <c r="D2443">
        <f>Sinistrés!L2448</f>
        <v>10.66</v>
      </c>
      <c r="E2443">
        <f>Sinistrés!M2448</f>
        <v>10.66</v>
      </c>
      <c r="F2443">
        <f t="shared" si="76"/>
        <v>8.8427981380325565E-2</v>
      </c>
      <c r="G2443">
        <f t="shared" si="77"/>
        <v>1</v>
      </c>
    </row>
    <row r="2444" spans="1:7" hidden="1">
      <c r="A2444" t="str">
        <f>Sinistrés!H2449</f>
        <v>Blé tendre d'hiver</v>
      </c>
      <c r="B2444">
        <f>Sinistrés!J2449</f>
        <v>18370.8</v>
      </c>
      <c r="C2444">
        <f>Sinistrés!X2449</f>
        <v>0</v>
      </c>
      <c r="D2444">
        <f>Sinistrés!L2449</f>
        <v>18</v>
      </c>
      <c r="E2444">
        <f>Sinistrés!M2449</f>
        <v>18</v>
      </c>
      <c r="F2444">
        <f t="shared" si="76"/>
        <v>0</v>
      </c>
      <c r="G2444">
        <f t="shared" si="77"/>
        <v>1</v>
      </c>
    </row>
    <row r="2445" spans="1:7" hidden="1">
      <c r="A2445" t="str">
        <f>Sinistrés!H2450</f>
        <v>Orge d'hiver</v>
      </c>
      <c r="B2445">
        <f>Sinistrés!J2450</f>
        <v>13531.18</v>
      </c>
      <c r="C2445">
        <f>Sinistrés!X2450</f>
        <v>0</v>
      </c>
      <c r="D2445">
        <f>Sinistrés!L2450</f>
        <v>17.5</v>
      </c>
      <c r="E2445">
        <f>Sinistrés!M2450</f>
        <v>17.5</v>
      </c>
      <c r="F2445">
        <f t="shared" si="76"/>
        <v>0</v>
      </c>
      <c r="G2445">
        <f t="shared" si="77"/>
        <v>1</v>
      </c>
    </row>
    <row r="2446" spans="1:7" hidden="1">
      <c r="A2446" t="str">
        <f>Sinistrés!H2451</f>
        <v>Tournesol</v>
      </c>
      <c r="B2446">
        <f>Sinistrés!J2451</f>
        <v>11776</v>
      </c>
      <c r="C2446">
        <f>Sinistrés!X2451</f>
        <v>0</v>
      </c>
      <c r="D2446">
        <f>Sinistrés!L2451</f>
        <v>16</v>
      </c>
      <c r="E2446">
        <f>Sinistrés!M2451</f>
        <v>16</v>
      </c>
      <c r="F2446">
        <f t="shared" si="76"/>
        <v>0</v>
      </c>
      <c r="G2446">
        <f t="shared" si="77"/>
        <v>1</v>
      </c>
    </row>
    <row r="2447" spans="1:7" hidden="1">
      <c r="A2447" t="str">
        <f>Sinistrés!H2452</f>
        <v>Blé de force</v>
      </c>
      <c r="B2447">
        <f>Sinistrés!J2452</f>
        <v>13643.01</v>
      </c>
      <c r="C2447">
        <f>Sinistrés!X2452</f>
        <v>0</v>
      </c>
      <c r="D2447">
        <f>Sinistrés!L2452</f>
        <v>11.1</v>
      </c>
      <c r="E2447">
        <f>Sinistrés!M2452</f>
        <v>11.1</v>
      </c>
      <c r="F2447">
        <f t="shared" si="76"/>
        <v>0</v>
      </c>
      <c r="G2447">
        <f t="shared" si="77"/>
        <v>1</v>
      </c>
    </row>
    <row r="2448" spans="1:7">
      <c r="A2448" t="str">
        <f>Sinistrés!H2453</f>
        <v>Blé tendre d'hiver</v>
      </c>
      <c r="B2448">
        <f>Sinistrés!J2453</f>
        <v>29910.51</v>
      </c>
      <c r="C2448">
        <f>Sinistrés!X2453</f>
        <v>5980.03</v>
      </c>
      <c r="D2448">
        <f>Sinistrés!L2453</f>
        <v>27.58</v>
      </c>
      <c r="E2448">
        <f>Sinistrés!M2453</f>
        <v>27.58</v>
      </c>
      <c r="F2448">
        <f t="shared" si="76"/>
        <v>0.19993072669105275</v>
      </c>
      <c r="G2448">
        <f t="shared" si="77"/>
        <v>1</v>
      </c>
    </row>
    <row r="2449" spans="1:7">
      <c r="A2449" t="str">
        <f>Sinistrés!H2454</f>
        <v>Blé dur d'hiver</v>
      </c>
      <c r="B2449">
        <f>Sinistrés!J2454</f>
        <v>23018.31</v>
      </c>
      <c r="C2449">
        <f>Sinistrés!X2454</f>
        <v>3708.51</v>
      </c>
      <c r="D2449">
        <f>Sinistrés!L2454</f>
        <v>19.23</v>
      </c>
      <c r="E2449">
        <f>Sinistrés!M2454</f>
        <v>19.23</v>
      </c>
      <c r="F2449">
        <f t="shared" si="76"/>
        <v>0.16111130660765277</v>
      </c>
      <c r="G2449">
        <f t="shared" si="77"/>
        <v>1</v>
      </c>
    </row>
    <row r="2450" spans="1:7">
      <c r="A2450" t="str">
        <f>Sinistrés!H2455</f>
        <v>Orge d'hiver</v>
      </c>
      <c r="B2450">
        <f>Sinistrés!J2455</f>
        <v>9366.06</v>
      </c>
      <c r="C2450">
        <f>Sinistrés!X2455</f>
        <v>522.95000000000005</v>
      </c>
      <c r="D2450">
        <f>Sinistrés!L2455</f>
        <v>12.65</v>
      </c>
      <c r="E2450">
        <f>Sinistrés!M2455</f>
        <v>12.65</v>
      </c>
      <c r="F2450">
        <f t="shared" si="76"/>
        <v>5.5834577186138046E-2</v>
      </c>
      <c r="G2450">
        <f t="shared" si="77"/>
        <v>1</v>
      </c>
    </row>
    <row r="2451" spans="1:7" hidden="1">
      <c r="A2451" t="str">
        <f>Sinistrés!H2456</f>
        <v>Maïs grain non irrigué</v>
      </c>
      <c r="B2451">
        <f>Sinistrés!J2456</f>
        <v>14843.14</v>
      </c>
      <c r="C2451">
        <f>Sinistrés!X2456</f>
        <v>0</v>
      </c>
      <c r="D2451">
        <f>Sinistrés!L2456</f>
        <v>14.08</v>
      </c>
      <c r="E2451">
        <f>Sinistrés!M2456</f>
        <v>14.08</v>
      </c>
      <c r="F2451">
        <f t="shared" si="76"/>
        <v>0</v>
      </c>
      <c r="G2451">
        <f t="shared" si="77"/>
        <v>1</v>
      </c>
    </row>
    <row r="2452" spans="1:7" hidden="1">
      <c r="A2452" t="str">
        <f>Sinistrés!H2457</f>
        <v>Sorgho</v>
      </c>
      <c r="B2452">
        <f>Sinistrés!J2457</f>
        <v>14926.46</v>
      </c>
      <c r="C2452">
        <f>Sinistrés!X2457</f>
        <v>0</v>
      </c>
      <c r="D2452">
        <f>Sinistrés!L2457</f>
        <v>18.43</v>
      </c>
      <c r="E2452">
        <f>Sinistrés!M2457</f>
        <v>18.43</v>
      </c>
      <c r="F2452">
        <f t="shared" si="76"/>
        <v>0</v>
      </c>
      <c r="G2452">
        <f t="shared" si="77"/>
        <v>1</v>
      </c>
    </row>
    <row r="2453" spans="1:7" hidden="1">
      <c r="A2453" t="str">
        <f>Sinistrés!H2458</f>
        <v>Tournesol</v>
      </c>
      <c r="B2453">
        <f>Sinistrés!J2458</f>
        <v>36216.18</v>
      </c>
      <c r="C2453">
        <f>Sinistrés!X2458</f>
        <v>0</v>
      </c>
      <c r="D2453">
        <f>Sinistrés!L2458</f>
        <v>42.21</v>
      </c>
      <c r="E2453">
        <f>Sinistrés!M2458</f>
        <v>42.21</v>
      </c>
      <c r="F2453">
        <f t="shared" si="76"/>
        <v>0</v>
      </c>
      <c r="G2453">
        <f t="shared" si="77"/>
        <v>1</v>
      </c>
    </row>
    <row r="2454" spans="1:7">
      <c r="A2454" t="str">
        <f>Sinistrés!H2459</f>
        <v>Blé tendre d'hiver</v>
      </c>
      <c r="B2454">
        <f>Sinistrés!J2459</f>
        <v>11240.5</v>
      </c>
      <c r="C2454">
        <f>Sinistrés!X2459</f>
        <v>450</v>
      </c>
      <c r="D2454">
        <f>Sinistrés!L2459</f>
        <v>7.8</v>
      </c>
      <c r="E2454">
        <f>Sinistrés!M2459</f>
        <v>2.5</v>
      </c>
      <c r="F2454">
        <f t="shared" si="76"/>
        <v>4.0033806325341398E-2</v>
      </c>
      <c r="G2454">
        <f t="shared" si="77"/>
        <v>0.32051282051282054</v>
      </c>
    </row>
    <row r="2455" spans="1:7">
      <c r="A2455" t="str">
        <f>Sinistrés!H2460</f>
        <v>Orge d'hiver</v>
      </c>
      <c r="B2455">
        <f>Sinistrés!J2460</f>
        <v>6559.76</v>
      </c>
      <c r="C2455">
        <f>Sinistrés!X2460</f>
        <v>300</v>
      </c>
      <c r="D2455">
        <f>Sinistrés!L2460</f>
        <v>4.91</v>
      </c>
      <c r="E2455">
        <f>Sinistrés!M2460</f>
        <v>4.91</v>
      </c>
      <c r="F2455">
        <f t="shared" si="76"/>
        <v>4.5733380489530101E-2</v>
      </c>
      <c r="G2455">
        <f t="shared" si="77"/>
        <v>1</v>
      </c>
    </row>
    <row r="2456" spans="1:7">
      <c r="A2456" t="str">
        <f>Sinistrés!H2461</f>
        <v>Orge de printemps</v>
      </c>
      <c r="B2456">
        <f>Sinistrés!J2461</f>
        <v>4480.8599999999997</v>
      </c>
      <c r="C2456">
        <f>Sinistrés!X2461</f>
        <v>213.88</v>
      </c>
      <c r="D2456">
        <f>Sinistrés!L2461</f>
        <v>4.5999999999999996</v>
      </c>
      <c r="E2456">
        <f>Sinistrés!M2461</f>
        <v>4.55</v>
      </c>
      <c r="F2456">
        <f t="shared" si="76"/>
        <v>4.7731908606829944E-2</v>
      </c>
      <c r="G2456">
        <f t="shared" si="77"/>
        <v>0.98913043478260876</v>
      </c>
    </row>
    <row r="2457" spans="1:7" hidden="1">
      <c r="A2457" t="str">
        <f>Sinistrés!H2462</f>
        <v>Colza d'hiver</v>
      </c>
      <c r="B2457">
        <f>Sinistrés!J2462</f>
        <v>26763.09</v>
      </c>
      <c r="C2457">
        <f>Sinistrés!X2462</f>
        <v>0</v>
      </c>
      <c r="D2457">
        <f>Sinistrés!L2462</f>
        <v>24.35</v>
      </c>
      <c r="E2457">
        <f>Sinistrés!M2462</f>
        <v>24.3</v>
      </c>
      <c r="F2457">
        <f t="shared" si="76"/>
        <v>0</v>
      </c>
      <c r="G2457">
        <f t="shared" si="77"/>
        <v>0.99794661190965095</v>
      </c>
    </row>
    <row r="2458" spans="1:7" hidden="1">
      <c r="A2458" t="str">
        <f>Sinistrés!H2463</f>
        <v>Orge d'hiver</v>
      </c>
      <c r="B2458">
        <f>Sinistrés!J2463</f>
        <v>13152.92</v>
      </c>
      <c r="C2458">
        <f>Sinistrés!X2463</f>
        <v>0</v>
      </c>
      <c r="D2458">
        <f>Sinistrés!L2463</f>
        <v>14.32</v>
      </c>
      <c r="E2458">
        <f>Sinistrés!M2463</f>
        <v>14.2</v>
      </c>
      <c r="F2458">
        <f t="shared" si="76"/>
        <v>0</v>
      </c>
      <c r="G2458">
        <f t="shared" si="77"/>
        <v>0.9916201117318435</v>
      </c>
    </row>
    <row r="2459" spans="1:7" hidden="1">
      <c r="A2459" t="str">
        <f>Sinistrés!H2464</f>
        <v>Blé tendre d'hiver</v>
      </c>
      <c r="B2459">
        <f>Sinistrés!J2464</f>
        <v>53606.73</v>
      </c>
      <c r="C2459">
        <f>Sinistrés!X2464</f>
        <v>0</v>
      </c>
      <c r="D2459">
        <f>Sinistrés!L2464</f>
        <v>54.65</v>
      </c>
      <c r="E2459">
        <f>Sinistrés!M2464</f>
        <v>54.65</v>
      </c>
      <c r="F2459">
        <f t="shared" si="76"/>
        <v>0</v>
      </c>
      <c r="G2459">
        <f t="shared" si="77"/>
        <v>1</v>
      </c>
    </row>
    <row r="2460" spans="1:7" hidden="1">
      <c r="A2460" t="str">
        <f>Sinistrés!H2465</f>
        <v>Triticale SEMENCES</v>
      </c>
      <c r="B2460">
        <f>Sinistrés!J2465</f>
        <v>27780.5</v>
      </c>
      <c r="C2460">
        <f>Sinistrés!X2465</f>
        <v>0</v>
      </c>
      <c r="D2460">
        <f>Sinistrés!L2465</f>
        <v>23.54</v>
      </c>
      <c r="E2460">
        <f>Sinistrés!M2465</f>
        <v>23.54</v>
      </c>
      <c r="F2460">
        <f t="shared" si="76"/>
        <v>0</v>
      </c>
      <c r="G2460">
        <f t="shared" si="77"/>
        <v>1</v>
      </c>
    </row>
    <row r="2461" spans="1:7" hidden="1">
      <c r="A2461" t="str">
        <f>Sinistrés!H2466</f>
        <v>Blé tendre d'hiver</v>
      </c>
      <c r="B2461">
        <f>Sinistrés!J2466</f>
        <v>51111.17</v>
      </c>
      <c r="C2461">
        <f>Sinistrés!X2466</f>
        <v>0</v>
      </c>
      <c r="D2461">
        <f>Sinistrés!L2466</f>
        <v>41.67</v>
      </c>
      <c r="E2461">
        <f>Sinistrés!M2466</f>
        <v>41.67</v>
      </c>
      <c r="F2461">
        <f t="shared" si="76"/>
        <v>0</v>
      </c>
      <c r="G2461">
        <f t="shared" si="77"/>
        <v>1</v>
      </c>
    </row>
    <row r="2462" spans="1:7" hidden="1">
      <c r="A2462" t="str">
        <f>Sinistrés!H2467</f>
        <v>Colza d'hiver</v>
      </c>
      <c r="B2462">
        <f>Sinistrés!J2467</f>
        <v>42022.65</v>
      </c>
      <c r="C2462">
        <f>Sinistrés!X2467</f>
        <v>0</v>
      </c>
      <c r="D2462">
        <f>Sinistrés!L2467</f>
        <v>29.65</v>
      </c>
      <c r="E2462">
        <f>Sinistrés!M2467</f>
        <v>29.65</v>
      </c>
      <c r="F2462">
        <f t="shared" si="76"/>
        <v>0</v>
      </c>
      <c r="G2462">
        <f t="shared" si="77"/>
        <v>1</v>
      </c>
    </row>
    <row r="2463" spans="1:7" hidden="1">
      <c r="A2463" t="str">
        <f>Sinistrés!H2468</f>
        <v>Pois protéagineux</v>
      </c>
      <c r="B2463">
        <f>Sinistrés!J2468</f>
        <v>6282.27</v>
      </c>
      <c r="C2463">
        <f>Sinistrés!X2468</f>
        <v>0</v>
      </c>
      <c r="D2463">
        <f>Sinistrés!L2468</f>
        <v>6.33</v>
      </c>
      <c r="E2463">
        <f>Sinistrés!M2468</f>
        <v>6.33</v>
      </c>
      <c r="F2463">
        <f t="shared" si="76"/>
        <v>0</v>
      </c>
      <c r="G2463">
        <f t="shared" si="77"/>
        <v>1</v>
      </c>
    </row>
    <row r="2464" spans="1:7" hidden="1">
      <c r="A2464" t="str">
        <f>Sinistrés!H2469</f>
        <v>Tournesol</v>
      </c>
      <c r="B2464">
        <f>Sinistrés!J2469</f>
        <v>28279.58</v>
      </c>
      <c r="C2464">
        <f>Sinistrés!X2469</f>
        <v>0</v>
      </c>
      <c r="D2464">
        <f>Sinistrés!L2469</f>
        <v>22.72</v>
      </c>
      <c r="E2464">
        <f>Sinistrés!M2469</f>
        <v>7</v>
      </c>
      <c r="F2464">
        <f t="shared" si="76"/>
        <v>0</v>
      </c>
      <c r="G2464">
        <f t="shared" si="77"/>
        <v>0.30809859154929581</v>
      </c>
    </row>
    <row r="2465" spans="1:7" hidden="1">
      <c r="A2465" t="str">
        <f>Sinistrés!H2470</f>
        <v>Féveroles et fèves BIO</v>
      </c>
      <c r="B2465">
        <f>Sinistrés!J2470</f>
        <v>3943.28</v>
      </c>
      <c r="C2465">
        <f>Sinistrés!X2470</f>
        <v>0</v>
      </c>
      <c r="D2465">
        <f>Sinistrés!L2470</f>
        <v>10.73</v>
      </c>
      <c r="E2465">
        <f>Sinistrés!M2470</f>
        <v>10.73</v>
      </c>
      <c r="F2465">
        <f t="shared" si="76"/>
        <v>0</v>
      </c>
      <c r="G2465">
        <f t="shared" si="77"/>
        <v>1</v>
      </c>
    </row>
    <row r="2466" spans="1:7" hidden="1">
      <c r="A2466" t="str">
        <f>Sinistrés!H2471</f>
        <v>Lentilles BIO</v>
      </c>
      <c r="B2466">
        <f>Sinistrés!J2471</f>
        <v>39247.599999999999</v>
      </c>
      <c r="C2466">
        <f>Sinistrés!X2471</f>
        <v>6327.3</v>
      </c>
      <c r="D2466">
        <f>Sinistrés!L2471</f>
        <v>36.68</v>
      </c>
      <c r="E2466">
        <f>Sinistrés!M2471</f>
        <v>36.68</v>
      </c>
      <c r="F2466">
        <f t="shared" si="76"/>
        <v>0.16121495327102806</v>
      </c>
      <c r="G2466">
        <f t="shared" si="77"/>
        <v>1</v>
      </c>
    </row>
    <row r="2467" spans="1:7">
      <c r="A2467" t="str">
        <f>Sinistrés!H2472</f>
        <v>Maïs grain non irrigué</v>
      </c>
      <c r="B2467">
        <f>Sinistrés!J2472</f>
        <v>154660</v>
      </c>
      <c r="C2467">
        <f>Sinistrés!X2472</f>
        <v>73983.070000000007</v>
      </c>
      <c r="D2467">
        <f>Sinistrés!L2472</f>
        <v>74</v>
      </c>
      <c r="E2467">
        <f>Sinistrés!M2472</f>
        <v>32.03</v>
      </c>
      <c r="F2467">
        <f t="shared" si="76"/>
        <v>0.47835943359627575</v>
      </c>
      <c r="G2467">
        <f t="shared" si="77"/>
        <v>0.43283783783783786</v>
      </c>
    </row>
    <row r="2468" spans="1:7">
      <c r="A2468" t="str">
        <f>Sinistrés!H2473</f>
        <v>Maïs grain irrigué</v>
      </c>
      <c r="B2468">
        <f>Sinistrés!J2473</f>
        <v>165974.9</v>
      </c>
      <c r="C2468">
        <f>Sinistrés!X2473</f>
        <v>38736.83</v>
      </c>
      <c r="D2468">
        <f>Sinistrés!L2473</f>
        <v>61</v>
      </c>
      <c r="E2468">
        <f>Sinistrés!M2473</f>
        <v>43.45</v>
      </c>
      <c r="F2468">
        <f t="shared" si="76"/>
        <v>0.23338968723584111</v>
      </c>
      <c r="G2468">
        <f t="shared" si="77"/>
        <v>0.71229508196721314</v>
      </c>
    </row>
    <row r="2469" spans="1:7" hidden="1">
      <c r="A2469" t="str">
        <f>Sinistrés!H2474</f>
        <v>Blé tendre d'hiver</v>
      </c>
      <c r="B2469">
        <f>Sinistrés!J2474</f>
        <v>36882</v>
      </c>
      <c r="C2469">
        <f>Sinistrés!X2474</f>
        <v>0</v>
      </c>
      <c r="D2469">
        <f>Sinistrés!L2474</f>
        <v>27</v>
      </c>
      <c r="E2469">
        <f>Sinistrés!M2474</f>
        <v>26.16</v>
      </c>
      <c r="F2469">
        <f t="shared" si="76"/>
        <v>0</v>
      </c>
      <c r="G2469">
        <f t="shared" si="77"/>
        <v>0.96888888888888891</v>
      </c>
    </row>
    <row r="2470" spans="1:7" hidden="1">
      <c r="A2470" t="str">
        <f>Sinistrés!H2475</f>
        <v>Tournesol BIO</v>
      </c>
      <c r="B2470">
        <f>Sinistrés!J2475</f>
        <v>70011.199999999997</v>
      </c>
      <c r="C2470">
        <f>Sinistrés!X2475</f>
        <v>0</v>
      </c>
      <c r="D2470">
        <f>Sinistrés!L2475</f>
        <v>46.06</v>
      </c>
      <c r="E2470">
        <f>Sinistrés!M2475</f>
        <v>10</v>
      </c>
      <c r="F2470">
        <f t="shared" si="76"/>
        <v>0</v>
      </c>
      <c r="G2470">
        <f t="shared" si="77"/>
        <v>0.21710811984368214</v>
      </c>
    </row>
    <row r="2471" spans="1:7">
      <c r="A2471" t="str">
        <f>Sinistrés!H2476</f>
        <v>Avoine d'hiver</v>
      </c>
      <c r="B2471">
        <f>Sinistrés!J2476</f>
        <v>28459.53</v>
      </c>
      <c r="C2471">
        <f>Sinistrés!X2476</f>
        <v>1897.3</v>
      </c>
      <c r="D2471">
        <f>Sinistrés!L2476</f>
        <v>31.35</v>
      </c>
      <c r="E2471">
        <f>Sinistrés!M2476</f>
        <v>31.35</v>
      </c>
      <c r="F2471">
        <f t="shared" si="76"/>
        <v>6.6666596391437252E-2</v>
      </c>
      <c r="G2471">
        <f t="shared" si="77"/>
        <v>1</v>
      </c>
    </row>
    <row r="2472" spans="1:7">
      <c r="A2472" t="str">
        <f>Sinistrés!H2477</f>
        <v>Triticale</v>
      </c>
      <c r="B2472">
        <f>Sinistrés!J2477</f>
        <v>23451.5</v>
      </c>
      <c r="C2472">
        <f>Sinistrés!X2477</f>
        <v>2451.6799999999998</v>
      </c>
      <c r="D2472">
        <f>Sinistrés!L2477</f>
        <v>26.35</v>
      </c>
      <c r="E2472">
        <f>Sinistrés!M2477</f>
        <v>26.35</v>
      </c>
      <c r="F2472">
        <f t="shared" si="76"/>
        <v>0.10454256657356671</v>
      </c>
      <c r="G2472">
        <f t="shared" si="77"/>
        <v>1</v>
      </c>
    </row>
    <row r="2473" spans="1:7">
      <c r="A2473" t="str">
        <f>Sinistrés!H2478</f>
        <v>Tournesol</v>
      </c>
      <c r="B2473">
        <f>Sinistrés!J2478</f>
        <v>39112.120000000003</v>
      </c>
      <c r="C2473">
        <f>Sinistrés!X2478</f>
        <v>10.46</v>
      </c>
      <c r="D2473">
        <f>Sinistrés!L2478</f>
        <v>45.37</v>
      </c>
      <c r="E2473">
        <f>Sinistrés!M2478</f>
        <v>45.37</v>
      </c>
      <c r="F2473">
        <f t="shared" si="76"/>
        <v>2.6743628317769529E-4</v>
      </c>
      <c r="G2473">
        <f t="shared" si="77"/>
        <v>1</v>
      </c>
    </row>
    <row r="2474" spans="1:7" hidden="1">
      <c r="A2474" t="str">
        <f>Sinistrés!H2479</f>
        <v>Orge de printemps</v>
      </c>
      <c r="B2474">
        <f>Sinistrés!J2479</f>
        <v>18269.04</v>
      </c>
      <c r="C2474">
        <f>Sinistrés!X2479</f>
        <v>0</v>
      </c>
      <c r="D2474">
        <f>Sinistrés!L2479</f>
        <v>19.559999999999999</v>
      </c>
      <c r="E2474">
        <f>Sinistrés!M2479</f>
        <v>19.559999999999999</v>
      </c>
      <c r="F2474">
        <f t="shared" si="76"/>
        <v>0</v>
      </c>
      <c r="G2474">
        <f t="shared" si="77"/>
        <v>1</v>
      </c>
    </row>
    <row r="2475" spans="1:7">
      <c r="A2475" t="str">
        <f>Sinistrés!H2480</f>
        <v>Orge de printemps</v>
      </c>
      <c r="B2475">
        <f>Sinistrés!J2480</f>
        <v>6939.02</v>
      </c>
      <c r="C2475">
        <f>Sinistrés!X2480</f>
        <v>5098.41</v>
      </c>
      <c r="D2475">
        <f>Sinistrés!L2480</f>
        <v>7.43</v>
      </c>
      <c r="E2475">
        <f>Sinistrés!M2480</f>
        <v>7.43</v>
      </c>
      <c r="F2475">
        <f t="shared" si="76"/>
        <v>0.73474496398626887</v>
      </c>
      <c r="G2475">
        <f t="shared" si="77"/>
        <v>1</v>
      </c>
    </row>
    <row r="2476" spans="1:7" hidden="1">
      <c r="A2476" t="str">
        <f>Sinistrés!H2481</f>
        <v>Colza d'hiver</v>
      </c>
      <c r="B2476">
        <f>Sinistrés!J2481</f>
        <v>10159.4</v>
      </c>
      <c r="C2476">
        <f>Sinistrés!X2481</f>
        <v>0</v>
      </c>
      <c r="D2476">
        <f>Sinistrés!L2481</f>
        <v>6.43</v>
      </c>
      <c r="E2476">
        <f>Sinistrés!M2481</f>
        <v>6.43</v>
      </c>
      <c r="F2476">
        <f t="shared" si="76"/>
        <v>0</v>
      </c>
      <c r="G2476">
        <f t="shared" si="77"/>
        <v>1</v>
      </c>
    </row>
    <row r="2477" spans="1:7">
      <c r="A2477" t="str">
        <f>Sinistrés!H2482</f>
        <v>Blé tendre d'hiver</v>
      </c>
      <c r="B2477">
        <f>Sinistrés!J2482</f>
        <v>31989.54</v>
      </c>
      <c r="C2477">
        <f>Sinistrés!X2482</f>
        <v>8614.73</v>
      </c>
      <c r="D2477">
        <f>Sinistrés!L2482</f>
        <v>25.51</v>
      </c>
      <c r="E2477">
        <f>Sinistrés!M2482</f>
        <v>25.51</v>
      </c>
      <c r="F2477">
        <f t="shared" si="76"/>
        <v>0.26929833939468961</v>
      </c>
      <c r="G2477">
        <f t="shared" si="77"/>
        <v>1</v>
      </c>
    </row>
    <row r="2478" spans="1:7" hidden="1">
      <c r="A2478" t="str">
        <f>Sinistrés!H2483</f>
        <v>Tournesol</v>
      </c>
      <c r="B2478">
        <f>Sinistrés!J2483</f>
        <v>15286.05</v>
      </c>
      <c r="C2478">
        <f>Sinistrés!X2483</f>
        <v>0</v>
      </c>
      <c r="D2478">
        <f>Sinistrés!L2483</f>
        <v>17.420000000000002</v>
      </c>
      <c r="E2478">
        <f>Sinistrés!M2483</f>
        <v>17.420000000000002</v>
      </c>
      <c r="F2478">
        <f t="shared" si="76"/>
        <v>0</v>
      </c>
      <c r="G2478">
        <f t="shared" si="77"/>
        <v>1</v>
      </c>
    </row>
    <row r="2479" spans="1:7" hidden="1">
      <c r="A2479" t="str">
        <f>Sinistrés!H2484</f>
        <v>Maïs grain non irrigué</v>
      </c>
      <c r="B2479">
        <f>Sinistrés!J2484</f>
        <v>3969.05</v>
      </c>
      <c r="C2479">
        <f>Sinistrés!X2484</f>
        <v>0</v>
      </c>
      <c r="D2479">
        <f>Sinistrés!L2484</f>
        <v>5.19</v>
      </c>
      <c r="E2479">
        <f>Sinistrés!M2484</f>
        <v>5.19</v>
      </c>
      <c r="F2479">
        <f t="shared" si="76"/>
        <v>0</v>
      </c>
      <c r="G2479">
        <f t="shared" si="77"/>
        <v>1</v>
      </c>
    </row>
    <row r="2480" spans="1:7" hidden="1">
      <c r="A2480" t="str">
        <f>Sinistrés!H2485</f>
        <v>Tournesol</v>
      </c>
      <c r="B2480">
        <f>Sinistrés!J2485</f>
        <v>9271.7199999999993</v>
      </c>
      <c r="C2480">
        <f>Sinistrés!X2485</f>
        <v>0</v>
      </c>
      <c r="D2480">
        <f>Sinistrés!L2485</f>
        <v>8.86</v>
      </c>
      <c r="E2480">
        <f>Sinistrés!M2485</f>
        <v>8.86</v>
      </c>
      <c r="F2480">
        <f t="shared" si="76"/>
        <v>0</v>
      </c>
      <c r="G2480">
        <f t="shared" si="77"/>
        <v>1</v>
      </c>
    </row>
    <row r="2481" spans="1:7" hidden="1">
      <c r="A2481" t="str">
        <f>Sinistrés!H2486</f>
        <v>Colza d'hiver</v>
      </c>
      <c r="B2481">
        <f>Sinistrés!J2486</f>
        <v>13730.6</v>
      </c>
      <c r="C2481">
        <f>Sinistrés!X2486</f>
        <v>0</v>
      </c>
      <c r="D2481">
        <f>Sinistrés!L2486</f>
        <v>9.91</v>
      </c>
      <c r="E2481">
        <f>Sinistrés!M2486</f>
        <v>2.78</v>
      </c>
      <c r="F2481">
        <f t="shared" si="76"/>
        <v>0</v>
      </c>
      <c r="G2481">
        <f t="shared" si="77"/>
        <v>0.28052472250252269</v>
      </c>
    </row>
    <row r="2482" spans="1:7" hidden="1">
      <c r="A2482" t="str">
        <f>Sinistrés!H2487</f>
        <v>Maïs ensilage non irrigué</v>
      </c>
      <c r="B2482">
        <f>Sinistrés!J2487</f>
        <v>3495.16</v>
      </c>
      <c r="C2482">
        <f>Sinistrés!X2487</f>
        <v>0</v>
      </c>
      <c r="D2482">
        <f>Sinistrés!L2487</f>
        <v>3.35</v>
      </c>
      <c r="E2482">
        <f>Sinistrés!M2487</f>
        <v>3.35</v>
      </c>
      <c r="F2482">
        <f t="shared" si="76"/>
        <v>0</v>
      </c>
      <c r="G2482">
        <f t="shared" si="77"/>
        <v>1</v>
      </c>
    </row>
    <row r="2483" spans="1:7" hidden="1">
      <c r="A2483" t="str">
        <f>Sinistrés!H2488</f>
        <v>Blé de force</v>
      </c>
      <c r="B2483">
        <f>Sinistrés!J2488</f>
        <v>34450.6</v>
      </c>
      <c r="C2483">
        <f>Sinistrés!X2488</f>
        <v>0</v>
      </c>
      <c r="D2483">
        <f>Sinistrés!L2488</f>
        <v>28.1</v>
      </c>
      <c r="E2483">
        <f>Sinistrés!M2488</f>
        <v>28.1</v>
      </c>
      <c r="F2483">
        <f t="shared" si="76"/>
        <v>0</v>
      </c>
      <c r="G2483">
        <f t="shared" si="77"/>
        <v>1</v>
      </c>
    </row>
    <row r="2484" spans="1:7" hidden="1">
      <c r="A2484" t="str">
        <f>Sinistrés!H2489</f>
        <v>Blé tendre d'hiver</v>
      </c>
      <c r="B2484">
        <f>Sinistrés!J2489</f>
        <v>80677.8</v>
      </c>
      <c r="C2484">
        <f>Sinistrés!X2489</f>
        <v>0</v>
      </c>
      <c r="D2484">
        <f>Sinistrés!L2489</f>
        <v>64.03</v>
      </c>
      <c r="E2484">
        <f>Sinistrés!M2489</f>
        <v>64.03</v>
      </c>
      <c r="F2484">
        <f t="shared" si="76"/>
        <v>0</v>
      </c>
      <c r="G2484">
        <f t="shared" si="77"/>
        <v>1</v>
      </c>
    </row>
    <row r="2485" spans="1:7" hidden="1">
      <c r="A2485" t="str">
        <f>Sinistrés!H2490</f>
        <v>Colza d'hiver SEMENCES</v>
      </c>
      <c r="B2485">
        <f>Sinistrés!J2490</f>
        <v>46063.199999999997</v>
      </c>
      <c r="C2485">
        <f>Sinistrés!X2490</f>
        <v>0</v>
      </c>
      <c r="D2485">
        <f>Sinistrés!L2490</f>
        <v>22.58</v>
      </c>
      <c r="E2485">
        <f>Sinistrés!M2490</f>
        <v>22.58</v>
      </c>
      <c r="F2485">
        <f t="shared" si="76"/>
        <v>0</v>
      </c>
      <c r="G2485">
        <f t="shared" si="77"/>
        <v>1</v>
      </c>
    </row>
    <row r="2486" spans="1:7" hidden="1">
      <c r="A2486" t="str">
        <f>Sinistrés!H2491</f>
        <v>Blé de force</v>
      </c>
      <c r="B2486">
        <f>Sinistrés!J2491</f>
        <v>18003.48</v>
      </c>
      <c r="C2486">
        <f>Sinistrés!X2491</f>
        <v>0</v>
      </c>
      <c r="D2486">
        <f>Sinistrés!L2491</f>
        <v>15.18</v>
      </c>
      <c r="E2486">
        <f>Sinistrés!M2491</f>
        <v>15.18</v>
      </c>
      <c r="F2486">
        <f t="shared" si="76"/>
        <v>0</v>
      </c>
      <c r="G2486">
        <f t="shared" si="77"/>
        <v>1</v>
      </c>
    </row>
    <row r="2487" spans="1:7" hidden="1">
      <c r="A2487" t="str">
        <f>Sinistrés!H2492</f>
        <v>Tournesol</v>
      </c>
      <c r="B2487">
        <f>Sinistrés!J2492</f>
        <v>42826.04</v>
      </c>
      <c r="C2487">
        <f>Sinistrés!X2492</f>
        <v>0</v>
      </c>
      <c r="D2487">
        <f>Sinistrés!L2492</f>
        <v>54.87</v>
      </c>
      <c r="E2487">
        <f>Sinistrés!M2492</f>
        <v>52.47</v>
      </c>
      <c r="F2487">
        <f t="shared" si="76"/>
        <v>0</v>
      </c>
      <c r="G2487">
        <f t="shared" si="77"/>
        <v>0.95626025150355387</v>
      </c>
    </row>
    <row r="2488" spans="1:7" hidden="1">
      <c r="A2488" t="str">
        <f>Sinistrés!H2493</f>
        <v>Soja BIO</v>
      </c>
      <c r="B2488">
        <f>Sinistrés!J2493</f>
        <v>14595</v>
      </c>
      <c r="C2488">
        <f>Sinistrés!X2493</f>
        <v>0</v>
      </c>
      <c r="D2488">
        <f>Sinistrés!L2493</f>
        <v>9.73</v>
      </c>
      <c r="E2488">
        <f>Sinistrés!M2493</f>
        <v>12.13</v>
      </c>
      <c r="F2488">
        <f t="shared" si="76"/>
        <v>0</v>
      </c>
      <c r="G2488">
        <f t="shared" si="77"/>
        <v>1.2466598150051387</v>
      </c>
    </row>
    <row r="2489" spans="1:7" hidden="1">
      <c r="A2489" t="str">
        <f>Sinistrés!H2494</f>
        <v>Blé tendre d'hiver</v>
      </c>
      <c r="B2489">
        <f>Sinistrés!J2494</f>
        <v>20631.2</v>
      </c>
      <c r="C2489">
        <f>Sinistrés!X2494</f>
        <v>0</v>
      </c>
      <c r="D2489">
        <f>Sinistrés!L2494</f>
        <v>19.66</v>
      </c>
      <c r="E2489">
        <f>Sinistrés!M2494</f>
        <v>19.66</v>
      </c>
      <c r="F2489">
        <f t="shared" si="76"/>
        <v>0</v>
      </c>
      <c r="G2489">
        <f t="shared" si="77"/>
        <v>1</v>
      </c>
    </row>
    <row r="2490" spans="1:7">
      <c r="A2490" t="str">
        <f>Sinistrés!H2495</f>
        <v>Blé dur d'hiver</v>
      </c>
      <c r="B2490">
        <f>Sinistrés!J2495</f>
        <v>22116.75</v>
      </c>
      <c r="C2490">
        <f>Sinistrés!X2495</f>
        <v>3925.23</v>
      </c>
      <c r="D2490">
        <f>Sinistrés!L2495</f>
        <v>15.94</v>
      </c>
      <c r="E2490">
        <f>Sinistrés!M2495</f>
        <v>15.94</v>
      </c>
      <c r="F2490">
        <f t="shared" si="76"/>
        <v>0.17747770355047646</v>
      </c>
      <c r="G2490">
        <f t="shared" si="77"/>
        <v>1</v>
      </c>
    </row>
    <row r="2491" spans="1:7" hidden="1">
      <c r="A2491" t="str">
        <f>Sinistrés!H2496</f>
        <v>Blé tendre d'hiver</v>
      </c>
      <c r="B2491">
        <f>Sinistrés!J2496</f>
        <v>17967.599999999999</v>
      </c>
      <c r="C2491">
        <f>Sinistrés!X2496</f>
        <v>0</v>
      </c>
      <c r="D2491">
        <f>Sinistrés!L2496</f>
        <v>14.49</v>
      </c>
      <c r="E2491">
        <f>Sinistrés!M2496</f>
        <v>14.48</v>
      </c>
      <c r="F2491">
        <f t="shared" si="76"/>
        <v>0</v>
      </c>
      <c r="G2491">
        <f t="shared" si="77"/>
        <v>0.99930986887508633</v>
      </c>
    </row>
    <row r="2492" spans="1:7" hidden="1">
      <c r="A2492" t="str">
        <f>Sinistrés!H2497</f>
        <v>Blé tendre d'hiver</v>
      </c>
      <c r="B2492">
        <f>Sinistrés!J2497</f>
        <v>53265.01</v>
      </c>
      <c r="C2492">
        <f>Sinistrés!X2497</f>
        <v>0</v>
      </c>
      <c r="D2492">
        <f>Sinistrés!L2497</f>
        <v>43.71</v>
      </c>
      <c r="E2492">
        <f>Sinistrés!M2497</f>
        <v>43.7</v>
      </c>
      <c r="F2492">
        <f t="shared" si="76"/>
        <v>0</v>
      </c>
      <c r="G2492">
        <f t="shared" si="77"/>
        <v>0.99977121940059488</v>
      </c>
    </row>
    <row r="2493" spans="1:7" hidden="1">
      <c r="A2493" t="str">
        <f>Sinistrés!H2498</f>
        <v>Orge de printemps BIO</v>
      </c>
      <c r="B2493">
        <f>Sinistrés!J2498</f>
        <v>22637.88</v>
      </c>
      <c r="C2493">
        <f>Sinistrés!X2498</f>
        <v>4225.74</v>
      </c>
      <c r="D2493">
        <f>Sinistrés!L2498</f>
        <v>23.29</v>
      </c>
      <c r="E2493">
        <f>Sinistrés!M2498</f>
        <v>23.25</v>
      </c>
      <c r="F2493">
        <f t="shared" si="76"/>
        <v>0.18666677268366116</v>
      </c>
      <c r="G2493">
        <f t="shared" si="77"/>
        <v>0.9982825246887076</v>
      </c>
    </row>
    <row r="2494" spans="1:7" hidden="1">
      <c r="A2494" t="str">
        <f>Sinistrés!H2499</f>
        <v>Tournesol BIO</v>
      </c>
      <c r="B2494">
        <f>Sinistrés!J2499</f>
        <v>29062</v>
      </c>
      <c r="C2494">
        <f>Sinistrés!X2499</f>
        <v>0</v>
      </c>
      <c r="D2494">
        <f>Sinistrés!L2499</f>
        <v>26.42</v>
      </c>
      <c r="E2494">
        <f>Sinistrés!M2499</f>
        <v>26.42</v>
      </c>
      <c r="F2494">
        <f t="shared" si="76"/>
        <v>0</v>
      </c>
      <c r="G2494">
        <f t="shared" si="77"/>
        <v>1</v>
      </c>
    </row>
    <row r="2495" spans="1:7" hidden="1">
      <c r="A2495" t="str">
        <f>Sinistrés!H2500</f>
        <v>Lentilles BIO</v>
      </c>
      <c r="B2495">
        <f>Sinistrés!J2500</f>
        <v>9517.5</v>
      </c>
      <c r="C2495">
        <f>Sinistrés!X2500</f>
        <v>0</v>
      </c>
      <c r="D2495">
        <f>Sinistrés!L2500</f>
        <v>9.4</v>
      </c>
      <c r="E2495">
        <f>Sinistrés!M2500</f>
        <v>9.4</v>
      </c>
      <c r="F2495">
        <f t="shared" si="76"/>
        <v>0</v>
      </c>
      <c r="G2495">
        <f t="shared" si="77"/>
        <v>1</v>
      </c>
    </row>
    <row r="2496" spans="1:7">
      <c r="A2496" t="str">
        <f>Sinistrés!H2501</f>
        <v>Blé tendre d'hiver</v>
      </c>
      <c r="B2496">
        <f>Sinistrés!J2501</f>
        <v>34790.21</v>
      </c>
      <c r="C2496">
        <f>Sinistrés!X2501</f>
        <v>6433.61</v>
      </c>
      <c r="D2496">
        <f>Sinistrés!L2501</f>
        <v>38.21</v>
      </c>
      <c r="E2496">
        <f>Sinistrés!M2501</f>
        <v>38.21</v>
      </c>
      <c r="F2496">
        <f t="shared" si="76"/>
        <v>0.18492587426175353</v>
      </c>
      <c r="G2496">
        <f t="shared" si="77"/>
        <v>1</v>
      </c>
    </row>
    <row r="2497" spans="1:7" hidden="1">
      <c r="A2497" t="str">
        <f>Sinistrés!H2502</f>
        <v>Orge d'hiver</v>
      </c>
      <c r="B2497">
        <f>Sinistrés!J2502</f>
        <v>4576.66</v>
      </c>
      <c r="C2497">
        <f>Sinistrés!X2502</f>
        <v>0</v>
      </c>
      <c r="D2497">
        <f>Sinistrés!L2502</f>
        <v>7.74</v>
      </c>
      <c r="E2497">
        <f>Sinistrés!M2502</f>
        <v>7.74</v>
      </c>
      <c r="F2497">
        <f t="shared" si="76"/>
        <v>0</v>
      </c>
      <c r="G2497">
        <f t="shared" si="77"/>
        <v>1</v>
      </c>
    </row>
    <row r="2498" spans="1:7" hidden="1">
      <c r="A2498" t="str">
        <f>Sinistrés!H2503</f>
        <v>Soja</v>
      </c>
      <c r="B2498">
        <f>Sinistrés!J2503</f>
        <v>25650</v>
      </c>
      <c r="C2498">
        <f>Sinistrés!X2503</f>
        <v>0</v>
      </c>
      <c r="D2498">
        <f>Sinistrés!L2503</f>
        <v>18.75</v>
      </c>
      <c r="E2498">
        <f>Sinistrés!M2503</f>
        <v>3.5</v>
      </c>
      <c r="F2498">
        <f t="shared" si="76"/>
        <v>0</v>
      </c>
      <c r="G2498">
        <f t="shared" si="77"/>
        <v>0.18666666666666668</v>
      </c>
    </row>
    <row r="2499" spans="1:7" hidden="1">
      <c r="A2499" t="str">
        <f>Sinistrés!H2504</f>
        <v>Colza d'hiver</v>
      </c>
      <c r="B2499">
        <f>Sinistrés!J2504</f>
        <v>35817.599999999999</v>
      </c>
      <c r="C2499">
        <f>Sinistrés!X2504</f>
        <v>0</v>
      </c>
      <c r="D2499">
        <f>Sinistrés!L2504</f>
        <v>20.5</v>
      </c>
      <c r="E2499">
        <f>Sinistrés!M2504</f>
        <v>20.5</v>
      </c>
      <c r="F2499">
        <f t="shared" ref="F2499:F2562" si="78">C2499/B2499</f>
        <v>0</v>
      </c>
      <c r="G2499">
        <f t="shared" ref="G2499:G2562" si="79">E2499/D2499</f>
        <v>1</v>
      </c>
    </row>
    <row r="2500" spans="1:7" hidden="1">
      <c r="A2500" t="str">
        <f>Sinistrés!H2505</f>
        <v>Blé tendre d'hiver</v>
      </c>
      <c r="B2500">
        <f>Sinistrés!J2505</f>
        <v>49042</v>
      </c>
      <c r="C2500">
        <f>Sinistrés!X2505</f>
        <v>0</v>
      </c>
      <c r="D2500">
        <f>Sinistrés!L2505</f>
        <v>31</v>
      </c>
      <c r="E2500">
        <f>Sinistrés!M2505</f>
        <v>31</v>
      </c>
      <c r="F2500">
        <f t="shared" si="78"/>
        <v>0</v>
      </c>
      <c r="G2500">
        <f t="shared" si="79"/>
        <v>1</v>
      </c>
    </row>
    <row r="2501" spans="1:7">
      <c r="A2501" t="str">
        <f>Sinistrés!H2506</f>
        <v>Orge de printemps</v>
      </c>
      <c r="B2501">
        <f>Sinistrés!J2506</f>
        <v>3247.83</v>
      </c>
      <c r="C2501">
        <f>Sinistrés!X2506</f>
        <v>1883.49</v>
      </c>
      <c r="D2501">
        <f>Sinistrés!L2506</f>
        <v>2.7</v>
      </c>
      <c r="E2501">
        <f>Sinistrés!M2506</f>
        <v>2.7</v>
      </c>
      <c r="F2501">
        <f t="shared" si="78"/>
        <v>0.57992259447076977</v>
      </c>
      <c r="G2501">
        <f t="shared" si="79"/>
        <v>1</v>
      </c>
    </row>
    <row r="2502" spans="1:7" hidden="1">
      <c r="A2502" t="str">
        <f>Sinistrés!H2507</f>
        <v>Blé tendre d'hiver</v>
      </c>
      <c r="B2502">
        <f>Sinistrés!J2507</f>
        <v>272527.2</v>
      </c>
      <c r="C2502">
        <f>Sinistrés!X2507</f>
        <v>0</v>
      </c>
      <c r="D2502">
        <f>Sinistrés!L2507</f>
        <v>183.52</v>
      </c>
      <c r="E2502">
        <f>Sinistrés!M2507</f>
        <v>183.52</v>
      </c>
      <c r="F2502">
        <f t="shared" si="78"/>
        <v>0</v>
      </c>
      <c r="G2502">
        <f t="shared" si="79"/>
        <v>1</v>
      </c>
    </row>
    <row r="2503" spans="1:7">
      <c r="A2503" t="str">
        <f>Sinistrés!H2508</f>
        <v>Orge d'hiver</v>
      </c>
      <c r="B2503">
        <f>Sinistrés!J2508</f>
        <v>91713.05</v>
      </c>
      <c r="C2503">
        <f>Sinistrés!X2508</f>
        <v>1130.71</v>
      </c>
      <c r="D2503">
        <f>Sinistrés!L2508</f>
        <v>72.37</v>
      </c>
      <c r="E2503">
        <f>Sinistrés!M2508</f>
        <v>72.37</v>
      </c>
      <c r="F2503">
        <f t="shared" si="78"/>
        <v>1.2328779819229651E-2</v>
      </c>
      <c r="G2503">
        <f t="shared" si="79"/>
        <v>1</v>
      </c>
    </row>
    <row r="2504" spans="1:7">
      <c r="A2504" t="str">
        <f>Sinistrés!H2509</f>
        <v>Orge de printemps</v>
      </c>
      <c r="B2504">
        <f>Sinistrés!J2509</f>
        <v>178338.53</v>
      </c>
      <c r="C2504">
        <f>Sinistrés!X2509</f>
        <v>16715.560000000001</v>
      </c>
      <c r="D2504">
        <f>Sinistrés!L2509</f>
        <v>122.62</v>
      </c>
      <c r="E2504">
        <f>Sinistrés!M2509</f>
        <v>122.62</v>
      </c>
      <c r="F2504">
        <f t="shared" si="78"/>
        <v>9.372938085785501E-2</v>
      </c>
      <c r="G2504">
        <f t="shared" si="79"/>
        <v>1</v>
      </c>
    </row>
    <row r="2505" spans="1:7">
      <c r="A2505" t="str">
        <f>Sinistrés!H2510</f>
        <v>Triticale</v>
      </c>
      <c r="B2505">
        <f>Sinistrés!J2510</f>
        <v>36808.199999999997</v>
      </c>
      <c r="C2505">
        <f>Sinistrés!X2510</f>
        <v>4181.76</v>
      </c>
      <c r="D2505">
        <f>Sinistrés!L2510</f>
        <v>33</v>
      </c>
      <c r="E2505">
        <f>Sinistrés!M2510</f>
        <v>33</v>
      </c>
      <c r="F2505">
        <f t="shared" si="78"/>
        <v>0.11360946745562131</v>
      </c>
      <c r="G2505">
        <f t="shared" si="79"/>
        <v>1</v>
      </c>
    </row>
    <row r="2506" spans="1:7" hidden="1">
      <c r="A2506" t="str">
        <f>Sinistrés!H2511</f>
        <v>Blé tendre d'hiver</v>
      </c>
      <c r="B2506">
        <f>Sinistrés!J2511</f>
        <v>157639.35999999999</v>
      </c>
      <c r="C2506">
        <f>Sinistrés!X2511</f>
        <v>0</v>
      </c>
      <c r="D2506">
        <f>Sinistrés!L2511</f>
        <v>128.97999999999999</v>
      </c>
      <c r="E2506">
        <f>Sinistrés!M2511</f>
        <v>128.97999999999999</v>
      </c>
      <c r="F2506">
        <f t="shared" si="78"/>
        <v>0</v>
      </c>
      <c r="G2506">
        <f t="shared" si="79"/>
        <v>1</v>
      </c>
    </row>
    <row r="2507" spans="1:7" hidden="1">
      <c r="A2507" t="str">
        <f>Sinistrés!H2512</f>
        <v>Orge d'hiver</v>
      </c>
      <c r="B2507">
        <f>Sinistrés!J2512</f>
        <v>47610.85</v>
      </c>
      <c r="C2507">
        <f>Sinistrés!X2512</f>
        <v>0</v>
      </c>
      <c r="D2507">
        <f>Sinistrés!L2512</f>
        <v>38.79</v>
      </c>
      <c r="E2507">
        <f>Sinistrés!M2512</f>
        <v>38.79</v>
      </c>
      <c r="F2507">
        <f t="shared" si="78"/>
        <v>0</v>
      </c>
      <c r="G2507">
        <f t="shared" si="79"/>
        <v>1</v>
      </c>
    </row>
    <row r="2508" spans="1:7" hidden="1">
      <c r="A2508" t="str">
        <f>Sinistrés!H2513</f>
        <v>Colza d'hiver</v>
      </c>
      <c r="B2508">
        <f>Sinistrés!J2513</f>
        <v>54316.800000000003</v>
      </c>
      <c r="C2508">
        <f>Sinistrés!X2513</f>
        <v>0</v>
      </c>
      <c r="D2508">
        <f>Sinistrés!L2513</f>
        <v>39.36</v>
      </c>
      <c r="E2508">
        <f>Sinistrés!M2513</f>
        <v>39.36</v>
      </c>
      <c r="F2508">
        <f t="shared" si="78"/>
        <v>0</v>
      </c>
      <c r="G2508">
        <f t="shared" si="79"/>
        <v>1</v>
      </c>
    </row>
    <row r="2509" spans="1:7" hidden="1">
      <c r="A2509" t="str">
        <f>Sinistrés!H2514</f>
        <v>Blé tendre d'hiver</v>
      </c>
      <c r="B2509">
        <f>Sinistrés!J2514</f>
        <v>174084.34</v>
      </c>
      <c r="C2509">
        <f>Sinistrés!X2514</f>
        <v>0</v>
      </c>
      <c r="D2509">
        <f>Sinistrés!L2514</f>
        <v>147.88</v>
      </c>
      <c r="E2509">
        <f>Sinistrés!M2514</f>
        <v>147.88</v>
      </c>
      <c r="F2509">
        <f t="shared" si="78"/>
        <v>0</v>
      </c>
      <c r="G2509">
        <f t="shared" si="79"/>
        <v>1</v>
      </c>
    </row>
    <row r="2510" spans="1:7" hidden="1">
      <c r="A2510" t="str">
        <f>Sinistrés!H2515</f>
        <v>Orge d'hiver</v>
      </c>
      <c r="B2510">
        <f>Sinistrés!J2515</f>
        <v>122789.84</v>
      </c>
      <c r="C2510">
        <f>Sinistrés!X2515</f>
        <v>0</v>
      </c>
      <c r="D2510">
        <f>Sinistrés!L2515</f>
        <v>99.08</v>
      </c>
      <c r="E2510">
        <f>Sinistrés!M2515</f>
        <v>99.08</v>
      </c>
      <c r="F2510">
        <f t="shared" si="78"/>
        <v>0</v>
      </c>
      <c r="G2510">
        <f t="shared" si="79"/>
        <v>1</v>
      </c>
    </row>
    <row r="2511" spans="1:7" hidden="1">
      <c r="A2511" t="str">
        <f>Sinistrés!H2516</f>
        <v>Colza d'hiver</v>
      </c>
      <c r="B2511">
        <f>Sinistrés!J2516</f>
        <v>148815.6</v>
      </c>
      <c r="C2511">
        <f>Sinistrés!X2516</f>
        <v>0</v>
      </c>
      <c r="D2511">
        <f>Sinistrés!L2516</f>
        <v>115.9</v>
      </c>
      <c r="E2511">
        <f>Sinistrés!M2516</f>
        <v>115.9</v>
      </c>
      <c r="F2511">
        <f t="shared" si="78"/>
        <v>0</v>
      </c>
      <c r="G2511">
        <f t="shared" si="79"/>
        <v>1</v>
      </c>
    </row>
    <row r="2512" spans="1:7">
      <c r="A2512" t="str">
        <f>Sinistrés!H2517</f>
        <v>Blé tendre d'hiver</v>
      </c>
      <c r="B2512">
        <f>Sinistrés!J2517</f>
        <v>63489.2</v>
      </c>
      <c r="C2512">
        <f>Sinistrés!X2517</f>
        <v>2132.1</v>
      </c>
      <c r="D2512">
        <f>Sinistrés!L2517</f>
        <v>47.38</v>
      </c>
      <c r="E2512">
        <f>Sinistrés!M2517</f>
        <v>47.38</v>
      </c>
      <c r="F2512">
        <f t="shared" si="78"/>
        <v>3.3582089552238806E-2</v>
      </c>
      <c r="G2512">
        <f t="shared" si="79"/>
        <v>1</v>
      </c>
    </row>
    <row r="2513" spans="1:7">
      <c r="A2513" t="str">
        <f>Sinistrés!H2518</f>
        <v>Orge de printemps</v>
      </c>
      <c r="B2513">
        <f>Sinistrés!J2518</f>
        <v>24372.86</v>
      </c>
      <c r="C2513">
        <f>Sinistrés!X2518</f>
        <v>1701.72</v>
      </c>
      <c r="D2513">
        <f>Sinistrés!L2518</f>
        <v>18.3</v>
      </c>
      <c r="E2513">
        <f>Sinistrés!M2518</f>
        <v>18.3</v>
      </c>
      <c r="F2513">
        <f t="shared" si="78"/>
        <v>6.9820283709010764E-2</v>
      </c>
      <c r="G2513">
        <f t="shared" si="79"/>
        <v>1</v>
      </c>
    </row>
    <row r="2514" spans="1:7">
      <c r="A2514" t="str">
        <f>Sinistrés!H2519</f>
        <v>Avoine d'hiver</v>
      </c>
      <c r="B2514">
        <f>Sinistrés!J2519</f>
        <v>19869.84</v>
      </c>
      <c r="C2514">
        <f>Sinistrés!X2519</f>
        <v>993.49</v>
      </c>
      <c r="D2514">
        <f>Sinistrés!L2519</f>
        <v>22.91</v>
      </c>
      <c r="E2514">
        <f>Sinistrés!M2519</f>
        <v>22.91</v>
      </c>
      <c r="F2514">
        <f t="shared" si="78"/>
        <v>4.999989934493685E-2</v>
      </c>
      <c r="G2514">
        <f t="shared" si="79"/>
        <v>1</v>
      </c>
    </row>
    <row r="2515" spans="1:7" hidden="1">
      <c r="A2515" t="str">
        <f>Sinistrés!H2520</f>
        <v>Chanvre</v>
      </c>
      <c r="B2515">
        <f>Sinistrés!J2520</f>
        <v>18635.5</v>
      </c>
      <c r="C2515">
        <f>Sinistrés!X2520</f>
        <v>0</v>
      </c>
      <c r="D2515">
        <f>Sinistrés!L2520</f>
        <v>23.5</v>
      </c>
      <c r="E2515">
        <f>Sinistrés!M2520</f>
        <v>23.5</v>
      </c>
      <c r="F2515">
        <f t="shared" si="78"/>
        <v>0</v>
      </c>
      <c r="G2515">
        <f t="shared" si="79"/>
        <v>1</v>
      </c>
    </row>
    <row r="2516" spans="1:7" hidden="1">
      <c r="A2516" t="str">
        <f>Sinistrés!H2521</f>
        <v>Blé tendre d'hiver</v>
      </c>
      <c r="B2516">
        <f>Sinistrés!J2521</f>
        <v>61124.11</v>
      </c>
      <c r="C2516">
        <f>Sinistrés!X2521</f>
        <v>0</v>
      </c>
      <c r="D2516">
        <f>Sinistrés!L2521</f>
        <v>54.81</v>
      </c>
      <c r="E2516">
        <f>Sinistrés!M2521</f>
        <v>20</v>
      </c>
      <c r="F2516">
        <f t="shared" si="78"/>
        <v>0</v>
      </c>
      <c r="G2516">
        <f t="shared" si="79"/>
        <v>0.36489691662105456</v>
      </c>
    </row>
    <row r="2517" spans="1:7" hidden="1">
      <c r="A2517" t="str">
        <f>Sinistrés!H2522</f>
        <v>Maïs grain non irrigué</v>
      </c>
      <c r="B2517">
        <f>Sinistrés!J2522</f>
        <v>28209.22</v>
      </c>
      <c r="C2517">
        <f>Sinistrés!X2522</f>
        <v>0</v>
      </c>
      <c r="D2517">
        <f>Sinistrés!L2522</f>
        <v>24.16</v>
      </c>
      <c r="E2517">
        <f>Sinistrés!M2522</f>
        <v>24.16</v>
      </c>
      <c r="F2517">
        <f t="shared" si="78"/>
        <v>0</v>
      </c>
      <c r="G2517">
        <f t="shared" si="79"/>
        <v>1</v>
      </c>
    </row>
    <row r="2518" spans="1:7" hidden="1">
      <c r="A2518" t="str">
        <f>Sinistrés!H2523</f>
        <v>Orge de printemps</v>
      </c>
      <c r="B2518">
        <f>Sinistrés!J2523</f>
        <v>17426.7</v>
      </c>
      <c r="C2518">
        <f>Sinistrés!X2523</f>
        <v>0</v>
      </c>
      <c r="D2518">
        <f>Sinistrés!L2523</f>
        <v>20.100000000000001</v>
      </c>
      <c r="E2518">
        <f>Sinistrés!M2523</f>
        <v>20.100000000000001</v>
      </c>
      <c r="F2518">
        <f t="shared" si="78"/>
        <v>0</v>
      </c>
      <c r="G2518">
        <f t="shared" si="79"/>
        <v>1</v>
      </c>
    </row>
    <row r="2519" spans="1:7" hidden="1">
      <c r="A2519" t="str">
        <f>Sinistrés!H2524</f>
        <v>Avoine de printemps</v>
      </c>
      <c r="B2519">
        <f>Sinistrés!J2524</f>
        <v>9937.98</v>
      </c>
      <c r="C2519">
        <f>Sinistrés!X2524</f>
        <v>0</v>
      </c>
      <c r="D2519">
        <f>Sinistrés!L2524</f>
        <v>11.16</v>
      </c>
      <c r="E2519">
        <f>Sinistrés!M2524</f>
        <v>11.16</v>
      </c>
      <c r="F2519">
        <f t="shared" si="78"/>
        <v>0</v>
      </c>
      <c r="G2519">
        <f t="shared" si="79"/>
        <v>1</v>
      </c>
    </row>
    <row r="2520" spans="1:7" hidden="1">
      <c r="A2520" t="str">
        <f>Sinistrés!H2525</f>
        <v>Blé tendre d'hiver</v>
      </c>
      <c r="B2520">
        <f>Sinistrés!J2525</f>
        <v>57734.75</v>
      </c>
      <c r="C2520">
        <f>Sinistrés!X2525</f>
        <v>0</v>
      </c>
      <c r="D2520">
        <f>Sinistrés!L2525</f>
        <v>52.51</v>
      </c>
      <c r="E2520">
        <f>Sinistrés!M2525</f>
        <v>10</v>
      </c>
      <c r="F2520">
        <f t="shared" si="78"/>
        <v>0</v>
      </c>
      <c r="G2520">
        <f t="shared" si="79"/>
        <v>0.19043991620643688</v>
      </c>
    </row>
    <row r="2521" spans="1:7">
      <c r="A2521" t="str">
        <f>Sinistrés!H2526</f>
        <v>Colza d'hiver</v>
      </c>
      <c r="B2521">
        <f>Sinistrés!J2526</f>
        <v>38757.599999999999</v>
      </c>
      <c r="C2521">
        <f>Sinistrés!X2526</f>
        <v>674.1</v>
      </c>
      <c r="D2521">
        <f>Sinistrés!L2526</f>
        <v>30.76</v>
      </c>
      <c r="E2521">
        <f>Sinistrés!M2526</f>
        <v>20</v>
      </c>
      <c r="F2521">
        <f t="shared" si="78"/>
        <v>1.7392717815344606E-2</v>
      </c>
      <c r="G2521">
        <f t="shared" si="79"/>
        <v>0.65019505851755521</v>
      </c>
    </row>
    <row r="2522" spans="1:7" hidden="1">
      <c r="A2522" t="str">
        <f>Sinistrés!H2527</f>
        <v>Orge d'hiver</v>
      </c>
      <c r="B2522">
        <f>Sinistrés!J2527</f>
        <v>7458.8</v>
      </c>
      <c r="C2522">
        <f>Sinistrés!X2527</f>
        <v>0</v>
      </c>
      <c r="D2522">
        <f>Sinistrés!L2527</f>
        <v>7.25</v>
      </c>
      <c r="E2522">
        <f>Sinistrés!M2527</f>
        <v>7.2</v>
      </c>
      <c r="F2522">
        <f t="shared" si="78"/>
        <v>0</v>
      </c>
      <c r="G2522">
        <f t="shared" si="79"/>
        <v>0.99310344827586206</v>
      </c>
    </row>
    <row r="2523" spans="1:7" hidden="1">
      <c r="A2523" t="str">
        <f>Sinistrés!H2528</f>
        <v>Blé de force</v>
      </c>
      <c r="B2523">
        <f>Sinistrés!J2528</f>
        <v>23963.94</v>
      </c>
      <c r="C2523">
        <f>Sinistrés!X2528</f>
        <v>0</v>
      </c>
      <c r="D2523">
        <f>Sinistrés!L2528</f>
        <v>19.11</v>
      </c>
      <c r="E2523">
        <f>Sinistrés!M2528</f>
        <v>19.11</v>
      </c>
      <c r="F2523">
        <f t="shared" si="78"/>
        <v>0</v>
      </c>
      <c r="G2523">
        <f t="shared" si="79"/>
        <v>1</v>
      </c>
    </row>
    <row r="2524" spans="1:7" hidden="1">
      <c r="A2524" t="str">
        <f>Sinistrés!H2529</f>
        <v>Blé de force</v>
      </c>
      <c r="B2524">
        <f>Sinistrés!J2529</f>
        <v>11887.92</v>
      </c>
      <c r="C2524">
        <f>Sinistrés!X2529</f>
        <v>0</v>
      </c>
      <c r="D2524">
        <f>Sinistrés!L2529</f>
        <v>9.48</v>
      </c>
      <c r="E2524">
        <f>Sinistrés!M2529</f>
        <v>9.48</v>
      </c>
      <c r="F2524">
        <f t="shared" si="78"/>
        <v>0</v>
      </c>
      <c r="G2524">
        <f t="shared" si="79"/>
        <v>1</v>
      </c>
    </row>
    <row r="2525" spans="1:7" hidden="1">
      <c r="A2525" t="str">
        <f>Sinistrés!H2530</f>
        <v>Blé dur d'hiver</v>
      </c>
      <c r="B2525">
        <f>Sinistrés!J2530</f>
        <v>50977.62</v>
      </c>
      <c r="C2525">
        <f>Sinistrés!X2530</f>
        <v>0</v>
      </c>
      <c r="D2525">
        <f>Sinistrés!L2530</f>
        <v>28.18</v>
      </c>
      <c r="E2525">
        <f>Sinistrés!M2530</f>
        <v>28.18</v>
      </c>
      <c r="F2525">
        <f t="shared" si="78"/>
        <v>0</v>
      </c>
      <c r="G2525">
        <f t="shared" si="79"/>
        <v>1</v>
      </c>
    </row>
    <row r="2526" spans="1:7" hidden="1">
      <c r="A2526" t="str">
        <f>Sinistrés!H2531</f>
        <v>Blé dur d'hiver</v>
      </c>
      <c r="B2526">
        <f>Sinistrés!J2531</f>
        <v>20738.38</v>
      </c>
      <c r="C2526">
        <f>Sinistrés!X2531</f>
        <v>0</v>
      </c>
      <c r="D2526">
        <f>Sinistrés!L2531</f>
        <v>14.33</v>
      </c>
      <c r="E2526">
        <f>Sinistrés!M2531</f>
        <v>14.33</v>
      </c>
      <c r="F2526">
        <f t="shared" si="78"/>
        <v>0</v>
      </c>
      <c r="G2526">
        <f t="shared" si="79"/>
        <v>1</v>
      </c>
    </row>
    <row r="2527" spans="1:7" hidden="1">
      <c r="A2527" t="str">
        <f>Sinistrés!H2532</f>
        <v>Blé tendre d'hiver</v>
      </c>
      <c r="B2527">
        <f>Sinistrés!J2532</f>
        <v>44296</v>
      </c>
      <c r="C2527">
        <f>Sinistrés!X2532</f>
        <v>0</v>
      </c>
      <c r="D2527">
        <f>Sinistrés!L2532</f>
        <v>39.549999999999997</v>
      </c>
      <c r="E2527">
        <f>Sinistrés!M2532</f>
        <v>39.549999999999997</v>
      </c>
      <c r="F2527">
        <f t="shared" si="78"/>
        <v>0</v>
      </c>
      <c r="G2527">
        <f t="shared" si="79"/>
        <v>1</v>
      </c>
    </row>
    <row r="2528" spans="1:7" hidden="1">
      <c r="A2528" t="str">
        <f>Sinistrés!H2533</f>
        <v>Orge de printemps</v>
      </c>
      <c r="B2528">
        <f>Sinistrés!J2533</f>
        <v>8966.4</v>
      </c>
      <c r="C2528">
        <f>Sinistrés!X2533</f>
        <v>0</v>
      </c>
      <c r="D2528">
        <f>Sinistrés!L2533</f>
        <v>9.34</v>
      </c>
      <c r="E2528">
        <f>Sinistrés!M2533</f>
        <v>9.34</v>
      </c>
      <c r="F2528">
        <f t="shared" si="78"/>
        <v>0</v>
      </c>
      <c r="G2528">
        <f t="shared" si="79"/>
        <v>1</v>
      </c>
    </row>
    <row r="2529" spans="1:7" hidden="1">
      <c r="A2529" t="str">
        <f>Sinistrés!H2534</f>
        <v>Orge de printemps</v>
      </c>
      <c r="B2529">
        <f>Sinistrés!J2534</f>
        <v>56032.66</v>
      </c>
      <c r="C2529">
        <f>Sinistrés!X2534</f>
        <v>0</v>
      </c>
      <c r="D2529">
        <f>Sinistrés!L2534</f>
        <v>51.86</v>
      </c>
      <c r="E2529">
        <f>Sinistrés!M2534</f>
        <v>51.86</v>
      </c>
      <c r="F2529">
        <f t="shared" si="78"/>
        <v>0</v>
      </c>
      <c r="G2529">
        <f t="shared" si="79"/>
        <v>1</v>
      </c>
    </row>
    <row r="2530" spans="1:7">
      <c r="A2530" t="str">
        <f>Sinistrés!H2535</f>
        <v>Tournesol</v>
      </c>
      <c r="B2530">
        <f>Sinistrés!J2535</f>
        <v>36630.410000000003</v>
      </c>
      <c r="C2530">
        <f>Sinistrés!X2535</f>
        <v>12290.2</v>
      </c>
      <c r="D2530">
        <f>Sinistrés!L2535</f>
        <v>43.42</v>
      </c>
      <c r="E2530">
        <f>Sinistrés!M2535</f>
        <v>43.42</v>
      </c>
      <c r="F2530">
        <f t="shared" si="78"/>
        <v>0.33551904005442473</v>
      </c>
      <c r="G2530">
        <f t="shared" si="79"/>
        <v>1</v>
      </c>
    </row>
    <row r="2531" spans="1:7">
      <c r="A2531" t="str">
        <f>Sinistrés!H2536</f>
        <v>Tournesol</v>
      </c>
      <c r="B2531">
        <f>Sinistrés!J2536</f>
        <v>31772.49</v>
      </c>
      <c r="C2531">
        <f>Sinistrés!X2536</f>
        <v>11161.11</v>
      </c>
      <c r="D2531">
        <f>Sinistrés!L2536</f>
        <v>44.18</v>
      </c>
      <c r="E2531">
        <f>Sinistrés!M2536</f>
        <v>44.17</v>
      </c>
      <c r="F2531">
        <f t="shared" si="78"/>
        <v>0.35128219412453981</v>
      </c>
      <c r="G2531">
        <f t="shared" si="79"/>
        <v>0.99977365323675871</v>
      </c>
    </row>
    <row r="2532" spans="1:7" hidden="1">
      <c r="A2532" t="str">
        <f>Sinistrés!H2537</f>
        <v>Blé tendre d'hiver</v>
      </c>
      <c r="B2532">
        <f>Sinistrés!J2537</f>
        <v>26420.6</v>
      </c>
      <c r="C2532">
        <f>Sinistrés!X2537</f>
        <v>0</v>
      </c>
      <c r="D2532">
        <f>Sinistrés!L2537</f>
        <v>20.54</v>
      </c>
      <c r="E2532">
        <f>Sinistrés!M2537</f>
        <v>20.54</v>
      </c>
      <c r="F2532">
        <f t="shared" si="78"/>
        <v>0</v>
      </c>
      <c r="G2532">
        <f t="shared" si="79"/>
        <v>1</v>
      </c>
    </row>
    <row r="2533" spans="1:7" hidden="1">
      <c r="A2533" t="str">
        <f>Sinistrés!H2538</f>
        <v>Orge de printemps</v>
      </c>
      <c r="B2533">
        <f>Sinistrés!J2538</f>
        <v>22426.65</v>
      </c>
      <c r="C2533">
        <f>Sinistrés!X2538</f>
        <v>0</v>
      </c>
      <c r="D2533">
        <f>Sinistrés!L2538</f>
        <v>18.3</v>
      </c>
      <c r="E2533">
        <f>Sinistrés!M2538</f>
        <v>18.3</v>
      </c>
      <c r="F2533">
        <f t="shared" si="78"/>
        <v>0</v>
      </c>
      <c r="G2533">
        <f t="shared" si="79"/>
        <v>1</v>
      </c>
    </row>
    <row r="2534" spans="1:7" hidden="1">
      <c r="A2534" t="str">
        <f>Sinistrés!H2539</f>
        <v>Orge de printemps</v>
      </c>
      <c r="B2534">
        <f>Sinistrés!J2539</f>
        <v>35727.839999999997</v>
      </c>
      <c r="C2534">
        <f>Sinistrés!X2539</f>
        <v>0</v>
      </c>
      <c r="D2534">
        <f>Sinistrés!L2539</f>
        <v>34.4</v>
      </c>
      <c r="E2534">
        <f>Sinistrés!M2539</f>
        <v>23.4</v>
      </c>
      <c r="F2534">
        <f t="shared" si="78"/>
        <v>0</v>
      </c>
      <c r="G2534">
        <f t="shared" si="79"/>
        <v>0.68023255813953487</v>
      </c>
    </row>
    <row r="2535" spans="1:7" hidden="1">
      <c r="A2535" t="str">
        <f>Sinistrés!H2540</f>
        <v>Colza d'hiver</v>
      </c>
      <c r="B2535">
        <f>Sinistrés!J2540</f>
        <v>14682.04</v>
      </c>
      <c r="C2535">
        <f>Sinistrés!X2540</f>
        <v>0</v>
      </c>
      <c r="D2535">
        <f>Sinistrés!L2540</f>
        <v>12.97</v>
      </c>
      <c r="E2535">
        <f>Sinistrés!M2540</f>
        <v>12.97</v>
      </c>
      <c r="F2535">
        <f t="shared" si="78"/>
        <v>0</v>
      </c>
      <c r="G2535">
        <f t="shared" si="79"/>
        <v>1</v>
      </c>
    </row>
    <row r="2536" spans="1:7">
      <c r="A2536" t="str">
        <f>Sinistrés!H2541</f>
        <v>Blé de force</v>
      </c>
      <c r="B2536">
        <f>Sinistrés!J2541</f>
        <v>53600</v>
      </c>
      <c r="C2536">
        <f>Sinistrés!X2541</f>
        <v>9380</v>
      </c>
      <c r="D2536">
        <f>Sinistrés!L2541</f>
        <v>33.5</v>
      </c>
      <c r="E2536">
        <f>Sinistrés!M2541</f>
        <v>5.09</v>
      </c>
      <c r="F2536">
        <f t="shared" si="78"/>
        <v>0.17499999999999999</v>
      </c>
      <c r="G2536">
        <f t="shared" si="79"/>
        <v>0.15194029850746268</v>
      </c>
    </row>
    <row r="2537" spans="1:7">
      <c r="A2537" t="str">
        <f>Sinistrés!H2542</f>
        <v>Blé tendre d'hiver</v>
      </c>
      <c r="B2537">
        <f>Sinistrés!J2542</f>
        <v>45265</v>
      </c>
      <c r="C2537">
        <f>Sinistrés!X2542</f>
        <v>14762</v>
      </c>
      <c r="D2537">
        <f>Sinistrés!L2542</f>
        <v>27.5</v>
      </c>
      <c r="E2537">
        <f>Sinistrés!M2542</f>
        <v>27.5</v>
      </c>
      <c r="F2537">
        <f t="shared" si="78"/>
        <v>0.32612393681652491</v>
      </c>
      <c r="G2537">
        <f t="shared" si="79"/>
        <v>1</v>
      </c>
    </row>
    <row r="2538" spans="1:7" hidden="1">
      <c r="A2538" t="str">
        <f>Sinistrés!H2543</f>
        <v>Blé tendre d'hiver</v>
      </c>
      <c r="B2538">
        <f>Sinistrés!J2543</f>
        <v>117397.2</v>
      </c>
      <c r="C2538">
        <f>Sinistrés!X2543</f>
        <v>0</v>
      </c>
      <c r="D2538">
        <f>Sinistrés!L2543</f>
        <v>76</v>
      </c>
      <c r="E2538">
        <f>Sinistrés!M2543</f>
        <v>76</v>
      </c>
      <c r="F2538">
        <f t="shared" si="78"/>
        <v>0</v>
      </c>
      <c r="G2538">
        <f t="shared" si="79"/>
        <v>1</v>
      </c>
    </row>
    <row r="2539" spans="1:7" hidden="1">
      <c r="A2539" t="str">
        <f>Sinistrés!H2544</f>
        <v>Colza d'hiver</v>
      </c>
      <c r="B2539">
        <f>Sinistrés!J2544</f>
        <v>75204.36</v>
      </c>
      <c r="C2539">
        <f>Sinistrés!X2544</f>
        <v>0</v>
      </c>
      <c r="D2539">
        <f>Sinistrés!L2544</f>
        <v>54.26</v>
      </c>
      <c r="E2539">
        <f>Sinistrés!M2544</f>
        <v>54.26</v>
      </c>
      <c r="F2539">
        <f t="shared" si="78"/>
        <v>0</v>
      </c>
      <c r="G2539">
        <f t="shared" si="79"/>
        <v>1</v>
      </c>
    </row>
    <row r="2540" spans="1:7" hidden="1">
      <c r="A2540" t="str">
        <f>Sinistrés!H2545</f>
        <v>Orge d'hiver</v>
      </c>
      <c r="B2540">
        <f>Sinistrés!J2545</f>
        <v>99900.76</v>
      </c>
      <c r="C2540">
        <f>Sinistrés!X2545</f>
        <v>0</v>
      </c>
      <c r="D2540">
        <f>Sinistrés!L2545</f>
        <v>64.28</v>
      </c>
      <c r="E2540">
        <f>Sinistrés!M2545</f>
        <v>64.28</v>
      </c>
      <c r="F2540">
        <f t="shared" si="78"/>
        <v>0</v>
      </c>
      <c r="G2540">
        <f t="shared" si="79"/>
        <v>1</v>
      </c>
    </row>
    <row r="2541" spans="1:7" hidden="1">
      <c r="A2541" t="str">
        <f>Sinistrés!H2546</f>
        <v>Blé tendre d'hiver</v>
      </c>
      <c r="B2541">
        <f>Sinistrés!J2546</f>
        <v>30835.200000000001</v>
      </c>
      <c r="C2541">
        <f>Sinistrés!X2546</f>
        <v>0</v>
      </c>
      <c r="D2541">
        <f>Sinistrés!L2546</f>
        <v>29.2</v>
      </c>
      <c r="E2541">
        <f>Sinistrés!M2546</f>
        <v>29.2</v>
      </c>
      <c r="F2541">
        <f t="shared" si="78"/>
        <v>0</v>
      </c>
      <c r="G2541">
        <f t="shared" si="79"/>
        <v>1</v>
      </c>
    </row>
    <row r="2542" spans="1:7">
      <c r="A2542" t="str">
        <f>Sinistrés!H2547</f>
        <v>Orge de printemps</v>
      </c>
      <c r="B2542">
        <f>Sinistrés!J2547</f>
        <v>30690.7</v>
      </c>
      <c r="C2542">
        <f>Sinistrés!X2547</f>
        <v>7463.3</v>
      </c>
      <c r="D2542">
        <f>Sinistrés!L2547</f>
        <v>29</v>
      </c>
      <c r="E2542">
        <f>Sinistrés!M2547</f>
        <v>29</v>
      </c>
      <c r="F2542">
        <f t="shared" si="78"/>
        <v>0.24317790079730994</v>
      </c>
      <c r="G2542">
        <f t="shared" si="79"/>
        <v>1</v>
      </c>
    </row>
    <row r="2543" spans="1:7">
      <c r="A2543" t="str">
        <f>Sinistrés!H2548</f>
        <v>Pois protéagineux</v>
      </c>
      <c r="B2543">
        <f>Sinistrés!J2548</f>
        <v>10758.4</v>
      </c>
      <c r="C2543">
        <f>Sinistrés!X2548</f>
        <v>2899.52</v>
      </c>
      <c r="D2543">
        <f>Sinistrés!L2548</f>
        <v>13.12</v>
      </c>
      <c r="E2543">
        <f>Sinistrés!M2548</f>
        <v>13.12</v>
      </c>
      <c r="F2543">
        <f t="shared" si="78"/>
        <v>0.26951219512195124</v>
      </c>
      <c r="G2543">
        <f t="shared" si="79"/>
        <v>1</v>
      </c>
    </row>
    <row r="2544" spans="1:7">
      <c r="A2544" t="str">
        <f>Sinistrés!H2549</f>
        <v xml:space="preserve">Blé tendre d'hiver </v>
      </c>
      <c r="B2544">
        <f>Sinistrés!J2549</f>
        <v>1817.05</v>
      </c>
      <c r="C2544">
        <f>Sinistrés!X2549</f>
        <v>287.42</v>
      </c>
      <c r="D2544">
        <f>Sinistrés!L2549</f>
        <v>2.09</v>
      </c>
      <c r="E2544">
        <f>Sinistrés!M2549</f>
        <v>2.09</v>
      </c>
      <c r="F2544">
        <f t="shared" si="78"/>
        <v>0.15817946671803199</v>
      </c>
      <c r="G2544">
        <f t="shared" si="79"/>
        <v>1</v>
      </c>
    </row>
    <row r="2545" spans="1:7" hidden="1">
      <c r="A2545" t="str">
        <f>Sinistrés!H2550</f>
        <v>Colza d'hiver</v>
      </c>
      <c r="B2545">
        <f>Sinistrés!J2550</f>
        <v>1641.6</v>
      </c>
      <c r="C2545">
        <f>Sinistrés!X2550</f>
        <v>0</v>
      </c>
      <c r="D2545">
        <f>Sinistrés!L2550</f>
        <v>1.52</v>
      </c>
      <c r="E2545">
        <f>Sinistrés!M2550</f>
        <v>1.52</v>
      </c>
      <c r="F2545">
        <f t="shared" si="78"/>
        <v>0</v>
      </c>
      <c r="G2545">
        <f t="shared" si="79"/>
        <v>1</v>
      </c>
    </row>
    <row r="2546" spans="1:7" hidden="1">
      <c r="A2546" t="str">
        <f>Sinistrés!H2551</f>
        <v>Orge d'hiver</v>
      </c>
      <c r="B2546">
        <f>Sinistrés!J2551</f>
        <v>794.88</v>
      </c>
      <c r="C2546">
        <f>Sinistrés!X2551</f>
        <v>0</v>
      </c>
      <c r="D2546">
        <f>Sinistrés!L2551</f>
        <v>1.08</v>
      </c>
      <c r="E2546">
        <f>Sinistrés!M2551</f>
        <v>1.08</v>
      </c>
      <c r="F2546">
        <f t="shared" si="78"/>
        <v>0</v>
      </c>
      <c r="G2546">
        <f t="shared" si="79"/>
        <v>1</v>
      </c>
    </row>
    <row r="2547" spans="1:7" hidden="1">
      <c r="A2547" t="str">
        <f>Sinistrés!H2552</f>
        <v>Blé de force</v>
      </c>
      <c r="B2547">
        <f>Sinistrés!J2552</f>
        <v>9566.44</v>
      </c>
      <c r="C2547">
        <f>Sinistrés!X2552</f>
        <v>0</v>
      </c>
      <c r="D2547">
        <f>Sinistrés!L2552</f>
        <v>8.2200000000000006</v>
      </c>
      <c r="E2547">
        <f>Sinistrés!M2552</f>
        <v>8.2200000000000006</v>
      </c>
      <c r="F2547">
        <f t="shared" si="78"/>
        <v>0</v>
      </c>
      <c r="G2547">
        <f t="shared" si="79"/>
        <v>1</v>
      </c>
    </row>
    <row r="2548" spans="1:7">
      <c r="A2548" t="str">
        <f>Sinistrés!H2553</f>
        <v>Blé de force</v>
      </c>
      <c r="B2548">
        <f>Sinistrés!J2553</f>
        <v>26581.19</v>
      </c>
      <c r="C2548">
        <f>Sinistrés!X2553</f>
        <v>6809.28</v>
      </c>
      <c r="D2548">
        <f>Sinistrés!L2553</f>
        <v>22.84</v>
      </c>
      <c r="E2548">
        <f>Sinistrés!M2553</f>
        <v>22.84</v>
      </c>
      <c r="F2548">
        <f t="shared" si="78"/>
        <v>0.25616911808688775</v>
      </c>
      <c r="G2548">
        <f t="shared" si="79"/>
        <v>1</v>
      </c>
    </row>
    <row r="2549" spans="1:7" hidden="1">
      <c r="A2549" t="str">
        <f>Sinistrés!H2554</f>
        <v>Blé dur d'hiver</v>
      </c>
      <c r="B2549">
        <f>Sinistrés!J2554</f>
        <v>26497.040000000001</v>
      </c>
      <c r="C2549">
        <f>Sinistrés!X2554</f>
        <v>0</v>
      </c>
      <c r="D2549">
        <f>Sinistrés!L2554</f>
        <v>16.690000000000001</v>
      </c>
      <c r="E2549">
        <f>Sinistrés!M2554</f>
        <v>16.690000000000001</v>
      </c>
      <c r="F2549">
        <f t="shared" si="78"/>
        <v>0</v>
      </c>
      <c r="G2549">
        <f t="shared" si="79"/>
        <v>1</v>
      </c>
    </row>
    <row r="2550" spans="1:7" hidden="1">
      <c r="A2550" t="str">
        <f>Sinistrés!H2555</f>
        <v>Blé tendre d'hiver</v>
      </c>
      <c r="B2550">
        <f>Sinistrés!J2555</f>
        <v>7430.94</v>
      </c>
      <c r="C2550">
        <f>Sinistrés!X2555</f>
        <v>0</v>
      </c>
      <c r="D2550">
        <f>Sinistrés!L2555</f>
        <v>9.9</v>
      </c>
      <c r="E2550">
        <f>Sinistrés!M2555</f>
        <v>9.9</v>
      </c>
      <c r="F2550">
        <f t="shared" si="78"/>
        <v>0</v>
      </c>
      <c r="G2550">
        <f t="shared" si="79"/>
        <v>1</v>
      </c>
    </row>
    <row r="2551" spans="1:7" hidden="1">
      <c r="A2551" t="str">
        <f>Sinistrés!H2556</f>
        <v>Orge de printemps</v>
      </c>
      <c r="B2551">
        <f>Sinistrés!J2556</f>
        <v>8932.14</v>
      </c>
      <c r="C2551">
        <f>Sinistrés!X2556</f>
        <v>0</v>
      </c>
      <c r="D2551">
        <f>Sinistrés!L2556</f>
        <v>14.28</v>
      </c>
      <c r="E2551">
        <f>Sinistrés!M2556</f>
        <v>14.25</v>
      </c>
      <c r="F2551">
        <f t="shared" si="78"/>
        <v>0</v>
      </c>
      <c r="G2551">
        <f t="shared" si="79"/>
        <v>0.99789915966386555</v>
      </c>
    </row>
    <row r="2552" spans="1:7" hidden="1">
      <c r="A2552" t="str">
        <f>Sinistrés!H2557</f>
        <v>Colza d'hiver</v>
      </c>
      <c r="B2552">
        <f>Sinistrés!J2557</f>
        <v>29925</v>
      </c>
      <c r="C2552">
        <f>Sinistrés!X2557</f>
        <v>0</v>
      </c>
      <c r="D2552">
        <f>Sinistrés!L2557</f>
        <v>25</v>
      </c>
      <c r="E2552">
        <f>Sinistrés!M2557</f>
        <v>25.14</v>
      </c>
      <c r="F2552">
        <f t="shared" si="78"/>
        <v>0</v>
      </c>
      <c r="G2552">
        <f t="shared" si="79"/>
        <v>1.0056</v>
      </c>
    </row>
    <row r="2553" spans="1:7" hidden="1">
      <c r="A2553" t="str">
        <f>Sinistrés!H2558</f>
        <v>Blé de force</v>
      </c>
      <c r="B2553">
        <f>Sinistrés!J2558</f>
        <v>21450.240000000002</v>
      </c>
      <c r="C2553">
        <f>Sinistrés!X2558</f>
        <v>0</v>
      </c>
      <c r="D2553">
        <f>Sinistrés!L2558</f>
        <v>17.100000000000001</v>
      </c>
      <c r="E2553">
        <f>Sinistrés!M2558</f>
        <v>17.100000000000001</v>
      </c>
      <c r="F2553">
        <f t="shared" si="78"/>
        <v>0</v>
      </c>
      <c r="G2553">
        <f t="shared" si="79"/>
        <v>1</v>
      </c>
    </row>
    <row r="2554" spans="1:7" hidden="1">
      <c r="A2554" t="str">
        <f>Sinistrés!H2559</f>
        <v>Blé de force</v>
      </c>
      <c r="B2554">
        <f>Sinistrés!J2559</f>
        <v>5268.48</v>
      </c>
      <c r="C2554">
        <f>Sinistrés!X2559</f>
        <v>0</v>
      </c>
      <c r="D2554">
        <f>Sinistrés!L2559</f>
        <v>4.2</v>
      </c>
      <c r="E2554">
        <f>Sinistrés!M2559</f>
        <v>4.2</v>
      </c>
      <c r="F2554">
        <f t="shared" si="78"/>
        <v>0</v>
      </c>
      <c r="G2554">
        <f t="shared" si="79"/>
        <v>1</v>
      </c>
    </row>
    <row r="2555" spans="1:7" hidden="1">
      <c r="A2555" t="str">
        <f>Sinistrés!H2560</f>
        <v>Blé dur d'hiver</v>
      </c>
      <c r="B2555">
        <f>Sinistrés!J2560</f>
        <v>18880.2</v>
      </c>
      <c r="C2555">
        <f>Sinistrés!X2560</f>
        <v>0</v>
      </c>
      <c r="D2555">
        <f>Sinistrés!L2560</f>
        <v>10.199999999999999</v>
      </c>
      <c r="E2555">
        <f>Sinistrés!M2560</f>
        <v>10.199999999999999</v>
      </c>
      <c r="F2555">
        <f t="shared" si="78"/>
        <v>0</v>
      </c>
      <c r="G2555">
        <f t="shared" si="79"/>
        <v>1</v>
      </c>
    </row>
    <row r="2556" spans="1:7" hidden="1">
      <c r="A2556" t="str">
        <f>Sinistrés!H2561</f>
        <v>Blé dur d'hiver</v>
      </c>
      <c r="B2556">
        <f>Sinistrés!J2561</f>
        <v>27394.799999999999</v>
      </c>
      <c r="C2556">
        <f>Sinistrés!X2561</f>
        <v>0</v>
      </c>
      <c r="D2556">
        <f>Sinistrés!L2561</f>
        <v>14.8</v>
      </c>
      <c r="E2556">
        <f>Sinistrés!M2561</f>
        <v>14.8</v>
      </c>
      <c r="F2556">
        <f t="shared" si="78"/>
        <v>0</v>
      </c>
      <c r="G2556">
        <f t="shared" si="79"/>
        <v>1</v>
      </c>
    </row>
    <row r="2557" spans="1:7" hidden="1">
      <c r="A2557" t="str">
        <f>Sinistrés!H2562</f>
        <v>Blé tendre d'hiver</v>
      </c>
      <c r="B2557">
        <f>Sinistrés!J2562</f>
        <v>10248.799999999999</v>
      </c>
      <c r="C2557">
        <f>Sinistrés!X2562</f>
        <v>0</v>
      </c>
      <c r="D2557">
        <f>Sinistrés!L2562</f>
        <v>9.1999999999999993</v>
      </c>
      <c r="E2557">
        <f>Sinistrés!M2562</f>
        <v>9.1999999999999993</v>
      </c>
      <c r="F2557">
        <f t="shared" si="78"/>
        <v>0</v>
      </c>
      <c r="G2557">
        <f t="shared" si="79"/>
        <v>1</v>
      </c>
    </row>
    <row r="2558" spans="1:7" hidden="1">
      <c r="A2558" t="str">
        <f>Sinistrés!H2563</f>
        <v>Colza d'hiver</v>
      </c>
      <c r="B2558">
        <f>Sinistrés!J2563</f>
        <v>1953.6</v>
      </c>
      <c r="C2558">
        <f>Sinistrés!X2563</f>
        <v>0</v>
      </c>
      <c r="D2558">
        <f>Sinistrés!L2563</f>
        <v>2.2000000000000002</v>
      </c>
      <c r="E2558">
        <f>Sinistrés!M2563</f>
        <v>2.2000000000000002</v>
      </c>
      <c r="F2558">
        <f t="shared" si="78"/>
        <v>0</v>
      </c>
      <c r="G2558">
        <f t="shared" si="79"/>
        <v>1</v>
      </c>
    </row>
    <row r="2559" spans="1:7" hidden="1">
      <c r="A2559" t="str">
        <f>Sinistrés!H2564</f>
        <v>Colza d'hiver</v>
      </c>
      <c r="B2559">
        <f>Sinistrés!J2564</f>
        <v>11842.4</v>
      </c>
      <c r="C2559">
        <f>Sinistrés!X2564</f>
        <v>0</v>
      </c>
      <c r="D2559">
        <f>Sinistrés!L2564</f>
        <v>11.3</v>
      </c>
      <c r="E2559">
        <f>Sinistrés!M2564</f>
        <v>11.3</v>
      </c>
      <c r="F2559">
        <f t="shared" si="78"/>
        <v>0</v>
      </c>
      <c r="G2559">
        <f t="shared" si="79"/>
        <v>1</v>
      </c>
    </row>
    <row r="2560" spans="1:7" hidden="1">
      <c r="A2560" t="str">
        <f>Sinistrés!H2565</f>
        <v>Orge d'hiver</v>
      </c>
      <c r="B2560">
        <f>Sinistrés!J2565</f>
        <v>3628.91</v>
      </c>
      <c r="C2560">
        <f>Sinistrés!X2565</f>
        <v>0</v>
      </c>
      <c r="D2560">
        <f>Sinistrés!L2565</f>
        <v>4.0999999999999996</v>
      </c>
      <c r="E2560">
        <f>Sinistrés!M2565</f>
        <v>4.0999999999999996</v>
      </c>
      <c r="F2560">
        <f t="shared" si="78"/>
        <v>0</v>
      </c>
      <c r="G2560">
        <f t="shared" si="79"/>
        <v>1</v>
      </c>
    </row>
    <row r="2561" spans="1:7">
      <c r="A2561" t="str">
        <f>Sinistrés!H2566</f>
        <v>Blé tendre d'hiver</v>
      </c>
      <c r="B2561">
        <f>Sinistrés!J2566</f>
        <v>11968.06</v>
      </c>
      <c r="C2561">
        <f>Sinistrés!X2566</f>
        <v>135.04</v>
      </c>
      <c r="D2561">
        <f>Sinistrés!L2566</f>
        <v>14.71</v>
      </c>
      <c r="E2561">
        <f>Sinistrés!M2566</f>
        <v>14.71</v>
      </c>
      <c r="F2561">
        <f t="shared" si="78"/>
        <v>1.128336589221645E-2</v>
      </c>
      <c r="G2561">
        <f t="shared" si="79"/>
        <v>1</v>
      </c>
    </row>
    <row r="2562" spans="1:7">
      <c r="A2562" t="str">
        <f>Sinistrés!H2567</f>
        <v>Orge d'hiver</v>
      </c>
      <c r="B2562">
        <f>Sinistrés!J2567</f>
        <v>6807.48</v>
      </c>
      <c r="C2562">
        <f>Sinistrés!X2567</f>
        <v>1761.25</v>
      </c>
      <c r="D2562">
        <f>Sinistrés!L2567</f>
        <v>8.52</v>
      </c>
      <c r="E2562">
        <f>Sinistrés!M2567</f>
        <v>8.52</v>
      </c>
      <c r="F2562">
        <f t="shared" si="78"/>
        <v>0.25872275790747828</v>
      </c>
      <c r="G2562">
        <f t="shared" si="79"/>
        <v>1</v>
      </c>
    </row>
    <row r="2563" spans="1:7">
      <c r="A2563" t="str">
        <f>Sinistrés!H2568</f>
        <v>Blé de force</v>
      </c>
      <c r="B2563">
        <f>Sinistrés!J2568</f>
        <v>116762</v>
      </c>
      <c r="C2563">
        <f>Sinistrés!X2568</f>
        <v>7457.6</v>
      </c>
      <c r="D2563">
        <f>Sinistrés!L2568</f>
        <v>79</v>
      </c>
      <c r="E2563">
        <f>Sinistrés!M2568</f>
        <v>79</v>
      </c>
      <c r="F2563">
        <f t="shared" ref="F2563:F2626" si="80">C2563/B2563</f>
        <v>6.3870094722598109E-2</v>
      </c>
      <c r="G2563">
        <f t="shared" ref="G2563:G2626" si="81">E2563/D2563</f>
        <v>1</v>
      </c>
    </row>
    <row r="2564" spans="1:7" hidden="1">
      <c r="A2564" t="str">
        <f>Sinistrés!H2569</f>
        <v>Blé tendre d'hiver</v>
      </c>
      <c r="B2564">
        <f>Sinistrés!J2569</f>
        <v>46297.24</v>
      </c>
      <c r="C2564">
        <f>Sinistrés!X2569</f>
        <v>0</v>
      </c>
      <c r="D2564">
        <f>Sinistrés!L2569</f>
        <v>34.71</v>
      </c>
      <c r="E2564">
        <f>Sinistrés!M2569</f>
        <v>34.71</v>
      </c>
      <c r="F2564">
        <f t="shared" si="80"/>
        <v>0</v>
      </c>
      <c r="G2564">
        <f t="shared" si="81"/>
        <v>1</v>
      </c>
    </row>
    <row r="2565" spans="1:7" hidden="1">
      <c r="A2565" t="str">
        <f>Sinistrés!H2570</f>
        <v>Colza d'hiver</v>
      </c>
      <c r="B2565">
        <f>Sinistrés!J2570</f>
        <v>23341.200000000001</v>
      </c>
      <c r="C2565">
        <f>Sinistrés!X2570</f>
        <v>0</v>
      </c>
      <c r="D2565">
        <f>Sinistrés!L2570</f>
        <v>15.9</v>
      </c>
      <c r="E2565">
        <f>Sinistrés!M2570</f>
        <v>15.9</v>
      </c>
      <c r="F2565">
        <f t="shared" si="80"/>
        <v>0</v>
      </c>
      <c r="G2565">
        <f t="shared" si="81"/>
        <v>1</v>
      </c>
    </row>
    <row r="2566" spans="1:7" hidden="1">
      <c r="A2566" t="str">
        <f>Sinistrés!H2571</f>
        <v>Orge d'hiver</v>
      </c>
      <c r="B2566">
        <f>Sinistrés!J2571</f>
        <v>15324.54</v>
      </c>
      <c r="C2566">
        <f>Sinistrés!X2571</f>
        <v>0</v>
      </c>
      <c r="D2566">
        <f>Sinistrés!L2571</f>
        <v>11.81</v>
      </c>
      <c r="E2566">
        <f>Sinistrés!M2571</f>
        <v>11.81</v>
      </c>
      <c r="F2566">
        <f t="shared" si="80"/>
        <v>0</v>
      </c>
      <c r="G2566">
        <f t="shared" si="81"/>
        <v>1</v>
      </c>
    </row>
    <row r="2567" spans="1:7" hidden="1">
      <c r="A2567" t="str">
        <f>Sinistrés!H2572</f>
        <v xml:space="preserve">Soja </v>
      </c>
      <c r="B2567">
        <f>Sinistrés!J2572</f>
        <v>8122.24</v>
      </c>
      <c r="C2567">
        <f>Sinistrés!X2572</f>
        <v>0</v>
      </c>
      <c r="D2567">
        <f>Sinistrés!L2572</f>
        <v>7.84</v>
      </c>
      <c r="E2567">
        <f>Sinistrés!M2572</f>
        <v>7.84</v>
      </c>
      <c r="F2567">
        <f t="shared" si="80"/>
        <v>0</v>
      </c>
      <c r="G2567">
        <f t="shared" si="81"/>
        <v>1</v>
      </c>
    </row>
    <row r="2568" spans="1:7" hidden="1">
      <c r="A2568" t="str">
        <f>Sinistrés!H2573</f>
        <v>Triticale</v>
      </c>
      <c r="B2568">
        <f>Sinistrés!J2573</f>
        <v>6924.64</v>
      </c>
      <c r="C2568">
        <f>Sinistrés!X2573</f>
        <v>0</v>
      </c>
      <c r="D2568">
        <f>Sinistrés!L2573</f>
        <v>9.43</v>
      </c>
      <c r="E2568">
        <f>Sinistrés!M2573</f>
        <v>9.43</v>
      </c>
      <c r="F2568">
        <f t="shared" si="80"/>
        <v>0</v>
      </c>
      <c r="G2568">
        <f t="shared" si="81"/>
        <v>1</v>
      </c>
    </row>
    <row r="2569" spans="1:7">
      <c r="A2569" t="str">
        <f>Sinistrés!H2574</f>
        <v>Blé tendre d'hiver</v>
      </c>
      <c r="B2569">
        <f>Sinistrés!J2574</f>
        <v>6504.07</v>
      </c>
      <c r="C2569">
        <f>Sinistrés!X2574</f>
        <v>157.57</v>
      </c>
      <c r="D2569">
        <f>Sinistrés!L2574</f>
        <v>5.0599999999999996</v>
      </c>
      <c r="E2569">
        <f>Sinistrés!M2574</f>
        <v>5.0599999999999996</v>
      </c>
      <c r="F2569">
        <f t="shared" si="80"/>
        <v>2.4226369027393616E-2</v>
      </c>
      <c r="G2569">
        <f t="shared" si="81"/>
        <v>1</v>
      </c>
    </row>
    <row r="2570" spans="1:7" hidden="1">
      <c r="A2570" t="str">
        <f>Sinistrés!H2575</f>
        <v>Tournesol</v>
      </c>
      <c r="B2570">
        <f>Sinistrés!J2575</f>
        <v>4821.46</v>
      </c>
      <c r="C2570">
        <f>Sinistrés!X2575</f>
        <v>0</v>
      </c>
      <c r="D2570">
        <f>Sinistrés!L2575</f>
        <v>4.6900000000000004</v>
      </c>
      <c r="E2570">
        <f>Sinistrés!M2575</f>
        <v>1.5</v>
      </c>
      <c r="F2570">
        <f t="shared" si="80"/>
        <v>0</v>
      </c>
      <c r="G2570">
        <f t="shared" si="81"/>
        <v>0.3198294243070362</v>
      </c>
    </row>
    <row r="2571" spans="1:7" hidden="1">
      <c r="A2571" t="str">
        <f>Sinistrés!H2576</f>
        <v>Orge d'hiver</v>
      </c>
      <c r="B2571">
        <f>Sinistrés!J2576</f>
        <v>50895</v>
      </c>
      <c r="C2571">
        <f>Sinistrés!X2576</f>
        <v>0</v>
      </c>
      <c r="D2571">
        <f>Sinistrés!L2576</f>
        <v>56.55</v>
      </c>
      <c r="E2571">
        <f>Sinistrés!M2576</f>
        <v>56.55</v>
      </c>
      <c r="F2571">
        <f t="shared" si="80"/>
        <v>0</v>
      </c>
      <c r="G2571">
        <f t="shared" si="81"/>
        <v>1</v>
      </c>
    </row>
    <row r="2572" spans="1:7" hidden="1">
      <c r="A2572" t="str">
        <f>Sinistrés!H2577</f>
        <v>Blé tendre d'hiver</v>
      </c>
      <c r="B2572">
        <f>Sinistrés!J2577</f>
        <v>117100.76</v>
      </c>
      <c r="C2572">
        <f>Sinistrés!X2577</f>
        <v>0</v>
      </c>
      <c r="D2572">
        <f>Sinistrés!L2577</f>
        <v>114.58</v>
      </c>
      <c r="E2572">
        <f>Sinistrés!M2577</f>
        <v>114.58</v>
      </c>
      <c r="F2572">
        <f t="shared" si="80"/>
        <v>0</v>
      </c>
      <c r="G2572">
        <f t="shared" si="81"/>
        <v>1</v>
      </c>
    </row>
    <row r="2573" spans="1:7" hidden="1">
      <c r="A2573" t="str">
        <f>Sinistrés!H2578</f>
        <v>Maïs grain non irrigué</v>
      </c>
      <c r="B2573">
        <f>Sinistrés!J2578</f>
        <v>84203.79</v>
      </c>
      <c r="C2573">
        <f>Sinistrés!X2578</f>
        <v>0</v>
      </c>
      <c r="D2573">
        <f>Sinistrés!L2578</f>
        <v>28.67</v>
      </c>
      <c r="E2573">
        <f>Sinistrés!M2578</f>
        <v>2.5499999999999998</v>
      </c>
      <c r="F2573">
        <f t="shared" si="80"/>
        <v>0</v>
      </c>
      <c r="G2573">
        <f t="shared" si="81"/>
        <v>8.8943146145796986E-2</v>
      </c>
    </row>
    <row r="2574" spans="1:7" hidden="1">
      <c r="A2574" t="str">
        <f>Sinistrés!H2579</f>
        <v>Blé tendre d'hiver</v>
      </c>
      <c r="B2574">
        <f>Sinistrés!J2579</f>
        <v>27956.62</v>
      </c>
      <c r="C2574">
        <f>Sinistrés!X2579</f>
        <v>0</v>
      </c>
      <c r="D2574">
        <f>Sinistrés!L2579</f>
        <v>19.07</v>
      </c>
      <c r="E2574">
        <f>Sinistrés!M2579</f>
        <v>19.059999999999999</v>
      </c>
      <c r="F2574">
        <f t="shared" si="80"/>
        <v>0</v>
      </c>
      <c r="G2574">
        <f t="shared" si="81"/>
        <v>0.99947561615102243</v>
      </c>
    </row>
    <row r="2575" spans="1:7">
      <c r="A2575" t="str">
        <f>Sinistrés!H2580</f>
        <v>Orge de printemps</v>
      </c>
      <c r="B2575">
        <f>Sinistrés!J2580</f>
        <v>4804.45</v>
      </c>
      <c r="C2575">
        <f>Sinistrés!X2580</f>
        <v>2750.3</v>
      </c>
      <c r="D2575">
        <f>Sinistrés!L2580</f>
        <v>5.3</v>
      </c>
      <c r="E2575">
        <f>Sinistrés!M2580</f>
        <v>5</v>
      </c>
      <c r="F2575">
        <f t="shared" si="80"/>
        <v>0.57244845924091214</v>
      </c>
      <c r="G2575">
        <f t="shared" si="81"/>
        <v>0.94339622641509435</v>
      </c>
    </row>
    <row r="2576" spans="1:7">
      <c r="A2576" t="str">
        <f>Sinistrés!H2581</f>
        <v>Blé tendre de printemps</v>
      </c>
      <c r="B2576">
        <f>Sinistrés!J2581</f>
        <v>10697</v>
      </c>
      <c r="C2576">
        <f>Sinistrés!X2581</f>
        <v>6312.75</v>
      </c>
      <c r="D2576">
        <f>Sinistrés!L2581</f>
        <v>10</v>
      </c>
      <c r="E2576">
        <f>Sinistrés!M2581</f>
        <v>10</v>
      </c>
      <c r="F2576">
        <f t="shared" si="80"/>
        <v>0.59014209591474243</v>
      </c>
      <c r="G2576">
        <f t="shared" si="81"/>
        <v>1</v>
      </c>
    </row>
    <row r="2577" spans="1:7">
      <c r="A2577" t="str">
        <f>Sinistrés!H2582</f>
        <v>Pois protéagineux</v>
      </c>
      <c r="B2577">
        <f>Sinistrés!J2582</f>
        <v>19226.48</v>
      </c>
      <c r="C2577">
        <f>Sinistrés!X2582</f>
        <v>4689.8599999999997</v>
      </c>
      <c r="D2577">
        <f>Sinistrés!L2582</f>
        <v>28</v>
      </c>
      <c r="E2577">
        <f>Sinistrés!M2582</f>
        <v>28</v>
      </c>
      <c r="F2577">
        <f t="shared" si="80"/>
        <v>0.24392712550607287</v>
      </c>
      <c r="G2577">
        <f t="shared" si="81"/>
        <v>1</v>
      </c>
    </row>
    <row r="2578" spans="1:7" hidden="1">
      <c r="A2578" t="str">
        <f>Sinistrés!H2583</f>
        <v>Blé tendre d'hiver</v>
      </c>
      <c r="B2578">
        <f>Sinistrés!J2583</f>
        <v>100926</v>
      </c>
      <c r="C2578">
        <f>Sinistrés!X2583</f>
        <v>0</v>
      </c>
      <c r="D2578">
        <f>Sinistrés!L2583</f>
        <v>40</v>
      </c>
      <c r="E2578">
        <f>Sinistrés!M2583</f>
        <v>40</v>
      </c>
      <c r="F2578">
        <f t="shared" si="80"/>
        <v>0</v>
      </c>
      <c r="G2578">
        <f t="shared" si="81"/>
        <v>1</v>
      </c>
    </row>
    <row r="2579" spans="1:7">
      <c r="A2579" t="str">
        <f>Sinistrés!H2584</f>
        <v>Tournesol</v>
      </c>
      <c r="B2579">
        <f>Sinistrés!J2584</f>
        <v>32096.400000000001</v>
      </c>
      <c r="C2579">
        <f>Sinistrés!X2584</f>
        <v>2598.2800000000002</v>
      </c>
      <c r="D2579">
        <f>Sinistrés!L2584</f>
        <v>38.21</v>
      </c>
      <c r="E2579">
        <f>Sinistrés!M2584</f>
        <v>38.21</v>
      </c>
      <c r="F2579">
        <f t="shared" si="80"/>
        <v>8.0952380952380956E-2</v>
      </c>
      <c r="G2579">
        <f t="shared" si="81"/>
        <v>1</v>
      </c>
    </row>
    <row r="2580" spans="1:7">
      <c r="A2580" t="str">
        <f>Sinistrés!H2585</f>
        <v>Pois protéagineux</v>
      </c>
      <c r="B2580">
        <f>Sinistrés!J2585</f>
        <v>9386.14</v>
      </c>
      <c r="C2580">
        <f>Sinistrés!X2585</f>
        <v>1698.7</v>
      </c>
      <c r="D2580">
        <f>Sinistrés!L2585</f>
        <v>9.73</v>
      </c>
      <c r="E2580">
        <f>Sinistrés!M2585</f>
        <v>9.73</v>
      </c>
      <c r="F2580">
        <f t="shared" si="80"/>
        <v>0.18097961462326367</v>
      </c>
      <c r="G2580">
        <f t="shared" si="81"/>
        <v>1</v>
      </c>
    </row>
    <row r="2581" spans="1:7">
      <c r="A2581" t="str">
        <f>Sinistrés!H2586</f>
        <v>Blé tendre d'hiver</v>
      </c>
      <c r="B2581">
        <f>Sinistrés!J2586</f>
        <v>24767.53</v>
      </c>
      <c r="C2581">
        <f>Sinistrés!X2586</f>
        <v>566.97</v>
      </c>
      <c r="D2581">
        <f>Sinistrés!L2586</f>
        <v>18.420000000000002</v>
      </c>
      <c r="E2581">
        <f>Sinistrés!M2586</f>
        <v>18.420000000000002</v>
      </c>
      <c r="F2581">
        <f t="shared" si="80"/>
        <v>2.2891665014638119E-2</v>
      </c>
      <c r="G2581">
        <f t="shared" si="81"/>
        <v>1</v>
      </c>
    </row>
    <row r="2582" spans="1:7">
      <c r="A2582" t="str">
        <f>Sinistrés!H2587</f>
        <v>Orge de printemps</v>
      </c>
      <c r="B2582">
        <f>Sinistrés!J2587</f>
        <v>2599.3000000000002</v>
      </c>
      <c r="C2582">
        <f>Sinistrés!X2587</f>
        <v>1476.33</v>
      </c>
      <c r="D2582">
        <f>Sinistrés!L2587</f>
        <v>2.78</v>
      </c>
      <c r="E2582">
        <f>Sinistrés!M2587</f>
        <v>2.7</v>
      </c>
      <c r="F2582">
        <f t="shared" si="80"/>
        <v>0.56797214634709337</v>
      </c>
      <c r="G2582">
        <f t="shared" si="81"/>
        <v>0.97122302158273399</v>
      </c>
    </row>
    <row r="2583" spans="1:7" hidden="1">
      <c r="A2583" t="str">
        <f>Sinistrés!H2588</f>
        <v>Triticale</v>
      </c>
      <c r="B2583">
        <f>Sinistrés!J2588</f>
        <v>12875.95</v>
      </c>
      <c r="C2583">
        <f>Sinistrés!X2588</f>
        <v>0</v>
      </c>
      <c r="D2583">
        <f>Sinistrés!L2588</f>
        <v>12.84</v>
      </c>
      <c r="E2583">
        <f>Sinistrés!M2588</f>
        <v>12.84</v>
      </c>
      <c r="F2583">
        <f t="shared" si="80"/>
        <v>0</v>
      </c>
      <c r="G2583">
        <f t="shared" si="81"/>
        <v>1</v>
      </c>
    </row>
    <row r="2584" spans="1:7">
      <c r="A2584" t="str">
        <f>Sinistrés!H2589</f>
        <v>Blé tendre d'hiver</v>
      </c>
      <c r="B2584">
        <f>Sinistrés!J2589</f>
        <v>29039.81</v>
      </c>
      <c r="C2584">
        <f>Sinistrés!X2589</f>
        <v>798.79</v>
      </c>
      <c r="D2584">
        <f>Sinistrés!L2589</f>
        <v>24.6</v>
      </c>
      <c r="E2584">
        <f>Sinistrés!M2589</f>
        <v>24.6</v>
      </c>
      <c r="F2584">
        <f t="shared" si="80"/>
        <v>2.7506722667951337E-2</v>
      </c>
      <c r="G2584">
        <f t="shared" si="81"/>
        <v>1</v>
      </c>
    </row>
    <row r="2585" spans="1:7" hidden="1">
      <c r="A2585" t="str">
        <f>Sinistrés!H2590</f>
        <v xml:space="preserve">Maïs waxy non irrigué </v>
      </c>
      <c r="B2585">
        <f>Sinistrés!J2590</f>
        <v>18240.009999999998</v>
      </c>
      <c r="C2585">
        <f>Sinistrés!X2590</f>
        <v>0</v>
      </c>
      <c r="D2585">
        <f>Sinistrés!L2590</f>
        <v>10.49</v>
      </c>
      <c r="E2585">
        <f>Sinistrés!M2590</f>
        <v>5</v>
      </c>
      <c r="F2585">
        <f t="shared" si="80"/>
        <v>0</v>
      </c>
      <c r="G2585">
        <f t="shared" si="81"/>
        <v>0.47664442326024786</v>
      </c>
    </row>
    <row r="2586" spans="1:7">
      <c r="A2586" t="str">
        <f>Sinistrés!H2591</f>
        <v>Blé tendre d'hiver</v>
      </c>
      <c r="B2586">
        <f>Sinistrés!J2591</f>
        <v>9921.69</v>
      </c>
      <c r="C2586">
        <f>Sinistrés!X2591</f>
        <v>752.99</v>
      </c>
      <c r="D2586">
        <f>Sinistrés!L2591</f>
        <v>10.76</v>
      </c>
      <c r="E2586">
        <f>Sinistrés!M2591</f>
        <v>10.76</v>
      </c>
      <c r="F2586">
        <f t="shared" si="80"/>
        <v>7.5893320593568236E-2</v>
      </c>
      <c r="G2586">
        <f t="shared" si="81"/>
        <v>1</v>
      </c>
    </row>
    <row r="2587" spans="1:7">
      <c r="A2587" t="str">
        <f>Sinistrés!H2592</f>
        <v>Maïs ensilage irrigué</v>
      </c>
      <c r="B2587">
        <f>Sinistrés!J2592</f>
        <v>127861.5</v>
      </c>
      <c r="C2587">
        <f>Sinistrés!X2592</f>
        <v>44851.13</v>
      </c>
      <c r="D2587">
        <f>Sinistrés!L2592</f>
        <v>50</v>
      </c>
      <c r="E2587">
        <f>Sinistrés!M2592</f>
        <v>50</v>
      </c>
      <c r="F2587">
        <f t="shared" si="80"/>
        <v>0.35077900697238806</v>
      </c>
      <c r="G2587">
        <f t="shared" si="81"/>
        <v>1</v>
      </c>
    </row>
    <row r="2588" spans="1:7" hidden="1">
      <c r="A2588" t="str">
        <f>Sinistrés!H2593</f>
        <v>Maïs ensilage non irrigué</v>
      </c>
      <c r="B2588">
        <f>Sinistrés!J2593</f>
        <v>95407.44</v>
      </c>
      <c r="C2588">
        <f>Sinistrés!X2593</f>
        <v>0</v>
      </c>
      <c r="D2588">
        <f>Sinistrés!L2593</f>
        <v>58.32</v>
      </c>
      <c r="E2588">
        <f>Sinistrés!M2593</f>
        <v>58.31</v>
      </c>
      <c r="F2588">
        <f t="shared" si="80"/>
        <v>0</v>
      </c>
      <c r="G2588">
        <f t="shared" si="81"/>
        <v>0.9998285322359397</v>
      </c>
    </row>
    <row r="2589" spans="1:7">
      <c r="A2589" t="str">
        <f>Sinistrés!H2594</f>
        <v>Tournesol</v>
      </c>
      <c r="B2589">
        <f>Sinistrés!J2594</f>
        <v>23366.400000000001</v>
      </c>
      <c r="C2589">
        <f>Sinistrés!X2594</f>
        <v>12066.05</v>
      </c>
      <c r="D2589">
        <f>Sinistrés!L2594</f>
        <v>24.34</v>
      </c>
      <c r="E2589">
        <f>Sinistrés!M2594</f>
        <v>24.34</v>
      </c>
      <c r="F2589">
        <f t="shared" si="80"/>
        <v>0.51638463777047383</v>
      </c>
      <c r="G2589">
        <f t="shared" si="81"/>
        <v>1</v>
      </c>
    </row>
    <row r="2590" spans="1:7">
      <c r="A2590" t="str">
        <f>Sinistrés!H2595</f>
        <v>Blé tendre d'hiver</v>
      </c>
      <c r="B2590">
        <f>Sinistrés!J2595</f>
        <v>39378.26</v>
      </c>
      <c r="C2590">
        <f>Sinistrés!X2595</f>
        <v>10140.469999999999</v>
      </c>
      <c r="D2590">
        <f>Sinistrés!L2595</f>
        <v>29.95</v>
      </c>
      <c r="E2590">
        <f>Sinistrés!M2595</f>
        <v>30</v>
      </c>
      <c r="F2590">
        <f t="shared" si="80"/>
        <v>0.25751442547232911</v>
      </c>
      <c r="G2590">
        <f t="shared" si="81"/>
        <v>1.001669449081803</v>
      </c>
    </row>
    <row r="2591" spans="1:7" hidden="1">
      <c r="A2591" t="str">
        <f>Sinistrés!H2596</f>
        <v>Maïs grain non irrigué</v>
      </c>
      <c r="B2591">
        <f>Sinistrés!J2596</f>
        <v>13576.5</v>
      </c>
      <c r="C2591">
        <f>Sinistrés!X2596</f>
        <v>0</v>
      </c>
      <c r="D2591">
        <f>Sinistrés!L2596</f>
        <v>12.93</v>
      </c>
      <c r="E2591">
        <f>Sinistrés!M2596</f>
        <v>12.93</v>
      </c>
      <c r="F2591">
        <f t="shared" si="80"/>
        <v>0</v>
      </c>
      <c r="G2591">
        <f t="shared" si="81"/>
        <v>1</v>
      </c>
    </row>
    <row r="2592" spans="1:7">
      <c r="A2592" t="str">
        <f>Sinistrés!H2597</f>
        <v>Maïs ensilage non irrigué</v>
      </c>
      <c r="B2592">
        <f>Sinistrés!J2597</f>
        <v>14338.92</v>
      </c>
      <c r="C2592">
        <f>Sinistrés!X2597</f>
        <v>5544.91</v>
      </c>
      <c r="D2592">
        <f>Sinistrés!L2597</f>
        <v>13.24</v>
      </c>
      <c r="E2592">
        <f>Sinistrés!M2597</f>
        <v>13</v>
      </c>
      <c r="F2592">
        <f t="shared" si="80"/>
        <v>0.38670346162751446</v>
      </c>
      <c r="G2592">
        <f t="shared" si="81"/>
        <v>0.98187311178247727</v>
      </c>
    </row>
    <row r="2593" spans="1:7" hidden="1">
      <c r="A2593" t="str">
        <f>Sinistrés!H2598</f>
        <v>Colza d'hiver</v>
      </c>
      <c r="B2593">
        <f>Sinistrés!J2598</f>
        <v>2331.1799999999998</v>
      </c>
      <c r="C2593">
        <f>Sinistrés!X2598</f>
        <v>0</v>
      </c>
      <c r="D2593">
        <f>Sinistrés!L2598</f>
        <v>1.6</v>
      </c>
      <c r="E2593">
        <f>Sinistrés!M2598</f>
        <v>1.6</v>
      </c>
      <c r="F2593">
        <f t="shared" si="80"/>
        <v>0</v>
      </c>
      <c r="G2593">
        <f t="shared" si="81"/>
        <v>1</v>
      </c>
    </row>
    <row r="2594" spans="1:7" hidden="1">
      <c r="A2594" t="str">
        <f>Sinistrés!H2599</f>
        <v>Colza d'hiver</v>
      </c>
      <c r="B2594">
        <f>Sinistrés!J2599</f>
        <v>57807.23</v>
      </c>
      <c r="C2594">
        <f>Sinistrés!X2599</f>
        <v>0</v>
      </c>
      <c r="D2594">
        <f>Sinistrés!L2599</f>
        <v>44.45</v>
      </c>
      <c r="E2594">
        <f>Sinistrés!M2599</f>
        <v>36.35</v>
      </c>
      <c r="F2594">
        <f t="shared" si="80"/>
        <v>0</v>
      </c>
      <c r="G2594">
        <f t="shared" si="81"/>
        <v>0.81777277840269968</v>
      </c>
    </row>
    <row r="2595" spans="1:7" hidden="1">
      <c r="A2595" t="str">
        <f>Sinistrés!H2600</f>
        <v>Avoine d'hiver</v>
      </c>
      <c r="B2595">
        <f>Sinistrés!J2600</f>
        <v>3579.48</v>
      </c>
      <c r="C2595">
        <f>Sinistrés!X2600</f>
        <v>0</v>
      </c>
      <c r="D2595">
        <f>Sinistrés!L2600</f>
        <v>6.52</v>
      </c>
      <c r="E2595">
        <f>Sinistrés!M2600</f>
        <v>6.37</v>
      </c>
      <c r="F2595">
        <f t="shared" si="80"/>
        <v>0</v>
      </c>
      <c r="G2595">
        <f t="shared" si="81"/>
        <v>0.97699386503067498</v>
      </c>
    </row>
    <row r="2596" spans="1:7" hidden="1">
      <c r="A2596" t="str">
        <f>Sinistrés!H2601</f>
        <v>Blé tendre d'hiver</v>
      </c>
      <c r="B2596">
        <f>Sinistrés!J2601</f>
        <v>68196.399999999994</v>
      </c>
      <c r="C2596">
        <f>Sinistrés!X2601</f>
        <v>0</v>
      </c>
      <c r="D2596">
        <f>Sinistrés!L2601</f>
        <v>58.79</v>
      </c>
      <c r="E2596">
        <f>Sinistrés!M2601</f>
        <v>59.06</v>
      </c>
      <c r="F2596">
        <f t="shared" si="80"/>
        <v>0</v>
      </c>
      <c r="G2596">
        <f t="shared" si="81"/>
        <v>1.0045926177921416</v>
      </c>
    </row>
    <row r="2597" spans="1:7" hidden="1">
      <c r="A2597" t="str">
        <f>Sinistrés!H2602</f>
        <v>Blé tendre d'hiver semences</v>
      </c>
      <c r="B2597">
        <f>Sinistrés!J2602</f>
        <v>64386</v>
      </c>
      <c r="C2597">
        <f>Sinistrés!X2602</f>
        <v>0</v>
      </c>
      <c r="D2597">
        <f>Sinistrés!L2602</f>
        <v>36.5</v>
      </c>
      <c r="E2597">
        <f>Sinistrés!M2602</f>
        <v>36.5</v>
      </c>
      <c r="F2597">
        <f t="shared" si="80"/>
        <v>0</v>
      </c>
      <c r="G2597">
        <f t="shared" si="81"/>
        <v>1</v>
      </c>
    </row>
    <row r="2598" spans="1:7" hidden="1">
      <c r="A2598" t="str">
        <f>Sinistrés!H2603</f>
        <v>Colza d'hiver</v>
      </c>
      <c r="B2598">
        <f>Sinistrés!J2603</f>
        <v>55108.800000000003</v>
      </c>
      <c r="C2598">
        <f>Sinistrés!X2603</f>
        <v>0</v>
      </c>
      <c r="D2598">
        <f>Sinistrés!L2603</f>
        <v>35.6</v>
      </c>
      <c r="E2598">
        <f>Sinistrés!M2603</f>
        <v>35.6</v>
      </c>
      <c r="F2598">
        <f t="shared" si="80"/>
        <v>0</v>
      </c>
      <c r="G2598">
        <f t="shared" si="81"/>
        <v>1</v>
      </c>
    </row>
    <row r="2599" spans="1:7" hidden="1">
      <c r="A2599" t="str">
        <f>Sinistrés!H2604</f>
        <v>Orge de printemps</v>
      </c>
      <c r="B2599">
        <f>Sinistrés!J2604</f>
        <v>6360.2</v>
      </c>
      <c r="C2599">
        <f>Sinistrés!X2604</f>
        <v>0</v>
      </c>
      <c r="D2599">
        <f>Sinistrés!L2604</f>
        <v>4.13</v>
      </c>
      <c r="E2599">
        <f>Sinistrés!M2604</f>
        <v>4.13</v>
      </c>
      <c r="F2599">
        <f t="shared" si="80"/>
        <v>0</v>
      </c>
      <c r="G2599">
        <f t="shared" si="81"/>
        <v>1</v>
      </c>
    </row>
    <row r="2600" spans="1:7" hidden="1">
      <c r="A2600" t="str">
        <f>Sinistrés!H2605</f>
        <v>Orge d'hiver SEMENCES</v>
      </c>
      <c r="B2600">
        <f>Sinistrés!J2605</f>
        <v>52860.639999999999</v>
      </c>
      <c r="C2600">
        <f>Sinistrés!X2605</f>
        <v>0</v>
      </c>
      <c r="D2600">
        <f>Sinistrés!L2605</f>
        <v>34.64</v>
      </c>
      <c r="E2600">
        <f>Sinistrés!M2605</f>
        <v>34.64</v>
      </c>
      <c r="F2600">
        <f t="shared" si="80"/>
        <v>0</v>
      </c>
      <c r="G2600">
        <f t="shared" si="81"/>
        <v>1</v>
      </c>
    </row>
    <row r="2601" spans="1:7" hidden="1">
      <c r="A2601" t="str">
        <f>Sinistrés!H2606</f>
        <v>Soja SEMENCES</v>
      </c>
      <c r="B2601">
        <f>Sinistrés!J2606</f>
        <v>15881.6</v>
      </c>
      <c r="C2601">
        <f>Sinistrés!X2606</f>
        <v>0</v>
      </c>
      <c r="D2601">
        <f>Sinistrés!L2606</f>
        <v>14.18</v>
      </c>
      <c r="E2601">
        <f>Sinistrés!M2606</f>
        <v>14.18</v>
      </c>
      <c r="F2601">
        <f t="shared" si="80"/>
        <v>0</v>
      </c>
      <c r="G2601">
        <f t="shared" si="81"/>
        <v>1</v>
      </c>
    </row>
    <row r="2602" spans="1:7" hidden="1">
      <c r="A2602" t="str">
        <f>Sinistrés!H2607</f>
        <v>Blé dur d'hiver</v>
      </c>
      <c r="B2602">
        <f>Sinistrés!J2607</f>
        <v>11211.09</v>
      </c>
      <c r="C2602">
        <f>Sinistrés!X2607</f>
        <v>0</v>
      </c>
      <c r="D2602">
        <f>Sinistrés!L2607</f>
        <v>6.41</v>
      </c>
      <c r="E2602">
        <f>Sinistrés!M2607</f>
        <v>6.41</v>
      </c>
      <c r="F2602">
        <f t="shared" si="80"/>
        <v>0</v>
      </c>
      <c r="G2602">
        <f t="shared" si="81"/>
        <v>1</v>
      </c>
    </row>
    <row r="2603" spans="1:7" hidden="1">
      <c r="A2603" t="str">
        <f>Sinistrés!H2608</f>
        <v>Blé de force</v>
      </c>
      <c r="B2603">
        <f>Sinistrés!J2608</f>
        <v>29421.39</v>
      </c>
      <c r="C2603">
        <f>Sinistrés!X2608</f>
        <v>0</v>
      </c>
      <c r="D2603">
        <f>Sinistrés!L2608</f>
        <v>23.38</v>
      </c>
      <c r="E2603">
        <f>Sinistrés!M2608</f>
        <v>23.38</v>
      </c>
      <c r="F2603">
        <f t="shared" si="80"/>
        <v>0</v>
      </c>
      <c r="G2603">
        <f t="shared" si="81"/>
        <v>1</v>
      </c>
    </row>
    <row r="2604" spans="1:7" hidden="1">
      <c r="A2604" t="str">
        <f>Sinistrés!H2609</f>
        <v>Blé tendre d'hiver</v>
      </c>
      <c r="B2604">
        <f>Sinistrés!J2609</f>
        <v>10118.16</v>
      </c>
      <c r="C2604">
        <f>Sinistrés!X2609</f>
        <v>0</v>
      </c>
      <c r="D2604">
        <f>Sinistrés!L2609</f>
        <v>8.9700000000000006</v>
      </c>
      <c r="E2604">
        <f>Sinistrés!M2609</f>
        <v>8.9700000000000006</v>
      </c>
      <c r="F2604">
        <f t="shared" si="80"/>
        <v>0</v>
      </c>
      <c r="G2604">
        <f t="shared" si="81"/>
        <v>1</v>
      </c>
    </row>
    <row r="2605" spans="1:7" hidden="1">
      <c r="A2605" t="str">
        <f>Sinistrés!H2610</f>
        <v>Colza d'hiver</v>
      </c>
      <c r="B2605">
        <f>Sinistrés!J2610</f>
        <v>10981.48</v>
      </c>
      <c r="C2605">
        <f>Sinistrés!X2610</f>
        <v>0</v>
      </c>
      <c r="D2605">
        <f>Sinistrés!L2610</f>
        <v>9.77</v>
      </c>
      <c r="E2605">
        <f>Sinistrés!M2610</f>
        <v>9.77</v>
      </c>
      <c r="F2605">
        <f t="shared" si="80"/>
        <v>0</v>
      </c>
      <c r="G2605">
        <f t="shared" si="81"/>
        <v>1</v>
      </c>
    </row>
    <row r="2606" spans="1:7" hidden="1">
      <c r="A2606" t="str">
        <f>Sinistrés!H2611</f>
        <v>Orge d'hiver</v>
      </c>
      <c r="B2606">
        <f>Sinistrés!J2611</f>
        <v>10680.89</v>
      </c>
      <c r="C2606">
        <f>Sinistrés!X2611</f>
        <v>0</v>
      </c>
      <c r="D2606">
        <f>Sinistrés!L2611</f>
        <v>10.74</v>
      </c>
      <c r="E2606">
        <f>Sinistrés!M2611</f>
        <v>10.74</v>
      </c>
      <c r="F2606">
        <f t="shared" si="80"/>
        <v>0</v>
      </c>
      <c r="G2606">
        <f t="shared" si="81"/>
        <v>1</v>
      </c>
    </row>
    <row r="2607" spans="1:7" hidden="1">
      <c r="A2607" t="str">
        <f>Sinistrés!H2612</f>
        <v>Triticale</v>
      </c>
      <c r="B2607">
        <f>Sinistrés!J2612</f>
        <v>6155.7</v>
      </c>
      <c r="C2607">
        <f>Sinistrés!X2612</f>
        <v>0</v>
      </c>
      <c r="D2607">
        <f>Sinistrés!L2612</f>
        <v>8.5</v>
      </c>
      <c r="E2607">
        <f>Sinistrés!M2612</f>
        <v>8.5</v>
      </c>
      <c r="F2607">
        <f t="shared" si="80"/>
        <v>0</v>
      </c>
      <c r="G2607">
        <f t="shared" si="81"/>
        <v>1</v>
      </c>
    </row>
    <row r="2608" spans="1:7" hidden="1">
      <c r="A2608" t="str">
        <f>Sinistrés!H2613</f>
        <v>Blé tendre d'hiver BIO</v>
      </c>
      <c r="B2608">
        <f>Sinistrés!J2613</f>
        <v>65542.460000000006</v>
      </c>
      <c r="C2608">
        <f>Sinistrés!X2613</f>
        <v>3617.48</v>
      </c>
      <c r="D2608">
        <f>Sinistrés!L2613</f>
        <v>69.459999999999994</v>
      </c>
      <c r="E2608">
        <f>Sinistrés!M2613</f>
        <v>30</v>
      </c>
      <c r="F2608">
        <f t="shared" si="80"/>
        <v>5.5192923793217399E-2</v>
      </c>
      <c r="G2608">
        <f t="shared" si="81"/>
        <v>0.43190325367117771</v>
      </c>
    </row>
    <row r="2609" spans="1:7" hidden="1">
      <c r="A2609" t="str">
        <f>Sinistrés!H2614</f>
        <v>Seigle et méteil BIO</v>
      </c>
      <c r="B2609">
        <f>Sinistrés!J2614</f>
        <v>2703.82</v>
      </c>
      <c r="C2609">
        <f>Sinistrés!X2614</f>
        <v>331.44</v>
      </c>
      <c r="D2609">
        <f>Sinistrés!L2614</f>
        <v>7.12</v>
      </c>
      <c r="E2609">
        <f>Sinistrés!M2614</f>
        <v>7.12</v>
      </c>
      <c r="F2609">
        <f t="shared" si="80"/>
        <v>0.12258212454971114</v>
      </c>
      <c r="G2609">
        <f t="shared" si="81"/>
        <v>1</v>
      </c>
    </row>
    <row r="2610" spans="1:7" hidden="1">
      <c r="A2610" t="str">
        <f>Sinistrés!H2615</f>
        <v>Pois secs / Pois Chiches BIO</v>
      </c>
      <c r="B2610">
        <f>Sinistrés!J2615</f>
        <v>3580.2</v>
      </c>
      <c r="C2610">
        <f>Sinistrés!X2615</f>
        <v>875.16</v>
      </c>
      <c r="D2610">
        <f>Sinistrés!L2615</f>
        <v>3.6</v>
      </c>
      <c r="E2610">
        <f>Sinistrés!M2615</f>
        <v>3.6</v>
      </c>
      <c r="F2610">
        <f t="shared" si="80"/>
        <v>0.24444444444444444</v>
      </c>
      <c r="G2610">
        <f t="shared" si="81"/>
        <v>1</v>
      </c>
    </row>
    <row r="2611" spans="1:7" hidden="1">
      <c r="A2611" t="str">
        <f>Sinistrés!H2616</f>
        <v>Tournesol BIO</v>
      </c>
      <c r="B2611">
        <f>Sinistrés!J2616</f>
        <v>18926.36</v>
      </c>
      <c r="C2611">
        <f>Sinistrés!X2616</f>
        <v>2221.79</v>
      </c>
      <c r="D2611">
        <f>Sinistrés!L2616</f>
        <v>17.850000000000001</v>
      </c>
      <c r="E2611">
        <f>Sinistrés!M2616</f>
        <v>4.3</v>
      </c>
      <c r="F2611">
        <f t="shared" si="80"/>
        <v>0.11739129975335987</v>
      </c>
      <c r="G2611">
        <f t="shared" si="81"/>
        <v>0.24089635854341734</v>
      </c>
    </row>
    <row r="2612" spans="1:7" hidden="1">
      <c r="A2612" t="str">
        <f>Sinistrés!H2617</f>
        <v>Soja BIO</v>
      </c>
      <c r="B2612">
        <f>Sinistrés!J2617</f>
        <v>12726</v>
      </c>
      <c r="C2612">
        <f>Sinistrés!X2617</f>
        <v>5938.8</v>
      </c>
      <c r="D2612">
        <f>Sinistrés!L2617</f>
        <v>8.08</v>
      </c>
      <c r="E2612">
        <f>Sinistrés!M2617</f>
        <v>8.08</v>
      </c>
      <c r="F2612">
        <f t="shared" si="80"/>
        <v>0.46666666666666667</v>
      </c>
      <c r="G2612">
        <f t="shared" si="81"/>
        <v>1</v>
      </c>
    </row>
    <row r="2613" spans="1:7" hidden="1">
      <c r="A2613" t="str">
        <f>Sinistrés!H2618</f>
        <v>Lentilles BIO</v>
      </c>
      <c r="B2613">
        <f>Sinistrés!J2618</f>
        <v>1840</v>
      </c>
      <c r="C2613">
        <f>Sinistrés!X2618</f>
        <v>368</v>
      </c>
      <c r="D2613">
        <f>Sinistrés!L2618</f>
        <v>3.68</v>
      </c>
      <c r="E2613">
        <f>Sinistrés!M2618</f>
        <v>3.68</v>
      </c>
      <c r="F2613">
        <f t="shared" si="80"/>
        <v>0.2</v>
      </c>
      <c r="G2613">
        <f t="shared" si="81"/>
        <v>1</v>
      </c>
    </row>
    <row r="2614" spans="1:7" hidden="1">
      <c r="A2614" t="str">
        <f>Sinistrés!H2619</f>
        <v>Blé tendre d'hiver</v>
      </c>
      <c r="B2614">
        <f>Sinistrés!J2619</f>
        <v>49114.400000000001</v>
      </c>
      <c r="C2614">
        <f>Sinistrés!X2619</f>
        <v>0</v>
      </c>
      <c r="D2614">
        <f>Sinistrés!L2619</f>
        <v>42.34</v>
      </c>
      <c r="E2614">
        <f>Sinistrés!M2619</f>
        <v>42.34</v>
      </c>
      <c r="F2614">
        <f t="shared" si="80"/>
        <v>0</v>
      </c>
      <c r="G2614">
        <f t="shared" si="81"/>
        <v>1</v>
      </c>
    </row>
    <row r="2615" spans="1:7" hidden="1">
      <c r="A2615" t="str">
        <f>Sinistrés!H2620</f>
        <v>Tournesol</v>
      </c>
      <c r="B2615">
        <f>Sinistrés!J2620</f>
        <v>14832</v>
      </c>
      <c r="C2615">
        <f>Sinistrés!X2620</f>
        <v>0</v>
      </c>
      <c r="D2615">
        <f>Sinistrés!L2620</f>
        <v>18</v>
      </c>
      <c r="E2615">
        <f>Sinistrés!M2620</f>
        <v>18</v>
      </c>
      <c r="F2615">
        <f t="shared" si="80"/>
        <v>0</v>
      </c>
      <c r="G2615">
        <f t="shared" si="81"/>
        <v>1</v>
      </c>
    </row>
    <row r="2616" spans="1:7" hidden="1">
      <c r="A2616" t="str">
        <f>Sinistrés!H2621</f>
        <v>Orge de printemps</v>
      </c>
      <c r="B2616">
        <f>Sinistrés!J2621</f>
        <v>169899.08</v>
      </c>
      <c r="C2616">
        <f>Sinistrés!X2621</f>
        <v>0</v>
      </c>
      <c r="D2616">
        <f>Sinistrés!L2621</f>
        <v>159.38</v>
      </c>
      <c r="E2616">
        <f>Sinistrés!M2621</f>
        <v>159.38</v>
      </c>
      <c r="F2616">
        <f t="shared" si="80"/>
        <v>0</v>
      </c>
      <c r="G2616">
        <f t="shared" si="81"/>
        <v>1</v>
      </c>
    </row>
    <row r="2617" spans="1:7" hidden="1">
      <c r="A2617" t="str">
        <f>Sinistrés!H2622</f>
        <v>Orge d'hiver</v>
      </c>
      <c r="B2617">
        <f>Sinistrés!J2622</f>
        <v>94856.28</v>
      </c>
      <c r="C2617">
        <f>Sinistrés!X2622</f>
        <v>0</v>
      </c>
      <c r="D2617">
        <f>Sinistrés!L2622</f>
        <v>79.98</v>
      </c>
      <c r="E2617">
        <f>Sinistrés!M2622</f>
        <v>79.98</v>
      </c>
      <c r="F2617">
        <f t="shared" si="80"/>
        <v>0</v>
      </c>
      <c r="G2617">
        <f t="shared" si="81"/>
        <v>1</v>
      </c>
    </row>
    <row r="2618" spans="1:7" hidden="1">
      <c r="A2618" t="str">
        <f>Sinistrés!H2623</f>
        <v>Triticale</v>
      </c>
      <c r="B2618">
        <f>Sinistrés!J2623</f>
        <v>5018.83</v>
      </c>
      <c r="C2618">
        <f>Sinistrés!X2623</f>
        <v>0</v>
      </c>
      <c r="D2618">
        <f>Sinistrés!L2623</f>
        <v>5.29</v>
      </c>
      <c r="E2618">
        <f>Sinistrés!M2623</f>
        <v>9.7899999999999991</v>
      </c>
      <c r="F2618">
        <f t="shared" si="80"/>
        <v>0</v>
      </c>
      <c r="G2618">
        <f t="shared" si="81"/>
        <v>1.8506616257088846</v>
      </c>
    </row>
    <row r="2619" spans="1:7" hidden="1">
      <c r="A2619" t="str">
        <f>Sinistrés!H2624</f>
        <v>Colza d'hiver</v>
      </c>
      <c r="B2619">
        <f>Sinistrés!J2624</f>
        <v>54212.09</v>
      </c>
      <c r="C2619">
        <f>Sinistrés!X2624</f>
        <v>0</v>
      </c>
      <c r="D2619">
        <f>Sinistrés!L2624</f>
        <v>37.53</v>
      </c>
      <c r="E2619">
        <f>Sinistrés!M2624</f>
        <v>37.53</v>
      </c>
      <c r="F2619">
        <f t="shared" si="80"/>
        <v>0</v>
      </c>
      <c r="G2619">
        <f t="shared" si="81"/>
        <v>1</v>
      </c>
    </row>
    <row r="2620" spans="1:7" hidden="1">
      <c r="A2620" t="str">
        <f>Sinistrés!H2625</f>
        <v>Orge d'hiver</v>
      </c>
      <c r="B2620">
        <f>Sinistrés!J2625</f>
        <v>15605.46</v>
      </c>
      <c r="C2620">
        <f>Sinistrés!X2625</f>
        <v>0</v>
      </c>
      <c r="D2620">
        <f>Sinistrés!L2625</f>
        <v>14.82</v>
      </c>
      <c r="E2620">
        <f>Sinistrés!M2625</f>
        <v>14.82</v>
      </c>
      <c r="F2620">
        <f t="shared" si="80"/>
        <v>0</v>
      </c>
      <c r="G2620">
        <f t="shared" si="81"/>
        <v>1</v>
      </c>
    </row>
    <row r="2621" spans="1:7" hidden="1">
      <c r="A2621" t="str">
        <f>Sinistrés!H2626</f>
        <v>Blé tendre d'hiver</v>
      </c>
      <c r="B2621">
        <f>Sinistrés!J2626</f>
        <v>47279.44</v>
      </c>
      <c r="C2621">
        <f>Sinistrés!X2626</f>
        <v>0</v>
      </c>
      <c r="D2621">
        <f>Sinistrés!L2626</f>
        <v>34.97</v>
      </c>
      <c r="E2621">
        <f>Sinistrés!M2626</f>
        <v>34.97</v>
      </c>
      <c r="F2621">
        <f t="shared" si="80"/>
        <v>0</v>
      </c>
      <c r="G2621">
        <f t="shared" si="81"/>
        <v>1</v>
      </c>
    </row>
    <row r="2622" spans="1:7" hidden="1">
      <c r="A2622" t="str">
        <f>Sinistrés!H2627</f>
        <v>Orge de printemps</v>
      </c>
      <c r="B2622">
        <f>Sinistrés!J2627</f>
        <v>25462.5</v>
      </c>
      <c r="C2622">
        <f>Sinistrés!X2627</f>
        <v>0</v>
      </c>
      <c r="D2622">
        <f>Sinistrés!L2627</f>
        <v>26.25</v>
      </c>
      <c r="E2622">
        <f>Sinistrés!M2627</f>
        <v>26.25</v>
      </c>
      <c r="F2622">
        <f t="shared" si="80"/>
        <v>0</v>
      </c>
      <c r="G2622">
        <f t="shared" si="81"/>
        <v>1</v>
      </c>
    </row>
    <row r="2623" spans="1:7" hidden="1">
      <c r="A2623" t="str">
        <f>Sinistrés!H2628</f>
        <v>Pois protéagineux</v>
      </c>
      <c r="B2623">
        <f>Sinistrés!J2628</f>
        <v>5107.1499999999996</v>
      </c>
      <c r="C2623">
        <f>Sinistrés!X2628</f>
        <v>0</v>
      </c>
      <c r="D2623">
        <f>Sinistrés!L2628</f>
        <v>6.69</v>
      </c>
      <c r="E2623">
        <f>Sinistrés!M2628</f>
        <v>6.69</v>
      </c>
      <c r="F2623">
        <f t="shared" si="80"/>
        <v>0</v>
      </c>
      <c r="G2623">
        <f t="shared" si="81"/>
        <v>1</v>
      </c>
    </row>
    <row r="2624" spans="1:7" hidden="1">
      <c r="A2624" t="str">
        <f>Sinistrés!H2629</f>
        <v>Avoine de printemps</v>
      </c>
      <c r="B2624">
        <f>Sinistrés!J2629</f>
        <v>4126.82</v>
      </c>
      <c r="C2624">
        <f>Sinistrés!X2629</f>
        <v>0</v>
      </c>
      <c r="D2624">
        <f>Sinistrés!L2629</f>
        <v>6.3</v>
      </c>
      <c r="E2624">
        <f>Sinistrés!M2629</f>
        <v>6.3</v>
      </c>
      <c r="F2624">
        <f t="shared" si="80"/>
        <v>0</v>
      </c>
      <c r="G2624">
        <f t="shared" si="81"/>
        <v>1</v>
      </c>
    </row>
    <row r="2625" spans="1:7">
      <c r="A2625" t="str">
        <f>Sinistrés!H2630</f>
        <v>Blé tendre d'hiver</v>
      </c>
      <c r="B2625">
        <f>Sinistrés!J2630</f>
        <v>56632.95</v>
      </c>
      <c r="C2625">
        <f>Sinistrés!X2630</f>
        <v>6608.75</v>
      </c>
      <c r="D2625">
        <f>Sinistrés!L2630</f>
        <v>49.5</v>
      </c>
      <c r="E2625">
        <f>Sinistrés!M2630</f>
        <v>49.5</v>
      </c>
      <c r="F2625">
        <f t="shared" si="80"/>
        <v>0.11669443318774672</v>
      </c>
      <c r="G2625">
        <f t="shared" si="81"/>
        <v>1</v>
      </c>
    </row>
    <row r="2626" spans="1:7">
      <c r="A2626" t="str">
        <f>Sinistrés!H2631</f>
        <v>Orge de printemps</v>
      </c>
      <c r="B2626">
        <f>Sinistrés!J2631</f>
        <v>14785.75</v>
      </c>
      <c r="C2626">
        <f>Sinistrés!X2631</f>
        <v>3171.35</v>
      </c>
      <c r="D2626">
        <f>Sinistrés!L2631</f>
        <v>17.5</v>
      </c>
      <c r="E2626">
        <f>Sinistrés!M2631</f>
        <v>17.5</v>
      </c>
      <c r="F2626">
        <f t="shared" si="80"/>
        <v>0.21448692152917503</v>
      </c>
      <c r="G2626">
        <f t="shared" si="81"/>
        <v>1</v>
      </c>
    </row>
    <row r="2627" spans="1:7" hidden="1">
      <c r="A2627" t="str">
        <f>Sinistrés!H2632</f>
        <v>Blé tendre d'hiver</v>
      </c>
      <c r="B2627">
        <f>Sinistrés!J2632</f>
        <v>46068.75</v>
      </c>
      <c r="C2627">
        <f>Sinistrés!X2632</f>
        <v>0</v>
      </c>
      <c r="D2627">
        <f>Sinistrés!L2632</f>
        <v>40.950000000000003</v>
      </c>
      <c r="E2627">
        <f>Sinistrés!M2632</f>
        <v>40.950000000000003</v>
      </c>
      <c r="F2627">
        <f t="shared" ref="F2627:F2690" si="82">C2627/B2627</f>
        <v>0</v>
      </c>
      <c r="G2627">
        <f t="shared" ref="G2627:G2690" si="83">E2627/D2627</f>
        <v>1</v>
      </c>
    </row>
    <row r="2628" spans="1:7" hidden="1">
      <c r="A2628" t="str">
        <f>Sinistrés!H2633</f>
        <v>Orge d'hiver</v>
      </c>
      <c r="B2628">
        <f>Sinistrés!J2633</f>
        <v>18901.400000000001</v>
      </c>
      <c r="C2628">
        <f>Sinistrés!X2633</f>
        <v>0</v>
      </c>
      <c r="D2628">
        <f>Sinistrés!L2633</f>
        <v>23.48</v>
      </c>
      <c r="E2628">
        <f>Sinistrés!M2633</f>
        <v>23.48</v>
      </c>
      <c r="F2628">
        <f t="shared" si="82"/>
        <v>0</v>
      </c>
      <c r="G2628">
        <f t="shared" si="83"/>
        <v>1</v>
      </c>
    </row>
    <row r="2629" spans="1:7" hidden="1">
      <c r="A2629" t="str">
        <f>Sinistrés!H2634</f>
        <v>Orge de printemps</v>
      </c>
      <c r="B2629">
        <f>Sinistrés!J2634</f>
        <v>14655.41</v>
      </c>
      <c r="C2629">
        <f>Sinistrés!X2634</f>
        <v>0</v>
      </c>
      <c r="D2629">
        <f>Sinistrés!L2634</f>
        <v>18.21</v>
      </c>
      <c r="E2629">
        <f>Sinistrés!M2634</f>
        <v>18.21</v>
      </c>
      <c r="F2629">
        <f t="shared" si="82"/>
        <v>0</v>
      </c>
      <c r="G2629">
        <f t="shared" si="83"/>
        <v>1</v>
      </c>
    </row>
    <row r="2630" spans="1:7">
      <c r="A2630" t="str">
        <f>Sinistrés!H2635</f>
        <v>Lin oléagineux</v>
      </c>
      <c r="B2630">
        <f>Sinistrés!J2635</f>
        <v>20004.66</v>
      </c>
      <c r="C2630">
        <f>Sinistrés!X2635</f>
        <v>4709.84</v>
      </c>
      <c r="D2630">
        <f>Sinistrés!L2635</f>
        <v>21.58</v>
      </c>
      <c r="E2630">
        <f>Sinistrés!M2635</f>
        <v>21.58</v>
      </c>
      <c r="F2630">
        <f t="shared" si="82"/>
        <v>0.23543714314564707</v>
      </c>
      <c r="G2630">
        <f t="shared" si="83"/>
        <v>1</v>
      </c>
    </row>
    <row r="2631" spans="1:7" hidden="1">
      <c r="A2631" t="str">
        <f>Sinistrés!H2636</f>
        <v>Tournesol</v>
      </c>
      <c r="B2631">
        <f>Sinistrés!J2636</f>
        <v>8959.5</v>
      </c>
      <c r="C2631">
        <f>Sinistrés!X2636</f>
        <v>0</v>
      </c>
      <c r="D2631">
        <f>Sinistrés!L2636</f>
        <v>10.86</v>
      </c>
      <c r="E2631">
        <f>Sinistrés!M2636</f>
        <v>10.86</v>
      </c>
      <c r="F2631">
        <f t="shared" si="82"/>
        <v>0</v>
      </c>
      <c r="G2631">
        <f t="shared" si="83"/>
        <v>1</v>
      </c>
    </row>
    <row r="2632" spans="1:7">
      <c r="A2632" t="str">
        <f>Sinistrés!H2637</f>
        <v>Pois protéagineux</v>
      </c>
      <c r="B2632">
        <f>Sinistrés!J2637</f>
        <v>4668.6400000000003</v>
      </c>
      <c r="C2632">
        <f>Sinistrés!X2637</f>
        <v>292.69</v>
      </c>
      <c r="D2632">
        <f>Sinistrés!L2637</f>
        <v>8.0299999999999994</v>
      </c>
      <c r="E2632">
        <f>Sinistrés!M2637</f>
        <v>8.0299999999999994</v>
      </c>
      <c r="F2632">
        <f t="shared" si="82"/>
        <v>6.2692775626306582E-2</v>
      </c>
      <c r="G2632">
        <f t="shared" si="83"/>
        <v>1</v>
      </c>
    </row>
    <row r="2633" spans="1:7">
      <c r="A2633" t="str">
        <f>Sinistrés!H2638</f>
        <v>Colza d'hiver</v>
      </c>
      <c r="B2633">
        <f>Sinistrés!J2638</f>
        <v>227800.17</v>
      </c>
      <c r="C2633">
        <f>Sinistrés!X2638</f>
        <v>67751.42</v>
      </c>
      <c r="D2633">
        <f>Sinistrés!L2638</f>
        <v>149.77000000000001</v>
      </c>
      <c r="E2633">
        <f>Sinistrés!M2638</f>
        <v>149.77000000000001</v>
      </c>
      <c r="F2633">
        <f t="shared" si="82"/>
        <v>0.29741602036556863</v>
      </c>
      <c r="G2633">
        <f t="shared" si="83"/>
        <v>1</v>
      </c>
    </row>
    <row r="2634" spans="1:7" hidden="1">
      <c r="A2634" t="str">
        <f>Sinistrés!H2639</f>
        <v>Blé tendre d'hiver</v>
      </c>
      <c r="B2634">
        <f>Sinistrés!J2639</f>
        <v>96643.199999999997</v>
      </c>
      <c r="C2634">
        <f>Sinistrés!X2639</f>
        <v>0</v>
      </c>
      <c r="D2634">
        <f>Sinistrés!L2639</f>
        <v>100.67</v>
      </c>
      <c r="E2634">
        <f>Sinistrés!M2639</f>
        <v>100.67</v>
      </c>
      <c r="F2634">
        <f t="shared" si="82"/>
        <v>0</v>
      </c>
      <c r="G2634">
        <f t="shared" si="83"/>
        <v>1</v>
      </c>
    </row>
    <row r="2635" spans="1:7" hidden="1">
      <c r="A2635" t="str">
        <f>Sinistrés!H2640</f>
        <v>Orge d'hiver</v>
      </c>
      <c r="B2635">
        <f>Sinistrés!J2640</f>
        <v>33405.9</v>
      </c>
      <c r="C2635">
        <f>Sinistrés!X2640</f>
        <v>0</v>
      </c>
      <c r="D2635">
        <f>Sinistrés!L2640</f>
        <v>42.02</v>
      </c>
      <c r="E2635">
        <f>Sinistrés!M2640</f>
        <v>42.02</v>
      </c>
      <c r="F2635">
        <f t="shared" si="82"/>
        <v>0</v>
      </c>
      <c r="G2635">
        <f t="shared" si="83"/>
        <v>1</v>
      </c>
    </row>
    <row r="2636" spans="1:7" hidden="1">
      <c r="A2636" t="str">
        <f>Sinistrés!H2641</f>
        <v>Blé dur d'hiver</v>
      </c>
      <c r="B2636">
        <f>Sinistrés!J2641</f>
        <v>20973.55</v>
      </c>
      <c r="C2636">
        <f>Sinistrés!X2641</f>
        <v>0</v>
      </c>
      <c r="D2636">
        <f>Sinistrés!L2641</f>
        <v>15.81</v>
      </c>
      <c r="E2636">
        <f>Sinistrés!M2641</f>
        <v>15.81</v>
      </c>
      <c r="F2636">
        <f t="shared" si="82"/>
        <v>0</v>
      </c>
      <c r="G2636">
        <f t="shared" si="83"/>
        <v>1</v>
      </c>
    </row>
    <row r="2637" spans="1:7" hidden="1">
      <c r="A2637" t="str">
        <f>Sinistrés!H2642</f>
        <v>Blé tendre d'hiver</v>
      </c>
      <c r="B2637">
        <f>Sinistrés!J2642</f>
        <v>37452.800000000003</v>
      </c>
      <c r="C2637">
        <f>Sinistrés!X2642</f>
        <v>0</v>
      </c>
      <c r="D2637">
        <f>Sinistrés!L2642</f>
        <v>29.26</v>
      </c>
      <c r="E2637">
        <f>Sinistrés!M2642</f>
        <v>29.26</v>
      </c>
      <c r="F2637">
        <f t="shared" si="82"/>
        <v>0</v>
      </c>
      <c r="G2637">
        <f t="shared" si="83"/>
        <v>1</v>
      </c>
    </row>
    <row r="2638" spans="1:7" hidden="1">
      <c r="A2638" t="str">
        <f>Sinistrés!H2643</f>
        <v>Colza d'hiver</v>
      </c>
      <c r="B2638">
        <f>Sinistrés!J2643</f>
        <v>31720.5</v>
      </c>
      <c r="C2638">
        <f>Sinistrés!X2643</f>
        <v>0</v>
      </c>
      <c r="D2638">
        <f>Sinistrés!L2643</f>
        <v>23.85</v>
      </c>
      <c r="E2638">
        <f>Sinistrés!M2643</f>
        <v>23.85</v>
      </c>
      <c r="F2638">
        <f t="shared" si="82"/>
        <v>0</v>
      </c>
      <c r="G2638">
        <f t="shared" si="83"/>
        <v>1</v>
      </c>
    </row>
    <row r="2639" spans="1:7">
      <c r="A2639" t="str">
        <f>Sinistrés!H2644</f>
        <v>Orge de printemps</v>
      </c>
      <c r="B2639">
        <f>Sinistrés!J2644</f>
        <v>7038.61</v>
      </c>
      <c r="C2639">
        <f>Sinistrés!X2644</f>
        <v>776.17</v>
      </c>
      <c r="D2639">
        <f>Sinistrés!L2644</f>
        <v>8.68</v>
      </c>
      <c r="E2639">
        <f>Sinistrés!M2644</f>
        <v>8.68</v>
      </c>
      <c r="F2639">
        <f t="shared" si="82"/>
        <v>0.11027319314466918</v>
      </c>
      <c r="G2639">
        <f t="shared" si="83"/>
        <v>1</v>
      </c>
    </row>
    <row r="2640" spans="1:7" hidden="1">
      <c r="A2640" t="str">
        <f>Sinistrés!H2645</f>
        <v>Blé tendre d'hiver</v>
      </c>
      <c r="B2640">
        <f>Sinistrés!J2645</f>
        <v>44429.04</v>
      </c>
      <c r="C2640">
        <f>Sinistrés!X2645</f>
        <v>0</v>
      </c>
      <c r="D2640">
        <f>Sinistrés!L2645</f>
        <v>46.05</v>
      </c>
      <c r="E2640">
        <f>Sinistrés!M2645</f>
        <v>46.05</v>
      </c>
      <c r="F2640">
        <f t="shared" si="82"/>
        <v>0</v>
      </c>
      <c r="G2640">
        <f t="shared" si="83"/>
        <v>1</v>
      </c>
    </row>
    <row r="2641" spans="1:7">
      <c r="A2641" t="str">
        <f>Sinistrés!H2646</f>
        <v>Lentilles</v>
      </c>
      <c r="B2641">
        <f>Sinistrés!J2646</f>
        <v>3241.2</v>
      </c>
      <c r="C2641">
        <f>Sinistrés!X2646</f>
        <v>1334.44</v>
      </c>
      <c r="D2641">
        <f>Sinistrés!L2646</f>
        <v>7.3</v>
      </c>
      <c r="E2641">
        <f>Sinistrés!M2646</f>
        <v>7.3</v>
      </c>
      <c r="F2641">
        <f t="shared" si="82"/>
        <v>0.41171171171171173</v>
      </c>
      <c r="G2641">
        <f t="shared" si="83"/>
        <v>1</v>
      </c>
    </row>
    <row r="2642" spans="1:7">
      <c r="A2642" t="str">
        <f>Sinistrés!H2647</f>
        <v>Colza d'hiver</v>
      </c>
      <c r="B2642">
        <f>Sinistrés!J2647</f>
        <v>6180.93</v>
      </c>
      <c r="C2642">
        <f>Sinistrés!X2647</f>
        <v>465.6</v>
      </c>
      <c r="D2642">
        <f>Sinistrés!L2647</f>
        <v>5.98</v>
      </c>
      <c r="E2642">
        <f>Sinistrés!M2647</f>
        <v>5.98</v>
      </c>
      <c r="F2642">
        <f t="shared" si="82"/>
        <v>7.5328469987526153E-2</v>
      </c>
      <c r="G2642">
        <f t="shared" si="83"/>
        <v>1</v>
      </c>
    </row>
    <row r="2643" spans="1:7">
      <c r="A2643" t="str">
        <f>Sinistrés!H2648</f>
        <v>Maïs grain non irrigué</v>
      </c>
      <c r="B2643">
        <f>Sinistrés!J2648</f>
        <v>10580.01</v>
      </c>
      <c r="C2643">
        <f>Sinistrés!X2648</f>
        <v>2292.0500000000002</v>
      </c>
      <c r="D2643">
        <f>Sinistrés!L2648</f>
        <v>11.62</v>
      </c>
      <c r="E2643">
        <f>Sinistrés!M2648</f>
        <v>11.62</v>
      </c>
      <c r="F2643">
        <f t="shared" si="82"/>
        <v>0.21663968181504556</v>
      </c>
      <c r="G2643">
        <f t="shared" si="83"/>
        <v>1</v>
      </c>
    </row>
    <row r="2644" spans="1:7">
      <c r="A2644" t="str">
        <f>Sinistrés!H2649</f>
        <v>Tournesol</v>
      </c>
      <c r="B2644">
        <f>Sinistrés!J2649</f>
        <v>12579.08</v>
      </c>
      <c r="C2644">
        <f>Sinistrés!X2649</f>
        <v>171.14</v>
      </c>
      <c r="D2644">
        <f>Sinistrés!L2649</f>
        <v>23.77</v>
      </c>
      <c r="E2644">
        <f>Sinistrés!M2649</f>
        <v>23.77</v>
      </c>
      <c r="F2644">
        <f t="shared" si="82"/>
        <v>1.3605128514962938E-2</v>
      </c>
      <c r="G2644">
        <f t="shared" si="83"/>
        <v>1</v>
      </c>
    </row>
    <row r="2645" spans="1:7">
      <c r="A2645" t="str">
        <f>Sinistrés!H2650</f>
        <v>Pois protéagineux</v>
      </c>
      <c r="B2645">
        <f>Sinistrés!J2650</f>
        <v>3901.08</v>
      </c>
      <c r="C2645">
        <f>Sinistrés!X2650</f>
        <v>1165.03</v>
      </c>
      <c r="D2645">
        <f>Sinistrés!L2650</f>
        <v>6.96</v>
      </c>
      <c r="E2645">
        <f>Sinistrés!M2650</f>
        <v>6.96</v>
      </c>
      <c r="F2645">
        <f t="shared" si="82"/>
        <v>0.29864293990382151</v>
      </c>
      <c r="G2645">
        <f t="shared" si="83"/>
        <v>1</v>
      </c>
    </row>
    <row r="2646" spans="1:7" hidden="1">
      <c r="A2646" t="str">
        <f>Sinistrés!H2651</f>
        <v>Blé tendre d'hiver</v>
      </c>
      <c r="B2646">
        <f>Sinistrés!J2651</f>
        <v>2892.56</v>
      </c>
      <c r="C2646">
        <f>Sinistrés!X2651</f>
        <v>0</v>
      </c>
      <c r="D2646">
        <f>Sinistrés!L2651</f>
        <v>4</v>
      </c>
      <c r="E2646">
        <f>Sinistrés!M2651</f>
        <v>4</v>
      </c>
      <c r="F2646">
        <f t="shared" si="82"/>
        <v>0</v>
      </c>
      <c r="G2646">
        <f t="shared" si="83"/>
        <v>1</v>
      </c>
    </row>
    <row r="2647" spans="1:7" hidden="1">
      <c r="A2647" t="str">
        <f>Sinistrés!H2652</f>
        <v>Orge d'hiver</v>
      </c>
      <c r="B2647">
        <f>Sinistrés!J2652</f>
        <v>1019.54</v>
      </c>
      <c r="C2647">
        <f>Sinistrés!X2652</f>
        <v>0</v>
      </c>
      <c r="D2647">
        <f>Sinistrés!L2652</f>
        <v>1.5</v>
      </c>
      <c r="E2647">
        <f>Sinistrés!M2652</f>
        <v>1.5</v>
      </c>
      <c r="F2647">
        <f t="shared" si="82"/>
        <v>0</v>
      </c>
      <c r="G2647">
        <f t="shared" si="83"/>
        <v>1</v>
      </c>
    </row>
    <row r="2648" spans="1:7" hidden="1">
      <c r="A2648" t="str">
        <f>Sinistrés!H2653</f>
        <v>Blé tendre d'hiver semences</v>
      </c>
      <c r="B2648">
        <f>Sinistrés!J2653</f>
        <v>20426.900000000001</v>
      </c>
      <c r="C2648">
        <f>Sinistrés!X2653</f>
        <v>0</v>
      </c>
      <c r="D2648">
        <f>Sinistrés!L2653</f>
        <v>16.54</v>
      </c>
      <c r="E2648">
        <f>Sinistrés!M2653</f>
        <v>16</v>
      </c>
      <c r="F2648">
        <f t="shared" si="82"/>
        <v>0</v>
      </c>
      <c r="G2648">
        <f t="shared" si="83"/>
        <v>0.96735187424425639</v>
      </c>
    </row>
    <row r="2649" spans="1:7" hidden="1">
      <c r="A2649" t="str">
        <f>Sinistrés!H2654</f>
        <v>Blé tendre d'hiver</v>
      </c>
      <c r="B2649">
        <f>Sinistrés!J2654</f>
        <v>68986.5</v>
      </c>
      <c r="C2649">
        <f>Sinistrés!X2654</f>
        <v>0</v>
      </c>
      <c r="D2649">
        <f>Sinistrés!L2654</f>
        <v>41.81</v>
      </c>
      <c r="E2649">
        <f>Sinistrés!M2654</f>
        <v>41.81</v>
      </c>
      <c r="F2649">
        <f t="shared" si="82"/>
        <v>0</v>
      </c>
      <c r="G2649">
        <f t="shared" si="83"/>
        <v>1</v>
      </c>
    </row>
    <row r="2650" spans="1:7" hidden="1">
      <c r="A2650" t="str">
        <f>Sinistrés!H2655</f>
        <v>Orge d'hiver</v>
      </c>
      <c r="B2650">
        <f>Sinistrés!J2655</f>
        <v>70170.5</v>
      </c>
      <c r="C2650">
        <f>Sinistrés!X2655</f>
        <v>0</v>
      </c>
      <c r="D2650">
        <f>Sinistrés!L2655</f>
        <v>37.840000000000003</v>
      </c>
      <c r="E2650">
        <f>Sinistrés!M2655</f>
        <v>37.840000000000003</v>
      </c>
      <c r="F2650">
        <f t="shared" si="82"/>
        <v>0</v>
      </c>
      <c r="G2650">
        <f t="shared" si="83"/>
        <v>1</v>
      </c>
    </row>
    <row r="2651" spans="1:7" hidden="1">
      <c r="A2651" t="str">
        <f>Sinistrés!H2656</f>
        <v>Orge de printemps</v>
      </c>
      <c r="B2651">
        <f>Sinistrés!J2656</f>
        <v>92084.64</v>
      </c>
      <c r="C2651">
        <f>Sinistrés!X2656</f>
        <v>0</v>
      </c>
      <c r="D2651">
        <f>Sinistrés!L2656</f>
        <v>48</v>
      </c>
      <c r="E2651">
        <f>Sinistrés!M2656</f>
        <v>48</v>
      </c>
      <c r="F2651">
        <f t="shared" si="82"/>
        <v>0</v>
      </c>
      <c r="G2651">
        <f t="shared" si="83"/>
        <v>1</v>
      </c>
    </row>
    <row r="2652" spans="1:7" hidden="1">
      <c r="A2652" t="str">
        <f>Sinistrés!H2657</f>
        <v>Pois protéagineux</v>
      </c>
      <c r="B2652">
        <f>Sinistrés!J2657</f>
        <v>11094.56</v>
      </c>
      <c r="C2652">
        <f>Sinistrés!X2657</f>
        <v>0</v>
      </c>
      <c r="D2652">
        <f>Sinistrés!L2657</f>
        <v>5.97</v>
      </c>
      <c r="E2652">
        <f>Sinistrés!M2657</f>
        <v>5.97</v>
      </c>
      <c r="F2652">
        <f t="shared" si="82"/>
        <v>0</v>
      </c>
      <c r="G2652">
        <f t="shared" si="83"/>
        <v>1</v>
      </c>
    </row>
    <row r="2653" spans="1:7">
      <c r="A2653" t="str">
        <f>Sinistrés!H2658</f>
        <v>Blé tendre d'hiver</v>
      </c>
      <c r="B2653">
        <f>Sinistrés!J2658</f>
        <v>15948</v>
      </c>
      <c r="C2653">
        <f>Sinistrés!X2658</f>
        <v>2001.47</v>
      </c>
      <c r="D2653">
        <f>Sinistrés!L2658</f>
        <v>13.29</v>
      </c>
      <c r="E2653">
        <f>Sinistrés!M2658</f>
        <v>13.29</v>
      </c>
      <c r="F2653">
        <f t="shared" si="82"/>
        <v>0.12549974918485077</v>
      </c>
      <c r="G2653">
        <f t="shared" si="83"/>
        <v>1</v>
      </c>
    </row>
    <row r="2654" spans="1:7">
      <c r="A2654" t="str">
        <f>Sinistrés!H2659</f>
        <v>Orge d'hiver</v>
      </c>
      <c r="B2654">
        <f>Sinistrés!J2659</f>
        <v>12568.54</v>
      </c>
      <c r="C2654">
        <f>Sinistrés!X2659</f>
        <v>1006.31</v>
      </c>
      <c r="D2654">
        <f>Sinistrés!L2659</f>
        <v>12.18</v>
      </c>
      <c r="E2654">
        <f>Sinistrés!M2659</f>
        <v>12.18</v>
      </c>
      <c r="F2654">
        <f t="shared" si="82"/>
        <v>8.0065783297025739E-2</v>
      </c>
      <c r="G2654">
        <f t="shared" si="83"/>
        <v>1</v>
      </c>
    </row>
    <row r="2655" spans="1:7" hidden="1">
      <c r="A2655" t="str">
        <f>Sinistrés!H2660</f>
        <v>Blé tendre d'hiver</v>
      </c>
      <c r="B2655">
        <f>Sinistrés!J2660</f>
        <v>10457.950000000001</v>
      </c>
      <c r="C2655">
        <f>Sinistrés!X2660</f>
        <v>0</v>
      </c>
      <c r="D2655">
        <f>Sinistrés!L2660</f>
        <v>10.01</v>
      </c>
      <c r="E2655">
        <f>Sinistrés!M2660</f>
        <v>10.01</v>
      </c>
      <c r="F2655">
        <f t="shared" si="82"/>
        <v>0</v>
      </c>
      <c r="G2655">
        <f t="shared" si="83"/>
        <v>1</v>
      </c>
    </row>
    <row r="2656" spans="1:7" hidden="1">
      <c r="A2656" t="str">
        <f>Sinistrés!H2661</f>
        <v>Colza d'hiver</v>
      </c>
      <c r="B2656">
        <f>Sinistrés!J2661</f>
        <v>21874.7</v>
      </c>
      <c r="C2656">
        <f>Sinistrés!X2661</f>
        <v>0</v>
      </c>
      <c r="D2656">
        <f>Sinistrés!L2661</f>
        <v>19.850000000000001</v>
      </c>
      <c r="E2656">
        <f>Sinistrés!M2661</f>
        <v>19.850000000000001</v>
      </c>
      <c r="F2656">
        <f t="shared" si="82"/>
        <v>0</v>
      </c>
      <c r="G2656">
        <f t="shared" si="83"/>
        <v>1</v>
      </c>
    </row>
    <row r="2657" spans="1:7" hidden="1">
      <c r="A2657" t="str">
        <f>Sinistrés!H2662</f>
        <v>Orge de printemps</v>
      </c>
      <c r="B2657">
        <f>Sinistrés!J2662</f>
        <v>8608.7999999999993</v>
      </c>
      <c r="C2657">
        <f>Sinistrés!X2662</f>
        <v>0</v>
      </c>
      <c r="D2657">
        <f>Sinistrés!L2662</f>
        <v>12</v>
      </c>
      <c r="E2657">
        <f>Sinistrés!M2662</f>
        <v>12</v>
      </c>
      <c r="F2657">
        <f t="shared" si="82"/>
        <v>0</v>
      </c>
      <c r="G2657">
        <f t="shared" si="83"/>
        <v>1</v>
      </c>
    </row>
    <row r="2658" spans="1:7" hidden="1">
      <c r="A2658" t="str">
        <f>Sinistrés!H2663</f>
        <v>Vigne à raisin de cuve (VCU1)</v>
      </c>
      <c r="B2658">
        <f>Sinistrés!J2663</f>
        <v>253967.42</v>
      </c>
      <c r="C2658">
        <f>Sinistrés!X2663</f>
        <v>0</v>
      </c>
      <c r="D2658">
        <f>Sinistrés!L2663</f>
        <v>7</v>
      </c>
      <c r="E2658">
        <f>Sinistrés!M2663</f>
        <v>7</v>
      </c>
      <c r="F2658">
        <f t="shared" si="82"/>
        <v>0</v>
      </c>
      <c r="G2658">
        <f t="shared" si="83"/>
        <v>1</v>
      </c>
    </row>
    <row r="2659" spans="1:7" hidden="1">
      <c r="A2659" t="str">
        <f>Sinistrés!H2664</f>
        <v>Blé tendre d'hiver</v>
      </c>
      <c r="B2659">
        <f>Sinistrés!J2664</f>
        <v>42660</v>
      </c>
      <c r="C2659">
        <f>Sinistrés!X2664</f>
        <v>0</v>
      </c>
      <c r="D2659">
        <f>Sinistrés!L2664</f>
        <v>27</v>
      </c>
      <c r="E2659">
        <f>Sinistrés!M2664</f>
        <v>27</v>
      </c>
      <c r="F2659">
        <f t="shared" si="82"/>
        <v>0</v>
      </c>
      <c r="G2659">
        <f t="shared" si="83"/>
        <v>1</v>
      </c>
    </row>
    <row r="2660" spans="1:7" hidden="1">
      <c r="A2660" t="str">
        <f>Sinistrés!H2665</f>
        <v>Orge de printemps</v>
      </c>
      <c r="B2660">
        <f>Sinistrés!J2665</f>
        <v>31350</v>
      </c>
      <c r="C2660">
        <f>Sinistrés!X2665</f>
        <v>0</v>
      </c>
      <c r="D2660">
        <f>Sinistrés!L2665</f>
        <v>19</v>
      </c>
      <c r="E2660">
        <f>Sinistrés!M2665</f>
        <v>19</v>
      </c>
      <c r="F2660">
        <f t="shared" si="82"/>
        <v>0</v>
      </c>
      <c r="G2660">
        <f t="shared" si="83"/>
        <v>1</v>
      </c>
    </row>
    <row r="2661" spans="1:7" hidden="1">
      <c r="A2661" t="str">
        <f>Sinistrés!H2666</f>
        <v>Orge d'hiver</v>
      </c>
      <c r="B2661">
        <f>Sinistrés!J2666</f>
        <v>19920</v>
      </c>
      <c r="C2661">
        <f>Sinistrés!X2666</f>
        <v>0</v>
      </c>
      <c r="D2661">
        <f>Sinistrés!L2666</f>
        <v>12</v>
      </c>
      <c r="E2661">
        <f>Sinistrés!M2666</f>
        <v>12</v>
      </c>
      <c r="F2661">
        <f t="shared" si="82"/>
        <v>0</v>
      </c>
      <c r="G2661">
        <f t="shared" si="83"/>
        <v>1</v>
      </c>
    </row>
    <row r="2662" spans="1:7" hidden="1">
      <c r="A2662" t="str">
        <f>Sinistrés!H2667</f>
        <v>Avoine d'hiver SEMENCES</v>
      </c>
      <c r="B2662">
        <f>Sinistrés!J2667</f>
        <v>11644.07</v>
      </c>
      <c r="C2662">
        <f>Sinistrés!X2667</f>
        <v>0</v>
      </c>
      <c r="D2662">
        <f>Sinistrés!L2667</f>
        <v>12.61</v>
      </c>
      <c r="E2662">
        <f>Sinistrés!M2667</f>
        <v>8.14</v>
      </c>
      <c r="F2662">
        <f t="shared" si="82"/>
        <v>0</v>
      </c>
      <c r="G2662">
        <f t="shared" si="83"/>
        <v>0.6455194290245837</v>
      </c>
    </row>
    <row r="2663" spans="1:7" hidden="1">
      <c r="A2663" t="str">
        <f>Sinistrés!H2668</f>
        <v>Colza d'hiver</v>
      </c>
      <c r="B2663">
        <f>Sinistrés!J2668</f>
        <v>35304.839999999997</v>
      </c>
      <c r="C2663">
        <f>Sinistrés!X2668</f>
        <v>0</v>
      </c>
      <c r="D2663">
        <f>Sinistrés!L2668</f>
        <v>25.29</v>
      </c>
      <c r="E2663">
        <f>Sinistrés!M2668</f>
        <v>13.76</v>
      </c>
      <c r="F2663">
        <f t="shared" si="82"/>
        <v>0</v>
      </c>
      <c r="G2663">
        <f t="shared" si="83"/>
        <v>0.54408857255832344</v>
      </c>
    </row>
    <row r="2664" spans="1:7">
      <c r="A2664" t="str">
        <f>Sinistrés!H2669</f>
        <v>Orge d'hiver</v>
      </c>
      <c r="B2664">
        <f>Sinistrés!J2669</f>
        <v>15844.01</v>
      </c>
      <c r="C2664">
        <f>Sinistrés!X2669</f>
        <v>1310.71</v>
      </c>
      <c r="D2664">
        <f>Sinistrés!L2669</f>
        <v>13.49</v>
      </c>
      <c r="E2664">
        <f>Sinistrés!M2669</f>
        <v>7.18</v>
      </c>
      <c r="F2664">
        <f t="shared" si="82"/>
        <v>8.2725900829398624E-2</v>
      </c>
      <c r="G2664">
        <f t="shared" si="83"/>
        <v>0.53224610822831719</v>
      </c>
    </row>
    <row r="2665" spans="1:7" hidden="1">
      <c r="A2665" t="str">
        <f>Sinistrés!H2670</f>
        <v>Blé tendre d'hiver</v>
      </c>
      <c r="B2665">
        <f>Sinistrés!J2670</f>
        <v>15469.6</v>
      </c>
      <c r="C2665">
        <f>Sinistrés!X2670</f>
        <v>0</v>
      </c>
      <c r="D2665">
        <f>Sinistrés!L2670</f>
        <v>15.82</v>
      </c>
      <c r="E2665">
        <f>Sinistrés!M2670</f>
        <v>15.85</v>
      </c>
      <c r="F2665">
        <f t="shared" si="82"/>
        <v>0</v>
      </c>
      <c r="G2665">
        <f t="shared" si="83"/>
        <v>1.0018963337547409</v>
      </c>
    </row>
    <row r="2666" spans="1:7" hidden="1">
      <c r="A2666" t="str">
        <f>Sinistrés!H2671</f>
        <v xml:space="preserve">Maïs waxy non irrigué </v>
      </c>
      <c r="B2666">
        <f>Sinistrés!J2671</f>
        <v>26067.09</v>
      </c>
      <c r="C2666">
        <f>Sinistrés!X2671</f>
        <v>0</v>
      </c>
      <c r="D2666">
        <f>Sinistrés!L2671</f>
        <v>25.18</v>
      </c>
      <c r="E2666">
        <f>Sinistrés!M2671</f>
        <v>25.11</v>
      </c>
      <c r="F2666">
        <f t="shared" si="82"/>
        <v>0</v>
      </c>
      <c r="G2666">
        <f t="shared" si="83"/>
        <v>0.99722001588562348</v>
      </c>
    </row>
    <row r="2667" spans="1:7" hidden="1">
      <c r="A2667" t="str">
        <f>Sinistrés!H2672</f>
        <v>Tournesol</v>
      </c>
      <c r="B2667">
        <f>Sinistrés!J2672</f>
        <v>15350.58</v>
      </c>
      <c r="C2667">
        <f>Sinistrés!X2672</f>
        <v>0</v>
      </c>
      <c r="D2667">
        <f>Sinistrés!L2672</f>
        <v>19.649999999999999</v>
      </c>
      <c r="E2667">
        <f>Sinistrés!M2672</f>
        <v>19.440000000000001</v>
      </c>
      <c r="F2667">
        <f t="shared" si="82"/>
        <v>0</v>
      </c>
      <c r="G2667">
        <f t="shared" si="83"/>
        <v>0.98931297709923682</v>
      </c>
    </row>
    <row r="2668" spans="1:7" hidden="1">
      <c r="A2668" t="str">
        <f>Sinistrés!H2673</f>
        <v>Maïs grain non irrigué</v>
      </c>
      <c r="B2668">
        <f>Sinistrés!J2673</f>
        <v>5925.15</v>
      </c>
      <c r="C2668">
        <f>Sinistrés!X2673</f>
        <v>0</v>
      </c>
      <c r="D2668">
        <f>Sinistrés!L2673</f>
        <v>6.93</v>
      </c>
      <c r="E2668">
        <f>Sinistrés!M2673</f>
        <v>6.93</v>
      </c>
      <c r="F2668">
        <f t="shared" si="82"/>
        <v>0</v>
      </c>
      <c r="G2668">
        <f t="shared" si="83"/>
        <v>1</v>
      </c>
    </row>
    <row r="2669" spans="1:7" hidden="1">
      <c r="A2669" t="str">
        <f>Sinistrés!H2674</f>
        <v>Blé tendre d'hiver</v>
      </c>
      <c r="B2669">
        <f>Sinistrés!J2674</f>
        <v>99854.22</v>
      </c>
      <c r="C2669">
        <f>Sinistrés!X2674</f>
        <v>0</v>
      </c>
      <c r="D2669">
        <f>Sinistrés!L2674</f>
        <v>83.63</v>
      </c>
      <c r="E2669">
        <f>Sinistrés!M2674</f>
        <v>83.63</v>
      </c>
      <c r="F2669">
        <f t="shared" si="82"/>
        <v>0</v>
      </c>
      <c r="G2669">
        <f t="shared" si="83"/>
        <v>1</v>
      </c>
    </row>
    <row r="2670" spans="1:7" hidden="1">
      <c r="A2670" t="str">
        <f>Sinistrés!H2675</f>
        <v>Blé de force</v>
      </c>
      <c r="B2670">
        <f>Sinistrés!J2675</f>
        <v>80630.820000000007</v>
      </c>
      <c r="C2670">
        <f>Sinistrés!X2675</f>
        <v>0</v>
      </c>
      <c r="D2670">
        <f>Sinistrés!L2675</f>
        <v>61.01</v>
      </c>
      <c r="E2670">
        <f>Sinistrés!M2675</f>
        <v>61.01</v>
      </c>
      <c r="F2670">
        <f t="shared" si="82"/>
        <v>0</v>
      </c>
      <c r="G2670">
        <f t="shared" si="83"/>
        <v>1</v>
      </c>
    </row>
    <row r="2671" spans="1:7" hidden="1">
      <c r="A2671" t="str">
        <f>Sinistrés!H2676</f>
        <v>Blé tendre d'hiver</v>
      </c>
      <c r="B2671">
        <f>Sinistrés!J2676</f>
        <v>120628.23</v>
      </c>
      <c r="C2671">
        <f>Sinistrés!X2676</f>
        <v>0</v>
      </c>
      <c r="D2671">
        <f>Sinistrés!L2676</f>
        <v>79.459999999999994</v>
      </c>
      <c r="E2671">
        <f>Sinistrés!M2676</f>
        <v>20</v>
      </c>
      <c r="F2671">
        <f t="shared" si="82"/>
        <v>0</v>
      </c>
      <c r="G2671">
        <f t="shared" si="83"/>
        <v>0.25169896803423109</v>
      </c>
    </row>
    <row r="2672" spans="1:7" hidden="1">
      <c r="A2672" t="str">
        <f>Sinistrés!H2677</f>
        <v>Maïs grain non irrigué</v>
      </c>
      <c r="B2672">
        <f>Sinistrés!J2677</f>
        <v>25471.16</v>
      </c>
      <c r="C2672">
        <f>Sinistrés!X2677</f>
        <v>0</v>
      </c>
      <c r="D2672">
        <f>Sinistrés!L2677</f>
        <v>22.28</v>
      </c>
      <c r="E2672">
        <f>Sinistrés!M2677</f>
        <v>22</v>
      </c>
      <c r="F2672">
        <f t="shared" si="82"/>
        <v>0</v>
      </c>
      <c r="G2672">
        <f t="shared" si="83"/>
        <v>0.9874326750448833</v>
      </c>
    </row>
    <row r="2673" spans="1:7" hidden="1">
      <c r="A2673" t="str">
        <f>Sinistrés!H2678</f>
        <v>Maïs ensilage non irrigué</v>
      </c>
      <c r="B2673">
        <f>Sinistrés!J2678</f>
        <v>22593.119999999999</v>
      </c>
      <c r="C2673">
        <f>Sinistrés!X2678</f>
        <v>0</v>
      </c>
      <c r="D2673">
        <f>Sinistrés!L2678</f>
        <v>17.600000000000001</v>
      </c>
      <c r="E2673">
        <f>Sinistrés!M2678</f>
        <v>17.600000000000001</v>
      </c>
      <c r="F2673">
        <f t="shared" si="82"/>
        <v>0</v>
      </c>
      <c r="G2673">
        <f t="shared" si="83"/>
        <v>1</v>
      </c>
    </row>
    <row r="2674" spans="1:7" hidden="1">
      <c r="A2674" t="str">
        <f>Sinistrés!H2679</f>
        <v>Tournesol</v>
      </c>
      <c r="B2674">
        <f>Sinistrés!J2679</f>
        <v>28454.400000000001</v>
      </c>
      <c r="C2674">
        <f>Sinistrés!X2679</f>
        <v>0</v>
      </c>
      <c r="D2674">
        <f>Sinistrés!L2679</f>
        <v>23.04</v>
      </c>
      <c r="E2674">
        <f>Sinistrés!M2679</f>
        <v>23.04</v>
      </c>
      <c r="F2674">
        <f t="shared" si="82"/>
        <v>0</v>
      </c>
      <c r="G2674">
        <f t="shared" si="83"/>
        <v>1</v>
      </c>
    </row>
    <row r="2675" spans="1:7" hidden="1">
      <c r="A2675" t="str">
        <f>Sinistrés!H2680</f>
        <v xml:space="preserve">Maïs ensilage irrigué </v>
      </c>
      <c r="B2675">
        <f>Sinistrés!J2680</f>
        <v>22176</v>
      </c>
      <c r="C2675">
        <f>Sinistrés!X2680</f>
        <v>0</v>
      </c>
      <c r="D2675">
        <f>Sinistrés!L2680</f>
        <v>15.4</v>
      </c>
      <c r="E2675">
        <f>Sinistrés!M2680</f>
        <v>15.4</v>
      </c>
      <c r="F2675">
        <f t="shared" si="82"/>
        <v>0</v>
      </c>
      <c r="G2675">
        <f t="shared" si="83"/>
        <v>1</v>
      </c>
    </row>
    <row r="2676" spans="1:7">
      <c r="A2676" t="str">
        <f>Sinistrés!H2681</f>
        <v>Blé tendre d'hiver</v>
      </c>
      <c r="B2676">
        <f>Sinistrés!J2681</f>
        <v>228267.18</v>
      </c>
      <c r="C2676">
        <f>Sinistrés!X2681</f>
        <v>21556.85</v>
      </c>
      <c r="D2676">
        <f>Sinistrés!L2681</f>
        <v>138.27000000000001</v>
      </c>
      <c r="E2676">
        <f>Sinistrés!M2681</f>
        <v>138.27000000000001</v>
      </c>
      <c r="F2676">
        <f t="shared" si="82"/>
        <v>9.4436922557154288E-2</v>
      </c>
      <c r="G2676">
        <f t="shared" si="83"/>
        <v>1</v>
      </c>
    </row>
    <row r="2677" spans="1:7">
      <c r="A2677" t="str">
        <f>Sinistrés!H2682</f>
        <v>Orge d'hiver</v>
      </c>
      <c r="B2677">
        <f>Sinistrés!J2682</f>
        <v>102456.55</v>
      </c>
      <c r="C2677">
        <f>Sinistrés!X2682</f>
        <v>8781.99</v>
      </c>
      <c r="D2677">
        <f>Sinistrés!L2682</f>
        <v>67.45</v>
      </c>
      <c r="E2677">
        <f>Sinistrés!M2682</f>
        <v>67.45</v>
      </c>
      <c r="F2677">
        <f t="shared" si="82"/>
        <v>8.5714285714285715E-2</v>
      </c>
      <c r="G2677">
        <f t="shared" si="83"/>
        <v>1</v>
      </c>
    </row>
    <row r="2678" spans="1:7">
      <c r="A2678" t="str">
        <f>Sinistrés!H2683</f>
        <v>Orge de printemps</v>
      </c>
      <c r="B2678">
        <f>Sinistrés!J2683</f>
        <v>72116.039999999994</v>
      </c>
      <c r="C2678">
        <f>Sinistrés!X2683</f>
        <v>13150.57</v>
      </c>
      <c r="D2678">
        <f>Sinistrés!L2683</f>
        <v>46.11</v>
      </c>
      <c r="E2678">
        <f>Sinistrés!M2683</f>
        <v>46.11</v>
      </c>
      <c r="F2678">
        <f t="shared" si="82"/>
        <v>0.1823529134433893</v>
      </c>
      <c r="G2678">
        <f t="shared" si="83"/>
        <v>1</v>
      </c>
    </row>
    <row r="2679" spans="1:7" hidden="1">
      <c r="A2679" t="str">
        <f>Sinistrés!H2684</f>
        <v>Triticale</v>
      </c>
      <c r="B2679">
        <f>Sinistrés!J2684</f>
        <v>5174.1000000000004</v>
      </c>
      <c r="C2679">
        <f>Sinistrés!X2684</f>
        <v>0</v>
      </c>
      <c r="D2679">
        <f>Sinistrés!L2684</f>
        <v>6.76</v>
      </c>
      <c r="E2679">
        <f>Sinistrés!M2684</f>
        <v>6.76</v>
      </c>
      <c r="F2679">
        <f t="shared" si="82"/>
        <v>0</v>
      </c>
      <c r="G2679">
        <f t="shared" si="83"/>
        <v>1</v>
      </c>
    </row>
    <row r="2680" spans="1:7" hidden="1">
      <c r="A2680" t="str">
        <f>Sinistrés!H2685</f>
        <v>Betteraves industrielles</v>
      </c>
      <c r="B2680">
        <f>Sinistrés!J2685</f>
        <v>33334.089999999997</v>
      </c>
      <c r="C2680">
        <f>Sinistrés!X2685</f>
        <v>0</v>
      </c>
      <c r="D2680">
        <f>Sinistrés!L2685</f>
        <v>15.51</v>
      </c>
      <c r="E2680">
        <f>Sinistrés!M2685</f>
        <v>15.51</v>
      </c>
      <c r="F2680">
        <f t="shared" si="82"/>
        <v>0</v>
      </c>
      <c r="G2680">
        <f t="shared" si="83"/>
        <v>1</v>
      </c>
    </row>
    <row r="2681" spans="1:7" hidden="1">
      <c r="A2681" t="str">
        <f>Sinistrés!H2686</f>
        <v>Colza d'hiver</v>
      </c>
      <c r="B2681">
        <f>Sinistrés!J2686</f>
        <v>16501.66</v>
      </c>
      <c r="C2681">
        <f>Sinistrés!X2686</f>
        <v>0</v>
      </c>
      <c r="D2681">
        <f>Sinistrés!L2686</f>
        <v>10.47</v>
      </c>
      <c r="E2681">
        <f>Sinistrés!M2686</f>
        <v>10.47</v>
      </c>
      <c r="F2681">
        <f t="shared" si="82"/>
        <v>0</v>
      </c>
      <c r="G2681">
        <f t="shared" si="83"/>
        <v>1</v>
      </c>
    </row>
    <row r="2682" spans="1:7" hidden="1">
      <c r="A2682" t="str">
        <f>Sinistrés!H2687</f>
        <v>Blé tendre d'hiver</v>
      </c>
      <c r="B2682">
        <f>Sinistrés!J2687</f>
        <v>61434.6</v>
      </c>
      <c r="C2682">
        <f>Sinistrés!X2687</f>
        <v>0</v>
      </c>
      <c r="D2682">
        <f>Sinistrés!L2687</f>
        <v>38.04</v>
      </c>
      <c r="E2682">
        <f>Sinistrés!M2687</f>
        <v>38.04</v>
      </c>
      <c r="F2682">
        <f t="shared" si="82"/>
        <v>0</v>
      </c>
      <c r="G2682">
        <f t="shared" si="83"/>
        <v>1</v>
      </c>
    </row>
    <row r="2683" spans="1:7" hidden="1">
      <c r="A2683" t="str">
        <f>Sinistrés!H2688</f>
        <v>Blé dur d'hiver</v>
      </c>
      <c r="B2683">
        <f>Sinistrés!J2688</f>
        <v>11283.75</v>
      </c>
      <c r="C2683">
        <f>Sinistrés!X2688</f>
        <v>0</v>
      </c>
      <c r="D2683">
        <f>Sinistrés!L2688</f>
        <v>7.65</v>
      </c>
      <c r="E2683">
        <f>Sinistrés!M2688</f>
        <v>7.65</v>
      </c>
      <c r="F2683">
        <f t="shared" si="82"/>
        <v>0</v>
      </c>
      <c r="G2683">
        <f t="shared" si="83"/>
        <v>1</v>
      </c>
    </row>
    <row r="2684" spans="1:7" hidden="1">
      <c r="A2684" t="str">
        <f>Sinistrés!H2689</f>
        <v>Blé tendre d'hiver</v>
      </c>
      <c r="B2684">
        <f>Sinistrés!J2689</f>
        <v>63658.080000000002</v>
      </c>
      <c r="C2684">
        <f>Sinistrés!X2689</f>
        <v>0</v>
      </c>
      <c r="D2684">
        <f>Sinistrés!L2689</f>
        <v>45.17</v>
      </c>
      <c r="E2684">
        <f>Sinistrés!M2689</f>
        <v>45.17</v>
      </c>
      <c r="F2684">
        <f t="shared" si="82"/>
        <v>0</v>
      </c>
      <c r="G2684">
        <f t="shared" si="83"/>
        <v>1</v>
      </c>
    </row>
    <row r="2685" spans="1:7" hidden="1">
      <c r="A2685" t="str">
        <f>Sinistrés!H2690</f>
        <v>Colza d'hiver</v>
      </c>
      <c r="B2685">
        <f>Sinistrés!J2690</f>
        <v>49427.360000000001</v>
      </c>
      <c r="C2685">
        <f>Sinistrés!X2690</f>
        <v>0</v>
      </c>
      <c r="D2685">
        <f>Sinistrés!L2690</f>
        <v>36.64</v>
      </c>
      <c r="E2685">
        <f>Sinistrés!M2690</f>
        <v>36.64</v>
      </c>
      <c r="F2685">
        <f t="shared" si="82"/>
        <v>0</v>
      </c>
      <c r="G2685">
        <f t="shared" si="83"/>
        <v>1</v>
      </c>
    </row>
    <row r="2686" spans="1:7">
      <c r="A2686" t="str">
        <f>Sinistrés!H2691</f>
        <v>Lin textile</v>
      </c>
      <c r="B2686">
        <f>Sinistrés!J2691</f>
        <v>33422.519999999997</v>
      </c>
      <c r="C2686">
        <f>Sinistrés!X2691</f>
        <v>281.12</v>
      </c>
      <c r="D2686">
        <f>Sinistrés!L2691</f>
        <v>16.440000000000001</v>
      </c>
      <c r="E2686">
        <f>Sinistrés!M2691</f>
        <v>16.440000000000001</v>
      </c>
      <c r="F2686">
        <f t="shared" si="82"/>
        <v>8.4110952734862618E-3</v>
      </c>
      <c r="G2686">
        <f t="shared" si="83"/>
        <v>1</v>
      </c>
    </row>
    <row r="2687" spans="1:7">
      <c r="A2687" t="str">
        <f>Sinistrés!H2692</f>
        <v>Blé tendre d'hiver</v>
      </c>
      <c r="B2687">
        <f>Sinistrés!J2692</f>
        <v>45025.2</v>
      </c>
      <c r="C2687">
        <f>Sinistrés!X2692</f>
        <v>1491.24</v>
      </c>
      <c r="D2687">
        <f>Sinistrés!L2692</f>
        <v>45.48</v>
      </c>
      <c r="E2687">
        <f>Sinistrés!M2692</f>
        <v>45.48</v>
      </c>
      <c r="F2687">
        <f t="shared" si="82"/>
        <v>3.3120119399802778E-2</v>
      </c>
      <c r="G2687">
        <f t="shared" si="83"/>
        <v>1</v>
      </c>
    </row>
    <row r="2688" spans="1:7" hidden="1">
      <c r="A2688" t="str">
        <f>Sinistrés!H2693</f>
        <v>Colza d'hiver</v>
      </c>
      <c r="B2688">
        <f>Sinistrés!J2693</f>
        <v>7263.83</v>
      </c>
      <c r="C2688">
        <f>Sinistrés!X2693</f>
        <v>0</v>
      </c>
      <c r="D2688">
        <f>Sinistrés!L2693</f>
        <v>7.47</v>
      </c>
      <c r="E2688">
        <f>Sinistrés!M2693</f>
        <v>7.47</v>
      </c>
      <c r="F2688">
        <f t="shared" si="82"/>
        <v>0</v>
      </c>
      <c r="G2688">
        <f t="shared" si="83"/>
        <v>1</v>
      </c>
    </row>
    <row r="2689" spans="1:7" hidden="1">
      <c r="A2689" t="str">
        <f>Sinistrés!H2694</f>
        <v>Tournesol</v>
      </c>
      <c r="B2689">
        <f>Sinistrés!J2694</f>
        <v>17817.87</v>
      </c>
      <c r="C2689">
        <f>Sinistrés!X2694</f>
        <v>0</v>
      </c>
      <c r="D2689">
        <f>Sinistrés!L2694</f>
        <v>19.55</v>
      </c>
      <c r="E2689">
        <f>Sinistrés!M2694</f>
        <v>19.55</v>
      </c>
      <c r="F2689">
        <f t="shared" si="82"/>
        <v>0</v>
      </c>
      <c r="G2689">
        <f t="shared" si="83"/>
        <v>1</v>
      </c>
    </row>
    <row r="2690" spans="1:7" hidden="1">
      <c r="A2690" t="str">
        <f>Sinistrés!H2695</f>
        <v>Soja BIO</v>
      </c>
      <c r="B2690">
        <f>Sinistrés!J2695</f>
        <v>37240</v>
      </c>
      <c r="C2690">
        <f>Sinistrés!X2695</f>
        <v>0</v>
      </c>
      <c r="D2690">
        <f>Sinistrés!L2695</f>
        <v>21.28</v>
      </c>
      <c r="E2690">
        <f>Sinistrés!M2695</f>
        <v>21.28</v>
      </c>
      <c r="F2690">
        <f t="shared" si="82"/>
        <v>0</v>
      </c>
      <c r="G2690">
        <f t="shared" si="83"/>
        <v>1</v>
      </c>
    </row>
    <row r="2691" spans="1:7" hidden="1">
      <c r="A2691" t="str">
        <f>Sinistrés!H2696</f>
        <v>Tournesol BIO</v>
      </c>
      <c r="B2691">
        <f>Sinistrés!J2696</f>
        <v>18042</v>
      </c>
      <c r="C2691">
        <f>Sinistrés!X2696</f>
        <v>0</v>
      </c>
      <c r="D2691">
        <f>Sinistrés!L2696</f>
        <v>24.25</v>
      </c>
      <c r="E2691">
        <f>Sinistrés!M2696</f>
        <v>24.25</v>
      </c>
      <c r="F2691">
        <f t="shared" ref="F2691:F2754" si="84">C2691/B2691</f>
        <v>0</v>
      </c>
      <c r="G2691">
        <f t="shared" ref="G2691:G2754" si="85">E2691/D2691</f>
        <v>1</v>
      </c>
    </row>
    <row r="2692" spans="1:7" hidden="1">
      <c r="A2692" t="str">
        <f>Sinistrés!H2697</f>
        <v>Blé tendre d'hiver BIO</v>
      </c>
      <c r="B2692">
        <f>Sinistrés!J2697</f>
        <v>12972</v>
      </c>
      <c r="C2692">
        <f>Sinistrés!X2697</f>
        <v>2989.2</v>
      </c>
      <c r="D2692">
        <f>Sinistrés!L2697</f>
        <v>12</v>
      </c>
      <c r="E2692">
        <f>Sinistrés!M2697</f>
        <v>12</v>
      </c>
      <c r="F2692">
        <f t="shared" si="84"/>
        <v>0.23043478260869563</v>
      </c>
      <c r="G2692">
        <f t="shared" si="85"/>
        <v>1</v>
      </c>
    </row>
    <row r="2693" spans="1:7" hidden="1">
      <c r="A2693" t="str">
        <f>Sinistrés!H2698</f>
        <v>Pois secs / Pois Chiches BIO</v>
      </c>
      <c r="B2693">
        <f>Sinistrés!J2698</f>
        <v>14868</v>
      </c>
      <c r="C2693">
        <f>Sinistrés!X2698</f>
        <v>0</v>
      </c>
      <c r="D2693">
        <f>Sinistrés!L2698</f>
        <v>8.26</v>
      </c>
      <c r="E2693">
        <f>Sinistrés!M2698</f>
        <v>8.26</v>
      </c>
      <c r="F2693">
        <f t="shared" si="84"/>
        <v>0</v>
      </c>
      <c r="G2693">
        <f t="shared" si="85"/>
        <v>1</v>
      </c>
    </row>
    <row r="2694" spans="1:7" hidden="1">
      <c r="A2694" t="str">
        <f>Sinistrés!H2699</f>
        <v>Blé tendre d'hiver</v>
      </c>
      <c r="B2694">
        <f>Sinistrés!J2699</f>
        <v>9159.81</v>
      </c>
      <c r="C2694">
        <f>Sinistrés!X2699</f>
        <v>0</v>
      </c>
      <c r="D2694">
        <f>Sinistrés!L2699</f>
        <v>6.15</v>
      </c>
      <c r="E2694">
        <f>Sinistrés!M2699</f>
        <v>6.15</v>
      </c>
      <c r="F2694">
        <f t="shared" si="84"/>
        <v>0</v>
      </c>
      <c r="G2694">
        <f t="shared" si="85"/>
        <v>1</v>
      </c>
    </row>
    <row r="2695" spans="1:7" hidden="1">
      <c r="A2695" t="str">
        <f>Sinistrés!H2700</f>
        <v>Triticale</v>
      </c>
      <c r="B2695">
        <f>Sinistrés!J2700</f>
        <v>37390.22</v>
      </c>
      <c r="C2695">
        <f>Sinistrés!X2700</f>
        <v>0</v>
      </c>
      <c r="D2695">
        <f>Sinistrés!L2700</f>
        <v>32.15</v>
      </c>
      <c r="E2695">
        <f>Sinistrés!M2700</f>
        <v>32.15</v>
      </c>
      <c r="F2695">
        <f t="shared" si="84"/>
        <v>0</v>
      </c>
      <c r="G2695">
        <f t="shared" si="85"/>
        <v>1</v>
      </c>
    </row>
    <row r="2696" spans="1:7" hidden="1">
      <c r="A2696" t="str">
        <f>Sinistrés!H2701</f>
        <v>Tournesol</v>
      </c>
      <c r="B2696">
        <f>Sinistrés!J2701</f>
        <v>18262.8</v>
      </c>
      <c r="C2696">
        <f>Sinistrés!X2701</f>
        <v>0</v>
      </c>
      <c r="D2696">
        <f>Sinistrés!L2701</f>
        <v>16.91</v>
      </c>
      <c r="E2696">
        <f>Sinistrés!M2701</f>
        <v>16.91</v>
      </c>
      <c r="F2696">
        <f t="shared" si="84"/>
        <v>0</v>
      </c>
      <c r="G2696">
        <f t="shared" si="85"/>
        <v>1</v>
      </c>
    </row>
    <row r="2697" spans="1:7" hidden="1">
      <c r="A2697" t="str">
        <f>Sinistrés!H2702</f>
        <v>Tournesol</v>
      </c>
      <c r="B2697">
        <f>Sinistrés!J2702</f>
        <v>23414.400000000001</v>
      </c>
      <c r="C2697">
        <f>Sinistrés!X2702</f>
        <v>0</v>
      </c>
      <c r="D2697">
        <f>Sinistrés!L2702</f>
        <v>21.68</v>
      </c>
      <c r="E2697">
        <f>Sinistrés!M2702</f>
        <v>21.68</v>
      </c>
      <c r="F2697">
        <f t="shared" si="84"/>
        <v>0</v>
      </c>
      <c r="G2697">
        <f t="shared" si="85"/>
        <v>1</v>
      </c>
    </row>
    <row r="2698" spans="1:7" hidden="1">
      <c r="A2698" t="str">
        <f>Sinistrés!H2703</f>
        <v>Blé de force</v>
      </c>
      <c r="B2698">
        <f>Sinistrés!J2703</f>
        <v>10914.96</v>
      </c>
      <c r="C2698">
        <f>Sinistrés!X2703</f>
        <v>0</v>
      </c>
      <c r="D2698">
        <f>Sinistrés!L2703</f>
        <v>8.76</v>
      </c>
      <c r="E2698">
        <f>Sinistrés!M2703</f>
        <v>8.76</v>
      </c>
      <c r="F2698">
        <f t="shared" si="84"/>
        <v>0</v>
      </c>
      <c r="G2698">
        <f t="shared" si="85"/>
        <v>1</v>
      </c>
    </row>
    <row r="2699" spans="1:7" hidden="1">
      <c r="A2699" t="str">
        <f>Sinistrés!H2704</f>
        <v>Blé tendre d'hiver</v>
      </c>
      <c r="B2699">
        <f>Sinistrés!J2704</f>
        <v>15946.31</v>
      </c>
      <c r="C2699">
        <f>Sinistrés!X2704</f>
        <v>0</v>
      </c>
      <c r="D2699">
        <f>Sinistrés!L2704</f>
        <v>14.22</v>
      </c>
      <c r="E2699">
        <f>Sinistrés!M2704</f>
        <v>14.22</v>
      </c>
      <c r="F2699">
        <f t="shared" si="84"/>
        <v>0</v>
      </c>
      <c r="G2699">
        <f t="shared" si="85"/>
        <v>1</v>
      </c>
    </row>
    <row r="2700" spans="1:7">
      <c r="A2700" t="str">
        <f>Sinistrés!H2705</f>
        <v>Colza de printemps</v>
      </c>
      <c r="B2700">
        <f>Sinistrés!J2705</f>
        <v>85521.15</v>
      </c>
      <c r="C2700">
        <f>Sinistrés!X2705</f>
        <v>58293.26</v>
      </c>
      <c r="D2700">
        <f>Sinistrés!L2705</f>
        <v>48.73</v>
      </c>
      <c r="E2700">
        <f>Sinistrés!M2705</f>
        <v>25</v>
      </c>
      <c r="F2700">
        <f t="shared" si="84"/>
        <v>0.68162390239139681</v>
      </c>
      <c r="G2700">
        <f t="shared" si="85"/>
        <v>0.5130309870716192</v>
      </c>
    </row>
    <row r="2701" spans="1:7" hidden="1">
      <c r="A2701" t="str">
        <f>Sinistrés!H2706</f>
        <v>Pois protéagineux</v>
      </c>
      <c r="B2701">
        <f>Sinistrés!J2706</f>
        <v>7737.13</v>
      </c>
      <c r="C2701">
        <f>Sinistrés!X2706</f>
        <v>0</v>
      </c>
      <c r="D2701">
        <f>Sinistrés!L2706</f>
        <v>9.35</v>
      </c>
      <c r="E2701">
        <f>Sinistrés!M2706</f>
        <v>9.34</v>
      </c>
      <c r="F2701">
        <f t="shared" si="84"/>
        <v>0</v>
      </c>
      <c r="G2701">
        <f t="shared" si="85"/>
        <v>0.99893048128342243</v>
      </c>
    </row>
    <row r="2702" spans="1:7" hidden="1">
      <c r="A2702" t="str">
        <f>Sinistrés!H2707</f>
        <v>Lentilles BIO</v>
      </c>
      <c r="B2702">
        <f>Sinistrés!J2707</f>
        <v>19664.64</v>
      </c>
      <c r="C2702">
        <f>Sinistrés!X2707</f>
        <v>2140.67</v>
      </c>
      <c r="D2702">
        <f>Sinistrés!L2707</f>
        <v>16</v>
      </c>
      <c r="E2702">
        <f>Sinistrés!M2707</f>
        <v>15.17</v>
      </c>
      <c r="F2702">
        <f t="shared" si="84"/>
        <v>0.10885884511488642</v>
      </c>
      <c r="G2702">
        <f t="shared" si="85"/>
        <v>0.948125</v>
      </c>
    </row>
    <row r="2703" spans="1:7" hidden="1">
      <c r="A2703" t="str">
        <f>Sinistrés!H2708</f>
        <v>Pois protéagineux BIO</v>
      </c>
      <c r="B2703">
        <f>Sinistrés!J2708</f>
        <v>120339.1</v>
      </c>
      <c r="C2703">
        <f>Sinistrés!X2708</f>
        <v>11135.35</v>
      </c>
      <c r="D2703">
        <f>Sinistrés!L2708</f>
        <v>70</v>
      </c>
      <c r="E2703">
        <f>Sinistrés!M2708</f>
        <v>62.91</v>
      </c>
      <c r="F2703">
        <f t="shared" si="84"/>
        <v>9.2533100214311062E-2</v>
      </c>
      <c r="G2703">
        <f t="shared" si="85"/>
        <v>0.89871428571428569</v>
      </c>
    </row>
    <row r="2704" spans="1:7" hidden="1">
      <c r="A2704" t="str">
        <f>Sinistrés!H2709</f>
        <v>Lentilles BIO</v>
      </c>
      <c r="B2704">
        <f>Sinistrés!J2709</f>
        <v>2867.76</v>
      </c>
      <c r="C2704">
        <f>Sinistrés!X2709</f>
        <v>0</v>
      </c>
      <c r="D2704">
        <f>Sinistrés!L2709</f>
        <v>2.52</v>
      </c>
      <c r="E2704">
        <f>Sinistrés!M2709</f>
        <v>2.52</v>
      </c>
      <c r="F2704">
        <f t="shared" si="84"/>
        <v>0</v>
      </c>
      <c r="G2704">
        <f t="shared" si="85"/>
        <v>1</v>
      </c>
    </row>
    <row r="2705" spans="1:7" hidden="1">
      <c r="A2705" t="str">
        <f>Sinistrés!H2710</f>
        <v>Lentilles BIO</v>
      </c>
      <c r="B2705">
        <f>Sinistrés!J2710</f>
        <v>26208.14</v>
      </c>
      <c r="C2705">
        <f>Sinistrés!X2710</f>
        <v>1860.86</v>
      </c>
      <c r="D2705">
        <f>Sinistrés!L2710</f>
        <v>23.03</v>
      </c>
      <c r="E2705">
        <f>Sinistrés!M2710</f>
        <v>23.03</v>
      </c>
      <c r="F2705">
        <f t="shared" si="84"/>
        <v>7.10031310882802E-2</v>
      </c>
      <c r="G2705">
        <f t="shared" si="85"/>
        <v>1</v>
      </c>
    </row>
    <row r="2706" spans="1:7" hidden="1">
      <c r="A2706" t="str">
        <f>Sinistrés!H2711</f>
        <v>Lentilles BIO</v>
      </c>
      <c r="B2706">
        <f>Sinistrés!J2711</f>
        <v>1786.66</v>
      </c>
      <c r="C2706">
        <f>Sinistrés!X2711</f>
        <v>382.35</v>
      </c>
      <c r="D2706">
        <f>Sinistrés!L2711</f>
        <v>1.57</v>
      </c>
      <c r="E2706">
        <f>Sinistrés!M2711</f>
        <v>1.57</v>
      </c>
      <c r="F2706">
        <f t="shared" si="84"/>
        <v>0.21400266418904548</v>
      </c>
      <c r="G2706">
        <f t="shared" si="85"/>
        <v>1</v>
      </c>
    </row>
    <row r="2707" spans="1:7" hidden="1">
      <c r="A2707" t="str">
        <f>Sinistrés!H2712</f>
        <v>Maïs grain non irrigué</v>
      </c>
      <c r="B2707">
        <f>Sinistrés!J2712</f>
        <v>15710.92</v>
      </c>
      <c r="C2707">
        <f>Sinistrés!X2712</f>
        <v>0</v>
      </c>
      <c r="D2707">
        <f>Sinistrés!L2712</f>
        <v>15.02</v>
      </c>
      <c r="E2707">
        <f>Sinistrés!M2712</f>
        <v>15.02</v>
      </c>
      <c r="F2707">
        <f t="shared" si="84"/>
        <v>0</v>
      </c>
      <c r="G2707">
        <f t="shared" si="85"/>
        <v>1</v>
      </c>
    </row>
    <row r="2708" spans="1:7" hidden="1">
      <c r="A2708" t="str">
        <f>Sinistrés!H2713</f>
        <v>Tournesol</v>
      </c>
      <c r="B2708">
        <f>Sinistrés!J2713</f>
        <v>14634.9</v>
      </c>
      <c r="C2708">
        <f>Sinistrés!X2713</f>
        <v>0</v>
      </c>
      <c r="D2708">
        <f>Sinistrés!L2713</f>
        <v>14.14</v>
      </c>
      <c r="E2708">
        <f>Sinistrés!M2713</f>
        <v>14.14</v>
      </c>
      <c r="F2708">
        <f t="shared" si="84"/>
        <v>0</v>
      </c>
      <c r="G2708">
        <f t="shared" si="85"/>
        <v>1</v>
      </c>
    </row>
    <row r="2709" spans="1:7" hidden="1">
      <c r="A2709" t="str">
        <f>Sinistrés!H2714</f>
        <v>Colza d'hiver</v>
      </c>
      <c r="B2709">
        <f>Sinistrés!J2714</f>
        <v>12647.25</v>
      </c>
      <c r="C2709">
        <f>Sinistrés!X2714</f>
        <v>0</v>
      </c>
      <c r="D2709">
        <f>Sinistrés!L2714</f>
        <v>10.95</v>
      </c>
      <c r="E2709">
        <f>Sinistrés!M2714</f>
        <v>10.95</v>
      </c>
      <c r="F2709">
        <f t="shared" si="84"/>
        <v>0</v>
      </c>
      <c r="G2709">
        <f t="shared" si="85"/>
        <v>1</v>
      </c>
    </row>
    <row r="2710" spans="1:7">
      <c r="A2710" t="str">
        <f>Sinistrés!H2715</f>
        <v>Maïs grain non irrigué</v>
      </c>
      <c r="B2710">
        <f>Sinistrés!J2715</f>
        <v>42640.800000000003</v>
      </c>
      <c r="C2710">
        <f>Sinistrés!X2715</f>
        <v>1765.8</v>
      </c>
      <c r="D2710">
        <f>Sinistrés!L2715</f>
        <v>21.8</v>
      </c>
      <c r="E2710">
        <f>Sinistrés!M2715</f>
        <v>21.8</v>
      </c>
      <c r="F2710">
        <f t="shared" si="84"/>
        <v>4.1411042944785273E-2</v>
      </c>
      <c r="G2710">
        <f t="shared" si="85"/>
        <v>1</v>
      </c>
    </row>
    <row r="2711" spans="1:7" hidden="1">
      <c r="A2711" t="str">
        <f>Sinistrés!H2716</f>
        <v>Soja</v>
      </c>
      <c r="B2711">
        <f>Sinistrés!J2716</f>
        <v>3231.92</v>
      </c>
      <c r="C2711">
        <f>Sinistrés!X2716</f>
        <v>0</v>
      </c>
      <c r="D2711">
        <f>Sinistrés!L2716</f>
        <v>3.58</v>
      </c>
      <c r="E2711">
        <f>Sinistrés!M2716</f>
        <v>3.58</v>
      </c>
      <c r="F2711">
        <f t="shared" si="84"/>
        <v>0</v>
      </c>
      <c r="G2711">
        <f t="shared" si="85"/>
        <v>1</v>
      </c>
    </row>
    <row r="2712" spans="1:7">
      <c r="A2712" t="str">
        <f>Sinistrés!H2717</f>
        <v>Blé tendre d'hiver</v>
      </c>
      <c r="B2712">
        <f>Sinistrés!J2717</f>
        <v>62149.59</v>
      </c>
      <c r="C2712">
        <f>Sinistrés!X2717</f>
        <v>13074.39</v>
      </c>
      <c r="D2712">
        <f>Sinistrés!L2717</f>
        <v>53.86</v>
      </c>
      <c r="E2712">
        <f>Sinistrés!M2717</f>
        <v>53.86</v>
      </c>
      <c r="F2712">
        <f t="shared" si="84"/>
        <v>0.21036969029079677</v>
      </c>
      <c r="G2712">
        <f t="shared" si="85"/>
        <v>1</v>
      </c>
    </row>
    <row r="2713" spans="1:7">
      <c r="A2713" t="str">
        <f>Sinistrés!H2718</f>
        <v>Maïs grain irrigué</v>
      </c>
      <c r="B2713">
        <f>Sinistrés!J2718</f>
        <v>75200.94</v>
      </c>
      <c r="C2713">
        <f>Sinistrés!X2718</f>
        <v>4162.92</v>
      </c>
      <c r="D2713">
        <f>Sinistrés!L2718</f>
        <v>29.63</v>
      </c>
      <c r="E2713">
        <f>Sinistrés!M2718</f>
        <v>29.63</v>
      </c>
      <c r="F2713">
        <f t="shared" si="84"/>
        <v>5.5357286757319789E-2</v>
      </c>
      <c r="G2713">
        <f t="shared" si="85"/>
        <v>1</v>
      </c>
    </row>
    <row r="2714" spans="1:7">
      <c r="A2714" t="str">
        <f>Sinistrés!H2719</f>
        <v>Colza d'hiver</v>
      </c>
      <c r="B2714">
        <f>Sinistrés!J2719</f>
        <v>30092.58</v>
      </c>
      <c r="C2714">
        <f>Sinistrés!X2719</f>
        <v>18330.48</v>
      </c>
      <c r="D2714">
        <f>Sinistrés!L2719</f>
        <v>25.14</v>
      </c>
      <c r="E2714">
        <f>Sinistrés!M2719</f>
        <v>25.14</v>
      </c>
      <c r="F2714">
        <f t="shared" si="84"/>
        <v>0.60913620566930449</v>
      </c>
      <c r="G2714">
        <f t="shared" si="85"/>
        <v>1</v>
      </c>
    </row>
    <row r="2715" spans="1:7" hidden="1">
      <c r="A2715" t="str">
        <f>Sinistrés!H2720</f>
        <v>Blé tendre d'hiver BIO</v>
      </c>
      <c r="B2715">
        <f>Sinistrés!J2720</f>
        <v>32130</v>
      </c>
      <c r="C2715">
        <f>Sinistrés!X2720</f>
        <v>0</v>
      </c>
      <c r="D2715">
        <f>Sinistrés!L2720</f>
        <v>22.95</v>
      </c>
      <c r="E2715">
        <f>Sinistrés!M2720</f>
        <v>22.95</v>
      </c>
      <c r="F2715">
        <f t="shared" si="84"/>
        <v>0</v>
      </c>
      <c r="G2715">
        <f t="shared" si="85"/>
        <v>1</v>
      </c>
    </row>
    <row r="2716" spans="1:7">
      <c r="A2716" t="str">
        <f>Sinistrés!H2721</f>
        <v>Colza d'hiver</v>
      </c>
      <c r="B2716">
        <f>Sinistrés!J2721</f>
        <v>30000</v>
      </c>
      <c r="C2716">
        <f>Sinistrés!X2721</f>
        <v>2190</v>
      </c>
      <c r="D2716">
        <f>Sinistrés!L2721</f>
        <v>20</v>
      </c>
      <c r="E2716">
        <f>Sinistrés!M2721</f>
        <v>9</v>
      </c>
      <c r="F2716">
        <f t="shared" si="84"/>
        <v>7.2999999999999995E-2</v>
      </c>
      <c r="G2716">
        <f t="shared" si="85"/>
        <v>0.45</v>
      </c>
    </row>
    <row r="2717" spans="1:7" hidden="1">
      <c r="A2717" t="str">
        <f>Sinistrés!H2722</f>
        <v>Blé tendre d'hiver</v>
      </c>
      <c r="B2717">
        <f>Sinistrés!J2722</f>
        <v>20629.830000000002</v>
      </c>
      <c r="C2717">
        <f>Sinistrés!X2722</f>
        <v>0</v>
      </c>
      <c r="D2717">
        <f>Sinistrés!L2722</f>
        <v>23.11</v>
      </c>
      <c r="E2717">
        <f>Sinistrés!M2722</f>
        <v>23.11</v>
      </c>
      <c r="F2717">
        <f t="shared" si="84"/>
        <v>0</v>
      </c>
      <c r="G2717">
        <f t="shared" si="85"/>
        <v>1</v>
      </c>
    </row>
    <row r="2718" spans="1:7" hidden="1">
      <c r="A2718" t="str">
        <f>Sinistrés!H2723</f>
        <v>Colza d'hiver</v>
      </c>
      <c r="B2718">
        <f>Sinistrés!J2723</f>
        <v>21147.16</v>
      </c>
      <c r="C2718">
        <f>Sinistrés!X2723</f>
        <v>0</v>
      </c>
      <c r="D2718">
        <f>Sinistrés!L2723</f>
        <v>18.18</v>
      </c>
      <c r="E2718">
        <f>Sinistrés!M2723</f>
        <v>18.18</v>
      </c>
      <c r="F2718">
        <f t="shared" si="84"/>
        <v>0</v>
      </c>
      <c r="G2718">
        <f t="shared" si="85"/>
        <v>1</v>
      </c>
    </row>
    <row r="2719" spans="1:7">
      <c r="A2719" t="str">
        <f>Sinistrés!H2724</f>
        <v>Maïs grain non irrigué</v>
      </c>
      <c r="B2719">
        <f>Sinistrés!J2724</f>
        <v>25677.15</v>
      </c>
      <c r="C2719">
        <f>Sinistrés!X2724</f>
        <v>9190.67</v>
      </c>
      <c r="D2719">
        <f>Sinistrés!L2724</f>
        <v>22.59</v>
      </c>
      <c r="E2719">
        <f>Sinistrés!M2724</f>
        <v>22.59</v>
      </c>
      <c r="F2719">
        <f t="shared" si="84"/>
        <v>0.35793185770227615</v>
      </c>
      <c r="G2719">
        <f t="shared" si="85"/>
        <v>1</v>
      </c>
    </row>
    <row r="2720" spans="1:7">
      <c r="A2720" t="str">
        <f>Sinistrés!H2725</f>
        <v>Tournesol</v>
      </c>
      <c r="B2720">
        <f>Sinistrés!J2725</f>
        <v>23682.03</v>
      </c>
      <c r="C2720">
        <f>Sinistrés!X2725</f>
        <v>3083.7</v>
      </c>
      <c r="D2720">
        <f>Sinistrés!L2725</f>
        <v>21.86</v>
      </c>
      <c r="E2720">
        <f>Sinistrés!M2725</f>
        <v>21.86</v>
      </c>
      <c r="F2720">
        <f t="shared" si="84"/>
        <v>0.1302126549117622</v>
      </c>
      <c r="G2720">
        <f t="shared" si="85"/>
        <v>1</v>
      </c>
    </row>
    <row r="2721" spans="1:7" hidden="1">
      <c r="A2721" t="str">
        <f>Sinistrés!H2726</f>
        <v>Triticale</v>
      </c>
      <c r="B2721">
        <f>Sinistrés!J2726</f>
        <v>5053.2</v>
      </c>
      <c r="C2721">
        <f>Sinistrés!X2726</f>
        <v>0</v>
      </c>
      <c r="D2721">
        <f>Sinistrés!L2726</f>
        <v>7.19</v>
      </c>
      <c r="E2721">
        <f>Sinistrés!M2726</f>
        <v>7.19</v>
      </c>
      <c r="F2721">
        <f t="shared" si="84"/>
        <v>0</v>
      </c>
      <c r="G2721">
        <f t="shared" si="85"/>
        <v>1</v>
      </c>
    </row>
    <row r="2722" spans="1:7" hidden="1">
      <c r="A2722" t="str">
        <f>Sinistrés!H2727</f>
        <v>Pommes de terre PLANTS</v>
      </c>
      <c r="B2722">
        <f>Sinistrés!J2727</f>
        <v>145688.57999999999</v>
      </c>
      <c r="C2722">
        <f>Sinistrés!X2727</f>
        <v>0</v>
      </c>
      <c r="D2722">
        <f>Sinistrés!L2727</f>
        <v>18.559999999999999</v>
      </c>
      <c r="E2722">
        <f>Sinistrés!M2727</f>
        <v>18.559999999999999</v>
      </c>
      <c r="F2722">
        <f t="shared" si="84"/>
        <v>0</v>
      </c>
      <c r="G2722">
        <f t="shared" si="85"/>
        <v>1</v>
      </c>
    </row>
    <row r="2723" spans="1:7" hidden="1">
      <c r="A2723" t="str">
        <f>Sinistrés!H2728</f>
        <v xml:space="preserve">Pommes de terre </v>
      </c>
      <c r="B2723">
        <f>Sinistrés!J2728</f>
        <v>47866.25</v>
      </c>
      <c r="C2723">
        <f>Sinistrés!X2728</f>
        <v>0</v>
      </c>
      <c r="D2723">
        <f>Sinistrés!L2728</f>
        <v>7.45</v>
      </c>
      <c r="E2723">
        <f>Sinistrés!M2728</f>
        <v>7.45</v>
      </c>
      <c r="F2723">
        <f t="shared" si="84"/>
        <v>0</v>
      </c>
      <c r="G2723">
        <f t="shared" si="85"/>
        <v>1</v>
      </c>
    </row>
    <row r="2724" spans="1:7" hidden="1">
      <c r="A2724" t="str">
        <f>Sinistrés!H2729</f>
        <v>Pommes de terre de féculerie</v>
      </c>
      <c r="B2724">
        <f>Sinistrés!J2729</f>
        <v>101613.6</v>
      </c>
      <c r="C2724">
        <f>Sinistrés!X2729</f>
        <v>0</v>
      </c>
      <c r="D2724">
        <f>Sinistrés!L2729</f>
        <v>15.84</v>
      </c>
      <c r="E2724">
        <f>Sinistrés!M2729</f>
        <v>15.84</v>
      </c>
      <c r="F2724">
        <f t="shared" si="84"/>
        <v>0</v>
      </c>
      <c r="G2724">
        <f t="shared" si="85"/>
        <v>1</v>
      </c>
    </row>
    <row r="2725" spans="1:7" hidden="1">
      <c r="A2725" t="str">
        <f>Sinistrés!H2730</f>
        <v>Blé tendre d'hiver</v>
      </c>
      <c r="B2725">
        <f>Sinistrés!J2730</f>
        <v>184473.43</v>
      </c>
      <c r="C2725">
        <f>Sinistrés!X2730</f>
        <v>0</v>
      </c>
      <c r="D2725">
        <f>Sinistrés!L2730</f>
        <v>88.92</v>
      </c>
      <c r="E2725">
        <f>Sinistrés!M2730</f>
        <v>88.92</v>
      </c>
      <c r="F2725">
        <f t="shared" si="84"/>
        <v>0</v>
      </c>
      <c r="G2725">
        <f t="shared" si="85"/>
        <v>1</v>
      </c>
    </row>
    <row r="2726" spans="1:7" hidden="1">
      <c r="A2726" t="str">
        <f>Sinistrés!H2731</f>
        <v>Colza d'hiver</v>
      </c>
      <c r="B2726">
        <f>Sinistrés!J2731</f>
        <v>55584.9</v>
      </c>
      <c r="C2726">
        <f>Sinistrés!X2731</f>
        <v>0</v>
      </c>
      <c r="D2726">
        <f>Sinistrés!L2731</f>
        <v>29.41</v>
      </c>
      <c r="E2726">
        <f>Sinistrés!M2731</f>
        <v>29.41</v>
      </c>
      <c r="F2726">
        <f t="shared" si="84"/>
        <v>0</v>
      </c>
      <c r="G2726">
        <f t="shared" si="85"/>
        <v>1</v>
      </c>
    </row>
    <row r="2727" spans="1:7" hidden="1">
      <c r="A2727" t="str">
        <f>Sinistrés!H2732</f>
        <v>Blé dur d'hiver</v>
      </c>
      <c r="B2727">
        <f>Sinistrés!J2732</f>
        <v>20957.79</v>
      </c>
      <c r="C2727">
        <f>Sinistrés!X2732</f>
        <v>0</v>
      </c>
      <c r="D2727">
        <f>Sinistrés!L2732</f>
        <v>16.510000000000002</v>
      </c>
      <c r="E2727">
        <f>Sinistrés!M2732</f>
        <v>16.510000000000002</v>
      </c>
      <c r="F2727">
        <f t="shared" si="84"/>
        <v>0</v>
      </c>
      <c r="G2727">
        <f t="shared" si="85"/>
        <v>1</v>
      </c>
    </row>
    <row r="2728" spans="1:7">
      <c r="A2728" t="str">
        <f>Sinistrés!H2733</f>
        <v>Lin textile</v>
      </c>
      <c r="B2728">
        <f>Sinistrés!J2733</f>
        <v>62942.879999999997</v>
      </c>
      <c r="C2728">
        <f>Sinistrés!X2733</f>
        <v>6818.81</v>
      </c>
      <c r="D2728">
        <f>Sinistrés!L2733</f>
        <v>34.06</v>
      </c>
      <c r="E2728">
        <f>Sinistrés!M2733</f>
        <v>34.06</v>
      </c>
      <c r="F2728">
        <f t="shared" si="84"/>
        <v>0.10833330155849241</v>
      </c>
      <c r="G2728">
        <f t="shared" si="85"/>
        <v>1</v>
      </c>
    </row>
    <row r="2729" spans="1:7" hidden="1">
      <c r="A2729" t="str">
        <f>Sinistrés!H2734</f>
        <v>Betteraves industrielles</v>
      </c>
      <c r="B2729">
        <f>Sinistrés!J2734</f>
        <v>111969</v>
      </c>
      <c r="C2729">
        <f>Sinistrés!X2734</f>
        <v>0</v>
      </c>
      <c r="D2729">
        <f>Sinistrés!L2734</f>
        <v>45.24</v>
      </c>
      <c r="E2729">
        <f>Sinistrés!M2734</f>
        <v>45.24</v>
      </c>
      <c r="F2729">
        <f t="shared" si="84"/>
        <v>0</v>
      </c>
      <c r="G2729">
        <f t="shared" si="85"/>
        <v>1</v>
      </c>
    </row>
    <row r="2730" spans="1:7" hidden="1">
      <c r="A2730" t="str">
        <f>Sinistrés!H2735</f>
        <v xml:space="preserve">Maïs waxy non irrigué </v>
      </c>
      <c r="B2730">
        <f>Sinistrés!J2735</f>
        <v>61529.599999999999</v>
      </c>
      <c r="C2730">
        <f>Sinistrés!X2735</f>
        <v>0</v>
      </c>
      <c r="D2730">
        <f>Sinistrés!L2735</f>
        <v>32</v>
      </c>
      <c r="E2730">
        <f>Sinistrés!M2735</f>
        <v>32</v>
      </c>
      <c r="F2730">
        <f t="shared" si="84"/>
        <v>0</v>
      </c>
      <c r="G2730">
        <f t="shared" si="85"/>
        <v>1</v>
      </c>
    </row>
    <row r="2731" spans="1:7" hidden="1">
      <c r="A2731" t="str">
        <f>Sinistrés!H2736</f>
        <v xml:space="preserve">Soja </v>
      </c>
      <c r="B2731">
        <f>Sinistrés!J2736</f>
        <v>18298.8</v>
      </c>
      <c r="C2731">
        <f>Sinistrés!X2736</f>
        <v>0</v>
      </c>
      <c r="D2731">
        <f>Sinistrés!L2736</f>
        <v>13</v>
      </c>
      <c r="E2731">
        <f>Sinistrés!M2736</f>
        <v>13</v>
      </c>
      <c r="F2731">
        <f t="shared" si="84"/>
        <v>0</v>
      </c>
      <c r="G2731">
        <f t="shared" si="85"/>
        <v>1</v>
      </c>
    </row>
    <row r="2732" spans="1:7" hidden="1">
      <c r="A2732" t="str">
        <f>Sinistrés!H2737</f>
        <v xml:space="preserve">Maïs waxy irrigué </v>
      </c>
      <c r="B2732">
        <f>Sinistrés!J2737</f>
        <v>50452.6</v>
      </c>
      <c r="C2732">
        <f>Sinistrés!X2737</f>
        <v>0</v>
      </c>
      <c r="D2732">
        <f>Sinistrés!L2737</f>
        <v>20</v>
      </c>
      <c r="E2732">
        <f>Sinistrés!M2737</f>
        <v>20</v>
      </c>
      <c r="F2732">
        <f t="shared" si="84"/>
        <v>0</v>
      </c>
      <c r="G2732">
        <f t="shared" si="85"/>
        <v>1</v>
      </c>
    </row>
    <row r="2733" spans="1:7" hidden="1">
      <c r="A2733" t="str">
        <f>Sinistrés!H2738</f>
        <v>Blé tendre d'hiver</v>
      </c>
      <c r="B2733">
        <f>Sinistrés!J2738</f>
        <v>8873.5400000000009</v>
      </c>
      <c r="C2733">
        <f>Sinistrés!X2738</f>
        <v>0</v>
      </c>
      <c r="D2733">
        <f>Sinistrés!L2738</f>
        <v>5.8</v>
      </c>
      <c r="E2733">
        <f>Sinistrés!M2738</f>
        <v>5.8</v>
      </c>
      <c r="F2733">
        <f t="shared" si="84"/>
        <v>0</v>
      </c>
      <c r="G2733">
        <f t="shared" si="85"/>
        <v>1</v>
      </c>
    </row>
    <row r="2734" spans="1:7">
      <c r="A2734" t="str">
        <f>Sinistrés!H2739</f>
        <v>Blé tendre d'hiver</v>
      </c>
      <c r="B2734">
        <f>Sinistrés!J2739</f>
        <v>7846.66</v>
      </c>
      <c r="C2734">
        <f>Sinistrés!X2739</f>
        <v>1133.9100000000001</v>
      </c>
      <c r="D2734">
        <f>Sinistrés!L2739</f>
        <v>8.16</v>
      </c>
      <c r="E2734">
        <f>Sinistrés!M2739</f>
        <v>8.16</v>
      </c>
      <c r="F2734">
        <f t="shared" si="84"/>
        <v>0.14450861895379691</v>
      </c>
      <c r="G2734">
        <f t="shared" si="85"/>
        <v>1</v>
      </c>
    </row>
    <row r="2735" spans="1:7">
      <c r="A2735" t="str">
        <f>Sinistrés!H2740</f>
        <v>Blé de force</v>
      </c>
      <c r="B2735">
        <f>Sinistrés!J2740</f>
        <v>14996</v>
      </c>
      <c r="C2735">
        <f>Sinistrés!X2740</f>
        <v>123.88</v>
      </c>
      <c r="D2735">
        <f>Sinistrés!L2740</f>
        <v>13.04</v>
      </c>
      <c r="E2735">
        <f>Sinistrés!M2740</f>
        <v>13.04</v>
      </c>
      <c r="F2735">
        <f t="shared" si="84"/>
        <v>8.2608695652173908E-3</v>
      </c>
      <c r="G2735">
        <f t="shared" si="85"/>
        <v>1</v>
      </c>
    </row>
    <row r="2736" spans="1:7" hidden="1">
      <c r="A2736" t="str">
        <f>Sinistrés!H2741</f>
        <v>Orge d'hiver</v>
      </c>
      <c r="B2736">
        <f>Sinistrés!J2741</f>
        <v>11303.57</v>
      </c>
      <c r="C2736">
        <f>Sinistrés!X2741</f>
        <v>0</v>
      </c>
      <c r="D2736">
        <f>Sinistrés!L2741</f>
        <v>11.83</v>
      </c>
      <c r="E2736">
        <f>Sinistrés!M2741</f>
        <v>11.83</v>
      </c>
      <c r="F2736">
        <f t="shared" si="84"/>
        <v>0</v>
      </c>
      <c r="G2736">
        <f t="shared" si="85"/>
        <v>1</v>
      </c>
    </row>
    <row r="2737" spans="1:7" hidden="1">
      <c r="A2737" t="str">
        <f>Sinistrés!H2742</f>
        <v>Soja</v>
      </c>
      <c r="B2737">
        <f>Sinistrés!J2742</f>
        <v>8842.08</v>
      </c>
      <c r="C2737">
        <f>Sinistrés!X2742</f>
        <v>0</v>
      </c>
      <c r="D2737">
        <f>Sinistrés!L2742</f>
        <v>10.14</v>
      </c>
      <c r="E2737">
        <f>Sinistrés!M2742</f>
        <v>10.14</v>
      </c>
      <c r="F2737">
        <f t="shared" si="84"/>
        <v>0</v>
      </c>
      <c r="G2737">
        <f t="shared" si="85"/>
        <v>1</v>
      </c>
    </row>
    <row r="2738" spans="1:7" hidden="1">
      <c r="A2738" t="str">
        <f>Sinistrés!H2743</f>
        <v>Blé dur d'hiver</v>
      </c>
      <c r="B2738">
        <f>Sinistrés!J2743</f>
        <v>26608.55</v>
      </c>
      <c r="C2738">
        <f>Sinistrés!X2743</f>
        <v>0</v>
      </c>
      <c r="D2738">
        <f>Sinistrés!L2743</f>
        <v>19.57</v>
      </c>
      <c r="E2738">
        <f>Sinistrés!M2743</f>
        <v>19.57</v>
      </c>
      <c r="F2738">
        <f t="shared" si="84"/>
        <v>0</v>
      </c>
      <c r="G2738">
        <f t="shared" si="85"/>
        <v>1</v>
      </c>
    </row>
    <row r="2739" spans="1:7" hidden="1">
      <c r="A2739" t="str">
        <f>Sinistrés!H2744</f>
        <v>Tournesol BIO</v>
      </c>
      <c r="B2739">
        <f>Sinistrés!J2744</f>
        <v>36160.019999999997</v>
      </c>
      <c r="C2739">
        <f>Sinistrés!X2744</f>
        <v>0</v>
      </c>
      <c r="D2739">
        <f>Sinistrés!L2744</f>
        <v>26.26</v>
      </c>
      <c r="E2739">
        <f>Sinistrés!M2744</f>
        <v>26.26</v>
      </c>
      <c r="F2739">
        <f t="shared" si="84"/>
        <v>0</v>
      </c>
      <c r="G2739">
        <f t="shared" si="85"/>
        <v>1</v>
      </c>
    </row>
    <row r="2740" spans="1:7" hidden="1">
      <c r="A2740" t="str">
        <f>Sinistrés!H2745</f>
        <v>Blé tendre d'hiver</v>
      </c>
      <c r="B2740">
        <f>Sinistrés!J2745</f>
        <v>15291.33</v>
      </c>
      <c r="C2740">
        <f>Sinistrés!X2745</f>
        <v>0</v>
      </c>
      <c r="D2740">
        <f>Sinistrés!L2745</f>
        <v>13.59</v>
      </c>
      <c r="E2740">
        <f>Sinistrés!M2745</f>
        <v>13.59</v>
      </c>
      <c r="F2740">
        <f t="shared" si="84"/>
        <v>0</v>
      </c>
      <c r="G2740">
        <f t="shared" si="85"/>
        <v>1</v>
      </c>
    </row>
    <row r="2741" spans="1:7" hidden="1">
      <c r="A2741" t="str">
        <f>Sinistrés!H2746</f>
        <v>Lentilles BIO</v>
      </c>
      <c r="B2741">
        <f>Sinistrés!J2746</f>
        <v>26392.5</v>
      </c>
      <c r="C2741">
        <f>Sinistrés!X2746</f>
        <v>0</v>
      </c>
      <c r="D2741">
        <f>Sinistrés!L2746</f>
        <v>19.55</v>
      </c>
      <c r="E2741">
        <f>Sinistrés!M2746</f>
        <v>19.55</v>
      </c>
      <c r="F2741">
        <f t="shared" si="84"/>
        <v>0</v>
      </c>
      <c r="G2741">
        <f t="shared" si="85"/>
        <v>1</v>
      </c>
    </row>
    <row r="2742" spans="1:7" hidden="1">
      <c r="A2742" t="str">
        <f>Sinistrés!H2747</f>
        <v>Pois secs / Pois Chiches</v>
      </c>
      <c r="B2742">
        <f>Sinistrés!J2747</f>
        <v>39468.83</v>
      </c>
      <c r="C2742">
        <f>Sinistrés!X2747</f>
        <v>0</v>
      </c>
      <c r="D2742">
        <f>Sinistrés!L2747</f>
        <v>21.55</v>
      </c>
      <c r="E2742">
        <f>Sinistrés!M2747</f>
        <v>21.55</v>
      </c>
      <c r="F2742">
        <f t="shared" si="84"/>
        <v>0</v>
      </c>
      <c r="G2742">
        <f t="shared" si="85"/>
        <v>1</v>
      </c>
    </row>
    <row r="2743" spans="1:7" hidden="1">
      <c r="A2743" t="str">
        <f>Sinistrés!H2748</f>
        <v>Maïs ensilage non irrigué</v>
      </c>
      <c r="B2743">
        <f>Sinistrés!J2748</f>
        <v>9803.64</v>
      </c>
      <c r="C2743">
        <f>Sinistrés!X2748</f>
        <v>0</v>
      </c>
      <c r="D2743">
        <f>Sinistrés!L2748</f>
        <v>10.61</v>
      </c>
      <c r="E2743">
        <f>Sinistrés!M2748</f>
        <v>10.61</v>
      </c>
      <c r="F2743">
        <f t="shared" si="84"/>
        <v>0</v>
      </c>
      <c r="G2743">
        <f t="shared" si="85"/>
        <v>1</v>
      </c>
    </row>
    <row r="2744" spans="1:7" hidden="1">
      <c r="A2744" t="str">
        <f>Sinistrés!H2749</f>
        <v>Maïs grain irrigué</v>
      </c>
      <c r="B2744">
        <f>Sinistrés!J2749</f>
        <v>16310</v>
      </c>
      <c r="C2744">
        <f>Sinistrés!X2749</f>
        <v>0</v>
      </c>
      <c r="D2744">
        <f>Sinistrés!L2749</f>
        <v>11.65</v>
      </c>
      <c r="E2744">
        <f>Sinistrés!M2749</f>
        <v>11.65</v>
      </c>
      <c r="F2744">
        <f t="shared" si="84"/>
        <v>0</v>
      </c>
      <c r="G2744">
        <f t="shared" si="85"/>
        <v>1</v>
      </c>
    </row>
    <row r="2745" spans="1:7" hidden="1">
      <c r="A2745" t="str">
        <f>Sinistrés!H2750</f>
        <v>Tournesol</v>
      </c>
      <c r="B2745">
        <f>Sinistrés!J2750</f>
        <v>5704.41</v>
      </c>
      <c r="C2745">
        <f>Sinistrés!X2750</f>
        <v>0</v>
      </c>
      <c r="D2745">
        <f>Sinistrés!L2750</f>
        <v>5.38</v>
      </c>
      <c r="E2745">
        <f>Sinistrés!M2750</f>
        <v>5.38</v>
      </c>
      <c r="F2745">
        <f t="shared" si="84"/>
        <v>0</v>
      </c>
      <c r="G2745">
        <f t="shared" si="85"/>
        <v>1</v>
      </c>
    </row>
    <row r="2746" spans="1:7" hidden="1">
      <c r="A2746" t="str">
        <f>Sinistrés!H2751</f>
        <v>Blé tendre d'hiver</v>
      </c>
      <c r="B2746">
        <f>Sinistrés!J2751</f>
        <v>15921</v>
      </c>
      <c r="C2746">
        <f>Sinistrés!X2751</f>
        <v>0</v>
      </c>
      <c r="D2746">
        <f>Sinistrés!L2751</f>
        <v>17.690000000000001</v>
      </c>
      <c r="E2746">
        <f>Sinistrés!M2751</f>
        <v>17.690000000000001</v>
      </c>
      <c r="F2746">
        <f t="shared" si="84"/>
        <v>0</v>
      </c>
      <c r="G2746">
        <f t="shared" si="85"/>
        <v>1</v>
      </c>
    </row>
    <row r="2747" spans="1:7">
      <c r="A2747" t="str">
        <f>Sinistrés!H2752</f>
        <v>Orge de printemps</v>
      </c>
      <c r="B2747">
        <f>Sinistrés!J2752</f>
        <v>22352.240000000002</v>
      </c>
      <c r="C2747">
        <f>Sinistrés!X2752</f>
        <v>2367.09</v>
      </c>
      <c r="D2747">
        <f>Sinistrés!L2752</f>
        <v>23.37</v>
      </c>
      <c r="E2747">
        <f>Sinistrés!M2752</f>
        <v>23.37</v>
      </c>
      <c r="F2747">
        <f t="shared" si="84"/>
        <v>0.1058994534775933</v>
      </c>
      <c r="G2747">
        <f t="shared" si="85"/>
        <v>1</v>
      </c>
    </row>
    <row r="2748" spans="1:7">
      <c r="A2748" t="str">
        <f>Sinistrés!H2753</f>
        <v>Maïs ensilage non irrigué</v>
      </c>
      <c r="B2748">
        <f>Sinistrés!J2753</f>
        <v>39877.83</v>
      </c>
      <c r="C2748">
        <f>Sinistrés!X2753</f>
        <v>12805.21</v>
      </c>
      <c r="D2748">
        <f>Sinistrés!L2753</f>
        <v>43.87</v>
      </c>
      <c r="E2748">
        <f>Sinistrés!M2753</f>
        <v>43.87</v>
      </c>
      <c r="F2748">
        <f t="shared" si="84"/>
        <v>0.32111100328177333</v>
      </c>
      <c r="G2748">
        <f t="shared" si="85"/>
        <v>1</v>
      </c>
    </row>
    <row r="2749" spans="1:7" hidden="1">
      <c r="A2749" t="str">
        <f>Sinistrés!H2754</f>
        <v>Orge de printemps</v>
      </c>
      <c r="B2749">
        <f>Sinistrés!J2754</f>
        <v>36181.5</v>
      </c>
      <c r="C2749">
        <f>Sinistrés!X2754</f>
        <v>0</v>
      </c>
      <c r="D2749">
        <f>Sinistrés!L2754</f>
        <v>35.54</v>
      </c>
      <c r="E2749">
        <f>Sinistrés!M2754</f>
        <v>35.54</v>
      </c>
      <c r="F2749">
        <f t="shared" si="84"/>
        <v>0</v>
      </c>
      <c r="G2749">
        <f t="shared" si="85"/>
        <v>1</v>
      </c>
    </row>
    <row r="2750" spans="1:7" hidden="1">
      <c r="A2750" t="str">
        <f>Sinistrés!H2755</f>
        <v>Maïs grain irrigué</v>
      </c>
      <c r="B2750">
        <f>Sinistrés!J2755</f>
        <v>39975</v>
      </c>
      <c r="C2750">
        <f>Sinistrés!X2755</f>
        <v>0</v>
      </c>
      <c r="D2750">
        <f>Sinistrés!L2755</f>
        <v>21.32</v>
      </c>
      <c r="E2750">
        <f>Sinistrés!M2755</f>
        <v>21.32</v>
      </c>
      <c r="F2750">
        <f t="shared" si="84"/>
        <v>0</v>
      </c>
      <c r="G2750">
        <f t="shared" si="85"/>
        <v>1</v>
      </c>
    </row>
    <row r="2751" spans="1:7" hidden="1">
      <c r="A2751" t="str">
        <f>Sinistrés!H2756</f>
        <v>Blé dur d'hiver</v>
      </c>
      <c r="B2751">
        <f>Sinistrés!J2756</f>
        <v>43238.42</v>
      </c>
      <c r="C2751">
        <f>Sinistrés!X2756</f>
        <v>0</v>
      </c>
      <c r="D2751">
        <f>Sinistrés!L2756</f>
        <v>36.83</v>
      </c>
      <c r="E2751">
        <f>Sinistrés!M2756</f>
        <v>36.83</v>
      </c>
      <c r="F2751">
        <f t="shared" si="84"/>
        <v>0</v>
      </c>
      <c r="G2751">
        <f t="shared" si="85"/>
        <v>1</v>
      </c>
    </row>
    <row r="2752" spans="1:7" hidden="1">
      <c r="A2752" t="str">
        <f>Sinistrés!H2757</f>
        <v>Colza d'hiver</v>
      </c>
      <c r="B2752">
        <f>Sinistrés!J2757</f>
        <v>36320.379999999997</v>
      </c>
      <c r="C2752">
        <f>Sinistrés!X2757</f>
        <v>0</v>
      </c>
      <c r="D2752">
        <f>Sinistrés!L2757</f>
        <v>25.75</v>
      </c>
      <c r="E2752">
        <f>Sinistrés!M2757</f>
        <v>25.75</v>
      </c>
      <c r="F2752">
        <f t="shared" si="84"/>
        <v>0</v>
      </c>
      <c r="G2752">
        <f t="shared" si="85"/>
        <v>1</v>
      </c>
    </row>
    <row r="2753" spans="1:7" hidden="1">
      <c r="A2753" t="str">
        <f>Sinistrés!H2758</f>
        <v>Tournesol</v>
      </c>
      <c r="B2753">
        <f>Sinistrés!J2758</f>
        <v>40467.18</v>
      </c>
      <c r="C2753">
        <f>Sinistrés!X2758</f>
        <v>0</v>
      </c>
      <c r="D2753">
        <f>Sinistrés!L2758</f>
        <v>31.69</v>
      </c>
      <c r="E2753">
        <f>Sinistrés!M2758</f>
        <v>31.69</v>
      </c>
      <c r="F2753">
        <f t="shared" si="84"/>
        <v>0</v>
      </c>
      <c r="G2753">
        <f t="shared" si="85"/>
        <v>1</v>
      </c>
    </row>
    <row r="2754" spans="1:7" hidden="1">
      <c r="A2754" t="str">
        <f>Sinistrés!H2759</f>
        <v>Féveroles</v>
      </c>
      <c r="B2754">
        <f>Sinistrés!J2759</f>
        <v>6681.92</v>
      </c>
      <c r="C2754">
        <f>Sinistrés!X2759</f>
        <v>0</v>
      </c>
      <c r="D2754">
        <f>Sinistrés!L2759</f>
        <v>11.2</v>
      </c>
      <c r="E2754">
        <f>Sinistrés!M2759</f>
        <v>11.2</v>
      </c>
      <c r="F2754">
        <f t="shared" si="84"/>
        <v>0</v>
      </c>
      <c r="G2754">
        <f t="shared" si="85"/>
        <v>1</v>
      </c>
    </row>
    <row r="2755" spans="1:7">
      <c r="A2755" t="str">
        <f>Sinistrés!H2760</f>
        <v>Colza d'hiver</v>
      </c>
      <c r="B2755">
        <f>Sinistrés!J2760</f>
        <v>98543.9</v>
      </c>
      <c r="C2755">
        <f>Sinistrés!X2760</f>
        <v>14822.27</v>
      </c>
      <c r="D2755">
        <f>Sinistrés!L2760</f>
        <v>58.31</v>
      </c>
      <c r="E2755">
        <f>Sinistrés!M2760</f>
        <v>32.1</v>
      </c>
      <c r="F2755">
        <f t="shared" ref="F2755:F2818" si="86">C2755/B2755</f>
        <v>0.15041286167890658</v>
      </c>
      <c r="G2755">
        <f t="shared" ref="G2755:G2818" si="87">E2755/D2755</f>
        <v>0.55050591665237525</v>
      </c>
    </row>
    <row r="2756" spans="1:7">
      <c r="A2756" t="str">
        <f>Sinistrés!H2761</f>
        <v>Tournesol</v>
      </c>
      <c r="B2756">
        <f>Sinistrés!J2761</f>
        <v>19154.849999999999</v>
      </c>
      <c r="C2756">
        <f>Sinistrés!X2761</f>
        <v>496.32</v>
      </c>
      <c r="D2756">
        <f>Sinistrés!L2761</f>
        <v>23.5</v>
      </c>
      <c r="E2756">
        <f>Sinistrés!M2761</f>
        <v>23.5</v>
      </c>
      <c r="F2756">
        <f t="shared" si="86"/>
        <v>2.5910931174089071E-2</v>
      </c>
      <c r="G2756">
        <f t="shared" si="87"/>
        <v>1</v>
      </c>
    </row>
    <row r="2757" spans="1:7" hidden="1">
      <c r="A2757" t="str">
        <f>Sinistrés!H2762</f>
        <v>Maïs grain non irrigué</v>
      </c>
      <c r="B2757">
        <f>Sinistrés!J2762</f>
        <v>17828.11</v>
      </c>
      <c r="C2757">
        <f>Sinistrés!X2762</f>
        <v>0</v>
      </c>
      <c r="D2757">
        <f>Sinistrés!L2762</f>
        <v>15.91</v>
      </c>
      <c r="E2757">
        <f>Sinistrés!M2762</f>
        <v>15.91</v>
      </c>
      <c r="F2757">
        <f t="shared" si="86"/>
        <v>0</v>
      </c>
      <c r="G2757">
        <f t="shared" si="87"/>
        <v>1</v>
      </c>
    </row>
    <row r="2758" spans="1:7" hidden="1">
      <c r="A2758" t="str">
        <f>Sinistrés!H2763</f>
        <v>Blé tendre d'hiver</v>
      </c>
      <c r="B2758">
        <f>Sinistrés!J2763</f>
        <v>20547.04</v>
      </c>
      <c r="C2758">
        <f>Sinistrés!X2763</f>
        <v>0</v>
      </c>
      <c r="D2758">
        <f>Sinistrés!L2763</f>
        <v>17.86</v>
      </c>
      <c r="E2758">
        <f>Sinistrés!M2763</f>
        <v>17.86</v>
      </c>
      <c r="F2758">
        <f t="shared" si="86"/>
        <v>0</v>
      </c>
      <c r="G2758">
        <f t="shared" si="87"/>
        <v>1</v>
      </c>
    </row>
    <row r="2759" spans="1:7" hidden="1">
      <c r="A2759" t="str">
        <f>Sinistrés!H2764</f>
        <v>Blé tendre d'hiver</v>
      </c>
      <c r="B2759">
        <f>Sinistrés!J2764</f>
        <v>211767.34</v>
      </c>
      <c r="C2759">
        <f>Sinistrés!X2764</f>
        <v>0</v>
      </c>
      <c r="D2759">
        <f>Sinistrés!L2764</f>
        <v>113.78</v>
      </c>
      <c r="E2759">
        <f>Sinistrés!M2764</f>
        <v>113.78</v>
      </c>
      <c r="F2759">
        <f t="shared" si="86"/>
        <v>0</v>
      </c>
      <c r="G2759">
        <f t="shared" si="87"/>
        <v>1</v>
      </c>
    </row>
    <row r="2760" spans="1:7" hidden="1">
      <c r="A2760" t="str">
        <f>Sinistrés!H2765</f>
        <v>Orge d'hiver</v>
      </c>
      <c r="B2760">
        <f>Sinistrés!J2765</f>
        <v>21736.26</v>
      </c>
      <c r="C2760">
        <f>Sinistrés!X2765</f>
        <v>0</v>
      </c>
      <c r="D2760">
        <f>Sinistrés!L2765</f>
        <v>13.27</v>
      </c>
      <c r="E2760">
        <f>Sinistrés!M2765</f>
        <v>13.27</v>
      </c>
      <c r="F2760">
        <f t="shared" si="86"/>
        <v>0</v>
      </c>
      <c r="G2760">
        <f t="shared" si="87"/>
        <v>1</v>
      </c>
    </row>
    <row r="2761" spans="1:7" hidden="1">
      <c r="A2761" t="str">
        <f>Sinistrés!H2766</f>
        <v>Colza d'hiver</v>
      </c>
      <c r="B2761">
        <f>Sinistrés!J2766</f>
        <v>95723.42</v>
      </c>
      <c r="C2761">
        <f>Sinistrés!X2766</f>
        <v>0</v>
      </c>
      <c r="D2761">
        <f>Sinistrés!L2766</f>
        <v>48.17</v>
      </c>
      <c r="E2761">
        <f>Sinistrés!M2766</f>
        <v>48.17</v>
      </c>
      <c r="F2761">
        <f t="shared" si="86"/>
        <v>0</v>
      </c>
      <c r="G2761">
        <f t="shared" si="87"/>
        <v>1</v>
      </c>
    </row>
    <row r="2762" spans="1:7" hidden="1">
      <c r="A2762" t="str">
        <f>Sinistrés!H2767</f>
        <v>Pois protéagineux</v>
      </c>
      <c r="B2762">
        <f>Sinistrés!J2767</f>
        <v>18170.2</v>
      </c>
      <c r="C2762">
        <f>Sinistrés!X2767</f>
        <v>0</v>
      </c>
      <c r="D2762">
        <f>Sinistrés!L2767</f>
        <v>19.329999999999998</v>
      </c>
      <c r="E2762">
        <f>Sinistrés!M2767</f>
        <v>19.329999999999998</v>
      </c>
      <c r="F2762">
        <f t="shared" si="86"/>
        <v>0</v>
      </c>
      <c r="G2762">
        <f t="shared" si="87"/>
        <v>1</v>
      </c>
    </row>
    <row r="2763" spans="1:7" hidden="1">
      <c r="A2763" t="str">
        <f>Sinistrés!H2768</f>
        <v>Maïs grain non irrigué</v>
      </c>
      <c r="B2763">
        <f>Sinistrés!J2768</f>
        <v>12456.12</v>
      </c>
      <c r="C2763">
        <f>Sinistrés!X2768</f>
        <v>0</v>
      </c>
      <c r="D2763">
        <f>Sinistrés!L2768</f>
        <v>7.76</v>
      </c>
      <c r="E2763">
        <f>Sinistrés!M2768</f>
        <v>7.76</v>
      </c>
      <c r="F2763">
        <f t="shared" si="86"/>
        <v>0</v>
      </c>
      <c r="G2763">
        <f t="shared" si="87"/>
        <v>1</v>
      </c>
    </row>
    <row r="2764" spans="1:7" hidden="1">
      <c r="A2764" t="str">
        <f>Sinistrés!H2769</f>
        <v>Blé tendre d'hiver</v>
      </c>
      <c r="B2764">
        <f>Sinistrés!J2769</f>
        <v>15019.88</v>
      </c>
      <c r="C2764">
        <f>Sinistrés!X2769</f>
        <v>0</v>
      </c>
      <c r="D2764">
        <f>Sinistrés!L2769</f>
        <v>8.4600000000000009</v>
      </c>
      <c r="E2764">
        <f>Sinistrés!M2769</f>
        <v>8.4600000000000009</v>
      </c>
      <c r="F2764">
        <f t="shared" si="86"/>
        <v>0</v>
      </c>
      <c r="G2764">
        <f t="shared" si="87"/>
        <v>1</v>
      </c>
    </row>
    <row r="2765" spans="1:7" hidden="1">
      <c r="A2765" t="str">
        <f>Sinistrés!H2770</f>
        <v>Orge de printemps</v>
      </c>
      <c r="B2765">
        <f>Sinistrés!J2770</f>
        <v>9681.3799999999992</v>
      </c>
      <c r="C2765">
        <f>Sinistrés!X2770</f>
        <v>0</v>
      </c>
      <c r="D2765">
        <f>Sinistrés!L2770</f>
        <v>6.53</v>
      </c>
      <c r="E2765">
        <f>Sinistrés!M2770</f>
        <v>6.53</v>
      </c>
      <c r="F2765">
        <f t="shared" si="86"/>
        <v>0</v>
      </c>
      <c r="G2765">
        <f t="shared" si="87"/>
        <v>1</v>
      </c>
    </row>
    <row r="2766" spans="1:7" hidden="1">
      <c r="A2766" t="str">
        <f>Sinistrés!H2771</f>
        <v>Soja</v>
      </c>
      <c r="B2766">
        <f>Sinistrés!J2771</f>
        <v>10560.75</v>
      </c>
      <c r="C2766">
        <f>Sinistrés!X2771</f>
        <v>0</v>
      </c>
      <c r="D2766">
        <f>Sinistrés!L2771</f>
        <v>18.190000000000001</v>
      </c>
      <c r="E2766">
        <f>Sinistrés!M2771</f>
        <v>18.190000000000001</v>
      </c>
      <c r="F2766">
        <f t="shared" si="86"/>
        <v>0</v>
      </c>
      <c r="G2766">
        <f t="shared" si="87"/>
        <v>1</v>
      </c>
    </row>
    <row r="2767" spans="1:7" hidden="1">
      <c r="A2767" t="str">
        <f>Sinistrés!H2772</f>
        <v>Soja</v>
      </c>
      <c r="B2767">
        <f>Sinistrés!J2772</f>
        <v>4290.49</v>
      </c>
      <c r="C2767">
        <f>Sinistrés!X2772</f>
        <v>0</v>
      </c>
      <c r="D2767">
        <f>Sinistrés!L2772</f>
        <v>7.39</v>
      </c>
      <c r="E2767">
        <f>Sinistrés!M2772</f>
        <v>7.39</v>
      </c>
      <c r="F2767">
        <f t="shared" si="86"/>
        <v>0</v>
      </c>
      <c r="G2767">
        <f t="shared" si="87"/>
        <v>1</v>
      </c>
    </row>
    <row r="2768" spans="1:7" hidden="1">
      <c r="A2768" t="str">
        <f>Sinistrés!H2773</f>
        <v>Féveroles et fèves BIO</v>
      </c>
      <c r="B2768">
        <f>Sinistrés!J2773</f>
        <v>14309.22</v>
      </c>
      <c r="C2768">
        <f>Sinistrés!X2773</f>
        <v>0</v>
      </c>
      <c r="D2768">
        <f>Sinistrés!L2773</f>
        <v>28.23</v>
      </c>
      <c r="E2768">
        <f>Sinistrés!M2773</f>
        <v>28.23</v>
      </c>
      <c r="F2768">
        <f t="shared" si="86"/>
        <v>0</v>
      </c>
      <c r="G2768">
        <f t="shared" si="87"/>
        <v>1</v>
      </c>
    </row>
    <row r="2769" spans="1:7" hidden="1">
      <c r="A2769" t="str">
        <f>Sinistrés!H2774</f>
        <v>Triticale BIO</v>
      </c>
      <c r="B2769">
        <f>Sinistrés!J2774</f>
        <v>21750.1</v>
      </c>
      <c r="C2769">
        <f>Sinistrés!X2774</f>
        <v>0</v>
      </c>
      <c r="D2769">
        <f>Sinistrés!L2774</f>
        <v>28.15</v>
      </c>
      <c r="E2769">
        <f>Sinistrés!M2774</f>
        <v>28.15</v>
      </c>
      <c r="F2769">
        <f t="shared" si="86"/>
        <v>0</v>
      </c>
      <c r="G2769">
        <f t="shared" si="87"/>
        <v>1</v>
      </c>
    </row>
    <row r="2770" spans="1:7" hidden="1">
      <c r="A2770" t="str">
        <f>Sinistrés!H2775</f>
        <v>Triticale BIO</v>
      </c>
      <c r="B2770">
        <f>Sinistrés!J2775</f>
        <v>19803.02</v>
      </c>
      <c r="C2770">
        <f>Sinistrés!X2775</f>
        <v>0</v>
      </c>
      <c r="D2770">
        <f>Sinistrés!L2775</f>
        <v>25.63</v>
      </c>
      <c r="E2770">
        <f>Sinistrés!M2775</f>
        <v>25.63</v>
      </c>
      <c r="F2770">
        <f t="shared" si="86"/>
        <v>0</v>
      </c>
      <c r="G2770">
        <f t="shared" si="87"/>
        <v>1</v>
      </c>
    </row>
    <row r="2771" spans="1:7" hidden="1">
      <c r="A2771" t="str">
        <f>Sinistrés!H2776</f>
        <v>Blé tendre d'hiver BIO</v>
      </c>
      <c r="B2771">
        <f>Sinistrés!J2776</f>
        <v>14508.37</v>
      </c>
      <c r="C2771">
        <f>Sinistrés!X2776</f>
        <v>0</v>
      </c>
      <c r="D2771">
        <f>Sinistrés!L2776</f>
        <v>13.16</v>
      </c>
      <c r="E2771">
        <f>Sinistrés!M2776</f>
        <v>13.16</v>
      </c>
      <c r="F2771">
        <f t="shared" si="86"/>
        <v>0</v>
      </c>
      <c r="G2771">
        <f t="shared" si="87"/>
        <v>1</v>
      </c>
    </row>
    <row r="2772" spans="1:7" hidden="1">
      <c r="A2772" t="str">
        <f>Sinistrés!H2777</f>
        <v>Blé tendre d'hiver BIO</v>
      </c>
      <c r="B2772">
        <f>Sinistrés!J2777</f>
        <v>44519.44</v>
      </c>
      <c r="C2772">
        <f>Sinistrés!X2777</f>
        <v>0</v>
      </c>
      <c r="D2772">
        <f>Sinistrés!L2777</f>
        <v>40.18</v>
      </c>
      <c r="E2772">
        <f>Sinistrés!M2777</f>
        <v>40.18</v>
      </c>
      <c r="F2772">
        <f t="shared" si="86"/>
        <v>0</v>
      </c>
      <c r="G2772">
        <f t="shared" si="87"/>
        <v>1</v>
      </c>
    </row>
    <row r="2773" spans="1:7" hidden="1">
      <c r="A2773" t="str">
        <f>Sinistrés!H2778</f>
        <v>Colza d'hiver</v>
      </c>
      <c r="B2773">
        <f>Sinistrés!J2778</f>
        <v>132046.35</v>
      </c>
      <c r="C2773">
        <f>Sinistrés!X2778</f>
        <v>0</v>
      </c>
      <c r="D2773">
        <f>Sinistrés!L2778</f>
        <v>83.31</v>
      </c>
      <c r="E2773">
        <f>Sinistrés!M2778</f>
        <v>58.32</v>
      </c>
      <c r="F2773">
        <f t="shared" si="86"/>
        <v>0</v>
      </c>
      <c r="G2773">
        <f t="shared" si="87"/>
        <v>0.70003601008282312</v>
      </c>
    </row>
    <row r="2774" spans="1:7" hidden="1">
      <c r="A2774" t="str">
        <f>Sinistrés!H2779</f>
        <v>Blé dur d'hiver BIO</v>
      </c>
      <c r="B2774">
        <f>Sinistrés!J2779</f>
        <v>7530</v>
      </c>
      <c r="C2774">
        <f>Sinistrés!X2779</f>
        <v>0</v>
      </c>
      <c r="D2774">
        <f>Sinistrés!L2779</f>
        <v>7.53</v>
      </c>
      <c r="E2774">
        <f>Sinistrés!M2779</f>
        <v>7.53</v>
      </c>
      <c r="F2774">
        <f t="shared" si="86"/>
        <v>0</v>
      </c>
      <c r="G2774">
        <f t="shared" si="87"/>
        <v>1</v>
      </c>
    </row>
    <row r="2775" spans="1:7" hidden="1">
      <c r="A2775" t="str">
        <f>Sinistrés!H2780</f>
        <v>Blé tendre d'hiver BIO</v>
      </c>
      <c r="B2775">
        <f>Sinistrés!J2780</f>
        <v>37975</v>
      </c>
      <c r="C2775">
        <f>Sinistrés!X2780</f>
        <v>0</v>
      </c>
      <c r="D2775">
        <f>Sinistrés!L2780</f>
        <v>43.4</v>
      </c>
      <c r="E2775">
        <f>Sinistrés!M2780</f>
        <v>43.4</v>
      </c>
      <c r="F2775">
        <f t="shared" si="86"/>
        <v>0</v>
      </c>
      <c r="G2775">
        <f t="shared" si="87"/>
        <v>1</v>
      </c>
    </row>
    <row r="2776" spans="1:7" hidden="1">
      <c r="A2776" t="str">
        <f>Sinistrés!H2781</f>
        <v>Maïs grain non irrigué BIO</v>
      </c>
      <c r="B2776">
        <f>Sinistrés!J2781</f>
        <v>19455.240000000002</v>
      </c>
      <c r="C2776">
        <f>Sinistrés!X2781</f>
        <v>2732.12</v>
      </c>
      <c r="D2776">
        <f>Sinistrés!L2781</f>
        <v>17.48</v>
      </c>
      <c r="E2776">
        <f>Sinistrés!M2781</f>
        <v>17.48</v>
      </c>
      <c r="F2776">
        <f t="shared" si="86"/>
        <v>0.14043106124622465</v>
      </c>
      <c r="G2776">
        <f t="shared" si="87"/>
        <v>1</v>
      </c>
    </row>
    <row r="2777" spans="1:7" hidden="1">
      <c r="A2777" t="str">
        <f>Sinistrés!H2782</f>
        <v>Tournesol BIO</v>
      </c>
      <c r="B2777">
        <f>Sinistrés!J2782</f>
        <v>27189.06</v>
      </c>
      <c r="C2777">
        <f>Sinistrés!X2782</f>
        <v>0</v>
      </c>
      <c r="D2777">
        <f>Sinistrés!L2782</f>
        <v>30.01</v>
      </c>
      <c r="E2777">
        <f>Sinistrés!M2782</f>
        <v>30.01</v>
      </c>
      <c r="F2777">
        <f t="shared" si="86"/>
        <v>0</v>
      </c>
      <c r="G2777">
        <f t="shared" si="87"/>
        <v>1</v>
      </c>
    </row>
    <row r="2778" spans="1:7" hidden="1">
      <c r="A2778" t="str">
        <f>Sinistrés!H2783</f>
        <v>Pois secs / Pois Chiches BIO</v>
      </c>
      <c r="B2778">
        <f>Sinistrés!J2783</f>
        <v>14080</v>
      </c>
      <c r="C2778">
        <f>Sinistrés!X2783</f>
        <v>3713.6</v>
      </c>
      <c r="D2778">
        <f>Sinistrés!L2783</f>
        <v>8.8000000000000007</v>
      </c>
      <c r="E2778">
        <f>Sinistrés!M2783</f>
        <v>8.8000000000000007</v>
      </c>
      <c r="F2778">
        <f t="shared" si="86"/>
        <v>0.26374999999999998</v>
      </c>
      <c r="G2778">
        <f t="shared" si="87"/>
        <v>1</v>
      </c>
    </row>
    <row r="2779" spans="1:7" hidden="1">
      <c r="A2779" t="str">
        <f>Sinistrés!H2784</f>
        <v>Lentilles BIO</v>
      </c>
      <c r="B2779">
        <f>Sinistrés!J2784</f>
        <v>15085.05</v>
      </c>
      <c r="C2779">
        <f>Sinistrés!X2784</f>
        <v>2459.9699999999998</v>
      </c>
      <c r="D2779">
        <f>Sinistrés!L2784</f>
        <v>12.73</v>
      </c>
      <c r="E2779">
        <f>Sinistrés!M2784</f>
        <v>12.73</v>
      </c>
      <c r="F2779">
        <f t="shared" si="86"/>
        <v>0.1630733739695924</v>
      </c>
      <c r="G2779">
        <f t="shared" si="87"/>
        <v>1</v>
      </c>
    </row>
    <row r="2780" spans="1:7" hidden="1">
      <c r="A2780" t="str">
        <f>Sinistrés!H2785</f>
        <v>Blé tendre d'hiver</v>
      </c>
      <c r="B2780">
        <f>Sinistrés!J2785</f>
        <v>13662.65</v>
      </c>
      <c r="C2780">
        <f>Sinistrés!X2785</f>
        <v>0</v>
      </c>
      <c r="D2780">
        <f>Sinistrés!L2785</f>
        <v>12.91</v>
      </c>
      <c r="E2780">
        <f>Sinistrés!M2785</f>
        <v>12.46</v>
      </c>
      <c r="F2780">
        <f t="shared" si="86"/>
        <v>0</v>
      </c>
      <c r="G2780">
        <f t="shared" si="87"/>
        <v>0.96514329976762203</v>
      </c>
    </row>
    <row r="2781" spans="1:7" hidden="1">
      <c r="A2781" t="str">
        <f>Sinistrés!H2786</f>
        <v>Orge d'hiver</v>
      </c>
      <c r="B2781">
        <f>Sinistrés!J2786</f>
        <v>5112</v>
      </c>
      <c r="C2781">
        <f>Sinistrés!X2786</f>
        <v>0</v>
      </c>
      <c r="D2781">
        <f>Sinistrés!L2786</f>
        <v>5.68</v>
      </c>
      <c r="E2781">
        <f>Sinistrés!M2786</f>
        <v>5.68</v>
      </c>
      <c r="F2781">
        <f t="shared" si="86"/>
        <v>0</v>
      </c>
      <c r="G2781">
        <f t="shared" si="87"/>
        <v>1</v>
      </c>
    </row>
    <row r="2782" spans="1:7" hidden="1">
      <c r="A2782" t="str">
        <f>Sinistrés!H2787</f>
        <v>Blé de force</v>
      </c>
      <c r="B2782">
        <f>Sinistrés!J2787</f>
        <v>10620</v>
      </c>
      <c r="C2782">
        <f>Sinistrés!X2787</f>
        <v>0</v>
      </c>
      <c r="D2782">
        <f>Sinistrés!L2787</f>
        <v>8.85</v>
      </c>
      <c r="E2782">
        <f>Sinistrés!M2787</f>
        <v>8.85</v>
      </c>
      <c r="F2782">
        <f t="shared" si="86"/>
        <v>0</v>
      </c>
      <c r="G2782">
        <f t="shared" si="87"/>
        <v>1</v>
      </c>
    </row>
    <row r="2783" spans="1:7" hidden="1">
      <c r="A2783" t="str">
        <f>Sinistrés!H2788</f>
        <v>Blé tendre d'hiver</v>
      </c>
      <c r="B2783">
        <f>Sinistrés!J2788</f>
        <v>12085.2</v>
      </c>
      <c r="C2783">
        <f>Sinistrés!X2788</f>
        <v>0</v>
      </c>
      <c r="D2783">
        <f>Sinistrés!L2788</f>
        <v>11.19</v>
      </c>
      <c r="E2783">
        <f>Sinistrés!M2788</f>
        <v>11.19</v>
      </c>
      <c r="F2783">
        <f t="shared" si="86"/>
        <v>0</v>
      </c>
      <c r="G2783">
        <f t="shared" si="87"/>
        <v>1</v>
      </c>
    </row>
    <row r="2784" spans="1:7" hidden="1">
      <c r="A2784" t="str">
        <f>Sinistrés!H2789</f>
        <v>Maïs grain irrigué</v>
      </c>
      <c r="B2784">
        <f>Sinistrés!J2789</f>
        <v>3615</v>
      </c>
      <c r="C2784">
        <f>Sinistrés!X2789</f>
        <v>0</v>
      </c>
      <c r="D2784">
        <f>Sinistrés!L2789</f>
        <v>2.41</v>
      </c>
      <c r="E2784">
        <f>Sinistrés!M2789</f>
        <v>2.41</v>
      </c>
      <c r="F2784">
        <f t="shared" si="86"/>
        <v>0</v>
      </c>
      <c r="G2784">
        <f t="shared" si="87"/>
        <v>1</v>
      </c>
    </row>
    <row r="2785" spans="1:7" hidden="1">
      <c r="A2785" t="str">
        <f>Sinistrés!H2790</f>
        <v>Avoine de printemps BIO</v>
      </c>
      <c r="B2785">
        <f>Sinistrés!J2790</f>
        <v>34020</v>
      </c>
      <c r="C2785">
        <f>Sinistrés!X2790</f>
        <v>12883.5</v>
      </c>
      <c r="D2785">
        <f>Sinistrés!L2790</f>
        <v>63</v>
      </c>
      <c r="E2785">
        <f>Sinistrés!M2790</f>
        <v>63</v>
      </c>
      <c r="F2785">
        <f t="shared" si="86"/>
        <v>0.37870370370370371</v>
      </c>
      <c r="G2785">
        <f t="shared" si="87"/>
        <v>1</v>
      </c>
    </row>
    <row r="2786" spans="1:7" hidden="1">
      <c r="A2786" t="str">
        <f>Sinistrés!H2791</f>
        <v>Blé tendre d'hiver</v>
      </c>
      <c r="B2786">
        <f>Sinistrés!J2791</f>
        <v>10305.61</v>
      </c>
      <c r="C2786">
        <f>Sinistrés!X2791</f>
        <v>0</v>
      </c>
      <c r="D2786">
        <f>Sinistrés!L2791</f>
        <v>8.51</v>
      </c>
      <c r="E2786">
        <f>Sinistrés!M2791</f>
        <v>8.51</v>
      </c>
      <c r="F2786">
        <f t="shared" si="86"/>
        <v>0</v>
      </c>
      <c r="G2786">
        <f t="shared" si="87"/>
        <v>1</v>
      </c>
    </row>
    <row r="2787" spans="1:7" hidden="1">
      <c r="A2787" t="str">
        <f>Sinistrés!H2792</f>
        <v>Orge de printemps</v>
      </c>
      <c r="B2787">
        <f>Sinistrés!J2792</f>
        <v>2760.75</v>
      </c>
      <c r="C2787">
        <f>Sinistrés!X2792</f>
        <v>0</v>
      </c>
      <c r="D2787">
        <f>Sinistrés!L2792</f>
        <v>2.5099999999999998</v>
      </c>
      <c r="E2787">
        <f>Sinistrés!M2792</f>
        <v>2.5099999999999998</v>
      </c>
      <c r="F2787">
        <f t="shared" si="86"/>
        <v>0</v>
      </c>
      <c r="G2787">
        <f t="shared" si="87"/>
        <v>1</v>
      </c>
    </row>
    <row r="2788" spans="1:7" hidden="1">
      <c r="A2788" t="str">
        <f>Sinistrés!H2793</f>
        <v>Maïs grain non irrigué</v>
      </c>
      <c r="B2788">
        <f>Sinistrés!J2793</f>
        <v>25420.34</v>
      </c>
      <c r="C2788">
        <f>Sinistrés!X2793</f>
        <v>0</v>
      </c>
      <c r="D2788">
        <f>Sinistrés!L2793</f>
        <v>18.510000000000002</v>
      </c>
      <c r="E2788">
        <f>Sinistrés!M2793</f>
        <v>18.510000000000002</v>
      </c>
      <c r="F2788">
        <f t="shared" si="86"/>
        <v>0</v>
      </c>
      <c r="G2788">
        <f t="shared" si="87"/>
        <v>1</v>
      </c>
    </row>
    <row r="2789" spans="1:7" hidden="1">
      <c r="A2789" t="str">
        <f>Sinistrés!H2794</f>
        <v>Tournesol</v>
      </c>
      <c r="B2789">
        <f>Sinistrés!J2794</f>
        <v>22280.13</v>
      </c>
      <c r="C2789">
        <f>Sinistrés!X2794</f>
        <v>0</v>
      </c>
      <c r="D2789">
        <f>Sinistrés!L2794</f>
        <v>16.11</v>
      </c>
      <c r="E2789">
        <f>Sinistrés!M2794</f>
        <v>16.11</v>
      </c>
      <c r="F2789">
        <f t="shared" si="86"/>
        <v>0</v>
      </c>
      <c r="G2789">
        <f t="shared" si="87"/>
        <v>1</v>
      </c>
    </row>
    <row r="2790" spans="1:7" hidden="1">
      <c r="A2790" t="str">
        <f>Sinistrés!H2795</f>
        <v>Orge d'hiver</v>
      </c>
      <c r="B2790">
        <f>Sinistrés!J2795</f>
        <v>33943.43</v>
      </c>
      <c r="C2790">
        <f>Sinistrés!X2795</f>
        <v>0</v>
      </c>
      <c r="D2790">
        <f>Sinistrés!L2795</f>
        <v>28.02</v>
      </c>
      <c r="E2790">
        <f>Sinistrés!M2795</f>
        <v>28.02</v>
      </c>
      <c r="F2790">
        <f t="shared" si="86"/>
        <v>0</v>
      </c>
      <c r="G2790">
        <f t="shared" si="87"/>
        <v>1</v>
      </c>
    </row>
    <row r="2791" spans="1:7" hidden="1">
      <c r="A2791" t="str">
        <f>Sinistrés!H2796</f>
        <v>Colza d'hiver</v>
      </c>
      <c r="B2791">
        <f>Sinistrés!J2796</f>
        <v>66221.460000000006</v>
      </c>
      <c r="C2791">
        <f>Sinistrés!X2796</f>
        <v>0</v>
      </c>
      <c r="D2791">
        <f>Sinistrés!L2796</f>
        <v>45.56</v>
      </c>
      <c r="E2791">
        <f>Sinistrés!M2796</f>
        <v>45.56</v>
      </c>
      <c r="F2791">
        <f t="shared" si="86"/>
        <v>0</v>
      </c>
      <c r="G2791">
        <f t="shared" si="87"/>
        <v>1</v>
      </c>
    </row>
    <row r="2792" spans="1:7" hidden="1">
      <c r="A2792" t="str">
        <f>Sinistrés!H2797</f>
        <v>Orge de printemps</v>
      </c>
      <c r="B2792">
        <f>Sinistrés!J2797</f>
        <v>28847.98</v>
      </c>
      <c r="C2792">
        <f>Sinistrés!X2797</f>
        <v>0</v>
      </c>
      <c r="D2792">
        <f>Sinistrés!L2797</f>
        <v>27.37</v>
      </c>
      <c r="E2792">
        <f>Sinistrés!M2797</f>
        <v>27</v>
      </c>
      <c r="F2792">
        <f t="shared" si="86"/>
        <v>0</v>
      </c>
      <c r="G2792">
        <f t="shared" si="87"/>
        <v>0.98648154914139563</v>
      </c>
    </row>
    <row r="2793" spans="1:7" hidden="1">
      <c r="A2793" t="str">
        <f>Sinistrés!H2798</f>
        <v>Blé tendre d'hiver</v>
      </c>
      <c r="B2793">
        <f>Sinistrés!J2798</f>
        <v>191881.89</v>
      </c>
      <c r="C2793">
        <f>Sinistrés!X2798</f>
        <v>0</v>
      </c>
      <c r="D2793">
        <f>Sinistrés!L2798</f>
        <v>151.41</v>
      </c>
      <c r="E2793">
        <f>Sinistrés!M2798</f>
        <v>86.55</v>
      </c>
      <c r="F2793">
        <f t="shared" si="86"/>
        <v>0</v>
      </c>
      <c r="G2793">
        <f t="shared" si="87"/>
        <v>0.57162670893600154</v>
      </c>
    </row>
    <row r="2794" spans="1:7" hidden="1">
      <c r="A2794" t="str">
        <f>Sinistrés!H2799</f>
        <v>Triticale</v>
      </c>
      <c r="B2794">
        <f>Sinistrés!J2799</f>
        <v>2460</v>
      </c>
      <c r="C2794">
        <f>Sinistrés!X2799</f>
        <v>0</v>
      </c>
      <c r="D2794">
        <f>Sinistrés!L2799</f>
        <v>4</v>
      </c>
      <c r="E2794">
        <f>Sinistrés!M2799</f>
        <v>4</v>
      </c>
      <c r="F2794">
        <f t="shared" si="86"/>
        <v>0</v>
      </c>
      <c r="G2794">
        <f t="shared" si="87"/>
        <v>1</v>
      </c>
    </row>
    <row r="2795" spans="1:7" hidden="1">
      <c r="A2795" t="str">
        <f>Sinistrés!H2800</f>
        <v>Maïs grain non irrigué</v>
      </c>
      <c r="B2795">
        <f>Sinistrés!J2800</f>
        <v>31440.75</v>
      </c>
      <c r="C2795">
        <f>Sinistrés!X2800</f>
        <v>0</v>
      </c>
      <c r="D2795">
        <f>Sinistrés!L2800</f>
        <v>18.5</v>
      </c>
      <c r="E2795">
        <f>Sinistrés!M2800</f>
        <v>13.5</v>
      </c>
      <c r="F2795">
        <f t="shared" si="86"/>
        <v>0</v>
      </c>
      <c r="G2795">
        <f t="shared" si="87"/>
        <v>0.72972972972972971</v>
      </c>
    </row>
    <row r="2796" spans="1:7">
      <c r="A2796" t="str">
        <f>Sinistrés!H2801</f>
        <v>Orge de printemps</v>
      </c>
      <c r="B2796">
        <f>Sinistrés!J2801</f>
        <v>130614</v>
      </c>
      <c r="C2796">
        <f>Sinistrés!X2801</f>
        <v>34790.82</v>
      </c>
      <c r="D2796">
        <f>Sinistrés!L2801</f>
        <v>79.16</v>
      </c>
      <c r="E2796">
        <f>Sinistrés!M2801</f>
        <v>79.16</v>
      </c>
      <c r="F2796">
        <f t="shared" si="86"/>
        <v>0.26636363636363636</v>
      </c>
      <c r="G2796">
        <f t="shared" si="87"/>
        <v>1</v>
      </c>
    </row>
    <row r="2797" spans="1:7" hidden="1">
      <c r="A2797" t="str">
        <f>Sinistrés!H2802</f>
        <v>Blé tendre d'hiver</v>
      </c>
      <c r="B2797">
        <f>Sinistrés!J2802</f>
        <v>188428.56</v>
      </c>
      <c r="C2797">
        <f>Sinistrés!X2802</f>
        <v>0</v>
      </c>
      <c r="D2797">
        <f>Sinistrés!L2802</f>
        <v>150.93</v>
      </c>
      <c r="E2797">
        <f>Sinistrés!M2802</f>
        <v>150.93</v>
      </c>
      <c r="F2797">
        <f t="shared" si="86"/>
        <v>0</v>
      </c>
      <c r="G2797">
        <f t="shared" si="87"/>
        <v>1</v>
      </c>
    </row>
    <row r="2798" spans="1:7" hidden="1">
      <c r="A2798" t="str">
        <f>Sinistrés!H2803</f>
        <v>Orge d'hiver</v>
      </c>
      <c r="B2798">
        <f>Sinistrés!J2803</f>
        <v>32986.800000000003</v>
      </c>
      <c r="C2798">
        <f>Sinistrés!X2803</f>
        <v>0</v>
      </c>
      <c r="D2798">
        <f>Sinistrés!L2803</f>
        <v>32.340000000000003</v>
      </c>
      <c r="E2798">
        <f>Sinistrés!M2803</f>
        <v>32.340000000000003</v>
      </c>
      <c r="F2798">
        <f t="shared" si="86"/>
        <v>0</v>
      </c>
      <c r="G2798">
        <f t="shared" si="87"/>
        <v>1</v>
      </c>
    </row>
    <row r="2799" spans="1:7">
      <c r="A2799" t="str">
        <f>Sinistrés!H2804</f>
        <v>Seigle et méteil</v>
      </c>
      <c r="B2799">
        <f>Sinistrés!J2804</f>
        <v>2252.8000000000002</v>
      </c>
      <c r="C2799">
        <f>Sinistrés!X2804</f>
        <v>491.52</v>
      </c>
      <c r="D2799">
        <f>Sinistrés!L2804</f>
        <v>3.2</v>
      </c>
      <c r="E2799">
        <f>Sinistrés!M2804</f>
        <v>3.2</v>
      </c>
      <c r="F2799">
        <f t="shared" si="86"/>
        <v>0.21818181818181814</v>
      </c>
      <c r="G2799">
        <f t="shared" si="87"/>
        <v>1</v>
      </c>
    </row>
    <row r="2800" spans="1:7" hidden="1">
      <c r="A2800" t="str">
        <f>Sinistrés!H2805</f>
        <v>Colza d'hiver</v>
      </c>
      <c r="B2800">
        <f>Sinistrés!J2805</f>
        <v>31468.5</v>
      </c>
      <c r="C2800">
        <f>Sinistrés!X2805</f>
        <v>0</v>
      </c>
      <c r="D2800">
        <f>Sinistrés!L2805</f>
        <v>25.9</v>
      </c>
      <c r="E2800">
        <f>Sinistrés!M2805</f>
        <v>25.9</v>
      </c>
      <c r="F2800">
        <f t="shared" si="86"/>
        <v>0</v>
      </c>
      <c r="G2800">
        <f t="shared" si="87"/>
        <v>1</v>
      </c>
    </row>
    <row r="2801" spans="1:7" hidden="1">
      <c r="A2801" t="str">
        <f>Sinistrés!H2806</f>
        <v>Seigle et méteil</v>
      </c>
      <c r="B2801">
        <f>Sinistrés!J2806</f>
        <v>3050.19</v>
      </c>
      <c r="C2801">
        <f>Sinistrés!X2806</f>
        <v>0</v>
      </c>
      <c r="D2801">
        <f>Sinistrés!L2806</f>
        <v>12.07</v>
      </c>
      <c r="E2801">
        <f>Sinistrés!M2806</f>
        <v>12.6</v>
      </c>
      <c r="F2801">
        <f t="shared" si="86"/>
        <v>0</v>
      </c>
      <c r="G2801">
        <f t="shared" si="87"/>
        <v>1.0439105219552609</v>
      </c>
    </row>
    <row r="2802" spans="1:7">
      <c r="A2802" t="str">
        <f>Sinistrés!H2807</f>
        <v>Blé tendre d'hiver</v>
      </c>
      <c r="B2802">
        <f>Sinistrés!J2807</f>
        <v>95109.88</v>
      </c>
      <c r="C2802">
        <f>Sinistrés!X2807</f>
        <v>12150.85</v>
      </c>
      <c r="D2802">
        <f>Sinistrés!L2807</f>
        <v>64.06</v>
      </c>
      <c r="E2802">
        <f>Sinistrés!M2807</f>
        <v>64.06</v>
      </c>
      <c r="F2802">
        <f t="shared" si="86"/>
        <v>0.12775591768173822</v>
      </c>
      <c r="G2802">
        <f t="shared" si="87"/>
        <v>1</v>
      </c>
    </row>
    <row r="2803" spans="1:7">
      <c r="A2803" t="str">
        <f>Sinistrés!H2808</f>
        <v>Colza d'hiver</v>
      </c>
      <c r="B2803">
        <f>Sinistrés!J2808</f>
        <v>54430.5</v>
      </c>
      <c r="C2803">
        <f>Sinistrés!X2808</f>
        <v>13740.95</v>
      </c>
      <c r="D2803">
        <f>Sinistrés!L2808</f>
        <v>27.7</v>
      </c>
      <c r="E2803">
        <f>Sinistrés!M2808</f>
        <v>27.7</v>
      </c>
      <c r="F2803">
        <f t="shared" si="86"/>
        <v>0.25244945389074142</v>
      </c>
      <c r="G2803">
        <f t="shared" si="87"/>
        <v>1</v>
      </c>
    </row>
    <row r="2804" spans="1:7" hidden="1">
      <c r="A2804" t="str">
        <f>Sinistrés!H2809</f>
        <v>Blé tendre d'hiver</v>
      </c>
      <c r="B2804">
        <f>Sinistrés!J2809</f>
        <v>38454</v>
      </c>
      <c r="C2804">
        <f>Sinistrés!X2809</f>
        <v>0</v>
      </c>
      <c r="D2804">
        <f>Sinistrés!L2809</f>
        <v>29</v>
      </c>
      <c r="E2804">
        <f>Sinistrés!M2809</f>
        <v>29</v>
      </c>
      <c r="F2804">
        <f t="shared" si="86"/>
        <v>0</v>
      </c>
      <c r="G2804">
        <f t="shared" si="87"/>
        <v>1</v>
      </c>
    </row>
    <row r="2805" spans="1:7" hidden="1">
      <c r="A2805" t="str">
        <f>Sinistrés!H2810</f>
        <v>Blé tendre d'hiver</v>
      </c>
      <c r="B2805">
        <f>Sinistrés!J2810</f>
        <v>78578.759999999995</v>
      </c>
      <c r="C2805">
        <f>Sinistrés!X2810</f>
        <v>0</v>
      </c>
      <c r="D2805">
        <f>Sinistrés!L2810</f>
        <v>59.26</v>
      </c>
      <c r="E2805">
        <f>Sinistrés!M2810</f>
        <v>59.26</v>
      </c>
      <c r="F2805">
        <f t="shared" si="86"/>
        <v>0</v>
      </c>
      <c r="G2805">
        <f t="shared" si="87"/>
        <v>1</v>
      </c>
    </row>
    <row r="2806" spans="1:7" hidden="1">
      <c r="A2806" t="str">
        <f>Sinistrés!H2811</f>
        <v>Soja</v>
      </c>
      <c r="B2806">
        <f>Sinistrés!J2811</f>
        <v>9310.56</v>
      </c>
      <c r="C2806">
        <f>Sinistrés!X2811</f>
        <v>0</v>
      </c>
      <c r="D2806">
        <f>Sinistrés!L2811</f>
        <v>8.16</v>
      </c>
      <c r="E2806">
        <f>Sinistrés!M2811</f>
        <v>8.16</v>
      </c>
      <c r="F2806">
        <f t="shared" si="86"/>
        <v>0</v>
      </c>
      <c r="G2806">
        <f t="shared" si="87"/>
        <v>1</v>
      </c>
    </row>
    <row r="2807" spans="1:7">
      <c r="A2807" t="str">
        <f>Sinistrés!H2812</f>
        <v>Blé tendre d'hiver</v>
      </c>
      <c r="B2807">
        <f>Sinistrés!J2812</f>
        <v>10355.69</v>
      </c>
      <c r="C2807">
        <f>Sinistrés!X2812</f>
        <v>239.24</v>
      </c>
      <c r="D2807">
        <f>Sinistrés!L2812</f>
        <v>7.61</v>
      </c>
      <c r="E2807">
        <f>Sinistrés!M2812</f>
        <v>7.61</v>
      </c>
      <c r="F2807">
        <f t="shared" si="86"/>
        <v>2.3102275174324453E-2</v>
      </c>
      <c r="G2807">
        <f t="shared" si="87"/>
        <v>1</v>
      </c>
    </row>
    <row r="2808" spans="1:7">
      <c r="A2808" t="str">
        <f>Sinistrés!H2813</f>
        <v>Maïs grain irrigué</v>
      </c>
      <c r="B2808">
        <f>Sinistrés!J2813</f>
        <v>16429.14</v>
      </c>
      <c r="C2808">
        <f>Sinistrés!X2813</f>
        <v>4974.32</v>
      </c>
      <c r="D2808">
        <f>Sinistrés!L2813</f>
        <v>8.19</v>
      </c>
      <c r="E2808">
        <f>Sinistrés!M2813</f>
        <v>8.19</v>
      </c>
      <c r="F2808">
        <f t="shared" si="86"/>
        <v>0.30277421703144536</v>
      </c>
      <c r="G2808">
        <f t="shared" si="87"/>
        <v>1</v>
      </c>
    </row>
    <row r="2809" spans="1:7" hidden="1">
      <c r="A2809" t="str">
        <f>Sinistrés!H2814</f>
        <v>Maïs grain non irrigué</v>
      </c>
      <c r="B2809">
        <f>Sinistrés!J2814</f>
        <v>6004.4</v>
      </c>
      <c r="C2809">
        <f>Sinistrés!X2814</f>
        <v>0</v>
      </c>
      <c r="D2809">
        <f>Sinistrés!L2814</f>
        <v>4</v>
      </c>
      <c r="E2809">
        <f>Sinistrés!M2814</f>
        <v>4</v>
      </c>
      <c r="F2809">
        <f t="shared" si="86"/>
        <v>0</v>
      </c>
      <c r="G2809">
        <f t="shared" si="87"/>
        <v>1</v>
      </c>
    </row>
    <row r="2810" spans="1:7" hidden="1">
      <c r="A2810" t="str">
        <f>Sinistrés!H2815</f>
        <v>Colza d'hiver</v>
      </c>
      <c r="B2810">
        <f>Sinistrés!J2815</f>
        <v>7649.28</v>
      </c>
      <c r="C2810">
        <f>Sinistrés!X2815</f>
        <v>0</v>
      </c>
      <c r="D2810">
        <f>Sinistrés!L2815</f>
        <v>6.64</v>
      </c>
      <c r="E2810">
        <f>Sinistrés!M2815</f>
        <v>6.64</v>
      </c>
      <c r="F2810">
        <f t="shared" si="86"/>
        <v>0</v>
      </c>
      <c r="G2810">
        <f t="shared" si="87"/>
        <v>1</v>
      </c>
    </row>
    <row r="2811" spans="1:7" hidden="1">
      <c r="A2811" t="str">
        <f>Sinistrés!H2816</f>
        <v>Tournesol</v>
      </c>
      <c r="B2811">
        <f>Sinistrés!J2816</f>
        <v>4619.7</v>
      </c>
      <c r="C2811">
        <f>Sinistrés!X2816</f>
        <v>0</v>
      </c>
      <c r="D2811">
        <f>Sinistrés!L2816</f>
        <v>4.3499999999999996</v>
      </c>
      <c r="E2811">
        <f>Sinistrés!M2816</f>
        <v>4.3499999999999996</v>
      </c>
      <c r="F2811">
        <f t="shared" si="86"/>
        <v>0</v>
      </c>
      <c r="G2811">
        <f t="shared" si="87"/>
        <v>1</v>
      </c>
    </row>
    <row r="2812" spans="1:7" hidden="1">
      <c r="A2812" t="str">
        <f>Sinistrés!H2817</f>
        <v>Blé tendre d'hiver</v>
      </c>
      <c r="B2812">
        <f>Sinistrés!J2817</f>
        <v>28293.439999999999</v>
      </c>
      <c r="C2812">
        <f>Sinistrés!X2817</f>
        <v>0</v>
      </c>
      <c r="D2812">
        <f>Sinistrés!L2817</f>
        <v>17</v>
      </c>
      <c r="E2812">
        <f>Sinistrés!M2817</f>
        <v>3.14</v>
      </c>
      <c r="F2812">
        <f t="shared" si="86"/>
        <v>0</v>
      </c>
      <c r="G2812">
        <f t="shared" si="87"/>
        <v>0.18470588235294119</v>
      </c>
    </row>
    <row r="2813" spans="1:7">
      <c r="A2813" t="str">
        <f>Sinistrés!H2818</f>
        <v>Colza d'hiver</v>
      </c>
      <c r="B2813">
        <f>Sinistrés!J2818</f>
        <v>3433.59</v>
      </c>
      <c r="C2813">
        <f>Sinistrés!X2818</f>
        <v>1006.76</v>
      </c>
      <c r="D2813">
        <f>Sinistrés!L2818</f>
        <v>4.71</v>
      </c>
      <c r="E2813">
        <f>Sinistrés!M2818</f>
        <v>4.71</v>
      </c>
      <c r="F2813">
        <f t="shared" si="86"/>
        <v>0.29320914844230089</v>
      </c>
      <c r="G2813">
        <f t="shared" si="87"/>
        <v>1</v>
      </c>
    </row>
    <row r="2814" spans="1:7">
      <c r="A2814" t="str">
        <f>Sinistrés!H2819</f>
        <v>Orge de printemps</v>
      </c>
      <c r="B2814">
        <f>Sinistrés!J2819</f>
        <v>12082.06</v>
      </c>
      <c r="C2814">
        <f>Sinistrés!X2819</f>
        <v>1110.93</v>
      </c>
      <c r="D2814">
        <f>Sinistrés!L2819</f>
        <v>12.01</v>
      </c>
      <c r="E2814">
        <f>Sinistrés!M2819</f>
        <v>12.01</v>
      </c>
      <c r="F2814">
        <f t="shared" si="86"/>
        <v>9.1948723975878291E-2</v>
      </c>
      <c r="G2814">
        <f t="shared" si="87"/>
        <v>1</v>
      </c>
    </row>
    <row r="2815" spans="1:7" hidden="1">
      <c r="A2815" t="str">
        <f>Sinistrés!H2820</f>
        <v>Blé tendre d'hiver</v>
      </c>
      <c r="B2815">
        <f>Sinistrés!J2820</f>
        <v>74229.83</v>
      </c>
      <c r="C2815">
        <f>Sinistrés!X2820</f>
        <v>0</v>
      </c>
      <c r="D2815">
        <f>Sinistrés!L2820</f>
        <v>62.71</v>
      </c>
      <c r="E2815">
        <f>Sinistrés!M2820</f>
        <v>62.71</v>
      </c>
      <c r="F2815">
        <f t="shared" si="86"/>
        <v>0</v>
      </c>
      <c r="G2815">
        <f t="shared" si="87"/>
        <v>1</v>
      </c>
    </row>
    <row r="2816" spans="1:7" hidden="1">
      <c r="A2816" t="str">
        <f>Sinistrés!H2821</f>
        <v>Orge d'hiver</v>
      </c>
      <c r="B2816">
        <f>Sinistrés!J2821</f>
        <v>42001.19</v>
      </c>
      <c r="C2816">
        <f>Sinistrés!X2821</f>
        <v>0</v>
      </c>
      <c r="D2816">
        <f>Sinistrés!L2821</f>
        <v>37.590000000000003</v>
      </c>
      <c r="E2816">
        <f>Sinistrés!M2821</f>
        <v>37.590000000000003</v>
      </c>
      <c r="F2816">
        <f t="shared" si="86"/>
        <v>0</v>
      </c>
      <c r="G2816">
        <f t="shared" si="87"/>
        <v>1</v>
      </c>
    </row>
    <row r="2817" spans="1:7" hidden="1">
      <c r="A2817" t="str">
        <f>Sinistrés!H2822</f>
        <v>Tournesol</v>
      </c>
      <c r="B2817">
        <f>Sinistrés!J2822</f>
        <v>22269.15</v>
      </c>
      <c r="C2817">
        <f>Sinistrés!X2822</f>
        <v>0</v>
      </c>
      <c r="D2817">
        <f>Sinistrés!L2822</f>
        <v>20.91</v>
      </c>
      <c r="E2817">
        <f>Sinistrés!M2822</f>
        <v>20.91</v>
      </c>
      <c r="F2817">
        <f t="shared" si="86"/>
        <v>0</v>
      </c>
      <c r="G2817">
        <f t="shared" si="87"/>
        <v>1</v>
      </c>
    </row>
    <row r="2818" spans="1:7" hidden="1">
      <c r="A2818" t="str">
        <f>Sinistrés!H2823</f>
        <v>Colza d'hiver</v>
      </c>
      <c r="B2818">
        <f>Sinistrés!J2823</f>
        <v>18028.919999999998</v>
      </c>
      <c r="C2818">
        <f>Sinistrés!X2823</f>
        <v>0</v>
      </c>
      <c r="D2818">
        <f>Sinistrés!L2823</f>
        <v>16.510000000000002</v>
      </c>
      <c r="E2818">
        <f>Sinistrés!M2823</f>
        <v>16.510000000000002</v>
      </c>
      <c r="F2818">
        <f t="shared" si="86"/>
        <v>0</v>
      </c>
      <c r="G2818">
        <f t="shared" si="87"/>
        <v>1</v>
      </c>
    </row>
    <row r="2819" spans="1:7" hidden="1">
      <c r="A2819" t="str">
        <f>Sinistrés!H2824</f>
        <v>Blé tendre d'hiver</v>
      </c>
      <c r="B2819">
        <f>Sinistrés!J2824</f>
        <v>47295.16</v>
      </c>
      <c r="C2819">
        <f>Sinistrés!X2824</f>
        <v>0</v>
      </c>
      <c r="D2819">
        <f>Sinistrés!L2824</f>
        <v>39.15</v>
      </c>
      <c r="E2819">
        <f>Sinistrés!M2824</f>
        <v>39.15</v>
      </c>
      <c r="F2819">
        <f t="shared" ref="F2819:F2882" si="88">C2819/B2819</f>
        <v>0</v>
      </c>
      <c r="G2819">
        <f t="shared" ref="G2819:G2882" si="89">E2819/D2819</f>
        <v>1</v>
      </c>
    </row>
    <row r="2820" spans="1:7">
      <c r="A2820" t="str">
        <f>Sinistrés!H2825</f>
        <v>Orge d'hiver</v>
      </c>
      <c r="B2820">
        <f>Sinistrés!J2825</f>
        <v>16428.95</v>
      </c>
      <c r="C2820">
        <f>Sinistrés!X2825</f>
        <v>768.12</v>
      </c>
      <c r="D2820">
        <f>Sinistrés!L2825</f>
        <v>14.51</v>
      </c>
      <c r="E2820">
        <f>Sinistrés!M2825</f>
        <v>14.51</v>
      </c>
      <c r="F2820">
        <f t="shared" si="88"/>
        <v>4.6754053058777341E-2</v>
      </c>
      <c r="G2820">
        <f t="shared" si="89"/>
        <v>1</v>
      </c>
    </row>
    <row r="2821" spans="1:7">
      <c r="A2821" t="str">
        <f>Sinistrés!H2826</f>
        <v>Orge de printemps</v>
      </c>
      <c r="B2821">
        <f>Sinistrés!J2826</f>
        <v>18898.37</v>
      </c>
      <c r="C2821">
        <f>Sinistrés!X2826</f>
        <v>545.5</v>
      </c>
      <c r="D2821">
        <f>Sinistrés!L2826</f>
        <v>20.11</v>
      </c>
      <c r="E2821">
        <f>Sinistrés!M2826</f>
        <v>20.11</v>
      </c>
      <c r="F2821">
        <f t="shared" si="88"/>
        <v>2.8864923271160425E-2</v>
      </c>
      <c r="G2821">
        <f t="shared" si="89"/>
        <v>1</v>
      </c>
    </row>
    <row r="2822" spans="1:7" hidden="1">
      <c r="A2822" t="str">
        <f>Sinistrés!H2827</f>
        <v>Colza d'hiver</v>
      </c>
      <c r="B2822">
        <f>Sinistrés!J2827</f>
        <v>47950.58</v>
      </c>
      <c r="C2822">
        <f>Sinistrés!X2827</f>
        <v>0</v>
      </c>
      <c r="D2822">
        <f>Sinistrés!L2827</f>
        <v>33.450000000000003</v>
      </c>
      <c r="E2822">
        <f>Sinistrés!M2827</f>
        <v>33.450000000000003</v>
      </c>
      <c r="F2822">
        <f t="shared" si="88"/>
        <v>0</v>
      </c>
      <c r="G2822">
        <f t="shared" si="89"/>
        <v>1</v>
      </c>
    </row>
    <row r="2823" spans="1:7" hidden="1">
      <c r="A2823" t="str">
        <f>Sinistrés!H2828</f>
        <v>Blé tendre d'hiver</v>
      </c>
      <c r="B2823">
        <f>Sinistrés!J2828</f>
        <v>69362.539999999994</v>
      </c>
      <c r="C2823">
        <f>Sinistrés!X2828</f>
        <v>0</v>
      </c>
      <c r="D2823">
        <f>Sinistrés!L2828</f>
        <v>46.93</v>
      </c>
      <c r="E2823">
        <f>Sinistrés!M2828</f>
        <v>46.93</v>
      </c>
      <c r="F2823">
        <f t="shared" si="88"/>
        <v>0</v>
      </c>
      <c r="G2823">
        <f t="shared" si="89"/>
        <v>1</v>
      </c>
    </row>
    <row r="2824" spans="1:7" hidden="1">
      <c r="A2824" t="str">
        <f>Sinistrés!H2829</f>
        <v>Orge d'hiver</v>
      </c>
      <c r="B2824">
        <f>Sinistrés!J2829</f>
        <v>41418.94</v>
      </c>
      <c r="C2824">
        <f>Sinistrés!X2829</f>
        <v>0</v>
      </c>
      <c r="D2824">
        <f>Sinistrés!L2829</f>
        <v>32.880000000000003</v>
      </c>
      <c r="E2824">
        <f>Sinistrés!M2829</f>
        <v>32.880000000000003</v>
      </c>
      <c r="F2824">
        <f t="shared" si="88"/>
        <v>0</v>
      </c>
      <c r="G2824">
        <f t="shared" si="89"/>
        <v>1</v>
      </c>
    </row>
    <row r="2825" spans="1:7" hidden="1">
      <c r="A2825" t="str">
        <f>Sinistrés!H2830</f>
        <v>Orge de printemps</v>
      </c>
      <c r="B2825">
        <f>Sinistrés!J2830</f>
        <v>12957.75</v>
      </c>
      <c r="C2825">
        <f>Sinistrés!X2830</f>
        <v>0</v>
      </c>
      <c r="D2825">
        <f>Sinistrés!L2830</f>
        <v>13.89</v>
      </c>
      <c r="E2825">
        <f>Sinistrés!M2830</f>
        <v>13.29</v>
      </c>
      <c r="F2825">
        <f t="shared" si="88"/>
        <v>0</v>
      </c>
      <c r="G2825">
        <f t="shared" si="89"/>
        <v>0.95680345572354197</v>
      </c>
    </row>
    <row r="2826" spans="1:7" hidden="1">
      <c r="A2826" t="str">
        <f>Sinistrés!H2831</f>
        <v>Colza d'hiver</v>
      </c>
      <c r="B2826">
        <f>Sinistrés!J2831</f>
        <v>67027.58</v>
      </c>
      <c r="C2826">
        <f>Sinistrés!X2831</f>
        <v>0</v>
      </c>
      <c r="D2826">
        <f>Sinistrés!L2831</f>
        <v>37.04</v>
      </c>
      <c r="E2826">
        <f>Sinistrés!M2831</f>
        <v>37</v>
      </c>
      <c r="F2826">
        <f t="shared" si="88"/>
        <v>0</v>
      </c>
      <c r="G2826">
        <f t="shared" si="89"/>
        <v>0.9989200863930886</v>
      </c>
    </row>
    <row r="2827" spans="1:7" hidden="1">
      <c r="A2827" t="str">
        <f>Sinistrés!H2832</f>
        <v>Blé tendre d'hiver</v>
      </c>
      <c r="B2827">
        <f>Sinistrés!J2832</f>
        <v>40385.4</v>
      </c>
      <c r="C2827">
        <f>Sinistrés!X2832</f>
        <v>0</v>
      </c>
      <c r="D2827">
        <f>Sinistrés!L2832</f>
        <v>23.21</v>
      </c>
      <c r="E2827">
        <f>Sinistrés!M2832</f>
        <v>23</v>
      </c>
      <c r="F2827">
        <f t="shared" si="88"/>
        <v>0</v>
      </c>
      <c r="G2827">
        <f t="shared" si="89"/>
        <v>0.99095217578629902</v>
      </c>
    </row>
    <row r="2828" spans="1:7" hidden="1">
      <c r="A2828" t="str">
        <f>Sinistrés!H2833</f>
        <v>Orge d'hiver</v>
      </c>
      <c r="B2828">
        <f>Sinistrés!J2833</f>
        <v>41912.639999999999</v>
      </c>
      <c r="C2828">
        <f>Sinistrés!X2833</f>
        <v>0</v>
      </c>
      <c r="D2828">
        <f>Sinistrés!L2833</f>
        <v>24.64</v>
      </c>
      <c r="E2828">
        <f>Sinistrés!M2833</f>
        <v>24.5</v>
      </c>
      <c r="F2828">
        <f t="shared" si="88"/>
        <v>0</v>
      </c>
      <c r="G2828">
        <f t="shared" si="89"/>
        <v>0.99431818181818177</v>
      </c>
    </row>
    <row r="2829" spans="1:7" hidden="1">
      <c r="A2829" t="str">
        <f>Sinistrés!H2834</f>
        <v>Colza d'hiver</v>
      </c>
      <c r="B2829">
        <f>Sinistrés!J2834</f>
        <v>89140.52</v>
      </c>
      <c r="C2829">
        <f>Sinistrés!X2834</f>
        <v>0</v>
      </c>
      <c r="D2829">
        <f>Sinistrés!L2834</f>
        <v>72.59</v>
      </c>
      <c r="E2829">
        <f>Sinistrés!M2834</f>
        <v>72.59</v>
      </c>
      <c r="F2829">
        <f t="shared" si="88"/>
        <v>0</v>
      </c>
      <c r="G2829">
        <f t="shared" si="89"/>
        <v>1</v>
      </c>
    </row>
    <row r="2830" spans="1:7" hidden="1">
      <c r="A2830" t="str">
        <f>Sinistrés!H2835</f>
        <v>Blé tendre d'hiver</v>
      </c>
      <c r="B2830">
        <f>Sinistrés!J2835</f>
        <v>189410.76</v>
      </c>
      <c r="C2830">
        <f>Sinistrés!X2835</f>
        <v>0</v>
      </c>
      <c r="D2830">
        <f>Sinistrés!L2835</f>
        <v>136.66</v>
      </c>
      <c r="E2830">
        <f>Sinistrés!M2835</f>
        <v>136.66</v>
      </c>
      <c r="F2830">
        <f t="shared" si="88"/>
        <v>0</v>
      </c>
      <c r="G2830">
        <f t="shared" si="89"/>
        <v>1</v>
      </c>
    </row>
    <row r="2831" spans="1:7" hidden="1">
      <c r="A2831" t="str">
        <f>Sinistrés!H2836</f>
        <v>Orge d'hiver</v>
      </c>
      <c r="B2831">
        <f>Sinistrés!J2836</f>
        <v>105571.9</v>
      </c>
      <c r="C2831">
        <f>Sinistrés!X2836</f>
        <v>0</v>
      </c>
      <c r="D2831">
        <f>Sinistrés!L2836</f>
        <v>90.04</v>
      </c>
      <c r="E2831">
        <f>Sinistrés!M2836</f>
        <v>90.04</v>
      </c>
      <c r="F2831">
        <f t="shared" si="88"/>
        <v>0</v>
      </c>
      <c r="G2831">
        <f t="shared" si="89"/>
        <v>1</v>
      </c>
    </row>
    <row r="2832" spans="1:7" hidden="1">
      <c r="A2832" t="str">
        <f>Sinistrés!H2837</f>
        <v>Orge de printemps</v>
      </c>
      <c r="B2832">
        <f>Sinistrés!J2837</f>
        <v>36378.51</v>
      </c>
      <c r="C2832">
        <f>Sinistrés!X2837</f>
        <v>0</v>
      </c>
      <c r="D2832">
        <f>Sinistrés!L2837</f>
        <v>32.840000000000003</v>
      </c>
      <c r="E2832">
        <f>Sinistrés!M2837</f>
        <v>32.840000000000003</v>
      </c>
      <c r="F2832">
        <f t="shared" si="88"/>
        <v>0</v>
      </c>
      <c r="G2832">
        <f t="shared" si="89"/>
        <v>1</v>
      </c>
    </row>
    <row r="2833" spans="1:7" hidden="1">
      <c r="A2833" t="str">
        <f>Sinistrés!H2838</f>
        <v>Triticale</v>
      </c>
      <c r="B2833">
        <f>Sinistrés!J2838</f>
        <v>18203.599999999999</v>
      </c>
      <c r="C2833">
        <f>Sinistrés!X2838</f>
        <v>0</v>
      </c>
      <c r="D2833">
        <f>Sinistrés!L2838</f>
        <v>26.77</v>
      </c>
      <c r="E2833">
        <f>Sinistrés!M2838</f>
        <v>26.77</v>
      </c>
      <c r="F2833">
        <f t="shared" si="88"/>
        <v>0</v>
      </c>
      <c r="G2833">
        <f t="shared" si="89"/>
        <v>1</v>
      </c>
    </row>
    <row r="2834" spans="1:7">
      <c r="A2834" t="str">
        <f>Sinistrés!H2839</f>
        <v>Tournesol</v>
      </c>
      <c r="B2834">
        <f>Sinistrés!J2839</f>
        <v>7936.38</v>
      </c>
      <c r="C2834">
        <f>Sinistrés!X2839</f>
        <v>499.28</v>
      </c>
      <c r="D2834">
        <f>Sinistrés!L2839</f>
        <v>10.35</v>
      </c>
      <c r="E2834">
        <f>Sinistrés!M2839</f>
        <v>10.35</v>
      </c>
      <c r="F2834">
        <f t="shared" si="88"/>
        <v>6.2910294113941112E-2</v>
      </c>
      <c r="G2834">
        <f t="shared" si="89"/>
        <v>1</v>
      </c>
    </row>
    <row r="2835" spans="1:7" hidden="1">
      <c r="A2835" t="str">
        <f>Sinistrés!H2840</f>
        <v>Tournesol</v>
      </c>
      <c r="B2835">
        <f>Sinistrés!J2840</f>
        <v>40211.199999999997</v>
      </c>
      <c r="C2835">
        <f>Sinistrés!X2840</f>
        <v>0</v>
      </c>
      <c r="D2835">
        <f>Sinistrés!L2840</f>
        <v>48.8</v>
      </c>
      <c r="E2835">
        <f>Sinistrés!M2840</f>
        <v>48.8</v>
      </c>
      <c r="F2835">
        <f t="shared" si="88"/>
        <v>0</v>
      </c>
      <c r="G2835">
        <f t="shared" si="89"/>
        <v>1</v>
      </c>
    </row>
    <row r="2836" spans="1:7" hidden="1">
      <c r="A2836" t="str">
        <f>Sinistrés!H2841</f>
        <v>Tournesol</v>
      </c>
      <c r="B2836">
        <f>Sinistrés!J2841</f>
        <v>64085.36</v>
      </c>
      <c r="C2836">
        <f>Sinistrés!X2841</f>
        <v>0</v>
      </c>
      <c r="D2836">
        <f>Sinistrés!L2841</f>
        <v>74.069999999999993</v>
      </c>
      <c r="E2836">
        <f>Sinistrés!M2841</f>
        <v>74.069999999999993</v>
      </c>
      <c r="F2836">
        <f t="shared" si="88"/>
        <v>0</v>
      </c>
      <c r="G2836">
        <f t="shared" si="89"/>
        <v>1</v>
      </c>
    </row>
    <row r="2837" spans="1:7" hidden="1">
      <c r="A2837" t="str">
        <f>Sinistrés!H2842</f>
        <v>Maïs grain non irrigué</v>
      </c>
      <c r="B2837">
        <f>Sinistrés!J2842</f>
        <v>3883.88</v>
      </c>
      <c r="C2837">
        <f>Sinistrés!X2842</f>
        <v>0</v>
      </c>
      <c r="D2837">
        <f>Sinistrés!L2842</f>
        <v>2.86</v>
      </c>
      <c r="E2837">
        <f>Sinistrés!M2842</f>
        <v>2.86</v>
      </c>
      <c r="F2837">
        <f t="shared" si="88"/>
        <v>0</v>
      </c>
      <c r="G2837">
        <f t="shared" si="89"/>
        <v>1</v>
      </c>
    </row>
    <row r="2838" spans="1:7" hidden="1">
      <c r="A2838" t="str">
        <f>Sinistrés!H2843</f>
        <v>Tournesol</v>
      </c>
      <c r="B2838">
        <f>Sinistrés!J2843</f>
        <v>11826.17</v>
      </c>
      <c r="C2838">
        <f>Sinistrés!X2843</f>
        <v>0</v>
      </c>
      <c r="D2838">
        <f>Sinistrés!L2843</f>
        <v>11.01</v>
      </c>
      <c r="E2838">
        <f>Sinistrés!M2843</f>
        <v>11.01</v>
      </c>
      <c r="F2838">
        <f t="shared" si="88"/>
        <v>0</v>
      </c>
      <c r="G2838">
        <f t="shared" si="89"/>
        <v>1</v>
      </c>
    </row>
    <row r="2839" spans="1:7" hidden="1">
      <c r="A2839" t="str">
        <f>Sinistrés!H2844</f>
        <v>Maïs grain non irrigué</v>
      </c>
      <c r="B2839">
        <f>Sinistrés!J2844</f>
        <v>21736.26</v>
      </c>
      <c r="C2839">
        <f>Sinistrés!X2844</f>
        <v>0</v>
      </c>
      <c r="D2839">
        <f>Sinistrés!L2844</f>
        <v>13.27</v>
      </c>
      <c r="E2839">
        <f>Sinistrés!M2844</f>
        <v>13.27</v>
      </c>
      <c r="F2839">
        <f t="shared" si="88"/>
        <v>0</v>
      </c>
      <c r="G2839">
        <f t="shared" si="89"/>
        <v>1</v>
      </c>
    </row>
    <row r="2840" spans="1:7" hidden="1">
      <c r="A2840" t="str">
        <f>Sinistrés!H2845</f>
        <v>Maïs grain irrigué</v>
      </c>
      <c r="B2840">
        <f>Sinistrés!J2845</f>
        <v>23059.8</v>
      </c>
      <c r="C2840">
        <f>Sinistrés!X2845</f>
        <v>0</v>
      </c>
      <c r="D2840">
        <f>Sinistrés!L2845</f>
        <v>11.14</v>
      </c>
      <c r="E2840">
        <f>Sinistrés!M2845</f>
        <v>11.14</v>
      </c>
      <c r="F2840">
        <f t="shared" si="88"/>
        <v>0</v>
      </c>
      <c r="G2840">
        <f t="shared" si="89"/>
        <v>1</v>
      </c>
    </row>
    <row r="2841" spans="1:7" hidden="1">
      <c r="A2841" t="str">
        <f>Sinistrés!H2846</f>
        <v>Soja</v>
      </c>
      <c r="B2841">
        <f>Sinistrés!J2846</f>
        <v>13044.15</v>
      </c>
      <c r="C2841">
        <f>Sinistrés!X2846</f>
        <v>0</v>
      </c>
      <c r="D2841">
        <f>Sinistrés!L2846</f>
        <v>12.3</v>
      </c>
      <c r="E2841">
        <f>Sinistrés!M2846</f>
        <v>12.3</v>
      </c>
      <c r="F2841">
        <f t="shared" si="88"/>
        <v>0</v>
      </c>
      <c r="G2841">
        <f t="shared" si="89"/>
        <v>1</v>
      </c>
    </row>
    <row r="2842" spans="1:7" hidden="1">
      <c r="A2842" t="str">
        <f>Sinistrés!H2847</f>
        <v>Pois secs / Pois Chiches BIO</v>
      </c>
      <c r="B2842">
        <f>Sinistrés!J2847</f>
        <v>19138.8</v>
      </c>
      <c r="C2842">
        <f>Sinistrés!X2847</f>
        <v>0</v>
      </c>
      <c r="D2842">
        <f>Sinistrés!L2847</f>
        <v>15.56</v>
      </c>
      <c r="E2842">
        <f>Sinistrés!M2847</f>
        <v>15.56</v>
      </c>
      <c r="F2842">
        <f t="shared" si="88"/>
        <v>0</v>
      </c>
      <c r="G2842">
        <f t="shared" si="89"/>
        <v>1</v>
      </c>
    </row>
    <row r="2843" spans="1:7" hidden="1">
      <c r="A2843" t="str">
        <f>Sinistrés!H2848</f>
        <v>Tournesol BIO</v>
      </c>
      <c r="B2843">
        <f>Sinistrés!J2848</f>
        <v>2627.4</v>
      </c>
      <c r="C2843">
        <f>Sinistrés!X2848</f>
        <v>0</v>
      </c>
      <c r="D2843">
        <f>Sinistrés!L2848</f>
        <v>2.9</v>
      </c>
      <c r="E2843">
        <f>Sinistrés!M2848</f>
        <v>2.9</v>
      </c>
      <c r="F2843">
        <f t="shared" si="88"/>
        <v>0</v>
      </c>
      <c r="G2843">
        <f t="shared" si="89"/>
        <v>1</v>
      </c>
    </row>
    <row r="2844" spans="1:7" hidden="1">
      <c r="A2844" t="str">
        <f>Sinistrés!H2849</f>
        <v>Pois secs / Pois Chiches BIO</v>
      </c>
      <c r="B2844">
        <f>Sinistrés!J2849</f>
        <v>19008</v>
      </c>
      <c r="C2844">
        <f>Sinistrés!X2849</f>
        <v>0</v>
      </c>
      <c r="D2844">
        <f>Sinistrés!L2849</f>
        <v>11.88</v>
      </c>
      <c r="E2844">
        <f>Sinistrés!M2849</f>
        <v>9.34</v>
      </c>
      <c r="F2844">
        <f t="shared" si="88"/>
        <v>0</v>
      </c>
      <c r="G2844">
        <f t="shared" si="89"/>
        <v>0.78619528619528611</v>
      </c>
    </row>
    <row r="2845" spans="1:7" hidden="1">
      <c r="A2845" t="str">
        <f>Sinistrés!H2850</f>
        <v>Maïs grain non irrigué BIO</v>
      </c>
      <c r="B2845">
        <f>Sinistrés!J2850</f>
        <v>8959.65</v>
      </c>
      <c r="C2845">
        <f>Sinistrés!X2850</f>
        <v>2699.97</v>
      </c>
      <c r="D2845">
        <f>Sinistrés!L2850</f>
        <v>8.0500000000000007</v>
      </c>
      <c r="E2845">
        <f>Sinistrés!M2850</f>
        <v>8.0500000000000007</v>
      </c>
      <c r="F2845">
        <f t="shared" si="88"/>
        <v>0.30134770889487872</v>
      </c>
      <c r="G2845">
        <f t="shared" si="89"/>
        <v>1</v>
      </c>
    </row>
    <row r="2846" spans="1:7" hidden="1">
      <c r="A2846" t="str">
        <f>Sinistrés!H2851</f>
        <v>Maïs grain non irrigué</v>
      </c>
      <c r="B2846">
        <f>Sinistrés!J2851</f>
        <v>31202.81</v>
      </c>
      <c r="C2846">
        <f>Sinistrés!X2851</f>
        <v>0</v>
      </c>
      <c r="D2846">
        <f>Sinistrés!L2851</f>
        <v>23.66</v>
      </c>
      <c r="E2846">
        <f>Sinistrés!M2851</f>
        <v>23.66</v>
      </c>
      <c r="F2846">
        <f t="shared" si="88"/>
        <v>0</v>
      </c>
      <c r="G2846">
        <f t="shared" si="89"/>
        <v>1</v>
      </c>
    </row>
    <row r="2847" spans="1:7" hidden="1">
      <c r="A2847" t="str">
        <f>Sinistrés!H2852</f>
        <v>Tournesol</v>
      </c>
      <c r="B2847">
        <f>Sinistrés!J2852</f>
        <v>21967.8</v>
      </c>
      <c r="C2847">
        <f>Sinistrés!X2852</f>
        <v>0</v>
      </c>
      <c r="D2847">
        <f>Sinistrés!L2852</f>
        <v>19.27</v>
      </c>
      <c r="E2847">
        <f>Sinistrés!M2852</f>
        <v>19.27</v>
      </c>
      <c r="F2847">
        <f t="shared" si="88"/>
        <v>0</v>
      </c>
      <c r="G2847">
        <f t="shared" si="89"/>
        <v>1</v>
      </c>
    </row>
    <row r="2848" spans="1:7" hidden="1">
      <c r="A2848" t="str">
        <f>Sinistrés!H2853</f>
        <v>Maïs grain non irrigué</v>
      </c>
      <c r="B2848">
        <f>Sinistrés!J2853</f>
        <v>12949.74</v>
      </c>
      <c r="C2848">
        <f>Sinistrés!X2853</f>
        <v>0</v>
      </c>
      <c r="D2848">
        <f>Sinistrés!L2853</f>
        <v>7.35</v>
      </c>
      <c r="E2848">
        <f>Sinistrés!M2853</f>
        <v>7.35</v>
      </c>
      <c r="F2848">
        <f t="shared" si="88"/>
        <v>0</v>
      </c>
      <c r="G2848">
        <f t="shared" si="89"/>
        <v>1</v>
      </c>
    </row>
    <row r="2849" spans="1:7" hidden="1">
      <c r="A2849" t="str">
        <f>Sinistrés!H2854</f>
        <v>Tournesol</v>
      </c>
      <c r="B2849">
        <f>Sinistrés!J2854</f>
        <v>27676.14</v>
      </c>
      <c r="C2849">
        <f>Sinistrés!X2854</f>
        <v>0</v>
      </c>
      <c r="D2849">
        <f>Sinistrés!L2854</f>
        <v>19.829999999999998</v>
      </c>
      <c r="E2849">
        <f>Sinistrés!M2854</f>
        <v>19.829999999999998</v>
      </c>
      <c r="F2849">
        <f t="shared" si="88"/>
        <v>0</v>
      </c>
      <c r="G2849">
        <f t="shared" si="89"/>
        <v>1</v>
      </c>
    </row>
    <row r="2850" spans="1:7" hidden="1">
      <c r="A2850" t="str">
        <f>Sinistrés!H2855</f>
        <v>Blé tendre d'hiver BIO</v>
      </c>
      <c r="B2850">
        <f>Sinistrés!J2855</f>
        <v>52250</v>
      </c>
      <c r="C2850">
        <f>Sinistrés!X2855</f>
        <v>0</v>
      </c>
      <c r="D2850">
        <f>Sinistrés!L2855</f>
        <v>55</v>
      </c>
      <c r="E2850">
        <f>Sinistrés!M2855</f>
        <v>55</v>
      </c>
      <c r="F2850">
        <f t="shared" si="88"/>
        <v>0</v>
      </c>
      <c r="G2850">
        <f t="shared" si="89"/>
        <v>1</v>
      </c>
    </row>
    <row r="2851" spans="1:7" hidden="1">
      <c r="A2851" t="str">
        <f>Sinistrés!H2856</f>
        <v>Pois secs / Pois Chiches BIO</v>
      </c>
      <c r="B2851">
        <f>Sinistrés!J2856</f>
        <v>15300</v>
      </c>
      <c r="C2851">
        <f>Sinistrés!X2856</f>
        <v>3633.75</v>
      </c>
      <c r="D2851">
        <f>Sinistrés!L2856</f>
        <v>12.5</v>
      </c>
      <c r="E2851">
        <f>Sinistrés!M2856</f>
        <v>12.5</v>
      </c>
      <c r="F2851">
        <f t="shared" si="88"/>
        <v>0.23749999999999999</v>
      </c>
      <c r="G2851">
        <f t="shared" si="89"/>
        <v>1</v>
      </c>
    </row>
    <row r="2852" spans="1:7" hidden="1">
      <c r="A2852" t="str">
        <f>Sinistrés!H2857</f>
        <v>Soja BIO</v>
      </c>
      <c r="B2852">
        <f>Sinistrés!J2857</f>
        <v>14400</v>
      </c>
      <c r="C2852">
        <f>Sinistrés!X2857</f>
        <v>5088</v>
      </c>
      <c r="D2852">
        <f>Sinistrés!L2857</f>
        <v>16</v>
      </c>
      <c r="E2852">
        <f>Sinistrés!M2857</f>
        <v>16</v>
      </c>
      <c r="F2852">
        <f t="shared" si="88"/>
        <v>0.35333333333333333</v>
      </c>
      <c r="G2852">
        <f t="shared" si="89"/>
        <v>1</v>
      </c>
    </row>
    <row r="2853" spans="1:7" hidden="1">
      <c r="A2853" t="str">
        <f>Sinistrés!H2858</f>
        <v>Tournesol BIO</v>
      </c>
      <c r="B2853">
        <f>Sinistrés!J2858</f>
        <v>22680</v>
      </c>
      <c r="C2853">
        <f>Sinistrés!X2858</f>
        <v>2268</v>
      </c>
      <c r="D2853">
        <f>Sinistrés!L2858</f>
        <v>27</v>
      </c>
      <c r="E2853">
        <f>Sinistrés!M2858</f>
        <v>27</v>
      </c>
      <c r="F2853">
        <f t="shared" si="88"/>
        <v>0.1</v>
      </c>
      <c r="G2853">
        <f t="shared" si="89"/>
        <v>1</v>
      </c>
    </row>
    <row r="2854" spans="1:7" hidden="1">
      <c r="A2854" t="str">
        <f>Sinistrés!H2859</f>
        <v>Tournesol</v>
      </c>
      <c r="B2854">
        <f>Sinistrés!J2859</f>
        <v>12075.84</v>
      </c>
      <c r="C2854">
        <f>Sinistrés!X2859</f>
        <v>0</v>
      </c>
      <c r="D2854">
        <f>Sinistrés!L2859</f>
        <v>8</v>
      </c>
      <c r="E2854">
        <f>Sinistrés!M2859</f>
        <v>8</v>
      </c>
      <c r="F2854">
        <f t="shared" si="88"/>
        <v>0</v>
      </c>
      <c r="G2854">
        <f t="shared" si="89"/>
        <v>1</v>
      </c>
    </row>
    <row r="2855" spans="1:7" hidden="1">
      <c r="A2855" t="str">
        <f>Sinistrés!H2860</f>
        <v>Maïs waxy non irrigué</v>
      </c>
      <c r="B2855">
        <f>Sinistrés!J2860</f>
        <v>8040.96</v>
      </c>
      <c r="C2855">
        <f>Sinistrés!X2860</f>
        <v>0</v>
      </c>
      <c r="D2855">
        <f>Sinistrés!L2860</f>
        <v>5.76</v>
      </c>
      <c r="E2855">
        <f>Sinistrés!M2860</f>
        <v>5.76</v>
      </c>
      <c r="F2855">
        <f t="shared" si="88"/>
        <v>0</v>
      </c>
      <c r="G2855">
        <f t="shared" si="89"/>
        <v>1</v>
      </c>
    </row>
    <row r="2856" spans="1:7">
      <c r="A2856" t="str">
        <f>Sinistrés!H2861</f>
        <v>Maïs grain non irrigué</v>
      </c>
      <c r="B2856">
        <f>Sinistrés!J2861</f>
        <v>23884.38</v>
      </c>
      <c r="C2856">
        <f>Sinistrés!X2861</f>
        <v>2846.2</v>
      </c>
      <c r="D2856">
        <f>Sinistrés!L2861</f>
        <v>15.57</v>
      </c>
      <c r="E2856">
        <f>Sinistrés!M2861</f>
        <v>15.57</v>
      </c>
      <c r="F2856">
        <f t="shared" si="88"/>
        <v>0.11916574765599944</v>
      </c>
      <c r="G2856">
        <f t="shared" si="89"/>
        <v>1</v>
      </c>
    </row>
    <row r="2857" spans="1:7" hidden="1">
      <c r="A2857" t="str">
        <f>Sinistrés!H2862</f>
        <v>Tournesol</v>
      </c>
      <c r="B2857">
        <f>Sinistrés!J2862</f>
        <v>29638</v>
      </c>
      <c r="C2857">
        <f>Sinistrés!X2862</f>
        <v>0</v>
      </c>
      <c r="D2857">
        <f>Sinistrés!L2862</f>
        <v>20.440000000000001</v>
      </c>
      <c r="E2857">
        <f>Sinistrés!M2862</f>
        <v>20.440000000000001</v>
      </c>
      <c r="F2857">
        <f t="shared" si="88"/>
        <v>0</v>
      </c>
      <c r="G2857">
        <f t="shared" si="89"/>
        <v>1</v>
      </c>
    </row>
    <row r="2858" spans="1:7" hidden="1">
      <c r="A2858" t="str">
        <f>Sinistrés!H2863</f>
        <v>Maïs grain irrigué</v>
      </c>
      <c r="B2858">
        <f>Sinistrés!J2863</f>
        <v>31082.77</v>
      </c>
      <c r="C2858">
        <f>Sinistrés!X2863</f>
        <v>0</v>
      </c>
      <c r="D2858">
        <f>Sinistrés!L2863</f>
        <v>15.05</v>
      </c>
      <c r="E2858">
        <f>Sinistrés!M2863</f>
        <v>15</v>
      </c>
      <c r="F2858">
        <f t="shared" si="88"/>
        <v>0</v>
      </c>
      <c r="G2858">
        <f t="shared" si="89"/>
        <v>0.99667774086378735</v>
      </c>
    </row>
    <row r="2859" spans="1:7">
      <c r="A2859" t="str">
        <f>Sinistrés!H2864</f>
        <v>Tournesol</v>
      </c>
      <c r="B2859">
        <f>Sinistrés!J2864</f>
        <v>25365.93</v>
      </c>
      <c r="C2859">
        <f>Sinistrés!X2864</f>
        <v>4179.95</v>
      </c>
      <c r="D2859">
        <f>Sinistrés!L2864</f>
        <v>21.41</v>
      </c>
      <c r="E2859">
        <f>Sinistrés!M2864</f>
        <v>21.41</v>
      </c>
      <c r="F2859">
        <f t="shared" si="88"/>
        <v>0.16478599444215133</v>
      </c>
      <c r="G2859">
        <f t="shared" si="89"/>
        <v>1</v>
      </c>
    </row>
    <row r="2860" spans="1:7">
      <c r="A2860" t="str">
        <f>Sinistrés!H2865</f>
        <v>Maïs grain non irrigué</v>
      </c>
      <c r="B2860">
        <f>Sinistrés!J2865</f>
        <v>1931.57</v>
      </c>
      <c r="C2860">
        <f>Sinistrés!X2865</f>
        <v>13</v>
      </c>
      <c r="D2860">
        <f>Sinistrés!L2865</f>
        <v>1.97</v>
      </c>
      <c r="E2860">
        <f>Sinistrés!M2865</f>
        <v>1.97</v>
      </c>
      <c r="F2860">
        <f t="shared" si="88"/>
        <v>6.7302764072749112E-3</v>
      </c>
      <c r="G2860">
        <f t="shared" si="89"/>
        <v>1</v>
      </c>
    </row>
    <row r="2861" spans="1:7" hidden="1">
      <c r="A2861" t="str">
        <f>Sinistrés!H2866</f>
        <v>Maïs grain non irrigué</v>
      </c>
      <c r="B2861">
        <f>Sinistrés!J2866</f>
        <v>37077.4</v>
      </c>
      <c r="C2861">
        <f>Sinistrés!X2866</f>
        <v>0</v>
      </c>
      <c r="D2861">
        <f>Sinistrés!L2866</f>
        <v>38.64</v>
      </c>
      <c r="E2861">
        <f>Sinistrés!M2866</f>
        <v>38.64</v>
      </c>
      <c r="F2861">
        <f t="shared" si="88"/>
        <v>0</v>
      </c>
      <c r="G2861">
        <f t="shared" si="89"/>
        <v>1</v>
      </c>
    </row>
    <row r="2862" spans="1:7">
      <c r="A2862" t="str">
        <f>Sinistrés!H2867</f>
        <v>Orge de printemps</v>
      </c>
      <c r="B2862">
        <f>Sinistrés!J2867</f>
        <v>36161.24</v>
      </c>
      <c r="C2862">
        <f>Sinistrés!X2867</f>
        <v>25511.27</v>
      </c>
      <c r="D2862">
        <f>Sinistrés!L2867</f>
        <v>44.04</v>
      </c>
      <c r="E2862">
        <f>Sinistrés!M2867</f>
        <v>44.04</v>
      </c>
      <c r="F2862">
        <f t="shared" si="88"/>
        <v>0.70548659282701598</v>
      </c>
      <c r="G2862">
        <f t="shared" si="89"/>
        <v>1</v>
      </c>
    </row>
    <row r="2863" spans="1:7">
      <c r="A2863" t="str">
        <f>Sinistrés!H2868</f>
        <v>Avoine d'hiver</v>
      </c>
      <c r="B2863">
        <f>Sinistrés!J2868</f>
        <v>36158.720000000001</v>
      </c>
      <c r="C2863">
        <f>Sinistrés!X2868</f>
        <v>4982.8500000000004</v>
      </c>
      <c r="D2863">
        <f>Sinistrés!L2868</f>
        <v>55.12</v>
      </c>
      <c r="E2863">
        <f>Sinistrés!M2868</f>
        <v>55.12</v>
      </c>
      <c r="F2863">
        <f t="shared" si="88"/>
        <v>0.13780493336047295</v>
      </c>
      <c r="G2863">
        <f t="shared" si="89"/>
        <v>1</v>
      </c>
    </row>
    <row r="2864" spans="1:7" hidden="1">
      <c r="A2864" t="str">
        <f>Sinistrés!H2869</f>
        <v>Blé tendre d'hiver</v>
      </c>
      <c r="B2864">
        <f>Sinistrés!J2869</f>
        <v>74600.740000000005</v>
      </c>
      <c r="C2864">
        <f>Sinistrés!X2869</f>
        <v>0</v>
      </c>
      <c r="D2864">
        <f>Sinistrés!L2869</f>
        <v>102.77</v>
      </c>
      <c r="E2864">
        <f>Sinistrés!M2869</f>
        <v>102.77</v>
      </c>
      <c r="F2864">
        <f t="shared" si="88"/>
        <v>0</v>
      </c>
      <c r="G2864">
        <f t="shared" si="89"/>
        <v>1</v>
      </c>
    </row>
    <row r="2865" spans="1:7" hidden="1">
      <c r="A2865" t="str">
        <f>Sinistrés!H2870</f>
        <v>Tournesol</v>
      </c>
      <c r="B2865">
        <f>Sinistrés!J2870</f>
        <v>23709.15</v>
      </c>
      <c r="C2865">
        <f>Sinistrés!X2870</f>
        <v>0</v>
      </c>
      <c r="D2865">
        <f>Sinistrés!L2870</f>
        <v>35.25</v>
      </c>
      <c r="E2865">
        <f>Sinistrés!M2870</f>
        <v>35.25</v>
      </c>
      <c r="F2865">
        <f t="shared" si="88"/>
        <v>0</v>
      </c>
      <c r="G2865">
        <f t="shared" si="89"/>
        <v>1</v>
      </c>
    </row>
    <row r="2866" spans="1:7">
      <c r="A2866" t="str">
        <f>Sinistrés!H2871</f>
        <v>Orge de printemps</v>
      </c>
      <c r="B2866">
        <f>Sinistrés!J2871</f>
        <v>92166.28</v>
      </c>
      <c r="C2866">
        <f>Sinistrés!X2871</f>
        <v>2835.41</v>
      </c>
      <c r="D2866">
        <f>Sinistrés!L2871</f>
        <v>77.23</v>
      </c>
      <c r="E2866">
        <f>Sinistrés!M2871</f>
        <v>78.63</v>
      </c>
      <c r="F2866">
        <f t="shared" si="88"/>
        <v>3.0764071198273381E-2</v>
      </c>
      <c r="G2866">
        <f t="shared" si="89"/>
        <v>1.0181276705943285</v>
      </c>
    </row>
    <row r="2867" spans="1:7">
      <c r="A2867" t="str">
        <f>Sinistrés!H2872</f>
        <v>Blé tendre d'hiver</v>
      </c>
      <c r="B2867">
        <f>Sinistrés!J2872</f>
        <v>11682.89</v>
      </c>
      <c r="C2867">
        <f>Sinistrés!X2872</f>
        <v>3176.71</v>
      </c>
      <c r="D2867">
        <f>Sinistrés!L2872</f>
        <v>13.79</v>
      </c>
      <c r="E2867">
        <f>Sinistrés!M2872</f>
        <v>13.31</v>
      </c>
      <c r="F2867">
        <f t="shared" si="88"/>
        <v>0.27191131646364897</v>
      </c>
      <c r="G2867">
        <f t="shared" si="89"/>
        <v>0.96519216823785359</v>
      </c>
    </row>
    <row r="2868" spans="1:7" hidden="1">
      <c r="A2868" t="str">
        <f>Sinistrés!H2873</f>
        <v>Seigle et méteil</v>
      </c>
      <c r="B2868">
        <f>Sinistrés!J2873</f>
        <v>6293.3</v>
      </c>
      <c r="C2868">
        <f>Sinistrés!X2873</f>
        <v>0</v>
      </c>
      <c r="D2868">
        <f>Sinistrés!L2873</f>
        <v>12.07</v>
      </c>
      <c r="E2868">
        <f>Sinistrés!M2873</f>
        <v>12.07</v>
      </c>
      <c r="F2868">
        <f t="shared" si="88"/>
        <v>0</v>
      </c>
      <c r="G2868">
        <f t="shared" si="89"/>
        <v>1</v>
      </c>
    </row>
    <row r="2869" spans="1:7" hidden="1">
      <c r="A2869" t="str">
        <f>Sinistrés!H2874</f>
        <v>Blé tendre d'hiver</v>
      </c>
      <c r="B2869">
        <f>Sinistrés!J2874</f>
        <v>1412</v>
      </c>
      <c r="C2869">
        <f>Sinistrés!X2874</f>
        <v>0</v>
      </c>
      <c r="D2869">
        <f>Sinistrés!L2874</f>
        <v>2.5</v>
      </c>
      <c r="E2869">
        <f>Sinistrés!M2874</f>
        <v>2.54</v>
      </c>
      <c r="F2869">
        <f t="shared" si="88"/>
        <v>0</v>
      </c>
      <c r="G2869">
        <f t="shared" si="89"/>
        <v>1.016</v>
      </c>
    </row>
    <row r="2870" spans="1:7" hidden="1">
      <c r="A2870" t="str">
        <f>Sinistrés!H2875</f>
        <v>Seigle et méteil</v>
      </c>
      <c r="B2870">
        <f>Sinistrés!J2875</f>
        <v>3050.19</v>
      </c>
      <c r="C2870">
        <f>Sinistrés!X2875</f>
        <v>0</v>
      </c>
      <c r="D2870">
        <f>Sinistrés!L2875</f>
        <v>8.58</v>
      </c>
      <c r="E2870">
        <f>Sinistrés!M2875</f>
        <v>8.58</v>
      </c>
      <c r="F2870">
        <f t="shared" si="88"/>
        <v>0</v>
      </c>
      <c r="G2870">
        <f t="shared" si="89"/>
        <v>1</v>
      </c>
    </row>
    <row r="2871" spans="1:7">
      <c r="A2871" t="str">
        <f>Sinistrés!H2876</f>
        <v>Maïs ensilage irrigué</v>
      </c>
      <c r="B2871">
        <f>Sinistrés!J2876</f>
        <v>52883.6</v>
      </c>
      <c r="C2871">
        <f>Sinistrés!X2876</f>
        <v>39165.279999999999</v>
      </c>
      <c r="D2871">
        <f>Sinistrés!L2876</f>
        <v>26.18</v>
      </c>
      <c r="E2871">
        <f>Sinistrés!M2876</f>
        <v>26.18</v>
      </c>
      <c r="F2871">
        <f t="shared" si="88"/>
        <v>0.74059405940594059</v>
      </c>
      <c r="G2871">
        <f t="shared" si="89"/>
        <v>1</v>
      </c>
    </row>
    <row r="2872" spans="1:7">
      <c r="A2872" t="str">
        <f>Sinistrés!H2877</f>
        <v>Blé tendre d'hiver</v>
      </c>
      <c r="B2872">
        <f>Sinistrés!J2877</f>
        <v>11306.29</v>
      </c>
      <c r="C2872">
        <f>Sinistrés!X2877</f>
        <v>6169.01</v>
      </c>
      <c r="D2872">
        <f>Sinistrés!L2877</f>
        <v>11.21</v>
      </c>
      <c r="E2872">
        <f>Sinistrés!M2877</f>
        <v>11.21</v>
      </c>
      <c r="F2872">
        <f t="shared" si="88"/>
        <v>0.54562637257668078</v>
      </c>
      <c r="G2872">
        <f t="shared" si="89"/>
        <v>1</v>
      </c>
    </row>
    <row r="2873" spans="1:7">
      <c r="A2873" t="str">
        <f>Sinistrés!H2878</f>
        <v>Féveroles et fèves</v>
      </c>
      <c r="B2873">
        <f>Sinistrés!J2878</f>
        <v>7828.56</v>
      </c>
      <c r="C2873">
        <f>Sinistrés!X2878</f>
        <v>5302.85</v>
      </c>
      <c r="D2873">
        <f>Sinistrés!L2878</f>
        <v>12</v>
      </c>
      <c r="E2873">
        <f>Sinistrés!M2878</f>
        <v>12</v>
      </c>
      <c r="F2873">
        <f t="shared" si="88"/>
        <v>0.67737233922969231</v>
      </c>
      <c r="G2873">
        <f t="shared" si="89"/>
        <v>1</v>
      </c>
    </row>
    <row r="2874" spans="1:7">
      <c r="A2874" t="str">
        <f>Sinistrés!H2879</f>
        <v>Maïs grain irrigué</v>
      </c>
      <c r="B2874">
        <f>Sinistrés!J2879</f>
        <v>13284.54</v>
      </c>
      <c r="C2874">
        <f>Sinistrés!X2879</f>
        <v>9822.94</v>
      </c>
      <c r="D2874">
        <f>Sinistrés!L2879</f>
        <v>6.19</v>
      </c>
      <c r="E2874">
        <f>Sinistrés!M2879</f>
        <v>6.19</v>
      </c>
      <c r="F2874">
        <f t="shared" si="88"/>
        <v>0.73942643102433359</v>
      </c>
      <c r="G2874">
        <f t="shared" si="89"/>
        <v>1</v>
      </c>
    </row>
    <row r="2875" spans="1:7">
      <c r="A2875" t="str">
        <f>Sinistrés!H2880</f>
        <v>Triticale</v>
      </c>
      <c r="B2875">
        <f>Sinistrés!J2880</f>
        <v>11717.2</v>
      </c>
      <c r="C2875">
        <f>Sinistrés!X2880</f>
        <v>6643.38</v>
      </c>
      <c r="D2875">
        <f>Sinistrés!L2880</f>
        <v>19.89</v>
      </c>
      <c r="E2875">
        <f>Sinistrés!M2880</f>
        <v>19.89</v>
      </c>
      <c r="F2875">
        <f t="shared" si="88"/>
        <v>0.56697675212508103</v>
      </c>
      <c r="G2875">
        <f t="shared" si="89"/>
        <v>1</v>
      </c>
    </row>
    <row r="2876" spans="1:7">
      <c r="A2876" t="str">
        <f>Sinistrés!H2881</f>
        <v>Maïs grain non irrigué</v>
      </c>
      <c r="B2876">
        <f>Sinistrés!J2881</f>
        <v>25471.16</v>
      </c>
      <c r="C2876">
        <f>Sinistrés!X2881</f>
        <v>11934.66</v>
      </c>
      <c r="D2876">
        <f>Sinistrés!L2881</f>
        <v>22.28</v>
      </c>
      <c r="E2876">
        <f>Sinistrés!M2881</f>
        <v>22.09</v>
      </c>
      <c r="F2876">
        <f t="shared" si="88"/>
        <v>0.46855580978644079</v>
      </c>
      <c r="G2876">
        <f t="shared" si="89"/>
        <v>0.99147217235188501</v>
      </c>
    </row>
    <row r="2877" spans="1:7">
      <c r="A2877" t="str">
        <f>Sinistrés!H2882</f>
        <v>Tournesol</v>
      </c>
      <c r="B2877">
        <f>Sinistrés!J2882</f>
        <v>1076.4000000000001</v>
      </c>
      <c r="C2877">
        <f>Sinistrés!X2882</f>
        <v>748.8</v>
      </c>
      <c r="D2877">
        <f>Sinistrés!L2882</f>
        <v>1.04</v>
      </c>
      <c r="E2877">
        <f>Sinistrés!M2882</f>
        <v>1</v>
      </c>
      <c r="F2877">
        <f t="shared" si="88"/>
        <v>0.69565217391304335</v>
      </c>
      <c r="G2877">
        <f t="shared" si="89"/>
        <v>0.96153846153846145</v>
      </c>
    </row>
    <row r="2878" spans="1:7">
      <c r="A2878" t="str">
        <f>Sinistrés!H2883</f>
        <v>Orge d'hiver</v>
      </c>
      <c r="B2878">
        <f>Sinistrés!J2883</f>
        <v>11445.67</v>
      </c>
      <c r="C2878">
        <f>Sinistrés!X2883</f>
        <v>5192.43</v>
      </c>
      <c r="D2878">
        <f>Sinistrés!L2883</f>
        <v>9.59</v>
      </c>
      <c r="E2878">
        <f>Sinistrés!M2883</f>
        <v>9.49</v>
      </c>
      <c r="F2878">
        <f t="shared" si="88"/>
        <v>0.45365889458633701</v>
      </c>
      <c r="G2878">
        <f t="shared" si="89"/>
        <v>0.98957247132429615</v>
      </c>
    </row>
    <row r="2879" spans="1:7">
      <c r="A2879" t="str">
        <f>Sinistrés!H2884</f>
        <v>Blé tendre d'hiver</v>
      </c>
      <c r="B2879">
        <f>Sinistrés!J2884</f>
        <v>14098.74</v>
      </c>
      <c r="C2879">
        <f>Sinistrés!X2884</f>
        <v>6445.57</v>
      </c>
      <c r="D2879">
        <f>Sinistrés!L2884</f>
        <v>14.24</v>
      </c>
      <c r="E2879">
        <f>Sinistrés!M2884</f>
        <v>14.1</v>
      </c>
      <c r="F2879">
        <f t="shared" si="88"/>
        <v>0.45717347791362917</v>
      </c>
      <c r="G2879">
        <f t="shared" si="89"/>
        <v>0.9901685393258427</v>
      </c>
    </row>
    <row r="2880" spans="1:7">
      <c r="A2880" t="str">
        <f>Sinistrés!H2885</f>
        <v>Colza d'hiver</v>
      </c>
      <c r="B2880">
        <f>Sinistrés!J2885</f>
        <v>73746.720000000001</v>
      </c>
      <c r="C2880">
        <f>Sinistrés!X2885</f>
        <v>7958.14</v>
      </c>
      <c r="D2880">
        <f>Sinistrés!L2885</f>
        <v>48</v>
      </c>
      <c r="E2880">
        <f>Sinistrés!M2885</f>
        <v>48</v>
      </c>
      <c r="F2880">
        <f t="shared" si="88"/>
        <v>0.10791178238164355</v>
      </c>
      <c r="G2880">
        <f t="shared" si="89"/>
        <v>1</v>
      </c>
    </row>
    <row r="2881" spans="1:7" hidden="1">
      <c r="A2881" t="str">
        <f>Sinistrés!H2886</f>
        <v>Colza d'hiver</v>
      </c>
      <c r="B2881">
        <f>Sinistrés!J2886</f>
        <v>26177.5</v>
      </c>
      <c r="C2881">
        <f>Sinistrés!X2886</f>
        <v>0</v>
      </c>
      <c r="D2881">
        <f>Sinistrés!L2886</f>
        <v>18.5</v>
      </c>
      <c r="E2881">
        <f>Sinistrés!M2886</f>
        <v>18.5</v>
      </c>
      <c r="F2881">
        <f t="shared" si="88"/>
        <v>0</v>
      </c>
      <c r="G2881">
        <f t="shared" si="89"/>
        <v>1</v>
      </c>
    </row>
    <row r="2882" spans="1:7" hidden="1">
      <c r="A2882" t="str">
        <f>Sinistrés!H2887</f>
        <v>Blé tendre d'hiver</v>
      </c>
      <c r="B2882">
        <f>Sinistrés!J2887</f>
        <v>23086.799999999999</v>
      </c>
      <c r="C2882">
        <f>Sinistrés!X2887</f>
        <v>0</v>
      </c>
      <c r="D2882">
        <f>Sinistrés!L2887</f>
        <v>22</v>
      </c>
      <c r="E2882">
        <f>Sinistrés!M2887</f>
        <v>13</v>
      </c>
      <c r="F2882">
        <f t="shared" si="88"/>
        <v>0</v>
      </c>
      <c r="G2882">
        <f t="shared" si="89"/>
        <v>0.59090909090909094</v>
      </c>
    </row>
    <row r="2883" spans="1:7">
      <c r="A2883" t="str">
        <f>Sinistrés!H2888</f>
        <v>Tournesol</v>
      </c>
      <c r="B2883">
        <f>Sinistrés!J2888</f>
        <v>7358.4</v>
      </c>
      <c r="C2883">
        <f>Sinistrés!X2888</f>
        <v>2204.02</v>
      </c>
      <c r="D2883">
        <f>Sinistrés!L2888</f>
        <v>8.76</v>
      </c>
      <c r="E2883">
        <f>Sinistrés!M2888</f>
        <v>8.76</v>
      </c>
      <c r="F2883">
        <f t="shared" ref="F2883:F2946" si="90">C2883/B2883</f>
        <v>0.29952435312024356</v>
      </c>
      <c r="G2883">
        <f t="shared" ref="G2883:G2946" si="91">E2883/D2883</f>
        <v>1</v>
      </c>
    </row>
    <row r="2884" spans="1:7">
      <c r="A2884" t="str">
        <f>Sinistrés!H2889</f>
        <v>Blé dur d'hiver</v>
      </c>
      <c r="B2884">
        <f>Sinistrés!J2889</f>
        <v>11880.25</v>
      </c>
      <c r="C2884">
        <f>Sinistrés!X2889</f>
        <v>3445.63</v>
      </c>
      <c r="D2884">
        <f>Sinistrés!L2889</f>
        <v>9.9700000000000006</v>
      </c>
      <c r="E2884">
        <f>Sinistrés!M2889</f>
        <v>9.9700000000000006</v>
      </c>
      <c r="F2884">
        <f t="shared" si="90"/>
        <v>0.29003009195934432</v>
      </c>
      <c r="G2884">
        <f t="shared" si="91"/>
        <v>1</v>
      </c>
    </row>
    <row r="2885" spans="1:7">
      <c r="A2885" t="str">
        <f>Sinistrés!H2890</f>
        <v>Blé tendre d'hiver</v>
      </c>
      <c r="B2885">
        <f>Sinistrés!J2890</f>
        <v>28115.57</v>
      </c>
      <c r="C2885">
        <f>Sinistrés!X2890</f>
        <v>2665.17</v>
      </c>
      <c r="D2885">
        <f>Sinistrés!L2890</f>
        <v>23.92</v>
      </c>
      <c r="E2885">
        <f>Sinistrés!M2890</f>
        <v>22</v>
      </c>
      <c r="F2885">
        <f t="shared" si="90"/>
        <v>9.479338316811646E-2</v>
      </c>
      <c r="G2885">
        <f t="shared" si="91"/>
        <v>0.91973244147157185</v>
      </c>
    </row>
    <row r="2886" spans="1:7">
      <c r="A2886" t="str">
        <f>Sinistrés!H2891</f>
        <v>Maïs grain irrigué</v>
      </c>
      <c r="B2886">
        <f>Sinistrés!J2891</f>
        <v>30424.57</v>
      </c>
      <c r="C2886">
        <f>Sinistrés!X2891</f>
        <v>9683.81</v>
      </c>
      <c r="D2886">
        <f>Sinistrés!L2891</f>
        <v>16.62</v>
      </c>
      <c r="E2886">
        <f>Sinistrés!M2891</f>
        <v>16.62</v>
      </c>
      <c r="F2886">
        <f t="shared" si="90"/>
        <v>0.31828913276342113</v>
      </c>
      <c r="G2886">
        <f t="shared" si="91"/>
        <v>1</v>
      </c>
    </row>
    <row r="2887" spans="1:7">
      <c r="A2887" t="str">
        <f>Sinistrés!H2892</f>
        <v>Maïs grain non irrigué</v>
      </c>
      <c r="B2887">
        <f>Sinistrés!J2892</f>
        <v>9823.52</v>
      </c>
      <c r="C2887">
        <f>Sinistrés!X2892</f>
        <v>2323.52</v>
      </c>
      <c r="D2887">
        <f>Sinistrés!L2892</f>
        <v>6.97</v>
      </c>
      <c r="E2887">
        <f>Sinistrés!M2892</f>
        <v>6.97</v>
      </c>
      <c r="F2887">
        <f t="shared" si="90"/>
        <v>0.23652621463589424</v>
      </c>
      <c r="G2887">
        <f t="shared" si="91"/>
        <v>1</v>
      </c>
    </row>
    <row r="2888" spans="1:7">
      <c r="A2888" t="str">
        <f>Sinistrés!H2893</f>
        <v>Colza d'hiver</v>
      </c>
      <c r="B2888">
        <f>Sinistrés!J2893</f>
        <v>23121.279999999999</v>
      </c>
      <c r="C2888">
        <f>Sinistrés!X2893</f>
        <v>9010.07</v>
      </c>
      <c r="D2888">
        <f>Sinistrés!L2893</f>
        <v>18.2</v>
      </c>
      <c r="E2888">
        <f>Sinistrés!M2893</f>
        <v>17</v>
      </c>
      <c r="F2888">
        <f t="shared" si="90"/>
        <v>0.38968733564923741</v>
      </c>
      <c r="G2888">
        <f t="shared" si="91"/>
        <v>0.93406593406593408</v>
      </c>
    </row>
    <row r="2889" spans="1:7">
      <c r="A2889" t="str">
        <f>Sinistrés!H2894</f>
        <v>Maïs pop corn irrigué</v>
      </c>
      <c r="B2889">
        <f>Sinistrés!J2894</f>
        <v>25128.34</v>
      </c>
      <c r="C2889">
        <f>Sinistrés!X2894</f>
        <v>7904.4</v>
      </c>
      <c r="D2889">
        <f>Sinistrés!L2894</f>
        <v>14.16</v>
      </c>
      <c r="E2889">
        <f>Sinistrés!M2894</f>
        <v>14.16</v>
      </c>
      <c r="F2889">
        <f t="shared" si="90"/>
        <v>0.31456116878393081</v>
      </c>
      <c r="G2889">
        <f t="shared" si="91"/>
        <v>1</v>
      </c>
    </row>
    <row r="2890" spans="1:7">
      <c r="A2890" t="str">
        <f>Sinistrés!H2895</f>
        <v>Tournesol</v>
      </c>
      <c r="B2890">
        <f>Sinistrés!J2895</f>
        <v>9159.4</v>
      </c>
      <c r="C2890">
        <f>Sinistrés!X2895</f>
        <v>922.64</v>
      </c>
      <c r="D2890">
        <f>Sinistrés!L2895</f>
        <v>11.17</v>
      </c>
      <c r="E2890">
        <f>Sinistrés!M2895</f>
        <v>11.17</v>
      </c>
      <c r="F2890">
        <f t="shared" si="90"/>
        <v>0.1007314889621591</v>
      </c>
      <c r="G2890">
        <f t="shared" si="91"/>
        <v>1</v>
      </c>
    </row>
    <row r="2891" spans="1:7" hidden="1">
      <c r="A2891" t="str">
        <f>Sinistrés!H2896</f>
        <v>Blé tendre d'hiver</v>
      </c>
      <c r="B2891">
        <f>Sinistrés!J2896</f>
        <v>9191.26</v>
      </c>
      <c r="C2891">
        <f>Sinistrés!X2896</f>
        <v>0</v>
      </c>
      <c r="D2891">
        <f>Sinistrés!L2896</f>
        <v>12.19</v>
      </c>
      <c r="E2891">
        <f>Sinistrés!M2896</f>
        <v>12.19</v>
      </c>
      <c r="F2891">
        <f t="shared" si="90"/>
        <v>0</v>
      </c>
      <c r="G2891">
        <f t="shared" si="91"/>
        <v>1</v>
      </c>
    </row>
    <row r="2892" spans="1:7" hidden="1">
      <c r="A2892" t="str">
        <f>Sinistrés!H2897</f>
        <v>Vigne à raisin de cuve (VCU1)</v>
      </c>
      <c r="B2892">
        <f>Sinistrés!J2897</f>
        <v>146167.88</v>
      </c>
      <c r="C2892">
        <f>Sinistrés!X2897</f>
        <v>25982.49</v>
      </c>
      <c r="D2892">
        <f>Sinistrés!L2897</f>
        <v>17.52</v>
      </c>
      <c r="E2892">
        <f>Sinistrés!M2897</f>
        <v>17.52</v>
      </c>
      <c r="F2892">
        <f t="shared" si="90"/>
        <v>0.17775786308182071</v>
      </c>
      <c r="G2892">
        <f t="shared" si="91"/>
        <v>1</v>
      </c>
    </row>
    <row r="2893" spans="1:7">
      <c r="A2893" t="str">
        <f>Sinistrés!H2898</f>
        <v xml:space="preserve">Maïs grain irrigué </v>
      </c>
      <c r="B2893">
        <f>Sinistrés!J2898</f>
        <v>170664.12</v>
      </c>
      <c r="C2893">
        <f>Sinistrés!X2898</f>
        <v>115988.95</v>
      </c>
      <c r="D2893">
        <f>Sinistrés!L2898</f>
        <v>66.77</v>
      </c>
      <c r="E2893">
        <f>Sinistrés!M2898</f>
        <v>66.77</v>
      </c>
      <c r="F2893">
        <f t="shared" si="90"/>
        <v>0.67963289530335957</v>
      </c>
      <c r="G2893">
        <f t="shared" si="91"/>
        <v>1</v>
      </c>
    </row>
    <row r="2894" spans="1:7">
      <c r="A2894" t="str">
        <f>Sinistrés!H2899</f>
        <v>Tournesol</v>
      </c>
      <c r="B2894">
        <f>Sinistrés!J2899</f>
        <v>17770.89</v>
      </c>
      <c r="C2894">
        <f>Sinistrés!X2899</f>
        <v>5459.73</v>
      </c>
      <c r="D2894">
        <f>Sinistrés!L2899</f>
        <v>12.06</v>
      </c>
      <c r="E2894">
        <f>Sinistrés!M2899</f>
        <v>12.06</v>
      </c>
      <c r="F2894">
        <f t="shared" si="90"/>
        <v>0.30722884447543142</v>
      </c>
      <c r="G2894">
        <f t="shared" si="91"/>
        <v>1</v>
      </c>
    </row>
    <row r="2895" spans="1:7">
      <c r="A2895" t="str">
        <f>Sinistrés!H2900</f>
        <v>Colza d'hiver</v>
      </c>
      <c r="B2895">
        <f>Sinistrés!J2900</f>
        <v>11558.4</v>
      </c>
      <c r="C2895">
        <f>Sinistrés!X2900</f>
        <v>2575.36</v>
      </c>
      <c r="D2895">
        <f>Sinistrés!L2900</f>
        <v>8.9600000000000009</v>
      </c>
      <c r="E2895">
        <f>Sinistrés!M2900</f>
        <v>8.9600000000000009</v>
      </c>
      <c r="F2895">
        <f t="shared" si="90"/>
        <v>0.22281284606866003</v>
      </c>
      <c r="G2895">
        <f t="shared" si="91"/>
        <v>1</v>
      </c>
    </row>
    <row r="2896" spans="1:7">
      <c r="A2896" t="str">
        <f>Sinistrés!H2901</f>
        <v>Soja</v>
      </c>
      <c r="B2896">
        <f>Sinistrés!J2901</f>
        <v>2838.24</v>
      </c>
      <c r="C2896">
        <f>Sinistrés!X2901</f>
        <v>2200.5100000000002</v>
      </c>
      <c r="D2896">
        <f>Sinistrés!L2901</f>
        <v>2.92</v>
      </c>
      <c r="E2896">
        <f>Sinistrés!M2901</f>
        <v>2.92</v>
      </c>
      <c r="F2896">
        <f t="shared" si="90"/>
        <v>0.77530793731326475</v>
      </c>
      <c r="G2896">
        <f t="shared" si="91"/>
        <v>1</v>
      </c>
    </row>
    <row r="2897" spans="1:7">
      <c r="A2897" t="str">
        <f>Sinistrés!H2902</f>
        <v>Tournesol</v>
      </c>
      <c r="B2897">
        <f>Sinistrés!J2902</f>
        <v>26604.03</v>
      </c>
      <c r="C2897">
        <f>Sinistrés!X2902</f>
        <v>7617.05</v>
      </c>
      <c r="D2897">
        <f>Sinistrés!L2902</f>
        <v>26.62</v>
      </c>
      <c r="E2897">
        <f>Sinistrés!M2902</f>
        <v>26.62</v>
      </c>
      <c r="F2897">
        <f t="shared" si="90"/>
        <v>0.28631188583083089</v>
      </c>
      <c r="G2897">
        <f t="shared" si="91"/>
        <v>1</v>
      </c>
    </row>
    <row r="2898" spans="1:7">
      <c r="A2898" t="str">
        <f>Sinistrés!H2903</f>
        <v>Avoine de printemps</v>
      </c>
      <c r="B2898">
        <f>Sinistrés!J2903</f>
        <v>1870.06</v>
      </c>
      <c r="C2898">
        <f>Sinistrés!X2903</f>
        <v>1182.71</v>
      </c>
      <c r="D2898">
        <f>Sinistrés!L2903</f>
        <v>2.83</v>
      </c>
      <c r="E2898">
        <f>Sinistrés!M2903</f>
        <v>2.83</v>
      </c>
      <c r="F2898">
        <f t="shared" si="90"/>
        <v>0.63244494829042919</v>
      </c>
      <c r="G2898">
        <f t="shared" si="91"/>
        <v>1</v>
      </c>
    </row>
    <row r="2899" spans="1:7">
      <c r="A2899" t="str">
        <f>Sinistrés!H2904</f>
        <v>Avoine d'hiver</v>
      </c>
      <c r="B2899">
        <f>Sinistrés!J2904</f>
        <v>4655.82</v>
      </c>
      <c r="C2899">
        <f>Sinistrés!X2904</f>
        <v>1850.9</v>
      </c>
      <c r="D2899">
        <f>Sinistrés!L2904</f>
        <v>7.62</v>
      </c>
      <c r="E2899">
        <f>Sinistrés!M2904</f>
        <v>7.62</v>
      </c>
      <c r="F2899">
        <f t="shared" si="90"/>
        <v>0.3975454377531778</v>
      </c>
      <c r="G2899">
        <f t="shared" si="91"/>
        <v>1</v>
      </c>
    </row>
    <row r="2900" spans="1:7">
      <c r="A2900" t="str">
        <f>Sinistrés!H2905</f>
        <v>Blé tendre d'hiver</v>
      </c>
      <c r="B2900">
        <f>Sinistrés!J2905</f>
        <v>20548.080000000002</v>
      </c>
      <c r="C2900">
        <f>Sinistrés!X2905</f>
        <v>11209.03</v>
      </c>
      <c r="D2900">
        <f>Sinistrés!L2905</f>
        <v>24.16</v>
      </c>
      <c r="E2900">
        <f>Sinistrés!M2905</f>
        <v>24.16</v>
      </c>
      <c r="F2900">
        <f t="shared" si="90"/>
        <v>0.5455025481699507</v>
      </c>
      <c r="G2900">
        <f t="shared" si="91"/>
        <v>1</v>
      </c>
    </row>
    <row r="2901" spans="1:7">
      <c r="A2901" t="str">
        <f>Sinistrés!H2906</f>
        <v>Orge de printemps</v>
      </c>
      <c r="B2901">
        <f>Sinistrés!J2906</f>
        <v>13931.94</v>
      </c>
      <c r="C2901">
        <f>Sinistrés!X2906</f>
        <v>6752.31</v>
      </c>
      <c r="D2901">
        <f>Sinistrés!L2906</f>
        <v>13.82</v>
      </c>
      <c r="E2901">
        <f>Sinistrés!M2906</f>
        <v>13.82</v>
      </c>
      <c r="F2901">
        <f t="shared" si="90"/>
        <v>0.48466401664089853</v>
      </c>
      <c r="G2901">
        <f t="shared" si="91"/>
        <v>1</v>
      </c>
    </row>
    <row r="2902" spans="1:7" hidden="1">
      <c r="A2902" t="str">
        <f>Sinistrés!H2907</f>
        <v>Avoine d'hiver</v>
      </c>
      <c r="B2902">
        <f>Sinistrés!J2907</f>
        <v>9933.9500000000007</v>
      </c>
      <c r="C2902">
        <f>Sinistrés!X2907</f>
        <v>0</v>
      </c>
      <c r="D2902">
        <f>Sinistrés!L2907</f>
        <v>17</v>
      </c>
      <c r="E2902">
        <f>Sinistrés!M2907</f>
        <v>17</v>
      </c>
      <c r="F2902">
        <f t="shared" si="90"/>
        <v>0</v>
      </c>
      <c r="G2902">
        <f t="shared" si="91"/>
        <v>1</v>
      </c>
    </row>
    <row r="2903" spans="1:7" hidden="1">
      <c r="A2903" t="str">
        <f>Sinistrés!H2908</f>
        <v>Blé dur d'hiver</v>
      </c>
      <c r="B2903">
        <f>Sinistrés!J2908</f>
        <v>31985.25</v>
      </c>
      <c r="C2903">
        <f>Sinistrés!X2908</f>
        <v>0</v>
      </c>
      <c r="D2903">
        <f>Sinistrés!L2908</f>
        <v>25.78</v>
      </c>
      <c r="E2903">
        <f>Sinistrés!M2908</f>
        <v>25.78</v>
      </c>
      <c r="F2903">
        <f t="shared" si="90"/>
        <v>0</v>
      </c>
      <c r="G2903">
        <f t="shared" si="91"/>
        <v>1</v>
      </c>
    </row>
    <row r="2904" spans="1:7" hidden="1">
      <c r="A2904" t="str">
        <f>Sinistrés!H2909</f>
        <v>Colza d'hiver</v>
      </c>
      <c r="B2904">
        <f>Sinistrés!J2909</f>
        <v>12442.84</v>
      </c>
      <c r="C2904">
        <f>Sinistrés!X2909</f>
        <v>0</v>
      </c>
      <c r="D2904">
        <f>Sinistrés!L2909</f>
        <v>11.23</v>
      </c>
      <c r="E2904">
        <f>Sinistrés!M2909</f>
        <v>11.23</v>
      </c>
      <c r="F2904">
        <f t="shared" si="90"/>
        <v>0</v>
      </c>
      <c r="G2904">
        <f t="shared" si="91"/>
        <v>1</v>
      </c>
    </row>
    <row r="2905" spans="1:7" hidden="1">
      <c r="A2905" t="str">
        <f>Sinistrés!H2910</f>
        <v>Avoine d'hiver</v>
      </c>
      <c r="B2905">
        <f>Sinistrés!J2910</f>
        <v>8180.9</v>
      </c>
      <c r="C2905">
        <f>Sinistrés!X2910</f>
        <v>0</v>
      </c>
      <c r="D2905">
        <f>Sinistrés!L2910</f>
        <v>14</v>
      </c>
      <c r="E2905">
        <f>Sinistrés!M2910</f>
        <v>14</v>
      </c>
      <c r="F2905">
        <f t="shared" si="90"/>
        <v>0</v>
      </c>
      <c r="G2905">
        <f t="shared" si="91"/>
        <v>1</v>
      </c>
    </row>
    <row r="2906" spans="1:7" hidden="1">
      <c r="A2906" t="str">
        <f>Sinistrés!H2911</f>
        <v>Blé tendre d'hiver</v>
      </c>
      <c r="B2906">
        <f>Sinistrés!J2911</f>
        <v>37221</v>
      </c>
      <c r="C2906">
        <f>Sinistrés!X2911</f>
        <v>0</v>
      </c>
      <c r="D2906">
        <f>Sinistrés!L2911</f>
        <v>30</v>
      </c>
      <c r="E2906">
        <f>Sinistrés!M2911</f>
        <v>30</v>
      </c>
      <c r="F2906">
        <f t="shared" si="90"/>
        <v>0</v>
      </c>
      <c r="G2906">
        <f t="shared" si="91"/>
        <v>1</v>
      </c>
    </row>
    <row r="2907" spans="1:7" hidden="1">
      <c r="A2907" t="str">
        <f>Sinistrés!H2912</f>
        <v>Colza d'hiver</v>
      </c>
      <c r="B2907">
        <f>Sinistrés!J2912</f>
        <v>33882.639999999999</v>
      </c>
      <c r="C2907">
        <f>Sinistrés!X2912</f>
        <v>0</v>
      </c>
      <c r="D2907">
        <f>Sinistrés!L2912</f>
        <v>30.58</v>
      </c>
      <c r="E2907">
        <f>Sinistrés!M2912</f>
        <v>30.58</v>
      </c>
      <c r="F2907">
        <f t="shared" si="90"/>
        <v>0</v>
      </c>
      <c r="G2907">
        <f t="shared" si="91"/>
        <v>1</v>
      </c>
    </row>
    <row r="2908" spans="1:7">
      <c r="A2908" t="str">
        <f>Sinistrés!H2913</f>
        <v>Colza d'hiver</v>
      </c>
      <c r="B2908">
        <f>Sinistrés!J2913</f>
        <v>17152</v>
      </c>
      <c r="C2908">
        <f>Sinistrés!X2913</f>
        <v>7562.96</v>
      </c>
      <c r="D2908">
        <f>Sinistrés!L2913</f>
        <v>10.72</v>
      </c>
      <c r="E2908">
        <f>Sinistrés!M2913</f>
        <v>10.72</v>
      </c>
      <c r="F2908">
        <f t="shared" si="90"/>
        <v>0.44093749999999998</v>
      </c>
      <c r="G2908">
        <f t="shared" si="91"/>
        <v>1</v>
      </c>
    </row>
    <row r="2909" spans="1:7">
      <c r="A2909" t="str">
        <f>Sinistrés!H2914</f>
        <v>Blé tendre d'hiver</v>
      </c>
      <c r="B2909">
        <f>Sinistrés!J2914</f>
        <v>13186.42</v>
      </c>
      <c r="C2909">
        <f>Sinistrés!X2914</f>
        <v>840.43</v>
      </c>
      <c r="D2909">
        <f>Sinistrés!L2914</f>
        <v>12.46</v>
      </c>
      <c r="E2909">
        <f>Sinistrés!M2914</f>
        <v>12.46</v>
      </c>
      <c r="F2909">
        <f t="shared" si="90"/>
        <v>6.3734508683933919E-2</v>
      </c>
      <c r="G2909">
        <f t="shared" si="91"/>
        <v>1</v>
      </c>
    </row>
    <row r="2910" spans="1:7">
      <c r="A2910" t="str">
        <f>Sinistrés!H2915</f>
        <v>Tournesol</v>
      </c>
      <c r="B2910">
        <f>Sinistrés!J2915</f>
        <v>22010.45</v>
      </c>
      <c r="C2910">
        <f>Sinistrés!X2915</f>
        <v>2385.6799999999998</v>
      </c>
      <c r="D2910">
        <f>Sinistrés!L2915</f>
        <v>21.22</v>
      </c>
      <c r="E2910">
        <f>Sinistrés!M2915</f>
        <v>21.22</v>
      </c>
      <c r="F2910">
        <f t="shared" si="90"/>
        <v>0.10838851545515879</v>
      </c>
      <c r="G2910">
        <f t="shared" si="91"/>
        <v>1</v>
      </c>
    </row>
    <row r="2911" spans="1:7">
      <c r="A2911" t="str">
        <f>Sinistrés!H2916</f>
        <v xml:space="preserve">Orge de printemps </v>
      </c>
      <c r="B2911">
        <f>Sinistrés!J2916</f>
        <v>13927.84</v>
      </c>
      <c r="C2911">
        <f>Sinistrés!X2916</f>
        <v>3794.51</v>
      </c>
      <c r="D2911">
        <f>Sinistrés!L2916</f>
        <v>14.82</v>
      </c>
      <c r="E2911">
        <f>Sinistrés!M2916</f>
        <v>14.82</v>
      </c>
      <c r="F2911">
        <f t="shared" si="90"/>
        <v>0.27244066560213215</v>
      </c>
      <c r="G2911">
        <f t="shared" si="91"/>
        <v>1</v>
      </c>
    </row>
    <row r="2912" spans="1:7">
      <c r="A2912" t="str">
        <f>Sinistrés!H2917</f>
        <v>Orge d'hiver</v>
      </c>
      <c r="B2912">
        <f>Sinistrés!J2917</f>
        <v>17067.25</v>
      </c>
      <c r="C2912">
        <f>Sinistrés!X2917</f>
        <v>3463.33</v>
      </c>
      <c r="D2912">
        <f>Sinistrés!L2917</f>
        <v>19.260000000000002</v>
      </c>
      <c r="E2912">
        <f>Sinistrés!M2917</f>
        <v>19.260000000000002</v>
      </c>
      <c r="F2912">
        <f t="shared" si="90"/>
        <v>0.20292255635793699</v>
      </c>
      <c r="G2912">
        <f t="shared" si="91"/>
        <v>1</v>
      </c>
    </row>
    <row r="2913" spans="1:7" hidden="1">
      <c r="A2913" t="str">
        <f>Sinistrés!H2918</f>
        <v>Blé tendre d'hiver</v>
      </c>
      <c r="B2913">
        <f>Sinistrés!J2918</f>
        <v>31763.919999999998</v>
      </c>
      <c r="C2913">
        <f>Sinistrés!X2918</f>
        <v>0</v>
      </c>
      <c r="D2913">
        <f>Sinistrés!L2918</f>
        <v>28.06</v>
      </c>
      <c r="E2913">
        <f>Sinistrés!M2918</f>
        <v>28.06</v>
      </c>
      <c r="F2913">
        <f t="shared" si="90"/>
        <v>0</v>
      </c>
      <c r="G2913">
        <f t="shared" si="91"/>
        <v>1</v>
      </c>
    </row>
    <row r="2914" spans="1:7" hidden="1">
      <c r="A2914" t="str">
        <f>Sinistrés!H2919</f>
        <v>Pois protéagineux</v>
      </c>
      <c r="B2914">
        <f>Sinistrés!J2919</f>
        <v>9675.23</v>
      </c>
      <c r="C2914">
        <f>Sinistrés!X2919</f>
        <v>0</v>
      </c>
      <c r="D2914">
        <f>Sinistrés!L2919</f>
        <v>12.89</v>
      </c>
      <c r="E2914">
        <f>Sinistrés!M2919</f>
        <v>12.89</v>
      </c>
      <c r="F2914">
        <f t="shared" si="90"/>
        <v>0</v>
      </c>
      <c r="G2914">
        <f t="shared" si="91"/>
        <v>1</v>
      </c>
    </row>
    <row r="2915" spans="1:7">
      <c r="A2915" t="str">
        <f>Sinistrés!H2920</f>
        <v>Tournesol</v>
      </c>
      <c r="B2915">
        <f>Sinistrés!J2920</f>
        <v>32420.799999999999</v>
      </c>
      <c r="C2915">
        <f>Sinistrés!X2920</f>
        <v>2537.2800000000002</v>
      </c>
      <c r="D2915">
        <f>Sinistrés!L2920</f>
        <v>35.24</v>
      </c>
      <c r="E2915">
        <f>Sinistrés!M2920</f>
        <v>35.24</v>
      </c>
      <c r="F2915">
        <f t="shared" si="90"/>
        <v>7.8260869565217397E-2</v>
      </c>
      <c r="G2915">
        <f t="shared" si="91"/>
        <v>1</v>
      </c>
    </row>
    <row r="2916" spans="1:7">
      <c r="A2916" t="str">
        <f>Sinistrés!H2921</f>
        <v>Maïs grain non irrigué</v>
      </c>
      <c r="B2916">
        <f>Sinistrés!J2921</f>
        <v>23998</v>
      </c>
      <c r="C2916">
        <f>Sinistrés!X2921</f>
        <v>5981.3</v>
      </c>
      <c r="D2916">
        <f>Sinistrés!L2921</f>
        <v>16.25</v>
      </c>
      <c r="E2916">
        <f>Sinistrés!M2921</f>
        <v>16.25</v>
      </c>
      <c r="F2916">
        <f t="shared" si="90"/>
        <v>0.24924160346695559</v>
      </c>
      <c r="G2916">
        <f t="shared" si="91"/>
        <v>1</v>
      </c>
    </row>
    <row r="2917" spans="1:7">
      <c r="A2917" t="str">
        <f>Sinistrés!H2922</f>
        <v>Maïs grain non irrigué</v>
      </c>
      <c r="B2917">
        <f>Sinistrés!J2922</f>
        <v>89821.93</v>
      </c>
      <c r="C2917">
        <f>Sinistrés!X2922</f>
        <v>31269.31</v>
      </c>
      <c r="D2917">
        <f>Sinistrés!L2922</f>
        <v>39.07</v>
      </c>
      <c r="E2917">
        <f>Sinistrés!M2922</f>
        <v>39.07</v>
      </c>
      <c r="F2917">
        <f t="shared" si="90"/>
        <v>0.34812556354556179</v>
      </c>
      <c r="G2917">
        <f t="shared" si="91"/>
        <v>1</v>
      </c>
    </row>
    <row r="2918" spans="1:7">
      <c r="A2918" t="str">
        <f>Sinistrés!H2923</f>
        <v>Maïs grain non irrigué</v>
      </c>
      <c r="B2918">
        <f>Sinistrés!J2923</f>
        <v>160945.51</v>
      </c>
      <c r="C2918">
        <f>Sinistrés!X2923</f>
        <v>110526.86</v>
      </c>
      <c r="D2918">
        <f>Sinistrés!L2923</f>
        <v>87.31</v>
      </c>
      <c r="E2918">
        <f>Sinistrés!M2923</f>
        <v>87.31</v>
      </c>
      <c r="F2918">
        <f t="shared" si="90"/>
        <v>0.68673465945089118</v>
      </c>
      <c r="G2918">
        <f t="shared" si="91"/>
        <v>1</v>
      </c>
    </row>
    <row r="2919" spans="1:7">
      <c r="A2919" t="str">
        <f>Sinistrés!H2924</f>
        <v>Blé dur d'hiver</v>
      </c>
      <c r="B2919">
        <f>Sinistrés!J2924</f>
        <v>20973.55</v>
      </c>
      <c r="C2919">
        <f>Sinistrés!X2924</f>
        <v>1027.81</v>
      </c>
      <c r="D2919">
        <f>Sinistrés!L2924</f>
        <v>15.81</v>
      </c>
      <c r="E2919">
        <f>Sinistrés!M2924</f>
        <v>10.79</v>
      </c>
      <c r="F2919">
        <f t="shared" si="90"/>
        <v>4.9005056368616663E-2</v>
      </c>
      <c r="G2919">
        <f t="shared" si="91"/>
        <v>0.68247944339025923</v>
      </c>
    </row>
    <row r="2920" spans="1:7">
      <c r="A2920" t="str">
        <f>Sinistrés!H2925</f>
        <v>Colza d'hiver</v>
      </c>
      <c r="B2920">
        <f>Sinistrés!J2925</f>
        <v>31720.5</v>
      </c>
      <c r="C2920">
        <f>Sinistrés!X2925</f>
        <v>1516.73</v>
      </c>
      <c r="D2920">
        <f>Sinistrés!L2925</f>
        <v>23.85</v>
      </c>
      <c r="E2920">
        <f>Sinistrés!M2925</f>
        <v>23.85</v>
      </c>
      <c r="F2920">
        <f t="shared" si="90"/>
        <v>4.7815450576125851E-2</v>
      </c>
      <c r="G2920">
        <f t="shared" si="91"/>
        <v>1</v>
      </c>
    </row>
    <row r="2921" spans="1:7" hidden="1">
      <c r="A2921" t="str">
        <f>Sinistrés!H2926</f>
        <v>Blé tendre d'hiver</v>
      </c>
      <c r="B2921">
        <f>Sinistrés!J2926</f>
        <v>37452.800000000003</v>
      </c>
      <c r="C2921">
        <f>Sinistrés!X2926</f>
        <v>0</v>
      </c>
      <c r="D2921">
        <f>Sinistrés!L2926</f>
        <v>29.26</v>
      </c>
      <c r="E2921">
        <f>Sinistrés!M2926</f>
        <v>12.33</v>
      </c>
      <c r="F2921">
        <f t="shared" si="90"/>
        <v>0</v>
      </c>
      <c r="G2921">
        <f t="shared" si="91"/>
        <v>0.4213943950786056</v>
      </c>
    </row>
    <row r="2922" spans="1:7" hidden="1">
      <c r="A2922" t="str">
        <f>Sinistrés!H2927</f>
        <v>Vigne à raisin de cuve (VCU1)</v>
      </c>
      <c r="B2922">
        <f>Sinistrés!J2927</f>
        <v>527391.15</v>
      </c>
      <c r="C2922">
        <f>Sinistrés!X2927</f>
        <v>0</v>
      </c>
      <c r="D2922">
        <f>Sinistrés!L2927</f>
        <v>57.18</v>
      </c>
      <c r="E2922">
        <f>Sinistrés!M2927</f>
        <v>6.11</v>
      </c>
      <c r="F2922">
        <f t="shared" si="90"/>
        <v>0</v>
      </c>
      <c r="G2922">
        <f t="shared" si="91"/>
        <v>0.1068555438964673</v>
      </c>
    </row>
    <row r="2923" spans="1:7">
      <c r="A2923" t="str">
        <f>Sinistrés!H2928</f>
        <v>Blé tendre d'hiver</v>
      </c>
      <c r="B2923">
        <f>Sinistrés!J2928</f>
        <v>85823.73</v>
      </c>
      <c r="C2923">
        <f>Sinistrés!X2928</f>
        <v>348.52</v>
      </c>
      <c r="D2923">
        <f>Sinistrés!L2928</f>
        <v>78.55</v>
      </c>
      <c r="E2923">
        <f>Sinistrés!M2928</f>
        <v>60</v>
      </c>
      <c r="F2923">
        <f t="shared" si="90"/>
        <v>4.0608815300849773E-3</v>
      </c>
      <c r="G2923">
        <f t="shared" si="91"/>
        <v>0.76384468491406754</v>
      </c>
    </row>
    <row r="2924" spans="1:7">
      <c r="A2924" t="str">
        <f>Sinistrés!H2929</f>
        <v>Colza d'hiver</v>
      </c>
      <c r="B2924">
        <f>Sinistrés!J2929</f>
        <v>50848.6</v>
      </c>
      <c r="C2924">
        <f>Sinistrés!X2929</f>
        <v>6833.78</v>
      </c>
      <c r="D2924">
        <f>Sinistrés!L2929</f>
        <v>31.88</v>
      </c>
      <c r="E2924">
        <f>Sinistrés!M2929</f>
        <v>31.88</v>
      </c>
      <c r="F2924">
        <f t="shared" si="90"/>
        <v>0.13439465393344163</v>
      </c>
      <c r="G2924">
        <f t="shared" si="91"/>
        <v>1</v>
      </c>
    </row>
    <row r="2925" spans="1:7" hidden="1">
      <c r="A2925" t="str">
        <f>Sinistrés!H2930</f>
        <v>Orge d'hiver</v>
      </c>
      <c r="B2925">
        <f>Sinistrés!J2930</f>
        <v>53952.19</v>
      </c>
      <c r="C2925">
        <f>Sinistrés!X2930</f>
        <v>0</v>
      </c>
      <c r="D2925">
        <f>Sinistrés!L2930</f>
        <v>57.18</v>
      </c>
      <c r="E2925">
        <f>Sinistrés!M2930</f>
        <v>1</v>
      </c>
      <c r="F2925">
        <f t="shared" si="90"/>
        <v>0</v>
      </c>
      <c r="G2925">
        <f t="shared" si="91"/>
        <v>1.7488632388947184E-2</v>
      </c>
    </row>
    <row r="2926" spans="1:7">
      <c r="A2926" t="str">
        <f>Sinistrés!H2931</f>
        <v>Blé tendre d'hiver</v>
      </c>
      <c r="B2926">
        <f>Sinistrés!J2931</f>
        <v>28977.61</v>
      </c>
      <c r="C2926">
        <f>Sinistrés!X2931</f>
        <v>4185.0200000000004</v>
      </c>
      <c r="D2926">
        <f>Sinistrés!L2931</f>
        <v>23.69</v>
      </c>
      <c r="E2926">
        <f>Sinistrés!M2931</f>
        <v>23</v>
      </c>
      <c r="F2926">
        <f t="shared" si="90"/>
        <v>0.14442253864276594</v>
      </c>
      <c r="G2926">
        <f t="shared" si="91"/>
        <v>0.97087378640776689</v>
      </c>
    </row>
    <row r="2927" spans="1:7" hidden="1">
      <c r="A2927" t="str">
        <f>Sinistrés!H2932</f>
        <v>Colza d'hiver</v>
      </c>
      <c r="B2927">
        <f>Sinistrés!J2932</f>
        <v>8045.28</v>
      </c>
      <c r="C2927">
        <f>Sinistrés!X2932</f>
        <v>0</v>
      </c>
      <c r="D2927">
        <f>Sinistrés!L2932</f>
        <v>5.55</v>
      </c>
      <c r="E2927">
        <f>Sinistrés!M2932</f>
        <v>5.5</v>
      </c>
      <c r="F2927">
        <f t="shared" si="90"/>
        <v>0</v>
      </c>
      <c r="G2927">
        <f t="shared" si="91"/>
        <v>0.99099099099099097</v>
      </c>
    </row>
    <row r="2928" spans="1:7">
      <c r="A2928" t="str">
        <f>Sinistrés!H2933</f>
        <v>Blé tendre d'hiver</v>
      </c>
      <c r="B2928">
        <f>Sinistrés!J2933</f>
        <v>12067.27</v>
      </c>
      <c r="C2928">
        <f>Sinistrés!X2933</f>
        <v>48.72</v>
      </c>
      <c r="D2928">
        <f>Sinistrés!L2933</f>
        <v>10.41</v>
      </c>
      <c r="E2928">
        <f>Sinistrés!M2933</f>
        <v>10.41</v>
      </c>
      <c r="F2928">
        <f t="shared" si="90"/>
        <v>4.0373671924138601E-3</v>
      </c>
      <c r="G2928">
        <f t="shared" si="91"/>
        <v>1</v>
      </c>
    </row>
    <row r="2929" spans="1:7" hidden="1">
      <c r="A2929" t="str">
        <f>Sinistrés!H2934</f>
        <v>Maïs grain non irrigué</v>
      </c>
      <c r="B2929">
        <f>Sinistrés!J2934</f>
        <v>20085.62</v>
      </c>
      <c r="C2929">
        <f>Sinistrés!X2934</f>
        <v>0</v>
      </c>
      <c r="D2929">
        <f>Sinistrés!L2934</f>
        <v>17.940000000000001</v>
      </c>
      <c r="E2929">
        <f>Sinistrés!M2934</f>
        <v>17.940000000000001</v>
      </c>
      <c r="F2929">
        <f t="shared" si="90"/>
        <v>0</v>
      </c>
      <c r="G2929">
        <f t="shared" si="91"/>
        <v>1</v>
      </c>
    </row>
    <row r="2930" spans="1:7">
      <c r="A2930" t="str">
        <f>Sinistrés!H2935</f>
        <v>Orge de printemps</v>
      </c>
      <c r="B2930">
        <f>Sinistrés!J2935</f>
        <v>74215.16</v>
      </c>
      <c r="C2930">
        <f>Sinistrés!X2935</f>
        <v>9084.65</v>
      </c>
      <c r="D2930">
        <f>Sinistrés!L2935</f>
        <v>81.87</v>
      </c>
      <c r="E2930">
        <f>Sinistrés!M2935</f>
        <v>81.86</v>
      </c>
      <c r="F2930">
        <f t="shared" si="90"/>
        <v>0.12240962628120723</v>
      </c>
      <c r="G2930">
        <f t="shared" si="91"/>
        <v>0.99987785513619143</v>
      </c>
    </row>
    <row r="2931" spans="1:7" hidden="1">
      <c r="A2931" t="str">
        <f>Sinistrés!H2936</f>
        <v>Pois protéagineux</v>
      </c>
      <c r="B2931">
        <f>Sinistrés!J2936</f>
        <v>18018</v>
      </c>
      <c r="C2931">
        <f>Sinistrés!X2936</f>
        <v>0</v>
      </c>
      <c r="D2931">
        <f>Sinistrés!L2936</f>
        <v>21.45</v>
      </c>
      <c r="E2931">
        <f>Sinistrés!M2936</f>
        <v>21.44</v>
      </c>
      <c r="F2931">
        <f t="shared" si="90"/>
        <v>0</v>
      </c>
      <c r="G2931">
        <f t="shared" si="91"/>
        <v>0.99953379953379962</v>
      </c>
    </row>
    <row r="2932" spans="1:7" hidden="1">
      <c r="A2932" t="str">
        <f>Sinistrés!H2937</f>
        <v>Lin textile SEMENCES</v>
      </c>
      <c r="B2932">
        <f>Sinistrés!J2937</f>
        <v>54849.15</v>
      </c>
      <c r="C2932">
        <f>Sinistrés!X2937</f>
        <v>0</v>
      </c>
      <c r="D2932">
        <f>Sinistrés!L2937</f>
        <v>42.03</v>
      </c>
      <c r="E2932">
        <f>Sinistrés!M2937</f>
        <v>42</v>
      </c>
      <c r="F2932">
        <f t="shared" si="90"/>
        <v>0</v>
      </c>
      <c r="G2932">
        <f t="shared" si="91"/>
        <v>0.99928622412562451</v>
      </c>
    </row>
    <row r="2933" spans="1:7">
      <c r="A2933" t="str">
        <f>Sinistrés!H2938</f>
        <v>Maïs ensilage non irrigué</v>
      </c>
      <c r="B2933">
        <f>Sinistrés!J2938</f>
        <v>64469.84</v>
      </c>
      <c r="C2933">
        <f>Sinistrés!X2938</f>
        <v>562.9</v>
      </c>
      <c r="D2933">
        <f>Sinistrés!L2938</f>
        <v>67.14</v>
      </c>
      <c r="E2933">
        <f>Sinistrés!M2938</f>
        <v>67.14</v>
      </c>
      <c r="F2933">
        <f t="shared" si="90"/>
        <v>8.7312144717591987E-3</v>
      </c>
      <c r="G2933">
        <f t="shared" si="91"/>
        <v>1</v>
      </c>
    </row>
    <row r="2934" spans="1:7" hidden="1">
      <c r="A2934" t="str">
        <f>Sinistrés!H2939</f>
        <v>Blé tendre d'hiver</v>
      </c>
      <c r="B2934">
        <f>Sinistrés!J2939</f>
        <v>357749.53</v>
      </c>
      <c r="C2934">
        <f>Sinistrés!X2939</f>
        <v>0</v>
      </c>
      <c r="D2934">
        <f>Sinistrés!L2939</f>
        <v>180.91</v>
      </c>
      <c r="E2934">
        <f>Sinistrés!M2939</f>
        <v>75</v>
      </c>
      <c r="F2934">
        <f t="shared" si="90"/>
        <v>0</v>
      </c>
      <c r="G2934">
        <f t="shared" si="91"/>
        <v>0.41457078105135153</v>
      </c>
    </row>
    <row r="2935" spans="1:7" hidden="1">
      <c r="A2935" t="str">
        <f>Sinistrés!H2940</f>
        <v>Colza d'hiver</v>
      </c>
      <c r="B2935">
        <f>Sinistrés!J2940</f>
        <v>44535.93</v>
      </c>
      <c r="C2935">
        <f>Sinistrés!X2940</f>
        <v>0</v>
      </c>
      <c r="D2935">
        <f>Sinistrés!L2940</f>
        <v>40.93</v>
      </c>
      <c r="E2935">
        <f>Sinistrés!M2940</f>
        <v>33.93</v>
      </c>
      <c r="F2935">
        <f t="shared" si="90"/>
        <v>0</v>
      </c>
      <c r="G2935">
        <f t="shared" si="91"/>
        <v>0.82897630100171027</v>
      </c>
    </row>
    <row r="2936" spans="1:7">
      <c r="A2936" t="str">
        <f>Sinistrés!H2941</f>
        <v>Maïs grain non irrigué</v>
      </c>
      <c r="B2936">
        <f>Sinistrés!J2941</f>
        <v>15154.28</v>
      </c>
      <c r="C2936">
        <f>Sinistrés!X2941</f>
        <v>5373.85</v>
      </c>
      <c r="D2936">
        <f>Sinistrés!L2941</f>
        <v>8.7799999999999994</v>
      </c>
      <c r="E2936">
        <f>Sinistrés!M2941</f>
        <v>8.7799999999999994</v>
      </c>
      <c r="F2936">
        <f t="shared" si="90"/>
        <v>0.35460939087835253</v>
      </c>
      <c r="G2936">
        <f t="shared" si="91"/>
        <v>1</v>
      </c>
    </row>
    <row r="2937" spans="1:7" hidden="1">
      <c r="A2937" t="str">
        <f>Sinistrés!H2942</f>
        <v>Maïs grain irrigué</v>
      </c>
      <c r="B2937">
        <f>Sinistrés!J2942</f>
        <v>18181.5</v>
      </c>
      <c r="C2937">
        <f>Sinistrés!X2942</f>
        <v>0</v>
      </c>
      <c r="D2937">
        <f>Sinistrés!L2942</f>
        <v>7.75</v>
      </c>
      <c r="E2937">
        <f>Sinistrés!M2942</f>
        <v>7.75</v>
      </c>
      <c r="F2937">
        <f t="shared" si="90"/>
        <v>0</v>
      </c>
      <c r="G2937">
        <f t="shared" si="91"/>
        <v>1</v>
      </c>
    </row>
    <row r="2938" spans="1:7">
      <c r="A2938" t="str">
        <f>Sinistrés!H2943</f>
        <v>Blé tendre d'hiver</v>
      </c>
      <c r="B2938">
        <f>Sinistrés!J2943</f>
        <v>31559.22</v>
      </c>
      <c r="C2938">
        <f>Sinistrés!X2943</f>
        <v>7910.3</v>
      </c>
      <c r="D2938">
        <f>Sinistrés!L2943</f>
        <v>22.77</v>
      </c>
      <c r="E2938">
        <f>Sinistrés!M2943</f>
        <v>22.77</v>
      </c>
      <c r="F2938">
        <f t="shared" si="90"/>
        <v>0.25064941402227303</v>
      </c>
      <c r="G2938">
        <f t="shared" si="91"/>
        <v>1</v>
      </c>
    </row>
    <row r="2939" spans="1:7" hidden="1">
      <c r="A2939" t="str">
        <f>Sinistrés!H2944</f>
        <v>Orge de printemps</v>
      </c>
      <c r="B2939">
        <f>Sinistrés!J2944</f>
        <v>12934.92</v>
      </c>
      <c r="C2939">
        <f>Sinistrés!X2944</f>
        <v>0</v>
      </c>
      <c r="D2939">
        <f>Sinistrés!L2944</f>
        <v>9.23</v>
      </c>
      <c r="E2939">
        <f>Sinistrés!M2944</f>
        <v>9.23</v>
      </c>
      <c r="F2939">
        <f t="shared" si="90"/>
        <v>0</v>
      </c>
      <c r="G2939">
        <f t="shared" si="91"/>
        <v>1</v>
      </c>
    </row>
    <row r="2940" spans="1:7">
      <c r="A2940" t="str">
        <f>Sinistrés!H2945</f>
        <v>Blé tendre d'hiver</v>
      </c>
      <c r="B2940">
        <f>Sinistrés!J2945</f>
        <v>68742</v>
      </c>
      <c r="C2940">
        <f>Sinistrés!X2945</f>
        <v>11128.43</v>
      </c>
      <c r="D2940">
        <f>Sinistrés!L2945</f>
        <v>50.92</v>
      </c>
      <c r="E2940">
        <f>Sinistrés!M2945</f>
        <v>50.92</v>
      </c>
      <c r="F2940">
        <f t="shared" si="90"/>
        <v>0.16188691047685549</v>
      </c>
      <c r="G2940">
        <f t="shared" si="91"/>
        <v>1</v>
      </c>
    </row>
    <row r="2941" spans="1:7">
      <c r="A2941" t="str">
        <f>Sinistrés!H2946</f>
        <v>Blé tendre d'hiver</v>
      </c>
      <c r="B2941">
        <f>Sinistrés!J2946</f>
        <v>71118.240000000005</v>
      </c>
      <c r="C2941">
        <f>Sinistrés!X2946</f>
        <v>30678.15</v>
      </c>
      <c r="D2941">
        <f>Sinistrés!L2946</f>
        <v>51.76</v>
      </c>
      <c r="E2941">
        <f>Sinistrés!M2946</f>
        <v>51.76</v>
      </c>
      <c r="F2941">
        <f t="shared" si="90"/>
        <v>0.43136823970896915</v>
      </c>
      <c r="G2941">
        <f t="shared" si="91"/>
        <v>1</v>
      </c>
    </row>
    <row r="2942" spans="1:7">
      <c r="A2942" t="str">
        <f>Sinistrés!H2947</f>
        <v>Maïs grain irrigué</v>
      </c>
      <c r="B2942">
        <f>Sinistrés!J2947</f>
        <v>91676.58</v>
      </c>
      <c r="C2942">
        <f>Sinistrés!X2947</f>
        <v>45457.63</v>
      </c>
      <c r="D2942">
        <f>Sinistrés!L2947</f>
        <v>52.87</v>
      </c>
      <c r="E2942">
        <f>Sinistrés!M2947</f>
        <v>52.87</v>
      </c>
      <c r="F2942">
        <f t="shared" si="90"/>
        <v>0.49584779449669691</v>
      </c>
      <c r="G2942">
        <f t="shared" si="91"/>
        <v>1</v>
      </c>
    </row>
    <row r="2943" spans="1:7">
      <c r="A2943" t="str">
        <f>Sinistrés!H2948</f>
        <v>Soja</v>
      </c>
      <c r="B2943">
        <f>Sinistrés!J2948</f>
        <v>17875.2</v>
      </c>
      <c r="C2943">
        <f>Sinistrés!X2948</f>
        <v>5042.3</v>
      </c>
      <c r="D2943">
        <f>Sinistrés!L2948</f>
        <v>21.28</v>
      </c>
      <c r="E2943">
        <f>Sinistrés!M2948</f>
        <v>21.28</v>
      </c>
      <c r="F2943">
        <f t="shared" si="90"/>
        <v>0.28208355710705335</v>
      </c>
      <c r="G2943">
        <f t="shared" si="91"/>
        <v>1</v>
      </c>
    </row>
    <row r="2944" spans="1:7">
      <c r="A2944" t="str">
        <f>Sinistrés!H2949</f>
        <v>Colza d'hiver</v>
      </c>
      <c r="B2944">
        <f>Sinistrés!J2949</f>
        <v>35626.5</v>
      </c>
      <c r="C2944">
        <f>Sinistrés!X2949</f>
        <v>885.83</v>
      </c>
      <c r="D2944">
        <f>Sinistrés!L2949</f>
        <v>21</v>
      </c>
      <c r="E2944">
        <f>Sinistrés!M2949</f>
        <v>3.2</v>
      </c>
      <c r="F2944">
        <f t="shared" si="90"/>
        <v>2.4864356588494521E-2</v>
      </c>
      <c r="G2944">
        <f t="shared" si="91"/>
        <v>0.15238095238095239</v>
      </c>
    </row>
    <row r="2945" spans="1:7">
      <c r="A2945" t="str">
        <f>Sinistrés!H2950</f>
        <v>Tournesol</v>
      </c>
      <c r="B2945">
        <f>Sinistrés!J2950</f>
        <v>28194.880000000001</v>
      </c>
      <c r="C2945">
        <f>Sinistrés!X2950</f>
        <v>4621.4399999999996</v>
      </c>
      <c r="D2945">
        <f>Sinistrés!L2950</f>
        <v>24.56</v>
      </c>
      <c r="E2945">
        <f>Sinistrés!M2950</f>
        <v>24.56</v>
      </c>
      <c r="F2945">
        <f t="shared" si="90"/>
        <v>0.1639106107208117</v>
      </c>
      <c r="G2945">
        <f t="shared" si="91"/>
        <v>1</v>
      </c>
    </row>
    <row r="2946" spans="1:7">
      <c r="A2946" t="str">
        <f>Sinistrés!H2951</f>
        <v>Triticale</v>
      </c>
      <c r="B2946">
        <f>Sinistrés!J2951</f>
        <v>7747.95</v>
      </c>
      <c r="C2946">
        <f>Sinistrés!X2951</f>
        <v>1765.54</v>
      </c>
      <c r="D2946">
        <f>Sinistrés!L2951</f>
        <v>9.42</v>
      </c>
      <c r="E2946">
        <f>Sinistrés!M2951</f>
        <v>9.42</v>
      </c>
      <c r="F2946">
        <f t="shared" si="90"/>
        <v>0.22787188869313818</v>
      </c>
      <c r="G2946">
        <f t="shared" si="91"/>
        <v>1</v>
      </c>
    </row>
    <row r="2947" spans="1:7" hidden="1">
      <c r="A2947" t="str">
        <f>Sinistrés!H2952</f>
        <v>Triticale SEMENCES</v>
      </c>
      <c r="B2947">
        <f>Sinistrés!J2952</f>
        <v>13505.45</v>
      </c>
      <c r="C2947">
        <f>Sinistrés!X2952</f>
        <v>225.68</v>
      </c>
      <c r="D2947">
        <f>Sinistrés!L2952</f>
        <v>16.420000000000002</v>
      </c>
      <c r="E2947">
        <f>Sinistrés!M2952</f>
        <v>16.420000000000002</v>
      </c>
      <c r="F2947">
        <f t="shared" ref="F2947:F3010" si="92">C2947/B2947</f>
        <v>1.6710291030657992E-2</v>
      </c>
      <c r="G2947">
        <f t="shared" ref="G2947:G3010" si="93">E2947/D2947</f>
        <v>1</v>
      </c>
    </row>
    <row r="2948" spans="1:7">
      <c r="A2948" t="str">
        <f>Sinistrés!H2953</f>
        <v>Pois protéagineux</v>
      </c>
      <c r="B2948">
        <f>Sinistrés!J2953</f>
        <v>18254.59</v>
      </c>
      <c r="C2948">
        <f>Sinistrés!X2953</f>
        <v>507.9</v>
      </c>
      <c r="D2948">
        <f>Sinistrés!L2953</f>
        <v>17.28</v>
      </c>
      <c r="E2948">
        <f>Sinistrés!M2953</f>
        <v>17.28</v>
      </c>
      <c r="F2948">
        <f t="shared" si="92"/>
        <v>2.7823139276203956E-2</v>
      </c>
      <c r="G2948">
        <f t="shared" si="93"/>
        <v>1</v>
      </c>
    </row>
    <row r="2949" spans="1:7" hidden="1">
      <c r="A2949" t="str">
        <f>Sinistrés!H2954</f>
        <v>Blé tendre d'hiver</v>
      </c>
      <c r="B2949">
        <f>Sinistrés!J2954</f>
        <v>72996.44</v>
      </c>
      <c r="C2949">
        <f>Sinistrés!X2954</f>
        <v>0</v>
      </c>
      <c r="D2949">
        <f>Sinistrés!L2954</f>
        <v>53.54</v>
      </c>
      <c r="E2949">
        <f>Sinistrés!M2954</f>
        <v>53.54</v>
      </c>
      <c r="F2949">
        <f t="shared" si="92"/>
        <v>0</v>
      </c>
      <c r="G2949">
        <f t="shared" si="93"/>
        <v>1</v>
      </c>
    </row>
    <row r="2950" spans="1:7">
      <c r="A2950" t="str">
        <f>Sinistrés!H2955</f>
        <v>Colza d'hiver</v>
      </c>
      <c r="B2950">
        <f>Sinistrés!J2955</f>
        <v>12652.64</v>
      </c>
      <c r="C2950">
        <f>Sinistrés!X2955</f>
        <v>57.51</v>
      </c>
      <c r="D2950">
        <f>Sinistrés!L2955</f>
        <v>10.27</v>
      </c>
      <c r="E2950">
        <f>Sinistrés!M2955</f>
        <v>10.27</v>
      </c>
      <c r="F2950">
        <f t="shared" si="92"/>
        <v>4.5452964756762223E-3</v>
      </c>
      <c r="G2950">
        <f t="shared" si="93"/>
        <v>1</v>
      </c>
    </row>
    <row r="2951" spans="1:7" hidden="1">
      <c r="A2951" t="str">
        <f>Sinistrés!H2956</f>
        <v>Orge d'hiver</v>
      </c>
      <c r="B2951">
        <f>Sinistrés!J2956</f>
        <v>17984.16</v>
      </c>
      <c r="C2951">
        <f>Sinistrés!X2956</f>
        <v>0</v>
      </c>
      <c r="D2951">
        <f>Sinistrés!L2956</f>
        <v>16.29</v>
      </c>
      <c r="E2951">
        <f>Sinistrés!M2956</f>
        <v>16.29</v>
      </c>
      <c r="F2951">
        <f t="shared" si="92"/>
        <v>0</v>
      </c>
      <c r="G2951">
        <f t="shared" si="93"/>
        <v>1</v>
      </c>
    </row>
    <row r="2952" spans="1:7">
      <c r="A2952" t="str">
        <f>Sinistrés!H2957</f>
        <v>Orge de printemps</v>
      </c>
      <c r="B2952">
        <f>Sinistrés!J2957</f>
        <v>27399.83</v>
      </c>
      <c r="C2952">
        <f>Sinistrés!X2957</f>
        <v>6510.65</v>
      </c>
      <c r="D2952">
        <f>Sinistrés!L2957</f>
        <v>28.19</v>
      </c>
      <c r="E2952">
        <f>Sinistrés!M2957</f>
        <v>28.19</v>
      </c>
      <c r="F2952">
        <f t="shared" si="92"/>
        <v>0.23761643776621968</v>
      </c>
      <c r="G2952">
        <f t="shared" si="93"/>
        <v>1</v>
      </c>
    </row>
    <row r="2953" spans="1:7" hidden="1">
      <c r="A2953" t="str">
        <f>Sinistrés!H2958</f>
        <v>Blé de force</v>
      </c>
      <c r="B2953">
        <f>Sinistrés!J2958</f>
        <v>27133.66</v>
      </c>
      <c r="C2953">
        <f>Sinistrés!X2958</f>
        <v>0</v>
      </c>
      <c r="D2953">
        <f>Sinistrés!L2958</f>
        <v>25.79</v>
      </c>
      <c r="E2953">
        <f>Sinistrés!M2958</f>
        <v>25.79</v>
      </c>
      <c r="F2953">
        <f t="shared" si="92"/>
        <v>0</v>
      </c>
      <c r="G2953">
        <f t="shared" si="93"/>
        <v>1</v>
      </c>
    </row>
    <row r="2954" spans="1:7" hidden="1">
      <c r="A2954" t="str">
        <f>Sinistrés!H2959</f>
        <v>Colza d'hiver</v>
      </c>
      <c r="B2954">
        <f>Sinistrés!J2959</f>
        <v>44961.66</v>
      </c>
      <c r="C2954">
        <f>Sinistrés!X2959</f>
        <v>0</v>
      </c>
      <c r="D2954">
        <f>Sinistrés!L2959</f>
        <v>31.82</v>
      </c>
      <c r="E2954">
        <f>Sinistrés!M2959</f>
        <v>31.82</v>
      </c>
      <c r="F2954">
        <f t="shared" si="92"/>
        <v>0</v>
      </c>
      <c r="G2954">
        <f t="shared" si="93"/>
        <v>1</v>
      </c>
    </row>
    <row r="2955" spans="1:7">
      <c r="A2955" t="str">
        <f>Sinistrés!H2960</f>
        <v>Maïs grain irrigué</v>
      </c>
      <c r="B2955">
        <f>Sinistrés!J2960</f>
        <v>160821.84</v>
      </c>
      <c r="C2955">
        <f>Sinistrés!X2960</f>
        <v>36445.629999999997</v>
      </c>
      <c r="D2955">
        <f>Sinistrés!L2960</f>
        <v>68.61</v>
      </c>
      <c r="E2955">
        <f>Sinistrés!M2960</f>
        <v>68.61</v>
      </c>
      <c r="F2955">
        <f t="shared" si="92"/>
        <v>0.22662114797343444</v>
      </c>
      <c r="G2955">
        <f t="shared" si="93"/>
        <v>1</v>
      </c>
    </row>
    <row r="2956" spans="1:7">
      <c r="A2956" t="str">
        <f>Sinistrés!H2961</f>
        <v>Maïs grain non irrigué</v>
      </c>
      <c r="B2956">
        <f>Sinistrés!J2961</f>
        <v>23942.799999999999</v>
      </c>
      <c r="C2956">
        <f>Sinistrés!X2961</f>
        <v>15130.24</v>
      </c>
      <c r="D2956">
        <f>Sinistrés!L2961</f>
        <v>20.12</v>
      </c>
      <c r="E2956">
        <f>Sinistrés!M2961</f>
        <v>20.12</v>
      </c>
      <c r="F2956">
        <f t="shared" si="92"/>
        <v>0.63193277310924367</v>
      </c>
      <c r="G2956">
        <f t="shared" si="93"/>
        <v>1</v>
      </c>
    </row>
    <row r="2957" spans="1:7" hidden="1">
      <c r="A2957" t="str">
        <f>Sinistrés!H2962</f>
        <v>Orge de printemps</v>
      </c>
      <c r="B2957">
        <f>Sinistrés!J2962</f>
        <v>25029</v>
      </c>
      <c r="C2957">
        <f>Sinistrés!X2962</f>
        <v>0</v>
      </c>
      <c r="D2957">
        <f>Sinistrés!L2962</f>
        <v>30.9</v>
      </c>
      <c r="E2957">
        <f>Sinistrés!M2962</f>
        <v>30.9</v>
      </c>
      <c r="F2957">
        <f t="shared" si="92"/>
        <v>0</v>
      </c>
      <c r="G2957">
        <f t="shared" si="93"/>
        <v>1</v>
      </c>
    </row>
    <row r="2958" spans="1:7">
      <c r="A2958" t="str">
        <f>Sinistrés!H2963</f>
        <v>Tournesol</v>
      </c>
      <c r="B2958">
        <f>Sinistrés!J2963</f>
        <v>20631.55</v>
      </c>
      <c r="C2958">
        <f>Sinistrés!X2963</f>
        <v>3504.54</v>
      </c>
      <c r="D2958">
        <f>Sinistrés!L2963</f>
        <v>20.48</v>
      </c>
      <c r="E2958">
        <f>Sinistrés!M2963</f>
        <v>20.48</v>
      </c>
      <c r="F2958">
        <f t="shared" si="92"/>
        <v>0.16986314649165962</v>
      </c>
      <c r="G2958">
        <f t="shared" si="93"/>
        <v>1</v>
      </c>
    </row>
    <row r="2959" spans="1:7" hidden="1">
      <c r="A2959" t="str">
        <f>Sinistrés!H2964</f>
        <v>Blé tendre d'hiver</v>
      </c>
      <c r="B2959">
        <f>Sinistrés!J2964</f>
        <v>22457.09</v>
      </c>
      <c r="C2959">
        <f>Sinistrés!X2964</f>
        <v>0</v>
      </c>
      <c r="D2959">
        <f>Sinistrés!L2964</f>
        <v>28.8</v>
      </c>
      <c r="E2959">
        <f>Sinistrés!M2964</f>
        <v>28.8</v>
      </c>
      <c r="F2959">
        <f t="shared" si="92"/>
        <v>0</v>
      </c>
      <c r="G2959">
        <f t="shared" si="93"/>
        <v>1</v>
      </c>
    </row>
    <row r="2960" spans="1:7" hidden="1">
      <c r="A2960" t="str">
        <f>Sinistrés!H2965</f>
        <v>Maïs grain irrigué</v>
      </c>
      <c r="B2960">
        <f>Sinistrés!J2965</f>
        <v>58696</v>
      </c>
      <c r="C2960">
        <f>Sinistrés!X2965</f>
        <v>0</v>
      </c>
      <c r="D2960">
        <f>Sinistrés!L2965</f>
        <v>44</v>
      </c>
      <c r="E2960">
        <f>Sinistrés!M2965</f>
        <v>10</v>
      </c>
      <c r="F2960">
        <f t="shared" si="92"/>
        <v>0</v>
      </c>
      <c r="G2960">
        <f t="shared" si="93"/>
        <v>0.22727272727272727</v>
      </c>
    </row>
    <row r="2961" spans="1:7" hidden="1">
      <c r="A2961" t="str">
        <f>Sinistrés!H2966</f>
        <v>Colza d'hiver</v>
      </c>
      <c r="B2961">
        <f>Sinistrés!J2966</f>
        <v>36265.949999999997</v>
      </c>
      <c r="C2961">
        <f>Sinistrés!X2966</f>
        <v>0</v>
      </c>
      <c r="D2961">
        <f>Sinistrés!L2966</f>
        <v>35</v>
      </c>
      <c r="E2961">
        <f>Sinistrés!M2966</f>
        <v>35</v>
      </c>
      <c r="F2961">
        <f t="shared" si="92"/>
        <v>0</v>
      </c>
      <c r="G2961">
        <f t="shared" si="93"/>
        <v>1</v>
      </c>
    </row>
    <row r="2962" spans="1:7" hidden="1">
      <c r="A2962" t="str">
        <f>Sinistrés!H2967</f>
        <v>Blé tendre d'hiver</v>
      </c>
      <c r="B2962">
        <f>Sinistrés!J2967</f>
        <v>90956.800000000003</v>
      </c>
      <c r="C2962">
        <f>Sinistrés!X2967</f>
        <v>0</v>
      </c>
      <c r="D2962">
        <f>Sinistrés!L2967</f>
        <v>76</v>
      </c>
      <c r="E2962">
        <f>Sinistrés!M2967</f>
        <v>76</v>
      </c>
      <c r="F2962">
        <f t="shared" si="92"/>
        <v>0</v>
      </c>
      <c r="G2962">
        <f t="shared" si="93"/>
        <v>1</v>
      </c>
    </row>
    <row r="2963" spans="1:7" hidden="1">
      <c r="A2963" t="str">
        <f>Sinistrés!H2968</f>
        <v>Lin oléagineux</v>
      </c>
      <c r="B2963">
        <f>Sinistrés!J2968</f>
        <v>13252.5</v>
      </c>
      <c r="C2963">
        <f>Sinistrés!X2968</f>
        <v>0</v>
      </c>
      <c r="D2963">
        <f>Sinistrés!L2968</f>
        <v>19</v>
      </c>
      <c r="E2963">
        <f>Sinistrés!M2968</f>
        <v>19</v>
      </c>
      <c r="F2963">
        <f t="shared" si="92"/>
        <v>0</v>
      </c>
      <c r="G2963">
        <f t="shared" si="93"/>
        <v>1</v>
      </c>
    </row>
    <row r="2964" spans="1:7" hidden="1">
      <c r="A2964" t="str">
        <f>Sinistrés!H2969</f>
        <v>Orge de printemps</v>
      </c>
      <c r="B2964">
        <f>Sinistrés!J2969</f>
        <v>24619.4</v>
      </c>
      <c r="C2964">
        <f>Sinistrés!X2969</f>
        <v>0</v>
      </c>
      <c r="D2964">
        <f>Sinistrés!L2969</f>
        <v>26</v>
      </c>
      <c r="E2964">
        <f>Sinistrés!M2969</f>
        <v>26</v>
      </c>
      <c r="F2964">
        <f t="shared" si="92"/>
        <v>0</v>
      </c>
      <c r="G2964">
        <f t="shared" si="93"/>
        <v>1</v>
      </c>
    </row>
    <row r="2965" spans="1:7">
      <c r="A2965" t="str">
        <f>Sinistrés!H2970</f>
        <v>Avoine de printemps</v>
      </c>
      <c r="B2965">
        <f>Sinistrés!J2970</f>
        <v>3876.6</v>
      </c>
      <c r="C2965">
        <f>Sinistrés!X2970</f>
        <v>307.58</v>
      </c>
      <c r="D2965">
        <f>Sinistrés!L2970</f>
        <v>6.5</v>
      </c>
      <c r="E2965">
        <f>Sinistrés!M2970</f>
        <v>6.5</v>
      </c>
      <c r="F2965">
        <f t="shared" si="92"/>
        <v>7.9342723004694832E-2</v>
      </c>
      <c r="G2965">
        <f t="shared" si="93"/>
        <v>1</v>
      </c>
    </row>
    <row r="2966" spans="1:7" hidden="1">
      <c r="A2966" t="str">
        <f>Sinistrés!H2971</f>
        <v>Blé de force</v>
      </c>
      <c r="B2966">
        <f>Sinistrés!J2971</f>
        <v>12625.2</v>
      </c>
      <c r="C2966">
        <f>Sinistrés!X2971</f>
        <v>0</v>
      </c>
      <c r="D2966">
        <f>Sinistrés!L2971</f>
        <v>12</v>
      </c>
      <c r="E2966">
        <f>Sinistrés!M2971</f>
        <v>12</v>
      </c>
      <c r="F2966">
        <f t="shared" si="92"/>
        <v>0</v>
      </c>
      <c r="G2966">
        <f t="shared" si="93"/>
        <v>1</v>
      </c>
    </row>
    <row r="2967" spans="1:7" hidden="1">
      <c r="A2967" t="str">
        <f>Sinistrés!H2972</f>
        <v>Colza d'hiver</v>
      </c>
      <c r="B2967">
        <f>Sinistrés!J2972</f>
        <v>1497.78</v>
      </c>
      <c r="C2967">
        <f>Sinistrés!X2972</f>
        <v>0</v>
      </c>
      <c r="D2967">
        <f>Sinistrés!L2972</f>
        <v>1.06</v>
      </c>
      <c r="E2967">
        <f>Sinistrés!M2972</f>
        <v>1.06</v>
      </c>
      <c r="F2967">
        <f t="shared" si="92"/>
        <v>0</v>
      </c>
      <c r="G2967">
        <f t="shared" si="93"/>
        <v>1</v>
      </c>
    </row>
    <row r="2968" spans="1:7">
      <c r="A2968" t="str">
        <f>Sinistrés!H2973</f>
        <v>Maïs grain non irrigué</v>
      </c>
      <c r="B2968">
        <f>Sinistrés!J2973</f>
        <v>11999</v>
      </c>
      <c r="C2968">
        <f>Sinistrés!X2973</f>
        <v>7310.16</v>
      </c>
      <c r="D2968">
        <f>Sinistrés!L2973</f>
        <v>9.23</v>
      </c>
      <c r="E2968">
        <f>Sinistrés!M2973</f>
        <v>9.23</v>
      </c>
      <c r="F2968">
        <f t="shared" si="92"/>
        <v>0.60923076923076924</v>
      </c>
      <c r="G2968">
        <f t="shared" si="93"/>
        <v>1</v>
      </c>
    </row>
    <row r="2969" spans="1:7">
      <c r="A2969" t="str">
        <f>Sinistrés!H2974</f>
        <v>Tournesol</v>
      </c>
      <c r="B2969">
        <f>Sinistrés!J2974</f>
        <v>2042.4</v>
      </c>
      <c r="C2969">
        <f>Sinistrés!X2974</f>
        <v>255.3</v>
      </c>
      <c r="D2969">
        <f>Sinistrés!L2974</f>
        <v>2.2200000000000002</v>
      </c>
      <c r="E2969">
        <f>Sinistrés!M2974</f>
        <v>2.2200000000000002</v>
      </c>
      <c r="F2969">
        <f t="shared" si="92"/>
        <v>0.125</v>
      </c>
      <c r="G2969">
        <f t="shared" si="93"/>
        <v>1</v>
      </c>
    </row>
    <row r="2970" spans="1:7">
      <c r="A2970" t="str">
        <f>Sinistrés!H2975</f>
        <v xml:space="preserve">Blé tendre d'hiver </v>
      </c>
      <c r="B2970">
        <f>Sinistrés!J2975</f>
        <v>53606.73</v>
      </c>
      <c r="C2970">
        <f>Sinistrés!X2975</f>
        <v>4481</v>
      </c>
      <c r="D2970">
        <f>Sinistrés!L2975</f>
        <v>54.65</v>
      </c>
      <c r="E2970">
        <f>Sinistrés!M2975</f>
        <v>54.5</v>
      </c>
      <c r="F2970">
        <f t="shared" si="92"/>
        <v>8.3590250701730914E-2</v>
      </c>
      <c r="G2970">
        <f t="shared" si="93"/>
        <v>0.99725526075022874</v>
      </c>
    </row>
    <row r="2971" spans="1:7" hidden="1">
      <c r="A2971" t="str">
        <f>Sinistrés!H2976</f>
        <v>Colza d'hiver</v>
      </c>
      <c r="B2971">
        <f>Sinistrés!J2976</f>
        <v>26763.09</v>
      </c>
      <c r="C2971">
        <f>Sinistrés!X2976</f>
        <v>0</v>
      </c>
      <c r="D2971">
        <f>Sinistrés!L2976</f>
        <v>24.35</v>
      </c>
      <c r="E2971">
        <f>Sinistrés!M2976</f>
        <v>24.3</v>
      </c>
      <c r="F2971">
        <f t="shared" si="92"/>
        <v>0</v>
      </c>
      <c r="G2971">
        <f t="shared" si="93"/>
        <v>0.99794661190965095</v>
      </c>
    </row>
    <row r="2972" spans="1:7">
      <c r="A2972" t="str">
        <f>Sinistrés!H2977</f>
        <v>Colza d'hiver</v>
      </c>
      <c r="B2972">
        <f>Sinistrés!J2977</f>
        <v>30034.37</v>
      </c>
      <c r="C2972">
        <f>Sinistrés!X2977</f>
        <v>394.29</v>
      </c>
      <c r="D2972">
        <f>Sinistrés!L2977</f>
        <v>16.38</v>
      </c>
      <c r="E2972">
        <f>Sinistrés!M2977</f>
        <v>12.08</v>
      </c>
      <c r="F2972">
        <f t="shared" si="92"/>
        <v>1.3127959734131264E-2</v>
      </c>
      <c r="G2972">
        <f t="shared" si="93"/>
        <v>0.73748473748473753</v>
      </c>
    </row>
    <row r="2973" spans="1:7">
      <c r="A2973" t="str">
        <f>Sinistrés!H2978</f>
        <v>Blé tendre d'hiver</v>
      </c>
      <c r="B2973">
        <f>Sinistrés!J2978</f>
        <v>36505.42</v>
      </c>
      <c r="C2973">
        <f>Sinistrés!X2978</f>
        <v>1036.1500000000001</v>
      </c>
      <c r="D2973">
        <f>Sinistrés!L2978</f>
        <v>32.869999999999997</v>
      </c>
      <c r="E2973">
        <f>Sinistrés!M2978</f>
        <v>13.24</v>
      </c>
      <c r="F2973">
        <f t="shared" si="92"/>
        <v>2.8383456483996081E-2</v>
      </c>
      <c r="G2973">
        <f t="shared" si="93"/>
        <v>0.40279890477639191</v>
      </c>
    </row>
    <row r="2974" spans="1:7">
      <c r="A2974" t="str">
        <f>Sinistrés!H2979</f>
        <v>Blé tendre d'hiver</v>
      </c>
      <c r="B2974">
        <f>Sinistrés!J2979</f>
        <v>10200.75</v>
      </c>
      <c r="C2974">
        <f>Sinistrés!X2979</f>
        <v>997.24</v>
      </c>
      <c r="D2974">
        <f>Sinistrés!L2979</f>
        <v>10.15</v>
      </c>
      <c r="E2974">
        <f>Sinistrés!M2979</f>
        <v>10.15</v>
      </c>
      <c r="F2974">
        <f t="shared" si="92"/>
        <v>9.7761439109869369E-2</v>
      </c>
      <c r="G2974">
        <f t="shared" si="93"/>
        <v>1</v>
      </c>
    </row>
    <row r="2975" spans="1:7">
      <c r="A2975" t="str">
        <f>Sinistrés!H2980</f>
        <v>Maïs grain non irrigué</v>
      </c>
      <c r="B2975">
        <f>Sinistrés!J2980</f>
        <v>13256.1</v>
      </c>
      <c r="C2975">
        <f>Sinistrés!X2980</f>
        <v>1492.47</v>
      </c>
      <c r="D2975">
        <f>Sinistrés!L2980</f>
        <v>12.36</v>
      </c>
      <c r="E2975">
        <f>Sinistrés!M2980</f>
        <v>12.36</v>
      </c>
      <c r="F2975">
        <f t="shared" si="92"/>
        <v>0.11258741258741259</v>
      </c>
      <c r="G2975">
        <f t="shared" si="93"/>
        <v>1</v>
      </c>
    </row>
    <row r="2976" spans="1:7">
      <c r="A2976" t="str">
        <f>Sinistrés!H2981</f>
        <v>Colza d'hiver</v>
      </c>
      <c r="B2976">
        <f>Sinistrés!J2981</f>
        <v>11689.7</v>
      </c>
      <c r="C2976">
        <f>Sinistrés!X2981</f>
        <v>2945.64</v>
      </c>
      <c r="D2976">
        <f>Sinistrés!L2981</f>
        <v>10.63</v>
      </c>
      <c r="E2976">
        <f>Sinistrés!M2981</f>
        <v>10.63</v>
      </c>
      <c r="F2976">
        <f t="shared" si="92"/>
        <v>0.25198593633711724</v>
      </c>
      <c r="G2976">
        <f t="shared" si="93"/>
        <v>1</v>
      </c>
    </row>
    <row r="2977" spans="1:7">
      <c r="A2977" t="str">
        <f>Sinistrés!H2982</f>
        <v>Colza d'hiver</v>
      </c>
      <c r="B2977">
        <f>Sinistrés!J2982</f>
        <v>24882</v>
      </c>
      <c r="C2977">
        <f>Sinistrés!X2982</f>
        <v>729</v>
      </c>
      <c r="D2977">
        <f>Sinistrés!L2982</f>
        <v>22</v>
      </c>
      <c r="E2977">
        <f>Sinistrés!M2982</f>
        <v>22</v>
      </c>
      <c r="F2977">
        <f t="shared" si="92"/>
        <v>2.9298287918977574E-2</v>
      </c>
      <c r="G2977">
        <f t="shared" si="93"/>
        <v>1</v>
      </c>
    </row>
    <row r="2978" spans="1:7">
      <c r="A2978" t="str">
        <f>Sinistrés!H2983</f>
        <v>Blé tendre d'hiver</v>
      </c>
      <c r="B2978">
        <f>Sinistrés!J2983</f>
        <v>29881.599999999999</v>
      </c>
      <c r="C2978">
        <f>Sinistrés!X2983</f>
        <v>959.76</v>
      </c>
      <c r="D2978">
        <f>Sinistrés!L2983</f>
        <v>28</v>
      </c>
      <c r="E2978">
        <f>Sinistrés!M2983</f>
        <v>13</v>
      </c>
      <c r="F2978">
        <f t="shared" si="92"/>
        <v>3.2118762047547655E-2</v>
      </c>
      <c r="G2978">
        <f t="shared" si="93"/>
        <v>0.4642857142857143</v>
      </c>
    </row>
    <row r="2979" spans="1:7" hidden="1">
      <c r="A2979" t="str">
        <f>Sinistrés!H2984</f>
        <v>Colza d'hiver</v>
      </c>
      <c r="B2979">
        <f>Sinistrés!J2984</f>
        <v>13505</v>
      </c>
      <c r="C2979">
        <f>Sinistrés!X2984</f>
        <v>0</v>
      </c>
      <c r="D2979">
        <f>Sinistrés!L2984</f>
        <v>9.25</v>
      </c>
      <c r="E2979">
        <f>Sinistrés!M2984</f>
        <v>9.24</v>
      </c>
      <c r="F2979">
        <f t="shared" si="92"/>
        <v>0</v>
      </c>
      <c r="G2979">
        <f t="shared" si="93"/>
        <v>0.99891891891891893</v>
      </c>
    </row>
    <row r="2980" spans="1:7">
      <c r="A2980" t="str">
        <f>Sinistrés!H2985</f>
        <v>Blé tendre d'hiver</v>
      </c>
      <c r="B2980">
        <f>Sinistrés!J2985</f>
        <v>9105</v>
      </c>
      <c r="C2980">
        <f>Sinistrés!X2985</f>
        <v>1339.5</v>
      </c>
      <c r="D2980">
        <f>Sinistrés!L2985</f>
        <v>7.5</v>
      </c>
      <c r="E2980">
        <f>Sinistrés!M2985</f>
        <v>7.5</v>
      </c>
      <c r="F2980">
        <f t="shared" si="92"/>
        <v>0.14711696869851729</v>
      </c>
      <c r="G2980">
        <f t="shared" si="93"/>
        <v>1</v>
      </c>
    </row>
    <row r="2981" spans="1:7">
      <c r="A2981" t="str">
        <f>Sinistrés!H2986</f>
        <v>Colza d'hiver</v>
      </c>
      <c r="B2981">
        <f>Sinistrés!J2986</f>
        <v>14879.16</v>
      </c>
      <c r="C2981">
        <f>Sinistrés!X2986</f>
        <v>2911.71</v>
      </c>
      <c r="D2981">
        <f>Sinistrés!L2986</f>
        <v>17.97</v>
      </c>
      <c r="E2981">
        <f>Sinistrés!M2986</f>
        <v>17.97</v>
      </c>
      <c r="F2981">
        <f t="shared" si="92"/>
        <v>0.19569048252723945</v>
      </c>
      <c r="G2981">
        <f t="shared" si="93"/>
        <v>1</v>
      </c>
    </row>
    <row r="2982" spans="1:7">
      <c r="A2982" t="str">
        <f>Sinistrés!H2987</f>
        <v>Blé tendre d'hiver</v>
      </c>
      <c r="B2982">
        <f>Sinistrés!J2987</f>
        <v>32307.55</v>
      </c>
      <c r="C2982">
        <f>Sinistrés!X2987</f>
        <v>3698.68</v>
      </c>
      <c r="D2982">
        <f>Sinistrés!L2987</f>
        <v>36.78</v>
      </c>
      <c r="E2982">
        <f>Sinistrés!M2987</f>
        <v>36.78</v>
      </c>
      <c r="F2982">
        <f t="shared" si="92"/>
        <v>0.11448345665332096</v>
      </c>
      <c r="G2982">
        <f t="shared" si="93"/>
        <v>1</v>
      </c>
    </row>
    <row r="2983" spans="1:7" hidden="1">
      <c r="A2983" t="str">
        <f>Sinistrés!H2988</f>
        <v>Blé tendre d'hiver semences</v>
      </c>
      <c r="B2983">
        <f>Sinistrés!J2988</f>
        <v>14417.64</v>
      </c>
      <c r="C2983">
        <f>Sinistrés!X2988</f>
        <v>1145.95</v>
      </c>
      <c r="D2983">
        <f>Sinistrés!L2988</f>
        <v>13.81</v>
      </c>
      <c r="E2983">
        <f>Sinistrés!M2988</f>
        <v>13.81</v>
      </c>
      <c r="F2983">
        <f t="shared" si="92"/>
        <v>7.9482495054669144E-2</v>
      </c>
      <c r="G2983">
        <f t="shared" si="93"/>
        <v>1</v>
      </c>
    </row>
    <row r="2984" spans="1:7">
      <c r="A2984" t="str">
        <f>Sinistrés!H2989</f>
        <v>Blé tendre d'hiver</v>
      </c>
      <c r="B2984">
        <f>Sinistrés!J2989</f>
        <v>6682.11</v>
      </c>
      <c r="C2984">
        <f>Sinistrés!X2989</f>
        <v>1800.49</v>
      </c>
      <c r="D2984">
        <f>Sinistrés!L2989</f>
        <v>5.7</v>
      </c>
      <c r="E2984">
        <f>Sinistrés!M2989</f>
        <v>5.7</v>
      </c>
      <c r="F2984">
        <f t="shared" si="92"/>
        <v>0.26944932064871724</v>
      </c>
      <c r="G2984">
        <f t="shared" si="93"/>
        <v>1</v>
      </c>
    </row>
    <row r="2985" spans="1:7" hidden="1">
      <c r="A2985" t="str">
        <f>Sinistrés!H2990</f>
        <v>Féveroles et fèves</v>
      </c>
      <c r="B2985">
        <f>Sinistrés!J2990</f>
        <v>430.92</v>
      </c>
      <c r="C2985">
        <f>Sinistrés!X2990</f>
        <v>0</v>
      </c>
      <c r="D2985">
        <f>Sinistrés!L2990</f>
        <v>1.8</v>
      </c>
      <c r="E2985">
        <f>Sinistrés!M2990</f>
        <v>1.8</v>
      </c>
      <c r="F2985">
        <f t="shared" si="92"/>
        <v>0</v>
      </c>
      <c r="G2985">
        <f t="shared" si="93"/>
        <v>1</v>
      </c>
    </row>
    <row r="2986" spans="1:7">
      <c r="A2986" t="str">
        <f>Sinistrés!H2991</f>
        <v>Maïs grain non irrigué</v>
      </c>
      <c r="B2986">
        <f>Sinistrés!J2991</f>
        <v>3304.1</v>
      </c>
      <c r="C2986">
        <f>Sinistrés!X2991</f>
        <v>2640.69</v>
      </c>
      <c r="D2986">
        <f>Sinistrés!L2991</f>
        <v>3.7</v>
      </c>
      <c r="E2986">
        <f>Sinistrés!M2991</f>
        <v>3.7</v>
      </c>
      <c r="F2986">
        <f t="shared" si="92"/>
        <v>0.79921612541993281</v>
      </c>
      <c r="G2986">
        <f t="shared" si="93"/>
        <v>1</v>
      </c>
    </row>
    <row r="2987" spans="1:7">
      <c r="A2987" t="str">
        <f>Sinistrés!H2992</f>
        <v>Blé dur d'hiver</v>
      </c>
      <c r="B2987">
        <f>Sinistrés!J2992</f>
        <v>26056.799999999999</v>
      </c>
      <c r="C2987">
        <f>Sinistrés!X2992</f>
        <v>9161.41</v>
      </c>
      <c r="D2987">
        <f>Sinistrés!L2992</f>
        <v>20</v>
      </c>
      <c r="E2987">
        <f>Sinistrés!M2992</f>
        <v>20</v>
      </c>
      <c r="F2987">
        <f t="shared" si="92"/>
        <v>0.35159382579595344</v>
      </c>
      <c r="G2987">
        <f t="shared" si="93"/>
        <v>1</v>
      </c>
    </row>
    <row r="2988" spans="1:7">
      <c r="A2988" t="str">
        <f>Sinistrés!H2993</f>
        <v>Féveroles et fèves</v>
      </c>
      <c r="B2988">
        <f>Sinistrés!J2993</f>
        <v>6599.16</v>
      </c>
      <c r="C2988">
        <f>Sinistrés!X2993</f>
        <v>4162.55</v>
      </c>
      <c r="D2988">
        <f>Sinistrés!L2993</f>
        <v>15.29</v>
      </c>
      <c r="E2988">
        <f>Sinistrés!M2993</f>
        <v>15.29</v>
      </c>
      <c r="F2988">
        <f t="shared" si="92"/>
        <v>0.63076967371604875</v>
      </c>
      <c r="G2988">
        <f t="shared" si="93"/>
        <v>1</v>
      </c>
    </row>
    <row r="2989" spans="1:7">
      <c r="A2989" t="str">
        <f>Sinistrés!H2994</f>
        <v>Orge de printemps</v>
      </c>
      <c r="B2989">
        <f>Sinistrés!J2994</f>
        <v>7656.8</v>
      </c>
      <c r="C2989">
        <f>Sinistrés!X2994</f>
        <v>1133.9100000000001</v>
      </c>
      <c r="D2989">
        <f>Sinistrés!L2994</f>
        <v>8</v>
      </c>
      <c r="E2989">
        <f>Sinistrés!M2994</f>
        <v>8</v>
      </c>
      <c r="F2989">
        <f t="shared" si="92"/>
        <v>0.14809189217427646</v>
      </c>
      <c r="G2989">
        <f t="shared" si="93"/>
        <v>1</v>
      </c>
    </row>
    <row r="2990" spans="1:7">
      <c r="A2990" t="str">
        <f>Sinistrés!H2995</f>
        <v>Blé tendre d'hiver</v>
      </c>
      <c r="B2990">
        <f>Sinistrés!J2995</f>
        <v>42525</v>
      </c>
      <c r="C2990">
        <f>Sinistrés!X2995</f>
        <v>17815.73</v>
      </c>
      <c r="D2990">
        <f>Sinistrés!L2995</f>
        <v>50</v>
      </c>
      <c r="E2990">
        <f>Sinistrés!M2995</f>
        <v>50</v>
      </c>
      <c r="F2990">
        <f t="shared" si="92"/>
        <v>0.41894720752498527</v>
      </c>
      <c r="G2990">
        <f t="shared" si="93"/>
        <v>1</v>
      </c>
    </row>
    <row r="2991" spans="1:7">
      <c r="A2991" t="str">
        <f>Sinistrés!H2996</f>
        <v>Orge d'hiver</v>
      </c>
      <c r="B2991">
        <f>Sinistrés!J2996</f>
        <v>43179.8</v>
      </c>
      <c r="C2991">
        <f>Sinistrés!X2996</f>
        <v>24866.94</v>
      </c>
      <c r="D2991">
        <f>Sinistrés!L2996</f>
        <v>49.89</v>
      </c>
      <c r="E2991">
        <f>Sinistrés!M2996</f>
        <v>49.89</v>
      </c>
      <c r="F2991">
        <f t="shared" si="92"/>
        <v>0.57589289436264168</v>
      </c>
      <c r="G2991">
        <f t="shared" si="93"/>
        <v>1</v>
      </c>
    </row>
    <row r="2992" spans="1:7">
      <c r="A2992" t="str">
        <f>Sinistrés!H2997</f>
        <v>Tournesol</v>
      </c>
      <c r="B2992">
        <f>Sinistrés!J2997</f>
        <v>38817</v>
      </c>
      <c r="C2992">
        <f>Sinistrés!X2997</f>
        <v>28471.5</v>
      </c>
      <c r="D2992">
        <f>Sinistrés!L2997</f>
        <v>45</v>
      </c>
      <c r="E2992">
        <f>Sinistrés!M2997</f>
        <v>45</v>
      </c>
      <c r="F2992">
        <f t="shared" si="92"/>
        <v>0.73348017621145378</v>
      </c>
      <c r="G2992">
        <f t="shared" si="93"/>
        <v>1</v>
      </c>
    </row>
    <row r="2993" spans="1:7">
      <c r="A2993" t="str">
        <f>Sinistrés!H2998</f>
        <v>Maïs grain irrigué</v>
      </c>
      <c r="B2993">
        <f>Sinistrés!J2998</f>
        <v>87439.61</v>
      </c>
      <c r="C2993">
        <f>Sinistrés!X2998</f>
        <v>71993.61</v>
      </c>
      <c r="D2993">
        <f>Sinistrés!L2998</f>
        <v>48.92</v>
      </c>
      <c r="E2993">
        <f>Sinistrés!M2998</f>
        <v>48.92</v>
      </c>
      <c r="F2993">
        <f t="shared" si="92"/>
        <v>0.82335236856614524</v>
      </c>
      <c r="G2993">
        <f t="shared" si="93"/>
        <v>1</v>
      </c>
    </row>
    <row r="2994" spans="1:7" hidden="1">
      <c r="A2994" t="str">
        <f>Sinistrés!H2999</f>
        <v>Colza d'hiver</v>
      </c>
      <c r="B2994">
        <f>Sinistrés!J2999</f>
        <v>225838.07999999999</v>
      </c>
      <c r="C2994">
        <f>Sinistrés!X2999</f>
        <v>0</v>
      </c>
      <c r="D2994">
        <f>Sinistrés!L2999</f>
        <v>148.47999999999999</v>
      </c>
      <c r="E2994">
        <f>Sinistrés!M2999</f>
        <v>148.47999999999999</v>
      </c>
      <c r="F2994">
        <f t="shared" si="92"/>
        <v>0</v>
      </c>
      <c r="G2994">
        <f t="shared" si="93"/>
        <v>1</v>
      </c>
    </row>
    <row r="2995" spans="1:7" hidden="1">
      <c r="A2995" t="str">
        <f>Sinistrés!H3000</f>
        <v>Blé tendre d'hiver</v>
      </c>
      <c r="B2995">
        <f>Sinistrés!J3000</f>
        <v>140822.39999999999</v>
      </c>
      <c r="C2995">
        <f>Sinistrés!X3000</f>
        <v>0</v>
      </c>
      <c r="D2995">
        <f>Sinistrés!L3000</f>
        <v>146.69</v>
      </c>
      <c r="E2995">
        <f>Sinistrés!M3000</f>
        <v>146.69</v>
      </c>
      <c r="F2995">
        <f t="shared" si="92"/>
        <v>0</v>
      </c>
      <c r="G2995">
        <f t="shared" si="93"/>
        <v>1</v>
      </c>
    </row>
    <row r="2996" spans="1:7">
      <c r="A2996" t="str">
        <f>Sinistrés!H3001</f>
        <v>Blé tendre d'hiver</v>
      </c>
      <c r="B2996">
        <f>Sinistrés!J3001</f>
        <v>41733.15</v>
      </c>
      <c r="C2996">
        <f>Sinistrés!X3001</f>
        <v>12246.29</v>
      </c>
      <c r="D2996">
        <f>Sinistrés!L3001</f>
        <v>45.61</v>
      </c>
      <c r="E2996">
        <f>Sinistrés!M3001</f>
        <v>45.61</v>
      </c>
      <c r="F2996">
        <f t="shared" si="92"/>
        <v>0.29344274275965271</v>
      </c>
      <c r="G2996">
        <f t="shared" si="93"/>
        <v>1</v>
      </c>
    </row>
    <row r="2997" spans="1:7" hidden="1">
      <c r="A2997" t="str">
        <f>Sinistrés!H3002</f>
        <v>Colza d'hiver</v>
      </c>
      <c r="B2997">
        <f>Sinistrés!J3002</f>
        <v>31112.1</v>
      </c>
      <c r="C2997">
        <f>Sinistrés!X3002</f>
        <v>0</v>
      </c>
      <c r="D2997">
        <f>Sinistrés!L3002</f>
        <v>25.05</v>
      </c>
      <c r="E2997">
        <f>Sinistrés!M3002</f>
        <v>25.05</v>
      </c>
      <c r="F2997">
        <f t="shared" si="92"/>
        <v>0</v>
      </c>
      <c r="G2997">
        <f t="shared" si="93"/>
        <v>1</v>
      </c>
    </row>
    <row r="2998" spans="1:7">
      <c r="A2998" t="str">
        <f>Sinistrés!H3003</f>
        <v>Colza de printemps</v>
      </c>
      <c r="B2998">
        <f>Sinistrés!J3003</f>
        <v>24600</v>
      </c>
      <c r="C2998">
        <f>Sinistrés!X3003</f>
        <v>1082.4000000000001</v>
      </c>
      <c r="D2998">
        <f>Sinistrés!L3003</f>
        <v>12.3</v>
      </c>
      <c r="E2998">
        <f>Sinistrés!M3003</f>
        <v>12.3</v>
      </c>
      <c r="F2998">
        <f t="shared" si="92"/>
        <v>4.4000000000000004E-2</v>
      </c>
      <c r="G2998">
        <f t="shared" si="93"/>
        <v>1</v>
      </c>
    </row>
    <row r="2999" spans="1:7">
      <c r="A2999" t="str">
        <f>Sinistrés!H3004</f>
        <v>Tournesol</v>
      </c>
      <c r="B2999">
        <f>Sinistrés!J3004</f>
        <v>22168.799999999999</v>
      </c>
      <c r="C2999">
        <f>Sinistrés!X3004</f>
        <v>2689.24</v>
      </c>
      <c r="D2999">
        <f>Sinistrés!L3004</f>
        <v>16.21</v>
      </c>
      <c r="E2999">
        <f>Sinistrés!M3004</f>
        <v>16.21</v>
      </c>
      <c r="F2999">
        <f t="shared" si="92"/>
        <v>0.12130742304500017</v>
      </c>
      <c r="G2999">
        <f t="shared" si="93"/>
        <v>1</v>
      </c>
    </row>
    <row r="3000" spans="1:7" hidden="1">
      <c r="A3000" t="str">
        <f>Sinistrés!H3005</f>
        <v>Blé tendre d'hiver</v>
      </c>
      <c r="B3000">
        <f>Sinistrés!J3005</f>
        <v>102196.91</v>
      </c>
      <c r="C3000">
        <f>Sinistrés!X3005</f>
        <v>0</v>
      </c>
      <c r="D3000">
        <f>Sinistrés!L3005</f>
        <v>75.78</v>
      </c>
      <c r="E3000">
        <f>Sinistrés!M3005</f>
        <v>75.78</v>
      </c>
      <c r="F3000">
        <f t="shared" si="92"/>
        <v>0</v>
      </c>
      <c r="G3000">
        <f t="shared" si="93"/>
        <v>1</v>
      </c>
    </row>
    <row r="3001" spans="1:7">
      <c r="A3001" t="str">
        <f>Sinistrés!H3006</f>
        <v>Maïs grain non irrigué</v>
      </c>
      <c r="B3001">
        <f>Sinistrés!J3006</f>
        <v>31440.75</v>
      </c>
      <c r="C3001">
        <f>Sinistrés!X3006</f>
        <v>6781.21</v>
      </c>
      <c r="D3001">
        <f>Sinistrés!L3006</f>
        <v>18.5</v>
      </c>
      <c r="E3001">
        <f>Sinistrés!M3006</f>
        <v>16</v>
      </c>
      <c r="F3001">
        <f t="shared" si="92"/>
        <v>0.21568219587637064</v>
      </c>
      <c r="G3001">
        <f t="shared" si="93"/>
        <v>0.86486486486486491</v>
      </c>
    </row>
    <row r="3002" spans="1:7">
      <c r="A3002" t="str">
        <f>Sinistrés!H3007</f>
        <v>Triticale</v>
      </c>
      <c r="B3002">
        <f>Sinistrés!J3007</f>
        <v>2460</v>
      </c>
      <c r="C3002">
        <f>Sinistrés!X3007</f>
        <v>429</v>
      </c>
      <c r="D3002">
        <f>Sinistrés!L3007</f>
        <v>4</v>
      </c>
      <c r="E3002">
        <f>Sinistrés!M3007</f>
        <v>4</v>
      </c>
      <c r="F3002">
        <f t="shared" si="92"/>
        <v>0.17439024390243901</v>
      </c>
      <c r="G3002">
        <f t="shared" si="93"/>
        <v>1</v>
      </c>
    </row>
    <row r="3003" spans="1:7">
      <c r="A3003" t="str">
        <f>Sinistrés!H3008</f>
        <v>Maïs grain non irrigué</v>
      </c>
      <c r="B3003">
        <f>Sinistrés!J3008</f>
        <v>5925.15</v>
      </c>
      <c r="C3003">
        <f>Sinistrés!X3008</f>
        <v>2855.36</v>
      </c>
      <c r="D3003">
        <f>Sinistrés!L3008</f>
        <v>6.93</v>
      </c>
      <c r="E3003">
        <f>Sinistrés!M3008</f>
        <v>4.29</v>
      </c>
      <c r="F3003">
        <f t="shared" si="92"/>
        <v>0.48190509944895915</v>
      </c>
      <c r="G3003">
        <f t="shared" si="93"/>
        <v>0.61904761904761907</v>
      </c>
    </row>
    <row r="3004" spans="1:7" hidden="1">
      <c r="A3004" t="str">
        <f>Sinistrés!H3009</f>
        <v>Blé tendre d'hiver</v>
      </c>
      <c r="B3004">
        <f>Sinistrés!J3009</f>
        <v>10297.58</v>
      </c>
      <c r="C3004">
        <f>Sinistrés!X3009</f>
        <v>0</v>
      </c>
      <c r="D3004">
        <f>Sinistrés!L3009</f>
        <v>17.73</v>
      </c>
      <c r="E3004">
        <f>Sinistrés!M3009</f>
        <v>17.73</v>
      </c>
      <c r="F3004">
        <f t="shared" si="92"/>
        <v>0</v>
      </c>
      <c r="G3004">
        <f t="shared" si="93"/>
        <v>1</v>
      </c>
    </row>
    <row r="3005" spans="1:7">
      <c r="A3005" t="str">
        <f>Sinistrés!H3010</f>
        <v>Orge de printemps</v>
      </c>
      <c r="B3005">
        <f>Sinistrés!J3010</f>
        <v>43200</v>
      </c>
      <c r="C3005">
        <f>Sinistrés!X3010</f>
        <v>6592</v>
      </c>
      <c r="D3005">
        <f>Sinistrés!L3010</f>
        <v>40</v>
      </c>
      <c r="E3005">
        <f>Sinistrés!M3010</f>
        <v>40</v>
      </c>
      <c r="F3005">
        <f t="shared" si="92"/>
        <v>0.15259259259259259</v>
      </c>
      <c r="G3005">
        <f t="shared" si="93"/>
        <v>1</v>
      </c>
    </row>
    <row r="3006" spans="1:7" hidden="1">
      <c r="A3006" t="str">
        <f>Sinistrés!H3011</f>
        <v>Tournesol</v>
      </c>
      <c r="B3006">
        <f>Sinistrés!J3011</f>
        <v>16646.400000000001</v>
      </c>
      <c r="C3006">
        <f>Sinistrés!X3011</f>
        <v>0</v>
      </c>
      <c r="D3006">
        <f>Sinistrés!L3011</f>
        <v>15.3</v>
      </c>
      <c r="E3006">
        <f>Sinistrés!M3011</f>
        <v>15.3</v>
      </c>
      <c r="F3006">
        <f t="shared" si="92"/>
        <v>0</v>
      </c>
      <c r="G3006">
        <f t="shared" si="93"/>
        <v>1</v>
      </c>
    </row>
    <row r="3007" spans="1:7" hidden="1">
      <c r="A3007" t="str">
        <f>Sinistrés!H3012</f>
        <v>Maïs grain non irrigué</v>
      </c>
      <c r="B3007">
        <f>Sinistrés!J3012</f>
        <v>86110.14</v>
      </c>
      <c r="C3007">
        <f>Sinistrés!X3012</f>
        <v>0</v>
      </c>
      <c r="D3007">
        <f>Sinistrés!L3012</f>
        <v>48.89</v>
      </c>
      <c r="E3007">
        <f>Sinistrés!M3012</f>
        <v>15.89</v>
      </c>
      <c r="F3007">
        <f t="shared" si="92"/>
        <v>0</v>
      </c>
      <c r="G3007">
        <f t="shared" si="93"/>
        <v>0.32501534056044179</v>
      </c>
    </row>
    <row r="3008" spans="1:7">
      <c r="A3008" t="str">
        <f>Sinistrés!H3013</f>
        <v>Orge de printemps</v>
      </c>
      <c r="B3008">
        <f>Sinistrés!J3013</f>
        <v>3384.38</v>
      </c>
      <c r="C3008">
        <f>Sinistrés!X3013</f>
        <v>1643.31</v>
      </c>
      <c r="D3008">
        <f>Sinistrés!L3013</f>
        <v>2.5299999999999998</v>
      </c>
      <c r="E3008">
        <f>Sinistrés!M3013</f>
        <v>2.5</v>
      </c>
      <c r="F3008">
        <f t="shared" si="92"/>
        <v>0.48555717738551812</v>
      </c>
      <c r="G3008">
        <f t="shared" si="93"/>
        <v>0.98814229249011865</v>
      </c>
    </row>
    <row r="3009" spans="1:7" hidden="1">
      <c r="A3009" t="str">
        <f>Sinistrés!H3014</f>
        <v>Blé tendre d'hiver</v>
      </c>
      <c r="B3009">
        <f>Sinistrés!J3014</f>
        <v>81000</v>
      </c>
      <c r="C3009">
        <f>Sinistrés!X3014</f>
        <v>0</v>
      </c>
      <c r="D3009">
        <f>Sinistrés!L3014</f>
        <v>54</v>
      </c>
      <c r="E3009">
        <f>Sinistrés!M3014</f>
        <v>54</v>
      </c>
      <c r="F3009">
        <f t="shared" si="92"/>
        <v>0</v>
      </c>
      <c r="G3009">
        <f t="shared" si="93"/>
        <v>1</v>
      </c>
    </row>
    <row r="3010" spans="1:7" hidden="1">
      <c r="A3010" t="str">
        <f>Sinistrés!H3015</f>
        <v>Maïs grain irrigué</v>
      </c>
      <c r="B3010">
        <f>Sinistrés!J3015</f>
        <v>126684</v>
      </c>
      <c r="C3010">
        <f>Sinistrés!X3015</f>
        <v>0</v>
      </c>
      <c r="D3010">
        <f>Sinistrés!L3015</f>
        <v>54</v>
      </c>
      <c r="E3010">
        <f>Sinistrés!M3015</f>
        <v>54</v>
      </c>
      <c r="F3010">
        <f t="shared" si="92"/>
        <v>0</v>
      </c>
      <c r="G3010">
        <f t="shared" si="93"/>
        <v>1</v>
      </c>
    </row>
    <row r="3011" spans="1:7">
      <c r="A3011" t="str">
        <f>Sinistrés!H3016</f>
        <v>Colza d'hiver</v>
      </c>
      <c r="B3011">
        <f>Sinistrés!J3016</f>
        <v>39272.730000000003</v>
      </c>
      <c r="C3011">
        <f>Sinistrés!X3016</f>
        <v>2203.62</v>
      </c>
      <c r="D3011">
        <f>Sinistrés!L3016</f>
        <v>32.43</v>
      </c>
      <c r="E3011">
        <f>Sinistrés!M3016</f>
        <v>32.43</v>
      </c>
      <c r="F3011">
        <f t="shared" ref="F3011:F3074" si="94">C3011/B3011</f>
        <v>5.6110690547868707E-2</v>
      </c>
      <c r="G3011">
        <f t="shared" ref="G3011:G3074" si="95">E3011/D3011</f>
        <v>1</v>
      </c>
    </row>
    <row r="3012" spans="1:7" hidden="1">
      <c r="A3012" t="str">
        <f>Sinistrés!H3017</f>
        <v>Blé tendre d'hiver</v>
      </c>
      <c r="B3012">
        <f>Sinistrés!J3017</f>
        <v>55764.59</v>
      </c>
      <c r="C3012">
        <f>Sinistrés!X3017</f>
        <v>0</v>
      </c>
      <c r="D3012">
        <f>Sinistrés!L3017</f>
        <v>65.39</v>
      </c>
      <c r="E3012">
        <f>Sinistrés!M3017</f>
        <v>65.39</v>
      </c>
      <c r="F3012">
        <f t="shared" si="94"/>
        <v>0</v>
      </c>
      <c r="G3012">
        <f t="shared" si="95"/>
        <v>1</v>
      </c>
    </row>
    <row r="3013" spans="1:7" hidden="1">
      <c r="A3013" t="str">
        <f>Sinistrés!H3018</f>
        <v>Colza d'hiver</v>
      </c>
      <c r="B3013">
        <f>Sinistrés!J3018</f>
        <v>22809.33</v>
      </c>
      <c r="C3013">
        <f>Sinistrés!X3018</f>
        <v>0</v>
      </c>
      <c r="D3013">
        <f>Sinistrés!L3018</f>
        <v>22.55</v>
      </c>
      <c r="E3013">
        <f>Sinistrés!M3018</f>
        <v>22.55</v>
      </c>
      <c r="F3013">
        <f t="shared" si="94"/>
        <v>0</v>
      </c>
      <c r="G3013">
        <f t="shared" si="95"/>
        <v>1</v>
      </c>
    </row>
    <row r="3014" spans="1:7" hidden="1">
      <c r="A3014" t="str">
        <f>Sinistrés!H3019</f>
        <v>Lupin</v>
      </c>
      <c r="B3014">
        <f>Sinistrés!J3019</f>
        <v>15615.6</v>
      </c>
      <c r="C3014">
        <f>Sinistrés!X3019</f>
        <v>0</v>
      </c>
      <c r="D3014">
        <f>Sinistrés!L3019</f>
        <v>15.6</v>
      </c>
      <c r="E3014">
        <f>Sinistrés!M3019</f>
        <v>15.6</v>
      </c>
      <c r="F3014">
        <f t="shared" si="94"/>
        <v>0</v>
      </c>
      <c r="G3014">
        <f t="shared" si="95"/>
        <v>1</v>
      </c>
    </row>
    <row r="3015" spans="1:7">
      <c r="A3015" t="str">
        <f>Sinistrés!H3020</f>
        <v>Maïs ensilage non irrigué</v>
      </c>
      <c r="B3015">
        <f>Sinistrés!J3020</f>
        <v>16088.04</v>
      </c>
      <c r="C3015">
        <f>Sinistrés!X3020</f>
        <v>4881.32</v>
      </c>
      <c r="D3015">
        <f>Sinistrés!L3020</f>
        <v>19.61</v>
      </c>
      <c r="E3015">
        <f>Sinistrés!M3020</f>
        <v>19.61</v>
      </c>
      <c r="F3015">
        <f t="shared" si="94"/>
        <v>0.30341297013184948</v>
      </c>
      <c r="G3015">
        <f t="shared" si="95"/>
        <v>1</v>
      </c>
    </row>
    <row r="3016" spans="1:7" hidden="1">
      <c r="A3016" t="str">
        <f>Sinistrés!H3021</f>
        <v>Colza d'hiver</v>
      </c>
      <c r="B3016">
        <f>Sinistrés!J3021</f>
        <v>23413.47</v>
      </c>
      <c r="C3016">
        <f>Sinistrés!X3021</f>
        <v>0</v>
      </c>
      <c r="D3016">
        <f>Sinistrés!L3021</f>
        <v>18.43</v>
      </c>
      <c r="E3016">
        <f>Sinistrés!M3021</f>
        <v>18.43</v>
      </c>
      <c r="F3016">
        <f t="shared" si="94"/>
        <v>0</v>
      </c>
      <c r="G3016">
        <f t="shared" si="95"/>
        <v>1</v>
      </c>
    </row>
    <row r="3017" spans="1:7">
      <c r="A3017" t="str">
        <f>Sinistrés!H3022</f>
        <v>Blé tendre d'hiver</v>
      </c>
      <c r="B3017">
        <f>Sinistrés!J3022</f>
        <v>51040.7</v>
      </c>
      <c r="C3017">
        <f>Sinistrés!X3022</f>
        <v>6409.09</v>
      </c>
      <c r="D3017">
        <f>Sinistrés!L3022</f>
        <v>43.94</v>
      </c>
      <c r="E3017">
        <f>Sinistrés!M3022</f>
        <v>34</v>
      </c>
      <c r="F3017">
        <f t="shared" si="94"/>
        <v>0.12556822300634593</v>
      </c>
      <c r="G3017">
        <f t="shared" si="95"/>
        <v>0.77378243058716434</v>
      </c>
    </row>
    <row r="3018" spans="1:7">
      <c r="A3018" t="str">
        <f>Sinistrés!H3023</f>
        <v>Maïs grain non irrigué</v>
      </c>
      <c r="B3018">
        <f>Sinistrés!J3023</f>
        <v>27549.83</v>
      </c>
      <c r="C3018">
        <f>Sinistrés!X3023</f>
        <v>17742.599999999999</v>
      </c>
      <c r="D3018">
        <f>Sinistrés!L3023</f>
        <v>34.299999999999997</v>
      </c>
      <c r="E3018">
        <f>Sinistrés!M3023</f>
        <v>34.299999999999997</v>
      </c>
      <c r="F3018">
        <f t="shared" si="94"/>
        <v>0.64401849303607306</v>
      </c>
      <c r="G3018">
        <f t="shared" si="95"/>
        <v>1</v>
      </c>
    </row>
    <row r="3019" spans="1:7" hidden="1">
      <c r="A3019" t="str">
        <f>Sinistrés!H3024</f>
        <v>Tournesol</v>
      </c>
      <c r="B3019">
        <f>Sinistrés!J3024</f>
        <v>11998.29</v>
      </c>
      <c r="C3019">
        <f>Sinistrés!X3024</f>
        <v>0</v>
      </c>
      <c r="D3019">
        <f>Sinistrés!L3024</f>
        <v>30.53</v>
      </c>
      <c r="E3019">
        <f>Sinistrés!M3024</f>
        <v>30.53</v>
      </c>
      <c r="F3019">
        <f t="shared" si="94"/>
        <v>0</v>
      </c>
      <c r="G3019">
        <f t="shared" si="95"/>
        <v>1</v>
      </c>
    </row>
    <row r="3020" spans="1:7">
      <c r="A3020" t="str">
        <f>Sinistrés!H3025</f>
        <v>Blé tendre d'hiver</v>
      </c>
      <c r="B3020">
        <f>Sinistrés!J3025</f>
        <v>128386.38</v>
      </c>
      <c r="C3020">
        <f>Sinistrés!X3025</f>
        <v>28882.07</v>
      </c>
      <c r="D3020">
        <f>Sinistrés!L3025</f>
        <v>97.41</v>
      </c>
      <c r="E3020">
        <f>Sinistrés!M3025</f>
        <v>97.41</v>
      </c>
      <c r="F3020">
        <f t="shared" si="94"/>
        <v>0.2249621026778697</v>
      </c>
      <c r="G3020">
        <f t="shared" si="95"/>
        <v>1</v>
      </c>
    </row>
    <row r="3021" spans="1:7" hidden="1">
      <c r="A3021" t="str">
        <f>Sinistrés!H3026</f>
        <v>Tournesol</v>
      </c>
      <c r="B3021">
        <f>Sinistrés!J3026</f>
        <v>13331.25</v>
      </c>
      <c r="C3021">
        <f>Sinistrés!X3026</f>
        <v>0</v>
      </c>
      <c r="D3021">
        <f>Sinistrés!L3026</f>
        <v>11.25</v>
      </c>
      <c r="E3021">
        <f>Sinistrés!M3026</f>
        <v>11.25</v>
      </c>
      <c r="F3021">
        <f t="shared" si="94"/>
        <v>0</v>
      </c>
      <c r="G3021">
        <f t="shared" si="95"/>
        <v>1</v>
      </c>
    </row>
    <row r="3022" spans="1:7" hidden="1">
      <c r="A3022" t="str">
        <f>Sinistrés!H3027</f>
        <v>Soja</v>
      </c>
      <c r="B3022">
        <f>Sinistrés!J3027</f>
        <v>18795.2</v>
      </c>
      <c r="C3022">
        <f>Sinistrés!X3027</f>
        <v>0</v>
      </c>
      <c r="D3022">
        <f>Sinistrés!L3027</f>
        <v>14.48</v>
      </c>
      <c r="E3022">
        <f>Sinistrés!M3027</f>
        <v>3.3</v>
      </c>
      <c r="F3022">
        <f t="shared" si="94"/>
        <v>0</v>
      </c>
      <c r="G3022">
        <f t="shared" si="95"/>
        <v>0.22790055248618782</v>
      </c>
    </row>
    <row r="3023" spans="1:7">
      <c r="A3023" t="str">
        <f>Sinistrés!H3028</f>
        <v>Tournesol</v>
      </c>
      <c r="B3023">
        <f>Sinistrés!J3028</f>
        <v>95762.8</v>
      </c>
      <c r="C3023">
        <f>Sinistrés!X3028</f>
        <v>2914.52</v>
      </c>
      <c r="D3023">
        <f>Sinistrés!L3028</f>
        <v>104.09</v>
      </c>
      <c r="E3023">
        <f>Sinistrés!M3028</f>
        <v>104.09</v>
      </c>
      <c r="F3023">
        <f t="shared" si="94"/>
        <v>3.043478260869565E-2</v>
      </c>
      <c r="G3023">
        <f t="shared" si="95"/>
        <v>1</v>
      </c>
    </row>
    <row r="3024" spans="1:7">
      <c r="A3024" t="str">
        <f>Sinistrés!H3029</f>
        <v>Maïs grain non irrigué</v>
      </c>
      <c r="B3024">
        <f>Sinistrés!J3029</f>
        <v>46941.75</v>
      </c>
      <c r="C3024">
        <f>Sinistrés!X3029</f>
        <v>4959.2299999999996</v>
      </c>
      <c r="D3024">
        <f>Sinistrés!L3029</f>
        <v>46.5</v>
      </c>
      <c r="E3024">
        <f>Sinistrés!M3029</f>
        <v>46.5</v>
      </c>
      <c r="F3024">
        <f t="shared" si="94"/>
        <v>0.10564646609894177</v>
      </c>
      <c r="G3024">
        <f t="shared" si="95"/>
        <v>1</v>
      </c>
    </row>
    <row r="3025" spans="1:7" hidden="1">
      <c r="A3025" t="str">
        <f>Sinistrés!H3030</f>
        <v>Maïs grain irrigué</v>
      </c>
      <c r="B3025">
        <f>Sinistrés!J3030</f>
        <v>205775</v>
      </c>
      <c r="C3025">
        <f>Sinistrés!X3030</f>
        <v>0</v>
      </c>
      <c r="D3025">
        <f>Sinistrés!L3030</f>
        <v>82.31</v>
      </c>
      <c r="E3025">
        <f>Sinistrés!M3030</f>
        <v>24.64</v>
      </c>
      <c r="F3025">
        <f t="shared" si="94"/>
        <v>0</v>
      </c>
      <c r="G3025">
        <f t="shared" si="95"/>
        <v>0.2993560928198275</v>
      </c>
    </row>
    <row r="3026" spans="1:7">
      <c r="A3026" t="str">
        <f>Sinistrés!H3031</f>
        <v>Tournesol</v>
      </c>
      <c r="B3026">
        <f>Sinistrés!J3031</f>
        <v>50383.08</v>
      </c>
      <c r="C3026">
        <f>Sinistrés!X3031</f>
        <v>1660.35</v>
      </c>
      <c r="D3026">
        <f>Sinistrés!L3031</f>
        <v>42.41</v>
      </c>
      <c r="E3026">
        <f>Sinistrés!M3031</f>
        <v>42.41</v>
      </c>
      <c r="F3026">
        <f t="shared" si="94"/>
        <v>3.2954515682645839E-2</v>
      </c>
      <c r="G3026">
        <f t="shared" si="95"/>
        <v>1</v>
      </c>
    </row>
    <row r="3027" spans="1:7" hidden="1">
      <c r="A3027" t="str">
        <f>Sinistrés!H3032</f>
        <v>Maïs waxy irrigué</v>
      </c>
      <c r="B3027">
        <f>Sinistrés!J3032</f>
        <v>65853.81</v>
      </c>
      <c r="C3027">
        <f>Sinistrés!X3032</f>
        <v>0</v>
      </c>
      <c r="D3027">
        <f>Sinistrés!L3032</f>
        <v>27</v>
      </c>
      <c r="E3027">
        <f>Sinistrés!M3032</f>
        <v>27</v>
      </c>
      <c r="F3027">
        <f t="shared" si="94"/>
        <v>0</v>
      </c>
      <c r="G3027">
        <f t="shared" si="95"/>
        <v>1</v>
      </c>
    </row>
    <row r="3028" spans="1:7" hidden="1">
      <c r="A3028" t="str">
        <f>Sinistrés!H3033</f>
        <v>Maïs waxy non irrigué</v>
      </c>
      <c r="B3028">
        <f>Sinistrés!J3033</f>
        <v>32838.080000000002</v>
      </c>
      <c r="C3028">
        <f>Sinistrés!X3033</f>
        <v>0</v>
      </c>
      <c r="D3028">
        <f>Sinistrés!L3033</f>
        <v>16</v>
      </c>
      <c r="E3028">
        <f>Sinistrés!M3033</f>
        <v>16</v>
      </c>
      <c r="F3028">
        <f t="shared" si="94"/>
        <v>0</v>
      </c>
      <c r="G3028">
        <f t="shared" si="95"/>
        <v>1</v>
      </c>
    </row>
    <row r="3029" spans="1:7" hidden="1">
      <c r="A3029" t="str">
        <f>Sinistrés!H3034</f>
        <v>Soja</v>
      </c>
      <c r="B3029">
        <f>Sinistrés!J3034</f>
        <v>13125.87</v>
      </c>
      <c r="C3029">
        <f>Sinistrés!X3034</f>
        <v>0</v>
      </c>
      <c r="D3029">
        <f>Sinistrés!L3034</f>
        <v>8.5</v>
      </c>
      <c r="E3029">
        <f>Sinistrés!M3034</f>
        <v>8.5</v>
      </c>
      <c r="F3029">
        <f t="shared" si="94"/>
        <v>0</v>
      </c>
      <c r="G3029">
        <f t="shared" si="95"/>
        <v>1</v>
      </c>
    </row>
    <row r="3030" spans="1:7" hidden="1">
      <c r="A3030" t="str">
        <f>Sinistrés!H3035</f>
        <v>Maïs doux irrigué</v>
      </c>
      <c r="B3030">
        <f>Sinistrés!J3035</f>
        <v>16099.68</v>
      </c>
      <c r="C3030">
        <f>Sinistrés!X3035</f>
        <v>0</v>
      </c>
      <c r="D3030">
        <f>Sinistrés!L3035</f>
        <v>6.8</v>
      </c>
      <c r="E3030">
        <f>Sinistrés!M3035</f>
        <v>6.8</v>
      </c>
      <c r="F3030">
        <f t="shared" si="94"/>
        <v>0</v>
      </c>
      <c r="G3030">
        <f t="shared" si="95"/>
        <v>1</v>
      </c>
    </row>
    <row r="3031" spans="1:7" hidden="1">
      <c r="A3031" t="str">
        <f>Sinistrés!H3036</f>
        <v>Maïs grain irrigué SEMENCES FERTILES</v>
      </c>
      <c r="B3031">
        <f>Sinistrés!J3036</f>
        <v>156936</v>
      </c>
      <c r="C3031">
        <f>Sinistrés!X3036</f>
        <v>1050</v>
      </c>
      <c r="D3031">
        <f>Sinistrés!L3036</f>
        <v>24</v>
      </c>
      <c r="E3031">
        <f>Sinistrés!M3036</f>
        <v>24</v>
      </c>
      <c r="F3031">
        <f t="shared" si="94"/>
        <v>6.6906254779018201E-3</v>
      </c>
      <c r="G3031">
        <f t="shared" si="95"/>
        <v>1</v>
      </c>
    </row>
    <row r="3032" spans="1:7">
      <c r="A3032" t="str">
        <f>Sinistrés!H3037</f>
        <v>Tournesol</v>
      </c>
      <c r="B3032">
        <f>Sinistrés!J3037</f>
        <v>18500</v>
      </c>
      <c r="C3032">
        <f>Sinistrés!X3037</f>
        <v>1850</v>
      </c>
      <c r="D3032">
        <f>Sinistrés!L3037</f>
        <v>7.4</v>
      </c>
      <c r="E3032">
        <f>Sinistrés!M3037</f>
        <v>7.4</v>
      </c>
      <c r="F3032">
        <f t="shared" si="94"/>
        <v>0.1</v>
      </c>
      <c r="G3032">
        <f t="shared" si="95"/>
        <v>1</v>
      </c>
    </row>
    <row r="3033" spans="1:7">
      <c r="A3033" t="str">
        <f>Sinistrés!H3038</f>
        <v>Maïs grain non irrigué</v>
      </c>
      <c r="B3033">
        <f>Sinistrés!J3038</f>
        <v>54000</v>
      </c>
      <c r="C3033">
        <f>Sinistrés!X3038</f>
        <v>6196</v>
      </c>
      <c r="D3033">
        <f>Sinistrés!L3038</f>
        <v>27</v>
      </c>
      <c r="E3033">
        <f>Sinistrés!M3038</f>
        <v>10</v>
      </c>
      <c r="F3033">
        <f t="shared" si="94"/>
        <v>0.11474074074074074</v>
      </c>
      <c r="G3033">
        <f t="shared" si="95"/>
        <v>0.37037037037037035</v>
      </c>
    </row>
    <row r="3034" spans="1:7" hidden="1">
      <c r="A3034" t="str">
        <f>Sinistrés!H3039</f>
        <v>Maïs grain non irrigué</v>
      </c>
      <c r="B3034">
        <f>Sinistrés!J3039</f>
        <v>27474.400000000001</v>
      </c>
      <c r="C3034">
        <f>Sinistrés!X3039</f>
        <v>0</v>
      </c>
      <c r="D3034">
        <f>Sinistrés!L3039</f>
        <v>24.4</v>
      </c>
      <c r="E3034">
        <f>Sinistrés!M3039</f>
        <v>24.4</v>
      </c>
      <c r="F3034">
        <f t="shared" si="94"/>
        <v>0</v>
      </c>
      <c r="G3034">
        <f t="shared" si="95"/>
        <v>1</v>
      </c>
    </row>
    <row r="3035" spans="1:7" hidden="1">
      <c r="A3035" t="str">
        <f>Sinistrés!H3040</f>
        <v>Tournesol</v>
      </c>
      <c r="B3035">
        <f>Sinistrés!J3040</f>
        <v>31714</v>
      </c>
      <c r="C3035">
        <f>Sinistrés!X3040</f>
        <v>0</v>
      </c>
      <c r="D3035">
        <f>Sinistrés!L3040</f>
        <v>40.4</v>
      </c>
      <c r="E3035">
        <f>Sinistrés!M3040</f>
        <v>40.4</v>
      </c>
      <c r="F3035">
        <f t="shared" si="94"/>
        <v>0</v>
      </c>
      <c r="G3035">
        <f t="shared" si="95"/>
        <v>1</v>
      </c>
    </row>
    <row r="3036" spans="1:7">
      <c r="A3036" t="str">
        <f>Sinistrés!H3041</f>
        <v>Blé tendre d'hiver</v>
      </c>
      <c r="B3036">
        <f>Sinistrés!J3041</f>
        <v>9159.81</v>
      </c>
      <c r="C3036">
        <f>Sinistrés!X3041</f>
        <v>91.33</v>
      </c>
      <c r="D3036">
        <f>Sinistrés!L3041</f>
        <v>6.15</v>
      </c>
      <c r="E3036">
        <f>Sinistrés!M3041</f>
        <v>6.15</v>
      </c>
      <c r="F3036">
        <f t="shared" si="94"/>
        <v>9.9707308339365124E-3</v>
      </c>
      <c r="G3036">
        <f t="shared" si="95"/>
        <v>1</v>
      </c>
    </row>
    <row r="3037" spans="1:7" hidden="1">
      <c r="A3037" t="str">
        <f>Sinistrés!H3042</f>
        <v>Maïs grain non irrigué</v>
      </c>
      <c r="B3037">
        <f>Sinistrés!J3042</f>
        <v>30981.599999999999</v>
      </c>
      <c r="C3037">
        <f>Sinistrés!X3042</f>
        <v>0</v>
      </c>
      <c r="D3037">
        <f>Sinistrés!L3042</f>
        <v>19.86</v>
      </c>
      <c r="E3037">
        <f>Sinistrés!M3042</f>
        <v>19.86</v>
      </c>
      <c r="F3037">
        <f t="shared" si="94"/>
        <v>0</v>
      </c>
      <c r="G3037">
        <f t="shared" si="95"/>
        <v>1</v>
      </c>
    </row>
    <row r="3038" spans="1:7">
      <c r="A3038" t="str">
        <f>Sinistrés!H3043</f>
        <v>Triticale</v>
      </c>
      <c r="B3038">
        <f>Sinistrés!J3043</f>
        <v>37390.22</v>
      </c>
      <c r="C3038">
        <f>Sinistrés!X3043</f>
        <v>11210.34</v>
      </c>
      <c r="D3038">
        <f>Sinistrés!L3043</f>
        <v>32.15</v>
      </c>
      <c r="E3038">
        <f>Sinistrés!M3043</f>
        <v>32.15</v>
      </c>
      <c r="F3038">
        <f t="shared" si="94"/>
        <v>0.2998201133879394</v>
      </c>
      <c r="G3038">
        <f t="shared" si="95"/>
        <v>1</v>
      </c>
    </row>
    <row r="3039" spans="1:7" hidden="1">
      <c r="A3039" t="str">
        <f>Sinistrés!H3044</f>
        <v>Tournesol</v>
      </c>
      <c r="B3039">
        <f>Sinistrés!J3044</f>
        <v>22035.439999999999</v>
      </c>
      <c r="C3039">
        <f>Sinistrés!X3044</f>
        <v>0</v>
      </c>
      <c r="D3039">
        <f>Sinistrés!L3044</f>
        <v>25.27</v>
      </c>
      <c r="E3039">
        <f>Sinistrés!M3044</f>
        <v>25.27</v>
      </c>
      <c r="F3039">
        <f t="shared" si="94"/>
        <v>0</v>
      </c>
      <c r="G3039">
        <f t="shared" si="95"/>
        <v>1</v>
      </c>
    </row>
    <row r="3040" spans="1:7">
      <c r="A3040" t="str">
        <f>Sinistrés!H3045</f>
        <v>Blé tendre d'hiver</v>
      </c>
      <c r="B3040">
        <f>Sinistrés!J3045</f>
        <v>52381.61</v>
      </c>
      <c r="C3040">
        <f>Sinistrés!X3045</f>
        <v>3932</v>
      </c>
      <c r="D3040">
        <f>Sinistrés!L3045</f>
        <v>49.15</v>
      </c>
      <c r="E3040">
        <f>Sinistrés!M3045</f>
        <v>49.15</v>
      </c>
      <c r="F3040">
        <f t="shared" si="94"/>
        <v>7.5064512144624798E-2</v>
      </c>
      <c r="G3040">
        <f t="shared" si="95"/>
        <v>1</v>
      </c>
    </row>
    <row r="3041" spans="1:7">
      <c r="A3041" t="str">
        <f>Sinistrés!H3046</f>
        <v>Tournesol</v>
      </c>
      <c r="B3041">
        <f>Sinistrés!J3046</f>
        <v>22138.27</v>
      </c>
      <c r="C3041">
        <f>Sinistrés!X3046</f>
        <v>520.34</v>
      </c>
      <c r="D3041">
        <f>Sinistrés!L3046</f>
        <v>26.28</v>
      </c>
      <c r="E3041">
        <f>Sinistrés!M3046</f>
        <v>26.28</v>
      </c>
      <c r="F3041">
        <f t="shared" si="94"/>
        <v>2.3504094945088302E-2</v>
      </c>
      <c r="G3041">
        <f t="shared" si="95"/>
        <v>1</v>
      </c>
    </row>
    <row r="3042" spans="1:7" hidden="1">
      <c r="A3042" t="str">
        <f>Sinistrés!H3047</f>
        <v>Tournesol</v>
      </c>
      <c r="B3042">
        <f>Sinistrés!J3047</f>
        <v>12482.68</v>
      </c>
      <c r="C3042">
        <f>Sinistrés!X3047</f>
        <v>0</v>
      </c>
      <c r="D3042">
        <f>Sinistrés!L3047</f>
        <v>9.2100000000000009</v>
      </c>
      <c r="E3042">
        <f>Sinistrés!M3047</f>
        <v>9.1999999999999993</v>
      </c>
      <c r="F3042">
        <f t="shared" si="94"/>
        <v>0</v>
      </c>
      <c r="G3042">
        <f t="shared" si="95"/>
        <v>0.99891422366992377</v>
      </c>
    </row>
    <row r="3043" spans="1:7" hidden="1">
      <c r="A3043" t="str">
        <f>Sinistrés!H3048</f>
        <v>Maïs grain non irrigué</v>
      </c>
      <c r="B3043">
        <f>Sinistrés!J3048</f>
        <v>14572.8</v>
      </c>
      <c r="C3043">
        <f>Sinistrés!X3048</f>
        <v>0</v>
      </c>
      <c r="D3043">
        <f>Sinistrés!L3048</f>
        <v>5.52</v>
      </c>
      <c r="E3043">
        <f>Sinistrés!M3048</f>
        <v>5.52</v>
      </c>
      <c r="F3043">
        <f t="shared" si="94"/>
        <v>0</v>
      </c>
      <c r="G3043">
        <f t="shared" si="95"/>
        <v>1</v>
      </c>
    </row>
    <row r="3044" spans="1:7">
      <c r="A3044" t="str">
        <f>Sinistrés!H3049</f>
        <v>Maïs grain non irrigué</v>
      </c>
      <c r="B3044">
        <f>Sinistrés!J3049</f>
        <v>55738.2</v>
      </c>
      <c r="C3044">
        <f>Sinistrés!X3049</f>
        <v>11691.18</v>
      </c>
      <c r="D3044">
        <f>Sinistrés!L3049</f>
        <v>28.85</v>
      </c>
      <c r="E3044">
        <f>Sinistrés!M3049</f>
        <v>28.85</v>
      </c>
      <c r="F3044">
        <f t="shared" si="94"/>
        <v>0.20975166044113375</v>
      </c>
      <c r="G3044">
        <f t="shared" si="95"/>
        <v>1</v>
      </c>
    </row>
    <row r="3045" spans="1:7" hidden="1">
      <c r="A3045" t="str">
        <f>Sinistrés!H3050</f>
        <v>Soja BIO</v>
      </c>
      <c r="B3045">
        <f>Sinistrés!J3050</f>
        <v>588849.44999999995</v>
      </c>
      <c r="C3045">
        <f>Sinistrés!X3050</f>
        <v>0</v>
      </c>
      <c r="D3045">
        <f>Sinistrés!L3050</f>
        <v>243.83</v>
      </c>
      <c r="E3045">
        <f>Sinistrés!M3050</f>
        <v>61.3</v>
      </c>
      <c r="F3045">
        <f t="shared" si="94"/>
        <v>0</v>
      </c>
      <c r="G3045">
        <f t="shared" si="95"/>
        <v>0.25140466718615428</v>
      </c>
    </row>
    <row r="3046" spans="1:7" hidden="1">
      <c r="A3046" t="str">
        <f>Sinistrés!H3051</f>
        <v>Tournesol</v>
      </c>
      <c r="B3046">
        <f>Sinistrés!J3051</f>
        <v>12149.66</v>
      </c>
      <c r="C3046">
        <f>Sinistrés!X3051</f>
        <v>0</v>
      </c>
      <c r="D3046">
        <f>Sinistrés!L3051</f>
        <v>12.55</v>
      </c>
      <c r="E3046">
        <f>Sinistrés!M3051</f>
        <v>12.55</v>
      </c>
      <c r="F3046">
        <f t="shared" si="94"/>
        <v>0</v>
      </c>
      <c r="G3046">
        <f t="shared" si="95"/>
        <v>1</v>
      </c>
    </row>
    <row r="3047" spans="1:7" hidden="1">
      <c r="A3047" t="str">
        <f>Sinistrés!H3052</f>
        <v>Maïs grain non irrigué</v>
      </c>
      <c r="B3047">
        <f>Sinistrés!J3052</f>
        <v>18006.400000000001</v>
      </c>
      <c r="C3047">
        <f>Sinistrés!X3052</f>
        <v>0</v>
      </c>
      <c r="D3047">
        <f>Sinistrés!L3052</f>
        <v>9.6999999999999993</v>
      </c>
      <c r="E3047">
        <f>Sinistrés!M3052</f>
        <v>9.6999999999999993</v>
      </c>
      <c r="F3047">
        <f t="shared" si="94"/>
        <v>0</v>
      </c>
      <c r="G3047">
        <f t="shared" si="95"/>
        <v>1</v>
      </c>
    </row>
    <row r="3048" spans="1:7">
      <c r="A3048" t="str">
        <f>Sinistrés!H3053</f>
        <v>Maïs grain non irrigué</v>
      </c>
      <c r="B3048">
        <f>Sinistrés!J3053</f>
        <v>58693.98</v>
      </c>
      <c r="C3048">
        <f>Sinistrés!X3053</f>
        <v>9501.1</v>
      </c>
      <c r="D3048">
        <f>Sinistrés!L3053</f>
        <v>28.11</v>
      </c>
      <c r="E3048">
        <f>Sinistrés!M3053</f>
        <v>28.11</v>
      </c>
      <c r="F3048">
        <f t="shared" si="94"/>
        <v>0.16187520423729998</v>
      </c>
      <c r="G3048">
        <f t="shared" si="95"/>
        <v>1</v>
      </c>
    </row>
    <row r="3049" spans="1:7">
      <c r="A3049" t="str">
        <f>Sinistrés!H3054</f>
        <v>Maïs grain non irrigué</v>
      </c>
      <c r="B3049">
        <f>Sinistrés!J3054</f>
        <v>4322.16</v>
      </c>
      <c r="C3049">
        <f>Sinistrés!X3054</f>
        <v>1095.44</v>
      </c>
      <c r="D3049">
        <f>Sinistrés!L3054</f>
        <v>2.0699999999999998</v>
      </c>
      <c r="E3049">
        <f>Sinistrés!M3054</f>
        <v>2.0699999999999998</v>
      </c>
      <c r="F3049">
        <f t="shared" si="94"/>
        <v>0.25344735039887467</v>
      </c>
      <c r="G3049">
        <f t="shared" si="95"/>
        <v>1</v>
      </c>
    </row>
    <row r="3050" spans="1:7">
      <c r="A3050" t="str">
        <f>Sinistrés!H3055</f>
        <v>Maïs grain irrigué</v>
      </c>
      <c r="B3050">
        <f>Sinistrés!J3055</f>
        <v>39564.69</v>
      </c>
      <c r="C3050">
        <f>Sinistrés!X3055</f>
        <v>15932.67</v>
      </c>
      <c r="D3050">
        <f>Sinistrés!L3055</f>
        <v>17.989999999999998</v>
      </c>
      <c r="E3050">
        <f>Sinistrés!M3055</f>
        <v>17.989999999999998</v>
      </c>
      <c r="F3050">
        <f t="shared" si="94"/>
        <v>0.40269922499076827</v>
      </c>
      <c r="G3050">
        <f t="shared" si="95"/>
        <v>1</v>
      </c>
    </row>
    <row r="3051" spans="1:7" hidden="1">
      <c r="A3051" t="str">
        <f>Sinistrés!H3056</f>
        <v>Tournesol</v>
      </c>
      <c r="B3051">
        <f>Sinistrés!J3056</f>
        <v>8975.67</v>
      </c>
      <c r="C3051">
        <f>Sinistrés!X3056</f>
        <v>0</v>
      </c>
      <c r="D3051">
        <f>Sinistrés!L3056</f>
        <v>8.25</v>
      </c>
      <c r="E3051">
        <f>Sinistrés!M3056</f>
        <v>1.5</v>
      </c>
      <c r="F3051">
        <f t="shared" si="94"/>
        <v>0</v>
      </c>
      <c r="G3051">
        <f t="shared" si="95"/>
        <v>0.18181818181818182</v>
      </c>
    </row>
    <row r="3052" spans="1:7" hidden="1">
      <c r="A3052" t="str">
        <f>Sinistrés!H3057</f>
        <v>Maïs grain non irrigué</v>
      </c>
      <c r="B3052">
        <f>Sinistrés!J3057</f>
        <v>50050.54</v>
      </c>
      <c r="C3052">
        <f>Sinistrés!X3057</f>
        <v>0</v>
      </c>
      <c r="D3052">
        <f>Sinistrés!L3057</f>
        <v>30.27</v>
      </c>
      <c r="E3052">
        <f>Sinistrés!M3057</f>
        <v>7.8</v>
      </c>
      <c r="F3052">
        <f t="shared" si="94"/>
        <v>0</v>
      </c>
      <c r="G3052">
        <f t="shared" si="95"/>
        <v>0.25768087215064422</v>
      </c>
    </row>
    <row r="3053" spans="1:7" hidden="1">
      <c r="A3053" t="str">
        <f>Sinistrés!H3058</f>
        <v>Tournesol</v>
      </c>
      <c r="B3053">
        <f>Sinistrés!J3058</f>
        <v>3360.28</v>
      </c>
      <c r="C3053">
        <f>Sinistrés!X3058</f>
        <v>0</v>
      </c>
      <c r="D3053">
        <f>Sinistrés!L3058</f>
        <v>2.73</v>
      </c>
      <c r="E3053">
        <f>Sinistrés!M3058</f>
        <v>2.73</v>
      </c>
      <c r="F3053">
        <f t="shared" si="94"/>
        <v>0</v>
      </c>
      <c r="G3053">
        <f t="shared" si="95"/>
        <v>1</v>
      </c>
    </row>
    <row r="3054" spans="1:7" hidden="1">
      <c r="A3054" t="str">
        <f>Sinistrés!H3059</f>
        <v>Tournesol</v>
      </c>
      <c r="B3054">
        <f>Sinistrés!J3059</f>
        <v>10082.07</v>
      </c>
      <c r="C3054">
        <f>Sinistrés!X3059</f>
        <v>0</v>
      </c>
      <c r="D3054">
        <f>Sinistrés!L3059</f>
        <v>8.1</v>
      </c>
      <c r="E3054">
        <f>Sinistrés!M3059</f>
        <v>3.75</v>
      </c>
      <c r="F3054">
        <f t="shared" si="94"/>
        <v>0</v>
      </c>
      <c r="G3054">
        <f t="shared" si="95"/>
        <v>0.46296296296296297</v>
      </c>
    </row>
    <row r="3055" spans="1:7">
      <c r="A3055" t="str">
        <f>Sinistrés!H3060</f>
        <v>Maïs grain non irrigué</v>
      </c>
      <c r="B3055">
        <f>Sinistrés!J3060</f>
        <v>23383</v>
      </c>
      <c r="C3055">
        <f>Sinistrés!X3060</f>
        <v>671.11</v>
      </c>
      <c r="D3055">
        <f>Sinistrés!L3060</f>
        <v>12.74</v>
      </c>
      <c r="E3055">
        <f>Sinistrés!M3060</f>
        <v>0.68</v>
      </c>
      <c r="F3055">
        <f t="shared" si="94"/>
        <v>2.8700765513407177E-2</v>
      </c>
      <c r="G3055">
        <f t="shared" si="95"/>
        <v>5.3375196232339092E-2</v>
      </c>
    </row>
    <row r="3056" spans="1:7" hidden="1">
      <c r="A3056" t="str">
        <f>Sinistrés!H3061</f>
        <v>Maïs grain non irrigué</v>
      </c>
      <c r="B3056">
        <f>Sinistrés!J3061</f>
        <v>54689.599999999999</v>
      </c>
      <c r="C3056">
        <f>Sinistrés!X3061</f>
        <v>0</v>
      </c>
      <c r="D3056">
        <f>Sinistrés!L3061</f>
        <v>26.6</v>
      </c>
      <c r="E3056">
        <f>Sinistrés!M3061</f>
        <v>14.4</v>
      </c>
      <c r="F3056">
        <f t="shared" si="94"/>
        <v>0</v>
      </c>
      <c r="G3056">
        <f t="shared" si="95"/>
        <v>0.54135338345864659</v>
      </c>
    </row>
    <row r="3057" spans="1:7">
      <c r="A3057" t="str">
        <f>Sinistrés!H3062</f>
        <v>Maïs grain non irrigué</v>
      </c>
      <c r="B3057">
        <f>Sinistrés!J3062</f>
        <v>16614</v>
      </c>
      <c r="C3057">
        <f>Sinistrés!X3062</f>
        <v>1071.47</v>
      </c>
      <c r="D3057">
        <f>Sinistrés!L3062</f>
        <v>10.4</v>
      </c>
      <c r="E3057">
        <f>Sinistrés!M3062</f>
        <v>10.4</v>
      </c>
      <c r="F3057">
        <f t="shared" si="94"/>
        <v>6.4491994703262306E-2</v>
      </c>
      <c r="G3057">
        <f t="shared" si="95"/>
        <v>1</v>
      </c>
    </row>
    <row r="3058" spans="1:7">
      <c r="A3058" t="str">
        <f>Sinistrés!H3063</f>
        <v>Colza d'hiver</v>
      </c>
      <c r="B3058">
        <f>Sinistrés!J3063</f>
        <v>2331.1799999999998</v>
      </c>
      <c r="C3058">
        <f>Sinistrés!X3063</f>
        <v>715.24</v>
      </c>
      <c r="D3058">
        <f>Sinistrés!L3063</f>
        <v>1.6</v>
      </c>
      <c r="E3058">
        <f>Sinistrés!M3063</f>
        <v>1.6</v>
      </c>
      <c r="F3058">
        <f t="shared" si="94"/>
        <v>0.30681457459312456</v>
      </c>
      <c r="G3058">
        <f t="shared" si="95"/>
        <v>1</v>
      </c>
    </row>
    <row r="3059" spans="1:7" hidden="1">
      <c r="A3059" t="str">
        <f>Sinistrés!H3064</f>
        <v>Blé dur d'hiver</v>
      </c>
      <c r="B3059">
        <f>Sinistrés!J3064</f>
        <v>23012</v>
      </c>
      <c r="C3059">
        <f>Sinistrés!X3064</f>
        <v>0</v>
      </c>
      <c r="D3059">
        <f>Sinistrés!L3064</f>
        <v>22</v>
      </c>
      <c r="E3059">
        <f>Sinistrés!M3064</f>
        <v>22</v>
      </c>
      <c r="F3059">
        <f t="shared" si="94"/>
        <v>0</v>
      </c>
      <c r="G3059">
        <f t="shared" si="95"/>
        <v>1</v>
      </c>
    </row>
    <row r="3060" spans="1:7" hidden="1">
      <c r="A3060" t="str">
        <f>Sinistrés!H3065</f>
        <v>Orge de printemps</v>
      </c>
      <c r="B3060">
        <f>Sinistrés!J3065</f>
        <v>8246.7000000000007</v>
      </c>
      <c r="C3060">
        <f>Sinistrés!X3065</f>
        <v>0</v>
      </c>
      <c r="D3060">
        <f>Sinistrés!L3065</f>
        <v>7.7</v>
      </c>
      <c r="E3060">
        <f>Sinistrés!M3065</f>
        <v>7.7</v>
      </c>
      <c r="F3060">
        <f t="shared" si="94"/>
        <v>0</v>
      </c>
      <c r="G3060">
        <f t="shared" si="95"/>
        <v>1</v>
      </c>
    </row>
    <row r="3061" spans="1:7">
      <c r="A3061" t="str">
        <f>Sinistrés!H3066</f>
        <v>Maïs grain non irrigué</v>
      </c>
      <c r="B3061">
        <f>Sinistrés!J3066</f>
        <v>16486.400000000001</v>
      </c>
      <c r="C3061">
        <f>Sinistrés!X3066</f>
        <v>1957.76</v>
      </c>
      <c r="D3061">
        <f>Sinistrés!L3066</f>
        <v>16</v>
      </c>
      <c r="E3061">
        <f>Sinistrés!M3066</f>
        <v>16</v>
      </c>
      <c r="F3061">
        <f t="shared" si="94"/>
        <v>0.11874999999999999</v>
      </c>
      <c r="G3061">
        <f t="shared" si="95"/>
        <v>1</v>
      </c>
    </row>
    <row r="3062" spans="1:7">
      <c r="A3062" t="str">
        <f>Sinistrés!H3067</f>
        <v>Tournesol</v>
      </c>
      <c r="B3062">
        <f>Sinistrés!J3067</f>
        <v>7186.2</v>
      </c>
      <c r="C3062">
        <f>Sinistrés!X3067</f>
        <v>3219.58</v>
      </c>
      <c r="D3062">
        <f>Sinistrés!L3067</f>
        <v>11.6</v>
      </c>
      <c r="E3062">
        <f>Sinistrés!M3067</f>
        <v>11.6</v>
      </c>
      <c r="F3062">
        <f t="shared" si="94"/>
        <v>0.44802259887005652</v>
      </c>
      <c r="G3062">
        <f t="shared" si="95"/>
        <v>1</v>
      </c>
    </row>
    <row r="3063" spans="1:7">
      <c r="A3063" t="str">
        <f>Sinistrés!H3068</f>
        <v>Maïs grain irrigué</v>
      </c>
      <c r="B3063">
        <f>Sinistrés!J3068</f>
        <v>24262.7</v>
      </c>
      <c r="C3063">
        <f>Sinistrés!X3068</f>
        <v>1499.88</v>
      </c>
      <c r="D3063">
        <f>Sinistrés!L3068</f>
        <v>13.7</v>
      </c>
      <c r="E3063">
        <f>Sinistrés!M3068</f>
        <v>13.7</v>
      </c>
      <c r="F3063">
        <f t="shared" si="94"/>
        <v>6.1818346680295268E-2</v>
      </c>
      <c r="G3063">
        <f t="shared" si="95"/>
        <v>1</v>
      </c>
    </row>
    <row r="3064" spans="1:7">
      <c r="A3064" t="str">
        <f>Sinistrés!H3069</f>
        <v>Blé tendre d'hiver</v>
      </c>
      <c r="B3064">
        <f>Sinistrés!J3069</f>
        <v>53127.95</v>
      </c>
      <c r="C3064">
        <f>Sinistrés!X3069</f>
        <v>15699.68</v>
      </c>
      <c r="D3064">
        <f>Sinistrés!L3069</f>
        <v>56.87</v>
      </c>
      <c r="E3064">
        <f>Sinistrés!M3069</f>
        <v>25</v>
      </c>
      <c r="F3064">
        <f t="shared" si="94"/>
        <v>0.29550697890658312</v>
      </c>
      <c r="G3064">
        <f t="shared" si="95"/>
        <v>0.43959908563390188</v>
      </c>
    </row>
    <row r="3065" spans="1:7">
      <c r="A3065" t="str">
        <f>Sinistrés!H3070</f>
        <v>Seigle et méteil</v>
      </c>
      <c r="B3065">
        <f>Sinistrés!J3070</f>
        <v>3651.75</v>
      </c>
      <c r="C3065">
        <f>Sinistrés!X3070</f>
        <v>2096.1</v>
      </c>
      <c r="D3065">
        <f>Sinistrés!L3070</f>
        <v>5.41</v>
      </c>
      <c r="E3065">
        <f>Sinistrés!M3070</f>
        <v>4</v>
      </c>
      <c r="F3065">
        <f t="shared" si="94"/>
        <v>0.57399876771410963</v>
      </c>
      <c r="G3065">
        <f t="shared" si="95"/>
        <v>0.73937153419593349</v>
      </c>
    </row>
    <row r="3066" spans="1:7">
      <c r="A3066" t="str">
        <f>Sinistrés!H3071</f>
        <v>Triticale</v>
      </c>
      <c r="B3066">
        <f>Sinistrés!J3071</f>
        <v>57591.040000000001</v>
      </c>
      <c r="C3066">
        <f>Sinistrés!X3071</f>
        <v>7511.74</v>
      </c>
      <c r="D3066">
        <f>Sinistrés!L3071</f>
        <v>69.22</v>
      </c>
      <c r="E3066">
        <f>Sinistrés!M3071</f>
        <v>15</v>
      </c>
      <c r="F3066">
        <f t="shared" si="94"/>
        <v>0.13043244226879736</v>
      </c>
      <c r="G3066">
        <f t="shared" si="95"/>
        <v>0.21670037561398439</v>
      </c>
    </row>
    <row r="3067" spans="1:7">
      <c r="A3067" t="str">
        <f>Sinistrés!H3072</f>
        <v>Blé tendre d'hiver</v>
      </c>
      <c r="B3067">
        <f>Sinistrés!J3072</f>
        <v>12243.83</v>
      </c>
      <c r="C3067">
        <f>Sinistrés!X3072</f>
        <v>1514.68</v>
      </c>
      <c r="D3067">
        <f>Sinistrés!L3072</f>
        <v>9.9600000000000009</v>
      </c>
      <c r="E3067">
        <f>Sinistrés!M3072</f>
        <v>9.9600000000000009</v>
      </c>
      <c r="F3067">
        <f t="shared" si="94"/>
        <v>0.12370965621051583</v>
      </c>
      <c r="G3067">
        <f t="shared" si="95"/>
        <v>1</v>
      </c>
    </row>
    <row r="3068" spans="1:7" hidden="1">
      <c r="A3068" t="str">
        <f>Sinistrés!H3073</f>
        <v>Maïs grain irrigué</v>
      </c>
      <c r="B3068">
        <f>Sinistrés!J3073</f>
        <v>33969.69</v>
      </c>
      <c r="C3068">
        <f>Sinistrés!X3073</f>
        <v>0</v>
      </c>
      <c r="D3068">
        <f>Sinistrés!L3073</f>
        <v>19.93</v>
      </c>
      <c r="E3068">
        <f>Sinistrés!M3073</f>
        <v>19.93</v>
      </c>
      <c r="F3068">
        <f t="shared" si="94"/>
        <v>0</v>
      </c>
      <c r="G3068">
        <f t="shared" si="95"/>
        <v>1</v>
      </c>
    </row>
    <row r="3069" spans="1:7">
      <c r="A3069" t="str">
        <f>Sinistrés!H3074</f>
        <v>Orge de printemps</v>
      </c>
      <c r="B3069">
        <f>Sinistrés!J3074</f>
        <v>12413.25</v>
      </c>
      <c r="C3069">
        <f>Sinistrés!X3074</f>
        <v>2640.6</v>
      </c>
      <c r="D3069">
        <f>Sinistrés!L3074</f>
        <v>11.25</v>
      </c>
      <c r="E3069">
        <f>Sinistrés!M3074</f>
        <v>11.25</v>
      </c>
      <c r="F3069">
        <f t="shared" si="94"/>
        <v>0.2127243066884176</v>
      </c>
      <c r="G3069">
        <f t="shared" si="95"/>
        <v>1</v>
      </c>
    </row>
    <row r="3070" spans="1:7" hidden="1">
      <c r="A3070" t="str">
        <f>Sinistrés!H3075</f>
        <v>Tournesol</v>
      </c>
      <c r="B3070">
        <f>Sinistrés!J3075</f>
        <v>16232.4</v>
      </c>
      <c r="C3070">
        <f>Sinistrés!X3075</f>
        <v>0</v>
      </c>
      <c r="D3070">
        <f>Sinistrés!L3075</f>
        <v>15.03</v>
      </c>
      <c r="E3070">
        <f>Sinistrés!M3075</f>
        <v>15.03</v>
      </c>
      <c r="F3070">
        <f t="shared" si="94"/>
        <v>0</v>
      </c>
      <c r="G3070">
        <f t="shared" si="95"/>
        <v>1</v>
      </c>
    </row>
    <row r="3071" spans="1:7" hidden="1">
      <c r="A3071" t="str">
        <f>Sinistrés!H3076</f>
        <v>Sorgho</v>
      </c>
      <c r="B3071">
        <f>Sinistrés!J3076</f>
        <v>6821.2</v>
      </c>
      <c r="C3071">
        <f>Sinistrés!X3076</f>
        <v>0</v>
      </c>
      <c r="D3071">
        <f>Sinistrés!L3076</f>
        <v>7.13</v>
      </c>
      <c r="E3071">
        <f>Sinistrés!M3076</f>
        <v>7.13</v>
      </c>
      <c r="F3071">
        <f t="shared" si="94"/>
        <v>0</v>
      </c>
      <c r="G3071">
        <f t="shared" si="95"/>
        <v>1</v>
      </c>
    </row>
    <row r="3072" spans="1:7">
      <c r="A3072" t="str">
        <f>Sinistrés!H3077</f>
        <v>Blé tendre d'hiver</v>
      </c>
      <c r="B3072">
        <f>Sinistrés!J3077</f>
        <v>106247.9</v>
      </c>
      <c r="C3072">
        <f>Sinistrés!X3077</f>
        <v>8697</v>
      </c>
      <c r="D3072">
        <f>Sinistrés!L3077</f>
        <v>66.900000000000006</v>
      </c>
      <c r="E3072">
        <f>Sinistrés!M3077</f>
        <v>66.849999999999994</v>
      </c>
      <c r="F3072">
        <f t="shared" si="94"/>
        <v>8.1855735501595805E-2</v>
      </c>
      <c r="G3072">
        <f t="shared" si="95"/>
        <v>0.99925261584454395</v>
      </c>
    </row>
    <row r="3073" spans="1:7" hidden="1">
      <c r="A3073" t="str">
        <f>Sinistrés!H3078</f>
        <v>Colza d'hiver</v>
      </c>
      <c r="B3073">
        <f>Sinistrés!J3078</f>
        <v>113737.55</v>
      </c>
      <c r="C3073">
        <f>Sinistrés!X3078</f>
        <v>0</v>
      </c>
      <c r="D3073">
        <f>Sinistrés!L3078</f>
        <v>56.23</v>
      </c>
      <c r="E3073">
        <f>Sinistrés!M3078</f>
        <v>56.22</v>
      </c>
      <c r="F3073">
        <f t="shared" si="94"/>
        <v>0</v>
      </c>
      <c r="G3073">
        <f t="shared" si="95"/>
        <v>0.99982215898986315</v>
      </c>
    </row>
    <row r="3074" spans="1:7">
      <c r="A3074" t="str">
        <f>Sinistrés!H3079</f>
        <v>Blé tendre d'hiver</v>
      </c>
      <c r="B3074">
        <f>Sinistrés!J3079</f>
        <v>58816</v>
      </c>
      <c r="C3074">
        <f>Sinistrés!X3079</f>
        <v>7995.3</v>
      </c>
      <c r="D3074">
        <f>Sinistrés!L3079</f>
        <v>45.95</v>
      </c>
      <c r="E3074">
        <f>Sinistrés!M3079</f>
        <v>45.95</v>
      </c>
      <c r="F3074">
        <f t="shared" si="94"/>
        <v>0.13593750000000002</v>
      </c>
      <c r="G3074">
        <f t="shared" si="95"/>
        <v>1</v>
      </c>
    </row>
    <row r="3075" spans="1:7">
      <c r="A3075" t="str">
        <f>Sinistrés!H3080</f>
        <v>Orge de printemps</v>
      </c>
      <c r="B3075">
        <f>Sinistrés!J3080</f>
        <v>56430.62</v>
      </c>
      <c r="C3075">
        <f>Sinistrés!X3080</f>
        <v>16162.41</v>
      </c>
      <c r="D3075">
        <f>Sinistrés!L3080</f>
        <v>45.56</v>
      </c>
      <c r="E3075">
        <f>Sinistrés!M3080</f>
        <v>45.56</v>
      </c>
      <c r="F3075">
        <f t="shared" ref="F3075:F3138" si="96">C3075/B3075</f>
        <v>0.28641205785086182</v>
      </c>
      <c r="G3075">
        <f t="shared" ref="G3075:G3138" si="97">E3075/D3075</f>
        <v>1</v>
      </c>
    </row>
    <row r="3076" spans="1:7">
      <c r="A3076" t="str">
        <f>Sinistrés!H3081</f>
        <v>Pois protéagineux</v>
      </c>
      <c r="B3076">
        <f>Sinistrés!J3081</f>
        <v>11057.31</v>
      </c>
      <c r="C3076">
        <f>Sinistrés!X3081</f>
        <v>2410.64</v>
      </c>
      <c r="D3076">
        <f>Sinistrés!L3081</f>
        <v>12.41</v>
      </c>
      <c r="E3076">
        <f>Sinistrés!M3081</f>
        <v>12.41</v>
      </c>
      <c r="F3076">
        <f t="shared" si="96"/>
        <v>0.21801324191869451</v>
      </c>
      <c r="G3076">
        <f t="shared" si="97"/>
        <v>1</v>
      </c>
    </row>
    <row r="3077" spans="1:7">
      <c r="A3077" t="str">
        <f>Sinistrés!H3082</f>
        <v>Blé tendre d'hiver</v>
      </c>
      <c r="B3077">
        <f>Sinistrés!J3082</f>
        <v>37770.82</v>
      </c>
      <c r="C3077">
        <f>Sinistrés!X3082</f>
        <v>1754.44</v>
      </c>
      <c r="D3077">
        <f>Sinistrés!L3082</f>
        <v>38.11</v>
      </c>
      <c r="E3077">
        <f>Sinistrés!M3082</f>
        <v>32</v>
      </c>
      <c r="F3077">
        <f t="shared" si="96"/>
        <v>4.6449613749449975E-2</v>
      </c>
      <c r="G3077">
        <f t="shared" si="97"/>
        <v>0.83967462608239307</v>
      </c>
    </row>
    <row r="3078" spans="1:7">
      <c r="A3078" t="str">
        <f>Sinistrés!H3083</f>
        <v>Tournesol</v>
      </c>
      <c r="B3078">
        <f>Sinistrés!J3083</f>
        <v>25070.77</v>
      </c>
      <c r="C3078">
        <f>Sinistrés!X3083</f>
        <v>6318.93</v>
      </c>
      <c r="D3078">
        <f>Sinistrés!L3083</f>
        <v>24.71</v>
      </c>
      <c r="E3078">
        <f>Sinistrés!M3083</f>
        <v>6.84</v>
      </c>
      <c r="F3078">
        <f t="shared" si="96"/>
        <v>0.25204371465256153</v>
      </c>
      <c r="G3078">
        <f t="shared" si="97"/>
        <v>0.27681100768919464</v>
      </c>
    </row>
    <row r="3079" spans="1:7">
      <c r="A3079" t="str">
        <f>Sinistrés!H3084</f>
        <v>Maïs grain non irrigué</v>
      </c>
      <c r="B3079">
        <f>Sinistrés!J3084</f>
        <v>90000.66</v>
      </c>
      <c r="C3079">
        <f>Sinistrés!X3084</f>
        <v>32994.980000000003</v>
      </c>
      <c r="D3079">
        <f>Sinistrés!L3084</f>
        <v>48.94</v>
      </c>
      <c r="E3079">
        <f>Sinistrés!M3084</f>
        <v>48.94</v>
      </c>
      <c r="F3079">
        <f t="shared" si="96"/>
        <v>0.36660820042875242</v>
      </c>
      <c r="G3079">
        <f t="shared" si="97"/>
        <v>1</v>
      </c>
    </row>
    <row r="3080" spans="1:7" hidden="1">
      <c r="A3080" t="str">
        <f>Sinistrés!H3085</f>
        <v>Maïs ensilage non irrigué</v>
      </c>
      <c r="B3080">
        <f>Sinistrés!J3085</f>
        <v>17756.89</v>
      </c>
      <c r="C3080">
        <f>Sinistrés!X3085</f>
        <v>0</v>
      </c>
      <c r="D3080">
        <f>Sinistrés!L3085</f>
        <v>12.11</v>
      </c>
      <c r="E3080">
        <f>Sinistrés!M3085</f>
        <v>12.11</v>
      </c>
      <c r="F3080">
        <f t="shared" si="96"/>
        <v>0</v>
      </c>
      <c r="G3080">
        <f t="shared" si="97"/>
        <v>1</v>
      </c>
    </row>
    <row r="3081" spans="1:7">
      <c r="A3081" t="str">
        <f>Sinistrés!H3086</f>
        <v>Maïs grain non irrigué</v>
      </c>
      <c r="B3081">
        <f>Sinistrés!J3086</f>
        <v>23553.06</v>
      </c>
      <c r="C3081">
        <f>Sinistrés!X3086</f>
        <v>6924.87</v>
      </c>
      <c r="D3081">
        <f>Sinistrés!L3086</f>
        <v>21.11</v>
      </c>
      <c r="E3081">
        <f>Sinistrés!M3086</f>
        <v>21.11</v>
      </c>
      <c r="F3081">
        <f t="shared" si="96"/>
        <v>0.29401147876326894</v>
      </c>
      <c r="G3081">
        <f t="shared" si="97"/>
        <v>1</v>
      </c>
    </row>
    <row r="3082" spans="1:7">
      <c r="A3082" t="str">
        <f>Sinistrés!H3087</f>
        <v>Maïs grain non irrigué</v>
      </c>
      <c r="B3082">
        <f>Sinistrés!J3087</f>
        <v>120636</v>
      </c>
      <c r="C3082">
        <f>Sinistrés!X3087</f>
        <v>31624.78</v>
      </c>
      <c r="D3082">
        <f>Sinistrés!L3087</f>
        <v>67.02</v>
      </c>
      <c r="E3082">
        <f>Sinistrés!M3087</f>
        <v>36</v>
      </c>
      <c r="F3082">
        <f t="shared" si="96"/>
        <v>0.2621504360224145</v>
      </c>
      <c r="G3082">
        <f t="shared" si="97"/>
        <v>0.53715308863025968</v>
      </c>
    </row>
    <row r="3083" spans="1:7" hidden="1">
      <c r="A3083" t="str">
        <f>Sinistrés!H3088</f>
        <v>Soja</v>
      </c>
      <c r="B3083">
        <f>Sinistrés!J3088</f>
        <v>15914.21</v>
      </c>
      <c r="C3083">
        <f>Sinistrés!X3088</f>
        <v>0</v>
      </c>
      <c r="D3083">
        <f>Sinistrés!L3088</f>
        <v>13</v>
      </c>
      <c r="E3083">
        <f>Sinistrés!M3088</f>
        <v>13</v>
      </c>
      <c r="F3083">
        <f t="shared" si="96"/>
        <v>0</v>
      </c>
      <c r="G3083">
        <f t="shared" si="97"/>
        <v>1</v>
      </c>
    </row>
    <row r="3084" spans="1:7" hidden="1">
      <c r="A3084" t="str">
        <f>Sinistrés!H3089</f>
        <v>Maïs pop corn irrigué</v>
      </c>
      <c r="B3084">
        <f>Sinistrés!J3089</f>
        <v>12750.1</v>
      </c>
      <c r="C3084">
        <f>Sinistrés!X3089</f>
        <v>0</v>
      </c>
      <c r="D3084">
        <f>Sinistrés!L3089</f>
        <v>6.7</v>
      </c>
      <c r="E3084">
        <f>Sinistrés!M3089</f>
        <v>6.7</v>
      </c>
      <c r="F3084">
        <f t="shared" si="96"/>
        <v>0</v>
      </c>
      <c r="G3084">
        <f t="shared" si="97"/>
        <v>1</v>
      </c>
    </row>
    <row r="3085" spans="1:7" hidden="1">
      <c r="A3085" t="str">
        <f>Sinistrés!H3090</f>
        <v>Maïs grain irrigué</v>
      </c>
      <c r="B3085">
        <f>Sinistrés!J3090</f>
        <v>33516</v>
      </c>
      <c r="C3085">
        <f>Sinistrés!X3090</f>
        <v>0</v>
      </c>
      <c r="D3085">
        <f>Sinistrés!L3090</f>
        <v>14.7</v>
      </c>
      <c r="E3085">
        <f>Sinistrés!M3090</f>
        <v>14.7</v>
      </c>
      <c r="F3085">
        <f t="shared" si="96"/>
        <v>0</v>
      </c>
      <c r="G3085">
        <f t="shared" si="97"/>
        <v>1</v>
      </c>
    </row>
    <row r="3086" spans="1:7" hidden="1">
      <c r="A3086" t="str">
        <f>Sinistrés!H3091</f>
        <v>Maïs grain non irrigué</v>
      </c>
      <c r="B3086">
        <f>Sinistrés!J3091</f>
        <v>17122.919999999998</v>
      </c>
      <c r="C3086">
        <f>Sinistrés!X3091</f>
        <v>0</v>
      </c>
      <c r="D3086">
        <f>Sinistrés!L3091</f>
        <v>9.74</v>
      </c>
      <c r="E3086">
        <f>Sinistrés!M3091</f>
        <v>9.74</v>
      </c>
      <c r="F3086">
        <f t="shared" si="96"/>
        <v>0</v>
      </c>
      <c r="G3086">
        <f t="shared" si="97"/>
        <v>1</v>
      </c>
    </row>
    <row r="3087" spans="1:7" hidden="1">
      <c r="A3087" t="str">
        <f>Sinistrés!H3092</f>
        <v>Tournesol</v>
      </c>
      <c r="B3087">
        <f>Sinistrés!J3092</f>
        <v>20795.39</v>
      </c>
      <c r="C3087">
        <f>Sinistrés!X3092</f>
        <v>0</v>
      </c>
      <c r="D3087">
        <f>Sinistrés!L3092</f>
        <v>15.82</v>
      </c>
      <c r="E3087">
        <f>Sinistrés!M3092</f>
        <v>15.82</v>
      </c>
      <c r="F3087">
        <f t="shared" si="96"/>
        <v>0</v>
      </c>
      <c r="G3087">
        <f t="shared" si="97"/>
        <v>1</v>
      </c>
    </row>
    <row r="3088" spans="1:7">
      <c r="A3088" t="str">
        <f>Sinistrés!H3093</f>
        <v>Lentilles</v>
      </c>
      <c r="B3088">
        <f>Sinistrés!J3093</f>
        <v>8211.4599999999991</v>
      </c>
      <c r="C3088">
        <f>Sinistrés!X3093</f>
        <v>5763.23</v>
      </c>
      <c r="D3088">
        <f>Sinistrés!L3093</f>
        <v>9.6</v>
      </c>
      <c r="E3088">
        <f>Sinistrés!M3093</f>
        <v>9.6</v>
      </c>
      <c r="F3088">
        <f t="shared" si="96"/>
        <v>0.70185204579940719</v>
      </c>
      <c r="G3088">
        <f t="shared" si="97"/>
        <v>1</v>
      </c>
    </row>
    <row r="3089" spans="1:7">
      <c r="A3089" t="str">
        <f>Sinistrés!H3094</f>
        <v>Maïs doux non irrigué</v>
      </c>
      <c r="B3089">
        <f>Sinistrés!J3094</f>
        <v>65340</v>
      </c>
      <c r="C3089">
        <f>Sinistrés!X3094</f>
        <v>13205.5</v>
      </c>
      <c r="D3089">
        <f>Sinistrés!L3094</f>
        <v>29.7</v>
      </c>
      <c r="E3089">
        <f>Sinistrés!M3094</f>
        <v>29.7</v>
      </c>
      <c r="F3089">
        <f t="shared" si="96"/>
        <v>0.20210437710437709</v>
      </c>
      <c r="G3089">
        <f t="shared" si="97"/>
        <v>1</v>
      </c>
    </row>
    <row r="3090" spans="1:7" hidden="1">
      <c r="A3090" t="str">
        <f>Sinistrés!H3095</f>
        <v>Maïs grain irrigué</v>
      </c>
      <c r="B3090">
        <f>Sinistrés!J3095</f>
        <v>33094.04</v>
      </c>
      <c r="C3090">
        <f>Sinistrés!X3095</f>
        <v>0</v>
      </c>
      <c r="D3090">
        <f>Sinistrés!L3095</f>
        <v>13.06</v>
      </c>
      <c r="E3090">
        <f>Sinistrés!M3095</f>
        <v>13.06</v>
      </c>
      <c r="F3090">
        <f t="shared" si="96"/>
        <v>0</v>
      </c>
      <c r="G3090">
        <f t="shared" si="97"/>
        <v>1</v>
      </c>
    </row>
    <row r="3091" spans="1:7" hidden="1">
      <c r="A3091" t="str">
        <f>Sinistrés!H3096</f>
        <v>Soja</v>
      </c>
      <c r="B3091">
        <f>Sinistrés!J3096</f>
        <v>23251.9</v>
      </c>
      <c r="C3091">
        <f>Sinistrés!X3096</f>
        <v>0</v>
      </c>
      <c r="D3091">
        <f>Sinistrés!L3096</f>
        <v>14.78</v>
      </c>
      <c r="E3091">
        <f>Sinistrés!M3096</f>
        <v>14.78</v>
      </c>
      <c r="F3091">
        <f t="shared" si="96"/>
        <v>0</v>
      </c>
      <c r="G3091">
        <f t="shared" si="97"/>
        <v>1</v>
      </c>
    </row>
    <row r="3092" spans="1:7" hidden="1">
      <c r="A3092" t="str">
        <f>Sinistrés!H3097</f>
        <v>Blé tendre d'hiver</v>
      </c>
      <c r="B3092">
        <f>Sinistrés!J3097</f>
        <v>69904.800000000003</v>
      </c>
      <c r="C3092">
        <f>Sinistrés!X3097</f>
        <v>0</v>
      </c>
      <c r="D3092">
        <f>Sinistrés!L3097</f>
        <v>76.650000000000006</v>
      </c>
      <c r="E3092">
        <f>Sinistrés!M3097</f>
        <v>76.650000000000006</v>
      </c>
      <c r="F3092">
        <f t="shared" si="96"/>
        <v>0</v>
      </c>
      <c r="G3092">
        <f t="shared" si="97"/>
        <v>1</v>
      </c>
    </row>
    <row r="3093" spans="1:7" hidden="1">
      <c r="A3093" t="str">
        <f>Sinistrés!H3098</f>
        <v>Colza d'hiver</v>
      </c>
      <c r="B3093">
        <f>Sinistrés!J3098</f>
        <v>46905.5</v>
      </c>
      <c r="C3093">
        <f>Sinistrés!X3098</f>
        <v>0</v>
      </c>
      <c r="D3093">
        <f>Sinistrés!L3098</f>
        <v>49.09</v>
      </c>
      <c r="E3093">
        <f>Sinistrés!M3098</f>
        <v>40</v>
      </c>
      <c r="F3093">
        <f t="shared" si="96"/>
        <v>0</v>
      </c>
      <c r="G3093">
        <f t="shared" si="97"/>
        <v>0.81482990425748625</v>
      </c>
    </row>
    <row r="3094" spans="1:7">
      <c r="A3094" t="str">
        <f>Sinistrés!H3099</f>
        <v>Orge de printemps</v>
      </c>
      <c r="B3094">
        <f>Sinistrés!J3099</f>
        <v>6063.66</v>
      </c>
      <c r="C3094">
        <f>Sinistrés!X3099</f>
        <v>3262.55</v>
      </c>
      <c r="D3094">
        <f>Sinistrés!L3099</f>
        <v>5.27</v>
      </c>
      <c r="E3094">
        <f>Sinistrés!M3099</f>
        <v>5.27</v>
      </c>
      <c r="F3094">
        <f t="shared" si="96"/>
        <v>0.53804962679305901</v>
      </c>
      <c r="G3094">
        <f t="shared" si="97"/>
        <v>1</v>
      </c>
    </row>
    <row r="3095" spans="1:7" hidden="1">
      <c r="A3095" t="str">
        <f>Sinistrés!H3100</f>
        <v>Blé tendre d'hiver</v>
      </c>
      <c r="B3095">
        <f>Sinistrés!J3100</f>
        <v>114328.5</v>
      </c>
      <c r="C3095">
        <f>Sinistrés!X3100</f>
        <v>0</v>
      </c>
      <c r="D3095">
        <f>Sinistrés!L3100</f>
        <v>106.6</v>
      </c>
      <c r="E3095">
        <f>Sinistrés!M3100</f>
        <v>10</v>
      </c>
      <c r="F3095">
        <f t="shared" si="96"/>
        <v>0</v>
      </c>
      <c r="G3095">
        <f t="shared" si="97"/>
        <v>9.3808630393996256E-2</v>
      </c>
    </row>
    <row r="3096" spans="1:7">
      <c r="A3096" t="str">
        <f>Sinistrés!H3101</f>
        <v>Colza d'hiver</v>
      </c>
      <c r="B3096">
        <f>Sinistrés!J3101</f>
        <v>5554.85</v>
      </c>
      <c r="C3096">
        <f>Sinistrés!X3101</f>
        <v>4255.97</v>
      </c>
      <c r="D3096">
        <f>Sinistrés!L3101</f>
        <v>5.9</v>
      </c>
      <c r="E3096">
        <f>Sinistrés!M3101</f>
        <v>5.9</v>
      </c>
      <c r="F3096">
        <f t="shared" si="96"/>
        <v>0.76617190383178668</v>
      </c>
      <c r="G3096">
        <f t="shared" si="97"/>
        <v>1</v>
      </c>
    </row>
    <row r="3097" spans="1:7">
      <c r="A3097" t="str">
        <f>Sinistrés!H3102</f>
        <v>Maïs ensilage non irrigué</v>
      </c>
      <c r="B3097">
        <f>Sinistrés!J3102</f>
        <v>4054.4</v>
      </c>
      <c r="C3097">
        <f>Sinistrés!X3102</f>
        <v>1658.56</v>
      </c>
      <c r="D3097">
        <f>Sinistrés!L3102</f>
        <v>4</v>
      </c>
      <c r="E3097">
        <f>Sinistrés!M3102</f>
        <v>4</v>
      </c>
      <c r="F3097">
        <f t="shared" si="96"/>
        <v>0.40907655880031568</v>
      </c>
      <c r="G3097">
        <f t="shared" si="97"/>
        <v>1</v>
      </c>
    </row>
    <row r="3098" spans="1:7">
      <c r="A3098" t="str">
        <f>Sinistrés!H3103</f>
        <v>Maïs grain non irrigué</v>
      </c>
      <c r="B3098">
        <f>Sinistrés!J3103</f>
        <v>4680</v>
      </c>
      <c r="C3098">
        <f>Sinistrés!X3103</f>
        <v>2223</v>
      </c>
      <c r="D3098">
        <f>Sinistrés!L3103</f>
        <v>3.9</v>
      </c>
      <c r="E3098">
        <f>Sinistrés!M3103</f>
        <v>3.9</v>
      </c>
      <c r="F3098">
        <f t="shared" si="96"/>
        <v>0.47499999999999998</v>
      </c>
      <c r="G3098">
        <f t="shared" si="97"/>
        <v>1</v>
      </c>
    </row>
    <row r="3099" spans="1:7">
      <c r="A3099" t="str">
        <f>Sinistrés!H3104</f>
        <v>Orge d'hiver</v>
      </c>
      <c r="B3099">
        <f>Sinistrés!J3104</f>
        <v>12259.8</v>
      </c>
      <c r="C3099">
        <f>Sinistrés!X3104</f>
        <v>2293.1999999999998</v>
      </c>
      <c r="D3099">
        <f>Sinistrés!L3104</f>
        <v>13.9</v>
      </c>
      <c r="E3099">
        <f>Sinistrés!M3104</f>
        <v>4.5</v>
      </c>
      <c r="F3099">
        <f t="shared" si="96"/>
        <v>0.18705035971223022</v>
      </c>
      <c r="G3099">
        <f t="shared" si="97"/>
        <v>0.32374100719424459</v>
      </c>
    </row>
    <row r="3100" spans="1:7" hidden="1">
      <c r="A3100" t="str">
        <f>Sinistrés!H3105</f>
        <v>Maïs pop corn irrigué</v>
      </c>
      <c r="B3100">
        <f>Sinistrés!J3105</f>
        <v>6361.6</v>
      </c>
      <c r="C3100">
        <f>Sinistrés!X3105</f>
        <v>0</v>
      </c>
      <c r="D3100">
        <f>Sinistrés!L3105</f>
        <v>3.2</v>
      </c>
      <c r="E3100">
        <f>Sinistrés!M3105</f>
        <v>3.2</v>
      </c>
      <c r="F3100">
        <f t="shared" si="96"/>
        <v>0</v>
      </c>
      <c r="G3100">
        <f t="shared" si="97"/>
        <v>1</v>
      </c>
    </row>
    <row r="3101" spans="1:7">
      <c r="A3101" t="str">
        <f>Sinistrés!H3106</f>
        <v>Lentilles</v>
      </c>
      <c r="B3101">
        <f>Sinistrés!J3106</f>
        <v>3164.04</v>
      </c>
      <c r="C3101">
        <f>Sinistrés!X3106</f>
        <v>37.03</v>
      </c>
      <c r="D3101">
        <f>Sinistrés!L3106</f>
        <v>5.61</v>
      </c>
      <c r="E3101">
        <f>Sinistrés!M3106</f>
        <v>5.61</v>
      </c>
      <c r="F3101">
        <f t="shared" si="96"/>
        <v>1.1703391866095246E-2</v>
      </c>
      <c r="G3101">
        <f t="shared" si="97"/>
        <v>1</v>
      </c>
    </row>
    <row r="3102" spans="1:7">
      <c r="A3102" t="str">
        <f>Sinistrés!H3107</f>
        <v>Féveroles et fèves</v>
      </c>
      <c r="B3102">
        <f>Sinistrés!J3107</f>
        <v>12804.18</v>
      </c>
      <c r="C3102">
        <f>Sinistrés!X3107</f>
        <v>4187.5200000000004</v>
      </c>
      <c r="D3102">
        <f>Sinistrés!L3107</f>
        <v>18.309999999999999</v>
      </c>
      <c r="E3102">
        <f>Sinistrés!M3107</f>
        <v>18.309999999999999</v>
      </c>
      <c r="F3102">
        <f t="shared" si="96"/>
        <v>0.32704319995501474</v>
      </c>
      <c r="G3102">
        <f t="shared" si="97"/>
        <v>1</v>
      </c>
    </row>
    <row r="3103" spans="1:7" hidden="1">
      <c r="A3103" t="str">
        <f>Sinistrés!H3108</f>
        <v>Lin oléagineux</v>
      </c>
      <c r="B3103">
        <f>Sinistrés!J3108</f>
        <v>12082</v>
      </c>
      <c r="C3103">
        <f>Sinistrés!X3108</f>
        <v>0</v>
      </c>
      <c r="D3103">
        <f>Sinistrés!L3108</f>
        <v>17.260000000000002</v>
      </c>
      <c r="E3103">
        <f>Sinistrés!M3108</f>
        <v>17.260000000000002</v>
      </c>
      <c r="F3103">
        <f t="shared" si="96"/>
        <v>0</v>
      </c>
      <c r="G3103">
        <f t="shared" si="97"/>
        <v>1</v>
      </c>
    </row>
    <row r="3104" spans="1:7" hidden="1">
      <c r="A3104" t="str">
        <f>Sinistrés!H3109</f>
        <v>Tournesol</v>
      </c>
      <c r="B3104">
        <f>Sinistrés!J3109</f>
        <v>14401.8</v>
      </c>
      <c r="C3104">
        <f>Sinistrés!X3109</f>
        <v>0</v>
      </c>
      <c r="D3104">
        <f>Sinistrés!L3109</f>
        <v>11.43</v>
      </c>
      <c r="E3104">
        <f>Sinistrés!M3109</f>
        <v>11.43</v>
      </c>
      <c r="F3104">
        <f t="shared" si="96"/>
        <v>0</v>
      </c>
      <c r="G3104">
        <f t="shared" si="97"/>
        <v>1</v>
      </c>
    </row>
    <row r="3105" spans="1:7" hidden="1">
      <c r="A3105" t="str">
        <f>Sinistrés!H3110</f>
        <v>Blé tendre d'hiver semences</v>
      </c>
      <c r="B3105">
        <f>Sinistrés!J3110</f>
        <v>38556.379999999997</v>
      </c>
      <c r="C3105">
        <f>Sinistrés!X3110</f>
        <v>0</v>
      </c>
      <c r="D3105">
        <f>Sinistrés!L3110</f>
        <v>35.950000000000003</v>
      </c>
      <c r="E3105">
        <f>Sinistrés!M3110</f>
        <v>35.950000000000003</v>
      </c>
      <c r="F3105">
        <f t="shared" si="96"/>
        <v>0</v>
      </c>
      <c r="G3105">
        <f t="shared" si="97"/>
        <v>1</v>
      </c>
    </row>
    <row r="3106" spans="1:7" hidden="1">
      <c r="A3106" t="str">
        <f>Sinistrés!H3111</f>
        <v>Maïs grain non irrigué</v>
      </c>
      <c r="B3106">
        <f>Sinistrés!J3111</f>
        <v>19852.080000000002</v>
      </c>
      <c r="C3106">
        <f>Sinistrés!X3111</f>
        <v>0</v>
      </c>
      <c r="D3106">
        <f>Sinistrés!L3111</f>
        <v>13.71</v>
      </c>
      <c r="E3106">
        <f>Sinistrés!M3111</f>
        <v>13.71</v>
      </c>
      <c r="F3106">
        <f t="shared" si="96"/>
        <v>0</v>
      </c>
      <c r="G3106">
        <f t="shared" si="97"/>
        <v>1</v>
      </c>
    </row>
    <row r="3107" spans="1:7">
      <c r="A3107" t="str">
        <f>Sinistrés!H3112</f>
        <v>Colza d'hiver</v>
      </c>
      <c r="B3107">
        <f>Sinistrés!J3112</f>
        <v>28600</v>
      </c>
      <c r="C3107">
        <f>Sinistrés!X3112</f>
        <v>1430</v>
      </c>
      <c r="D3107">
        <f>Sinistrés!L3112</f>
        <v>14.3</v>
      </c>
      <c r="E3107">
        <f>Sinistrés!M3112</f>
        <v>14.3</v>
      </c>
      <c r="F3107">
        <f t="shared" si="96"/>
        <v>0.05</v>
      </c>
      <c r="G3107">
        <f t="shared" si="97"/>
        <v>1</v>
      </c>
    </row>
    <row r="3108" spans="1:7">
      <c r="A3108" t="str">
        <f>Sinistrés!H3113</f>
        <v>Colza d'hiver</v>
      </c>
      <c r="B3108">
        <f>Sinistrés!J3113</f>
        <v>47273.18</v>
      </c>
      <c r="C3108">
        <f>Sinistrés!X3113</f>
        <v>13298.65</v>
      </c>
      <c r="D3108">
        <f>Sinistrés!L3113</f>
        <v>36.35</v>
      </c>
      <c r="E3108">
        <f>Sinistrés!M3113</f>
        <v>36.35</v>
      </c>
      <c r="F3108">
        <f t="shared" si="96"/>
        <v>0.28131490202266907</v>
      </c>
      <c r="G3108">
        <f t="shared" si="97"/>
        <v>1</v>
      </c>
    </row>
    <row r="3109" spans="1:7" hidden="1">
      <c r="A3109" t="str">
        <f>Sinistrés!H3114</f>
        <v>Blé tendre d'hiver</v>
      </c>
      <c r="B3109">
        <f>Sinistrés!J3114</f>
        <v>68509.600000000006</v>
      </c>
      <c r="C3109">
        <f>Sinistrés!X3114</f>
        <v>0</v>
      </c>
      <c r="D3109">
        <f>Sinistrés!L3114</f>
        <v>59.06</v>
      </c>
      <c r="E3109">
        <f>Sinistrés!M3114</f>
        <v>59.06</v>
      </c>
      <c r="F3109">
        <f t="shared" si="96"/>
        <v>0</v>
      </c>
      <c r="G3109">
        <f t="shared" si="97"/>
        <v>1</v>
      </c>
    </row>
    <row r="3110" spans="1:7">
      <c r="A3110" t="str">
        <f>Sinistrés!H3115</f>
        <v>Avoine d'hiver</v>
      </c>
      <c r="B3110">
        <f>Sinistrés!J3115</f>
        <v>3497.13</v>
      </c>
      <c r="C3110">
        <f>Sinistrés!X3115</f>
        <v>752.93</v>
      </c>
      <c r="D3110">
        <f>Sinistrés!L3115</f>
        <v>6.37</v>
      </c>
      <c r="E3110">
        <f>Sinistrés!M3115</f>
        <v>6.37</v>
      </c>
      <c r="F3110">
        <f t="shared" si="96"/>
        <v>0.2152994026530326</v>
      </c>
      <c r="G3110">
        <f t="shared" si="97"/>
        <v>1</v>
      </c>
    </row>
    <row r="3111" spans="1:7">
      <c r="A3111" t="str">
        <f>Sinistrés!H3116</f>
        <v>Orge de printemps</v>
      </c>
      <c r="B3111">
        <f>Sinistrés!J3116</f>
        <v>16530.8</v>
      </c>
      <c r="C3111">
        <f>Sinistrés!X3116</f>
        <v>1054.8499999999999</v>
      </c>
      <c r="D3111">
        <f>Sinistrés!L3116</f>
        <v>17</v>
      </c>
      <c r="E3111">
        <f>Sinistrés!M3116</f>
        <v>17</v>
      </c>
      <c r="F3111">
        <f t="shared" si="96"/>
        <v>6.3811188811188815E-2</v>
      </c>
      <c r="G3111">
        <f t="shared" si="97"/>
        <v>1</v>
      </c>
    </row>
    <row r="3112" spans="1:7">
      <c r="A3112" t="str">
        <f>Sinistrés!H3117</f>
        <v>Maïs grain non irrigué</v>
      </c>
      <c r="B3112">
        <f>Sinistrés!J3117</f>
        <v>48676.32</v>
      </c>
      <c r="C3112">
        <f>Sinistrés!X3117</f>
        <v>15154.28</v>
      </c>
      <c r="D3112">
        <f>Sinistrés!L3117</f>
        <v>35.119999999999997</v>
      </c>
      <c r="E3112">
        <f>Sinistrés!M3117</f>
        <v>35.119999999999997</v>
      </c>
      <c r="F3112">
        <f t="shared" si="96"/>
        <v>0.31132756132756134</v>
      </c>
      <c r="G3112">
        <f t="shared" si="97"/>
        <v>1</v>
      </c>
    </row>
    <row r="3113" spans="1:7" hidden="1">
      <c r="A3113" t="str">
        <f>Sinistrés!H3118</f>
        <v>Tournesol</v>
      </c>
      <c r="B3113">
        <f>Sinistrés!J3118</f>
        <v>33373.440000000002</v>
      </c>
      <c r="C3113">
        <f>Sinistrés!X3118</f>
        <v>0</v>
      </c>
      <c r="D3113">
        <f>Sinistrés!L3118</f>
        <v>28.97</v>
      </c>
      <c r="E3113">
        <f>Sinistrés!M3118</f>
        <v>28.97</v>
      </c>
      <c r="F3113">
        <f t="shared" si="96"/>
        <v>0</v>
      </c>
      <c r="G3113">
        <f t="shared" si="97"/>
        <v>1</v>
      </c>
    </row>
    <row r="3114" spans="1:7" hidden="1">
      <c r="A3114" t="str">
        <f>Sinistrés!H3119</f>
        <v>Blé dur d'hiver</v>
      </c>
      <c r="B3114">
        <f>Sinistrés!J3119</f>
        <v>35521.199999999997</v>
      </c>
      <c r="C3114">
        <f>Sinistrés!X3119</f>
        <v>0</v>
      </c>
      <c r="D3114">
        <f>Sinistrés!L3119</f>
        <v>23.4</v>
      </c>
      <c r="E3114">
        <f>Sinistrés!M3119</f>
        <v>23.4</v>
      </c>
      <c r="F3114">
        <f t="shared" si="96"/>
        <v>0</v>
      </c>
      <c r="G3114">
        <f t="shared" si="97"/>
        <v>1</v>
      </c>
    </row>
    <row r="3115" spans="1:7" hidden="1">
      <c r="A3115" t="str">
        <f>Sinistrés!H3120</f>
        <v>Blé tendre d'hiver</v>
      </c>
      <c r="B3115">
        <f>Sinistrés!J3120</f>
        <v>61087.5</v>
      </c>
      <c r="C3115">
        <f>Sinistrés!X3120</f>
        <v>0</v>
      </c>
      <c r="D3115">
        <f>Sinistrés!L3120</f>
        <v>56.25</v>
      </c>
      <c r="E3115">
        <f>Sinistrés!M3120</f>
        <v>56.25</v>
      </c>
      <c r="F3115">
        <f t="shared" si="96"/>
        <v>0</v>
      </c>
      <c r="G3115">
        <f t="shared" si="97"/>
        <v>1</v>
      </c>
    </row>
    <row r="3116" spans="1:7" hidden="1">
      <c r="A3116" t="str">
        <f>Sinistrés!H3121</f>
        <v>Orge d'hiver</v>
      </c>
      <c r="B3116">
        <f>Sinistrés!J3121</f>
        <v>4348.26</v>
      </c>
      <c r="C3116">
        <f>Sinistrés!X3121</f>
        <v>0</v>
      </c>
      <c r="D3116">
        <f>Sinistrés!L3121</f>
        <v>4.93</v>
      </c>
      <c r="E3116">
        <f>Sinistrés!M3121</f>
        <v>4.93</v>
      </c>
      <c r="F3116">
        <f t="shared" si="96"/>
        <v>0</v>
      </c>
      <c r="G3116">
        <f t="shared" si="97"/>
        <v>1</v>
      </c>
    </row>
    <row r="3117" spans="1:7" hidden="1">
      <c r="A3117" t="str">
        <f>Sinistrés!H3122</f>
        <v>Blé tendre d'hiver</v>
      </c>
      <c r="B3117">
        <f>Sinistrés!J3122</f>
        <v>117397.2</v>
      </c>
      <c r="C3117">
        <f>Sinistrés!X3122</f>
        <v>0</v>
      </c>
      <c r="D3117">
        <f>Sinistrés!L3122</f>
        <v>76</v>
      </c>
      <c r="E3117">
        <f>Sinistrés!M3122</f>
        <v>26</v>
      </c>
      <c r="F3117">
        <f t="shared" si="96"/>
        <v>0</v>
      </c>
      <c r="G3117">
        <f t="shared" si="97"/>
        <v>0.34210526315789475</v>
      </c>
    </row>
    <row r="3118" spans="1:7" hidden="1">
      <c r="A3118" t="str">
        <f>Sinistrés!H3123</f>
        <v>Colza d'hiver</v>
      </c>
      <c r="B3118">
        <f>Sinistrés!J3123</f>
        <v>75204.36</v>
      </c>
      <c r="C3118">
        <f>Sinistrés!X3123</f>
        <v>0</v>
      </c>
      <c r="D3118">
        <f>Sinistrés!L3123</f>
        <v>54.26</v>
      </c>
      <c r="E3118">
        <f>Sinistrés!M3123</f>
        <v>40</v>
      </c>
      <c r="F3118">
        <f t="shared" si="96"/>
        <v>0</v>
      </c>
      <c r="G3118">
        <f t="shared" si="97"/>
        <v>0.73719130114264653</v>
      </c>
    </row>
    <row r="3119" spans="1:7">
      <c r="A3119" t="str">
        <f>Sinistrés!H3124</f>
        <v>Maïs ensilage irrigué</v>
      </c>
      <c r="B3119">
        <f>Sinistrés!J3124</f>
        <v>54767.48</v>
      </c>
      <c r="C3119">
        <f>Sinistrés!X3124</f>
        <v>12757.69</v>
      </c>
      <c r="D3119">
        <f>Sinistrés!L3124</f>
        <v>22.87</v>
      </c>
      <c r="E3119">
        <f>Sinistrés!M3124</f>
        <v>22.87</v>
      </c>
      <c r="F3119">
        <f t="shared" si="96"/>
        <v>0.23294279744110921</v>
      </c>
      <c r="G3119">
        <f t="shared" si="97"/>
        <v>1</v>
      </c>
    </row>
    <row r="3120" spans="1:7">
      <c r="A3120" t="str">
        <f>Sinistrés!H3125</f>
        <v>Triticale</v>
      </c>
      <c r="B3120">
        <f>Sinistrés!J3125</f>
        <v>1000.4</v>
      </c>
      <c r="C3120">
        <f>Sinistrés!X3125</f>
        <v>253.17</v>
      </c>
      <c r="D3120">
        <f>Sinistrés!L3125</f>
        <v>1.41</v>
      </c>
      <c r="E3120">
        <f>Sinistrés!M3125</f>
        <v>1.41</v>
      </c>
      <c r="F3120">
        <f t="shared" si="96"/>
        <v>0.25306877249100357</v>
      </c>
      <c r="G3120">
        <f t="shared" si="97"/>
        <v>1</v>
      </c>
    </row>
    <row r="3121" spans="1:7">
      <c r="A3121" t="str">
        <f>Sinistrés!H3126</f>
        <v>Maïs grain irrigué</v>
      </c>
      <c r="B3121">
        <f>Sinistrés!J3126</f>
        <v>103281.55</v>
      </c>
      <c r="C3121">
        <f>Sinistrés!X3126</f>
        <v>5163.9799999999996</v>
      </c>
      <c r="D3121">
        <f>Sinistrés!L3126</f>
        <v>34.630000000000003</v>
      </c>
      <c r="E3121">
        <f>Sinistrés!M3126</f>
        <v>34.630000000000003</v>
      </c>
      <c r="F3121">
        <f t="shared" si="96"/>
        <v>4.9999055978536336E-2</v>
      </c>
      <c r="G3121">
        <f t="shared" si="97"/>
        <v>1</v>
      </c>
    </row>
    <row r="3122" spans="1:7">
      <c r="A3122" t="str">
        <f>Sinistrés!H3127</f>
        <v>Orge d'hiver</v>
      </c>
      <c r="B3122">
        <f>Sinistrés!J3127</f>
        <v>10004.57</v>
      </c>
      <c r="C3122">
        <f>Sinistrés!X3127</f>
        <v>4921.6000000000004</v>
      </c>
      <c r="D3122">
        <f>Sinistrés!L3127</f>
        <v>13.56</v>
      </c>
      <c r="E3122">
        <f>Sinistrés!M3127</f>
        <v>13.56</v>
      </c>
      <c r="F3122">
        <f t="shared" si="96"/>
        <v>0.49193518562017163</v>
      </c>
      <c r="G3122">
        <f t="shared" si="97"/>
        <v>1</v>
      </c>
    </row>
    <row r="3123" spans="1:7">
      <c r="A3123" t="str">
        <f>Sinistrés!H3128</f>
        <v>Triticale</v>
      </c>
      <c r="B3123">
        <f>Sinistrés!J3128</f>
        <v>5987.52</v>
      </c>
      <c r="C3123">
        <f>Sinistrés!X3128</f>
        <v>1479.87</v>
      </c>
      <c r="D3123">
        <f>Sinistrés!L3128</f>
        <v>5</v>
      </c>
      <c r="E3123">
        <f>Sinistrés!M3128</f>
        <v>5</v>
      </c>
      <c r="F3123">
        <f t="shared" si="96"/>
        <v>0.24715909090909088</v>
      </c>
      <c r="G3123">
        <f t="shared" si="97"/>
        <v>1</v>
      </c>
    </row>
    <row r="3124" spans="1:7" hidden="1">
      <c r="A3124" t="str">
        <f>Sinistrés!H3129</f>
        <v>Triticale BIO</v>
      </c>
      <c r="B3124">
        <f>Sinistrés!J3129</f>
        <v>10974.99</v>
      </c>
      <c r="C3124">
        <f>Sinistrés!X3129</f>
        <v>0</v>
      </c>
      <c r="D3124">
        <f>Sinistrés!L3129</f>
        <v>15.26</v>
      </c>
      <c r="E3124">
        <f>Sinistrés!M3129</f>
        <v>15.26</v>
      </c>
      <c r="F3124">
        <f t="shared" si="96"/>
        <v>0</v>
      </c>
      <c r="G3124">
        <f t="shared" si="97"/>
        <v>1</v>
      </c>
    </row>
    <row r="3125" spans="1:7" hidden="1">
      <c r="A3125" t="str">
        <f>Sinistrés!H3130</f>
        <v>Maïs grain non irrigué BIO</v>
      </c>
      <c r="B3125">
        <f>Sinistrés!J3130</f>
        <v>8139.32</v>
      </c>
      <c r="C3125">
        <f>Sinistrés!X3130</f>
        <v>0</v>
      </c>
      <c r="D3125">
        <f>Sinistrés!L3130</f>
        <v>7.09</v>
      </c>
      <c r="E3125">
        <f>Sinistrés!M3130</f>
        <v>7.09</v>
      </c>
      <c r="F3125">
        <f t="shared" si="96"/>
        <v>0</v>
      </c>
      <c r="G3125">
        <f t="shared" si="97"/>
        <v>1</v>
      </c>
    </row>
    <row r="3126" spans="1:7" hidden="1">
      <c r="A3126" t="str">
        <f>Sinistrés!H3131</f>
        <v>Lin oléagineux BIO</v>
      </c>
      <c r="B3126">
        <f>Sinistrés!J3131</f>
        <v>86506.559999999998</v>
      </c>
      <c r="C3126">
        <f>Sinistrés!X3131</f>
        <v>26635.68</v>
      </c>
      <c r="D3126">
        <f>Sinistrés!L3131</f>
        <v>49.04</v>
      </c>
      <c r="E3126">
        <f>Sinistrés!M3131</f>
        <v>49.04</v>
      </c>
      <c r="F3126">
        <f t="shared" si="96"/>
        <v>0.30790358557778741</v>
      </c>
      <c r="G3126">
        <f t="shared" si="97"/>
        <v>1</v>
      </c>
    </row>
    <row r="3127" spans="1:7" hidden="1">
      <c r="A3127" t="str">
        <f>Sinistrés!H3132</f>
        <v>Blé tendre d'hiver BIO</v>
      </c>
      <c r="B3127">
        <f>Sinistrés!J3132</f>
        <v>133447.07999999999</v>
      </c>
      <c r="C3127">
        <f>Sinistrés!X3132</f>
        <v>21290.41</v>
      </c>
      <c r="D3127">
        <f>Sinistrés!L3132</f>
        <v>84.89</v>
      </c>
      <c r="E3127">
        <f>Sinistrés!M3132</f>
        <v>84.89</v>
      </c>
      <c r="F3127">
        <f t="shared" si="96"/>
        <v>0.15954196974561002</v>
      </c>
      <c r="G3127">
        <f t="shared" si="97"/>
        <v>1</v>
      </c>
    </row>
    <row r="3128" spans="1:7" hidden="1">
      <c r="A3128" t="str">
        <f>Sinistrés!H3133</f>
        <v>Colza d'hiver BIO</v>
      </c>
      <c r="B3128">
        <f>Sinistrés!J3133</f>
        <v>54576.34</v>
      </c>
      <c r="C3128">
        <f>Sinistrés!X3133</f>
        <v>29802.68</v>
      </c>
      <c r="D3128">
        <f>Sinistrés!L3133</f>
        <v>40.82</v>
      </c>
      <c r="E3128">
        <f>Sinistrés!M3133</f>
        <v>40.82</v>
      </c>
      <c r="F3128">
        <f t="shared" si="96"/>
        <v>0.54607326178340287</v>
      </c>
      <c r="G3128">
        <f t="shared" si="97"/>
        <v>1</v>
      </c>
    </row>
    <row r="3129" spans="1:7" hidden="1">
      <c r="A3129" t="str">
        <f>Sinistrés!H3134</f>
        <v>Maïs grain non irrigué</v>
      </c>
      <c r="B3129">
        <f>Sinistrés!J3134</f>
        <v>53951.63</v>
      </c>
      <c r="C3129">
        <f>Sinistrés!X3134</f>
        <v>0</v>
      </c>
      <c r="D3129">
        <f>Sinistrés!L3134</f>
        <v>29.75</v>
      </c>
      <c r="E3129">
        <f>Sinistrés!M3134</f>
        <v>26.75</v>
      </c>
      <c r="F3129">
        <f t="shared" si="96"/>
        <v>0</v>
      </c>
      <c r="G3129">
        <f t="shared" si="97"/>
        <v>0.89915966386554624</v>
      </c>
    </row>
    <row r="3130" spans="1:7" hidden="1">
      <c r="A3130" t="str">
        <f>Sinistrés!H3135</f>
        <v>Maïs grain non irrigué</v>
      </c>
      <c r="B3130">
        <f>Sinistrés!J3135</f>
        <v>14505</v>
      </c>
      <c r="C3130">
        <f>Sinistrés!X3135</f>
        <v>0</v>
      </c>
      <c r="D3130">
        <f>Sinistrés!L3135</f>
        <v>10</v>
      </c>
      <c r="E3130">
        <f>Sinistrés!M3135</f>
        <v>10</v>
      </c>
      <c r="F3130">
        <f t="shared" si="96"/>
        <v>0</v>
      </c>
      <c r="G3130">
        <f t="shared" si="97"/>
        <v>1</v>
      </c>
    </row>
    <row r="3131" spans="1:7" hidden="1">
      <c r="A3131" t="str">
        <f>Sinistrés!H3136</f>
        <v>Soja</v>
      </c>
      <c r="B3131">
        <f>Sinistrés!J3136</f>
        <v>4528</v>
      </c>
      <c r="C3131">
        <f>Sinistrés!X3136</f>
        <v>0</v>
      </c>
      <c r="D3131">
        <f>Sinistrés!L3136</f>
        <v>5</v>
      </c>
      <c r="E3131">
        <f>Sinistrés!M3136</f>
        <v>5</v>
      </c>
      <c r="F3131">
        <f t="shared" si="96"/>
        <v>0</v>
      </c>
      <c r="G3131">
        <f t="shared" si="97"/>
        <v>1</v>
      </c>
    </row>
    <row r="3132" spans="1:7" hidden="1">
      <c r="A3132" t="str">
        <f>Sinistrés!H3137</f>
        <v>Maïs grain irrigué</v>
      </c>
      <c r="B3132">
        <f>Sinistrés!J3137</f>
        <v>71982</v>
      </c>
      <c r="C3132">
        <f>Sinistrés!X3137</f>
        <v>0</v>
      </c>
      <c r="D3132">
        <f>Sinistrés!L3137</f>
        <v>36</v>
      </c>
      <c r="E3132">
        <f>Sinistrés!M3137</f>
        <v>36</v>
      </c>
      <c r="F3132">
        <f t="shared" si="96"/>
        <v>0</v>
      </c>
      <c r="G3132">
        <f t="shared" si="97"/>
        <v>1</v>
      </c>
    </row>
    <row r="3133" spans="1:7">
      <c r="A3133" t="str">
        <f>Sinistrés!H3138</f>
        <v>Tournesol</v>
      </c>
      <c r="B3133">
        <f>Sinistrés!J3138</f>
        <v>11165.36</v>
      </c>
      <c r="C3133">
        <f>Sinistrés!X3138</f>
        <v>1694.99</v>
      </c>
      <c r="D3133">
        <f>Sinistrés!L3138</f>
        <v>8</v>
      </c>
      <c r="E3133">
        <f>Sinistrés!M3138</f>
        <v>8</v>
      </c>
      <c r="F3133">
        <f t="shared" si="96"/>
        <v>0.15180791304534738</v>
      </c>
      <c r="G3133">
        <f t="shared" si="97"/>
        <v>1</v>
      </c>
    </row>
    <row r="3134" spans="1:7">
      <c r="A3134" t="str">
        <f>Sinistrés!H3139</f>
        <v>Tournesol</v>
      </c>
      <c r="B3134">
        <f>Sinistrés!J3139</f>
        <v>26386.93</v>
      </c>
      <c r="C3134">
        <f>Sinistrés!X3139</f>
        <v>4969.3500000000004</v>
      </c>
      <c r="D3134">
        <f>Sinistrés!L3139</f>
        <v>30.59</v>
      </c>
      <c r="E3134">
        <f>Sinistrés!M3139</f>
        <v>30.59</v>
      </c>
      <c r="F3134">
        <f t="shared" si="96"/>
        <v>0.18832619027677719</v>
      </c>
      <c r="G3134">
        <f t="shared" si="97"/>
        <v>1</v>
      </c>
    </row>
    <row r="3135" spans="1:7">
      <c r="A3135" t="str">
        <f>Sinistrés!H3140</f>
        <v>Maïs grain non irrigué</v>
      </c>
      <c r="B3135">
        <f>Sinistrés!J3140</f>
        <v>7689.12</v>
      </c>
      <c r="C3135">
        <f>Sinistrés!X3140</f>
        <v>3571.66</v>
      </c>
      <c r="D3135">
        <f>Sinistrés!L3140</f>
        <v>8.3000000000000007</v>
      </c>
      <c r="E3135">
        <f>Sinistrés!M3140</f>
        <v>8.3000000000000007</v>
      </c>
      <c r="F3135">
        <f t="shared" si="96"/>
        <v>0.46450829223630269</v>
      </c>
      <c r="G3135">
        <f t="shared" si="97"/>
        <v>1</v>
      </c>
    </row>
    <row r="3136" spans="1:7">
      <c r="A3136" t="str">
        <f>Sinistrés!H3141</f>
        <v>Blé tendre d'hiver</v>
      </c>
      <c r="B3136">
        <f>Sinistrés!J3141</f>
        <v>29208.7</v>
      </c>
      <c r="C3136">
        <f>Sinistrés!X3141</f>
        <v>4964.28</v>
      </c>
      <c r="D3136">
        <f>Sinistrés!L3141</f>
        <v>34.74</v>
      </c>
      <c r="E3136">
        <f>Sinistrés!M3141</f>
        <v>34.74</v>
      </c>
      <c r="F3136">
        <f t="shared" si="96"/>
        <v>0.16995895058664026</v>
      </c>
      <c r="G3136">
        <f t="shared" si="97"/>
        <v>1</v>
      </c>
    </row>
    <row r="3137" spans="1:7" hidden="1">
      <c r="A3137" t="str">
        <f>Sinistrés!H3142</f>
        <v>Maïs grain non irrigué</v>
      </c>
      <c r="B3137">
        <f>Sinistrés!J3142</f>
        <v>10425.07</v>
      </c>
      <c r="C3137">
        <f>Sinistrés!X3142</f>
        <v>0</v>
      </c>
      <c r="D3137">
        <f>Sinistrés!L3142</f>
        <v>11.36</v>
      </c>
      <c r="E3137">
        <f>Sinistrés!M3142</f>
        <v>11.35</v>
      </c>
      <c r="F3137">
        <f t="shared" si="96"/>
        <v>0</v>
      </c>
      <c r="G3137">
        <f t="shared" si="97"/>
        <v>0.99911971830985913</v>
      </c>
    </row>
    <row r="3138" spans="1:7" hidden="1">
      <c r="A3138" t="str">
        <f>Sinistrés!H3143</f>
        <v>Tournesol</v>
      </c>
      <c r="B3138">
        <f>Sinistrés!J3143</f>
        <v>20146.02</v>
      </c>
      <c r="C3138">
        <f>Sinistrés!X3143</f>
        <v>0</v>
      </c>
      <c r="D3138">
        <f>Sinistrés!L3143</f>
        <v>26.62</v>
      </c>
      <c r="E3138">
        <f>Sinistrés!M3143</f>
        <v>26.62</v>
      </c>
      <c r="F3138">
        <f t="shared" si="96"/>
        <v>0</v>
      </c>
      <c r="G3138">
        <f t="shared" si="97"/>
        <v>1</v>
      </c>
    </row>
    <row r="3139" spans="1:7">
      <c r="A3139" t="str">
        <f>Sinistrés!H3144</f>
        <v>Colza d'hiver</v>
      </c>
      <c r="B3139">
        <f>Sinistrés!J3144</f>
        <v>15014.54</v>
      </c>
      <c r="C3139">
        <f>Sinistrés!X3144</f>
        <v>4581.8599999999997</v>
      </c>
      <c r="D3139">
        <f>Sinistrés!L3144</f>
        <v>12.2</v>
      </c>
      <c r="E3139">
        <f>Sinistrés!M3144</f>
        <v>12.2</v>
      </c>
      <c r="F3139">
        <f t="shared" ref="F3139:F3202" si="98">C3139/B3139</f>
        <v>0.30516153009016589</v>
      </c>
      <c r="G3139">
        <f t="shared" ref="G3139:G3202" si="99">E3139/D3139</f>
        <v>1</v>
      </c>
    </row>
    <row r="3140" spans="1:7">
      <c r="A3140" t="str">
        <f>Sinistrés!H3145</f>
        <v>Avoine d'hiver</v>
      </c>
      <c r="B3140">
        <f>Sinistrés!J3145</f>
        <v>9719.23</v>
      </c>
      <c r="C3140">
        <f>Sinistrés!X3145</f>
        <v>2427.64</v>
      </c>
      <c r="D3140">
        <f>Sinistrés!L3145</f>
        <v>13.28</v>
      </c>
      <c r="E3140">
        <f>Sinistrés!M3145</f>
        <v>13.28</v>
      </c>
      <c r="F3140">
        <f t="shared" si="98"/>
        <v>0.24977698850629113</v>
      </c>
      <c r="G3140">
        <f t="shared" si="99"/>
        <v>1</v>
      </c>
    </row>
    <row r="3141" spans="1:7">
      <c r="A3141" t="str">
        <f>Sinistrés!H3146</f>
        <v>Maïs grain non irrigué</v>
      </c>
      <c r="B3141">
        <f>Sinistrés!J3146</f>
        <v>56285.46</v>
      </c>
      <c r="C3141">
        <f>Sinistrés!X3146</f>
        <v>3234.51</v>
      </c>
      <c r="D3141">
        <f>Sinistrés!L3146</f>
        <v>27.51</v>
      </c>
      <c r="E3141">
        <f>Sinistrés!M3146</f>
        <v>4</v>
      </c>
      <c r="F3141">
        <f t="shared" si="98"/>
        <v>5.7466173324336345E-2</v>
      </c>
      <c r="G3141">
        <f t="shared" si="99"/>
        <v>0.14540167211922936</v>
      </c>
    </row>
    <row r="3142" spans="1:7" hidden="1">
      <c r="A3142" t="str">
        <f>Sinistrés!H3147</f>
        <v>Tournesol</v>
      </c>
      <c r="B3142">
        <f>Sinistrés!J3147</f>
        <v>3797.5</v>
      </c>
      <c r="C3142">
        <f>Sinistrés!X3147</f>
        <v>0</v>
      </c>
      <c r="D3142">
        <f>Sinistrés!L3147</f>
        <v>4.34</v>
      </c>
      <c r="E3142">
        <f>Sinistrés!M3147</f>
        <v>2.2000000000000002</v>
      </c>
      <c r="F3142">
        <f t="shared" si="98"/>
        <v>0</v>
      </c>
      <c r="G3142">
        <f t="shared" si="99"/>
        <v>0.50691244239631339</v>
      </c>
    </row>
    <row r="3143" spans="1:7">
      <c r="A3143" t="str">
        <f>Sinistrés!H3148</f>
        <v>Maïs grain irrigué</v>
      </c>
      <c r="B3143">
        <f>Sinistrés!J3148</f>
        <v>25505.51</v>
      </c>
      <c r="C3143">
        <f>Sinistrés!X3148</f>
        <v>2011.73</v>
      </c>
      <c r="D3143">
        <f>Sinistrés!L3148</f>
        <v>13.11</v>
      </c>
      <c r="E3143">
        <f>Sinistrés!M3148</f>
        <v>13.11</v>
      </c>
      <c r="F3143">
        <f t="shared" si="98"/>
        <v>7.8874329507624047E-2</v>
      </c>
      <c r="G3143">
        <f t="shared" si="99"/>
        <v>1</v>
      </c>
    </row>
    <row r="3144" spans="1:7" hidden="1">
      <c r="A3144" t="str">
        <f>Sinistrés!H3149</f>
        <v>Maïs grain non irrigué</v>
      </c>
      <c r="B3144">
        <f>Sinistrés!J3149</f>
        <v>47388</v>
      </c>
      <c r="C3144">
        <f>Sinistrés!X3149</f>
        <v>0</v>
      </c>
      <c r="D3144">
        <f>Sinistrés!L3149</f>
        <v>22</v>
      </c>
      <c r="E3144">
        <f>Sinistrés!M3149</f>
        <v>22</v>
      </c>
      <c r="F3144">
        <f t="shared" si="98"/>
        <v>0</v>
      </c>
      <c r="G3144">
        <f t="shared" si="99"/>
        <v>1</v>
      </c>
    </row>
    <row r="3145" spans="1:7" hidden="1">
      <c r="A3145" t="str">
        <f>Sinistrés!H3150</f>
        <v>Maïs grain irrigué</v>
      </c>
      <c r="B3145">
        <f>Sinistrés!J3150</f>
        <v>25300</v>
      </c>
      <c r="C3145">
        <f>Sinistrés!X3150</f>
        <v>0</v>
      </c>
      <c r="D3145">
        <f>Sinistrés!L3150</f>
        <v>11</v>
      </c>
      <c r="E3145">
        <f>Sinistrés!M3150</f>
        <v>12</v>
      </c>
      <c r="F3145">
        <f t="shared" si="98"/>
        <v>0</v>
      </c>
      <c r="G3145">
        <f t="shared" si="99"/>
        <v>1.0909090909090908</v>
      </c>
    </row>
    <row r="3146" spans="1:7" hidden="1">
      <c r="A3146" t="str">
        <f>Sinistrés!H3151</f>
        <v>Maïs grain non irrigué</v>
      </c>
      <c r="B3146">
        <f>Sinistrés!J3151</f>
        <v>108834</v>
      </c>
      <c r="C3146">
        <f>Sinistrés!X3151</f>
        <v>0</v>
      </c>
      <c r="D3146">
        <f>Sinistrés!L3151</f>
        <v>51</v>
      </c>
      <c r="E3146">
        <f>Sinistrés!M3151</f>
        <v>50</v>
      </c>
      <c r="F3146">
        <f t="shared" si="98"/>
        <v>0</v>
      </c>
      <c r="G3146">
        <f t="shared" si="99"/>
        <v>0.98039215686274506</v>
      </c>
    </row>
    <row r="3147" spans="1:7">
      <c r="A3147" t="str">
        <f>Sinistrés!H3152</f>
        <v>Maïs grain non irrigué</v>
      </c>
      <c r="B3147">
        <f>Sinistrés!J3152</f>
        <v>81210.899999999994</v>
      </c>
      <c r="C3147">
        <f>Sinistrés!X3152</f>
        <v>28478.61</v>
      </c>
      <c r="D3147">
        <f>Sinistrés!L3152</f>
        <v>32.15</v>
      </c>
      <c r="E3147">
        <f>Sinistrés!M3152</f>
        <v>32.15</v>
      </c>
      <c r="F3147">
        <f t="shared" si="98"/>
        <v>0.35067472469828559</v>
      </c>
      <c r="G3147">
        <f t="shared" si="99"/>
        <v>1</v>
      </c>
    </row>
    <row r="3148" spans="1:7" hidden="1">
      <c r="A3148" t="str">
        <f>Sinistrés!H3153</f>
        <v>Soja</v>
      </c>
      <c r="B3148">
        <f>Sinistrés!J3153</f>
        <v>5220</v>
      </c>
      <c r="C3148">
        <f>Sinistrés!X3153</f>
        <v>0</v>
      </c>
      <c r="D3148">
        <f>Sinistrés!L3153</f>
        <v>4</v>
      </c>
      <c r="E3148">
        <f>Sinistrés!M3153</f>
        <v>4</v>
      </c>
      <c r="F3148">
        <f t="shared" si="98"/>
        <v>0</v>
      </c>
      <c r="G3148">
        <f t="shared" si="99"/>
        <v>1</v>
      </c>
    </row>
    <row r="3149" spans="1:7">
      <c r="A3149" t="str">
        <f>Sinistrés!H3154</f>
        <v>Triticale</v>
      </c>
      <c r="B3149">
        <f>Sinistrés!J3154</f>
        <v>1363.45</v>
      </c>
      <c r="C3149">
        <f>Sinistrés!X3154</f>
        <v>469.63</v>
      </c>
      <c r="D3149">
        <f>Sinistrés!L3154</f>
        <v>1.94</v>
      </c>
      <c r="E3149">
        <f>Sinistrés!M3154</f>
        <v>1.94</v>
      </c>
      <c r="F3149">
        <f t="shared" si="98"/>
        <v>0.34444240712897428</v>
      </c>
      <c r="G3149">
        <f t="shared" si="99"/>
        <v>1</v>
      </c>
    </row>
    <row r="3150" spans="1:7">
      <c r="A3150" t="str">
        <f>Sinistrés!H3155</f>
        <v>Orge de printemps</v>
      </c>
      <c r="B3150">
        <f>Sinistrés!J3155</f>
        <v>18510.36</v>
      </c>
      <c r="C3150">
        <f>Sinistrés!X3155</f>
        <v>3266.83</v>
      </c>
      <c r="D3150">
        <f>Sinistrés!L3155</f>
        <v>22.74</v>
      </c>
      <c r="E3150">
        <f>Sinistrés!M3155</f>
        <v>22.74</v>
      </c>
      <c r="F3150">
        <f t="shared" si="98"/>
        <v>0.17648657292456763</v>
      </c>
      <c r="G3150">
        <f t="shared" si="99"/>
        <v>1</v>
      </c>
    </row>
    <row r="3151" spans="1:7" hidden="1">
      <c r="A3151" t="str">
        <f>Sinistrés!H3156</f>
        <v>Vigne à raisin de cuve (VCU1)</v>
      </c>
      <c r="B3151">
        <f>Sinistrés!J3156</f>
        <v>143221.24</v>
      </c>
      <c r="C3151">
        <f>Sinistrés!X3156</f>
        <v>0</v>
      </c>
      <c r="D3151">
        <f>Sinistrés!L3156</f>
        <v>12.32</v>
      </c>
      <c r="E3151">
        <f>Sinistrés!M3156</f>
        <v>11</v>
      </c>
      <c r="F3151">
        <f t="shared" si="98"/>
        <v>0</v>
      </c>
      <c r="G3151">
        <f t="shared" si="99"/>
        <v>0.89285714285714279</v>
      </c>
    </row>
    <row r="3152" spans="1:7">
      <c r="A3152" t="str">
        <f>Sinistrés!H3157</f>
        <v>Avoine de printemps</v>
      </c>
      <c r="B3152">
        <f>Sinistrés!J3157</f>
        <v>3673.05</v>
      </c>
      <c r="C3152">
        <f>Sinistrés!X3157</f>
        <v>2168.66</v>
      </c>
      <c r="D3152">
        <f>Sinistrés!L3157</f>
        <v>5.21</v>
      </c>
      <c r="E3152">
        <f>Sinistrés!M3157</f>
        <v>5.21</v>
      </c>
      <c r="F3152">
        <f t="shared" si="98"/>
        <v>0.59042485128163236</v>
      </c>
      <c r="G3152">
        <f t="shared" si="99"/>
        <v>1</v>
      </c>
    </row>
    <row r="3153" spans="1:7">
      <c r="A3153" t="str">
        <f>Sinistrés!H3158</f>
        <v>Blé tendre d'hiver</v>
      </c>
      <c r="B3153">
        <f>Sinistrés!J3158</f>
        <v>17672.150000000001</v>
      </c>
      <c r="C3153">
        <f>Sinistrés!X3158</f>
        <v>10739.49</v>
      </c>
      <c r="D3153">
        <f>Sinistrés!L3158</f>
        <v>18.420000000000002</v>
      </c>
      <c r="E3153">
        <f>Sinistrés!M3158</f>
        <v>18.420000000000002</v>
      </c>
      <c r="F3153">
        <f t="shared" si="98"/>
        <v>0.60770704187096636</v>
      </c>
      <c r="G3153">
        <f t="shared" si="99"/>
        <v>1</v>
      </c>
    </row>
    <row r="3154" spans="1:7" hidden="1">
      <c r="A3154" t="str">
        <f>Sinistrés!H3159</f>
        <v>Maïs ensilage non irrigué</v>
      </c>
      <c r="B3154">
        <f>Sinistrés!J3159</f>
        <v>5567.63</v>
      </c>
      <c r="C3154">
        <f>Sinistrés!X3159</f>
        <v>0</v>
      </c>
      <c r="D3154">
        <f>Sinistrés!L3159</f>
        <v>5.25</v>
      </c>
      <c r="E3154">
        <f>Sinistrés!M3159</f>
        <v>5.25</v>
      </c>
      <c r="F3154">
        <f t="shared" si="98"/>
        <v>0</v>
      </c>
      <c r="G3154">
        <f t="shared" si="99"/>
        <v>1</v>
      </c>
    </row>
    <row r="3155" spans="1:7">
      <c r="A3155" t="str">
        <f>Sinistrés!H3160</f>
        <v>Orge de printemps</v>
      </c>
      <c r="B3155">
        <f>Sinistrés!J3160</f>
        <v>8787.4</v>
      </c>
      <c r="C3155">
        <f>Sinistrés!X3160</f>
        <v>540.54</v>
      </c>
      <c r="D3155">
        <f>Sinistrés!L3160</f>
        <v>8.2899999999999991</v>
      </c>
      <c r="E3155">
        <f>Sinistrés!M3160</f>
        <v>8.2899999999999991</v>
      </c>
      <c r="F3155">
        <f t="shared" si="98"/>
        <v>6.1513075539977695E-2</v>
      </c>
      <c r="G3155">
        <f t="shared" si="99"/>
        <v>1</v>
      </c>
    </row>
    <row r="3156" spans="1:7">
      <c r="A3156" t="str">
        <f>Sinistrés!H3161</f>
        <v>Orge d'hiver</v>
      </c>
      <c r="B3156">
        <f>Sinistrés!J3161</f>
        <v>9201.15</v>
      </c>
      <c r="C3156">
        <f>Sinistrés!X3161</f>
        <v>4900.6099999999997</v>
      </c>
      <c r="D3156">
        <f>Sinistrés!L3161</f>
        <v>11.43</v>
      </c>
      <c r="E3156">
        <f>Sinistrés!M3161</f>
        <v>11.43</v>
      </c>
      <c r="F3156">
        <f t="shared" si="98"/>
        <v>0.53260842394700658</v>
      </c>
      <c r="G3156">
        <f t="shared" si="99"/>
        <v>1</v>
      </c>
    </row>
    <row r="3157" spans="1:7" hidden="1">
      <c r="A3157" t="str">
        <f>Sinistrés!H3162</f>
        <v>Triticale</v>
      </c>
      <c r="B3157">
        <f>Sinistrés!J3162</f>
        <v>4332.17</v>
      </c>
      <c r="C3157">
        <f>Sinistrés!X3162</f>
        <v>0</v>
      </c>
      <c r="D3157">
        <f>Sinistrés!L3162</f>
        <v>6.67</v>
      </c>
      <c r="E3157">
        <f>Sinistrés!M3162</f>
        <v>6.67</v>
      </c>
      <c r="F3157">
        <f t="shared" si="98"/>
        <v>0</v>
      </c>
      <c r="G3157">
        <f t="shared" si="99"/>
        <v>1</v>
      </c>
    </row>
    <row r="3158" spans="1:7" hidden="1">
      <c r="A3158" t="str">
        <f>Sinistrés!H3163</f>
        <v>Orge de printemps</v>
      </c>
      <c r="B3158">
        <f>Sinistrés!J3163</f>
        <v>45066.86</v>
      </c>
      <c r="C3158">
        <f>Sinistrés!X3163</f>
        <v>0</v>
      </c>
      <c r="D3158">
        <f>Sinistrés!L3163</f>
        <v>30.53</v>
      </c>
      <c r="E3158">
        <f>Sinistrés!M3163</f>
        <v>10.79</v>
      </c>
      <c r="F3158">
        <f t="shared" si="98"/>
        <v>0</v>
      </c>
      <c r="G3158">
        <f t="shared" si="99"/>
        <v>0.35342286275794299</v>
      </c>
    </row>
    <row r="3159" spans="1:7" hidden="1">
      <c r="A3159" t="str">
        <f>Sinistrés!H3164</f>
        <v>Colza d'hiver</v>
      </c>
      <c r="B3159">
        <f>Sinistrés!J3164</f>
        <v>13748.8</v>
      </c>
      <c r="C3159">
        <f>Sinistrés!X3164</f>
        <v>0</v>
      </c>
      <c r="D3159">
        <f>Sinistrés!L3164</f>
        <v>13.22</v>
      </c>
      <c r="E3159">
        <f>Sinistrés!M3164</f>
        <v>13.22</v>
      </c>
      <c r="F3159">
        <f t="shared" si="98"/>
        <v>0</v>
      </c>
      <c r="G3159">
        <f t="shared" si="99"/>
        <v>1</v>
      </c>
    </row>
    <row r="3160" spans="1:7">
      <c r="A3160" t="str">
        <f>Sinistrés!H3165</f>
        <v>Triticale</v>
      </c>
      <c r="B3160">
        <f>Sinistrés!J3165</f>
        <v>20038.169999999998</v>
      </c>
      <c r="C3160">
        <f>Sinistrés!X3165</f>
        <v>6075.4</v>
      </c>
      <c r="D3160">
        <f>Sinistrés!L3165</f>
        <v>31.12</v>
      </c>
      <c r="E3160">
        <f>Sinistrés!M3165</f>
        <v>31.12</v>
      </c>
      <c r="F3160">
        <f t="shared" si="98"/>
        <v>0.30319135929079355</v>
      </c>
      <c r="G3160">
        <f t="shared" si="99"/>
        <v>1</v>
      </c>
    </row>
    <row r="3161" spans="1:7" hidden="1">
      <c r="A3161" t="str">
        <f>Sinistrés!H3166</f>
        <v>Blé tendre d'hiver</v>
      </c>
      <c r="B3161">
        <f>Sinistrés!J3166</f>
        <v>30179</v>
      </c>
      <c r="C3161">
        <f>Sinistrés!X3166</f>
        <v>0</v>
      </c>
      <c r="D3161">
        <f>Sinistrés!L3166</f>
        <v>35.04</v>
      </c>
      <c r="E3161">
        <f>Sinistrés!M3166</f>
        <v>3.65</v>
      </c>
      <c r="F3161">
        <f t="shared" si="98"/>
        <v>0</v>
      </c>
      <c r="G3161">
        <f t="shared" si="99"/>
        <v>0.10416666666666667</v>
      </c>
    </row>
    <row r="3162" spans="1:7">
      <c r="A3162" t="str">
        <f>Sinistrés!H3167</f>
        <v>Blé tendre d'hiver</v>
      </c>
      <c r="B3162">
        <f>Sinistrés!J3167</f>
        <v>40508.620000000003</v>
      </c>
      <c r="C3162">
        <f>Sinistrés!X3167</f>
        <v>21923.73</v>
      </c>
      <c r="D3162">
        <f>Sinistrés!L3167</f>
        <v>48.11</v>
      </c>
      <c r="E3162">
        <f>Sinistrés!M3167</f>
        <v>48.11</v>
      </c>
      <c r="F3162">
        <f t="shared" si="98"/>
        <v>0.54121147548348969</v>
      </c>
      <c r="G3162">
        <f t="shared" si="99"/>
        <v>1</v>
      </c>
    </row>
    <row r="3163" spans="1:7" hidden="1">
      <c r="A3163" t="str">
        <f>Sinistrés!H3168</f>
        <v>Triticale</v>
      </c>
      <c r="B3163">
        <f>Sinistrés!J3168</f>
        <v>9972.2000000000007</v>
      </c>
      <c r="C3163">
        <f>Sinistrés!X3168</f>
        <v>0</v>
      </c>
      <c r="D3163">
        <f>Sinistrés!L3168</f>
        <v>14</v>
      </c>
      <c r="E3163">
        <f>Sinistrés!M3168</f>
        <v>14</v>
      </c>
      <c r="F3163">
        <f t="shared" si="98"/>
        <v>0</v>
      </c>
      <c r="G3163">
        <f t="shared" si="99"/>
        <v>1</v>
      </c>
    </row>
    <row r="3164" spans="1:7">
      <c r="A3164" t="str">
        <f>Sinistrés!H3169</f>
        <v>Orge de printemps</v>
      </c>
      <c r="B3164">
        <f>Sinistrés!J3169</f>
        <v>10146.24</v>
      </c>
      <c r="C3164">
        <f>Sinistrés!X3169</f>
        <v>4131.5</v>
      </c>
      <c r="D3164">
        <f>Sinistrés!L3169</f>
        <v>19.2</v>
      </c>
      <c r="E3164">
        <f>Sinistrés!M3169</f>
        <v>19.2</v>
      </c>
      <c r="F3164">
        <f t="shared" si="98"/>
        <v>0.40719517772100799</v>
      </c>
      <c r="G3164">
        <f t="shared" si="99"/>
        <v>1</v>
      </c>
    </row>
    <row r="3165" spans="1:7">
      <c r="A3165" t="str">
        <f>Sinistrés!H3170</f>
        <v>Tournesol</v>
      </c>
      <c r="B3165">
        <f>Sinistrés!J3170</f>
        <v>35615.5</v>
      </c>
      <c r="C3165">
        <f>Sinistrés!X3170</f>
        <v>12574.68</v>
      </c>
      <c r="D3165">
        <f>Sinistrés!L3170</f>
        <v>46</v>
      </c>
      <c r="E3165">
        <f>Sinistrés!M3170</f>
        <v>46</v>
      </c>
      <c r="F3165">
        <f t="shared" si="98"/>
        <v>0.35306762505089079</v>
      </c>
      <c r="G3165">
        <f t="shared" si="99"/>
        <v>1</v>
      </c>
    </row>
    <row r="3166" spans="1:7">
      <c r="A3166" t="str">
        <f>Sinistrés!H3171</f>
        <v>Blé tendre d'hiver</v>
      </c>
      <c r="B3166">
        <f>Sinistrés!J3171</f>
        <v>18672.61</v>
      </c>
      <c r="C3166">
        <f>Sinistrés!X3171</f>
        <v>2774</v>
      </c>
      <c r="D3166">
        <f>Sinistrés!L3171</f>
        <v>14.23</v>
      </c>
      <c r="E3166">
        <f>Sinistrés!M3171</f>
        <v>14.23</v>
      </c>
      <c r="F3166">
        <f t="shared" si="98"/>
        <v>0.1485598424644439</v>
      </c>
      <c r="G3166">
        <f t="shared" si="99"/>
        <v>1</v>
      </c>
    </row>
    <row r="3167" spans="1:7">
      <c r="A3167" t="str">
        <f>Sinistrés!H3172</f>
        <v>Pois protéagineux</v>
      </c>
      <c r="B3167">
        <f>Sinistrés!J3172</f>
        <v>6092.56</v>
      </c>
      <c r="C3167">
        <f>Sinistrés!X3172</f>
        <v>2012.08</v>
      </c>
      <c r="D3167">
        <f>Sinistrés!L3172</f>
        <v>7.42</v>
      </c>
      <c r="E3167">
        <f>Sinistrés!M3172</f>
        <v>7.42</v>
      </c>
      <c r="F3167">
        <f t="shared" si="98"/>
        <v>0.33025197946347673</v>
      </c>
      <c r="G3167">
        <f t="shared" si="99"/>
        <v>1</v>
      </c>
    </row>
    <row r="3168" spans="1:7">
      <c r="A3168" t="str">
        <f>Sinistrés!H3173</f>
        <v>Maïs grain non irrigué</v>
      </c>
      <c r="B3168">
        <f>Sinistrés!J3173</f>
        <v>3343.12</v>
      </c>
      <c r="C3168">
        <f>Sinistrés!X3173</f>
        <v>635.09</v>
      </c>
      <c r="D3168">
        <f>Sinistrés!L3173</f>
        <v>2.62</v>
      </c>
      <c r="E3168">
        <f>Sinistrés!M3173</f>
        <v>2.62</v>
      </c>
      <c r="F3168">
        <f t="shared" si="98"/>
        <v>0.18996925028117448</v>
      </c>
      <c r="G3168">
        <f t="shared" si="99"/>
        <v>1</v>
      </c>
    </row>
    <row r="3169" spans="1:7" hidden="1">
      <c r="A3169" t="str">
        <f>Sinistrés!H3174</f>
        <v>Colza d'hiver</v>
      </c>
      <c r="B3169">
        <f>Sinistrés!J3174</f>
        <v>9528.7099999999991</v>
      </c>
      <c r="C3169">
        <f>Sinistrés!X3174</f>
        <v>0</v>
      </c>
      <c r="D3169">
        <f>Sinistrés!L3174</f>
        <v>7.34</v>
      </c>
      <c r="E3169">
        <f>Sinistrés!M3174</f>
        <v>7.34</v>
      </c>
      <c r="F3169">
        <f t="shared" si="98"/>
        <v>0</v>
      </c>
      <c r="G3169">
        <f t="shared" si="99"/>
        <v>1</v>
      </c>
    </row>
    <row r="3170" spans="1:7" hidden="1">
      <c r="A3170" t="str">
        <f>Sinistrés!H3175</f>
        <v>Blé tendre d'hiver</v>
      </c>
      <c r="B3170">
        <f>Sinistrés!J3175</f>
        <v>62749.53</v>
      </c>
      <c r="C3170">
        <f>Sinistrés!X3175</f>
        <v>0</v>
      </c>
      <c r="D3170">
        <f>Sinistrés!L3175</f>
        <v>60.61</v>
      </c>
      <c r="E3170">
        <f>Sinistrés!M3175</f>
        <v>17.04</v>
      </c>
      <c r="F3170">
        <f t="shared" si="98"/>
        <v>0</v>
      </c>
      <c r="G3170">
        <f t="shared" si="99"/>
        <v>0.28114172578782376</v>
      </c>
    </row>
    <row r="3171" spans="1:7" hidden="1">
      <c r="A3171" t="str">
        <f>Sinistrés!H3176</f>
        <v>Colza d'hiver</v>
      </c>
      <c r="B3171">
        <f>Sinistrés!J3176</f>
        <v>29118.92</v>
      </c>
      <c r="C3171">
        <f>Sinistrés!X3176</f>
        <v>0</v>
      </c>
      <c r="D3171">
        <f>Sinistrés!L3176</f>
        <v>28.59</v>
      </c>
      <c r="E3171">
        <f>Sinistrés!M3176</f>
        <v>28.59</v>
      </c>
      <c r="F3171">
        <f t="shared" si="98"/>
        <v>0</v>
      </c>
      <c r="G3171">
        <f t="shared" si="99"/>
        <v>1</v>
      </c>
    </row>
    <row r="3172" spans="1:7">
      <c r="A3172" t="str">
        <f>Sinistrés!H3177</f>
        <v>Féveroles et fèves</v>
      </c>
      <c r="B3172">
        <f>Sinistrés!J3177</f>
        <v>27679.919999999998</v>
      </c>
      <c r="C3172">
        <f>Sinistrés!X3177</f>
        <v>6866.6</v>
      </c>
      <c r="D3172">
        <f>Sinistrés!L3177</f>
        <v>39.770000000000003</v>
      </c>
      <c r="E3172">
        <f>Sinistrés!M3177</f>
        <v>7.87</v>
      </c>
      <c r="F3172">
        <f t="shared" si="98"/>
        <v>0.24807152621828391</v>
      </c>
      <c r="G3172">
        <f t="shared" si="99"/>
        <v>0.19788785516721144</v>
      </c>
    </row>
    <row r="3173" spans="1:7">
      <c r="A3173" t="str">
        <f>Sinistrés!H3178</f>
        <v>Blé tendre d'hiver</v>
      </c>
      <c r="B3173">
        <f>Sinistrés!J3178</f>
        <v>42778.8</v>
      </c>
      <c r="C3173">
        <f>Sinistrés!X3178</f>
        <v>361.37</v>
      </c>
      <c r="D3173">
        <f>Sinistrés!L3178</f>
        <v>30.6</v>
      </c>
      <c r="E3173">
        <f>Sinistrés!M3178</f>
        <v>30.6</v>
      </c>
      <c r="F3173">
        <f t="shared" si="98"/>
        <v>8.447408529458517E-3</v>
      </c>
      <c r="G3173">
        <f t="shared" si="99"/>
        <v>1</v>
      </c>
    </row>
    <row r="3174" spans="1:7">
      <c r="A3174" t="str">
        <f>Sinistrés!H3179</f>
        <v>Colza d'hiver</v>
      </c>
      <c r="B3174">
        <f>Sinistrés!J3179</f>
        <v>30579.48</v>
      </c>
      <c r="C3174">
        <f>Sinistrés!X3179</f>
        <v>5674</v>
      </c>
      <c r="D3174">
        <f>Sinistrés!L3179</f>
        <v>19.64</v>
      </c>
      <c r="E3174">
        <f>Sinistrés!M3179</f>
        <v>19.64</v>
      </c>
      <c r="F3174">
        <f t="shared" si="98"/>
        <v>0.18554926375464856</v>
      </c>
      <c r="G3174">
        <f t="shared" si="99"/>
        <v>1</v>
      </c>
    </row>
    <row r="3175" spans="1:7" hidden="1">
      <c r="A3175" t="str">
        <f>Sinistrés!H3180</f>
        <v>Orge de printemps</v>
      </c>
      <c r="B3175">
        <f>Sinistrés!J3180</f>
        <v>18848</v>
      </c>
      <c r="C3175">
        <f>Sinistrés!X3180</f>
        <v>0</v>
      </c>
      <c r="D3175">
        <f>Sinistrés!L3180</f>
        <v>15.5</v>
      </c>
      <c r="E3175">
        <f>Sinistrés!M3180</f>
        <v>15.5</v>
      </c>
      <c r="F3175">
        <f t="shared" si="98"/>
        <v>0</v>
      </c>
      <c r="G3175">
        <f t="shared" si="99"/>
        <v>1</v>
      </c>
    </row>
    <row r="3176" spans="1:7" hidden="1">
      <c r="A3176" t="str">
        <f>Sinistrés!H3181</f>
        <v>Lin oléagineux</v>
      </c>
      <c r="B3176">
        <f>Sinistrés!J3181</f>
        <v>24110.55</v>
      </c>
      <c r="C3176">
        <f>Sinistrés!X3181</f>
        <v>0</v>
      </c>
      <c r="D3176">
        <f>Sinistrés!L3181</f>
        <v>20.45</v>
      </c>
      <c r="E3176">
        <f>Sinistrés!M3181</f>
        <v>20.45</v>
      </c>
      <c r="F3176">
        <f t="shared" si="98"/>
        <v>0</v>
      </c>
      <c r="G3176">
        <f t="shared" si="99"/>
        <v>1</v>
      </c>
    </row>
    <row r="3177" spans="1:7" hidden="1">
      <c r="A3177" t="str">
        <f>Sinistrés!H3182</f>
        <v>Blé tendre d'hiver</v>
      </c>
      <c r="B3177">
        <f>Sinistrés!J3182</f>
        <v>79217.279999999999</v>
      </c>
      <c r="C3177">
        <f>Sinistrés!X3182</f>
        <v>0</v>
      </c>
      <c r="D3177">
        <f>Sinistrés!L3182</f>
        <v>57.6</v>
      </c>
      <c r="E3177">
        <f>Sinistrés!M3182</f>
        <v>57.6</v>
      </c>
      <c r="F3177">
        <f t="shared" si="98"/>
        <v>0</v>
      </c>
      <c r="G3177">
        <f t="shared" si="99"/>
        <v>1</v>
      </c>
    </row>
    <row r="3178" spans="1:7" hidden="1">
      <c r="A3178" t="str">
        <f>Sinistrés!H3183</f>
        <v>Colza d'hiver</v>
      </c>
      <c r="B3178">
        <f>Sinistrés!J3183</f>
        <v>54974.6</v>
      </c>
      <c r="C3178">
        <f>Sinistrés!X3183</f>
        <v>0</v>
      </c>
      <c r="D3178">
        <f>Sinistrés!L3183</f>
        <v>42.55</v>
      </c>
      <c r="E3178">
        <f>Sinistrés!M3183</f>
        <v>42.55</v>
      </c>
      <c r="F3178">
        <f t="shared" si="98"/>
        <v>0</v>
      </c>
      <c r="G3178">
        <f t="shared" si="99"/>
        <v>1</v>
      </c>
    </row>
    <row r="3179" spans="1:7" hidden="1">
      <c r="A3179" t="str">
        <f>Sinistrés!H3184</f>
        <v>Orge d'hiver</v>
      </c>
      <c r="B3179">
        <f>Sinistrés!J3184</f>
        <v>33003.43</v>
      </c>
      <c r="C3179">
        <f>Sinistrés!X3184</f>
        <v>0</v>
      </c>
      <c r="D3179">
        <f>Sinistrés!L3184</f>
        <v>25.18</v>
      </c>
      <c r="E3179">
        <f>Sinistrés!M3184</f>
        <v>25.18</v>
      </c>
      <c r="F3179">
        <f t="shared" si="98"/>
        <v>0</v>
      </c>
      <c r="G3179">
        <f t="shared" si="99"/>
        <v>1</v>
      </c>
    </row>
    <row r="3180" spans="1:7" hidden="1">
      <c r="A3180" t="str">
        <f>Sinistrés!H3185</f>
        <v>Blé tendre d'hiver</v>
      </c>
      <c r="B3180">
        <f>Sinistrés!J3185</f>
        <v>10275.299999999999</v>
      </c>
      <c r="C3180">
        <f>Sinistrés!X3185</f>
        <v>0</v>
      </c>
      <c r="D3180">
        <f>Sinistrés!L3185</f>
        <v>9.32</v>
      </c>
      <c r="E3180">
        <f>Sinistrés!M3185</f>
        <v>9.32</v>
      </c>
      <c r="F3180">
        <f t="shared" si="98"/>
        <v>0</v>
      </c>
      <c r="G3180">
        <f t="shared" si="99"/>
        <v>1</v>
      </c>
    </row>
    <row r="3181" spans="1:7" hidden="1">
      <c r="A3181" t="str">
        <f>Sinistrés!H3186</f>
        <v>Maïs ensilage non irrigué</v>
      </c>
      <c r="B3181">
        <f>Sinistrés!J3186</f>
        <v>9385.1299999999992</v>
      </c>
      <c r="C3181">
        <f>Sinistrés!X3186</f>
        <v>0</v>
      </c>
      <c r="D3181">
        <f>Sinistrés!L3186</f>
        <v>10.28</v>
      </c>
      <c r="E3181">
        <f>Sinistrés!M3186</f>
        <v>10.28</v>
      </c>
      <c r="F3181">
        <f t="shared" si="98"/>
        <v>0</v>
      </c>
      <c r="G3181">
        <f t="shared" si="99"/>
        <v>1</v>
      </c>
    </row>
    <row r="3182" spans="1:7" hidden="1">
      <c r="A3182" t="str">
        <f>Sinistrés!H3187</f>
        <v>Blé tendre d'hiver</v>
      </c>
      <c r="B3182">
        <f>Sinistrés!J3187</f>
        <v>24168.76</v>
      </c>
      <c r="C3182">
        <f>Sinistrés!X3187</f>
        <v>0</v>
      </c>
      <c r="D3182">
        <f>Sinistrés!L3187</f>
        <v>24.25</v>
      </c>
      <c r="E3182">
        <f>Sinistrés!M3187</f>
        <v>24.25</v>
      </c>
      <c r="F3182">
        <f t="shared" si="98"/>
        <v>0</v>
      </c>
      <c r="G3182">
        <f t="shared" si="99"/>
        <v>1</v>
      </c>
    </row>
    <row r="3183" spans="1:7" hidden="1">
      <c r="A3183" t="str">
        <f>Sinistrés!H3188</f>
        <v>Tournesol</v>
      </c>
      <c r="B3183">
        <f>Sinistrés!J3188</f>
        <v>43523.87</v>
      </c>
      <c r="C3183">
        <f>Sinistrés!X3188</f>
        <v>0</v>
      </c>
      <c r="D3183">
        <f>Sinistrés!L3188</f>
        <v>58.3</v>
      </c>
      <c r="E3183">
        <f>Sinistrés!M3188</f>
        <v>58.3</v>
      </c>
      <c r="F3183">
        <f t="shared" si="98"/>
        <v>0</v>
      </c>
      <c r="G3183">
        <f t="shared" si="99"/>
        <v>1</v>
      </c>
    </row>
    <row r="3184" spans="1:7" hidden="1">
      <c r="A3184" t="str">
        <f>Sinistrés!H3189</f>
        <v>Blé tendre d'hiver</v>
      </c>
      <c r="B3184">
        <f>Sinistrés!J3189</f>
        <v>93870.25</v>
      </c>
      <c r="C3184">
        <f>Sinistrés!X3189</f>
        <v>0</v>
      </c>
      <c r="D3184">
        <f>Sinistrés!L3189</f>
        <v>80.42</v>
      </c>
      <c r="E3184">
        <f>Sinistrés!M3189</f>
        <v>80.42</v>
      </c>
      <c r="F3184">
        <f t="shared" si="98"/>
        <v>0</v>
      </c>
      <c r="G3184">
        <f t="shared" si="99"/>
        <v>1</v>
      </c>
    </row>
    <row r="3185" spans="1:7" hidden="1">
      <c r="A3185" t="str">
        <f>Sinistrés!H3190</f>
        <v>Colza d'hiver</v>
      </c>
      <c r="B3185">
        <f>Sinistrés!J3190</f>
        <v>71104.77</v>
      </c>
      <c r="C3185">
        <f>Sinistrés!X3190</f>
        <v>0</v>
      </c>
      <c r="D3185">
        <f>Sinistrés!L3190</f>
        <v>59.18</v>
      </c>
      <c r="E3185">
        <f>Sinistrés!M3190</f>
        <v>59.18</v>
      </c>
      <c r="F3185">
        <f t="shared" si="98"/>
        <v>0</v>
      </c>
      <c r="G3185">
        <f t="shared" si="99"/>
        <v>1</v>
      </c>
    </row>
    <row r="3186" spans="1:7" hidden="1">
      <c r="A3186" t="str">
        <f>Sinistrés!H3191</f>
        <v>Orge d'hiver</v>
      </c>
      <c r="B3186">
        <f>Sinistrés!J3191</f>
        <v>42958.080000000002</v>
      </c>
      <c r="C3186">
        <f>Sinistrés!X3191</f>
        <v>0</v>
      </c>
      <c r="D3186">
        <f>Sinistrés!L3191</f>
        <v>37.29</v>
      </c>
      <c r="E3186">
        <f>Sinistrés!M3191</f>
        <v>14.5</v>
      </c>
      <c r="F3186">
        <f t="shared" si="98"/>
        <v>0</v>
      </c>
      <c r="G3186">
        <f t="shared" si="99"/>
        <v>0.38884419415392868</v>
      </c>
    </row>
    <row r="3187" spans="1:7">
      <c r="A3187" t="str">
        <f>Sinistrés!H3192</f>
        <v>Blé tendre d'hiver</v>
      </c>
      <c r="B3187">
        <f>Sinistrés!J3192</f>
        <v>8000</v>
      </c>
      <c r="C3187">
        <f>Sinistrés!X3192</f>
        <v>4575</v>
      </c>
      <c r="D3187">
        <f>Sinistrés!L3192</f>
        <v>5</v>
      </c>
      <c r="E3187">
        <f>Sinistrés!M3192</f>
        <v>5</v>
      </c>
      <c r="F3187">
        <f t="shared" si="98"/>
        <v>0.57187500000000002</v>
      </c>
      <c r="G3187">
        <f t="shared" si="99"/>
        <v>1</v>
      </c>
    </row>
    <row r="3188" spans="1:7">
      <c r="A3188" t="str">
        <f>Sinistrés!H3193</f>
        <v>Colza d'hiver</v>
      </c>
      <c r="B3188">
        <f>Sinistrés!J3193</f>
        <v>12240</v>
      </c>
      <c r="C3188">
        <f>Sinistrés!X3193</f>
        <v>1800</v>
      </c>
      <c r="D3188">
        <f>Sinistrés!L3193</f>
        <v>8</v>
      </c>
      <c r="E3188">
        <f>Sinistrés!M3193</f>
        <v>3</v>
      </c>
      <c r="F3188">
        <f t="shared" si="98"/>
        <v>0.14705882352941177</v>
      </c>
      <c r="G3188">
        <f t="shared" si="99"/>
        <v>0.375</v>
      </c>
    </row>
    <row r="3189" spans="1:7">
      <c r="A3189" t="str">
        <f>Sinistrés!H3194</f>
        <v>Maïs grain non irrigué</v>
      </c>
      <c r="B3189">
        <f>Sinistrés!J3194</f>
        <v>19143.900000000001</v>
      </c>
      <c r="C3189">
        <f>Sinistrés!X3194</f>
        <v>333.41</v>
      </c>
      <c r="D3189">
        <f>Sinistrés!L3194</f>
        <v>14.34</v>
      </c>
      <c r="E3189">
        <f>Sinistrés!M3194</f>
        <v>14</v>
      </c>
      <c r="F3189">
        <f t="shared" si="98"/>
        <v>1.7415991516880051E-2</v>
      </c>
      <c r="G3189">
        <f t="shared" si="99"/>
        <v>0.97629009762900976</v>
      </c>
    </row>
    <row r="3190" spans="1:7">
      <c r="A3190" t="str">
        <f>Sinistrés!H3195</f>
        <v>Maïs ensilage irrigué</v>
      </c>
      <c r="B3190">
        <f>Sinistrés!J3195</f>
        <v>4721.75</v>
      </c>
      <c r="C3190">
        <f>Sinistrés!X3195</f>
        <v>944.35</v>
      </c>
      <c r="D3190">
        <f>Sinistrés!L3195</f>
        <v>2.75</v>
      </c>
      <c r="E3190">
        <f>Sinistrés!M3195</f>
        <v>2.75</v>
      </c>
      <c r="F3190">
        <f t="shared" si="98"/>
        <v>0.2</v>
      </c>
      <c r="G3190">
        <f t="shared" si="99"/>
        <v>1</v>
      </c>
    </row>
    <row r="3191" spans="1:7" hidden="1">
      <c r="A3191" t="str">
        <f>Sinistrés!H3196</f>
        <v>Maïs grain irrigué</v>
      </c>
      <c r="B3191">
        <f>Sinistrés!J3196</f>
        <v>13772.21</v>
      </c>
      <c r="C3191">
        <f>Sinistrés!X3196</f>
        <v>0</v>
      </c>
      <c r="D3191">
        <f>Sinistrés!L3196</f>
        <v>7.32</v>
      </c>
      <c r="E3191">
        <f>Sinistrés!M3196</f>
        <v>7.32</v>
      </c>
      <c r="F3191">
        <f t="shared" si="98"/>
        <v>0</v>
      </c>
      <c r="G3191">
        <f t="shared" si="99"/>
        <v>1</v>
      </c>
    </row>
    <row r="3192" spans="1:7" hidden="1">
      <c r="A3192" t="str">
        <f>Sinistrés!H3197</f>
        <v>Maïs grain non irrigué</v>
      </c>
      <c r="B3192">
        <f>Sinistrés!J3197</f>
        <v>10704.6</v>
      </c>
      <c r="C3192">
        <f>Sinistrés!X3197</f>
        <v>0</v>
      </c>
      <c r="D3192">
        <f>Sinistrés!L3197</f>
        <v>6.31</v>
      </c>
      <c r="E3192">
        <f>Sinistrés!M3197</f>
        <v>2.83</v>
      </c>
      <c r="F3192">
        <f t="shared" si="98"/>
        <v>0</v>
      </c>
      <c r="G3192">
        <f t="shared" si="99"/>
        <v>0.44849445324881143</v>
      </c>
    </row>
    <row r="3193" spans="1:7">
      <c r="A3193" t="str">
        <f>Sinistrés!H3198</f>
        <v>Maïs grain irrigué</v>
      </c>
      <c r="B3193">
        <f>Sinistrés!J3198</f>
        <v>68838.509999999995</v>
      </c>
      <c r="C3193">
        <f>Sinistrés!X3198</f>
        <v>907.03</v>
      </c>
      <c r="D3193">
        <f>Sinistrés!L3198</f>
        <v>35.72</v>
      </c>
      <c r="E3193">
        <f>Sinistrés!M3198</f>
        <v>35.72</v>
      </c>
      <c r="F3193">
        <f t="shared" si="98"/>
        <v>1.3176200356457455E-2</v>
      </c>
      <c r="G3193">
        <f t="shared" si="99"/>
        <v>1</v>
      </c>
    </row>
    <row r="3194" spans="1:7">
      <c r="A3194" t="str">
        <f>Sinistrés!H3199</f>
        <v>Maïs grain non irrigué</v>
      </c>
      <c r="B3194">
        <f>Sinistrés!J3199</f>
        <v>36273.99</v>
      </c>
      <c r="C3194">
        <f>Sinistrés!X3199</f>
        <v>6923.97</v>
      </c>
      <c r="D3194">
        <f>Sinistrés!L3199</f>
        <v>24.41</v>
      </c>
      <c r="E3194">
        <f>Sinistrés!M3199</f>
        <v>24.41</v>
      </c>
      <c r="F3194">
        <f t="shared" si="98"/>
        <v>0.19087974606598285</v>
      </c>
      <c r="G3194">
        <f t="shared" si="99"/>
        <v>1</v>
      </c>
    </row>
    <row r="3195" spans="1:7" hidden="1">
      <c r="A3195" t="str">
        <f>Sinistrés!H3200</f>
        <v>Maïs grain non irrigué</v>
      </c>
      <c r="B3195">
        <f>Sinistrés!J3200</f>
        <v>47388</v>
      </c>
      <c r="C3195">
        <f>Sinistrés!X3200</f>
        <v>0</v>
      </c>
      <c r="D3195">
        <f>Sinistrés!L3200</f>
        <v>22</v>
      </c>
      <c r="E3195">
        <f>Sinistrés!M3200</f>
        <v>22</v>
      </c>
      <c r="F3195">
        <f t="shared" si="98"/>
        <v>0</v>
      </c>
      <c r="G3195">
        <f t="shared" si="99"/>
        <v>1</v>
      </c>
    </row>
    <row r="3196" spans="1:7" hidden="1">
      <c r="A3196" t="str">
        <f>Sinistrés!H3201</f>
        <v>Blé tendre d'hiver</v>
      </c>
      <c r="B3196">
        <f>Sinistrés!J3201</f>
        <v>57621</v>
      </c>
      <c r="C3196">
        <f>Sinistrés!X3201</f>
        <v>0</v>
      </c>
      <c r="D3196">
        <f>Sinistrés!L3201</f>
        <v>50.21</v>
      </c>
      <c r="E3196">
        <f>Sinistrés!M3201</f>
        <v>14.2</v>
      </c>
      <c r="F3196">
        <f t="shared" si="98"/>
        <v>0</v>
      </c>
      <c r="G3196">
        <f t="shared" si="99"/>
        <v>0.28281218880701053</v>
      </c>
    </row>
    <row r="3197" spans="1:7" hidden="1">
      <c r="A3197" t="str">
        <f>Sinistrés!H3202</f>
        <v>Colza d'hiver</v>
      </c>
      <c r="B3197">
        <f>Sinistrés!J3202</f>
        <v>30874.03</v>
      </c>
      <c r="C3197">
        <f>Sinistrés!X3202</f>
        <v>0</v>
      </c>
      <c r="D3197">
        <f>Sinistrés!L3202</f>
        <v>26.16</v>
      </c>
      <c r="E3197">
        <f>Sinistrés!M3202</f>
        <v>26.16</v>
      </c>
      <c r="F3197">
        <f t="shared" si="98"/>
        <v>0</v>
      </c>
      <c r="G3197">
        <f t="shared" si="99"/>
        <v>1</v>
      </c>
    </row>
    <row r="3198" spans="1:7" hidden="1">
      <c r="A3198" t="str">
        <f>Sinistrés!H3203</f>
        <v>Blé tendre d'hiver</v>
      </c>
      <c r="B3198">
        <f>Sinistrés!J3203</f>
        <v>35669.32</v>
      </c>
      <c r="C3198">
        <f>Sinistrés!X3203</f>
        <v>0</v>
      </c>
      <c r="D3198">
        <f>Sinistrés!L3203</f>
        <v>31.51</v>
      </c>
      <c r="E3198">
        <f>Sinistrés!M3203</f>
        <v>31.51</v>
      </c>
      <c r="F3198">
        <f t="shared" si="98"/>
        <v>0</v>
      </c>
      <c r="G3198">
        <f t="shared" si="99"/>
        <v>1</v>
      </c>
    </row>
    <row r="3199" spans="1:7">
      <c r="A3199" t="str">
        <f>Sinistrés!H3204</f>
        <v>Tournesol</v>
      </c>
      <c r="B3199">
        <f>Sinistrés!J3204</f>
        <v>36520</v>
      </c>
      <c r="C3199">
        <f>Sinistrés!X3204</f>
        <v>12876.4</v>
      </c>
      <c r="D3199">
        <f>Sinistrés!L3204</f>
        <v>45.65</v>
      </c>
      <c r="E3199">
        <f>Sinistrés!M3204</f>
        <v>45.65</v>
      </c>
      <c r="F3199">
        <f t="shared" si="98"/>
        <v>0.35258488499452356</v>
      </c>
      <c r="G3199">
        <f t="shared" si="99"/>
        <v>1</v>
      </c>
    </row>
    <row r="3200" spans="1:7">
      <c r="A3200" t="str">
        <f>Sinistrés!H3205</f>
        <v>Blé tendre d'hiver</v>
      </c>
      <c r="B3200">
        <f>Sinistrés!J3205</f>
        <v>61124.11</v>
      </c>
      <c r="C3200">
        <f>Sinistrés!X3205</f>
        <v>2234.23</v>
      </c>
      <c r="D3200">
        <f>Sinistrés!L3205</f>
        <v>54.81</v>
      </c>
      <c r="E3200">
        <f>Sinistrés!M3205</f>
        <v>33</v>
      </c>
      <c r="F3200">
        <f t="shared" si="98"/>
        <v>3.65523522551085E-2</v>
      </c>
      <c r="G3200">
        <f t="shared" si="99"/>
        <v>0.60207991242474002</v>
      </c>
    </row>
    <row r="3201" spans="1:7">
      <c r="A3201" t="str">
        <f>Sinistrés!H3206</f>
        <v>Chanvre</v>
      </c>
      <c r="B3201">
        <f>Sinistrés!J3206</f>
        <v>18635.5</v>
      </c>
      <c r="C3201">
        <f>Sinistrés!X3206</f>
        <v>9665.9599999999991</v>
      </c>
      <c r="D3201">
        <f>Sinistrés!L3206</f>
        <v>23.5</v>
      </c>
      <c r="E3201">
        <f>Sinistrés!M3206</f>
        <v>20.149999999999999</v>
      </c>
      <c r="F3201">
        <f t="shared" si="98"/>
        <v>0.51868530492876497</v>
      </c>
      <c r="G3201">
        <f t="shared" si="99"/>
        <v>0.85744680851063826</v>
      </c>
    </row>
    <row r="3202" spans="1:7">
      <c r="A3202" t="str">
        <f>Sinistrés!H3207</f>
        <v>Maïs grain non irrigué</v>
      </c>
      <c r="B3202">
        <f>Sinistrés!J3207</f>
        <v>28209.22</v>
      </c>
      <c r="C3202">
        <f>Sinistrés!X3207</f>
        <v>9442.69</v>
      </c>
      <c r="D3202">
        <f>Sinistrés!L3207</f>
        <v>24.16</v>
      </c>
      <c r="E3202">
        <f>Sinistrés!M3207</f>
        <v>24.16</v>
      </c>
      <c r="F3202">
        <f t="shared" si="98"/>
        <v>0.33473772050414724</v>
      </c>
      <c r="G3202">
        <f t="shared" si="99"/>
        <v>1</v>
      </c>
    </row>
    <row r="3203" spans="1:7">
      <c r="A3203" t="str">
        <f>Sinistrés!H3208</f>
        <v>Orge de printemps</v>
      </c>
      <c r="B3203">
        <f>Sinistrés!J3208</f>
        <v>17426.7</v>
      </c>
      <c r="C3203">
        <f>Sinistrés!X3208</f>
        <v>3177.81</v>
      </c>
      <c r="D3203">
        <f>Sinistrés!L3208</f>
        <v>20.100000000000001</v>
      </c>
      <c r="E3203">
        <f>Sinistrés!M3208</f>
        <v>20.100000000000001</v>
      </c>
      <c r="F3203">
        <f t="shared" ref="F3203:F3266" si="100">C3203/B3203</f>
        <v>0.18235294117647058</v>
      </c>
      <c r="G3203">
        <f t="shared" ref="G3203:G3266" si="101">E3203/D3203</f>
        <v>1</v>
      </c>
    </row>
    <row r="3204" spans="1:7" hidden="1">
      <c r="A3204" t="str">
        <f>Sinistrés!H3209</f>
        <v>Blé tendre d'hiver</v>
      </c>
      <c r="B3204">
        <f>Sinistrés!J3209</f>
        <v>67076.12</v>
      </c>
      <c r="C3204">
        <f>Sinistrés!X3209</f>
        <v>0</v>
      </c>
      <c r="D3204">
        <f>Sinistrés!L3209</f>
        <v>47.26</v>
      </c>
      <c r="E3204">
        <f>Sinistrés!M3209</f>
        <v>47.26</v>
      </c>
      <c r="F3204">
        <f t="shared" si="100"/>
        <v>0</v>
      </c>
      <c r="G3204">
        <f t="shared" si="101"/>
        <v>1</v>
      </c>
    </row>
    <row r="3205" spans="1:7" hidden="1">
      <c r="A3205" t="str">
        <f>Sinistrés!H3210</f>
        <v>Orge de printemps</v>
      </c>
      <c r="B3205">
        <f>Sinistrés!J3210</f>
        <v>17664.87</v>
      </c>
      <c r="C3205">
        <f>Sinistrés!X3210</f>
        <v>0</v>
      </c>
      <c r="D3205">
        <f>Sinistrés!L3210</f>
        <v>18.23</v>
      </c>
      <c r="E3205">
        <f>Sinistrés!M3210</f>
        <v>18.23</v>
      </c>
      <c r="F3205">
        <f t="shared" si="100"/>
        <v>0</v>
      </c>
      <c r="G3205">
        <f t="shared" si="101"/>
        <v>1</v>
      </c>
    </row>
    <row r="3206" spans="1:7">
      <c r="A3206" t="str">
        <f>Sinistrés!H3211</f>
        <v>Blé tendre d'hiver</v>
      </c>
      <c r="B3206">
        <f>Sinistrés!J3211</f>
        <v>78578.759999999995</v>
      </c>
      <c r="C3206">
        <f>Sinistrés!X3211</f>
        <v>14376.73</v>
      </c>
      <c r="D3206">
        <f>Sinistrés!L3211</f>
        <v>59.26</v>
      </c>
      <c r="E3206">
        <f>Sinistrés!M3211</f>
        <v>59.26</v>
      </c>
      <c r="F3206">
        <f t="shared" si="100"/>
        <v>0.18295949185250571</v>
      </c>
      <c r="G3206">
        <f t="shared" si="101"/>
        <v>1</v>
      </c>
    </row>
    <row r="3207" spans="1:7" hidden="1">
      <c r="A3207" t="str">
        <f>Sinistrés!H3212</f>
        <v>Tournesol</v>
      </c>
      <c r="B3207">
        <f>Sinistrés!J3212</f>
        <v>8625</v>
      </c>
      <c r="C3207">
        <f>Sinistrés!X3212</f>
        <v>0</v>
      </c>
      <c r="D3207">
        <f>Sinistrés!L3212</f>
        <v>7.5</v>
      </c>
      <c r="E3207">
        <f>Sinistrés!M3212</f>
        <v>7.5</v>
      </c>
      <c r="F3207">
        <f t="shared" si="100"/>
        <v>0</v>
      </c>
      <c r="G3207">
        <f t="shared" si="101"/>
        <v>1</v>
      </c>
    </row>
    <row r="3208" spans="1:7" hidden="1">
      <c r="A3208" t="str">
        <f>Sinistrés!H3213</f>
        <v>Blé tendre d'hiver</v>
      </c>
      <c r="B3208">
        <f>Sinistrés!J3213</f>
        <v>43284.24</v>
      </c>
      <c r="C3208">
        <f>Sinistrés!X3213</f>
        <v>0</v>
      </c>
      <c r="D3208">
        <f>Sinistrés!L3213</f>
        <v>34.549999999999997</v>
      </c>
      <c r="E3208">
        <f>Sinistrés!M3213</f>
        <v>12</v>
      </c>
      <c r="F3208">
        <f t="shared" si="100"/>
        <v>0</v>
      </c>
      <c r="G3208">
        <f t="shared" si="101"/>
        <v>0.34732272069464548</v>
      </c>
    </row>
    <row r="3209" spans="1:7" hidden="1">
      <c r="A3209" t="str">
        <f>Sinistrés!H3214</f>
        <v>Colza d'hiver</v>
      </c>
      <c r="B3209">
        <f>Sinistrés!J3214</f>
        <v>14739.52</v>
      </c>
      <c r="C3209">
        <f>Sinistrés!X3214</f>
        <v>0</v>
      </c>
      <c r="D3209">
        <f>Sinistrés!L3214</f>
        <v>11.93</v>
      </c>
      <c r="E3209">
        <f>Sinistrés!M3214</f>
        <v>11.93</v>
      </c>
      <c r="F3209">
        <f t="shared" si="100"/>
        <v>0</v>
      </c>
      <c r="G3209">
        <f t="shared" si="101"/>
        <v>1</v>
      </c>
    </row>
    <row r="3210" spans="1:7">
      <c r="A3210" t="str">
        <f>Sinistrés!H3215</f>
        <v>Blé tendre d'hiver</v>
      </c>
      <c r="B3210">
        <f>Sinistrés!J3215</f>
        <v>51098.71</v>
      </c>
      <c r="C3210">
        <f>Sinistrés!X3215</f>
        <v>18410.439999999999</v>
      </c>
      <c r="D3210">
        <f>Sinistrés!L3215</f>
        <v>46.01</v>
      </c>
      <c r="E3210">
        <f>Sinistrés!M3215</f>
        <v>46</v>
      </c>
      <c r="F3210">
        <f t="shared" si="100"/>
        <v>0.36029167859619154</v>
      </c>
      <c r="G3210">
        <f t="shared" si="101"/>
        <v>0.99978265594436</v>
      </c>
    </row>
    <row r="3211" spans="1:7">
      <c r="A3211" t="str">
        <f>Sinistrés!H3216</f>
        <v>Féveroles et fèves</v>
      </c>
      <c r="B3211">
        <f>Sinistrés!J3216</f>
        <v>6030.6</v>
      </c>
      <c r="C3211">
        <f>Sinistrés!X3216</f>
        <v>5427.54</v>
      </c>
      <c r="D3211">
        <f>Sinistrés!L3216</f>
        <v>8.74</v>
      </c>
      <c r="E3211">
        <f>Sinistrés!M3216</f>
        <v>8.74</v>
      </c>
      <c r="F3211">
        <f t="shared" si="100"/>
        <v>0.89999999999999991</v>
      </c>
      <c r="G3211">
        <f t="shared" si="101"/>
        <v>1</v>
      </c>
    </row>
    <row r="3212" spans="1:7">
      <c r="A3212" t="str">
        <f>Sinistrés!H3217</f>
        <v>Maïs grain non irrigué</v>
      </c>
      <c r="B3212">
        <f>Sinistrés!J3217</f>
        <v>24650.34</v>
      </c>
      <c r="C3212">
        <f>Sinistrés!X3217</f>
        <v>498.63</v>
      </c>
      <c r="D3212">
        <f>Sinistrés!L3217</f>
        <v>22</v>
      </c>
      <c r="E3212">
        <f>Sinistrés!M3217</f>
        <v>22</v>
      </c>
      <c r="F3212">
        <f t="shared" si="100"/>
        <v>2.0228118557391095E-2</v>
      </c>
      <c r="G3212">
        <f t="shared" si="101"/>
        <v>1</v>
      </c>
    </row>
    <row r="3213" spans="1:7">
      <c r="A3213" t="str">
        <f>Sinistrés!H3218</f>
        <v>Maïs waxy irrigué</v>
      </c>
      <c r="B3213">
        <f>Sinistrés!J3218</f>
        <v>44855.24</v>
      </c>
      <c r="C3213">
        <f>Sinistrés!X3218</f>
        <v>15443.61</v>
      </c>
      <c r="D3213">
        <f>Sinistrés!L3218</f>
        <v>32.659999999999997</v>
      </c>
      <c r="E3213">
        <f>Sinistrés!M3218</f>
        <v>32.659999999999997</v>
      </c>
      <c r="F3213">
        <f t="shared" si="100"/>
        <v>0.34429890465417196</v>
      </c>
      <c r="G3213">
        <f t="shared" si="101"/>
        <v>1</v>
      </c>
    </row>
    <row r="3214" spans="1:7">
      <c r="A3214" t="str">
        <f>Sinistrés!H3219</f>
        <v>Maïs waxy non irrigué</v>
      </c>
      <c r="B3214">
        <f>Sinistrés!J3219</f>
        <v>16750.8</v>
      </c>
      <c r="C3214">
        <f>Sinistrés!X3219</f>
        <v>5056.92</v>
      </c>
      <c r="D3214">
        <f>Sinistrés!L3219</f>
        <v>22</v>
      </c>
      <c r="E3214">
        <f>Sinistrés!M3219</f>
        <v>22</v>
      </c>
      <c r="F3214">
        <f t="shared" si="100"/>
        <v>0.30189125295508273</v>
      </c>
      <c r="G3214">
        <f t="shared" si="101"/>
        <v>1</v>
      </c>
    </row>
    <row r="3215" spans="1:7">
      <c r="A3215" t="str">
        <f>Sinistrés!H3220</f>
        <v>Colza d'hiver</v>
      </c>
      <c r="B3215">
        <f>Sinistrés!J3220</f>
        <v>52772.45</v>
      </c>
      <c r="C3215">
        <f>Sinistrés!X3220</f>
        <v>1518.09</v>
      </c>
      <c r="D3215">
        <f>Sinistrés!L3220</f>
        <v>31.23</v>
      </c>
      <c r="E3215">
        <f>Sinistrés!M3220</f>
        <v>7.45</v>
      </c>
      <c r="F3215">
        <f t="shared" si="100"/>
        <v>2.8766714450437682E-2</v>
      </c>
      <c r="G3215">
        <f t="shared" si="101"/>
        <v>0.23855267371117517</v>
      </c>
    </row>
    <row r="3216" spans="1:7" hidden="1">
      <c r="A3216" t="str">
        <f>Sinistrés!H3221</f>
        <v>Colza d'hiver</v>
      </c>
      <c r="B3216">
        <f>Sinistrés!J3221</f>
        <v>14838.27</v>
      </c>
      <c r="C3216">
        <f>Sinistrés!X3221</f>
        <v>0</v>
      </c>
      <c r="D3216">
        <f>Sinistrés!L3221</f>
        <v>12.8</v>
      </c>
      <c r="E3216">
        <f>Sinistrés!M3221</f>
        <v>12</v>
      </c>
      <c r="F3216">
        <f t="shared" si="100"/>
        <v>0</v>
      </c>
      <c r="G3216">
        <f t="shared" si="101"/>
        <v>0.9375</v>
      </c>
    </row>
    <row r="3217" spans="1:7" hidden="1">
      <c r="A3217" t="str">
        <f>Sinistrés!H3222</f>
        <v>Blé tendre d'hiver</v>
      </c>
      <c r="B3217">
        <f>Sinistrés!J3222</f>
        <v>20666.05</v>
      </c>
      <c r="C3217">
        <f>Sinistrés!X3222</f>
        <v>0</v>
      </c>
      <c r="D3217">
        <f>Sinistrés!L3222</f>
        <v>20.5</v>
      </c>
      <c r="E3217">
        <f>Sinistrés!M3222</f>
        <v>20.5</v>
      </c>
      <c r="F3217">
        <f t="shared" si="100"/>
        <v>0</v>
      </c>
      <c r="G3217">
        <f t="shared" si="101"/>
        <v>1</v>
      </c>
    </row>
    <row r="3218" spans="1:7" hidden="1">
      <c r="A3218" t="str">
        <f>Sinistrés!H3223</f>
        <v>Colza d'hiver</v>
      </c>
      <c r="B3218">
        <f>Sinistrés!J3223</f>
        <v>14233</v>
      </c>
      <c r="C3218">
        <f>Sinistrés!X3223</f>
        <v>0</v>
      </c>
      <c r="D3218">
        <f>Sinistrés!L3223</f>
        <v>8.6</v>
      </c>
      <c r="E3218">
        <f>Sinistrés!M3223</f>
        <v>8.6</v>
      </c>
      <c r="F3218">
        <f t="shared" si="100"/>
        <v>0</v>
      </c>
      <c r="G3218">
        <f t="shared" si="101"/>
        <v>1</v>
      </c>
    </row>
    <row r="3219" spans="1:7" hidden="1">
      <c r="A3219" t="str">
        <f>Sinistrés!H3224</f>
        <v>Maïs grain non irrigué</v>
      </c>
      <c r="B3219">
        <f>Sinistrés!J3224</f>
        <v>5471.28</v>
      </c>
      <c r="C3219">
        <f>Sinistrés!X3224</f>
        <v>0</v>
      </c>
      <c r="D3219">
        <f>Sinistrés!L3224</f>
        <v>5.4</v>
      </c>
      <c r="E3219">
        <f>Sinistrés!M3224</f>
        <v>5.4</v>
      </c>
      <c r="F3219">
        <f t="shared" si="100"/>
        <v>0</v>
      </c>
      <c r="G3219">
        <f t="shared" si="101"/>
        <v>1</v>
      </c>
    </row>
    <row r="3220" spans="1:7" hidden="1">
      <c r="A3220" t="str">
        <f>Sinistrés!H3225</f>
        <v>Tournesol</v>
      </c>
      <c r="B3220">
        <f>Sinistrés!J3225</f>
        <v>10592.5</v>
      </c>
      <c r="C3220">
        <f>Sinistrés!X3225</f>
        <v>0</v>
      </c>
      <c r="D3220">
        <f>Sinistrés!L3225</f>
        <v>9.5</v>
      </c>
      <c r="E3220">
        <f>Sinistrés!M3225</f>
        <v>9.5</v>
      </c>
      <c r="F3220">
        <f t="shared" si="100"/>
        <v>0</v>
      </c>
      <c r="G3220">
        <f t="shared" si="101"/>
        <v>1</v>
      </c>
    </row>
    <row r="3221" spans="1:7" hidden="1">
      <c r="A3221" t="str">
        <f>Sinistrés!H3226</f>
        <v>Maïs grain non irrigué</v>
      </c>
      <c r="B3221">
        <f>Sinistrés!J3226</f>
        <v>90564.4</v>
      </c>
      <c r="C3221">
        <f>Sinistrés!X3226</f>
        <v>0</v>
      </c>
      <c r="D3221">
        <f>Sinistrés!L3226</f>
        <v>60.7</v>
      </c>
      <c r="E3221">
        <f>Sinistrés!M3226</f>
        <v>12</v>
      </c>
      <c r="F3221">
        <f t="shared" si="100"/>
        <v>0</v>
      </c>
      <c r="G3221">
        <f t="shared" si="101"/>
        <v>0.19769357495881382</v>
      </c>
    </row>
    <row r="3222" spans="1:7" hidden="1">
      <c r="A3222" t="str">
        <f>Sinistrés!H3227</f>
        <v>Tournesol</v>
      </c>
      <c r="B3222">
        <f>Sinistrés!J3227</f>
        <v>49816.800000000003</v>
      </c>
      <c r="C3222">
        <f>Sinistrés!X3227</f>
        <v>0</v>
      </c>
      <c r="D3222">
        <f>Sinistrés!L3227</f>
        <v>31.45</v>
      </c>
      <c r="E3222">
        <f>Sinistrés!M3227</f>
        <v>31.45</v>
      </c>
      <c r="F3222">
        <f t="shared" si="100"/>
        <v>0</v>
      </c>
      <c r="G3222">
        <f t="shared" si="101"/>
        <v>1</v>
      </c>
    </row>
    <row r="3223" spans="1:7" hidden="1">
      <c r="A3223" t="str">
        <f>Sinistrés!H3228</f>
        <v>Maïs grain non irrigué</v>
      </c>
      <c r="B3223">
        <f>Sinistrés!J3228</f>
        <v>113217.31</v>
      </c>
      <c r="C3223">
        <f>Sinistrés!X3228</f>
        <v>0</v>
      </c>
      <c r="D3223">
        <f>Sinistrés!L3228</f>
        <v>64.739999999999995</v>
      </c>
      <c r="E3223">
        <f>Sinistrés!M3228</f>
        <v>64.55</v>
      </c>
      <c r="F3223">
        <f t="shared" si="100"/>
        <v>0</v>
      </c>
      <c r="G3223">
        <f t="shared" si="101"/>
        <v>0.9970651838121718</v>
      </c>
    </row>
    <row r="3224" spans="1:7" hidden="1">
      <c r="A3224" t="str">
        <f>Sinistrés!H3229</f>
        <v>Maïs grain non irrigué</v>
      </c>
      <c r="B3224">
        <f>Sinistrés!J3229</f>
        <v>111577.84</v>
      </c>
      <c r="C3224">
        <f>Sinistrés!X3229</f>
        <v>0</v>
      </c>
      <c r="D3224">
        <f>Sinistrés!L3229</f>
        <v>61.55</v>
      </c>
      <c r="E3224">
        <f>Sinistrés!M3229</f>
        <v>61.55</v>
      </c>
      <c r="F3224">
        <f t="shared" si="100"/>
        <v>0</v>
      </c>
      <c r="G3224">
        <f t="shared" si="101"/>
        <v>1</v>
      </c>
    </row>
    <row r="3225" spans="1:7" hidden="1">
      <c r="A3225" t="str">
        <f>Sinistrés!H3230</f>
        <v>Soja</v>
      </c>
      <c r="B3225">
        <f>Sinistrés!J3230</f>
        <v>4844.96</v>
      </c>
      <c r="C3225">
        <f>Sinistrés!X3230</f>
        <v>0</v>
      </c>
      <c r="D3225">
        <f>Sinistrés!L3230</f>
        <v>5.35</v>
      </c>
      <c r="E3225">
        <f>Sinistrés!M3230</f>
        <v>5.33</v>
      </c>
      <c r="F3225">
        <f t="shared" si="100"/>
        <v>0</v>
      </c>
      <c r="G3225">
        <f t="shared" si="101"/>
        <v>0.99626168224299072</v>
      </c>
    </row>
    <row r="3226" spans="1:7" hidden="1">
      <c r="A3226" t="str">
        <f>Sinistrés!H3231</f>
        <v>Maïs grain non irrigué</v>
      </c>
      <c r="B3226">
        <f>Sinistrés!J3231</f>
        <v>48051.09</v>
      </c>
      <c r="C3226">
        <f>Sinistrés!X3231</f>
        <v>0</v>
      </c>
      <c r="D3226">
        <f>Sinistrés!L3231</f>
        <v>26</v>
      </c>
      <c r="E3226">
        <f>Sinistrés!M3231</f>
        <v>11</v>
      </c>
      <c r="F3226">
        <f t="shared" si="100"/>
        <v>0</v>
      </c>
      <c r="G3226">
        <f t="shared" si="101"/>
        <v>0.42307692307692307</v>
      </c>
    </row>
    <row r="3227" spans="1:7">
      <c r="A3227" t="str">
        <f>Sinistrés!H3232</f>
        <v>Maïs grain irrigué</v>
      </c>
      <c r="B3227">
        <f>Sinistrés!J3232</f>
        <v>66517.5</v>
      </c>
      <c r="C3227">
        <f>Sinistrés!X3232</f>
        <v>2155.21</v>
      </c>
      <c r="D3227">
        <f>Sinistrés!L3232</f>
        <v>35</v>
      </c>
      <c r="E3227">
        <f>Sinistrés!M3232</f>
        <v>4.3499999999999996</v>
      </c>
      <c r="F3227">
        <f t="shared" si="100"/>
        <v>3.2400646446423875E-2</v>
      </c>
      <c r="G3227">
        <f t="shared" si="101"/>
        <v>0.12428571428571428</v>
      </c>
    </row>
    <row r="3228" spans="1:7">
      <c r="A3228" t="str">
        <f>Sinistrés!H3233</f>
        <v>Maïs grain non irrigué</v>
      </c>
      <c r="B3228">
        <f>Sinistrés!J3233</f>
        <v>16005</v>
      </c>
      <c r="C3228">
        <f>Sinistrés!X3233</f>
        <v>3614.58</v>
      </c>
      <c r="D3228">
        <f>Sinistrés!L3233</f>
        <v>10</v>
      </c>
      <c r="E3228">
        <f>Sinistrés!M3233</f>
        <v>6.25</v>
      </c>
      <c r="F3228">
        <f t="shared" si="100"/>
        <v>0.22584067478912839</v>
      </c>
      <c r="G3228">
        <f t="shared" si="101"/>
        <v>0.625</v>
      </c>
    </row>
    <row r="3229" spans="1:7" hidden="1">
      <c r="A3229" t="str">
        <f>Sinistrés!H3234</f>
        <v>Maïs grain non irrigué</v>
      </c>
      <c r="B3229">
        <f>Sinistrés!J3234</f>
        <v>34382.32</v>
      </c>
      <c r="C3229">
        <f>Sinistrés!X3234</f>
        <v>0</v>
      </c>
      <c r="D3229">
        <f>Sinistrés!L3234</f>
        <v>12.53</v>
      </c>
      <c r="E3229">
        <f>Sinistrés!M3234</f>
        <v>12.53</v>
      </c>
      <c r="F3229">
        <f t="shared" si="100"/>
        <v>0</v>
      </c>
      <c r="G3229">
        <f t="shared" si="101"/>
        <v>1</v>
      </c>
    </row>
    <row r="3230" spans="1:7" hidden="1">
      <c r="A3230" t="str">
        <f>Sinistrés!H3235</f>
        <v>Maïs grain non irrigué</v>
      </c>
      <c r="B3230">
        <f>Sinistrés!J3235</f>
        <v>12348</v>
      </c>
      <c r="C3230">
        <f>Sinistrés!X3235</f>
        <v>0</v>
      </c>
      <c r="D3230">
        <f>Sinistrés!L3235</f>
        <v>4.5</v>
      </c>
      <c r="E3230">
        <f>Sinistrés!M3235</f>
        <v>4.5</v>
      </c>
      <c r="F3230">
        <f t="shared" si="100"/>
        <v>0</v>
      </c>
      <c r="G3230">
        <f t="shared" si="101"/>
        <v>1</v>
      </c>
    </row>
    <row r="3231" spans="1:7" hidden="1">
      <c r="A3231" t="str">
        <f>Sinistrés!H3236</f>
        <v>Avoine d'hiver</v>
      </c>
      <c r="B3231">
        <f>Sinistrés!J3236</f>
        <v>6606.6</v>
      </c>
      <c r="C3231">
        <f>Sinistrés!X3236</f>
        <v>0</v>
      </c>
      <c r="D3231">
        <f>Sinistrés!L3236</f>
        <v>12.1</v>
      </c>
      <c r="E3231">
        <f>Sinistrés!M3236</f>
        <v>12.1</v>
      </c>
      <c r="F3231">
        <f t="shared" si="100"/>
        <v>0</v>
      </c>
      <c r="G3231">
        <f t="shared" si="101"/>
        <v>1</v>
      </c>
    </row>
    <row r="3232" spans="1:7" hidden="1">
      <c r="A3232" t="str">
        <f>Sinistrés!H3237</f>
        <v>Maïs grain non irrigué</v>
      </c>
      <c r="B3232">
        <f>Sinistrés!J3237</f>
        <v>25984.84</v>
      </c>
      <c r="C3232">
        <f>Sinistrés!X3237</f>
        <v>0</v>
      </c>
      <c r="D3232">
        <f>Sinistrés!L3237</f>
        <v>17.05</v>
      </c>
      <c r="E3232">
        <f>Sinistrés!M3237</f>
        <v>17.05</v>
      </c>
      <c r="F3232">
        <f t="shared" si="100"/>
        <v>0</v>
      </c>
      <c r="G3232">
        <f t="shared" si="101"/>
        <v>1</v>
      </c>
    </row>
    <row r="3233" spans="1:7" hidden="1">
      <c r="A3233" t="str">
        <f>Sinistrés!H3238</f>
        <v>Maïs grain non irrigué</v>
      </c>
      <c r="B3233">
        <f>Sinistrés!J3238</f>
        <v>35518.400000000001</v>
      </c>
      <c r="C3233">
        <f>Sinistrés!X3238</f>
        <v>0</v>
      </c>
      <c r="D3233">
        <f>Sinistrés!L3238</f>
        <v>19.420000000000002</v>
      </c>
      <c r="E3233">
        <f>Sinistrés!M3238</f>
        <v>19.420000000000002</v>
      </c>
      <c r="F3233">
        <f t="shared" si="100"/>
        <v>0</v>
      </c>
      <c r="G3233">
        <f t="shared" si="101"/>
        <v>1</v>
      </c>
    </row>
    <row r="3234" spans="1:7" hidden="1">
      <c r="A3234" t="str">
        <f>Sinistrés!H3239</f>
        <v>Maïs grain irrigué</v>
      </c>
      <c r="B3234">
        <f>Sinistrés!J3239</f>
        <v>37756.54</v>
      </c>
      <c r="C3234">
        <f>Sinistrés!X3239</f>
        <v>0</v>
      </c>
      <c r="D3234">
        <f>Sinistrés!L3239</f>
        <v>17.41</v>
      </c>
      <c r="E3234">
        <f>Sinistrés!M3239</f>
        <v>17.41</v>
      </c>
      <c r="F3234">
        <f t="shared" si="100"/>
        <v>0</v>
      </c>
      <c r="G3234">
        <f t="shared" si="101"/>
        <v>1</v>
      </c>
    </row>
    <row r="3235" spans="1:7" hidden="1">
      <c r="A3235" t="str">
        <f>Sinistrés!H3240</f>
        <v>Soja</v>
      </c>
      <c r="B3235">
        <f>Sinistrés!J3240</f>
        <v>10396.85</v>
      </c>
      <c r="C3235">
        <f>Sinistrés!X3240</f>
        <v>0</v>
      </c>
      <c r="D3235">
        <f>Sinistrés!L3240</f>
        <v>7.76</v>
      </c>
      <c r="E3235">
        <f>Sinistrés!M3240</f>
        <v>7.76</v>
      </c>
      <c r="F3235">
        <f t="shared" si="100"/>
        <v>0</v>
      </c>
      <c r="G3235">
        <f t="shared" si="101"/>
        <v>1</v>
      </c>
    </row>
    <row r="3236" spans="1:7" hidden="1">
      <c r="A3236" t="str">
        <f>Sinistrés!H3241</f>
        <v>Féveroles et fèves BIO</v>
      </c>
      <c r="B3236">
        <f>Sinistrés!J3241</f>
        <v>9909.76</v>
      </c>
      <c r="C3236">
        <f>Sinistrés!X3241</f>
        <v>0</v>
      </c>
      <c r="D3236">
        <f>Sinistrés!L3241</f>
        <v>12.64</v>
      </c>
      <c r="E3236">
        <f>Sinistrés!M3241</f>
        <v>12.64</v>
      </c>
      <c r="F3236">
        <f t="shared" si="100"/>
        <v>0</v>
      </c>
      <c r="G3236">
        <f t="shared" si="101"/>
        <v>1</v>
      </c>
    </row>
    <row r="3237" spans="1:7" hidden="1">
      <c r="A3237" t="str">
        <f>Sinistrés!H3242</f>
        <v>Seigle et méteil BIO</v>
      </c>
      <c r="B3237">
        <f>Sinistrés!J3242</f>
        <v>27654.9</v>
      </c>
      <c r="C3237">
        <f>Sinistrés!X3242</f>
        <v>19616.75</v>
      </c>
      <c r="D3237">
        <f>Sinistrés!L3242</f>
        <v>20.260000000000002</v>
      </c>
      <c r="E3237">
        <f>Sinistrés!M3242</f>
        <v>20.260000000000002</v>
      </c>
      <c r="F3237">
        <f t="shared" si="100"/>
        <v>0.70934084014044518</v>
      </c>
      <c r="G3237">
        <f t="shared" si="101"/>
        <v>1</v>
      </c>
    </row>
    <row r="3238" spans="1:7" hidden="1">
      <c r="A3238" t="str">
        <f>Sinistrés!H3243</f>
        <v>Tournesol</v>
      </c>
      <c r="B3238">
        <f>Sinistrés!J3243</f>
        <v>15056.26</v>
      </c>
      <c r="C3238">
        <f>Sinistrés!X3243</f>
        <v>0</v>
      </c>
      <c r="D3238">
        <f>Sinistrés!L3243</f>
        <v>14.2</v>
      </c>
      <c r="E3238">
        <f>Sinistrés!M3243</f>
        <v>14.2</v>
      </c>
      <c r="F3238">
        <f t="shared" si="100"/>
        <v>0</v>
      </c>
      <c r="G3238">
        <f t="shared" si="101"/>
        <v>1</v>
      </c>
    </row>
    <row r="3239" spans="1:7">
      <c r="A3239" t="str">
        <f>Sinistrés!H3244</f>
        <v>Triticale</v>
      </c>
      <c r="B3239">
        <f>Sinistrés!J3244</f>
        <v>4371.71</v>
      </c>
      <c r="C3239">
        <f>Sinistrés!X3244</f>
        <v>874.8</v>
      </c>
      <c r="D3239">
        <f>Sinistrés!L3244</f>
        <v>6.11</v>
      </c>
      <c r="E3239">
        <f>Sinistrés!M3244</f>
        <v>6.11</v>
      </c>
      <c r="F3239">
        <f t="shared" si="100"/>
        <v>0.20010476449718759</v>
      </c>
      <c r="G3239">
        <f t="shared" si="101"/>
        <v>1</v>
      </c>
    </row>
    <row r="3240" spans="1:7" hidden="1">
      <c r="A3240" t="str">
        <f>Sinistrés!H3245</f>
        <v>Triticale SEMENCES</v>
      </c>
      <c r="B3240">
        <f>Sinistrés!J3245</f>
        <v>5229</v>
      </c>
      <c r="C3240">
        <f>Sinistrés!X3245</f>
        <v>0</v>
      </c>
      <c r="D3240">
        <f>Sinistrés!L3245</f>
        <v>6.64</v>
      </c>
      <c r="E3240">
        <f>Sinistrés!M3245</f>
        <v>6.64</v>
      </c>
      <c r="F3240">
        <f t="shared" si="100"/>
        <v>0</v>
      </c>
      <c r="G3240">
        <f t="shared" si="101"/>
        <v>1</v>
      </c>
    </row>
    <row r="3241" spans="1:7">
      <c r="A3241" t="str">
        <f>Sinistrés!H3246</f>
        <v>Féveroles et fèves</v>
      </c>
      <c r="B3241">
        <f>Sinistrés!J3246</f>
        <v>812.59</v>
      </c>
      <c r="C3241">
        <f>Sinistrés!X3246</f>
        <v>130.22999999999999</v>
      </c>
      <c r="D3241">
        <f>Sinistrés!L3246</f>
        <v>1.52</v>
      </c>
      <c r="E3241">
        <f>Sinistrés!M3246</f>
        <v>1.52</v>
      </c>
      <c r="F3241">
        <f t="shared" si="100"/>
        <v>0.1602653244563679</v>
      </c>
      <c r="G3241">
        <f t="shared" si="101"/>
        <v>1</v>
      </c>
    </row>
    <row r="3242" spans="1:7" hidden="1">
      <c r="A3242" t="str">
        <f>Sinistrés!H3247</f>
        <v>Maïs grain non irrigué</v>
      </c>
      <c r="B3242">
        <f>Sinistrés!J3247</f>
        <v>12949.74</v>
      </c>
      <c r="C3242">
        <f>Sinistrés!X3247</f>
        <v>0</v>
      </c>
      <c r="D3242">
        <f>Sinistrés!L3247</f>
        <v>7.35</v>
      </c>
      <c r="E3242">
        <f>Sinistrés!M3247</f>
        <v>7.35</v>
      </c>
      <c r="F3242">
        <f t="shared" si="100"/>
        <v>0</v>
      </c>
      <c r="G3242">
        <f t="shared" si="101"/>
        <v>1</v>
      </c>
    </row>
    <row r="3243" spans="1:7" hidden="1">
      <c r="A3243" t="str">
        <f>Sinistrés!H3248</f>
        <v>Colza d'hiver</v>
      </c>
      <c r="B3243">
        <f>Sinistrés!J3248</f>
        <v>3591</v>
      </c>
      <c r="C3243">
        <f>Sinistrés!X3248</f>
        <v>0</v>
      </c>
      <c r="D3243">
        <f>Sinistrés!L3248</f>
        <v>3.9</v>
      </c>
      <c r="E3243">
        <f>Sinistrés!M3248</f>
        <v>3.8</v>
      </c>
      <c r="F3243">
        <f t="shared" si="100"/>
        <v>0</v>
      </c>
      <c r="G3243">
        <f t="shared" si="101"/>
        <v>0.97435897435897434</v>
      </c>
    </row>
    <row r="3244" spans="1:7">
      <c r="A3244" t="str">
        <f>Sinistrés!H3249</f>
        <v>Colza d'hiver</v>
      </c>
      <c r="B3244">
        <f>Sinistrés!J3249</f>
        <v>25174.799999999999</v>
      </c>
      <c r="C3244">
        <f>Sinistrés!X3249</f>
        <v>11641.42</v>
      </c>
      <c r="D3244">
        <f>Sinistrés!L3249</f>
        <v>26.64</v>
      </c>
      <c r="E3244">
        <f>Sinistrés!M3249</f>
        <v>26.64</v>
      </c>
      <c r="F3244">
        <f t="shared" si="100"/>
        <v>0.46242353464575686</v>
      </c>
      <c r="G3244">
        <f t="shared" si="101"/>
        <v>1</v>
      </c>
    </row>
    <row r="3245" spans="1:7">
      <c r="A3245" t="str">
        <f>Sinistrés!H3250</f>
        <v>Soja</v>
      </c>
      <c r="B3245">
        <f>Sinistrés!J3250</f>
        <v>18001.8</v>
      </c>
      <c r="C3245">
        <f>Sinistrés!X3250</f>
        <v>4127.58</v>
      </c>
      <c r="D3245">
        <f>Sinistrés!L3250</f>
        <v>21.42</v>
      </c>
      <c r="E3245">
        <f>Sinistrés!M3250</f>
        <v>21.41</v>
      </c>
      <c r="F3245">
        <f t="shared" si="100"/>
        <v>0.22928707129287071</v>
      </c>
      <c r="G3245">
        <f t="shared" si="101"/>
        <v>0.99953314659197001</v>
      </c>
    </row>
    <row r="3246" spans="1:7">
      <c r="A3246" t="str">
        <f>Sinistrés!H3251</f>
        <v>Tournesol</v>
      </c>
      <c r="B3246">
        <f>Sinistrés!J3251</f>
        <v>28639.33</v>
      </c>
      <c r="C3246">
        <f>Sinistrés!X3251</f>
        <v>3672.18</v>
      </c>
      <c r="D3246">
        <f>Sinistrés!L3251</f>
        <v>24.27</v>
      </c>
      <c r="E3246">
        <f>Sinistrés!M3251</f>
        <v>24.27</v>
      </c>
      <c r="F3246">
        <f t="shared" si="100"/>
        <v>0.12822157501589596</v>
      </c>
      <c r="G3246">
        <f t="shared" si="101"/>
        <v>1</v>
      </c>
    </row>
    <row r="3247" spans="1:7" hidden="1">
      <c r="A3247" t="str">
        <f>Sinistrés!H3252</f>
        <v>Blé tendre d'hiver</v>
      </c>
      <c r="B3247">
        <f>Sinistrés!J3252</f>
        <v>17342.04</v>
      </c>
      <c r="C3247">
        <f>Sinistrés!X3252</f>
        <v>0</v>
      </c>
      <c r="D3247">
        <f>Sinistrés!L3252</f>
        <v>15.93</v>
      </c>
      <c r="E3247">
        <f>Sinistrés!M3252</f>
        <v>15.93</v>
      </c>
      <c r="F3247">
        <f t="shared" si="100"/>
        <v>0</v>
      </c>
      <c r="G3247">
        <f t="shared" si="101"/>
        <v>1</v>
      </c>
    </row>
    <row r="3248" spans="1:7" hidden="1">
      <c r="A3248" t="str">
        <f>Sinistrés!H3253</f>
        <v>Vigne à raisin de cuve (VCU1)</v>
      </c>
      <c r="B3248">
        <f>Sinistrés!J3253</f>
        <v>1010668.22</v>
      </c>
      <c r="C3248">
        <f>Sinistrés!X3253</f>
        <v>0</v>
      </c>
      <c r="D3248">
        <f>Sinistrés!L3253</f>
        <v>81.7</v>
      </c>
      <c r="E3248">
        <f>Sinistrés!M3253</f>
        <v>81</v>
      </c>
      <c r="F3248">
        <f t="shared" si="100"/>
        <v>0</v>
      </c>
      <c r="G3248">
        <f t="shared" si="101"/>
        <v>0.99143206854345167</v>
      </c>
    </row>
    <row r="3249" spans="1:7" hidden="1">
      <c r="A3249" t="str">
        <f>Sinistrés!H3254</f>
        <v>Maïs grain irrigué</v>
      </c>
      <c r="B3249">
        <f>Sinistrés!J3254</f>
        <v>84524</v>
      </c>
      <c r="C3249">
        <f>Sinistrés!X3254</f>
        <v>0</v>
      </c>
      <c r="D3249">
        <f>Sinistrés!L3254</f>
        <v>34</v>
      </c>
      <c r="E3249">
        <f>Sinistrés!M3254</f>
        <v>23</v>
      </c>
      <c r="F3249">
        <f t="shared" si="100"/>
        <v>0</v>
      </c>
      <c r="G3249">
        <f t="shared" si="101"/>
        <v>0.67647058823529416</v>
      </c>
    </row>
    <row r="3250" spans="1:7" hidden="1">
      <c r="A3250" t="str">
        <f>Sinistrés!H3255</f>
        <v>Tournesol</v>
      </c>
      <c r="B3250">
        <f>Sinistrés!J3255</f>
        <v>6990</v>
      </c>
      <c r="C3250">
        <f>Sinistrés!X3255</f>
        <v>0</v>
      </c>
      <c r="D3250">
        <f>Sinistrés!L3255</f>
        <v>6</v>
      </c>
      <c r="E3250">
        <f>Sinistrés!M3255</f>
        <v>6</v>
      </c>
      <c r="F3250">
        <f t="shared" si="100"/>
        <v>0</v>
      </c>
      <c r="G3250">
        <f t="shared" si="101"/>
        <v>1</v>
      </c>
    </row>
    <row r="3251" spans="1:7" hidden="1">
      <c r="A3251" t="str">
        <f>Sinistrés!H3256</f>
        <v>Maïs grain non irrigué</v>
      </c>
      <c r="B3251">
        <f>Sinistrés!J3256</f>
        <v>59010</v>
      </c>
      <c r="C3251">
        <f>Sinistrés!X3256</f>
        <v>0</v>
      </c>
      <c r="D3251">
        <f>Sinistrés!L3256</f>
        <v>35</v>
      </c>
      <c r="E3251">
        <f>Sinistrés!M3256</f>
        <v>24</v>
      </c>
      <c r="F3251">
        <f t="shared" si="100"/>
        <v>0</v>
      </c>
      <c r="G3251">
        <f t="shared" si="101"/>
        <v>0.68571428571428572</v>
      </c>
    </row>
    <row r="3252" spans="1:7">
      <c r="A3252" t="str">
        <f>Sinistrés!H3257</f>
        <v>Tournesol</v>
      </c>
      <c r="B3252">
        <f>Sinistrés!J3257</f>
        <v>24365</v>
      </c>
      <c r="C3252">
        <f>Sinistrés!X3257</f>
        <v>11207.9</v>
      </c>
      <c r="D3252">
        <f>Sinistrés!L3257</f>
        <v>17.72</v>
      </c>
      <c r="E3252">
        <f>Sinistrés!M3257</f>
        <v>17.72</v>
      </c>
      <c r="F3252">
        <f t="shared" si="100"/>
        <v>0.45999999999999996</v>
      </c>
      <c r="G3252">
        <f t="shared" si="101"/>
        <v>1</v>
      </c>
    </row>
    <row r="3253" spans="1:7">
      <c r="A3253" t="str">
        <f>Sinistrés!H3258</f>
        <v>Soja</v>
      </c>
      <c r="B3253">
        <f>Sinistrés!J3258</f>
        <v>34356</v>
      </c>
      <c r="C3253">
        <f>Sinistrés!X3258</f>
        <v>21061.200000000001</v>
      </c>
      <c r="D3253">
        <f>Sinistrés!L3258</f>
        <v>24.54</v>
      </c>
      <c r="E3253">
        <f>Sinistrés!M3258</f>
        <v>24.54</v>
      </c>
      <c r="F3253">
        <f t="shared" si="100"/>
        <v>0.61302829200139719</v>
      </c>
      <c r="G3253">
        <f t="shared" si="101"/>
        <v>1</v>
      </c>
    </row>
    <row r="3254" spans="1:7">
      <c r="A3254" t="str">
        <f>Sinistrés!H3259</f>
        <v>Maïs grain irrigué</v>
      </c>
      <c r="B3254">
        <f>Sinistrés!J3259</f>
        <v>62914.5</v>
      </c>
      <c r="C3254">
        <f>Sinistrés!X3259</f>
        <v>38756.07</v>
      </c>
      <c r="D3254">
        <f>Sinistrés!L3259</f>
        <v>30.69</v>
      </c>
      <c r="E3254">
        <f>Sinistrés!M3259</f>
        <v>30.69</v>
      </c>
      <c r="F3254">
        <f t="shared" si="100"/>
        <v>0.61601173020527855</v>
      </c>
      <c r="G3254">
        <f t="shared" si="101"/>
        <v>1</v>
      </c>
    </row>
    <row r="3255" spans="1:7">
      <c r="A3255" t="str">
        <f>Sinistrés!H3260</f>
        <v>Blé de force</v>
      </c>
      <c r="B3255">
        <f>Sinistrés!J3260</f>
        <v>54951.6</v>
      </c>
      <c r="C3255">
        <f>Sinistrés!X3260</f>
        <v>20998.12</v>
      </c>
      <c r="D3255">
        <f>Sinistrés!L3260</f>
        <v>41.63</v>
      </c>
      <c r="E3255">
        <f>Sinistrés!M3260</f>
        <v>39.799999999999997</v>
      </c>
      <c r="F3255">
        <f t="shared" si="100"/>
        <v>0.38212026583393388</v>
      </c>
      <c r="G3255">
        <f t="shared" si="101"/>
        <v>0.95604131635839529</v>
      </c>
    </row>
    <row r="3256" spans="1:7">
      <c r="A3256" t="str">
        <f>Sinistrés!H3261</f>
        <v>Orge d'hiver</v>
      </c>
      <c r="B3256">
        <f>Sinistrés!J3261</f>
        <v>31776</v>
      </c>
      <c r="C3256">
        <f>Sinistrés!X3261</f>
        <v>5592</v>
      </c>
      <c r="D3256">
        <f>Sinistrés!L3261</f>
        <v>26.48</v>
      </c>
      <c r="E3256">
        <f>Sinistrés!M3261</f>
        <v>20.100000000000001</v>
      </c>
      <c r="F3256">
        <f t="shared" si="100"/>
        <v>0.17598187311178248</v>
      </c>
      <c r="G3256">
        <f t="shared" si="101"/>
        <v>0.75906344410876136</v>
      </c>
    </row>
    <row r="3257" spans="1:7">
      <c r="A3257" t="str">
        <f>Sinistrés!H3262</f>
        <v>Colza d'hiver</v>
      </c>
      <c r="B3257">
        <f>Sinistrés!J3262</f>
        <v>16215.55</v>
      </c>
      <c r="C3257">
        <f>Sinistrés!X3262</f>
        <v>4018.64</v>
      </c>
      <c r="D3257">
        <f>Sinistrés!L3262</f>
        <v>12.96</v>
      </c>
      <c r="E3257">
        <f>Sinistrés!M3262</f>
        <v>12.96</v>
      </c>
      <c r="F3257">
        <f t="shared" si="100"/>
        <v>0.24782631486443568</v>
      </c>
      <c r="G3257">
        <f t="shared" si="101"/>
        <v>1</v>
      </c>
    </row>
    <row r="3258" spans="1:7" hidden="1">
      <c r="A3258" t="str">
        <f>Sinistrés!H3263</f>
        <v>Blé tendre d'hiver</v>
      </c>
      <c r="B3258">
        <f>Sinistrés!J3263</f>
        <v>55102.080000000002</v>
      </c>
      <c r="C3258">
        <f>Sinistrés!X3263</f>
        <v>0</v>
      </c>
      <c r="D3258">
        <f>Sinistrés!L3263</f>
        <v>52.18</v>
      </c>
      <c r="E3258">
        <f>Sinistrés!M3263</f>
        <v>52.18</v>
      </c>
      <c r="F3258">
        <f t="shared" si="100"/>
        <v>0</v>
      </c>
      <c r="G3258">
        <f t="shared" si="101"/>
        <v>1</v>
      </c>
    </row>
    <row r="3259" spans="1:7" hidden="1">
      <c r="A3259" t="str">
        <f>Sinistrés!H3264</f>
        <v>Blé tendre d'hiver semences</v>
      </c>
      <c r="B3259">
        <f>Sinistrés!J3264</f>
        <v>22946.6</v>
      </c>
      <c r="C3259">
        <f>Sinistrés!X3264</f>
        <v>0</v>
      </c>
      <c r="D3259">
        <f>Sinistrés!L3264</f>
        <v>19.850000000000001</v>
      </c>
      <c r="E3259">
        <f>Sinistrés!M3264</f>
        <v>19.850000000000001</v>
      </c>
      <c r="F3259">
        <f t="shared" si="100"/>
        <v>0</v>
      </c>
      <c r="G3259">
        <f t="shared" si="101"/>
        <v>1</v>
      </c>
    </row>
    <row r="3260" spans="1:7" hidden="1">
      <c r="A3260" t="str">
        <f>Sinistrés!H3265</f>
        <v>Colza d'hiver</v>
      </c>
      <c r="B3260">
        <f>Sinistrés!J3265</f>
        <v>16387.66</v>
      </c>
      <c r="C3260">
        <f>Sinistrés!X3265</f>
        <v>0</v>
      </c>
      <c r="D3260">
        <f>Sinistrés!L3265</f>
        <v>15.7</v>
      </c>
      <c r="E3260">
        <f>Sinistrés!M3265</f>
        <v>15.7</v>
      </c>
      <c r="F3260">
        <f t="shared" si="100"/>
        <v>0</v>
      </c>
      <c r="G3260">
        <f t="shared" si="101"/>
        <v>1</v>
      </c>
    </row>
    <row r="3261" spans="1:7" hidden="1">
      <c r="A3261" t="str">
        <f>Sinistrés!H3266</f>
        <v>Triticale</v>
      </c>
      <c r="B3261">
        <f>Sinistrés!J3266</f>
        <v>11072.25</v>
      </c>
      <c r="C3261">
        <f>Sinistrés!X3266</f>
        <v>0</v>
      </c>
      <c r="D3261">
        <f>Sinistrés!L3266</f>
        <v>11.25</v>
      </c>
      <c r="E3261">
        <f>Sinistrés!M3266</f>
        <v>11.25</v>
      </c>
      <c r="F3261">
        <f t="shared" si="100"/>
        <v>0</v>
      </c>
      <c r="G3261">
        <f t="shared" si="101"/>
        <v>1</v>
      </c>
    </row>
    <row r="3262" spans="1:7" hidden="1">
      <c r="A3262" t="str">
        <f>Sinistrés!H3267</f>
        <v>Triticale SEMENCES</v>
      </c>
      <c r="B3262">
        <f>Sinistrés!J3267</f>
        <v>18440.580000000002</v>
      </c>
      <c r="C3262">
        <f>Sinistrés!X3267</f>
        <v>0</v>
      </c>
      <c r="D3262">
        <f>Sinistrés!L3267</f>
        <v>15.15</v>
      </c>
      <c r="E3262">
        <f>Sinistrés!M3267</f>
        <v>15.15</v>
      </c>
      <c r="F3262">
        <f t="shared" si="100"/>
        <v>0</v>
      </c>
      <c r="G3262">
        <f t="shared" si="101"/>
        <v>1</v>
      </c>
    </row>
    <row r="3263" spans="1:7">
      <c r="A3263" t="str">
        <f>Sinistrés!H3268</f>
        <v>Maïs grain irrigué</v>
      </c>
      <c r="B3263">
        <f>Sinistrés!J3268</f>
        <v>143480</v>
      </c>
      <c r="C3263">
        <f>Sinistrés!X3268</f>
        <v>91451.6</v>
      </c>
      <c r="D3263">
        <f>Sinistrés!L3268</f>
        <v>71.739999999999995</v>
      </c>
      <c r="E3263">
        <f>Sinistrés!M3268</f>
        <v>71.739999999999995</v>
      </c>
      <c r="F3263">
        <f t="shared" si="100"/>
        <v>0.63738221354892677</v>
      </c>
      <c r="G3263">
        <f t="shared" si="101"/>
        <v>1</v>
      </c>
    </row>
    <row r="3264" spans="1:7">
      <c r="A3264" t="str">
        <f>Sinistrés!H3269</f>
        <v>Maïs grain non irrigué</v>
      </c>
      <c r="B3264">
        <f>Sinistrés!J3269</f>
        <v>16544</v>
      </c>
      <c r="C3264">
        <f>Sinistrés!X3269</f>
        <v>10889.6</v>
      </c>
      <c r="D3264">
        <f>Sinistrés!L3269</f>
        <v>16</v>
      </c>
      <c r="E3264">
        <f>Sinistrés!M3269</f>
        <v>16</v>
      </c>
      <c r="F3264">
        <f t="shared" si="100"/>
        <v>0.65822050290135403</v>
      </c>
      <c r="G3264">
        <f t="shared" si="101"/>
        <v>1</v>
      </c>
    </row>
    <row r="3265" spans="1:7">
      <c r="A3265" t="str">
        <f>Sinistrés!H3270</f>
        <v>Tournesol</v>
      </c>
      <c r="B3265">
        <f>Sinistrés!J3270</f>
        <v>31492.13</v>
      </c>
      <c r="C3265">
        <f>Sinistrés!X3270</f>
        <v>12203.66</v>
      </c>
      <c r="D3265">
        <f>Sinistrés!L3270</f>
        <v>32.25</v>
      </c>
      <c r="E3265">
        <f>Sinistrés!M3270</f>
        <v>32.25</v>
      </c>
      <c r="F3265">
        <f t="shared" si="100"/>
        <v>0.38751459491625367</v>
      </c>
      <c r="G3265">
        <f t="shared" si="101"/>
        <v>1</v>
      </c>
    </row>
    <row r="3266" spans="1:7">
      <c r="A3266" t="str">
        <f>Sinistrés!H3271</f>
        <v>Blé tendre d'hiver</v>
      </c>
      <c r="B3266">
        <f>Sinistrés!J3271</f>
        <v>25781.040000000001</v>
      </c>
      <c r="C3266">
        <f>Sinistrés!X3271</f>
        <v>12790.24</v>
      </c>
      <c r="D3266">
        <f>Sinistrés!L3271</f>
        <v>21.96</v>
      </c>
      <c r="E3266">
        <f>Sinistrés!M3271</f>
        <v>21.96</v>
      </c>
      <c r="F3266">
        <f t="shared" si="100"/>
        <v>0.49611031983193848</v>
      </c>
      <c r="G3266">
        <f t="shared" si="101"/>
        <v>1</v>
      </c>
    </row>
    <row r="3267" spans="1:7">
      <c r="A3267" t="str">
        <f>Sinistrés!H3272</f>
        <v>Tournesol</v>
      </c>
      <c r="B3267">
        <f>Sinistrés!J3272</f>
        <v>33900</v>
      </c>
      <c r="C3267">
        <f>Sinistrés!X3272</f>
        <v>6125.25</v>
      </c>
      <c r="D3267">
        <f>Sinistrés!L3272</f>
        <v>30</v>
      </c>
      <c r="E3267">
        <f>Sinistrés!M3272</f>
        <v>30</v>
      </c>
      <c r="F3267">
        <f t="shared" ref="F3267:F3330" si="102">C3267/B3267</f>
        <v>0.18068584070796459</v>
      </c>
      <c r="G3267">
        <f t="shared" ref="G3267:G3330" si="103">E3267/D3267</f>
        <v>1</v>
      </c>
    </row>
    <row r="3268" spans="1:7" hidden="1">
      <c r="A3268" t="str">
        <f>Sinistrés!H3273</f>
        <v>Maïs grain irrigué SEMENCES STERILES</v>
      </c>
      <c r="B3268">
        <f>Sinistrés!J3273</f>
        <v>15984</v>
      </c>
      <c r="C3268">
        <f>Sinistrés!X3273</f>
        <v>1659.94</v>
      </c>
      <c r="D3268">
        <f>Sinistrés!L3273</f>
        <v>4</v>
      </c>
      <c r="E3268">
        <f>Sinistrés!M3273</f>
        <v>4</v>
      </c>
      <c r="F3268">
        <f t="shared" si="102"/>
        <v>0.10385010010010011</v>
      </c>
      <c r="G3268">
        <f t="shared" si="103"/>
        <v>1</v>
      </c>
    </row>
    <row r="3269" spans="1:7">
      <c r="A3269" t="str">
        <f>Sinistrés!H3274</f>
        <v>Tournesol</v>
      </c>
      <c r="B3269">
        <f>Sinistrés!J3274</f>
        <v>21247.200000000001</v>
      </c>
      <c r="C3269">
        <f>Sinistrés!X3274</f>
        <v>6527.6</v>
      </c>
      <c r="D3269">
        <f>Sinistrés!L3274</f>
        <v>23.4</v>
      </c>
      <c r="E3269">
        <f>Sinistrés!M3274</f>
        <v>15</v>
      </c>
      <c r="F3269">
        <f t="shared" si="102"/>
        <v>0.30722165744192176</v>
      </c>
      <c r="G3269">
        <f t="shared" si="103"/>
        <v>0.64102564102564108</v>
      </c>
    </row>
    <row r="3270" spans="1:7">
      <c r="A3270" t="str">
        <f>Sinistrés!H3275</f>
        <v>Maïs ensilage non irrigué</v>
      </c>
      <c r="B3270">
        <f>Sinistrés!J3275</f>
        <v>7280</v>
      </c>
      <c r="C3270">
        <f>Sinistrés!X3275</f>
        <v>2184</v>
      </c>
      <c r="D3270">
        <f>Sinistrés!L3275</f>
        <v>8</v>
      </c>
      <c r="E3270">
        <f>Sinistrés!M3275</f>
        <v>8</v>
      </c>
      <c r="F3270">
        <f t="shared" si="102"/>
        <v>0.3</v>
      </c>
      <c r="G3270">
        <f t="shared" si="103"/>
        <v>1</v>
      </c>
    </row>
    <row r="3271" spans="1:7" hidden="1">
      <c r="A3271" t="str">
        <f>Sinistrés!H3276</f>
        <v>Blé de force</v>
      </c>
      <c r="B3271">
        <f>Sinistrés!J3276</f>
        <v>5268.48</v>
      </c>
      <c r="C3271">
        <f>Sinistrés!X3276</f>
        <v>0</v>
      </c>
      <c r="D3271">
        <f>Sinistrés!L3276</f>
        <v>4.2</v>
      </c>
      <c r="E3271">
        <f>Sinistrés!M3276</f>
        <v>4</v>
      </c>
      <c r="F3271">
        <f t="shared" si="102"/>
        <v>0</v>
      </c>
      <c r="G3271">
        <f t="shared" si="103"/>
        <v>0.95238095238095233</v>
      </c>
    </row>
    <row r="3272" spans="1:7">
      <c r="A3272" t="str">
        <f>Sinistrés!H3277</f>
        <v>Blé de force</v>
      </c>
      <c r="B3272">
        <f>Sinistrés!J3277</f>
        <v>21450.240000000002</v>
      </c>
      <c r="C3272">
        <f>Sinistrés!X3277</f>
        <v>2329.6</v>
      </c>
      <c r="D3272">
        <f>Sinistrés!L3277</f>
        <v>17.100000000000001</v>
      </c>
      <c r="E3272">
        <f>Sinistrés!M3277</f>
        <v>6</v>
      </c>
      <c r="F3272">
        <f t="shared" si="102"/>
        <v>0.1086048454469507</v>
      </c>
      <c r="G3272">
        <f t="shared" si="103"/>
        <v>0.35087719298245612</v>
      </c>
    </row>
    <row r="3273" spans="1:7" hidden="1">
      <c r="A3273" t="str">
        <f>Sinistrés!H3278</f>
        <v>Colza d'hiver</v>
      </c>
      <c r="B3273">
        <f>Sinistrés!J3278</f>
        <v>13770.18</v>
      </c>
      <c r="C3273">
        <f>Sinistrés!X3278</f>
        <v>0</v>
      </c>
      <c r="D3273">
        <f>Sinistrés!L3278</f>
        <v>15.28</v>
      </c>
      <c r="E3273">
        <f>Sinistrés!M3278</f>
        <v>15.28</v>
      </c>
      <c r="F3273">
        <f t="shared" si="102"/>
        <v>0</v>
      </c>
      <c r="G3273">
        <f t="shared" si="103"/>
        <v>1</v>
      </c>
    </row>
    <row r="3274" spans="1:7" hidden="1">
      <c r="A3274" t="str">
        <f>Sinistrés!H3279</f>
        <v>Blé tendre d'hiver</v>
      </c>
      <c r="B3274">
        <f>Sinistrés!J3279</f>
        <v>31568.87</v>
      </c>
      <c r="C3274">
        <f>Sinistrés!X3279</f>
        <v>0</v>
      </c>
      <c r="D3274">
        <f>Sinistrés!L3279</f>
        <v>29.15</v>
      </c>
      <c r="E3274">
        <f>Sinistrés!M3279</f>
        <v>29.14</v>
      </c>
      <c r="F3274">
        <f t="shared" si="102"/>
        <v>0</v>
      </c>
      <c r="G3274">
        <f t="shared" si="103"/>
        <v>0.99965694682675821</v>
      </c>
    </row>
    <row r="3275" spans="1:7" hidden="1">
      <c r="A3275" t="str">
        <f>Sinistrés!H3280</f>
        <v>Blé tendre d'hiver BIO</v>
      </c>
      <c r="B3275">
        <f>Sinistrés!J3280</f>
        <v>65472.3</v>
      </c>
      <c r="C3275">
        <f>Sinistrés!X3280</f>
        <v>4439.59</v>
      </c>
      <c r="D3275">
        <f>Sinistrés!L3280</f>
        <v>53.1</v>
      </c>
      <c r="E3275">
        <f>Sinistrés!M3280</f>
        <v>17</v>
      </c>
      <c r="F3275">
        <f t="shared" si="102"/>
        <v>6.7808676340986945E-2</v>
      </c>
      <c r="G3275">
        <f t="shared" si="103"/>
        <v>0.32015065913370999</v>
      </c>
    </row>
    <row r="3276" spans="1:7" hidden="1">
      <c r="A3276" t="str">
        <f>Sinistrés!H3281</f>
        <v>Colza d'hiver BIO</v>
      </c>
      <c r="B3276">
        <f>Sinistrés!J3281</f>
        <v>27936</v>
      </c>
      <c r="C3276">
        <f>Sinistrés!X3281</f>
        <v>2218.4</v>
      </c>
      <c r="D3276">
        <f>Sinistrés!L3281</f>
        <v>23.28</v>
      </c>
      <c r="E3276">
        <f>Sinistrés!M3281</f>
        <v>4</v>
      </c>
      <c r="F3276">
        <f t="shared" si="102"/>
        <v>7.9410080183276069E-2</v>
      </c>
      <c r="G3276">
        <f t="shared" si="103"/>
        <v>0.1718213058419244</v>
      </c>
    </row>
    <row r="3277" spans="1:7">
      <c r="A3277" t="str">
        <f>Sinistrés!H3282</f>
        <v>Sorgho</v>
      </c>
      <c r="B3277">
        <f>Sinistrés!J3282</f>
        <v>10877.69</v>
      </c>
      <c r="C3277">
        <f>Sinistrés!X3282</f>
        <v>3012.21</v>
      </c>
      <c r="D3277">
        <f>Sinistrés!L3282</f>
        <v>11.83</v>
      </c>
      <c r="E3277">
        <f>Sinistrés!M3282</f>
        <v>11.83</v>
      </c>
      <c r="F3277">
        <f t="shared" si="102"/>
        <v>0.27691633058121712</v>
      </c>
      <c r="G3277">
        <f t="shared" si="103"/>
        <v>1</v>
      </c>
    </row>
    <row r="3278" spans="1:7" hidden="1">
      <c r="A3278" t="str">
        <f>Sinistrés!H3283</f>
        <v>Tournesol</v>
      </c>
      <c r="B3278">
        <f>Sinistrés!J3283</f>
        <v>16615.2</v>
      </c>
      <c r="C3278">
        <f>Sinistrés!X3283</f>
        <v>0</v>
      </c>
      <c r="D3278">
        <f>Sinistrés!L3283</f>
        <v>19.78</v>
      </c>
      <c r="E3278">
        <f>Sinistrés!M3283</f>
        <v>19.78</v>
      </c>
      <c r="F3278">
        <f t="shared" si="102"/>
        <v>0</v>
      </c>
      <c r="G3278">
        <f t="shared" si="103"/>
        <v>1</v>
      </c>
    </row>
    <row r="3279" spans="1:7" hidden="1">
      <c r="A3279" t="str">
        <f>Sinistrés!H3284</f>
        <v>Maïs grain irrigué</v>
      </c>
      <c r="B3279">
        <f>Sinistrés!J3284</f>
        <v>105402</v>
      </c>
      <c r="C3279">
        <f>Sinistrés!X3284</f>
        <v>0</v>
      </c>
      <c r="D3279">
        <f>Sinistrés!L3284</f>
        <v>47.91</v>
      </c>
      <c r="E3279">
        <f>Sinistrés!M3284</f>
        <v>47.91</v>
      </c>
      <c r="F3279">
        <f t="shared" si="102"/>
        <v>0</v>
      </c>
      <c r="G3279">
        <f t="shared" si="103"/>
        <v>1</v>
      </c>
    </row>
    <row r="3280" spans="1:7" hidden="1">
      <c r="A3280" t="str">
        <f>Sinistrés!H3285</f>
        <v>Tournesol</v>
      </c>
      <c r="B3280">
        <f>Sinistrés!J3285</f>
        <v>18262.8</v>
      </c>
      <c r="C3280">
        <f>Sinistrés!X3285</f>
        <v>0</v>
      </c>
      <c r="D3280">
        <f>Sinistrés!L3285</f>
        <v>16.91</v>
      </c>
      <c r="E3280">
        <f>Sinistrés!M3285</f>
        <v>16.91</v>
      </c>
      <c r="F3280">
        <f t="shared" si="102"/>
        <v>0</v>
      </c>
      <c r="G3280">
        <f t="shared" si="103"/>
        <v>1</v>
      </c>
    </row>
    <row r="3281" spans="1:7" hidden="1">
      <c r="A3281" t="str">
        <f>Sinistrés!H3286</f>
        <v>Tournesol</v>
      </c>
      <c r="B3281">
        <f>Sinistrés!J3286</f>
        <v>23414.400000000001</v>
      </c>
      <c r="C3281">
        <f>Sinistrés!X3286</f>
        <v>0</v>
      </c>
      <c r="D3281">
        <f>Sinistrés!L3286</f>
        <v>21.68</v>
      </c>
      <c r="E3281">
        <f>Sinistrés!M3286</f>
        <v>21.68</v>
      </c>
      <c r="F3281">
        <f t="shared" si="102"/>
        <v>0</v>
      </c>
      <c r="G3281">
        <f t="shared" si="103"/>
        <v>1</v>
      </c>
    </row>
    <row r="3282" spans="1:7">
      <c r="A3282" t="str">
        <f>Sinistrés!H3287</f>
        <v>Blé de force</v>
      </c>
      <c r="B3282">
        <f>Sinistrés!J3287</f>
        <v>10914.96</v>
      </c>
      <c r="C3282">
        <f>Sinistrés!X3287</f>
        <v>1753.79</v>
      </c>
      <c r="D3282">
        <f>Sinistrés!L3287</f>
        <v>8.76</v>
      </c>
      <c r="E3282">
        <f>Sinistrés!M3287</f>
        <v>8.76</v>
      </c>
      <c r="F3282">
        <f t="shared" si="102"/>
        <v>0.16067763876367849</v>
      </c>
      <c r="G3282">
        <f t="shared" si="103"/>
        <v>1</v>
      </c>
    </row>
    <row r="3283" spans="1:7">
      <c r="A3283" t="str">
        <f>Sinistrés!H3288</f>
        <v>Blé tendre d'hiver</v>
      </c>
      <c r="B3283">
        <f>Sinistrés!J3288</f>
        <v>15946.31</v>
      </c>
      <c r="C3283">
        <f>Sinistrés!X3288</f>
        <v>1880.51</v>
      </c>
      <c r="D3283">
        <f>Sinistrés!L3288</f>
        <v>14.22</v>
      </c>
      <c r="E3283">
        <f>Sinistrés!M3288</f>
        <v>14.22</v>
      </c>
      <c r="F3283">
        <f t="shared" si="102"/>
        <v>0.11792759578861818</v>
      </c>
      <c r="G3283">
        <f t="shared" si="103"/>
        <v>1</v>
      </c>
    </row>
    <row r="3284" spans="1:7">
      <c r="A3284" t="str">
        <f>Sinistrés!H3289</f>
        <v>Colza d'hiver</v>
      </c>
      <c r="B3284">
        <f>Sinistrés!J3289</f>
        <v>15121.73</v>
      </c>
      <c r="C3284">
        <f>Sinistrés!X3289</f>
        <v>7042.96</v>
      </c>
      <c r="D3284">
        <f>Sinistrés!L3289</f>
        <v>13</v>
      </c>
      <c r="E3284">
        <f>Sinistrés!M3289</f>
        <v>13</v>
      </c>
      <c r="F3284">
        <f t="shared" si="102"/>
        <v>0.4657509425178204</v>
      </c>
      <c r="G3284">
        <f t="shared" si="103"/>
        <v>1</v>
      </c>
    </row>
    <row r="3285" spans="1:7">
      <c r="A3285" t="str">
        <f>Sinistrés!H3290</f>
        <v>Tournesol</v>
      </c>
      <c r="B3285">
        <f>Sinistrés!J3290</f>
        <v>155910</v>
      </c>
      <c r="C3285">
        <f>Sinistrés!X3290</f>
        <v>70823</v>
      </c>
      <c r="D3285">
        <f>Sinistrés!L3290</f>
        <v>103.94</v>
      </c>
      <c r="E3285">
        <f>Sinistrés!M3290</f>
        <v>103.94</v>
      </c>
      <c r="F3285">
        <f t="shared" si="102"/>
        <v>0.45425566031684944</v>
      </c>
      <c r="G3285">
        <f t="shared" si="103"/>
        <v>1</v>
      </c>
    </row>
    <row r="3286" spans="1:7">
      <c r="A3286" t="str">
        <f>Sinistrés!H3291</f>
        <v>Soja</v>
      </c>
      <c r="B3286">
        <f>Sinistrés!J3291</f>
        <v>16785</v>
      </c>
      <c r="C3286">
        <f>Sinistrés!X3291</f>
        <v>2797.5</v>
      </c>
      <c r="D3286">
        <f>Sinistrés!L3291</f>
        <v>11.19</v>
      </c>
      <c r="E3286">
        <f>Sinistrés!M3291</f>
        <v>11.19</v>
      </c>
      <c r="F3286">
        <f t="shared" si="102"/>
        <v>0.16666666666666666</v>
      </c>
      <c r="G3286">
        <f t="shared" si="103"/>
        <v>1</v>
      </c>
    </row>
    <row r="3287" spans="1:7" hidden="1">
      <c r="A3287" t="str">
        <f>Sinistrés!H3292</f>
        <v>Sorgho</v>
      </c>
      <c r="B3287">
        <f>Sinistrés!J3292</f>
        <v>49584</v>
      </c>
      <c r="C3287">
        <f>Sinistrés!X3292</f>
        <v>0</v>
      </c>
      <c r="D3287">
        <f>Sinistrés!L3292</f>
        <v>41.32</v>
      </c>
      <c r="E3287">
        <f>Sinistrés!M3292</f>
        <v>41.32</v>
      </c>
      <c r="F3287">
        <f t="shared" si="102"/>
        <v>0</v>
      </c>
      <c r="G3287">
        <f t="shared" si="103"/>
        <v>1</v>
      </c>
    </row>
    <row r="3288" spans="1:7">
      <c r="A3288" t="str">
        <f>Sinistrés!H3293</f>
        <v>Triticale</v>
      </c>
      <c r="B3288">
        <f>Sinistrés!J3293</f>
        <v>3426.5</v>
      </c>
      <c r="C3288">
        <f>Sinistrés!X3293</f>
        <v>205.59</v>
      </c>
      <c r="D3288">
        <f>Sinistrés!L3293</f>
        <v>3.85</v>
      </c>
      <c r="E3288">
        <f>Sinistrés!M3293</f>
        <v>3.85</v>
      </c>
      <c r="F3288">
        <f t="shared" si="102"/>
        <v>0.06</v>
      </c>
      <c r="G3288">
        <f t="shared" si="103"/>
        <v>1</v>
      </c>
    </row>
    <row r="3289" spans="1:7" hidden="1">
      <c r="A3289" t="str">
        <f>Sinistrés!H3294</f>
        <v>Vigne à raisin de cuve (VCU1)</v>
      </c>
      <c r="B3289">
        <f>Sinistrés!J3294</f>
        <v>2981523.77</v>
      </c>
      <c r="C3289">
        <f>Sinistrés!X3294</f>
        <v>0</v>
      </c>
      <c r="D3289">
        <f>Sinistrés!L3294</f>
        <v>134.66999999999999</v>
      </c>
      <c r="E3289">
        <f>Sinistrés!M3294</f>
        <v>36.799999999999997</v>
      </c>
      <c r="F3289">
        <f t="shared" si="102"/>
        <v>0</v>
      </c>
      <c r="G3289">
        <f t="shared" si="103"/>
        <v>0.273260562857355</v>
      </c>
    </row>
    <row r="3290" spans="1:7">
      <c r="A3290" t="str">
        <f>Sinistrés!H3295</f>
        <v>Avoine d'hiver</v>
      </c>
      <c r="B3290">
        <f>Sinistrés!J3295</f>
        <v>13938.75</v>
      </c>
      <c r="C3290">
        <f>Sinistrés!X3295</f>
        <v>5376.38</v>
      </c>
      <c r="D3290">
        <f>Sinistrés!L3295</f>
        <v>26.55</v>
      </c>
      <c r="E3290">
        <f>Sinistrés!M3295</f>
        <v>26.55</v>
      </c>
      <c r="F3290">
        <f t="shared" si="102"/>
        <v>0.38571464442650882</v>
      </c>
      <c r="G3290">
        <f t="shared" si="103"/>
        <v>1</v>
      </c>
    </row>
    <row r="3291" spans="1:7" hidden="1">
      <c r="A3291" t="str">
        <f>Sinistrés!H3296</f>
        <v>Sorgho</v>
      </c>
      <c r="B3291">
        <f>Sinistrés!J3296</f>
        <v>13243.99</v>
      </c>
      <c r="C3291">
        <f>Sinistrés!X3296</f>
        <v>0</v>
      </c>
      <c r="D3291">
        <f>Sinistrés!L3296</f>
        <v>13.74</v>
      </c>
      <c r="E3291">
        <f>Sinistrés!M3296</f>
        <v>13.74</v>
      </c>
      <c r="F3291">
        <f t="shared" si="102"/>
        <v>0</v>
      </c>
      <c r="G3291">
        <f t="shared" si="103"/>
        <v>1</v>
      </c>
    </row>
    <row r="3292" spans="1:7" hidden="1">
      <c r="A3292" t="str">
        <f>Sinistrés!H3297</f>
        <v>Tournesol</v>
      </c>
      <c r="B3292">
        <f>Sinistrés!J3297</f>
        <v>16872</v>
      </c>
      <c r="C3292">
        <f>Sinistrés!X3297</f>
        <v>0</v>
      </c>
      <c r="D3292">
        <f>Sinistrés!L3297</f>
        <v>27.75</v>
      </c>
      <c r="E3292">
        <f>Sinistrés!M3297</f>
        <v>27.75</v>
      </c>
      <c r="F3292">
        <f t="shared" si="102"/>
        <v>0</v>
      </c>
      <c r="G3292">
        <f t="shared" si="103"/>
        <v>1</v>
      </c>
    </row>
    <row r="3293" spans="1:7">
      <c r="A3293" t="str">
        <f>Sinistrés!H3298</f>
        <v>Triticale</v>
      </c>
      <c r="B3293">
        <f>Sinistrés!J3298</f>
        <v>9972.2000000000007</v>
      </c>
      <c r="C3293">
        <f>Sinistrés!X3298</f>
        <v>5572.77</v>
      </c>
      <c r="D3293">
        <f>Sinistrés!L3298</f>
        <v>14</v>
      </c>
      <c r="E3293">
        <f>Sinistrés!M3298</f>
        <v>14</v>
      </c>
      <c r="F3293">
        <f t="shared" si="102"/>
        <v>0.55883054892601436</v>
      </c>
      <c r="G3293">
        <f t="shared" si="103"/>
        <v>1</v>
      </c>
    </row>
    <row r="3294" spans="1:7" hidden="1">
      <c r="A3294" t="str">
        <f>Sinistrés!H3299</f>
        <v>Avoine d'hiver</v>
      </c>
      <c r="B3294">
        <f>Sinistrés!J3299</f>
        <v>10252.799999999999</v>
      </c>
      <c r="C3294">
        <f>Sinistrés!X3299</f>
        <v>0</v>
      </c>
      <c r="D3294">
        <f>Sinistrés!L3299</f>
        <v>14.24</v>
      </c>
      <c r="E3294">
        <f>Sinistrés!M3299</f>
        <v>14.24</v>
      </c>
      <c r="F3294">
        <f t="shared" si="102"/>
        <v>0</v>
      </c>
      <c r="G3294">
        <f t="shared" si="103"/>
        <v>1</v>
      </c>
    </row>
    <row r="3295" spans="1:7" hidden="1">
      <c r="A3295" t="str">
        <f>Sinistrés!H3300</f>
        <v>Blé tendre d'hiver</v>
      </c>
      <c r="B3295">
        <f>Sinistrés!J3300</f>
        <v>74780.350000000006</v>
      </c>
      <c r="C3295">
        <f>Sinistrés!X3300</f>
        <v>0</v>
      </c>
      <c r="D3295">
        <f>Sinistrés!L3300</f>
        <v>68.33</v>
      </c>
      <c r="E3295">
        <f>Sinistrés!M3300</f>
        <v>68.33</v>
      </c>
      <c r="F3295">
        <f t="shared" si="102"/>
        <v>0</v>
      </c>
      <c r="G3295">
        <f t="shared" si="103"/>
        <v>1</v>
      </c>
    </row>
    <row r="3296" spans="1:7" hidden="1">
      <c r="A3296" t="str">
        <f>Sinistrés!H3301</f>
        <v>Colza d'hiver</v>
      </c>
      <c r="B3296">
        <f>Sinistrés!J3301</f>
        <v>25524.14</v>
      </c>
      <c r="C3296">
        <f>Sinistrés!X3301</f>
        <v>0</v>
      </c>
      <c r="D3296">
        <f>Sinistrés!L3301</f>
        <v>18.97</v>
      </c>
      <c r="E3296">
        <f>Sinistrés!M3301</f>
        <v>18.97</v>
      </c>
      <c r="F3296">
        <f t="shared" si="102"/>
        <v>0</v>
      </c>
      <c r="G3296">
        <f t="shared" si="103"/>
        <v>1</v>
      </c>
    </row>
    <row r="3297" spans="1:7" hidden="1">
      <c r="A3297" t="str">
        <f>Sinistrés!H3302</f>
        <v>Lin oléagineux</v>
      </c>
      <c r="B3297">
        <f>Sinistrés!J3302</f>
        <v>6005.25</v>
      </c>
      <c r="C3297">
        <f>Sinistrés!X3302</f>
        <v>0</v>
      </c>
      <c r="D3297">
        <f>Sinistrés!L3302</f>
        <v>8.5</v>
      </c>
      <c r="E3297">
        <f>Sinistrés!M3302</f>
        <v>8.5</v>
      </c>
      <c r="F3297">
        <f t="shared" si="102"/>
        <v>0</v>
      </c>
      <c r="G3297">
        <f t="shared" si="103"/>
        <v>1</v>
      </c>
    </row>
    <row r="3298" spans="1:7" hidden="1">
      <c r="A3298" t="str">
        <f>Sinistrés!H3303</f>
        <v>Orge de printemps</v>
      </c>
      <c r="B3298">
        <f>Sinistrés!J3303</f>
        <v>4312.3</v>
      </c>
      <c r="C3298">
        <f>Sinistrés!X3303</f>
        <v>0</v>
      </c>
      <c r="D3298">
        <f>Sinistrés!L3303</f>
        <v>4.3899999999999997</v>
      </c>
      <c r="E3298">
        <f>Sinistrés!M3303</f>
        <v>4.3899999999999997</v>
      </c>
      <c r="F3298">
        <f t="shared" si="102"/>
        <v>0</v>
      </c>
      <c r="G3298">
        <f t="shared" si="103"/>
        <v>1</v>
      </c>
    </row>
    <row r="3299" spans="1:7" hidden="1">
      <c r="A3299" t="str">
        <f>Sinistrés!H3304</f>
        <v>Orge d'hiver</v>
      </c>
      <c r="B3299">
        <f>Sinistrés!J3304</f>
        <v>40884.1</v>
      </c>
      <c r="C3299">
        <f>Sinistrés!X3304</f>
        <v>0</v>
      </c>
      <c r="D3299">
        <f>Sinistrés!L3304</f>
        <v>41.57</v>
      </c>
      <c r="E3299">
        <f>Sinistrés!M3304</f>
        <v>41.57</v>
      </c>
      <c r="F3299">
        <f t="shared" si="102"/>
        <v>0</v>
      </c>
      <c r="G3299">
        <f t="shared" si="103"/>
        <v>1</v>
      </c>
    </row>
    <row r="3300" spans="1:7" hidden="1">
      <c r="A3300" t="str">
        <f>Sinistrés!H3305</f>
        <v>Triticale</v>
      </c>
      <c r="B3300">
        <f>Sinistrés!J3305</f>
        <v>9573.4500000000007</v>
      </c>
      <c r="C3300">
        <f>Sinistrés!X3305</f>
        <v>0</v>
      </c>
      <c r="D3300">
        <f>Sinistrés!L3305</f>
        <v>14.26</v>
      </c>
      <c r="E3300">
        <f>Sinistrés!M3305</f>
        <v>14.26</v>
      </c>
      <c r="F3300">
        <f t="shared" si="102"/>
        <v>0</v>
      </c>
      <c r="G3300">
        <f t="shared" si="103"/>
        <v>1</v>
      </c>
    </row>
    <row r="3301" spans="1:7">
      <c r="A3301" t="str">
        <f>Sinistrés!H3306</f>
        <v>Blé tendre d'hiver</v>
      </c>
      <c r="B3301">
        <f>Sinistrés!J3306</f>
        <v>35669.32</v>
      </c>
      <c r="C3301">
        <f>Sinistrés!X3306</f>
        <v>12731.46</v>
      </c>
      <c r="D3301">
        <f>Sinistrés!L3306</f>
        <v>31.51</v>
      </c>
      <c r="E3301">
        <f>Sinistrés!M3306</f>
        <v>31.51</v>
      </c>
      <c r="F3301">
        <f t="shared" si="102"/>
        <v>0.35693026948649426</v>
      </c>
      <c r="G3301">
        <f t="shared" si="103"/>
        <v>1</v>
      </c>
    </row>
    <row r="3302" spans="1:7" hidden="1">
      <c r="A3302" t="str">
        <f>Sinistrés!H3307</f>
        <v>Tournesol</v>
      </c>
      <c r="B3302">
        <f>Sinistrés!J3307</f>
        <v>36520</v>
      </c>
      <c r="C3302">
        <f>Sinistrés!X3307</f>
        <v>0</v>
      </c>
      <c r="D3302">
        <f>Sinistrés!L3307</f>
        <v>45.65</v>
      </c>
      <c r="E3302">
        <f>Sinistrés!M3307</f>
        <v>45.65</v>
      </c>
      <c r="F3302">
        <f t="shared" si="102"/>
        <v>0</v>
      </c>
      <c r="G3302">
        <f t="shared" si="103"/>
        <v>1</v>
      </c>
    </row>
    <row r="3303" spans="1:7">
      <c r="A3303" t="str">
        <f>Sinistrés!H3308</f>
        <v>Colza d'hiver</v>
      </c>
      <c r="B3303">
        <f>Sinistrés!J3308</f>
        <v>35579.120000000003</v>
      </c>
      <c r="C3303">
        <f>Sinistrés!X3308</f>
        <v>1708.25</v>
      </c>
      <c r="D3303">
        <f>Sinistrés!L3308</f>
        <v>21.17</v>
      </c>
      <c r="E3303">
        <f>Sinistrés!M3308</f>
        <v>12</v>
      </c>
      <c r="F3303">
        <f t="shared" si="102"/>
        <v>4.8012710825900133E-2</v>
      </c>
      <c r="G3303">
        <f t="shared" si="103"/>
        <v>0.56683986773736417</v>
      </c>
    </row>
    <row r="3304" spans="1:7" hidden="1">
      <c r="A3304" t="str">
        <f>Sinistrés!H3309</f>
        <v>Soja BIO</v>
      </c>
      <c r="B3304">
        <f>Sinistrés!J3309</f>
        <v>15873</v>
      </c>
      <c r="C3304">
        <f>Sinistrés!X3309</f>
        <v>1506.92</v>
      </c>
      <c r="D3304">
        <f>Sinistrés!L3309</f>
        <v>28.6</v>
      </c>
      <c r="E3304">
        <f>Sinistrés!M3309</f>
        <v>2.85</v>
      </c>
      <c r="F3304">
        <f t="shared" si="102"/>
        <v>9.4936054936054934E-2</v>
      </c>
      <c r="G3304">
        <f t="shared" si="103"/>
        <v>9.9650349650349648E-2</v>
      </c>
    </row>
    <row r="3305" spans="1:7">
      <c r="A3305" t="str">
        <f>Sinistrés!H3310</f>
        <v>Avoine d'hiver</v>
      </c>
      <c r="B3305">
        <f>Sinistrés!J3310</f>
        <v>3760.02</v>
      </c>
      <c r="C3305">
        <f>Sinistrés!X3310</f>
        <v>693.2</v>
      </c>
      <c r="D3305">
        <f>Sinistrés!L3310</f>
        <v>5.94</v>
      </c>
      <c r="E3305">
        <f>Sinistrés!M3310</f>
        <v>5.94</v>
      </c>
      <c r="F3305">
        <f t="shared" si="102"/>
        <v>0.18436072148552402</v>
      </c>
      <c r="G3305">
        <f t="shared" si="103"/>
        <v>1</v>
      </c>
    </row>
    <row r="3306" spans="1:7">
      <c r="A3306" t="str">
        <f>Sinistrés!H3311</f>
        <v>Blé tendre d'hiver</v>
      </c>
      <c r="B3306">
        <f>Sinistrés!J3311</f>
        <v>72303.62</v>
      </c>
      <c r="C3306">
        <f>Sinistrés!X3311</f>
        <v>16595.919999999998</v>
      </c>
      <c r="D3306">
        <f>Sinistrés!L3311</f>
        <v>58.86</v>
      </c>
      <c r="E3306">
        <f>Sinistrés!M3311</f>
        <v>36.43</v>
      </c>
      <c r="F3306">
        <f t="shared" si="102"/>
        <v>0.22953096954205057</v>
      </c>
      <c r="G3306">
        <f t="shared" si="103"/>
        <v>0.61892626571525655</v>
      </c>
    </row>
    <row r="3307" spans="1:7">
      <c r="A3307" t="str">
        <f>Sinistrés!H3312</f>
        <v>Tournesol</v>
      </c>
      <c r="B3307">
        <f>Sinistrés!J3312</f>
        <v>64085.36</v>
      </c>
      <c r="C3307">
        <f>Sinistrés!X3312</f>
        <v>4702.22</v>
      </c>
      <c r="D3307">
        <f>Sinistrés!L3312</f>
        <v>74.069999999999993</v>
      </c>
      <c r="E3307">
        <f>Sinistrés!M3312</f>
        <v>74.069999999999993</v>
      </c>
      <c r="F3307">
        <f t="shared" si="102"/>
        <v>7.3374324494705184E-2</v>
      </c>
      <c r="G3307">
        <f t="shared" si="103"/>
        <v>1</v>
      </c>
    </row>
    <row r="3308" spans="1:7">
      <c r="A3308" t="str">
        <f>Sinistrés!H3313</f>
        <v>Maïs grain non irrigué</v>
      </c>
      <c r="B3308">
        <f>Sinistrés!J3313</f>
        <v>14843.14</v>
      </c>
      <c r="C3308">
        <f>Sinistrés!X3313</f>
        <v>5986.27</v>
      </c>
      <c r="D3308">
        <f>Sinistrés!L3313</f>
        <v>14.08</v>
      </c>
      <c r="E3308">
        <f>Sinistrés!M3313</f>
        <v>14.08</v>
      </c>
      <c r="F3308">
        <f t="shared" si="102"/>
        <v>0.40330213148969829</v>
      </c>
      <c r="G3308">
        <f t="shared" si="103"/>
        <v>1</v>
      </c>
    </row>
    <row r="3309" spans="1:7">
      <c r="A3309" t="str">
        <f>Sinistrés!H3314</f>
        <v>Sorgho</v>
      </c>
      <c r="B3309">
        <f>Sinistrés!J3314</f>
        <v>14926.46</v>
      </c>
      <c r="C3309">
        <f>Sinistrés!X3314</f>
        <v>4663.8900000000003</v>
      </c>
      <c r="D3309">
        <f>Sinistrés!L3314</f>
        <v>18.43</v>
      </c>
      <c r="E3309">
        <f>Sinistrés!M3314</f>
        <v>18.43</v>
      </c>
      <c r="F3309">
        <f t="shared" si="102"/>
        <v>0.31245787681741022</v>
      </c>
      <c r="G3309">
        <f t="shared" si="103"/>
        <v>1</v>
      </c>
    </row>
    <row r="3310" spans="1:7">
      <c r="A3310" t="str">
        <f>Sinistrés!H3315</f>
        <v>Tournesol</v>
      </c>
      <c r="B3310">
        <f>Sinistrés!J3315</f>
        <v>36216.18</v>
      </c>
      <c r="C3310">
        <f>Sinistrés!X3315</f>
        <v>7729.29</v>
      </c>
      <c r="D3310">
        <f>Sinistrés!L3315</f>
        <v>42.21</v>
      </c>
      <c r="E3310">
        <f>Sinistrés!M3315</f>
        <v>42.21</v>
      </c>
      <c r="F3310">
        <f t="shared" si="102"/>
        <v>0.2134209074507582</v>
      </c>
      <c r="G3310">
        <f t="shared" si="103"/>
        <v>1</v>
      </c>
    </row>
    <row r="3311" spans="1:7">
      <c r="A3311" t="str">
        <f>Sinistrés!H3316</f>
        <v>Colza d'hiver</v>
      </c>
      <c r="B3311">
        <f>Sinistrés!J3316</f>
        <v>24772.5</v>
      </c>
      <c r="C3311">
        <f>Sinistrés!X3316</f>
        <v>15612.75</v>
      </c>
      <c r="D3311">
        <f>Sinistrés!L3316</f>
        <v>13.5</v>
      </c>
      <c r="E3311">
        <f>Sinistrés!M3316</f>
        <v>13.5</v>
      </c>
      <c r="F3311">
        <f t="shared" si="102"/>
        <v>0.63024523160762946</v>
      </c>
      <c r="G3311">
        <f t="shared" si="103"/>
        <v>1</v>
      </c>
    </row>
    <row r="3312" spans="1:7" hidden="1">
      <c r="A3312" t="str">
        <f>Sinistrés!H3317</f>
        <v>Triticale SEMENCES</v>
      </c>
      <c r="B3312">
        <f>Sinistrés!J3317</f>
        <v>7200</v>
      </c>
      <c r="C3312">
        <f>Sinistrés!X3317</f>
        <v>2779.2</v>
      </c>
      <c r="D3312">
        <f>Sinistrés!L3317</f>
        <v>9</v>
      </c>
      <c r="E3312">
        <f>Sinistrés!M3317</f>
        <v>9</v>
      </c>
      <c r="F3312">
        <f t="shared" si="102"/>
        <v>0.38599999999999995</v>
      </c>
      <c r="G3312">
        <f t="shared" si="103"/>
        <v>1</v>
      </c>
    </row>
    <row r="3313" spans="1:7">
      <c r="A3313" t="str">
        <f>Sinistrés!H3318</f>
        <v>Maïs grain irrigué</v>
      </c>
      <c r="B3313">
        <f>Sinistrés!J3318</f>
        <v>81360</v>
      </c>
      <c r="C3313">
        <f>Sinistrés!X3318</f>
        <v>58447.5</v>
      </c>
      <c r="D3313">
        <f>Sinistrés!L3318</f>
        <v>40</v>
      </c>
      <c r="E3313">
        <f>Sinistrés!M3318</f>
        <v>40</v>
      </c>
      <c r="F3313">
        <f t="shared" si="102"/>
        <v>0.71838126843657812</v>
      </c>
      <c r="G3313">
        <f t="shared" si="103"/>
        <v>1</v>
      </c>
    </row>
    <row r="3314" spans="1:7">
      <c r="A3314" t="str">
        <f>Sinistrés!H3319</f>
        <v>Soja</v>
      </c>
      <c r="B3314">
        <f>Sinistrés!J3319</f>
        <v>35672</v>
      </c>
      <c r="C3314">
        <f>Sinistrés!X3319</f>
        <v>25120.799999999999</v>
      </c>
      <c r="D3314">
        <f>Sinistrés!L3319</f>
        <v>26</v>
      </c>
      <c r="E3314">
        <f>Sinistrés!M3319</f>
        <v>26</v>
      </c>
      <c r="F3314">
        <f t="shared" si="102"/>
        <v>0.70421619197129404</v>
      </c>
      <c r="G3314">
        <f t="shared" si="103"/>
        <v>1</v>
      </c>
    </row>
    <row r="3315" spans="1:7">
      <c r="A3315" t="str">
        <f>Sinistrés!H3320</f>
        <v>Blé tendre d'hiver</v>
      </c>
      <c r="B3315">
        <f>Sinistrés!J3320</f>
        <v>10741</v>
      </c>
      <c r="C3315">
        <f>Sinistrés!X3320</f>
        <v>2122.9</v>
      </c>
      <c r="D3315">
        <f>Sinistrés!L3320</f>
        <v>11.5</v>
      </c>
      <c r="E3315">
        <f>Sinistrés!M3320</f>
        <v>11.5</v>
      </c>
      <c r="F3315">
        <f t="shared" si="102"/>
        <v>0.19764453961456105</v>
      </c>
      <c r="G3315">
        <f t="shared" si="103"/>
        <v>1</v>
      </c>
    </row>
    <row r="3316" spans="1:7" hidden="1">
      <c r="A3316" t="str">
        <f>Sinistrés!H3321</f>
        <v>Soja BIO</v>
      </c>
      <c r="B3316">
        <f>Sinistrés!J3321</f>
        <v>17091.41</v>
      </c>
      <c r="C3316">
        <f>Sinistrés!X3321</f>
        <v>3658.4</v>
      </c>
      <c r="D3316">
        <f>Sinistrés!L3321</f>
        <v>15.63</v>
      </c>
      <c r="E3316">
        <f>Sinistrés!M3321</f>
        <v>15.63</v>
      </c>
      <c r="F3316">
        <f t="shared" si="102"/>
        <v>0.21404904569020344</v>
      </c>
      <c r="G3316">
        <f t="shared" si="103"/>
        <v>1</v>
      </c>
    </row>
    <row r="3317" spans="1:7" hidden="1">
      <c r="A3317" t="str">
        <f>Sinistrés!H3322</f>
        <v>Tournesol BIO</v>
      </c>
      <c r="B3317">
        <f>Sinistrés!J3322</f>
        <v>22356</v>
      </c>
      <c r="C3317">
        <f>Sinistrés!X3322</f>
        <v>0</v>
      </c>
      <c r="D3317">
        <f>Sinistrés!L3322</f>
        <v>33.119999999999997</v>
      </c>
      <c r="E3317">
        <f>Sinistrés!M3322</f>
        <v>33.119999999999997</v>
      </c>
      <c r="F3317">
        <f t="shared" si="102"/>
        <v>0</v>
      </c>
      <c r="G3317">
        <f t="shared" si="103"/>
        <v>1</v>
      </c>
    </row>
    <row r="3318" spans="1:7" hidden="1">
      <c r="A3318" t="str">
        <f>Sinistrés!H3323</f>
        <v>Blé tendre d'hiver BIO</v>
      </c>
      <c r="B3318">
        <f>Sinistrés!J3323</f>
        <v>37975</v>
      </c>
      <c r="C3318">
        <f>Sinistrés!X3323</f>
        <v>3762.15</v>
      </c>
      <c r="D3318">
        <f>Sinistrés!L3323</f>
        <v>43.4</v>
      </c>
      <c r="E3318">
        <f>Sinistrés!M3323</f>
        <v>40</v>
      </c>
      <c r="F3318">
        <f t="shared" si="102"/>
        <v>9.9069124423963137E-2</v>
      </c>
      <c r="G3318">
        <f t="shared" si="103"/>
        <v>0.92165898617511521</v>
      </c>
    </row>
    <row r="3319" spans="1:7" hidden="1">
      <c r="A3319" t="str">
        <f>Sinistrés!H3324</f>
        <v>Lentilles BIO</v>
      </c>
      <c r="B3319">
        <f>Sinistrés!J3324</f>
        <v>5923.2</v>
      </c>
      <c r="C3319">
        <f>Sinistrés!X3324</f>
        <v>854.4</v>
      </c>
      <c r="D3319">
        <f>Sinistrés!L3324</f>
        <v>12.34</v>
      </c>
      <c r="E3319">
        <f>Sinistrés!M3324</f>
        <v>12.34</v>
      </c>
      <c r="F3319">
        <f t="shared" si="102"/>
        <v>0.14424635332252836</v>
      </c>
      <c r="G3319">
        <f t="shared" si="103"/>
        <v>1</v>
      </c>
    </row>
    <row r="3320" spans="1:7" hidden="1">
      <c r="A3320" t="str">
        <f>Sinistrés!H3325</f>
        <v>Orge d'hiver</v>
      </c>
      <c r="B3320">
        <f>Sinistrés!J3325</f>
        <v>3315.88</v>
      </c>
      <c r="C3320">
        <f>Sinistrés!X3325</f>
        <v>0</v>
      </c>
      <c r="D3320">
        <f>Sinistrés!L3325</f>
        <v>4.84</v>
      </c>
      <c r="E3320">
        <f>Sinistrés!M3325</f>
        <v>4.82</v>
      </c>
      <c r="F3320">
        <f t="shared" si="102"/>
        <v>0</v>
      </c>
      <c r="G3320">
        <f t="shared" si="103"/>
        <v>0.99586776859504145</v>
      </c>
    </row>
    <row r="3321" spans="1:7">
      <c r="A3321" t="str">
        <f>Sinistrés!H3326</f>
        <v>Colza d'hiver</v>
      </c>
      <c r="B3321">
        <f>Sinistrés!J3326</f>
        <v>47555.199999999997</v>
      </c>
      <c r="C3321">
        <f>Sinistrés!X3326</f>
        <v>23860.16</v>
      </c>
      <c r="D3321">
        <f>Sinistrés!L3326</f>
        <v>21.23</v>
      </c>
      <c r="E3321">
        <f>Sinistrés!M3326</f>
        <v>21.33</v>
      </c>
      <c r="F3321">
        <f t="shared" si="102"/>
        <v>0.50173608774645051</v>
      </c>
      <c r="G3321">
        <f t="shared" si="103"/>
        <v>1.0047103155911445</v>
      </c>
    </row>
    <row r="3322" spans="1:7">
      <c r="A3322" t="str">
        <f>Sinistrés!H3327</f>
        <v>Blé tendre d'hiver</v>
      </c>
      <c r="B3322">
        <f>Sinistrés!J3327</f>
        <v>68986.5</v>
      </c>
      <c r="C3322">
        <f>Sinistrés!X3327</f>
        <v>1655.68</v>
      </c>
      <c r="D3322">
        <f>Sinistrés!L3327</f>
        <v>41.81</v>
      </c>
      <c r="E3322">
        <f>Sinistrés!M3327</f>
        <v>31</v>
      </c>
      <c r="F3322">
        <f t="shared" si="102"/>
        <v>2.400005798235887E-2</v>
      </c>
      <c r="G3322">
        <f t="shared" si="103"/>
        <v>0.74144941401578568</v>
      </c>
    </row>
    <row r="3323" spans="1:7">
      <c r="A3323" t="str">
        <f>Sinistrés!H3328</f>
        <v>Orge d'hiver</v>
      </c>
      <c r="B3323">
        <f>Sinistrés!J3328</f>
        <v>70170.5</v>
      </c>
      <c r="C3323">
        <f>Sinistrés!X3328</f>
        <v>16881.18</v>
      </c>
      <c r="D3323">
        <f>Sinistrés!L3328</f>
        <v>37.840000000000003</v>
      </c>
      <c r="E3323">
        <f>Sinistrés!M3328</f>
        <v>37.840000000000003</v>
      </c>
      <c r="F3323">
        <f t="shared" si="102"/>
        <v>0.24057374537733092</v>
      </c>
      <c r="G3323">
        <f t="shared" si="103"/>
        <v>1</v>
      </c>
    </row>
    <row r="3324" spans="1:7">
      <c r="A3324" t="str">
        <f>Sinistrés!H3329</f>
        <v>Orge de printemps</v>
      </c>
      <c r="B3324">
        <f>Sinistrés!J3329</f>
        <v>92084.64</v>
      </c>
      <c r="C3324">
        <f>Sinistrés!X3329</f>
        <v>9202.27</v>
      </c>
      <c r="D3324">
        <f>Sinistrés!L3329</f>
        <v>52.44</v>
      </c>
      <c r="E3324">
        <f>Sinistrés!M3329</f>
        <v>40</v>
      </c>
      <c r="F3324">
        <f t="shared" si="102"/>
        <v>9.9932735796111061E-2</v>
      </c>
      <c r="G3324">
        <f t="shared" si="103"/>
        <v>0.76277650648360029</v>
      </c>
    </row>
    <row r="3325" spans="1:7" hidden="1">
      <c r="A3325" t="str">
        <f>Sinistrés!H3330</f>
        <v>Pois protéagineux</v>
      </c>
      <c r="B3325">
        <f>Sinistrés!J3330</f>
        <v>11094.56</v>
      </c>
      <c r="C3325">
        <f>Sinistrés!X3330</f>
        <v>0</v>
      </c>
      <c r="D3325">
        <f>Sinistrés!L3330</f>
        <v>11.54</v>
      </c>
      <c r="E3325">
        <f>Sinistrés!M3330</f>
        <v>11.5</v>
      </c>
      <c r="F3325">
        <f t="shared" si="102"/>
        <v>0</v>
      </c>
      <c r="G3325">
        <f t="shared" si="103"/>
        <v>0.99653379549393417</v>
      </c>
    </row>
    <row r="3326" spans="1:7" hidden="1">
      <c r="A3326" t="str">
        <f>Sinistrés!H3331</f>
        <v>Tournesol</v>
      </c>
      <c r="B3326">
        <f>Sinistrés!J3331</f>
        <v>10082.07</v>
      </c>
      <c r="C3326">
        <f>Sinistrés!X3331</f>
        <v>0</v>
      </c>
      <c r="D3326">
        <f>Sinistrés!L3331</f>
        <v>8.1</v>
      </c>
      <c r="E3326">
        <f>Sinistrés!M3331</f>
        <v>8.1</v>
      </c>
      <c r="F3326">
        <f t="shared" si="102"/>
        <v>0</v>
      </c>
      <c r="G3326">
        <f t="shared" si="103"/>
        <v>1</v>
      </c>
    </row>
    <row r="3327" spans="1:7">
      <c r="A3327" t="str">
        <f>Sinistrés!H3332</f>
        <v>Blé tendre d'hiver</v>
      </c>
      <c r="B3327">
        <f>Sinistrés!J3332</f>
        <v>32077.71</v>
      </c>
      <c r="C3327">
        <f>Sinistrés!X3332</f>
        <v>2935.93</v>
      </c>
      <c r="D3327">
        <f>Sinistrés!L3332</f>
        <v>25.89</v>
      </c>
      <c r="E3327">
        <f>Sinistrés!M3332</f>
        <v>25.89</v>
      </c>
      <c r="F3327">
        <f t="shared" si="102"/>
        <v>9.1525548425994252E-2</v>
      </c>
      <c r="G3327">
        <f t="shared" si="103"/>
        <v>1</v>
      </c>
    </row>
    <row r="3328" spans="1:7" hidden="1">
      <c r="A3328" t="str">
        <f>Sinistrés!H3333</f>
        <v>Soja</v>
      </c>
      <c r="B3328">
        <f>Sinistrés!J3333</f>
        <v>13518.46</v>
      </c>
      <c r="C3328">
        <f>Sinistrés!X3333</f>
        <v>0</v>
      </c>
      <c r="D3328">
        <f>Sinistrés!L3333</f>
        <v>12.01</v>
      </c>
      <c r="E3328">
        <f>Sinistrés!M3333</f>
        <v>12</v>
      </c>
      <c r="F3328">
        <f t="shared" si="102"/>
        <v>0</v>
      </c>
      <c r="G3328">
        <f t="shared" si="103"/>
        <v>0.99916736053288924</v>
      </c>
    </row>
    <row r="3329" spans="1:7">
      <c r="A3329" t="str">
        <f>Sinistrés!H3334</f>
        <v>Tournesol</v>
      </c>
      <c r="B3329">
        <f>Sinistrés!J3334</f>
        <v>26789.62</v>
      </c>
      <c r="C3329">
        <f>Sinistrés!X3334</f>
        <v>2173.25</v>
      </c>
      <c r="D3329">
        <f>Sinistrés!L3334</f>
        <v>29.53</v>
      </c>
      <c r="E3329">
        <f>Sinistrés!M3334</f>
        <v>29.53</v>
      </c>
      <c r="F3329">
        <f t="shared" si="102"/>
        <v>8.1122837875266612E-2</v>
      </c>
      <c r="G3329">
        <f t="shared" si="103"/>
        <v>1</v>
      </c>
    </row>
    <row r="3330" spans="1:7" hidden="1">
      <c r="A3330" t="str">
        <f>Sinistrés!H3335</f>
        <v>Sorgho</v>
      </c>
      <c r="B3330">
        <f>Sinistrés!J3335</f>
        <v>6132.24</v>
      </c>
      <c r="C3330">
        <f>Sinistrés!X3335</f>
        <v>0</v>
      </c>
      <c r="D3330">
        <f>Sinistrés!L3335</f>
        <v>6.68</v>
      </c>
      <c r="E3330">
        <f>Sinistrés!M3335</f>
        <v>6.68</v>
      </c>
      <c r="F3330">
        <f t="shared" si="102"/>
        <v>0</v>
      </c>
      <c r="G3330">
        <f t="shared" si="103"/>
        <v>1</v>
      </c>
    </row>
    <row r="3331" spans="1:7" hidden="1">
      <c r="A3331" t="str">
        <f>Sinistrés!H3336</f>
        <v>Tournesol</v>
      </c>
      <c r="B3331">
        <f>Sinistrés!J3336</f>
        <v>10227.879999999999</v>
      </c>
      <c r="C3331">
        <f>Sinistrés!X3336</f>
        <v>0</v>
      </c>
      <c r="D3331">
        <f>Sinistrés!L3336</f>
        <v>15.13</v>
      </c>
      <c r="E3331">
        <f>Sinistrés!M3336</f>
        <v>15.13</v>
      </c>
      <c r="F3331">
        <f t="shared" ref="F3331:F3394" si="104">C3331/B3331</f>
        <v>0</v>
      </c>
      <c r="G3331">
        <f t="shared" ref="G3331:G3394" si="105">E3331/D3331</f>
        <v>1</v>
      </c>
    </row>
    <row r="3332" spans="1:7" hidden="1">
      <c r="A3332" t="str">
        <f>Sinistrés!H3337</f>
        <v>Soja</v>
      </c>
      <c r="B3332">
        <f>Sinistrés!J3337</f>
        <v>4000.56</v>
      </c>
      <c r="C3332">
        <f>Sinistrés!X3337</f>
        <v>0</v>
      </c>
      <c r="D3332">
        <f>Sinistrés!L3337</f>
        <v>4.22</v>
      </c>
      <c r="E3332">
        <f>Sinistrés!M3337</f>
        <v>4.22</v>
      </c>
      <c r="F3332">
        <f t="shared" si="104"/>
        <v>0</v>
      </c>
      <c r="G3332">
        <f t="shared" si="105"/>
        <v>1</v>
      </c>
    </row>
    <row r="3333" spans="1:7">
      <c r="A3333" t="str">
        <f>Sinistrés!H3338</f>
        <v>Blé de force</v>
      </c>
      <c r="B3333">
        <f>Sinistrés!J3338</f>
        <v>29421.39</v>
      </c>
      <c r="C3333">
        <f>Sinistrés!X3338</f>
        <v>2242.2399999999998</v>
      </c>
      <c r="D3333">
        <f>Sinistrés!L3338</f>
        <v>23.38</v>
      </c>
      <c r="E3333">
        <f>Sinistrés!M3338</f>
        <v>14</v>
      </c>
      <c r="F3333">
        <f t="shared" si="104"/>
        <v>7.6211219116431944E-2</v>
      </c>
      <c r="G3333">
        <f t="shared" si="105"/>
        <v>0.5988023952095809</v>
      </c>
    </row>
    <row r="3334" spans="1:7">
      <c r="A3334" t="str">
        <f>Sinistrés!H3339</f>
        <v>Blé tendre d'hiver</v>
      </c>
      <c r="B3334">
        <f>Sinistrés!J3339</f>
        <v>10118.16</v>
      </c>
      <c r="C3334">
        <f>Sinistrés!X3339</f>
        <v>2411.42</v>
      </c>
      <c r="D3334">
        <f>Sinistrés!L3339</f>
        <v>8.9700000000000006</v>
      </c>
      <c r="E3334">
        <f>Sinistrés!M3339</f>
        <v>8.9700000000000006</v>
      </c>
      <c r="F3334">
        <f t="shared" si="104"/>
        <v>0.23832594068486762</v>
      </c>
      <c r="G3334">
        <f t="shared" si="105"/>
        <v>1</v>
      </c>
    </row>
    <row r="3335" spans="1:7">
      <c r="A3335" t="str">
        <f>Sinistrés!H3340</f>
        <v>Triticale</v>
      </c>
      <c r="B3335">
        <f>Sinistrés!J3340</f>
        <v>6155.7</v>
      </c>
      <c r="C3335">
        <f>Sinistrés!X3340</f>
        <v>1853.43</v>
      </c>
      <c r="D3335">
        <f>Sinistrés!L3340</f>
        <v>8.5</v>
      </c>
      <c r="E3335">
        <f>Sinistrés!M3340</f>
        <v>8.5</v>
      </c>
      <c r="F3335">
        <f t="shared" si="104"/>
        <v>0.30109167113407087</v>
      </c>
      <c r="G3335">
        <f t="shared" si="105"/>
        <v>1</v>
      </c>
    </row>
    <row r="3336" spans="1:7">
      <c r="A3336" t="str">
        <f>Sinistrés!H3341</f>
        <v>Colza d'hiver</v>
      </c>
      <c r="B3336">
        <f>Sinistrés!J3341</f>
        <v>9049.76</v>
      </c>
      <c r="C3336">
        <f>Sinistrés!X3341</f>
        <v>1643.52</v>
      </c>
      <c r="D3336">
        <f>Sinistrés!L3341</f>
        <v>14.99</v>
      </c>
      <c r="E3336">
        <f>Sinistrés!M3341</f>
        <v>14.99</v>
      </c>
      <c r="F3336">
        <f t="shared" si="104"/>
        <v>0.18160923604603879</v>
      </c>
      <c r="G3336">
        <f t="shared" si="105"/>
        <v>1</v>
      </c>
    </row>
    <row r="3337" spans="1:7" hidden="1">
      <c r="A3337" t="str">
        <f>Sinistrés!H3342</f>
        <v>Tournesol</v>
      </c>
      <c r="B3337">
        <f>Sinistrés!J3342</f>
        <v>73128.320000000007</v>
      </c>
      <c r="C3337">
        <f>Sinistrés!X3342</f>
        <v>0</v>
      </c>
      <c r="D3337">
        <f>Sinistrés!L3342</f>
        <v>56.08</v>
      </c>
      <c r="E3337">
        <f>Sinistrés!M3342</f>
        <v>11.69</v>
      </c>
      <c r="F3337">
        <f t="shared" si="104"/>
        <v>0</v>
      </c>
      <c r="G3337">
        <f t="shared" si="105"/>
        <v>0.20845221112696147</v>
      </c>
    </row>
    <row r="3338" spans="1:7" hidden="1">
      <c r="A3338" t="str">
        <f>Sinistrés!H3343</f>
        <v>Blé tendre d'hiver</v>
      </c>
      <c r="B3338">
        <f>Sinistrés!J3343</f>
        <v>143933.23000000001</v>
      </c>
      <c r="C3338">
        <f>Sinistrés!X3343</f>
        <v>0</v>
      </c>
      <c r="D3338">
        <f>Sinistrés!L3343</f>
        <v>131.28</v>
      </c>
      <c r="E3338">
        <f>Sinistrés!M3343</f>
        <v>131.28</v>
      </c>
      <c r="F3338">
        <f t="shared" si="104"/>
        <v>0</v>
      </c>
      <c r="G3338">
        <f t="shared" si="105"/>
        <v>1</v>
      </c>
    </row>
    <row r="3339" spans="1:7" hidden="1">
      <c r="A3339" t="str">
        <f>Sinistrés!H3344</f>
        <v>Orge de printemps</v>
      </c>
      <c r="B3339">
        <f>Sinistrés!J3344</f>
        <v>15744.59</v>
      </c>
      <c r="C3339">
        <f>Sinistrés!X3344</f>
        <v>0</v>
      </c>
      <c r="D3339">
        <f>Sinistrés!L3344</f>
        <v>14.75</v>
      </c>
      <c r="E3339">
        <f>Sinistrés!M3344</f>
        <v>14.75</v>
      </c>
      <c r="F3339">
        <f t="shared" si="104"/>
        <v>0</v>
      </c>
      <c r="G3339">
        <f t="shared" si="105"/>
        <v>1</v>
      </c>
    </row>
    <row r="3340" spans="1:7" hidden="1">
      <c r="A3340" t="str">
        <f>Sinistrés!H3345</f>
        <v>Lin oléagineux</v>
      </c>
      <c r="B3340">
        <f>Sinistrés!J3345</f>
        <v>11497.15</v>
      </c>
      <c r="C3340">
        <f>Sinistrés!X3345</f>
        <v>0</v>
      </c>
      <c r="D3340">
        <f>Sinistrés!L3345</f>
        <v>21.49</v>
      </c>
      <c r="E3340">
        <f>Sinistrés!M3345</f>
        <v>21.49</v>
      </c>
      <c r="F3340">
        <f t="shared" si="104"/>
        <v>0</v>
      </c>
      <c r="G3340">
        <f t="shared" si="105"/>
        <v>1</v>
      </c>
    </row>
    <row r="3341" spans="1:7" hidden="1">
      <c r="A3341" t="str">
        <f>Sinistrés!H3346</f>
        <v>Avoine d'hiver</v>
      </c>
      <c r="B3341">
        <f>Sinistrés!J3346</f>
        <v>2359.1799999999998</v>
      </c>
      <c r="C3341">
        <f>Sinistrés!X3346</f>
        <v>0</v>
      </c>
      <c r="D3341">
        <f>Sinistrés!L3346</f>
        <v>4.1399999999999997</v>
      </c>
      <c r="E3341">
        <f>Sinistrés!M3346</f>
        <v>4.1399999999999997</v>
      </c>
      <c r="F3341">
        <f t="shared" si="104"/>
        <v>0</v>
      </c>
      <c r="G3341">
        <f t="shared" si="105"/>
        <v>1</v>
      </c>
    </row>
    <row r="3342" spans="1:7" hidden="1">
      <c r="A3342" t="str">
        <f>Sinistrés!H3347</f>
        <v>Féveroles et fèves</v>
      </c>
      <c r="B3342">
        <f>Sinistrés!J3347</f>
        <v>2319.85</v>
      </c>
      <c r="C3342">
        <f>Sinistrés!X3347</f>
        <v>0</v>
      </c>
      <c r="D3342">
        <f>Sinistrés!L3347</f>
        <v>8.3000000000000007</v>
      </c>
      <c r="E3342">
        <f>Sinistrés!M3347</f>
        <v>8.3000000000000007</v>
      </c>
      <c r="F3342">
        <f t="shared" si="104"/>
        <v>0</v>
      </c>
      <c r="G3342">
        <f t="shared" si="105"/>
        <v>1</v>
      </c>
    </row>
    <row r="3343" spans="1:7" hidden="1">
      <c r="A3343" t="str">
        <f>Sinistrés!H3348</f>
        <v>Blé tendre d'hiver</v>
      </c>
      <c r="B3343">
        <f>Sinistrés!J3348</f>
        <v>16964.099999999999</v>
      </c>
      <c r="C3343">
        <f>Sinistrés!X3348</f>
        <v>0</v>
      </c>
      <c r="D3343">
        <f>Sinistrés!L3348</f>
        <v>15.45</v>
      </c>
      <c r="E3343">
        <f>Sinistrés!M3348</f>
        <v>15.45</v>
      </c>
      <c r="F3343">
        <f t="shared" si="104"/>
        <v>0</v>
      </c>
      <c r="G3343">
        <f t="shared" si="105"/>
        <v>1</v>
      </c>
    </row>
    <row r="3344" spans="1:7">
      <c r="A3344" t="str">
        <f>Sinistrés!H3349</f>
        <v>Blé de force</v>
      </c>
      <c r="B3344">
        <f>Sinistrés!J3349</f>
        <v>27025.8</v>
      </c>
      <c r="C3344">
        <f>Sinistrés!X3349</f>
        <v>1706.51</v>
      </c>
      <c r="D3344">
        <f>Sinistrés!L3349</f>
        <v>21.43</v>
      </c>
      <c r="E3344">
        <f>Sinistrés!M3349</f>
        <v>16</v>
      </c>
      <c r="F3344">
        <f t="shared" si="104"/>
        <v>6.314373672564734E-2</v>
      </c>
      <c r="G3344">
        <f t="shared" si="105"/>
        <v>0.74661689220718619</v>
      </c>
    </row>
    <row r="3345" spans="1:7" hidden="1">
      <c r="A3345" t="str">
        <f>Sinistrés!H3350</f>
        <v>Triticale</v>
      </c>
      <c r="B3345">
        <f>Sinistrés!J3350</f>
        <v>1078.6500000000001</v>
      </c>
      <c r="C3345">
        <f>Sinistrés!X3350</f>
        <v>0</v>
      </c>
      <c r="D3345">
        <f>Sinistrés!L3350</f>
        <v>1.5</v>
      </c>
      <c r="E3345">
        <f>Sinistrés!M3350</f>
        <v>1.5</v>
      </c>
      <c r="F3345">
        <f t="shared" si="104"/>
        <v>0</v>
      </c>
      <c r="G3345">
        <f t="shared" si="105"/>
        <v>1</v>
      </c>
    </row>
    <row r="3346" spans="1:7" hidden="1">
      <c r="A3346" t="str">
        <f>Sinistrés!H3351</f>
        <v>Maïs grain non irrigué</v>
      </c>
      <c r="B3346">
        <f>Sinistrés!J3351</f>
        <v>4111.88</v>
      </c>
      <c r="C3346">
        <f>Sinistrés!X3351</f>
        <v>0</v>
      </c>
      <c r="D3346">
        <f>Sinistrés!L3351</f>
        <v>3.75</v>
      </c>
      <c r="E3346">
        <f>Sinistrés!M3351</f>
        <v>3.75</v>
      </c>
      <c r="F3346">
        <f t="shared" si="104"/>
        <v>0</v>
      </c>
      <c r="G3346">
        <f t="shared" si="105"/>
        <v>1</v>
      </c>
    </row>
    <row r="3347" spans="1:7" hidden="1">
      <c r="A3347" t="str">
        <f>Sinistrés!H3352</f>
        <v>Soja</v>
      </c>
      <c r="B3347">
        <f>Sinistrés!J3352</f>
        <v>4979.04</v>
      </c>
      <c r="C3347">
        <f>Sinistrés!X3352</f>
        <v>0</v>
      </c>
      <c r="D3347">
        <f>Sinistrés!L3352</f>
        <v>4.92</v>
      </c>
      <c r="E3347">
        <f>Sinistrés!M3352</f>
        <v>4.92</v>
      </c>
      <c r="F3347">
        <f t="shared" si="104"/>
        <v>0</v>
      </c>
      <c r="G3347">
        <f t="shared" si="105"/>
        <v>1</v>
      </c>
    </row>
    <row r="3348" spans="1:7" hidden="1">
      <c r="A3348" t="str">
        <f>Sinistrés!H3353</f>
        <v>Tournesol</v>
      </c>
      <c r="B3348">
        <f>Sinistrés!J3353</f>
        <v>32556.240000000002</v>
      </c>
      <c r="C3348">
        <f>Sinistrés!X3353</f>
        <v>0</v>
      </c>
      <c r="D3348">
        <f>Sinistrés!L3353</f>
        <v>35.119999999999997</v>
      </c>
      <c r="E3348">
        <f>Sinistrés!M3353</f>
        <v>3.2</v>
      </c>
      <c r="F3348">
        <f t="shared" si="104"/>
        <v>0</v>
      </c>
      <c r="G3348">
        <f t="shared" si="105"/>
        <v>9.1116173120728935E-2</v>
      </c>
    </row>
    <row r="3349" spans="1:7">
      <c r="A3349" t="str">
        <f>Sinistrés!H3354</f>
        <v>Blé tendre d'hiver</v>
      </c>
      <c r="B3349">
        <f>Sinistrés!J3354</f>
        <v>17030</v>
      </c>
      <c r="C3349">
        <f>Sinistrés!X3354</f>
        <v>2168.5</v>
      </c>
      <c r="D3349">
        <f>Sinistrés!L3354</f>
        <v>13.1</v>
      </c>
      <c r="E3349">
        <f>Sinistrés!M3354</f>
        <v>13.1</v>
      </c>
      <c r="F3349">
        <f t="shared" si="104"/>
        <v>0.12733411626541397</v>
      </c>
      <c r="G3349">
        <f t="shared" si="105"/>
        <v>1</v>
      </c>
    </row>
    <row r="3350" spans="1:7">
      <c r="A3350" t="str">
        <f>Sinistrés!H3355</f>
        <v>Maïs grain irrigué</v>
      </c>
      <c r="B3350">
        <f>Sinistrés!J3355</f>
        <v>10237.5</v>
      </c>
      <c r="C3350">
        <f>Sinistrés!X3355</f>
        <v>3906.88</v>
      </c>
      <c r="D3350">
        <f>Sinistrés!L3355</f>
        <v>6.5</v>
      </c>
      <c r="E3350">
        <f>Sinistrés!M3355</f>
        <v>6.5</v>
      </c>
      <c r="F3350">
        <f t="shared" si="104"/>
        <v>0.38162442002442004</v>
      </c>
      <c r="G3350">
        <f t="shared" si="105"/>
        <v>1</v>
      </c>
    </row>
    <row r="3351" spans="1:7">
      <c r="A3351" t="str">
        <f>Sinistrés!H3356</f>
        <v>Soja</v>
      </c>
      <c r="B3351">
        <f>Sinistrés!J3356</f>
        <v>16240</v>
      </c>
      <c r="C3351">
        <f>Sinistrés!X3356</f>
        <v>6628</v>
      </c>
      <c r="D3351">
        <f>Sinistrés!L3356</f>
        <v>14.5</v>
      </c>
      <c r="E3351">
        <f>Sinistrés!M3356</f>
        <v>14.5</v>
      </c>
      <c r="F3351">
        <f t="shared" si="104"/>
        <v>0.408128078817734</v>
      </c>
      <c r="G3351">
        <f t="shared" si="105"/>
        <v>1</v>
      </c>
    </row>
    <row r="3352" spans="1:7">
      <c r="A3352" t="str">
        <f>Sinistrés!H3357</f>
        <v>Tournesol</v>
      </c>
      <c r="B3352">
        <f>Sinistrés!J3357</f>
        <v>2305</v>
      </c>
      <c r="C3352">
        <f>Sinistrés!X3357</f>
        <v>691.5</v>
      </c>
      <c r="D3352">
        <f>Sinistrés!L3357</f>
        <v>2.5</v>
      </c>
      <c r="E3352">
        <f>Sinistrés!M3357</f>
        <v>2.5</v>
      </c>
      <c r="F3352">
        <f t="shared" si="104"/>
        <v>0.3</v>
      </c>
      <c r="G3352">
        <f t="shared" si="105"/>
        <v>1</v>
      </c>
    </row>
    <row r="3353" spans="1:7" hidden="1">
      <c r="A3353" t="str">
        <f>Sinistrés!H3358</f>
        <v>Blé tendre d'hiver BIO</v>
      </c>
      <c r="B3353">
        <f>Sinistrés!J3358</f>
        <v>29000.16</v>
      </c>
      <c r="C3353">
        <f>Sinistrés!X3358</f>
        <v>4503.57</v>
      </c>
      <c r="D3353">
        <f>Sinistrés!L3358</f>
        <v>28</v>
      </c>
      <c r="E3353">
        <f>Sinistrés!M3358</f>
        <v>28.35</v>
      </c>
      <c r="F3353">
        <f t="shared" si="104"/>
        <v>0.15529466044325271</v>
      </c>
      <c r="G3353">
        <f t="shared" si="105"/>
        <v>1.0125</v>
      </c>
    </row>
    <row r="3354" spans="1:7" hidden="1">
      <c r="A3354" t="str">
        <f>Sinistrés!H3359</f>
        <v>Féveroles et fèves BIO</v>
      </c>
      <c r="B3354">
        <f>Sinistrés!J3359</f>
        <v>68724</v>
      </c>
      <c r="C3354">
        <f>Sinistrés!X3359</f>
        <v>34199.43</v>
      </c>
      <c r="D3354">
        <f>Sinistrés!L3359</f>
        <v>83</v>
      </c>
      <c r="E3354">
        <f>Sinistrés!M3359</f>
        <v>93.37</v>
      </c>
      <c r="F3354">
        <f t="shared" si="104"/>
        <v>0.49763445084686575</v>
      </c>
      <c r="G3354">
        <f t="shared" si="105"/>
        <v>1.1249397590361447</v>
      </c>
    </row>
    <row r="3355" spans="1:7" hidden="1">
      <c r="A3355" t="str">
        <f>Sinistrés!H3360</f>
        <v>Triticale BIO</v>
      </c>
      <c r="B3355">
        <f>Sinistrés!J3360</f>
        <v>5500</v>
      </c>
      <c r="C3355">
        <f>Sinistrés!X3360</f>
        <v>0</v>
      </c>
      <c r="D3355">
        <f>Sinistrés!L3360</f>
        <v>5.5</v>
      </c>
      <c r="E3355">
        <f>Sinistrés!M3360</f>
        <v>5.24</v>
      </c>
      <c r="F3355">
        <f t="shared" si="104"/>
        <v>0</v>
      </c>
      <c r="G3355">
        <f t="shared" si="105"/>
        <v>0.95272727272727276</v>
      </c>
    </row>
    <row r="3356" spans="1:7" hidden="1">
      <c r="A3356" t="str">
        <f>Sinistrés!H3361</f>
        <v>Orge d'hiver BIO</v>
      </c>
      <c r="B3356">
        <f>Sinistrés!J3361</f>
        <v>6613.75</v>
      </c>
      <c r="C3356">
        <f>Sinistrés!X3361</f>
        <v>2083.4899999999998</v>
      </c>
      <c r="D3356">
        <f>Sinistrés!L3361</f>
        <v>6.5</v>
      </c>
      <c r="E3356">
        <f>Sinistrés!M3361</f>
        <v>6.63</v>
      </c>
      <c r="F3356">
        <f t="shared" si="104"/>
        <v>0.31502400302400302</v>
      </c>
      <c r="G3356">
        <f t="shared" si="105"/>
        <v>1.02</v>
      </c>
    </row>
    <row r="3357" spans="1:7">
      <c r="A3357" t="str">
        <f>Sinistrés!H3362</f>
        <v>Blé tendre d'hiver</v>
      </c>
      <c r="B3357">
        <f>Sinistrés!J3362</f>
        <v>8846.0499999999993</v>
      </c>
      <c r="C3357">
        <f>Sinistrés!X3362</f>
        <v>2712.7</v>
      </c>
      <c r="D3357">
        <f>Sinistrés!L3362</f>
        <v>10.39</v>
      </c>
      <c r="E3357">
        <f>Sinistrés!M3362</f>
        <v>10.39</v>
      </c>
      <c r="F3357">
        <f t="shared" si="104"/>
        <v>0.306656643360596</v>
      </c>
      <c r="G3357">
        <f t="shared" si="105"/>
        <v>1</v>
      </c>
    </row>
    <row r="3358" spans="1:7" hidden="1">
      <c r="A3358" t="str">
        <f>Sinistrés!H3363</f>
        <v>Maïs grain non irrigué</v>
      </c>
      <c r="B3358">
        <f>Sinistrés!J3363</f>
        <v>4030.88</v>
      </c>
      <c r="C3358">
        <f>Sinistrés!X3363</f>
        <v>0</v>
      </c>
      <c r="D3358">
        <f>Sinistrés!L3363</f>
        <v>4.29</v>
      </c>
      <c r="E3358">
        <f>Sinistrés!M3363</f>
        <v>4.29</v>
      </c>
      <c r="F3358">
        <f t="shared" si="104"/>
        <v>0</v>
      </c>
      <c r="G3358">
        <f t="shared" si="105"/>
        <v>1</v>
      </c>
    </row>
    <row r="3359" spans="1:7" hidden="1">
      <c r="A3359" t="str">
        <f>Sinistrés!H3364</f>
        <v>Orge de printemps</v>
      </c>
      <c r="B3359">
        <f>Sinistrés!J3364</f>
        <v>2049.3000000000002</v>
      </c>
      <c r="C3359">
        <f>Sinistrés!X3364</f>
        <v>0</v>
      </c>
      <c r="D3359">
        <f>Sinistrés!L3364</f>
        <v>2.5299999999999998</v>
      </c>
      <c r="E3359">
        <f>Sinistrés!M3364</f>
        <v>2.5299999999999998</v>
      </c>
      <c r="F3359">
        <f t="shared" si="104"/>
        <v>0</v>
      </c>
      <c r="G3359">
        <f t="shared" si="105"/>
        <v>1</v>
      </c>
    </row>
    <row r="3360" spans="1:7" hidden="1">
      <c r="A3360" t="str">
        <f>Sinistrés!H3365</f>
        <v>Tournesol</v>
      </c>
      <c r="B3360">
        <f>Sinistrés!J3365</f>
        <v>16576.560000000001</v>
      </c>
      <c r="C3360">
        <f>Sinistrés!X3365</f>
        <v>0</v>
      </c>
      <c r="D3360">
        <f>Sinistrés!L3365</f>
        <v>17.71</v>
      </c>
      <c r="E3360">
        <f>Sinistrés!M3365</f>
        <v>17.71</v>
      </c>
      <c r="F3360">
        <f t="shared" si="104"/>
        <v>0</v>
      </c>
      <c r="G3360">
        <f t="shared" si="105"/>
        <v>1</v>
      </c>
    </row>
    <row r="3361" spans="1:7">
      <c r="A3361" t="str">
        <f>Sinistrés!H3366</f>
        <v>Maïs ensilage non irrigué</v>
      </c>
      <c r="B3361">
        <f>Sinistrés!J3366</f>
        <v>5363.75</v>
      </c>
      <c r="C3361">
        <f>Sinistrés!X3366</f>
        <v>3357.85</v>
      </c>
      <c r="D3361">
        <f>Sinistrés!L3366</f>
        <v>6.28</v>
      </c>
      <c r="E3361">
        <f>Sinistrés!M3366</f>
        <v>6.28</v>
      </c>
      <c r="F3361">
        <f t="shared" si="104"/>
        <v>0.62602656723374506</v>
      </c>
      <c r="G3361">
        <f t="shared" si="105"/>
        <v>1</v>
      </c>
    </row>
    <row r="3362" spans="1:7">
      <c r="A3362" t="str">
        <f>Sinistrés!H3367</f>
        <v>Soja</v>
      </c>
      <c r="B3362">
        <f>Sinistrés!J3367</f>
        <v>16513.48</v>
      </c>
      <c r="C3362">
        <f>Sinistrés!X3367</f>
        <v>10396.93</v>
      </c>
      <c r="D3362">
        <f>Sinistrés!L3367</f>
        <v>14.09</v>
      </c>
      <c r="E3362">
        <f>Sinistrés!M3367</f>
        <v>14.09</v>
      </c>
      <c r="F3362">
        <f t="shared" si="104"/>
        <v>0.6296026034488188</v>
      </c>
      <c r="G3362">
        <f t="shared" si="105"/>
        <v>1</v>
      </c>
    </row>
    <row r="3363" spans="1:7">
      <c r="A3363" t="str">
        <f>Sinistrés!H3368</f>
        <v>Tournesol</v>
      </c>
      <c r="B3363">
        <f>Sinistrés!J3368</f>
        <v>56028</v>
      </c>
      <c r="C3363">
        <f>Sinistrés!X3368</f>
        <v>18673.2</v>
      </c>
      <c r="D3363">
        <f>Sinistrés!L3368</f>
        <v>60.9</v>
      </c>
      <c r="E3363">
        <f>Sinistrés!M3368</f>
        <v>60.9</v>
      </c>
      <c r="F3363">
        <f t="shared" si="104"/>
        <v>0.33328335832083961</v>
      </c>
      <c r="G3363">
        <f t="shared" si="105"/>
        <v>1</v>
      </c>
    </row>
    <row r="3364" spans="1:7">
      <c r="A3364" t="str">
        <f>Sinistrés!H3369</f>
        <v>Tournesol</v>
      </c>
      <c r="B3364">
        <f>Sinistrés!J3369</f>
        <v>24354.12</v>
      </c>
      <c r="C3364">
        <f>Sinistrés!X3369</f>
        <v>8218.31</v>
      </c>
      <c r="D3364">
        <f>Sinistrés!L3369</f>
        <v>25.69</v>
      </c>
      <c r="E3364">
        <f>Sinistrés!M3369</f>
        <v>25.69</v>
      </c>
      <c r="F3364">
        <f t="shared" si="104"/>
        <v>0.33745050118829995</v>
      </c>
      <c r="G3364">
        <f t="shared" si="105"/>
        <v>1</v>
      </c>
    </row>
    <row r="3365" spans="1:7">
      <c r="A3365" t="str">
        <f>Sinistrés!H3370</f>
        <v>Blé de force</v>
      </c>
      <c r="B3365">
        <f>Sinistrés!J3370</f>
        <v>23963.94</v>
      </c>
      <c r="C3365">
        <f>Sinistrés!X3370</f>
        <v>7253.4</v>
      </c>
      <c r="D3365">
        <f>Sinistrés!L3370</f>
        <v>19.11</v>
      </c>
      <c r="E3365">
        <f>Sinistrés!M3370</f>
        <v>19.11</v>
      </c>
      <c r="F3365">
        <f t="shared" si="104"/>
        <v>0.30267977636398691</v>
      </c>
      <c r="G3365">
        <f t="shared" si="105"/>
        <v>1</v>
      </c>
    </row>
    <row r="3366" spans="1:7">
      <c r="A3366" t="str">
        <f>Sinistrés!H3371</f>
        <v xml:space="preserve">Blé tendre d'hiver </v>
      </c>
      <c r="B3366">
        <f>Sinistrés!J3371</f>
        <v>44296</v>
      </c>
      <c r="C3366">
        <f>Sinistrés!X3371</f>
        <v>5266.8</v>
      </c>
      <c r="D3366">
        <f>Sinistrés!L3371</f>
        <v>39.549999999999997</v>
      </c>
      <c r="E3366">
        <f>Sinistrés!M3371</f>
        <v>39.549999999999997</v>
      </c>
      <c r="F3366">
        <f t="shared" si="104"/>
        <v>0.11890012642225033</v>
      </c>
      <c r="G3366">
        <f t="shared" si="105"/>
        <v>1</v>
      </c>
    </row>
    <row r="3367" spans="1:7" hidden="1">
      <c r="A3367" t="str">
        <f>Sinistrés!H3372</f>
        <v>Orge de printemps</v>
      </c>
      <c r="B3367">
        <f>Sinistrés!J3372</f>
        <v>8966.4</v>
      </c>
      <c r="C3367">
        <f>Sinistrés!X3372</f>
        <v>0</v>
      </c>
      <c r="D3367">
        <f>Sinistrés!L3372</f>
        <v>9.34</v>
      </c>
      <c r="E3367">
        <f>Sinistrés!M3372</f>
        <v>9.34</v>
      </c>
      <c r="F3367">
        <f t="shared" si="104"/>
        <v>0</v>
      </c>
      <c r="G3367">
        <f t="shared" si="105"/>
        <v>1</v>
      </c>
    </row>
    <row r="3368" spans="1:7" hidden="1">
      <c r="A3368" t="str">
        <f>Sinistrés!H3373</f>
        <v>Blé de force</v>
      </c>
      <c r="B3368">
        <f>Sinistrés!J3373</f>
        <v>11887.92</v>
      </c>
      <c r="C3368">
        <f>Sinistrés!X3373</f>
        <v>0</v>
      </c>
      <c r="D3368">
        <f>Sinistrés!L3373</f>
        <v>9.48</v>
      </c>
      <c r="E3368">
        <f>Sinistrés!M3373</f>
        <v>9.48</v>
      </c>
      <c r="F3368">
        <f t="shared" si="104"/>
        <v>0</v>
      </c>
      <c r="G3368">
        <f t="shared" si="105"/>
        <v>1</v>
      </c>
    </row>
    <row r="3369" spans="1:7" hidden="1">
      <c r="A3369" t="str">
        <f>Sinistrés!H3374</f>
        <v>Maïs grain irrigué</v>
      </c>
      <c r="B3369">
        <f>Sinistrés!J3374</f>
        <v>65331.199999999997</v>
      </c>
      <c r="C3369">
        <f>Sinistrés!X3374</f>
        <v>0</v>
      </c>
      <c r="D3369">
        <f>Sinistrés!L3374</f>
        <v>37.119999999999997</v>
      </c>
      <c r="E3369">
        <f>Sinistrés!M3374</f>
        <v>20.18</v>
      </c>
      <c r="F3369">
        <f t="shared" si="104"/>
        <v>0</v>
      </c>
      <c r="G3369">
        <f t="shared" si="105"/>
        <v>0.54364224137931039</v>
      </c>
    </row>
    <row r="3370" spans="1:7" hidden="1">
      <c r="A3370" t="str">
        <f>Sinistrés!H3375</f>
        <v>Soja</v>
      </c>
      <c r="B3370">
        <f>Sinistrés!J3375</f>
        <v>15384.6</v>
      </c>
      <c r="C3370">
        <f>Sinistrés!X3375</f>
        <v>0</v>
      </c>
      <c r="D3370">
        <f>Sinistrés!L3375</f>
        <v>12.95</v>
      </c>
      <c r="E3370">
        <f>Sinistrés!M3375</f>
        <v>12.95</v>
      </c>
      <c r="F3370">
        <f t="shared" si="104"/>
        <v>0</v>
      </c>
      <c r="G3370">
        <f t="shared" si="105"/>
        <v>1</v>
      </c>
    </row>
    <row r="3371" spans="1:7" hidden="1">
      <c r="A3371" t="str">
        <f>Sinistrés!H3376</f>
        <v>Tournesol</v>
      </c>
      <c r="B3371">
        <f>Sinistrés!J3376</f>
        <v>28371.200000000001</v>
      </c>
      <c r="C3371">
        <f>Sinistrés!X3376</f>
        <v>0</v>
      </c>
      <c r="D3371">
        <f>Sinistrés!L3376</f>
        <v>32.24</v>
      </c>
      <c r="E3371">
        <f>Sinistrés!M3376</f>
        <v>18.28</v>
      </c>
      <c r="F3371">
        <f t="shared" si="104"/>
        <v>0</v>
      </c>
      <c r="G3371">
        <f t="shared" si="105"/>
        <v>0.5669975186104218</v>
      </c>
    </row>
    <row r="3372" spans="1:7" hidden="1">
      <c r="A3372" t="str">
        <f>Sinistrés!H3377</f>
        <v>Colza d'hiver</v>
      </c>
      <c r="B3372">
        <f>Sinistrés!J3377</f>
        <v>58423.95</v>
      </c>
      <c r="C3372">
        <f>Sinistrés!X3377</f>
        <v>0</v>
      </c>
      <c r="D3372">
        <f>Sinistrés!L3377</f>
        <v>33.29</v>
      </c>
      <c r="E3372">
        <f>Sinistrés!M3377</f>
        <v>33.29</v>
      </c>
      <c r="F3372">
        <f t="shared" si="104"/>
        <v>0</v>
      </c>
      <c r="G3372">
        <f t="shared" si="105"/>
        <v>1</v>
      </c>
    </row>
    <row r="3373" spans="1:7" hidden="1">
      <c r="A3373" t="str">
        <f>Sinistrés!H3378</f>
        <v>Blé de force</v>
      </c>
      <c r="B3373">
        <f>Sinistrés!J3378</f>
        <v>37508.129999999997</v>
      </c>
      <c r="C3373">
        <f>Sinistrés!X3378</f>
        <v>0</v>
      </c>
      <c r="D3373">
        <f>Sinistrés!L3378</f>
        <v>25.95</v>
      </c>
      <c r="E3373">
        <f>Sinistrés!M3378</f>
        <v>25.95</v>
      </c>
      <c r="F3373">
        <f t="shared" si="104"/>
        <v>0</v>
      </c>
      <c r="G3373">
        <f t="shared" si="105"/>
        <v>1</v>
      </c>
    </row>
    <row r="3374" spans="1:7" hidden="1">
      <c r="A3374" t="str">
        <f>Sinistrés!H3379</f>
        <v>Blé dur d'hiver</v>
      </c>
      <c r="B3374">
        <f>Sinistrés!J3379</f>
        <v>11575.95</v>
      </c>
      <c r="C3374">
        <f>Sinistrés!X3379</f>
        <v>0</v>
      </c>
      <c r="D3374">
        <f>Sinistrés!L3379</f>
        <v>6.74</v>
      </c>
      <c r="E3374">
        <f>Sinistrés!M3379</f>
        <v>6.74</v>
      </c>
      <c r="F3374">
        <f t="shared" si="104"/>
        <v>0</v>
      </c>
      <c r="G3374">
        <f t="shared" si="105"/>
        <v>1</v>
      </c>
    </row>
    <row r="3375" spans="1:7" hidden="1">
      <c r="A3375" t="str">
        <f>Sinistrés!H3380</f>
        <v>Blé tendre d'hiver</v>
      </c>
      <c r="B3375">
        <f>Sinistrés!J3380</f>
        <v>118900.8</v>
      </c>
      <c r="C3375">
        <f>Sinistrés!X3380</f>
        <v>0</v>
      </c>
      <c r="D3375">
        <f>Sinistrés!L3380</f>
        <v>86.16</v>
      </c>
      <c r="E3375">
        <f>Sinistrés!M3380</f>
        <v>86.16</v>
      </c>
      <c r="F3375">
        <f t="shared" si="104"/>
        <v>0</v>
      </c>
      <c r="G3375">
        <f t="shared" si="105"/>
        <v>1</v>
      </c>
    </row>
    <row r="3376" spans="1:7" hidden="1">
      <c r="A3376" t="str">
        <f>Sinistrés!H3381</f>
        <v>Colza d'hiver</v>
      </c>
      <c r="B3376">
        <f>Sinistrés!J3381</f>
        <v>49547.55</v>
      </c>
      <c r="C3376">
        <f>Sinistrés!X3381</f>
        <v>0</v>
      </c>
      <c r="D3376">
        <f>Sinistrés!L3381</f>
        <v>49.33</v>
      </c>
      <c r="E3376">
        <f>Sinistrés!M3381</f>
        <v>49.33</v>
      </c>
      <c r="F3376">
        <f t="shared" si="104"/>
        <v>0</v>
      </c>
      <c r="G3376">
        <f t="shared" si="105"/>
        <v>1</v>
      </c>
    </row>
    <row r="3377" spans="1:7" hidden="1">
      <c r="A3377" t="str">
        <f>Sinistrés!H3382</f>
        <v>Tournesol BIO</v>
      </c>
      <c r="B3377">
        <f>Sinistrés!J3382</f>
        <v>12342</v>
      </c>
      <c r="C3377">
        <f>Sinistrés!X3382</f>
        <v>0</v>
      </c>
      <c r="D3377">
        <f>Sinistrés!L3382</f>
        <v>11</v>
      </c>
      <c r="E3377">
        <f>Sinistrés!M3382</f>
        <v>11</v>
      </c>
      <c r="F3377">
        <f t="shared" si="104"/>
        <v>0</v>
      </c>
      <c r="G3377">
        <f t="shared" si="105"/>
        <v>1</v>
      </c>
    </row>
    <row r="3378" spans="1:7" hidden="1">
      <c r="A3378" t="str">
        <f>Sinistrés!H3383</f>
        <v>Soja BIO</v>
      </c>
      <c r="B3378">
        <f>Sinistrés!J3383</f>
        <v>16562</v>
      </c>
      <c r="C3378">
        <f>Sinistrés!X3383</f>
        <v>0</v>
      </c>
      <c r="D3378">
        <f>Sinistrés!L3383</f>
        <v>13</v>
      </c>
      <c r="E3378">
        <f>Sinistrés!M3383</f>
        <v>7.2</v>
      </c>
      <c r="F3378">
        <f t="shared" si="104"/>
        <v>0</v>
      </c>
      <c r="G3378">
        <f t="shared" si="105"/>
        <v>0.55384615384615388</v>
      </c>
    </row>
    <row r="3379" spans="1:7" hidden="1">
      <c r="A3379" t="str">
        <f>Sinistrés!H3384</f>
        <v>Blé tendre d'hiver BIO</v>
      </c>
      <c r="B3379">
        <f>Sinistrés!J3384</f>
        <v>4860</v>
      </c>
      <c r="C3379">
        <f>Sinistrés!X3384</f>
        <v>486</v>
      </c>
      <c r="D3379">
        <f>Sinistrés!L3384</f>
        <v>7.2</v>
      </c>
      <c r="E3379">
        <f>Sinistrés!M3384</f>
        <v>1.75</v>
      </c>
      <c r="F3379">
        <f t="shared" si="104"/>
        <v>0.1</v>
      </c>
      <c r="G3379">
        <f t="shared" si="105"/>
        <v>0.24305555555555555</v>
      </c>
    </row>
    <row r="3380" spans="1:7" hidden="1">
      <c r="A3380" t="str">
        <f>Sinistrés!H3385</f>
        <v>Orge d'hiver BIO</v>
      </c>
      <c r="B3380">
        <f>Sinistrés!J3385</f>
        <v>50625</v>
      </c>
      <c r="C3380">
        <f>Sinistrés!X3385</f>
        <v>22761</v>
      </c>
      <c r="D3380">
        <f>Sinistrés!L3385</f>
        <v>27</v>
      </c>
      <c r="E3380">
        <f>Sinistrés!M3385</f>
        <v>17</v>
      </c>
      <c r="F3380">
        <f t="shared" si="104"/>
        <v>0.4496</v>
      </c>
      <c r="G3380">
        <f t="shared" si="105"/>
        <v>0.62962962962962965</v>
      </c>
    </row>
    <row r="3381" spans="1:7" hidden="1">
      <c r="A3381" t="str">
        <f>Sinistrés!H3386</f>
        <v>Lentilles BIO</v>
      </c>
      <c r="B3381">
        <f>Sinistrés!J3386</f>
        <v>9517.5</v>
      </c>
      <c r="C3381">
        <f>Sinistrés!X3386</f>
        <v>1776.6</v>
      </c>
      <c r="D3381">
        <f>Sinistrés!L3386</f>
        <v>9.4</v>
      </c>
      <c r="E3381">
        <f>Sinistrés!M3386</f>
        <v>9.4</v>
      </c>
      <c r="F3381">
        <f t="shared" si="104"/>
        <v>0.18666666666666665</v>
      </c>
      <c r="G3381">
        <f t="shared" si="105"/>
        <v>1</v>
      </c>
    </row>
    <row r="3382" spans="1:7">
      <c r="A3382" t="str">
        <f>Sinistrés!H3387</f>
        <v>Orge d'hiver</v>
      </c>
      <c r="B3382">
        <f>Sinistrés!J3387</f>
        <v>6514.33</v>
      </c>
      <c r="C3382">
        <f>Sinistrés!X3387</f>
        <v>1664.63</v>
      </c>
      <c r="D3382">
        <f>Sinistrés!L3387</f>
        <v>6.79</v>
      </c>
      <c r="E3382">
        <f>Sinistrés!M3387</f>
        <v>6.78</v>
      </c>
      <c r="F3382">
        <f t="shared" si="104"/>
        <v>0.25553356983757347</v>
      </c>
      <c r="G3382">
        <f t="shared" si="105"/>
        <v>0.99852724594992637</v>
      </c>
    </row>
    <row r="3383" spans="1:7" hidden="1">
      <c r="A3383" t="str">
        <f>Sinistrés!H3388</f>
        <v>Vigne à raisin de cuve (VCU1)</v>
      </c>
      <c r="B3383">
        <f>Sinistrés!J3388</f>
        <v>661733.85</v>
      </c>
      <c r="C3383">
        <f>Sinistrés!X3388</f>
        <v>0</v>
      </c>
      <c r="D3383">
        <f>Sinistrés!L3388</f>
        <v>15.01</v>
      </c>
      <c r="E3383">
        <f>Sinistrés!M3388</f>
        <v>15.01</v>
      </c>
      <c r="F3383">
        <f t="shared" si="104"/>
        <v>0</v>
      </c>
      <c r="G3383">
        <f t="shared" si="105"/>
        <v>1</v>
      </c>
    </row>
    <row r="3384" spans="1:7" hidden="1">
      <c r="A3384" t="str">
        <f>Sinistrés!H3389</f>
        <v>Soja</v>
      </c>
      <c r="B3384">
        <f>Sinistrés!J3389</f>
        <v>19787.16</v>
      </c>
      <c r="C3384">
        <f>Sinistrés!X3389</f>
        <v>0</v>
      </c>
      <c r="D3384">
        <f>Sinistrés!L3389</f>
        <v>12.91</v>
      </c>
      <c r="E3384">
        <f>Sinistrés!M3389</f>
        <v>3.8</v>
      </c>
      <c r="F3384">
        <f t="shared" si="104"/>
        <v>0</v>
      </c>
      <c r="G3384">
        <f t="shared" si="105"/>
        <v>0.29434546862896976</v>
      </c>
    </row>
    <row r="3385" spans="1:7">
      <c r="A3385" t="str">
        <f>Sinistrés!H3390</f>
        <v>Maïs grain non irrigué</v>
      </c>
      <c r="B3385">
        <f>Sinistrés!J3390</f>
        <v>23443.200000000001</v>
      </c>
      <c r="C3385">
        <f>Sinistrés!X3390</f>
        <v>10879.02</v>
      </c>
      <c r="D3385">
        <f>Sinistrés!L3390</f>
        <v>29.98</v>
      </c>
      <c r="E3385">
        <f>Sinistrés!M3390</f>
        <v>16.25</v>
      </c>
      <c r="F3385">
        <f t="shared" si="104"/>
        <v>0.46405866093366094</v>
      </c>
      <c r="G3385">
        <f t="shared" si="105"/>
        <v>0.54202801867911943</v>
      </c>
    </row>
    <row r="3386" spans="1:7" hidden="1">
      <c r="A3386" t="str">
        <f>Sinistrés!H3391</f>
        <v>Blé tendre d'hiver</v>
      </c>
      <c r="B3386">
        <f>Sinistrés!J3391</f>
        <v>60153.599999999999</v>
      </c>
      <c r="C3386">
        <f>Sinistrés!X3391</f>
        <v>0</v>
      </c>
      <c r="D3386">
        <f>Sinistrés!L3391</f>
        <v>41.6</v>
      </c>
      <c r="E3386">
        <f>Sinistrés!M3391</f>
        <v>5.64</v>
      </c>
      <c r="F3386">
        <f t="shared" si="104"/>
        <v>0</v>
      </c>
      <c r="G3386">
        <f t="shared" si="105"/>
        <v>0.13557692307692307</v>
      </c>
    </row>
    <row r="3387" spans="1:7">
      <c r="A3387" t="str">
        <f>Sinistrés!H3392</f>
        <v>Féveroles et fèves</v>
      </c>
      <c r="B3387">
        <f>Sinistrés!J3392</f>
        <v>1221.44</v>
      </c>
      <c r="C3387">
        <f>Sinistrés!X3392</f>
        <v>65.239999999999995</v>
      </c>
      <c r="D3387">
        <f>Sinistrés!L3392</f>
        <v>3.47</v>
      </c>
      <c r="E3387">
        <f>Sinistrés!M3392</f>
        <v>3.45</v>
      </c>
      <c r="F3387">
        <f t="shared" si="104"/>
        <v>5.3412365732250451E-2</v>
      </c>
      <c r="G3387">
        <f t="shared" si="105"/>
        <v>0.99423631123919309</v>
      </c>
    </row>
    <row r="3388" spans="1:7" hidden="1">
      <c r="A3388" t="str">
        <f>Sinistrés!H3393</f>
        <v>Blé tendre d'hiver</v>
      </c>
      <c r="B3388">
        <f>Sinistrés!J3393</f>
        <v>114328.5</v>
      </c>
      <c r="C3388">
        <f>Sinistrés!X3393</f>
        <v>0</v>
      </c>
      <c r="D3388">
        <f>Sinistrés!L3393</f>
        <v>106.6</v>
      </c>
      <c r="E3388">
        <f>Sinistrés!M3393</f>
        <v>106.6</v>
      </c>
      <c r="F3388">
        <f t="shared" si="104"/>
        <v>0</v>
      </c>
      <c r="G3388">
        <f t="shared" si="105"/>
        <v>1</v>
      </c>
    </row>
    <row r="3389" spans="1:7" hidden="1">
      <c r="A3389" t="str">
        <f>Sinistrés!H3394</f>
        <v>Orge de printemps</v>
      </c>
      <c r="B3389">
        <f>Sinistrés!J3394</f>
        <v>27253.78</v>
      </c>
      <c r="C3389">
        <f>Sinistrés!X3394</f>
        <v>0</v>
      </c>
      <c r="D3389">
        <f>Sinistrés!L3394</f>
        <v>30.16</v>
      </c>
      <c r="E3389">
        <f>Sinistrés!M3394</f>
        <v>30</v>
      </c>
      <c r="F3389">
        <f t="shared" si="104"/>
        <v>0</v>
      </c>
      <c r="G3389">
        <f t="shared" si="105"/>
        <v>0.99469496021220161</v>
      </c>
    </row>
    <row r="3390" spans="1:7" hidden="1">
      <c r="A3390" t="str">
        <f>Sinistrés!H3395</f>
        <v>Colza d'hiver</v>
      </c>
      <c r="B3390">
        <f>Sinistrés!J3395</f>
        <v>38734.089999999997</v>
      </c>
      <c r="C3390">
        <f>Sinistrés!X3395</f>
        <v>0</v>
      </c>
      <c r="D3390">
        <f>Sinistrés!L3395</f>
        <v>37.229999999999997</v>
      </c>
      <c r="E3390">
        <f>Sinistrés!M3395</f>
        <v>37.229999999999997</v>
      </c>
      <c r="F3390">
        <f t="shared" si="104"/>
        <v>0</v>
      </c>
      <c r="G3390">
        <f t="shared" si="105"/>
        <v>1</v>
      </c>
    </row>
    <row r="3391" spans="1:7">
      <c r="A3391" t="str">
        <f>Sinistrés!H3396</f>
        <v>Blé tendre d'hiver</v>
      </c>
      <c r="B3391">
        <f>Sinistrés!J3396</f>
        <v>41117.620000000003</v>
      </c>
      <c r="C3391">
        <f>Sinistrés!X3396</f>
        <v>828.8</v>
      </c>
      <c r="D3391">
        <f>Sinistrés!L3396</f>
        <v>27.74</v>
      </c>
      <c r="E3391">
        <f>Sinistrés!M3396</f>
        <v>12.79</v>
      </c>
      <c r="F3391">
        <f t="shared" si="104"/>
        <v>2.015680868688411E-2</v>
      </c>
      <c r="G3391">
        <f t="shared" si="105"/>
        <v>0.46106705118961788</v>
      </c>
    </row>
    <row r="3392" spans="1:7" hidden="1">
      <c r="A3392" t="str">
        <f>Sinistrés!H3397</f>
        <v>Colza d'hiver</v>
      </c>
      <c r="B3392">
        <f>Sinistrés!J3397</f>
        <v>10756.76</v>
      </c>
      <c r="C3392">
        <f>Sinistrés!X3397</f>
        <v>0</v>
      </c>
      <c r="D3392">
        <f>Sinistrés!L3397</f>
        <v>9.3699999999999992</v>
      </c>
      <c r="E3392">
        <f>Sinistrés!M3397</f>
        <v>9.3699999999999992</v>
      </c>
      <c r="F3392">
        <f t="shared" si="104"/>
        <v>0</v>
      </c>
      <c r="G3392">
        <f t="shared" si="105"/>
        <v>1</v>
      </c>
    </row>
    <row r="3393" spans="1:7">
      <c r="A3393" t="str">
        <f>Sinistrés!H3398</f>
        <v>Orge de printemps</v>
      </c>
      <c r="B3393">
        <f>Sinistrés!J3398</f>
        <v>45066.86</v>
      </c>
      <c r="C3393">
        <f>Sinistrés!X3398</f>
        <v>1752.67</v>
      </c>
      <c r="D3393">
        <f>Sinistrés!L3398</f>
        <v>30.53</v>
      </c>
      <c r="E3393">
        <f>Sinistrés!M3398</f>
        <v>4.34</v>
      </c>
      <c r="F3393">
        <f t="shared" si="104"/>
        <v>3.8890439671190762E-2</v>
      </c>
      <c r="G3393">
        <f t="shared" si="105"/>
        <v>0.14215525712414018</v>
      </c>
    </row>
    <row r="3394" spans="1:7">
      <c r="A3394" t="str">
        <f>Sinistrés!H3399</f>
        <v>Colza d'hiver</v>
      </c>
      <c r="B3394">
        <f>Sinistrés!J3399</f>
        <v>18268.169999999998</v>
      </c>
      <c r="C3394">
        <f>Sinistrés!X3399</f>
        <v>490.86</v>
      </c>
      <c r="D3394">
        <f>Sinistrés!L3399</f>
        <v>12.18</v>
      </c>
      <c r="E3394">
        <f>Sinistrés!M3399</f>
        <v>12.18</v>
      </c>
      <c r="F3394">
        <f t="shared" si="104"/>
        <v>2.6869686454636676E-2</v>
      </c>
      <c r="G3394">
        <f t="shared" si="105"/>
        <v>1</v>
      </c>
    </row>
    <row r="3395" spans="1:7" hidden="1">
      <c r="A3395" t="str">
        <f>Sinistrés!H3400</f>
        <v>Blé tendre d'hiver</v>
      </c>
      <c r="B3395">
        <f>Sinistrés!J3400</f>
        <v>9800.34</v>
      </c>
      <c r="C3395">
        <f>Sinistrés!X3400</f>
        <v>0</v>
      </c>
      <c r="D3395">
        <f>Sinistrés!L3400</f>
        <v>6.35</v>
      </c>
      <c r="E3395">
        <f>Sinistrés!M3400</f>
        <v>6.35</v>
      </c>
      <c r="F3395">
        <f t="shared" ref="F3395:F3458" si="106">C3395/B3395</f>
        <v>0</v>
      </c>
      <c r="G3395">
        <f t="shared" ref="G3395:G3458" si="107">E3395/D3395</f>
        <v>1</v>
      </c>
    </row>
    <row r="3396" spans="1:7" hidden="1">
      <c r="A3396" t="str">
        <f>Sinistrés!H3401</f>
        <v>Colza d'hiver</v>
      </c>
      <c r="B3396">
        <f>Sinistrés!J3401</f>
        <v>21887.88</v>
      </c>
      <c r="C3396">
        <f>Sinistrés!X3401</f>
        <v>0</v>
      </c>
      <c r="D3396">
        <f>Sinistrés!L3401</f>
        <v>16.36</v>
      </c>
      <c r="E3396">
        <f>Sinistrés!M3401</f>
        <v>16.36</v>
      </c>
      <c r="F3396">
        <f t="shared" si="106"/>
        <v>0</v>
      </c>
      <c r="G3396">
        <f t="shared" si="107"/>
        <v>1</v>
      </c>
    </row>
    <row r="3397" spans="1:7" hidden="1">
      <c r="A3397" t="str">
        <f>Sinistrés!H3402</f>
        <v>Pois protéagineux</v>
      </c>
      <c r="B3397">
        <f>Sinistrés!J3402</f>
        <v>5932.21</v>
      </c>
      <c r="C3397">
        <f>Sinistrés!X3402</f>
        <v>0</v>
      </c>
      <c r="D3397">
        <f>Sinistrés!L3402</f>
        <v>8.01</v>
      </c>
      <c r="E3397">
        <f>Sinistrés!M3402</f>
        <v>8.01</v>
      </c>
      <c r="F3397">
        <f t="shared" si="106"/>
        <v>0</v>
      </c>
      <c r="G3397">
        <f t="shared" si="107"/>
        <v>1</v>
      </c>
    </row>
    <row r="3398" spans="1:7" hidden="1">
      <c r="A3398" t="str">
        <f>Sinistrés!H3403</f>
        <v>Tournesol</v>
      </c>
      <c r="B3398">
        <f>Sinistrés!J3403</f>
        <v>18925.43</v>
      </c>
      <c r="C3398">
        <f>Sinistrés!X3403</f>
        <v>0</v>
      </c>
      <c r="D3398">
        <f>Sinistrés!L3403</f>
        <v>18.05</v>
      </c>
      <c r="E3398">
        <f>Sinistrés!M3403</f>
        <v>18.05</v>
      </c>
      <c r="F3398">
        <f t="shared" si="106"/>
        <v>0</v>
      </c>
      <c r="G3398">
        <f t="shared" si="107"/>
        <v>1</v>
      </c>
    </row>
    <row r="3399" spans="1:7" hidden="1">
      <c r="A3399" t="str">
        <f>Sinistrés!H3404</f>
        <v>Blé tendre d'hiver</v>
      </c>
      <c r="B3399">
        <f>Sinistrés!J3404</f>
        <v>33143.370000000003</v>
      </c>
      <c r="C3399">
        <f>Sinistrés!X3404</f>
        <v>0</v>
      </c>
      <c r="D3399">
        <f>Sinistrés!L3404</f>
        <v>24.22</v>
      </c>
      <c r="E3399">
        <f>Sinistrés!M3404</f>
        <v>24.22</v>
      </c>
      <c r="F3399">
        <f t="shared" si="106"/>
        <v>0</v>
      </c>
      <c r="G3399">
        <f t="shared" si="107"/>
        <v>1</v>
      </c>
    </row>
    <row r="3400" spans="1:7" hidden="1">
      <c r="A3400" t="str">
        <f>Sinistrés!H3405</f>
        <v>Triticale</v>
      </c>
      <c r="B3400">
        <f>Sinistrés!J3405</f>
        <v>15523.06</v>
      </c>
      <c r="C3400">
        <f>Sinistrés!X3405</f>
        <v>0</v>
      </c>
      <c r="D3400">
        <f>Sinistrés!L3405</f>
        <v>21.2</v>
      </c>
      <c r="E3400">
        <f>Sinistrés!M3405</f>
        <v>21.2</v>
      </c>
      <c r="F3400">
        <f t="shared" si="106"/>
        <v>0</v>
      </c>
      <c r="G3400">
        <f t="shared" si="107"/>
        <v>1</v>
      </c>
    </row>
    <row r="3401" spans="1:7" hidden="1">
      <c r="A3401" t="str">
        <f>Sinistrés!H3406</f>
        <v>Colza d'hiver</v>
      </c>
      <c r="B3401">
        <f>Sinistrés!J3406</f>
        <v>3231.62</v>
      </c>
      <c r="C3401">
        <f>Sinistrés!X3406</f>
        <v>0</v>
      </c>
      <c r="D3401">
        <f>Sinistrés!L3406</f>
        <v>3.23</v>
      </c>
      <c r="E3401">
        <f>Sinistrés!M3406</f>
        <v>3.23</v>
      </c>
      <c r="F3401">
        <f t="shared" si="106"/>
        <v>0</v>
      </c>
      <c r="G3401">
        <f t="shared" si="107"/>
        <v>1</v>
      </c>
    </row>
    <row r="3402" spans="1:7">
      <c r="A3402" t="str">
        <f>Sinistrés!H3407</f>
        <v>Blé tendre d'hiver</v>
      </c>
      <c r="B3402">
        <f>Sinistrés!J3407</f>
        <v>8873.5400000000009</v>
      </c>
      <c r="C3402">
        <f>Sinistrés!X3407</f>
        <v>2919.3</v>
      </c>
      <c r="D3402">
        <f>Sinistrés!L3407</f>
        <v>5.8</v>
      </c>
      <c r="E3402">
        <f>Sinistrés!M3407</f>
        <v>5.8</v>
      </c>
      <c r="F3402">
        <f t="shared" si="106"/>
        <v>0.32898933232960015</v>
      </c>
      <c r="G3402">
        <f t="shared" si="107"/>
        <v>1</v>
      </c>
    </row>
    <row r="3403" spans="1:7" hidden="1">
      <c r="A3403" t="str">
        <f>Sinistrés!H3408</f>
        <v>Colza d'hiver</v>
      </c>
      <c r="B3403">
        <f>Sinistrés!J3408</f>
        <v>35822.660000000003</v>
      </c>
      <c r="C3403">
        <f>Sinistrés!X3408</f>
        <v>0</v>
      </c>
      <c r="D3403">
        <f>Sinistrés!L3408</f>
        <v>29.78</v>
      </c>
      <c r="E3403">
        <f>Sinistrés!M3408</f>
        <v>20</v>
      </c>
      <c r="F3403">
        <f t="shared" si="106"/>
        <v>0</v>
      </c>
      <c r="G3403">
        <f t="shared" si="107"/>
        <v>0.67159167226326388</v>
      </c>
    </row>
    <row r="3404" spans="1:7">
      <c r="A3404" t="str">
        <f>Sinistrés!H3409</f>
        <v>Colza d'hiver</v>
      </c>
      <c r="B3404">
        <f>Sinistrés!J3409</f>
        <v>35817.599999999999</v>
      </c>
      <c r="C3404">
        <f>Sinistrés!X3409</f>
        <v>13441.44</v>
      </c>
      <c r="D3404">
        <f>Sinistrés!L3409</f>
        <v>20.5</v>
      </c>
      <c r="E3404">
        <f>Sinistrés!M3409</f>
        <v>20.5</v>
      </c>
      <c r="F3404">
        <f t="shared" si="106"/>
        <v>0.37527472527472533</v>
      </c>
      <c r="G3404">
        <f t="shared" si="107"/>
        <v>1</v>
      </c>
    </row>
    <row r="3405" spans="1:7">
      <c r="A3405" t="str">
        <f>Sinistrés!H3410</f>
        <v>Blé tendre d'hiver</v>
      </c>
      <c r="B3405">
        <f>Sinistrés!J3410</f>
        <v>26327.77</v>
      </c>
      <c r="C3405">
        <f>Sinistrés!X3410</f>
        <v>6272.14</v>
      </c>
      <c r="D3405">
        <f>Sinistrés!L3410</f>
        <v>22.85</v>
      </c>
      <c r="E3405">
        <f>Sinistrés!M3410</f>
        <v>22.85</v>
      </c>
      <c r="F3405">
        <f t="shared" si="106"/>
        <v>0.23823286210719707</v>
      </c>
      <c r="G3405">
        <f t="shared" si="107"/>
        <v>1</v>
      </c>
    </row>
    <row r="3406" spans="1:7">
      <c r="A3406" t="str">
        <f>Sinistrés!H3411</f>
        <v>Colza d'hiver</v>
      </c>
      <c r="B3406">
        <f>Sinistrés!J3411</f>
        <v>8403.2199999999993</v>
      </c>
      <c r="C3406">
        <f>Sinistrés!X3411</f>
        <v>3622.53</v>
      </c>
      <c r="D3406">
        <f>Sinistrés!L3411</f>
        <v>6.22</v>
      </c>
      <c r="E3406">
        <f>Sinistrés!M3411</f>
        <v>6.22</v>
      </c>
      <c r="F3406">
        <f t="shared" si="106"/>
        <v>0.43108832090555771</v>
      </c>
      <c r="G3406">
        <f t="shared" si="107"/>
        <v>1</v>
      </c>
    </row>
    <row r="3407" spans="1:7">
      <c r="A3407" t="str">
        <f>Sinistrés!H3412</f>
        <v>Maïs grain irrigué</v>
      </c>
      <c r="B3407">
        <f>Sinistrés!J3412</f>
        <v>23149.61</v>
      </c>
      <c r="C3407">
        <f>Sinistrés!X3412</f>
        <v>2436.89</v>
      </c>
      <c r="D3407">
        <f>Sinistrés!L3412</f>
        <v>19.329999999999998</v>
      </c>
      <c r="E3407">
        <f>Sinistrés!M3412</f>
        <v>19.329999999999998</v>
      </c>
      <c r="F3407">
        <f t="shared" si="106"/>
        <v>0.10526700017840472</v>
      </c>
      <c r="G3407">
        <f t="shared" si="107"/>
        <v>1</v>
      </c>
    </row>
    <row r="3408" spans="1:7" hidden="1">
      <c r="A3408" t="str">
        <f>Sinistrés!H3413</f>
        <v>Sorgho</v>
      </c>
      <c r="B3408">
        <f>Sinistrés!J3413</f>
        <v>7440</v>
      </c>
      <c r="C3408">
        <f>Sinistrés!X3413</f>
        <v>0</v>
      </c>
      <c r="D3408">
        <f>Sinistrés!L3413</f>
        <v>7.44</v>
      </c>
      <c r="E3408">
        <f>Sinistrés!M3413</f>
        <v>7.44</v>
      </c>
      <c r="F3408">
        <f t="shared" si="106"/>
        <v>0</v>
      </c>
      <c r="G3408">
        <f t="shared" si="107"/>
        <v>1</v>
      </c>
    </row>
    <row r="3409" spans="1:7">
      <c r="A3409" t="str">
        <f>Sinistrés!H3414</f>
        <v>Orge de printemps</v>
      </c>
      <c r="B3409">
        <f>Sinistrés!J3414</f>
        <v>10721.7</v>
      </c>
      <c r="C3409">
        <f>Sinistrés!X3414</f>
        <v>1407.33</v>
      </c>
      <c r="D3409">
        <f>Sinistrés!L3414</f>
        <v>8.5500000000000007</v>
      </c>
      <c r="E3409">
        <f>Sinistrés!M3414</f>
        <v>8.5500000000000007</v>
      </c>
      <c r="F3409">
        <f t="shared" si="106"/>
        <v>0.13125996810207335</v>
      </c>
      <c r="G3409">
        <f t="shared" si="107"/>
        <v>1</v>
      </c>
    </row>
    <row r="3410" spans="1:7">
      <c r="A3410" t="str">
        <f>Sinistrés!H3415</f>
        <v>Blé tendre d'hiver</v>
      </c>
      <c r="B3410">
        <f>Sinistrés!J3415</f>
        <v>51108.480000000003</v>
      </c>
      <c r="C3410">
        <f>Sinistrés!X3415</f>
        <v>747.33</v>
      </c>
      <c r="D3410">
        <f>Sinistrés!L3415</f>
        <v>42.03</v>
      </c>
      <c r="E3410">
        <f>Sinistrés!M3415</f>
        <v>42.03</v>
      </c>
      <c r="F3410">
        <f t="shared" si="106"/>
        <v>1.462242665013712E-2</v>
      </c>
      <c r="G3410">
        <f t="shared" si="107"/>
        <v>1</v>
      </c>
    </row>
    <row r="3411" spans="1:7">
      <c r="A3411" t="str">
        <f>Sinistrés!H3416</f>
        <v>Colza d'hiver</v>
      </c>
      <c r="B3411">
        <f>Sinistrés!J3416</f>
        <v>60997.22</v>
      </c>
      <c r="C3411">
        <f>Sinistrés!X3416</f>
        <v>655.67</v>
      </c>
      <c r="D3411">
        <f>Sinistrés!L3416</f>
        <v>35.479999999999997</v>
      </c>
      <c r="E3411">
        <f>Sinistrés!M3416</f>
        <v>35.479999999999997</v>
      </c>
      <c r="F3411">
        <f t="shared" si="106"/>
        <v>1.0749178405179777E-2</v>
      </c>
      <c r="G3411">
        <f t="shared" si="107"/>
        <v>1</v>
      </c>
    </row>
    <row r="3412" spans="1:7">
      <c r="A3412" t="str">
        <f>Sinistrés!H3417</f>
        <v>Orge d'hiver</v>
      </c>
      <c r="B3412">
        <f>Sinistrés!J3417</f>
        <v>42332.13</v>
      </c>
      <c r="C3412">
        <f>Sinistrés!X3417</f>
        <v>1639.89</v>
      </c>
      <c r="D3412">
        <f>Sinistrés!L3417</f>
        <v>32.909999999999997</v>
      </c>
      <c r="E3412">
        <f>Sinistrés!M3417</f>
        <v>7</v>
      </c>
      <c r="F3412">
        <f t="shared" si="106"/>
        <v>3.8738660209160281E-2</v>
      </c>
      <c r="G3412">
        <f t="shared" si="107"/>
        <v>0.21270130659374054</v>
      </c>
    </row>
    <row r="3413" spans="1:7" hidden="1">
      <c r="A3413" t="str">
        <f>Sinistrés!H3418</f>
        <v>Orge d'hiver</v>
      </c>
      <c r="B3413">
        <f>Sinistrés!J3418</f>
        <v>7312.68</v>
      </c>
      <c r="C3413">
        <f>Sinistrés!X3418</f>
        <v>0</v>
      </c>
      <c r="D3413">
        <f>Sinistrés!L3418</f>
        <v>6.66</v>
      </c>
      <c r="E3413">
        <f>Sinistrés!M3418</f>
        <v>6.66</v>
      </c>
      <c r="F3413">
        <f t="shared" si="106"/>
        <v>0</v>
      </c>
      <c r="G3413">
        <f t="shared" si="107"/>
        <v>1</v>
      </c>
    </row>
    <row r="3414" spans="1:7" hidden="1">
      <c r="A3414" t="str">
        <f>Sinistrés!H3419</f>
        <v>Maïs grain non irrigué</v>
      </c>
      <c r="B3414">
        <f>Sinistrés!J3419</f>
        <v>32433.279999999999</v>
      </c>
      <c r="C3414">
        <f>Sinistrés!X3419</f>
        <v>0</v>
      </c>
      <c r="D3414">
        <f>Sinistrés!L3419</f>
        <v>21.68</v>
      </c>
      <c r="E3414">
        <f>Sinistrés!M3419</f>
        <v>21.68</v>
      </c>
      <c r="F3414">
        <f t="shared" si="106"/>
        <v>0</v>
      </c>
      <c r="G3414">
        <f t="shared" si="107"/>
        <v>1</v>
      </c>
    </row>
    <row r="3415" spans="1:7">
      <c r="A3415" t="str">
        <f>Sinistrés!H3420</f>
        <v>Blé tendre d'hiver</v>
      </c>
      <c r="B3415">
        <f>Sinistrés!J3420</f>
        <v>68884.34</v>
      </c>
      <c r="C3415">
        <f>Sinistrés!X3420</f>
        <v>464.07</v>
      </c>
      <c r="D3415">
        <f>Sinistrés!L3420</f>
        <v>47.7</v>
      </c>
      <c r="E3415">
        <f>Sinistrés!M3420</f>
        <v>47.7</v>
      </c>
      <c r="F3415">
        <f t="shared" si="106"/>
        <v>6.7369448556812766E-3</v>
      </c>
      <c r="G3415">
        <f t="shared" si="107"/>
        <v>1</v>
      </c>
    </row>
    <row r="3416" spans="1:7">
      <c r="A3416" t="str">
        <f>Sinistrés!H3421</f>
        <v>Colza d'hiver</v>
      </c>
      <c r="B3416">
        <f>Sinistrés!J3421</f>
        <v>18337.400000000001</v>
      </c>
      <c r="C3416">
        <f>Sinistrés!X3421</f>
        <v>1791.01</v>
      </c>
      <c r="D3416">
        <f>Sinistrés!L3421</f>
        <v>11.08</v>
      </c>
      <c r="E3416">
        <f>Sinistrés!M3421</f>
        <v>11.08</v>
      </c>
      <c r="F3416">
        <f t="shared" si="106"/>
        <v>9.7669789610304619E-2</v>
      </c>
      <c r="G3416">
        <f t="shared" si="107"/>
        <v>1</v>
      </c>
    </row>
    <row r="3417" spans="1:7" hidden="1">
      <c r="A3417" t="str">
        <f>Sinistrés!H3422</f>
        <v>Soja</v>
      </c>
      <c r="B3417">
        <f>Sinistrés!J3422</f>
        <v>38061.75</v>
      </c>
      <c r="C3417">
        <f>Sinistrés!X3422</f>
        <v>0</v>
      </c>
      <c r="D3417">
        <f>Sinistrés!L3422</f>
        <v>36.86</v>
      </c>
      <c r="E3417">
        <f>Sinistrés!M3422</f>
        <v>36.86</v>
      </c>
      <c r="F3417">
        <f t="shared" si="106"/>
        <v>0</v>
      </c>
      <c r="G3417">
        <f t="shared" si="107"/>
        <v>1</v>
      </c>
    </row>
    <row r="3418" spans="1:7" hidden="1">
      <c r="A3418" t="str">
        <f>Sinistrés!H3423</f>
        <v>Tournesol</v>
      </c>
      <c r="B3418">
        <f>Sinistrés!J3423</f>
        <v>15190.46</v>
      </c>
      <c r="C3418">
        <f>Sinistrés!X3423</f>
        <v>0</v>
      </c>
      <c r="D3418">
        <f>Sinistrés!L3423</f>
        <v>12.07</v>
      </c>
      <c r="E3418">
        <f>Sinistrés!M3423</f>
        <v>12.07</v>
      </c>
      <c r="F3418">
        <f t="shared" si="106"/>
        <v>0</v>
      </c>
      <c r="G3418">
        <f t="shared" si="107"/>
        <v>1</v>
      </c>
    </row>
    <row r="3419" spans="1:7" hidden="1">
      <c r="A3419" t="str">
        <f>Sinistrés!H3424</f>
        <v>Maïs grain non irrigué</v>
      </c>
      <c r="B3419">
        <f>Sinistrés!J3424</f>
        <v>2713.2</v>
      </c>
      <c r="C3419">
        <f>Sinistrés!X3424</f>
        <v>0</v>
      </c>
      <c r="D3419">
        <f>Sinistrés!L3424</f>
        <v>3.23</v>
      </c>
      <c r="E3419">
        <f>Sinistrés!M3424</f>
        <v>3.23</v>
      </c>
      <c r="F3419">
        <f t="shared" si="106"/>
        <v>0</v>
      </c>
      <c r="G3419">
        <f t="shared" si="107"/>
        <v>1</v>
      </c>
    </row>
    <row r="3420" spans="1:7" hidden="1">
      <c r="A3420" t="str">
        <f>Sinistrés!H3425</f>
        <v>Tournesol</v>
      </c>
      <c r="B3420">
        <f>Sinistrés!J3425</f>
        <v>31865.279999999999</v>
      </c>
      <c r="C3420">
        <f>Sinistrés!X3425</f>
        <v>0</v>
      </c>
      <c r="D3420">
        <f>Sinistrés!L3425</f>
        <v>34.94</v>
      </c>
      <c r="E3420">
        <f>Sinistrés!M3425</f>
        <v>34.94</v>
      </c>
      <c r="F3420">
        <f t="shared" si="106"/>
        <v>0</v>
      </c>
      <c r="G3420">
        <f t="shared" si="107"/>
        <v>1</v>
      </c>
    </row>
    <row r="3421" spans="1:7" hidden="1">
      <c r="A3421" t="str">
        <f>Sinistrés!H3426</f>
        <v>Blé tendre d'hiver</v>
      </c>
      <c r="B3421">
        <f>Sinistrés!J3426</f>
        <v>24372</v>
      </c>
      <c r="C3421">
        <f>Sinistrés!X3426</f>
        <v>0</v>
      </c>
      <c r="D3421">
        <f>Sinistrés!L3426</f>
        <v>18</v>
      </c>
      <c r="E3421">
        <f>Sinistrés!M3426</f>
        <v>18</v>
      </c>
      <c r="F3421">
        <f t="shared" si="106"/>
        <v>0</v>
      </c>
      <c r="G3421">
        <f t="shared" si="107"/>
        <v>1</v>
      </c>
    </row>
    <row r="3422" spans="1:7" hidden="1">
      <c r="A3422" t="str">
        <f>Sinistrés!H3427</f>
        <v>Maïs grain non irrigué</v>
      </c>
      <c r="B3422">
        <f>Sinistrés!J3427</f>
        <v>80291</v>
      </c>
      <c r="C3422">
        <f>Sinistrés!X3427</f>
        <v>0</v>
      </c>
      <c r="D3422">
        <f>Sinistrés!L3427</f>
        <v>47.23</v>
      </c>
      <c r="E3422">
        <f>Sinistrés!M3427</f>
        <v>30</v>
      </c>
      <c r="F3422">
        <f t="shared" si="106"/>
        <v>0</v>
      </c>
      <c r="G3422">
        <f t="shared" si="107"/>
        <v>0.63518949820029647</v>
      </c>
    </row>
    <row r="3423" spans="1:7">
      <c r="A3423" t="str">
        <f>Sinistrés!H3428</f>
        <v>Colza d'hiver</v>
      </c>
      <c r="B3423">
        <f>Sinistrés!J3428</f>
        <v>16409.25</v>
      </c>
      <c r="C3423">
        <f>Sinistrés!X3428</f>
        <v>9530.6</v>
      </c>
      <c r="D3423">
        <f>Sinistrés!L3428</f>
        <v>9.35</v>
      </c>
      <c r="E3423">
        <f>Sinistrés!M3428</f>
        <v>9.35</v>
      </c>
      <c r="F3423">
        <f t="shared" si="106"/>
        <v>0.58080655727714559</v>
      </c>
      <c r="G3423">
        <f t="shared" si="107"/>
        <v>1</v>
      </c>
    </row>
    <row r="3424" spans="1:7">
      <c r="A3424" t="str">
        <f>Sinistrés!H3429</f>
        <v>Blé tendre d'hiver</v>
      </c>
      <c r="B3424">
        <f>Sinistrés!J3429</f>
        <v>35475.160000000003</v>
      </c>
      <c r="C3424">
        <f>Sinistrés!X3429</f>
        <v>7282.92</v>
      </c>
      <c r="D3424">
        <f>Sinistrés!L3429</f>
        <v>25.41</v>
      </c>
      <c r="E3424">
        <f>Sinistrés!M3429</f>
        <v>25.41</v>
      </c>
      <c r="F3424">
        <f t="shared" si="106"/>
        <v>0.20529632565434516</v>
      </c>
      <c r="G3424">
        <f t="shared" si="107"/>
        <v>1</v>
      </c>
    </row>
    <row r="3425" spans="1:7" hidden="1">
      <c r="A3425" t="str">
        <f>Sinistrés!H3430</f>
        <v>Blé tendre d'hiver BIO</v>
      </c>
      <c r="B3425">
        <f>Sinistrés!J3430</f>
        <v>20638.8</v>
      </c>
      <c r="C3425">
        <f>Sinistrés!X3430</f>
        <v>1349.46</v>
      </c>
      <c r="D3425">
        <f>Sinistrés!L3430</f>
        <v>63</v>
      </c>
      <c r="E3425">
        <f>Sinistrés!M3430</f>
        <v>63</v>
      </c>
      <c r="F3425">
        <f t="shared" si="106"/>
        <v>6.5384615384615388E-2</v>
      </c>
      <c r="G3425">
        <f t="shared" si="107"/>
        <v>1</v>
      </c>
    </row>
    <row r="3426" spans="1:7" hidden="1">
      <c r="A3426" t="str">
        <f>Sinistrés!H3431</f>
        <v>Lentilles BIO</v>
      </c>
      <c r="B3426">
        <f>Sinistrés!J3431</f>
        <v>5010.72</v>
      </c>
      <c r="C3426">
        <f>Sinistrés!X3431</f>
        <v>0</v>
      </c>
      <c r="D3426">
        <f>Sinistrés!L3431</f>
        <v>4</v>
      </c>
      <c r="E3426">
        <f>Sinistrés!M3431</f>
        <v>4</v>
      </c>
      <c r="F3426">
        <f t="shared" si="106"/>
        <v>0</v>
      </c>
      <c r="G3426">
        <f t="shared" si="107"/>
        <v>1</v>
      </c>
    </row>
    <row r="3427" spans="1:7" hidden="1">
      <c r="A3427" t="str">
        <f>Sinistrés!H3432</f>
        <v>Blé tendre d'hiver</v>
      </c>
      <c r="B3427">
        <f>Sinistrés!J3432</f>
        <v>12085.2</v>
      </c>
      <c r="C3427">
        <f>Sinistrés!X3432</f>
        <v>0</v>
      </c>
      <c r="D3427">
        <f>Sinistrés!L3432</f>
        <v>11.19</v>
      </c>
      <c r="E3427">
        <f>Sinistrés!M3432</f>
        <v>11.19</v>
      </c>
      <c r="F3427">
        <f t="shared" si="106"/>
        <v>0</v>
      </c>
      <c r="G3427">
        <f t="shared" si="107"/>
        <v>1</v>
      </c>
    </row>
    <row r="3428" spans="1:7" hidden="1">
      <c r="A3428" t="str">
        <f>Sinistrés!H3433</f>
        <v>Blé de force</v>
      </c>
      <c r="B3428">
        <f>Sinistrés!J3433</f>
        <v>10620</v>
      </c>
      <c r="C3428">
        <f>Sinistrés!X3433</f>
        <v>0</v>
      </c>
      <c r="D3428">
        <f>Sinistrés!L3433</f>
        <v>8.85</v>
      </c>
      <c r="E3428">
        <f>Sinistrés!M3433</f>
        <v>8.85</v>
      </c>
      <c r="F3428">
        <f t="shared" si="106"/>
        <v>0</v>
      </c>
      <c r="G3428">
        <f t="shared" si="107"/>
        <v>1</v>
      </c>
    </row>
    <row r="3429" spans="1:7" hidden="1">
      <c r="A3429" t="str">
        <f>Sinistrés!H3434</f>
        <v>Orge d'hiver</v>
      </c>
      <c r="B3429">
        <f>Sinistrés!J3434</f>
        <v>5112</v>
      </c>
      <c r="C3429">
        <f>Sinistrés!X3434</f>
        <v>0</v>
      </c>
      <c r="D3429">
        <f>Sinistrés!L3434</f>
        <v>5.68</v>
      </c>
      <c r="E3429">
        <f>Sinistrés!M3434</f>
        <v>5.68</v>
      </c>
      <c r="F3429">
        <f t="shared" si="106"/>
        <v>0</v>
      </c>
      <c r="G3429">
        <f t="shared" si="107"/>
        <v>1</v>
      </c>
    </row>
    <row r="3430" spans="1:7" hidden="1">
      <c r="A3430" t="str">
        <f>Sinistrés!H3435</f>
        <v>Tournesol</v>
      </c>
      <c r="B3430">
        <f>Sinistrés!J3435</f>
        <v>8616.2999999999993</v>
      </c>
      <c r="C3430">
        <f>Sinistrés!X3435</f>
        <v>0</v>
      </c>
      <c r="D3430">
        <f>Sinistrés!L3435</f>
        <v>7.46</v>
      </c>
      <c r="E3430">
        <f>Sinistrés!M3435</f>
        <v>7.46</v>
      </c>
      <c r="F3430">
        <f t="shared" si="106"/>
        <v>0</v>
      </c>
      <c r="G3430">
        <f t="shared" si="107"/>
        <v>1</v>
      </c>
    </row>
    <row r="3431" spans="1:7" hidden="1">
      <c r="A3431" t="str">
        <f>Sinistrés!H3436</f>
        <v>Maïs grain non irrigué</v>
      </c>
      <c r="B3431">
        <f>Sinistrés!J3436</f>
        <v>26732.16</v>
      </c>
      <c r="C3431">
        <f>Sinistrés!X3436</f>
        <v>0</v>
      </c>
      <c r="D3431">
        <f>Sinistrés!L3436</f>
        <v>28.8</v>
      </c>
      <c r="E3431">
        <f>Sinistrés!M3436</f>
        <v>28.8</v>
      </c>
      <c r="F3431">
        <f t="shared" si="106"/>
        <v>0</v>
      </c>
      <c r="G3431">
        <f t="shared" si="107"/>
        <v>1</v>
      </c>
    </row>
    <row r="3432" spans="1:7">
      <c r="A3432" t="str">
        <f>Sinistrés!H3437</f>
        <v>Blé tendre d'hiver</v>
      </c>
      <c r="B3432">
        <f>Sinistrés!J3437</f>
        <v>61062.3</v>
      </c>
      <c r="C3432">
        <f>Sinistrés!X3437</f>
        <v>406.34</v>
      </c>
      <c r="D3432">
        <f>Sinistrés!L3437</f>
        <v>61.4</v>
      </c>
      <c r="E3432">
        <f>Sinistrés!M3437</f>
        <v>61.4</v>
      </c>
      <c r="F3432">
        <f t="shared" si="106"/>
        <v>6.6545151427312753E-3</v>
      </c>
      <c r="G3432">
        <f t="shared" si="107"/>
        <v>1</v>
      </c>
    </row>
    <row r="3433" spans="1:7">
      <c r="A3433" t="str">
        <f>Sinistrés!H3438</f>
        <v>Colza d'hiver</v>
      </c>
      <c r="B3433">
        <f>Sinistrés!J3438</f>
        <v>40470.5</v>
      </c>
      <c r="C3433">
        <f>Sinistrés!X3438</f>
        <v>2551.73</v>
      </c>
      <c r="D3433">
        <f>Sinistrés!L3438</f>
        <v>37.299999999999997</v>
      </c>
      <c r="E3433">
        <f>Sinistrés!M3438</f>
        <v>37.4</v>
      </c>
      <c r="F3433">
        <f t="shared" si="106"/>
        <v>6.3051605490418952E-2</v>
      </c>
      <c r="G3433">
        <f t="shared" si="107"/>
        <v>1.0026809651474531</v>
      </c>
    </row>
    <row r="3434" spans="1:7" hidden="1">
      <c r="A3434" t="str">
        <f>Sinistrés!H3439</f>
        <v>Maïs ensilage non irrigué</v>
      </c>
      <c r="B3434">
        <f>Sinistrés!J3439</f>
        <v>41830.199999999997</v>
      </c>
      <c r="C3434">
        <f>Sinistrés!X3439</f>
        <v>0</v>
      </c>
      <c r="D3434">
        <f>Sinistrés!L3439</f>
        <v>34</v>
      </c>
      <c r="E3434">
        <f>Sinistrés!M3439</f>
        <v>34</v>
      </c>
      <c r="F3434">
        <f t="shared" si="106"/>
        <v>0</v>
      </c>
      <c r="G3434">
        <f t="shared" si="107"/>
        <v>1</v>
      </c>
    </row>
    <row r="3435" spans="1:7">
      <c r="A3435" t="str">
        <f>Sinistrés!H3440</f>
        <v>Maïs grain non irrigué</v>
      </c>
      <c r="B3435">
        <f>Sinistrés!J3440</f>
        <v>25142.400000000001</v>
      </c>
      <c r="C3435">
        <f>Sinistrés!X3440</f>
        <v>1688.98</v>
      </c>
      <c r="D3435">
        <f>Sinistrés!L3440</f>
        <v>16</v>
      </c>
      <c r="E3435">
        <f>Sinistrés!M3440</f>
        <v>16</v>
      </c>
      <c r="F3435">
        <f t="shared" si="106"/>
        <v>6.7176562301132739E-2</v>
      </c>
      <c r="G3435">
        <f t="shared" si="107"/>
        <v>1</v>
      </c>
    </row>
    <row r="3436" spans="1:7">
      <c r="A3436" t="str">
        <f>Sinistrés!H3441</f>
        <v>Blé tendre d'hiver</v>
      </c>
      <c r="B3436">
        <f>Sinistrés!J3441</f>
        <v>20139.05</v>
      </c>
      <c r="C3436">
        <f>Sinistrés!X3441</f>
        <v>3674.11</v>
      </c>
      <c r="D3436">
        <f>Sinistrés!L3441</f>
        <v>14.5</v>
      </c>
      <c r="E3436">
        <f>Sinistrés!M3441</f>
        <v>14.5</v>
      </c>
      <c r="F3436">
        <f t="shared" si="106"/>
        <v>0.18243710602039323</v>
      </c>
      <c r="G3436">
        <f t="shared" si="107"/>
        <v>1</v>
      </c>
    </row>
    <row r="3437" spans="1:7">
      <c r="A3437" t="str">
        <f>Sinistrés!H3442</f>
        <v>Orge de printemps</v>
      </c>
      <c r="B3437">
        <f>Sinistrés!J3442</f>
        <v>60982.720000000001</v>
      </c>
      <c r="C3437">
        <f>Sinistrés!X3442</f>
        <v>10828.74</v>
      </c>
      <c r="D3437">
        <f>Sinistrés!L3442</f>
        <v>25.58</v>
      </c>
      <c r="E3437">
        <f>Sinistrés!M3442</f>
        <v>25.58</v>
      </c>
      <c r="F3437">
        <f t="shared" si="106"/>
        <v>0.17757062984399513</v>
      </c>
      <c r="G3437">
        <f t="shared" si="107"/>
        <v>1</v>
      </c>
    </row>
    <row r="3438" spans="1:7">
      <c r="A3438" t="str">
        <f>Sinistrés!H3443</f>
        <v>Soja</v>
      </c>
      <c r="B3438">
        <f>Sinistrés!J3443</f>
        <v>30564.240000000002</v>
      </c>
      <c r="C3438">
        <f>Sinistrés!X3443</f>
        <v>1021.02</v>
      </c>
      <c r="D3438">
        <f>Sinistrés!L3443</f>
        <v>15.82</v>
      </c>
      <c r="E3438">
        <f>Sinistrés!M3443</f>
        <v>5</v>
      </c>
      <c r="F3438">
        <f t="shared" si="106"/>
        <v>3.3405705491122956E-2</v>
      </c>
      <c r="G3438">
        <f t="shared" si="107"/>
        <v>0.31605562579013907</v>
      </c>
    </row>
    <row r="3439" spans="1:7">
      <c r="A3439" t="str">
        <f>Sinistrés!H3444</f>
        <v>Soja SEMENCES</v>
      </c>
      <c r="B3439">
        <f>Sinistrés!J3444</f>
        <v>56085.96</v>
      </c>
      <c r="C3439">
        <f>Sinistrés!X3444</f>
        <v>11786.24</v>
      </c>
      <c r="D3439">
        <f>Sinistrés!L3444</f>
        <v>29.03</v>
      </c>
      <c r="E3439">
        <f>Sinistrés!M3444</f>
        <v>29.03</v>
      </c>
      <c r="F3439">
        <f t="shared" si="106"/>
        <v>0.21014599732268111</v>
      </c>
      <c r="G3439">
        <f t="shared" si="107"/>
        <v>1</v>
      </c>
    </row>
    <row r="3440" spans="1:7">
      <c r="A3440" t="str">
        <f>Sinistrés!H3445</f>
        <v>Blé tendre d'hiver</v>
      </c>
      <c r="B3440">
        <f>Sinistrés!J3445</f>
        <v>227485.44</v>
      </c>
      <c r="C3440">
        <f>Sinistrés!X3445</f>
        <v>6494.03</v>
      </c>
      <c r="D3440">
        <f>Sinistrés!L3445</f>
        <v>101.92</v>
      </c>
      <c r="E3440">
        <f>Sinistrés!M3445</f>
        <v>70</v>
      </c>
      <c r="F3440">
        <f t="shared" si="106"/>
        <v>2.8547013822071424E-2</v>
      </c>
      <c r="G3440">
        <f t="shared" si="107"/>
        <v>0.68681318681318682</v>
      </c>
    </row>
    <row r="3441" spans="1:7" hidden="1">
      <c r="A3441" t="str">
        <f>Sinistrés!H3446</f>
        <v>Maïs grain non irrigué</v>
      </c>
      <c r="B3441">
        <f>Sinistrés!J3446</f>
        <v>103125.74</v>
      </c>
      <c r="C3441">
        <f>Sinistrés!X3446</f>
        <v>0</v>
      </c>
      <c r="D3441">
        <f>Sinistrés!L3446</f>
        <v>44.62</v>
      </c>
      <c r="E3441">
        <f>Sinistrés!M3446</f>
        <v>30</v>
      </c>
      <c r="F3441">
        <f t="shared" si="106"/>
        <v>0</v>
      </c>
      <c r="G3441">
        <f t="shared" si="107"/>
        <v>0.67234424025100858</v>
      </c>
    </row>
    <row r="3442" spans="1:7">
      <c r="A3442" t="str">
        <f>Sinistrés!H3447</f>
        <v>Colza d'hiver</v>
      </c>
      <c r="B3442">
        <f>Sinistrés!J3447</f>
        <v>65988</v>
      </c>
      <c r="C3442">
        <f>Sinistrés!X3447</f>
        <v>106.2</v>
      </c>
      <c r="D3442">
        <f>Sinistrés!L3447</f>
        <v>47</v>
      </c>
      <c r="E3442">
        <f>Sinistrés!M3447</f>
        <v>5.9</v>
      </c>
      <c r="F3442">
        <f t="shared" si="106"/>
        <v>1.6093835242771413E-3</v>
      </c>
      <c r="G3442">
        <f t="shared" si="107"/>
        <v>0.12553191489361704</v>
      </c>
    </row>
    <row r="3443" spans="1:7" hidden="1">
      <c r="A3443" t="str">
        <f>Sinistrés!H3448</f>
        <v>Soja</v>
      </c>
      <c r="B3443">
        <f>Sinistrés!J3448</f>
        <v>29025</v>
      </c>
      <c r="C3443">
        <f>Sinistrés!X3448</f>
        <v>0</v>
      </c>
      <c r="D3443">
        <f>Sinistrés!L3448</f>
        <v>25</v>
      </c>
      <c r="E3443">
        <f>Sinistrés!M3448</f>
        <v>25</v>
      </c>
      <c r="F3443">
        <f t="shared" si="106"/>
        <v>0</v>
      </c>
      <c r="G3443">
        <f t="shared" si="107"/>
        <v>1</v>
      </c>
    </row>
    <row r="3444" spans="1:7" hidden="1">
      <c r="A3444" t="str">
        <f>Sinistrés!H3449</f>
        <v>Maïs grain non irrigué</v>
      </c>
      <c r="B3444">
        <f>Sinistrés!J3449</f>
        <v>50830.080000000002</v>
      </c>
      <c r="C3444">
        <f>Sinistrés!X3449</f>
        <v>0</v>
      </c>
      <c r="D3444">
        <f>Sinistrés!L3449</f>
        <v>36.6</v>
      </c>
      <c r="E3444">
        <f>Sinistrés!M3449</f>
        <v>30</v>
      </c>
      <c r="F3444">
        <f t="shared" si="106"/>
        <v>0</v>
      </c>
      <c r="G3444">
        <f t="shared" si="107"/>
        <v>0.81967213114754101</v>
      </c>
    </row>
    <row r="3445" spans="1:7" hidden="1">
      <c r="A3445" t="str">
        <f>Sinistrés!H3450</f>
        <v>Blé tendre d'hiver</v>
      </c>
      <c r="B3445">
        <f>Sinistrés!J3450</f>
        <v>106466.42</v>
      </c>
      <c r="C3445">
        <f>Sinistrés!X3450</f>
        <v>0</v>
      </c>
      <c r="D3445">
        <f>Sinistrés!L3450</f>
        <v>72.209999999999994</v>
      </c>
      <c r="E3445">
        <f>Sinistrés!M3450</f>
        <v>72.209999999999994</v>
      </c>
      <c r="F3445">
        <f t="shared" si="106"/>
        <v>0</v>
      </c>
      <c r="G3445">
        <f t="shared" si="107"/>
        <v>1</v>
      </c>
    </row>
    <row r="3446" spans="1:7" hidden="1">
      <c r="A3446" t="str">
        <f>Sinistrés!H3451</f>
        <v>Colza d'hiver</v>
      </c>
      <c r="B3446">
        <f>Sinistrés!J3451</f>
        <v>69171.12</v>
      </c>
      <c r="C3446">
        <f>Sinistrés!X3451</f>
        <v>0</v>
      </c>
      <c r="D3446">
        <f>Sinistrés!L3451</f>
        <v>41.77</v>
      </c>
      <c r="E3446">
        <f>Sinistrés!M3451</f>
        <v>15</v>
      </c>
      <c r="F3446">
        <f t="shared" si="106"/>
        <v>0</v>
      </c>
      <c r="G3446">
        <f t="shared" si="107"/>
        <v>0.35910940866650704</v>
      </c>
    </row>
    <row r="3447" spans="1:7" hidden="1">
      <c r="A3447" t="str">
        <f>Sinistrés!H3452</f>
        <v>Blé tendre d'hiver SEMENCES</v>
      </c>
      <c r="B3447">
        <f>Sinistrés!J3452</f>
        <v>24412.959999999999</v>
      </c>
      <c r="C3447">
        <f>Sinistrés!X3452</f>
        <v>0</v>
      </c>
      <c r="D3447">
        <f>Sinistrés!L3452</f>
        <v>15.73</v>
      </c>
      <c r="E3447">
        <f>Sinistrés!M3452</f>
        <v>15.73</v>
      </c>
      <c r="F3447">
        <f t="shared" si="106"/>
        <v>0</v>
      </c>
      <c r="G3447">
        <f t="shared" si="107"/>
        <v>1</v>
      </c>
    </row>
    <row r="3448" spans="1:7" hidden="1">
      <c r="A3448" t="str">
        <f>Sinistrés!H3453</f>
        <v>Blé tendre d'hiver</v>
      </c>
      <c r="B3448">
        <f>Sinistrés!J3453</f>
        <v>83952.26</v>
      </c>
      <c r="C3448">
        <f>Sinistrés!X3453</f>
        <v>0</v>
      </c>
      <c r="D3448">
        <f>Sinistrés!L3453</f>
        <v>53.2</v>
      </c>
      <c r="E3448">
        <f>Sinistrés!M3453</f>
        <v>24.53</v>
      </c>
      <c r="F3448">
        <f t="shared" si="106"/>
        <v>0</v>
      </c>
      <c r="G3448">
        <f t="shared" si="107"/>
        <v>0.46109022556390977</v>
      </c>
    </row>
    <row r="3449" spans="1:7">
      <c r="A3449" t="str">
        <f>Sinistrés!H3454</f>
        <v>Colza d'hiver</v>
      </c>
      <c r="B3449">
        <f>Sinistrés!J3454</f>
        <v>59867.14</v>
      </c>
      <c r="C3449">
        <f>Sinistrés!X3454</f>
        <v>8065.92</v>
      </c>
      <c r="D3449">
        <f>Sinistrés!L3454</f>
        <v>40.96</v>
      </c>
      <c r="E3449">
        <f>Sinistrés!M3454</f>
        <v>9.18</v>
      </c>
      <c r="F3449">
        <f t="shared" si="106"/>
        <v>0.1347303378781749</v>
      </c>
      <c r="G3449">
        <f t="shared" si="107"/>
        <v>0.22412109375</v>
      </c>
    </row>
    <row r="3450" spans="1:7">
      <c r="A3450" t="str">
        <f>Sinistrés!H3455</f>
        <v>Blé tendre d'hiver</v>
      </c>
      <c r="B3450">
        <f>Sinistrés!J3455</f>
        <v>3853.2</v>
      </c>
      <c r="C3450">
        <f>Sinistrés!X3455</f>
        <v>3277.88</v>
      </c>
      <c r="D3450">
        <f>Sinistrés!L3455</f>
        <v>3.8</v>
      </c>
      <c r="E3450">
        <f>Sinistrés!M3455</f>
        <v>3</v>
      </c>
      <c r="F3450">
        <f t="shared" si="106"/>
        <v>0.85069033530572002</v>
      </c>
      <c r="G3450">
        <f t="shared" si="107"/>
        <v>0.78947368421052633</v>
      </c>
    </row>
    <row r="3451" spans="1:7" hidden="1">
      <c r="A3451" t="str">
        <f>Sinistrés!H3456</f>
        <v>Triticale</v>
      </c>
      <c r="B3451">
        <f>Sinistrés!J3456</f>
        <v>29880</v>
      </c>
      <c r="C3451">
        <f>Sinistrés!X3456</f>
        <v>0</v>
      </c>
      <c r="D3451">
        <f>Sinistrés!L3456</f>
        <v>41.5</v>
      </c>
      <c r="E3451">
        <f>Sinistrés!M3456</f>
        <v>10</v>
      </c>
      <c r="F3451">
        <f t="shared" si="106"/>
        <v>0</v>
      </c>
      <c r="G3451">
        <f t="shared" si="107"/>
        <v>0.24096385542168675</v>
      </c>
    </row>
    <row r="3452" spans="1:7" hidden="1">
      <c r="A3452" t="str">
        <f>Sinistrés!H3457</f>
        <v>Colza d'hiver</v>
      </c>
      <c r="B3452">
        <f>Sinistrés!J3457</f>
        <v>34307</v>
      </c>
      <c r="C3452">
        <f>Sinistrés!X3457</f>
        <v>0</v>
      </c>
      <c r="D3452">
        <f>Sinistrés!L3457</f>
        <v>26</v>
      </c>
      <c r="E3452">
        <f>Sinistrés!M3457</f>
        <v>26</v>
      </c>
      <c r="F3452">
        <f t="shared" si="106"/>
        <v>0</v>
      </c>
      <c r="G3452">
        <f t="shared" si="107"/>
        <v>1</v>
      </c>
    </row>
    <row r="3453" spans="1:7">
      <c r="A3453" t="str">
        <f>Sinistrés!H3458</f>
        <v>Blé tendre d'hiver</v>
      </c>
      <c r="B3453">
        <f>Sinistrés!J3458</f>
        <v>23106.38</v>
      </c>
      <c r="C3453">
        <f>Sinistrés!X3458</f>
        <v>966.86</v>
      </c>
      <c r="D3453">
        <f>Sinistrés!L3458</f>
        <v>21.85</v>
      </c>
      <c r="E3453">
        <f>Sinistrés!M3458</f>
        <v>21.85</v>
      </c>
      <c r="F3453">
        <f t="shared" si="106"/>
        <v>4.1843854381344026E-2</v>
      </c>
      <c r="G3453">
        <f t="shared" si="107"/>
        <v>1</v>
      </c>
    </row>
    <row r="3454" spans="1:7">
      <c r="A3454" t="str">
        <f>Sinistrés!H3459</f>
        <v>Colza d'hiver</v>
      </c>
      <c r="B3454">
        <f>Sinistrés!J3459</f>
        <v>19404.28</v>
      </c>
      <c r="C3454">
        <f>Sinistrés!X3459</f>
        <v>5270.62</v>
      </c>
      <c r="D3454">
        <f>Sinistrés!L3459</f>
        <v>18.73</v>
      </c>
      <c r="E3454">
        <f>Sinistrés!M3459</f>
        <v>18.73</v>
      </c>
      <c r="F3454">
        <f t="shared" si="106"/>
        <v>0.27162151855157729</v>
      </c>
      <c r="G3454">
        <f t="shared" si="107"/>
        <v>1</v>
      </c>
    </row>
    <row r="3455" spans="1:7">
      <c r="A3455" t="str">
        <f>Sinistrés!H3460</f>
        <v>Blé tendre d'hiver</v>
      </c>
      <c r="B3455">
        <f>Sinistrés!J3460</f>
        <v>67712</v>
      </c>
      <c r="C3455">
        <f>Sinistrés!X3460</f>
        <v>6080.96</v>
      </c>
      <c r="D3455">
        <f>Sinistrés!L3460</f>
        <v>52.9</v>
      </c>
      <c r="E3455">
        <f>Sinistrés!M3460</f>
        <v>52.9</v>
      </c>
      <c r="F3455">
        <f t="shared" si="106"/>
        <v>8.9806238185255197E-2</v>
      </c>
      <c r="G3455">
        <f t="shared" si="107"/>
        <v>1</v>
      </c>
    </row>
    <row r="3456" spans="1:7" hidden="1">
      <c r="A3456" t="str">
        <f>Sinistrés!H3461</f>
        <v>Blé tendre d'hiver SEMENCES</v>
      </c>
      <c r="B3456">
        <f>Sinistrés!J3461</f>
        <v>17820</v>
      </c>
      <c r="C3456">
        <f>Sinistrés!X3461</f>
        <v>1782</v>
      </c>
      <c r="D3456">
        <f>Sinistrés!L3461</f>
        <v>11</v>
      </c>
      <c r="E3456">
        <f>Sinistrés!M3461</f>
        <v>11</v>
      </c>
      <c r="F3456">
        <f t="shared" si="106"/>
        <v>0.1</v>
      </c>
      <c r="G3456">
        <f t="shared" si="107"/>
        <v>1</v>
      </c>
    </row>
    <row r="3457" spans="1:7">
      <c r="A3457" t="str">
        <f>Sinistrés!H3462</f>
        <v>Maïs grain irrigué</v>
      </c>
      <c r="B3457">
        <f>Sinistrés!J3462</f>
        <v>16611.98</v>
      </c>
      <c r="C3457">
        <f>Sinistrés!X3462</f>
        <v>830.6</v>
      </c>
      <c r="D3457">
        <f>Sinistrés!L3462</f>
        <v>9.3800000000000008</v>
      </c>
      <c r="E3457">
        <f>Sinistrés!M3462</f>
        <v>9.3800000000000008</v>
      </c>
      <c r="F3457">
        <f t="shared" si="106"/>
        <v>5.0000060197520103E-2</v>
      </c>
      <c r="G3457">
        <f t="shared" si="107"/>
        <v>1</v>
      </c>
    </row>
    <row r="3458" spans="1:7">
      <c r="A3458" t="str">
        <f>Sinistrés!H3463</f>
        <v>Soja SEMENCES</v>
      </c>
      <c r="B3458">
        <f>Sinistrés!J3463</f>
        <v>38500</v>
      </c>
      <c r="C3458">
        <f>Sinistrés!X3463</f>
        <v>3384.15</v>
      </c>
      <c r="D3458">
        <f>Sinistrés!L3463</f>
        <v>27.5</v>
      </c>
      <c r="E3458">
        <f>Sinistrés!M3463</f>
        <v>27.5</v>
      </c>
      <c r="F3458">
        <f t="shared" si="106"/>
        <v>8.7900000000000006E-2</v>
      </c>
      <c r="G3458">
        <f t="shared" si="107"/>
        <v>1</v>
      </c>
    </row>
    <row r="3459" spans="1:7" hidden="1">
      <c r="A3459" t="str">
        <f>Sinistrés!H3464</f>
        <v>Blé tendre d'hiver</v>
      </c>
      <c r="B3459">
        <f>Sinistrés!J3464</f>
        <v>60680</v>
      </c>
      <c r="C3459">
        <f>Sinistrés!X3464</f>
        <v>0</v>
      </c>
      <c r="D3459">
        <f>Sinistrés!L3464</f>
        <v>41</v>
      </c>
      <c r="E3459">
        <f>Sinistrés!M3464</f>
        <v>41</v>
      </c>
      <c r="F3459">
        <f t="shared" ref="F3459:F3522" si="108">C3459/B3459</f>
        <v>0</v>
      </c>
      <c r="G3459">
        <f t="shared" ref="G3459:G3522" si="109">E3459/D3459</f>
        <v>1</v>
      </c>
    </row>
    <row r="3460" spans="1:7" hidden="1">
      <c r="A3460" t="str">
        <f>Sinistrés!H3465</f>
        <v>Maïs ensilage non irrigué</v>
      </c>
      <c r="B3460">
        <f>Sinistrés!J3465</f>
        <v>39307.199999999997</v>
      </c>
      <c r="C3460">
        <f>Sinistrés!X3465</f>
        <v>0</v>
      </c>
      <c r="D3460">
        <f>Sinistrés!L3465</f>
        <v>32</v>
      </c>
      <c r="E3460">
        <f>Sinistrés!M3465</f>
        <v>32</v>
      </c>
      <c r="F3460">
        <f t="shared" si="108"/>
        <v>0</v>
      </c>
      <c r="G3460">
        <f t="shared" si="109"/>
        <v>1</v>
      </c>
    </row>
    <row r="3461" spans="1:7" hidden="1">
      <c r="A3461" t="str">
        <f>Sinistrés!H3466</f>
        <v>Maïs grain non irrigué</v>
      </c>
      <c r="B3461">
        <f>Sinistrés!J3466</f>
        <v>6442.8</v>
      </c>
      <c r="C3461">
        <f>Sinistrés!X3466</f>
        <v>0</v>
      </c>
      <c r="D3461">
        <f>Sinistrés!L3466</f>
        <v>5</v>
      </c>
      <c r="E3461">
        <f>Sinistrés!M3466</f>
        <v>5</v>
      </c>
      <c r="F3461">
        <f t="shared" si="108"/>
        <v>0</v>
      </c>
      <c r="G3461">
        <f t="shared" si="109"/>
        <v>1</v>
      </c>
    </row>
    <row r="3462" spans="1:7" hidden="1">
      <c r="A3462" t="str">
        <f>Sinistrés!H3467</f>
        <v>Orge d'hiver</v>
      </c>
      <c r="B3462">
        <f>Sinistrés!J3467</f>
        <v>19843.25</v>
      </c>
      <c r="C3462">
        <f>Sinistrés!X3467</f>
        <v>0</v>
      </c>
      <c r="D3462">
        <f>Sinistrés!L3467</f>
        <v>17</v>
      </c>
      <c r="E3462">
        <f>Sinistrés!M3467</f>
        <v>17</v>
      </c>
      <c r="F3462">
        <f t="shared" si="108"/>
        <v>0</v>
      </c>
      <c r="G3462">
        <f t="shared" si="109"/>
        <v>1</v>
      </c>
    </row>
    <row r="3463" spans="1:7">
      <c r="A3463" t="str">
        <f>Sinistrés!H3468</f>
        <v>Colza d'hiver</v>
      </c>
      <c r="B3463">
        <f>Sinistrés!J3468</f>
        <v>14740.61</v>
      </c>
      <c r="C3463">
        <f>Sinistrés!X3468</f>
        <v>290.31</v>
      </c>
      <c r="D3463">
        <f>Sinistrés!L3468</f>
        <v>9.4</v>
      </c>
      <c r="E3463">
        <f>Sinistrés!M3468</f>
        <v>3.75</v>
      </c>
      <c r="F3463">
        <f t="shared" si="108"/>
        <v>1.9694571662909471E-2</v>
      </c>
      <c r="G3463">
        <f t="shared" si="109"/>
        <v>0.39893617021276595</v>
      </c>
    </row>
    <row r="3464" spans="1:7" hidden="1">
      <c r="A3464" t="str">
        <f>Sinistrés!H3469</f>
        <v>Blé tendre d'hiver</v>
      </c>
      <c r="B3464">
        <f>Sinistrés!J3469</f>
        <v>7905.15</v>
      </c>
      <c r="C3464">
        <f>Sinistrés!X3469</f>
        <v>0</v>
      </c>
      <c r="D3464">
        <f>Sinistrés!L3469</f>
        <v>6.15</v>
      </c>
      <c r="E3464">
        <f>Sinistrés!M3469</f>
        <v>6.15</v>
      </c>
      <c r="F3464">
        <f t="shared" si="108"/>
        <v>0</v>
      </c>
      <c r="G3464">
        <f t="shared" si="109"/>
        <v>1</v>
      </c>
    </row>
    <row r="3465" spans="1:7" hidden="1">
      <c r="A3465" t="str">
        <f>Sinistrés!H3470</f>
        <v>Blé tendre d'hiver</v>
      </c>
      <c r="B3465">
        <f>Sinistrés!J3470</f>
        <v>4344.62</v>
      </c>
      <c r="C3465">
        <f>Sinistrés!X3470</f>
        <v>0</v>
      </c>
      <c r="D3465">
        <f>Sinistrés!L3470</f>
        <v>3.38</v>
      </c>
      <c r="E3465">
        <f>Sinistrés!M3470</f>
        <v>3.38</v>
      </c>
      <c r="F3465">
        <f t="shared" si="108"/>
        <v>0</v>
      </c>
      <c r="G3465">
        <f t="shared" si="109"/>
        <v>1</v>
      </c>
    </row>
    <row r="3466" spans="1:7" hidden="1">
      <c r="A3466" t="str">
        <f>Sinistrés!H3471</f>
        <v>Orge d'hiver</v>
      </c>
      <c r="B3466">
        <f>Sinistrés!J3471</f>
        <v>10758.57</v>
      </c>
      <c r="C3466">
        <f>Sinistrés!X3471</f>
        <v>0</v>
      </c>
      <c r="D3466">
        <f>Sinistrés!L3471</f>
        <v>9.4600000000000009</v>
      </c>
      <c r="E3466">
        <f>Sinistrés!M3471</f>
        <v>9.4600000000000009</v>
      </c>
      <c r="F3466">
        <f t="shared" si="108"/>
        <v>0</v>
      </c>
      <c r="G3466">
        <f t="shared" si="109"/>
        <v>1</v>
      </c>
    </row>
    <row r="3467" spans="1:7">
      <c r="A3467" t="str">
        <f>Sinistrés!H3472</f>
        <v>Tournesol</v>
      </c>
      <c r="B3467">
        <f>Sinistrés!J3472</f>
        <v>9750.4</v>
      </c>
      <c r="C3467">
        <f>Sinistrés!X3472</f>
        <v>4072.48</v>
      </c>
      <c r="D3467">
        <f>Sinistrés!L3472</f>
        <v>11.08</v>
      </c>
      <c r="E3467">
        <f>Sinistrés!M3472</f>
        <v>11.08</v>
      </c>
      <c r="F3467">
        <f t="shared" si="108"/>
        <v>0.41767312110272403</v>
      </c>
      <c r="G3467">
        <f t="shared" si="109"/>
        <v>1</v>
      </c>
    </row>
    <row r="3468" spans="1:7">
      <c r="A3468" t="str">
        <f>Sinistrés!H3473</f>
        <v>Blé tendre d'hiver</v>
      </c>
      <c r="B3468">
        <f>Sinistrés!J3473</f>
        <v>12452.4</v>
      </c>
      <c r="C3468">
        <f>Sinistrés!X3473</f>
        <v>6927.66</v>
      </c>
      <c r="D3468">
        <f>Sinistrés!L3473</f>
        <v>11.53</v>
      </c>
      <c r="E3468">
        <f>Sinistrés!M3473</f>
        <v>11.53</v>
      </c>
      <c r="F3468">
        <f t="shared" si="108"/>
        <v>0.5563313096270599</v>
      </c>
      <c r="G3468">
        <f t="shared" si="109"/>
        <v>1</v>
      </c>
    </row>
    <row r="3469" spans="1:7">
      <c r="A3469" t="str">
        <f>Sinistrés!H3474</f>
        <v>Blé tendre d'hiver</v>
      </c>
      <c r="B3469">
        <f>Sinistrés!J3474</f>
        <v>39004.239999999998</v>
      </c>
      <c r="C3469">
        <f>Sinistrés!X3474</f>
        <v>4926.8500000000004</v>
      </c>
      <c r="D3469">
        <f>Sinistrés!L3474</f>
        <v>27.94</v>
      </c>
      <c r="E3469">
        <f>Sinistrés!M3474</f>
        <v>27.94</v>
      </c>
      <c r="F3469">
        <f t="shared" si="108"/>
        <v>0.12631575438977918</v>
      </c>
      <c r="G3469">
        <f t="shared" si="109"/>
        <v>1</v>
      </c>
    </row>
    <row r="3470" spans="1:7" hidden="1">
      <c r="A3470" t="str">
        <f>Sinistrés!H3475</f>
        <v>Maïs grain non irrigué</v>
      </c>
      <c r="B3470">
        <f>Sinistrés!J3475</f>
        <v>30421.64</v>
      </c>
      <c r="C3470">
        <f>Sinistrés!X3475</f>
        <v>0</v>
      </c>
      <c r="D3470">
        <f>Sinistrés!L3475</f>
        <v>15.38</v>
      </c>
      <c r="E3470">
        <f>Sinistrés!M3475</f>
        <v>15.38</v>
      </c>
      <c r="F3470">
        <f t="shared" si="108"/>
        <v>0</v>
      </c>
      <c r="G3470">
        <f t="shared" si="109"/>
        <v>1</v>
      </c>
    </row>
    <row r="3471" spans="1:7" hidden="1">
      <c r="A3471" t="str">
        <f>Sinistrés!H3476</f>
        <v>Soja</v>
      </c>
      <c r="B3471">
        <f>Sinistrés!J3476</f>
        <v>16906.96</v>
      </c>
      <c r="C3471">
        <f>Sinistrés!X3476</f>
        <v>0</v>
      </c>
      <c r="D3471">
        <f>Sinistrés!L3476</f>
        <v>18.16</v>
      </c>
      <c r="E3471">
        <f>Sinistrés!M3476</f>
        <v>18.16</v>
      </c>
      <c r="F3471">
        <f t="shared" si="108"/>
        <v>0</v>
      </c>
      <c r="G3471">
        <f t="shared" si="109"/>
        <v>1</v>
      </c>
    </row>
    <row r="3472" spans="1:7" hidden="1">
      <c r="A3472" t="str">
        <f>Sinistrés!H3477</f>
        <v>Orge de printemps</v>
      </c>
      <c r="B3472">
        <f>Sinistrés!J3477</f>
        <v>45066.86</v>
      </c>
      <c r="C3472">
        <f>Sinistrés!X3477</f>
        <v>0</v>
      </c>
      <c r="D3472">
        <f>Sinistrés!L3477</f>
        <v>30.53</v>
      </c>
      <c r="E3472">
        <f>Sinistrés!M3477</f>
        <v>14.45</v>
      </c>
      <c r="F3472">
        <f t="shared" si="108"/>
        <v>0</v>
      </c>
      <c r="G3472">
        <f t="shared" si="109"/>
        <v>0.47330494595479849</v>
      </c>
    </row>
    <row r="3473" spans="1:7">
      <c r="A3473" t="str">
        <f>Sinistrés!H3478</f>
        <v>Colza d'hiver</v>
      </c>
      <c r="B3473">
        <f>Sinistrés!J3478</f>
        <v>50635.199999999997</v>
      </c>
      <c r="C3473">
        <f>Sinistrés!X3478</f>
        <v>2181.04</v>
      </c>
      <c r="D3473">
        <f>Sinistrés!L3478</f>
        <v>28.77</v>
      </c>
      <c r="E3473">
        <f>Sinistrés!M3478</f>
        <v>11</v>
      </c>
      <c r="F3473">
        <f t="shared" si="108"/>
        <v>4.3073593073593076E-2</v>
      </c>
      <c r="G3473">
        <f t="shared" si="109"/>
        <v>0.3823427181091415</v>
      </c>
    </row>
    <row r="3474" spans="1:7" hidden="1">
      <c r="A3474" t="str">
        <f>Sinistrés!H3479</f>
        <v>Blé tendre d'hiver</v>
      </c>
      <c r="B3474">
        <f>Sinistrés!J3479</f>
        <v>71104.77</v>
      </c>
      <c r="C3474">
        <f>Sinistrés!X3479</f>
        <v>0</v>
      </c>
      <c r="D3474">
        <f>Sinistrés!L3479</f>
        <v>59.18</v>
      </c>
      <c r="E3474">
        <f>Sinistrés!M3479</f>
        <v>59.18</v>
      </c>
      <c r="F3474">
        <f t="shared" si="108"/>
        <v>0</v>
      </c>
      <c r="G3474">
        <f t="shared" si="109"/>
        <v>1</v>
      </c>
    </row>
    <row r="3475" spans="1:7" hidden="1">
      <c r="A3475" t="str">
        <f>Sinistrés!H3480</f>
        <v>Orge d'hiver</v>
      </c>
      <c r="B3475">
        <f>Sinistrés!J3480</f>
        <v>42958.080000000002</v>
      </c>
      <c r="C3475">
        <f>Sinistrés!X3480</f>
        <v>0</v>
      </c>
      <c r="D3475">
        <f>Sinistrés!L3480</f>
        <v>37.29</v>
      </c>
      <c r="E3475">
        <f>Sinistrés!M3480</f>
        <v>14</v>
      </c>
      <c r="F3475">
        <f t="shared" si="108"/>
        <v>0</v>
      </c>
      <c r="G3475">
        <f t="shared" si="109"/>
        <v>0.37543577366586217</v>
      </c>
    </row>
    <row r="3476" spans="1:7">
      <c r="A3476" t="str">
        <f>Sinistrés!H3481</f>
        <v>Colza d'hiver</v>
      </c>
      <c r="B3476">
        <f>Sinistrés!J3481</f>
        <v>93870.25</v>
      </c>
      <c r="C3476">
        <f>Sinistrés!X3481</f>
        <v>29500.62</v>
      </c>
      <c r="D3476">
        <f>Sinistrés!L3481</f>
        <v>80.42</v>
      </c>
      <c r="E3476">
        <f>Sinistrés!M3481</f>
        <v>80.42</v>
      </c>
      <c r="F3476">
        <f t="shared" si="108"/>
        <v>0.31427017612076241</v>
      </c>
      <c r="G3476">
        <f t="shared" si="109"/>
        <v>1</v>
      </c>
    </row>
    <row r="3477" spans="1:7">
      <c r="A3477" t="str">
        <f>Sinistrés!H3482</f>
        <v>Soja</v>
      </c>
      <c r="B3477">
        <f>Sinistrés!J3482</f>
        <v>1856.8</v>
      </c>
      <c r="C3477">
        <f>Sinistrés!X3482</f>
        <v>5523.1</v>
      </c>
      <c r="D3477">
        <f>Sinistrés!L3482</f>
        <v>2.2000000000000002</v>
      </c>
      <c r="E3477">
        <f>Sinistrés!M3482</f>
        <v>2.2000000000000002</v>
      </c>
      <c r="F3477">
        <f t="shared" si="108"/>
        <v>2.9745260663507112</v>
      </c>
      <c r="G3477">
        <f t="shared" si="109"/>
        <v>1</v>
      </c>
    </row>
    <row r="3478" spans="1:7" hidden="1">
      <c r="A3478" t="str">
        <f>Sinistrés!H3483</f>
        <v>Soja</v>
      </c>
      <c r="B3478">
        <f>Sinistrés!J3483</f>
        <v>8819.7999999999993</v>
      </c>
      <c r="C3478">
        <f>Sinistrés!X3483</f>
        <v>0</v>
      </c>
      <c r="D3478">
        <f>Sinistrés!L3483</f>
        <v>10.45</v>
      </c>
      <c r="E3478">
        <f>Sinistrés!M3483</f>
        <v>10.45</v>
      </c>
      <c r="F3478">
        <f t="shared" si="108"/>
        <v>0</v>
      </c>
      <c r="G3478">
        <f t="shared" si="109"/>
        <v>1</v>
      </c>
    </row>
    <row r="3479" spans="1:7">
      <c r="A3479" t="str">
        <f>Sinistrés!H3484</f>
        <v>Tournesol</v>
      </c>
      <c r="B3479">
        <f>Sinistrés!J3484</f>
        <v>23006.799999999999</v>
      </c>
      <c r="C3479">
        <f>Sinistrés!X3484</f>
        <v>2555.1799999999998</v>
      </c>
      <c r="D3479">
        <f>Sinistrés!L3484</f>
        <v>25.45</v>
      </c>
      <c r="E3479">
        <f>Sinistrés!M3484</f>
        <v>25.45</v>
      </c>
      <c r="F3479">
        <f t="shared" si="108"/>
        <v>0.11106194690265486</v>
      </c>
      <c r="G3479">
        <f t="shared" si="109"/>
        <v>1</v>
      </c>
    </row>
    <row r="3480" spans="1:7">
      <c r="A3480" t="str">
        <f>Sinistrés!H3485</f>
        <v>Tournesol</v>
      </c>
      <c r="B3480">
        <f>Sinistrés!J3485</f>
        <v>12732.66</v>
      </c>
      <c r="C3480">
        <f>Sinistrés!X3485</f>
        <v>3182.12</v>
      </c>
      <c r="D3480">
        <f>Sinistrés!L3485</f>
        <v>16.149999999999999</v>
      </c>
      <c r="E3480">
        <f>Sinistrés!M3485</f>
        <v>16.149999999999999</v>
      </c>
      <c r="F3480">
        <f t="shared" si="108"/>
        <v>0.24991792759721848</v>
      </c>
      <c r="G3480">
        <f t="shared" si="109"/>
        <v>1</v>
      </c>
    </row>
    <row r="3481" spans="1:7">
      <c r="A3481" t="str">
        <f>Sinistrés!H3486</f>
        <v>Maïs ensilage irrigué</v>
      </c>
      <c r="B3481">
        <f>Sinistrés!J3486</f>
        <v>62959.64</v>
      </c>
      <c r="C3481">
        <f>Sinistrés!X3486</f>
        <v>2446.92</v>
      </c>
      <c r="D3481">
        <f>Sinistrés!L3486</f>
        <v>38.840000000000003</v>
      </c>
      <c r="E3481">
        <f>Sinistrés!M3486</f>
        <v>38</v>
      </c>
      <c r="F3481">
        <f t="shared" si="108"/>
        <v>3.886489821098088E-2</v>
      </c>
      <c r="G3481">
        <f t="shared" si="109"/>
        <v>0.9783728115345004</v>
      </c>
    </row>
    <row r="3482" spans="1:7" hidden="1">
      <c r="A3482" t="str">
        <f>Sinistrés!H3487</f>
        <v>Tournesol</v>
      </c>
      <c r="B3482">
        <f>Sinistrés!J3487</f>
        <v>4148.4799999999996</v>
      </c>
      <c r="C3482">
        <f>Sinistrés!X3487</f>
        <v>0</v>
      </c>
      <c r="D3482">
        <f>Sinistrés!L3487</f>
        <v>4.63</v>
      </c>
      <c r="E3482">
        <f>Sinistrés!M3487</f>
        <v>4</v>
      </c>
      <c r="F3482">
        <f t="shared" si="108"/>
        <v>0</v>
      </c>
      <c r="G3482">
        <f t="shared" si="109"/>
        <v>0.86393088552915764</v>
      </c>
    </row>
    <row r="3483" spans="1:7" hidden="1">
      <c r="A3483" t="str">
        <f>Sinistrés!H3488</f>
        <v>Vigne à raisin de cuve (VCU1)</v>
      </c>
      <c r="B3483">
        <f>Sinistrés!J3488</f>
        <v>527391.15</v>
      </c>
      <c r="C3483">
        <f>Sinistrés!X3488</f>
        <v>0</v>
      </c>
      <c r="D3483">
        <f>Sinistrés!L3488</f>
        <v>57.18</v>
      </c>
      <c r="E3483">
        <f>Sinistrés!M3488</f>
        <v>39.65</v>
      </c>
      <c r="F3483">
        <f t="shared" si="108"/>
        <v>0</v>
      </c>
      <c r="G3483">
        <f t="shared" si="109"/>
        <v>0.69342427422175579</v>
      </c>
    </row>
    <row r="3484" spans="1:7">
      <c r="A3484" t="str">
        <f>Sinistrés!H3489</f>
        <v>Tournesol</v>
      </c>
      <c r="B3484">
        <f>Sinistrés!J3489</f>
        <v>30680.33</v>
      </c>
      <c r="C3484">
        <f>Sinistrés!X3489</f>
        <v>9404.3799999999992</v>
      </c>
      <c r="D3484">
        <f>Sinistrés!L3489</f>
        <v>32.880000000000003</v>
      </c>
      <c r="E3484">
        <f>Sinistrés!M3489</f>
        <v>32.880000000000003</v>
      </c>
      <c r="F3484">
        <f t="shared" si="108"/>
        <v>0.30652799366890771</v>
      </c>
      <c r="G3484">
        <f t="shared" si="109"/>
        <v>1</v>
      </c>
    </row>
    <row r="3485" spans="1:7">
      <c r="A3485" t="str">
        <f>Sinistrés!H3490</f>
        <v>Soja</v>
      </c>
      <c r="B3485">
        <f>Sinistrés!J3490</f>
        <v>3933.04</v>
      </c>
      <c r="C3485">
        <f>Sinistrés!X3490</f>
        <v>2088.06</v>
      </c>
      <c r="D3485">
        <f>Sinistrés!L3490</f>
        <v>4.22</v>
      </c>
      <c r="E3485">
        <f>Sinistrés!M3490</f>
        <v>4.22</v>
      </c>
      <c r="F3485">
        <f t="shared" si="108"/>
        <v>0.53090230457864651</v>
      </c>
      <c r="G3485">
        <f t="shared" si="109"/>
        <v>1</v>
      </c>
    </row>
    <row r="3486" spans="1:7" hidden="1">
      <c r="A3486" t="str">
        <f>Sinistrés!H3491</f>
        <v>Tournesol</v>
      </c>
      <c r="B3486">
        <f>Sinistrés!J3491</f>
        <v>33680.92</v>
      </c>
      <c r="C3486">
        <f>Sinistrés!X3491</f>
        <v>0</v>
      </c>
      <c r="D3486">
        <f>Sinistrés!L3491</f>
        <v>38.96</v>
      </c>
      <c r="E3486">
        <f>Sinistrés!M3491</f>
        <v>38.96</v>
      </c>
      <c r="F3486">
        <f t="shared" si="108"/>
        <v>0</v>
      </c>
      <c r="G3486">
        <f t="shared" si="109"/>
        <v>1</v>
      </c>
    </row>
    <row r="3487" spans="1:7" hidden="1">
      <c r="A3487" t="str">
        <f>Sinistrés!H3492</f>
        <v>Blé tendre d'hiver</v>
      </c>
      <c r="B3487">
        <f>Sinistrés!J3492</f>
        <v>41252.25</v>
      </c>
      <c r="C3487">
        <f>Sinistrés!X3492</f>
        <v>0</v>
      </c>
      <c r="D3487">
        <f>Sinistrés!L3492</f>
        <v>42.31</v>
      </c>
      <c r="E3487">
        <f>Sinistrés!M3492</f>
        <v>42.31</v>
      </c>
      <c r="F3487">
        <f t="shared" si="108"/>
        <v>0</v>
      </c>
      <c r="G3487">
        <f t="shared" si="109"/>
        <v>1</v>
      </c>
    </row>
    <row r="3488" spans="1:7">
      <c r="A3488" t="str">
        <f>Sinistrés!H3493</f>
        <v>Colza d'hiver</v>
      </c>
      <c r="B3488">
        <f>Sinistrés!J3493</f>
        <v>26864.25</v>
      </c>
      <c r="C3488">
        <f>Sinistrés!X3493</f>
        <v>1381.59</v>
      </c>
      <c r="D3488">
        <f>Sinistrés!L3493</f>
        <v>21.93</v>
      </c>
      <c r="E3488">
        <f>Sinistrés!M3493</f>
        <v>21.93</v>
      </c>
      <c r="F3488">
        <f t="shared" si="108"/>
        <v>5.1428571428571428E-2</v>
      </c>
      <c r="G3488">
        <f t="shared" si="109"/>
        <v>1</v>
      </c>
    </row>
    <row r="3489" spans="1:7" hidden="1">
      <c r="A3489" t="str">
        <f>Sinistrés!H3494</f>
        <v>Maïs ensilage non irrigué</v>
      </c>
      <c r="B3489">
        <f>Sinistrés!J3494</f>
        <v>28125</v>
      </c>
      <c r="C3489">
        <f>Sinistrés!X3494</f>
        <v>0</v>
      </c>
      <c r="D3489">
        <f>Sinistrés!L3494</f>
        <v>25</v>
      </c>
      <c r="E3489">
        <f>Sinistrés!M3494</f>
        <v>25</v>
      </c>
      <c r="F3489">
        <f t="shared" si="108"/>
        <v>0</v>
      </c>
      <c r="G3489">
        <f t="shared" si="109"/>
        <v>1</v>
      </c>
    </row>
    <row r="3490" spans="1:7" hidden="1">
      <c r="A3490" t="str">
        <f>Sinistrés!H3495</f>
        <v>Maïs grain non irrigué</v>
      </c>
      <c r="B3490">
        <f>Sinistrés!J3495</f>
        <v>28761.59</v>
      </c>
      <c r="C3490">
        <f>Sinistrés!X3495</f>
        <v>0</v>
      </c>
      <c r="D3490">
        <f>Sinistrés!L3495</f>
        <v>21.22</v>
      </c>
      <c r="E3490">
        <f>Sinistrés!M3495</f>
        <v>8.77</v>
      </c>
      <c r="F3490">
        <f t="shared" si="108"/>
        <v>0</v>
      </c>
      <c r="G3490">
        <f t="shared" si="109"/>
        <v>0.41328934967012254</v>
      </c>
    </row>
    <row r="3491" spans="1:7" hidden="1">
      <c r="A3491" t="str">
        <f>Sinistrés!H3496</f>
        <v>Soja</v>
      </c>
      <c r="B3491">
        <f>Sinistrés!J3496</f>
        <v>19093.91</v>
      </c>
      <c r="C3491">
        <f>Sinistrés!X3496</f>
        <v>0</v>
      </c>
      <c r="D3491">
        <f>Sinistrés!L3496</f>
        <v>19.649999999999999</v>
      </c>
      <c r="E3491">
        <f>Sinistrés!M3496</f>
        <v>3.62</v>
      </c>
      <c r="F3491">
        <f t="shared" si="108"/>
        <v>0</v>
      </c>
      <c r="G3491">
        <f t="shared" si="109"/>
        <v>0.18422391857506362</v>
      </c>
    </row>
    <row r="3492" spans="1:7" hidden="1">
      <c r="A3492" t="str">
        <f>Sinistrés!H3497</f>
        <v>Blé tendre d'hiver</v>
      </c>
      <c r="B3492">
        <f>Sinistrés!J3497</f>
        <v>73906.080000000002</v>
      </c>
      <c r="C3492">
        <f>Sinistrés!X3497</f>
        <v>0</v>
      </c>
      <c r="D3492">
        <f>Sinistrés!L3497</f>
        <v>58.47</v>
      </c>
      <c r="E3492">
        <f>Sinistrés!M3497</f>
        <v>37.78</v>
      </c>
      <c r="F3492">
        <f t="shared" si="108"/>
        <v>0</v>
      </c>
      <c r="G3492">
        <f t="shared" si="109"/>
        <v>0.64614332136138197</v>
      </c>
    </row>
    <row r="3493" spans="1:7" hidden="1">
      <c r="A3493" t="str">
        <f>Sinistrés!H3498</f>
        <v>Blé tendre d'hiver SEMENCES</v>
      </c>
      <c r="B3493">
        <f>Sinistrés!J3498</f>
        <v>13328</v>
      </c>
      <c r="C3493">
        <f>Sinistrés!X3498</f>
        <v>0</v>
      </c>
      <c r="D3493">
        <f>Sinistrés!L3498</f>
        <v>10</v>
      </c>
      <c r="E3493">
        <f>Sinistrés!M3498</f>
        <v>10</v>
      </c>
      <c r="F3493">
        <f t="shared" si="108"/>
        <v>0</v>
      </c>
      <c r="G3493">
        <f t="shared" si="109"/>
        <v>1</v>
      </c>
    </row>
    <row r="3494" spans="1:7" hidden="1">
      <c r="A3494" t="str">
        <f>Sinistrés!H3499</f>
        <v>Blé tendre d'hiver</v>
      </c>
      <c r="B3494">
        <f>Sinistrés!J3499</f>
        <v>30046.799999999999</v>
      </c>
      <c r="C3494">
        <f>Sinistrés!X3499</f>
        <v>0</v>
      </c>
      <c r="D3494">
        <f>Sinistrés!L3499</f>
        <v>30.66</v>
      </c>
      <c r="E3494">
        <f>Sinistrés!M3499</f>
        <v>30.66</v>
      </c>
      <c r="F3494">
        <f t="shared" si="108"/>
        <v>0</v>
      </c>
      <c r="G3494">
        <f t="shared" si="109"/>
        <v>1</v>
      </c>
    </row>
    <row r="3495" spans="1:7">
      <c r="A3495" t="str">
        <f>Sinistrés!H3500</f>
        <v>Colza d'hiver</v>
      </c>
      <c r="B3495">
        <f>Sinistrés!J3500</f>
        <v>13244.7</v>
      </c>
      <c r="C3495">
        <f>Sinistrés!X3500</f>
        <v>399</v>
      </c>
      <c r="D3495">
        <f>Sinistrés!L3500</f>
        <v>11.13</v>
      </c>
      <c r="E3495">
        <f>Sinistrés!M3500</f>
        <v>11.13</v>
      </c>
      <c r="F3495">
        <f t="shared" si="108"/>
        <v>3.01252576502299E-2</v>
      </c>
      <c r="G3495">
        <f t="shared" si="109"/>
        <v>1</v>
      </c>
    </row>
    <row r="3496" spans="1:7" hidden="1">
      <c r="A3496" t="str">
        <f>Sinistrés!H3501</f>
        <v>Maïs grain non irrigué</v>
      </c>
      <c r="B3496">
        <f>Sinistrés!J3501</f>
        <v>18401.8</v>
      </c>
      <c r="C3496">
        <f>Sinistrés!X3501</f>
        <v>0</v>
      </c>
      <c r="D3496">
        <f>Sinistrés!L3501</f>
        <v>14.46</v>
      </c>
      <c r="E3496">
        <f>Sinistrés!M3501</f>
        <v>14.46</v>
      </c>
      <c r="F3496">
        <f t="shared" si="108"/>
        <v>0</v>
      </c>
      <c r="G3496">
        <f t="shared" si="109"/>
        <v>1</v>
      </c>
    </row>
    <row r="3497" spans="1:7">
      <c r="A3497" t="str">
        <f>Sinistrés!H3502</f>
        <v>Blé tendre d'hiver</v>
      </c>
      <c r="B3497">
        <f>Sinistrés!J3502</f>
        <v>118350.16</v>
      </c>
      <c r="C3497">
        <f>Sinistrés!X3502</f>
        <v>48780.94</v>
      </c>
      <c r="D3497">
        <f>Sinistrés!L3502</f>
        <v>106.43</v>
      </c>
      <c r="E3497">
        <f>Sinistrés!M3502</f>
        <v>106.43</v>
      </c>
      <c r="F3497">
        <f t="shared" si="108"/>
        <v>0.41217468569539745</v>
      </c>
      <c r="G3497">
        <f t="shared" si="109"/>
        <v>1</v>
      </c>
    </row>
    <row r="3498" spans="1:7">
      <c r="A3498" t="str">
        <f>Sinistrés!H3503</f>
        <v>Tournesol</v>
      </c>
      <c r="B3498">
        <f>Sinistrés!J3503</f>
        <v>51525.72</v>
      </c>
      <c r="C3498">
        <f>Sinistrés!X3503</f>
        <v>20467.16</v>
      </c>
      <c r="D3498">
        <f>Sinistrés!L3503</f>
        <v>53.01</v>
      </c>
      <c r="E3498">
        <f>Sinistrés!M3503</f>
        <v>53.01</v>
      </c>
      <c r="F3498">
        <f t="shared" si="108"/>
        <v>0.3972222028144391</v>
      </c>
      <c r="G3498">
        <f t="shared" si="109"/>
        <v>1</v>
      </c>
    </row>
    <row r="3499" spans="1:7">
      <c r="A3499" t="str">
        <f>Sinistrés!H3504</f>
        <v>Maïs grain non irrigué</v>
      </c>
      <c r="B3499">
        <f>Sinistrés!J3504</f>
        <v>4362.72</v>
      </c>
      <c r="C3499">
        <f>Sinistrés!X3504</f>
        <v>964.78</v>
      </c>
      <c r="D3499">
        <f>Sinistrés!L3504</f>
        <v>3.66</v>
      </c>
      <c r="E3499">
        <f>Sinistrés!M3504</f>
        <v>3.66</v>
      </c>
      <c r="F3499">
        <f t="shared" si="108"/>
        <v>0.22114185645652251</v>
      </c>
      <c r="G3499">
        <f t="shared" si="109"/>
        <v>1</v>
      </c>
    </row>
    <row r="3500" spans="1:7" hidden="1">
      <c r="A3500" t="str">
        <f>Sinistrés!H3505</f>
        <v>Colza d'hiver</v>
      </c>
      <c r="B3500">
        <f>Sinistrés!J3505</f>
        <v>28710</v>
      </c>
      <c r="C3500">
        <f>Sinistrés!X3505</f>
        <v>0</v>
      </c>
      <c r="D3500">
        <f>Sinistrés!L3505</f>
        <v>14.5</v>
      </c>
      <c r="E3500">
        <f>Sinistrés!M3505</f>
        <v>14.5</v>
      </c>
      <c r="F3500">
        <f t="shared" si="108"/>
        <v>0</v>
      </c>
      <c r="G3500">
        <f t="shared" si="109"/>
        <v>1</v>
      </c>
    </row>
    <row r="3501" spans="1:7">
      <c r="A3501" t="str">
        <f>Sinistrés!H3506</f>
        <v>Maïs grain irrigué</v>
      </c>
      <c r="B3501">
        <f>Sinistrés!J3506</f>
        <v>22518</v>
      </c>
      <c r="C3501">
        <f>Sinistrés!X3506</f>
        <v>925.74</v>
      </c>
      <c r="D3501">
        <f>Sinistrés!L3506</f>
        <v>13.9</v>
      </c>
      <c r="E3501">
        <f>Sinistrés!M3506</f>
        <v>13.9</v>
      </c>
      <c r="F3501">
        <f t="shared" si="108"/>
        <v>4.1111111111111112E-2</v>
      </c>
      <c r="G3501">
        <f t="shared" si="109"/>
        <v>1</v>
      </c>
    </row>
    <row r="3502" spans="1:7" hidden="1">
      <c r="A3502" t="str">
        <f>Sinistrés!H3507</f>
        <v>Soja BIO</v>
      </c>
      <c r="B3502">
        <f>Sinistrés!J3507</f>
        <v>15873</v>
      </c>
      <c r="C3502">
        <f>Sinistrés!X3507</f>
        <v>0</v>
      </c>
      <c r="D3502">
        <f>Sinistrés!L3507</f>
        <v>28.6</v>
      </c>
      <c r="E3502">
        <f>Sinistrés!M3507</f>
        <v>28.6</v>
      </c>
      <c r="F3502">
        <f t="shared" si="108"/>
        <v>0</v>
      </c>
      <c r="G3502">
        <f t="shared" si="109"/>
        <v>1</v>
      </c>
    </row>
    <row r="3503" spans="1:7">
      <c r="A3503" t="str">
        <f>Sinistrés!H3508</f>
        <v>Blé de force</v>
      </c>
      <c r="B3503">
        <f>Sinistrés!J3508</f>
        <v>28374.5</v>
      </c>
      <c r="C3503">
        <f>Sinistrés!X3508</f>
        <v>855.36</v>
      </c>
      <c r="D3503">
        <f>Sinistrés!L3508</f>
        <v>23.45</v>
      </c>
      <c r="E3503">
        <f>Sinistrés!M3508</f>
        <v>23.45</v>
      </c>
      <c r="F3503">
        <f t="shared" si="108"/>
        <v>3.0145377011048653E-2</v>
      </c>
      <c r="G3503">
        <f t="shared" si="109"/>
        <v>1</v>
      </c>
    </row>
    <row r="3504" spans="1:7">
      <c r="A3504" t="str">
        <f>Sinistrés!H3509</f>
        <v>Blé dur d'hiver</v>
      </c>
      <c r="B3504">
        <f>Sinistrés!J3509</f>
        <v>40800</v>
      </c>
      <c r="C3504">
        <f>Sinistrés!X3509</f>
        <v>1200</v>
      </c>
      <c r="D3504">
        <f>Sinistrés!L3509</f>
        <v>27.2</v>
      </c>
      <c r="E3504">
        <f>Sinistrés!M3509</f>
        <v>27.2</v>
      </c>
      <c r="F3504">
        <f t="shared" si="108"/>
        <v>2.9411764705882353E-2</v>
      </c>
      <c r="G3504">
        <f t="shared" si="109"/>
        <v>1</v>
      </c>
    </row>
    <row r="3505" spans="1:7" hidden="1">
      <c r="A3505" t="str">
        <f>Sinistrés!H3510</f>
        <v>Soja</v>
      </c>
      <c r="B3505">
        <f>Sinistrés!J3510</f>
        <v>16604.560000000001</v>
      </c>
      <c r="C3505">
        <f>Sinistrés!X3510</f>
        <v>0</v>
      </c>
      <c r="D3505">
        <f>Sinistrés!L3510</f>
        <v>16.63</v>
      </c>
      <c r="E3505">
        <f>Sinistrés!M3510</f>
        <v>12</v>
      </c>
      <c r="F3505">
        <f t="shared" si="108"/>
        <v>0</v>
      </c>
      <c r="G3505">
        <f t="shared" si="109"/>
        <v>0.72158749248346366</v>
      </c>
    </row>
    <row r="3506" spans="1:7" hidden="1">
      <c r="A3506" t="str">
        <f>Sinistrés!H3511</f>
        <v>Maïs grain non irrigué</v>
      </c>
      <c r="B3506">
        <f>Sinistrés!J3511</f>
        <v>25013.48</v>
      </c>
      <c r="C3506">
        <f>Sinistrés!X3511</f>
        <v>0</v>
      </c>
      <c r="D3506">
        <f>Sinistrés!L3511</f>
        <v>15.04</v>
      </c>
      <c r="E3506">
        <f>Sinistrés!M3511</f>
        <v>12</v>
      </c>
      <c r="F3506">
        <f t="shared" si="108"/>
        <v>0</v>
      </c>
      <c r="G3506">
        <f t="shared" si="109"/>
        <v>0.79787234042553201</v>
      </c>
    </row>
    <row r="3507" spans="1:7" hidden="1">
      <c r="A3507" t="str">
        <f>Sinistrés!H3512</f>
        <v>Soja</v>
      </c>
      <c r="B3507">
        <f>Sinistrés!J3512</f>
        <v>12890.8</v>
      </c>
      <c r="C3507">
        <f>Sinistrés!X3512</f>
        <v>0</v>
      </c>
      <c r="D3507">
        <f>Sinistrés!L3512</f>
        <v>9.64</v>
      </c>
      <c r="E3507">
        <f>Sinistrés!M3512</f>
        <v>9.64</v>
      </c>
      <c r="F3507">
        <f t="shared" si="108"/>
        <v>0</v>
      </c>
      <c r="G3507">
        <f t="shared" si="109"/>
        <v>1</v>
      </c>
    </row>
    <row r="3508" spans="1:7" hidden="1">
      <c r="A3508" t="str">
        <f>Sinistrés!H3513</f>
        <v>Blé tendre d'hiver</v>
      </c>
      <c r="B3508">
        <f>Sinistrés!J3513</f>
        <v>9800.34</v>
      </c>
      <c r="C3508">
        <f>Sinistrés!X3513</f>
        <v>0</v>
      </c>
      <c r="D3508">
        <f>Sinistrés!L3513</f>
        <v>6.35</v>
      </c>
      <c r="E3508">
        <f>Sinistrés!M3513</f>
        <v>6.35</v>
      </c>
      <c r="F3508">
        <f t="shared" si="108"/>
        <v>0</v>
      </c>
      <c r="G3508">
        <f t="shared" si="109"/>
        <v>1</v>
      </c>
    </row>
    <row r="3509" spans="1:7" hidden="1">
      <c r="A3509" t="str">
        <f>Sinistrés!H3514</f>
        <v>Vigne à raisin de cuve (VCU1)</v>
      </c>
      <c r="B3509">
        <f>Sinistrés!J3514</f>
        <v>60977.96</v>
      </c>
      <c r="C3509">
        <f>Sinistrés!X3514</f>
        <v>0</v>
      </c>
      <c r="D3509">
        <f>Sinistrés!L3514</f>
        <v>15.35</v>
      </c>
      <c r="E3509">
        <f>Sinistrés!M3514</f>
        <v>15.35</v>
      </c>
      <c r="F3509">
        <f t="shared" si="108"/>
        <v>0</v>
      </c>
      <c r="G3509">
        <f t="shared" si="109"/>
        <v>1</v>
      </c>
    </row>
    <row r="3510" spans="1:7" hidden="1">
      <c r="A3510" t="str">
        <f>Sinistrés!H3515</f>
        <v>Vigne à raisin de cuve (VCU1)</v>
      </c>
      <c r="B3510">
        <f>Sinistrés!J3515</f>
        <v>87377.279999999999</v>
      </c>
      <c r="C3510">
        <f>Sinistrés!X3515</f>
        <v>0</v>
      </c>
      <c r="D3510">
        <f>Sinistrés!L3515</f>
        <v>3.4</v>
      </c>
      <c r="E3510">
        <f>Sinistrés!M3515</f>
        <v>0.38</v>
      </c>
      <c r="F3510">
        <f t="shared" si="108"/>
        <v>0</v>
      </c>
      <c r="G3510">
        <f t="shared" si="109"/>
        <v>0.11176470588235295</v>
      </c>
    </row>
    <row r="3511" spans="1:7">
      <c r="A3511" t="str">
        <f>Sinistrés!H3516</f>
        <v>Blé dur d'hiver</v>
      </c>
      <c r="B3511">
        <f>Sinistrés!J3516</f>
        <v>26863.200000000001</v>
      </c>
      <c r="C3511">
        <f>Sinistrés!X3516</f>
        <v>2359.69</v>
      </c>
      <c r="D3511">
        <f>Sinistrés!L3516</f>
        <v>19.68</v>
      </c>
      <c r="E3511">
        <f>Sinistrés!M3516</f>
        <v>19.68</v>
      </c>
      <c r="F3511">
        <f t="shared" si="108"/>
        <v>8.7840986926352782E-2</v>
      </c>
      <c r="G3511">
        <f t="shared" si="109"/>
        <v>1</v>
      </c>
    </row>
    <row r="3512" spans="1:7">
      <c r="A3512" t="str">
        <f>Sinistrés!H3517</f>
        <v>Blé tendre d'hiver</v>
      </c>
      <c r="B3512">
        <f>Sinistrés!J3517</f>
        <v>20477.84</v>
      </c>
      <c r="C3512">
        <f>Sinistrés!X3517</f>
        <v>1494.3</v>
      </c>
      <c r="D3512">
        <f>Sinistrés!L3517</f>
        <v>19.09</v>
      </c>
      <c r="E3512">
        <f>Sinistrés!M3517</f>
        <v>19.09</v>
      </c>
      <c r="F3512">
        <f t="shared" si="108"/>
        <v>7.2971563407078083E-2</v>
      </c>
      <c r="G3512">
        <f t="shared" si="109"/>
        <v>1</v>
      </c>
    </row>
    <row r="3513" spans="1:7" hidden="1">
      <c r="A3513" t="str">
        <f>Sinistrés!H3518</f>
        <v>Orge de printemps</v>
      </c>
      <c r="B3513">
        <f>Sinistrés!J3518</f>
        <v>11681.28</v>
      </c>
      <c r="C3513">
        <f>Sinistrés!X3518</f>
        <v>0</v>
      </c>
      <c r="D3513">
        <f>Sinistrés!L3518</f>
        <v>14.04</v>
      </c>
      <c r="E3513">
        <f>Sinistrés!M3518</f>
        <v>14.04</v>
      </c>
      <c r="F3513">
        <f t="shared" si="108"/>
        <v>0</v>
      </c>
      <c r="G3513">
        <f t="shared" si="109"/>
        <v>1</v>
      </c>
    </row>
    <row r="3514" spans="1:7">
      <c r="A3514" t="str">
        <f>Sinistrés!H3519</f>
        <v>Soja</v>
      </c>
      <c r="B3514">
        <f>Sinistrés!J3519</f>
        <v>12383.81</v>
      </c>
      <c r="C3514">
        <f>Sinistrés!X3519</f>
        <v>6194.44</v>
      </c>
      <c r="D3514">
        <f>Sinistrés!L3519</f>
        <v>18.670000000000002</v>
      </c>
      <c r="E3514">
        <f>Sinistrés!M3519</f>
        <v>18.670000000000002</v>
      </c>
      <c r="F3514">
        <f t="shared" si="108"/>
        <v>0.50020470275302997</v>
      </c>
      <c r="G3514">
        <f t="shared" si="109"/>
        <v>1</v>
      </c>
    </row>
    <row r="3515" spans="1:7">
      <c r="A3515" t="str">
        <f>Sinistrés!H3520</f>
        <v>Tournesol</v>
      </c>
      <c r="B3515">
        <f>Sinistrés!J3520</f>
        <v>17146.36</v>
      </c>
      <c r="C3515">
        <f>Sinistrés!X3520</f>
        <v>2387.36</v>
      </c>
      <c r="D3515">
        <f>Sinistrés!L3520</f>
        <v>20.51</v>
      </c>
      <c r="E3515">
        <f>Sinistrés!M3520</f>
        <v>20.51</v>
      </c>
      <c r="F3515">
        <f t="shared" si="108"/>
        <v>0.13923421647510026</v>
      </c>
      <c r="G3515">
        <f t="shared" si="109"/>
        <v>1</v>
      </c>
    </row>
    <row r="3516" spans="1:7" hidden="1">
      <c r="A3516" t="str">
        <f>Sinistrés!H3521</f>
        <v>Blé tendre d'hiver</v>
      </c>
      <c r="B3516">
        <f>Sinistrés!J3521</f>
        <v>44225.5</v>
      </c>
      <c r="C3516">
        <f>Sinistrés!X3521</f>
        <v>0</v>
      </c>
      <c r="D3516">
        <f>Sinistrés!L3521</f>
        <v>55</v>
      </c>
      <c r="E3516">
        <f>Sinistrés!M3521</f>
        <v>55</v>
      </c>
      <c r="F3516">
        <f t="shared" si="108"/>
        <v>0</v>
      </c>
      <c r="G3516">
        <f t="shared" si="109"/>
        <v>1</v>
      </c>
    </row>
    <row r="3517" spans="1:7" hidden="1">
      <c r="A3517" t="str">
        <f>Sinistrés!H3522</f>
        <v>Blé dur d'hiver</v>
      </c>
      <c r="B3517">
        <f>Sinistrés!J3522</f>
        <v>5450</v>
      </c>
      <c r="C3517">
        <f>Sinistrés!X3522</f>
        <v>0</v>
      </c>
      <c r="D3517">
        <f>Sinistrés!L3522</f>
        <v>5</v>
      </c>
      <c r="E3517">
        <f>Sinistrés!M3522</f>
        <v>5</v>
      </c>
      <c r="F3517">
        <f t="shared" si="108"/>
        <v>0</v>
      </c>
      <c r="G3517">
        <f t="shared" si="109"/>
        <v>1</v>
      </c>
    </row>
    <row r="3518" spans="1:7" hidden="1">
      <c r="A3518" t="str">
        <f>Sinistrés!H3523</f>
        <v>Maïs grain irrigué</v>
      </c>
      <c r="B3518">
        <f>Sinistrés!J3523</f>
        <v>9630</v>
      </c>
      <c r="C3518">
        <f>Sinistrés!X3523</f>
        <v>0</v>
      </c>
      <c r="D3518">
        <f>Sinistrés!L3523</f>
        <v>5</v>
      </c>
      <c r="E3518">
        <f>Sinistrés!M3523</f>
        <v>5</v>
      </c>
      <c r="F3518">
        <f t="shared" si="108"/>
        <v>0</v>
      </c>
      <c r="G3518">
        <f t="shared" si="109"/>
        <v>1</v>
      </c>
    </row>
    <row r="3519" spans="1:7" hidden="1">
      <c r="A3519" t="str">
        <f>Sinistrés!H3524</f>
        <v>Soja</v>
      </c>
      <c r="B3519">
        <f>Sinistrés!J3524</f>
        <v>20387.5</v>
      </c>
      <c r="C3519">
        <f>Sinistrés!X3524</f>
        <v>0</v>
      </c>
      <c r="D3519">
        <f>Sinistrés!L3524</f>
        <v>25</v>
      </c>
      <c r="E3519">
        <f>Sinistrés!M3524</f>
        <v>25</v>
      </c>
      <c r="F3519">
        <f t="shared" si="108"/>
        <v>0</v>
      </c>
      <c r="G3519">
        <f t="shared" si="109"/>
        <v>1</v>
      </c>
    </row>
    <row r="3520" spans="1:7" hidden="1">
      <c r="A3520" t="str">
        <f>Sinistrés!H3525</f>
        <v>Sorgho</v>
      </c>
      <c r="B3520">
        <f>Sinistrés!J3525</f>
        <v>20655</v>
      </c>
      <c r="C3520">
        <f>Sinistrés!X3525</f>
        <v>0</v>
      </c>
      <c r="D3520">
        <f>Sinistrés!L3525</f>
        <v>25</v>
      </c>
      <c r="E3520">
        <f>Sinistrés!M3525</f>
        <v>25</v>
      </c>
      <c r="F3520">
        <f t="shared" si="108"/>
        <v>0</v>
      </c>
      <c r="G3520">
        <f t="shared" si="109"/>
        <v>1</v>
      </c>
    </row>
    <row r="3521" spans="1:7" hidden="1">
      <c r="A3521" t="str">
        <f>Sinistrés!H3526</f>
        <v>Tournesol</v>
      </c>
      <c r="B3521">
        <f>Sinistrés!J3526</f>
        <v>17762.5</v>
      </c>
      <c r="C3521">
        <f>Sinistrés!X3526</f>
        <v>0</v>
      </c>
      <c r="D3521">
        <f>Sinistrés!L3526</f>
        <v>25</v>
      </c>
      <c r="E3521">
        <f>Sinistrés!M3526</f>
        <v>25</v>
      </c>
      <c r="F3521">
        <f t="shared" si="108"/>
        <v>0</v>
      </c>
      <c r="G3521">
        <f t="shared" si="109"/>
        <v>1</v>
      </c>
    </row>
    <row r="3522" spans="1:7" hidden="1">
      <c r="A3522" t="str">
        <f>Sinistrés!H3527</f>
        <v>Tournesol SEMENCES</v>
      </c>
      <c r="B3522">
        <f>Sinistrés!J3527</f>
        <v>50400</v>
      </c>
      <c r="C3522">
        <f>Sinistrés!X3527</f>
        <v>5460</v>
      </c>
      <c r="D3522">
        <f>Sinistrés!L3527</f>
        <v>12</v>
      </c>
      <c r="E3522">
        <f>Sinistrés!M3527</f>
        <v>12</v>
      </c>
      <c r="F3522">
        <f t="shared" si="108"/>
        <v>0.10833333333333334</v>
      </c>
      <c r="G3522">
        <f t="shared" si="109"/>
        <v>1</v>
      </c>
    </row>
    <row r="3523" spans="1:7" hidden="1">
      <c r="A3523" t="str">
        <f>Sinistrés!H3528</f>
        <v>Soja</v>
      </c>
      <c r="B3523">
        <f>Sinistrés!J3528</f>
        <v>19093.91</v>
      </c>
      <c r="C3523">
        <f>Sinistrés!X3528</f>
        <v>0</v>
      </c>
      <c r="D3523">
        <f>Sinistrés!L3528</f>
        <v>19.649999999999999</v>
      </c>
      <c r="E3523">
        <f>Sinistrés!M3528</f>
        <v>3.45</v>
      </c>
      <c r="F3523">
        <f t="shared" ref="F3523:F3586" si="110">C3523/B3523</f>
        <v>0</v>
      </c>
      <c r="G3523">
        <f t="shared" ref="G3523:G3586" si="111">E3523/D3523</f>
        <v>0.17557251908396948</v>
      </c>
    </row>
    <row r="3524" spans="1:7" hidden="1">
      <c r="A3524" t="str">
        <f>Sinistrés!H3529</f>
        <v>Blé tendre d'hiver</v>
      </c>
      <c r="B3524">
        <f>Sinistrés!J3529</f>
        <v>73906.080000000002</v>
      </c>
      <c r="C3524">
        <f>Sinistrés!X3529</f>
        <v>0</v>
      </c>
      <c r="D3524">
        <f>Sinistrés!L3529</f>
        <v>58.47</v>
      </c>
      <c r="E3524">
        <f>Sinistrés!M3529</f>
        <v>1.07</v>
      </c>
      <c r="F3524">
        <f t="shared" si="110"/>
        <v>0</v>
      </c>
      <c r="G3524">
        <f t="shared" si="111"/>
        <v>1.8299982897212248E-2</v>
      </c>
    </row>
    <row r="3525" spans="1:7" hidden="1">
      <c r="A3525" t="str">
        <f>Sinistrés!H3530</f>
        <v>Colza d'hiver</v>
      </c>
      <c r="B3525">
        <f>Sinistrés!J3530</f>
        <v>27573.29</v>
      </c>
      <c r="C3525">
        <f>Sinistrés!X3530</f>
        <v>0</v>
      </c>
      <c r="D3525">
        <f>Sinistrés!L3530</f>
        <v>22.89</v>
      </c>
      <c r="E3525">
        <f>Sinistrés!M3530</f>
        <v>22.89</v>
      </c>
      <c r="F3525">
        <f t="shared" si="110"/>
        <v>0</v>
      </c>
      <c r="G3525">
        <f t="shared" si="111"/>
        <v>1</v>
      </c>
    </row>
    <row r="3526" spans="1:7">
      <c r="A3526" t="str">
        <f>Sinistrés!H3531</f>
        <v>Blé tendre d'hiver</v>
      </c>
      <c r="B3526">
        <f>Sinistrés!J3531</f>
        <v>18177.900000000001</v>
      </c>
      <c r="C3526">
        <f>Sinistrés!X3531</f>
        <v>11999.31</v>
      </c>
      <c r="D3526">
        <f>Sinistrés!L3531</f>
        <v>15.8</v>
      </c>
      <c r="E3526">
        <f>Sinistrés!M3531</f>
        <v>15.8</v>
      </c>
      <c r="F3526">
        <f t="shared" si="110"/>
        <v>0.66010430247718377</v>
      </c>
      <c r="G3526">
        <f t="shared" si="111"/>
        <v>1</v>
      </c>
    </row>
    <row r="3527" spans="1:7" hidden="1">
      <c r="A3527" t="str">
        <f>Sinistrés!H3532</f>
        <v>Orge d'hiver</v>
      </c>
      <c r="B3527">
        <f>Sinistrés!J3532</f>
        <v>25320.65</v>
      </c>
      <c r="C3527">
        <f>Sinistrés!X3532</f>
        <v>0</v>
      </c>
      <c r="D3527">
        <f>Sinistrés!L3532</f>
        <v>19.98</v>
      </c>
      <c r="E3527">
        <f>Sinistrés!M3532</f>
        <v>19.98</v>
      </c>
      <c r="F3527">
        <f t="shared" si="110"/>
        <v>0</v>
      </c>
      <c r="G3527">
        <f t="shared" si="111"/>
        <v>1</v>
      </c>
    </row>
    <row r="3528" spans="1:7">
      <c r="A3528" t="str">
        <f>Sinistrés!H3533</f>
        <v>Maïs ensilage non irrigué</v>
      </c>
      <c r="B3528">
        <f>Sinistrés!J3533</f>
        <v>43344</v>
      </c>
      <c r="C3528">
        <f>Sinistrés!X3533</f>
        <v>14818.23</v>
      </c>
      <c r="D3528">
        <f>Sinistrés!L3533</f>
        <v>27.09</v>
      </c>
      <c r="E3528">
        <f>Sinistrés!M3533</f>
        <v>27.09</v>
      </c>
      <c r="F3528">
        <f t="shared" si="110"/>
        <v>0.34187499999999998</v>
      </c>
      <c r="G3528">
        <f t="shared" si="111"/>
        <v>1</v>
      </c>
    </row>
    <row r="3529" spans="1:7">
      <c r="A3529" t="str">
        <f>Sinistrés!H3534</f>
        <v>Maïs grain non irrigué</v>
      </c>
      <c r="B3529">
        <f>Sinistrés!J3534</f>
        <v>23030</v>
      </c>
      <c r="C3529">
        <f>Sinistrés!X3534</f>
        <v>8345.61</v>
      </c>
      <c r="D3529">
        <f>Sinistrés!L3534</f>
        <v>16.45</v>
      </c>
      <c r="E3529">
        <f>Sinistrés!M3534</f>
        <v>16.45</v>
      </c>
      <c r="F3529">
        <f t="shared" si="110"/>
        <v>0.36237993920972644</v>
      </c>
      <c r="G3529">
        <f t="shared" si="111"/>
        <v>1</v>
      </c>
    </row>
    <row r="3530" spans="1:7">
      <c r="A3530" t="str">
        <f>Sinistrés!H3535</f>
        <v>Tournesol</v>
      </c>
      <c r="B3530">
        <f>Sinistrés!J3535</f>
        <v>7370</v>
      </c>
      <c r="C3530">
        <f>Sinistrés!X3535</f>
        <v>4350.1000000000004</v>
      </c>
      <c r="D3530">
        <f>Sinistrés!L3535</f>
        <v>7.37</v>
      </c>
      <c r="E3530">
        <f>Sinistrés!M3535</f>
        <v>7.37</v>
      </c>
      <c r="F3530">
        <f t="shared" si="110"/>
        <v>0.5902442333785618</v>
      </c>
      <c r="G3530">
        <f t="shared" si="111"/>
        <v>1</v>
      </c>
    </row>
    <row r="3531" spans="1:7" hidden="1">
      <c r="A3531" t="str">
        <f>Sinistrés!H3536</f>
        <v>Triticale BIO</v>
      </c>
      <c r="B3531">
        <f>Sinistrés!J3536</f>
        <v>9429.33</v>
      </c>
      <c r="C3531">
        <f>Sinistrés!X3536</f>
        <v>2485.75</v>
      </c>
      <c r="D3531">
        <f>Sinistrés!L3536</f>
        <v>12.23</v>
      </c>
      <c r="E3531">
        <f>Sinistrés!M3536</f>
        <v>12.23</v>
      </c>
      <c r="F3531">
        <f t="shared" si="110"/>
        <v>0.26361894217298576</v>
      </c>
      <c r="G3531">
        <f t="shared" si="111"/>
        <v>1</v>
      </c>
    </row>
    <row r="3532" spans="1:7" hidden="1">
      <c r="A3532" t="str">
        <f>Sinistrés!H3537</f>
        <v>Blé tendre d'hiver BIO</v>
      </c>
      <c r="B3532">
        <f>Sinistrés!J3537</f>
        <v>27535.14</v>
      </c>
      <c r="C3532">
        <f>Sinistrés!X3537</f>
        <v>0</v>
      </c>
      <c r="D3532">
        <f>Sinistrés!L3537</f>
        <v>45.11</v>
      </c>
      <c r="E3532">
        <f>Sinistrés!M3537</f>
        <v>45.11</v>
      </c>
      <c r="F3532">
        <f t="shared" si="110"/>
        <v>0</v>
      </c>
      <c r="G3532">
        <f t="shared" si="111"/>
        <v>1</v>
      </c>
    </row>
    <row r="3533" spans="1:7" hidden="1">
      <c r="A3533" t="str">
        <f>Sinistrés!H3538</f>
        <v>Avoine d'hiver BIO</v>
      </c>
      <c r="B3533">
        <f>Sinistrés!J3538</f>
        <v>1738.8</v>
      </c>
      <c r="C3533">
        <f>Sinistrés!X3538</f>
        <v>0</v>
      </c>
      <c r="D3533">
        <f>Sinistrés!L3538</f>
        <v>3.36</v>
      </c>
      <c r="E3533">
        <f>Sinistrés!M3538</f>
        <v>3.36</v>
      </c>
      <c r="F3533">
        <f t="shared" si="110"/>
        <v>0</v>
      </c>
      <c r="G3533">
        <f t="shared" si="111"/>
        <v>1</v>
      </c>
    </row>
    <row r="3534" spans="1:7" hidden="1">
      <c r="A3534" t="str">
        <f>Sinistrés!H3539</f>
        <v>Orge de printemps</v>
      </c>
      <c r="B3534">
        <f>Sinistrés!J3539</f>
        <v>27182.880000000001</v>
      </c>
      <c r="C3534">
        <f>Sinistrés!X3539</f>
        <v>0</v>
      </c>
      <c r="D3534">
        <f>Sinistrés!L3539</f>
        <v>30.96</v>
      </c>
      <c r="E3534">
        <f>Sinistrés!M3539</f>
        <v>30.96</v>
      </c>
      <c r="F3534">
        <f t="shared" si="110"/>
        <v>0</v>
      </c>
      <c r="G3534">
        <f t="shared" si="111"/>
        <v>1</v>
      </c>
    </row>
    <row r="3535" spans="1:7" hidden="1">
      <c r="A3535" t="str">
        <f>Sinistrés!H3540</f>
        <v>Orge de printemps</v>
      </c>
      <c r="B3535">
        <f>Sinistrés!J3540</f>
        <v>34546.5</v>
      </c>
      <c r="C3535">
        <f>Sinistrés!X3540</f>
        <v>0</v>
      </c>
      <c r="D3535">
        <f>Sinistrés!L3540</f>
        <v>25.59</v>
      </c>
      <c r="E3535">
        <f>Sinistrés!M3540</f>
        <v>25.58</v>
      </c>
      <c r="F3535">
        <f t="shared" si="110"/>
        <v>0</v>
      </c>
      <c r="G3535">
        <f t="shared" si="111"/>
        <v>0.9996092223524814</v>
      </c>
    </row>
    <row r="3536" spans="1:7">
      <c r="A3536" t="str">
        <f>Sinistrés!H3541</f>
        <v>Orge de printemps</v>
      </c>
      <c r="B3536">
        <f>Sinistrés!J3541</f>
        <v>196233.44</v>
      </c>
      <c r="C3536">
        <f>Sinistrés!X3541</f>
        <v>4565.28</v>
      </c>
      <c r="D3536">
        <f>Sinistrés!L3541</f>
        <v>159.38999999999999</v>
      </c>
      <c r="E3536">
        <f>Sinistrés!M3541</f>
        <v>23.6</v>
      </c>
      <c r="F3536">
        <f t="shared" si="110"/>
        <v>2.3264536360367526E-2</v>
      </c>
      <c r="G3536">
        <f t="shared" si="111"/>
        <v>0.14806449589058288</v>
      </c>
    </row>
    <row r="3537" spans="1:7" hidden="1">
      <c r="A3537" t="str">
        <f>Sinistrés!H3542</f>
        <v>Blé tendre d'hiver</v>
      </c>
      <c r="B3537">
        <f>Sinistrés!J3542</f>
        <v>20666.05</v>
      </c>
      <c r="C3537">
        <f>Sinistrés!X3542</f>
        <v>0</v>
      </c>
      <c r="D3537">
        <f>Sinistrés!L3542</f>
        <v>20.5</v>
      </c>
      <c r="E3537">
        <f>Sinistrés!M3542</f>
        <v>20.5</v>
      </c>
      <c r="F3537">
        <f t="shared" si="110"/>
        <v>0</v>
      </c>
      <c r="G3537">
        <f t="shared" si="111"/>
        <v>1</v>
      </c>
    </row>
    <row r="3538" spans="1:7" hidden="1">
      <c r="A3538" t="str">
        <f>Sinistrés!H3543</f>
        <v>Blé tendre d'hiver BIO</v>
      </c>
      <c r="B3538">
        <f>Sinistrés!J3543</f>
        <v>42024.639999999999</v>
      </c>
      <c r="C3538">
        <f>Sinistrés!X3543</f>
        <v>0</v>
      </c>
      <c r="D3538">
        <f>Sinistrés!L3543</f>
        <v>40.880000000000003</v>
      </c>
      <c r="E3538">
        <f>Sinistrés!M3543</f>
        <v>40.880000000000003</v>
      </c>
      <c r="F3538">
        <f t="shared" si="110"/>
        <v>0</v>
      </c>
      <c r="G3538">
        <f t="shared" si="111"/>
        <v>1</v>
      </c>
    </row>
    <row r="3539" spans="1:7" hidden="1">
      <c r="A3539" t="str">
        <f>Sinistrés!H3544</f>
        <v>Vigne à raisin de cuve (VCU1)</v>
      </c>
      <c r="B3539">
        <f>Sinistrés!J3544</f>
        <v>125645.6</v>
      </c>
      <c r="C3539">
        <f>Sinistrés!X3544</f>
        <v>78532.36</v>
      </c>
      <c r="D3539">
        <f>Sinistrés!L3544</f>
        <v>11.39</v>
      </c>
      <c r="E3539">
        <f>Sinistrés!M3544</f>
        <v>11.32</v>
      </c>
      <c r="F3539">
        <f t="shared" si="110"/>
        <v>0.62503072133047233</v>
      </c>
      <c r="G3539">
        <f t="shared" si="111"/>
        <v>0.99385425812115891</v>
      </c>
    </row>
    <row r="3540" spans="1:7">
      <c r="A3540" t="str">
        <f>Sinistrés!H3545</f>
        <v>Avoine de printemps</v>
      </c>
      <c r="B3540">
        <f>Sinistrés!J3545</f>
        <v>1567.05</v>
      </c>
      <c r="C3540">
        <f>Sinistrés!X3545</f>
        <v>431.29</v>
      </c>
      <c r="D3540">
        <f>Sinistrés!L3545</f>
        <v>3</v>
      </c>
      <c r="E3540">
        <f>Sinistrés!M3545</f>
        <v>3</v>
      </c>
      <c r="F3540">
        <f t="shared" si="110"/>
        <v>0.27522414728311162</v>
      </c>
      <c r="G3540">
        <f t="shared" si="111"/>
        <v>1</v>
      </c>
    </row>
    <row r="3541" spans="1:7" hidden="1">
      <c r="A3541" t="str">
        <f>Sinistrés!H3546</f>
        <v>Triticale</v>
      </c>
      <c r="B3541">
        <f>Sinistrés!J3546</f>
        <v>6765</v>
      </c>
      <c r="C3541">
        <f>Sinistrés!X3546</f>
        <v>0</v>
      </c>
      <c r="D3541">
        <f>Sinistrés!L3546</f>
        <v>10</v>
      </c>
      <c r="E3541">
        <f>Sinistrés!M3546</f>
        <v>10</v>
      </c>
      <c r="F3541">
        <f t="shared" si="110"/>
        <v>0</v>
      </c>
      <c r="G3541">
        <f t="shared" si="111"/>
        <v>1</v>
      </c>
    </row>
    <row r="3542" spans="1:7">
      <c r="A3542" t="str">
        <f>Sinistrés!H3547</f>
        <v>Maïs grain non irrigué</v>
      </c>
      <c r="B3542">
        <f>Sinistrés!J3547</f>
        <v>44729.04</v>
      </c>
      <c r="C3542">
        <f>Sinistrés!X3547</f>
        <v>11732.65</v>
      </c>
      <c r="D3542">
        <f>Sinistrés!L3547</f>
        <v>38.76</v>
      </c>
      <c r="E3542">
        <f>Sinistrés!M3547</f>
        <v>38.76</v>
      </c>
      <c r="F3542">
        <f t="shared" si="110"/>
        <v>0.26230498128285334</v>
      </c>
      <c r="G3542">
        <f t="shared" si="111"/>
        <v>1</v>
      </c>
    </row>
    <row r="3543" spans="1:7" hidden="1">
      <c r="A3543" t="str">
        <f>Sinistrés!H3548</f>
        <v>Maïs ensilage non irrigué</v>
      </c>
      <c r="B3543">
        <f>Sinistrés!J3548</f>
        <v>6740.94</v>
      </c>
      <c r="C3543">
        <f>Sinistrés!X3548</f>
        <v>0</v>
      </c>
      <c r="D3543">
        <f>Sinistrés!L3548</f>
        <v>6.04</v>
      </c>
      <c r="E3543">
        <f>Sinistrés!M3548</f>
        <v>6.04</v>
      </c>
      <c r="F3543">
        <f t="shared" si="110"/>
        <v>0</v>
      </c>
      <c r="G3543">
        <f t="shared" si="111"/>
        <v>1</v>
      </c>
    </row>
    <row r="3544" spans="1:7" hidden="1">
      <c r="A3544" t="str">
        <f>Sinistrés!H3549</f>
        <v>Blé tendre d'hiver BIO</v>
      </c>
      <c r="B3544">
        <f>Sinistrés!J3549</f>
        <v>65750.41</v>
      </c>
      <c r="C3544">
        <f>Sinistrés!X3549</f>
        <v>979.72</v>
      </c>
      <c r="D3544">
        <f>Sinistrés!L3549</f>
        <v>66.58</v>
      </c>
      <c r="E3544">
        <f>Sinistrés!M3549</f>
        <v>66.58</v>
      </c>
      <c r="F3544">
        <f t="shared" si="110"/>
        <v>1.4900591494410453E-2</v>
      </c>
      <c r="G3544">
        <f t="shared" si="111"/>
        <v>1</v>
      </c>
    </row>
    <row r="3545" spans="1:7" hidden="1">
      <c r="A3545" t="str">
        <f>Sinistrés!H3550</f>
        <v>Lentilles BIO</v>
      </c>
      <c r="B3545">
        <f>Sinistrés!J3550</f>
        <v>22635.84</v>
      </c>
      <c r="C3545">
        <f>Sinistrés!X3550</f>
        <v>297.83999999999997</v>
      </c>
      <c r="D3545">
        <f>Sinistrés!L3550</f>
        <v>25.84</v>
      </c>
      <c r="E3545">
        <f>Sinistrés!M3550</f>
        <v>25.84</v>
      </c>
      <c r="F3545">
        <f t="shared" si="110"/>
        <v>1.3157894736842105E-2</v>
      </c>
      <c r="G3545">
        <f t="shared" si="111"/>
        <v>1</v>
      </c>
    </row>
    <row r="3546" spans="1:7" hidden="1">
      <c r="A3546" t="str">
        <f>Sinistrés!H3551</f>
        <v>Blé tendre d'hiver</v>
      </c>
      <c r="B3546">
        <f>Sinistrés!J3551</f>
        <v>61055.5</v>
      </c>
      <c r="C3546">
        <f>Sinistrés!X3551</f>
        <v>0</v>
      </c>
      <c r="D3546">
        <f>Sinistrés!L3551</f>
        <v>55</v>
      </c>
      <c r="E3546">
        <f>Sinistrés!M3551</f>
        <v>55</v>
      </c>
      <c r="F3546">
        <f t="shared" si="110"/>
        <v>0</v>
      </c>
      <c r="G3546">
        <f t="shared" si="111"/>
        <v>1</v>
      </c>
    </row>
    <row r="3547" spans="1:7" hidden="1">
      <c r="A3547" t="str">
        <f>Sinistrés!H3552</f>
        <v>Blé dur d'hiver</v>
      </c>
      <c r="B3547">
        <f>Sinistrés!J3552</f>
        <v>18354</v>
      </c>
      <c r="C3547">
        <f>Sinistrés!X3552</f>
        <v>0</v>
      </c>
      <c r="D3547">
        <f>Sinistrés!L3552</f>
        <v>14</v>
      </c>
      <c r="E3547">
        <f>Sinistrés!M3552</f>
        <v>14</v>
      </c>
      <c r="F3547">
        <f t="shared" si="110"/>
        <v>0</v>
      </c>
      <c r="G3547">
        <f t="shared" si="111"/>
        <v>1</v>
      </c>
    </row>
    <row r="3548" spans="1:7" hidden="1">
      <c r="A3548" t="str">
        <f>Sinistrés!H3553</f>
        <v>Tournesol</v>
      </c>
      <c r="B3548">
        <f>Sinistrés!J3553</f>
        <v>18704</v>
      </c>
      <c r="C3548">
        <f>Sinistrés!X3553</f>
        <v>0</v>
      </c>
      <c r="D3548">
        <f>Sinistrés!L3553</f>
        <v>16</v>
      </c>
      <c r="E3548">
        <f>Sinistrés!M3553</f>
        <v>16</v>
      </c>
      <c r="F3548">
        <f t="shared" si="110"/>
        <v>0</v>
      </c>
      <c r="G3548">
        <f t="shared" si="111"/>
        <v>1</v>
      </c>
    </row>
    <row r="3549" spans="1:7" hidden="1">
      <c r="A3549" t="str">
        <f>Sinistrés!H3554</f>
        <v>Blé tendre d'hiver</v>
      </c>
      <c r="B3549">
        <f>Sinistrés!J3554</f>
        <v>17640</v>
      </c>
      <c r="C3549">
        <f>Sinistrés!X3554</f>
        <v>0</v>
      </c>
      <c r="D3549">
        <f>Sinistrés!L3554</f>
        <v>28.5</v>
      </c>
      <c r="E3549">
        <f>Sinistrés!M3554</f>
        <v>7</v>
      </c>
      <c r="F3549">
        <f t="shared" si="110"/>
        <v>0</v>
      </c>
      <c r="G3549">
        <f t="shared" si="111"/>
        <v>0.24561403508771928</v>
      </c>
    </row>
    <row r="3550" spans="1:7" hidden="1">
      <c r="A3550" t="str">
        <f>Sinistrés!H3555</f>
        <v>Blé tendre d'hiver</v>
      </c>
      <c r="B3550">
        <f>Sinistrés!J3555</f>
        <v>64606.5</v>
      </c>
      <c r="C3550">
        <f>Sinistrés!X3555</f>
        <v>0</v>
      </c>
      <c r="D3550">
        <f>Sinistrés!L3555</f>
        <v>61.53</v>
      </c>
      <c r="E3550">
        <f>Sinistrés!M3555</f>
        <v>61.53</v>
      </c>
      <c r="F3550">
        <f t="shared" si="110"/>
        <v>0</v>
      </c>
      <c r="G3550">
        <f t="shared" si="111"/>
        <v>1</v>
      </c>
    </row>
    <row r="3551" spans="1:7" hidden="1">
      <c r="A3551" t="str">
        <f>Sinistrés!H3556</f>
        <v>Colza d'hiver</v>
      </c>
      <c r="B3551">
        <f>Sinistrés!J3556</f>
        <v>22733.040000000001</v>
      </c>
      <c r="C3551">
        <f>Sinistrés!X3556</f>
        <v>0</v>
      </c>
      <c r="D3551">
        <f>Sinistrés!L3556</f>
        <v>23.98</v>
      </c>
      <c r="E3551">
        <f>Sinistrés!M3556</f>
        <v>23.98</v>
      </c>
      <c r="F3551">
        <f t="shared" si="110"/>
        <v>0</v>
      </c>
      <c r="G3551">
        <f t="shared" si="111"/>
        <v>1</v>
      </c>
    </row>
    <row r="3552" spans="1:7" hidden="1">
      <c r="A3552" t="str">
        <f>Sinistrés!H3557</f>
        <v>Tournesol</v>
      </c>
      <c r="B3552">
        <f>Sinistrés!J3557</f>
        <v>69784.740000000005</v>
      </c>
      <c r="C3552">
        <f>Sinistrés!X3557</f>
        <v>0</v>
      </c>
      <c r="D3552">
        <f>Sinistrés!L3557</f>
        <v>62.28</v>
      </c>
      <c r="E3552">
        <f>Sinistrés!M3557</f>
        <v>62.28</v>
      </c>
      <c r="F3552">
        <f t="shared" si="110"/>
        <v>0</v>
      </c>
      <c r="G3552">
        <f t="shared" si="111"/>
        <v>1</v>
      </c>
    </row>
    <row r="3553" spans="1:7">
      <c r="A3553" t="str">
        <f>Sinistrés!H3558</f>
        <v>Orge de printemps</v>
      </c>
      <c r="B3553">
        <f>Sinistrés!J3558</f>
        <v>4487.59</v>
      </c>
      <c r="C3553">
        <f>Sinistrés!X3558</f>
        <v>780.57</v>
      </c>
      <c r="D3553">
        <f>Sinistrés!L3558</f>
        <v>5.89</v>
      </c>
      <c r="E3553">
        <f>Sinistrés!M3558</f>
        <v>5.89</v>
      </c>
      <c r="F3553">
        <f t="shared" si="110"/>
        <v>0.17393968700349186</v>
      </c>
      <c r="G3553">
        <f t="shared" si="111"/>
        <v>1</v>
      </c>
    </row>
    <row r="3554" spans="1:7">
      <c r="A3554" t="str">
        <f>Sinistrés!H3559</f>
        <v>Pois protéagineux</v>
      </c>
      <c r="B3554">
        <f>Sinistrés!J3559</f>
        <v>8995.4699999999993</v>
      </c>
      <c r="C3554">
        <f>Sinistrés!X3559</f>
        <v>4549.01</v>
      </c>
      <c r="D3554">
        <f>Sinistrés!L3559</f>
        <v>5.89</v>
      </c>
      <c r="E3554">
        <f>Sinistrés!M3559</f>
        <v>5.89</v>
      </c>
      <c r="F3554">
        <f t="shared" si="110"/>
        <v>0.50570009126816062</v>
      </c>
      <c r="G3554">
        <f t="shared" si="111"/>
        <v>1</v>
      </c>
    </row>
    <row r="3555" spans="1:7">
      <c r="A3555" t="str">
        <f>Sinistrés!H3560</f>
        <v>Tournesol</v>
      </c>
      <c r="B3555">
        <f>Sinistrés!J3560</f>
        <v>25839.97</v>
      </c>
      <c r="C3555">
        <f>Sinistrés!X3560</f>
        <v>8469.77</v>
      </c>
      <c r="D3555">
        <f>Sinistrés!L3560</f>
        <v>31.14</v>
      </c>
      <c r="E3555">
        <f>Sinistrés!M3560</f>
        <v>31.14</v>
      </c>
      <c r="F3555">
        <f t="shared" si="110"/>
        <v>0.32777785732723375</v>
      </c>
      <c r="G3555">
        <f t="shared" si="111"/>
        <v>1</v>
      </c>
    </row>
    <row r="3556" spans="1:7" hidden="1">
      <c r="A3556" t="str">
        <f>Sinistrés!H3561</f>
        <v>Blé tendre d'hiver</v>
      </c>
      <c r="B3556">
        <f>Sinistrés!J3561</f>
        <v>57945.96</v>
      </c>
      <c r="C3556">
        <f>Sinistrés!X3561</f>
        <v>0</v>
      </c>
      <c r="D3556">
        <f>Sinistrés!L3561</f>
        <v>60.74</v>
      </c>
      <c r="E3556">
        <f>Sinistrés!M3561</f>
        <v>60.74</v>
      </c>
      <c r="F3556">
        <f t="shared" si="110"/>
        <v>0</v>
      </c>
      <c r="G3556">
        <f t="shared" si="111"/>
        <v>1</v>
      </c>
    </row>
    <row r="3557" spans="1:7">
      <c r="A3557" t="str">
        <f>Sinistrés!H3562</f>
        <v>Blé tendre d'hiver</v>
      </c>
      <c r="B3557">
        <f>Sinistrés!J3562</f>
        <v>20393.97</v>
      </c>
      <c r="C3557">
        <f>Sinistrés!X3562</f>
        <v>3427.62</v>
      </c>
      <c r="D3557">
        <f>Sinistrés!L3562</f>
        <v>13.52</v>
      </c>
      <c r="E3557">
        <f>Sinistrés!M3562</f>
        <v>13.52</v>
      </c>
      <c r="F3557">
        <f t="shared" si="110"/>
        <v>0.16807026782916715</v>
      </c>
      <c r="G3557">
        <f t="shared" si="111"/>
        <v>1</v>
      </c>
    </row>
    <row r="3558" spans="1:7" hidden="1">
      <c r="A3558" t="str">
        <f>Sinistrés!H3563</f>
        <v>Triticale</v>
      </c>
      <c r="B3558">
        <f>Sinistrés!J3563</f>
        <v>14785.77</v>
      </c>
      <c r="C3558">
        <f>Sinistrés!X3563</f>
        <v>0</v>
      </c>
      <c r="D3558">
        <f>Sinistrés!L3563</f>
        <v>10.83</v>
      </c>
      <c r="E3558">
        <f>Sinistrés!M3563</f>
        <v>10.83</v>
      </c>
      <c r="F3558">
        <f t="shared" si="110"/>
        <v>0</v>
      </c>
      <c r="G3558">
        <f t="shared" si="111"/>
        <v>1</v>
      </c>
    </row>
    <row r="3559" spans="1:7" hidden="1">
      <c r="A3559" t="str">
        <f>Sinistrés!H3564</f>
        <v>Blé tendre d'hiver</v>
      </c>
      <c r="B3559">
        <f>Sinistrés!J3564</f>
        <v>357749.53</v>
      </c>
      <c r="C3559">
        <f>Sinistrés!X3564</f>
        <v>0</v>
      </c>
      <c r="D3559">
        <f>Sinistrés!L3564</f>
        <v>180.91</v>
      </c>
      <c r="E3559">
        <f>Sinistrés!M3564</f>
        <v>180.91</v>
      </c>
      <c r="F3559">
        <f t="shared" si="110"/>
        <v>0</v>
      </c>
      <c r="G3559">
        <f t="shared" si="111"/>
        <v>1</v>
      </c>
    </row>
    <row r="3560" spans="1:7" hidden="1">
      <c r="A3560" t="str">
        <f>Sinistrés!H3565</f>
        <v>Orge de printemps</v>
      </c>
      <c r="B3560">
        <f>Sinistrés!J3565</f>
        <v>21669.9</v>
      </c>
      <c r="C3560">
        <f>Sinistrés!X3565</f>
        <v>0</v>
      </c>
      <c r="D3560">
        <f>Sinistrés!L3565</f>
        <v>21</v>
      </c>
      <c r="E3560">
        <f>Sinistrés!M3565</f>
        <v>21</v>
      </c>
      <c r="F3560">
        <f t="shared" si="110"/>
        <v>0</v>
      </c>
      <c r="G3560">
        <f t="shared" si="111"/>
        <v>1</v>
      </c>
    </row>
    <row r="3561" spans="1:7" hidden="1">
      <c r="A3561" t="str">
        <f>Sinistrés!H3566</f>
        <v>Maïs grain non irrigué</v>
      </c>
      <c r="B3561">
        <f>Sinistrés!J3566</f>
        <v>18023.400000000001</v>
      </c>
      <c r="C3561">
        <f>Sinistrés!X3566</f>
        <v>0</v>
      </c>
      <c r="D3561">
        <f>Sinistrés!L3566</f>
        <v>11.78</v>
      </c>
      <c r="E3561">
        <f>Sinistrés!M3566</f>
        <v>3</v>
      </c>
      <c r="F3561">
        <f t="shared" si="110"/>
        <v>0</v>
      </c>
      <c r="G3561">
        <f t="shared" si="111"/>
        <v>0.25466893039049238</v>
      </c>
    </row>
    <row r="3562" spans="1:7" hidden="1">
      <c r="A3562" t="str">
        <f>Sinistrés!H3567</f>
        <v>Soja</v>
      </c>
      <c r="B3562">
        <f>Sinistrés!J3567</f>
        <v>21910</v>
      </c>
      <c r="C3562">
        <f>Sinistrés!X3567</f>
        <v>0</v>
      </c>
      <c r="D3562">
        <f>Sinistrés!L3567</f>
        <v>20</v>
      </c>
      <c r="E3562">
        <f>Sinistrés!M3567</f>
        <v>19.75</v>
      </c>
      <c r="F3562">
        <f t="shared" si="110"/>
        <v>0</v>
      </c>
      <c r="G3562">
        <f t="shared" si="111"/>
        <v>0.98750000000000004</v>
      </c>
    </row>
    <row r="3563" spans="1:7" hidden="1">
      <c r="A3563" t="str">
        <f>Sinistrés!H3568</f>
        <v>Triticale</v>
      </c>
      <c r="B3563">
        <f>Sinistrés!J3568</f>
        <v>18656</v>
      </c>
      <c r="C3563">
        <f>Sinistrés!X3568</f>
        <v>0</v>
      </c>
      <c r="D3563">
        <f>Sinistrés!L3568</f>
        <v>20</v>
      </c>
      <c r="E3563">
        <f>Sinistrés!M3568</f>
        <v>25</v>
      </c>
      <c r="F3563">
        <f t="shared" si="110"/>
        <v>0</v>
      </c>
      <c r="G3563">
        <f t="shared" si="111"/>
        <v>1.25</v>
      </c>
    </row>
    <row r="3564" spans="1:7" hidden="1">
      <c r="A3564" t="str">
        <f>Sinistrés!H3569</f>
        <v>Blé tendre d'hiver</v>
      </c>
      <c r="B3564">
        <f>Sinistrés!J3569</f>
        <v>4104</v>
      </c>
      <c r="C3564">
        <f>Sinistrés!X3569</f>
        <v>0</v>
      </c>
      <c r="D3564">
        <f>Sinistrés!L3569</f>
        <v>4</v>
      </c>
      <c r="E3564">
        <f>Sinistrés!M3569</f>
        <v>4.3</v>
      </c>
      <c r="F3564">
        <f t="shared" si="110"/>
        <v>0</v>
      </c>
      <c r="G3564">
        <f t="shared" si="111"/>
        <v>1.075</v>
      </c>
    </row>
    <row r="3565" spans="1:7" hidden="1">
      <c r="A3565" t="str">
        <f>Sinistrés!H3570</f>
        <v>Blé tendre d'hiver</v>
      </c>
      <c r="B3565">
        <f>Sinistrés!J3570</f>
        <v>82997.48</v>
      </c>
      <c r="C3565">
        <f>Sinistrés!X3570</f>
        <v>0</v>
      </c>
      <c r="D3565">
        <f>Sinistrés!L3570</f>
        <v>69.13</v>
      </c>
      <c r="E3565">
        <f>Sinistrés!M3570</f>
        <v>69.13</v>
      </c>
      <c r="F3565">
        <f t="shared" si="110"/>
        <v>0</v>
      </c>
      <c r="G3565">
        <f t="shared" si="111"/>
        <v>1</v>
      </c>
    </row>
    <row r="3566" spans="1:7" hidden="1">
      <c r="A3566" t="str">
        <f>Sinistrés!H3571</f>
        <v>Orge de printemps</v>
      </c>
      <c r="B3566">
        <f>Sinistrés!J3571</f>
        <v>17788.68</v>
      </c>
      <c r="C3566">
        <f>Sinistrés!X3571</f>
        <v>0</v>
      </c>
      <c r="D3566">
        <f>Sinistrés!L3571</f>
        <v>18.2</v>
      </c>
      <c r="E3566">
        <f>Sinistrés!M3571</f>
        <v>18.2</v>
      </c>
      <c r="F3566">
        <f t="shared" si="110"/>
        <v>0</v>
      </c>
      <c r="G3566">
        <f t="shared" si="111"/>
        <v>1</v>
      </c>
    </row>
    <row r="3567" spans="1:7">
      <c r="A3567" t="str">
        <f>Sinistrés!H3572</f>
        <v>Avoine de printemps</v>
      </c>
      <c r="B3567">
        <f>Sinistrés!J3572</f>
        <v>3522.38</v>
      </c>
      <c r="C3567">
        <f>Sinistrés!X3572</f>
        <v>1177.03</v>
      </c>
      <c r="D3567">
        <f>Sinistrés!L3572</f>
        <v>7.75</v>
      </c>
      <c r="E3567">
        <f>Sinistrés!M3572</f>
        <v>7.75</v>
      </c>
      <c r="F3567">
        <f t="shared" si="110"/>
        <v>0.33415758663176598</v>
      </c>
      <c r="G3567">
        <f t="shared" si="111"/>
        <v>1</v>
      </c>
    </row>
    <row r="3568" spans="1:7">
      <c r="A3568" t="str">
        <f>Sinistrés!H3573</f>
        <v>Avoine d'hiver</v>
      </c>
      <c r="B3568">
        <f>Sinistrés!J3573</f>
        <v>5129.72</v>
      </c>
      <c r="C3568">
        <f>Sinistrés!X3573</f>
        <v>750.76</v>
      </c>
      <c r="D3568">
        <f>Sinistrés!L3573</f>
        <v>7.79</v>
      </c>
      <c r="E3568">
        <f>Sinistrés!M3573</f>
        <v>7.79</v>
      </c>
      <c r="F3568">
        <f t="shared" si="110"/>
        <v>0.14635496674282417</v>
      </c>
      <c r="G3568">
        <f t="shared" si="111"/>
        <v>1</v>
      </c>
    </row>
    <row r="3569" spans="1:7">
      <c r="A3569" t="str">
        <f>Sinistrés!H3574</f>
        <v>Blé tendre d'hiver</v>
      </c>
      <c r="B3569">
        <f>Sinistrés!J3574</f>
        <v>10588.74</v>
      </c>
      <c r="C3569">
        <f>Sinistrés!X3574</f>
        <v>2301.06</v>
      </c>
      <c r="D3569">
        <f>Sinistrés!L3574</f>
        <v>14.82</v>
      </c>
      <c r="E3569">
        <f>Sinistrés!M3574</f>
        <v>14.82</v>
      </c>
      <c r="F3569">
        <f t="shared" si="110"/>
        <v>0.21731197479586806</v>
      </c>
      <c r="G3569">
        <f t="shared" si="111"/>
        <v>1</v>
      </c>
    </row>
    <row r="3570" spans="1:7" hidden="1">
      <c r="A3570" t="str">
        <f>Sinistrés!H3575</f>
        <v>Blé tendre d'hiver</v>
      </c>
      <c r="B3570">
        <f>Sinistrés!J3575</f>
        <v>91753.47</v>
      </c>
      <c r="C3570">
        <f>Sinistrés!X3575</f>
        <v>0</v>
      </c>
      <c r="D3570">
        <f>Sinistrés!L3575</f>
        <v>78.11</v>
      </c>
      <c r="E3570">
        <f>Sinistrés!M3575</f>
        <v>78</v>
      </c>
      <c r="F3570">
        <f t="shared" si="110"/>
        <v>0</v>
      </c>
      <c r="G3570">
        <f t="shared" si="111"/>
        <v>0.99859172961208553</v>
      </c>
    </row>
    <row r="3571" spans="1:7">
      <c r="A3571" t="str">
        <f>Sinistrés!H3576</f>
        <v>Blé dur d'hiver</v>
      </c>
      <c r="B3571">
        <f>Sinistrés!J3576</f>
        <v>29772.94</v>
      </c>
      <c r="C3571">
        <f>Sinistrés!X3576</f>
        <v>8987.02</v>
      </c>
      <c r="D3571">
        <f>Sinistrés!L3576</f>
        <v>16.829999999999998</v>
      </c>
      <c r="E3571">
        <f>Sinistrés!M3576</f>
        <v>24.36</v>
      </c>
      <c r="F3571">
        <f t="shared" si="110"/>
        <v>0.30185195012652433</v>
      </c>
      <c r="G3571">
        <f t="shared" si="111"/>
        <v>1.447415329768271</v>
      </c>
    </row>
    <row r="3572" spans="1:7">
      <c r="A3572" t="str">
        <f>Sinistrés!H3577</f>
        <v>Avoine d'hiver</v>
      </c>
      <c r="B3572">
        <f>Sinistrés!J3577</f>
        <v>26757.65</v>
      </c>
      <c r="C3572">
        <f>Sinistrés!X3577</f>
        <v>5750.51</v>
      </c>
      <c r="D3572">
        <f>Sinistrés!L3577</f>
        <v>24.35</v>
      </c>
      <c r="E3572">
        <f>Sinistrés!M3577</f>
        <v>16.829999999999998</v>
      </c>
      <c r="F3572">
        <f t="shared" si="110"/>
        <v>0.21491087595510069</v>
      </c>
      <c r="G3572">
        <f t="shared" si="111"/>
        <v>0.6911704312114989</v>
      </c>
    </row>
    <row r="3573" spans="1:7">
      <c r="A3573" t="str">
        <f>Sinistrés!H3578</f>
        <v>Blé tendre d'hiver</v>
      </c>
      <c r="B3573">
        <f>Sinistrés!J3578</f>
        <v>120234.04</v>
      </c>
      <c r="C3573">
        <f>Sinistrés!X3578</f>
        <v>12594.19</v>
      </c>
      <c r="D3573">
        <f>Sinistrés!L3578</f>
        <v>81.87</v>
      </c>
      <c r="E3573">
        <f>Sinistrés!M3578</f>
        <v>81.87</v>
      </c>
      <c r="F3573">
        <f t="shared" si="110"/>
        <v>0.10474729119973014</v>
      </c>
      <c r="G3573">
        <f t="shared" si="111"/>
        <v>1</v>
      </c>
    </row>
    <row r="3574" spans="1:7">
      <c r="A3574" t="str">
        <f>Sinistrés!H3579</f>
        <v>Orge de printemps</v>
      </c>
      <c r="B3574">
        <f>Sinistrés!J3579</f>
        <v>15812.55</v>
      </c>
      <c r="C3574">
        <f>Sinistrés!X3579</f>
        <v>5407.89</v>
      </c>
      <c r="D3574">
        <f>Sinistrés!L3579</f>
        <v>14.31</v>
      </c>
      <c r="E3574">
        <f>Sinistrés!M3579</f>
        <v>14.31</v>
      </c>
      <c r="F3574">
        <f t="shared" si="110"/>
        <v>0.34199986719409586</v>
      </c>
      <c r="G3574">
        <f t="shared" si="111"/>
        <v>1</v>
      </c>
    </row>
    <row r="3575" spans="1:7" hidden="1">
      <c r="A3575" t="str">
        <f>Sinistrés!H3580</f>
        <v>Colza d'hiver</v>
      </c>
      <c r="B3575">
        <f>Sinistrés!J3580</f>
        <v>29763.59</v>
      </c>
      <c r="C3575">
        <f>Sinistrés!X3580</f>
        <v>0</v>
      </c>
      <c r="D3575">
        <f>Sinistrés!L3580</f>
        <v>27.86</v>
      </c>
      <c r="E3575">
        <f>Sinistrés!M3580</f>
        <v>27.86</v>
      </c>
      <c r="F3575">
        <f t="shared" si="110"/>
        <v>0</v>
      </c>
      <c r="G3575">
        <f t="shared" si="111"/>
        <v>1</v>
      </c>
    </row>
    <row r="3576" spans="1:7">
      <c r="A3576" t="str">
        <f>Sinistrés!H3581</f>
        <v>Lin textile</v>
      </c>
      <c r="B3576">
        <f>Sinistrés!J3581</f>
        <v>100529.58</v>
      </c>
      <c r="C3576">
        <f>Sinistrés!X3581</f>
        <v>54335.58</v>
      </c>
      <c r="D3576">
        <f>Sinistrés!L3581</f>
        <v>40.659999999999997</v>
      </c>
      <c r="E3576">
        <f>Sinistrés!M3581</f>
        <v>40.659999999999997</v>
      </c>
      <c r="F3576">
        <f t="shared" si="110"/>
        <v>0.54049345476226995</v>
      </c>
      <c r="G3576">
        <f t="shared" si="111"/>
        <v>1</v>
      </c>
    </row>
    <row r="3577" spans="1:7">
      <c r="A3577" t="str">
        <f>Sinistrés!H3582</f>
        <v>Pommes de terre</v>
      </c>
      <c r="B3577">
        <f>Sinistrés!J3582</f>
        <v>150040.49</v>
      </c>
      <c r="C3577">
        <f>Sinistrés!X3582</f>
        <v>45040.34</v>
      </c>
      <c r="D3577">
        <f>Sinistrés!L3582</f>
        <v>16.11</v>
      </c>
      <c r="E3577">
        <f>Sinistrés!M3582</f>
        <v>16.11</v>
      </c>
      <c r="F3577">
        <f t="shared" si="110"/>
        <v>0.30018790261215489</v>
      </c>
      <c r="G3577">
        <f t="shared" si="111"/>
        <v>1</v>
      </c>
    </row>
    <row r="3578" spans="1:7" hidden="1">
      <c r="A3578" t="str">
        <f>Sinistrés!H3583</f>
        <v>Blé tendre d'hiver BIO</v>
      </c>
      <c r="B3578">
        <f>Sinistrés!J3583</f>
        <v>11272.08</v>
      </c>
      <c r="C3578">
        <f>Sinistrés!X3583</f>
        <v>0</v>
      </c>
      <c r="D3578">
        <f>Sinistrés!L3583</f>
        <v>21.68</v>
      </c>
      <c r="E3578">
        <f>Sinistrés!M3583</f>
        <v>21.68</v>
      </c>
      <c r="F3578">
        <f t="shared" si="110"/>
        <v>0</v>
      </c>
      <c r="G3578">
        <f t="shared" si="111"/>
        <v>1</v>
      </c>
    </row>
    <row r="3579" spans="1:7" hidden="1">
      <c r="A3579" t="str">
        <f>Sinistrés!H3584</f>
        <v>Seigle et méteil BIO</v>
      </c>
      <c r="B3579">
        <f>Sinistrés!J3584</f>
        <v>15220.8</v>
      </c>
      <c r="C3579">
        <f>Sinistrés!X3584</f>
        <v>0</v>
      </c>
      <c r="D3579">
        <f>Sinistrés!L3584</f>
        <v>42.28</v>
      </c>
      <c r="E3579">
        <f>Sinistrés!M3584</f>
        <v>42.28</v>
      </c>
      <c r="F3579">
        <f t="shared" si="110"/>
        <v>0</v>
      </c>
      <c r="G3579">
        <f t="shared" si="111"/>
        <v>1</v>
      </c>
    </row>
    <row r="3580" spans="1:7" hidden="1">
      <c r="A3580" t="str">
        <f>Sinistrés!H3585</f>
        <v>Blé tendre de printemps BIO</v>
      </c>
      <c r="B3580">
        <f>Sinistrés!J3585</f>
        <v>34705.33</v>
      </c>
      <c r="C3580">
        <f>Sinistrés!X3585</f>
        <v>0</v>
      </c>
      <c r="D3580">
        <f>Sinistrés!L3585</f>
        <v>40.049999999999997</v>
      </c>
      <c r="E3580">
        <f>Sinistrés!M3585</f>
        <v>40</v>
      </c>
      <c r="F3580">
        <f t="shared" si="110"/>
        <v>0</v>
      </c>
      <c r="G3580">
        <f t="shared" si="111"/>
        <v>0.99875156054931347</v>
      </c>
    </row>
    <row r="3581" spans="1:7" hidden="1">
      <c r="A3581" t="str">
        <f>Sinistrés!H3586</f>
        <v>Orge de printemps BIO</v>
      </c>
      <c r="B3581">
        <f>Sinistrés!J3586</f>
        <v>7075.12</v>
      </c>
      <c r="C3581">
        <f>Sinistrés!X3586</f>
        <v>0</v>
      </c>
      <c r="D3581">
        <f>Sinistrés!L3586</f>
        <v>8.5299999999999994</v>
      </c>
      <c r="E3581">
        <f>Sinistrés!M3586</f>
        <v>8.5299999999999994</v>
      </c>
      <c r="F3581">
        <f t="shared" si="110"/>
        <v>0</v>
      </c>
      <c r="G3581">
        <f t="shared" si="111"/>
        <v>1</v>
      </c>
    </row>
    <row r="3582" spans="1:7">
      <c r="A3582" t="str">
        <f>Sinistrés!H3587</f>
        <v>Blé tendre d'hiver</v>
      </c>
      <c r="B3582">
        <f>Sinistrés!J3587</f>
        <v>17346.39</v>
      </c>
      <c r="C3582">
        <f>Sinistrés!X3587</f>
        <v>2016.97</v>
      </c>
      <c r="D3582">
        <f>Sinistrés!L3587</f>
        <v>16.66</v>
      </c>
      <c r="E3582">
        <f>Sinistrés!M3587</f>
        <v>16.66</v>
      </c>
      <c r="F3582">
        <f t="shared" si="110"/>
        <v>0.11627606666286185</v>
      </c>
      <c r="G3582">
        <f t="shared" si="111"/>
        <v>1</v>
      </c>
    </row>
    <row r="3583" spans="1:7">
      <c r="A3583" t="str">
        <f>Sinistrés!H3588</f>
        <v>Orge de printemps</v>
      </c>
      <c r="B3583">
        <f>Sinistrés!J3588</f>
        <v>39303.72</v>
      </c>
      <c r="C3583">
        <f>Sinistrés!X3588</f>
        <v>9995.26</v>
      </c>
      <c r="D3583">
        <f>Sinistrés!L3588</f>
        <v>50.78</v>
      </c>
      <c r="E3583">
        <f>Sinistrés!M3588</f>
        <v>50.78</v>
      </c>
      <c r="F3583">
        <f t="shared" si="110"/>
        <v>0.25430824359628046</v>
      </c>
      <c r="G3583">
        <f t="shared" si="111"/>
        <v>1</v>
      </c>
    </row>
    <row r="3584" spans="1:7" hidden="1">
      <c r="A3584" t="str">
        <f>Sinistrés!H3589</f>
        <v>Seigle et méteil BIO</v>
      </c>
      <c r="B3584">
        <f>Sinistrés!J3589</f>
        <v>8269.4500000000007</v>
      </c>
      <c r="C3584">
        <f>Sinistrés!X3589</f>
        <v>601.26</v>
      </c>
      <c r="D3584">
        <f>Sinistrés!L3589</f>
        <v>8.67</v>
      </c>
      <c r="E3584">
        <f>Sinistrés!M3589</f>
        <v>8</v>
      </c>
      <c r="F3584">
        <f t="shared" si="110"/>
        <v>7.2708584004982188E-2</v>
      </c>
      <c r="G3584">
        <f t="shared" si="111"/>
        <v>0.92272202998846597</v>
      </c>
    </row>
    <row r="3585" spans="1:7">
      <c r="A3585" t="str">
        <f>Sinistrés!H3590</f>
        <v>Blé tendre d'hiver</v>
      </c>
      <c r="B3585">
        <f>Sinistrés!J3590</f>
        <v>5359.05</v>
      </c>
      <c r="C3585">
        <f>Sinistrés!X3590</f>
        <v>405.98</v>
      </c>
      <c r="D3585">
        <f>Sinistrés!L3590</f>
        <v>3.91</v>
      </c>
      <c r="E3585">
        <f>Sinistrés!M3590</f>
        <v>3.91</v>
      </c>
      <c r="F3585">
        <f t="shared" si="110"/>
        <v>7.575596421007455E-2</v>
      </c>
      <c r="G3585">
        <f t="shared" si="111"/>
        <v>1</v>
      </c>
    </row>
    <row r="3586" spans="1:7" hidden="1">
      <c r="A3586" t="str">
        <f>Sinistrés!H3591</f>
        <v>Orge de printemps</v>
      </c>
      <c r="B3586">
        <f>Sinistrés!J3591</f>
        <v>21154.25</v>
      </c>
      <c r="C3586">
        <f>Sinistrés!X3591</f>
        <v>0</v>
      </c>
      <c r="D3586">
        <f>Sinistrés!L3591</f>
        <v>16.27</v>
      </c>
      <c r="E3586">
        <f>Sinistrés!M3591</f>
        <v>16.27</v>
      </c>
      <c r="F3586">
        <f t="shared" si="110"/>
        <v>0</v>
      </c>
      <c r="G3586">
        <f t="shared" si="111"/>
        <v>1</v>
      </c>
    </row>
    <row r="3587" spans="1:7">
      <c r="A3587" t="str">
        <f>Sinistrés!H3592</f>
        <v>Maïs grain non irrigué</v>
      </c>
      <c r="B3587">
        <f>Sinistrés!J3592</f>
        <v>7449</v>
      </c>
      <c r="C3587">
        <f>Sinistrés!X3592</f>
        <v>2206.0500000000002</v>
      </c>
      <c r="D3587">
        <f>Sinistrés!L3592</f>
        <v>7.64</v>
      </c>
      <c r="E3587">
        <f>Sinistrés!M3592</f>
        <v>7.62</v>
      </c>
      <c r="F3587">
        <f t="shared" ref="F3587:F3650" si="112">C3587/B3587</f>
        <v>0.29615384615384616</v>
      </c>
      <c r="G3587">
        <f t="shared" ref="G3587:G3650" si="113">E3587/D3587</f>
        <v>0.99738219895287961</v>
      </c>
    </row>
    <row r="3588" spans="1:7" hidden="1">
      <c r="A3588" t="str">
        <f>Sinistrés!H3593</f>
        <v>Orge de printemps</v>
      </c>
      <c r="B3588">
        <f>Sinistrés!J3593</f>
        <v>6003.72</v>
      </c>
      <c r="C3588">
        <f>Sinistrés!X3593</f>
        <v>0</v>
      </c>
      <c r="D3588">
        <f>Sinistrés!L3593</f>
        <v>6.54</v>
      </c>
      <c r="E3588">
        <f>Sinistrés!M3593</f>
        <v>6.53</v>
      </c>
      <c r="F3588">
        <f t="shared" si="112"/>
        <v>0</v>
      </c>
      <c r="G3588">
        <f t="shared" si="113"/>
        <v>0.99847094801223246</v>
      </c>
    </row>
    <row r="3589" spans="1:7">
      <c r="A3589" t="str">
        <f>Sinistrés!H3594</f>
        <v>Soja SEMENCES</v>
      </c>
      <c r="B3589">
        <f>Sinistrés!J3594</f>
        <v>20478.599999999999</v>
      </c>
      <c r="C3589">
        <f>Sinistrés!X3594</f>
        <v>5538.15</v>
      </c>
      <c r="D3589">
        <f>Sinistrés!L3594</f>
        <v>13.95</v>
      </c>
      <c r="E3589">
        <f>Sinistrés!M3594</f>
        <v>13.95</v>
      </c>
      <c r="F3589">
        <f t="shared" si="112"/>
        <v>0.27043596730245234</v>
      </c>
      <c r="G3589">
        <f t="shared" si="113"/>
        <v>1</v>
      </c>
    </row>
    <row r="3590" spans="1:7">
      <c r="A3590" t="str">
        <f>Sinistrés!H3595</f>
        <v>Maïs grain irrigué</v>
      </c>
      <c r="B3590">
        <f>Sinistrés!J3595</f>
        <v>22155.360000000001</v>
      </c>
      <c r="C3590">
        <f>Sinistrés!X3595</f>
        <v>3650.15</v>
      </c>
      <c r="D3590">
        <f>Sinistrés!L3595</f>
        <v>13.71</v>
      </c>
      <c r="E3590">
        <f>Sinistrés!M3595</f>
        <v>13.71</v>
      </c>
      <c r="F3590">
        <f t="shared" si="112"/>
        <v>0.16475245719320292</v>
      </c>
      <c r="G3590">
        <f t="shared" si="113"/>
        <v>1</v>
      </c>
    </row>
    <row r="3591" spans="1:7" hidden="1">
      <c r="A3591" t="str">
        <f>Sinistrés!H3596</f>
        <v>Blé tendre d'hiver</v>
      </c>
      <c r="B3591">
        <f>Sinistrés!J3596</f>
        <v>55505.49</v>
      </c>
      <c r="C3591">
        <f>Sinistrés!X3596</f>
        <v>0</v>
      </c>
      <c r="D3591">
        <f>Sinistrés!L3596</f>
        <v>39.61</v>
      </c>
      <c r="E3591">
        <f>Sinistrés!M3596</f>
        <v>39.61</v>
      </c>
      <c r="F3591">
        <f t="shared" si="112"/>
        <v>0</v>
      </c>
      <c r="G3591">
        <f t="shared" si="113"/>
        <v>1</v>
      </c>
    </row>
    <row r="3592" spans="1:7" hidden="1">
      <c r="A3592" t="str">
        <f>Sinistrés!H3597</f>
        <v>Orge de printemps</v>
      </c>
      <c r="B3592">
        <f>Sinistrés!J3597</f>
        <v>8671</v>
      </c>
      <c r="C3592">
        <f>Sinistrés!X3597</f>
        <v>0</v>
      </c>
      <c r="D3592">
        <f>Sinistrés!L3597</f>
        <v>6.67</v>
      </c>
      <c r="E3592">
        <f>Sinistrés!M3597</f>
        <v>6.67</v>
      </c>
      <c r="F3592">
        <f t="shared" si="112"/>
        <v>0</v>
      </c>
      <c r="G3592">
        <f t="shared" si="113"/>
        <v>1</v>
      </c>
    </row>
    <row r="3593" spans="1:7">
      <c r="A3593" t="str">
        <f>Sinistrés!H3598</f>
        <v>Maïs ensilage non irrigué</v>
      </c>
      <c r="B3593">
        <f>Sinistrés!J3598</f>
        <v>39609</v>
      </c>
      <c r="C3593">
        <f>Sinistrés!X3598</f>
        <v>13705.2</v>
      </c>
      <c r="D3593">
        <f>Sinistrés!L3598</f>
        <v>27</v>
      </c>
      <c r="E3593">
        <f>Sinistrés!M3598</f>
        <v>27</v>
      </c>
      <c r="F3593">
        <f t="shared" si="112"/>
        <v>0.34601226993865031</v>
      </c>
      <c r="G3593">
        <f t="shared" si="113"/>
        <v>1</v>
      </c>
    </row>
    <row r="3594" spans="1:7" hidden="1">
      <c r="A3594" t="str">
        <f>Sinistrés!H3599</f>
        <v>Soja</v>
      </c>
      <c r="B3594">
        <f>Sinistrés!J3599</f>
        <v>25179</v>
      </c>
      <c r="C3594">
        <f>Sinistrés!X3599</f>
        <v>0</v>
      </c>
      <c r="D3594">
        <f>Sinistrés!L3599</f>
        <v>14</v>
      </c>
      <c r="E3594">
        <f>Sinistrés!M3599</f>
        <v>14</v>
      </c>
      <c r="F3594">
        <f t="shared" si="112"/>
        <v>0</v>
      </c>
      <c r="G3594">
        <f t="shared" si="113"/>
        <v>1</v>
      </c>
    </row>
    <row r="3595" spans="1:7" hidden="1">
      <c r="A3595" t="str">
        <f>Sinistrés!H3600</f>
        <v>Maïs grain irrigué</v>
      </c>
      <c r="B3595">
        <f>Sinistrés!J3600</f>
        <v>74141.460000000006</v>
      </c>
      <c r="C3595">
        <f>Sinistrés!X3600</f>
        <v>0</v>
      </c>
      <c r="D3595">
        <f>Sinistrés!L3600</f>
        <v>30.9</v>
      </c>
      <c r="E3595">
        <f>Sinistrés!M3600</f>
        <v>30.9</v>
      </c>
      <c r="F3595">
        <f t="shared" si="112"/>
        <v>0</v>
      </c>
      <c r="G3595">
        <f t="shared" si="113"/>
        <v>1</v>
      </c>
    </row>
    <row r="3596" spans="1:7" hidden="1">
      <c r="A3596" t="str">
        <f>Sinistrés!H3601</f>
        <v>Blé tendre de printemps BIO</v>
      </c>
      <c r="B3596">
        <f>Sinistrés!J3601</f>
        <v>42564.38</v>
      </c>
      <c r="C3596">
        <f>Sinistrés!X3601</f>
        <v>0</v>
      </c>
      <c r="D3596">
        <f>Sinistrés!L3601</f>
        <v>40.25</v>
      </c>
      <c r="E3596">
        <f>Sinistrés!M3601</f>
        <v>40.25</v>
      </c>
      <c r="F3596">
        <f t="shared" si="112"/>
        <v>0</v>
      </c>
      <c r="G3596">
        <f t="shared" si="113"/>
        <v>1</v>
      </c>
    </row>
    <row r="3597" spans="1:7" hidden="1">
      <c r="A3597" t="str">
        <f>Sinistrés!H3602</f>
        <v>Blé tendre d'hiver BIO</v>
      </c>
      <c r="B3597">
        <f>Sinistrés!J3602</f>
        <v>65472.3</v>
      </c>
      <c r="C3597">
        <f>Sinistrés!X3602</f>
        <v>0</v>
      </c>
      <c r="D3597">
        <f>Sinistrés!L3602</f>
        <v>53.1</v>
      </c>
      <c r="E3597">
        <f>Sinistrés!M3602</f>
        <v>53.1</v>
      </c>
      <c r="F3597">
        <f t="shared" si="112"/>
        <v>0</v>
      </c>
      <c r="G3597">
        <f t="shared" si="113"/>
        <v>1</v>
      </c>
    </row>
    <row r="3598" spans="1:7" hidden="1">
      <c r="A3598" t="str">
        <f>Sinistrés!H3603</f>
        <v>Pommes de terre PLANTS</v>
      </c>
      <c r="B3598">
        <f>Sinistrés!J3603</f>
        <v>76931.199999999997</v>
      </c>
      <c r="C3598">
        <f>Sinistrés!X3603</f>
        <v>0</v>
      </c>
      <c r="D3598">
        <f>Sinistrés!L3603</f>
        <v>8.2899999999999991</v>
      </c>
      <c r="E3598">
        <f>Sinistrés!M3603</f>
        <v>8.2899999999999991</v>
      </c>
      <c r="F3598">
        <f t="shared" si="112"/>
        <v>0</v>
      </c>
      <c r="G3598">
        <f t="shared" si="113"/>
        <v>1</v>
      </c>
    </row>
    <row r="3599" spans="1:7" hidden="1">
      <c r="A3599" t="str">
        <f>Sinistrés!H3604</f>
        <v>Pommes de terre</v>
      </c>
      <c r="B3599">
        <f>Sinistrés!J3604</f>
        <v>38954.230000000003</v>
      </c>
      <c r="C3599">
        <f>Sinistrés!X3604</f>
        <v>0</v>
      </c>
      <c r="D3599">
        <f>Sinistrés!L3604</f>
        <v>6.07</v>
      </c>
      <c r="E3599">
        <f>Sinistrés!M3604</f>
        <v>6.07</v>
      </c>
      <c r="F3599">
        <f t="shared" si="112"/>
        <v>0</v>
      </c>
      <c r="G3599">
        <f t="shared" si="113"/>
        <v>1</v>
      </c>
    </row>
    <row r="3600" spans="1:7">
      <c r="A3600" t="str">
        <f>Sinistrés!H3605</f>
        <v>Pois protéagineux</v>
      </c>
      <c r="B3600">
        <f>Sinistrés!J3605</f>
        <v>11096.25</v>
      </c>
      <c r="C3600">
        <f>Sinistrés!X3605</f>
        <v>1092.81</v>
      </c>
      <c r="D3600">
        <f>Sinistrés!L3605</f>
        <v>13.45</v>
      </c>
      <c r="E3600">
        <f>Sinistrés!M3605</f>
        <v>13.45</v>
      </c>
      <c r="F3600">
        <f t="shared" si="112"/>
        <v>9.8484623183507938E-2</v>
      </c>
      <c r="G3600">
        <f t="shared" si="113"/>
        <v>1</v>
      </c>
    </row>
    <row r="3601" spans="1:7">
      <c r="A3601" t="str">
        <f>Sinistrés!H3606</f>
        <v>Féveroles et fèves</v>
      </c>
      <c r="B3601">
        <f>Sinistrés!J3606</f>
        <v>9582.86</v>
      </c>
      <c r="C3601">
        <f>Sinistrés!X3606</f>
        <v>8979.43</v>
      </c>
      <c r="D3601">
        <f>Sinistrés!L3606</f>
        <v>18.170000000000002</v>
      </c>
      <c r="E3601">
        <f>Sinistrés!M3606</f>
        <v>18.170000000000002</v>
      </c>
      <c r="F3601">
        <f t="shared" si="112"/>
        <v>0.93703028114779929</v>
      </c>
      <c r="G3601">
        <f t="shared" si="113"/>
        <v>1</v>
      </c>
    </row>
    <row r="3602" spans="1:7" hidden="1">
      <c r="A3602" t="str">
        <f>Sinistrés!H3607</f>
        <v>Maïs grain irrigué</v>
      </c>
      <c r="B3602">
        <f>Sinistrés!J3607</f>
        <v>29260</v>
      </c>
      <c r="C3602">
        <f>Sinistrés!X3607</f>
        <v>0</v>
      </c>
      <c r="D3602">
        <f>Sinistrés!L3607</f>
        <v>14</v>
      </c>
      <c r="E3602">
        <f>Sinistrés!M3607</f>
        <v>14</v>
      </c>
      <c r="F3602">
        <f t="shared" si="112"/>
        <v>0</v>
      </c>
      <c r="G3602">
        <f t="shared" si="113"/>
        <v>1</v>
      </c>
    </row>
    <row r="3603" spans="1:7" hidden="1">
      <c r="A3603" t="str">
        <f>Sinistrés!H3608</f>
        <v>Maïs grain non irrigué</v>
      </c>
      <c r="B3603">
        <f>Sinistrés!J3608</f>
        <v>88918.1</v>
      </c>
      <c r="C3603">
        <f>Sinistrés!X3608</f>
        <v>0</v>
      </c>
      <c r="D3603">
        <f>Sinistrés!L3608</f>
        <v>53</v>
      </c>
      <c r="E3603">
        <f>Sinistrés!M3608</f>
        <v>53</v>
      </c>
      <c r="F3603">
        <f t="shared" si="112"/>
        <v>0</v>
      </c>
      <c r="G3603">
        <f t="shared" si="113"/>
        <v>1</v>
      </c>
    </row>
    <row r="3604" spans="1:7">
      <c r="A3604" t="str">
        <f>Sinistrés!H3609</f>
        <v>Tournesol</v>
      </c>
      <c r="B3604">
        <f>Sinistrés!J3609</f>
        <v>8374.02</v>
      </c>
      <c r="C3604">
        <f>Sinistrés!X3609</f>
        <v>4853.7</v>
      </c>
      <c r="D3604">
        <f>Sinistrés!L3609</f>
        <v>6</v>
      </c>
      <c r="E3604">
        <f>Sinistrés!M3609</f>
        <v>6</v>
      </c>
      <c r="F3604">
        <f t="shared" si="112"/>
        <v>0.57961409215645532</v>
      </c>
      <c r="G3604">
        <f t="shared" si="113"/>
        <v>1</v>
      </c>
    </row>
    <row r="3605" spans="1:7" hidden="1">
      <c r="A3605" t="str">
        <f>Sinistrés!H3610</f>
        <v>Blé tendre d'hiver BIO</v>
      </c>
      <c r="B3605">
        <f>Sinistrés!J3610</f>
        <v>24324.42</v>
      </c>
      <c r="C3605">
        <f>Sinistrés!X3610</f>
        <v>5490.71</v>
      </c>
      <c r="D3605">
        <f>Sinistrés!L3610</f>
        <v>36.11</v>
      </c>
      <c r="E3605">
        <f>Sinistrés!M3610</f>
        <v>36.11</v>
      </c>
      <c r="F3605">
        <f t="shared" si="112"/>
        <v>0.22572830102423821</v>
      </c>
      <c r="G3605">
        <f t="shared" si="113"/>
        <v>1</v>
      </c>
    </row>
    <row r="3606" spans="1:7" hidden="1">
      <c r="A3606" t="str">
        <f>Sinistrés!H3611</f>
        <v>Seigle et méteil BIO</v>
      </c>
      <c r="B3606">
        <f>Sinistrés!J3611</f>
        <v>9967.24</v>
      </c>
      <c r="C3606">
        <f>Sinistrés!X3611</f>
        <v>0</v>
      </c>
      <c r="D3606">
        <f>Sinistrés!L3611</f>
        <v>15.71</v>
      </c>
      <c r="E3606">
        <f>Sinistrés!M3611</f>
        <v>15.71</v>
      </c>
      <c r="F3606">
        <f t="shared" si="112"/>
        <v>0</v>
      </c>
      <c r="G3606">
        <f t="shared" si="113"/>
        <v>1</v>
      </c>
    </row>
    <row r="3607" spans="1:7">
      <c r="A3607" t="str">
        <f>Sinistrés!H3612</f>
        <v>Sorgho</v>
      </c>
      <c r="B3607">
        <f>Sinistrés!J3612</f>
        <v>17322.5</v>
      </c>
      <c r="C3607">
        <f>Sinistrés!X3612</f>
        <v>2301.83</v>
      </c>
      <c r="D3607">
        <f>Sinistrés!L3612</f>
        <v>25</v>
      </c>
      <c r="E3607">
        <f>Sinistrés!M3612</f>
        <v>25</v>
      </c>
      <c r="F3607">
        <f t="shared" si="112"/>
        <v>0.13288093519988453</v>
      </c>
      <c r="G3607">
        <f t="shared" si="113"/>
        <v>1</v>
      </c>
    </row>
    <row r="3608" spans="1:7">
      <c r="A3608" t="str">
        <f>Sinistrés!H3613</f>
        <v>Seigle et méteil</v>
      </c>
      <c r="B3608">
        <f>Sinistrés!J3613</f>
        <v>10403.61</v>
      </c>
      <c r="C3608">
        <f>Sinistrés!X3613</f>
        <v>6454.51</v>
      </c>
      <c r="D3608">
        <f>Sinistrés!L3613</f>
        <v>14.98</v>
      </c>
      <c r="E3608">
        <f>Sinistrés!M3613</f>
        <v>14.98</v>
      </c>
      <c r="F3608">
        <f t="shared" si="112"/>
        <v>0.62041060747182952</v>
      </c>
      <c r="G3608">
        <f t="shared" si="113"/>
        <v>1</v>
      </c>
    </row>
    <row r="3609" spans="1:7" hidden="1">
      <c r="A3609" t="str">
        <f>Sinistrés!H3614</f>
        <v>Avoine d'hiver BIO</v>
      </c>
      <c r="B3609">
        <f>Sinistrés!J3614</f>
        <v>3442.16</v>
      </c>
      <c r="C3609">
        <f>Sinistrés!X3614</f>
        <v>1036.47</v>
      </c>
      <c r="D3609">
        <f>Sinistrés!L3614</f>
        <v>10.85</v>
      </c>
      <c r="E3609">
        <f>Sinistrés!M3614</f>
        <v>10.85</v>
      </c>
      <c r="F3609">
        <f t="shared" si="112"/>
        <v>0.30111034931554609</v>
      </c>
      <c r="G3609">
        <f t="shared" si="113"/>
        <v>1</v>
      </c>
    </row>
    <row r="3610" spans="1:7">
      <c r="A3610" t="str">
        <f>Sinistrés!H3615</f>
        <v>Orge de printemps</v>
      </c>
      <c r="B3610">
        <f>Sinistrés!J3615</f>
        <v>14911.02</v>
      </c>
      <c r="C3610">
        <f>Sinistrés!X3615</f>
        <v>689.28</v>
      </c>
      <c r="D3610">
        <f>Sinistrés!L3615</f>
        <v>15.63</v>
      </c>
      <c r="E3610">
        <f>Sinistrés!M3615</f>
        <v>15.63</v>
      </c>
      <c r="F3610">
        <f t="shared" si="112"/>
        <v>4.6226213900859896E-2</v>
      </c>
      <c r="G3610">
        <f t="shared" si="113"/>
        <v>1</v>
      </c>
    </row>
    <row r="3611" spans="1:7">
      <c r="A3611" t="str">
        <f>Sinistrés!H3616</f>
        <v>Tournesol</v>
      </c>
      <c r="B3611">
        <f>Sinistrés!J3616</f>
        <v>23545.58</v>
      </c>
      <c r="C3611">
        <f>Sinistrés!X3616</f>
        <v>5212.18</v>
      </c>
      <c r="D3611">
        <f>Sinistrés!L3616</f>
        <v>22.5</v>
      </c>
      <c r="E3611">
        <f>Sinistrés!M3616</f>
        <v>22.5</v>
      </c>
      <c r="F3611">
        <f t="shared" si="112"/>
        <v>0.22136553867010283</v>
      </c>
      <c r="G3611">
        <f t="shared" si="113"/>
        <v>1</v>
      </c>
    </row>
    <row r="3612" spans="1:7" hidden="1">
      <c r="A3612" t="str">
        <f>Sinistrés!H3617</f>
        <v>Blé dur d'hiver</v>
      </c>
      <c r="B3612">
        <f>Sinistrés!J3617</f>
        <v>13233.74</v>
      </c>
      <c r="C3612">
        <f>Sinistrés!X3617</f>
        <v>0</v>
      </c>
      <c r="D3612">
        <f>Sinistrés!L3617</f>
        <v>9.74</v>
      </c>
      <c r="E3612">
        <f>Sinistrés!M3617</f>
        <v>9.74</v>
      </c>
      <c r="F3612">
        <f t="shared" si="112"/>
        <v>0</v>
      </c>
      <c r="G3612">
        <f t="shared" si="113"/>
        <v>1</v>
      </c>
    </row>
    <row r="3613" spans="1:7" hidden="1">
      <c r="A3613" t="str">
        <f>Sinistrés!H3618</f>
        <v>Blé tendre d'hiver</v>
      </c>
      <c r="B3613">
        <f>Sinistrés!J3618</f>
        <v>32452.560000000001</v>
      </c>
      <c r="C3613">
        <f>Sinistrés!X3618</f>
        <v>0</v>
      </c>
      <c r="D3613">
        <f>Sinistrés!L3618</f>
        <v>28.77</v>
      </c>
      <c r="E3613">
        <f>Sinistrés!M3618</f>
        <v>28.77</v>
      </c>
      <c r="F3613">
        <f t="shared" si="112"/>
        <v>0</v>
      </c>
      <c r="G3613">
        <f t="shared" si="113"/>
        <v>1</v>
      </c>
    </row>
    <row r="3614" spans="1:7" hidden="1">
      <c r="A3614" t="str">
        <f>Sinistrés!H3619</f>
        <v>Orge de printemps</v>
      </c>
      <c r="B3614">
        <f>Sinistrés!J3619</f>
        <v>12267.2</v>
      </c>
      <c r="C3614">
        <f>Sinistrés!X3619</f>
        <v>0</v>
      </c>
      <c r="D3614">
        <f>Sinistrés!L3619</f>
        <v>13.94</v>
      </c>
      <c r="E3614">
        <f>Sinistrés!M3619</f>
        <v>13.93</v>
      </c>
      <c r="F3614">
        <f t="shared" si="112"/>
        <v>0</v>
      </c>
      <c r="G3614">
        <f t="shared" si="113"/>
        <v>0.99928263988522237</v>
      </c>
    </row>
    <row r="3615" spans="1:7" hidden="1">
      <c r="A3615" t="str">
        <f>Sinistrés!H3620</f>
        <v>Colza d'hiver</v>
      </c>
      <c r="B3615">
        <f>Sinistrés!J3620</f>
        <v>16594.2</v>
      </c>
      <c r="C3615">
        <f>Sinistrés!X3620</f>
        <v>0</v>
      </c>
      <c r="D3615">
        <f>Sinistrés!L3620</f>
        <v>13.17</v>
      </c>
      <c r="E3615">
        <f>Sinistrés!M3620</f>
        <v>13.17</v>
      </c>
      <c r="F3615">
        <f t="shared" si="112"/>
        <v>0</v>
      </c>
      <c r="G3615">
        <f t="shared" si="113"/>
        <v>1</v>
      </c>
    </row>
    <row r="3616" spans="1:7" hidden="1">
      <c r="A3616" t="str">
        <f>Sinistrés!H3621</f>
        <v>Maïs grain non irrigué</v>
      </c>
      <c r="B3616">
        <f>Sinistrés!J3621</f>
        <v>14130.7</v>
      </c>
      <c r="C3616">
        <f>Sinistrés!X3621</f>
        <v>0</v>
      </c>
      <c r="D3616">
        <f>Sinistrés!L3621</f>
        <v>12.54</v>
      </c>
      <c r="E3616">
        <f>Sinistrés!M3621</f>
        <v>12.54</v>
      </c>
      <c r="F3616">
        <f t="shared" si="112"/>
        <v>0</v>
      </c>
      <c r="G3616">
        <f t="shared" si="113"/>
        <v>1</v>
      </c>
    </row>
    <row r="3617" spans="1:7" hidden="1">
      <c r="A3617" t="str">
        <f>Sinistrés!H3622</f>
        <v>Tournesol</v>
      </c>
      <c r="B3617">
        <f>Sinistrés!J3622</f>
        <v>13331.25</v>
      </c>
      <c r="C3617">
        <f>Sinistrés!X3622</f>
        <v>0</v>
      </c>
      <c r="D3617">
        <f>Sinistrés!L3622</f>
        <v>11.25</v>
      </c>
      <c r="E3617">
        <f>Sinistrés!M3622</f>
        <v>11.25</v>
      </c>
      <c r="F3617">
        <f t="shared" si="112"/>
        <v>0</v>
      </c>
      <c r="G3617">
        <f t="shared" si="113"/>
        <v>1</v>
      </c>
    </row>
    <row r="3618" spans="1:7">
      <c r="A3618" t="str">
        <f>Sinistrés!H3623</f>
        <v>Maïs grain irrigué</v>
      </c>
      <c r="B3618">
        <f>Sinistrés!J3623</f>
        <v>34668</v>
      </c>
      <c r="C3618">
        <f>Sinistrés!X3623</f>
        <v>837</v>
      </c>
      <c r="D3618">
        <f>Sinistrés!L3623</f>
        <v>20</v>
      </c>
      <c r="E3618">
        <f>Sinistrés!M3623</f>
        <v>20</v>
      </c>
      <c r="F3618">
        <f t="shared" si="112"/>
        <v>2.4143302180685357E-2</v>
      </c>
      <c r="G3618">
        <f t="shared" si="113"/>
        <v>1</v>
      </c>
    </row>
    <row r="3619" spans="1:7" hidden="1">
      <c r="A3619" t="str">
        <f>Sinistrés!H3624</f>
        <v>Tournesol</v>
      </c>
      <c r="B3619">
        <f>Sinistrés!J3624</f>
        <v>36500</v>
      </c>
      <c r="C3619">
        <f>Sinistrés!X3624</f>
        <v>0</v>
      </c>
      <c r="D3619">
        <f>Sinistrés!L3624</f>
        <v>36.5</v>
      </c>
      <c r="E3619">
        <f>Sinistrés!M3624</f>
        <v>36.5</v>
      </c>
      <c r="F3619">
        <f t="shared" si="112"/>
        <v>0</v>
      </c>
      <c r="G3619">
        <f t="shared" si="113"/>
        <v>1</v>
      </c>
    </row>
    <row r="3620" spans="1:7" hidden="1">
      <c r="A3620" t="str">
        <f>Sinistrés!H3625</f>
        <v>Soja BIO</v>
      </c>
      <c r="B3620">
        <f>Sinistrés!J3625</f>
        <v>37240</v>
      </c>
      <c r="C3620">
        <f>Sinistrés!X3625</f>
        <v>22254.62</v>
      </c>
      <c r="D3620">
        <f>Sinistrés!L3625</f>
        <v>21.28</v>
      </c>
      <c r="E3620">
        <f>Sinistrés!M3625</f>
        <v>21.28</v>
      </c>
      <c r="F3620">
        <f t="shared" si="112"/>
        <v>0.59759989258861435</v>
      </c>
      <c r="G3620">
        <f t="shared" si="113"/>
        <v>1</v>
      </c>
    </row>
    <row r="3621" spans="1:7" hidden="1">
      <c r="A3621" t="str">
        <f>Sinistrés!H3626</f>
        <v>Tournesol BIO</v>
      </c>
      <c r="B3621">
        <f>Sinistrés!J3626</f>
        <v>18042</v>
      </c>
      <c r="C3621">
        <f>Sinistrés!X3626</f>
        <v>7036.38</v>
      </c>
      <c r="D3621">
        <f>Sinistrés!L3626</f>
        <v>24.25</v>
      </c>
      <c r="E3621">
        <f>Sinistrés!M3626</f>
        <v>24.25</v>
      </c>
      <c r="F3621">
        <f t="shared" si="112"/>
        <v>0.39</v>
      </c>
      <c r="G3621">
        <f t="shared" si="113"/>
        <v>1</v>
      </c>
    </row>
    <row r="3622" spans="1:7" hidden="1">
      <c r="A3622" t="str">
        <f>Sinistrés!H3627</f>
        <v>Pois secs / Pois Chiches BIO</v>
      </c>
      <c r="B3622">
        <f>Sinistrés!J3627</f>
        <v>14868</v>
      </c>
      <c r="C3622">
        <f>Sinistrés!X3627</f>
        <v>8932</v>
      </c>
      <c r="D3622">
        <f>Sinistrés!L3627</f>
        <v>8.26</v>
      </c>
      <c r="E3622">
        <f>Sinistrés!M3627</f>
        <v>8.26</v>
      </c>
      <c r="F3622">
        <f t="shared" si="112"/>
        <v>0.60075329566854996</v>
      </c>
      <c r="G3622">
        <f t="shared" si="113"/>
        <v>1</v>
      </c>
    </row>
    <row r="3623" spans="1:7">
      <c r="A3623" t="str">
        <f>Sinistrés!H3628</f>
        <v>Triticale</v>
      </c>
      <c r="B3623">
        <f>Sinistrés!J3628</f>
        <v>29880</v>
      </c>
      <c r="C3623">
        <f>Sinistrés!X3628</f>
        <v>10209</v>
      </c>
      <c r="D3623">
        <f>Sinistrés!L3628</f>
        <v>41.5</v>
      </c>
      <c r="E3623">
        <f>Sinistrés!M3628</f>
        <v>20</v>
      </c>
      <c r="F3623">
        <f t="shared" si="112"/>
        <v>0.34166666666666667</v>
      </c>
      <c r="G3623">
        <f t="shared" si="113"/>
        <v>0.48192771084337349</v>
      </c>
    </row>
    <row r="3624" spans="1:7" hidden="1">
      <c r="A3624" t="str">
        <f>Sinistrés!H3629</f>
        <v>Maïs grain irrigué</v>
      </c>
      <c r="B3624">
        <f>Sinistrés!J3629</f>
        <v>30625</v>
      </c>
      <c r="C3624">
        <f>Sinistrés!X3629</f>
        <v>0</v>
      </c>
      <c r="D3624">
        <f>Sinistrés!L3629</f>
        <v>14</v>
      </c>
      <c r="E3624">
        <f>Sinistrés!M3629</f>
        <v>14</v>
      </c>
      <c r="F3624">
        <f t="shared" si="112"/>
        <v>0</v>
      </c>
      <c r="G3624">
        <f t="shared" si="113"/>
        <v>1</v>
      </c>
    </row>
    <row r="3625" spans="1:7">
      <c r="A3625" t="str">
        <f>Sinistrés!H3630</f>
        <v>Maïs grain non irrigué</v>
      </c>
      <c r="B3625">
        <f>Sinistrés!J3630</f>
        <v>57750</v>
      </c>
      <c r="C3625">
        <f>Sinistrés!X3630</f>
        <v>19105.63</v>
      </c>
      <c r="D3625">
        <f>Sinistrés!L3630</f>
        <v>30</v>
      </c>
      <c r="E3625">
        <f>Sinistrés!M3630</f>
        <v>30</v>
      </c>
      <c r="F3625">
        <f t="shared" si="112"/>
        <v>0.33083341991341991</v>
      </c>
      <c r="G3625">
        <f t="shared" si="113"/>
        <v>1</v>
      </c>
    </row>
    <row r="3626" spans="1:7">
      <c r="A3626" t="str">
        <f>Sinistrés!H3631</f>
        <v>Maïs waxy non irrigué</v>
      </c>
      <c r="B3626">
        <f>Sinistrés!J3631</f>
        <v>7700</v>
      </c>
      <c r="C3626">
        <f>Sinistrés!X3631</f>
        <v>4389</v>
      </c>
      <c r="D3626">
        <f>Sinistrés!L3631</f>
        <v>4</v>
      </c>
      <c r="E3626">
        <f>Sinistrés!M3631</f>
        <v>4</v>
      </c>
      <c r="F3626">
        <f t="shared" si="112"/>
        <v>0.56999999999999995</v>
      </c>
      <c r="G3626">
        <f t="shared" si="113"/>
        <v>1</v>
      </c>
    </row>
    <row r="3627" spans="1:7" hidden="1">
      <c r="A3627" t="str">
        <f>Sinistrés!H3632</f>
        <v>Soja</v>
      </c>
      <c r="B3627">
        <f>Sinistrés!J3632</f>
        <v>11900</v>
      </c>
      <c r="C3627">
        <f>Sinistrés!X3632</f>
        <v>0</v>
      </c>
      <c r="D3627">
        <f>Sinistrés!L3632</f>
        <v>8.5</v>
      </c>
      <c r="E3627">
        <f>Sinistrés!M3632</f>
        <v>8.5</v>
      </c>
      <c r="F3627">
        <f t="shared" si="112"/>
        <v>0</v>
      </c>
      <c r="G3627">
        <f t="shared" si="113"/>
        <v>1</v>
      </c>
    </row>
    <row r="3628" spans="1:7" hidden="1">
      <c r="A3628" t="str">
        <f>Sinistrés!H3633</f>
        <v xml:space="preserve">Maïs doux irrigué </v>
      </c>
      <c r="B3628">
        <f>Sinistrés!J3633</f>
        <v>18143.28</v>
      </c>
      <c r="C3628">
        <f>Sinistrés!X3633</f>
        <v>0</v>
      </c>
      <c r="D3628">
        <f>Sinistrés!L3633</f>
        <v>12</v>
      </c>
      <c r="E3628">
        <f>Sinistrés!M3633</f>
        <v>12</v>
      </c>
      <c r="F3628">
        <f t="shared" si="112"/>
        <v>0</v>
      </c>
      <c r="G3628">
        <f t="shared" si="113"/>
        <v>1</v>
      </c>
    </row>
    <row r="3629" spans="1:7" hidden="1">
      <c r="A3629" t="str">
        <f>Sinistrés!H3634</f>
        <v>Maïs grain irrigué</v>
      </c>
      <c r="B3629">
        <f>Sinistrés!J3634</f>
        <v>54411.56</v>
      </c>
      <c r="C3629">
        <f>Sinistrés!X3634</f>
        <v>0</v>
      </c>
      <c r="D3629">
        <f>Sinistrés!L3634</f>
        <v>28</v>
      </c>
      <c r="E3629">
        <f>Sinistrés!M3634</f>
        <v>28</v>
      </c>
      <c r="F3629">
        <f t="shared" si="112"/>
        <v>0</v>
      </c>
      <c r="G3629">
        <f t="shared" si="113"/>
        <v>1</v>
      </c>
    </row>
    <row r="3630" spans="1:7" hidden="1">
      <c r="A3630" t="str">
        <f>Sinistrés!H3635</f>
        <v>Maïs grain irrigué</v>
      </c>
      <c r="B3630">
        <f>Sinistrés!J3635</f>
        <v>65331.199999999997</v>
      </c>
      <c r="C3630">
        <f>Sinistrés!X3635</f>
        <v>0</v>
      </c>
      <c r="D3630">
        <f>Sinistrés!L3635</f>
        <v>37.119999999999997</v>
      </c>
      <c r="E3630">
        <f>Sinistrés!M3635</f>
        <v>20</v>
      </c>
      <c r="F3630">
        <f t="shared" si="112"/>
        <v>0</v>
      </c>
      <c r="G3630">
        <f t="shared" si="113"/>
        <v>0.53879310344827591</v>
      </c>
    </row>
    <row r="3631" spans="1:7" hidden="1">
      <c r="A3631" t="str">
        <f>Sinistrés!H3636</f>
        <v>Soja</v>
      </c>
      <c r="B3631">
        <f>Sinistrés!J3636</f>
        <v>15384.6</v>
      </c>
      <c r="C3631">
        <f>Sinistrés!X3636</f>
        <v>0</v>
      </c>
      <c r="D3631">
        <f>Sinistrés!L3636</f>
        <v>12.95</v>
      </c>
      <c r="E3631">
        <f>Sinistrés!M3636</f>
        <v>12.95</v>
      </c>
      <c r="F3631">
        <f t="shared" si="112"/>
        <v>0</v>
      </c>
      <c r="G3631">
        <f t="shared" si="113"/>
        <v>1</v>
      </c>
    </row>
    <row r="3632" spans="1:7" hidden="1">
      <c r="A3632" t="str">
        <f>Sinistrés!H3637</f>
        <v>Tournesol</v>
      </c>
      <c r="B3632">
        <f>Sinistrés!J3637</f>
        <v>28371.200000000001</v>
      </c>
      <c r="C3632">
        <f>Sinistrés!X3637</f>
        <v>0</v>
      </c>
      <c r="D3632">
        <f>Sinistrés!L3637</f>
        <v>32.24</v>
      </c>
      <c r="E3632">
        <f>Sinistrés!M3637</f>
        <v>32.24</v>
      </c>
      <c r="F3632">
        <f t="shared" si="112"/>
        <v>0</v>
      </c>
      <c r="G3632">
        <f t="shared" si="113"/>
        <v>1</v>
      </c>
    </row>
    <row r="3633" spans="1:7" hidden="1">
      <c r="A3633" t="str">
        <f>Sinistrés!H3638</f>
        <v>Blé tendre de printemps BIO</v>
      </c>
      <c r="B3633">
        <f>Sinistrés!J3638</f>
        <v>13966.824000000001</v>
      </c>
      <c r="C3633">
        <f>Sinistrés!X3638</f>
        <v>186.32</v>
      </c>
      <c r="D3633">
        <f>Sinistrés!L3638</f>
        <v>28.1</v>
      </c>
      <c r="E3633">
        <f>Sinistrés!M3638</f>
        <v>28.1</v>
      </c>
      <c r="F3633">
        <f t="shared" si="112"/>
        <v>1.3340183852821513E-2</v>
      </c>
      <c r="G3633">
        <f t="shared" si="113"/>
        <v>1</v>
      </c>
    </row>
    <row r="3634" spans="1:7">
      <c r="A3634" t="str">
        <f>Sinistrés!H3639</f>
        <v>Tournesol</v>
      </c>
      <c r="B3634">
        <f>Sinistrés!J3639</f>
        <v>29545.43</v>
      </c>
      <c r="C3634">
        <f>Sinistrés!X3639</f>
        <v>4898.93</v>
      </c>
      <c r="D3634">
        <f>Sinistrés!L3639</f>
        <v>24.05</v>
      </c>
      <c r="E3634">
        <f>Sinistrés!M3639</f>
        <v>24.05</v>
      </c>
      <c r="F3634">
        <f t="shared" si="112"/>
        <v>0.16581007621144794</v>
      </c>
      <c r="G3634">
        <f t="shared" si="113"/>
        <v>1</v>
      </c>
    </row>
    <row r="3635" spans="1:7" hidden="1">
      <c r="A3635" t="str">
        <f>Sinistrés!H3640</f>
        <v>Maïs grain irrigué</v>
      </c>
      <c r="B3635">
        <f>Sinistrés!J3640</f>
        <v>46674.42</v>
      </c>
      <c r="C3635">
        <f>Sinistrés!X3640</f>
        <v>0</v>
      </c>
      <c r="D3635">
        <f>Sinistrés!L3640</f>
        <v>24.28</v>
      </c>
      <c r="E3635">
        <f>Sinistrés!M3640</f>
        <v>8.19</v>
      </c>
      <c r="F3635">
        <f t="shared" si="112"/>
        <v>0</v>
      </c>
      <c r="G3635">
        <f t="shared" si="113"/>
        <v>0.33731466227347606</v>
      </c>
    </row>
    <row r="3636" spans="1:7">
      <c r="A3636" t="str">
        <f>Sinistrés!H3641</f>
        <v>Maïs grain non irrigué</v>
      </c>
      <c r="B3636">
        <f>Sinistrés!J3641</f>
        <v>52872.5</v>
      </c>
      <c r="C3636">
        <f>Sinistrés!X3641</f>
        <v>15706.49</v>
      </c>
      <c r="D3636">
        <f>Sinistrés!L3641</f>
        <v>26.42</v>
      </c>
      <c r="E3636">
        <f>Sinistrés!M3641</f>
        <v>26.42</v>
      </c>
      <c r="F3636">
        <f t="shared" si="112"/>
        <v>0.29706350182041702</v>
      </c>
      <c r="G3636">
        <f t="shared" si="113"/>
        <v>1</v>
      </c>
    </row>
    <row r="3637" spans="1:7" hidden="1">
      <c r="A3637" t="str">
        <f>Sinistrés!H3642</f>
        <v xml:space="preserve">Maïs waxy non irrigué </v>
      </c>
      <c r="B3637">
        <f>Sinistrés!J3642</f>
        <v>48020</v>
      </c>
      <c r="C3637">
        <f>Sinistrés!X3642</f>
        <v>0</v>
      </c>
      <c r="D3637">
        <f>Sinistrés!L3642</f>
        <v>24.5</v>
      </c>
      <c r="E3637">
        <f>Sinistrés!M3642</f>
        <v>24.5</v>
      </c>
      <c r="F3637">
        <f t="shared" si="112"/>
        <v>0</v>
      </c>
      <c r="G3637">
        <f t="shared" si="113"/>
        <v>1</v>
      </c>
    </row>
    <row r="3638" spans="1:7" hidden="1">
      <c r="A3638" t="str">
        <f>Sinistrés!H3643</f>
        <v>Soja</v>
      </c>
      <c r="B3638">
        <f>Sinistrés!J3643</f>
        <v>20054.89</v>
      </c>
      <c r="C3638">
        <f>Sinistrés!X3643</f>
        <v>0</v>
      </c>
      <c r="D3638">
        <f>Sinistrés!L3643</f>
        <v>12</v>
      </c>
      <c r="E3638">
        <f>Sinistrés!M3643</f>
        <v>12</v>
      </c>
      <c r="F3638">
        <f t="shared" si="112"/>
        <v>0</v>
      </c>
      <c r="G3638">
        <f t="shared" si="113"/>
        <v>1</v>
      </c>
    </row>
    <row r="3639" spans="1:7">
      <c r="A3639" t="str">
        <f>Sinistrés!H3644</f>
        <v>Maïs grain non irrigué</v>
      </c>
      <c r="B3639">
        <f>Sinistrés!J3644</f>
        <v>50752</v>
      </c>
      <c r="C3639">
        <f>Sinistrés!X3644</f>
        <v>3824</v>
      </c>
      <c r="D3639">
        <f>Sinistrés!L3644</f>
        <v>40</v>
      </c>
      <c r="E3639">
        <f>Sinistrés!M3644</f>
        <v>40</v>
      </c>
      <c r="F3639">
        <f t="shared" si="112"/>
        <v>7.5346784363177807E-2</v>
      </c>
      <c r="G3639">
        <f t="shared" si="113"/>
        <v>1</v>
      </c>
    </row>
    <row r="3640" spans="1:7">
      <c r="A3640" t="str">
        <f>Sinistrés!H3645</f>
        <v>Tournesol</v>
      </c>
      <c r="B3640">
        <f>Sinistrés!J3645</f>
        <v>14613.41</v>
      </c>
      <c r="C3640">
        <f>Sinistrés!X3645</f>
        <v>1179.92</v>
      </c>
      <c r="D3640">
        <f>Sinistrés!L3645</f>
        <v>13.77</v>
      </c>
      <c r="E3640">
        <f>Sinistrés!M3645</f>
        <v>13.77</v>
      </c>
      <c r="F3640">
        <f t="shared" si="112"/>
        <v>8.0742277127651932E-2</v>
      </c>
      <c r="G3640">
        <f t="shared" si="113"/>
        <v>1</v>
      </c>
    </row>
    <row r="3641" spans="1:7" hidden="1">
      <c r="A3641" t="str">
        <f>Sinistrés!H3646</f>
        <v>Seigle et méteil BIO</v>
      </c>
      <c r="B3641">
        <f>Sinistrés!J3646</f>
        <v>9967.24</v>
      </c>
      <c r="C3641">
        <f>Sinistrés!X3646</f>
        <v>2593.52</v>
      </c>
      <c r="D3641">
        <f>Sinistrés!L3646</f>
        <v>15.71</v>
      </c>
      <c r="E3641">
        <f>Sinistrés!M3646</f>
        <v>15.71</v>
      </c>
      <c r="F3641">
        <f t="shared" si="112"/>
        <v>0.26020442971173563</v>
      </c>
      <c r="G3641">
        <f t="shared" si="113"/>
        <v>1</v>
      </c>
    </row>
    <row r="3642" spans="1:7" hidden="1">
      <c r="A3642" t="str">
        <f>Sinistrés!H3647</f>
        <v>Seigle et méteil BIO</v>
      </c>
      <c r="B3642">
        <f>Sinistrés!J3647</f>
        <v>7541.1</v>
      </c>
      <c r="C3642">
        <f>Sinistrés!X3647</f>
        <v>2493.1799999999998</v>
      </c>
      <c r="D3642">
        <f>Sinistrés!L3647</f>
        <v>15</v>
      </c>
      <c r="E3642">
        <f>Sinistrés!M3647</f>
        <v>15</v>
      </c>
      <c r="F3642">
        <f t="shared" si="112"/>
        <v>0.33061224489795915</v>
      </c>
      <c r="G3642">
        <f t="shared" si="113"/>
        <v>1</v>
      </c>
    </row>
    <row r="3643" spans="1:7">
      <c r="A3643" t="str">
        <f>Sinistrés!H3648</f>
        <v>Maïs grain non irrigué</v>
      </c>
      <c r="B3643">
        <f>Sinistrés!J3648</f>
        <v>4030.88</v>
      </c>
      <c r="C3643">
        <f>Sinistrés!X3648</f>
        <v>1463.32</v>
      </c>
      <c r="D3643">
        <f>Sinistrés!L3648</f>
        <v>4.29</v>
      </c>
      <c r="E3643">
        <f>Sinistrés!M3648</f>
        <v>4.29</v>
      </c>
      <c r="F3643">
        <f t="shared" si="112"/>
        <v>0.36302742825388001</v>
      </c>
      <c r="G3643">
        <f t="shared" si="113"/>
        <v>1</v>
      </c>
    </row>
    <row r="3644" spans="1:7" hidden="1">
      <c r="A3644" t="str">
        <f>Sinistrés!H3649</f>
        <v>Tournesol</v>
      </c>
      <c r="B3644">
        <f>Sinistrés!J3649</f>
        <v>16576.560000000001</v>
      </c>
      <c r="C3644">
        <f>Sinistrés!X3649</f>
        <v>0</v>
      </c>
      <c r="D3644">
        <f>Sinistrés!L3649</f>
        <v>17.71</v>
      </c>
      <c r="E3644">
        <f>Sinistrés!M3649</f>
        <v>17.71</v>
      </c>
      <c r="F3644">
        <f t="shared" si="112"/>
        <v>0</v>
      </c>
      <c r="G3644">
        <f t="shared" si="113"/>
        <v>1</v>
      </c>
    </row>
    <row r="3645" spans="1:7" hidden="1">
      <c r="A3645" t="str">
        <f>Sinistrés!H3650</f>
        <v>Maïs grain non irrigué</v>
      </c>
      <c r="B3645">
        <f>Sinistrés!J3650</f>
        <v>108834</v>
      </c>
      <c r="C3645">
        <f>Sinistrés!X3650</f>
        <v>0</v>
      </c>
      <c r="D3645">
        <f>Sinistrés!L3650</f>
        <v>51</v>
      </c>
      <c r="E3645">
        <f>Sinistrés!M3650</f>
        <v>51</v>
      </c>
      <c r="F3645">
        <f t="shared" si="112"/>
        <v>0</v>
      </c>
      <c r="G3645">
        <f t="shared" si="113"/>
        <v>1</v>
      </c>
    </row>
    <row r="3646" spans="1:7" hidden="1">
      <c r="A3646" t="str">
        <f>Sinistrés!H3651</f>
        <v>Maïs grain irrigué</v>
      </c>
      <c r="B3646">
        <f>Sinistrés!J3651</f>
        <v>25300</v>
      </c>
      <c r="C3646">
        <f>Sinistrés!X3651</f>
        <v>0</v>
      </c>
      <c r="D3646">
        <f>Sinistrés!L3651</f>
        <v>11</v>
      </c>
      <c r="E3646">
        <f>Sinistrés!M3651</f>
        <v>11</v>
      </c>
      <c r="F3646">
        <f t="shared" si="112"/>
        <v>0</v>
      </c>
      <c r="G3646">
        <f t="shared" si="113"/>
        <v>1</v>
      </c>
    </row>
    <row r="3647" spans="1:7" hidden="1">
      <c r="A3647" t="str">
        <f>Sinistrés!H3652</f>
        <v>Maïs grain non irrigué</v>
      </c>
      <c r="B3647">
        <f>Sinistrés!J3652</f>
        <v>47388</v>
      </c>
      <c r="C3647">
        <f>Sinistrés!X3652</f>
        <v>0</v>
      </c>
      <c r="D3647">
        <f>Sinistrés!L3652</f>
        <v>22</v>
      </c>
      <c r="E3647">
        <f>Sinistrés!M3652</f>
        <v>22</v>
      </c>
      <c r="F3647">
        <f t="shared" si="112"/>
        <v>0</v>
      </c>
      <c r="G3647">
        <f t="shared" si="113"/>
        <v>1</v>
      </c>
    </row>
    <row r="3648" spans="1:7">
      <c r="A3648" t="str">
        <f>Sinistrés!H3653</f>
        <v>Maïs grain non irrigué</v>
      </c>
      <c r="B3648">
        <f>Sinistrés!J3653</f>
        <v>109315.36</v>
      </c>
      <c r="C3648">
        <f>Sinistrés!X3653</f>
        <v>54294.86</v>
      </c>
      <c r="D3648">
        <f>Sinistrés!L3653</f>
        <v>106.4</v>
      </c>
      <c r="E3648">
        <f>Sinistrés!M3653</f>
        <v>106.4</v>
      </c>
      <c r="F3648">
        <f t="shared" si="112"/>
        <v>0.4966809787755353</v>
      </c>
      <c r="G3648">
        <f t="shared" si="113"/>
        <v>1</v>
      </c>
    </row>
    <row r="3649" spans="1:7">
      <c r="A3649" t="str">
        <f>Sinistrés!H3654</f>
        <v>Maïs ensilage non irrigué</v>
      </c>
      <c r="B3649">
        <f>Sinistrés!J3654</f>
        <v>43462.99</v>
      </c>
      <c r="C3649">
        <f>Sinistrés!X3654</f>
        <v>14489.99</v>
      </c>
      <c r="D3649">
        <f>Sinistrés!L3654</f>
        <v>34.619999999999997</v>
      </c>
      <c r="E3649">
        <f>Sinistrés!M3654</f>
        <v>34.619999999999997</v>
      </c>
      <c r="F3649">
        <f t="shared" si="112"/>
        <v>0.33338686546875862</v>
      </c>
      <c r="G3649">
        <f t="shared" si="113"/>
        <v>1</v>
      </c>
    </row>
    <row r="3650" spans="1:7">
      <c r="A3650" t="str">
        <f>Sinistrés!H3655</f>
        <v>Maïs grain non irrigué</v>
      </c>
      <c r="B3650">
        <f>Sinistrés!J3655</f>
        <v>37386.68</v>
      </c>
      <c r="C3650">
        <f>Sinistrés!X3655</f>
        <v>16456.87</v>
      </c>
      <c r="D3650">
        <f>Sinistrés!L3655</f>
        <v>31.14</v>
      </c>
      <c r="E3650">
        <f>Sinistrés!M3655</f>
        <v>31.14</v>
      </c>
      <c r="F3650">
        <f t="shared" si="112"/>
        <v>0.44018003203279882</v>
      </c>
      <c r="G3650">
        <f t="shared" si="113"/>
        <v>1</v>
      </c>
    </row>
    <row r="3651" spans="1:7">
      <c r="A3651" t="str">
        <f>Sinistrés!H3656</f>
        <v>Tournesol</v>
      </c>
      <c r="B3651">
        <f>Sinistrés!J3656</f>
        <v>34904.400000000001</v>
      </c>
      <c r="C3651">
        <f>Sinistrés!X3656</f>
        <v>11126.22</v>
      </c>
      <c r="D3651">
        <f>Sinistrés!L3656</f>
        <v>51.33</v>
      </c>
      <c r="E3651">
        <f>Sinistrés!M3656</f>
        <v>51.33</v>
      </c>
      <c r="F3651">
        <f t="shared" ref="F3651:F3714" si="114">C3651/B3651</f>
        <v>0.31876267748478698</v>
      </c>
      <c r="G3651">
        <f t="shared" ref="G3651:G3714" si="115">E3651/D3651</f>
        <v>1</v>
      </c>
    </row>
    <row r="3652" spans="1:7" hidden="1">
      <c r="A3652" t="str">
        <f>Sinistrés!H3657</f>
        <v>Maïs grain non irrigué</v>
      </c>
      <c r="B3652">
        <f>Sinistrés!J3657</f>
        <v>11077.6</v>
      </c>
      <c r="C3652">
        <f>Sinistrés!X3657</f>
        <v>0</v>
      </c>
      <c r="D3652">
        <f>Sinistrés!L3657</f>
        <v>6.1</v>
      </c>
      <c r="E3652">
        <f>Sinistrés!M3657</f>
        <v>6.1</v>
      </c>
      <c r="F3652">
        <f t="shared" si="114"/>
        <v>0</v>
      </c>
      <c r="G3652">
        <f t="shared" si="115"/>
        <v>1</v>
      </c>
    </row>
    <row r="3653" spans="1:7" hidden="1">
      <c r="A3653" t="str">
        <f>Sinistrés!H3658</f>
        <v>Soja</v>
      </c>
      <c r="B3653">
        <f>Sinistrés!J3658</f>
        <v>4772.2</v>
      </c>
      <c r="C3653">
        <f>Sinistrés!X3658</f>
        <v>0</v>
      </c>
      <c r="D3653">
        <f>Sinistrés!L3658</f>
        <v>5.35</v>
      </c>
      <c r="E3653">
        <f>Sinistrés!M3658</f>
        <v>5.35</v>
      </c>
      <c r="F3653">
        <f t="shared" si="114"/>
        <v>0</v>
      </c>
      <c r="G3653">
        <f t="shared" si="115"/>
        <v>1</v>
      </c>
    </row>
    <row r="3654" spans="1:7" hidden="1">
      <c r="A3654" t="str">
        <f>Sinistrés!H3659</f>
        <v>Tournesol BIO</v>
      </c>
      <c r="B3654">
        <f>Sinistrés!J3659</f>
        <v>42863.86</v>
      </c>
      <c r="C3654">
        <f>Sinistrés!X3659</f>
        <v>0</v>
      </c>
      <c r="D3654">
        <f>Sinistrés!L3659</f>
        <v>74.2</v>
      </c>
      <c r="E3654">
        <f>Sinistrés!M3659</f>
        <v>74.2</v>
      </c>
      <c r="F3654">
        <f t="shared" si="114"/>
        <v>0</v>
      </c>
      <c r="G3654">
        <f t="shared" si="115"/>
        <v>1</v>
      </c>
    </row>
    <row r="3655" spans="1:7" hidden="1">
      <c r="A3655" t="str">
        <f>Sinistrés!H3660</f>
        <v>Soja BIO</v>
      </c>
      <c r="B3655">
        <f>Sinistrés!J3660</f>
        <v>28332</v>
      </c>
      <c r="C3655">
        <f>Sinistrés!X3660</f>
        <v>10978.65</v>
      </c>
      <c r="D3655">
        <f>Sinistrés!L3660</f>
        <v>39.35</v>
      </c>
      <c r="E3655">
        <f>Sinistrés!M3660</f>
        <v>39.35</v>
      </c>
      <c r="F3655">
        <f t="shared" si="114"/>
        <v>0.38750000000000001</v>
      </c>
      <c r="G3655">
        <f t="shared" si="115"/>
        <v>1</v>
      </c>
    </row>
    <row r="3656" spans="1:7">
      <c r="A3656" t="str">
        <f>Sinistrés!H3661</f>
        <v>Pois protéagineux</v>
      </c>
      <c r="B3656">
        <f>Sinistrés!J3661</f>
        <v>5163.16</v>
      </c>
      <c r="C3656">
        <f>Sinistrés!X3661</f>
        <v>2166.77</v>
      </c>
      <c r="D3656">
        <f>Sinistrés!L3661</f>
        <v>5.75</v>
      </c>
      <c r="E3656">
        <f>Sinistrés!M3661</f>
        <v>5.75</v>
      </c>
      <c r="F3656">
        <f t="shared" si="114"/>
        <v>0.419659665786069</v>
      </c>
      <c r="G3656">
        <f t="shared" si="115"/>
        <v>1</v>
      </c>
    </row>
    <row r="3657" spans="1:7" hidden="1">
      <c r="A3657" t="str">
        <f>Sinistrés!H3662</f>
        <v>Orge de printemps</v>
      </c>
      <c r="B3657">
        <f>Sinistrés!J3662</f>
        <v>44448</v>
      </c>
      <c r="C3657">
        <f>Sinistrés!X3662</f>
        <v>0</v>
      </c>
      <c r="D3657">
        <f>Sinistrés!L3662</f>
        <v>46.3</v>
      </c>
      <c r="E3657">
        <f>Sinistrés!M3662</f>
        <v>46.3</v>
      </c>
      <c r="F3657">
        <f t="shared" si="114"/>
        <v>0</v>
      </c>
      <c r="G3657">
        <f t="shared" si="115"/>
        <v>1</v>
      </c>
    </row>
    <row r="3658" spans="1:7">
      <c r="A3658" t="str">
        <f>Sinistrés!H3663</f>
        <v>Maïs grain non irrigué</v>
      </c>
      <c r="B3658">
        <f>Sinistrés!J3663</f>
        <v>92712.68</v>
      </c>
      <c r="C3658">
        <f>Sinistrés!X3663</f>
        <v>44721.69</v>
      </c>
      <c r="D3658">
        <f>Sinistrés!L3663</f>
        <v>64.11</v>
      </c>
      <c r="E3658">
        <f>Sinistrés!M3663</f>
        <v>64.11</v>
      </c>
      <c r="F3658">
        <f t="shared" si="114"/>
        <v>0.48236864687764397</v>
      </c>
      <c r="G3658">
        <f t="shared" si="115"/>
        <v>1</v>
      </c>
    </row>
    <row r="3659" spans="1:7">
      <c r="A3659" t="str">
        <f>Sinistrés!H3664</f>
        <v>Maïs grain non irrigué</v>
      </c>
      <c r="B3659">
        <f>Sinistrés!J3664</f>
        <v>39795.15</v>
      </c>
      <c r="C3659">
        <f>Sinistrés!X3664</f>
        <v>11365.82</v>
      </c>
      <c r="D3659">
        <f>Sinistrés!L3664</f>
        <v>14.78</v>
      </c>
      <c r="E3659">
        <f>Sinistrés!M3664</f>
        <v>14.78</v>
      </c>
      <c r="F3659">
        <f t="shared" si="114"/>
        <v>0.28560817084493961</v>
      </c>
      <c r="G3659">
        <f t="shared" si="115"/>
        <v>1</v>
      </c>
    </row>
    <row r="3660" spans="1:7">
      <c r="A3660" t="str">
        <f>Sinistrés!H3665</f>
        <v>Maïs ensilage non irrigué</v>
      </c>
      <c r="B3660">
        <f>Sinistrés!J3665</f>
        <v>24215.4</v>
      </c>
      <c r="C3660">
        <f>Sinistrés!X3665</f>
        <v>10594.76</v>
      </c>
      <c r="D3660">
        <f>Sinistrés!L3665</f>
        <v>9</v>
      </c>
      <c r="E3660">
        <f>Sinistrés!M3665</f>
        <v>9</v>
      </c>
      <c r="F3660">
        <f t="shared" si="114"/>
        <v>0.43752157717815932</v>
      </c>
      <c r="G3660">
        <f t="shared" si="115"/>
        <v>1</v>
      </c>
    </row>
    <row r="3661" spans="1:7">
      <c r="A3661" t="str">
        <f>Sinistrés!H3666</f>
        <v>Tournesol</v>
      </c>
      <c r="B3661">
        <f>Sinistrés!J3666</f>
        <v>6321.69</v>
      </c>
      <c r="C3661">
        <f>Sinistrés!X3666</f>
        <v>713.45</v>
      </c>
      <c r="D3661">
        <f>Sinistrés!L3666</f>
        <v>6.53</v>
      </c>
      <c r="E3661">
        <f>Sinistrés!M3666</f>
        <v>6.53</v>
      </c>
      <c r="F3661">
        <f t="shared" si="114"/>
        <v>0.11285747956638179</v>
      </c>
      <c r="G3661">
        <f t="shared" si="115"/>
        <v>1</v>
      </c>
    </row>
    <row r="3662" spans="1:7">
      <c r="A3662" t="str">
        <f>Sinistrés!H3667</f>
        <v>Maïs grain non irrigué</v>
      </c>
      <c r="B3662">
        <f>Sinistrés!J3667</f>
        <v>11757.31</v>
      </c>
      <c r="C3662">
        <f>Sinistrés!X3667</f>
        <v>915.49</v>
      </c>
      <c r="D3662">
        <f>Sinistrés!L3667</f>
        <v>11.52</v>
      </c>
      <c r="E3662">
        <f>Sinistrés!M3667</f>
        <v>11.52</v>
      </c>
      <c r="F3662">
        <f t="shared" si="114"/>
        <v>7.7865600209571756E-2</v>
      </c>
      <c r="G3662">
        <f t="shared" si="115"/>
        <v>1</v>
      </c>
    </row>
    <row r="3663" spans="1:7" hidden="1">
      <c r="A3663" t="str">
        <f>Sinistrés!H3668</f>
        <v>Maïs grain non irrigué BIO</v>
      </c>
      <c r="B3663">
        <f>Sinistrés!J3668</f>
        <v>28489.62</v>
      </c>
      <c r="C3663">
        <f>Sinistrés!X3668</f>
        <v>7600.84</v>
      </c>
      <c r="D3663">
        <f>Sinistrés!L3668</f>
        <v>18.02</v>
      </c>
      <c r="E3663">
        <f>Sinistrés!M3668</f>
        <v>18.02</v>
      </c>
      <c r="F3663">
        <f t="shared" si="114"/>
        <v>0.26679330928246853</v>
      </c>
      <c r="G3663">
        <f t="shared" si="115"/>
        <v>1</v>
      </c>
    </row>
    <row r="3664" spans="1:7" hidden="1">
      <c r="A3664" t="str">
        <f>Sinistrés!H3669</f>
        <v>Tournesol BIO</v>
      </c>
      <c r="B3664">
        <f>Sinistrés!J3669</f>
        <v>13870.13</v>
      </c>
      <c r="C3664">
        <f>Sinistrés!X3669</f>
        <v>7273.63</v>
      </c>
      <c r="D3664">
        <f>Sinistrés!L3669</f>
        <v>16.88</v>
      </c>
      <c r="E3664">
        <f>Sinistrés!M3669</f>
        <v>16.88</v>
      </c>
      <c r="F3664">
        <f t="shared" si="114"/>
        <v>0.52440964864784978</v>
      </c>
      <c r="G3664">
        <f t="shared" si="115"/>
        <v>1</v>
      </c>
    </row>
    <row r="3665" spans="1:7" hidden="1">
      <c r="A3665" t="str">
        <f>Sinistrés!H3670</f>
        <v>Soja BIO</v>
      </c>
      <c r="B3665">
        <f>Sinistrés!J3670</f>
        <v>7770</v>
      </c>
      <c r="C3665">
        <f>Sinistrés!X3670</f>
        <v>2097.9</v>
      </c>
      <c r="D3665">
        <f>Sinistrés!L3670</f>
        <v>5.55</v>
      </c>
      <c r="E3665">
        <f>Sinistrés!M3670</f>
        <v>5.55</v>
      </c>
      <c r="F3665">
        <f t="shared" si="114"/>
        <v>0.27</v>
      </c>
      <c r="G3665">
        <f t="shared" si="115"/>
        <v>1</v>
      </c>
    </row>
    <row r="3666" spans="1:7">
      <c r="A3666" t="str">
        <f>Sinistrés!H3671</f>
        <v>Maïs ensilage non irrigué</v>
      </c>
      <c r="B3666">
        <f>Sinistrés!J3671</f>
        <v>22593.119999999999</v>
      </c>
      <c r="C3666">
        <f>Sinistrés!X3671</f>
        <v>8149.59</v>
      </c>
      <c r="D3666">
        <f>Sinistrés!L3671</f>
        <v>17.600000000000001</v>
      </c>
      <c r="E3666">
        <f>Sinistrés!M3671</f>
        <v>17</v>
      </c>
      <c r="F3666">
        <f t="shared" si="114"/>
        <v>0.36071113684165801</v>
      </c>
      <c r="G3666">
        <f t="shared" si="115"/>
        <v>0.96590909090909083</v>
      </c>
    </row>
    <row r="3667" spans="1:7" hidden="1">
      <c r="A3667" t="str">
        <f>Sinistrés!H3672</f>
        <v>Tournesol</v>
      </c>
      <c r="B3667">
        <f>Sinistrés!J3672</f>
        <v>28454.400000000001</v>
      </c>
      <c r="C3667">
        <f>Sinistrés!X3672</f>
        <v>0</v>
      </c>
      <c r="D3667">
        <f>Sinistrés!L3672</f>
        <v>23.04</v>
      </c>
      <c r="E3667">
        <f>Sinistrés!M3672</f>
        <v>22</v>
      </c>
      <c r="F3667">
        <f t="shared" si="114"/>
        <v>0</v>
      </c>
      <c r="G3667">
        <f t="shared" si="115"/>
        <v>0.95486111111111116</v>
      </c>
    </row>
    <row r="3668" spans="1:7" hidden="1">
      <c r="A3668" t="str">
        <f>Sinistrés!H3673</f>
        <v>Maïs ensilage irrigué</v>
      </c>
      <c r="B3668">
        <f>Sinistrés!J3673</f>
        <v>22176</v>
      </c>
      <c r="C3668">
        <f>Sinistrés!X3673</f>
        <v>0</v>
      </c>
      <c r="D3668">
        <f>Sinistrés!L3673</f>
        <v>15.4</v>
      </c>
      <c r="E3668">
        <f>Sinistrés!M3673</f>
        <v>15.3</v>
      </c>
      <c r="F3668">
        <f t="shared" si="114"/>
        <v>0</v>
      </c>
      <c r="G3668">
        <f t="shared" si="115"/>
        <v>0.99350649350649356</v>
      </c>
    </row>
    <row r="3669" spans="1:7">
      <c r="A3669" t="str">
        <f>Sinistrés!H3674</f>
        <v>Tournesol</v>
      </c>
      <c r="B3669">
        <f>Sinistrés!J3674</f>
        <v>10813.5</v>
      </c>
      <c r="C3669">
        <f>Sinistrés!X3674</f>
        <v>500.62</v>
      </c>
      <c r="D3669">
        <f>Sinistrés!L3674</f>
        <v>8.9</v>
      </c>
      <c r="E3669">
        <f>Sinistrés!M3674</f>
        <v>8.9</v>
      </c>
      <c r="F3669">
        <f t="shared" si="114"/>
        <v>4.629583391131456E-2</v>
      </c>
      <c r="G3669">
        <f t="shared" si="115"/>
        <v>1</v>
      </c>
    </row>
    <row r="3670" spans="1:7">
      <c r="A3670" t="str">
        <f>Sinistrés!H3675</f>
        <v>Tournesol</v>
      </c>
      <c r="B3670">
        <f>Sinistrés!J3675</f>
        <v>38657.25</v>
      </c>
      <c r="C3670">
        <f>Sinistrés!X3675</f>
        <v>5550.19</v>
      </c>
      <c r="D3670">
        <f>Sinistrés!L3675</f>
        <v>34.5</v>
      </c>
      <c r="E3670">
        <f>Sinistrés!M3675</f>
        <v>34.5</v>
      </c>
      <c r="F3670">
        <f t="shared" si="114"/>
        <v>0.14357436185967704</v>
      </c>
      <c r="G3670">
        <f t="shared" si="115"/>
        <v>1</v>
      </c>
    </row>
    <row r="3671" spans="1:7">
      <c r="A3671" t="str">
        <f>Sinistrés!H3676</f>
        <v>Maïs grain non irrigué</v>
      </c>
      <c r="B3671">
        <f>Sinistrés!J3676</f>
        <v>12287.16</v>
      </c>
      <c r="C3671">
        <f>Sinistrés!X3676</f>
        <v>5684.9</v>
      </c>
      <c r="D3671">
        <f>Sinistrés!L3676</f>
        <v>9.3000000000000007</v>
      </c>
      <c r="E3671">
        <f>Sinistrés!M3676</f>
        <v>9.3000000000000007</v>
      </c>
      <c r="F3671">
        <f t="shared" si="114"/>
        <v>0.46266997418443317</v>
      </c>
      <c r="G3671">
        <f t="shared" si="115"/>
        <v>1</v>
      </c>
    </row>
    <row r="3672" spans="1:7" hidden="1">
      <c r="A3672" t="str">
        <f>Sinistrés!H3677</f>
        <v>Maïs grain non irrigué</v>
      </c>
      <c r="B3672">
        <f>Sinistrés!J3677</f>
        <v>1868.4</v>
      </c>
      <c r="C3672">
        <f>Sinistrés!X3677</f>
        <v>0</v>
      </c>
      <c r="D3672">
        <f>Sinistrés!L3677</f>
        <v>1.73</v>
      </c>
      <c r="E3672">
        <f>Sinistrés!M3677</f>
        <v>1.73</v>
      </c>
      <c r="F3672">
        <f t="shared" si="114"/>
        <v>0</v>
      </c>
      <c r="G3672">
        <f t="shared" si="115"/>
        <v>1</v>
      </c>
    </row>
    <row r="3673" spans="1:7">
      <c r="A3673" t="str">
        <f>Sinistrés!H3678</f>
        <v>Tournesol</v>
      </c>
      <c r="B3673">
        <f>Sinistrés!J3678</f>
        <v>21165.84</v>
      </c>
      <c r="C3673">
        <f>Sinistrés!X3678</f>
        <v>1213.1600000000001</v>
      </c>
      <c r="D3673">
        <f>Sinistrés!L3678</f>
        <v>19.12</v>
      </c>
      <c r="E3673">
        <f>Sinistrés!M3678</f>
        <v>19.12</v>
      </c>
      <c r="F3673">
        <f t="shared" si="114"/>
        <v>5.7316884186972977E-2</v>
      </c>
      <c r="G3673">
        <f t="shared" si="115"/>
        <v>1</v>
      </c>
    </row>
    <row r="3674" spans="1:7">
      <c r="A3674" t="str">
        <f>Sinistrés!H3679</f>
        <v>Tournesol</v>
      </c>
      <c r="B3674">
        <f>Sinistrés!J3679</f>
        <v>6682.27</v>
      </c>
      <c r="C3674">
        <f>Sinistrés!X3679</f>
        <v>434.81</v>
      </c>
      <c r="D3674">
        <f>Sinistrés!L3679</f>
        <v>12.37</v>
      </c>
      <c r="E3674">
        <f>Sinistrés!M3679</f>
        <v>12.37</v>
      </c>
      <c r="F3674">
        <f t="shared" si="114"/>
        <v>6.5069205524469972E-2</v>
      </c>
      <c r="G3674">
        <f t="shared" si="115"/>
        <v>1</v>
      </c>
    </row>
    <row r="3675" spans="1:7" hidden="1">
      <c r="A3675" t="str">
        <f>Sinistrés!H3680</f>
        <v>Maïs grain non irrigué</v>
      </c>
      <c r="B3675">
        <f>Sinistrés!J3680</f>
        <v>3616.2</v>
      </c>
      <c r="C3675">
        <f>Sinistrés!X3680</f>
        <v>0</v>
      </c>
      <c r="D3675">
        <f>Sinistrés!L3680</f>
        <v>2.87</v>
      </c>
      <c r="E3675">
        <f>Sinistrés!M3680</f>
        <v>2.87</v>
      </c>
      <c r="F3675">
        <f t="shared" si="114"/>
        <v>0</v>
      </c>
      <c r="G3675">
        <f t="shared" si="115"/>
        <v>1</v>
      </c>
    </row>
    <row r="3676" spans="1:7">
      <c r="A3676" t="str">
        <f>Sinistrés!H3681</f>
        <v>Tournesol</v>
      </c>
      <c r="B3676">
        <f>Sinistrés!J3681</f>
        <v>26468.37</v>
      </c>
      <c r="C3676">
        <f>Sinistrés!X3681</f>
        <v>1194.3</v>
      </c>
      <c r="D3676">
        <f>Sinistrés!L3681</f>
        <v>23.91</v>
      </c>
      <c r="E3676">
        <f>Sinistrés!M3681</f>
        <v>23.95</v>
      </c>
      <c r="F3676">
        <f t="shared" si="114"/>
        <v>4.5121781205264999E-2</v>
      </c>
      <c r="G3676">
        <f t="shared" si="115"/>
        <v>1.0016729401923881</v>
      </c>
    </row>
    <row r="3677" spans="1:7" hidden="1">
      <c r="A3677" t="str">
        <f>Sinistrés!H3682</f>
        <v>Maïs grain non irrigué</v>
      </c>
      <c r="B3677">
        <f>Sinistrés!J3682</f>
        <v>31202.81</v>
      </c>
      <c r="C3677">
        <f>Sinistrés!X3682</f>
        <v>0</v>
      </c>
      <c r="D3677">
        <f>Sinistrés!L3682</f>
        <v>23.66</v>
      </c>
      <c r="E3677">
        <f>Sinistrés!M3682</f>
        <v>23.66</v>
      </c>
      <c r="F3677">
        <f t="shared" si="114"/>
        <v>0</v>
      </c>
      <c r="G3677">
        <f t="shared" si="115"/>
        <v>1</v>
      </c>
    </row>
    <row r="3678" spans="1:7" hidden="1">
      <c r="A3678" t="str">
        <f>Sinistrés!H3683</f>
        <v>Tournesol</v>
      </c>
      <c r="B3678">
        <f>Sinistrés!J3683</f>
        <v>21967.8</v>
      </c>
      <c r="C3678">
        <f>Sinistrés!X3683</f>
        <v>0</v>
      </c>
      <c r="D3678">
        <f>Sinistrés!L3683</f>
        <v>19.27</v>
      </c>
      <c r="E3678">
        <f>Sinistrés!M3683</f>
        <v>19.27</v>
      </c>
      <c r="F3678">
        <f t="shared" si="114"/>
        <v>0</v>
      </c>
      <c r="G3678">
        <f t="shared" si="115"/>
        <v>1</v>
      </c>
    </row>
    <row r="3679" spans="1:7" hidden="1">
      <c r="A3679" t="str">
        <f>Sinistrés!H3684</f>
        <v>Maïs grain irrigué</v>
      </c>
      <c r="B3679">
        <f>Sinistrés!J3684</f>
        <v>73783.14</v>
      </c>
      <c r="C3679">
        <f>Sinistrés!X3684</f>
        <v>0</v>
      </c>
      <c r="D3679">
        <f>Sinistrés!L3684</f>
        <v>37.090000000000003</v>
      </c>
      <c r="E3679">
        <f>Sinistrés!M3684</f>
        <v>37.090000000000003</v>
      </c>
      <c r="F3679">
        <f t="shared" si="114"/>
        <v>0</v>
      </c>
      <c r="G3679">
        <f t="shared" si="115"/>
        <v>1</v>
      </c>
    </row>
    <row r="3680" spans="1:7">
      <c r="A3680" t="str">
        <f>Sinistrés!H3685</f>
        <v>Tournesol</v>
      </c>
      <c r="B3680">
        <f>Sinistrés!J3685</f>
        <v>17633</v>
      </c>
      <c r="C3680">
        <f>Sinistrés!X3685</f>
        <v>5009.38</v>
      </c>
      <c r="D3680">
        <f>Sinistrés!L3685</f>
        <v>16.03</v>
      </c>
      <c r="E3680">
        <f>Sinistrés!M3685</f>
        <v>16.03</v>
      </c>
      <c r="F3680">
        <f t="shared" si="114"/>
        <v>0.2840911926501446</v>
      </c>
      <c r="G3680">
        <f t="shared" si="115"/>
        <v>1</v>
      </c>
    </row>
    <row r="3681" spans="1:7">
      <c r="A3681" t="str">
        <f>Sinistrés!H3686</f>
        <v>Tournesol</v>
      </c>
      <c r="B3681">
        <f>Sinistrés!J3686</f>
        <v>23936</v>
      </c>
      <c r="C3681">
        <f>Sinistrés!X3686</f>
        <v>6800</v>
      </c>
      <c r="D3681">
        <f>Sinistrés!L3686</f>
        <v>21.76</v>
      </c>
      <c r="E3681">
        <f>Sinistrés!M3686</f>
        <v>21.76</v>
      </c>
      <c r="F3681">
        <f t="shared" si="114"/>
        <v>0.28409090909090912</v>
      </c>
      <c r="G3681">
        <f t="shared" si="115"/>
        <v>1</v>
      </c>
    </row>
    <row r="3682" spans="1:7" hidden="1">
      <c r="A3682" t="str">
        <f>Sinistrés!H3687</f>
        <v>Maïs grain irrigué</v>
      </c>
      <c r="B3682">
        <f>Sinistrés!J3687</f>
        <v>42909.2</v>
      </c>
      <c r="C3682">
        <f>Sinistrés!X3687</f>
        <v>0</v>
      </c>
      <c r="D3682">
        <f>Sinistrés!L3687</f>
        <v>21.57</v>
      </c>
      <c r="E3682">
        <f>Sinistrés!M3687</f>
        <v>21.57</v>
      </c>
      <c r="F3682">
        <f t="shared" si="114"/>
        <v>0</v>
      </c>
      <c r="G3682">
        <f t="shared" si="115"/>
        <v>1</v>
      </c>
    </row>
    <row r="3683" spans="1:7">
      <c r="A3683" t="str">
        <f>Sinistrés!H3688</f>
        <v>Tournesol</v>
      </c>
      <c r="B3683">
        <f>Sinistrés!J3688</f>
        <v>23195.67</v>
      </c>
      <c r="C3683">
        <f>Sinistrés!X3688</f>
        <v>6039.54</v>
      </c>
      <c r="D3683">
        <f>Sinistrés!L3688</f>
        <v>16.059999999999999</v>
      </c>
      <c r="E3683">
        <f>Sinistrés!M3688</f>
        <v>16.059999999999999</v>
      </c>
      <c r="F3683">
        <f t="shared" si="114"/>
        <v>0.26037359558917678</v>
      </c>
      <c r="G3683">
        <f t="shared" si="115"/>
        <v>1</v>
      </c>
    </row>
    <row r="3684" spans="1:7">
      <c r="A3684" t="str">
        <f>Sinistrés!H3689</f>
        <v>Maïs grain non irrigué</v>
      </c>
      <c r="B3684">
        <f>Sinistrés!J3689</f>
        <v>36430.559999999998</v>
      </c>
      <c r="C3684">
        <f>Sinistrés!X3689</f>
        <v>6139.22</v>
      </c>
      <c r="D3684">
        <f>Sinistrés!L3689</f>
        <v>28.11</v>
      </c>
      <c r="E3684">
        <f>Sinistrés!M3689</f>
        <v>28.11</v>
      </c>
      <c r="F3684">
        <f t="shared" si="114"/>
        <v>0.16851840872059065</v>
      </c>
      <c r="G3684">
        <f t="shared" si="115"/>
        <v>1</v>
      </c>
    </row>
    <row r="3685" spans="1:7">
      <c r="A3685" t="str">
        <f>Sinistrés!H3690</f>
        <v>Sorgho</v>
      </c>
      <c r="B3685">
        <f>Sinistrés!J3690</f>
        <v>10276.42</v>
      </c>
      <c r="C3685">
        <f>Sinistrés!X3690</f>
        <v>5569.9</v>
      </c>
      <c r="D3685">
        <f>Sinistrés!L3690</f>
        <v>12.52</v>
      </c>
      <c r="E3685">
        <f>Sinistrés!M3690</f>
        <v>12.51</v>
      </c>
      <c r="F3685">
        <f t="shared" si="114"/>
        <v>0.54200781984387558</v>
      </c>
      <c r="G3685">
        <f t="shared" si="115"/>
        <v>0.99920127795527158</v>
      </c>
    </row>
    <row r="3686" spans="1:7">
      <c r="A3686" t="str">
        <f>Sinistrés!H3691</f>
        <v>Tournesol</v>
      </c>
      <c r="B3686">
        <f>Sinistrés!J3691</f>
        <v>3632.86</v>
      </c>
      <c r="C3686">
        <f>Sinistrés!X3691</f>
        <v>2333.0500000000002</v>
      </c>
      <c r="D3686">
        <f>Sinistrés!L3691</f>
        <v>6.74</v>
      </c>
      <c r="E3686">
        <f>Sinistrés!M3691</f>
        <v>6.74</v>
      </c>
      <c r="F3686">
        <f t="shared" si="114"/>
        <v>0.64220751694257416</v>
      </c>
      <c r="G3686">
        <f t="shared" si="115"/>
        <v>1</v>
      </c>
    </row>
    <row r="3687" spans="1:7">
      <c r="A3687" t="str">
        <f>Sinistrés!H3692</f>
        <v>Maïs grain non irrigué</v>
      </c>
      <c r="B3687">
        <f>Sinistrés!J3692</f>
        <v>9213.7000000000007</v>
      </c>
      <c r="C3687">
        <f>Sinistrés!X3692</f>
        <v>6753.08</v>
      </c>
      <c r="D3687">
        <f>Sinistrés!L3692</f>
        <v>5.49</v>
      </c>
      <c r="E3687">
        <f>Sinistrés!M3692</f>
        <v>5.49</v>
      </c>
      <c r="F3687">
        <f t="shared" si="114"/>
        <v>0.73293899302126175</v>
      </c>
      <c r="G3687">
        <f t="shared" si="115"/>
        <v>1</v>
      </c>
    </row>
    <row r="3688" spans="1:7">
      <c r="A3688" t="str">
        <f>Sinistrés!H3693</f>
        <v>Maïs grain non irrigué</v>
      </c>
      <c r="B3688">
        <f>Sinistrés!J3693</f>
        <v>47763.9</v>
      </c>
      <c r="C3688">
        <f>Sinistrés!X3693</f>
        <v>28998.58</v>
      </c>
      <c r="D3688">
        <f>Sinistrés!L3693</f>
        <v>36.35</v>
      </c>
      <c r="E3688">
        <f>Sinistrés!M3693</f>
        <v>36.35</v>
      </c>
      <c r="F3688">
        <f t="shared" si="114"/>
        <v>0.6071233714164882</v>
      </c>
      <c r="G3688">
        <f t="shared" si="115"/>
        <v>1</v>
      </c>
    </row>
    <row r="3689" spans="1:7" hidden="1">
      <c r="A3689" t="str">
        <f>Sinistrés!H3694</f>
        <v>Maïs grain non irrigué</v>
      </c>
      <c r="B3689">
        <f>Sinistrés!J3694</f>
        <v>74168</v>
      </c>
      <c r="C3689">
        <f>Sinistrés!X3694</f>
        <v>0</v>
      </c>
      <c r="D3689">
        <f>Sinistrés!L3694</f>
        <v>29.2</v>
      </c>
      <c r="E3689">
        <f>Sinistrés!M3694</f>
        <v>29.2</v>
      </c>
      <c r="F3689">
        <f t="shared" si="114"/>
        <v>0</v>
      </c>
      <c r="G3689">
        <f t="shared" si="115"/>
        <v>1</v>
      </c>
    </row>
    <row r="3690" spans="1:7" hidden="1">
      <c r="A3690" t="str">
        <f>Sinistrés!H3695</f>
        <v>Tournesol</v>
      </c>
      <c r="B3690">
        <f>Sinistrés!J3695</f>
        <v>21560</v>
      </c>
      <c r="C3690">
        <f>Sinistrés!X3695</f>
        <v>0</v>
      </c>
      <c r="D3690">
        <f>Sinistrés!L3695</f>
        <v>28</v>
      </c>
      <c r="E3690">
        <f>Sinistrés!M3695</f>
        <v>22</v>
      </c>
      <c r="F3690">
        <f t="shared" si="114"/>
        <v>0</v>
      </c>
      <c r="G3690">
        <f t="shared" si="115"/>
        <v>0.7857142857142857</v>
      </c>
    </row>
    <row r="3691" spans="1:7">
      <c r="A3691" t="str">
        <f>Sinistrés!H3696</f>
        <v>Tournesol</v>
      </c>
      <c r="B3691">
        <f>Sinistrés!J3696</f>
        <v>33148.5</v>
      </c>
      <c r="C3691">
        <f>Sinistrés!X3696</f>
        <v>6386.61</v>
      </c>
      <c r="D3691">
        <f>Sinistrés!L3696</f>
        <v>20.09</v>
      </c>
      <c r="E3691">
        <f>Sinistrés!M3696</f>
        <v>20.09</v>
      </c>
      <c r="F3691">
        <f t="shared" si="114"/>
        <v>0.19266663649938912</v>
      </c>
      <c r="G3691">
        <f t="shared" si="115"/>
        <v>1</v>
      </c>
    </row>
    <row r="3692" spans="1:7" hidden="1">
      <c r="A3692" t="str">
        <f>Sinistrés!H3697</f>
        <v>Tournesol</v>
      </c>
      <c r="B3692">
        <f>Sinistrés!J3697</f>
        <v>35059.730000000003</v>
      </c>
      <c r="C3692">
        <f>Sinistrés!X3697</f>
        <v>0</v>
      </c>
      <c r="D3692">
        <f>Sinistrés!L3697</f>
        <v>28.87</v>
      </c>
      <c r="E3692">
        <f>Sinistrés!M3697</f>
        <v>28.87</v>
      </c>
      <c r="F3692">
        <f t="shared" si="114"/>
        <v>0</v>
      </c>
      <c r="G3692">
        <f t="shared" si="115"/>
        <v>1</v>
      </c>
    </row>
    <row r="3693" spans="1:7">
      <c r="A3693" t="str">
        <f>Sinistrés!H3698</f>
        <v>Maïs grain non irrigué</v>
      </c>
      <c r="B3693">
        <f>Sinistrés!J3698</f>
        <v>31969.13</v>
      </c>
      <c r="C3693">
        <f>Sinistrés!X3698</f>
        <v>7551.08</v>
      </c>
      <c r="D3693">
        <f>Sinistrés!L3698</f>
        <v>20.2</v>
      </c>
      <c r="E3693">
        <f>Sinistrés!M3698</f>
        <v>20.2</v>
      </c>
      <c r="F3693">
        <f t="shared" si="114"/>
        <v>0.2361991083273145</v>
      </c>
      <c r="G3693">
        <f t="shared" si="115"/>
        <v>1</v>
      </c>
    </row>
    <row r="3694" spans="1:7">
      <c r="A3694" t="str">
        <f>Sinistrés!H3699</f>
        <v>Tournesol</v>
      </c>
      <c r="B3694">
        <f>Sinistrés!J3699</f>
        <v>6517.49</v>
      </c>
      <c r="C3694">
        <f>Sinistrés!X3699</f>
        <v>535.45000000000005</v>
      </c>
      <c r="D3694">
        <f>Sinistrés!L3699</f>
        <v>4.7</v>
      </c>
      <c r="E3694">
        <f>Sinistrés!M3699</f>
        <v>4.7</v>
      </c>
      <c r="F3694">
        <f t="shared" si="114"/>
        <v>8.2155860615052742E-2</v>
      </c>
      <c r="G3694">
        <f t="shared" si="115"/>
        <v>1</v>
      </c>
    </row>
    <row r="3695" spans="1:7">
      <c r="A3695" t="str">
        <f>Sinistrés!H3700</f>
        <v>Maïs grain non irrigué</v>
      </c>
      <c r="B3695">
        <f>Sinistrés!J3700</f>
        <v>90033.02</v>
      </c>
      <c r="C3695">
        <f>Sinistrés!X3700</f>
        <v>44003.91</v>
      </c>
      <c r="D3695">
        <f>Sinistrés!L3700</f>
        <v>34</v>
      </c>
      <c r="E3695">
        <f>Sinistrés!M3700</f>
        <v>34.340000000000003</v>
      </c>
      <c r="F3695">
        <f t="shared" si="114"/>
        <v>0.48875301528261522</v>
      </c>
      <c r="G3695">
        <f t="shared" si="115"/>
        <v>1.01</v>
      </c>
    </row>
    <row r="3696" spans="1:7">
      <c r="A3696" t="str">
        <f>Sinistrés!H3701</f>
        <v>Maïs grain non irrigué</v>
      </c>
      <c r="B3696">
        <f>Sinistrés!J3701</f>
        <v>41696.79</v>
      </c>
      <c r="C3696">
        <f>Sinistrés!X3701</f>
        <v>3338.64</v>
      </c>
      <c r="D3696">
        <f>Sinistrés!L3701</f>
        <v>30.01</v>
      </c>
      <c r="E3696">
        <f>Sinistrés!M3701</f>
        <v>30</v>
      </c>
      <c r="F3696">
        <f t="shared" si="114"/>
        <v>8.0069472973818848E-2</v>
      </c>
      <c r="G3696">
        <f t="shared" si="115"/>
        <v>0.99966677774075308</v>
      </c>
    </row>
    <row r="3697" spans="1:7" hidden="1">
      <c r="A3697" t="str">
        <f>Sinistrés!H3702</f>
        <v>Maïs grain irrigué</v>
      </c>
      <c r="B3697">
        <f>Sinistrés!J3702</f>
        <v>49761.91</v>
      </c>
      <c r="C3697">
        <f>Sinistrés!X3702</f>
        <v>0</v>
      </c>
      <c r="D3697">
        <f>Sinistrés!L3702</f>
        <v>27.82</v>
      </c>
      <c r="E3697">
        <f>Sinistrés!M3702</f>
        <v>27.8</v>
      </c>
      <c r="F3697">
        <f t="shared" si="114"/>
        <v>0</v>
      </c>
      <c r="G3697">
        <f t="shared" si="115"/>
        <v>0.99928109273903665</v>
      </c>
    </row>
    <row r="3698" spans="1:7" hidden="1">
      <c r="A3698" t="str">
        <f>Sinistrés!H3703</f>
        <v>Maïs grain irrigué SEMENCES FERTILES</v>
      </c>
      <c r="B3698">
        <f>Sinistrés!J3703</f>
        <v>48360</v>
      </c>
      <c r="C3698">
        <f>Sinistrés!X3703</f>
        <v>0</v>
      </c>
      <c r="D3698">
        <f>Sinistrés!L3703</f>
        <v>12</v>
      </c>
      <c r="E3698">
        <f>Sinistrés!M3703</f>
        <v>12</v>
      </c>
      <c r="F3698">
        <f t="shared" si="114"/>
        <v>0</v>
      </c>
      <c r="G3698">
        <f t="shared" si="115"/>
        <v>1</v>
      </c>
    </row>
    <row r="3699" spans="1:7" hidden="1">
      <c r="A3699" t="str">
        <f>Sinistrés!H3704</f>
        <v>Orge de printemps</v>
      </c>
      <c r="B3699">
        <f>Sinistrés!J3704</f>
        <v>8056</v>
      </c>
      <c r="C3699">
        <f>Sinistrés!X3704</f>
        <v>0</v>
      </c>
      <c r="D3699">
        <f>Sinistrés!L3704</f>
        <v>7.6</v>
      </c>
      <c r="E3699">
        <f>Sinistrés!M3704</f>
        <v>7.6</v>
      </c>
      <c r="F3699">
        <f t="shared" si="114"/>
        <v>0</v>
      </c>
      <c r="G3699">
        <f t="shared" si="115"/>
        <v>1</v>
      </c>
    </row>
    <row r="3700" spans="1:7" hidden="1">
      <c r="A3700" t="str">
        <f>Sinistrés!H3705</f>
        <v>Féveroles et fèves</v>
      </c>
      <c r="B3700">
        <f>Sinistrés!J3705</f>
        <v>2973.32</v>
      </c>
      <c r="C3700">
        <f>Sinistrés!X3705</f>
        <v>0</v>
      </c>
      <c r="D3700">
        <f>Sinistrés!L3705</f>
        <v>5.18</v>
      </c>
      <c r="E3700">
        <f>Sinistrés!M3705</f>
        <v>5.18</v>
      </c>
      <c r="F3700">
        <f t="shared" si="114"/>
        <v>0</v>
      </c>
      <c r="G3700">
        <f t="shared" si="115"/>
        <v>1</v>
      </c>
    </row>
    <row r="3701" spans="1:7" hidden="1">
      <c r="A3701" t="str">
        <f>Sinistrés!H3706</f>
        <v xml:space="preserve">Maïs doux irrigué </v>
      </c>
      <c r="B3701">
        <f>Sinistrés!J3706</f>
        <v>18143.28</v>
      </c>
      <c r="C3701">
        <f>Sinistrés!X3706</f>
        <v>0</v>
      </c>
      <c r="D3701">
        <f>Sinistrés!L3706</f>
        <v>12</v>
      </c>
      <c r="E3701">
        <f>Sinistrés!M3706</f>
        <v>12</v>
      </c>
      <c r="F3701">
        <f t="shared" si="114"/>
        <v>0</v>
      </c>
      <c r="G3701">
        <f t="shared" si="115"/>
        <v>1</v>
      </c>
    </row>
    <row r="3702" spans="1:7" hidden="1">
      <c r="A3702" t="str">
        <f>Sinistrés!H3707</f>
        <v>Maïs grain irrigué</v>
      </c>
      <c r="B3702">
        <f>Sinistrés!J3707</f>
        <v>54411.56</v>
      </c>
      <c r="C3702">
        <f>Sinistrés!X3707</f>
        <v>0</v>
      </c>
      <c r="D3702">
        <f>Sinistrés!L3707</f>
        <v>28</v>
      </c>
      <c r="E3702">
        <f>Sinistrés!M3707</f>
        <v>28</v>
      </c>
      <c r="F3702">
        <f t="shared" si="114"/>
        <v>0</v>
      </c>
      <c r="G3702">
        <f t="shared" si="115"/>
        <v>1</v>
      </c>
    </row>
    <row r="3703" spans="1:7" hidden="1">
      <c r="A3703" t="str">
        <f>Sinistrés!H3708</f>
        <v>Tournesol</v>
      </c>
      <c r="B3703">
        <f>Sinistrés!J3708</f>
        <v>16759.16</v>
      </c>
      <c r="C3703">
        <f>Sinistrés!X3708</f>
        <v>0</v>
      </c>
      <c r="D3703">
        <f>Sinistrés!L3708</f>
        <v>24.81</v>
      </c>
      <c r="E3703">
        <f>Sinistrés!M3708</f>
        <v>24.81</v>
      </c>
      <c r="F3703">
        <f t="shared" si="114"/>
        <v>0</v>
      </c>
      <c r="G3703">
        <f t="shared" si="115"/>
        <v>1</v>
      </c>
    </row>
    <row r="3704" spans="1:7">
      <c r="A3704" t="str">
        <f>Sinistrés!H3709</f>
        <v>Tournesol</v>
      </c>
      <c r="B3704">
        <f>Sinistrés!J3709</f>
        <v>64908.41</v>
      </c>
      <c r="C3704">
        <f>Sinistrés!X3709</f>
        <v>7830.69</v>
      </c>
      <c r="D3704">
        <f>Sinistrés!L3709</f>
        <v>85.07</v>
      </c>
      <c r="E3704">
        <f>Sinistrés!M3709</f>
        <v>85.07</v>
      </c>
      <c r="F3704">
        <f t="shared" si="114"/>
        <v>0.12064214791272809</v>
      </c>
      <c r="G3704">
        <f t="shared" si="115"/>
        <v>1</v>
      </c>
    </row>
    <row r="3705" spans="1:7" hidden="1">
      <c r="A3705" t="str">
        <f>Sinistrés!H3710</f>
        <v>Maïs grain irrigué</v>
      </c>
      <c r="B3705">
        <f>Sinistrés!J3710</f>
        <v>52744.7</v>
      </c>
      <c r="C3705">
        <f>Sinistrés!X3710</f>
        <v>0</v>
      </c>
      <c r="D3705">
        <f>Sinistrés!L3710</f>
        <v>29.86</v>
      </c>
      <c r="E3705">
        <f>Sinistrés!M3710</f>
        <v>29.86</v>
      </c>
      <c r="F3705">
        <f t="shared" si="114"/>
        <v>0</v>
      </c>
      <c r="G3705">
        <f t="shared" si="115"/>
        <v>1</v>
      </c>
    </row>
    <row r="3706" spans="1:7" hidden="1">
      <c r="A3706" t="str">
        <f>Sinistrés!H3711</f>
        <v>Tournesol</v>
      </c>
      <c r="B3706">
        <f>Sinistrés!J3711</f>
        <v>14572</v>
      </c>
      <c r="C3706">
        <f>Sinistrés!X3711</f>
        <v>0</v>
      </c>
      <c r="D3706">
        <f>Sinistrés!L3711</f>
        <v>19.399999999999999</v>
      </c>
      <c r="E3706">
        <f>Sinistrés!M3711</f>
        <v>19.3</v>
      </c>
      <c r="F3706">
        <f t="shared" si="114"/>
        <v>0</v>
      </c>
      <c r="G3706">
        <f t="shared" si="115"/>
        <v>0.9948453608247424</v>
      </c>
    </row>
    <row r="3707" spans="1:7" hidden="1">
      <c r="A3707" t="str">
        <f>Sinistrés!H3712</f>
        <v>Maïs grain non irrigué</v>
      </c>
      <c r="B3707">
        <f>Sinistrés!J3712</f>
        <v>21941.01</v>
      </c>
      <c r="C3707">
        <f>Sinistrés!X3712</f>
        <v>0</v>
      </c>
      <c r="D3707">
        <f>Sinistrés!L3712</f>
        <v>29.25</v>
      </c>
      <c r="E3707">
        <f>Sinistrés!M3712</f>
        <v>29.25</v>
      </c>
      <c r="F3707">
        <f t="shared" si="114"/>
        <v>0</v>
      </c>
      <c r="G3707">
        <f t="shared" si="115"/>
        <v>1</v>
      </c>
    </row>
    <row r="3708" spans="1:7" hidden="1">
      <c r="A3708" t="str">
        <f>Sinistrés!H3713</f>
        <v>Maïs ensilage irrigué</v>
      </c>
      <c r="B3708">
        <f>Sinistrés!J3713</f>
        <v>4721.75</v>
      </c>
      <c r="C3708">
        <f>Sinistrés!X3713</f>
        <v>0</v>
      </c>
      <c r="D3708">
        <f>Sinistrés!L3713</f>
        <v>2.75</v>
      </c>
      <c r="E3708">
        <f>Sinistrés!M3713</f>
        <v>2.75</v>
      </c>
      <c r="F3708">
        <f t="shared" si="114"/>
        <v>0</v>
      </c>
      <c r="G3708">
        <f t="shared" si="115"/>
        <v>1</v>
      </c>
    </row>
    <row r="3709" spans="1:7">
      <c r="A3709" t="str">
        <f>Sinistrés!H3714</f>
        <v>Maïs grain irrigué</v>
      </c>
      <c r="B3709">
        <f>Sinistrés!J3714</f>
        <v>13772.21</v>
      </c>
      <c r="C3709">
        <f>Sinistrés!X3714</f>
        <v>1673.79</v>
      </c>
      <c r="D3709">
        <f>Sinistrés!L3714</f>
        <v>7.32</v>
      </c>
      <c r="E3709">
        <f>Sinistrés!M3714</f>
        <v>7.32</v>
      </c>
      <c r="F3709">
        <f t="shared" si="114"/>
        <v>0.12153387147015621</v>
      </c>
      <c r="G3709">
        <f t="shared" si="115"/>
        <v>1</v>
      </c>
    </row>
    <row r="3710" spans="1:7">
      <c r="A3710" t="str">
        <f>Sinistrés!H3715</f>
        <v>Maïs grain non irrigué</v>
      </c>
      <c r="B3710">
        <f>Sinistrés!J3715</f>
        <v>10704.6</v>
      </c>
      <c r="C3710">
        <f>Sinistrés!X3715</f>
        <v>2468.11</v>
      </c>
      <c r="D3710">
        <f>Sinistrés!L3715</f>
        <v>6.31</v>
      </c>
      <c r="E3710">
        <f>Sinistrés!M3715</f>
        <v>6.31</v>
      </c>
      <c r="F3710">
        <f t="shared" si="114"/>
        <v>0.23056536442277153</v>
      </c>
      <c r="G3710">
        <f t="shared" si="115"/>
        <v>1</v>
      </c>
    </row>
    <row r="3711" spans="1:7">
      <c r="A3711" t="str">
        <f>Sinistrés!H3716</f>
        <v>Tournesol</v>
      </c>
      <c r="B3711">
        <f>Sinistrés!J3716</f>
        <v>38370.36</v>
      </c>
      <c r="C3711">
        <f>Sinistrés!X3716</f>
        <v>639.51</v>
      </c>
      <c r="D3711">
        <f>Sinistrés!L3716</f>
        <v>53.74</v>
      </c>
      <c r="E3711">
        <f>Sinistrés!M3716</f>
        <v>53.74</v>
      </c>
      <c r="F3711">
        <f t="shared" si="114"/>
        <v>1.6666770913799089E-2</v>
      </c>
      <c r="G3711">
        <f t="shared" si="115"/>
        <v>1</v>
      </c>
    </row>
    <row r="3712" spans="1:7" hidden="1">
      <c r="A3712" t="str">
        <f>Sinistrés!H3717</f>
        <v>Maïs grain non irrigué</v>
      </c>
      <c r="B3712">
        <f>Sinistrés!J3717</f>
        <v>79140.91</v>
      </c>
      <c r="C3712">
        <f>Sinistrés!X3717</f>
        <v>0</v>
      </c>
      <c r="D3712">
        <f>Sinistrés!L3717</f>
        <v>28.93</v>
      </c>
      <c r="E3712">
        <f>Sinistrés!M3717</f>
        <v>28.93</v>
      </c>
      <c r="F3712">
        <f t="shared" si="114"/>
        <v>0</v>
      </c>
      <c r="G3712">
        <f t="shared" si="115"/>
        <v>1</v>
      </c>
    </row>
    <row r="3713" spans="1:7">
      <c r="A3713" t="str">
        <f>Sinistrés!H3718</f>
        <v>Soja</v>
      </c>
      <c r="B3713">
        <f>Sinistrés!J3718</f>
        <v>6588.24</v>
      </c>
      <c r="C3713">
        <f>Sinistrés!X3718</f>
        <v>1984.62</v>
      </c>
      <c r="D3713">
        <f>Sinistrés!L3718</f>
        <v>5.82</v>
      </c>
      <c r="E3713">
        <f>Sinistrés!M3718</f>
        <v>5.82</v>
      </c>
      <c r="F3713">
        <f t="shared" si="114"/>
        <v>0.30123674911660775</v>
      </c>
      <c r="G3713">
        <f t="shared" si="115"/>
        <v>1</v>
      </c>
    </row>
    <row r="3714" spans="1:7" hidden="1">
      <c r="A3714" t="str">
        <f>Sinistrés!H3719</f>
        <v>Tournesol</v>
      </c>
      <c r="B3714">
        <f>Sinistrés!J3719</f>
        <v>10227.36</v>
      </c>
      <c r="C3714">
        <f>Sinistrés!X3719</f>
        <v>0</v>
      </c>
      <c r="D3714">
        <f>Sinistrés!L3719</f>
        <v>5.96</v>
      </c>
      <c r="E3714">
        <f>Sinistrés!M3719</f>
        <v>5.96</v>
      </c>
      <c r="F3714">
        <f t="shared" si="114"/>
        <v>0</v>
      </c>
      <c r="G3714">
        <f t="shared" si="115"/>
        <v>1</v>
      </c>
    </row>
    <row r="3715" spans="1:7" hidden="1">
      <c r="A3715" t="str">
        <f>Sinistrés!H3720</f>
        <v>Maïs grain non irrigué</v>
      </c>
      <c r="B3715">
        <f>Sinistrés!J3720</f>
        <v>153164.38</v>
      </c>
      <c r="C3715">
        <f>Sinistrés!X3720</f>
        <v>0</v>
      </c>
      <c r="D3715">
        <f>Sinistrés!L3720</f>
        <v>72.680000000000007</v>
      </c>
      <c r="E3715">
        <f>Sinistrés!M3720</f>
        <v>72.680000000000007</v>
      </c>
      <c r="F3715">
        <f t="shared" ref="F3715:F3778" si="116">C3715/B3715</f>
        <v>0</v>
      </c>
      <c r="G3715">
        <f t="shared" ref="G3715:G3778" si="117">E3715/D3715</f>
        <v>1</v>
      </c>
    </row>
    <row r="3716" spans="1:7" hidden="1">
      <c r="A3716" t="str">
        <f>Sinistrés!H3721</f>
        <v>Tournesol</v>
      </c>
      <c r="B3716">
        <f>Sinistrés!J3721</f>
        <v>6361.52</v>
      </c>
      <c r="C3716">
        <f>Sinistrés!X3721</f>
        <v>0</v>
      </c>
      <c r="D3716">
        <f>Sinistrés!L3721</f>
        <v>4.22</v>
      </c>
      <c r="E3716">
        <f>Sinistrés!M3721</f>
        <v>4.22</v>
      </c>
      <c r="F3716">
        <f t="shared" si="116"/>
        <v>0</v>
      </c>
      <c r="G3716">
        <f t="shared" si="117"/>
        <v>1</v>
      </c>
    </row>
    <row r="3717" spans="1:7">
      <c r="A3717" t="str">
        <f>Sinistrés!H3722</f>
        <v>Soja</v>
      </c>
      <c r="B3717">
        <f>Sinistrés!J3722</f>
        <v>13442.52</v>
      </c>
      <c r="C3717">
        <f>Sinistrés!X3722</f>
        <v>5271.14</v>
      </c>
      <c r="D3717">
        <f>Sinistrés!L3722</f>
        <v>12.31</v>
      </c>
      <c r="E3717">
        <f>Sinistrés!M3722</f>
        <v>12.3</v>
      </c>
      <c r="F3717">
        <f t="shared" si="116"/>
        <v>0.39212439334291488</v>
      </c>
      <c r="G3717">
        <f t="shared" si="117"/>
        <v>0.99918765231519091</v>
      </c>
    </row>
    <row r="3718" spans="1:7">
      <c r="A3718" t="str">
        <f>Sinistrés!H3723</f>
        <v>Maïs grain non irrigué</v>
      </c>
      <c r="B3718">
        <f>Sinistrés!J3723</f>
        <v>27474.400000000001</v>
      </c>
      <c r="C3718">
        <f>Sinistrés!X3723</f>
        <v>4870.24</v>
      </c>
      <c r="D3718">
        <f>Sinistrés!L3723</f>
        <v>24.4</v>
      </c>
      <c r="E3718">
        <f>Sinistrés!M3723</f>
        <v>24.4</v>
      </c>
      <c r="F3718">
        <f t="shared" si="116"/>
        <v>0.1772646536412078</v>
      </c>
      <c r="G3718">
        <f t="shared" si="117"/>
        <v>1</v>
      </c>
    </row>
    <row r="3719" spans="1:7" hidden="1">
      <c r="A3719" t="str">
        <f>Sinistrés!H3724</f>
        <v>Tournesol</v>
      </c>
      <c r="B3719">
        <f>Sinistrés!J3724</f>
        <v>31714</v>
      </c>
      <c r="C3719">
        <f>Sinistrés!X3724</f>
        <v>0</v>
      </c>
      <c r="D3719">
        <f>Sinistrés!L3724</f>
        <v>40.4</v>
      </c>
      <c r="E3719">
        <f>Sinistrés!M3724</f>
        <v>40.4</v>
      </c>
      <c r="F3719">
        <f t="shared" si="116"/>
        <v>0</v>
      </c>
      <c r="G3719">
        <f t="shared" si="117"/>
        <v>1</v>
      </c>
    </row>
    <row r="3720" spans="1:7">
      <c r="A3720" t="str">
        <f>Sinistrés!H3725</f>
        <v>Maïs grain non irrigué</v>
      </c>
      <c r="B3720">
        <f>Sinistrés!J3725</f>
        <v>7953.4</v>
      </c>
      <c r="C3720">
        <f>Sinistrés!X3725</f>
        <v>4147.49</v>
      </c>
      <c r="D3720">
        <f>Sinistrés!L3725</f>
        <v>4</v>
      </c>
      <c r="E3720">
        <f>Sinistrés!M3725</f>
        <v>4</v>
      </c>
      <c r="F3720">
        <f t="shared" si="116"/>
        <v>0.52147383508939571</v>
      </c>
      <c r="G3720">
        <f t="shared" si="117"/>
        <v>1</v>
      </c>
    </row>
    <row r="3721" spans="1:7">
      <c r="A3721" t="str">
        <f>Sinistrés!H3726</f>
        <v>Tournesol</v>
      </c>
      <c r="B3721">
        <f>Sinistrés!J3726</f>
        <v>15731.63</v>
      </c>
      <c r="C3721">
        <f>Sinistrés!X3726</f>
        <v>2454.13</v>
      </c>
      <c r="D3721">
        <f>Sinistrés!L3726</f>
        <v>10.5</v>
      </c>
      <c r="E3721">
        <f>Sinistrés!M3726</f>
        <v>2.5</v>
      </c>
      <c r="F3721">
        <f t="shared" si="116"/>
        <v>0.1559997279366474</v>
      </c>
      <c r="G3721">
        <f t="shared" si="117"/>
        <v>0.23809523809523808</v>
      </c>
    </row>
    <row r="3722" spans="1:7" hidden="1">
      <c r="A3722" t="str">
        <f>Sinistrés!H3727</f>
        <v>Maïs grain irrigué</v>
      </c>
      <c r="B3722">
        <f>Sinistrés!J3727</f>
        <v>32970</v>
      </c>
      <c r="C3722">
        <f>Sinistrés!X3727</f>
        <v>0</v>
      </c>
      <c r="D3722">
        <f>Sinistrés!L3727</f>
        <v>25</v>
      </c>
      <c r="E3722">
        <f>Sinistrés!M3727</f>
        <v>25</v>
      </c>
      <c r="F3722">
        <f t="shared" si="116"/>
        <v>0</v>
      </c>
      <c r="G3722">
        <f t="shared" si="117"/>
        <v>1</v>
      </c>
    </row>
    <row r="3723" spans="1:7" hidden="1">
      <c r="A3723" t="str">
        <f>Sinistrés!H3728</f>
        <v>Maïs grain non irrigué</v>
      </c>
      <c r="B3723">
        <f>Sinistrés!J3728</f>
        <v>77011.199999999997</v>
      </c>
      <c r="C3723">
        <f>Sinistrés!X3728</f>
        <v>0</v>
      </c>
      <c r="D3723">
        <f>Sinistrés!L3728</f>
        <v>72</v>
      </c>
      <c r="E3723">
        <f>Sinistrés!M3728</f>
        <v>72</v>
      </c>
      <c r="F3723">
        <f t="shared" si="116"/>
        <v>0</v>
      </c>
      <c r="G3723">
        <f t="shared" si="117"/>
        <v>1</v>
      </c>
    </row>
    <row r="3724" spans="1:7" hidden="1">
      <c r="A3724" t="str">
        <f>Sinistrés!H3729</f>
        <v>Maïs grain irrigué SEMENCES FERTILES</v>
      </c>
      <c r="B3724">
        <f>Sinistrés!J3729</f>
        <v>1857.44</v>
      </c>
      <c r="C3724">
        <f>Sinistrés!X3729</f>
        <v>0</v>
      </c>
      <c r="D3724">
        <f>Sinistrés!L3729</f>
        <v>0.76</v>
      </c>
      <c r="E3724">
        <f>Sinistrés!M3729</f>
        <v>0.76</v>
      </c>
      <c r="F3724">
        <f t="shared" si="116"/>
        <v>0</v>
      </c>
      <c r="G3724">
        <f t="shared" si="117"/>
        <v>1</v>
      </c>
    </row>
    <row r="3725" spans="1:7">
      <c r="A3725" t="str">
        <f>Sinistrés!H3730</f>
        <v>Tournesol</v>
      </c>
      <c r="B3725">
        <f>Sinistrés!J3730</f>
        <v>6408.48</v>
      </c>
      <c r="C3725">
        <f>Sinistrés!X3730</f>
        <v>1842.44</v>
      </c>
      <c r="D3725">
        <f>Sinistrés!L3730</f>
        <v>10.27</v>
      </c>
      <c r="E3725">
        <f>Sinistrés!M3730</f>
        <v>10.27</v>
      </c>
      <c r="F3725">
        <f t="shared" si="116"/>
        <v>0.28750031208648541</v>
      </c>
      <c r="G3725">
        <f t="shared" si="117"/>
        <v>1</v>
      </c>
    </row>
    <row r="3726" spans="1:7">
      <c r="A3726" t="str">
        <f>Sinistrés!H3731</f>
        <v>Maïs ensilage non irrigué</v>
      </c>
      <c r="B3726">
        <f>Sinistrés!J3731</f>
        <v>22409.58</v>
      </c>
      <c r="C3726">
        <f>Sinistrés!X3731</f>
        <v>5035.8599999999997</v>
      </c>
      <c r="D3726">
        <f>Sinistrés!L3731</f>
        <v>24.93</v>
      </c>
      <c r="E3726">
        <f>Sinistrés!M3731</f>
        <v>24.93</v>
      </c>
      <c r="F3726">
        <f t="shared" si="116"/>
        <v>0.22471907104015332</v>
      </c>
      <c r="G3726">
        <f t="shared" si="117"/>
        <v>1</v>
      </c>
    </row>
    <row r="3727" spans="1:7">
      <c r="A3727" t="str">
        <f>Sinistrés!H3732</f>
        <v>Maïs grain non irrigué</v>
      </c>
      <c r="B3727">
        <f>Sinistrés!J3732</f>
        <v>15226.74</v>
      </c>
      <c r="C3727">
        <f>Sinistrés!X3732</f>
        <v>2664.68</v>
      </c>
      <c r="D3727">
        <f>Sinistrés!L3732</f>
        <v>10.28</v>
      </c>
      <c r="E3727">
        <f>Sinistrés!M3732</f>
        <v>10.28</v>
      </c>
      <c r="F3727">
        <f t="shared" si="116"/>
        <v>0.17500003283696969</v>
      </c>
      <c r="G3727">
        <f t="shared" si="117"/>
        <v>1</v>
      </c>
    </row>
    <row r="3728" spans="1:7" hidden="1">
      <c r="A3728" t="str">
        <f>Sinistrés!H3733</f>
        <v>Tournesol</v>
      </c>
      <c r="B3728">
        <f>Sinistrés!J3733</f>
        <v>27257.3</v>
      </c>
      <c r="C3728">
        <f>Sinistrés!X3733</f>
        <v>0</v>
      </c>
      <c r="D3728">
        <f>Sinistrés!L3733</f>
        <v>33.86</v>
      </c>
      <c r="E3728">
        <f>Sinistrés!M3733</f>
        <v>33.86</v>
      </c>
      <c r="F3728">
        <f t="shared" si="116"/>
        <v>0</v>
      </c>
      <c r="G3728">
        <f t="shared" si="117"/>
        <v>1</v>
      </c>
    </row>
    <row r="3729" spans="1:7" hidden="1">
      <c r="A3729" t="str">
        <f>Sinistrés!H3734</f>
        <v>Maïs grain irrigué</v>
      </c>
      <c r="B3729">
        <f>Sinistrés!J3734</f>
        <v>64176.77</v>
      </c>
      <c r="C3729">
        <f>Sinistrés!X3734</f>
        <v>0</v>
      </c>
      <c r="D3729">
        <f>Sinistrés!L3734</f>
        <v>39.44</v>
      </c>
      <c r="E3729">
        <f>Sinistrés!M3734</f>
        <v>39.44</v>
      </c>
      <c r="F3729">
        <f t="shared" si="116"/>
        <v>0</v>
      </c>
      <c r="G3729">
        <f t="shared" si="117"/>
        <v>1</v>
      </c>
    </row>
    <row r="3730" spans="1:7">
      <c r="A3730" t="str">
        <f>Sinistrés!H3735</f>
        <v>Maïs grain non irrigué</v>
      </c>
      <c r="B3730">
        <f>Sinistrés!J3735</f>
        <v>6142.03</v>
      </c>
      <c r="C3730">
        <f>Sinistrés!X3735</f>
        <v>1925.99</v>
      </c>
      <c r="D3730">
        <f>Sinistrés!L3735</f>
        <v>3.86</v>
      </c>
      <c r="E3730">
        <f>Sinistrés!M3735</f>
        <v>3.86</v>
      </c>
      <c r="F3730">
        <f t="shared" si="116"/>
        <v>0.31357547911683925</v>
      </c>
      <c r="G3730">
        <f t="shared" si="117"/>
        <v>1</v>
      </c>
    </row>
    <row r="3731" spans="1:7" hidden="1">
      <c r="A3731" t="str">
        <f>Sinistrés!H3736</f>
        <v>Soja BIO</v>
      </c>
      <c r="B3731">
        <f>Sinistrés!J3736</f>
        <v>18866.47</v>
      </c>
      <c r="C3731">
        <f>Sinistrés!X3736</f>
        <v>10325.48</v>
      </c>
      <c r="D3731">
        <f>Sinistrés!L3736</f>
        <v>9.73</v>
      </c>
      <c r="E3731">
        <f>Sinistrés!M3736</f>
        <v>9.73</v>
      </c>
      <c r="F3731">
        <f t="shared" si="116"/>
        <v>0.54729263078890744</v>
      </c>
      <c r="G3731">
        <f t="shared" si="117"/>
        <v>1</v>
      </c>
    </row>
    <row r="3732" spans="1:7" hidden="1">
      <c r="A3732" t="str">
        <f>Sinistrés!H3737</f>
        <v>Tournesol</v>
      </c>
      <c r="B3732">
        <f>Sinistrés!J3737</f>
        <v>116474.09</v>
      </c>
      <c r="C3732">
        <f>Sinistrés!X3737</f>
        <v>0</v>
      </c>
      <c r="D3732">
        <f>Sinistrés!L3737</f>
        <v>134.72999999999999</v>
      </c>
      <c r="E3732">
        <f>Sinistrés!M3737</f>
        <v>134.72999999999999</v>
      </c>
      <c r="F3732">
        <f t="shared" si="116"/>
        <v>0</v>
      </c>
      <c r="G3732">
        <f t="shared" si="117"/>
        <v>1</v>
      </c>
    </row>
    <row r="3733" spans="1:7">
      <c r="A3733" t="str">
        <f>Sinistrés!H3738</f>
        <v>Maïs grain non irrigué</v>
      </c>
      <c r="B3733">
        <f>Sinistrés!J3738</f>
        <v>49856.23</v>
      </c>
      <c r="C3733">
        <f>Sinistrés!X3738</f>
        <v>2100.5700000000002</v>
      </c>
      <c r="D3733">
        <f>Sinistrés!L3738</f>
        <v>73.73</v>
      </c>
      <c r="E3733">
        <f>Sinistrés!M3738</f>
        <v>73.73</v>
      </c>
      <c r="F3733">
        <f t="shared" si="116"/>
        <v>4.2132547928313072E-2</v>
      </c>
      <c r="G3733">
        <f t="shared" si="117"/>
        <v>1</v>
      </c>
    </row>
    <row r="3734" spans="1:7">
      <c r="A3734" t="str">
        <f>Sinistrés!H3739</f>
        <v>Maïs ensilage non irrigué</v>
      </c>
      <c r="B3734">
        <f>Sinistrés!J3739</f>
        <v>10368</v>
      </c>
      <c r="C3734">
        <f>Sinistrés!X3739</f>
        <v>2520.1</v>
      </c>
      <c r="D3734">
        <f>Sinistrés!L3739</f>
        <v>6.48</v>
      </c>
      <c r="E3734">
        <f>Sinistrés!M3739</f>
        <v>6.48</v>
      </c>
      <c r="F3734">
        <f t="shared" si="116"/>
        <v>0.24306520061728396</v>
      </c>
      <c r="G3734">
        <f t="shared" si="117"/>
        <v>1</v>
      </c>
    </row>
    <row r="3735" spans="1:7" hidden="1">
      <c r="A3735" t="str">
        <f>Sinistrés!H3740</f>
        <v>Pommes de terre de féculerie</v>
      </c>
      <c r="B3735">
        <f>Sinistrés!J3740</f>
        <v>29958.06</v>
      </c>
      <c r="C3735">
        <f>Sinistrés!X3740</f>
        <v>0</v>
      </c>
      <c r="D3735">
        <f>Sinistrés!L3740</f>
        <v>10.45</v>
      </c>
      <c r="E3735">
        <f>Sinistrés!M3740</f>
        <v>10.45</v>
      </c>
      <c r="F3735">
        <f t="shared" si="116"/>
        <v>0</v>
      </c>
      <c r="G3735">
        <f t="shared" si="117"/>
        <v>1</v>
      </c>
    </row>
    <row r="3736" spans="1:7">
      <c r="A3736" t="str">
        <f>Sinistrés!H3741</f>
        <v>Lin oléagineux</v>
      </c>
      <c r="B3736">
        <f>Sinistrés!J3741</f>
        <v>17240.849999999999</v>
      </c>
      <c r="C3736">
        <f>Sinistrés!X3741</f>
        <v>1824.32</v>
      </c>
      <c r="D3736">
        <f>Sinistrés!L3741</f>
        <v>17.82</v>
      </c>
      <c r="E3736">
        <f>Sinistrés!M3741</f>
        <v>17.82</v>
      </c>
      <c r="F3736">
        <f t="shared" si="116"/>
        <v>0.10581380848392047</v>
      </c>
      <c r="G3736">
        <f t="shared" si="117"/>
        <v>1</v>
      </c>
    </row>
    <row r="3737" spans="1:7">
      <c r="A3737" t="str">
        <f>Sinistrés!H3742</f>
        <v>Maïs grain non irrigué</v>
      </c>
      <c r="B3737">
        <f>Sinistrés!J3742</f>
        <v>33558.68</v>
      </c>
      <c r="C3737">
        <f>Sinistrés!X3742</f>
        <v>3849.38</v>
      </c>
      <c r="D3737">
        <f>Sinistrés!L3742</f>
        <v>29.03</v>
      </c>
      <c r="E3737">
        <f>Sinistrés!M3742</f>
        <v>29.03</v>
      </c>
      <c r="F3737">
        <f t="shared" si="116"/>
        <v>0.11470594195004094</v>
      </c>
      <c r="G3737">
        <f t="shared" si="117"/>
        <v>1</v>
      </c>
    </row>
    <row r="3738" spans="1:7" hidden="1">
      <c r="A3738" t="str">
        <f>Sinistrés!H3743</f>
        <v>Tournesol</v>
      </c>
      <c r="B3738">
        <f>Sinistrés!J3743</f>
        <v>35975.71</v>
      </c>
      <c r="C3738">
        <f>Sinistrés!X3743</f>
        <v>0</v>
      </c>
      <c r="D3738">
        <f>Sinistrés!L3743</f>
        <v>32.17</v>
      </c>
      <c r="E3738">
        <f>Sinistrés!M3743</f>
        <v>32.17</v>
      </c>
      <c r="F3738">
        <f t="shared" si="116"/>
        <v>0</v>
      </c>
      <c r="G3738">
        <f t="shared" si="117"/>
        <v>1</v>
      </c>
    </row>
    <row r="3739" spans="1:7" hidden="1">
      <c r="A3739" t="str">
        <f>Sinistrés!H3744</f>
        <v>Lin textile</v>
      </c>
      <c r="B3739">
        <f>Sinistrés!J3744</f>
        <v>173160</v>
      </c>
      <c r="C3739">
        <f>Sinistrés!X3744</f>
        <v>0</v>
      </c>
      <c r="D3739">
        <f>Sinistrés!L3744</f>
        <v>58.5</v>
      </c>
      <c r="E3739">
        <f>Sinistrés!M3744</f>
        <v>2</v>
      </c>
      <c r="F3739">
        <f t="shared" si="116"/>
        <v>0</v>
      </c>
      <c r="G3739">
        <f t="shared" si="117"/>
        <v>3.4188034188034191E-2</v>
      </c>
    </row>
    <row r="3740" spans="1:7" hidden="1">
      <c r="A3740" t="str">
        <f>Sinistrés!H3745</f>
        <v>Maïs grain non irrigué</v>
      </c>
      <c r="B3740">
        <f>Sinistrés!J3745</f>
        <v>23553.06</v>
      </c>
      <c r="C3740">
        <f>Sinistrés!X3745</f>
        <v>0</v>
      </c>
      <c r="D3740">
        <f>Sinistrés!L3745</f>
        <v>21.11</v>
      </c>
      <c r="E3740">
        <f>Sinistrés!M3745</f>
        <v>21.11</v>
      </c>
      <c r="F3740">
        <f t="shared" si="116"/>
        <v>0</v>
      </c>
      <c r="G3740">
        <f t="shared" si="117"/>
        <v>1</v>
      </c>
    </row>
    <row r="3741" spans="1:7">
      <c r="A3741" t="str">
        <f>Sinistrés!H3746</f>
        <v>Maïs pop corn irrigué</v>
      </c>
      <c r="B3741">
        <f>Sinistrés!J3746</f>
        <v>6361.6</v>
      </c>
      <c r="C3741">
        <f>Sinistrés!X3746</f>
        <v>2778.24</v>
      </c>
      <c r="D3741">
        <f>Sinistrés!L3746</f>
        <v>3.2</v>
      </c>
      <c r="E3741">
        <f>Sinistrés!M3746</f>
        <v>3.2</v>
      </c>
      <c r="F3741">
        <f t="shared" si="116"/>
        <v>0.43672032193158949</v>
      </c>
      <c r="G3741">
        <f t="shared" si="117"/>
        <v>1</v>
      </c>
    </row>
    <row r="3742" spans="1:7">
      <c r="A3742" t="str">
        <f>Sinistrés!H3747</f>
        <v>Maïs grain non irrigué</v>
      </c>
      <c r="B3742">
        <f>Sinistrés!J3747</f>
        <v>19852.080000000002</v>
      </c>
      <c r="C3742">
        <f>Sinistrés!X3747</f>
        <v>5832.23</v>
      </c>
      <c r="D3742">
        <f>Sinistrés!L3747</f>
        <v>13.71</v>
      </c>
      <c r="E3742">
        <f>Sinistrés!M3747</f>
        <v>13.71</v>
      </c>
      <c r="F3742">
        <f t="shared" si="116"/>
        <v>0.29378432889651862</v>
      </c>
      <c r="G3742">
        <f t="shared" si="117"/>
        <v>1</v>
      </c>
    </row>
    <row r="3743" spans="1:7">
      <c r="A3743" t="str">
        <f>Sinistrés!H3748</f>
        <v>Tournesol</v>
      </c>
      <c r="B3743">
        <f>Sinistrés!J3748</f>
        <v>14401.8</v>
      </c>
      <c r="C3743">
        <f>Sinistrés!X3748</f>
        <v>194.31</v>
      </c>
      <c r="D3743">
        <f>Sinistrés!L3748</f>
        <v>11.43</v>
      </c>
      <c r="E3743">
        <f>Sinistrés!M3748</f>
        <v>11.43</v>
      </c>
      <c r="F3743">
        <f t="shared" si="116"/>
        <v>1.3492063492063493E-2</v>
      </c>
      <c r="G3743">
        <f t="shared" si="117"/>
        <v>1</v>
      </c>
    </row>
    <row r="3744" spans="1:7" hidden="1">
      <c r="A3744" t="str">
        <f>Sinistrés!H3749</f>
        <v>Maïs grain irrigué</v>
      </c>
      <c r="B3744">
        <f>Sinistrés!J3749</f>
        <v>42718.080000000002</v>
      </c>
      <c r="C3744">
        <f>Sinistrés!X3749</f>
        <v>0</v>
      </c>
      <c r="D3744">
        <f>Sinistrés!L3749</f>
        <v>18.239999999999998</v>
      </c>
      <c r="E3744">
        <f>Sinistrés!M3749</f>
        <v>18.239999999999998</v>
      </c>
      <c r="F3744">
        <f t="shared" si="116"/>
        <v>0</v>
      </c>
      <c r="G3744">
        <f t="shared" si="117"/>
        <v>1</v>
      </c>
    </row>
    <row r="3745" spans="1:7" hidden="1">
      <c r="A3745" t="str">
        <f>Sinistrés!H3750</f>
        <v>Soja SEMENCES</v>
      </c>
      <c r="B3745">
        <f>Sinistrés!J3750</f>
        <v>17031.810000000001</v>
      </c>
      <c r="C3745">
        <f>Sinistrés!X3750</f>
        <v>0</v>
      </c>
      <c r="D3745">
        <f>Sinistrés!L3750</f>
        <v>13.62</v>
      </c>
      <c r="E3745">
        <f>Sinistrés!M3750</f>
        <v>13.62</v>
      </c>
      <c r="F3745">
        <f t="shared" si="116"/>
        <v>0</v>
      </c>
      <c r="G3745">
        <f t="shared" si="117"/>
        <v>1</v>
      </c>
    </row>
    <row r="3746" spans="1:7">
      <c r="A3746" t="str">
        <f>Sinistrés!H3751</f>
        <v>Maïs ensilage non irrigué</v>
      </c>
      <c r="B3746">
        <f>Sinistrés!J3751</f>
        <v>28125</v>
      </c>
      <c r="C3746">
        <f>Sinistrés!X3751</f>
        <v>2968.75</v>
      </c>
      <c r="D3746">
        <f>Sinistrés!L3751</f>
        <v>25</v>
      </c>
      <c r="E3746">
        <f>Sinistrés!M3751</f>
        <v>25</v>
      </c>
      <c r="F3746">
        <f t="shared" si="116"/>
        <v>0.10555555555555556</v>
      </c>
      <c r="G3746">
        <f t="shared" si="117"/>
        <v>1</v>
      </c>
    </row>
    <row r="3747" spans="1:7" hidden="1">
      <c r="A3747" t="str">
        <f>Sinistrés!H3752</f>
        <v>Tournesol</v>
      </c>
      <c r="B3747">
        <f>Sinistrés!J3752</f>
        <v>9133.25</v>
      </c>
      <c r="C3747">
        <f>Sinistrés!X3752</f>
        <v>0</v>
      </c>
      <c r="D3747">
        <f>Sinistrés!L3752</f>
        <v>5</v>
      </c>
      <c r="E3747">
        <f>Sinistrés!M3752</f>
        <v>5</v>
      </c>
      <c r="F3747">
        <f t="shared" si="116"/>
        <v>0</v>
      </c>
      <c r="G3747">
        <f t="shared" si="117"/>
        <v>1</v>
      </c>
    </row>
    <row r="3748" spans="1:7">
      <c r="A3748" t="str">
        <f>Sinistrés!H3753</f>
        <v>Maïs grain irrigué</v>
      </c>
      <c r="B3748">
        <f>Sinistrés!J3753</f>
        <v>16894.8</v>
      </c>
      <c r="C3748">
        <f>Sinistrés!X3753</f>
        <v>4548.18</v>
      </c>
      <c r="D3748">
        <f>Sinistrés!L3753</f>
        <v>8</v>
      </c>
      <c r="E3748">
        <f>Sinistrés!M3753</f>
        <v>8</v>
      </c>
      <c r="F3748">
        <f t="shared" si="116"/>
        <v>0.26920590951061868</v>
      </c>
      <c r="G3748">
        <f t="shared" si="117"/>
        <v>1</v>
      </c>
    </row>
    <row r="3749" spans="1:7" hidden="1">
      <c r="A3749" t="str">
        <f>Sinistrés!H3754</f>
        <v>Maïs grain non irrigué</v>
      </c>
      <c r="B3749">
        <f>Sinistrés!J3754</f>
        <v>40575.599999999999</v>
      </c>
      <c r="C3749">
        <f>Sinistrés!X3754</f>
        <v>0</v>
      </c>
      <c r="D3749">
        <f>Sinistrés!L3754</f>
        <v>24</v>
      </c>
      <c r="E3749">
        <f>Sinistrés!M3754</f>
        <v>24</v>
      </c>
      <c r="F3749">
        <f t="shared" si="116"/>
        <v>0</v>
      </c>
      <c r="G3749">
        <f t="shared" si="117"/>
        <v>1</v>
      </c>
    </row>
    <row r="3750" spans="1:7" hidden="1">
      <c r="A3750" t="str">
        <f>Sinistrés!H3755</f>
        <v>Maïs grain non irrigué</v>
      </c>
      <c r="B3750">
        <f>Sinistrés!J3755</f>
        <v>59172.75</v>
      </c>
      <c r="C3750">
        <f>Sinistrés!X3755</f>
        <v>0</v>
      </c>
      <c r="D3750">
        <f>Sinistrés!L3755</f>
        <v>35</v>
      </c>
      <c r="E3750">
        <f>Sinistrés!M3755</f>
        <v>35</v>
      </c>
      <c r="F3750">
        <f t="shared" si="116"/>
        <v>0</v>
      </c>
      <c r="G3750">
        <f t="shared" si="117"/>
        <v>1</v>
      </c>
    </row>
    <row r="3751" spans="1:7">
      <c r="A3751" t="str">
        <f>Sinistrés!H3756</f>
        <v>Tournesol</v>
      </c>
      <c r="B3751">
        <f>Sinistrés!J3756</f>
        <v>7647.08</v>
      </c>
      <c r="C3751">
        <f>Sinistrés!X3756</f>
        <v>2563.71</v>
      </c>
      <c r="D3751">
        <f>Sinistrés!L3756</f>
        <v>8.81</v>
      </c>
      <c r="E3751">
        <f>Sinistrés!M3756</f>
        <v>8.81</v>
      </c>
      <c r="F3751">
        <f t="shared" si="116"/>
        <v>0.33525345622119818</v>
      </c>
      <c r="G3751">
        <f t="shared" si="117"/>
        <v>1</v>
      </c>
    </row>
    <row r="3752" spans="1:7" hidden="1">
      <c r="A3752" t="str">
        <f>Sinistrés!H3757</f>
        <v>Soja</v>
      </c>
      <c r="B3752">
        <f>Sinistrés!J3757</f>
        <v>5329.32</v>
      </c>
      <c r="C3752">
        <f>Sinistrés!X3757</f>
        <v>0</v>
      </c>
      <c r="D3752">
        <f>Sinistrés!L3757</f>
        <v>4.99</v>
      </c>
      <c r="E3752">
        <f>Sinistrés!M3757</f>
        <v>4.99</v>
      </c>
      <c r="F3752">
        <f t="shared" si="116"/>
        <v>0</v>
      </c>
      <c r="G3752">
        <f t="shared" si="117"/>
        <v>1</v>
      </c>
    </row>
    <row r="3753" spans="1:7" hidden="1">
      <c r="A3753" t="str">
        <f>Sinistrés!H3758</f>
        <v>Maïs grain irrigué</v>
      </c>
      <c r="B3753">
        <f>Sinistrés!J3758</f>
        <v>33094.04</v>
      </c>
      <c r="C3753">
        <f>Sinistrés!X3758</f>
        <v>0</v>
      </c>
      <c r="D3753">
        <f>Sinistrés!L3758</f>
        <v>13.06</v>
      </c>
      <c r="E3753">
        <f>Sinistrés!M3758</f>
        <v>13.06</v>
      </c>
      <c r="F3753">
        <f t="shared" si="116"/>
        <v>0</v>
      </c>
      <c r="G3753">
        <f t="shared" si="117"/>
        <v>1</v>
      </c>
    </row>
    <row r="3754" spans="1:7" hidden="1">
      <c r="A3754" t="str">
        <f>Sinistrés!H3759</f>
        <v>Maïs grain non irrigué</v>
      </c>
      <c r="B3754">
        <f>Sinistrés!J3759</f>
        <v>65340</v>
      </c>
      <c r="C3754">
        <f>Sinistrés!X3759</f>
        <v>0</v>
      </c>
      <c r="D3754">
        <f>Sinistrés!L3759</f>
        <v>29.7</v>
      </c>
      <c r="E3754">
        <f>Sinistrés!M3759</f>
        <v>29.7</v>
      </c>
      <c r="F3754">
        <f t="shared" si="116"/>
        <v>0</v>
      </c>
      <c r="G3754">
        <f t="shared" si="117"/>
        <v>1</v>
      </c>
    </row>
    <row r="3755" spans="1:7" hidden="1">
      <c r="A3755" t="str">
        <f>Sinistrés!H3760</f>
        <v>Soja</v>
      </c>
      <c r="B3755">
        <f>Sinistrés!J3760</f>
        <v>23251.9</v>
      </c>
      <c r="C3755">
        <f>Sinistrés!X3760</f>
        <v>0</v>
      </c>
      <c r="D3755">
        <f>Sinistrés!L3760</f>
        <v>14.78</v>
      </c>
      <c r="E3755">
        <f>Sinistrés!M3760</f>
        <v>14.78</v>
      </c>
      <c r="F3755">
        <f t="shared" si="116"/>
        <v>0</v>
      </c>
      <c r="G3755">
        <f t="shared" si="117"/>
        <v>1</v>
      </c>
    </row>
    <row r="3756" spans="1:7" hidden="1">
      <c r="A3756" t="str">
        <f>Sinistrés!H3761</f>
        <v>Maïs grain irrigué BIO</v>
      </c>
      <c r="B3756">
        <f>Sinistrés!J3761</f>
        <v>110490.16</v>
      </c>
      <c r="C3756">
        <f>Sinistrés!X3761</f>
        <v>21484.2</v>
      </c>
      <c r="D3756">
        <f>Sinistrés!L3761</f>
        <v>54.13</v>
      </c>
      <c r="E3756">
        <f>Sinistrés!M3761</f>
        <v>54.13</v>
      </c>
      <c r="F3756">
        <f t="shared" si="116"/>
        <v>0.1944444645568438</v>
      </c>
      <c r="G3756">
        <f t="shared" si="117"/>
        <v>1</v>
      </c>
    </row>
    <row r="3757" spans="1:7" hidden="1">
      <c r="A3757" t="str">
        <f>Sinistrés!H3762</f>
        <v>Maïs grain non irrigué BIO</v>
      </c>
      <c r="B3757">
        <f>Sinistrés!J3762</f>
        <v>5272</v>
      </c>
      <c r="C3757">
        <f>Sinistrés!X3762</f>
        <v>0</v>
      </c>
      <c r="D3757">
        <f>Sinistrés!L3762</f>
        <v>6.59</v>
      </c>
      <c r="E3757">
        <f>Sinistrés!M3762</f>
        <v>6.59</v>
      </c>
      <c r="F3757">
        <f t="shared" si="116"/>
        <v>0</v>
      </c>
      <c r="G3757">
        <f t="shared" si="117"/>
        <v>1</v>
      </c>
    </row>
    <row r="3758" spans="1:7" hidden="1">
      <c r="A3758" t="str">
        <f>Sinistrés!H3763</f>
        <v>Tournesol</v>
      </c>
      <c r="B3758">
        <f>Sinistrés!J3763</f>
        <v>38447.4</v>
      </c>
      <c r="C3758">
        <f>Sinistrés!X3763</f>
        <v>0</v>
      </c>
      <c r="D3758">
        <f>Sinistrés!L3763</f>
        <v>34.75</v>
      </c>
      <c r="E3758">
        <f>Sinistrés!M3763</f>
        <v>34.75</v>
      </c>
      <c r="F3758">
        <f t="shared" si="116"/>
        <v>0</v>
      </c>
      <c r="G3758">
        <f t="shared" si="117"/>
        <v>1</v>
      </c>
    </row>
    <row r="3759" spans="1:7" hidden="1">
      <c r="A3759" t="str">
        <f>Sinistrés!H3764</f>
        <v>Maïs grain non irrigué</v>
      </c>
      <c r="B3759">
        <f>Sinistrés!J3764</f>
        <v>66233.97</v>
      </c>
      <c r="C3759">
        <f>Sinistrés!X3764</f>
        <v>0</v>
      </c>
      <c r="D3759">
        <f>Sinistrés!L3764</f>
        <v>38.450000000000003</v>
      </c>
      <c r="E3759">
        <f>Sinistrés!M3764</f>
        <v>38.450000000000003</v>
      </c>
      <c r="F3759">
        <f t="shared" si="116"/>
        <v>0</v>
      </c>
      <c r="G3759">
        <f t="shared" si="117"/>
        <v>1</v>
      </c>
    </row>
    <row r="3760" spans="1:7" hidden="1">
      <c r="A3760" t="str">
        <f>Sinistrés!H3765</f>
        <v>Tournesol</v>
      </c>
      <c r="B3760">
        <f>Sinistrés!J3765</f>
        <v>20939.310000000001</v>
      </c>
      <c r="C3760">
        <f>Sinistrés!X3765</f>
        <v>0</v>
      </c>
      <c r="D3760">
        <f>Sinistrés!L3765</f>
        <v>16.05</v>
      </c>
      <c r="E3760">
        <f>Sinistrés!M3765</f>
        <v>16.05</v>
      </c>
      <c r="F3760">
        <f t="shared" si="116"/>
        <v>0</v>
      </c>
      <c r="G3760">
        <f t="shared" si="117"/>
        <v>1</v>
      </c>
    </row>
    <row r="3761" spans="1:7">
      <c r="A3761" t="str">
        <f>Sinistrés!H3766</f>
        <v>Maïs ensilage non irrigué</v>
      </c>
      <c r="B3761">
        <f>Sinistrés!J3766</f>
        <v>8178.23</v>
      </c>
      <c r="C3761">
        <f>Sinistrés!X3766</f>
        <v>3027.42</v>
      </c>
      <c r="D3761">
        <f>Sinistrés!L3766</f>
        <v>5.0199999999999996</v>
      </c>
      <c r="E3761">
        <f>Sinistrés!M3766</f>
        <v>5.0199999999999996</v>
      </c>
      <c r="F3761">
        <f t="shared" si="116"/>
        <v>0.3701803446467023</v>
      </c>
      <c r="G3761">
        <f t="shared" si="117"/>
        <v>1</v>
      </c>
    </row>
    <row r="3762" spans="1:7">
      <c r="A3762" t="str">
        <f>Sinistrés!H3767</f>
        <v>Soja</v>
      </c>
      <c r="B3762">
        <f>Sinistrés!J3767</f>
        <v>10026.24</v>
      </c>
      <c r="C3762">
        <f>Sinistrés!X3767</f>
        <v>1266.05</v>
      </c>
      <c r="D3762">
        <f>Sinistrés!L3767</f>
        <v>8.4</v>
      </c>
      <c r="E3762">
        <f>Sinistrés!M3767</f>
        <v>8.4</v>
      </c>
      <c r="F3762">
        <f t="shared" si="116"/>
        <v>0.12627365792161369</v>
      </c>
      <c r="G3762">
        <f t="shared" si="117"/>
        <v>1</v>
      </c>
    </row>
    <row r="3763" spans="1:7" hidden="1">
      <c r="A3763" t="str">
        <f>Sinistrés!H3768</f>
        <v>Maïs grain irrigué</v>
      </c>
      <c r="B3763">
        <f>Sinistrés!J3768</f>
        <v>118522.44</v>
      </c>
      <c r="C3763">
        <f>Sinistrés!X3768</f>
        <v>0</v>
      </c>
      <c r="D3763">
        <f>Sinistrés!L3768</f>
        <v>46.6</v>
      </c>
      <c r="E3763">
        <f>Sinistrés!M3768</f>
        <v>46.5</v>
      </c>
      <c r="F3763">
        <f t="shared" si="116"/>
        <v>0</v>
      </c>
      <c r="G3763">
        <f t="shared" si="117"/>
        <v>0.99785407725321884</v>
      </c>
    </row>
    <row r="3764" spans="1:7" hidden="1">
      <c r="A3764" t="str">
        <f>Sinistrés!H3769</f>
        <v>Soja BIO</v>
      </c>
      <c r="B3764">
        <f>Sinistrés!J3769</f>
        <v>16289.91</v>
      </c>
      <c r="C3764">
        <f>Sinistrés!X3769</f>
        <v>0</v>
      </c>
      <c r="D3764">
        <f>Sinistrés!L3769</f>
        <v>8.4499999999999993</v>
      </c>
      <c r="E3764">
        <f>Sinistrés!M3769</f>
        <v>8.4499999999999993</v>
      </c>
      <c r="F3764">
        <f t="shared" si="116"/>
        <v>0</v>
      </c>
      <c r="G3764">
        <f t="shared" si="117"/>
        <v>1</v>
      </c>
    </row>
    <row r="3765" spans="1:7" hidden="1">
      <c r="A3765" t="str">
        <f>Sinistrés!H3770</f>
        <v>Tournesol BIO</v>
      </c>
      <c r="B3765">
        <f>Sinistrés!J3770</f>
        <v>33907.5</v>
      </c>
      <c r="C3765">
        <f>Sinistrés!X3770</f>
        <v>11319</v>
      </c>
      <c r="D3765">
        <f>Sinistrés!L3770</f>
        <v>34.25</v>
      </c>
      <c r="E3765">
        <f>Sinistrés!M3770</f>
        <v>34.25</v>
      </c>
      <c r="F3765">
        <f t="shared" si="116"/>
        <v>0.33381995133819953</v>
      </c>
      <c r="G3765">
        <f t="shared" si="117"/>
        <v>1</v>
      </c>
    </row>
    <row r="3766" spans="1:7" hidden="1">
      <c r="A3766" t="str">
        <f>Sinistrés!H3771</f>
        <v>Sorgho</v>
      </c>
      <c r="B3766">
        <f>Sinistrés!J3771</f>
        <v>1405.9</v>
      </c>
      <c r="C3766">
        <f>Sinistrés!X3771</f>
        <v>0</v>
      </c>
      <c r="D3766">
        <f>Sinistrés!L3771</f>
        <v>2.23</v>
      </c>
      <c r="E3766">
        <f>Sinistrés!M3771</f>
        <v>2.23</v>
      </c>
      <c r="F3766">
        <f t="shared" si="116"/>
        <v>0</v>
      </c>
      <c r="G3766">
        <f t="shared" si="117"/>
        <v>1</v>
      </c>
    </row>
    <row r="3767" spans="1:7" hidden="1">
      <c r="A3767" t="str">
        <f>Sinistrés!H3772</f>
        <v>Maïs grain non irrigué</v>
      </c>
      <c r="B3767">
        <f>Sinistrés!J3772</f>
        <v>13576.25</v>
      </c>
      <c r="C3767">
        <f>Sinistrés!X3772</f>
        <v>0</v>
      </c>
      <c r="D3767">
        <f>Sinistrés!L3772</f>
        <v>12.5</v>
      </c>
      <c r="E3767">
        <f>Sinistrés!M3772</f>
        <v>12.5</v>
      </c>
      <c r="F3767">
        <f t="shared" si="116"/>
        <v>0</v>
      </c>
      <c r="G3767">
        <f t="shared" si="117"/>
        <v>1</v>
      </c>
    </row>
    <row r="3768" spans="1:7">
      <c r="A3768" t="str">
        <f>Sinistrés!H3773</f>
        <v>Tournesol</v>
      </c>
      <c r="B3768">
        <f>Sinistrés!J3773</f>
        <v>30972</v>
      </c>
      <c r="C3768">
        <f>Sinistrés!X3773</f>
        <v>3161</v>
      </c>
      <c r="D3768">
        <f>Sinistrés!L3773</f>
        <v>29</v>
      </c>
      <c r="E3768">
        <f>Sinistrés!M3773</f>
        <v>29</v>
      </c>
      <c r="F3768">
        <f t="shared" si="116"/>
        <v>0.10205992509363296</v>
      </c>
      <c r="G3768">
        <f t="shared" si="117"/>
        <v>1</v>
      </c>
    </row>
    <row r="3769" spans="1:7" hidden="1">
      <c r="A3769" t="str">
        <f>Sinistrés!H3774</f>
        <v>Maïs grain irrigué SEMENCES FERTILES</v>
      </c>
      <c r="B3769">
        <f>Sinistrés!J3774</f>
        <v>156936</v>
      </c>
      <c r="C3769">
        <f>Sinistrés!X3774</f>
        <v>0</v>
      </c>
      <c r="D3769">
        <f>Sinistrés!L3774</f>
        <v>24</v>
      </c>
      <c r="E3769">
        <f>Sinistrés!M3774</f>
        <v>24</v>
      </c>
      <c r="F3769">
        <f t="shared" si="116"/>
        <v>0</v>
      </c>
      <c r="G3769">
        <f t="shared" si="117"/>
        <v>1</v>
      </c>
    </row>
    <row r="3770" spans="1:7" hidden="1">
      <c r="A3770" t="str">
        <f>Sinistrés!H3775</f>
        <v>Maïs waxy irrigué</v>
      </c>
      <c r="B3770">
        <f>Sinistrés!J3775</f>
        <v>7112.78</v>
      </c>
      <c r="C3770">
        <f>Sinistrés!X3775</f>
        <v>0</v>
      </c>
      <c r="D3770">
        <f>Sinistrés!L3775</f>
        <v>3.23</v>
      </c>
      <c r="E3770">
        <f>Sinistrés!M3775</f>
        <v>3.23</v>
      </c>
      <c r="F3770">
        <f t="shared" si="116"/>
        <v>0</v>
      </c>
      <c r="G3770">
        <f t="shared" si="117"/>
        <v>1</v>
      </c>
    </row>
    <row r="3771" spans="1:7" hidden="1">
      <c r="A3771" t="str">
        <f>Sinistrés!H3776</f>
        <v>Maïs waxy non irrigué</v>
      </c>
      <c r="B3771">
        <f>Sinistrés!J3776</f>
        <v>12041.14</v>
      </c>
      <c r="C3771">
        <f>Sinistrés!X3776</f>
        <v>0</v>
      </c>
      <c r="D3771">
        <f>Sinistrés!L3776</f>
        <v>6.52</v>
      </c>
      <c r="E3771">
        <f>Sinistrés!M3776</f>
        <v>6.52</v>
      </c>
      <c r="F3771">
        <f t="shared" si="116"/>
        <v>0</v>
      </c>
      <c r="G3771">
        <f t="shared" si="117"/>
        <v>1</v>
      </c>
    </row>
    <row r="3772" spans="1:7">
      <c r="A3772" t="str">
        <f>Sinistrés!H3777</f>
        <v>Tournesol</v>
      </c>
      <c r="B3772">
        <f>Sinistrés!J3777</f>
        <v>25070.5</v>
      </c>
      <c r="C3772">
        <f>Sinistrés!X3777</f>
        <v>9486.5</v>
      </c>
      <c r="D3772">
        <f>Sinistrés!L3777</f>
        <v>20.3</v>
      </c>
      <c r="E3772">
        <f>Sinistrés!M3777</f>
        <v>20.3</v>
      </c>
      <c r="F3772">
        <f t="shared" si="116"/>
        <v>0.37839293193195189</v>
      </c>
      <c r="G3772">
        <f t="shared" si="117"/>
        <v>1</v>
      </c>
    </row>
    <row r="3773" spans="1:7" hidden="1">
      <c r="A3773" t="str">
        <f>Sinistrés!H3778</f>
        <v>Sorgho</v>
      </c>
      <c r="B3773">
        <f>Sinistrés!J3778</f>
        <v>11825.6</v>
      </c>
      <c r="C3773">
        <f>Sinistrés!X3778</f>
        <v>0</v>
      </c>
      <c r="D3773">
        <f>Sinistrés!L3778</f>
        <v>11.69</v>
      </c>
      <c r="E3773">
        <f>Sinistrés!M3778</f>
        <v>11.69</v>
      </c>
      <c r="F3773">
        <f t="shared" si="116"/>
        <v>0</v>
      </c>
      <c r="G3773">
        <f t="shared" si="117"/>
        <v>1</v>
      </c>
    </row>
    <row r="3774" spans="1:7" hidden="1">
      <c r="A3774" t="str">
        <f>Sinistrés!H3779</f>
        <v>Maïs grain irrigué</v>
      </c>
      <c r="B3774">
        <f>Sinistrés!J3779</f>
        <v>68486.490000000005</v>
      </c>
      <c r="C3774">
        <f>Sinistrés!X3779</f>
        <v>0</v>
      </c>
      <c r="D3774">
        <f>Sinistrés!L3779</f>
        <v>26.96</v>
      </c>
      <c r="E3774">
        <f>Sinistrés!M3779</f>
        <v>26.96</v>
      </c>
      <c r="F3774">
        <f t="shared" si="116"/>
        <v>0</v>
      </c>
      <c r="G3774">
        <f t="shared" si="117"/>
        <v>1</v>
      </c>
    </row>
    <row r="3775" spans="1:7" hidden="1">
      <c r="A3775" t="str">
        <f>Sinistrés!H3780</f>
        <v>Maïs grain irrigué SEMENCES FERTILES</v>
      </c>
      <c r="B3775">
        <f>Sinistrés!J3780</f>
        <v>12285</v>
      </c>
      <c r="C3775">
        <f>Sinistrés!X3780</f>
        <v>0</v>
      </c>
      <c r="D3775">
        <f>Sinistrés!L3780</f>
        <v>3.15</v>
      </c>
      <c r="E3775">
        <f>Sinistrés!M3780</f>
        <v>3.15</v>
      </c>
      <c r="F3775">
        <f t="shared" si="116"/>
        <v>0</v>
      </c>
      <c r="G3775">
        <f t="shared" si="117"/>
        <v>1</v>
      </c>
    </row>
    <row r="3776" spans="1:7" hidden="1">
      <c r="A3776" t="str">
        <f>Sinistrés!H3781</f>
        <v>Sorgho SEMENCES</v>
      </c>
      <c r="B3776">
        <f>Sinistrés!J3781</f>
        <v>17409.7</v>
      </c>
      <c r="C3776">
        <f>Sinistrés!X3781</f>
        <v>0</v>
      </c>
      <c r="D3776">
        <f>Sinistrés!L3781</f>
        <v>10.78</v>
      </c>
      <c r="E3776">
        <f>Sinistrés!M3781</f>
        <v>10.78</v>
      </c>
      <c r="F3776">
        <f t="shared" si="116"/>
        <v>0</v>
      </c>
      <c r="G3776">
        <f t="shared" si="117"/>
        <v>1</v>
      </c>
    </row>
    <row r="3777" spans="1:7">
      <c r="A3777" t="str">
        <f>Sinistrés!H3782</f>
        <v>Maïs grain non irrigué</v>
      </c>
      <c r="B3777">
        <f>Sinistrés!J3782</f>
        <v>19743.75</v>
      </c>
      <c r="C3777">
        <f>Sinistrés!X3782</f>
        <v>7020</v>
      </c>
      <c r="D3777">
        <f>Sinistrés!L3782</f>
        <v>16.25</v>
      </c>
      <c r="E3777">
        <f>Sinistrés!M3782</f>
        <v>16.25</v>
      </c>
      <c r="F3777">
        <f t="shared" si="116"/>
        <v>0.35555555555555557</v>
      </c>
      <c r="G3777">
        <f t="shared" si="117"/>
        <v>1</v>
      </c>
    </row>
    <row r="3778" spans="1:7">
      <c r="A3778" t="str">
        <f>Sinistrés!H3783</f>
        <v>Tournesol</v>
      </c>
      <c r="B3778">
        <f>Sinistrés!J3783</f>
        <v>11919.25</v>
      </c>
      <c r="C3778">
        <f>Sinistrés!X3783</f>
        <v>125.47</v>
      </c>
      <c r="D3778">
        <f>Sinistrés!L3783</f>
        <v>11.34</v>
      </c>
      <c r="E3778">
        <f>Sinistrés!M3783</f>
        <v>11.34</v>
      </c>
      <c r="F3778">
        <f t="shared" si="116"/>
        <v>1.0526669043773727E-2</v>
      </c>
      <c r="G3778">
        <f t="shared" si="117"/>
        <v>1</v>
      </c>
    </row>
    <row r="3779" spans="1:7" hidden="1">
      <c r="A3779" t="str">
        <f>Sinistrés!H3784</f>
        <v>Maïs grain non irrigué</v>
      </c>
      <c r="B3779">
        <f>Sinistrés!J3784</f>
        <v>120003.91</v>
      </c>
      <c r="C3779">
        <f>Sinistrés!X3784</f>
        <v>0</v>
      </c>
      <c r="D3779">
        <f>Sinistrés!L3784</f>
        <v>66.61</v>
      </c>
      <c r="E3779">
        <f>Sinistrés!M3784</f>
        <v>66.61</v>
      </c>
      <c r="F3779">
        <f t="shared" ref="F3779:F3842" si="118">C3779/B3779</f>
        <v>0</v>
      </c>
      <c r="G3779">
        <f t="shared" ref="G3779:G3842" si="119">E3779/D3779</f>
        <v>1</v>
      </c>
    </row>
    <row r="3780" spans="1:7" hidden="1">
      <c r="A3780" t="str">
        <f>Sinistrés!H3785</f>
        <v>Maïs grain non irrigué</v>
      </c>
      <c r="B3780">
        <f>Sinistrés!J3785</f>
        <v>33761.800000000003</v>
      </c>
      <c r="C3780">
        <f>Sinistrés!X3785</f>
        <v>0</v>
      </c>
      <c r="D3780">
        <f>Sinistrés!L3785</f>
        <v>18.739999999999998</v>
      </c>
      <c r="E3780">
        <f>Sinistrés!M3785</f>
        <v>18.739999999999998</v>
      </c>
      <c r="F3780">
        <f t="shared" si="118"/>
        <v>0</v>
      </c>
      <c r="G3780">
        <f t="shared" si="119"/>
        <v>1</v>
      </c>
    </row>
    <row r="3781" spans="1:7" hidden="1">
      <c r="A3781" t="str">
        <f>Sinistrés!H3786</f>
        <v>Sorgho</v>
      </c>
      <c r="B3781">
        <f>Sinistrés!J3786</f>
        <v>4994.5</v>
      </c>
      <c r="C3781">
        <f>Sinistrés!X3786</f>
        <v>0</v>
      </c>
      <c r="D3781">
        <f>Sinistrés!L3786</f>
        <v>7.36</v>
      </c>
      <c r="E3781">
        <f>Sinistrés!M3786</f>
        <v>7.36</v>
      </c>
      <c r="F3781">
        <f t="shared" si="118"/>
        <v>0</v>
      </c>
      <c r="G3781">
        <f t="shared" si="119"/>
        <v>1</v>
      </c>
    </row>
    <row r="3782" spans="1:7" hidden="1">
      <c r="A3782" t="str">
        <f>Sinistrés!H3787</f>
        <v>Tournesol</v>
      </c>
      <c r="B3782">
        <f>Sinistrés!J3787</f>
        <v>18722.400000000001</v>
      </c>
      <c r="C3782">
        <f>Sinistrés!X3787</f>
        <v>0</v>
      </c>
      <c r="D3782">
        <f>Sinistrés!L3787</f>
        <v>16.14</v>
      </c>
      <c r="E3782">
        <f>Sinistrés!M3787</f>
        <v>16.14</v>
      </c>
      <c r="F3782">
        <f t="shared" si="118"/>
        <v>0</v>
      </c>
      <c r="G3782">
        <f t="shared" si="119"/>
        <v>1</v>
      </c>
    </row>
    <row r="3783" spans="1:7">
      <c r="A3783" t="str">
        <f>Sinistrés!H3788</f>
        <v>Tournesol</v>
      </c>
      <c r="B3783">
        <f>Sinistrés!J3788</f>
        <v>19267.599999999999</v>
      </c>
      <c r="C3783">
        <f>Sinistrés!X3788</f>
        <v>333</v>
      </c>
      <c r="D3783">
        <f>Sinistrés!L3788</f>
        <v>16.61</v>
      </c>
      <c r="E3783">
        <f>Sinistrés!M3788</f>
        <v>16.61</v>
      </c>
      <c r="F3783">
        <f t="shared" si="118"/>
        <v>1.7282899790321576E-2</v>
      </c>
      <c r="G3783">
        <f t="shared" si="119"/>
        <v>1</v>
      </c>
    </row>
    <row r="3784" spans="1:7" hidden="1">
      <c r="A3784" t="str">
        <f>Sinistrés!H3789</f>
        <v>Maïs grain irrigué</v>
      </c>
      <c r="B3784">
        <f>Sinistrés!J3789</f>
        <v>34404.44</v>
      </c>
      <c r="C3784">
        <f>Sinistrés!X3789</f>
        <v>0</v>
      </c>
      <c r="D3784">
        <f>Sinistrés!L3789</f>
        <v>15.61</v>
      </c>
      <c r="E3784">
        <f>Sinistrés!M3789</f>
        <v>15.61</v>
      </c>
      <c r="F3784">
        <f t="shared" si="118"/>
        <v>0</v>
      </c>
      <c r="G3784">
        <f t="shared" si="119"/>
        <v>1</v>
      </c>
    </row>
    <row r="3785" spans="1:7">
      <c r="A3785" t="str">
        <f>Sinistrés!H3790</f>
        <v>Maïs grain non irrigué</v>
      </c>
      <c r="B3785">
        <f>Sinistrés!J3790</f>
        <v>13285.63</v>
      </c>
      <c r="C3785">
        <f>Sinistrés!X3790</f>
        <v>165.66</v>
      </c>
      <c r="D3785">
        <f>Sinistrés!L3790</f>
        <v>12.5</v>
      </c>
      <c r="E3785">
        <f>Sinistrés!M3790</f>
        <v>7.89</v>
      </c>
      <c r="F3785">
        <f t="shared" si="118"/>
        <v>1.2469111363179616E-2</v>
      </c>
      <c r="G3785">
        <f t="shared" si="119"/>
        <v>0.63119999999999998</v>
      </c>
    </row>
    <row r="3786" spans="1:7">
      <c r="A3786" t="str">
        <f>Sinistrés!H3791</f>
        <v>Maïs pop corn irrigué</v>
      </c>
      <c r="B3786">
        <f>Sinistrés!J3791</f>
        <v>33669.11</v>
      </c>
      <c r="C3786">
        <f>Sinistrés!X3791</f>
        <v>16234.32</v>
      </c>
      <c r="D3786">
        <f>Sinistrés!L3791</f>
        <v>16.920000000000002</v>
      </c>
      <c r="E3786">
        <f>Sinistrés!M3791</f>
        <v>16.920000000000002</v>
      </c>
      <c r="F3786">
        <f t="shared" si="118"/>
        <v>0.48217253143905497</v>
      </c>
      <c r="G3786">
        <f t="shared" si="119"/>
        <v>1</v>
      </c>
    </row>
    <row r="3787" spans="1:7">
      <c r="A3787" t="str">
        <f>Sinistrés!H3792</f>
        <v>Maïs grain irrigué</v>
      </c>
      <c r="B3787">
        <f>Sinistrés!J3792</f>
        <v>21367.200000000001</v>
      </c>
      <c r="C3787">
        <f>Sinistrés!X3792</f>
        <v>2507.34</v>
      </c>
      <c r="D3787">
        <f>Sinistrés!L3792</f>
        <v>12</v>
      </c>
      <c r="E3787">
        <f>Sinistrés!M3792</f>
        <v>12</v>
      </c>
      <c r="F3787">
        <f t="shared" si="118"/>
        <v>0.11734527687296417</v>
      </c>
      <c r="G3787">
        <f t="shared" si="119"/>
        <v>1</v>
      </c>
    </row>
    <row r="3788" spans="1:7">
      <c r="A3788" t="str">
        <f>Sinistrés!H3793</f>
        <v>Maïs ensilage non irrigué</v>
      </c>
      <c r="B3788">
        <f>Sinistrés!J3793</f>
        <v>5998.5</v>
      </c>
      <c r="C3788">
        <f>Sinistrés!X3793</f>
        <v>916.55</v>
      </c>
      <c r="D3788">
        <f>Sinistrés!L3793</f>
        <v>4.6500000000000004</v>
      </c>
      <c r="E3788">
        <f>Sinistrés!M3793</f>
        <v>4.6500000000000004</v>
      </c>
      <c r="F3788">
        <f t="shared" si="118"/>
        <v>0.15279653246644995</v>
      </c>
      <c r="G3788">
        <f t="shared" si="119"/>
        <v>1</v>
      </c>
    </row>
    <row r="3789" spans="1:7" hidden="1">
      <c r="A3789" t="str">
        <f>Sinistrés!H3794</f>
        <v>Maïs waxy non irrigué</v>
      </c>
      <c r="B3789">
        <f>Sinistrés!J3794</f>
        <v>5460</v>
      </c>
      <c r="C3789">
        <f>Sinistrés!X3794</f>
        <v>0</v>
      </c>
      <c r="D3789">
        <f>Sinistrés!L3794</f>
        <v>4.2</v>
      </c>
      <c r="E3789">
        <f>Sinistrés!M3794</f>
        <v>4.2</v>
      </c>
      <c r="F3789">
        <f t="shared" si="118"/>
        <v>0</v>
      </c>
      <c r="G3789">
        <f t="shared" si="119"/>
        <v>1</v>
      </c>
    </row>
    <row r="3790" spans="1:7">
      <c r="A3790" t="str">
        <f>Sinistrés!H3795</f>
        <v>Maïs grain non irrigué</v>
      </c>
      <c r="B3790">
        <f>Sinistrés!J3795</f>
        <v>5720</v>
      </c>
      <c r="C3790">
        <f>Sinistrés!X3795</f>
        <v>720.72</v>
      </c>
      <c r="D3790">
        <f>Sinistrés!L3795</f>
        <v>4.4000000000000004</v>
      </c>
      <c r="E3790">
        <f>Sinistrés!M3795</f>
        <v>4.4000000000000004</v>
      </c>
      <c r="F3790">
        <f t="shared" si="118"/>
        <v>0.126</v>
      </c>
      <c r="G3790">
        <f t="shared" si="119"/>
        <v>1</v>
      </c>
    </row>
    <row r="3791" spans="1:7" hidden="1">
      <c r="A3791" t="str">
        <f>Sinistrés!H3796</f>
        <v>Maïs grain non irrigué</v>
      </c>
      <c r="B3791">
        <f>Sinistrés!J3796</f>
        <v>12945</v>
      </c>
      <c r="C3791">
        <f>Sinistrés!X3796</f>
        <v>0</v>
      </c>
      <c r="D3791">
        <f>Sinistrés!L3796</f>
        <v>10</v>
      </c>
      <c r="E3791">
        <f>Sinistrés!M3796</f>
        <v>10</v>
      </c>
      <c r="F3791">
        <f t="shared" si="118"/>
        <v>0</v>
      </c>
      <c r="G3791">
        <f t="shared" si="119"/>
        <v>1</v>
      </c>
    </row>
    <row r="3792" spans="1:7">
      <c r="A3792" t="str">
        <f>Sinistrés!H3797</f>
        <v>Maïs ensilage non irrigué</v>
      </c>
      <c r="B3792">
        <f>Sinistrés!J3797</f>
        <v>15556.62</v>
      </c>
      <c r="C3792">
        <f>Sinistrés!X3797</f>
        <v>5959.64</v>
      </c>
      <c r="D3792">
        <f>Sinistrés!L3797</f>
        <v>15.83</v>
      </c>
      <c r="E3792">
        <f>Sinistrés!M3797</f>
        <v>15.83</v>
      </c>
      <c r="F3792">
        <f t="shared" si="118"/>
        <v>0.38309349974480317</v>
      </c>
      <c r="G3792">
        <f t="shared" si="119"/>
        <v>1</v>
      </c>
    </row>
    <row r="3793" spans="1:7">
      <c r="A3793" t="str">
        <f>Sinistrés!H3798</f>
        <v>Maïs grain irrigué</v>
      </c>
      <c r="B3793">
        <f>Sinistrés!J3798</f>
        <v>158590.88</v>
      </c>
      <c r="C3793">
        <f>Sinistrés!X3798</f>
        <v>43160.65</v>
      </c>
      <c r="D3793">
        <f>Sinistrés!L3798</f>
        <v>63.64</v>
      </c>
      <c r="E3793">
        <f>Sinistrés!M3798</f>
        <v>63.64</v>
      </c>
      <c r="F3793">
        <f t="shared" si="118"/>
        <v>0.27215089543610577</v>
      </c>
      <c r="G3793">
        <f t="shared" si="119"/>
        <v>1</v>
      </c>
    </row>
    <row r="3794" spans="1:7" hidden="1">
      <c r="A3794" t="str">
        <f>Sinistrés!H3799</f>
        <v>Soja BIO</v>
      </c>
      <c r="B3794">
        <f>Sinistrés!J3799</f>
        <v>19577.099999999999</v>
      </c>
      <c r="C3794">
        <f>Sinistrés!X3799</f>
        <v>0</v>
      </c>
      <c r="D3794">
        <f>Sinistrés!L3799</f>
        <v>6.92</v>
      </c>
      <c r="E3794">
        <f>Sinistrés!M3799</f>
        <v>6.92</v>
      </c>
      <c r="F3794">
        <f t="shared" si="118"/>
        <v>0</v>
      </c>
      <c r="G3794">
        <f t="shared" si="119"/>
        <v>1</v>
      </c>
    </row>
    <row r="3795" spans="1:7" hidden="1">
      <c r="A3795" t="str">
        <f>Sinistrés!H3800</f>
        <v>Tournesol BIO</v>
      </c>
      <c r="B3795">
        <f>Sinistrés!J3800</f>
        <v>8568</v>
      </c>
      <c r="C3795">
        <f>Sinistrés!X3800</f>
        <v>0</v>
      </c>
      <c r="D3795">
        <f>Sinistrés!L3800</f>
        <v>7.14</v>
      </c>
      <c r="E3795">
        <f>Sinistrés!M3800</f>
        <v>7.14</v>
      </c>
      <c r="F3795">
        <f t="shared" si="118"/>
        <v>0</v>
      </c>
      <c r="G3795">
        <f t="shared" si="119"/>
        <v>1</v>
      </c>
    </row>
    <row r="3796" spans="1:7">
      <c r="A3796" t="str">
        <f>Sinistrés!H3801</f>
        <v>Maïs grain non irrigué</v>
      </c>
      <c r="B3796">
        <f>Sinistrés!J3801</f>
        <v>17253.84</v>
      </c>
      <c r="C3796">
        <f>Sinistrés!X3801</f>
        <v>746.81</v>
      </c>
      <c r="D3796">
        <f>Sinistrés!L3801</f>
        <v>21.46</v>
      </c>
      <c r="E3796">
        <f>Sinistrés!M3801</f>
        <v>21.46</v>
      </c>
      <c r="F3796">
        <f t="shared" si="118"/>
        <v>4.3283698005777263E-2</v>
      </c>
      <c r="G3796">
        <f t="shared" si="119"/>
        <v>1</v>
      </c>
    </row>
    <row r="3797" spans="1:7">
      <c r="A3797" t="str">
        <f>Sinistrés!H3802</f>
        <v>Maïs ensilage non irrigué</v>
      </c>
      <c r="B3797">
        <f>Sinistrés!J3802</f>
        <v>65158.94</v>
      </c>
      <c r="C3797">
        <f>Sinistrés!X3802</f>
        <v>4065.47</v>
      </c>
      <c r="D3797">
        <f>Sinistrés!L3802</f>
        <v>55.14</v>
      </c>
      <c r="E3797">
        <f>Sinistrés!M3802</f>
        <v>55.14</v>
      </c>
      <c r="F3797">
        <f t="shared" si="118"/>
        <v>6.2393126714461587E-2</v>
      </c>
      <c r="G3797">
        <f t="shared" si="119"/>
        <v>1</v>
      </c>
    </row>
    <row r="3798" spans="1:7" hidden="1">
      <c r="A3798" t="str">
        <f>Sinistrés!H3803</f>
        <v>Maïs grain irrigué</v>
      </c>
      <c r="B3798">
        <f>Sinistrés!J3803</f>
        <v>104114.82</v>
      </c>
      <c r="C3798">
        <f>Sinistrés!X3803</f>
        <v>0</v>
      </c>
      <c r="D3798">
        <f>Sinistrés!L3803</f>
        <v>46.49</v>
      </c>
      <c r="E3798">
        <f>Sinistrés!M3803</f>
        <v>46.48</v>
      </c>
      <c r="F3798">
        <f t="shared" si="118"/>
        <v>0</v>
      </c>
      <c r="G3798">
        <f t="shared" si="119"/>
        <v>0.99978489997848985</v>
      </c>
    </row>
    <row r="3799" spans="1:7" hidden="1">
      <c r="A3799" t="str">
        <f>Sinistrés!H3804</f>
        <v>Maïs waxy irrigué</v>
      </c>
      <c r="B3799">
        <f>Sinistrés!J3804</f>
        <v>23474.77</v>
      </c>
      <c r="C3799">
        <f>Sinistrés!X3804</f>
        <v>0</v>
      </c>
      <c r="D3799">
        <f>Sinistrés!L3804</f>
        <v>11.4</v>
      </c>
      <c r="E3799">
        <f>Sinistrés!M3804</f>
        <v>11.39</v>
      </c>
      <c r="F3799">
        <f t="shared" si="118"/>
        <v>0</v>
      </c>
      <c r="G3799">
        <f t="shared" si="119"/>
        <v>0.99912280701754386</v>
      </c>
    </row>
    <row r="3800" spans="1:7" hidden="1">
      <c r="A3800" t="str">
        <f>Sinistrés!H3805</f>
        <v>Maïs waxy non irrigué</v>
      </c>
      <c r="B3800">
        <f>Sinistrés!J3805</f>
        <v>94773.29</v>
      </c>
      <c r="C3800">
        <f>Sinistrés!X3805</f>
        <v>0</v>
      </c>
      <c r="D3800">
        <f>Sinistrés!L3805</f>
        <v>59.4</v>
      </c>
      <c r="E3800">
        <f>Sinistrés!M3805</f>
        <v>59.38</v>
      </c>
      <c r="F3800">
        <f t="shared" si="118"/>
        <v>0</v>
      </c>
      <c r="G3800">
        <f t="shared" si="119"/>
        <v>0.9996632996632997</v>
      </c>
    </row>
    <row r="3801" spans="1:7" hidden="1">
      <c r="A3801" t="str">
        <f>Sinistrés!H3806</f>
        <v>Maïs grain non irrigué</v>
      </c>
      <c r="B3801">
        <f>Sinistrés!J3806</f>
        <v>57920.59</v>
      </c>
      <c r="C3801">
        <f>Sinistrés!X3806</f>
        <v>0</v>
      </c>
      <c r="D3801">
        <f>Sinistrés!L3806</f>
        <v>36.119999999999997</v>
      </c>
      <c r="E3801">
        <f>Sinistrés!M3806</f>
        <v>36.11</v>
      </c>
      <c r="F3801">
        <f t="shared" si="118"/>
        <v>0</v>
      </c>
      <c r="G3801">
        <f t="shared" si="119"/>
        <v>0.99972314507198234</v>
      </c>
    </row>
    <row r="3802" spans="1:7">
      <c r="A3802" t="str">
        <f>Sinistrés!H3807</f>
        <v>Maïs grain non irrigué</v>
      </c>
      <c r="B3802">
        <f>Sinistrés!J3807</f>
        <v>15066.81</v>
      </c>
      <c r="C3802">
        <f>Sinistrés!X3807</f>
        <v>5022.2700000000004</v>
      </c>
      <c r="D3802">
        <f>Sinistrés!L3807</f>
        <v>8.01</v>
      </c>
      <c r="E3802">
        <f>Sinistrés!M3807</f>
        <v>8.01</v>
      </c>
      <c r="F3802">
        <f t="shared" si="118"/>
        <v>0.33333333333333337</v>
      </c>
      <c r="G3802">
        <f t="shared" si="119"/>
        <v>1</v>
      </c>
    </row>
    <row r="3803" spans="1:7" hidden="1">
      <c r="A3803" t="str">
        <f>Sinistrés!H3808</f>
        <v>Maïs grain irrigué</v>
      </c>
      <c r="B3803">
        <f>Sinistrés!J3808</f>
        <v>146616.99</v>
      </c>
      <c r="C3803">
        <f>Sinistrés!X3808</f>
        <v>0</v>
      </c>
      <c r="D3803">
        <f>Sinistrés!L3808</f>
        <v>68.98</v>
      </c>
      <c r="E3803">
        <f>Sinistrés!M3808</f>
        <v>68.8</v>
      </c>
      <c r="F3803">
        <f t="shared" si="118"/>
        <v>0</v>
      </c>
      <c r="G3803">
        <f t="shared" si="119"/>
        <v>0.9973905479849231</v>
      </c>
    </row>
    <row r="3804" spans="1:7">
      <c r="A3804" t="str">
        <f>Sinistrés!H3809</f>
        <v>Maïs grain non irrigué</v>
      </c>
      <c r="B3804">
        <f>Sinistrés!J3809</f>
        <v>68764.5</v>
      </c>
      <c r="C3804">
        <f>Sinistrés!X3809</f>
        <v>7886.55</v>
      </c>
      <c r="D3804">
        <f>Sinistrés!L3809</f>
        <v>51.8</v>
      </c>
      <c r="E3804">
        <f>Sinistrés!M3809</f>
        <v>51.8</v>
      </c>
      <c r="F3804">
        <f t="shared" si="118"/>
        <v>0.11468926553672316</v>
      </c>
      <c r="G3804">
        <f t="shared" si="119"/>
        <v>1</v>
      </c>
    </row>
    <row r="3805" spans="1:7" hidden="1">
      <c r="A3805" t="str">
        <f>Sinistrés!H3810</f>
        <v>Maïs grain non irrigué</v>
      </c>
      <c r="B3805">
        <f>Sinistrés!J3810</f>
        <v>16907.599999999999</v>
      </c>
      <c r="C3805">
        <f>Sinistrés!X3810</f>
        <v>0</v>
      </c>
      <c r="D3805">
        <f>Sinistrés!L3810</f>
        <v>10.75</v>
      </c>
      <c r="E3805">
        <f>Sinistrés!M3810</f>
        <v>5</v>
      </c>
      <c r="F3805">
        <f t="shared" si="118"/>
        <v>0</v>
      </c>
      <c r="G3805">
        <f t="shared" si="119"/>
        <v>0.46511627906976744</v>
      </c>
    </row>
    <row r="3806" spans="1:7" hidden="1">
      <c r="A3806" t="str">
        <f>Sinistrés!H3811</f>
        <v>Tournesol</v>
      </c>
      <c r="B3806">
        <f>Sinistrés!J3811</f>
        <v>52137.72</v>
      </c>
      <c r="C3806">
        <f>Sinistrés!X3811</f>
        <v>0</v>
      </c>
      <c r="D3806">
        <f>Sinistrés!L3811</f>
        <v>49.49</v>
      </c>
      <c r="E3806">
        <f>Sinistrés!M3811</f>
        <v>49.4</v>
      </c>
      <c r="F3806">
        <f t="shared" si="118"/>
        <v>0</v>
      </c>
      <c r="G3806">
        <f t="shared" si="119"/>
        <v>0.99818145079814102</v>
      </c>
    </row>
    <row r="3807" spans="1:7" hidden="1">
      <c r="A3807" t="str">
        <f>Sinistrés!H3812</f>
        <v>Maïs grain non irrigué</v>
      </c>
      <c r="B3807">
        <f>Sinistrés!J3812</f>
        <v>76692.56</v>
      </c>
      <c r="C3807">
        <f>Sinistrés!X3812</f>
        <v>0</v>
      </c>
      <c r="D3807">
        <f>Sinistrés!L3812</f>
        <v>38.11</v>
      </c>
      <c r="E3807">
        <f>Sinistrés!M3812</f>
        <v>38.11</v>
      </c>
      <c r="F3807">
        <f t="shared" si="118"/>
        <v>0</v>
      </c>
      <c r="G3807">
        <f t="shared" si="119"/>
        <v>1</v>
      </c>
    </row>
    <row r="3808" spans="1:7" hidden="1">
      <c r="A3808" t="str">
        <f>Sinistrés!H3813</f>
        <v>Maïs grain irrigué SEMENCES FERTILES</v>
      </c>
      <c r="B3808">
        <f>Sinistrés!J3813</f>
        <v>80316</v>
      </c>
      <c r="C3808">
        <f>Sinistrés!X3813</f>
        <v>0</v>
      </c>
      <c r="D3808">
        <f>Sinistrés!L3813</f>
        <v>19.399999999999999</v>
      </c>
      <c r="E3808">
        <f>Sinistrés!M3813</f>
        <v>19.399999999999999</v>
      </c>
      <c r="F3808">
        <f t="shared" si="118"/>
        <v>0</v>
      </c>
      <c r="G3808">
        <f t="shared" si="119"/>
        <v>1</v>
      </c>
    </row>
    <row r="3809" spans="1:7" hidden="1">
      <c r="A3809" t="str">
        <f>Sinistrés!H3814</f>
        <v>Tournesol</v>
      </c>
      <c r="B3809">
        <f>Sinistrés!J3814</f>
        <v>43523.87</v>
      </c>
      <c r="C3809">
        <f>Sinistrés!X3814</f>
        <v>0</v>
      </c>
      <c r="D3809">
        <f>Sinistrés!L3814</f>
        <v>58.3</v>
      </c>
      <c r="E3809">
        <f>Sinistrés!M3814</f>
        <v>58.3</v>
      </c>
      <c r="F3809">
        <f t="shared" si="118"/>
        <v>0</v>
      </c>
      <c r="G3809">
        <f t="shared" si="119"/>
        <v>1</v>
      </c>
    </row>
    <row r="3810" spans="1:7" hidden="1">
      <c r="A3810" t="str">
        <f>Sinistrés!H3815</f>
        <v>Maïs grain non irrigué</v>
      </c>
      <c r="B3810">
        <f>Sinistrés!J3815</f>
        <v>44730</v>
      </c>
      <c r="C3810">
        <f>Sinistrés!X3815</f>
        <v>0</v>
      </c>
      <c r="D3810">
        <f>Sinistrés!L3815</f>
        <v>36</v>
      </c>
      <c r="E3810">
        <f>Sinistrés!M3815</f>
        <v>36</v>
      </c>
      <c r="F3810">
        <f t="shared" si="118"/>
        <v>0</v>
      </c>
      <c r="G3810">
        <f t="shared" si="119"/>
        <v>1</v>
      </c>
    </row>
    <row r="3811" spans="1:7" hidden="1">
      <c r="A3811" t="str">
        <f>Sinistrés!H3816</f>
        <v>Tournesol</v>
      </c>
      <c r="B3811">
        <f>Sinistrés!J3816</f>
        <v>90097.5</v>
      </c>
      <c r="C3811">
        <f>Sinistrés!X3816</f>
        <v>0</v>
      </c>
      <c r="D3811">
        <f>Sinistrés!L3816</f>
        <v>82</v>
      </c>
      <c r="E3811">
        <f>Sinistrés!M3816</f>
        <v>82</v>
      </c>
      <c r="F3811">
        <f t="shared" si="118"/>
        <v>0</v>
      </c>
      <c r="G3811">
        <f t="shared" si="119"/>
        <v>1</v>
      </c>
    </row>
    <row r="3812" spans="1:7" hidden="1">
      <c r="A3812" t="str">
        <f>Sinistrés!H3817</f>
        <v>Maïs grain irrigué</v>
      </c>
      <c r="B3812">
        <f>Sinistrés!J3817</f>
        <v>33516</v>
      </c>
      <c r="C3812">
        <f>Sinistrés!X3817</f>
        <v>0</v>
      </c>
      <c r="D3812">
        <f>Sinistrés!L3817</f>
        <v>14.7</v>
      </c>
      <c r="E3812">
        <f>Sinistrés!M3817</f>
        <v>14.7</v>
      </c>
      <c r="F3812">
        <f t="shared" si="118"/>
        <v>0</v>
      </c>
      <c r="G3812">
        <f t="shared" si="119"/>
        <v>1</v>
      </c>
    </row>
    <row r="3813" spans="1:7" hidden="1">
      <c r="A3813" t="str">
        <f>Sinistrés!H3818</f>
        <v>Maïs pop corn irrigué</v>
      </c>
      <c r="B3813">
        <f>Sinistrés!J3818</f>
        <v>12750.1</v>
      </c>
      <c r="C3813">
        <f>Sinistrés!X3818</f>
        <v>0</v>
      </c>
      <c r="D3813">
        <f>Sinistrés!L3818</f>
        <v>6.7</v>
      </c>
      <c r="E3813">
        <f>Sinistrés!M3818</f>
        <v>6.7</v>
      </c>
      <c r="F3813">
        <f t="shared" si="118"/>
        <v>0</v>
      </c>
      <c r="G3813">
        <f t="shared" si="119"/>
        <v>1</v>
      </c>
    </row>
    <row r="3814" spans="1:7">
      <c r="A3814" t="str">
        <f>Sinistrés!H3819</f>
        <v>Maïs grain non irrigué</v>
      </c>
      <c r="B3814">
        <f>Sinistrés!J3819</f>
        <v>17122.919999999998</v>
      </c>
      <c r="C3814">
        <f>Sinistrés!X3819</f>
        <v>3062.26</v>
      </c>
      <c r="D3814">
        <f>Sinistrés!L3819</f>
        <v>9.74</v>
      </c>
      <c r="E3814">
        <f>Sinistrés!M3819</f>
        <v>9.74</v>
      </c>
      <c r="F3814">
        <f t="shared" si="118"/>
        <v>0.178839824048702</v>
      </c>
      <c r="G3814">
        <f t="shared" si="119"/>
        <v>1</v>
      </c>
    </row>
    <row r="3815" spans="1:7">
      <c r="A3815" t="str">
        <f>Sinistrés!H3820</f>
        <v>Tournesol</v>
      </c>
      <c r="B3815">
        <f>Sinistrés!J3820</f>
        <v>20795.39</v>
      </c>
      <c r="C3815">
        <f>Sinistrés!X3820</f>
        <v>1322.55</v>
      </c>
      <c r="D3815">
        <f>Sinistrés!L3820</f>
        <v>15.82</v>
      </c>
      <c r="E3815">
        <f>Sinistrés!M3820</f>
        <v>15.82</v>
      </c>
      <c r="F3815">
        <f t="shared" si="118"/>
        <v>6.3598230184670743E-2</v>
      </c>
      <c r="G3815">
        <f t="shared" si="119"/>
        <v>1</v>
      </c>
    </row>
    <row r="3816" spans="1:7">
      <c r="A3816" t="str">
        <f>Sinistrés!H3821</f>
        <v>Maïs ensilage non irrigué</v>
      </c>
      <c r="B3816">
        <f>Sinistrés!J3821</f>
        <v>42831.51</v>
      </c>
      <c r="C3816">
        <f>Sinistrés!X3821</f>
        <v>6201</v>
      </c>
      <c r="D3816">
        <f>Sinistrés!L3821</f>
        <v>30.97</v>
      </c>
      <c r="E3816">
        <f>Sinistrés!M3821</f>
        <v>30</v>
      </c>
      <c r="F3816">
        <f t="shared" si="118"/>
        <v>0.14477659087900471</v>
      </c>
      <c r="G3816">
        <f t="shared" si="119"/>
        <v>0.96867936712948022</v>
      </c>
    </row>
    <row r="3817" spans="1:7" hidden="1">
      <c r="A3817" t="str">
        <f>Sinistrés!H3822</f>
        <v>Maïs grain non irrigué</v>
      </c>
      <c r="B3817">
        <f>Sinistrés!J3822</f>
        <v>12645.67</v>
      </c>
      <c r="C3817">
        <f>Sinistrés!X3822</f>
        <v>0</v>
      </c>
      <c r="D3817">
        <f>Sinistrés!L3822</f>
        <v>6.71</v>
      </c>
      <c r="E3817">
        <f>Sinistrés!M3822</f>
        <v>6.71</v>
      </c>
      <c r="F3817">
        <f t="shared" si="118"/>
        <v>0</v>
      </c>
      <c r="G3817">
        <f t="shared" si="119"/>
        <v>1</v>
      </c>
    </row>
    <row r="3818" spans="1:7" hidden="1">
      <c r="A3818" t="str">
        <f>Sinistrés!H3823</f>
        <v>Orge de printemps</v>
      </c>
      <c r="B3818">
        <f>Sinistrés!J3823</f>
        <v>18403.84</v>
      </c>
      <c r="C3818">
        <f>Sinistrés!X3823</f>
        <v>0</v>
      </c>
      <c r="D3818">
        <f>Sinistrés!L3823</f>
        <v>20.8</v>
      </c>
      <c r="E3818">
        <f>Sinistrés!M3823</f>
        <v>20.8</v>
      </c>
      <c r="F3818">
        <f t="shared" si="118"/>
        <v>0</v>
      </c>
      <c r="G3818">
        <f t="shared" si="119"/>
        <v>1</v>
      </c>
    </row>
    <row r="3819" spans="1:7">
      <c r="A3819" t="str">
        <f>Sinistrés!H3824</f>
        <v>Tournesol</v>
      </c>
      <c r="B3819">
        <f>Sinistrés!J3824</f>
        <v>20014.560000000001</v>
      </c>
      <c r="C3819">
        <f>Sinistrés!X3824</f>
        <v>3949.78</v>
      </c>
      <c r="D3819">
        <f>Sinistrés!L3824</f>
        <v>19.68</v>
      </c>
      <c r="E3819">
        <f>Sinistrés!M3824</f>
        <v>19.670000000000002</v>
      </c>
      <c r="F3819">
        <f t="shared" si="118"/>
        <v>0.19734533259786874</v>
      </c>
      <c r="G3819">
        <f t="shared" si="119"/>
        <v>0.99949186991869932</v>
      </c>
    </row>
    <row r="3820" spans="1:7">
      <c r="A3820" t="str">
        <f>Sinistrés!H3825</f>
        <v>Maïs grain non irrigué</v>
      </c>
      <c r="B3820">
        <f>Sinistrés!J3825</f>
        <v>9589.6299999999992</v>
      </c>
      <c r="C3820">
        <f>Sinistrés!X3825</f>
        <v>978.6</v>
      </c>
      <c r="D3820">
        <f>Sinistrés!L3825</f>
        <v>6.87</v>
      </c>
      <c r="E3820">
        <f>Sinistrés!M3825</f>
        <v>6.87</v>
      </c>
      <c r="F3820">
        <f t="shared" si="118"/>
        <v>0.10204773281138063</v>
      </c>
      <c r="G3820">
        <f t="shared" si="119"/>
        <v>1</v>
      </c>
    </row>
    <row r="3821" spans="1:7">
      <c r="A3821" t="str">
        <f>Sinistrés!H3826</f>
        <v>Maïs grain non irrigué</v>
      </c>
      <c r="B3821">
        <f>Sinistrés!J3826</f>
        <v>10498.29</v>
      </c>
      <c r="C3821">
        <f>Sinistrés!X3826</f>
        <v>2378.4299999999998</v>
      </c>
      <c r="D3821">
        <f>Sinistrés!L3826</f>
        <v>6.14</v>
      </c>
      <c r="E3821">
        <f>Sinistrés!M3826</f>
        <v>6.14</v>
      </c>
      <c r="F3821">
        <f t="shared" si="118"/>
        <v>0.22655403880060462</v>
      </c>
      <c r="G3821">
        <f t="shared" si="119"/>
        <v>1</v>
      </c>
    </row>
    <row r="3822" spans="1:7" hidden="1">
      <c r="A3822" t="str">
        <f>Sinistrés!H3827</f>
        <v>Soja</v>
      </c>
      <c r="B3822">
        <f>Sinistrés!J3827</f>
        <v>18795.2</v>
      </c>
      <c r="C3822">
        <f>Sinistrés!X3827</f>
        <v>0</v>
      </c>
      <c r="D3822">
        <f>Sinistrés!L3827</f>
        <v>14.48</v>
      </c>
      <c r="E3822">
        <f>Sinistrés!M3827</f>
        <v>14.48</v>
      </c>
      <c r="F3822">
        <f t="shared" si="118"/>
        <v>0</v>
      </c>
      <c r="G3822">
        <f t="shared" si="119"/>
        <v>1</v>
      </c>
    </row>
    <row r="3823" spans="1:7">
      <c r="A3823" t="str">
        <f>Sinistrés!H3828</f>
        <v>Maïs grain non irrigué</v>
      </c>
      <c r="B3823">
        <f>Sinistrés!J3828</f>
        <v>43642.29</v>
      </c>
      <c r="C3823">
        <f>Sinistrés!X3828</f>
        <v>4564.6000000000004</v>
      </c>
      <c r="D3823">
        <f>Sinistrés!L3828</f>
        <v>23.35</v>
      </c>
      <c r="E3823">
        <f>Sinistrés!M3828</f>
        <v>23.35</v>
      </c>
      <c r="F3823">
        <f t="shared" si="118"/>
        <v>0.10459121187270422</v>
      </c>
      <c r="G3823">
        <f t="shared" si="119"/>
        <v>1</v>
      </c>
    </row>
    <row r="3824" spans="1:7" hidden="1">
      <c r="A3824" t="str">
        <f>Sinistrés!H3829</f>
        <v>Maïs grain non irrigué</v>
      </c>
      <c r="B3824">
        <f>Sinistrés!J3829</f>
        <v>10967.57</v>
      </c>
      <c r="C3824">
        <f>Sinistrés!X3829</f>
        <v>0</v>
      </c>
      <c r="D3824">
        <f>Sinistrés!L3829</f>
        <v>5.08</v>
      </c>
      <c r="E3824">
        <f>Sinistrés!M3829</f>
        <v>5.08</v>
      </c>
      <c r="F3824">
        <f t="shared" si="118"/>
        <v>0</v>
      </c>
      <c r="G3824">
        <f t="shared" si="119"/>
        <v>1</v>
      </c>
    </row>
    <row r="3825" spans="1:7" hidden="1">
      <c r="A3825" t="str">
        <f>Sinistrés!H3830</f>
        <v>Maïs waxy non irrigué</v>
      </c>
      <c r="B3825">
        <f>Sinistrés!J3830</f>
        <v>18231.07</v>
      </c>
      <c r="C3825">
        <f>Sinistrés!X3830</f>
        <v>0</v>
      </c>
      <c r="D3825">
        <f>Sinistrés!L3830</f>
        <v>7.93</v>
      </c>
      <c r="E3825">
        <f>Sinistrés!M3830</f>
        <v>7.93</v>
      </c>
      <c r="F3825">
        <f t="shared" si="118"/>
        <v>0</v>
      </c>
      <c r="G3825">
        <f t="shared" si="119"/>
        <v>1</v>
      </c>
    </row>
    <row r="3826" spans="1:7" hidden="1">
      <c r="A3826" t="str">
        <f>Sinistrés!H3831</f>
        <v>Soja</v>
      </c>
      <c r="B3826">
        <f>Sinistrés!J3831</f>
        <v>33994.370000000003</v>
      </c>
      <c r="C3826">
        <f>Sinistrés!X3831</f>
        <v>0</v>
      </c>
      <c r="D3826">
        <f>Sinistrés!L3831</f>
        <v>25.66</v>
      </c>
      <c r="E3826">
        <f>Sinistrés!M3831</f>
        <v>25.66</v>
      </c>
      <c r="F3826">
        <f t="shared" si="118"/>
        <v>0</v>
      </c>
      <c r="G3826">
        <f t="shared" si="119"/>
        <v>1</v>
      </c>
    </row>
    <row r="3827" spans="1:7" hidden="1">
      <c r="A3827" t="str">
        <f>Sinistrés!H3832</f>
        <v>Maïs waxy irrigué</v>
      </c>
      <c r="B3827">
        <f>Sinistrés!J3832</f>
        <v>81171.19</v>
      </c>
      <c r="C3827">
        <f>Sinistrés!X3832</f>
        <v>0</v>
      </c>
      <c r="D3827">
        <f>Sinistrés!L3832</f>
        <v>32.83</v>
      </c>
      <c r="E3827">
        <f>Sinistrés!M3832</f>
        <v>32.83</v>
      </c>
      <c r="F3827">
        <f t="shared" si="118"/>
        <v>0</v>
      </c>
      <c r="G3827">
        <f t="shared" si="119"/>
        <v>1</v>
      </c>
    </row>
    <row r="3828" spans="1:7" hidden="1">
      <c r="A3828" t="str">
        <f>Sinistrés!H3833</f>
        <v>Maïs grain irrigué</v>
      </c>
      <c r="B3828">
        <f>Sinistrés!J3833</f>
        <v>34552.300000000003</v>
      </c>
      <c r="C3828">
        <f>Sinistrés!X3833</f>
        <v>0</v>
      </c>
      <c r="D3828">
        <f>Sinistrés!L3833</f>
        <v>12.62</v>
      </c>
      <c r="E3828">
        <f>Sinistrés!M3833</f>
        <v>12.62</v>
      </c>
      <c r="F3828">
        <f t="shared" si="118"/>
        <v>0</v>
      </c>
      <c r="G3828">
        <f t="shared" si="119"/>
        <v>1</v>
      </c>
    </row>
    <row r="3829" spans="1:7">
      <c r="A3829" t="str">
        <f>Sinistrés!H3834</f>
        <v>Maïs grain irrigué</v>
      </c>
      <c r="B3829">
        <f>Sinistrés!J3834</f>
        <v>51075.18</v>
      </c>
      <c r="C3829">
        <f>Sinistrés!X3834</f>
        <v>11194.64</v>
      </c>
      <c r="D3829">
        <f>Sinistrés!L3834</f>
        <v>26.91</v>
      </c>
      <c r="E3829">
        <f>Sinistrés!M3834</f>
        <v>26.91</v>
      </c>
      <c r="F3829">
        <f t="shared" si="118"/>
        <v>0.21917964851029403</v>
      </c>
      <c r="G3829">
        <f t="shared" si="119"/>
        <v>1</v>
      </c>
    </row>
    <row r="3830" spans="1:7">
      <c r="A3830" t="str">
        <f>Sinistrés!H3835</f>
        <v>Maïs grain non irrigué</v>
      </c>
      <c r="B3830">
        <f>Sinistrés!J3835</f>
        <v>54206.400000000001</v>
      </c>
      <c r="C3830">
        <f>Sinistrés!X3835</f>
        <v>14144.64</v>
      </c>
      <c r="D3830">
        <f>Sinistrés!L3835</f>
        <v>39.28</v>
      </c>
      <c r="E3830">
        <f>Sinistrés!M3835</f>
        <v>39.28</v>
      </c>
      <c r="F3830">
        <f t="shared" si="118"/>
        <v>0.26094040556096693</v>
      </c>
      <c r="G3830">
        <f t="shared" si="119"/>
        <v>1</v>
      </c>
    </row>
    <row r="3831" spans="1:7">
      <c r="A3831" t="str">
        <f>Sinistrés!H3836</f>
        <v>Tournesol</v>
      </c>
      <c r="B3831">
        <f>Sinistrés!J3836</f>
        <v>70994.28</v>
      </c>
      <c r="C3831">
        <f>Sinistrés!X3836</f>
        <v>7672.48</v>
      </c>
      <c r="D3831">
        <f>Sinistrés!L3836</f>
        <v>56.85</v>
      </c>
      <c r="E3831">
        <f>Sinistrés!M3836</f>
        <v>56.85</v>
      </c>
      <c r="F3831">
        <f t="shared" si="118"/>
        <v>0.10807180522149108</v>
      </c>
      <c r="G3831">
        <f t="shared" si="119"/>
        <v>1</v>
      </c>
    </row>
    <row r="3832" spans="1:7" hidden="1">
      <c r="A3832" t="str">
        <f>Sinistrés!H3837</f>
        <v>Maïs grain irrigué</v>
      </c>
      <c r="B3832">
        <f>Sinistrés!J3837</f>
        <v>96496.92</v>
      </c>
      <c r="C3832">
        <f>Sinistrés!X3837</f>
        <v>0</v>
      </c>
      <c r="D3832">
        <f>Sinistrés!L3837</f>
        <v>45.82</v>
      </c>
      <c r="E3832">
        <f>Sinistrés!M3837</f>
        <v>45.82</v>
      </c>
      <c r="F3832">
        <f t="shared" si="118"/>
        <v>0</v>
      </c>
      <c r="G3832">
        <f t="shared" si="119"/>
        <v>1</v>
      </c>
    </row>
    <row r="3833" spans="1:7">
      <c r="A3833" t="str">
        <f>Sinistrés!H3838</f>
        <v>Maïs grain non irrigué</v>
      </c>
      <c r="B3833">
        <f>Sinistrés!J3838</f>
        <v>49623.519999999997</v>
      </c>
      <c r="C3833">
        <f>Sinistrés!X3838</f>
        <v>14872.06</v>
      </c>
      <c r="D3833">
        <f>Sinistrés!L3838</f>
        <v>37.479999999999997</v>
      </c>
      <c r="E3833">
        <f>Sinistrés!M3838</f>
        <v>37.479999999999997</v>
      </c>
      <c r="F3833">
        <f t="shared" si="118"/>
        <v>0.29969780458943662</v>
      </c>
      <c r="G3833">
        <f t="shared" si="119"/>
        <v>1</v>
      </c>
    </row>
    <row r="3834" spans="1:7">
      <c r="A3834" t="str">
        <f>Sinistrés!H3839</f>
        <v>Maïs grain non irrigué</v>
      </c>
      <c r="B3834">
        <f>Sinistrés!J3839</f>
        <v>220594.38</v>
      </c>
      <c r="C3834">
        <f>Sinistrés!X3839</f>
        <v>55916.21</v>
      </c>
      <c r="D3834">
        <f>Sinistrés!L3839</f>
        <v>94.03</v>
      </c>
      <c r="E3834">
        <f>Sinistrés!M3839</f>
        <v>94.03</v>
      </c>
      <c r="F3834">
        <f t="shared" si="118"/>
        <v>0.25347975773453518</v>
      </c>
      <c r="G3834">
        <f t="shared" si="119"/>
        <v>1</v>
      </c>
    </row>
    <row r="3835" spans="1:7">
      <c r="A3835" t="str">
        <f>Sinistrés!H3840</f>
        <v>Maïs grain non irrigué</v>
      </c>
      <c r="B3835">
        <f>Sinistrés!J3840</f>
        <v>26965.3</v>
      </c>
      <c r="C3835">
        <f>Sinistrés!X3840</f>
        <v>11233.28</v>
      </c>
      <c r="D3835">
        <f>Sinistrés!L3840</f>
        <v>18.82</v>
      </c>
      <c r="E3835">
        <f>Sinistrés!M3840</f>
        <v>18.809999999999999</v>
      </c>
      <c r="F3835">
        <f t="shared" si="118"/>
        <v>0.4165827934419421</v>
      </c>
      <c r="G3835">
        <f t="shared" si="119"/>
        <v>0.99946865037194466</v>
      </c>
    </row>
    <row r="3836" spans="1:7">
      <c r="A3836" t="str">
        <f>Sinistrés!H3841</f>
        <v>Orge de printemps</v>
      </c>
      <c r="B3836">
        <f>Sinistrés!J3841</f>
        <v>468270</v>
      </c>
      <c r="C3836">
        <f>Sinistrés!X3841</f>
        <v>242563.86</v>
      </c>
      <c r="D3836">
        <f>Sinistrés!L3841</f>
        <v>363</v>
      </c>
      <c r="E3836">
        <f>Sinistrés!M3841</f>
        <v>363</v>
      </c>
      <c r="F3836">
        <f t="shared" si="118"/>
        <v>0.51800000000000002</v>
      </c>
      <c r="G3836">
        <f t="shared" si="119"/>
        <v>1</v>
      </c>
    </row>
    <row r="3837" spans="1:7" hidden="1">
      <c r="A3837" t="str">
        <f>Sinistrés!H3842</f>
        <v>Colza de printemps</v>
      </c>
      <c r="B3837">
        <f>Sinistrés!J3842</f>
        <v>22500</v>
      </c>
      <c r="C3837">
        <f>Sinistrés!X3842</f>
        <v>0</v>
      </c>
      <c r="D3837">
        <f>Sinistrés!L3842</f>
        <v>30</v>
      </c>
      <c r="E3837">
        <f>Sinistrés!M3842</f>
        <v>30</v>
      </c>
      <c r="F3837">
        <f t="shared" si="118"/>
        <v>0</v>
      </c>
      <c r="G3837">
        <f t="shared" si="119"/>
        <v>1</v>
      </c>
    </row>
    <row r="3838" spans="1:7" hidden="1">
      <c r="A3838" t="str">
        <f>Sinistrés!H3843</f>
        <v>Tournesol</v>
      </c>
      <c r="B3838">
        <f>Sinistrés!J3843</f>
        <v>57063.92</v>
      </c>
      <c r="C3838">
        <f>Sinistrés!X3843</f>
        <v>0</v>
      </c>
      <c r="D3838">
        <f>Sinistrés!L3843</f>
        <v>67.34</v>
      </c>
      <c r="E3838">
        <f>Sinistrés!M3843</f>
        <v>67.33</v>
      </c>
      <c r="F3838">
        <f t="shared" si="118"/>
        <v>0</v>
      </c>
      <c r="G3838">
        <f t="shared" si="119"/>
        <v>0.99985149985149979</v>
      </c>
    </row>
    <row r="3839" spans="1:7" hidden="1">
      <c r="A3839" t="str">
        <f>Sinistrés!H3844</f>
        <v>Maïs grain non irrigué</v>
      </c>
      <c r="B3839">
        <f>Sinistrés!J3844</f>
        <v>12760.38</v>
      </c>
      <c r="C3839">
        <f>Sinistrés!X3844</f>
        <v>0</v>
      </c>
      <c r="D3839">
        <f>Sinistrés!L3844</f>
        <v>9.11</v>
      </c>
      <c r="E3839">
        <f>Sinistrés!M3844</f>
        <v>9.11</v>
      </c>
      <c r="F3839">
        <f t="shared" si="118"/>
        <v>0</v>
      </c>
      <c r="G3839">
        <f t="shared" si="119"/>
        <v>1</v>
      </c>
    </row>
    <row r="3840" spans="1:7">
      <c r="A3840" t="str">
        <f>Sinistrés!H3845</f>
        <v>Maïs grain non irrigué</v>
      </c>
      <c r="B3840">
        <f>Sinistrés!J3845</f>
        <v>35884.800000000003</v>
      </c>
      <c r="C3840">
        <f>Sinistrés!X3845</f>
        <v>5428.8</v>
      </c>
      <c r="D3840">
        <f>Sinistrés!L3845</f>
        <v>36</v>
      </c>
      <c r="E3840">
        <f>Sinistrés!M3845</f>
        <v>36</v>
      </c>
      <c r="F3840">
        <f t="shared" si="118"/>
        <v>0.15128410914927767</v>
      </c>
      <c r="G3840">
        <f t="shared" si="119"/>
        <v>1</v>
      </c>
    </row>
    <row r="3841" spans="1:7" hidden="1">
      <c r="A3841" t="str">
        <f>Sinistrés!H3846</f>
        <v>Maïs grain irrigué</v>
      </c>
      <c r="B3841">
        <f>Sinistrés!J3846</f>
        <v>42120</v>
      </c>
      <c r="C3841">
        <f>Sinistrés!X3846</f>
        <v>0</v>
      </c>
      <c r="D3841">
        <f>Sinistrés!L3846</f>
        <v>22.5</v>
      </c>
      <c r="E3841">
        <f>Sinistrés!M3846</f>
        <v>22.5</v>
      </c>
      <c r="F3841">
        <f t="shared" si="118"/>
        <v>0</v>
      </c>
      <c r="G3841">
        <f t="shared" si="119"/>
        <v>1</v>
      </c>
    </row>
    <row r="3842" spans="1:7" hidden="1">
      <c r="A3842" t="str">
        <f>Sinistrés!H3847</f>
        <v>Tournesol</v>
      </c>
      <c r="B3842">
        <f>Sinistrés!J3847</f>
        <v>24286.5</v>
      </c>
      <c r="C3842">
        <f>Sinistrés!X3847</f>
        <v>0</v>
      </c>
      <c r="D3842">
        <f>Sinistrés!L3847</f>
        <v>27</v>
      </c>
      <c r="E3842">
        <f>Sinistrés!M3847</f>
        <v>27</v>
      </c>
      <c r="F3842">
        <f t="shared" si="118"/>
        <v>0</v>
      </c>
      <c r="G3842">
        <f t="shared" si="119"/>
        <v>1</v>
      </c>
    </row>
    <row r="3843" spans="1:7">
      <c r="A3843" t="str">
        <f>Sinistrés!H3848</f>
        <v>Maïs ensilage non irrigué</v>
      </c>
      <c r="B3843">
        <f>Sinistrés!J3848</f>
        <v>66148.289999999994</v>
      </c>
      <c r="C3843">
        <f>Sinistrés!X3848</f>
        <v>17566.05</v>
      </c>
      <c r="D3843">
        <f>Sinistrés!L3848</f>
        <v>43.49</v>
      </c>
      <c r="E3843">
        <f>Sinistrés!M3848</f>
        <v>43.49</v>
      </c>
      <c r="F3843">
        <f t="shared" ref="F3843:F3906" si="120">C3843/B3843</f>
        <v>0.26555561753750551</v>
      </c>
      <c r="G3843">
        <f t="shared" ref="G3843:G3906" si="121">E3843/D3843</f>
        <v>1</v>
      </c>
    </row>
    <row r="3844" spans="1:7" hidden="1">
      <c r="A3844" t="str">
        <f>Sinistrés!H3849</f>
        <v>Maïs grain irrigué</v>
      </c>
      <c r="B3844">
        <f>Sinistrés!J3849</f>
        <v>25070.1</v>
      </c>
      <c r="C3844">
        <f>Sinistrés!X3849</f>
        <v>0</v>
      </c>
      <c r="D3844">
        <f>Sinistrés!L3849</f>
        <v>14.2</v>
      </c>
      <c r="E3844">
        <f>Sinistrés!M3849</f>
        <v>14.2</v>
      </c>
      <c r="F3844">
        <f t="shared" si="120"/>
        <v>0</v>
      </c>
      <c r="G3844">
        <f t="shared" si="121"/>
        <v>1</v>
      </c>
    </row>
    <row r="3845" spans="1:7" hidden="1">
      <c r="A3845" t="str">
        <f>Sinistrés!H3850</f>
        <v>Maïs grain non irrigué</v>
      </c>
      <c r="B3845">
        <f>Sinistrés!J3850</f>
        <v>25107.72</v>
      </c>
      <c r="C3845">
        <f>Sinistrés!X3850</f>
        <v>0</v>
      </c>
      <c r="D3845">
        <f>Sinistrés!L3850</f>
        <v>16.54</v>
      </c>
      <c r="E3845">
        <f>Sinistrés!M3850</f>
        <v>16.54</v>
      </c>
      <c r="F3845">
        <f t="shared" si="120"/>
        <v>0</v>
      </c>
      <c r="G3845">
        <f t="shared" si="121"/>
        <v>1</v>
      </c>
    </row>
    <row r="3846" spans="1:7" hidden="1">
      <c r="A3846" t="str">
        <f>Sinistrés!H3851</f>
        <v>Tournesol</v>
      </c>
      <c r="B3846">
        <f>Sinistrés!J3851</f>
        <v>18973.68</v>
      </c>
      <c r="C3846">
        <f>Sinistrés!X3851</f>
        <v>0</v>
      </c>
      <c r="D3846">
        <f>Sinistrés!L3851</f>
        <v>10.119999999999999</v>
      </c>
      <c r="E3846">
        <f>Sinistrés!M3851</f>
        <v>10.119999999999999</v>
      </c>
      <c r="F3846">
        <f t="shared" si="120"/>
        <v>0</v>
      </c>
      <c r="G3846">
        <f t="shared" si="121"/>
        <v>1</v>
      </c>
    </row>
    <row r="3847" spans="1:7" hidden="1">
      <c r="A3847" t="str">
        <f>Sinistrés!H3852</f>
        <v>Maïs grain non irrigué</v>
      </c>
      <c r="B3847">
        <f>Sinistrés!J3852</f>
        <v>22456.1</v>
      </c>
      <c r="C3847">
        <f>Sinistrés!X3852</f>
        <v>0</v>
      </c>
      <c r="D3847">
        <f>Sinistrés!L3852</f>
        <v>11.15</v>
      </c>
      <c r="E3847">
        <f>Sinistrés!M3852</f>
        <v>11.15</v>
      </c>
      <c r="F3847">
        <f t="shared" si="120"/>
        <v>0</v>
      </c>
      <c r="G3847">
        <f t="shared" si="121"/>
        <v>1</v>
      </c>
    </row>
    <row r="3848" spans="1:7" hidden="1">
      <c r="A3848" t="str">
        <f>Sinistrés!H3853</f>
        <v>Maïs waxy non irrigué</v>
      </c>
      <c r="B3848">
        <f>Sinistrés!J3853</f>
        <v>71658.12</v>
      </c>
      <c r="C3848">
        <f>Sinistrés!X3853</f>
        <v>0</v>
      </c>
      <c r="D3848">
        <f>Sinistrés!L3853</f>
        <v>35.58</v>
      </c>
      <c r="E3848">
        <f>Sinistrés!M3853</f>
        <v>35.58</v>
      </c>
      <c r="F3848">
        <f t="shared" si="120"/>
        <v>0</v>
      </c>
      <c r="G3848">
        <f t="shared" si="121"/>
        <v>1</v>
      </c>
    </row>
    <row r="3849" spans="1:7">
      <c r="A3849" t="str">
        <f>Sinistrés!H3854</f>
        <v>Soja</v>
      </c>
      <c r="B3849">
        <f>Sinistrés!J3854</f>
        <v>16083.9</v>
      </c>
      <c r="C3849">
        <f>Sinistrés!X3854</f>
        <v>7398.59</v>
      </c>
      <c r="D3849">
        <f>Sinistrés!L3854</f>
        <v>11.1</v>
      </c>
      <c r="E3849">
        <f>Sinistrés!M3854</f>
        <v>11.1</v>
      </c>
      <c r="F3849">
        <f t="shared" si="120"/>
        <v>0.45999975130409915</v>
      </c>
      <c r="G3849">
        <f t="shared" si="121"/>
        <v>1</v>
      </c>
    </row>
    <row r="3850" spans="1:7" hidden="1">
      <c r="A3850" t="str">
        <f>Sinistrés!H3855</f>
        <v>Tournesol</v>
      </c>
      <c r="B3850">
        <f>Sinistrés!J3855</f>
        <v>101204.55</v>
      </c>
      <c r="C3850">
        <f>Sinistrés!X3855</f>
        <v>0</v>
      </c>
      <c r="D3850">
        <f>Sinistrés!L3855</f>
        <v>84.69</v>
      </c>
      <c r="E3850">
        <f>Sinistrés!M3855</f>
        <v>84.69</v>
      </c>
      <c r="F3850">
        <f t="shared" si="120"/>
        <v>0</v>
      </c>
      <c r="G3850">
        <f t="shared" si="121"/>
        <v>1</v>
      </c>
    </row>
    <row r="3851" spans="1:7">
      <c r="A3851" t="str">
        <f>Sinistrés!H3856</f>
        <v>Colza d'hiver</v>
      </c>
      <c r="B3851">
        <f>Sinistrés!J3856</f>
        <v>5930.4</v>
      </c>
      <c r="C3851">
        <f>Sinistrés!X3856</f>
        <v>4109.32</v>
      </c>
      <c r="D3851">
        <f>Sinistrés!L3856</f>
        <v>10.59</v>
      </c>
      <c r="E3851">
        <f>Sinistrés!M3856</f>
        <v>10.59</v>
      </c>
      <c r="F3851">
        <f t="shared" si="120"/>
        <v>0.69292459193309053</v>
      </c>
      <c r="G3851">
        <f t="shared" si="121"/>
        <v>1</v>
      </c>
    </row>
    <row r="3852" spans="1:7">
      <c r="A3852" t="str">
        <f>Sinistrés!H3857</f>
        <v>Maïs grain irrigué</v>
      </c>
      <c r="B3852">
        <f>Sinistrés!J3857</f>
        <v>26591.46</v>
      </c>
      <c r="C3852">
        <f>Sinistrés!X3857</f>
        <v>1415</v>
      </c>
      <c r="D3852">
        <f>Sinistrés!L3857</f>
        <v>13.69</v>
      </c>
      <c r="E3852">
        <f>Sinistrés!M3857</f>
        <v>13.69</v>
      </c>
      <c r="F3852">
        <f t="shared" si="120"/>
        <v>5.3212572758321655E-2</v>
      </c>
      <c r="G3852">
        <f t="shared" si="121"/>
        <v>1</v>
      </c>
    </row>
    <row r="3853" spans="1:7" hidden="1">
      <c r="A3853" t="str">
        <f>Sinistrés!H3858</f>
        <v>Sorgho</v>
      </c>
      <c r="B3853">
        <f>Sinistrés!J3858</f>
        <v>7791</v>
      </c>
      <c r="C3853">
        <f>Sinistrés!X3858</f>
        <v>0</v>
      </c>
      <c r="D3853">
        <f>Sinistrés!L3858</f>
        <v>8.4</v>
      </c>
      <c r="E3853">
        <f>Sinistrés!M3858</f>
        <v>8.4</v>
      </c>
      <c r="F3853">
        <f t="shared" si="120"/>
        <v>0</v>
      </c>
      <c r="G3853">
        <f t="shared" si="121"/>
        <v>1</v>
      </c>
    </row>
    <row r="3854" spans="1:7" hidden="1">
      <c r="A3854" t="str">
        <f>Sinistrés!H3859</f>
        <v>Tournesol</v>
      </c>
      <c r="B3854">
        <f>Sinistrés!J3859</f>
        <v>13627.5</v>
      </c>
      <c r="C3854">
        <f>Sinistrés!X3859</f>
        <v>0</v>
      </c>
      <c r="D3854">
        <f>Sinistrés!L3859</f>
        <v>11.85</v>
      </c>
      <c r="E3854">
        <f>Sinistrés!M3859</f>
        <v>11.85</v>
      </c>
      <c r="F3854">
        <f t="shared" si="120"/>
        <v>0</v>
      </c>
      <c r="G3854">
        <f t="shared" si="121"/>
        <v>1</v>
      </c>
    </row>
    <row r="3855" spans="1:7">
      <c r="A3855" t="str">
        <f>Sinistrés!H3860</f>
        <v>Sorgho</v>
      </c>
      <c r="B3855">
        <f>Sinistrés!J3860</f>
        <v>18893.25</v>
      </c>
      <c r="C3855">
        <f>Sinistrés!X3860</f>
        <v>6658.65</v>
      </c>
      <c r="D3855">
        <f>Sinistrés!L3860</f>
        <v>12.15</v>
      </c>
      <c r="E3855">
        <f>Sinistrés!M3860</f>
        <v>12.15</v>
      </c>
      <c r="F3855">
        <f t="shared" si="120"/>
        <v>0.35243539359294984</v>
      </c>
      <c r="G3855">
        <f t="shared" si="121"/>
        <v>1</v>
      </c>
    </row>
    <row r="3856" spans="1:7" hidden="1">
      <c r="A3856" t="str">
        <f>Sinistrés!H3861</f>
        <v>Sorgho</v>
      </c>
      <c r="B3856">
        <f>Sinistrés!J3861</f>
        <v>16265.3</v>
      </c>
      <c r="C3856">
        <f>Sinistrés!X3861</f>
        <v>0</v>
      </c>
      <c r="D3856">
        <f>Sinistrés!L3861</f>
        <v>10.46</v>
      </c>
      <c r="E3856">
        <f>Sinistrés!M3861</f>
        <v>10.46</v>
      </c>
      <c r="F3856">
        <f t="shared" si="120"/>
        <v>0</v>
      </c>
      <c r="G3856">
        <f t="shared" si="121"/>
        <v>1</v>
      </c>
    </row>
    <row r="3857" spans="1:7">
      <c r="A3857" t="str">
        <f>Sinistrés!H3862</f>
        <v>Tournesol</v>
      </c>
      <c r="B3857">
        <f>Sinistrés!J3862</f>
        <v>41529.599999999999</v>
      </c>
      <c r="C3857">
        <f>Sinistrés!X3862</f>
        <v>5418.85</v>
      </c>
      <c r="D3857">
        <f>Sinistrés!L3862</f>
        <v>51.5</v>
      </c>
      <c r="E3857">
        <f>Sinistrés!M3862</f>
        <v>51.5</v>
      </c>
      <c r="F3857">
        <f t="shared" si="120"/>
        <v>0.13048163237787025</v>
      </c>
      <c r="G3857">
        <f t="shared" si="121"/>
        <v>1</v>
      </c>
    </row>
    <row r="3858" spans="1:7" hidden="1">
      <c r="A3858" t="str">
        <f>Sinistrés!H3863</f>
        <v>Tournesol</v>
      </c>
      <c r="B3858">
        <f>Sinistrés!J3863</f>
        <v>8217.2199999999993</v>
      </c>
      <c r="C3858">
        <f>Sinistrés!X3863</f>
        <v>0</v>
      </c>
      <c r="D3858">
        <f>Sinistrés!L3863</f>
        <v>10.19</v>
      </c>
      <c r="E3858">
        <f>Sinistrés!M3863</f>
        <v>10.19</v>
      </c>
      <c r="F3858">
        <f t="shared" si="120"/>
        <v>0</v>
      </c>
      <c r="G3858">
        <f t="shared" si="121"/>
        <v>1</v>
      </c>
    </row>
    <row r="3859" spans="1:7">
      <c r="A3859" t="str">
        <f>Sinistrés!H3864</f>
        <v>Tournesol</v>
      </c>
      <c r="B3859">
        <f>Sinistrés!J3864</f>
        <v>56576.06</v>
      </c>
      <c r="C3859">
        <f>Sinistrés!X3864</f>
        <v>6425.09</v>
      </c>
      <c r="D3859">
        <f>Sinistrés!L3864</f>
        <v>71.87</v>
      </c>
      <c r="E3859">
        <f>Sinistrés!M3864</f>
        <v>41.83</v>
      </c>
      <c r="F3859">
        <f t="shared" si="120"/>
        <v>0.11356552577185475</v>
      </c>
      <c r="G3859">
        <f t="shared" si="121"/>
        <v>0.58202309725893964</v>
      </c>
    </row>
    <row r="3860" spans="1:7">
      <c r="A3860" t="str">
        <f>Sinistrés!H3865</f>
        <v>Maïs ensilage non irrigué</v>
      </c>
      <c r="B3860">
        <f>Sinistrés!J3865</f>
        <v>23301.05</v>
      </c>
      <c r="C3860">
        <f>Sinistrés!X3865</f>
        <v>8751.34</v>
      </c>
      <c r="D3860">
        <f>Sinistrés!L3865</f>
        <v>17.350000000000001</v>
      </c>
      <c r="E3860">
        <f>Sinistrés!M3865</f>
        <v>17.350000000000001</v>
      </c>
      <c r="F3860">
        <f t="shared" si="120"/>
        <v>0.37557706626954579</v>
      </c>
      <c r="G3860">
        <f t="shared" si="121"/>
        <v>1</v>
      </c>
    </row>
    <row r="3861" spans="1:7">
      <c r="A3861" t="str">
        <f>Sinistrés!H3866</f>
        <v>Soja</v>
      </c>
      <c r="B3861">
        <f>Sinistrés!J3866</f>
        <v>35796.199999999997</v>
      </c>
      <c r="C3861">
        <f>Sinistrés!X3866</f>
        <v>8774.15</v>
      </c>
      <c r="D3861">
        <f>Sinistrés!L3866</f>
        <v>23.32</v>
      </c>
      <c r="E3861">
        <f>Sinistrés!M3866</f>
        <v>15</v>
      </c>
      <c r="F3861">
        <f t="shared" si="120"/>
        <v>0.24511400651465798</v>
      </c>
      <c r="G3861">
        <f t="shared" si="121"/>
        <v>0.64322469982847341</v>
      </c>
    </row>
    <row r="3862" spans="1:7">
      <c r="A3862" t="str">
        <f>Sinistrés!H3867</f>
        <v>Maïs ensilage non irrigué</v>
      </c>
      <c r="B3862">
        <f>Sinistrés!J3867</f>
        <v>39307.199999999997</v>
      </c>
      <c r="C3862">
        <f>Sinistrés!X3867</f>
        <v>6517.76</v>
      </c>
      <c r="D3862">
        <f>Sinistrés!L3867</f>
        <v>32</v>
      </c>
      <c r="E3862">
        <f>Sinistrés!M3867</f>
        <v>32</v>
      </c>
      <c r="F3862">
        <f t="shared" si="120"/>
        <v>0.16581593194122199</v>
      </c>
      <c r="G3862">
        <f t="shared" si="121"/>
        <v>1</v>
      </c>
    </row>
    <row r="3863" spans="1:7">
      <c r="A3863" t="str">
        <f>Sinistrés!H3868</f>
        <v>Maïs grain non irrigué</v>
      </c>
      <c r="B3863">
        <f>Sinistrés!J3868</f>
        <v>6442.8</v>
      </c>
      <c r="C3863">
        <f>Sinistrés!X3868</f>
        <v>233.86</v>
      </c>
      <c r="D3863">
        <f>Sinistrés!L3868</f>
        <v>5</v>
      </c>
      <c r="E3863">
        <f>Sinistrés!M3868</f>
        <v>5</v>
      </c>
      <c r="F3863">
        <f t="shared" si="120"/>
        <v>3.6297882908052401E-2</v>
      </c>
      <c r="G3863">
        <f t="shared" si="121"/>
        <v>1</v>
      </c>
    </row>
    <row r="3864" spans="1:7">
      <c r="A3864" t="str">
        <f>Sinistrés!H3869</f>
        <v>Maïs grain non irrigué</v>
      </c>
      <c r="B3864">
        <f>Sinistrés!J3869</f>
        <v>37935.18</v>
      </c>
      <c r="C3864">
        <f>Sinistrés!X3869</f>
        <v>14966.21</v>
      </c>
      <c r="D3864">
        <f>Sinistrés!L3869</f>
        <v>28.87</v>
      </c>
      <c r="E3864">
        <f>Sinistrés!M3869</f>
        <v>28.87</v>
      </c>
      <c r="F3864">
        <f t="shared" si="120"/>
        <v>0.39452060066671618</v>
      </c>
      <c r="G3864">
        <f t="shared" si="121"/>
        <v>1</v>
      </c>
    </row>
    <row r="3865" spans="1:7">
      <c r="A3865" t="str">
        <f>Sinistrés!H3870</f>
        <v>Sorgho</v>
      </c>
      <c r="B3865">
        <f>Sinistrés!J3870</f>
        <v>6132.24</v>
      </c>
      <c r="C3865">
        <f>Sinistrés!X3870</f>
        <v>635.94000000000005</v>
      </c>
      <c r="D3865">
        <f>Sinistrés!L3870</f>
        <v>6.68</v>
      </c>
      <c r="E3865">
        <f>Sinistrés!M3870</f>
        <v>6.68</v>
      </c>
      <c r="F3865">
        <f t="shared" si="120"/>
        <v>0.10370435599389458</v>
      </c>
      <c r="G3865">
        <f t="shared" si="121"/>
        <v>1</v>
      </c>
    </row>
    <row r="3866" spans="1:7">
      <c r="A3866" t="str">
        <f>Sinistrés!H3871</f>
        <v>Tournesol</v>
      </c>
      <c r="B3866">
        <f>Sinistrés!J3871</f>
        <v>10227.879999999999</v>
      </c>
      <c r="C3866">
        <f>Sinistrés!X3871</f>
        <v>2035.85</v>
      </c>
      <c r="D3866">
        <f>Sinistrés!L3871</f>
        <v>15.13</v>
      </c>
      <c r="E3866">
        <f>Sinistrés!M3871</f>
        <v>15.13</v>
      </c>
      <c r="F3866">
        <f t="shared" si="120"/>
        <v>0.1990490697974556</v>
      </c>
      <c r="G3866">
        <f t="shared" si="121"/>
        <v>1</v>
      </c>
    </row>
    <row r="3867" spans="1:7">
      <c r="A3867" t="str">
        <f>Sinistrés!H3872</f>
        <v>Soja</v>
      </c>
      <c r="B3867">
        <f>Sinistrés!J3872</f>
        <v>4000.56</v>
      </c>
      <c r="C3867">
        <f>Sinistrés!X3872</f>
        <v>2325.2199999999998</v>
      </c>
      <c r="D3867">
        <f>Sinistrés!L3872</f>
        <v>4.22</v>
      </c>
      <c r="E3867">
        <f>Sinistrés!M3872</f>
        <v>4.22</v>
      </c>
      <c r="F3867">
        <f t="shared" si="120"/>
        <v>0.58122362869198307</v>
      </c>
      <c r="G3867">
        <f t="shared" si="121"/>
        <v>1</v>
      </c>
    </row>
    <row r="3868" spans="1:7">
      <c r="A3868" t="str">
        <f>Sinistrés!H3873</f>
        <v>Maïs ensilage non irrigué</v>
      </c>
      <c r="B3868">
        <f>Sinistrés!J3873</f>
        <v>14418.12</v>
      </c>
      <c r="C3868">
        <f>Sinistrés!X3873</f>
        <v>5737.81</v>
      </c>
      <c r="D3868">
        <f>Sinistrés!L3873</f>
        <v>9.11</v>
      </c>
      <c r="E3868">
        <f>Sinistrés!M3873</f>
        <v>9.11</v>
      </c>
      <c r="F3868">
        <f t="shared" si="120"/>
        <v>0.39795826362937747</v>
      </c>
      <c r="G3868">
        <f t="shared" si="121"/>
        <v>1</v>
      </c>
    </row>
    <row r="3869" spans="1:7" hidden="1">
      <c r="A3869" t="str">
        <f>Sinistrés!H3874</f>
        <v>Soja</v>
      </c>
      <c r="B3869">
        <f>Sinistrés!J3874</f>
        <v>13281.8</v>
      </c>
      <c r="C3869">
        <f>Sinistrés!X3874</f>
        <v>0</v>
      </c>
      <c r="D3869">
        <f>Sinistrés!L3874</f>
        <v>8.9499999999999993</v>
      </c>
      <c r="E3869">
        <f>Sinistrés!M3874</f>
        <v>8.9499999999999993</v>
      </c>
      <c r="F3869">
        <f t="shared" si="120"/>
        <v>0</v>
      </c>
      <c r="G3869">
        <f t="shared" si="121"/>
        <v>1</v>
      </c>
    </row>
    <row r="3870" spans="1:7" hidden="1">
      <c r="A3870" t="str">
        <f>Sinistrés!H3875</f>
        <v>Tournesol</v>
      </c>
      <c r="B3870">
        <f>Sinistrés!J3875</f>
        <v>19674.72</v>
      </c>
      <c r="C3870">
        <f>Sinistrés!X3875</f>
        <v>0</v>
      </c>
      <c r="D3870">
        <f>Sinistrés!L3875</f>
        <v>21.02</v>
      </c>
      <c r="E3870">
        <f>Sinistrés!M3875</f>
        <v>21.02</v>
      </c>
      <c r="F3870">
        <f t="shared" si="120"/>
        <v>0</v>
      </c>
      <c r="G3870">
        <f t="shared" si="121"/>
        <v>1</v>
      </c>
    </row>
    <row r="3871" spans="1:7" hidden="1">
      <c r="A3871" t="str">
        <f>Sinistrés!H3876</f>
        <v>Maïs grain irrigué</v>
      </c>
      <c r="B3871">
        <f>Sinistrés!J3876</f>
        <v>13932.48</v>
      </c>
      <c r="C3871">
        <f>Sinistrés!X3876</f>
        <v>0</v>
      </c>
      <c r="D3871">
        <f>Sinistrés!L3876</f>
        <v>6.31</v>
      </c>
      <c r="E3871">
        <f>Sinistrés!M3876</f>
        <v>18.309999999999999</v>
      </c>
      <c r="F3871">
        <f t="shared" si="120"/>
        <v>0</v>
      </c>
      <c r="G3871">
        <f t="shared" si="121"/>
        <v>2.9017432646592711</v>
      </c>
    </row>
    <row r="3872" spans="1:7">
      <c r="A3872" t="str">
        <f>Sinistrés!H3877</f>
        <v>Maïs grain non irrigué</v>
      </c>
      <c r="B3872">
        <f>Sinistrés!J3877</f>
        <v>16907.599999999999</v>
      </c>
      <c r="C3872">
        <f>Sinistrés!X3877</f>
        <v>6955.68</v>
      </c>
      <c r="D3872">
        <f>Sinistrés!L3877</f>
        <v>10.75</v>
      </c>
      <c r="E3872">
        <f>Sinistrés!M3877</f>
        <v>4</v>
      </c>
      <c r="F3872">
        <f t="shared" si="120"/>
        <v>0.41139369277721266</v>
      </c>
      <c r="G3872">
        <f t="shared" si="121"/>
        <v>0.37209302325581395</v>
      </c>
    </row>
    <row r="3873" spans="1:7">
      <c r="A3873" t="str">
        <f>Sinistrés!H3878</f>
        <v>Maïs grain non irrigué</v>
      </c>
      <c r="B3873">
        <f>Sinistrés!J3878</f>
        <v>27445.360000000001</v>
      </c>
      <c r="C3873">
        <f>Sinistrés!X3878</f>
        <v>12351.81</v>
      </c>
      <c r="D3873">
        <f>Sinistrés!L3878</f>
        <v>17.45</v>
      </c>
      <c r="E3873">
        <f>Sinistrés!M3878</f>
        <v>10</v>
      </c>
      <c r="F3873">
        <f t="shared" si="120"/>
        <v>0.45005093757196113</v>
      </c>
      <c r="G3873">
        <f t="shared" si="121"/>
        <v>0.57306590257879664</v>
      </c>
    </row>
    <row r="3874" spans="1:7">
      <c r="A3874" t="str">
        <f>Sinistrés!H3879</f>
        <v>Tournesol</v>
      </c>
      <c r="B3874">
        <f>Sinistrés!J3879</f>
        <v>4148.4799999999996</v>
      </c>
      <c r="C3874">
        <f>Sinistrés!X3879</f>
        <v>758.39</v>
      </c>
      <c r="D3874">
        <f>Sinistrés!L3879</f>
        <v>4.63</v>
      </c>
      <c r="E3874">
        <f>Sinistrés!M3879</f>
        <v>2</v>
      </c>
      <c r="F3874">
        <f t="shared" si="120"/>
        <v>0.18281153579142242</v>
      </c>
      <c r="G3874">
        <f t="shared" si="121"/>
        <v>0.43196544276457882</v>
      </c>
    </row>
    <row r="3875" spans="1:7">
      <c r="A3875" t="str">
        <f>Sinistrés!H3880</f>
        <v>Tournesol</v>
      </c>
      <c r="B3875">
        <f>Sinistrés!J3880</f>
        <v>4533.76</v>
      </c>
      <c r="C3875">
        <f>Sinistrés!X3880</f>
        <v>332.95</v>
      </c>
      <c r="D3875">
        <f>Sinistrés!L3880</f>
        <v>5.0599999999999996</v>
      </c>
      <c r="E3875">
        <f>Sinistrés!M3880</f>
        <v>3</v>
      </c>
      <c r="F3875">
        <f t="shared" si="120"/>
        <v>7.3437941134952001E-2</v>
      </c>
      <c r="G3875">
        <f t="shared" si="121"/>
        <v>0.59288537549407117</v>
      </c>
    </row>
    <row r="3876" spans="1:7">
      <c r="A3876" t="str">
        <f>Sinistrés!H3881</f>
        <v>Tournesol</v>
      </c>
      <c r="B3876">
        <f>Sinistrés!J3881</f>
        <v>11826.17</v>
      </c>
      <c r="C3876">
        <f>Sinistrés!X3881</f>
        <v>202</v>
      </c>
      <c r="D3876">
        <f>Sinistrés!L3881</f>
        <v>11.01</v>
      </c>
      <c r="E3876">
        <f>Sinistrés!M3881</f>
        <v>11.01</v>
      </c>
      <c r="F3876">
        <f t="shared" si="120"/>
        <v>1.7080762410822778E-2</v>
      </c>
      <c r="G3876">
        <f t="shared" si="121"/>
        <v>1</v>
      </c>
    </row>
    <row r="3877" spans="1:7">
      <c r="A3877" t="str">
        <f>Sinistrés!H3882</f>
        <v>Maïs grain non irrigué</v>
      </c>
      <c r="B3877">
        <f>Sinistrés!J3882</f>
        <v>21736.26</v>
      </c>
      <c r="C3877">
        <f>Sinistrés!X3882</f>
        <v>205</v>
      </c>
      <c r="D3877">
        <f>Sinistrés!L3882</f>
        <v>13.27</v>
      </c>
      <c r="E3877">
        <f>Sinistrés!M3882</f>
        <v>13.27</v>
      </c>
      <c r="F3877">
        <f t="shared" si="120"/>
        <v>9.4312453016296271E-3</v>
      </c>
      <c r="G3877">
        <f t="shared" si="121"/>
        <v>1</v>
      </c>
    </row>
    <row r="3878" spans="1:7" hidden="1">
      <c r="A3878" t="str">
        <f>Sinistrés!H3883</f>
        <v>Maïs grain irrigué</v>
      </c>
      <c r="B3878">
        <f>Sinistrés!J3883</f>
        <v>23059.8</v>
      </c>
      <c r="C3878">
        <f>Sinistrés!X3883</f>
        <v>0</v>
      </c>
      <c r="D3878">
        <f>Sinistrés!L3883</f>
        <v>11.14</v>
      </c>
      <c r="E3878">
        <f>Sinistrés!M3883</f>
        <v>11.14</v>
      </c>
      <c r="F3878">
        <f t="shared" si="120"/>
        <v>0</v>
      </c>
      <c r="G3878">
        <f t="shared" si="121"/>
        <v>1</v>
      </c>
    </row>
    <row r="3879" spans="1:7" hidden="1">
      <c r="A3879" t="str">
        <f>Sinistrés!H3884</f>
        <v>Soja</v>
      </c>
      <c r="B3879">
        <f>Sinistrés!J3884</f>
        <v>13044.15</v>
      </c>
      <c r="C3879">
        <f>Sinistrés!X3884</f>
        <v>0</v>
      </c>
      <c r="D3879">
        <f>Sinistrés!L3884</f>
        <v>12.3</v>
      </c>
      <c r="E3879">
        <f>Sinistrés!M3884</f>
        <v>12.3</v>
      </c>
      <c r="F3879">
        <f t="shared" si="120"/>
        <v>0</v>
      </c>
      <c r="G3879">
        <f t="shared" si="121"/>
        <v>1</v>
      </c>
    </row>
    <row r="3880" spans="1:7" hidden="1">
      <c r="A3880" t="str">
        <f>Sinistrés!H3885</f>
        <v>Maïs grain non irrigué</v>
      </c>
      <c r="B3880">
        <f>Sinistrés!J3885</f>
        <v>50031.68</v>
      </c>
      <c r="C3880">
        <f>Sinistrés!X3885</f>
        <v>0</v>
      </c>
      <c r="D3880">
        <f>Sinistrés!L3885</f>
        <v>21.64</v>
      </c>
      <c r="E3880">
        <f>Sinistrés!M3885</f>
        <v>21.64</v>
      </c>
      <c r="F3880">
        <f t="shared" si="120"/>
        <v>0</v>
      </c>
      <c r="G3880">
        <f t="shared" si="121"/>
        <v>1</v>
      </c>
    </row>
    <row r="3881" spans="1:7" hidden="1">
      <c r="A3881" t="str">
        <f>Sinistrés!H3886</f>
        <v>Maïs grain irrigué BIO</v>
      </c>
      <c r="B3881">
        <f>Sinistrés!J3886</f>
        <v>4631.3999999999996</v>
      </c>
      <c r="C3881">
        <f>Sinistrés!X3886</f>
        <v>1907.09</v>
      </c>
      <c r="D3881">
        <f>Sinistrés!L3886</f>
        <v>2.4900000000000002</v>
      </c>
      <c r="E3881">
        <f>Sinistrés!M3886</f>
        <v>2.4900000000000002</v>
      </c>
      <c r="F3881">
        <f t="shared" si="120"/>
        <v>0.41177397763095391</v>
      </c>
      <c r="G3881">
        <f t="shared" si="121"/>
        <v>1</v>
      </c>
    </row>
    <row r="3882" spans="1:7" hidden="1">
      <c r="A3882" t="str">
        <f>Sinistrés!H3887</f>
        <v>Tournesol BIO</v>
      </c>
      <c r="B3882">
        <f>Sinistrés!J3887</f>
        <v>18747.3</v>
      </c>
      <c r="C3882">
        <f>Sinistrés!X3887</f>
        <v>0</v>
      </c>
      <c r="D3882">
        <f>Sinistrés!L3887</f>
        <v>17.48</v>
      </c>
      <c r="E3882">
        <f>Sinistrés!M3887</f>
        <v>17.48</v>
      </c>
      <c r="F3882">
        <f t="shared" si="120"/>
        <v>0</v>
      </c>
      <c r="G3882">
        <f t="shared" si="121"/>
        <v>1</v>
      </c>
    </row>
    <row r="3883" spans="1:7" hidden="1">
      <c r="A3883" t="str">
        <f>Sinistrés!H3888</f>
        <v>Pois secs / Pois Chiches BIO</v>
      </c>
      <c r="B3883">
        <f>Sinistrés!J3888</f>
        <v>28248.44</v>
      </c>
      <c r="C3883">
        <f>Sinistrés!X3888</f>
        <v>0</v>
      </c>
      <c r="D3883">
        <f>Sinistrés!L3888</f>
        <v>13.64</v>
      </c>
      <c r="E3883">
        <f>Sinistrés!M3888</f>
        <v>13.64</v>
      </c>
      <c r="F3883">
        <f t="shared" si="120"/>
        <v>0</v>
      </c>
      <c r="G3883">
        <f t="shared" si="121"/>
        <v>1</v>
      </c>
    </row>
    <row r="3884" spans="1:7">
      <c r="A3884" t="str">
        <f>Sinistrés!H3889</f>
        <v>Maïs grain non irrigué</v>
      </c>
      <c r="B3884">
        <f>Sinistrés!J3889</f>
        <v>43410.879999999997</v>
      </c>
      <c r="C3884">
        <f>Sinistrés!X3889</f>
        <v>19306.939999999999</v>
      </c>
      <c r="D3884">
        <f>Sinistrés!L3889</f>
        <v>30.78</v>
      </c>
      <c r="E3884">
        <f>Sinistrés!M3889</f>
        <v>30.78</v>
      </c>
      <c r="F3884">
        <f t="shared" si="120"/>
        <v>0.44474887401499347</v>
      </c>
      <c r="G3884">
        <f t="shared" si="121"/>
        <v>1</v>
      </c>
    </row>
    <row r="3885" spans="1:7" hidden="1">
      <c r="A3885" t="str">
        <f>Sinistrés!H3890</f>
        <v>Tournesol</v>
      </c>
      <c r="B3885">
        <f>Sinistrés!J3890</f>
        <v>24753.68</v>
      </c>
      <c r="C3885">
        <f>Sinistrés!X3890</f>
        <v>0</v>
      </c>
      <c r="D3885">
        <f>Sinistrés!L3890</f>
        <v>30.9</v>
      </c>
      <c r="E3885">
        <f>Sinistrés!M3890</f>
        <v>30.9</v>
      </c>
      <c r="F3885">
        <f t="shared" si="120"/>
        <v>0</v>
      </c>
      <c r="G3885">
        <f t="shared" si="121"/>
        <v>1</v>
      </c>
    </row>
    <row r="3886" spans="1:7" hidden="1">
      <c r="A3886" t="str">
        <f>Sinistrés!H3891</f>
        <v>Maïs grain irrigué</v>
      </c>
      <c r="B3886">
        <f>Sinistrés!J3891</f>
        <v>17754.12</v>
      </c>
      <c r="C3886">
        <f>Sinistrés!X3891</f>
        <v>0</v>
      </c>
      <c r="D3886">
        <f>Sinistrés!L3891</f>
        <v>10.8</v>
      </c>
      <c r="E3886">
        <f>Sinistrés!M3891</f>
        <v>10.8</v>
      </c>
      <c r="F3886">
        <f t="shared" si="120"/>
        <v>0</v>
      </c>
      <c r="G3886">
        <f t="shared" si="121"/>
        <v>1</v>
      </c>
    </row>
    <row r="3887" spans="1:7" hidden="1">
      <c r="A3887" t="str">
        <f>Sinistrés!H3892</f>
        <v>Tournesol</v>
      </c>
      <c r="B3887">
        <f>Sinistrés!J3892</f>
        <v>39175.379999999997</v>
      </c>
      <c r="C3887">
        <f>Sinistrés!X3892</f>
        <v>0</v>
      </c>
      <c r="D3887">
        <f>Sinistrés!L3892</f>
        <v>56.62</v>
      </c>
      <c r="E3887">
        <f>Sinistrés!M3892</f>
        <v>56.62</v>
      </c>
      <c r="F3887">
        <f t="shared" si="120"/>
        <v>0</v>
      </c>
      <c r="G3887">
        <f t="shared" si="121"/>
        <v>1</v>
      </c>
    </row>
    <row r="3888" spans="1:7">
      <c r="A3888" t="str">
        <f>Sinistrés!H3893</f>
        <v>Maïs grain non irrigué</v>
      </c>
      <c r="B3888">
        <f>Sinistrés!J3893</f>
        <v>32939.5</v>
      </c>
      <c r="C3888">
        <f>Sinistrés!X3893</f>
        <v>7184.09</v>
      </c>
      <c r="D3888">
        <f>Sinistrés!L3893</f>
        <v>28.39</v>
      </c>
      <c r="E3888">
        <f>Sinistrés!M3893</f>
        <v>28.39</v>
      </c>
      <c r="F3888">
        <f t="shared" si="120"/>
        <v>0.21809954613761592</v>
      </c>
      <c r="G3888">
        <f t="shared" si="121"/>
        <v>1</v>
      </c>
    </row>
    <row r="3889" spans="1:7">
      <c r="A3889" t="str">
        <f>Sinistrés!H3894</f>
        <v>Maïs ensilage irrigué</v>
      </c>
      <c r="B3889">
        <f>Sinistrés!J3894</f>
        <v>14333</v>
      </c>
      <c r="C3889">
        <f>Sinistrés!X3894</f>
        <v>1949.75</v>
      </c>
      <c r="D3889">
        <f>Sinistrés!L3894</f>
        <v>10</v>
      </c>
      <c r="E3889">
        <f>Sinistrés!M3894</f>
        <v>10</v>
      </c>
      <c r="F3889">
        <f t="shared" si="120"/>
        <v>0.13603223330775135</v>
      </c>
      <c r="G3889">
        <f t="shared" si="121"/>
        <v>1</v>
      </c>
    </row>
    <row r="3890" spans="1:7" hidden="1">
      <c r="A3890" t="str">
        <f>Sinistrés!H3895</f>
        <v>Maïs grain irrigué</v>
      </c>
      <c r="B3890">
        <f>Sinistrés!J3895</f>
        <v>19349.55</v>
      </c>
      <c r="C3890">
        <f>Sinistrés!X3895</f>
        <v>0</v>
      </c>
      <c r="D3890">
        <f>Sinistrés!L3895</f>
        <v>13.5</v>
      </c>
      <c r="E3890">
        <f>Sinistrés!M3895</f>
        <v>13.5</v>
      </c>
      <c r="F3890">
        <f t="shared" si="120"/>
        <v>0</v>
      </c>
      <c r="G3890">
        <f t="shared" si="121"/>
        <v>1</v>
      </c>
    </row>
    <row r="3891" spans="1:7">
      <c r="A3891" t="str">
        <f>Sinistrés!H3896</f>
        <v>Maïs grain non irrigué</v>
      </c>
      <c r="B3891">
        <f>Sinistrés!J3896</f>
        <v>10013.85</v>
      </c>
      <c r="C3891">
        <f>Sinistrés!X3896</f>
        <v>2048.29</v>
      </c>
      <c r="D3891">
        <f>Sinistrés!L3896</f>
        <v>8.5</v>
      </c>
      <c r="E3891">
        <f>Sinistrés!M3896</f>
        <v>8.5</v>
      </c>
      <c r="F3891">
        <f t="shared" si="120"/>
        <v>0.20454570419968343</v>
      </c>
      <c r="G3891">
        <f t="shared" si="121"/>
        <v>1</v>
      </c>
    </row>
    <row r="3892" spans="1:7">
      <c r="A3892" t="str">
        <f>Sinistrés!H3897</f>
        <v>Soja</v>
      </c>
      <c r="B3892">
        <f>Sinistrés!J3897</f>
        <v>8800</v>
      </c>
      <c r="C3892">
        <f>Sinistrés!X3897</f>
        <v>924</v>
      </c>
      <c r="D3892">
        <f>Sinistrés!L3897</f>
        <v>11</v>
      </c>
      <c r="E3892">
        <f>Sinistrés!M3897</f>
        <v>11</v>
      </c>
      <c r="F3892">
        <f t="shared" si="120"/>
        <v>0.105</v>
      </c>
      <c r="G3892">
        <f t="shared" si="121"/>
        <v>1</v>
      </c>
    </row>
    <row r="3893" spans="1:7" hidden="1">
      <c r="A3893" t="str">
        <f>Sinistrés!H3898</f>
        <v>Sorgho</v>
      </c>
      <c r="B3893">
        <f>Sinistrés!J3898</f>
        <v>7426.79</v>
      </c>
      <c r="C3893">
        <f>Sinistrés!X3898</f>
        <v>0</v>
      </c>
      <c r="D3893">
        <f>Sinistrés!L3898</f>
        <v>8.5</v>
      </c>
      <c r="E3893">
        <f>Sinistrés!M3898</f>
        <v>8.5</v>
      </c>
      <c r="F3893">
        <f t="shared" si="120"/>
        <v>0</v>
      </c>
      <c r="G3893">
        <f t="shared" si="121"/>
        <v>1</v>
      </c>
    </row>
    <row r="3894" spans="1:7">
      <c r="A3894" t="str">
        <f>Sinistrés!H3899</f>
        <v>Tournesol</v>
      </c>
      <c r="B3894">
        <f>Sinistrés!J3899</f>
        <v>10650</v>
      </c>
      <c r="C3894">
        <f>Sinistrés!X3899</f>
        <v>1187.5</v>
      </c>
      <c r="D3894">
        <f>Sinistrés!L3899</f>
        <v>6.4</v>
      </c>
      <c r="E3894">
        <f>Sinistrés!M3899</f>
        <v>12.5</v>
      </c>
      <c r="F3894">
        <f t="shared" si="120"/>
        <v>0.11150234741784038</v>
      </c>
      <c r="G3894">
        <f t="shared" si="121"/>
        <v>1.953125</v>
      </c>
    </row>
    <row r="3895" spans="1:7">
      <c r="A3895" t="str">
        <f>Sinistrés!H3900</f>
        <v>Tournesol</v>
      </c>
      <c r="B3895">
        <f>Sinistrés!J3900</f>
        <v>7122.45</v>
      </c>
      <c r="C3895">
        <f>Sinistrés!X3900</f>
        <v>1350.42</v>
      </c>
      <c r="D3895">
        <f>Sinistrés!L3900</f>
        <v>6.18</v>
      </c>
      <c r="E3895">
        <f>Sinistrés!M3900</f>
        <v>6.18</v>
      </c>
      <c r="F3895">
        <f t="shared" si="120"/>
        <v>0.18960048859591855</v>
      </c>
      <c r="G3895">
        <f t="shared" si="121"/>
        <v>1</v>
      </c>
    </row>
    <row r="3896" spans="1:7" hidden="1">
      <c r="A3896" t="str">
        <f>Sinistrés!H3901</f>
        <v>Tournesol</v>
      </c>
      <c r="B3896">
        <f>Sinistrés!J3901</f>
        <v>26240.76</v>
      </c>
      <c r="C3896">
        <f>Sinistrés!X3901</f>
        <v>0</v>
      </c>
      <c r="D3896">
        <f>Sinistrés!L3901</f>
        <v>34.71</v>
      </c>
      <c r="E3896">
        <f>Sinistrés!M3901</f>
        <v>34.71</v>
      </c>
      <c r="F3896">
        <f t="shared" si="120"/>
        <v>0</v>
      </c>
      <c r="G3896">
        <f t="shared" si="121"/>
        <v>1</v>
      </c>
    </row>
    <row r="3897" spans="1:7">
      <c r="A3897" t="str">
        <f>Sinistrés!H3902</f>
        <v>Lin textile</v>
      </c>
      <c r="B3897">
        <f>Sinistrés!J3902</f>
        <v>42055.199999999997</v>
      </c>
      <c r="C3897">
        <f>Sinistrés!X3902</f>
        <v>15747.34</v>
      </c>
      <c r="D3897">
        <f>Sinistrés!L3902</f>
        <v>10.62</v>
      </c>
      <c r="E3897">
        <f>Sinistrés!M3902</f>
        <v>10.62</v>
      </c>
      <c r="F3897">
        <f t="shared" si="120"/>
        <v>0.37444453955753393</v>
      </c>
      <c r="G3897">
        <f t="shared" si="121"/>
        <v>1</v>
      </c>
    </row>
    <row r="3898" spans="1:7">
      <c r="A3898" t="str">
        <f>Sinistrés!H3903</f>
        <v>Maïs ensilage non irrigué</v>
      </c>
      <c r="B3898">
        <f>Sinistrés!J3903</f>
        <v>23704.74</v>
      </c>
      <c r="C3898">
        <f>Sinistrés!X3903</f>
        <v>10597.46</v>
      </c>
      <c r="D3898">
        <f>Sinistrés!L3903</f>
        <v>14.22</v>
      </c>
      <c r="E3898">
        <f>Sinistrés!M3903</f>
        <v>14.22</v>
      </c>
      <c r="F3898">
        <f t="shared" si="120"/>
        <v>0.44706079881070193</v>
      </c>
      <c r="G3898">
        <f t="shared" si="121"/>
        <v>1</v>
      </c>
    </row>
    <row r="3899" spans="1:7" hidden="1">
      <c r="A3899" t="str">
        <f>Sinistrés!H3904</f>
        <v>Tournesol</v>
      </c>
      <c r="B3899">
        <f>Sinistrés!J3904</f>
        <v>9805.08</v>
      </c>
      <c r="C3899">
        <f>Sinistrés!X3904</f>
        <v>0</v>
      </c>
      <c r="D3899">
        <f>Sinistrés!L3904</f>
        <v>13.03</v>
      </c>
      <c r="E3899">
        <f>Sinistrés!M3904</f>
        <v>13.03</v>
      </c>
      <c r="F3899">
        <f t="shared" si="120"/>
        <v>0</v>
      </c>
      <c r="G3899">
        <f t="shared" si="121"/>
        <v>1</v>
      </c>
    </row>
    <row r="3900" spans="1:7" hidden="1">
      <c r="A3900" t="str">
        <f>Sinistrés!H3905</f>
        <v>Maïs grain non irrigué</v>
      </c>
      <c r="B3900">
        <f>Sinistrés!J3905</f>
        <v>5519.48</v>
      </c>
      <c r="C3900">
        <f>Sinistrés!X3905</f>
        <v>0</v>
      </c>
      <c r="D3900">
        <f>Sinistrés!L3905</f>
        <v>5.85</v>
      </c>
      <c r="E3900">
        <f>Sinistrés!M3905</f>
        <v>5.85</v>
      </c>
      <c r="F3900">
        <f t="shared" si="120"/>
        <v>0</v>
      </c>
      <c r="G3900">
        <f t="shared" si="121"/>
        <v>1</v>
      </c>
    </row>
    <row r="3901" spans="1:7" hidden="1">
      <c r="A3901" t="str">
        <f>Sinistrés!H3906</f>
        <v>Maïs grain non irrigué</v>
      </c>
      <c r="B3901">
        <f>Sinistrés!J3906</f>
        <v>73018.399999999994</v>
      </c>
      <c r="C3901">
        <f>Sinistrés!X3906</f>
        <v>0</v>
      </c>
      <c r="D3901">
        <f>Sinistrés!L3906</f>
        <v>52</v>
      </c>
      <c r="E3901">
        <f>Sinistrés!M3906</f>
        <v>52</v>
      </c>
      <c r="F3901">
        <f t="shared" si="120"/>
        <v>0</v>
      </c>
      <c r="G3901">
        <f t="shared" si="121"/>
        <v>1</v>
      </c>
    </row>
    <row r="3902" spans="1:7" hidden="1">
      <c r="A3902" t="str">
        <f>Sinistrés!H3907</f>
        <v>Maïs ensilage non irrigué</v>
      </c>
      <c r="B3902">
        <f>Sinistrés!J3907</f>
        <v>174746</v>
      </c>
      <c r="C3902">
        <f>Sinistrés!X3907</f>
        <v>0</v>
      </c>
      <c r="D3902">
        <f>Sinistrés!L3907</f>
        <v>79.430000000000007</v>
      </c>
      <c r="E3902">
        <f>Sinistrés!M3907</f>
        <v>79</v>
      </c>
      <c r="F3902">
        <f t="shared" si="120"/>
        <v>0</v>
      </c>
      <c r="G3902">
        <f t="shared" si="121"/>
        <v>0.99458642830164912</v>
      </c>
    </row>
    <row r="3903" spans="1:7">
      <c r="A3903" t="str">
        <f>Sinistrés!H3908</f>
        <v>Maïs ensilage non irrigué</v>
      </c>
      <c r="B3903">
        <f>Sinistrés!J3908</f>
        <v>18127.75</v>
      </c>
      <c r="C3903">
        <f>Sinistrés!X3908</f>
        <v>6378.44</v>
      </c>
      <c r="D3903">
        <f>Sinistrés!L3908</f>
        <v>16.739999999999998</v>
      </c>
      <c r="E3903">
        <f>Sinistrés!M3908</f>
        <v>16.739999999999998</v>
      </c>
      <c r="F3903">
        <f t="shared" si="120"/>
        <v>0.35186054529657568</v>
      </c>
      <c r="G3903">
        <f t="shared" si="121"/>
        <v>1</v>
      </c>
    </row>
    <row r="3904" spans="1:7">
      <c r="A3904" t="str">
        <f>Sinistrés!H3909</f>
        <v>Tournesol</v>
      </c>
      <c r="B3904">
        <f>Sinistrés!J3909</f>
        <v>6810</v>
      </c>
      <c r="C3904">
        <f>Sinistrés!X3909</f>
        <v>749.5</v>
      </c>
      <c r="D3904">
        <f>Sinistrés!L3909</f>
        <v>6</v>
      </c>
      <c r="E3904">
        <f>Sinistrés!M3909</f>
        <v>6</v>
      </c>
      <c r="F3904">
        <f t="shared" si="120"/>
        <v>0.11005873715124817</v>
      </c>
      <c r="G3904">
        <f t="shared" si="121"/>
        <v>1</v>
      </c>
    </row>
    <row r="3905" spans="1:7">
      <c r="A3905" t="str">
        <f>Sinistrés!H3910</f>
        <v>Maïs grain irrigué</v>
      </c>
      <c r="B3905">
        <f>Sinistrés!J3910</f>
        <v>62912</v>
      </c>
      <c r="C3905">
        <f>Sinistrés!X3910</f>
        <v>1744.36</v>
      </c>
      <c r="D3905">
        <f>Sinistrés!L3910</f>
        <v>32</v>
      </c>
      <c r="E3905">
        <f>Sinistrés!M3910</f>
        <v>32</v>
      </c>
      <c r="F3905">
        <f t="shared" si="120"/>
        <v>2.7726983723296031E-2</v>
      </c>
      <c r="G3905">
        <f t="shared" si="121"/>
        <v>1</v>
      </c>
    </row>
    <row r="3906" spans="1:7">
      <c r="A3906" t="str">
        <f>Sinistrés!H3911</f>
        <v>Maïs grain non irrigué</v>
      </c>
      <c r="B3906">
        <f>Sinistrés!J3911</f>
        <v>8300</v>
      </c>
      <c r="C3906">
        <f>Sinistrés!X3911</f>
        <v>1750.2</v>
      </c>
      <c r="D3906">
        <f>Sinistrés!L3911</f>
        <v>5</v>
      </c>
      <c r="E3906">
        <f>Sinistrés!M3911</f>
        <v>5</v>
      </c>
      <c r="F3906">
        <f t="shared" si="120"/>
        <v>0.21086746987951807</v>
      </c>
      <c r="G3906">
        <f t="shared" si="121"/>
        <v>1</v>
      </c>
    </row>
    <row r="3907" spans="1:7" hidden="1">
      <c r="A3907" t="str">
        <f>Sinistrés!H3912</f>
        <v>Maïs ensilage irrigué</v>
      </c>
      <c r="B3907">
        <f>Sinistrés!J3912</f>
        <v>30030</v>
      </c>
      <c r="C3907">
        <f>Sinistrés!X3912</f>
        <v>0</v>
      </c>
      <c r="D3907">
        <f>Sinistrés!L3912</f>
        <v>22</v>
      </c>
      <c r="E3907">
        <f>Sinistrés!M3912</f>
        <v>22</v>
      </c>
      <c r="F3907">
        <f t="shared" ref="F3907:F3970" si="122">C3907/B3907</f>
        <v>0</v>
      </c>
      <c r="G3907">
        <f t="shared" ref="G3907:G3970" si="123">E3907/D3907</f>
        <v>1</v>
      </c>
    </row>
    <row r="3908" spans="1:7" hidden="1">
      <c r="A3908" t="str">
        <f>Sinistrés!H3913</f>
        <v>Maïs grain irrigué</v>
      </c>
      <c r="B3908">
        <f>Sinistrés!J3913</f>
        <v>126316.08</v>
      </c>
      <c r="C3908">
        <f>Sinistrés!X3913</f>
        <v>0</v>
      </c>
      <c r="D3908">
        <f>Sinistrés!L3913</f>
        <v>67.650000000000006</v>
      </c>
      <c r="E3908">
        <f>Sinistrés!M3913</f>
        <v>67.650000000000006</v>
      </c>
      <c r="F3908">
        <f t="shared" si="122"/>
        <v>0</v>
      </c>
      <c r="G3908">
        <f t="shared" si="123"/>
        <v>1</v>
      </c>
    </row>
    <row r="3909" spans="1:7">
      <c r="A3909" t="str">
        <f>Sinistrés!H3914</f>
        <v>Maïs grain irrigué</v>
      </c>
      <c r="B3909">
        <f>Sinistrés!J3914</f>
        <v>42129.35</v>
      </c>
      <c r="C3909">
        <f>Sinistrés!X3914</f>
        <v>2466.61</v>
      </c>
      <c r="D3909">
        <f>Sinistrés!L3914</f>
        <v>25.01</v>
      </c>
      <c r="E3909">
        <f>Sinistrés!M3914</f>
        <v>25</v>
      </c>
      <c r="F3909">
        <f t="shared" si="122"/>
        <v>5.854849410209273E-2</v>
      </c>
      <c r="G3909">
        <f t="shared" si="123"/>
        <v>0.99960015993602558</v>
      </c>
    </row>
    <row r="3910" spans="1:7" hidden="1">
      <c r="A3910" t="str">
        <f>Sinistrés!H3915</f>
        <v>Tournesol</v>
      </c>
      <c r="B3910">
        <f>Sinistrés!J3915</f>
        <v>19444.32</v>
      </c>
      <c r="C3910">
        <f>Sinistrés!X3915</f>
        <v>0</v>
      </c>
      <c r="D3910">
        <f>Sinistrés!L3915</f>
        <v>19.29</v>
      </c>
      <c r="E3910">
        <f>Sinistrés!M3915</f>
        <v>19.28</v>
      </c>
      <c r="F3910">
        <f t="shared" si="122"/>
        <v>0</v>
      </c>
      <c r="G3910">
        <f t="shared" si="123"/>
        <v>0.99948159668221892</v>
      </c>
    </row>
    <row r="3911" spans="1:7" hidden="1">
      <c r="A3911" t="str">
        <f>Sinistrés!H3916</f>
        <v>Maïs grain non irrigué</v>
      </c>
      <c r="B3911">
        <f>Sinistrés!J3916</f>
        <v>14741.3</v>
      </c>
      <c r="C3911">
        <f>Sinistrés!X3916</f>
        <v>0</v>
      </c>
      <c r="D3911">
        <f>Sinistrés!L3916</f>
        <v>22.77</v>
      </c>
      <c r="E3911">
        <f>Sinistrés!M3916</f>
        <v>22.77</v>
      </c>
      <c r="F3911">
        <f t="shared" si="122"/>
        <v>0</v>
      </c>
      <c r="G3911">
        <f t="shared" si="123"/>
        <v>1</v>
      </c>
    </row>
    <row r="3912" spans="1:7" hidden="1">
      <c r="A3912" t="str">
        <f>Sinistrés!H3917</f>
        <v>Tournesol</v>
      </c>
      <c r="B3912">
        <f>Sinistrés!J3917</f>
        <v>10526.57</v>
      </c>
      <c r="C3912">
        <f>Sinistrés!X3917</f>
        <v>0</v>
      </c>
      <c r="D3912">
        <f>Sinistrés!L3917</f>
        <v>15.87</v>
      </c>
      <c r="E3912">
        <f>Sinistrés!M3917</f>
        <v>15.87</v>
      </c>
      <c r="F3912">
        <f t="shared" si="122"/>
        <v>0</v>
      </c>
      <c r="G3912">
        <f t="shared" si="123"/>
        <v>1</v>
      </c>
    </row>
    <row r="3913" spans="1:7" hidden="1">
      <c r="A3913" t="str">
        <f>Sinistrés!H3918</f>
        <v>Soja</v>
      </c>
      <c r="B3913">
        <f>Sinistrés!J3918</f>
        <v>3152.68</v>
      </c>
      <c r="C3913">
        <f>Sinistrés!X3918</f>
        <v>0</v>
      </c>
      <c r="D3913">
        <f>Sinistrés!L3918</f>
        <v>2.69</v>
      </c>
      <c r="E3913">
        <f>Sinistrés!M3918</f>
        <v>2.69</v>
      </c>
      <c r="F3913">
        <f t="shared" si="122"/>
        <v>0</v>
      </c>
      <c r="G3913">
        <f t="shared" si="123"/>
        <v>1</v>
      </c>
    </row>
    <row r="3914" spans="1:7">
      <c r="A3914" t="str">
        <f>Sinistrés!H3919</f>
        <v>Soja</v>
      </c>
      <c r="B3914">
        <f>Sinistrés!J3919</f>
        <v>2249.52</v>
      </c>
      <c r="C3914">
        <f>Sinistrés!X3919</f>
        <v>368.74</v>
      </c>
      <c r="D3914">
        <f>Sinistrés!L3919</f>
        <v>2.06</v>
      </c>
      <c r="E3914">
        <f>Sinistrés!M3919</f>
        <v>2.06</v>
      </c>
      <c r="F3914">
        <f t="shared" si="122"/>
        <v>0.16391941391941392</v>
      </c>
      <c r="G3914">
        <f t="shared" si="123"/>
        <v>1</v>
      </c>
    </row>
    <row r="3915" spans="1:7" hidden="1">
      <c r="A3915" t="str">
        <f>Sinistrés!H3920</f>
        <v>Tournesol</v>
      </c>
      <c r="B3915">
        <f>Sinistrés!J3920</f>
        <v>6727.5</v>
      </c>
      <c r="C3915">
        <f>Sinistrés!X3920</f>
        <v>0</v>
      </c>
      <c r="D3915">
        <f>Sinistrés!L3920</f>
        <v>5.85</v>
      </c>
      <c r="E3915">
        <f>Sinistrés!M3920</f>
        <v>5.85</v>
      </c>
      <c r="F3915">
        <f t="shared" si="122"/>
        <v>0</v>
      </c>
      <c r="G3915">
        <f t="shared" si="123"/>
        <v>1</v>
      </c>
    </row>
    <row r="3916" spans="1:7" hidden="1">
      <c r="A3916" t="str">
        <f>Sinistrés!H3921</f>
        <v>Maïs waxy non irrigué</v>
      </c>
      <c r="B3916">
        <f>Sinistrés!J3921</f>
        <v>50239.199999999997</v>
      </c>
      <c r="C3916">
        <f>Sinistrés!X3921</f>
        <v>0</v>
      </c>
      <c r="D3916">
        <f>Sinistrés!L3921</f>
        <v>20.76</v>
      </c>
      <c r="E3916">
        <f>Sinistrés!M3921</f>
        <v>20.76</v>
      </c>
      <c r="F3916">
        <f t="shared" si="122"/>
        <v>0</v>
      </c>
      <c r="G3916">
        <f t="shared" si="123"/>
        <v>1</v>
      </c>
    </row>
    <row r="3917" spans="1:7">
      <c r="A3917" t="str">
        <f>Sinistrés!H3922</f>
        <v>Maïs ensilage non irrigué</v>
      </c>
      <c r="B3917">
        <f>Sinistrés!J3922</f>
        <v>19755.060000000001</v>
      </c>
      <c r="C3917">
        <f>Sinistrés!X3922</f>
        <v>1720.6</v>
      </c>
      <c r="D3917">
        <f>Sinistrés!L3922</f>
        <v>14.82</v>
      </c>
      <c r="E3917">
        <f>Sinistrés!M3922</f>
        <v>14.82</v>
      </c>
      <c r="F3917">
        <f t="shared" si="122"/>
        <v>8.7096672953663509E-2</v>
      </c>
      <c r="G3917">
        <f t="shared" si="123"/>
        <v>1</v>
      </c>
    </row>
    <row r="3918" spans="1:7">
      <c r="A3918" t="str">
        <f>Sinistrés!H3923</f>
        <v>Tournesol</v>
      </c>
      <c r="B3918">
        <f>Sinistrés!J3923</f>
        <v>16558.52</v>
      </c>
      <c r="C3918">
        <f>Sinistrés!X3923</f>
        <v>2086.23</v>
      </c>
      <c r="D3918">
        <f>Sinistrés!L3923</f>
        <v>16.21</v>
      </c>
      <c r="E3918">
        <f>Sinistrés!M3923</f>
        <v>16.21</v>
      </c>
      <c r="F3918">
        <f t="shared" si="122"/>
        <v>0.12599133255870693</v>
      </c>
      <c r="G3918">
        <f t="shared" si="123"/>
        <v>1</v>
      </c>
    </row>
    <row r="3919" spans="1:7" hidden="1">
      <c r="A3919" t="str">
        <f>Sinistrés!H3924</f>
        <v>Tournesol</v>
      </c>
      <c r="B3919">
        <f>Sinistrés!J3924</f>
        <v>15056.26</v>
      </c>
      <c r="C3919">
        <f>Sinistrés!X3924</f>
        <v>0</v>
      </c>
      <c r="D3919">
        <f>Sinistrés!L3924</f>
        <v>14.2</v>
      </c>
      <c r="E3919">
        <f>Sinistrés!M3924</f>
        <v>14.2</v>
      </c>
      <c r="F3919">
        <f t="shared" si="122"/>
        <v>0</v>
      </c>
      <c r="G3919">
        <f t="shared" si="123"/>
        <v>1</v>
      </c>
    </row>
    <row r="3920" spans="1:7" hidden="1">
      <c r="A3920" t="str">
        <f>Sinistrés!H3925</f>
        <v>Soja</v>
      </c>
      <c r="B3920">
        <f>Sinistrés!J3925</f>
        <v>25179</v>
      </c>
      <c r="C3920">
        <f>Sinistrés!X3925</f>
        <v>0</v>
      </c>
      <c r="D3920">
        <f>Sinistrés!L3925</f>
        <v>14</v>
      </c>
      <c r="E3920">
        <f>Sinistrés!M3925</f>
        <v>14</v>
      </c>
      <c r="F3920">
        <f t="shared" si="122"/>
        <v>0</v>
      </c>
      <c r="G3920">
        <f t="shared" si="123"/>
        <v>1</v>
      </c>
    </row>
    <row r="3921" spans="1:7">
      <c r="A3921" t="str">
        <f>Sinistrés!H3926</f>
        <v>Maïs grain irrigué</v>
      </c>
      <c r="B3921">
        <f>Sinistrés!J3926</f>
        <v>74141.460000000006</v>
      </c>
      <c r="C3921">
        <f>Sinistrés!X3926</f>
        <v>5129.33</v>
      </c>
      <c r="D3921">
        <f>Sinistrés!L3926</f>
        <v>30.9</v>
      </c>
      <c r="E3921">
        <f>Sinistrés!M3926</f>
        <v>30.9</v>
      </c>
      <c r="F3921">
        <f t="shared" si="122"/>
        <v>6.9183018516225603E-2</v>
      </c>
      <c r="G3921">
        <f t="shared" si="123"/>
        <v>1</v>
      </c>
    </row>
    <row r="3922" spans="1:7" hidden="1">
      <c r="A3922" t="str">
        <f>Sinistrés!H3927</f>
        <v>Maïs ensilage non irrigué</v>
      </c>
      <c r="B3922">
        <f>Sinistrés!J3927</f>
        <v>3420</v>
      </c>
      <c r="C3922">
        <f>Sinistrés!X3927</f>
        <v>0</v>
      </c>
      <c r="D3922">
        <f>Sinistrés!L3927</f>
        <v>3.8</v>
      </c>
      <c r="E3922">
        <f>Sinistrés!M3927</f>
        <v>3.8</v>
      </c>
      <c r="F3922">
        <f t="shared" si="122"/>
        <v>0</v>
      </c>
      <c r="G3922">
        <f t="shared" si="123"/>
        <v>1</v>
      </c>
    </row>
    <row r="3923" spans="1:7" hidden="1">
      <c r="A3923" t="str">
        <f>Sinistrés!H3928</f>
        <v>Tournesol</v>
      </c>
      <c r="B3923">
        <f>Sinistrés!J3928</f>
        <v>82730.880000000005</v>
      </c>
      <c r="C3923">
        <f>Sinistrés!X3928</f>
        <v>0</v>
      </c>
      <c r="D3923">
        <f>Sinistrés!L3928</f>
        <v>50.88</v>
      </c>
      <c r="E3923">
        <f>Sinistrés!M3928</f>
        <v>50.88</v>
      </c>
      <c r="F3923">
        <f t="shared" si="122"/>
        <v>0</v>
      </c>
      <c r="G3923">
        <f t="shared" si="123"/>
        <v>1</v>
      </c>
    </row>
    <row r="3924" spans="1:7">
      <c r="A3924" t="str">
        <f>Sinistrés!H3929</f>
        <v>Lin oléagineux</v>
      </c>
      <c r="B3924">
        <f>Sinistrés!J3929</f>
        <v>7245</v>
      </c>
      <c r="C3924">
        <f>Sinistrés!X3929</f>
        <v>4425.75</v>
      </c>
      <c r="D3924">
        <f>Sinistrés!L3929</f>
        <v>12.6</v>
      </c>
      <c r="E3924">
        <f>Sinistrés!M3929</f>
        <v>12.6</v>
      </c>
      <c r="F3924">
        <f t="shared" si="122"/>
        <v>0.61086956521739133</v>
      </c>
      <c r="G3924">
        <f t="shared" si="123"/>
        <v>1</v>
      </c>
    </row>
    <row r="3925" spans="1:7">
      <c r="A3925" t="str">
        <f>Sinistrés!H3930</f>
        <v>Maïs ensilage non irrigué</v>
      </c>
      <c r="B3925">
        <f>Sinistrés!J3930</f>
        <v>32162.720000000001</v>
      </c>
      <c r="C3925">
        <f>Sinistrés!X3930</f>
        <v>14814.04</v>
      </c>
      <c r="D3925">
        <f>Sinistrés!L3930</f>
        <v>17.899999999999999</v>
      </c>
      <c r="E3925">
        <f>Sinistrés!M3930</f>
        <v>17.899999999999999</v>
      </c>
      <c r="F3925">
        <f t="shared" si="122"/>
        <v>0.46059661620658948</v>
      </c>
      <c r="G3925">
        <f t="shared" si="123"/>
        <v>1</v>
      </c>
    </row>
    <row r="3926" spans="1:7" hidden="1">
      <c r="A3926" t="str">
        <f>Sinistrés!H3931</f>
        <v>Maïs ensilage non irrigué</v>
      </c>
      <c r="B3926">
        <f>Sinistrés!J3931</f>
        <v>5998.5</v>
      </c>
      <c r="C3926">
        <f>Sinistrés!X3931</f>
        <v>0</v>
      </c>
      <c r="D3926">
        <f>Sinistrés!L3931</f>
        <v>5</v>
      </c>
      <c r="E3926">
        <f>Sinistrés!M3931</f>
        <v>5</v>
      </c>
      <c r="F3926">
        <f t="shared" si="122"/>
        <v>0</v>
      </c>
      <c r="G3926">
        <f t="shared" si="123"/>
        <v>1</v>
      </c>
    </row>
    <row r="3927" spans="1:7" hidden="1">
      <c r="A3927" t="str">
        <f>Sinistrés!H3932</f>
        <v>Tournesol</v>
      </c>
      <c r="B3927">
        <f>Sinistrés!J3932</f>
        <v>22440.5</v>
      </c>
      <c r="C3927">
        <f>Sinistrés!X3932</f>
        <v>0</v>
      </c>
      <c r="D3927">
        <f>Sinistrés!L3932</f>
        <v>15.44</v>
      </c>
      <c r="E3927">
        <f>Sinistrés!M3932</f>
        <v>15.44</v>
      </c>
      <c r="F3927">
        <f t="shared" si="122"/>
        <v>0</v>
      </c>
      <c r="G3927">
        <f t="shared" si="123"/>
        <v>1</v>
      </c>
    </row>
    <row r="3928" spans="1:7">
      <c r="A3928" t="str">
        <f>Sinistrés!H3933</f>
        <v>Maïs grain non irrigué</v>
      </c>
      <c r="B3928">
        <f>Sinistrés!J3933</f>
        <v>32566.39</v>
      </c>
      <c r="C3928">
        <f>Sinistrés!X3933</f>
        <v>6811.92</v>
      </c>
      <c r="D3928">
        <f>Sinistrés!L3933</f>
        <v>25.19</v>
      </c>
      <c r="E3928">
        <f>Sinistrés!M3933</f>
        <v>25.18</v>
      </c>
      <c r="F3928">
        <f t="shared" si="122"/>
        <v>0.20917025190695071</v>
      </c>
      <c r="G3928">
        <f t="shared" si="123"/>
        <v>0.99960301707026589</v>
      </c>
    </row>
    <row r="3929" spans="1:7">
      <c r="A3929" t="str">
        <f>Sinistrés!H3934</f>
        <v>Tournesol</v>
      </c>
      <c r="B3929">
        <f>Sinistrés!J3934</f>
        <v>25716.06</v>
      </c>
      <c r="C3929">
        <f>Sinistrés!X3934</f>
        <v>5825.08</v>
      </c>
      <c r="D3929">
        <f>Sinistrés!L3934</f>
        <v>21.13</v>
      </c>
      <c r="E3929">
        <f>Sinistrés!M3934</f>
        <v>21.13</v>
      </c>
      <c r="F3929">
        <f t="shared" si="122"/>
        <v>0.2265152593359947</v>
      </c>
      <c r="G3929">
        <f t="shared" si="123"/>
        <v>1</v>
      </c>
    </row>
    <row r="3930" spans="1:7" hidden="1">
      <c r="A3930" t="str">
        <f>Sinistrés!H3935</f>
        <v>Tournesol</v>
      </c>
      <c r="B3930">
        <f>Sinistrés!J3935</f>
        <v>11165.36</v>
      </c>
      <c r="C3930">
        <f>Sinistrés!X3935</f>
        <v>0</v>
      </c>
      <c r="D3930">
        <f>Sinistrés!L3935</f>
        <v>8</v>
      </c>
      <c r="E3930">
        <f>Sinistrés!M3935</f>
        <v>8</v>
      </c>
      <c r="F3930">
        <f t="shared" si="122"/>
        <v>0</v>
      </c>
      <c r="G3930">
        <f t="shared" si="123"/>
        <v>1</v>
      </c>
    </row>
    <row r="3931" spans="1:7" hidden="1">
      <c r="A3931" t="str">
        <f>Sinistrés!H3936</f>
        <v>Soja</v>
      </c>
      <c r="B3931">
        <f>Sinistrés!J3936</f>
        <v>4390.47</v>
      </c>
      <c r="C3931">
        <f>Sinistrés!X3936</f>
        <v>0</v>
      </c>
      <c r="D3931">
        <f>Sinistrés!L3936</f>
        <v>3.5</v>
      </c>
      <c r="E3931">
        <f>Sinistrés!M3936</f>
        <v>3.5</v>
      </c>
      <c r="F3931">
        <f t="shared" si="122"/>
        <v>0</v>
      </c>
      <c r="G3931">
        <f t="shared" si="123"/>
        <v>1</v>
      </c>
    </row>
    <row r="3932" spans="1:7">
      <c r="A3932" t="str">
        <f>Sinistrés!H3937</f>
        <v>Maïs waxy non irrigué</v>
      </c>
      <c r="B3932">
        <f>Sinistrés!J3937</f>
        <v>11000</v>
      </c>
      <c r="C3932">
        <f>Sinistrés!X3937</f>
        <v>2013</v>
      </c>
      <c r="D3932">
        <f>Sinistrés!L3937</f>
        <v>5.5</v>
      </c>
      <c r="E3932">
        <f>Sinistrés!M3937</f>
        <v>5.5</v>
      </c>
      <c r="F3932">
        <f t="shared" si="122"/>
        <v>0.183</v>
      </c>
      <c r="G3932">
        <f t="shared" si="123"/>
        <v>1</v>
      </c>
    </row>
    <row r="3933" spans="1:7">
      <c r="A3933" t="str">
        <f>Sinistrés!H3938</f>
        <v>Maïs waxy non irrigué</v>
      </c>
      <c r="B3933">
        <f>Sinistrés!J3938</f>
        <v>41829.21</v>
      </c>
      <c r="C3933">
        <f>Sinistrés!X3938</f>
        <v>16146.77</v>
      </c>
      <c r="D3933">
        <f>Sinistrés!L3938</f>
        <v>22.85</v>
      </c>
      <c r="E3933">
        <f>Sinistrés!M3938</f>
        <v>22.85</v>
      </c>
      <c r="F3933">
        <f t="shared" si="122"/>
        <v>0.38601661374910023</v>
      </c>
      <c r="G3933">
        <f t="shared" si="123"/>
        <v>1</v>
      </c>
    </row>
    <row r="3934" spans="1:7">
      <c r="A3934" t="str">
        <f>Sinistrés!H3939</f>
        <v>Maïs grain non irrigué</v>
      </c>
      <c r="B3934">
        <f>Sinistrés!J3939</f>
        <v>10196.44</v>
      </c>
      <c r="C3934">
        <f>Sinistrés!X3939</f>
        <v>2544.1</v>
      </c>
      <c r="D3934">
        <f>Sinistrés!L3939</f>
        <v>5.57</v>
      </c>
      <c r="E3934">
        <f>Sinistrés!M3939</f>
        <v>5.57</v>
      </c>
      <c r="F3934">
        <f t="shared" si="122"/>
        <v>0.2495086520393392</v>
      </c>
      <c r="G3934">
        <f t="shared" si="123"/>
        <v>1</v>
      </c>
    </row>
    <row r="3935" spans="1:7" hidden="1">
      <c r="A3935" t="str">
        <f>Sinistrés!H3940</f>
        <v>Maïs grain irrigué</v>
      </c>
      <c r="B3935">
        <f>Sinistrés!J3940</f>
        <v>55332</v>
      </c>
      <c r="C3935">
        <f>Sinistrés!X3940</f>
        <v>0</v>
      </c>
      <c r="D3935">
        <f>Sinistrés!L3940</f>
        <v>26.5</v>
      </c>
      <c r="E3935">
        <f>Sinistrés!M3940</f>
        <v>26.5</v>
      </c>
      <c r="F3935">
        <f t="shared" si="122"/>
        <v>0</v>
      </c>
      <c r="G3935">
        <f t="shared" si="123"/>
        <v>1</v>
      </c>
    </row>
    <row r="3936" spans="1:7">
      <c r="A3936" t="str">
        <f>Sinistrés!H3941</f>
        <v>Maïs ensilage non irrigué</v>
      </c>
      <c r="B3936">
        <f>Sinistrés!J3941</f>
        <v>18267.689999999999</v>
      </c>
      <c r="C3936">
        <f>Sinistrés!X3941</f>
        <v>1.25</v>
      </c>
      <c r="D3936">
        <f>Sinistrés!L3941</f>
        <v>17.850000000000001</v>
      </c>
      <c r="E3936">
        <f>Sinistrés!M3941</f>
        <v>17.850000000000001</v>
      </c>
      <c r="F3936">
        <f t="shared" si="122"/>
        <v>6.8426823533791086E-5</v>
      </c>
      <c r="G3936">
        <f t="shared" si="123"/>
        <v>1</v>
      </c>
    </row>
    <row r="3937" spans="1:7" hidden="1">
      <c r="A3937" t="str">
        <f>Sinistrés!H3942</f>
        <v>Tournesol</v>
      </c>
      <c r="B3937">
        <f>Sinistrés!J3942</f>
        <v>15408.54</v>
      </c>
      <c r="C3937">
        <f>Sinistrés!X3942</f>
        <v>0</v>
      </c>
      <c r="D3937">
        <f>Sinistrés!L3942</f>
        <v>17.47</v>
      </c>
      <c r="E3937">
        <f>Sinistrés!M3942</f>
        <v>17.47</v>
      </c>
      <c r="F3937">
        <f t="shared" si="122"/>
        <v>0</v>
      </c>
      <c r="G3937">
        <f t="shared" si="123"/>
        <v>1</v>
      </c>
    </row>
    <row r="3938" spans="1:7">
      <c r="A3938" t="str">
        <f>Sinistrés!H3943</f>
        <v>Maïs pop corn irrigué</v>
      </c>
      <c r="B3938">
        <f>Sinistrés!J3943</f>
        <v>23712</v>
      </c>
      <c r="C3938">
        <f>Sinistrés!X3943</f>
        <v>2222.4</v>
      </c>
      <c r="D3938">
        <f>Sinistrés!L3943</f>
        <v>12</v>
      </c>
      <c r="E3938">
        <f>Sinistrés!M3943</f>
        <v>12</v>
      </c>
      <c r="F3938">
        <f t="shared" si="122"/>
        <v>9.3724696356275311E-2</v>
      </c>
      <c r="G3938">
        <f t="shared" si="123"/>
        <v>1</v>
      </c>
    </row>
    <row r="3939" spans="1:7" hidden="1">
      <c r="A3939" t="str">
        <f>Sinistrés!H3944</f>
        <v>Tournesol</v>
      </c>
      <c r="B3939">
        <f>Sinistrés!J3944</f>
        <v>22350.240000000002</v>
      </c>
      <c r="C3939">
        <f>Sinistrés!X3944</f>
        <v>0</v>
      </c>
      <c r="D3939">
        <f>Sinistrés!L3944</f>
        <v>18.260000000000002</v>
      </c>
      <c r="E3939">
        <f>Sinistrés!M3944</f>
        <v>18.260000000000002</v>
      </c>
      <c r="F3939">
        <f t="shared" si="122"/>
        <v>0</v>
      </c>
      <c r="G3939">
        <f t="shared" si="123"/>
        <v>1</v>
      </c>
    </row>
    <row r="3940" spans="1:7">
      <c r="A3940" t="str">
        <f>Sinistrés!H3945</f>
        <v>Maïs grain non irrigué</v>
      </c>
      <c r="B3940">
        <f>Sinistrés!J3945</f>
        <v>31060.04</v>
      </c>
      <c r="C3940">
        <f>Sinistrés!X3945</f>
        <v>131.52000000000001</v>
      </c>
      <c r="D3940">
        <f>Sinistrés!L3945</f>
        <v>19.34</v>
      </c>
      <c r="E3940">
        <f>Sinistrés!M3945</f>
        <v>19.34</v>
      </c>
      <c r="F3940">
        <f t="shared" si="122"/>
        <v>4.2343796080108074E-3</v>
      </c>
      <c r="G3940">
        <f t="shared" si="123"/>
        <v>1</v>
      </c>
    </row>
    <row r="3941" spans="1:7">
      <c r="A3941" t="str">
        <f>Sinistrés!H3946</f>
        <v>Maïs ensilage non irrigué</v>
      </c>
      <c r="B3941">
        <f>Sinistrés!J3946</f>
        <v>43438.080000000002</v>
      </c>
      <c r="C3941">
        <f>Sinistrés!X3946</f>
        <v>4959.18</v>
      </c>
      <c r="D3941">
        <f>Sinistrés!L3946</f>
        <v>35.840000000000003</v>
      </c>
      <c r="E3941">
        <f>Sinistrés!M3946</f>
        <v>35.840000000000003</v>
      </c>
      <c r="F3941">
        <f t="shared" si="122"/>
        <v>0.1141666482496464</v>
      </c>
      <c r="G3941">
        <f t="shared" si="123"/>
        <v>1</v>
      </c>
    </row>
    <row r="3942" spans="1:7" hidden="1">
      <c r="A3942" t="str">
        <f>Sinistrés!H3947</f>
        <v>Tournesol BIO</v>
      </c>
      <c r="B3942">
        <f>Sinistrés!J3947</f>
        <v>39115.03</v>
      </c>
      <c r="C3942">
        <f>Sinistrés!X3947</f>
        <v>5867.25</v>
      </c>
      <c r="D3942">
        <f>Sinistrés!L3947</f>
        <v>27.48</v>
      </c>
      <c r="E3942">
        <f>Sinistrés!M3947</f>
        <v>27.48</v>
      </c>
      <c r="F3942">
        <f t="shared" si="122"/>
        <v>0.14999988495470923</v>
      </c>
      <c r="G3942">
        <f t="shared" si="123"/>
        <v>1</v>
      </c>
    </row>
    <row r="3943" spans="1:7" hidden="1">
      <c r="A3943" t="str">
        <f>Sinistrés!H3948</f>
        <v>Maïs grain non irrigué BIO</v>
      </c>
      <c r="B3943">
        <f>Sinistrés!J3948</f>
        <v>7180</v>
      </c>
      <c r="C3943">
        <f>Sinistrés!X3948</f>
        <v>1635</v>
      </c>
      <c r="D3943">
        <f>Sinistrés!L3948</f>
        <v>7.18</v>
      </c>
      <c r="E3943">
        <f>Sinistrés!M3948</f>
        <v>7.18</v>
      </c>
      <c r="F3943">
        <f t="shared" si="122"/>
        <v>0.22771587743732591</v>
      </c>
      <c r="G3943">
        <f t="shared" si="123"/>
        <v>1</v>
      </c>
    </row>
    <row r="3944" spans="1:7" hidden="1">
      <c r="A3944" t="str">
        <f>Sinistrés!H3949</f>
        <v>Maïs grain non irrigué</v>
      </c>
      <c r="B3944">
        <f>Sinistrés!J3949</f>
        <v>23443.200000000001</v>
      </c>
      <c r="C3944">
        <f>Sinistrés!X3949</f>
        <v>0</v>
      </c>
      <c r="D3944">
        <f>Sinistrés!L3949</f>
        <v>16.28</v>
      </c>
      <c r="E3944">
        <f>Sinistrés!M3949</f>
        <v>16.25</v>
      </c>
      <c r="F3944">
        <f t="shared" si="122"/>
        <v>0</v>
      </c>
      <c r="G3944">
        <f t="shared" si="123"/>
        <v>0.99815724815724804</v>
      </c>
    </row>
    <row r="3945" spans="1:7" hidden="1">
      <c r="A3945" t="str">
        <f>Sinistrés!H3950</f>
        <v>Tournesol</v>
      </c>
      <c r="B3945">
        <f>Sinistrés!J3950</f>
        <v>18352.96</v>
      </c>
      <c r="C3945">
        <f>Sinistrés!X3950</f>
        <v>0</v>
      </c>
      <c r="D3945">
        <f>Sinistrés!L3950</f>
        <v>22.62</v>
      </c>
      <c r="E3945">
        <f>Sinistrés!M3950</f>
        <v>22.62</v>
      </c>
      <c r="F3945">
        <f t="shared" si="122"/>
        <v>0</v>
      </c>
      <c r="G3945">
        <f t="shared" si="123"/>
        <v>1</v>
      </c>
    </row>
    <row r="3946" spans="1:7">
      <c r="A3946" t="str">
        <f>Sinistrés!H3951</f>
        <v>Maïs grain non irrigué</v>
      </c>
      <c r="B3946">
        <f>Sinistrés!J3951</f>
        <v>8777.9581999999991</v>
      </c>
      <c r="C3946">
        <f>Sinistrés!X3951</f>
        <v>1062.08</v>
      </c>
      <c r="D3946">
        <f>Sinistrés!L3951</f>
        <v>5.63</v>
      </c>
      <c r="E3946">
        <f>Sinistrés!M3951</f>
        <v>5.63</v>
      </c>
      <c r="F3946">
        <f t="shared" si="122"/>
        <v>0.12099396873409582</v>
      </c>
      <c r="G3946">
        <f t="shared" si="123"/>
        <v>1</v>
      </c>
    </row>
    <row r="3947" spans="1:7" hidden="1">
      <c r="A3947" t="str">
        <f>Sinistrés!H3952</f>
        <v>Soja</v>
      </c>
      <c r="B3947">
        <f>Sinistrés!J3952</f>
        <v>9769.32</v>
      </c>
      <c r="C3947">
        <f>Sinistrés!X3952</f>
        <v>0</v>
      </c>
      <c r="D3947">
        <f>Sinistrés!L3952</f>
        <v>11.74</v>
      </c>
      <c r="E3947">
        <f>Sinistrés!M3952</f>
        <v>11.74</v>
      </c>
      <c r="F3947">
        <f t="shared" si="122"/>
        <v>0</v>
      </c>
      <c r="G3947">
        <f t="shared" si="123"/>
        <v>1</v>
      </c>
    </row>
    <row r="3948" spans="1:7">
      <c r="A3948" t="str">
        <f>Sinistrés!H3953</f>
        <v>Tournesol</v>
      </c>
      <c r="B3948">
        <f>Sinistrés!J3953</f>
        <v>65103.02</v>
      </c>
      <c r="C3948">
        <f>Sinistrés!X3953</f>
        <v>12811.04</v>
      </c>
      <c r="D3948">
        <f>Sinistrés!L3953</f>
        <v>60.61</v>
      </c>
      <c r="E3948">
        <f>Sinistrés!M3953</f>
        <v>60.61</v>
      </c>
      <c r="F3948">
        <f t="shared" si="122"/>
        <v>0.19678104026510601</v>
      </c>
      <c r="G3948">
        <f t="shared" si="123"/>
        <v>1</v>
      </c>
    </row>
    <row r="3949" spans="1:7">
      <c r="A3949" t="str">
        <f>Sinistrés!H3954</f>
        <v>Maïs grain non irrigué</v>
      </c>
      <c r="B3949">
        <f>Sinistrés!J3954</f>
        <v>38075.58</v>
      </c>
      <c r="C3949">
        <f>Sinistrés!X3954</f>
        <v>4892.8</v>
      </c>
      <c r="D3949">
        <f>Sinistrés!L3954</f>
        <v>27.05</v>
      </c>
      <c r="E3949">
        <f>Sinistrés!M3954</f>
        <v>27.05</v>
      </c>
      <c r="F3949">
        <f t="shared" si="122"/>
        <v>0.12850231040472659</v>
      </c>
      <c r="G3949">
        <f t="shared" si="123"/>
        <v>1</v>
      </c>
    </row>
    <row r="3950" spans="1:7">
      <c r="A3950" t="str">
        <f>Sinistrés!H3955</f>
        <v>Sorgho</v>
      </c>
      <c r="B3950">
        <f>Sinistrés!J3955</f>
        <v>9717.2999999999993</v>
      </c>
      <c r="C3950">
        <f>Sinistrés!X3955</f>
        <v>1760.27</v>
      </c>
      <c r="D3950">
        <f>Sinistrés!L3955</f>
        <v>8.85</v>
      </c>
      <c r="E3950">
        <f>Sinistrés!M3955</f>
        <v>8.85</v>
      </c>
      <c r="F3950">
        <f t="shared" si="122"/>
        <v>0.18114805552982827</v>
      </c>
      <c r="G3950">
        <f t="shared" si="123"/>
        <v>1</v>
      </c>
    </row>
    <row r="3951" spans="1:7" hidden="1">
      <c r="A3951" t="str">
        <f>Sinistrés!H3956</f>
        <v>Tournesol</v>
      </c>
      <c r="B3951">
        <f>Sinistrés!J3956</f>
        <v>29550.400000000001</v>
      </c>
      <c r="C3951">
        <f>Sinistrés!X3956</f>
        <v>0</v>
      </c>
      <c r="D3951">
        <f>Sinistrés!L3956</f>
        <v>32.119999999999997</v>
      </c>
      <c r="E3951">
        <f>Sinistrés!M3956</f>
        <v>32.119999999999997</v>
      </c>
      <c r="F3951">
        <f t="shared" si="122"/>
        <v>0</v>
      </c>
      <c r="G3951">
        <f t="shared" si="123"/>
        <v>1</v>
      </c>
    </row>
    <row r="3952" spans="1:7">
      <c r="A3952" t="str">
        <f>Sinistrés!H3957</f>
        <v>Maïs grain non irrigué</v>
      </c>
      <c r="B3952">
        <f>Sinistrés!J3957</f>
        <v>10794.82</v>
      </c>
      <c r="C3952">
        <f>Sinistrés!X3957</f>
        <v>3221.04</v>
      </c>
      <c r="D3952">
        <f>Sinistrés!L3957</f>
        <v>7.57</v>
      </c>
      <c r="E3952">
        <f>Sinistrés!M3957</f>
        <v>7.57</v>
      </c>
      <c r="F3952">
        <f t="shared" si="122"/>
        <v>0.29838755995931382</v>
      </c>
      <c r="G3952">
        <f t="shared" si="123"/>
        <v>1</v>
      </c>
    </row>
    <row r="3953" spans="1:7">
      <c r="A3953" t="str">
        <f>Sinistrés!H3958</f>
        <v>Maïs grain non irrigué</v>
      </c>
      <c r="B3953">
        <f>Sinistrés!J3958</f>
        <v>7888</v>
      </c>
      <c r="C3953">
        <f>Sinistrés!X3958</f>
        <v>887.4</v>
      </c>
      <c r="D3953">
        <f>Sinistrés!L3958</f>
        <v>4.93</v>
      </c>
      <c r="E3953">
        <f>Sinistrés!M3958</f>
        <v>4.93</v>
      </c>
      <c r="F3953">
        <f t="shared" si="122"/>
        <v>0.1125</v>
      </c>
      <c r="G3953">
        <f t="shared" si="123"/>
        <v>1</v>
      </c>
    </row>
    <row r="3954" spans="1:7" hidden="1">
      <c r="A3954" t="str">
        <f>Sinistrés!H3959</f>
        <v>Tournesol</v>
      </c>
      <c r="B3954">
        <f>Sinistrés!J3959</f>
        <v>17291.509999999998</v>
      </c>
      <c r="C3954">
        <f>Sinistrés!X3959</f>
        <v>0</v>
      </c>
      <c r="D3954">
        <f>Sinistrés!L3959</f>
        <v>11.41</v>
      </c>
      <c r="E3954">
        <f>Sinistrés!M3959</f>
        <v>11.41</v>
      </c>
      <c r="F3954">
        <f t="shared" si="122"/>
        <v>0</v>
      </c>
      <c r="G3954">
        <f t="shared" si="123"/>
        <v>1</v>
      </c>
    </row>
    <row r="3955" spans="1:7" hidden="1">
      <c r="A3955" t="str">
        <f>Sinistrés!H3960</f>
        <v>Soja BIO</v>
      </c>
      <c r="B3955">
        <f>Sinistrés!J3960</f>
        <v>10456.6</v>
      </c>
      <c r="C3955">
        <f>Sinistrés!X3960</f>
        <v>6295.3</v>
      </c>
      <c r="D3955">
        <f>Sinistrés!L3960</f>
        <v>9.6999999999999993</v>
      </c>
      <c r="E3955">
        <f>Sinistrés!M3960</f>
        <v>9.6999999999999993</v>
      </c>
      <c r="F3955">
        <f t="shared" si="122"/>
        <v>0.60204081632653061</v>
      </c>
      <c r="G3955">
        <f t="shared" si="123"/>
        <v>1</v>
      </c>
    </row>
    <row r="3956" spans="1:7" hidden="1">
      <c r="A3956" t="str">
        <f>Sinistrés!H3961</f>
        <v>Tournesol BIO</v>
      </c>
      <c r="B3956">
        <f>Sinistrés!J3961</f>
        <v>20571.2</v>
      </c>
      <c r="C3956">
        <f>Sinistrés!X3961</f>
        <v>395.6</v>
      </c>
      <c r="D3956">
        <f>Sinistrés!L3961</f>
        <v>19.78</v>
      </c>
      <c r="E3956">
        <f>Sinistrés!M3961</f>
        <v>19.78</v>
      </c>
      <c r="F3956">
        <f t="shared" si="122"/>
        <v>1.9230769230769232E-2</v>
      </c>
      <c r="G3956">
        <f t="shared" si="123"/>
        <v>1</v>
      </c>
    </row>
    <row r="3957" spans="1:7">
      <c r="A3957" t="str">
        <f>Sinistrés!H3962</f>
        <v>Tournesol</v>
      </c>
      <c r="B3957">
        <f>Sinistrés!J3962</f>
        <v>6136.52</v>
      </c>
      <c r="C3957">
        <f>Sinistrés!X3962</f>
        <v>1651.77</v>
      </c>
      <c r="D3957">
        <f>Sinistrés!L3962</f>
        <v>6.93</v>
      </c>
      <c r="E3957">
        <f>Sinistrés!M3962</f>
        <v>6.93</v>
      </c>
      <c r="F3957">
        <f t="shared" si="122"/>
        <v>0.26917047447087272</v>
      </c>
      <c r="G3957">
        <f t="shared" si="123"/>
        <v>1</v>
      </c>
    </row>
    <row r="3958" spans="1:7">
      <c r="A3958" t="str">
        <f>Sinistrés!H3963</f>
        <v>Maïs waxy non irrigué</v>
      </c>
      <c r="B3958">
        <f>Sinistrés!J3963</f>
        <v>13820.68</v>
      </c>
      <c r="C3958">
        <f>Sinistrés!X3963</f>
        <v>3304.69</v>
      </c>
      <c r="D3958">
        <f>Sinistrés!L3963</f>
        <v>7.94</v>
      </c>
      <c r="E3958">
        <f>Sinistrés!M3963</f>
        <v>7.94</v>
      </c>
      <c r="F3958">
        <f t="shared" si="122"/>
        <v>0.2391119684414949</v>
      </c>
      <c r="G3958">
        <f t="shared" si="123"/>
        <v>1</v>
      </c>
    </row>
    <row r="3959" spans="1:7">
      <c r="A3959" t="str">
        <f>Sinistrés!H3964</f>
        <v>Maïs grain non irrigué</v>
      </c>
      <c r="B3959">
        <f>Sinistrés!J3964</f>
        <v>6865.24</v>
      </c>
      <c r="C3959">
        <f>Sinistrés!X3964</f>
        <v>1219.96</v>
      </c>
      <c r="D3959">
        <f>Sinistrés!L3964</f>
        <v>3.78</v>
      </c>
      <c r="E3959">
        <f>Sinistrés!M3964</f>
        <v>3.78</v>
      </c>
      <c r="F3959">
        <f t="shared" si="122"/>
        <v>0.17770099807144399</v>
      </c>
      <c r="G3959">
        <f t="shared" si="123"/>
        <v>1</v>
      </c>
    </row>
    <row r="3960" spans="1:7">
      <c r="A3960" t="str">
        <f>Sinistrés!H3965</f>
        <v>Soja</v>
      </c>
      <c r="B3960">
        <f>Sinistrés!J3965</f>
        <v>21910</v>
      </c>
      <c r="C3960">
        <f>Sinistrés!X3965</f>
        <v>5635.83</v>
      </c>
      <c r="D3960">
        <f>Sinistrés!L3965</f>
        <v>20</v>
      </c>
      <c r="E3960">
        <f>Sinistrés!M3965</f>
        <v>20</v>
      </c>
      <c r="F3960">
        <f t="shared" si="122"/>
        <v>0.25722638064810588</v>
      </c>
      <c r="G3960">
        <f t="shared" si="123"/>
        <v>1</v>
      </c>
    </row>
    <row r="3961" spans="1:7">
      <c r="A3961" t="str">
        <f>Sinistrés!H3966</f>
        <v>Maïs grain non irrigué</v>
      </c>
      <c r="B3961">
        <f>Sinistrés!J3966</f>
        <v>18006.400000000001</v>
      </c>
      <c r="C3961">
        <f>Sinistrés!X3966</f>
        <v>1031.5</v>
      </c>
      <c r="D3961">
        <f>Sinistrés!L3966</f>
        <v>9.6999999999999993</v>
      </c>
      <c r="E3961">
        <f>Sinistrés!M3966</f>
        <v>9.6999999999999993</v>
      </c>
      <c r="F3961">
        <f t="shared" si="122"/>
        <v>5.728518748889283E-2</v>
      </c>
      <c r="G3961">
        <f t="shared" si="123"/>
        <v>1</v>
      </c>
    </row>
    <row r="3962" spans="1:7" hidden="1">
      <c r="A3962" t="str">
        <f>Sinistrés!H3967</f>
        <v>Tournesol</v>
      </c>
      <c r="B3962">
        <f>Sinistrés!J3967</f>
        <v>15608.25</v>
      </c>
      <c r="C3962">
        <f>Sinistrés!X3967</f>
        <v>0</v>
      </c>
      <c r="D3962">
        <f>Sinistrés!L3967</f>
        <v>19.82</v>
      </c>
      <c r="E3962">
        <f>Sinistrés!M3967</f>
        <v>19.82</v>
      </c>
      <c r="F3962">
        <f t="shared" si="122"/>
        <v>0</v>
      </c>
      <c r="G3962">
        <f t="shared" si="123"/>
        <v>1</v>
      </c>
    </row>
    <row r="3963" spans="1:7">
      <c r="A3963" t="str">
        <f>Sinistrés!H3968</f>
        <v>Maïs ensilage non irrigué</v>
      </c>
      <c r="B3963">
        <f>Sinistrés!J3968</f>
        <v>15075.36</v>
      </c>
      <c r="C3963">
        <f>Sinistrés!X3968</f>
        <v>4195.49</v>
      </c>
      <c r="D3963">
        <f>Sinistrés!L3968</f>
        <v>11.6</v>
      </c>
      <c r="E3963">
        <f>Sinistrés!M3968</f>
        <v>11.6</v>
      </c>
      <c r="F3963">
        <f t="shared" si="122"/>
        <v>0.27830114836395281</v>
      </c>
      <c r="G3963">
        <f t="shared" si="123"/>
        <v>1</v>
      </c>
    </row>
    <row r="3964" spans="1:7">
      <c r="A3964" t="str">
        <f>Sinistrés!H3969</f>
        <v>Maïs ensilage irrigué</v>
      </c>
      <c r="B3964">
        <f>Sinistrés!J3969</f>
        <v>21522.62</v>
      </c>
      <c r="C3964">
        <f>Sinistrés!X3969</f>
        <v>6346.99</v>
      </c>
      <c r="D3964">
        <f>Sinistrés!L3969</f>
        <v>17.940000000000001</v>
      </c>
      <c r="E3964">
        <f>Sinistrés!M3969</f>
        <v>17.940000000000001</v>
      </c>
      <c r="F3964">
        <f t="shared" si="122"/>
        <v>0.29489857647442552</v>
      </c>
      <c r="G3964">
        <f t="shared" si="123"/>
        <v>1</v>
      </c>
    </row>
    <row r="3965" spans="1:7" hidden="1">
      <c r="A3965" t="str">
        <f>Sinistrés!H3970</f>
        <v>Maïs grain irrigué</v>
      </c>
      <c r="B3965">
        <f>Sinistrés!J3970</f>
        <v>18326.91</v>
      </c>
      <c r="C3965">
        <f>Sinistrés!X3970</f>
        <v>0</v>
      </c>
      <c r="D3965">
        <f>Sinistrés!L3970</f>
        <v>13.79</v>
      </c>
      <c r="E3965">
        <f>Sinistrés!M3970</f>
        <v>13.79</v>
      </c>
      <c r="F3965">
        <f t="shared" si="122"/>
        <v>0</v>
      </c>
      <c r="G3965">
        <f t="shared" si="123"/>
        <v>1</v>
      </c>
    </row>
    <row r="3966" spans="1:7" hidden="1">
      <c r="A3966" t="str">
        <f>Sinistrés!H3971</f>
        <v>Tournesol</v>
      </c>
      <c r="B3966">
        <f>Sinistrés!J3971</f>
        <v>10752</v>
      </c>
      <c r="C3966">
        <f>Sinistrés!X3971</f>
        <v>0</v>
      </c>
      <c r="D3966">
        <f>Sinistrés!L3971</f>
        <v>16</v>
      </c>
      <c r="E3966">
        <f>Sinistrés!M3971</f>
        <v>16</v>
      </c>
      <c r="F3966">
        <f t="shared" si="122"/>
        <v>0</v>
      </c>
      <c r="G3966">
        <f t="shared" si="123"/>
        <v>1</v>
      </c>
    </row>
    <row r="3967" spans="1:7" hidden="1">
      <c r="A3967" t="str">
        <f>Sinistrés!H3972</f>
        <v>Maïs ensilage non irrigué</v>
      </c>
      <c r="B3967">
        <f>Sinistrés!J3972</f>
        <v>19601.96</v>
      </c>
      <c r="C3967">
        <f>Sinistrés!X3972</f>
        <v>0</v>
      </c>
      <c r="D3967">
        <f>Sinistrés!L3972</f>
        <v>19.77</v>
      </c>
      <c r="E3967">
        <f>Sinistrés!M3972</f>
        <v>19.77</v>
      </c>
      <c r="F3967">
        <f t="shared" si="122"/>
        <v>0</v>
      </c>
      <c r="G3967">
        <f t="shared" si="123"/>
        <v>1</v>
      </c>
    </row>
    <row r="3968" spans="1:7" hidden="1">
      <c r="A3968" t="str">
        <f>Sinistrés!H3973</f>
        <v>Maïs grain non irrigué</v>
      </c>
      <c r="B3968">
        <f>Sinistrés!J3973</f>
        <v>11051.04</v>
      </c>
      <c r="C3968">
        <f>Sinistrés!X3973</f>
        <v>0</v>
      </c>
      <c r="D3968">
        <f>Sinistrés!L3973</f>
        <v>10.56</v>
      </c>
      <c r="E3968">
        <f>Sinistrés!M3973</f>
        <v>10.56</v>
      </c>
      <c r="F3968">
        <f t="shared" si="122"/>
        <v>0</v>
      </c>
      <c r="G3968">
        <f t="shared" si="123"/>
        <v>1</v>
      </c>
    </row>
    <row r="3969" spans="1:7">
      <c r="A3969" t="str">
        <f>Sinistrés!H3974</f>
        <v>Maïs ensilage non irrigué</v>
      </c>
      <c r="B3969">
        <f>Sinistrés!J3974</f>
        <v>9000</v>
      </c>
      <c r="C3969">
        <f>Sinistrés!X3974</f>
        <v>7980</v>
      </c>
      <c r="D3969">
        <f>Sinistrés!L3974</f>
        <v>6</v>
      </c>
      <c r="E3969">
        <f>Sinistrés!M3974</f>
        <v>6</v>
      </c>
      <c r="F3969">
        <f t="shared" si="122"/>
        <v>0.88666666666666671</v>
      </c>
      <c r="G3969">
        <f t="shared" si="123"/>
        <v>1</v>
      </c>
    </row>
    <row r="3970" spans="1:7">
      <c r="A3970" t="str">
        <f>Sinistrés!H3975</f>
        <v>Maïs grain non irrigué</v>
      </c>
      <c r="B3970">
        <f>Sinistrés!J3975</f>
        <v>4451.43</v>
      </c>
      <c r="C3970">
        <f>Sinistrés!X3975</f>
        <v>1141.79</v>
      </c>
      <c r="D3970">
        <f>Sinistrés!L3975</f>
        <v>3.37</v>
      </c>
      <c r="E3970">
        <f>Sinistrés!M3975</f>
        <v>3.37</v>
      </c>
      <c r="F3970">
        <f t="shared" si="122"/>
        <v>0.25649959675879436</v>
      </c>
      <c r="G3970">
        <f t="shared" si="123"/>
        <v>1</v>
      </c>
    </row>
    <row r="3971" spans="1:7" hidden="1">
      <c r="A3971" t="str">
        <f>Sinistrés!H3976</f>
        <v>Vigne à raisin de cuve (VCU1)</v>
      </c>
      <c r="B3971">
        <f>Sinistrés!J3976</f>
        <v>158181.29999999999</v>
      </c>
      <c r="C3971">
        <f>Sinistrés!X3976</f>
        <v>0</v>
      </c>
      <c r="D3971">
        <f>Sinistrés!L3976</f>
        <v>25.29</v>
      </c>
      <c r="E3971">
        <f>Sinistrés!M3976</f>
        <v>25.259999999999998</v>
      </c>
      <c r="F3971">
        <f t="shared" ref="F3971:F4034" si="124">C3971/B3971</f>
        <v>0</v>
      </c>
      <c r="G3971">
        <f t="shared" ref="G3971:G4034" si="125">E3971/D3971</f>
        <v>0.99881376037959668</v>
      </c>
    </row>
    <row r="3972" spans="1:7" hidden="1">
      <c r="A3972" t="str">
        <f>Sinistrés!H3977</f>
        <v>Sorgho</v>
      </c>
      <c r="B3972">
        <f>Sinistrés!J3977</f>
        <v>10047.09</v>
      </c>
      <c r="C3972">
        <f>Sinistrés!X3977</f>
        <v>0</v>
      </c>
      <c r="D3972">
        <f>Sinistrés!L3977</f>
        <v>14.23</v>
      </c>
      <c r="E3972">
        <f>Sinistrés!M3977</f>
        <v>14.23</v>
      </c>
      <c r="F3972">
        <f t="shared" si="124"/>
        <v>0</v>
      </c>
      <c r="G3972">
        <f t="shared" si="125"/>
        <v>1</v>
      </c>
    </row>
    <row r="3973" spans="1:7" hidden="1">
      <c r="A3973" t="str">
        <f>Sinistrés!H3978</f>
        <v>Maïs grain irrigué</v>
      </c>
      <c r="B3973">
        <f>Sinistrés!J3978</f>
        <v>41644.81</v>
      </c>
      <c r="C3973">
        <f>Sinistrés!X3978</f>
        <v>0</v>
      </c>
      <c r="D3973">
        <f>Sinistrés!L3978</f>
        <v>29.67</v>
      </c>
      <c r="E3973">
        <f>Sinistrés!M3978</f>
        <v>29.67</v>
      </c>
      <c r="F3973">
        <f t="shared" si="124"/>
        <v>0</v>
      </c>
      <c r="G3973">
        <f t="shared" si="125"/>
        <v>1</v>
      </c>
    </row>
    <row r="3974" spans="1:7" hidden="1">
      <c r="A3974" t="str">
        <f>Sinistrés!H3979</f>
        <v>Tournesol</v>
      </c>
      <c r="B3974">
        <f>Sinistrés!J3979</f>
        <v>12474</v>
      </c>
      <c r="C3974">
        <f>Sinistrés!X3979</f>
        <v>0</v>
      </c>
      <c r="D3974">
        <f>Sinistrés!L3979</f>
        <v>11.34</v>
      </c>
      <c r="E3974">
        <f>Sinistrés!M3979</f>
        <v>11.34</v>
      </c>
      <c r="F3974">
        <f t="shared" si="124"/>
        <v>0</v>
      </c>
      <c r="G3974">
        <f t="shared" si="125"/>
        <v>1</v>
      </c>
    </row>
    <row r="3975" spans="1:7">
      <c r="A3975" t="str">
        <f>Sinistrés!H3980</f>
        <v>Maïs grain irrigué</v>
      </c>
      <c r="B3975">
        <f>Sinistrés!J3980</f>
        <v>32987.79</v>
      </c>
      <c r="C3975">
        <f>Sinistrés!X3980</f>
        <v>12932.5</v>
      </c>
      <c r="D3975">
        <f>Sinistrés!L3980</f>
        <v>23.47</v>
      </c>
      <c r="E3975">
        <f>Sinistrés!M3980</f>
        <v>23.47</v>
      </c>
      <c r="F3975">
        <f t="shared" si="124"/>
        <v>0.39203899382165341</v>
      </c>
      <c r="G3975">
        <f t="shared" si="125"/>
        <v>1</v>
      </c>
    </row>
    <row r="3976" spans="1:7">
      <c r="A3976" t="str">
        <f>Sinistrés!H3981</f>
        <v>Maïs grain non irrigué</v>
      </c>
      <c r="B3976">
        <f>Sinistrés!J3981</f>
        <v>37077.4</v>
      </c>
      <c r="C3976">
        <f>Sinistrés!X3981</f>
        <v>9287.36</v>
      </c>
      <c r="D3976">
        <f>Sinistrés!L3981</f>
        <v>38.64</v>
      </c>
      <c r="E3976">
        <f>Sinistrés!M3981</f>
        <v>38.64</v>
      </c>
      <c r="F3976">
        <f t="shared" si="124"/>
        <v>0.25048574063985068</v>
      </c>
      <c r="G3976">
        <f t="shared" si="125"/>
        <v>1</v>
      </c>
    </row>
    <row r="3977" spans="1:7">
      <c r="A3977" t="str">
        <f>Sinistrés!H3982</f>
        <v>Tournesol</v>
      </c>
      <c r="B3977">
        <f>Sinistrés!J3982</f>
        <v>23709.15</v>
      </c>
      <c r="C3977">
        <f>Sinistrés!X3982</f>
        <v>3542.98</v>
      </c>
      <c r="D3977">
        <f>Sinistrés!L3982</f>
        <v>35.25</v>
      </c>
      <c r="E3977">
        <f>Sinistrés!M3982</f>
        <v>35.25</v>
      </c>
      <c r="F3977">
        <f t="shared" si="124"/>
        <v>0.14943513369311004</v>
      </c>
      <c r="G3977">
        <f t="shared" si="125"/>
        <v>1</v>
      </c>
    </row>
    <row r="3978" spans="1:7">
      <c r="A3978" t="str">
        <f>Sinistrés!H3983</f>
        <v>Soja</v>
      </c>
      <c r="B3978">
        <f>Sinistrés!J3983</f>
        <v>33695.5</v>
      </c>
      <c r="C3978">
        <f>Sinistrés!X3983</f>
        <v>8130.87</v>
      </c>
      <c r="D3978">
        <f>Sinistrés!L3983</f>
        <v>32.17</v>
      </c>
      <c r="E3978">
        <f>Sinistrés!M3983</f>
        <v>32.17</v>
      </c>
      <c r="F3978">
        <f t="shared" si="124"/>
        <v>0.24130432847116084</v>
      </c>
      <c r="G3978">
        <f t="shared" si="125"/>
        <v>1</v>
      </c>
    </row>
    <row r="3979" spans="1:7" hidden="1">
      <c r="A3979" t="str">
        <f>Sinistrés!H3984</f>
        <v>Maïs grain non irrigué</v>
      </c>
      <c r="B3979">
        <f>Sinistrés!J3984</f>
        <v>54893.85</v>
      </c>
      <c r="C3979">
        <f>Sinistrés!X3984</f>
        <v>0</v>
      </c>
      <c r="D3979">
        <f>Sinistrés!L3984</f>
        <v>33.99</v>
      </c>
      <c r="E3979">
        <f>Sinistrés!M3984</f>
        <v>33.99</v>
      </c>
      <c r="F3979">
        <f t="shared" si="124"/>
        <v>0</v>
      </c>
      <c r="G3979">
        <f t="shared" si="125"/>
        <v>1</v>
      </c>
    </row>
    <row r="3980" spans="1:7" hidden="1">
      <c r="A3980" t="str">
        <f>Sinistrés!H3985</f>
        <v>Lentilles</v>
      </c>
      <c r="B3980">
        <f>Sinistrés!J3985</f>
        <v>5167.8</v>
      </c>
      <c r="C3980">
        <f>Sinistrés!X3985</f>
        <v>0</v>
      </c>
      <c r="D3980">
        <f>Sinistrés!L3985</f>
        <v>3.48</v>
      </c>
      <c r="E3980">
        <f>Sinistrés!M3985</f>
        <v>3.48</v>
      </c>
      <c r="F3980">
        <f t="shared" si="124"/>
        <v>0</v>
      </c>
      <c r="G3980">
        <f t="shared" si="125"/>
        <v>1</v>
      </c>
    </row>
    <row r="3981" spans="1:7" hidden="1">
      <c r="A3981" t="str">
        <f>Sinistrés!H3986</f>
        <v>Maïs grain irrigué SEMENCES FERTILES</v>
      </c>
      <c r="B3981">
        <f>Sinistrés!J3986</f>
        <v>80275</v>
      </c>
      <c r="C3981">
        <f>Sinistrés!X3986</f>
        <v>32214.36</v>
      </c>
      <c r="D3981">
        <f>Sinistrés!L3986</f>
        <v>19</v>
      </c>
      <c r="E3981">
        <f>Sinistrés!M3986</f>
        <v>11</v>
      </c>
      <c r="F3981">
        <f t="shared" si="124"/>
        <v>0.40130003114294616</v>
      </c>
      <c r="G3981">
        <f t="shared" si="125"/>
        <v>0.57894736842105265</v>
      </c>
    </row>
    <row r="3982" spans="1:7" hidden="1">
      <c r="A3982" t="str">
        <f>Sinistrés!H3987</f>
        <v>Maïs grain irrigué SEMENCES STERILES</v>
      </c>
      <c r="B3982">
        <f>Sinistrés!J3987</f>
        <v>172200</v>
      </c>
      <c r="C3982">
        <f>Sinistrés!X3987</f>
        <v>100942</v>
      </c>
      <c r="D3982">
        <f>Sinistrés!L3987</f>
        <v>41</v>
      </c>
      <c r="E3982">
        <f>Sinistrés!M3987</f>
        <v>22</v>
      </c>
      <c r="F3982">
        <f t="shared" si="124"/>
        <v>0.58619047619047615</v>
      </c>
      <c r="G3982">
        <f t="shared" si="125"/>
        <v>0.53658536585365857</v>
      </c>
    </row>
    <row r="3983" spans="1:7" hidden="1">
      <c r="A3983" t="str">
        <f>Sinistrés!H3988</f>
        <v>Maïs grain non irrigué</v>
      </c>
      <c r="B3983">
        <f>Sinistrés!J3988</f>
        <v>114420.18</v>
      </c>
      <c r="C3983">
        <f>Sinistrés!X3988</f>
        <v>0</v>
      </c>
      <c r="D3983">
        <f>Sinistrés!L3988</f>
        <v>61.22</v>
      </c>
      <c r="E3983">
        <f>Sinistrés!M3988</f>
        <v>61.22</v>
      </c>
      <c r="F3983">
        <f t="shared" si="124"/>
        <v>0</v>
      </c>
      <c r="G3983">
        <f t="shared" si="125"/>
        <v>1</v>
      </c>
    </row>
    <row r="3984" spans="1:7">
      <c r="A3984" t="str">
        <f>Sinistrés!H3989</f>
        <v>Maïs grain non irrigué</v>
      </c>
      <c r="B3984">
        <f>Sinistrés!J3989</f>
        <v>37768.18</v>
      </c>
      <c r="C3984">
        <f>Sinistrés!X3989</f>
        <v>13760.72</v>
      </c>
      <c r="D3984">
        <f>Sinistrés!L3989</f>
        <v>29.72</v>
      </c>
      <c r="E3984">
        <f>Sinistrés!M3989</f>
        <v>29.72</v>
      </c>
      <c r="F3984">
        <f t="shared" si="124"/>
        <v>0.36434691849064477</v>
      </c>
      <c r="G3984">
        <f t="shared" si="125"/>
        <v>1</v>
      </c>
    </row>
    <row r="3985" spans="1:7">
      <c r="A3985" t="str">
        <f>Sinistrés!H3990</f>
        <v>Tournesol</v>
      </c>
      <c r="B3985">
        <f>Sinistrés!J3990</f>
        <v>29840</v>
      </c>
      <c r="C3985">
        <f>Sinistrés!X3990</f>
        <v>11422.75</v>
      </c>
      <c r="D3985">
        <f>Sinistrés!L3990</f>
        <v>29.84</v>
      </c>
      <c r="E3985">
        <f>Sinistrés!M3990</f>
        <v>29.84</v>
      </c>
      <c r="F3985">
        <f t="shared" si="124"/>
        <v>0.38279993297587134</v>
      </c>
      <c r="G3985">
        <f t="shared" si="125"/>
        <v>1</v>
      </c>
    </row>
    <row r="3986" spans="1:7" hidden="1">
      <c r="A3986" t="str">
        <f>Sinistrés!H3991</f>
        <v>Tournesol</v>
      </c>
      <c r="B3986">
        <f>Sinistrés!J3991</f>
        <v>71728.02</v>
      </c>
      <c r="C3986">
        <f>Sinistrés!X3991</f>
        <v>0</v>
      </c>
      <c r="D3986">
        <f>Sinistrés!L3991</f>
        <v>39.26</v>
      </c>
      <c r="E3986">
        <f>Sinistrés!M3991</f>
        <v>39.26</v>
      </c>
      <c r="F3986">
        <f t="shared" si="124"/>
        <v>0</v>
      </c>
      <c r="G3986">
        <f t="shared" si="125"/>
        <v>1</v>
      </c>
    </row>
    <row r="3987" spans="1:7">
      <c r="A3987" t="str">
        <f>Sinistrés!H3992</f>
        <v>Maïs ensilage non irrigué</v>
      </c>
      <c r="B3987">
        <f>Sinistrés!J3992</f>
        <v>54745.54</v>
      </c>
      <c r="C3987">
        <f>Sinistrés!X3992</f>
        <v>21280.12</v>
      </c>
      <c r="D3987">
        <f>Sinistrés!L3992</f>
        <v>34.97</v>
      </c>
      <c r="E3987">
        <f>Sinistrés!M3992</f>
        <v>34.97</v>
      </c>
      <c r="F3987">
        <f t="shared" si="124"/>
        <v>0.38870965561760829</v>
      </c>
      <c r="G3987">
        <f t="shared" si="125"/>
        <v>1</v>
      </c>
    </row>
    <row r="3988" spans="1:7">
      <c r="A3988" t="str">
        <f>Sinistrés!H3993</f>
        <v>Maïs ensilage non irrigué</v>
      </c>
      <c r="B3988">
        <f>Sinistrés!J3993</f>
        <v>11952.71</v>
      </c>
      <c r="C3988">
        <f>Sinistrés!X3993</f>
        <v>4575.53</v>
      </c>
      <c r="D3988">
        <f>Sinistrés!L3993</f>
        <v>13.3</v>
      </c>
      <c r="E3988">
        <f>Sinistrés!M3993</f>
        <v>13.3</v>
      </c>
      <c r="F3988">
        <f t="shared" si="124"/>
        <v>0.38280272841891089</v>
      </c>
      <c r="G3988">
        <f t="shared" si="125"/>
        <v>1</v>
      </c>
    </row>
    <row r="3989" spans="1:7" hidden="1">
      <c r="A3989" t="str">
        <f>Sinistrés!H3994</f>
        <v>Tournesol</v>
      </c>
      <c r="B3989">
        <f>Sinistrés!J3994</f>
        <v>20007.400000000001</v>
      </c>
      <c r="C3989">
        <f>Sinistrés!X3994</f>
        <v>0</v>
      </c>
      <c r="D3989">
        <f>Sinistrés!L3994</f>
        <v>20</v>
      </c>
      <c r="E3989">
        <f>Sinistrés!M3994</f>
        <v>20</v>
      </c>
      <c r="F3989">
        <f t="shared" si="124"/>
        <v>0</v>
      </c>
      <c r="G3989">
        <f t="shared" si="125"/>
        <v>1</v>
      </c>
    </row>
    <row r="3990" spans="1:7" hidden="1">
      <c r="A3990" t="str">
        <f>Sinistrés!H3995</f>
        <v>Tournesol</v>
      </c>
      <c r="B3990">
        <f>Sinistrés!J3995</f>
        <v>22492.62</v>
      </c>
      <c r="C3990">
        <f>Sinistrés!X3995</f>
        <v>0</v>
      </c>
      <c r="D3990">
        <f>Sinistrés!L3995</f>
        <v>18.11</v>
      </c>
      <c r="E3990">
        <f>Sinistrés!M3995</f>
        <v>18.11</v>
      </c>
      <c r="F3990">
        <f t="shared" si="124"/>
        <v>0</v>
      </c>
      <c r="G3990">
        <f t="shared" si="125"/>
        <v>1</v>
      </c>
    </row>
    <row r="3991" spans="1:7" hidden="1">
      <c r="A3991" t="str">
        <f>Sinistrés!H3996</f>
        <v>Tournesol</v>
      </c>
      <c r="B3991">
        <f>Sinistrés!J3996</f>
        <v>38079.72</v>
      </c>
      <c r="C3991">
        <f>Sinistrés!X3996</f>
        <v>0</v>
      </c>
      <c r="D3991">
        <f>Sinistrés!L3996</f>
        <v>30.66</v>
      </c>
      <c r="E3991">
        <f>Sinistrés!M3996</f>
        <v>30.66</v>
      </c>
      <c r="F3991">
        <f t="shared" si="124"/>
        <v>0</v>
      </c>
      <c r="G3991">
        <f t="shared" si="125"/>
        <v>1</v>
      </c>
    </row>
    <row r="3992" spans="1:7">
      <c r="A3992" t="str">
        <f>Sinistrés!H3997</f>
        <v>Sorgho</v>
      </c>
      <c r="B3992">
        <f>Sinistrés!J3997</f>
        <v>7440</v>
      </c>
      <c r="C3992">
        <f>Sinistrés!X3997</f>
        <v>206.04</v>
      </c>
      <c r="D3992">
        <f>Sinistrés!L3997</f>
        <v>7.44</v>
      </c>
      <c r="E3992">
        <f>Sinistrés!M3997</f>
        <v>7.43</v>
      </c>
      <c r="F3992">
        <f t="shared" si="124"/>
        <v>2.7693548387096773E-2</v>
      </c>
      <c r="G3992">
        <f t="shared" si="125"/>
        <v>0.99865591397849451</v>
      </c>
    </row>
    <row r="3993" spans="1:7">
      <c r="A3993" t="str">
        <f>Sinistrés!H3998</f>
        <v>Maïs grain non irrigué</v>
      </c>
      <c r="B3993">
        <f>Sinistrés!J3998</f>
        <v>2713.2</v>
      </c>
      <c r="C3993">
        <f>Sinistrés!X3998</f>
        <v>918.75</v>
      </c>
      <c r="D3993">
        <f>Sinistrés!L3998</f>
        <v>3.23</v>
      </c>
      <c r="E3993">
        <f>Sinistrés!M3998</f>
        <v>3.23</v>
      </c>
      <c r="F3993">
        <f t="shared" si="124"/>
        <v>0.33862229102167185</v>
      </c>
      <c r="G3993">
        <f t="shared" si="125"/>
        <v>1</v>
      </c>
    </row>
    <row r="3994" spans="1:7">
      <c r="A3994" t="str">
        <f>Sinistrés!H3999</f>
        <v>Tournesol</v>
      </c>
      <c r="B3994">
        <f>Sinistrés!J3999</f>
        <v>31865.279999999999</v>
      </c>
      <c r="C3994">
        <f>Sinistrés!X3999</f>
        <v>15136.01</v>
      </c>
      <c r="D3994">
        <f>Sinistrés!L3999</f>
        <v>34.94</v>
      </c>
      <c r="E3994">
        <f>Sinistrés!M3999</f>
        <v>34.94</v>
      </c>
      <c r="F3994">
        <f t="shared" si="124"/>
        <v>0.47500006276423745</v>
      </c>
      <c r="G3994">
        <f t="shared" si="125"/>
        <v>1</v>
      </c>
    </row>
    <row r="3995" spans="1:7">
      <c r="A3995" t="str">
        <f>Sinistrés!H4000</f>
        <v>Maïs grain non irrigué</v>
      </c>
      <c r="B3995">
        <f>Sinistrés!J4000</f>
        <v>48051.09</v>
      </c>
      <c r="C3995">
        <f>Sinistrés!X4000</f>
        <v>20294.57</v>
      </c>
      <c r="D3995">
        <f>Sinistrés!L4000</f>
        <v>26</v>
      </c>
      <c r="E3995">
        <f>Sinistrés!M4000</f>
        <v>26</v>
      </c>
      <c r="F3995">
        <f t="shared" si="124"/>
        <v>0.42235399862937556</v>
      </c>
      <c r="G3995">
        <f t="shared" si="125"/>
        <v>1</v>
      </c>
    </row>
    <row r="3996" spans="1:7" hidden="1">
      <c r="A3996" t="str">
        <f>Sinistrés!H4001</f>
        <v>Tournesol</v>
      </c>
      <c r="B3996">
        <f>Sinistrés!J4001</f>
        <v>10556.55</v>
      </c>
      <c r="C3996">
        <f>Sinistrés!X4001</f>
        <v>0</v>
      </c>
      <c r="D3996">
        <f>Sinistrés!L4001</f>
        <v>7.56</v>
      </c>
      <c r="E3996">
        <f>Sinistrés!M4001</f>
        <v>7.56</v>
      </c>
      <c r="F3996">
        <f t="shared" si="124"/>
        <v>0</v>
      </c>
      <c r="G3996">
        <f t="shared" si="125"/>
        <v>1</v>
      </c>
    </row>
    <row r="3997" spans="1:7">
      <c r="A3997" t="str">
        <f>Sinistrés!H4002</f>
        <v>Maïs ensilage non irrigué</v>
      </c>
      <c r="B3997">
        <f>Sinistrés!J4002</f>
        <v>46912.5</v>
      </c>
      <c r="C3997">
        <f>Sinistrés!X4002</f>
        <v>9701.51</v>
      </c>
      <c r="D3997">
        <f>Sinistrés!L4002</f>
        <v>37.53</v>
      </c>
      <c r="E3997">
        <f>Sinistrés!M4002</f>
        <v>37.53</v>
      </c>
      <c r="F3997">
        <f t="shared" si="124"/>
        <v>0.20680010658140155</v>
      </c>
      <c r="G3997">
        <f t="shared" si="125"/>
        <v>1</v>
      </c>
    </row>
    <row r="3998" spans="1:7">
      <c r="A3998" t="str">
        <f>Sinistrés!H4003</f>
        <v>Tournesol</v>
      </c>
      <c r="B3998">
        <f>Sinistrés!J4003</f>
        <v>66643.08</v>
      </c>
      <c r="C3998">
        <f>Sinistrés!X4003</f>
        <v>18625.509999999998</v>
      </c>
      <c r="D3998">
        <f>Sinistrés!L4003</f>
        <v>65.709999999999994</v>
      </c>
      <c r="E3998">
        <f>Sinistrés!M4003</f>
        <v>65.709999999999994</v>
      </c>
      <c r="F3998">
        <f t="shared" si="124"/>
        <v>0.27948153056551406</v>
      </c>
      <c r="G3998">
        <f t="shared" si="125"/>
        <v>1</v>
      </c>
    </row>
    <row r="3999" spans="1:7" hidden="1">
      <c r="A3999" t="str">
        <f>Sinistrés!H4004</f>
        <v>Soja</v>
      </c>
      <c r="B3999">
        <f>Sinistrés!J4004</f>
        <v>35123.199999999997</v>
      </c>
      <c r="C3999">
        <f>Sinistrés!X4004</f>
        <v>0</v>
      </c>
      <c r="D3999">
        <f>Sinistrés!L4004</f>
        <v>35.840000000000003</v>
      </c>
      <c r="E3999">
        <f>Sinistrés!M4004</f>
        <v>35</v>
      </c>
      <c r="F3999">
        <f t="shared" si="124"/>
        <v>0</v>
      </c>
      <c r="G3999">
        <f t="shared" si="125"/>
        <v>0.97656249999999989</v>
      </c>
    </row>
    <row r="4000" spans="1:7" hidden="1">
      <c r="A4000" t="str">
        <f>Sinistrés!H4005</f>
        <v>Tournesol</v>
      </c>
      <c r="B4000">
        <f>Sinistrés!J4005</f>
        <v>73128.320000000007</v>
      </c>
      <c r="C4000">
        <f>Sinistrés!X4005</f>
        <v>0</v>
      </c>
      <c r="D4000">
        <f>Sinistrés!L4005</f>
        <v>56.08</v>
      </c>
      <c r="E4000">
        <f>Sinistrés!M4005</f>
        <v>56</v>
      </c>
      <c r="F4000">
        <f t="shared" si="124"/>
        <v>0</v>
      </c>
      <c r="G4000">
        <f t="shared" si="125"/>
        <v>0.99857346647646228</v>
      </c>
    </row>
    <row r="4001" spans="1:7">
      <c r="A4001" t="str">
        <f>Sinistrés!H4006</f>
        <v>Tournesol</v>
      </c>
      <c r="B4001">
        <f>Sinistrés!J4006</f>
        <v>5301.5</v>
      </c>
      <c r="C4001">
        <f>Sinistrés!X4006</f>
        <v>1429.1</v>
      </c>
      <c r="D4001">
        <f>Sinistrés!L4006</f>
        <v>5</v>
      </c>
      <c r="E4001">
        <f>Sinistrés!M4006</f>
        <v>5</v>
      </c>
      <c r="F4001">
        <f t="shared" si="124"/>
        <v>0.26956521739130435</v>
      </c>
      <c r="G4001">
        <f t="shared" si="125"/>
        <v>1</v>
      </c>
    </row>
    <row r="4002" spans="1:7">
      <c r="A4002" t="str">
        <f>Sinistrés!H4007</f>
        <v>Sorgho</v>
      </c>
      <c r="B4002">
        <f>Sinistrés!J4007</f>
        <v>12420</v>
      </c>
      <c r="C4002">
        <f>Sinistrés!X4007</f>
        <v>1217.1600000000001</v>
      </c>
      <c r="D4002">
        <f>Sinistrés!L4007</f>
        <v>12.42</v>
      </c>
      <c r="E4002">
        <f>Sinistrés!M4007</f>
        <v>12.42</v>
      </c>
      <c r="F4002">
        <f t="shared" si="124"/>
        <v>9.8000000000000004E-2</v>
      </c>
      <c r="G4002">
        <f t="shared" si="125"/>
        <v>1</v>
      </c>
    </row>
    <row r="4003" spans="1:7">
      <c r="A4003" t="str">
        <f>Sinistrés!H4008</f>
        <v>Maïs ensilage non irrigué</v>
      </c>
      <c r="B4003">
        <f>Sinistrés!J4008</f>
        <v>13130</v>
      </c>
      <c r="C4003">
        <f>Sinistrés!X4008</f>
        <v>959.5</v>
      </c>
      <c r="D4003">
        <f>Sinistrés!L4008</f>
        <v>10</v>
      </c>
      <c r="E4003">
        <f>Sinistrés!M4008</f>
        <v>10</v>
      </c>
      <c r="F4003">
        <f t="shared" si="124"/>
        <v>7.3076923076923081E-2</v>
      </c>
      <c r="G4003">
        <f t="shared" si="125"/>
        <v>1</v>
      </c>
    </row>
    <row r="4004" spans="1:7" hidden="1">
      <c r="A4004" t="str">
        <f>Sinistrés!H4009</f>
        <v>Soja</v>
      </c>
      <c r="B4004">
        <f>Sinistrés!J4009</f>
        <v>6579.93</v>
      </c>
      <c r="C4004">
        <f>Sinistrés!X4009</f>
        <v>0</v>
      </c>
      <c r="D4004">
        <f>Sinistrés!L4009</f>
        <v>5.5</v>
      </c>
      <c r="E4004">
        <f>Sinistrés!M4009</f>
        <v>5.49</v>
      </c>
      <c r="F4004">
        <f t="shared" si="124"/>
        <v>0</v>
      </c>
      <c r="G4004">
        <f t="shared" si="125"/>
        <v>0.99818181818181817</v>
      </c>
    </row>
    <row r="4005" spans="1:7" hidden="1">
      <c r="A4005" t="str">
        <f>Sinistrés!H4010</f>
        <v>Maïs grain irrigué</v>
      </c>
      <c r="B4005">
        <f>Sinistrés!J4010</f>
        <v>46332</v>
      </c>
      <c r="C4005">
        <f>Sinistrés!X4010</f>
        <v>0</v>
      </c>
      <c r="D4005">
        <f>Sinistrés!L4010</f>
        <v>18</v>
      </c>
      <c r="E4005">
        <f>Sinistrés!M4010</f>
        <v>18</v>
      </c>
      <c r="F4005">
        <f t="shared" si="124"/>
        <v>0</v>
      </c>
      <c r="G4005">
        <f t="shared" si="125"/>
        <v>1</v>
      </c>
    </row>
    <row r="4006" spans="1:7" hidden="1">
      <c r="A4006" t="str">
        <f>Sinistrés!H4011</f>
        <v>Maïs grain non irrigué</v>
      </c>
      <c r="B4006">
        <f>Sinistrés!J4011</f>
        <v>25558</v>
      </c>
      <c r="C4006">
        <f>Sinistrés!X4011</f>
        <v>0</v>
      </c>
      <c r="D4006">
        <f>Sinistrés!L4011</f>
        <v>13</v>
      </c>
      <c r="E4006">
        <f>Sinistrés!M4011</f>
        <v>13</v>
      </c>
      <c r="F4006">
        <f t="shared" si="124"/>
        <v>0</v>
      </c>
      <c r="G4006">
        <f t="shared" si="125"/>
        <v>1</v>
      </c>
    </row>
    <row r="4007" spans="1:7">
      <c r="A4007" t="str">
        <f>Sinistrés!H4012</f>
        <v>Maïs ensilage non irrigué</v>
      </c>
      <c r="B4007">
        <f>Sinistrés!J4012</f>
        <v>49459</v>
      </c>
      <c r="C4007">
        <f>Sinistrés!X4012</f>
        <v>3829.95</v>
      </c>
      <c r="D4007">
        <f>Sinistrés!L4012</f>
        <v>39.340000000000003</v>
      </c>
      <c r="E4007">
        <f>Sinistrés!M4012</f>
        <v>39.340000000000003</v>
      </c>
      <c r="F4007">
        <f t="shared" si="124"/>
        <v>7.7436866899856446E-2</v>
      </c>
      <c r="G4007">
        <f t="shared" si="125"/>
        <v>1</v>
      </c>
    </row>
    <row r="4008" spans="1:7" hidden="1">
      <c r="A4008" t="str">
        <f>Sinistrés!H4013</f>
        <v>Tournesol</v>
      </c>
      <c r="B4008">
        <f>Sinistrés!J4013</f>
        <v>2997.82</v>
      </c>
      <c r="C4008">
        <f>Sinistrés!X4013</f>
        <v>0</v>
      </c>
      <c r="D4008">
        <f>Sinistrés!L4013</f>
        <v>3.22</v>
      </c>
      <c r="E4008">
        <f>Sinistrés!M4013</f>
        <v>3.22</v>
      </c>
      <c r="F4008">
        <f t="shared" si="124"/>
        <v>0</v>
      </c>
      <c r="G4008">
        <f t="shared" si="125"/>
        <v>1</v>
      </c>
    </row>
    <row r="4009" spans="1:7" hidden="1">
      <c r="A4009" t="str">
        <f>Sinistrés!H4014</f>
        <v>Tournesol</v>
      </c>
      <c r="B4009">
        <f>Sinistrés!J4014</f>
        <v>14542.32</v>
      </c>
      <c r="C4009">
        <f>Sinistrés!X4014</f>
        <v>0</v>
      </c>
      <c r="D4009">
        <f>Sinistrés!L4014</f>
        <v>15.34</v>
      </c>
      <c r="E4009">
        <f>Sinistrés!M4014</f>
        <v>15.34</v>
      </c>
      <c r="F4009">
        <f t="shared" si="124"/>
        <v>0</v>
      </c>
      <c r="G4009">
        <f t="shared" si="125"/>
        <v>1</v>
      </c>
    </row>
    <row r="4010" spans="1:7">
      <c r="A4010" t="str">
        <f>Sinistrés!H4015</f>
        <v>Tournesol</v>
      </c>
      <c r="B4010">
        <f>Sinistrés!J4015</f>
        <v>33680.92</v>
      </c>
      <c r="C4010">
        <f>Sinistrés!X4015</f>
        <v>8897.49</v>
      </c>
      <c r="D4010">
        <f>Sinistrés!L4015</f>
        <v>38.96</v>
      </c>
      <c r="E4010">
        <f>Sinistrés!M4015</f>
        <v>38.96</v>
      </c>
      <c r="F4010">
        <f t="shared" si="124"/>
        <v>0.26417004048582998</v>
      </c>
      <c r="G4010">
        <f t="shared" si="125"/>
        <v>1</v>
      </c>
    </row>
    <row r="4011" spans="1:7" hidden="1">
      <c r="A4011" t="str">
        <f>Sinistrés!H4016</f>
        <v>Tournesol BIO</v>
      </c>
      <c r="B4011">
        <f>Sinistrés!J4016</f>
        <v>40624.35</v>
      </c>
      <c r="C4011">
        <f>Sinistrés!X4016</f>
        <v>0</v>
      </c>
      <c r="D4011">
        <f>Sinistrés!L4016</f>
        <v>32.630000000000003</v>
      </c>
      <c r="E4011">
        <f>Sinistrés!M4016</f>
        <v>32.630000000000003</v>
      </c>
      <c r="F4011">
        <f t="shared" si="124"/>
        <v>0</v>
      </c>
      <c r="G4011">
        <f t="shared" si="125"/>
        <v>1</v>
      </c>
    </row>
    <row r="4012" spans="1:7">
      <c r="A4012" t="str">
        <f>Sinistrés!H4017</f>
        <v>Tournesol</v>
      </c>
      <c r="B4012">
        <f>Sinistrés!J4017</f>
        <v>13824</v>
      </c>
      <c r="C4012">
        <f>Sinistrés!X4017</f>
        <v>1408</v>
      </c>
      <c r="D4012">
        <f>Sinistrés!L4017</f>
        <v>16</v>
      </c>
      <c r="E4012">
        <f>Sinistrés!M4017</f>
        <v>16</v>
      </c>
      <c r="F4012">
        <f t="shared" si="124"/>
        <v>0.10185185185185185</v>
      </c>
      <c r="G4012">
        <f t="shared" si="125"/>
        <v>1</v>
      </c>
    </row>
    <row r="4013" spans="1:7" hidden="1">
      <c r="A4013" t="str">
        <f>Sinistrés!H4018</f>
        <v>Tournesol BIO</v>
      </c>
      <c r="B4013">
        <f>Sinistrés!J4018</f>
        <v>29062</v>
      </c>
      <c r="C4013">
        <f>Sinistrés!X4018</f>
        <v>349</v>
      </c>
      <c r="D4013">
        <f>Sinistrés!L4018</f>
        <v>26.42</v>
      </c>
      <c r="E4013">
        <f>Sinistrés!M4018</f>
        <v>26.42</v>
      </c>
      <c r="F4013">
        <f t="shared" si="124"/>
        <v>1.2008808753698988E-2</v>
      </c>
      <c r="G4013">
        <f t="shared" si="125"/>
        <v>1</v>
      </c>
    </row>
    <row r="4014" spans="1:7">
      <c r="A4014" t="str">
        <f>Sinistrés!H4019</f>
        <v>Tournesol</v>
      </c>
      <c r="B4014">
        <f>Sinistrés!J4019</f>
        <v>32556.240000000002</v>
      </c>
      <c r="C4014">
        <f>Sinistrés!X4019</f>
        <v>6969.56</v>
      </c>
      <c r="D4014">
        <f>Sinistrés!L4019</f>
        <v>35.119999999999997</v>
      </c>
      <c r="E4014">
        <f>Sinistrés!M4019</f>
        <v>35.119999999999997</v>
      </c>
      <c r="F4014">
        <f t="shared" si="124"/>
        <v>0.21407754703860152</v>
      </c>
      <c r="G4014">
        <f t="shared" si="125"/>
        <v>1</v>
      </c>
    </row>
    <row r="4015" spans="1:7">
      <c r="A4015" t="str">
        <f>Sinistrés!H4020</f>
        <v>Soja</v>
      </c>
      <c r="B4015">
        <f>Sinistrés!J4020</f>
        <v>4979.04</v>
      </c>
      <c r="C4015">
        <f>Sinistrés!X4020</f>
        <v>1929.62</v>
      </c>
      <c r="D4015">
        <f>Sinistrés!L4020</f>
        <v>4.92</v>
      </c>
      <c r="E4015">
        <f>Sinistrés!M4020</f>
        <v>4.92</v>
      </c>
      <c r="F4015">
        <f t="shared" si="124"/>
        <v>0.38754860374690703</v>
      </c>
      <c r="G4015">
        <f t="shared" si="125"/>
        <v>1</v>
      </c>
    </row>
    <row r="4016" spans="1:7" hidden="1">
      <c r="A4016" t="str">
        <f>Sinistrés!H4021</f>
        <v>Maïs grain non irrigué</v>
      </c>
      <c r="B4016">
        <f>Sinistrés!J4021</f>
        <v>8359.16</v>
      </c>
      <c r="C4016">
        <f>Sinistrés!X4021</f>
        <v>0</v>
      </c>
      <c r="D4016">
        <f>Sinistrés!L4021</f>
        <v>12.12</v>
      </c>
      <c r="E4016">
        <f>Sinistrés!M4021</f>
        <v>12.12</v>
      </c>
      <c r="F4016">
        <f t="shared" si="124"/>
        <v>0</v>
      </c>
      <c r="G4016">
        <f t="shared" si="125"/>
        <v>1</v>
      </c>
    </row>
    <row r="4017" spans="1:7">
      <c r="A4017" t="str">
        <f>Sinistrés!H4022</f>
        <v>Maïs ensilage non irrigué</v>
      </c>
      <c r="B4017">
        <f>Sinistrés!J4022</f>
        <v>10582</v>
      </c>
      <c r="C4017">
        <f>Sinistrés!X4022</f>
        <v>2603.6999999999998</v>
      </c>
      <c r="D4017">
        <f>Sinistrés!L4022</f>
        <v>11</v>
      </c>
      <c r="E4017">
        <f>Sinistrés!M4022</f>
        <v>11</v>
      </c>
      <c r="F4017">
        <f t="shared" si="124"/>
        <v>0.24604989604989602</v>
      </c>
      <c r="G4017">
        <f t="shared" si="125"/>
        <v>1</v>
      </c>
    </row>
    <row r="4018" spans="1:7" hidden="1">
      <c r="A4018" t="str">
        <f>Sinistrés!H4023</f>
        <v>Tournesol</v>
      </c>
      <c r="B4018">
        <f>Sinistrés!J4023</f>
        <v>30208.799999999999</v>
      </c>
      <c r="C4018">
        <f>Sinistrés!X4023</f>
        <v>0</v>
      </c>
      <c r="D4018">
        <f>Sinistrés!L4023</f>
        <v>61.4</v>
      </c>
      <c r="E4018">
        <f>Sinistrés!M4023</f>
        <v>61.4</v>
      </c>
      <c r="F4018">
        <f t="shared" si="124"/>
        <v>0</v>
      </c>
      <c r="G4018">
        <f t="shared" si="125"/>
        <v>1</v>
      </c>
    </row>
    <row r="4019" spans="1:7">
      <c r="A4019" t="str">
        <f>Sinistrés!H4024</f>
        <v>Tournesol</v>
      </c>
      <c r="B4019">
        <f>Sinistrés!J4024</f>
        <v>49234.8</v>
      </c>
      <c r="C4019">
        <f>Sinistrés!X4024</f>
        <v>6868.9</v>
      </c>
      <c r="D4019">
        <f>Sinistrés!L4024</f>
        <v>40</v>
      </c>
      <c r="E4019">
        <f>Sinistrés!M4024</f>
        <v>40</v>
      </c>
      <c r="F4019">
        <f t="shared" si="124"/>
        <v>0.13951310861423219</v>
      </c>
      <c r="G4019">
        <f t="shared" si="125"/>
        <v>1</v>
      </c>
    </row>
    <row r="4020" spans="1:7" hidden="1">
      <c r="A4020" t="str">
        <f>Sinistrés!H4025</f>
        <v>Maïs waxy non irrigué</v>
      </c>
      <c r="B4020">
        <f>Sinistrés!J4025</f>
        <v>45884.84</v>
      </c>
      <c r="C4020">
        <f>Sinistrés!X4025</f>
        <v>0</v>
      </c>
      <c r="D4020">
        <f>Sinistrés!L4025</f>
        <v>19.93</v>
      </c>
      <c r="E4020">
        <f>Sinistrés!M4025</f>
        <v>19.93</v>
      </c>
      <c r="F4020">
        <f t="shared" si="124"/>
        <v>0</v>
      </c>
      <c r="G4020">
        <f t="shared" si="125"/>
        <v>1</v>
      </c>
    </row>
    <row r="4021" spans="1:7" hidden="1">
      <c r="A4021" t="str">
        <f>Sinistrés!H4026</f>
        <v>Soja</v>
      </c>
      <c r="B4021">
        <f>Sinistrés!J4026</f>
        <v>13250.04</v>
      </c>
      <c r="C4021">
        <f>Sinistrés!X4026</f>
        <v>0</v>
      </c>
      <c r="D4021">
        <f>Sinistrés!L4026</f>
        <v>10.130000000000001</v>
      </c>
      <c r="E4021">
        <f>Sinistrés!M4026</f>
        <v>10.130000000000001</v>
      </c>
      <c r="F4021">
        <f t="shared" si="124"/>
        <v>0</v>
      </c>
      <c r="G4021">
        <f t="shared" si="125"/>
        <v>1</v>
      </c>
    </row>
    <row r="4022" spans="1:7" hidden="1">
      <c r="A4022" t="str">
        <f>Sinistrés!H4027</f>
        <v>Maïs grain irrigué</v>
      </c>
      <c r="B4022">
        <f>Sinistrés!J4027</f>
        <v>67418.67</v>
      </c>
      <c r="C4022">
        <f>Sinistrés!X4027</f>
        <v>0</v>
      </c>
      <c r="D4022">
        <f>Sinistrés!L4027</f>
        <v>28.01</v>
      </c>
      <c r="E4022">
        <f>Sinistrés!M4027</f>
        <v>28.01</v>
      </c>
      <c r="F4022">
        <f t="shared" si="124"/>
        <v>0</v>
      </c>
      <c r="G4022">
        <f t="shared" si="125"/>
        <v>1</v>
      </c>
    </row>
    <row r="4023" spans="1:7" hidden="1">
      <c r="A4023" t="str">
        <f>Sinistrés!H4028</f>
        <v>Maïs waxy irrigué</v>
      </c>
      <c r="B4023">
        <f>Sinistrés!J4028</f>
        <v>8058.05</v>
      </c>
      <c r="C4023">
        <f>Sinistrés!X4028</f>
        <v>0</v>
      </c>
      <c r="D4023">
        <f>Sinistrés!L4028</f>
        <v>3.5</v>
      </c>
      <c r="E4023">
        <f>Sinistrés!M4028</f>
        <v>3.5</v>
      </c>
      <c r="F4023">
        <f t="shared" si="124"/>
        <v>0</v>
      </c>
      <c r="G4023">
        <f t="shared" si="125"/>
        <v>1</v>
      </c>
    </row>
    <row r="4024" spans="1:7">
      <c r="A4024" t="str">
        <f>Sinistrés!H4029</f>
        <v>Maïs grain non irrigué</v>
      </c>
      <c r="B4024">
        <f>Sinistrés!J4029</f>
        <v>12117</v>
      </c>
      <c r="C4024">
        <f>Sinistrés!X4029</f>
        <v>637.35</v>
      </c>
      <c r="D4024">
        <f>Sinistrés!L4029</f>
        <v>14</v>
      </c>
      <c r="E4024">
        <f>Sinistrés!M4029</f>
        <v>14</v>
      </c>
      <c r="F4024">
        <f t="shared" si="124"/>
        <v>5.2599653379549395E-2</v>
      </c>
      <c r="G4024">
        <f t="shared" si="125"/>
        <v>1</v>
      </c>
    </row>
    <row r="4025" spans="1:7" hidden="1">
      <c r="A4025" t="str">
        <f>Sinistrés!H4030</f>
        <v>Maïs grain non irrigué</v>
      </c>
      <c r="B4025">
        <f>Sinistrés!J4030</f>
        <v>12095.52</v>
      </c>
      <c r="C4025">
        <f>Sinistrés!X4030</f>
        <v>0</v>
      </c>
      <c r="D4025">
        <f>Sinistrés!L4030</f>
        <v>11.15</v>
      </c>
      <c r="E4025">
        <f>Sinistrés!M4030</f>
        <v>11.15</v>
      </c>
      <c r="F4025">
        <f t="shared" si="124"/>
        <v>0</v>
      </c>
      <c r="G4025">
        <f t="shared" si="125"/>
        <v>1</v>
      </c>
    </row>
    <row r="4026" spans="1:7">
      <c r="A4026" t="str">
        <f>Sinistrés!H4031</f>
        <v>Maïs grain irrigué</v>
      </c>
      <c r="B4026">
        <f>Sinistrés!J4031</f>
        <v>77657.84</v>
      </c>
      <c r="C4026">
        <f>Sinistrés!X4031</f>
        <v>39933.040000000001</v>
      </c>
      <c r="D4026">
        <f>Sinistrés!L4031</f>
        <v>33.56</v>
      </c>
      <c r="E4026">
        <f>Sinistrés!M4031</f>
        <v>33.56</v>
      </c>
      <c r="F4026">
        <f t="shared" si="124"/>
        <v>0.51421775315924323</v>
      </c>
      <c r="G4026">
        <f t="shared" si="125"/>
        <v>1</v>
      </c>
    </row>
    <row r="4027" spans="1:7">
      <c r="A4027" t="str">
        <f>Sinistrés!H4032</f>
        <v>Maïs pop corn irrigué</v>
      </c>
      <c r="B4027">
        <f>Sinistrés!J4032</f>
        <v>28464</v>
      </c>
      <c r="C4027">
        <f>Sinistrés!X4032</f>
        <v>3352.8</v>
      </c>
      <c r="D4027">
        <f>Sinistrés!L4032</f>
        <v>16</v>
      </c>
      <c r="E4027">
        <f>Sinistrés!M4032</f>
        <v>16</v>
      </c>
      <c r="F4027">
        <f t="shared" si="124"/>
        <v>0.11779089376053964</v>
      </c>
      <c r="G4027">
        <f t="shared" si="125"/>
        <v>1</v>
      </c>
    </row>
    <row r="4028" spans="1:7" hidden="1">
      <c r="A4028" t="str">
        <f>Sinistrés!H4033</f>
        <v>Tournesol</v>
      </c>
      <c r="B4028">
        <f>Sinistrés!J4033</f>
        <v>7910</v>
      </c>
      <c r="C4028">
        <f>Sinistrés!X4033</f>
        <v>0</v>
      </c>
      <c r="D4028">
        <f>Sinistrés!L4033</f>
        <v>7.91</v>
      </c>
      <c r="E4028">
        <f>Sinistrés!M4033</f>
        <v>7.91</v>
      </c>
      <c r="F4028">
        <f t="shared" si="124"/>
        <v>0</v>
      </c>
      <c r="G4028">
        <f t="shared" si="125"/>
        <v>1</v>
      </c>
    </row>
    <row r="4029" spans="1:7" hidden="1">
      <c r="A4029" t="str">
        <f>Sinistrés!H4034</f>
        <v>Soja</v>
      </c>
      <c r="B4029">
        <f>Sinistrés!J4034</f>
        <v>9824.64</v>
      </c>
      <c r="C4029">
        <f>Sinistrés!X4034</f>
        <v>0</v>
      </c>
      <c r="D4029">
        <f>Sinistrés!L4034</f>
        <v>12.9</v>
      </c>
      <c r="E4029">
        <f>Sinistrés!M4034</f>
        <v>12.9</v>
      </c>
      <c r="F4029">
        <f t="shared" si="124"/>
        <v>0</v>
      </c>
      <c r="G4029">
        <f t="shared" si="125"/>
        <v>1</v>
      </c>
    </row>
    <row r="4030" spans="1:7" hidden="1">
      <c r="A4030" t="str">
        <f>Sinistrés!H4035</f>
        <v>Maïs grain non irrigué</v>
      </c>
      <c r="B4030">
        <f>Sinistrés!J4035</f>
        <v>16575.3</v>
      </c>
      <c r="C4030">
        <f>Sinistrés!X4035</f>
        <v>0</v>
      </c>
      <c r="D4030">
        <f>Sinistrés!L4035</f>
        <v>17.54</v>
      </c>
      <c r="E4030">
        <f>Sinistrés!M4035</f>
        <v>17.54</v>
      </c>
      <c r="F4030">
        <f t="shared" si="124"/>
        <v>0</v>
      </c>
      <c r="G4030">
        <f t="shared" si="125"/>
        <v>1</v>
      </c>
    </row>
    <row r="4031" spans="1:7">
      <c r="A4031" t="str">
        <f>Sinistrés!H4036</f>
        <v>Maïs ensilage non irrigué</v>
      </c>
      <c r="B4031">
        <f>Sinistrés!J4036</f>
        <v>3693.42</v>
      </c>
      <c r="C4031">
        <f>Sinistrés!X4036</f>
        <v>601.09</v>
      </c>
      <c r="D4031">
        <f>Sinistrés!L4036</f>
        <v>4.26</v>
      </c>
      <c r="E4031">
        <f>Sinistrés!M4036</f>
        <v>4.26</v>
      </c>
      <c r="F4031">
        <f t="shared" si="124"/>
        <v>0.16274618104629315</v>
      </c>
      <c r="G4031">
        <f t="shared" si="125"/>
        <v>1</v>
      </c>
    </row>
    <row r="4032" spans="1:7" hidden="1">
      <c r="A4032" t="str">
        <f>Sinistrés!H4037</f>
        <v>Maïs grain non irrigué</v>
      </c>
      <c r="B4032">
        <f>Sinistrés!J4037</f>
        <v>5714.86</v>
      </c>
      <c r="C4032">
        <f>Sinistrés!X4037</f>
        <v>0</v>
      </c>
      <c r="D4032">
        <f>Sinistrés!L4037</f>
        <v>6.12</v>
      </c>
      <c r="E4032">
        <f>Sinistrés!M4037</f>
        <v>6.12</v>
      </c>
      <c r="F4032">
        <f t="shared" si="124"/>
        <v>0</v>
      </c>
      <c r="G4032">
        <f t="shared" si="125"/>
        <v>1</v>
      </c>
    </row>
    <row r="4033" spans="1:7" hidden="1">
      <c r="A4033" t="str">
        <f>Sinistrés!H4038</f>
        <v>Tournesol</v>
      </c>
      <c r="B4033">
        <f>Sinistrés!J4038</f>
        <v>5000.93</v>
      </c>
      <c r="C4033">
        <f>Sinistrés!X4038</f>
        <v>0</v>
      </c>
      <c r="D4033">
        <f>Sinistrés!L4038</f>
        <v>4.5199999999999996</v>
      </c>
      <c r="E4033">
        <f>Sinistrés!M4038</f>
        <v>4.5199999999999996</v>
      </c>
      <c r="F4033">
        <f t="shared" si="124"/>
        <v>0</v>
      </c>
      <c r="G4033">
        <f t="shared" si="125"/>
        <v>1</v>
      </c>
    </row>
    <row r="4034" spans="1:7">
      <c r="A4034" t="str">
        <f>Sinistrés!H4039</f>
        <v>Tournesol</v>
      </c>
      <c r="B4034">
        <f>Sinistrés!J4039</f>
        <v>24920.06</v>
      </c>
      <c r="C4034">
        <f>Sinistrés!X4039</f>
        <v>4929.12</v>
      </c>
      <c r="D4034">
        <f>Sinistrés!L4039</f>
        <v>19.96</v>
      </c>
      <c r="E4034">
        <f>Sinistrés!M4039</f>
        <v>19.96</v>
      </c>
      <c r="F4034">
        <f t="shared" si="124"/>
        <v>0.19779727657156523</v>
      </c>
      <c r="G4034">
        <f t="shared" si="125"/>
        <v>1</v>
      </c>
    </row>
    <row r="4035" spans="1:7" hidden="1">
      <c r="A4035" t="str">
        <f>Sinistrés!H4040</f>
        <v>Maïs grain non irrigué</v>
      </c>
      <c r="B4035">
        <f>Sinistrés!J4040</f>
        <v>84203.79</v>
      </c>
      <c r="C4035">
        <f>Sinistrés!X4040</f>
        <v>0</v>
      </c>
      <c r="D4035">
        <f>Sinistrés!L4040</f>
        <v>28.67</v>
      </c>
      <c r="E4035">
        <f>Sinistrés!M4040</f>
        <v>28.67</v>
      </c>
      <c r="F4035">
        <f t="shared" ref="F4035:F4098" si="126">C4035/B4035</f>
        <v>0</v>
      </c>
      <c r="G4035">
        <f t="shared" ref="G4035:G4098" si="127">E4035/D4035</f>
        <v>1</v>
      </c>
    </row>
    <row r="4036" spans="1:7" hidden="1">
      <c r="A4036" t="str">
        <f>Sinistrés!H4041</f>
        <v>Maïs grain irrigué</v>
      </c>
      <c r="B4036">
        <f>Sinistrés!J4041</f>
        <v>61529.26</v>
      </c>
      <c r="C4036">
        <f>Sinistrés!X4041</f>
        <v>0</v>
      </c>
      <c r="D4036">
        <f>Sinistrés!L4041</f>
        <v>26.59</v>
      </c>
      <c r="E4036">
        <f>Sinistrés!M4041</f>
        <v>26.59</v>
      </c>
      <c r="F4036">
        <f t="shared" si="126"/>
        <v>0</v>
      </c>
      <c r="G4036">
        <f t="shared" si="127"/>
        <v>1</v>
      </c>
    </row>
    <row r="4037" spans="1:7">
      <c r="A4037" t="str">
        <f>Sinistrés!H4042</f>
        <v>Sorgho</v>
      </c>
      <c r="B4037">
        <f>Sinistrés!J4042</f>
        <v>31401.11</v>
      </c>
      <c r="C4037">
        <f>Sinistrés!X4042</f>
        <v>9474.2099999999991</v>
      </c>
      <c r="D4037">
        <f>Sinistrés!L4042</f>
        <v>57.01</v>
      </c>
      <c r="E4037">
        <f>Sinistrés!M4042</f>
        <v>57.01</v>
      </c>
      <c r="F4037">
        <f t="shared" si="126"/>
        <v>0.30171576737255462</v>
      </c>
      <c r="G4037">
        <f t="shared" si="127"/>
        <v>1</v>
      </c>
    </row>
    <row r="4038" spans="1:7">
      <c r="A4038" t="str">
        <f>Sinistrés!H4043</f>
        <v>Tournesol</v>
      </c>
      <c r="B4038">
        <f>Sinistrés!J4043</f>
        <v>53242.1</v>
      </c>
      <c r="C4038">
        <f>Sinistrés!X4043</f>
        <v>6646.89</v>
      </c>
      <c r="D4038">
        <f>Sinistrés!L4043</f>
        <v>88.12</v>
      </c>
      <c r="E4038">
        <f>Sinistrés!M4043</f>
        <v>88.12</v>
      </c>
      <c r="F4038">
        <f t="shared" si="126"/>
        <v>0.12484274662344273</v>
      </c>
      <c r="G4038">
        <f t="shared" si="127"/>
        <v>1</v>
      </c>
    </row>
    <row r="4039" spans="1:7">
      <c r="A4039" t="str">
        <f>Sinistrés!H4044</f>
        <v>Tournesol</v>
      </c>
      <c r="B4039">
        <f>Sinistrés!J4044</f>
        <v>40952.839999999997</v>
      </c>
      <c r="C4039">
        <f>Sinistrés!X4044</f>
        <v>5004.33</v>
      </c>
      <c r="D4039">
        <f>Sinistrés!L4044</f>
        <v>52.47</v>
      </c>
      <c r="E4039">
        <f>Sinistrés!M4044</f>
        <v>52.47</v>
      </c>
      <c r="F4039">
        <f t="shared" si="126"/>
        <v>0.12219738606650968</v>
      </c>
      <c r="G4039">
        <f t="shared" si="127"/>
        <v>1</v>
      </c>
    </row>
    <row r="4040" spans="1:7" hidden="1">
      <c r="A4040" t="str">
        <f>Sinistrés!H4045</f>
        <v>Maïs ensilage non irrigué</v>
      </c>
      <c r="B4040">
        <f>Sinistrés!J4045</f>
        <v>48098.5</v>
      </c>
      <c r="C4040">
        <f>Sinistrés!X4045</f>
        <v>0</v>
      </c>
      <c r="D4040">
        <f>Sinistrés!L4045</f>
        <v>35.94</v>
      </c>
      <c r="E4040">
        <f>Sinistrés!M4045</f>
        <v>35.94</v>
      </c>
      <c r="F4040">
        <f t="shared" si="126"/>
        <v>0</v>
      </c>
      <c r="G4040">
        <f t="shared" si="127"/>
        <v>1</v>
      </c>
    </row>
    <row r="4041" spans="1:7">
      <c r="A4041" t="str">
        <f>Sinistrés!H4046</f>
        <v>Maïs ensilage non irrigué</v>
      </c>
      <c r="B4041">
        <f>Sinistrés!J4046</f>
        <v>9100.44</v>
      </c>
      <c r="C4041">
        <f>Sinistrés!X4046</f>
        <v>7343.16</v>
      </c>
      <c r="D4041">
        <f>Sinistrés!L4046</f>
        <v>6.8</v>
      </c>
      <c r="E4041">
        <f>Sinistrés!M4046</f>
        <v>6.8</v>
      </c>
      <c r="F4041">
        <f t="shared" si="126"/>
        <v>0.8069016443160989</v>
      </c>
      <c r="G4041">
        <f t="shared" si="127"/>
        <v>1</v>
      </c>
    </row>
    <row r="4042" spans="1:7">
      <c r="A4042" t="str">
        <f>Sinistrés!H4047</f>
        <v>Soja</v>
      </c>
      <c r="B4042">
        <f>Sinistrés!J4047</f>
        <v>34129.800000000003</v>
      </c>
      <c r="C4042">
        <f>Sinistrés!X4047</f>
        <v>17173.439999999999</v>
      </c>
      <c r="D4042">
        <f>Sinistrés!L4047</f>
        <v>33.5</v>
      </c>
      <c r="E4042">
        <f>Sinistrés!M4047</f>
        <v>33.799999999999997</v>
      </c>
      <c r="F4042">
        <f t="shared" si="126"/>
        <v>0.50318021201413421</v>
      </c>
      <c r="G4042">
        <f t="shared" si="127"/>
        <v>1.008955223880597</v>
      </c>
    </row>
    <row r="4043" spans="1:7">
      <c r="A4043" t="str">
        <f>Sinistrés!H4048</f>
        <v>Tournesol</v>
      </c>
      <c r="B4043">
        <f>Sinistrés!J4048</f>
        <v>16450</v>
      </c>
      <c r="C4043">
        <f>Sinistrés!X4048</f>
        <v>2714.25</v>
      </c>
      <c r="D4043">
        <f>Sinistrés!L4048</f>
        <v>23.5</v>
      </c>
      <c r="E4043">
        <f>Sinistrés!M4048</f>
        <v>23.5</v>
      </c>
      <c r="F4043">
        <f t="shared" si="126"/>
        <v>0.16500000000000001</v>
      </c>
      <c r="G4043">
        <f t="shared" si="127"/>
        <v>1</v>
      </c>
    </row>
    <row r="4044" spans="1:7">
      <c r="A4044" t="str">
        <f>Sinistrés!H4049</f>
        <v>Maïs grain non irrigué</v>
      </c>
      <c r="B4044">
        <f>Sinistrés!J4049</f>
        <v>11708.64</v>
      </c>
      <c r="C4044">
        <f>Sinistrés!X4049</f>
        <v>5638.43</v>
      </c>
      <c r="D4044">
        <f>Sinistrés!L4049</f>
        <v>7.54</v>
      </c>
      <c r="E4044">
        <f>Sinistrés!M4049</f>
        <v>7.55</v>
      </c>
      <c r="F4044">
        <f t="shared" si="126"/>
        <v>0.48156147938616273</v>
      </c>
      <c r="G4044">
        <f t="shared" si="127"/>
        <v>1.0013262599469497</v>
      </c>
    </row>
    <row r="4045" spans="1:7">
      <c r="A4045" t="str">
        <f>Sinistrés!H4050</f>
        <v>Maïs grain non irrigué</v>
      </c>
      <c r="B4045">
        <f>Sinistrés!J4050</f>
        <v>3501</v>
      </c>
      <c r="C4045">
        <f>Sinistrés!X4050</f>
        <v>2141.85</v>
      </c>
      <c r="D4045">
        <f>Sinistrés!L4050</f>
        <v>1.25</v>
      </c>
      <c r="E4045">
        <f>Sinistrés!M4050</f>
        <v>1.25</v>
      </c>
      <c r="F4045">
        <f t="shared" si="126"/>
        <v>0.61178234790059982</v>
      </c>
      <c r="G4045">
        <f t="shared" si="127"/>
        <v>1</v>
      </c>
    </row>
    <row r="4046" spans="1:7" hidden="1">
      <c r="A4046" t="str">
        <f>Sinistrés!H4051</f>
        <v>Tournesol</v>
      </c>
      <c r="B4046">
        <f>Sinistrés!J4051</f>
        <v>43171.26</v>
      </c>
      <c r="C4046">
        <f>Sinistrés!X4051</f>
        <v>0</v>
      </c>
      <c r="D4046">
        <f>Sinistrés!L4051</f>
        <v>26.34</v>
      </c>
      <c r="E4046">
        <f>Sinistrés!M4051</f>
        <v>26.34</v>
      </c>
      <c r="F4046">
        <f t="shared" si="126"/>
        <v>0</v>
      </c>
      <c r="G4046">
        <f t="shared" si="127"/>
        <v>1</v>
      </c>
    </row>
    <row r="4047" spans="1:7">
      <c r="A4047" t="str">
        <f>Sinistrés!H4052</f>
        <v>Soja</v>
      </c>
      <c r="B4047">
        <f>Sinistrés!J4052</f>
        <v>45368.19</v>
      </c>
      <c r="C4047">
        <f>Sinistrés!X4052</f>
        <v>8166.27</v>
      </c>
      <c r="D4047">
        <f>Sinistrés!L4052</f>
        <v>31.31</v>
      </c>
      <c r="E4047">
        <f>Sinistrés!M4052</f>
        <v>31.31</v>
      </c>
      <c r="F4047">
        <f t="shared" si="126"/>
        <v>0.1799999074241225</v>
      </c>
      <c r="G4047">
        <f t="shared" si="127"/>
        <v>1</v>
      </c>
    </row>
    <row r="4048" spans="1:7">
      <c r="A4048" t="str">
        <f>Sinistrés!H4053</f>
        <v>Maïs grain non irrigué</v>
      </c>
      <c r="B4048">
        <f>Sinistrés!J4053</f>
        <v>30981.599999999999</v>
      </c>
      <c r="C4048">
        <f>Sinistrés!X4053</f>
        <v>10037.24</v>
      </c>
      <c r="D4048">
        <f>Sinistrés!L4053</f>
        <v>19.86</v>
      </c>
      <c r="E4048">
        <f>Sinistrés!M4053</f>
        <v>19.66</v>
      </c>
      <c r="F4048">
        <f t="shared" si="126"/>
        <v>0.32397422986546853</v>
      </c>
      <c r="G4048">
        <f t="shared" si="127"/>
        <v>0.98992950654582079</v>
      </c>
    </row>
    <row r="4049" spans="1:7">
      <c r="A4049" t="str">
        <f>Sinistrés!H4054</f>
        <v>Maïs ensilage non irrigué</v>
      </c>
      <c r="B4049">
        <f>Sinistrés!J4054</f>
        <v>50085</v>
      </c>
      <c r="C4049">
        <f>Sinistrés!X4054</f>
        <v>32555.25</v>
      </c>
      <c r="D4049">
        <f>Sinistrés!L4054</f>
        <v>47.7</v>
      </c>
      <c r="E4049">
        <f>Sinistrés!M4054</f>
        <v>47.7</v>
      </c>
      <c r="F4049">
        <f t="shared" si="126"/>
        <v>0.65</v>
      </c>
      <c r="G4049">
        <f t="shared" si="127"/>
        <v>1</v>
      </c>
    </row>
    <row r="4050" spans="1:7">
      <c r="A4050" t="str">
        <f>Sinistrés!H4055</f>
        <v>Maïs grain non irrigué</v>
      </c>
      <c r="B4050">
        <f>Sinistrés!J4055</f>
        <v>7605</v>
      </c>
      <c r="C4050">
        <f>Sinistrés!X4055</f>
        <v>3609.24</v>
      </c>
      <c r="D4050">
        <f>Sinistrés!L4055</f>
        <v>5.07</v>
      </c>
      <c r="E4050">
        <f>Sinistrés!M4055</f>
        <v>5.03</v>
      </c>
      <c r="F4050">
        <f t="shared" si="126"/>
        <v>0.47458777120315582</v>
      </c>
      <c r="G4050">
        <f t="shared" si="127"/>
        <v>0.99211045364891515</v>
      </c>
    </row>
    <row r="4051" spans="1:7">
      <c r="A4051" t="str">
        <f>Sinistrés!H4056</f>
        <v>Tournesol</v>
      </c>
      <c r="B4051">
        <f>Sinistrés!J4056</f>
        <v>4222.37</v>
      </c>
      <c r="C4051">
        <f>Sinistrés!X4056</f>
        <v>1330.13</v>
      </c>
      <c r="D4051">
        <f>Sinistrés!L4056</f>
        <v>3.62</v>
      </c>
      <c r="E4051">
        <f>Sinistrés!M4056</f>
        <v>3.62</v>
      </c>
      <c r="F4051">
        <f t="shared" si="126"/>
        <v>0.3150197637819519</v>
      </c>
      <c r="G4051">
        <f t="shared" si="127"/>
        <v>1</v>
      </c>
    </row>
    <row r="4052" spans="1:7">
      <c r="A4052" t="str">
        <f>Sinistrés!H4057</f>
        <v>Maïs grain non irrigué</v>
      </c>
      <c r="B4052">
        <f>Sinistrés!J4057</f>
        <v>49536.82</v>
      </c>
      <c r="C4052">
        <f>Sinistrés!X4057</f>
        <v>13666.13</v>
      </c>
      <c r="D4052">
        <f>Sinistrés!L4057</f>
        <v>26.53</v>
      </c>
      <c r="E4052">
        <f>Sinistrés!M4057</f>
        <v>26.53</v>
      </c>
      <c r="F4052">
        <f t="shared" si="126"/>
        <v>0.27587822553001989</v>
      </c>
      <c r="G4052">
        <f t="shared" si="127"/>
        <v>1</v>
      </c>
    </row>
    <row r="4053" spans="1:7" hidden="1">
      <c r="A4053" t="str">
        <f>Sinistrés!H4058</f>
        <v>Maïs grain irrigué</v>
      </c>
      <c r="B4053">
        <f>Sinistrés!J4058</f>
        <v>23588.11</v>
      </c>
      <c r="C4053">
        <f>Sinistrés!X4058</f>
        <v>0</v>
      </c>
      <c r="D4053">
        <f>Sinistrés!L4058</f>
        <v>13</v>
      </c>
      <c r="E4053">
        <f>Sinistrés!M4058</f>
        <v>13</v>
      </c>
      <c r="F4053">
        <f t="shared" si="126"/>
        <v>0</v>
      </c>
      <c r="G4053">
        <f t="shared" si="127"/>
        <v>1</v>
      </c>
    </row>
    <row r="4054" spans="1:7">
      <c r="A4054" t="str">
        <f>Sinistrés!H4059</f>
        <v>Maïs grain non irrigué</v>
      </c>
      <c r="B4054">
        <f>Sinistrés!J4059</f>
        <v>33810</v>
      </c>
      <c r="C4054">
        <f>Sinistrés!X4059</f>
        <v>4499.63</v>
      </c>
      <c r="D4054">
        <f>Sinistrés!L4059</f>
        <v>28</v>
      </c>
      <c r="E4054">
        <f>Sinistrés!M4059</f>
        <v>24</v>
      </c>
      <c r="F4054">
        <f t="shared" si="126"/>
        <v>0.13308577343981071</v>
      </c>
      <c r="G4054">
        <f t="shared" si="127"/>
        <v>0.8571428571428571</v>
      </c>
    </row>
    <row r="4055" spans="1:7">
      <c r="A4055" t="str">
        <f>Sinistrés!H4060</f>
        <v>Tournesol</v>
      </c>
      <c r="B4055">
        <f>Sinistrés!J4060</f>
        <v>32270</v>
      </c>
      <c r="C4055">
        <f>Sinistrés!X4060</f>
        <v>9220</v>
      </c>
      <c r="D4055">
        <f>Sinistrés!L4060</f>
        <v>25</v>
      </c>
      <c r="E4055">
        <f>Sinistrés!M4060</f>
        <v>25</v>
      </c>
      <c r="F4055">
        <f t="shared" si="126"/>
        <v>0.2857142857142857</v>
      </c>
      <c r="G4055">
        <f t="shared" si="127"/>
        <v>1</v>
      </c>
    </row>
    <row r="4056" spans="1:7">
      <c r="A4056" t="str">
        <f>Sinistrés!H4061</f>
        <v>Soja</v>
      </c>
      <c r="B4056">
        <f>Sinistrés!J4061</f>
        <v>8842.08</v>
      </c>
      <c r="C4056">
        <f>Sinistrés!X4061</f>
        <v>701.69</v>
      </c>
      <c r="D4056">
        <f>Sinistrés!L4061</f>
        <v>10.14</v>
      </c>
      <c r="E4056">
        <f>Sinistrés!M4061</f>
        <v>10.14</v>
      </c>
      <c r="F4056">
        <f t="shared" si="126"/>
        <v>7.9358024356260076E-2</v>
      </c>
      <c r="G4056">
        <f t="shared" si="127"/>
        <v>1</v>
      </c>
    </row>
    <row r="4057" spans="1:7" hidden="1">
      <c r="A4057" t="str">
        <f>Sinistrés!H4062</f>
        <v>Tournesol</v>
      </c>
      <c r="B4057">
        <f>Sinistrés!J4062</f>
        <v>26595</v>
      </c>
      <c r="C4057">
        <f>Sinistrés!X4062</f>
        <v>0</v>
      </c>
      <c r="D4057">
        <f>Sinistrés!L4062</f>
        <v>30</v>
      </c>
      <c r="E4057">
        <f>Sinistrés!M4062</f>
        <v>30</v>
      </c>
      <c r="F4057">
        <f t="shared" si="126"/>
        <v>0</v>
      </c>
      <c r="G4057">
        <f t="shared" si="127"/>
        <v>1</v>
      </c>
    </row>
    <row r="4058" spans="1:7">
      <c r="A4058" t="str">
        <f>Sinistrés!H4063</f>
        <v>Maïs grain non irrigué</v>
      </c>
      <c r="B4058">
        <f>Sinistrés!J4063</f>
        <v>56000</v>
      </c>
      <c r="C4058">
        <f>Sinistrés!X4063</f>
        <v>10300</v>
      </c>
      <c r="D4058">
        <f>Sinistrés!L4063</f>
        <v>50</v>
      </c>
      <c r="E4058">
        <f>Sinistrés!M4063</f>
        <v>50</v>
      </c>
      <c r="F4058">
        <f t="shared" si="126"/>
        <v>0.18392857142857144</v>
      </c>
      <c r="G4058">
        <f t="shared" si="127"/>
        <v>1</v>
      </c>
    </row>
    <row r="4059" spans="1:7">
      <c r="A4059" t="str">
        <f>Sinistrés!H4064</f>
        <v>Soja</v>
      </c>
      <c r="B4059">
        <f>Sinistrés!J4064</f>
        <v>83880</v>
      </c>
      <c r="C4059">
        <f>Sinistrés!X4064</f>
        <v>26784</v>
      </c>
      <c r="D4059">
        <f>Sinistrés!L4064</f>
        <v>90</v>
      </c>
      <c r="E4059">
        <f>Sinistrés!M4064</f>
        <v>90</v>
      </c>
      <c r="F4059">
        <f t="shared" si="126"/>
        <v>0.31931330472103003</v>
      </c>
      <c r="G4059">
        <f t="shared" si="127"/>
        <v>1</v>
      </c>
    </row>
    <row r="4060" spans="1:7" hidden="1">
      <c r="A4060" t="str">
        <f>Sinistrés!H4065</f>
        <v>Maïs ensilage irrigué</v>
      </c>
      <c r="B4060">
        <f>Sinistrés!J4065</f>
        <v>62959.64</v>
      </c>
      <c r="C4060">
        <f>Sinistrés!X4065</f>
        <v>0</v>
      </c>
      <c r="D4060">
        <f>Sinistrés!L4065</f>
        <v>38.840000000000003</v>
      </c>
      <c r="E4060">
        <f>Sinistrés!M4065</f>
        <v>38</v>
      </c>
      <c r="F4060">
        <f t="shared" si="126"/>
        <v>0</v>
      </c>
      <c r="G4060">
        <f t="shared" si="127"/>
        <v>0.9783728115345004</v>
      </c>
    </row>
    <row r="4061" spans="1:7" hidden="1">
      <c r="A4061" t="str">
        <f>Sinistrés!H4066</f>
        <v>Tournesol</v>
      </c>
      <c r="B4061">
        <f>Sinistrés!J4066</f>
        <v>9720</v>
      </c>
      <c r="C4061">
        <f>Sinistrés!X4066</f>
        <v>0</v>
      </c>
      <c r="D4061">
        <f>Sinistrés!L4066</f>
        <v>8</v>
      </c>
      <c r="E4061">
        <f>Sinistrés!M4066</f>
        <v>8</v>
      </c>
      <c r="F4061">
        <f t="shared" si="126"/>
        <v>0</v>
      </c>
      <c r="G4061">
        <f t="shared" si="127"/>
        <v>1</v>
      </c>
    </row>
    <row r="4062" spans="1:7">
      <c r="A4062" t="str">
        <f>Sinistrés!H4067</f>
        <v>Maïs grain non irrigué</v>
      </c>
      <c r="B4062">
        <f>Sinistrés!J4067</f>
        <v>59010</v>
      </c>
      <c r="C4062">
        <f>Sinistrés!X4067</f>
        <v>12572.7</v>
      </c>
      <c r="D4062">
        <f>Sinistrés!L4067</f>
        <v>35</v>
      </c>
      <c r="E4062">
        <f>Sinistrés!M4067</f>
        <v>35</v>
      </c>
      <c r="F4062">
        <f t="shared" si="126"/>
        <v>0.21306049822064058</v>
      </c>
      <c r="G4062">
        <f t="shared" si="127"/>
        <v>1</v>
      </c>
    </row>
    <row r="4063" spans="1:7" hidden="1">
      <c r="A4063" t="str">
        <f>Sinistrés!H4068</f>
        <v>Soja</v>
      </c>
      <c r="B4063">
        <f>Sinistrés!J4068</f>
        <v>9614</v>
      </c>
      <c r="C4063">
        <f>Sinistrés!X4068</f>
        <v>0</v>
      </c>
      <c r="D4063">
        <f>Sinistrés!L4068</f>
        <v>9.5</v>
      </c>
      <c r="E4063">
        <f>Sinistrés!M4068</f>
        <v>6</v>
      </c>
      <c r="F4063">
        <f t="shared" si="126"/>
        <v>0</v>
      </c>
      <c r="G4063">
        <f t="shared" si="127"/>
        <v>0.63157894736842102</v>
      </c>
    </row>
    <row r="4064" spans="1:7" hidden="1">
      <c r="A4064" t="str">
        <f>Sinistrés!H4069</f>
        <v>Maïs grain non irrigué BIO</v>
      </c>
      <c r="B4064">
        <f>Sinistrés!J4069</f>
        <v>8365.8700000000008</v>
      </c>
      <c r="C4064">
        <f>Sinistrés!X4069</f>
        <v>2742.39</v>
      </c>
      <c r="D4064">
        <f>Sinistrés!L4069</f>
        <v>8.09</v>
      </c>
      <c r="E4064">
        <f>Sinistrés!M4069</f>
        <v>8.09</v>
      </c>
      <c r="F4064">
        <f t="shared" si="126"/>
        <v>0.32780691069787121</v>
      </c>
      <c r="G4064">
        <f t="shared" si="127"/>
        <v>1</v>
      </c>
    </row>
    <row r="4065" spans="1:7">
      <c r="A4065" t="str">
        <f>Sinistrés!H4070</f>
        <v>Tournesol</v>
      </c>
      <c r="B4065">
        <f>Sinistrés!J4070</f>
        <v>6746.44</v>
      </c>
      <c r="C4065">
        <f>Sinistrés!X4070</f>
        <v>3285.09</v>
      </c>
      <c r="D4065">
        <f>Sinistrés!L4070</f>
        <v>7.43</v>
      </c>
      <c r="E4065">
        <f>Sinistrés!M4070</f>
        <v>10.93</v>
      </c>
      <c r="F4065">
        <f t="shared" si="126"/>
        <v>0.48693681408268663</v>
      </c>
      <c r="G4065">
        <f t="shared" si="127"/>
        <v>1.471063257065949</v>
      </c>
    </row>
    <row r="4066" spans="1:7">
      <c r="A4066" t="str">
        <f>Sinistrés!H4071</f>
        <v>Maïs grain non irrigué</v>
      </c>
      <c r="B4066">
        <f>Sinistrés!J4071</f>
        <v>107095.7</v>
      </c>
      <c r="C4066">
        <f>Sinistrés!X4071</f>
        <v>41767.32</v>
      </c>
      <c r="D4066">
        <f>Sinistrés!L4071</f>
        <v>59.83</v>
      </c>
      <c r="E4066">
        <f>Sinistrés!M4071</f>
        <v>59.84</v>
      </c>
      <c r="F4066">
        <f t="shared" si="126"/>
        <v>0.38999997198767083</v>
      </c>
      <c r="G4066">
        <f t="shared" si="127"/>
        <v>1.0001671402306536</v>
      </c>
    </row>
    <row r="4067" spans="1:7">
      <c r="A4067" t="str">
        <f>Sinistrés!H4072</f>
        <v>Maïs ensilage non irrigué</v>
      </c>
      <c r="B4067">
        <f>Sinistrés!J4072</f>
        <v>12383.61</v>
      </c>
      <c r="C4067">
        <f>Sinistrés!X4072</f>
        <v>1648.07</v>
      </c>
      <c r="D4067">
        <f>Sinistrés!L4072</f>
        <v>12.2</v>
      </c>
      <c r="E4067">
        <f>Sinistrés!M4072</f>
        <v>12.2</v>
      </c>
      <c r="F4067">
        <f t="shared" si="126"/>
        <v>0.13308477899417051</v>
      </c>
      <c r="G4067">
        <f t="shared" si="127"/>
        <v>1</v>
      </c>
    </row>
    <row r="4068" spans="1:7" hidden="1">
      <c r="A4068" t="str">
        <f>Sinistrés!H4073</f>
        <v>Tournesol</v>
      </c>
      <c r="B4068">
        <f>Sinistrés!J4073</f>
        <v>14922.57</v>
      </c>
      <c r="C4068">
        <f>Sinistrés!X4073</f>
        <v>0</v>
      </c>
      <c r="D4068">
        <f>Sinistrés!L4073</f>
        <v>13</v>
      </c>
      <c r="E4068">
        <f>Sinistrés!M4073</f>
        <v>13</v>
      </c>
      <c r="F4068">
        <f t="shared" si="126"/>
        <v>0</v>
      </c>
      <c r="G4068">
        <f t="shared" si="127"/>
        <v>1</v>
      </c>
    </row>
    <row r="4069" spans="1:7" hidden="1">
      <c r="A4069" t="str">
        <f>Sinistrés!H4074</f>
        <v>Tournesol</v>
      </c>
      <c r="B4069">
        <f>Sinistrés!J4074</f>
        <v>10553.9</v>
      </c>
      <c r="C4069">
        <f>Sinistrés!X4074</f>
        <v>0</v>
      </c>
      <c r="D4069">
        <f>Sinistrés!L4074</f>
        <v>10.55</v>
      </c>
      <c r="E4069">
        <f>Sinistrés!M4074</f>
        <v>10.55</v>
      </c>
      <c r="F4069">
        <f t="shared" si="126"/>
        <v>0</v>
      </c>
      <c r="G4069">
        <f t="shared" si="127"/>
        <v>1</v>
      </c>
    </row>
    <row r="4070" spans="1:7" hidden="1">
      <c r="A4070" t="str">
        <f>Sinistrés!H4075</f>
        <v>Tournesol</v>
      </c>
      <c r="B4070">
        <f>Sinistrés!J4075</f>
        <v>33452.93</v>
      </c>
      <c r="C4070">
        <f>Sinistrés!X4075</f>
        <v>0</v>
      </c>
      <c r="D4070">
        <f>Sinistrés!L4075</f>
        <v>27.91</v>
      </c>
      <c r="E4070">
        <f>Sinistrés!M4075</f>
        <v>27.91</v>
      </c>
      <c r="F4070">
        <f t="shared" si="126"/>
        <v>0</v>
      </c>
      <c r="G4070">
        <f t="shared" si="127"/>
        <v>1</v>
      </c>
    </row>
    <row r="4071" spans="1:7" hidden="1">
      <c r="A4071" t="str">
        <f>Sinistrés!H4076</f>
        <v>Maïs grain non irrigué BIO</v>
      </c>
      <c r="B4071">
        <f>Sinistrés!J4076</f>
        <v>17919.72</v>
      </c>
      <c r="C4071">
        <f>Sinistrés!X4076</f>
        <v>0</v>
      </c>
      <c r="D4071">
        <f>Sinistrés!L4076</f>
        <v>9.36</v>
      </c>
      <c r="E4071">
        <f>Sinistrés!M4076</f>
        <v>9.36</v>
      </c>
      <c r="F4071">
        <f t="shared" si="126"/>
        <v>0</v>
      </c>
      <c r="G4071">
        <f t="shared" si="127"/>
        <v>1</v>
      </c>
    </row>
    <row r="4072" spans="1:7" hidden="1">
      <c r="A4072" t="str">
        <f>Sinistrés!H4077</f>
        <v>Soja BIO</v>
      </c>
      <c r="B4072">
        <f>Sinistrés!J4077</f>
        <v>40775.35</v>
      </c>
      <c r="C4072">
        <f>Sinistrés!X4077</f>
        <v>0</v>
      </c>
      <c r="D4072">
        <f>Sinistrés!L4077</f>
        <v>21.41</v>
      </c>
      <c r="E4072">
        <f>Sinistrés!M4077</f>
        <v>21.41</v>
      </c>
      <c r="F4072">
        <f t="shared" si="126"/>
        <v>0</v>
      </c>
      <c r="G4072">
        <f t="shared" si="127"/>
        <v>1</v>
      </c>
    </row>
    <row r="4073" spans="1:7" hidden="1">
      <c r="A4073" t="str">
        <f>Sinistrés!H4078</f>
        <v>Maïs grain non irrigué</v>
      </c>
      <c r="B4073">
        <f>Sinistrés!J4078</f>
        <v>9064.2999999999993</v>
      </c>
      <c r="C4073">
        <f>Sinistrés!X4078</f>
        <v>0</v>
      </c>
      <c r="D4073">
        <f>Sinistrés!L4078</f>
        <v>11.26</v>
      </c>
      <c r="E4073">
        <f>Sinistrés!M4078</f>
        <v>11.26</v>
      </c>
      <c r="F4073">
        <f t="shared" si="126"/>
        <v>0</v>
      </c>
      <c r="G4073">
        <f t="shared" si="127"/>
        <v>1</v>
      </c>
    </row>
    <row r="4074" spans="1:7">
      <c r="A4074" t="str">
        <f>Sinistrés!H4079</f>
        <v>Maïs grain non irrigué</v>
      </c>
      <c r="B4074">
        <f>Sinistrés!J4079</f>
        <v>9168.9500000000007</v>
      </c>
      <c r="C4074">
        <f>Sinistrés!X4079</f>
        <v>5072.49</v>
      </c>
      <c r="D4074">
        <f>Sinistrés!L4079</f>
        <v>11.39</v>
      </c>
      <c r="E4074">
        <f>Sinistrés!M4079</f>
        <v>11.39</v>
      </c>
      <c r="F4074">
        <f t="shared" si="126"/>
        <v>0.55322474220057904</v>
      </c>
      <c r="G4074">
        <f t="shared" si="127"/>
        <v>1</v>
      </c>
    </row>
    <row r="4075" spans="1:7">
      <c r="A4075" t="str">
        <f>Sinistrés!H4080</f>
        <v>Maïs grain non irrigué</v>
      </c>
      <c r="B4075">
        <f>Sinistrés!J4080</f>
        <v>30700.79</v>
      </c>
      <c r="C4075">
        <f>Sinistrés!X4080</f>
        <v>721.32</v>
      </c>
      <c r="D4075">
        <f>Sinistrés!L4080</f>
        <v>19.07</v>
      </c>
      <c r="E4075">
        <f>Sinistrés!M4080</f>
        <v>18</v>
      </c>
      <c r="F4075">
        <f t="shared" si="126"/>
        <v>2.3495160873710418E-2</v>
      </c>
      <c r="G4075">
        <f t="shared" si="127"/>
        <v>0.94389092815941267</v>
      </c>
    </row>
    <row r="4076" spans="1:7">
      <c r="A4076" t="str">
        <f>Sinistrés!H4081</f>
        <v>Soja</v>
      </c>
      <c r="B4076">
        <f>Sinistrés!J4081</f>
        <v>34533.31</v>
      </c>
      <c r="C4076">
        <f>Sinistrés!X4081</f>
        <v>5511.31</v>
      </c>
      <c r="D4076">
        <f>Sinistrés!L4081</f>
        <v>30.78</v>
      </c>
      <c r="E4076">
        <f>Sinistrés!M4081</f>
        <v>30.78</v>
      </c>
      <c r="F4076">
        <f t="shared" si="126"/>
        <v>0.1595940267527208</v>
      </c>
      <c r="G4076">
        <f t="shared" si="127"/>
        <v>1</v>
      </c>
    </row>
    <row r="4077" spans="1:7">
      <c r="A4077" t="str">
        <f>Sinistrés!H4082</f>
        <v>Tournesol</v>
      </c>
      <c r="B4077">
        <f>Sinistrés!J4082</f>
        <v>7322.16</v>
      </c>
      <c r="C4077">
        <f>Sinistrés!X4082</f>
        <v>1534.05</v>
      </c>
      <c r="D4077">
        <f>Sinistrés!L4082</f>
        <v>11.03</v>
      </c>
      <c r="E4077">
        <f>Sinistrés!M4082</f>
        <v>11.03</v>
      </c>
      <c r="F4077">
        <f t="shared" si="126"/>
        <v>0.20950785014258089</v>
      </c>
      <c r="G4077">
        <f t="shared" si="127"/>
        <v>1</v>
      </c>
    </row>
    <row r="4078" spans="1:7">
      <c r="A4078" t="str">
        <f>Sinistrés!H4083</f>
        <v>Colza de printemps</v>
      </c>
      <c r="B4078">
        <f>Sinistrés!J4083</f>
        <v>4864</v>
      </c>
      <c r="C4078">
        <f>Sinistrés!X4083</f>
        <v>1945.6</v>
      </c>
      <c r="D4078">
        <f>Sinistrés!L4083</f>
        <v>7.6</v>
      </c>
      <c r="E4078">
        <f>Sinistrés!M4083</f>
        <v>7.6</v>
      </c>
      <c r="F4078">
        <f t="shared" si="126"/>
        <v>0.39999999999999997</v>
      </c>
      <c r="G4078">
        <f t="shared" si="127"/>
        <v>1</v>
      </c>
    </row>
    <row r="4079" spans="1:7">
      <c r="A4079" t="str">
        <f>Sinistrés!H4084</f>
        <v>Maïs ensilage non irrigué</v>
      </c>
      <c r="B4079">
        <f>Sinistrés!J4084</f>
        <v>95407.44</v>
      </c>
      <c r="C4079">
        <f>Sinistrés!X4084</f>
        <v>36360.86</v>
      </c>
      <c r="D4079">
        <f>Sinistrés!L4084</f>
        <v>58.32</v>
      </c>
      <c r="E4079">
        <f>Sinistrés!M4084</f>
        <v>58.31</v>
      </c>
      <c r="F4079">
        <f t="shared" si="126"/>
        <v>0.38111136825388042</v>
      </c>
      <c r="G4079">
        <f t="shared" si="127"/>
        <v>0.9998285322359397</v>
      </c>
    </row>
    <row r="4080" spans="1:7">
      <c r="A4080" t="str">
        <f>Sinistrés!H4085</f>
        <v>Maïs grain non irrigué</v>
      </c>
      <c r="B4080">
        <f>Sinistrés!J4085</f>
        <v>25026.52</v>
      </c>
      <c r="C4080">
        <f>Sinistrés!X4085</f>
        <v>6037.72</v>
      </c>
      <c r="D4080">
        <f>Sinistrés!L4085</f>
        <v>14.63</v>
      </c>
      <c r="E4080">
        <f>Sinistrés!M4085</f>
        <v>14.62</v>
      </c>
      <c r="F4080">
        <f t="shared" si="126"/>
        <v>0.24125287894601408</v>
      </c>
      <c r="G4080">
        <f t="shared" si="127"/>
        <v>0.99931647300068338</v>
      </c>
    </row>
    <row r="4081" spans="1:7" hidden="1">
      <c r="A4081" t="str">
        <f>Sinistrés!H4086</f>
        <v>Tournesol</v>
      </c>
      <c r="B4081">
        <f>Sinistrés!J4086</f>
        <v>27714.05</v>
      </c>
      <c r="C4081">
        <f>Sinistrés!X4086</f>
        <v>0</v>
      </c>
      <c r="D4081">
        <f>Sinistrés!L4086</f>
        <v>19.04</v>
      </c>
      <c r="E4081">
        <f>Sinistrés!M4086</f>
        <v>19.03</v>
      </c>
      <c r="F4081">
        <f t="shared" si="126"/>
        <v>0</v>
      </c>
      <c r="G4081">
        <f t="shared" si="127"/>
        <v>0.9994747899159665</v>
      </c>
    </row>
    <row r="4082" spans="1:7" hidden="1">
      <c r="A4082" t="str">
        <f>Sinistrés!H4087</f>
        <v>Soja BIO</v>
      </c>
      <c r="B4082">
        <f>Sinistrés!J4087</f>
        <v>7387.2</v>
      </c>
      <c r="C4082">
        <f>Sinistrés!X4087</f>
        <v>1244.1600000000001</v>
      </c>
      <c r="D4082">
        <f>Sinistrés!L4087</f>
        <v>9</v>
      </c>
      <c r="E4082">
        <f>Sinistrés!M4087</f>
        <v>9</v>
      </c>
      <c r="F4082">
        <f t="shared" si="126"/>
        <v>0.16842105263157897</v>
      </c>
      <c r="G4082">
        <f t="shared" si="127"/>
        <v>1</v>
      </c>
    </row>
    <row r="4083" spans="1:7">
      <c r="A4083" t="str">
        <f>Sinistrés!H4088</f>
        <v>Soja</v>
      </c>
      <c r="B4083">
        <f>Sinistrés!J4088</f>
        <v>19368</v>
      </c>
      <c r="C4083">
        <f>Sinistrés!X4088</f>
        <v>1856.1</v>
      </c>
      <c r="D4083">
        <f>Sinistrés!L4088</f>
        <v>16.14</v>
      </c>
      <c r="E4083">
        <f>Sinistrés!M4088</f>
        <v>16.14</v>
      </c>
      <c r="F4083">
        <f t="shared" si="126"/>
        <v>9.5833333333333326E-2</v>
      </c>
      <c r="G4083">
        <f t="shared" si="127"/>
        <v>1</v>
      </c>
    </row>
    <row r="4084" spans="1:7">
      <c r="A4084" t="str">
        <f>Sinistrés!H4089</f>
        <v>Maïs grain non irrigué</v>
      </c>
      <c r="B4084">
        <f>Sinistrés!J4089</f>
        <v>90564.4</v>
      </c>
      <c r="C4084">
        <f>Sinistrés!X4089</f>
        <v>8631.5400000000009</v>
      </c>
      <c r="D4084">
        <f>Sinistrés!L4089</f>
        <v>60.7</v>
      </c>
      <c r="E4084">
        <f>Sinistrés!M4089</f>
        <v>60.7</v>
      </c>
      <c r="F4084">
        <f t="shared" si="126"/>
        <v>9.5308310991957121E-2</v>
      </c>
      <c r="G4084">
        <f t="shared" si="127"/>
        <v>1</v>
      </c>
    </row>
    <row r="4085" spans="1:7">
      <c r="A4085" t="str">
        <f>Sinistrés!H4090</f>
        <v>Tournesol</v>
      </c>
      <c r="B4085">
        <f>Sinistrés!J4090</f>
        <v>49816.800000000003</v>
      </c>
      <c r="C4085">
        <f>Sinistrés!X4090</f>
        <v>1868.13</v>
      </c>
      <c r="D4085">
        <f>Sinistrés!L4090</f>
        <v>31.45</v>
      </c>
      <c r="E4085">
        <f>Sinistrés!M4090</f>
        <v>31.45</v>
      </c>
      <c r="F4085">
        <f t="shared" si="126"/>
        <v>3.7499999999999999E-2</v>
      </c>
      <c r="G4085">
        <f t="shared" si="127"/>
        <v>1</v>
      </c>
    </row>
    <row r="4086" spans="1:7" hidden="1">
      <c r="A4086" t="str">
        <f>Sinistrés!H4091</f>
        <v>Betteraves industrielles</v>
      </c>
      <c r="B4086">
        <f>Sinistrés!J4091</f>
        <v>57687.59</v>
      </c>
      <c r="C4086">
        <f>Sinistrés!X4091</f>
        <v>0</v>
      </c>
      <c r="D4086">
        <f>Sinistrés!L4091</f>
        <v>23.31</v>
      </c>
      <c r="E4086">
        <f>Sinistrés!M4091</f>
        <v>23.31</v>
      </c>
      <c r="F4086">
        <f t="shared" si="126"/>
        <v>0</v>
      </c>
      <c r="G4086">
        <f t="shared" si="127"/>
        <v>1</v>
      </c>
    </row>
    <row r="4087" spans="1:7">
      <c r="A4087" t="str">
        <f>Sinistrés!H4092</f>
        <v>Maïs grain irrigué</v>
      </c>
      <c r="B4087">
        <f>Sinistrés!J4092</f>
        <v>29845.5</v>
      </c>
      <c r="C4087">
        <f>Sinistrés!X4092</f>
        <v>9.58</v>
      </c>
      <c r="D4087">
        <f>Sinistrés!L4092</f>
        <v>21.29</v>
      </c>
      <c r="E4087">
        <f>Sinistrés!M4092</f>
        <v>21.29</v>
      </c>
      <c r="F4087">
        <f t="shared" si="126"/>
        <v>3.2098641336214838E-4</v>
      </c>
      <c r="G4087">
        <f t="shared" si="127"/>
        <v>1</v>
      </c>
    </row>
    <row r="4088" spans="1:7">
      <c r="A4088" t="str">
        <f>Sinistrés!H4093</f>
        <v>Tournesol</v>
      </c>
      <c r="B4088">
        <f>Sinistrés!J4093</f>
        <v>57102.5</v>
      </c>
      <c r="C4088">
        <f>Sinistrés!X4093</f>
        <v>2600.3000000000002</v>
      </c>
      <c r="D4088">
        <f>Sinistrés!L4093</f>
        <v>65.260000000000005</v>
      </c>
      <c r="E4088">
        <f>Sinistrés!M4093</f>
        <v>52.32</v>
      </c>
      <c r="F4088">
        <f t="shared" si="126"/>
        <v>4.5537410796374946E-2</v>
      </c>
      <c r="G4088">
        <f t="shared" si="127"/>
        <v>0.80171621207477772</v>
      </c>
    </row>
    <row r="4089" spans="1:7">
      <c r="A4089" t="str">
        <f>Sinistrés!H4094</f>
        <v>Maïs grain non irrigué</v>
      </c>
      <c r="B4089">
        <f>Sinistrés!J4094</f>
        <v>1711.2</v>
      </c>
      <c r="C4089">
        <f>Sinistrés!X4094</f>
        <v>2367.04</v>
      </c>
      <c r="D4089">
        <f>Sinistrés!L4094</f>
        <v>22.32</v>
      </c>
      <c r="E4089">
        <f>Sinistrés!M4094</f>
        <v>22.32</v>
      </c>
      <c r="F4089">
        <f t="shared" si="126"/>
        <v>1.3832632071061244</v>
      </c>
      <c r="G4089">
        <f t="shared" si="127"/>
        <v>1</v>
      </c>
    </row>
    <row r="4090" spans="1:7" hidden="1">
      <c r="A4090" t="str">
        <f>Sinistrés!H4095</f>
        <v>Tournesol</v>
      </c>
      <c r="B4090">
        <f>Sinistrés!J4095</f>
        <v>31240.35</v>
      </c>
      <c r="C4090">
        <f>Sinistrés!X4095</f>
        <v>0</v>
      </c>
      <c r="D4090">
        <f>Sinistrés!L4095</f>
        <v>28.53</v>
      </c>
      <c r="E4090">
        <f>Sinistrés!M4095</f>
        <v>28.53</v>
      </c>
      <c r="F4090">
        <f t="shared" si="126"/>
        <v>0</v>
      </c>
      <c r="G4090">
        <f t="shared" si="127"/>
        <v>1</v>
      </c>
    </row>
    <row r="4091" spans="1:7">
      <c r="A4091" t="str">
        <f>Sinistrés!H4096</f>
        <v xml:space="preserve">Maïs waxy non irrigué </v>
      </c>
      <c r="B4091">
        <f>Sinistrés!J4096</f>
        <v>26067.09</v>
      </c>
      <c r="C4091">
        <f>Sinistrés!X4096</f>
        <v>3018.38</v>
      </c>
      <c r="D4091">
        <f>Sinistrés!L4096</f>
        <v>25.18</v>
      </c>
      <c r="E4091">
        <f>Sinistrés!M4096</f>
        <v>25.11</v>
      </c>
      <c r="F4091">
        <f t="shared" si="126"/>
        <v>0.11579274863438919</v>
      </c>
      <c r="G4091">
        <f t="shared" si="127"/>
        <v>0.99722001588562348</v>
      </c>
    </row>
    <row r="4092" spans="1:7" hidden="1">
      <c r="A4092" t="str">
        <f>Sinistrés!H4097</f>
        <v>Tournesol</v>
      </c>
      <c r="B4092">
        <f>Sinistrés!J4097</f>
        <v>15350.58</v>
      </c>
      <c r="C4092">
        <f>Sinistrés!X4097</f>
        <v>0</v>
      </c>
      <c r="D4092">
        <f>Sinistrés!L4097</f>
        <v>19.649999999999999</v>
      </c>
      <c r="E4092">
        <f>Sinistrés!M4097</f>
        <v>19.440000000000001</v>
      </c>
      <c r="F4092">
        <f t="shared" si="126"/>
        <v>0</v>
      </c>
      <c r="G4092">
        <f t="shared" si="127"/>
        <v>0.98931297709923682</v>
      </c>
    </row>
    <row r="4093" spans="1:7">
      <c r="A4093" t="str">
        <f>Sinistrés!H4098</f>
        <v>Maïs ensilage non irrigué</v>
      </c>
      <c r="B4093">
        <f>Sinistrés!J4098</f>
        <v>22321.599999999999</v>
      </c>
      <c r="C4093">
        <f>Sinistrés!X4098</f>
        <v>4752.51</v>
      </c>
      <c r="D4093">
        <f>Sinistrés!L4098</f>
        <v>19.93</v>
      </c>
      <c r="E4093">
        <f>Sinistrés!M4098</f>
        <v>19.93</v>
      </c>
      <c r="F4093">
        <f t="shared" si="126"/>
        <v>0.21291081284495739</v>
      </c>
      <c r="G4093">
        <f t="shared" si="127"/>
        <v>1</v>
      </c>
    </row>
    <row r="4094" spans="1:7">
      <c r="A4094" t="str">
        <f>Sinistrés!H4099</f>
        <v>Tournesol</v>
      </c>
      <c r="B4094">
        <f>Sinistrés!J4099</f>
        <v>11847.7</v>
      </c>
      <c r="C4094">
        <f>Sinistrés!X4099</f>
        <v>1233.18</v>
      </c>
      <c r="D4094">
        <f>Sinistrés!L4099</f>
        <v>10</v>
      </c>
      <c r="E4094">
        <f>Sinistrés!M4099</f>
        <v>10</v>
      </c>
      <c r="F4094">
        <f t="shared" si="126"/>
        <v>0.10408602513568034</v>
      </c>
      <c r="G4094">
        <f t="shared" si="127"/>
        <v>1</v>
      </c>
    </row>
    <row r="4095" spans="1:7" hidden="1">
      <c r="A4095" t="str">
        <f>Sinistrés!H4100</f>
        <v>Soja</v>
      </c>
      <c r="B4095">
        <f>Sinistrés!J4100</f>
        <v>13341.52</v>
      </c>
      <c r="C4095">
        <f>Sinistrés!X4100</f>
        <v>0</v>
      </c>
      <c r="D4095">
        <f>Sinistrés!L4100</f>
        <v>7.51</v>
      </c>
      <c r="E4095">
        <f>Sinistrés!M4100</f>
        <v>7.51</v>
      </c>
      <c r="F4095">
        <f t="shared" si="126"/>
        <v>0</v>
      </c>
      <c r="G4095">
        <f t="shared" si="127"/>
        <v>1</v>
      </c>
    </row>
    <row r="4096" spans="1:7" hidden="1">
      <c r="A4096" t="str">
        <f>Sinistrés!H4101</f>
        <v>Soja</v>
      </c>
      <c r="B4096">
        <f>Sinistrés!J4101</f>
        <v>22970.15</v>
      </c>
      <c r="C4096">
        <f>Sinistrés!X4101</f>
        <v>0</v>
      </c>
      <c r="D4096">
        <f>Sinistrés!L4101</f>
        <v>12.93</v>
      </c>
      <c r="E4096">
        <f>Sinistrés!M4101</f>
        <v>12.93</v>
      </c>
      <c r="F4096">
        <f t="shared" si="126"/>
        <v>0</v>
      </c>
      <c r="G4096">
        <f t="shared" si="127"/>
        <v>1</v>
      </c>
    </row>
    <row r="4097" spans="1:7" hidden="1">
      <c r="A4097" t="str">
        <f>Sinistrés!H4102</f>
        <v>Maïs grain non irrigué</v>
      </c>
      <c r="B4097">
        <f>Sinistrés!J4102</f>
        <v>13620.6</v>
      </c>
      <c r="C4097">
        <f>Sinistrés!X4102</f>
        <v>0</v>
      </c>
      <c r="D4097">
        <f>Sinistrés!L4102</f>
        <v>7.05</v>
      </c>
      <c r="E4097">
        <f>Sinistrés!M4102</f>
        <v>7.05</v>
      </c>
      <c r="F4097">
        <f t="shared" si="126"/>
        <v>0</v>
      </c>
      <c r="G4097">
        <f t="shared" si="127"/>
        <v>1</v>
      </c>
    </row>
    <row r="4098" spans="1:7" hidden="1">
      <c r="A4098" t="str">
        <f>Sinistrés!H4103</f>
        <v>Maïs grain non irrigué</v>
      </c>
      <c r="B4098">
        <f>Sinistrés!J4103</f>
        <v>33288.36</v>
      </c>
      <c r="C4098">
        <f>Sinistrés!X4103</f>
        <v>0</v>
      </c>
      <c r="D4098">
        <f>Sinistrés!L4103</f>
        <v>17.23</v>
      </c>
      <c r="E4098">
        <f>Sinistrés!M4103</f>
        <v>17.23</v>
      </c>
      <c r="F4098">
        <f t="shared" si="126"/>
        <v>0</v>
      </c>
      <c r="G4098">
        <f t="shared" si="127"/>
        <v>1</v>
      </c>
    </row>
    <row r="4099" spans="1:7" hidden="1">
      <c r="A4099" t="str">
        <f>Sinistrés!H4104</f>
        <v>Maïs grain irrigué SEMENCES FERTILES</v>
      </c>
      <c r="B4099">
        <f>Sinistrés!J4104</f>
        <v>156936</v>
      </c>
      <c r="C4099">
        <f>Sinistrés!X4104</f>
        <v>3041</v>
      </c>
      <c r="D4099">
        <f>Sinistrés!L4104</f>
        <v>24</v>
      </c>
      <c r="E4099">
        <f>Sinistrés!M4104</f>
        <v>24</v>
      </c>
      <c r="F4099">
        <f t="shared" ref="F4099:F4162" si="128">C4099/B4099</f>
        <v>1.9377325788856602E-2</v>
      </c>
      <c r="G4099">
        <f t="shared" ref="G4099:G4162" si="129">E4099/D4099</f>
        <v>1</v>
      </c>
    </row>
    <row r="4100" spans="1:7" hidden="1">
      <c r="A4100" t="str">
        <f>Sinistrés!H4105</f>
        <v>Maïs grain non irrigué</v>
      </c>
      <c r="B4100">
        <f>Sinistrés!J4105</f>
        <v>30810</v>
      </c>
      <c r="C4100">
        <f>Sinistrés!X4105</f>
        <v>0</v>
      </c>
      <c r="D4100">
        <f>Sinistrés!L4105</f>
        <v>15</v>
      </c>
      <c r="E4100">
        <f>Sinistrés!M4105</f>
        <v>15</v>
      </c>
      <c r="F4100">
        <f t="shared" si="128"/>
        <v>0</v>
      </c>
      <c r="G4100">
        <f t="shared" si="129"/>
        <v>1</v>
      </c>
    </row>
    <row r="4101" spans="1:7">
      <c r="A4101" t="str">
        <f>Sinistrés!H4106</f>
        <v>Soja</v>
      </c>
      <c r="B4101">
        <f>Sinistrés!J4106</f>
        <v>13840</v>
      </c>
      <c r="C4101">
        <f>Sinistrés!X4106</f>
        <v>3756.04</v>
      </c>
      <c r="D4101">
        <f>Sinistrés!L4106</f>
        <v>10</v>
      </c>
      <c r="E4101">
        <f>Sinistrés!M4106</f>
        <v>10</v>
      </c>
      <c r="F4101">
        <f t="shared" si="128"/>
        <v>0.27139017341040461</v>
      </c>
      <c r="G4101">
        <f t="shared" si="129"/>
        <v>1</v>
      </c>
    </row>
    <row r="4102" spans="1:7">
      <c r="A4102" t="str">
        <f>Sinistrés!H4107</f>
        <v>Maïs grain non irrigué</v>
      </c>
      <c r="B4102">
        <f>Sinistrés!J4107</f>
        <v>10607.4</v>
      </c>
      <c r="C4102">
        <f>Sinistrés!X4107</f>
        <v>3381.02</v>
      </c>
      <c r="D4102">
        <f>Sinistrés!L4107</f>
        <v>7.1</v>
      </c>
      <c r="E4102">
        <f>Sinistrés!M4107</f>
        <v>7.1</v>
      </c>
      <c r="F4102">
        <f t="shared" si="128"/>
        <v>0.31874163319946452</v>
      </c>
      <c r="G4102">
        <f t="shared" si="129"/>
        <v>1</v>
      </c>
    </row>
    <row r="4103" spans="1:7">
      <c r="A4103" t="str">
        <f>Sinistrés!H4108</f>
        <v>Tournesol</v>
      </c>
      <c r="B4103">
        <f>Sinistrés!J4108</f>
        <v>69796.5</v>
      </c>
      <c r="C4103">
        <f>Sinistrés!X4108</f>
        <v>1030.75</v>
      </c>
      <c r="D4103">
        <f>Sinistrés!L4108</f>
        <v>58.9</v>
      </c>
      <c r="E4103">
        <f>Sinistrés!M4108</f>
        <v>58.9</v>
      </c>
      <c r="F4103">
        <f t="shared" si="128"/>
        <v>1.4767932489451477E-2</v>
      </c>
      <c r="G4103">
        <f t="shared" si="129"/>
        <v>1</v>
      </c>
    </row>
    <row r="4104" spans="1:7">
      <c r="A4104" t="str">
        <f>Sinistrés!H4109</f>
        <v>Soja</v>
      </c>
      <c r="B4104">
        <f>Sinistrés!J4109</f>
        <v>8723.44</v>
      </c>
      <c r="C4104">
        <f>Sinistrés!X4109</f>
        <v>3020.22</v>
      </c>
      <c r="D4104">
        <f>Sinistrés!L4109</f>
        <v>7.66</v>
      </c>
      <c r="E4104">
        <f>Sinistrés!M4109</f>
        <v>7.66</v>
      </c>
      <c r="F4104">
        <f t="shared" si="128"/>
        <v>0.34621892281026745</v>
      </c>
      <c r="G4104">
        <f t="shared" si="129"/>
        <v>1</v>
      </c>
    </row>
    <row r="4105" spans="1:7" hidden="1">
      <c r="A4105" t="str">
        <f>Sinistrés!H4110</f>
        <v>Maïs grain non irrigué</v>
      </c>
      <c r="B4105">
        <f>Sinistrés!J4110</f>
        <v>44549.52</v>
      </c>
      <c r="C4105">
        <f>Sinistrés!X4110</f>
        <v>0</v>
      </c>
      <c r="D4105">
        <f>Sinistrés!L4110</f>
        <v>28.64</v>
      </c>
      <c r="E4105">
        <f>Sinistrés!M4110</f>
        <v>28.64</v>
      </c>
      <c r="F4105">
        <f t="shared" si="128"/>
        <v>0</v>
      </c>
      <c r="G4105">
        <f t="shared" si="129"/>
        <v>1</v>
      </c>
    </row>
    <row r="4106" spans="1:7" hidden="1">
      <c r="A4106" t="str">
        <f>Sinistrés!H4111</f>
        <v>Tournesol</v>
      </c>
      <c r="B4106">
        <f>Sinistrés!J4111</f>
        <v>7620.33</v>
      </c>
      <c r="C4106">
        <f>Sinistrés!X4111</f>
        <v>0</v>
      </c>
      <c r="D4106">
        <f>Sinistrés!L4111</f>
        <v>5.7</v>
      </c>
      <c r="E4106">
        <f>Sinistrés!M4111</f>
        <v>5.7</v>
      </c>
      <c r="F4106">
        <f t="shared" si="128"/>
        <v>0</v>
      </c>
      <c r="G4106">
        <f t="shared" si="129"/>
        <v>1</v>
      </c>
    </row>
    <row r="4107" spans="1:7">
      <c r="A4107" t="str">
        <f>Sinistrés!H4112</f>
        <v>Maïs grain non irrigué</v>
      </c>
      <c r="B4107">
        <f>Sinistrés!J4112</f>
        <v>161986</v>
      </c>
      <c r="C4107">
        <f>Sinistrés!X4112</f>
        <v>78047.8</v>
      </c>
      <c r="D4107">
        <f>Sinistrés!L4112</f>
        <v>73.63</v>
      </c>
      <c r="E4107">
        <f>Sinistrés!M4112</f>
        <v>73.63</v>
      </c>
      <c r="F4107">
        <f t="shared" si="128"/>
        <v>0.48181818181818181</v>
      </c>
      <c r="G4107">
        <f t="shared" si="129"/>
        <v>1</v>
      </c>
    </row>
    <row r="4108" spans="1:7">
      <c r="A4108" t="str">
        <f>Sinistrés!H4113</f>
        <v>Tournesol</v>
      </c>
      <c r="B4108">
        <f>Sinistrés!J4113</f>
        <v>38315.839999999997</v>
      </c>
      <c r="C4108">
        <f>Sinistrés!X4113</f>
        <v>6206.59</v>
      </c>
      <c r="D4108">
        <f>Sinistrés!L4113</f>
        <v>31.89</v>
      </c>
      <c r="E4108">
        <f>Sinistrés!M4113</f>
        <v>31.89</v>
      </c>
      <c r="F4108">
        <f t="shared" si="128"/>
        <v>0.16198496496488138</v>
      </c>
      <c r="G4108">
        <f t="shared" si="129"/>
        <v>1</v>
      </c>
    </row>
    <row r="4109" spans="1:7" hidden="1">
      <c r="A4109" t="str">
        <f>Sinistrés!H4114</f>
        <v>Tournesol</v>
      </c>
      <c r="B4109">
        <f>Sinistrés!J4114</f>
        <v>51624</v>
      </c>
      <c r="C4109">
        <f>Sinistrés!X4114</f>
        <v>0</v>
      </c>
      <c r="D4109">
        <f>Sinistrés!L4114</f>
        <v>57.36</v>
      </c>
      <c r="E4109">
        <f>Sinistrés!M4114</f>
        <v>57.36</v>
      </c>
      <c r="F4109">
        <f t="shared" si="128"/>
        <v>0</v>
      </c>
      <c r="G4109">
        <f t="shared" si="129"/>
        <v>1</v>
      </c>
    </row>
    <row r="4110" spans="1:7" hidden="1">
      <c r="A4110" t="str">
        <f>Sinistrés!H4115</f>
        <v>Maïs grain non irrigué</v>
      </c>
      <c r="B4110">
        <f>Sinistrés!J4115</f>
        <v>25984.84</v>
      </c>
      <c r="C4110">
        <f>Sinistrés!X4115</f>
        <v>0</v>
      </c>
      <c r="D4110">
        <f>Sinistrés!L4115</f>
        <v>29.99</v>
      </c>
      <c r="E4110">
        <f>Sinistrés!M4115</f>
        <v>29.99</v>
      </c>
      <c r="F4110">
        <f t="shared" si="128"/>
        <v>0</v>
      </c>
      <c r="G4110">
        <f t="shared" si="129"/>
        <v>1</v>
      </c>
    </row>
    <row r="4111" spans="1:7" hidden="1">
      <c r="A4111" t="str">
        <f>Sinistrés!H4116</f>
        <v>Maïs grain irrigué</v>
      </c>
      <c r="B4111">
        <f>Sinistrés!J4116</f>
        <v>24926.720000000001</v>
      </c>
      <c r="C4111">
        <f>Sinistrés!X4116</f>
        <v>0</v>
      </c>
      <c r="D4111">
        <f>Sinistrés!L4116</f>
        <v>16.64</v>
      </c>
      <c r="E4111">
        <f>Sinistrés!M4116</f>
        <v>16.64</v>
      </c>
      <c r="F4111">
        <f t="shared" si="128"/>
        <v>0</v>
      </c>
      <c r="G4111">
        <f t="shared" si="129"/>
        <v>1</v>
      </c>
    </row>
    <row r="4112" spans="1:7" hidden="1">
      <c r="A4112" t="str">
        <f>Sinistrés!H4117</f>
        <v>Tournesol</v>
      </c>
      <c r="B4112">
        <f>Sinistrés!J4117</f>
        <v>12591.81</v>
      </c>
      <c r="C4112">
        <f>Sinistrés!X4117</f>
        <v>0</v>
      </c>
      <c r="D4112">
        <f>Sinistrés!L4117</f>
        <v>16.59</v>
      </c>
      <c r="E4112">
        <f>Sinistrés!M4117</f>
        <v>16.59</v>
      </c>
      <c r="F4112">
        <f t="shared" si="128"/>
        <v>0</v>
      </c>
      <c r="G4112">
        <f t="shared" si="129"/>
        <v>1</v>
      </c>
    </row>
    <row r="4113" spans="1:7">
      <c r="A4113" t="str">
        <f>Sinistrés!H4118</f>
        <v>Maïs grain irrigué</v>
      </c>
      <c r="B4113">
        <f>Sinistrés!J4118</f>
        <v>32340</v>
      </c>
      <c r="C4113">
        <f>Sinistrés!X4118</f>
        <v>9757.44</v>
      </c>
      <c r="D4113">
        <f>Sinistrés!L4118</f>
        <v>30.8</v>
      </c>
      <c r="E4113">
        <f>Sinistrés!M4118</f>
        <v>30.8</v>
      </c>
      <c r="F4113">
        <f t="shared" si="128"/>
        <v>0.30171428571428571</v>
      </c>
      <c r="G4113">
        <f t="shared" si="129"/>
        <v>1</v>
      </c>
    </row>
    <row r="4114" spans="1:7">
      <c r="A4114" t="str">
        <f>Sinistrés!H4119</f>
        <v>Maïs grain non irrigué</v>
      </c>
      <c r="B4114">
        <f>Sinistrés!J4119</f>
        <v>10726.4</v>
      </c>
      <c r="C4114">
        <f>Sinistrés!X4119</f>
        <v>2284.8000000000002</v>
      </c>
      <c r="D4114">
        <f>Sinistrés!L4119</f>
        <v>5.12</v>
      </c>
      <c r="E4114">
        <f>Sinistrés!M4119</f>
        <v>5.12</v>
      </c>
      <c r="F4114">
        <f t="shared" si="128"/>
        <v>0.21300715990453464</v>
      </c>
      <c r="G4114">
        <f t="shared" si="129"/>
        <v>1</v>
      </c>
    </row>
    <row r="4115" spans="1:7">
      <c r="A4115" t="str">
        <f>Sinistrés!H4120</f>
        <v>Maïs ensilage non irrigué</v>
      </c>
      <c r="B4115">
        <f>Sinistrés!J4120</f>
        <v>28652.3</v>
      </c>
      <c r="C4115">
        <f>Sinistrés!X4120</f>
        <v>7159.46</v>
      </c>
      <c r="D4115">
        <f>Sinistrés!L4120</f>
        <v>18.100000000000001</v>
      </c>
      <c r="E4115">
        <f>Sinistrés!M4120</f>
        <v>10.18</v>
      </c>
      <c r="F4115">
        <f t="shared" si="128"/>
        <v>0.24987383211818948</v>
      </c>
      <c r="G4115">
        <f t="shared" si="129"/>
        <v>0.56243093922651932</v>
      </c>
    </row>
    <row r="4116" spans="1:7" hidden="1">
      <c r="A4116" t="str">
        <f>Sinistrés!H4121</f>
        <v>Tournesol</v>
      </c>
      <c r="B4116">
        <f>Sinistrés!J4121</f>
        <v>19730.41</v>
      </c>
      <c r="C4116">
        <f>Sinistrés!X4121</f>
        <v>0</v>
      </c>
      <c r="D4116">
        <f>Sinistrés!L4121</f>
        <v>18.329999999999998</v>
      </c>
      <c r="E4116">
        <f>Sinistrés!M4121</f>
        <v>18.329999999999998</v>
      </c>
      <c r="F4116">
        <f t="shared" si="128"/>
        <v>0</v>
      </c>
      <c r="G4116">
        <f t="shared" si="129"/>
        <v>1</v>
      </c>
    </row>
    <row r="4117" spans="1:7" hidden="1">
      <c r="A4117" t="str">
        <f>Sinistrés!H4122</f>
        <v>Tournesol</v>
      </c>
      <c r="B4117">
        <f>Sinistrés!J4122</f>
        <v>12267.67</v>
      </c>
      <c r="C4117">
        <f>Sinistrés!X4122</f>
        <v>0</v>
      </c>
      <c r="D4117">
        <f>Sinistrés!L4122</f>
        <v>8.9</v>
      </c>
      <c r="E4117">
        <f>Sinistrés!M4122</f>
        <v>8.9</v>
      </c>
      <c r="F4117">
        <f t="shared" si="128"/>
        <v>0</v>
      </c>
      <c r="G4117">
        <f t="shared" si="129"/>
        <v>1</v>
      </c>
    </row>
    <row r="4118" spans="1:7">
      <c r="A4118" t="str">
        <f>Sinistrés!H4123</f>
        <v>Tournesol</v>
      </c>
      <c r="B4118">
        <f>Sinistrés!J4123</f>
        <v>10496.97</v>
      </c>
      <c r="C4118">
        <f>Sinistrés!X4123</f>
        <v>819.43</v>
      </c>
      <c r="D4118">
        <f>Sinistrés!L4123</f>
        <v>9.2200000000000006</v>
      </c>
      <c r="E4118">
        <f>Sinistrés!M4123</f>
        <v>9.2200000000000006</v>
      </c>
      <c r="F4118">
        <f t="shared" si="128"/>
        <v>7.8063479270684785E-2</v>
      </c>
      <c r="G4118">
        <f t="shared" si="129"/>
        <v>1</v>
      </c>
    </row>
    <row r="4119" spans="1:7">
      <c r="A4119" t="str">
        <f>Sinistrés!H4124</f>
        <v>Tournesol</v>
      </c>
      <c r="B4119">
        <f>Sinistrés!J4124</f>
        <v>7548</v>
      </c>
      <c r="C4119">
        <f>Sinistrés!X4124</f>
        <v>754.8</v>
      </c>
      <c r="D4119">
        <f>Sinistrés!L4124</f>
        <v>6.8</v>
      </c>
      <c r="E4119">
        <f>Sinistrés!M4124</f>
        <v>6.8</v>
      </c>
      <c r="F4119">
        <f t="shared" si="128"/>
        <v>9.9999999999999992E-2</v>
      </c>
      <c r="G4119">
        <f t="shared" si="129"/>
        <v>1</v>
      </c>
    </row>
    <row r="4120" spans="1:7" hidden="1">
      <c r="A4120" t="str">
        <f>Sinistrés!H4125</f>
        <v>Tournesol</v>
      </c>
      <c r="B4120">
        <f>Sinistrés!J4125</f>
        <v>77844.92</v>
      </c>
      <c r="C4120">
        <f>Sinistrés!X4125</f>
        <v>0</v>
      </c>
      <c r="D4120">
        <f>Sinistrés!L4125</f>
        <v>70.95</v>
      </c>
      <c r="E4120">
        <f>Sinistrés!M4125</f>
        <v>70.95</v>
      </c>
      <c r="F4120">
        <f t="shared" si="128"/>
        <v>0</v>
      </c>
      <c r="G4120">
        <f t="shared" si="129"/>
        <v>1</v>
      </c>
    </row>
    <row r="4121" spans="1:7" hidden="1">
      <c r="A4121" t="str">
        <f>Sinistrés!H4126</f>
        <v>Maïs ensilage non irrigué</v>
      </c>
      <c r="B4121">
        <f>Sinistrés!J4126</f>
        <v>6740.94</v>
      </c>
      <c r="C4121">
        <f>Sinistrés!X4126</f>
        <v>0</v>
      </c>
      <c r="D4121">
        <f>Sinistrés!L4126</f>
        <v>6.04</v>
      </c>
      <c r="E4121">
        <f>Sinistrés!M4126</f>
        <v>6.04</v>
      </c>
      <c r="F4121">
        <f t="shared" si="128"/>
        <v>0</v>
      </c>
      <c r="G4121">
        <f t="shared" si="129"/>
        <v>1</v>
      </c>
    </row>
    <row r="4122" spans="1:7" hidden="1">
      <c r="A4122" t="str">
        <f>Sinistrés!H4127</f>
        <v>Tournesol</v>
      </c>
      <c r="B4122">
        <f>Sinistrés!J4127</f>
        <v>26721.599999999999</v>
      </c>
      <c r="C4122">
        <f>Sinistrés!X4127</f>
        <v>0</v>
      </c>
      <c r="D4122">
        <f>Sinistrés!L4127</f>
        <v>23.44</v>
      </c>
      <c r="E4122">
        <f>Sinistrés!M4127</f>
        <v>23.44</v>
      </c>
      <c r="F4122">
        <f t="shared" si="128"/>
        <v>0</v>
      </c>
      <c r="G4122">
        <f t="shared" si="129"/>
        <v>1</v>
      </c>
    </row>
    <row r="4123" spans="1:7" hidden="1">
      <c r="A4123" t="str">
        <f>Sinistrés!H4128</f>
        <v>Maïs grain non irrigué</v>
      </c>
      <c r="B4123">
        <f>Sinistrés!J4128</f>
        <v>38390.400000000001</v>
      </c>
      <c r="C4123">
        <f>Sinistrés!X4128</f>
        <v>0</v>
      </c>
      <c r="D4123">
        <f>Sinistrés!L4128</f>
        <v>28.8</v>
      </c>
      <c r="E4123">
        <f>Sinistrés!M4128</f>
        <v>28.8</v>
      </c>
      <c r="F4123">
        <f t="shared" si="128"/>
        <v>0</v>
      </c>
      <c r="G4123">
        <f t="shared" si="129"/>
        <v>1</v>
      </c>
    </row>
    <row r="4124" spans="1:7" hidden="1">
      <c r="A4124" t="str">
        <f>Sinistrés!H4129</f>
        <v>Soja</v>
      </c>
      <c r="B4124">
        <f>Sinistrés!J4129</f>
        <v>12345.06</v>
      </c>
      <c r="C4124">
        <f>Sinistrés!X4129</f>
        <v>0</v>
      </c>
      <c r="D4124">
        <f>Sinistrés!L4129</f>
        <v>15.47</v>
      </c>
      <c r="E4124">
        <f>Sinistrés!M4129</f>
        <v>15.47</v>
      </c>
      <c r="F4124">
        <f t="shared" si="128"/>
        <v>0</v>
      </c>
      <c r="G4124">
        <f t="shared" si="129"/>
        <v>1</v>
      </c>
    </row>
    <row r="4125" spans="1:7" hidden="1">
      <c r="A4125" t="str">
        <f>Sinistrés!H4130</f>
        <v>Tournesol</v>
      </c>
      <c r="B4125">
        <f>Sinistrés!J4130</f>
        <v>24750</v>
      </c>
      <c r="C4125">
        <f>Sinistrés!X4130</f>
        <v>0</v>
      </c>
      <c r="D4125">
        <f>Sinistrés!L4130</f>
        <v>15</v>
      </c>
      <c r="E4125">
        <f>Sinistrés!M4130</f>
        <v>15</v>
      </c>
      <c r="F4125">
        <f t="shared" si="128"/>
        <v>0</v>
      </c>
      <c r="G4125">
        <f t="shared" si="129"/>
        <v>1</v>
      </c>
    </row>
    <row r="4126" spans="1:7" hidden="1">
      <c r="A4126" t="str">
        <f>Sinistrés!H4131</f>
        <v>Colza d'hiver BIO</v>
      </c>
      <c r="B4126">
        <f>Sinistrés!J4131</f>
        <v>27936</v>
      </c>
      <c r="C4126">
        <f>Sinistrés!X4131</f>
        <v>0</v>
      </c>
      <c r="D4126">
        <f>Sinistrés!L4131</f>
        <v>23.28</v>
      </c>
      <c r="E4126">
        <f>Sinistrés!M4131</f>
        <v>23.28</v>
      </c>
      <c r="F4126">
        <f t="shared" si="128"/>
        <v>0</v>
      </c>
      <c r="G4126">
        <f t="shared" si="129"/>
        <v>1</v>
      </c>
    </row>
    <row r="4127" spans="1:7" hidden="1">
      <c r="A4127" t="str">
        <f>Sinistrés!H4132</f>
        <v>Maïs grain non irrigué</v>
      </c>
      <c r="B4127">
        <f>Sinistrés!J4132</f>
        <v>39800.75</v>
      </c>
      <c r="C4127">
        <f>Sinistrés!X4132</f>
        <v>0</v>
      </c>
      <c r="D4127">
        <f>Sinistrés!L4132</f>
        <v>17.649999999999999</v>
      </c>
      <c r="E4127">
        <f>Sinistrés!M4132</f>
        <v>17.649999999999999</v>
      </c>
      <c r="F4127">
        <f t="shared" si="128"/>
        <v>0</v>
      </c>
      <c r="G4127">
        <f t="shared" si="129"/>
        <v>1</v>
      </c>
    </row>
    <row r="4128" spans="1:7">
      <c r="A4128" t="str">
        <f>Sinistrés!H4133</f>
        <v>Sorgho</v>
      </c>
      <c r="B4128">
        <f>Sinistrés!J4133</f>
        <v>1179.75</v>
      </c>
      <c r="C4128">
        <f>Sinistrés!X4133</f>
        <v>67.569999999999993</v>
      </c>
      <c r="D4128">
        <f>Sinistrés!L4133</f>
        <v>1.3</v>
      </c>
      <c r="E4128">
        <f>Sinistrés!M4133</f>
        <v>1.3</v>
      </c>
      <c r="F4128">
        <f t="shared" si="128"/>
        <v>5.7274846365755451E-2</v>
      </c>
      <c r="G4128">
        <f t="shared" si="129"/>
        <v>1</v>
      </c>
    </row>
    <row r="4129" spans="1:7">
      <c r="A4129" t="str">
        <f>Sinistrés!H4134</f>
        <v>Maïs grain non irrigué</v>
      </c>
      <c r="B4129">
        <f>Sinistrés!J4134</f>
        <v>32433.279999999999</v>
      </c>
      <c r="C4129">
        <f>Sinistrés!X4134</f>
        <v>2228.6999999999998</v>
      </c>
      <c r="D4129">
        <f>Sinistrés!L4134</f>
        <v>21.68</v>
      </c>
      <c r="E4129">
        <f>Sinistrés!M4134</f>
        <v>36.86</v>
      </c>
      <c r="F4129">
        <f t="shared" si="128"/>
        <v>6.8716454209996641E-2</v>
      </c>
      <c r="G4129">
        <f t="shared" si="129"/>
        <v>1.7001845018450183</v>
      </c>
    </row>
    <row r="4130" spans="1:7" hidden="1">
      <c r="A4130" t="str">
        <f>Sinistrés!H4135</f>
        <v>Tournesol</v>
      </c>
      <c r="B4130">
        <f>Sinistrés!J4135</f>
        <v>15190.46</v>
      </c>
      <c r="C4130">
        <f>Sinistrés!X4135</f>
        <v>0</v>
      </c>
      <c r="D4130">
        <f>Sinistrés!L4135</f>
        <v>12.07</v>
      </c>
      <c r="E4130">
        <f>Sinistrés!M4135</f>
        <v>36.86</v>
      </c>
      <c r="F4130">
        <f t="shared" si="128"/>
        <v>0</v>
      </c>
      <c r="G4130">
        <f t="shared" si="129"/>
        <v>3.0538525269262635</v>
      </c>
    </row>
    <row r="4131" spans="1:7">
      <c r="A4131" t="str">
        <f>Sinistrés!H4136</f>
        <v>Soja</v>
      </c>
      <c r="B4131">
        <f>Sinistrés!J4136</f>
        <v>38061.75</v>
      </c>
      <c r="C4131">
        <f>Sinistrés!X4136</f>
        <v>1463.65</v>
      </c>
      <c r="D4131">
        <f>Sinistrés!L4136</f>
        <v>36.86</v>
      </c>
      <c r="E4131">
        <f>Sinistrés!M4136</f>
        <v>36.86</v>
      </c>
      <c r="F4131">
        <f t="shared" si="128"/>
        <v>3.8454616511326992E-2</v>
      </c>
      <c r="G4131">
        <f t="shared" si="129"/>
        <v>1</v>
      </c>
    </row>
    <row r="4132" spans="1:7">
      <c r="A4132" t="str">
        <f>Sinistrés!H4137</f>
        <v>Tournesol</v>
      </c>
      <c r="B4132">
        <f>Sinistrés!J4137</f>
        <v>77056.2</v>
      </c>
      <c r="C4132">
        <f>Sinistrés!X4137</f>
        <v>18340.53</v>
      </c>
      <c r="D4132">
        <f>Sinistrés!L4137</f>
        <v>48.1</v>
      </c>
      <c r="E4132">
        <f>Sinistrés!M4137</f>
        <v>48.1</v>
      </c>
      <c r="F4132">
        <f t="shared" si="128"/>
        <v>0.23801498127340823</v>
      </c>
      <c r="G4132">
        <f t="shared" si="129"/>
        <v>1</v>
      </c>
    </row>
    <row r="4133" spans="1:7" hidden="1">
      <c r="A4133" t="str">
        <f>Sinistrés!H4138</f>
        <v>Maïs grain non irrigué</v>
      </c>
      <c r="B4133">
        <f>Sinistrés!J4138</f>
        <v>16614</v>
      </c>
      <c r="C4133">
        <f>Sinistrés!X4138</f>
        <v>0</v>
      </c>
      <c r="D4133">
        <f>Sinistrés!L4138</f>
        <v>10.4</v>
      </c>
      <c r="E4133">
        <f>Sinistrés!M4138</f>
        <v>10.4</v>
      </c>
      <c r="F4133">
        <f t="shared" si="128"/>
        <v>0</v>
      </c>
      <c r="G4133">
        <f t="shared" si="129"/>
        <v>1</v>
      </c>
    </row>
    <row r="4134" spans="1:7" hidden="1">
      <c r="A4134" t="str">
        <f>Sinistrés!H4139</f>
        <v>Soja</v>
      </c>
      <c r="B4134">
        <f>Sinistrés!J4139</f>
        <v>3935.75</v>
      </c>
      <c r="C4134">
        <f>Sinistrés!X4139</f>
        <v>0</v>
      </c>
      <c r="D4134">
        <f>Sinistrés!L4139</f>
        <v>3.25</v>
      </c>
      <c r="E4134">
        <f>Sinistrés!M4139</f>
        <v>3.25</v>
      </c>
      <c r="F4134">
        <f t="shared" si="128"/>
        <v>0</v>
      </c>
      <c r="G4134">
        <f t="shared" si="129"/>
        <v>1</v>
      </c>
    </row>
    <row r="4135" spans="1:7" hidden="1">
      <c r="A4135" t="str">
        <f>Sinistrés!H4140</f>
        <v>Maïs grain non irrigué</v>
      </c>
      <c r="B4135">
        <f>Sinistrés!J4140</f>
        <v>7148.4</v>
      </c>
      <c r="C4135">
        <f>Sinistrés!X4140</f>
        <v>0</v>
      </c>
      <c r="D4135">
        <f>Sinistrés!L4140</f>
        <v>6</v>
      </c>
      <c r="E4135">
        <f>Sinistrés!M4140</f>
        <v>6</v>
      </c>
      <c r="F4135">
        <f t="shared" si="128"/>
        <v>0</v>
      </c>
      <c r="G4135">
        <f t="shared" si="129"/>
        <v>1</v>
      </c>
    </row>
    <row r="4136" spans="1:7" hidden="1">
      <c r="A4136" t="str">
        <f>Sinistrés!H4141</f>
        <v>Tournesol</v>
      </c>
      <c r="B4136">
        <f>Sinistrés!J4141</f>
        <v>27528.48</v>
      </c>
      <c r="C4136">
        <f>Sinistrés!X4141</f>
        <v>0</v>
      </c>
      <c r="D4136">
        <f>Sinistrés!L4141</f>
        <v>27.31</v>
      </c>
      <c r="E4136">
        <f>Sinistrés!M4141</f>
        <v>27.31</v>
      </c>
      <c r="F4136">
        <f t="shared" si="128"/>
        <v>0</v>
      </c>
      <c r="G4136">
        <f t="shared" si="129"/>
        <v>1</v>
      </c>
    </row>
    <row r="4137" spans="1:7">
      <c r="A4137" t="str">
        <f>Sinistrés!H4142</f>
        <v>Soja</v>
      </c>
      <c r="B4137">
        <f>Sinistrés!J4142</f>
        <v>76618.559999999998</v>
      </c>
      <c r="C4137">
        <f>Sinistrés!X4142</f>
        <v>12349.33</v>
      </c>
      <c r="D4137">
        <f>Sinistrés!L4142</f>
        <v>49.54</v>
      </c>
      <c r="E4137">
        <f>Sinistrés!M4142</f>
        <v>49.54</v>
      </c>
      <c r="F4137">
        <f t="shared" si="128"/>
        <v>0.16117935393199767</v>
      </c>
      <c r="G4137">
        <f t="shared" si="129"/>
        <v>1</v>
      </c>
    </row>
    <row r="4138" spans="1:7" hidden="1">
      <c r="A4138" t="str">
        <f>Sinistrés!H4143</f>
        <v>Maïs waxy irrigué</v>
      </c>
      <c r="B4138">
        <f>Sinistrés!J4143</f>
        <v>45315.75</v>
      </c>
      <c r="C4138">
        <f>Sinistrés!X4143</f>
        <v>0</v>
      </c>
      <c r="D4138">
        <f>Sinistrés!L4143</f>
        <v>26.27</v>
      </c>
      <c r="E4138">
        <f>Sinistrés!M4143</f>
        <v>26.27</v>
      </c>
      <c r="F4138">
        <f t="shared" si="128"/>
        <v>0</v>
      </c>
      <c r="G4138">
        <f t="shared" si="129"/>
        <v>1</v>
      </c>
    </row>
    <row r="4139" spans="1:7" hidden="1">
      <c r="A4139" t="str">
        <f>Sinistrés!H4144</f>
        <v>Soja</v>
      </c>
      <c r="B4139">
        <f>Sinistrés!J4144</f>
        <v>34072.28</v>
      </c>
      <c r="C4139">
        <f>Sinistrés!X4144</f>
        <v>0</v>
      </c>
      <c r="D4139">
        <f>Sinistrés!L4144</f>
        <v>23.21</v>
      </c>
      <c r="E4139">
        <f>Sinistrés!M4144</f>
        <v>23.21</v>
      </c>
      <c r="F4139">
        <f t="shared" si="128"/>
        <v>0</v>
      </c>
      <c r="G4139">
        <f t="shared" si="129"/>
        <v>1</v>
      </c>
    </row>
    <row r="4140" spans="1:7" hidden="1">
      <c r="A4140" t="str">
        <f>Sinistrés!H4145</f>
        <v>Maïs grain non irrigué</v>
      </c>
      <c r="B4140">
        <f>Sinistrés!J4145</f>
        <v>10941.76</v>
      </c>
      <c r="C4140">
        <f>Sinistrés!X4145</f>
        <v>0</v>
      </c>
      <c r="D4140">
        <f>Sinistrés!L4145</f>
        <v>11.03</v>
      </c>
      <c r="E4140">
        <f>Sinistrés!M4145</f>
        <v>11</v>
      </c>
      <c r="F4140">
        <f t="shared" si="128"/>
        <v>0</v>
      </c>
      <c r="G4140">
        <f t="shared" si="129"/>
        <v>0.99728014505893026</v>
      </c>
    </row>
    <row r="4141" spans="1:7" hidden="1">
      <c r="A4141" t="str">
        <f>Sinistrés!H4146</f>
        <v>Tournesol</v>
      </c>
      <c r="B4141">
        <f>Sinistrés!J4146</f>
        <v>18925.43</v>
      </c>
      <c r="C4141">
        <f>Sinistrés!X4146</f>
        <v>0</v>
      </c>
      <c r="D4141">
        <f>Sinistrés!L4146</f>
        <v>18.05</v>
      </c>
      <c r="E4141">
        <f>Sinistrés!M4146</f>
        <v>18.05</v>
      </c>
      <c r="F4141">
        <f t="shared" si="128"/>
        <v>0</v>
      </c>
      <c r="G4141">
        <f t="shared" si="129"/>
        <v>1</v>
      </c>
    </row>
    <row r="4142" spans="1:7" hidden="1">
      <c r="A4142" t="str">
        <f>Sinistrés!H4147</f>
        <v>Tournesol</v>
      </c>
      <c r="B4142">
        <f>Sinistrés!J4147</f>
        <v>17061.12</v>
      </c>
      <c r="C4142">
        <f>Sinistrés!X4147</f>
        <v>0</v>
      </c>
      <c r="D4142">
        <f>Sinistrés!L4147</f>
        <v>14.81</v>
      </c>
      <c r="E4142">
        <f>Sinistrés!M4147</f>
        <v>14.81</v>
      </c>
      <c r="F4142">
        <f t="shared" si="128"/>
        <v>0</v>
      </c>
      <c r="G4142">
        <f t="shared" si="129"/>
        <v>1</v>
      </c>
    </row>
    <row r="4143" spans="1:7">
      <c r="A4143" t="str">
        <f>Sinistrés!H4148</f>
        <v>Maïs ensilage non irrigué</v>
      </c>
      <c r="B4143">
        <f>Sinistrés!J4148</f>
        <v>20160</v>
      </c>
      <c r="C4143">
        <f>Sinistrés!X4148</f>
        <v>1174.5</v>
      </c>
      <c r="D4143">
        <f>Sinistrés!L4148</f>
        <v>16.8</v>
      </c>
      <c r="E4143">
        <f>Sinistrés!M4148</f>
        <v>13</v>
      </c>
      <c r="F4143">
        <f t="shared" si="128"/>
        <v>5.8258928571428573E-2</v>
      </c>
      <c r="G4143">
        <f t="shared" si="129"/>
        <v>0.77380952380952372</v>
      </c>
    </row>
    <row r="4144" spans="1:7" hidden="1">
      <c r="A4144" t="str">
        <f>Sinistrés!H4149</f>
        <v>Tournesol</v>
      </c>
      <c r="B4144">
        <f>Sinistrés!J4149</f>
        <v>16582.650000000001</v>
      </c>
      <c r="C4144">
        <f>Sinistrés!X4149</f>
        <v>0</v>
      </c>
      <c r="D4144">
        <f>Sinistrés!L4149</f>
        <v>27.87</v>
      </c>
      <c r="E4144">
        <f>Sinistrés!M4149</f>
        <v>27.87</v>
      </c>
      <c r="F4144">
        <f t="shared" si="128"/>
        <v>0</v>
      </c>
      <c r="G4144">
        <f t="shared" si="129"/>
        <v>1</v>
      </c>
    </row>
    <row r="4145" spans="1:7">
      <c r="A4145" t="str">
        <f>Sinistrés!H4150</f>
        <v>Maïs grain non irrigué</v>
      </c>
      <c r="B4145">
        <f>Sinistrés!J4150</f>
        <v>5780.22</v>
      </c>
      <c r="C4145">
        <f>Sinistrés!X4150</f>
        <v>650.77</v>
      </c>
      <c r="D4145">
        <f>Sinistrés!L4150</f>
        <v>6.19</v>
      </c>
      <c r="E4145">
        <f>Sinistrés!M4150</f>
        <v>6.19</v>
      </c>
      <c r="F4145">
        <f t="shared" si="128"/>
        <v>0.11258568012982204</v>
      </c>
      <c r="G4145">
        <f t="shared" si="129"/>
        <v>1</v>
      </c>
    </row>
    <row r="4146" spans="1:7" hidden="1">
      <c r="A4146" t="str">
        <f>Sinistrés!H4151</f>
        <v>Maïs grain non irrigué</v>
      </c>
      <c r="B4146">
        <f>Sinistrés!J4151</f>
        <v>99588.06</v>
      </c>
      <c r="C4146">
        <f>Sinistrés!X4151</f>
        <v>0</v>
      </c>
      <c r="D4146">
        <f>Sinistrés!L4151</f>
        <v>68.900000000000006</v>
      </c>
      <c r="E4146">
        <f>Sinistrés!M4151</f>
        <v>68.89</v>
      </c>
      <c r="F4146">
        <f t="shared" si="128"/>
        <v>0</v>
      </c>
      <c r="G4146">
        <f t="shared" si="129"/>
        <v>0.99985486211901298</v>
      </c>
    </row>
    <row r="4147" spans="1:7" hidden="1">
      <c r="A4147" t="str">
        <f>Sinistrés!H4152</f>
        <v>Tournesol</v>
      </c>
      <c r="B4147">
        <f>Sinistrés!J4152</f>
        <v>52599.12</v>
      </c>
      <c r="C4147">
        <f>Sinistrés!X4152</f>
        <v>0</v>
      </c>
      <c r="D4147">
        <f>Sinistrés!L4152</f>
        <v>57.36</v>
      </c>
      <c r="E4147">
        <f>Sinistrés!M4152</f>
        <v>57.35</v>
      </c>
      <c r="F4147">
        <f t="shared" si="128"/>
        <v>0</v>
      </c>
      <c r="G4147">
        <f t="shared" si="129"/>
        <v>0.99982566248256632</v>
      </c>
    </row>
    <row r="4148" spans="1:7" hidden="1">
      <c r="A4148" t="str">
        <f>Sinistrés!H4153</f>
        <v>Maïs grain irrigué</v>
      </c>
      <c r="B4148">
        <f>Sinistrés!J4153</f>
        <v>69775.45</v>
      </c>
      <c r="C4148">
        <f>Sinistrés!X4153</f>
        <v>0</v>
      </c>
      <c r="D4148">
        <f>Sinistrés!L4153</f>
        <v>29.95</v>
      </c>
      <c r="E4148">
        <f>Sinistrés!M4153</f>
        <v>29.95</v>
      </c>
      <c r="F4148">
        <f t="shared" si="128"/>
        <v>0</v>
      </c>
      <c r="G4148">
        <f t="shared" si="129"/>
        <v>1</v>
      </c>
    </row>
    <row r="4149" spans="1:7" hidden="1">
      <c r="A4149" t="str">
        <f>Sinistrés!H4154</f>
        <v>Tournesol</v>
      </c>
      <c r="B4149">
        <f>Sinistrés!J4154</f>
        <v>23888.55</v>
      </c>
      <c r="C4149">
        <f>Sinistrés!X4154</f>
        <v>0</v>
      </c>
      <c r="D4149">
        <f>Sinistrés!L4154</f>
        <v>23.25</v>
      </c>
      <c r="E4149">
        <f>Sinistrés!M4154</f>
        <v>23.25</v>
      </c>
      <c r="F4149">
        <f t="shared" si="128"/>
        <v>0</v>
      </c>
      <c r="G4149">
        <f t="shared" si="129"/>
        <v>1</v>
      </c>
    </row>
    <row r="4150" spans="1:7" hidden="1">
      <c r="A4150" t="str">
        <f>Sinistrés!H4155</f>
        <v>Tournesol</v>
      </c>
      <c r="B4150">
        <f>Sinistrés!J4155</f>
        <v>14144.4</v>
      </c>
      <c r="C4150">
        <f>Sinistrés!X4155</f>
        <v>0</v>
      </c>
      <c r="D4150">
        <f>Sinistrés!L4155</f>
        <v>13.75</v>
      </c>
      <c r="E4150">
        <f>Sinistrés!M4155</f>
        <v>13.75</v>
      </c>
      <c r="F4150">
        <f t="shared" si="128"/>
        <v>0</v>
      </c>
      <c r="G4150">
        <f t="shared" si="129"/>
        <v>1</v>
      </c>
    </row>
    <row r="4151" spans="1:7">
      <c r="A4151" t="str">
        <f>Sinistrés!H4156</f>
        <v>Maïs grain non irrigué</v>
      </c>
      <c r="B4151">
        <f>Sinistrés!J4156</f>
        <v>12949.74</v>
      </c>
      <c r="C4151">
        <f>Sinistrés!X4156</f>
        <v>4695.17</v>
      </c>
      <c r="D4151">
        <f>Sinistrés!L4156</f>
        <v>7.35</v>
      </c>
      <c r="E4151">
        <f>Sinistrés!M4156</f>
        <v>7.35</v>
      </c>
      <c r="F4151">
        <f t="shared" si="128"/>
        <v>0.36256866933235726</v>
      </c>
      <c r="G4151">
        <f t="shared" si="129"/>
        <v>1</v>
      </c>
    </row>
    <row r="4152" spans="1:7">
      <c r="A4152" t="str">
        <f>Sinistrés!H4157</f>
        <v>Tournesol</v>
      </c>
      <c r="B4152">
        <f>Sinistrés!J4157</f>
        <v>27676.14</v>
      </c>
      <c r="C4152">
        <f>Sinistrés!X4157</f>
        <v>12284.11</v>
      </c>
      <c r="D4152">
        <f>Sinistrés!L4157</f>
        <v>19.829999999999998</v>
      </c>
      <c r="E4152">
        <f>Sinistrés!M4157</f>
        <v>19.829999999999998</v>
      </c>
      <c r="F4152">
        <f t="shared" si="128"/>
        <v>0.44385199670185221</v>
      </c>
      <c r="G4152">
        <f t="shared" si="129"/>
        <v>1</v>
      </c>
    </row>
    <row r="4153" spans="1:7">
      <c r="A4153" t="str">
        <f>Sinistrés!H4158</f>
        <v>Maïs grain non irrigué</v>
      </c>
      <c r="B4153">
        <f>Sinistrés!J4158</f>
        <v>95054.399999999994</v>
      </c>
      <c r="C4153">
        <f>Sinistrés!X4158</f>
        <v>13028.4</v>
      </c>
      <c r="D4153">
        <f>Sinistrés!L4158</f>
        <v>56</v>
      </c>
      <c r="E4153">
        <f>Sinistrés!M4158</f>
        <v>56</v>
      </c>
      <c r="F4153">
        <f t="shared" si="128"/>
        <v>0.13706256627783669</v>
      </c>
      <c r="G4153">
        <f t="shared" si="129"/>
        <v>1</v>
      </c>
    </row>
    <row r="4154" spans="1:7">
      <c r="A4154" t="str">
        <f>Sinistrés!H4159</f>
        <v>Soja</v>
      </c>
      <c r="B4154">
        <f>Sinistrés!J4159</f>
        <v>14175</v>
      </c>
      <c r="C4154">
        <f>Sinistrés!X4159</f>
        <v>4278.75</v>
      </c>
      <c r="D4154">
        <f>Sinistrés!L4159</f>
        <v>15</v>
      </c>
      <c r="E4154">
        <f>Sinistrés!M4159</f>
        <v>15</v>
      </c>
      <c r="F4154">
        <f t="shared" si="128"/>
        <v>0.30185185185185187</v>
      </c>
      <c r="G4154">
        <f t="shared" si="129"/>
        <v>1</v>
      </c>
    </row>
    <row r="4155" spans="1:7" hidden="1">
      <c r="A4155" t="str">
        <f>Sinistrés!H4160</f>
        <v>Maïs grain irrigué</v>
      </c>
      <c r="B4155">
        <f>Sinistrés!J4160</f>
        <v>302464.8</v>
      </c>
      <c r="C4155">
        <f>Sinistrés!X4160</f>
        <v>0</v>
      </c>
      <c r="D4155">
        <f>Sinistrés!L4160</f>
        <v>134</v>
      </c>
      <c r="E4155">
        <f>Sinistrés!M4160</f>
        <v>134</v>
      </c>
      <c r="F4155">
        <f t="shared" si="128"/>
        <v>0</v>
      </c>
      <c r="G4155">
        <f t="shared" si="129"/>
        <v>1</v>
      </c>
    </row>
    <row r="4156" spans="1:7" hidden="1">
      <c r="A4156" t="str">
        <f>Sinistrés!H4161</f>
        <v>Maïs grain irrigué</v>
      </c>
      <c r="B4156">
        <f>Sinistrés!J4161</f>
        <v>51324.74</v>
      </c>
      <c r="C4156">
        <f>Sinistrés!X4161</f>
        <v>0</v>
      </c>
      <c r="D4156">
        <f>Sinistrés!L4161</f>
        <v>28.49</v>
      </c>
      <c r="E4156">
        <f>Sinistrés!M4161</f>
        <v>28.49</v>
      </c>
      <c r="F4156">
        <f t="shared" si="128"/>
        <v>0</v>
      </c>
      <c r="G4156">
        <f t="shared" si="129"/>
        <v>1</v>
      </c>
    </row>
    <row r="4157" spans="1:7" hidden="1">
      <c r="A4157" t="str">
        <f>Sinistrés!H4162</f>
        <v>Maïs grain irrigué</v>
      </c>
      <c r="B4157">
        <f>Sinistrés!J4162</f>
        <v>91266.12</v>
      </c>
      <c r="C4157">
        <f>Sinistrés!X4162</f>
        <v>0</v>
      </c>
      <c r="D4157">
        <f>Sinistrés!L4162</f>
        <v>36.39</v>
      </c>
      <c r="E4157">
        <f>Sinistrés!M4162</f>
        <v>36.39</v>
      </c>
      <c r="F4157">
        <f t="shared" si="128"/>
        <v>0</v>
      </c>
      <c r="G4157">
        <f t="shared" si="129"/>
        <v>1</v>
      </c>
    </row>
    <row r="4158" spans="1:7" hidden="1">
      <c r="A4158" t="str">
        <f>Sinistrés!H4163</f>
        <v>Maïs grain non irrigué</v>
      </c>
      <c r="B4158">
        <f>Sinistrés!J4163</f>
        <v>33784.400000000001</v>
      </c>
      <c r="C4158">
        <f>Sinistrés!X4163</f>
        <v>0</v>
      </c>
      <c r="D4158">
        <f>Sinistrés!L4163</f>
        <v>17.8</v>
      </c>
      <c r="E4158">
        <f>Sinistrés!M4163</f>
        <v>17.8</v>
      </c>
      <c r="F4158">
        <f t="shared" si="128"/>
        <v>0</v>
      </c>
      <c r="G4158">
        <f t="shared" si="129"/>
        <v>1</v>
      </c>
    </row>
    <row r="4159" spans="1:7">
      <c r="A4159" t="str">
        <f>Sinistrés!H4164</f>
        <v>Maïs waxy non irrigué</v>
      </c>
      <c r="B4159">
        <f>Sinistrés!J4164</f>
        <v>40723.199999999997</v>
      </c>
      <c r="C4159">
        <f>Sinistrés!X4164</f>
        <v>19644.66</v>
      </c>
      <c r="D4159">
        <f>Sinistrés!L4164</f>
        <v>32</v>
      </c>
      <c r="E4159">
        <f>Sinistrés!M4164</f>
        <v>32</v>
      </c>
      <c r="F4159">
        <f t="shared" si="128"/>
        <v>0.48239480198019807</v>
      </c>
      <c r="G4159">
        <f t="shared" si="129"/>
        <v>1</v>
      </c>
    </row>
    <row r="4160" spans="1:7">
      <c r="A4160" t="str">
        <f>Sinistrés!H4165</f>
        <v>Maïs grain non irrigué</v>
      </c>
      <c r="B4160">
        <f>Sinistrés!J4165</f>
        <v>7226.6</v>
      </c>
      <c r="C4160">
        <f>Sinistrés!X4165</f>
        <v>3486.18</v>
      </c>
      <c r="D4160">
        <f>Sinistrés!L4165</f>
        <v>4.74</v>
      </c>
      <c r="E4160">
        <f>Sinistrés!M4165</f>
        <v>4.74</v>
      </c>
      <c r="F4160">
        <f t="shared" si="128"/>
        <v>0.48240943182132673</v>
      </c>
      <c r="G4160">
        <f t="shared" si="129"/>
        <v>1</v>
      </c>
    </row>
    <row r="4161" spans="1:7" hidden="1">
      <c r="A4161" t="str">
        <f>Sinistrés!H4166</f>
        <v>Maïs waxy irrigué</v>
      </c>
      <c r="B4161">
        <f>Sinistrés!J4166</f>
        <v>125474.4</v>
      </c>
      <c r="C4161">
        <f>Sinistrés!X4166</f>
        <v>0</v>
      </c>
      <c r="D4161">
        <f>Sinistrés!L4166</f>
        <v>74</v>
      </c>
      <c r="E4161">
        <f>Sinistrés!M4166</f>
        <v>74</v>
      </c>
      <c r="F4161">
        <f t="shared" si="128"/>
        <v>0</v>
      </c>
      <c r="G4161">
        <f t="shared" si="129"/>
        <v>1</v>
      </c>
    </row>
    <row r="4162" spans="1:7" hidden="1">
      <c r="A4162" t="str">
        <f>Sinistrés!H4167</f>
        <v>Maïs ensilage non irrigué</v>
      </c>
      <c r="B4162">
        <f>Sinistrés!J4167</f>
        <v>29250</v>
      </c>
      <c r="C4162">
        <f>Sinistrés!X4167</f>
        <v>0</v>
      </c>
      <c r="D4162">
        <f>Sinistrés!L4167</f>
        <v>25</v>
      </c>
      <c r="E4162">
        <f>Sinistrés!M4167</f>
        <v>22</v>
      </c>
      <c r="F4162">
        <f t="shared" si="128"/>
        <v>0</v>
      </c>
      <c r="G4162">
        <f t="shared" si="129"/>
        <v>0.88</v>
      </c>
    </row>
    <row r="4163" spans="1:7" hidden="1">
      <c r="A4163" t="str">
        <f>Sinistrés!H4168</f>
        <v>Tournesol</v>
      </c>
      <c r="B4163">
        <f>Sinistrés!J4168</f>
        <v>10982.3</v>
      </c>
      <c r="C4163">
        <f>Sinistrés!X4168</f>
        <v>0</v>
      </c>
      <c r="D4163">
        <f>Sinistrés!L4168</f>
        <v>12.96</v>
      </c>
      <c r="E4163">
        <f>Sinistrés!M4168</f>
        <v>12.96</v>
      </c>
      <c r="F4163">
        <f t="shared" ref="F4163:F4226" si="130">C4163/B4163</f>
        <v>0</v>
      </c>
      <c r="G4163">
        <f t="shared" ref="G4163:G4226" si="131">E4163/D4163</f>
        <v>1</v>
      </c>
    </row>
    <row r="4164" spans="1:7">
      <c r="A4164" t="str">
        <f>Sinistrés!H4169</f>
        <v>Maïs grain non irrigué</v>
      </c>
      <c r="B4164">
        <f>Sinistrés!J4169</f>
        <v>25013.48</v>
      </c>
      <c r="C4164">
        <f>Sinistrés!X4169</f>
        <v>4626.66</v>
      </c>
      <c r="D4164">
        <f>Sinistrés!L4169</f>
        <v>15.04</v>
      </c>
      <c r="E4164">
        <f>Sinistrés!M4169</f>
        <v>15.04</v>
      </c>
      <c r="F4164">
        <f t="shared" si="130"/>
        <v>0.18496666597370698</v>
      </c>
      <c r="G4164">
        <f t="shared" si="131"/>
        <v>1</v>
      </c>
    </row>
    <row r="4165" spans="1:7">
      <c r="A4165" t="str">
        <f>Sinistrés!H4170</f>
        <v>Soja</v>
      </c>
      <c r="B4165">
        <f>Sinistrés!J4170</f>
        <v>16604.560000000001</v>
      </c>
      <c r="C4165">
        <f>Sinistrés!X4170</f>
        <v>916.59</v>
      </c>
      <c r="D4165">
        <f>Sinistrés!L4170</f>
        <v>16.63</v>
      </c>
      <c r="E4165">
        <f>Sinistrés!M4170</f>
        <v>16.63</v>
      </c>
      <c r="F4165">
        <f t="shared" si="130"/>
        <v>5.5201101384198072E-2</v>
      </c>
      <c r="G4165">
        <f t="shared" si="131"/>
        <v>1</v>
      </c>
    </row>
    <row r="4166" spans="1:7">
      <c r="A4166" t="str">
        <f>Sinistrés!H4171</f>
        <v>Colza de printemps</v>
      </c>
      <c r="B4166">
        <f>Sinistrés!J4171</f>
        <v>14839.87</v>
      </c>
      <c r="C4166">
        <f>Sinistrés!X4171</f>
        <v>4496.3900000000003</v>
      </c>
      <c r="D4166">
        <f>Sinistrés!L4171</f>
        <v>19.53</v>
      </c>
      <c r="E4166">
        <f>Sinistrés!M4171</f>
        <v>19.53</v>
      </c>
      <c r="F4166">
        <f t="shared" si="130"/>
        <v>0.30299389415136385</v>
      </c>
      <c r="G4166">
        <f t="shared" si="131"/>
        <v>1</v>
      </c>
    </row>
    <row r="4167" spans="1:7">
      <c r="A4167" t="str">
        <f>Sinistrés!H4172</f>
        <v>Maïs grain non irrigué</v>
      </c>
      <c r="B4167">
        <f>Sinistrés!J4172</f>
        <v>54689.599999999999</v>
      </c>
      <c r="C4167">
        <f>Sinistrés!X4172</f>
        <v>5750.27</v>
      </c>
      <c r="D4167">
        <f>Sinistrés!L4172</f>
        <v>26.6</v>
      </c>
      <c r="E4167">
        <f>Sinistrés!M4172</f>
        <v>26.6</v>
      </c>
      <c r="F4167">
        <f t="shared" si="130"/>
        <v>0.1051437567654545</v>
      </c>
      <c r="G4167">
        <f t="shared" si="131"/>
        <v>1</v>
      </c>
    </row>
    <row r="4168" spans="1:7" hidden="1">
      <c r="A4168" t="str">
        <f>Sinistrés!H4173</f>
        <v>Maïs grain irrigué</v>
      </c>
      <c r="B4168">
        <f>Sinistrés!J4173</f>
        <v>65481.599999999999</v>
      </c>
      <c r="C4168">
        <f>Sinistrés!X4173</f>
        <v>0</v>
      </c>
      <c r="D4168">
        <f>Sinistrés!L4173</f>
        <v>32</v>
      </c>
      <c r="E4168">
        <f>Sinistrés!M4173</f>
        <v>32</v>
      </c>
      <c r="F4168">
        <f t="shared" si="130"/>
        <v>0</v>
      </c>
      <c r="G4168">
        <f t="shared" si="131"/>
        <v>1</v>
      </c>
    </row>
    <row r="4169" spans="1:7" hidden="1">
      <c r="A4169" t="str">
        <f>Sinistrés!H4174</f>
        <v>Maïs grain non irrigué</v>
      </c>
      <c r="B4169">
        <f>Sinistrés!J4174</f>
        <v>48763</v>
      </c>
      <c r="C4169">
        <f>Sinistrés!X4174</f>
        <v>0</v>
      </c>
      <c r="D4169">
        <f>Sinistrés!L4174</f>
        <v>55</v>
      </c>
      <c r="E4169">
        <f>Sinistrés!M4174</f>
        <v>55</v>
      </c>
      <c r="F4169">
        <f t="shared" si="130"/>
        <v>0</v>
      </c>
      <c r="G4169">
        <f t="shared" si="131"/>
        <v>1</v>
      </c>
    </row>
    <row r="4170" spans="1:7" hidden="1">
      <c r="A4170" t="str">
        <f>Sinistrés!H4175</f>
        <v>Maïs grain non irrigué</v>
      </c>
      <c r="B4170">
        <f>Sinistrés!J4175</f>
        <v>38120.78</v>
      </c>
      <c r="C4170">
        <f>Sinistrés!X4175</f>
        <v>0</v>
      </c>
      <c r="D4170">
        <f>Sinistrés!L4175</f>
        <v>31.57</v>
      </c>
      <c r="E4170">
        <f>Sinistrés!M4175</f>
        <v>31.57</v>
      </c>
      <c r="F4170">
        <f t="shared" si="130"/>
        <v>0</v>
      </c>
      <c r="G4170">
        <f t="shared" si="131"/>
        <v>1</v>
      </c>
    </row>
    <row r="4171" spans="1:7" hidden="1">
      <c r="A4171" t="str">
        <f>Sinistrés!H4176</f>
        <v>Maïs grain non irrigué</v>
      </c>
      <c r="B4171">
        <f>Sinistrés!J4176</f>
        <v>8449.27</v>
      </c>
      <c r="C4171">
        <f>Sinistrés!X4176</f>
        <v>0</v>
      </c>
      <c r="D4171">
        <f>Sinistrés!L4176</f>
        <v>6.12</v>
      </c>
      <c r="E4171">
        <f>Sinistrés!M4176</f>
        <v>6.12</v>
      </c>
      <c r="F4171">
        <f t="shared" si="130"/>
        <v>0</v>
      </c>
      <c r="G4171">
        <f t="shared" si="131"/>
        <v>1</v>
      </c>
    </row>
    <row r="4172" spans="1:7" hidden="1">
      <c r="A4172" t="str">
        <f>Sinistrés!H4177</f>
        <v>Tournesol</v>
      </c>
      <c r="B4172">
        <f>Sinistrés!J4177</f>
        <v>3154.12</v>
      </c>
      <c r="C4172">
        <f>Sinistrés!X4177</f>
        <v>0</v>
      </c>
      <c r="D4172">
        <f>Sinistrés!L4177</f>
        <v>2.77</v>
      </c>
      <c r="E4172">
        <f>Sinistrés!M4177</f>
        <v>2.76</v>
      </c>
      <c r="F4172">
        <f t="shared" si="130"/>
        <v>0</v>
      </c>
      <c r="G4172">
        <f t="shared" si="131"/>
        <v>0.99638989169675085</v>
      </c>
    </row>
    <row r="4173" spans="1:7">
      <c r="A4173" t="str">
        <f>Sinistrés!H4178</f>
        <v>Maïs grain irrigué</v>
      </c>
      <c r="B4173">
        <f>Sinistrés!J4178</f>
        <v>19222.97</v>
      </c>
      <c r="C4173">
        <f>Sinistrés!X4178</f>
        <v>295.45999999999998</v>
      </c>
      <c r="D4173">
        <f>Sinistrés!L4178</f>
        <v>11.19</v>
      </c>
      <c r="E4173">
        <f>Sinistrés!M4178</f>
        <v>11.18</v>
      </c>
      <c r="F4173">
        <f t="shared" si="130"/>
        <v>1.537015351946135E-2</v>
      </c>
      <c r="G4173">
        <f t="shared" si="131"/>
        <v>0.99910634495084905</v>
      </c>
    </row>
    <row r="4174" spans="1:7" hidden="1">
      <c r="A4174" t="str">
        <f>Sinistrés!H4179</f>
        <v>Tournesol</v>
      </c>
      <c r="B4174">
        <f>Sinistrés!J4179</f>
        <v>4370.28</v>
      </c>
      <c r="C4174">
        <f>Sinistrés!X4179</f>
        <v>0</v>
      </c>
      <c r="D4174">
        <f>Sinistrés!L4179</f>
        <v>4</v>
      </c>
      <c r="E4174">
        <f>Sinistrés!M4179</f>
        <v>4</v>
      </c>
      <c r="F4174">
        <f t="shared" si="130"/>
        <v>0</v>
      </c>
      <c r="G4174">
        <f t="shared" si="131"/>
        <v>1</v>
      </c>
    </row>
    <row r="4175" spans="1:7">
      <c r="A4175" t="str">
        <f>Sinistrés!H4180</f>
        <v>Sorgho</v>
      </c>
      <c r="B4175">
        <f>Sinistrés!J4180</f>
        <v>13243.99</v>
      </c>
      <c r="C4175">
        <f>Sinistrés!X4180</f>
        <v>5845.34</v>
      </c>
      <c r="D4175">
        <f>Sinistrés!L4180</f>
        <v>13.74</v>
      </c>
      <c r="E4175">
        <f>Sinistrés!M4180</f>
        <v>13.74</v>
      </c>
      <c r="F4175">
        <f t="shared" si="130"/>
        <v>0.44135792914370975</v>
      </c>
      <c r="G4175">
        <f t="shared" si="131"/>
        <v>1</v>
      </c>
    </row>
    <row r="4176" spans="1:7" hidden="1">
      <c r="A4176" t="str">
        <f>Sinistrés!H4181</f>
        <v>Tournesol</v>
      </c>
      <c r="B4176">
        <f>Sinistrés!J4181</f>
        <v>16872</v>
      </c>
      <c r="C4176">
        <f>Sinistrés!X4181</f>
        <v>0</v>
      </c>
      <c r="D4176">
        <f>Sinistrés!L4181</f>
        <v>27.75</v>
      </c>
      <c r="E4176">
        <f>Sinistrés!M4181</f>
        <v>27.75</v>
      </c>
      <c r="F4176">
        <f t="shared" si="130"/>
        <v>0</v>
      </c>
      <c r="G4176">
        <f t="shared" si="131"/>
        <v>1</v>
      </c>
    </row>
    <row r="4177" spans="1:7" hidden="1">
      <c r="A4177" t="str">
        <f>Sinistrés!H4182</f>
        <v>Maïs grain non irrigué</v>
      </c>
      <c r="B4177">
        <f>Sinistrés!J4182</f>
        <v>2666.48</v>
      </c>
      <c r="C4177">
        <f>Sinistrés!X4182</f>
        <v>0</v>
      </c>
      <c r="D4177">
        <f>Sinistrés!L4182</f>
        <v>3.38</v>
      </c>
      <c r="E4177">
        <f>Sinistrés!M4182</f>
        <v>3.38</v>
      </c>
      <c r="F4177">
        <f t="shared" si="130"/>
        <v>0</v>
      </c>
      <c r="G4177">
        <f t="shared" si="131"/>
        <v>1</v>
      </c>
    </row>
    <row r="4178" spans="1:7">
      <c r="A4178" t="str">
        <f>Sinistrés!H4183</f>
        <v>Soja</v>
      </c>
      <c r="B4178">
        <f>Sinistrés!J4183</f>
        <v>8417.52</v>
      </c>
      <c r="C4178">
        <f>Sinistrés!X4183</f>
        <v>4136.0200000000004</v>
      </c>
      <c r="D4178">
        <f>Sinistrés!L4183</f>
        <v>8.66</v>
      </c>
      <c r="E4178">
        <f>Sinistrés!M4183</f>
        <v>8.66</v>
      </c>
      <c r="F4178">
        <f t="shared" si="130"/>
        <v>0.49135849989070418</v>
      </c>
      <c r="G4178">
        <f t="shared" si="131"/>
        <v>1</v>
      </c>
    </row>
    <row r="4179" spans="1:7">
      <c r="A4179" t="str">
        <f>Sinistrés!H4184</f>
        <v>Tournesol</v>
      </c>
      <c r="B4179">
        <f>Sinistrés!J4184</f>
        <v>4691.7</v>
      </c>
      <c r="C4179">
        <f>Sinistrés!X4184</f>
        <v>1678.19</v>
      </c>
      <c r="D4179">
        <f>Sinistrés!L4184</f>
        <v>4.01</v>
      </c>
      <c r="E4179">
        <f>Sinistrés!M4184</f>
        <v>4.01</v>
      </c>
      <c r="F4179">
        <f t="shared" si="130"/>
        <v>0.35769337340409663</v>
      </c>
      <c r="G4179">
        <f t="shared" si="131"/>
        <v>1</v>
      </c>
    </row>
    <row r="4180" spans="1:7">
      <c r="A4180" t="str">
        <f>Sinistrés!H4185</f>
        <v>Maïs grain non irrigué</v>
      </c>
      <c r="B4180">
        <f>Sinistrés!J4185</f>
        <v>4112.3999999999996</v>
      </c>
      <c r="C4180">
        <f>Sinistrés!X4185</f>
        <v>1966.8</v>
      </c>
      <c r="D4180">
        <f>Sinistrés!L4185</f>
        <v>2.98</v>
      </c>
      <c r="E4180">
        <f>Sinistrés!M4185</f>
        <v>2.98</v>
      </c>
      <c r="F4180">
        <f t="shared" si="130"/>
        <v>0.47826086956521741</v>
      </c>
      <c r="G4180">
        <f t="shared" si="131"/>
        <v>1</v>
      </c>
    </row>
    <row r="4181" spans="1:7">
      <c r="A4181" t="str">
        <f>Sinistrés!H4186</f>
        <v>Maïs grain non irrigué</v>
      </c>
      <c r="B4181">
        <f>Sinistrés!J4186</f>
        <v>22248</v>
      </c>
      <c r="C4181">
        <f>Sinistrés!X4186</f>
        <v>711.6</v>
      </c>
      <c r="D4181">
        <f>Sinistrés!L4186</f>
        <v>20</v>
      </c>
      <c r="E4181">
        <f>Sinistrés!M4186</f>
        <v>20</v>
      </c>
      <c r="F4181">
        <f t="shared" si="130"/>
        <v>3.1984897518878105E-2</v>
      </c>
      <c r="G4181">
        <f t="shared" si="131"/>
        <v>1</v>
      </c>
    </row>
    <row r="4182" spans="1:7" hidden="1">
      <c r="A4182" t="str">
        <f>Sinistrés!H4187</f>
        <v>Maïs ensilage non irrigué</v>
      </c>
      <c r="B4182">
        <f>Sinistrés!J4187</f>
        <v>26520</v>
      </c>
      <c r="C4182">
        <f>Sinistrés!X4187</f>
        <v>0</v>
      </c>
      <c r="D4182">
        <f>Sinistrés!L4187</f>
        <v>26</v>
      </c>
      <c r="E4182">
        <f>Sinistrés!M4187</f>
        <v>26</v>
      </c>
      <c r="F4182">
        <f t="shared" si="130"/>
        <v>0</v>
      </c>
      <c r="G4182">
        <f t="shared" si="131"/>
        <v>1</v>
      </c>
    </row>
    <row r="4183" spans="1:7" hidden="1">
      <c r="A4183" t="str">
        <f>Sinistrés!H4188</f>
        <v>Soja</v>
      </c>
      <c r="B4183">
        <f>Sinistrés!J4188</f>
        <v>2100.71</v>
      </c>
      <c r="C4183">
        <f>Sinistrés!X4188</f>
        <v>0</v>
      </c>
      <c r="D4183">
        <f>Sinistrés!L4188</f>
        <v>2.71</v>
      </c>
      <c r="E4183">
        <f>Sinistrés!M4188</f>
        <v>2.71</v>
      </c>
      <c r="F4183">
        <f t="shared" si="130"/>
        <v>0</v>
      </c>
      <c r="G4183">
        <f t="shared" si="131"/>
        <v>1</v>
      </c>
    </row>
    <row r="4184" spans="1:7">
      <c r="A4184" t="str">
        <f>Sinistrés!H4189</f>
        <v>Maïs grain irrigué</v>
      </c>
      <c r="B4184">
        <f>Sinistrés!J4189</f>
        <v>58803.8</v>
      </c>
      <c r="C4184">
        <f>Sinistrés!X4189</f>
        <v>15842.38</v>
      </c>
      <c r="D4184">
        <f>Sinistrés!L4189</f>
        <v>31.65</v>
      </c>
      <c r="E4184">
        <f>Sinistrés!M4189</f>
        <v>31.65</v>
      </c>
      <c r="F4184">
        <f t="shared" si="130"/>
        <v>0.26941082038915848</v>
      </c>
      <c r="G4184">
        <f t="shared" si="131"/>
        <v>1</v>
      </c>
    </row>
    <row r="4185" spans="1:7">
      <c r="A4185" t="str">
        <f>Sinistrés!H4190</f>
        <v>Maïs grain non irrigué</v>
      </c>
      <c r="B4185">
        <f>Sinistrés!J4190</f>
        <v>10137.200000000001</v>
      </c>
      <c r="C4185">
        <f>Sinistrés!X4190</f>
        <v>1489.86</v>
      </c>
      <c r="D4185">
        <f>Sinistrés!L4190</f>
        <v>9.5399999999999991</v>
      </c>
      <c r="E4185">
        <f>Sinistrés!M4190</f>
        <v>9.5399999999999991</v>
      </c>
      <c r="F4185">
        <f t="shared" si="130"/>
        <v>0.14696957739809807</v>
      </c>
      <c r="G4185">
        <f t="shared" si="131"/>
        <v>1</v>
      </c>
    </row>
    <row r="4186" spans="1:7" hidden="1">
      <c r="A4186" t="str">
        <f>Sinistrés!H4191</f>
        <v>Soja BIO</v>
      </c>
      <c r="B4186">
        <f>Sinistrés!J4191</f>
        <v>3047.44</v>
      </c>
      <c r="C4186">
        <f>Sinistrés!X4191</f>
        <v>0</v>
      </c>
      <c r="D4186">
        <f>Sinistrés!L4191</f>
        <v>4.0599999999999996</v>
      </c>
      <c r="E4186">
        <f>Sinistrés!M4191</f>
        <v>4.0599999999999996</v>
      </c>
      <c r="F4186">
        <f t="shared" si="130"/>
        <v>0</v>
      </c>
      <c r="G4186">
        <f t="shared" si="131"/>
        <v>1</v>
      </c>
    </row>
    <row r="4187" spans="1:7" hidden="1">
      <c r="A4187" t="str">
        <f>Sinistrés!H4192</f>
        <v>Lin oléagineux BIO</v>
      </c>
      <c r="B4187">
        <f>Sinistrés!J4192</f>
        <v>2390.4</v>
      </c>
      <c r="C4187">
        <f>Sinistrés!X4192</f>
        <v>0</v>
      </c>
      <c r="D4187">
        <f>Sinistrés!L4192</f>
        <v>4.9800000000000004</v>
      </c>
      <c r="E4187">
        <f>Sinistrés!M4192</f>
        <v>4.9800000000000004</v>
      </c>
      <c r="F4187">
        <f t="shared" si="130"/>
        <v>0</v>
      </c>
      <c r="G4187">
        <f t="shared" si="131"/>
        <v>1</v>
      </c>
    </row>
    <row r="4188" spans="1:7" hidden="1">
      <c r="A4188" t="str">
        <f>Sinistrés!H4193</f>
        <v>Maïs grain irrigué</v>
      </c>
      <c r="B4188">
        <f>Sinistrés!J4193</f>
        <v>26975.55</v>
      </c>
      <c r="C4188">
        <f>Sinistrés!X4193</f>
        <v>0</v>
      </c>
      <c r="D4188">
        <f>Sinistrés!L4193</f>
        <v>15</v>
      </c>
      <c r="E4188">
        <f>Sinistrés!M4193</f>
        <v>11.7</v>
      </c>
      <c r="F4188">
        <f t="shared" si="130"/>
        <v>0</v>
      </c>
      <c r="G4188">
        <f t="shared" si="131"/>
        <v>0.77999999999999992</v>
      </c>
    </row>
    <row r="4189" spans="1:7" hidden="1">
      <c r="A4189" t="str">
        <f>Sinistrés!H4194</f>
        <v>Maïs grain non irrigué</v>
      </c>
      <c r="B4189">
        <f>Sinistrés!J4194</f>
        <v>33791.370000000003</v>
      </c>
      <c r="C4189">
        <f>Sinistrés!X4194</f>
        <v>0</v>
      </c>
      <c r="D4189">
        <f>Sinistrés!L4194</f>
        <v>18.79</v>
      </c>
      <c r="E4189">
        <f>Sinistrés!M4194</f>
        <v>18</v>
      </c>
      <c r="F4189">
        <f t="shared" si="130"/>
        <v>0</v>
      </c>
      <c r="G4189">
        <f t="shared" si="131"/>
        <v>0.95795635976583293</v>
      </c>
    </row>
    <row r="4190" spans="1:7" hidden="1">
      <c r="A4190" t="str">
        <f>Sinistrés!H4195</f>
        <v>Tournesol</v>
      </c>
      <c r="B4190">
        <f>Sinistrés!J4195</f>
        <v>30839.98</v>
      </c>
      <c r="C4190">
        <f>Sinistrés!X4195</f>
        <v>0</v>
      </c>
      <c r="D4190">
        <f>Sinistrés!L4195</f>
        <v>21.58</v>
      </c>
      <c r="E4190">
        <f>Sinistrés!M4195</f>
        <v>21</v>
      </c>
      <c r="F4190">
        <f t="shared" si="130"/>
        <v>0</v>
      </c>
      <c r="G4190">
        <f t="shared" si="131"/>
        <v>0.97312326227988888</v>
      </c>
    </row>
    <row r="4191" spans="1:7" hidden="1">
      <c r="A4191" t="str">
        <f>Sinistrés!H4196</f>
        <v>Tournesol</v>
      </c>
      <c r="B4191">
        <f>Sinistrés!J4196</f>
        <v>21945.599999999999</v>
      </c>
      <c r="C4191">
        <f>Sinistrés!X4196</f>
        <v>0</v>
      </c>
      <c r="D4191">
        <f>Sinistrés!L4196</f>
        <v>22.86</v>
      </c>
      <c r="E4191">
        <f>Sinistrés!M4196</f>
        <v>22.86</v>
      </c>
      <c r="F4191">
        <f t="shared" si="130"/>
        <v>0</v>
      </c>
      <c r="G4191">
        <f t="shared" si="131"/>
        <v>1</v>
      </c>
    </row>
    <row r="4192" spans="1:7">
      <c r="A4192" t="str">
        <f>Sinistrés!H4197</f>
        <v>Soja</v>
      </c>
      <c r="B4192">
        <f>Sinistrés!J4197</f>
        <v>30924.38</v>
      </c>
      <c r="C4192">
        <f>Sinistrés!X4197</f>
        <v>5909.47</v>
      </c>
      <c r="D4192">
        <f>Sinistrés!L4197</f>
        <v>24.59</v>
      </c>
      <c r="E4192">
        <f>Sinistrés!M4197</f>
        <v>24.59</v>
      </c>
      <c r="F4192">
        <f t="shared" si="130"/>
        <v>0.19109421110463654</v>
      </c>
      <c r="G4192">
        <f t="shared" si="131"/>
        <v>1</v>
      </c>
    </row>
    <row r="4193" spans="1:7" hidden="1">
      <c r="A4193" t="str">
        <f>Sinistrés!H4198</f>
        <v>Tournesol</v>
      </c>
      <c r="B4193">
        <f>Sinistrés!J4198</f>
        <v>45551.39</v>
      </c>
      <c r="C4193">
        <f>Sinistrés!X4198</f>
        <v>0</v>
      </c>
      <c r="D4193">
        <f>Sinistrés!L4198</f>
        <v>40.01</v>
      </c>
      <c r="E4193">
        <f>Sinistrés!M4198</f>
        <v>40.01</v>
      </c>
      <c r="F4193">
        <f t="shared" si="130"/>
        <v>0</v>
      </c>
      <c r="G4193">
        <f t="shared" si="131"/>
        <v>1</v>
      </c>
    </row>
    <row r="4194" spans="1:7">
      <c r="A4194" t="str">
        <f>Sinistrés!H4199</f>
        <v>Maïs grain non irrigué</v>
      </c>
      <c r="B4194">
        <f>Sinistrés!J4199</f>
        <v>63698.04</v>
      </c>
      <c r="C4194">
        <f>Sinistrés!X4199</f>
        <v>16964.48</v>
      </c>
      <c r="D4194">
        <f>Sinistrés!L4199</f>
        <v>36.11</v>
      </c>
      <c r="E4194">
        <f>Sinistrés!M4199</f>
        <v>36.11</v>
      </c>
      <c r="F4194">
        <f t="shared" si="130"/>
        <v>0.26632656201038524</v>
      </c>
      <c r="G4194">
        <f t="shared" si="131"/>
        <v>1</v>
      </c>
    </row>
    <row r="4195" spans="1:7" hidden="1">
      <c r="A4195" t="str">
        <f>Sinistrés!H4200</f>
        <v>Soja</v>
      </c>
      <c r="B4195">
        <f>Sinistrés!J4200</f>
        <v>3670.1</v>
      </c>
      <c r="C4195">
        <f>Sinistrés!X4200</f>
        <v>0</v>
      </c>
      <c r="D4195">
        <f>Sinistrés!L4200</f>
        <v>6.5</v>
      </c>
      <c r="E4195">
        <f>Sinistrés!M4200</f>
        <v>6.5</v>
      </c>
      <c r="F4195">
        <f t="shared" si="130"/>
        <v>0</v>
      </c>
      <c r="G4195">
        <f t="shared" si="131"/>
        <v>1</v>
      </c>
    </row>
    <row r="4196" spans="1:7" hidden="1">
      <c r="A4196" t="str">
        <f>Sinistrés!H4201</f>
        <v>Tournesol</v>
      </c>
      <c r="B4196">
        <f>Sinistrés!J4201</f>
        <v>19379.5</v>
      </c>
      <c r="C4196">
        <f>Sinistrés!X4201</f>
        <v>0</v>
      </c>
      <c r="D4196">
        <f>Sinistrés!L4201</f>
        <v>24.5</v>
      </c>
      <c r="E4196">
        <f>Sinistrés!M4201</f>
        <v>24.5</v>
      </c>
      <c r="F4196">
        <f t="shared" si="130"/>
        <v>0</v>
      </c>
      <c r="G4196">
        <f t="shared" si="131"/>
        <v>1</v>
      </c>
    </row>
    <row r="4197" spans="1:7" hidden="1">
      <c r="A4197" t="str">
        <f>Sinistrés!H4202</f>
        <v>Maïs grain non irrigué</v>
      </c>
      <c r="B4197">
        <f>Sinistrés!J4202</f>
        <v>35403.839999999997</v>
      </c>
      <c r="C4197">
        <f>Sinistrés!X4202</f>
        <v>0</v>
      </c>
      <c r="D4197">
        <f>Sinistrés!L4202</f>
        <v>30.4</v>
      </c>
      <c r="E4197">
        <f>Sinistrés!M4202</f>
        <v>30.4</v>
      </c>
      <c r="F4197">
        <f t="shared" si="130"/>
        <v>0</v>
      </c>
      <c r="G4197">
        <f t="shared" si="131"/>
        <v>1</v>
      </c>
    </row>
    <row r="4198" spans="1:7" hidden="1">
      <c r="A4198" t="str">
        <f>Sinistrés!H4203</f>
        <v>Tournesol</v>
      </c>
      <c r="B4198">
        <f>Sinistrés!J4203</f>
        <v>13519.8</v>
      </c>
      <c r="C4198">
        <f>Sinistrés!X4203</f>
        <v>0</v>
      </c>
      <c r="D4198">
        <f>Sinistrés!L4203</f>
        <v>13.05</v>
      </c>
      <c r="E4198">
        <f>Sinistrés!M4203</f>
        <v>13.05</v>
      </c>
      <c r="F4198">
        <f t="shared" si="130"/>
        <v>0</v>
      </c>
      <c r="G4198">
        <f t="shared" si="131"/>
        <v>1</v>
      </c>
    </row>
    <row r="4199" spans="1:7">
      <c r="A4199" t="str">
        <f>Sinistrés!H4204</f>
        <v>Tournesol</v>
      </c>
      <c r="B4199">
        <f>Sinistrés!J4204</f>
        <v>41440</v>
      </c>
      <c r="C4199">
        <f>Sinistrés!X4204</f>
        <v>105</v>
      </c>
      <c r="D4199">
        <f>Sinistrés!L4204</f>
        <v>40</v>
      </c>
      <c r="E4199">
        <f>Sinistrés!M4204</f>
        <v>27.9</v>
      </c>
      <c r="F4199">
        <f t="shared" si="130"/>
        <v>2.5337837837837839E-3</v>
      </c>
      <c r="G4199">
        <f t="shared" si="131"/>
        <v>0.69750000000000001</v>
      </c>
    </row>
    <row r="4200" spans="1:7" hidden="1">
      <c r="A4200" t="str">
        <f>Sinistrés!H4205</f>
        <v>Maïs grain non irrigué</v>
      </c>
      <c r="B4200">
        <f>Sinistrés!J4205</f>
        <v>46971.75</v>
      </c>
      <c r="C4200">
        <f>Sinistrés!X4205</f>
        <v>0</v>
      </c>
      <c r="D4200">
        <f>Sinistrés!L4205</f>
        <v>25</v>
      </c>
      <c r="E4200">
        <f>Sinistrés!M4205</f>
        <v>25</v>
      </c>
      <c r="F4200">
        <f t="shared" si="130"/>
        <v>0</v>
      </c>
      <c r="G4200">
        <f t="shared" si="131"/>
        <v>1</v>
      </c>
    </row>
    <row r="4201" spans="1:7" hidden="1">
      <c r="A4201" t="str">
        <f>Sinistrés!H4206</f>
        <v>Tournesol</v>
      </c>
      <c r="B4201">
        <f>Sinistrés!J4206</f>
        <v>12690</v>
      </c>
      <c r="C4201">
        <f>Sinistrés!X4206</f>
        <v>0</v>
      </c>
      <c r="D4201">
        <f>Sinistrés!L4206</f>
        <v>9</v>
      </c>
      <c r="E4201">
        <f>Sinistrés!M4206</f>
        <v>9</v>
      </c>
      <c r="F4201">
        <f t="shared" si="130"/>
        <v>0</v>
      </c>
      <c r="G4201">
        <f t="shared" si="131"/>
        <v>1</v>
      </c>
    </row>
    <row r="4202" spans="1:7">
      <c r="A4202" t="str">
        <f>Sinistrés!H4207</f>
        <v>Soja</v>
      </c>
      <c r="B4202">
        <f>Sinistrés!J4207</f>
        <v>9324</v>
      </c>
      <c r="C4202">
        <f>Sinistrés!X4207</f>
        <v>1449</v>
      </c>
      <c r="D4202">
        <f>Sinistrés!L4207</f>
        <v>7</v>
      </c>
      <c r="E4202">
        <f>Sinistrés!M4207</f>
        <v>7</v>
      </c>
      <c r="F4202">
        <f t="shared" si="130"/>
        <v>0.1554054054054054</v>
      </c>
      <c r="G4202">
        <f t="shared" si="131"/>
        <v>1</v>
      </c>
    </row>
    <row r="4203" spans="1:7">
      <c r="A4203" t="str">
        <f>Sinistrés!H4208</f>
        <v>Tournesol</v>
      </c>
      <c r="B4203">
        <f>Sinistrés!J4208</f>
        <v>22842.560000000001</v>
      </c>
      <c r="C4203">
        <f>Sinistrés!X4208</f>
        <v>4240.1499999999996</v>
      </c>
      <c r="D4203">
        <f>Sinistrés!L4208</f>
        <v>37.57</v>
      </c>
      <c r="E4203">
        <f>Sinistrés!M4208</f>
        <v>37.56</v>
      </c>
      <c r="F4203">
        <f t="shared" si="130"/>
        <v>0.18562499124441392</v>
      </c>
      <c r="G4203">
        <f t="shared" si="131"/>
        <v>0.99973383018365725</v>
      </c>
    </row>
    <row r="4204" spans="1:7">
      <c r="A4204" t="str">
        <f>Sinistrés!H4209</f>
        <v>Tournesol</v>
      </c>
      <c r="B4204">
        <f>Sinistrés!J4209</f>
        <v>27660</v>
      </c>
      <c r="C4204">
        <f>Sinistrés!X4209</f>
        <v>4071.55</v>
      </c>
      <c r="D4204">
        <f>Sinistrés!L4209</f>
        <v>24</v>
      </c>
      <c r="E4204">
        <f>Sinistrés!M4209</f>
        <v>24</v>
      </c>
      <c r="F4204">
        <f t="shared" si="130"/>
        <v>0.14719992769342011</v>
      </c>
      <c r="G4204">
        <f t="shared" si="131"/>
        <v>1</v>
      </c>
    </row>
    <row r="4205" spans="1:7">
      <c r="A4205" t="str">
        <f>Sinistrés!H4210</f>
        <v>Maïs ensilage non irrigué</v>
      </c>
      <c r="B4205">
        <f>Sinistrés!J4210</f>
        <v>32598.06</v>
      </c>
      <c r="C4205">
        <f>Sinistrés!X4210</f>
        <v>2182.79</v>
      </c>
      <c r="D4205">
        <f>Sinistrés!L4210</f>
        <v>24.77</v>
      </c>
      <c r="E4205">
        <f>Sinistrés!M4210</f>
        <v>24.77</v>
      </c>
      <c r="F4205">
        <f t="shared" si="130"/>
        <v>6.696073324608888E-2</v>
      </c>
      <c r="G4205">
        <f t="shared" si="131"/>
        <v>1</v>
      </c>
    </row>
    <row r="4206" spans="1:7">
      <c r="A4206" t="str">
        <f>Sinistrés!H4211</f>
        <v>Maïs grain non irrigué</v>
      </c>
      <c r="B4206">
        <f>Sinistrés!J4211</f>
        <v>25190.2</v>
      </c>
      <c r="C4206">
        <f>Sinistrés!X4211</f>
        <v>2883.62</v>
      </c>
      <c r="D4206">
        <f>Sinistrés!L4211</f>
        <v>18.940000000000001</v>
      </c>
      <c r="E4206">
        <f>Sinistrés!M4211</f>
        <v>18.940000000000001</v>
      </c>
      <c r="F4206">
        <f t="shared" si="130"/>
        <v>0.11447388270041524</v>
      </c>
      <c r="G4206">
        <f t="shared" si="131"/>
        <v>1</v>
      </c>
    </row>
    <row r="4207" spans="1:7">
      <c r="A4207" t="str">
        <f>Sinistrés!H4212</f>
        <v>Soja</v>
      </c>
      <c r="B4207">
        <f>Sinistrés!J4212</f>
        <v>49473.5</v>
      </c>
      <c r="C4207">
        <f>Sinistrés!X4212</f>
        <v>7568.71</v>
      </c>
      <c r="D4207">
        <f>Sinistrés!L4212</f>
        <v>44.59</v>
      </c>
      <c r="E4207">
        <f>Sinistrés!M4212</f>
        <v>44.59</v>
      </c>
      <c r="F4207">
        <f t="shared" si="130"/>
        <v>0.15298513345528414</v>
      </c>
      <c r="G4207">
        <f t="shared" si="131"/>
        <v>1</v>
      </c>
    </row>
    <row r="4208" spans="1:7" hidden="1">
      <c r="A4208" t="str">
        <f>Sinistrés!H4213</f>
        <v>Tournesol</v>
      </c>
      <c r="B4208">
        <f>Sinistrés!J4213</f>
        <v>35065.18</v>
      </c>
      <c r="C4208">
        <f>Sinistrés!X4213</f>
        <v>0</v>
      </c>
      <c r="D4208">
        <f>Sinistrés!L4213</f>
        <v>47.08</v>
      </c>
      <c r="E4208">
        <f>Sinistrés!M4213</f>
        <v>40.369999999999997</v>
      </c>
      <c r="F4208">
        <f t="shared" si="130"/>
        <v>0</v>
      </c>
      <c r="G4208">
        <f t="shared" si="131"/>
        <v>0.85747663551401865</v>
      </c>
    </row>
    <row r="4209" spans="1:7">
      <c r="A4209" t="str">
        <f>Sinistrés!H4214</f>
        <v>Maïs grain non irrigué</v>
      </c>
      <c r="B4209">
        <f>Sinistrés!J4214</f>
        <v>13981.84</v>
      </c>
      <c r="C4209">
        <f>Sinistrés!X4214</f>
        <v>971.79</v>
      </c>
      <c r="D4209">
        <f>Sinistrés!L4214</f>
        <v>7.87</v>
      </c>
      <c r="E4209">
        <f>Sinistrés!M4214</f>
        <v>7.87</v>
      </c>
      <c r="F4209">
        <f t="shared" si="130"/>
        <v>6.9503727692492551E-2</v>
      </c>
      <c r="G4209">
        <f t="shared" si="131"/>
        <v>1</v>
      </c>
    </row>
    <row r="4210" spans="1:7" hidden="1">
      <c r="A4210" t="str">
        <f>Sinistrés!H4215</f>
        <v>Soja</v>
      </c>
      <c r="B4210">
        <f>Sinistrés!J4215</f>
        <v>14671.8</v>
      </c>
      <c r="C4210">
        <f>Sinistrés!X4215</f>
        <v>0</v>
      </c>
      <c r="D4210">
        <f>Sinistrés!L4215</f>
        <v>1.45</v>
      </c>
      <c r="E4210">
        <f>Sinistrés!M4215</f>
        <v>10.45</v>
      </c>
      <c r="F4210">
        <f t="shared" si="130"/>
        <v>0</v>
      </c>
      <c r="G4210">
        <f t="shared" si="131"/>
        <v>7.2068965517241379</v>
      </c>
    </row>
    <row r="4211" spans="1:7" hidden="1">
      <c r="A4211" t="str">
        <f>Sinistrés!H4216</f>
        <v>Maïs grain irrigué</v>
      </c>
      <c r="B4211">
        <f>Sinistrés!J4216</f>
        <v>17848.86</v>
      </c>
      <c r="C4211">
        <f>Sinistrés!X4216</f>
        <v>0</v>
      </c>
      <c r="D4211">
        <f>Sinistrés!L4216</f>
        <v>8.75</v>
      </c>
      <c r="E4211">
        <f>Sinistrés!M4216</f>
        <v>8.75</v>
      </c>
      <c r="F4211">
        <f t="shared" si="130"/>
        <v>0</v>
      </c>
      <c r="G4211">
        <f t="shared" si="131"/>
        <v>1</v>
      </c>
    </row>
    <row r="4212" spans="1:7">
      <c r="A4212" t="str">
        <f>Sinistrés!H4217</f>
        <v>Maïs grain non irrigué</v>
      </c>
      <c r="B4212">
        <f>Sinistrés!J4217</f>
        <v>3299.67</v>
      </c>
      <c r="C4212">
        <f>Sinistrés!X4217</f>
        <v>263.60000000000002</v>
      </c>
      <c r="D4212">
        <f>Sinistrés!L4217</f>
        <v>2.42</v>
      </c>
      <c r="E4212">
        <f>Sinistrés!M4217</f>
        <v>2.42</v>
      </c>
      <c r="F4212">
        <f t="shared" si="130"/>
        <v>7.9886776556443523E-2</v>
      </c>
      <c r="G4212">
        <f t="shared" si="131"/>
        <v>1</v>
      </c>
    </row>
    <row r="4213" spans="1:7">
      <c r="A4213" t="str">
        <f>Sinistrés!H4218</f>
        <v>Maïs grain non irrigué</v>
      </c>
      <c r="B4213">
        <f>Sinistrés!J4218</f>
        <v>9466.4699999999993</v>
      </c>
      <c r="C4213">
        <f>Sinistrés!X4218</f>
        <v>4331.28</v>
      </c>
      <c r="D4213">
        <f>Sinistrés!L4218</f>
        <v>8.99</v>
      </c>
      <c r="E4213">
        <f>Sinistrés!M4218</f>
        <v>8.9</v>
      </c>
      <c r="F4213">
        <f t="shared" si="130"/>
        <v>0.45753908267812604</v>
      </c>
      <c r="G4213">
        <f t="shared" si="131"/>
        <v>0.9899888765294772</v>
      </c>
    </row>
    <row r="4214" spans="1:7">
      <c r="A4214" t="str">
        <f>Sinistrés!H4219</f>
        <v>Maïs grain irrigué</v>
      </c>
      <c r="B4214">
        <f>Sinistrés!J4219</f>
        <v>5977.92</v>
      </c>
      <c r="C4214">
        <f>Sinistrés!X4219</f>
        <v>2625.3</v>
      </c>
      <c r="D4214">
        <f>Sinistrés!L4219</f>
        <v>4.79</v>
      </c>
      <c r="E4214">
        <f>Sinistrés!M4219</f>
        <v>4.78</v>
      </c>
      <c r="F4214">
        <f t="shared" si="130"/>
        <v>0.43916613136341742</v>
      </c>
      <c r="G4214">
        <f t="shared" si="131"/>
        <v>0.9979123173277662</v>
      </c>
    </row>
    <row r="4215" spans="1:7" hidden="1">
      <c r="A4215" t="str">
        <f>Sinistrés!H4220</f>
        <v xml:space="preserve">Maïs grain non irrigué </v>
      </c>
      <c r="B4215">
        <f>Sinistrés!J4220</f>
        <v>3696.03</v>
      </c>
      <c r="C4215">
        <f>Sinistrés!X4220</f>
        <v>0</v>
      </c>
      <c r="D4215">
        <f>Sinistrés!L4220</f>
        <v>3.51</v>
      </c>
      <c r="E4215">
        <f>Sinistrés!M4220</f>
        <v>3.49</v>
      </c>
      <c r="F4215">
        <f t="shared" si="130"/>
        <v>0</v>
      </c>
      <c r="G4215">
        <f t="shared" si="131"/>
        <v>0.9943019943019944</v>
      </c>
    </row>
    <row r="4216" spans="1:7">
      <c r="A4216" t="str">
        <f>Sinistrés!H4221</f>
        <v>Maïs grain non irrigué</v>
      </c>
      <c r="B4216">
        <f>Sinistrés!J4221</f>
        <v>35992.44</v>
      </c>
      <c r="C4216">
        <f>Sinistrés!X4221</f>
        <v>14686.63</v>
      </c>
      <c r="D4216">
        <f>Sinistrés!L4221</f>
        <v>26.82</v>
      </c>
      <c r="E4216">
        <f>Sinistrés!M4221</f>
        <v>26.82</v>
      </c>
      <c r="F4216">
        <f t="shared" si="130"/>
        <v>0.40804763444767839</v>
      </c>
      <c r="G4216">
        <f t="shared" si="131"/>
        <v>1</v>
      </c>
    </row>
    <row r="4217" spans="1:7" hidden="1">
      <c r="A4217" t="str">
        <f>Sinistrés!H4222</f>
        <v>Soja BIO</v>
      </c>
      <c r="B4217">
        <f>Sinistrés!J4222</f>
        <v>34265.699999999997</v>
      </c>
      <c r="C4217">
        <f>Sinistrés!X4222</f>
        <v>14081.57</v>
      </c>
      <c r="D4217">
        <f>Sinistrés!L4222</f>
        <v>23.31</v>
      </c>
      <c r="E4217">
        <f>Sinistrés!M4222</f>
        <v>23.31</v>
      </c>
      <c r="F4217">
        <f t="shared" si="130"/>
        <v>0.41095235176867834</v>
      </c>
      <c r="G4217">
        <f t="shared" si="131"/>
        <v>1</v>
      </c>
    </row>
    <row r="4218" spans="1:7" hidden="1">
      <c r="A4218" t="str">
        <f>Sinistrés!H4223</f>
        <v>Maïs ensilage non irrigué</v>
      </c>
      <c r="B4218">
        <f>Sinistrés!J4223</f>
        <v>10004.58</v>
      </c>
      <c r="C4218">
        <f>Sinistrés!X4223</f>
        <v>0</v>
      </c>
      <c r="D4218">
        <f>Sinistrés!L4223</f>
        <v>7.39</v>
      </c>
      <c r="E4218">
        <f>Sinistrés!M4223</f>
        <v>7.39</v>
      </c>
      <c r="F4218">
        <f t="shared" si="130"/>
        <v>0</v>
      </c>
      <c r="G4218">
        <f t="shared" si="131"/>
        <v>1</v>
      </c>
    </row>
    <row r="4219" spans="1:7" hidden="1">
      <c r="A4219" t="str">
        <f>Sinistrés!H4224</f>
        <v>Tournesol</v>
      </c>
      <c r="B4219">
        <f>Sinistrés!J4224</f>
        <v>14161.92</v>
      </c>
      <c r="C4219">
        <f>Sinistrés!X4224</f>
        <v>0</v>
      </c>
      <c r="D4219">
        <f>Sinistrés!L4224</f>
        <v>12</v>
      </c>
      <c r="E4219">
        <f>Sinistrés!M4224</f>
        <v>12</v>
      </c>
      <c r="F4219">
        <f t="shared" si="130"/>
        <v>0</v>
      </c>
      <c r="G4219">
        <f t="shared" si="131"/>
        <v>1</v>
      </c>
    </row>
    <row r="4220" spans="1:7" hidden="1">
      <c r="A4220" t="str">
        <f>Sinistrés!H4225</f>
        <v>Tournesol</v>
      </c>
      <c r="B4220">
        <f>Sinistrés!J4225</f>
        <v>17878.25</v>
      </c>
      <c r="C4220">
        <f>Sinistrés!X4225</f>
        <v>0</v>
      </c>
      <c r="D4220">
        <f>Sinistrés!L4225</f>
        <v>20.190000000000001</v>
      </c>
      <c r="E4220">
        <f>Sinistrés!M4225</f>
        <v>20.190000000000001</v>
      </c>
      <c r="F4220">
        <f t="shared" si="130"/>
        <v>0</v>
      </c>
      <c r="G4220">
        <f t="shared" si="131"/>
        <v>1</v>
      </c>
    </row>
    <row r="4221" spans="1:7" hidden="1">
      <c r="A4221" t="str">
        <f>Sinistrés!H4226</f>
        <v>Maïs grain non irrigué</v>
      </c>
      <c r="B4221">
        <f>Sinistrés!J4226</f>
        <v>2298.75</v>
      </c>
      <c r="C4221">
        <f>Sinistrés!X4226</f>
        <v>0</v>
      </c>
      <c r="D4221">
        <f>Sinistrés!L4226</f>
        <v>2.5</v>
      </c>
      <c r="E4221">
        <f>Sinistrés!M4226</f>
        <v>2.5</v>
      </c>
      <c r="F4221">
        <f t="shared" si="130"/>
        <v>0</v>
      </c>
      <c r="G4221">
        <f t="shared" si="131"/>
        <v>1</v>
      </c>
    </row>
    <row r="4222" spans="1:7" hidden="1">
      <c r="A4222" t="str">
        <f>Sinistrés!H4227</f>
        <v>Maïs ensilage non irrigué</v>
      </c>
      <c r="B4222">
        <f>Sinistrés!J4227</f>
        <v>46870.65</v>
      </c>
      <c r="C4222">
        <f>Sinistrés!X4227</f>
        <v>0</v>
      </c>
      <c r="D4222">
        <f>Sinistrés!L4227</f>
        <v>35.5</v>
      </c>
      <c r="E4222">
        <f>Sinistrés!M4227</f>
        <v>35.5</v>
      </c>
      <c r="F4222">
        <f t="shared" si="130"/>
        <v>0</v>
      </c>
      <c r="G4222">
        <f t="shared" si="131"/>
        <v>1</v>
      </c>
    </row>
    <row r="4223" spans="1:7">
      <c r="A4223" t="str">
        <f>Sinistrés!H4228</f>
        <v>Tournesol</v>
      </c>
      <c r="B4223">
        <f>Sinistrés!J4228</f>
        <v>71519.759999999995</v>
      </c>
      <c r="C4223">
        <f>Sinistrés!X4228</f>
        <v>7196.12</v>
      </c>
      <c r="D4223">
        <f>Sinistrés!L4228</f>
        <v>45.28</v>
      </c>
      <c r="E4223">
        <f>Sinistrés!M4228</f>
        <v>45.28</v>
      </c>
      <c r="F4223">
        <f t="shared" si="130"/>
        <v>0.10061722802201797</v>
      </c>
      <c r="G4223">
        <f t="shared" si="131"/>
        <v>1</v>
      </c>
    </row>
    <row r="4224" spans="1:7">
      <c r="A4224" t="str">
        <f>Sinistrés!H4229</f>
        <v>Maïs grain irrigué</v>
      </c>
      <c r="B4224">
        <f>Sinistrés!J4229</f>
        <v>47656</v>
      </c>
      <c r="C4224">
        <f>Sinistrés!X4229</f>
        <v>15281.2</v>
      </c>
      <c r="D4224">
        <f>Sinistrés!L4229</f>
        <v>20</v>
      </c>
      <c r="E4224">
        <f>Sinistrés!M4229</f>
        <v>20</v>
      </c>
      <c r="F4224">
        <f t="shared" si="130"/>
        <v>0.32065637065637065</v>
      </c>
      <c r="G4224">
        <f t="shared" si="131"/>
        <v>1</v>
      </c>
    </row>
    <row r="4225" spans="1:7">
      <c r="A4225" t="str">
        <f>Sinistrés!H4230</f>
        <v>Maïs pop corn irrigué</v>
      </c>
      <c r="B4225">
        <f>Sinistrés!J4230</f>
        <v>10420</v>
      </c>
      <c r="C4225">
        <f>Sinistrés!X4230</f>
        <v>15</v>
      </c>
      <c r="D4225">
        <f>Sinistrés!L4230</f>
        <v>5</v>
      </c>
      <c r="E4225">
        <f>Sinistrés!M4230</f>
        <v>5</v>
      </c>
      <c r="F4225">
        <f t="shared" si="130"/>
        <v>1.4395393474088292E-3</v>
      </c>
      <c r="G4225">
        <f t="shared" si="131"/>
        <v>1</v>
      </c>
    </row>
    <row r="4226" spans="1:7">
      <c r="A4226" t="str">
        <f>Sinistrés!H4231</f>
        <v>Maïs grain non irrigué</v>
      </c>
      <c r="B4226">
        <f>Sinistrés!J4231</f>
        <v>17416.75</v>
      </c>
      <c r="C4226">
        <f>Sinistrés!X4231</f>
        <v>2580.36</v>
      </c>
      <c r="D4226">
        <f>Sinistrés!L4231</f>
        <v>11.65</v>
      </c>
      <c r="E4226">
        <f>Sinistrés!M4231</f>
        <v>11.65</v>
      </c>
      <c r="F4226">
        <f t="shared" si="130"/>
        <v>0.14815393227783599</v>
      </c>
      <c r="G4226">
        <f t="shared" si="131"/>
        <v>1</v>
      </c>
    </row>
    <row r="4227" spans="1:7" hidden="1">
      <c r="A4227" t="str">
        <f>Sinistrés!H4232</f>
        <v>Sorgho</v>
      </c>
      <c r="B4227">
        <f>Sinistrés!J4232</f>
        <v>17694.62</v>
      </c>
      <c r="C4227">
        <f>Sinistrés!X4232</f>
        <v>0</v>
      </c>
      <c r="D4227">
        <f>Sinistrés!L4232</f>
        <v>14.2</v>
      </c>
      <c r="E4227">
        <f>Sinistrés!M4232</f>
        <v>14.2</v>
      </c>
      <c r="F4227">
        <f t="shared" ref="F4227:F4290" si="132">C4227/B4227</f>
        <v>0</v>
      </c>
      <c r="G4227">
        <f t="shared" ref="G4227:G4290" si="133">E4227/D4227</f>
        <v>1</v>
      </c>
    </row>
    <row r="4228" spans="1:7" hidden="1">
      <c r="A4228" t="str">
        <f>Sinistrés!H4233</f>
        <v>Tournesol</v>
      </c>
      <c r="B4228">
        <f>Sinistrés!J4233</f>
        <v>13644.8</v>
      </c>
      <c r="C4228">
        <f>Sinistrés!X4233</f>
        <v>0</v>
      </c>
      <c r="D4228">
        <f>Sinistrés!L4233</f>
        <v>13.12</v>
      </c>
      <c r="E4228">
        <f>Sinistrés!M4233</f>
        <v>13.12</v>
      </c>
      <c r="F4228">
        <f t="shared" si="132"/>
        <v>0</v>
      </c>
      <c r="G4228">
        <f t="shared" si="133"/>
        <v>1</v>
      </c>
    </row>
    <row r="4229" spans="1:7">
      <c r="A4229" t="str">
        <f>Sinistrés!H4234</f>
        <v>Soja</v>
      </c>
      <c r="B4229">
        <f>Sinistrés!J4234</f>
        <v>6455.6</v>
      </c>
      <c r="C4229">
        <f>Sinistrés!X4234</f>
        <v>459.23</v>
      </c>
      <c r="D4229">
        <f>Sinistrés!L4234</f>
        <v>5.9</v>
      </c>
      <c r="E4229">
        <f>Sinistrés!M4234</f>
        <v>5.9</v>
      </c>
      <c r="F4229">
        <f t="shared" si="132"/>
        <v>7.113668752710825E-2</v>
      </c>
      <c r="G4229">
        <f t="shared" si="133"/>
        <v>1</v>
      </c>
    </row>
    <row r="4230" spans="1:7" hidden="1">
      <c r="A4230" t="str">
        <f>Sinistrés!H4235</f>
        <v>Tournesol BIO</v>
      </c>
      <c r="B4230">
        <f>Sinistrés!J4235</f>
        <v>20788.8</v>
      </c>
      <c r="C4230">
        <f>Sinistrés!X4235</f>
        <v>0</v>
      </c>
      <c r="D4230">
        <f>Sinistrés!L4235</f>
        <v>29.28</v>
      </c>
      <c r="E4230">
        <f>Sinistrés!M4235</f>
        <v>29.28</v>
      </c>
      <c r="F4230">
        <f t="shared" si="132"/>
        <v>0</v>
      </c>
      <c r="G4230">
        <f t="shared" si="133"/>
        <v>1</v>
      </c>
    </row>
    <row r="4231" spans="1:7" hidden="1">
      <c r="A4231" t="str">
        <f>Sinistrés!H4236</f>
        <v>Maïs grain non irrigué</v>
      </c>
      <c r="B4231">
        <f>Sinistrés!J4236</f>
        <v>9044</v>
      </c>
      <c r="C4231">
        <f>Sinistrés!X4236</f>
        <v>0</v>
      </c>
      <c r="D4231">
        <f>Sinistrés!L4236</f>
        <v>17</v>
      </c>
      <c r="E4231">
        <f>Sinistrés!M4236</f>
        <v>13</v>
      </c>
      <c r="F4231">
        <f t="shared" si="132"/>
        <v>0</v>
      </c>
      <c r="G4231">
        <f t="shared" si="133"/>
        <v>0.76470588235294112</v>
      </c>
    </row>
    <row r="4232" spans="1:7">
      <c r="A4232" t="str">
        <f>Sinistrés!H4237</f>
        <v>Soja</v>
      </c>
      <c r="B4232">
        <f>Sinistrés!J4237</f>
        <v>10979.94</v>
      </c>
      <c r="C4232">
        <f>Sinistrés!X4237</f>
        <v>6365.4</v>
      </c>
      <c r="D4232">
        <f>Sinistrés!L4237</f>
        <v>10.24</v>
      </c>
      <c r="E4232">
        <f>Sinistrés!M4237</f>
        <v>10.24</v>
      </c>
      <c r="F4232">
        <f t="shared" si="132"/>
        <v>0.57972994387947474</v>
      </c>
      <c r="G4232">
        <f t="shared" si="133"/>
        <v>1</v>
      </c>
    </row>
    <row r="4233" spans="1:7">
      <c r="A4233" t="str">
        <f>Sinistrés!H4238</f>
        <v>Maïs grain non irrigué</v>
      </c>
      <c r="B4233">
        <f>Sinistrés!J4238</f>
        <v>37953.040000000001</v>
      </c>
      <c r="C4233">
        <f>Sinistrés!X4238</f>
        <v>19405.919999999998</v>
      </c>
      <c r="D4233">
        <f>Sinistrés!L4238</f>
        <v>26.51</v>
      </c>
      <c r="E4233">
        <f>Sinistrés!M4238</f>
        <v>26.51</v>
      </c>
      <c r="F4233">
        <f t="shared" si="132"/>
        <v>0.51131398169948961</v>
      </c>
      <c r="G4233">
        <f t="shared" si="133"/>
        <v>1</v>
      </c>
    </row>
    <row r="4234" spans="1:7" hidden="1">
      <c r="A4234" t="str">
        <f>Sinistrés!H4239</f>
        <v>Lin oléagineux</v>
      </c>
      <c r="B4234">
        <f>Sinistrés!J4239</f>
        <v>10521.77</v>
      </c>
      <c r="C4234">
        <f>Sinistrés!X4239</f>
        <v>0</v>
      </c>
      <c r="D4234">
        <f>Sinistrés!L4239</f>
        <v>7.88</v>
      </c>
      <c r="E4234">
        <f>Sinistrés!M4239</f>
        <v>7.88</v>
      </c>
      <c r="F4234">
        <f t="shared" si="132"/>
        <v>0</v>
      </c>
      <c r="G4234">
        <f t="shared" si="133"/>
        <v>1</v>
      </c>
    </row>
    <row r="4235" spans="1:7" hidden="1">
      <c r="A4235" t="str">
        <f>Sinistrés!H4240</f>
        <v>Tournesol</v>
      </c>
      <c r="B4235">
        <f>Sinistrés!J4240</f>
        <v>20867.21</v>
      </c>
      <c r="C4235">
        <f>Sinistrés!X4240</f>
        <v>0</v>
      </c>
      <c r="D4235">
        <f>Sinistrés!L4240</f>
        <v>27.77</v>
      </c>
      <c r="E4235">
        <f>Sinistrés!M4240</f>
        <v>27.77</v>
      </c>
      <c r="F4235">
        <f t="shared" si="132"/>
        <v>0</v>
      </c>
      <c r="G4235">
        <f t="shared" si="133"/>
        <v>1</v>
      </c>
    </row>
    <row r="4236" spans="1:7" hidden="1">
      <c r="A4236" t="str">
        <f>Sinistrés!H4241</f>
        <v>Tournesol</v>
      </c>
      <c r="B4236">
        <f>Sinistrés!J4241</f>
        <v>82480.45</v>
      </c>
      <c r="C4236">
        <f>Sinistrés!X4241</f>
        <v>0</v>
      </c>
      <c r="D4236">
        <f>Sinistrés!L4241</f>
        <v>72.67</v>
      </c>
      <c r="E4236">
        <f>Sinistrés!M4241</f>
        <v>72.66</v>
      </c>
      <c r="F4236">
        <f t="shared" si="132"/>
        <v>0</v>
      </c>
      <c r="G4236">
        <f t="shared" si="133"/>
        <v>0.99986239163341128</v>
      </c>
    </row>
    <row r="4237" spans="1:7" hidden="1">
      <c r="A4237" t="str">
        <f>Sinistrés!H4242</f>
        <v>Tournesol</v>
      </c>
      <c r="B4237">
        <f>Sinistrés!J4242</f>
        <v>12351</v>
      </c>
      <c r="C4237">
        <f>Sinistrés!X4242</f>
        <v>0</v>
      </c>
      <c r="D4237">
        <f>Sinistrés!L4242</f>
        <v>10.74</v>
      </c>
      <c r="E4237">
        <f>Sinistrés!M4242</f>
        <v>10.73</v>
      </c>
      <c r="F4237">
        <f t="shared" si="132"/>
        <v>0</v>
      </c>
      <c r="G4237">
        <f t="shared" si="133"/>
        <v>0.9990689013035382</v>
      </c>
    </row>
    <row r="4238" spans="1:7" hidden="1">
      <c r="A4238" t="str">
        <f>Sinistrés!H4243</f>
        <v>Tournesol</v>
      </c>
      <c r="B4238">
        <f>Sinistrés!J4243</f>
        <v>7985.95</v>
      </c>
      <c r="C4238">
        <f>Sinistrés!X4243</f>
        <v>0</v>
      </c>
      <c r="D4238">
        <f>Sinistrés!L4243</f>
        <v>12.17</v>
      </c>
      <c r="E4238">
        <f>Sinistrés!M4243</f>
        <v>12.17</v>
      </c>
      <c r="F4238">
        <f t="shared" si="132"/>
        <v>0</v>
      </c>
      <c r="G4238">
        <f t="shared" si="133"/>
        <v>1</v>
      </c>
    </row>
    <row r="4239" spans="1:7">
      <c r="A4239" t="str">
        <f>Sinistrés!H4244</f>
        <v>Maïs grain non irrigué</v>
      </c>
      <c r="B4239">
        <f>Sinistrés!J4244</f>
        <v>19327.25</v>
      </c>
      <c r="C4239">
        <f>Sinistrés!X4244</f>
        <v>3573.15</v>
      </c>
      <c r="D4239">
        <f>Sinistrés!L4244</f>
        <v>16.57</v>
      </c>
      <c r="E4239">
        <f>Sinistrés!M4244</f>
        <v>16.57</v>
      </c>
      <c r="F4239">
        <f t="shared" si="132"/>
        <v>0.18487627572468923</v>
      </c>
      <c r="G4239">
        <f t="shared" si="133"/>
        <v>1</v>
      </c>
    </row>
    <row r="4240" spans="1:7" hidden="1">
      <c r="A4240" t="str">
        <f>Sinistrés!H4245</f>
        <v>Tournesol</v>
      </c>
      <c r="B4240">
        <f>Sinistrés!J4245</f>
        <v>22895.599999999999</v>
      </c>
      <c r="C4240">
        <f>Sinistrés!X4245</f>
        <v>0</v>
      </c>
      <c r="D4240">
        <f>Sinistrés!L4245</f>
        <v>22.1</v>
      </c>
      <c r="E4240">
        <f>Sinistrés!M4245</f>
        <v>22.1</v>
      </c>
      <c r="F4240">
        <f t="shared" si="132"/>
        <v>0</v>
      </c>
      <c r="G4240">
        <f t="shared" si="133"/>
        <v>1</v>
      </c>
    </row>
    <row r="4241" spans="1:7">
      <c r="A4241" t="str">
        <f>Sinistrés!H4246</f>
        <v>Tournesol</v>
      </c>
      <c r="B4241">
        <f>Sinistrés!J4246</f>
        <v>74915.55</v>
      </c>
      <c r="C4241">
        <f>Sinistrés!X4246</f>
        <v>6693.98</v>
      </c>
      <c r="D4241">
        <f>Sinistrés!L4246</f>
        <v>56.97</v>
      </c>
      <c r="E4241">
        <f>Sinistrés!M4246</f>
        <v>56.96</v>
      </c>
      <c r="F4241">
        <f t="shared" si="132"/>
        <v>8.9353678909118328E-2</v>
      </c>
      <c r="G4241">
        <f t="shared" si="133"/>
        <v>0.99982446901878186</v>
      </c>
    </row>
    <row r="4242" spans="1:7">
      <c r="A4242" t="str">
        <f>Sinistrés!H4247</f>
        <v>Tournesol</v>
      </c>
      <c r="B4242">
        <f>Sinistrés!J4247</f>
        <v>36112.9</v>
      </c>
      <c r="C4242">
        <f>Sinistrés!X4247</f>
        <v>4694.68</v>
      </c>
      <c r="D4242">
        <f>Sinistrés!L4247</f>
        <v>32.64</v>
      </c>
      <c r="E4242">
        <f>Sinistrés!M4247</f>
        <v>32.64</v>
      </c>
      <c r="F4242">
        <f t="shared" si="132"/>
        <v>0.13000008307280778</v>
      </c>
      <c r="G4242">
        <f t="shared" si="133"/>
        <v>1</v>
      </c>
    </row>
    <row r="4243" spans="1:7">
      <c r="A4243" t="str">
        <f>Sinistrés!H4248</f>
        <v>Tournesol</v>
      </c>
      <c r="B4243">
        <f>Sinistrés!J4248</f>
        <v>36193.01</v>
      </c>
      <c r="C4243">
        <f>Sinistrés!X4248</f>
        <v>4617.0200000000004</v>
      </c>
      <c r="D4243">
        <f>Sinistrés!L4248</f>
        <v>29.28</v>
      </c>
      <c r="E4243">
        <f>Sinistrés!M4248</f>
        <v>29.28</v>
      </c>
      <c r="F4243">
        <f t="shared" si="132"/>
        <v>0.12756662128958052</v>
      </c>
      <c r="G4243">
        <f t="shared" si="133"/>
        <v>1</v>
      </c>
    </row>
    <row r="4244" spans="1:7" hidden="1">
      <c r="A4244" t="str">
        <f>Sinistrés!H4249</f>
        <v>Maïs grain irrigué SEMENCES FERTILES</v>
      </c>
      <c r="B4244">
        <f>Sinistrés!J4249</f>
        <v>138775</v>
      </c>
      <c r="C4244">
        <f>Sinistrés!X4249</f>
        <v>32828.25</v>
      </c>
      <c r="D4244">
        <f>Sinistrés!L4249</f>
        <v>30.5</v>
      </c>
      <c r="E4244">
        <f>Sinistrés!M4249</f>
        <v>30.5</v>
      </c>
      <c r="F4244">
        <f t="shared" si="132"/>
        <v>0.23655737704918034</v>
      </c>
      <c r="G4244">
        <f t="shared" si="133"/>
        <v>1</v>
      </c>
    </row>
    <row r="4245" spans="1:7">
      <c r="A4245" t="str">
        <f>Sinistrés!H4250</f>
        <v>Maïs ensilage non irrigué</v>
      </c>
      <c r="B4245">
        <f>Sinistrés!J4250</f>
        <v>9864.92</v>
      </c>
      <c r="C4245">
        <f>Sinistrés!X4250</f>
        <v>496.48</v>
      </c>
      <c r="D4245">
        <f>Sinistrés!L4250</f>
        <v>6.22</v>
      </c>
      <c r="E4245">
        <f>Sinistrés!M4250</f>
        <v>6.22</v>
      </c>
      <c r="F4245">
        <f t="shared" si="132"/>
        <v>5.0327828304740432E-2</v>
      </c>
      <c r="G4245">
        <f t="shared" si="133"/>
        <v>1</v>
      </c>
    </row>
    <row r="4246" spans="1:7" hidden="1">
      <c r="A4246" t="str">
        <f>Sinistrés!H4251</f>
        <v>Tournesol</v>
      </c>
      <c r="B4246">
        <f>Sinistrés!J4251</f>
        <v>18365.13</v>
      </c>
      <c r="C4246">
        <f>Sinistrés!X4251</f>
        <v>0</v>
      </c>
      <c r="D4246">
        <f>Sinistrés!L4251</f>
        <v>17.22</v>
      </c>
      <c r="E4246">
        <f>Sinistrés!M4251</f>
        <v>17.22</v>
      </c>
      <c r="F4246">
        <f t="shared" si="132"/>
        <v>0</v>
      </c>
      <c r="G4246">
        <f t="shared" si="133"/>
        <v>1</v>
      </c>
    </row>
    <row r="4247" spans="1:7" hidden="1">
      <c r="A4247" t="str">
        <f>Sinistrés!H4252</f>
        <v>Maïs grain non irrigué</v>
      </c>
      <c r="B4247">
        <f>Sinistrés!J4252</f>
        <v>3062.4</v>
      </c>
      <c r="C4247">
        <f>Sinistrés!X4252</f>
        <v>0</v>
      </c>
      <c r="D4247">
        <f>Sinistrés!L4252</f>
        <v>2.4</v>
      </c>
      <c r="E4247">
        <f>Sinistrés!M4252</f>
        <v>2.4</v>
      </c>
      <c r="F4247">
        <f t="shared" si="132"/>
        <v>0</v>
      </c>
      <c r="G4247">
        <f t="shared" si="133"/>
        <v>1</v>
      </c>
    </row>
    <row r="4248" spans="1:7" hidden="1">
      <c r="A4248" t="str">
        <f>Sinistrés!H4253</f>
        <v>Maïs ensilage non irrigué</v>
      </c>
      <c r="B4248">
        <f>Sinistrés!J4253</f>
        <v>5958.92</v>
      </c>
      <c r="C4248">
        <f>Sinistrés!X4253</f>
        <v>0</v>
      </c>
      <c r="D4248">
        <f>Sinistrés!L4253</f>
        <v>4.67</v>
      </c>
      <c r="E4248">
        <f>Sinistrés!M4253</f>
        <v>4.67</v>
      </c>
      <c r="F4248">
        <f t="shared" si="132"/>
        <v>0</v>
      </c>
      <c r="G4248">
        <f t="shared" si="133"/>
        <v>1</v>
      </c>
    </row>
    <row r="4249" spans="1:7" hidden="1">
      <c r="A4249" t="str">
        <f>Sinistrés!H4254</f>
        <v>Tournesol</v>
      </c>
      <c r="B4249">
        <f>Sinistrés!J4254</f>
        <v>13000.5</v>
      </c>
      <c r="C4249">
        <f>Sinistrés!X4254</f>
        <v>0</v>
      </c>
      <c r="D4249">
        <f>Sinistrés!L4254</f>
        <v>13.5</v>
      </c>
      <c r="E4249">
        <f>Sinistrés!M4254</f>
        <v>13.5</v>
      </c>
      <c r="F4249">
        <f t="shared" si="132"/>
        <v>0</v>
      </c>
      <c r="G4249">
        <f t="shared" si="133"/>
        <v>1</v>
      </c>
    </row>
    <row r="4250" spans="1:7" hidden="1">
      <c r="A4250" t="str">
        <f>Sinistrés!H4255</f>
        <v>Tournesol SEMENCES</v>
      </c>
      <c r="B4250">
        <f>Sinistrés!J4255</f>
        <v>41940</v>
      </c>
      <c r="C4250">
        <f>Sinistrés!X4255</f>
        <v>26841.599999999999</v>
      </c>
      <c r="D4250">
        <f>Sinistrés!L4255</f>
        <v>12</v>
      </c>
      <c r="E4250">
        <f>Sinistrés!M4255</f>
        <v>12</v>
      </c>
      <c r="F4250">
        <f t="shared" si="132"/>
        <v>0.64</v>
      </c>
      <c r="G4250">
        <f t="shared" si="133"/>
        <v>1</v>
      </c>
    </row>
    <row r="4251" spans="1:7">
      <c r="A4251" t="str">
        <f>Sinistrés!H4256</f>
        <v>Seigle et méteil</v>
      </c>
      <c r="B4251">
        <f>Sinistrés!J4256</f>
        <v>64953</v>
      </c>
      <c r="C4251">
        <f>Sinistrés!X4256</f>
        <v>3533.22</v>
      </c>
      <c r="D4251">
        <f>Sinistrés!L4256</f>
        <v>72.17</v>
      </c>
      <c r="E4251">
        <f>Sinistrés!M4256</f>
        <v>72.17</v>
      </c>
      <c r="F4251">
        <f t="shared" si="132"/>
        <v>5.4396563669114585E-2</v>
      </c>
      <c r="G4251">
        <f t="shared" si="133"/>
        <v>1</v>
      </c>
    </row>
    <row r="4252" spans="1:7" hidden="1">
      <c r="A4252" t="str">
        <f>Sinistrés!H4257</f>
        <v>Maïs grain non irrigué</v>
      </c>
      <c r="B4252">
        <f>Sinistrés!J4257</f>
        <v>18130.849999999999</v>
      </c>
      <c r="C4252">
        <f>Sinistrés!X4257</f>
        <v>0</v>
      </c>
      <c r="D4252">
        <f>Sinistrés!L4257</f>
        <v>20.55</v>
      </c>
      <c r="E4252">
        <f>Sinistrés!M4257</f>
        <v>20.55</v>
      </c>
      <c r="F4252">
        <f t="shared" si="132"/>
        <v>0</v>
      </c>
      <c r="G4252">
        <f t="shared" si="133"/>
        <v>1</v>
      </c>
    </row>
    <row r="4253" spans="1:7" hidden="1">
      <c r="A4253" t="str">
        <f>Sinistrés!H4258</f>
        <v>Tournesol</v>
      </c>
      <c r="B4253">
        <f>Sinistrés!J4258</f>
        <v>24062.87</v>
      </c>
      <c r="C4253">
        <f>Sinistrés!X4258</f>
        <v>0</v>
      </c>
      <c r="D4253">
        <f>Sinistrés!L4258</f>
        <v>32.979999999999997</v>
      </c>
      <c r="E4253">
        <f>Sinistrés!M4258</f>
        <v>32.979999999999997</v>
      </c>
      <c r="F4253">
        <f t="shared" si="132"/>
        <v>0</v>
      </c>
      <c r="G4253">
        <f t="shared" si="133"/>
        <v>1</v>
      </c>
    </row>
    <row r="4254" spans="1:7" hidden="1">
      <c r="A4254" t="str">
        <f>Sinistrés!H4259</f>
        <v>Soja</v>
      </c>
      <c r="B4254">
        <f>Sinistrés!J4259</f>
        <v>9310.56</v>
      </c>
      <c r="C4254">
        <f>Sinistrés!X4259</f>
        <v>0</v>
      </c>
      <c r="D4254">
        <f>Sinistrés!L4259</f>
        <v>8.16</v>
      </c>
      <c r="E4254">
        <f>Sinistrés!M4259</f>
        <v>8.16</v>
      </c>
      <c r="F4254">
        <f t="shared" si="132"/>
        <v>0</v>
      </c>
      <c r="G4254">
        <f t="shared" si="133"/>
        <v>1</v>
      </c>
    </row>
    <row r="4255" spans="1:7" hidden="1">
      <c r="A4255" t="str">
        <f>Sinistrés!H4260</f>
        <v>Maïs grain irrigué</v>
      </c>
      <c r="B4255">
        <f>Sinistrés!J4260</f>
        <v>16429.14</v>
      </c>
      <c r="C4255">
        <f>Sinistrés!X4260</f>
        <v>0</v>
      </c>
      <c r="D4255">
        <f>Sinistrés!L4260</f>
        <v>8.19</v>
      </c>
      <c r="E4255">
        <f>Sinistrés!M4260</f>
        <v>8.19</v>
      </c>
      <c r="F4255">
        <f t="shared" si="132"/>
        <v>0</v>
      </c>
      <c r="G4255">
        <f t="shared" si="133"/>
        <v>1</v>
      </c>
    </row>
    <row r="4256" spans="1:7">
      <c r="A4256" t="str">
        <f>Sinistrés!H4261</f>
        <v>Maïs grain non irrigué</v>
      </c>
      <c r="B4256">
        <f>Sinistrés!J4261</f>
        <v>6004.4</v>
      </c>
      <c r="C4256">
        <f>Sinistrés!X4261</f>
        <v>1812.54</v>
      </c>
      <c r="D4256">
        <f>Sinistrés!L4261</f>
        <v>4</v>
      </c>
      <c r="E4256">
        <f>Sinistrés!M4261</f>
        <v>4</v>
      </c>
      <c r="F4256">
        <f t="shared" si="132"/>
        <v>0.30186862967157418</v>
      </c>
      <c r="G4256">
        <f t="shared" si="133"/>
        <v>1</v>
      </c>
    </row>
    <row r="4257" spans="1:7">
      <c r="A4257" t="str">
        <f>Sinistrés!H4262</f>
        <v>Tournesol</v>
      </c>
      <c r="B4257">
        <f>Sinistrés!J4262</f>
        <v>4619.7</v>
      </c>
      <c r="C4257">
        <f>Sinistrés!X4262</f>
        <v>129.19999999999999</v>
      </c>
      <c r="D4257">
        <f>Sinistrés!L4262</f>
        <v>4.3499999999999996</v>
      </c>
      <c r="E4257">
        <f>Sinistrés!M4262</f>
        <v>4.3499999999999996</v>
      </c>
      <c r="F4257">
        <f t="shared" si="132"/>
        <v>2.7967184016278113E-2</v>
      </c>
      <c r="G4257">
        <f t="shared" si="133"/>
        <v>1</v>
      </c>
    </row>
    <row r="4258" spans="1:7">
      <c r="A4258" t="str">
        <f>Sinistrés!H4263</f>
        <v>Maïs ensilage non irrigué</v>
      </c>
      <c r="B4258">
        <f>Sinistrés!J4263</f>
        <v>5567.63</v>
      </c>
      <c r="C4258">
        <f>Sinistrés!X4263</f>
        <v>1179.81</v>
      </c>
      <c r="D4258">
        <f>Sinistrés!L4263</f>
        <v>5.25</v>
      </c>
      <c r="E4258">
        <f>Sinistrés!M4263</f>
        <v>5.25</v>
      </c>
      <c r="F4258">
        <f t="shared" si="132"/>
        <v>0.21190524514021225</v>
      </c>
      <c r="G4258">
        <f t="shared" si="133"/>
        <v>1</v>
      </c>
    </row>
    <row r="4259" spans="1:7">
      <c r="A4259" t="str">
        <f>Sinistrés!H4264</f>
        <v>Maïs ensilage non irrigué</v>
      </c>
      <c r="B4259">
        <f>Sinistrés!J4264</f>
        <v>17756.89</v>
      </c>
      <c r="C4259">
        <f>Sinistrés!X4264</f>
        <v>4445.88</v>
      </c>
      <c r="D4259">
        <f>Sinistrés!L4264</f>
        <v>12.11</v>
      </c>
      <c r="E4259">
        <f>Sinistrés!M4264</f>
        <v>12.11</v>
      </c>
      <c r="F4259">
        <f t="shared" si="132"/>
        <v>0.25037492488831098</v>
      </c>
      <c r="G4259">
        <f t="shared" si="133"/>
        <v>1</v>
      </c>
    </row>
    <row r="4260" spans="1:7" hidden="1">
      <c r="A4260" t="str">
        <f>Sinistrés!H4265</f>
        <v>Tournesol BIO</v>
      </c>
      <c r="B4260">
        <f>Sinistrés!J4265</f>
        <v>13696.5</v>
      </c>
      <c r="C4260">
        <f>Sinistrés!X4265</f>
        <v>0</v>
      </c>
      <c r="D4260">
        <f>Sinistrés!L4265</f>
        <v>19.850000000000001</v>
      </c>
      <c r="E4260">
        <f>Sinistrés!M4265</f>
        <v>19.850000000000001</v>
      </c>
      <c r="F4260">
        <f t="shared" si="132"/>
        <v>0</v>
      </c>
      <c r="G4260">
        <f t="shared" si="133"/>
        <v>1</v>
      </c>
    </row>
    <row r="4261" spans="1:7">
      <c r="A4261" t="str">
        <f>Sinistrés!H4266</f>
        <v>Maïs grain non irrigué</v>
      </c>
      <c r="B4261">
        <f>Sinistrés!J4266</f>
        <v>94497.49</v>
      </c>
      <c r="C4261">
        <f>Sinistrés!X4266</f>
        <v>21526.29</v>
      </c>
      <c r="D4261">
        <f>Sinistrés!L4266</f>
        <v>36.67</v>
      </c>
      <c r="E4261">
        <f>Sinistrés!M4266</f>
        <v>36.659999999999997</v>
      </c>
      <c r="F4261">
        <f t="shared" si="132"/>
        <v>0.22779747906531697</v>
      </c>
      <c r="G4261">
        <f t="shared" si="133"/>
        <v>0.99972729751840728</v>
      </c>
    </row>
    <row r="4262" spans="1:7">
      <c r="A4262" t="str">
        <f>Sinistrés!H4267</f>
        <v>Soja</v>
      </c>
      <c r="B4262">
        <f>Sinistrés!J4267</f>
        <v>111160.68</v>
      </c>
      <c r="C4262">
        <f>Sinistrés!X4267</f>
        <v>52789.79</v>
      </c>
      <c r="D4262">
        <f>Sinistrés!L4267</f>
        <v>102.34</v>
      </c>
      <c r="E4262">
        <f>Sinistrés!M4267</f>
        <v>102.34</v>
      </c>
      <c r="F4262">
        <f t="shared" si="132"/>
        <v>0.47489624928526891</v>
      </c>
      <c r="G4262">
        <f t="shared" si="133"/>
        <v>1</v>
      </c>
    </row>
    <row r="4263" spans="1:7">
      <c r="A4263" t="str">
        <f>Sinistrés!H4268</f>
        <v>Maïs grain non irrigué</v>
      </c>
      <c r="B4263">
        <f>Sinistrés!J4268</f>
        <v>101546.83</v>
      </c>
      <c r="C4263">
        <f>Sinistrés!X4268</f>
        <v>24600.81</v>
      </c>
      <c r="D4263">
        <f>Sinistrés!L4268</f>
        <v>69.41</v>
      </c>
      <c r="E4263">
        <f>Sinistrés!M4268</f>
        <v>69.41</v>
      </c>
      <c r="F4263">
        <f t="shared" si="132"/>
        <v>0.24226073822294603</v>
      </c>
      <c r="G4263">
        <f t="shared" si="133"/>
        <v>1</v>
      </c>
    </row>
    <row r="4264" spans="1:7">
      <c r="A4264" t="str">
        <f>Sinistrés!H4269</f>
        <v>Maïs grain non irrigué</v>
      </c>
      <c r="B4264">
        <f>Sinistrés!J4269</f>
        <v>60701.83</v>
      </c>
      <c r="C4264">
        <f>Sinistrés!X4269</f>
        <v>19937.36</v>
      </c>
      <c r="D4264">
        <f>Sinistrés!L4269</f>
        <v>32.520000000000003</v>
      </c>
      <c r="E4264">
        <f>Sinistrés!M4269</f>
        <v>32.5</v>
      </c>
      <c r="F4264">
        <f t="shared" si="132"/>
        <v>0.32844742901490781</v>
      </c>
      <c r="G4264">
        <f t="shared" si="133"/>
        <v>0.9993849938499384</v>
      </c>
    </row>
    <row r="4265" spans="1:7">
      <c r="A4265" t="str">
        <f>Sinistrés!H4270</f>
        <v>Soja</v>
      </c>
      <c r="B4265">
        <f>Sinistrés!J4270</f>
        <v>13044.93</v>
      </c>
      <c r="C4265">
        <f>Sinistrés!X4270</f>
        <v>3236.07</v>
      </c>
      <c r="D4265">
        <f>Sinistrés!L4270</f>
        <v>9.35</v>
      </c>
      <c r="E4265">
        <f>Sinistrés!M4270</f>
        <v>9.34</v>
      </c>
      <c r="F4265">
        <f t="shared" si="132"/>
        <v>0.24807108968771777</v>
      </c>
      <c r="G4265">
        <f t="shared" si="133"/>
        <v>0.99893048128342243</v>
      </c>
    </row>
    <row r="4266" spans="1:7" hidden="1">
      <c r="A4266" t="str">
        <f>Sinistrés!H4271</f>
        <v>Maïs grain non irrigué</v>
      </c>
      <c r="B4266">
        <f>Sinistrés!J4271</f>
        <v>13256.1</v>
      </c>
      <c r="C4266">
        <f>Sinistrés!X4271</f>
        <v>0</v>
      </c>
      <c r="D4266">
        <f>Sinistrés!L4271</f>
        <v>12.36</v>
      </c>
      <c r="E4266">
        <f>Sinistrés!M4271</f>
        <v>12.36</v>
      </c>
      <c r="F4266">
        <f t="shared" si="132"/>
        <v>0</v>
      </c>
      <c r="G4266">
        <f t="shared" si="133"/>
        <v>1</v>
      </c>
    </row>
    <row r="4267" spans="1:7">
      <c r="A4267" t="str">
        <f>Sinistrés!H4272</f>
        <v>Triticale</v>
      </c>
      <c r="B4267">
        <f>Sinistrés!J4272</f>
        <v>22426.54</v>
      </c>
      <c r="C4267">
        <f>Sinistrés!X4272</f>
        <v>12275.58</v>
      </c>
      <c r="D4267">
        <f>Sinistrés!L4272</f>
        <v>21.04</v>
      </c>
      <c r="E4267">
        <f>Sinistrés!M4272</f>
        <v>21.04</v>
      </c>
      <c r="F4267">
        <f t="shared" si="132"/>
        <v>0.54736843044000538</v>
      </c>
      <c r="G4267">
        <f t="shared" si="133"/>
        <v>1</v>
      </c>
    </row>
    <row r="4268" spans="1:7" hidden="1">
      <c r="A4268" t="str">
        <f>Sinistrés!H4273</f>
        <v>Maïs grain irrigué</v>
      </c>
      <c r="B4268">
        <f>Sinistrés!J4273</f>
        <v>13457.66</v>
      </c>
      <c r="C4268">
        <f>Sinistrés!X4273</f>
        <v>0</v>
      </c>
      <c r="D4268">
        <f>Sinistrés!L4273</f>
        <v>9.44</v>
      </c>
      <c r="E4268">
        <f>Sinistrés!M4273</f>
        <v>9.43</v>
      </c>
      <c r="F4268">
        <f t="shared" si="132"/>
        <v>0</v>
      </c>
      <c r="G4268">
        <f t="shared" si="133"/>
        <v>0.99894067796610175</v>
      </c>
    </row>
    <row r="4269" spans="1:7" hidden="1">
      <c r="A4269" t="str">
        <f>Sinistrés!H4274</f>
        <v>Maïs grain non irrigué</v>
      </c>
      <c r="B4269">
        <f>Sinistrés!J4274</f>
        <v>3005.46</v>
      </c>
      <c r="C4269">
        <f>Sinistrés!X4274</f>
        <v>0</v>
      </c>
      <c r="D4269">
        <f>Sinistrés!L4274</f>
        <v>2.83</v>
      </c>
      <c r="E4269">
        <f>Sinistrés!M4274</f>
        <v>2.82</v>
      </c>
      <c r="F4269">
        <f t="shared" si="132"/>
        <v>0</v>
      </c>
      <c r="G4269">
        <f t="shared" si="133"/>
        <v>0.99646643109540622</v>
      </c>
    </row>
    <row r="4270" spans="1:7" hidden="1">
      <c r="A4270" t="str">
        <f>Sinistrés!H4275</f>
        <v>Tournesol</v>
      </c>
      <c r="B4270">
        <f>Sinistrés!J4275</f>
        <v>8424</v>
      </c>
      <c r="C4270">
        <f>Sinistrés!X4275</f>
        <v>0</v>
      </c>
      <c r="D4270">
        <f>Sinistrés!L4275</f>
        <v>9.75</v>
      </c>
      <c r="E4270">
        <f>Sinistrés!M4275</f>
        <v>9.73</v>
      </c>
      <c r="F4270">
        <f t="shared" si="132"/>
        <v>0</v>
      </c>
      <c r="G4270">
        <f t="shared" si="133"/>
        <v>0.99794871794871798</v>
      </c>
    </row>
    <row r="4271" spans="1:7" hidden="1">
      <c r="A4271" t="str">
        <f>Sinistrés!H4276</f>
        <v>Chanvre</v>
      </c>
      <c r="B4271">
        <f>Sinistrés!J4276</f>
        <v>6038.4</v>
      </c>
      <c r="C4271">
        <f>Sinistrés!X4276</f>
        <v>0</v>
      </c>
      <c r="D4271">
        <f>Sinistrés!L4276</f>
        <v>8</v>
      </c>
      <c r="E4271">
        <f>Sinistrés!M4276</f>
        <v>8</v>
      </c>
      <c r="F4271">
        <f t="shared" si="132"/>
        <v>0</v>
      </c>
      <c r="G4271">
        <f t="shared" si="133"/>
        <v>1</v>
      </c>
    </row>
    <row r="4272" spans="1:7">
      <c r="A4272" t="str">
        <f>Sinistrés!H4277</f>
        <v>Soja</v>
      </c>
      <c r="B4272">
        <f>Sinistrés!J4277</f>
        <v>3854.48</v>
      </c>
      <c r="C4272">
        <f>Sinistrés!X4277</f>
        <v>1803.6</v>
      </c>
      <c r="D4272">
        <f>Sinistrés!L4277</f>
        <v>5.27</v>
      </c>
      <c r="E4272">
        <f>Sinistrés!M4277</f>
        <v>5.27</v>
      </c>
      <c r="F4272">
        <f t="shared" si="132"/>
        <v>0.46792304020256947</v>
      </c>
      <c r="G4272">
        <f t="shared" si="133"/>
        <v>1</v>
      </c>
    </row>
    <row r="4273" spans="1:7" hidden="1">
      <c r="A4273" t="str">
        <f>Sinistrés!H4278</f>
        <v>Tournesol</v>
      </c>
      <c r="B4273">
        <f>Sinistrés!J4278</f>
        <v>6418.96</v>
      </c>
      <c r="C4273">
        <f>Sinistrés!X4278</f>
        <v>0</v>
      </c>
      <c r="D4273">
        <f>Sinistrés!L4278</f>
        <v>5.9</v>
      </c>
      <c r="E4273">
        <f>Sinistrés!M4278</f>
        <v>5.9</v>
      </c>
      <c r="F4273">
        <f t="shared" si="132"/>
        <v>0</v>
      </c>
      <c r="G4273">
        <f t="shared" si="133"/>
        <v>1</v>
      </c>
    </row>
    <row r="4274" spans="1:7">
      <c r="A4274" t="str">
        <f>Sinistrés!H4279</f>
        <v>Maïs ensilage non irrigué</v>
      </c>
      <c r="B4274">
        <f>Sinistrés!J4279</f>
        <v>15433.32</v>
      </c>
      <c r="C4274">
        <f>Sinistrés!X4279</f>
        <v>1978.48</v>
      </c>
      <c r="D4274">
        <f>Sinistrés!L4279</f>
        <v>9.67</v>
      </c>
      <c r="E4274">
        <f>Sinistrés!M4279</f>
        <v>9.67</v>
      </c>
      <c r="F4274">
        <f t="shared" si="132"/>
        <v>0.12819535913205973</v>
      </c>
      <c r="G4274">
        <f t="shared" si="133"/>
        <v>1</v>
      </c>
    </row>
    <row r="4275" spans="1:7" hidden="1">
      <c r="A4275" t="str">
        <f>Sinistrés!H4280</f>
        <v>Maïs waxy irrigué</v>
      </c>
      <c r="B4275">
        <f>Sinistrés!J4280</f>
        <v>65853.81</v>
      </c>
      <c r="C4275">
        <f>Sinistrés!X4280</f>
        <v>0</v>
      </c>
      <c r="D4275">
        <f>Sinistrés!L4280</f>
        <v>27</v>
      </c>
      <c r="E4275">
        <f>Sinistrés!M4280</f>
        <v>27</v>
      </c>
      <c r="F4275">
        <f t="shared" si="132"/>
        <v>0</v>
      </c>
      <c r="G4275">
        <f t="shared" si="133"/>
        <v>1</v>
      </c>
    </row>
    <row r="4276" spans="1:7" hidden="1">
      <c r="A4276" t="str">
        <f>Sinistrés!H4281</f>
        <v>Maïs waxy non irrigué</v>
      </c>
      <c r="B4276">
        <f>Sinistrés!J4281</f>
        <v>32838.080000000002</v>
      </c>
      <c r="C4276">
        <f>Sinistrés!X4281</f>
        <v>0</v>
      </c>
      <c r="D4276">
        <f>Sinistrés!L4281</f>
        <v>16</v>
      </c>
      <c r="E4276">
        <f>Sinistrés!M4281</f>
        <v>16</v>
      </c>
      <c r="F4276">
        <f t="shared" si="132"/>
        <v>0</v>
      </c>
      <c r="G4276">
        <f t="shared" si="133"/>
        <v>1</v>
      </c>
    </row>
    <row r="4277" spans="1:7" hidden="1">
      <c r="A4277" t="str">
        <f>Sinistrés!H4282</f>
        <v>Soja</v>
      </c>
      <c r="B4277">
        <f>Sinistrés!J4282</f>
        <v>13125.87</v>
      </c>
      <c r="C4277">
        <f>Sinistrés!X4282</f>
        <v>0</v>
      </c>
      <c r="D4277">
        <f>Sinistrés!L4282</f>
        <v>8.5</v>
      </c>
      <c r="E4277">
        <f>Sinistrés!M4282</f>
        <v>8.5</v>
      </c>
      <c r="F4277">
        <f t="shared" si="132"/>
        <v>0</v>
      </c>
      <c r="G4277">
        <f t="shared" si="133"/>
        <v>1</v>
      </c>
    </row>
    <row r="4278" spans="1:7" hidden="1">
      <c r="A4278" t="str">
        <f>Sinistrés!H4283</f>
        <v>Tournesol</v>
      </c>
      <c r="B4278">
        <f>Sinistrés!J4283</f>
        <v>15750</v>
      </c>
      <c r="C4278">
        <f>Sinistrés!X4283</f>
        <v>0</v>
      </c>
      <c r="D4278">
        <f>Sinistrés!L4283</f>
        <v>10.5</v>
      </c>
      <c r="E4278">
        <f>Sinistrés!M4283</f>
        <v>10.5</v>
      </c>
      <c r="F4278">
        <f t="shared" si="132"/>
        <v>0</v>
      </c>
      <c r="G4278">
        <f t="shared" si="133"/>
        <v>1</v>
      </c>
    </row>
    <row r="4279" spans="1:7" hidden="1">
      <c r="A4279" t="str">
        <f>Sinistrés!H4284</f>
        <v>Maïs doux irrigué</v>
      </c>
      <c r="B4279">
        <f>Sinistrés!J4284</f>
        <v>16099.68</v>
      </c>
      <c r="C4279">
        <f>Sinistrés!X4284</f>
        <v>0</v>
      </c>
      <c r="D4279">
        <f>Sinistrés!L4284</f>
        <v>6.8</v>
      </c>
      <c r="E4279">
        <f>Sinistrés!M4284</f>
        <v>6.8</v>
      </c>
      <c r="F4279">
        <f t="shared" si="132"/>
        <v>0</v>
      </c>
      <c r="G4279">
        <f t="shared" si="133"/>
        <v>1</v>
      </c>
    </row>
    <row r="4280" spans="1:7" hidden="1">
      <c r="A4280" t="str">
        <f>Sinistrés!H4285</f>
        <v>MaÏs waxy non irrigué</v>
      </c>
      <c r="B4280">
        <f>Sinistrés!J4285</f>
        <v>61529.599999999999</v>
      </c>
      <c r="C4280">
        <f>Sinistrés!X4285</f>
        <v>0</v>
      </c>
      <c r="D4280">
        <f>Sinistrés!L4285</f>
        <v>32</v>
      </c>
      <c r="E4280">
        <f>Sinistrés!M4285</f>
        <v>32</v>
      </c>
      <c r="F4280">
        <f t="shared" si="132"/>
        <v>0</v>
      </c>
      <c r="G4280">
        <f t="shared" si="133"/>
        <v>1</v>
      </c>
    </row>
    <row r="4281" spans="1:7" hidden="1">
      <c r="A4281" t="str">
        <f>Sinistrés!H4286</f>
        <v>Soja</v>
      </c>
      <c r="B4281">
        <f>Sinistrés!J4286</f>
        <v>18298.8</v>
      </c>
      <c r="C4281">
        <f>Sinistrés!X4286</f>
        <v>0</v>
      </c>
      <c r="D4281">
        <f>Sinistrés!L4286</f>
        <v>13</v>
      </c>
      <c r="E4281">
        <f>Sinistrés!M4286</f>
        <v>13</v>
      </c>
      <c r="F4281">
        <f t="shared" si="132"/>
        <v>0</v>
      </c>
      <c r="G4281">
        <f t="shared" si="133"/>
        <v>1</v>
      </c>
    </row>
    <row r="4282" spans="1:7" hidden="1">
      <c r="A4282" t="str">
        <f>Sinistrés!H4287</f>
        <v>Maïs waxy irrigué</v>
      </c>
      <c r="B4282">
        <f>Sinistrés!J4287</f>
        <v>50452.6</v>
      </c>
      <c r="C4282">
        <f>Sinistrés!X4287</f>
        <v>0</v>
      </c>
      <c r="D4282">
        <f>Sinistrés!L4287</f>
        <v>20</v>
      </c>
      <c r="E4282">
        <f>Sinistrés!M4287</f>
        <v>20</v>
      </c>
      <c r="F4282">
        <f t="shared" si="132"/>
        <v>0</v>
      </c>
      <c r="G4282">
        <f t="shared" si="133"/>
        <v>1</v>
      </c>
    </row>
    <row r="4283" spans="1:7">
      <c r="A4283" t="str">
        <f>Sinistrés!H4288</f>
        <v>Blé tendre d'hiver</v>
      </c>
      <c r="B4283">
        <f>Sinistrés!J4288</f>
        <v>8873.5400000000009</v>
      </c>
      <c r="C4283">
        <f>Sinistrés!X4288</f>
        <v>2345.71</v>
      </c>
      <c r="D4283">
        <f>Sinistrés!L4288</f>
        <v>5.8</v>
      </c>
      <c r="E4283">
        <f>Sinistrés!M4288</f>
        <v>5.8</v>
      </c>
      <c r="F4283">
        <f t="shared" si="132"/>
        <v>0.26434883935836201</v>
      </c>
      <c r="G4283">
        <f t="shared" si="133"/>
        <v>1</v>
      </c>
    </row>
    <row r="4284" spans="1:7" hidden="1">
      <c r="A4284" t="str">
        <f>Sinistrés!H4289</f>
        <v>Soja</v>
      </c>
      <c r="B4284">
        <f>Sinistrés!J4289</f>
        <v>6133.12</v>
      </c>
      <c r="C4284">
        <f>Sinistrés!X4289</f>
        <v>0</v>
      </c>
      <c r="D4284">
        <f>Sinistrés!L4289</f>
        <v>5.92</v>
      </c>
      <c r="E4284">
        <f>Sinistrés!M4289</f>
        <v>5.92</v>
      </c>
      <c r="F4284">
        <f t="shared" si="132"/>
        <v>0</v>
      </c>
      <c r="G4284">
        <f t="shared" si="133"/>
        <v>1</v>
      </c>
    </row>
    <row r="4285" spans="1:7">
      <c r="A4285" t="str">
        <f>Sinistrés!H4290</f>
        <v>Maïs grain irrigué</v>
      </c>
      <c r="B4285">
        <f>Sinistrés!J4290</f>
        <v>48885.26</v>
      </c>
      <c r="C4285">
        <f>Sinistrés!X4290</f>
        <v>2974.03</v>
      </c>
      <c r="D4285">
        <f>Sinistrés!L4290</f>
        <v>29.14</v>
      </c>
      <c r="E4285">
        <f>Sinistrés!M4290</f>
        <v>29.14</v>
      </c>
      <c r="F4285">
        <f t="shared" si="132"/>
        <v>6.0836947578881653E-2</v>
      </c>
      <c r="G4285">
        <f t="shared" si="133"/>
        <v>1</v>
      </c>
    </row>
    <row r="4286" spans="1:7" hidden="1">
      <c r="A4286" t="str">
        <f>Sinistrés!H4291</f>
        <v>Maïs grain non irrigué</v>
      </c>
      <c r="B4286">
        <f>Sinistrés!J4291</f>
        <v>8942.26</v>
      </c>
      <c r="C4286">
        <f>Sinistrés!X4291</f>
        <v>0</v>
      </c>
      <c r="D4286">
        <f>Sinistrés!L4291</f>
        <v>7.91</v>
      </c>
      <c r="E4286">
        <f>Sinistrés!M4291</f>
        <v>7.91</v>
      </c>
      <c r="F4286">
        <f t="shared" si="132"/>
        <v>0</v>
      </c>
      <c r="G4286">
        <f t="shared" si="133"/>
        <v>1</v>
      </c>
    </row>
    <row r="4287" spans="1:7" hidden="1">
      <c r="A4287" t="str">
        <f>Sinistrés!H4292</f>
        <v>Tournesol</v>
      </c>
      <c r="B4287">
        <f>Sinistrés!J4292</f>
        <v>32899.199999999997</v>
      </c>
      <c r="C4287">
        <f>Sinistrés!X4292</f>
        <v>0</v>
      </c>
      <c r="D4287">
        <f>Sinistrés!L4292</f>
        <v>35.76</v>
      </c>
      <c r="E4287">
        <f>Sinistrés!M4292</f>
        <v>35.76</v>
      </c>
      <c r="F4287">
        <f t="shared" si="132"/>
        <v>0</v>
      </c>
      <c r="G4287">
        <f t="shared" si="133"/>
        <v>1</v>
      </c>
    </row>
    <row r="4288" spans="1:7" hidden="1">
      <c r="A4288" t="str">
        <f>Sinistrés!H4293</f>
        <v>Maïs grain irrigué</v>
      </c>
      <c r="B4288">
        <f>Sinistrés!J4293</f>
        <v>26822.86</v>
      </c>
      <c r="C4288">
        <f>Sinistrés!X4293</f>
        <v>0</v>
      </c>
      <c r="D4288">
        <f>Sinistrés!L4293</f>
        <v>14.05</v>
      </c>
      <c r="E4288">
        <f>Sinistrés!M4293</f>
        <v>14.05</v>
      </c>
      <c r="F4288">
        <f t="shared" si="132"/>
        <v>0</v>
      </c>
      <c r="G4288">
        <f t="shared" si="133"/>
        <v>1</v>
      </c>
    </row>
    <row r="4289" spans="1:7" hidden="1">
      <c r="A4289" t="str">
        <f>Sinistrés!H4294</f>
        <v>Soja</v>
      </c>
      <c r="B4289">
        <f>Sinistrés!J4294</f>
        <v>9461.56</v>
      </c>
      <c r="C4289">
        <f>Sinistrés!X4294</f>
        <v>0</v>
      </c>
      <c r="D4289">
        <f>Sinistrés!L4294</f>
        <v>7.8</v>
      </c>
      <c r="E4289">
        <f>Sinistrés!M4294</f>
        <v>7.8</v>
      </c>
      <c r="F4289">
        <f t="shared" si="132"/>
        <v>0</v>
      </c>
      <c r="G4289">
        <f t="shared" si="133"/>
        <v>1</v>
      </c>
    </row>
    <row r="4290" spans="1:7" hidden="1">
      <c r="A4290" t="str">
        <f>Sinistrés!H4295</f>
        <v>Soja</v>
      </c>
      <c r="B4290">
        <f>Sinistrés!J4295</f>
        <v>28814.400000000001</v>
      </c>
      <c r="C4290">
        <f>Sinistrés!X4295</f>
        <v>0</v>
      </c>
      <c r="D4290">
        <f>Sinistrés!L4295</f>
        <v>23.2</v>
      </c>
      <c r="E4290">
        <f>Sinistrés!M4295</f>
        <v>23.2</v>
      </c>
      <c r="F4290">
        <f t="shared" si="132"/>
        <v>0</v>
      </c>
      <c r="G4290">
        <f t="shared" si="133"/>
        <v>1</v>
      </c>
    </row>
    <row r="4291" spans="1:7" hidden="1">
      <c r="A4291" t="str">
        <f>Sinistrés!H4296</f>
        <v>Maïs grain irrigué SEMENCES FERTILES</v>
      </c>
      <c r="B4291">
        <f>Sinistrés!J4296</f>
        <v>42865.599999999999</v>
      </c>
      <c r="C4291">
        <f>Sinistrés!X4296</f>
        <v>0</v>
      </c>
      <c r="D4291">
        <f>Sinistrés!L4296</f>
        <v>11.68</v>
      </c>
      <c r="E4291">
        <f>Sinistrés!M4296</f>
        <v>11.68</v>
      </c>
      <c r="F4291">
        <f t="shared" ref="F4291:F4354" si="134">C4291/B4291</f>
        <v>0</v>
      </c>
      <c r="G4291">
        <f t="shared" ref="G4291:G4354" si="135">E4291/D4291</f>
        <v>1</v>
      </c>
    </row>
    <row r="4292" spans="1:7" hidden="1">
      <c r="A4292" t="str">
        <f>Sinistrés!H4297</f>
        <v>Tournesol</v>
      </c>
      <c r="B4292">
        <f>Sinistrés!J4297</f>
        <v>17801.71</v>
      </c>
      <c r="C4292">
        <f>Sinistrés!X4297</f>
        <v>0</v>
      </c>
      <c r="D4292">
        <f>Sinistrés!L4297</f>
        <v>23.78</v>
      </c>
      <c r="E4292">
        <f>Sinistrés!M4297</f>
        <v>23.78</v>
      </c>
      <c r="F4292">
        <f t="shared" si="134"/>
        <v>0</v>
      </c>
      <c r="G4292">
        <f t="shared" si="135"/>
        <v>1</v>
      </c>
    </row>
    <row r="4293" spans="1:7">
      <c r="A4293" t="str">
        <f>Sinistrés!H4298</f>
        <v>Maïs ensilage non irrigué</v>
      </c>
      <c r="B4293">
        <f>Sinistrés!J4298</f>
        <v>6740.94</v>
      </c>
      <c r="C4293">
        <f>Sinistrés!X4298</f>
        <v>2435.58</v>
      </c>
      <c r="D4293">
        <f>Sinistrés!L4298</f>
        <v>6.04</v>
      </c>
      <c r="E4293">
        <f>Sinistrés!M4298</f>
        <v>6.04</v>
      </c>
      <c r="F4293">
        <f t="shared" si="134"/>
        <v>0.36131162716179049</v>
      </c>
      <c r="G4293">
        <f t="shared" si="135"/>
        <v>1</v>
      </c>
    </row>
    <row r="4294" spans="1:7" hidden="1">
      <c r="A4294" t="str">
        <f>Sinistrés!H4299</f>
        <v>Tournesol</v>
      </c>
      <c r="B4294">
        <f>Sinistrés!J4299</f>
        <v>13140</v>
      </c>
      <c r="C4294">
        <f>Sinistrés!X4299</f>
        <v>0</v>
      </c>
      <c r="D4294">
        <f>Sinistrés!L4299</f>
        <v>15</v>
      </c>
      <c r="E4294">
        <f>Sinistrés!M4299</f>
        <v>15</v>
      </c>
      <c r="F4294">
        <f t="shared" si="134"/>
        <v>0</v>
      </c>
      <c r="G4294">
        <f t="shared" si="135"/>
        <v>1</v>
      </c>
    </row>
    <row r="4295" spans="1:7" hidden="1">
      <c r="A4295" t="str">
        <f>Sinistrés!H4300</f>
        <v>Maïs grain non irrigué</v>
      </c>
      <c r="B4295">
        <f>Sinistrés!J4300</f>
        <v>9484.2800000000007</v>
      </c>
      <c r="C4295">
        <f>Sinistrés!X4300</f>
        <v>0</v>
      </c>
      <c r="D4295">
        <f>Sinistrés!L4300</f>
        <v>5.98</v>
      </c>
      <c r="E4295">
        <f>Sinistrés!M4300</f>
        <v>5.98</v>
      </c>
      <c r="F4295">
        <f t="shared" si="134"/>
        <v>0</v>
      </c>
      <c r="G4295">
        <f t="shared" si="135"/>
        <v>1</v>
      </c>
    </row>
    <row r="4296" spans="1:7" hidden="1">
      <c r="A4296" t="str">
        <f>Sinistrés!H4301</f>
        <v>Vigne à raisin de cuve (VCU1)</v>
      </c>
      <c r="B4296">
        <f>Sinistrés!J4301</f>
        <v>46243.1</v>
      </c>
      <c r="C4296">
        <f>Sinistrés!X4301</f>
        <v>0</v>
      </c>
      <c r="D4296">
        <f>Sinistrés!L4301</f>
        <v>4.05</v>
      </c>
      <c r="E4296">
        <f>Sinistrés!M4301</f>
        <v>4.05</v>
      </c>
      <c r="F4296">
        <f t="shared" si="134"/>
        <v>0</v>
      </c>
      <c r="G4296">
        <f t="shared" si="135"/>
        <v>1</v>
      </c>
    </row>
    <row r="4297" spans="1:7" hidden="1">
      <c r="A4297" t="str">
        <f>Sinistrés!H4302</f>
        <v>Vigne à raisin de cuve (VCU1)</v>
      </c>
      <c r="B4297">
        <f>Sinistrés!J4302</f>
        <v>195705.38</v>
      </c>
      <c r="C4297">
        <f>Sinistrés!X4302</f>
        <v>0</v>
      </c>
      <c r="D4297">
        <f>Sinistrés!L4302</f>
        <v>17.14</v>
      </c>
      <c r="E4297">
        <f>Sinistrés!M4302</f>
        <v>17.14</v>
      </c>
      <c r="F4297">
        <f t="shared" si="134"/>
        <v>0</v>
      </c>
      <c r="G4297">
        <f t="shared" si="135"/>
        <v>1</v>
      </c>
    </row>
    <row r="4298" spans="1:7">
      <c r="A4298" t="str">
        <f>Sinistrés!H4303</f>
        <v>Maïs grain non irrigué</v>
      </c>
      <c r="B4298">
        <f>Sinistrés!J4303</f>
        <v>114950</v>
      </c>
      <c r="C4298">
        <f>Sinistrés!X4303</f>
        <v>24558.75</v>
      </c>
      <c r="D4298">
        <f>Sinistrés!L4303</f>
        <v>50</v>
      </c>
      <c r="E4298">
        <f>Sinistrés!M4303</f>
        <v>50</v>
      </c>
      <c r="F4298">
        <f t="shared" si="134"/>
        <v>0.21364723792953458</v>
      </c>
      <c r="G4298">
        <f t="shared" si="135"/>
        <v>1</v>
      </c>
    </row>
    <row r="4299" spans="1:7">
      <c r="A4299" t="str">
        <f>Sinistrés!H4304</f>
        <v>Maïs grain non irrigué</v>
      </c>
      <c r="B4299">
        <f>Sinistrés!J4304</f>
        <v>7148.4</v>
      </c>
      <c r="C4299">
        <f>Sinistrés!X4304</f>
        <v>1510.32</v>
      </c>
      <c r="D4299">
        <f>Sinistrés!L4304</f>
        <v>6</v>
      </c>
      <c r="E4299">
        <f>Sinistrés!M4304</f>
        <v>6</v>
      </c>
      <c r="F4299">
        <f t="shared" si="134"/>
        <v>0.21128084606345476</v>
      </c>
      <c r="G4299">
        <f t="shared" si="135"/>
        <v>1</v>
      </c>
    </row>
    <row r="4300" spans="1:7">
      <c r="A4300" t="str">
        <f>Sinistrés!H4305</f>
        <v>Maïs grain irrigué</v>
      </c>
      <c r="B4300">
        <f>Sinistrés!J4305</f>
        <v>75681.88</v>
      </c>
      <c r="C4300">
        <f>Sinistrés!X4305</f>
        <v>9710.1299999999992</v>
      </c>
      <c r="D4300">
        <f>Sinistrés!L4305</f>
        <v>49.24</v>
      </c>
      <c r="E4300">
        <f>Sinistrés!M4305</f>
        <v>49.24</v>
      </c>
      <c r="F4300">
        <f t="shared" si="134"/>
        <v>0.12830191321885764</v>
      </c>
      <c r="G4300">
        <f t="shared" si="135"/>
        <v>1</v>
      </c>
    </row>
    <row r="4301" spans="1:7">
      <c r="A4301" t="str">
        <f>Sinistrés!H4306</f>
        <v>Tournesol</v>
      </c>
      <c r="B4301">
        <f>Sinistrés!J4306</f>
        <v>27016.5</v>
      </c>
      <c r="C4301">
        <f>Sinistrés!X4306</f>
        <v>7333.05</v>
      </c>
      <c r="D4301">
        <f>Sinistrés!L4306</f>
        <v>25.73</v>
      </c>
      <c r="E4301">
        <f>Sinistrés!M4306</f>
        <v>25.73</v>
      </c>
      <c r="F4301">
        <f t="shared" si="134"/>
        <v>0.27142857142857141</v>
      </c>
      <c r="G4301">
        <f t="shared" si="135"/>
        <v>1</v>
      </c>
    </row>
    <row r="4302" spans="1:7">
      <c r="A4302" t="str">
        <f>Sinistrés!H4307</f>
        <v>Tournesol</v>
      </c>
      <c r="B4302">
        <f>Sinistrés!J4307</f>
        <v>24750</v>
      </c>
      <c r="C4302">
        <f>Sinistrés!X4307</f>
        <v>7650</v>
      </c>
      <c r="D4302">
        <f>Sinistrés!L4307</f>
        <v>15</v>
      </c>
      <c r="E4302">
        <f>Sinistrés!M4307</f>
        <v>15</v>
      </c>
      <c r="F4302">
        <f t="shared" si="134"/>
        <v>0.30909090909090908</v>
      </c>
      <c r="G4302">
        <f t="shared" si="135"/>
        <v>1</v>
      </c>
    </row>
    <row r="4303" spans="1:7">
      <c r="A4303" t="str">
        <f>Sinistrés!H4308</f>
        <v>Maïs ensilage non irrigué</v>
      </c>
      <c r="B4303">
        <f>Sinistrés!J4308</f>
        <v>70732.03</v>
      </c>
      <c r="C4303">
        <f>Sinistrés!X4308</f>
        <v>2748.79</v>
      </c>
      <c r="D4303">
        <f>Sinistrés!L4308</f>
        <v>53.52</v>
      </c>
      <c r="E4303">
        <f>Sinistrés!M4308</f>
        <v>53.52</v>
      </c>
      <c r="F4303">
        <f t="shared" si="134"/>
        <v>3.8862026157032395E-2</v>
      </c>
      <c r="G4303">
        <f t="shared" si="135"/>
        <v>1</v>
      </c>
    </row>
    <row r="4304" spans="1:7">
      <c r="A4304" t="str">
        <f>Sinistrés!H4309</f>
        <v>Tournesol</v>
      </c>
      <c r="B4304">
        <f>Sinistrés!J4309</f>
        <v>40755.99</v>
      </c>
      <c r="C4304">
        <f>Sinistrés!X4309</f>
        <v>5519.38</v>
      </c>
      <c r="D4304">
        <f>Sinistrés!L4309</f>
        <v>33.200000000000003</v>
      </c>
      <c r="E4304">
        <f>Sinistrés!M4309</f>
        <v>33.200000000000003</v>
      </c>
      <c r="F4304">
        <f t="shared" si="134"/>
        <v>0.1354250013310927</v>
      </c>
      <c r="G4304">
        <f t="shared" si="135"/>
        <v>1</v>
      </c>
    </row>
    <row r="4305" spans="1:7">
      <c r="A4305" t="str">
        <f>Sinistrés!H4310</f>
        <v>Tournesol</v>
      </c>
      <c r="B4305">
        <f>Sinistrés!J4310</f>
        <v>20388.189999999999</v>
      </c>
      <c r="C4305">
        <f>Sinistrés!X4310</f>
        <v>2466.7199999999998</v>
      </c>
      <c r="D4305">
        <f>Sinistrés!L4310</f>
        <v>18.2</v>
      </c>
      <c r="E4305">
        <f>Sinistrés!M4310</f>
        <v>18.2</v>
      </c>
      <c r="F4305">
        <f t="shared" si="134"/>
        <v>0.12098768944177977</v>
      </c>
      <c r="G4305">
        <f t="shared" si="135"/>
        <v>1</v>
      </c>
    </row>
    <row r="4306" spans="1:7">
      <c r="A4306" t="str">
        <f>Sinistrés!H4311</f>
        <v>Maïs grain non irrigué</v>
      </c>
      <c r="B4306">
        <f>Sinistrés!J4311</f>
        <v>71418.73</v>
      </c>
      <c r="C4306">
        <f>Sinistrés!X4311</f>
        <v>16258.3</v>
      </c>
      <c r="D4306">
        <f>Sinistrés!L4311</f>
        <v>31.98</v>
      </c>
      <c r="E4306">
        <f>Sinistrés!M4311</f>
        <v>31.98</v>
      </c>
      <c r="F4306">
        <f t="shared" si="134"/>
        <v>0.22764756528154451</v>
      </c>
      <c r="G4306">
        <f t="shared" si="135"/>
        <v>1</v>
      </c>
    </row>
    <row r="4307" spans="1:7" hidden="1">
      <c r="A4307" t="str">
        <f>Sinistrés!H4312</f>
        <v>Soja</v>
      </c>
      <c r="B4307">
        <f>Sinistrés!J4312</f>
        <v>38255.58</v>
      </c>
      <c r="C4307">
        <f>Sinistrés!X4312</f>
        <v>0</v>
      </c>
      <c r="D4307">
        <f>Sinistrés!L4312</f>
        <v>28.56</v>
      </c>
      <c r="E4307">
        <f>Sinistrés!M4312</f>
        <v>28.56</v>
      </c>
      <c r="F4307">
        <f t="shared" si="134"/>
        <v>0</v>
      </c>
      <c r="G4307">
        <f t="shared" si="135"/>
        <v>1</v>
      </c>
    </row>
    <row r="4308" spans="1:7" hidden="1">
      <c r="A4308" t="str">
        <f>Sinistrés!H4313</f>
        <v>Soja BIO</v>
      </c>
      <c r="B4308">
        <f>Sinistrés!J4313</f>
        <v>17091.41</v>
      </c>
      <c r="C4308">
        <f>Sinistrés!X4313</f>
        <v>3658.4</v>
      </c>
      <c r="D4308">
        <f>Sinistrés!L4313</f>
        <v>15.63</v>
      </c>
      <c r="E4308">
        <f>Sinistrés!M4313</f>
        <v>15.63</v>
      </c>
      <c r="F4308">
        <f t="shared" si="134"/>
        <v>0.21404904569020344</v>
      </c>
      <c r="G4308">
        <f t="shared" si="135"/>
        <v>1</v>
      </c>
    </row>
    <row r="4309" spans="1:7" hidden="1">
      <c r="A4309" t="str">
        <f>Sinistrés!H4314</f>
        <v>Tournesol BIO</v>
      </c>
      <c r="B4309">
        <f>Sinistrés!J4314</f>
        <v>22356</v>
      </c>
      <c r="C4309">
        <f>Sinistrés!X4314</f>
        <v>0</v>
      </c>
      <c r="D4309">
        <f>Sinistrés!L4314</f>
        <v>33.119999999999997</v>
      </c>
      <c r="E4309">
        <f>Sinistrés!M4314</f>
        <v>33.119999999999997</v>
      </c>
      <c r="F4309">
        <f t="shared" si="134"/>
        <v>0</v>
      </c>
      <c r="G4309">
        <f t="shared" si="135"/>
        <v>1</v>
      </c>
    </row>
    <row r="4310" spans="1:7" hidden="1">
      <c r="A4310" t="str">
        <f>Sinistrés!H4315</f>
        <v>Maïs ensilage irrigué</v>
      </c>
      <c r="B4310">
        <f>Sinistrés!J4315</f>
        <v>11232</v>
      </c>
      <c r="C4310">
        <f>Sinistrés!X4315</f>
        <v>0</v>
      </c>
      <c r="D4310">
        <f>Sinistrés!L4315</f>
        <v>5.4</v>
      </c>
      <c r="E4310">
        <f>Sinistrés!M4315</f>
        <v>5.4</v>
      </c>
      <c r="F4310">
        <f t="shared" si="134"/>
        <v>0</v>
      </c>
      <c r="G4310">
        <f t="shared" si="135"/>
        <v>1</v>
      </c>
    </row>
    <row r="4311" spans="1:7" hidden="1">
      <c r="A4311" t="str">
        <f>Sinistrés!H4316</f>
        <v>Tournesol</v>
      </c>
      <c r="B4311">
        <f>Sinistrés!J4316</f>
        <v>13435.7</v>
      </c>
      <c r="C4311">
        <f>Sinistrés!X4316</f>
        <v>0</v>
      </c>
      <c r="D4311">
        <f>Sinistrés!L4316</f>
        <v>11.89</v>
      </c>
      <c r="E4311">
        <f>Sinistrés!M4316</f>
        <v>11.89</v>
      </c>
      <c r="F4311">
        <f t="shared" si="134"/>
        <v>0</v>
      </c>
      <c r="G4311">
        <f t="shared" si="135"/>
        <v>1</v>
      </c>
    </row>
    <row r="4312" spans="1:7">
      <c r="A4312" t="str">
        <f>Sinistrés!H4317</f>
        <v>Maïs grain non irrigué</v>
      </c>
      <c r="B4312">
        <f>Sinistrés!J4317</f>
        <v>111577.84</v>
      </c>
      <c r="C4312">
        <f>Sinistrés!X4317</f>
        <v>19260.939999999999</v>
      </c>
      <c r="D4312">
        <f>Sinistrés!L4317</f>
        <v>61.55</v>
      </c>
      <c r="E4312">
        <f>Sinistrés!M4317</f>
        <v>61.55</v>
      </c>
      <c r="F4312">
        <f t="shared" si="134"/>
        <v>0.17262334528074749</v>
      </c>
      <c r="G4312">
        <f t="shared" si="135"/>
        <v>1</v>
      </c>
    </row>
    <row r="4313" spans="1:7" hidden="1">
      <c r="A4313" t="str">
        <f>Sinistrés!H4318</f>
        <v>Soja</v>
      </c>
      <c r="B4313">
        <f>Sinistrés!J4318</f>
        <v>4844.96</v>
      </c>
      <c r="C4313">
        <f>Sinistrés!X4318</f>
        <v>0</v>
      </c>
      <c r="D4313">
        <f>Sinistrés!L4318</f>
        <v>5.35</v>
      </c>
      <c r="E4313">
        <f>Sinistrés!M4318</f>
        <v>5.35</v>
      </c>
      <c r="F4313">
        <f t="shared" si="134"/>
        <v>0</v>
      </c>
      <c r="G4313">
        <f t="shared" si="135"/>
        <v>1</v>
      </c>
    </row>
    <row r="4314" spans="1:7" hidden="1">
      <c r="A4314" t="str">
        <f>Sinistrés!H4319</f>
        <v>Tournesol</v>
      </c>
      <c r="B4314">
        <f>Sinistrés!J4319</f>
        <v>49968.06</v>
      </c>
      <c r="C4314">
        <f>Sinistrés!X4319</f>
        <v>0</v>
      </c>
      <c r="D4314">
        <f>Sinistrés!L4319</f>
        <v>60.56</v>
      </c>
      <c r="E4314">
        <f>Sinistrés!M4319</f>
        <v>60.56</v>
      </c>
      <c r="F4314">
        <f t="shared" si="134"/>
        <v>0</v>
      </c>
      <c r="G4314">
        <f t="shared" si="135"/>
        <v>1</v>
      </c>
    </row>
    <row r="4315" spans="1:7">
      <c r="A4315" t="str">
        <f>Sinistrés!H4320</f>
        <v>Maïs grain non irrigué</v>
      </c>
      <c r="B4315">
        <f>Sinistrés!J4320</f>
        <v>113217.31</v>
      </c>
      <c r="C4315">
        <f>Sinistrés!X4320</f>
        <v>7377.84</v>
      </c>
      <c r="D4315">
        <f>Sinistrés!L4320</f>
        <v>64.739999999999995</v>
      </c>
      <c r="E4315">
        <f>Sinistrés!M4320</f>
        <v>64.739999999999995</v>
      </c>
      <c r="F4315">
        <f t="shared" si="134"/>
        <v>6.5165300253115011E-2</v>
      </c>
      <c r="G4315">
        <f t="shared" si="135"/>
        <v>1</v>
      </c>
    </row>
    <row r="4316" spans="1:7" hidden="1">
      <c r="A4316" t="str">
        <f>Sinistrés!H4321</f>
        <v>Maïs grain irrigué</v>
      </c>
      <c r="B4316">
        <f>Sinistrés!J4321</f>
        <v>60328.800000000003</v>
      </c>
      <c r="C4316">
        <f>Sinistrés!X4321</f>
        <v>0</v>
      </c>
      <c r="D4316">
        <f>Sinistrés!L4321</f>
        <v>28</v>
      </c>
      <c r="E4316">
        <f>Sinistrés!M4321</f>
        <v>28</v>
      </c>
      <c r="F4316">
        <f t="shared" si="134"/>
        <v>0</v>
      </c>
      <c r="G4316">
        <f t="shared" si="135"/>
        <v>1</v>
      </c>
    </row>
    <row r="4317" spans="1:7">
      <c r="A4317" t="str">
        <f>Sinistrés!H4322</f>
        <v>Soja</v>
      </c>
      <c r="B4317">
        <f>Sinistrés!J4322</f>
        <v>17192</v>
      </c>
      <c r="C4317">
        <f>Sinistrés!X4322</f>
        <v>2497.6</v>
      </c>
      <c r="D4317">
        <f>Sinistrés!L4322</f>
        <v>14</v>
      </c>
      <c r="E4317">
        <f>Sinistrés!M4322</f>
        <v>14</v>
      </c>
      <c r="F4317">
        <f t="shared" si="134"/>
        <v>0.14527687296416938</v>
      </c>
      <c r="G4317">
        <f t="shared" si="135"/>
        <v>1</v>
      </c>
    </row>
    <row r="4318" spans="1:7">
      <c r="A4318" t="str">
        <f>Sinistrés!H4323</f>
        <v>Tournesol</v>
      </c>
      <c r="B4318">
        <f>Sinistrés!J4323</f>
        <v>13380</v>
      </c>
      <c r="C4318">
        <f>Sinistrés!X4323</f>
        <v>504</v>
      </c>
      <c r="D4318">
        <f>Sinistrés!L4323</f>
        <v>15</v>
      </c>
      <c r="E4318">
        <f>Sinistrés!M4323</f>
        <v>15</v>
      </c>
      <c r="F4318">
        <f t="shared" si="134"/>
        <v>3.766816143497758E-2</v>
      </c>
      <c r="G4318">
        <f t="shared" si="135"/>
        <v>1</v>
      </c>
    </row>
    <row r="4319" spans="1:7" hidden="1">
      <c r="A4319" t="str">
        <f>Sinistrés!H4324</f>
        <v>Maïs grain irrigué</v>
      </c>
      <c r="B4319">
        <f>Sinistrés!J4324</f>
        <v>127465.60000000001</v>
      </c>
      <c r="C4319">
        <f>Sinistrés!X4324</f>
        <v>0</v>
      </c>
      <c r="D4319">
        <f>Sinistrés!L4324</f>
        <v>61</v>
      </c>
      <c r="E4319">
        <f>Sinistrés!M4324</f>
        <v>61</v>
      </c>
      <c r="F4319">
        <f t="shared" si="134"/>
        <v>0</v>
      </c>
      <c r="G4319">
        <f t="shared" si="135"/>
        <v>1</v>
      </c>
    </row>
    <row r="4320" spans="1:7">
      <c r="A4320" t="str">
        <f>Sinistrés!H4325</f>
        <v>Soja</v>
      </c>
      <c r="B4320">
        <f>Sinistrés!J4325</f>
        <v>9916.48</v>
      </c>
      <c r="C4320">
        <f>Sinistrés!X4325</f>
        <v>5573.36</v>
      </c>
      <c r="D4320">
        <f>Sinistrés!L4325</f>
        <v>9.32</v>
      </c>
      <c r="E4320">
        <f>Sinistrés!M4325</f>
        <v>9.32</v>
      </c>
      <c r="F4320">
        <f t="shared" si="134"/>
        <v>0.56203007518796988</v>
      </c>
      <c r="G4320">
        <f t="shared" si="135"/>
        <v>1</v>
      </c>
    </row>
    <row r="4321" spans="1:7" hidden="1">
      <c r="A4321" t="str">
        <f>Sinistrés!H4326</f>
        <v>Tournesol</v>
      </c>
      <c r="B4321">
        <f>Sinistrés!J4326</f>
        <v>10722.17</v>
      </c>
      <c r="C4321">
        <f>Sinistrés!X4326</f>
        <v>0</v>
      </c>
      <c r="D4321">
        <f>Sinistrés!L4326</f>
        <v>9</v>
      </c>
      <c r="E4321">
        <f>Sinistrés!M4326</f>
        <v>9</v>
      </c>
      <c r="F4321">
        <f t="shared" si="134"/>
        <v>0</v>
      </c>
      <c r="G4321">
        <f t="shared" si="135"/>
        <v>1</v>
      </c>
    </row>
    <row r="4322" spans="1:7" hidden="1">
      <c r="A4322" t="str">
        <f>Sinistrés!H4327</f>
        <v>Maïs grain non irrigué</v>
      </c>
      <c r="B4322">
        <f>Sinistrés!J4327</f>
        <v>32986.800000000003</v>
      </c>
      <c r="C4322">
        <f>Sinistrés!X4327</f>
        <v>0</v>
      </c>
      <c r="D4322">
        <f>Sinistrés!L4327</f>
        <v>22</v>
      </c>
      <c r="E4322">
        <f>Sinistrés!M4327</f>
        <v>22</v>
      </c>
      <c r="F4322">
        <f t="shared" si="134"/>
        <v>0</v>
      </c>
      <c r="G4322">
        <f t="shared" si="135"/>
        <v>1</v>
      </c>
    </row>
    <row r="4323" spans="1:7">
      <c r="A4323" t="str">
        <f>Sinistrés!H4328</f>
        <v>Maïs waxy irrigué</v>
      </c>
      <c r="B4323">
        <f>Sinistrés!J4328</f>
        <v>12928.3</v>
      </c>
      <c r="C4323">
        <f>Sinistrés!X4328</f>
        <v>705.18</v>
      </c>
      <c r="D4323">
        <f>Sinistrés!L4328</f>
        <v>7.3</v>
      </c>
      <c r="E4323">
        <f>Sinistrés!M4328</f>
        <v>7.3</v>
      </c>
      <c r="F4323">
        <f t="shared" si="134"/>
        <v>5.4545454545454543E-2</v>
      </c>
      <c r="G4323">
        <f t="shared" si="135"/>
        <v>1</v>
      </c>
    </row>
    <row r="4324" spans="1:7">
      <c r="A4324" t="str">
        <f>Sinistrés!H4329</f>
        <v>Soja</v>
      </c>
      <c r="B4324">
        <f>Sinistrés!J4329</f>
        <v>2950.81</v>
      </c>
      <c r="C4324">
        <f>Sinistrés!X4329</f>
        <v>529.07000000000005</v>
      </c>
      <c r="D4324">
        <f>Sinistrés!L4329</f>
        <v>6.32</v>
      </c>
      <c r="E4324">
        <f>Sinistrés!M4329</f>
        <v>6.32</v>
      </c>
      <c r="F4324">
        <f t="shared" si="134"/>
        <v>0.17929653213863314</v>
      </c>
      <c r="G4324">
        <f t="shared" si="135"/>
        <v>1</v>
      </c>
    </row>
    <row r="4325" spans="1:7">
      <c r="A4325" t="str">
        <f>Sinistrés!H4330</f>
        <v>Maïs waxy non irrigué</v>
      </c>
      <c r="B4325">
        <f>Sinistrés!J4330</f>
        <v>12768.91</v>
      </c>
      <c r="C4325">
        <f>Sinistrés!X4330</f>
        <v>754.27</v>
      </c>
      <c r="D4325">
        <f>Sinistrés!L4330</f>
        <v>11.33</v>
      </c>
      <c r="E4325">
        <f>Sinistrés!M4330</f>
        <v>11.33</v>
      </c>
      <c r="F4325">
        <f t="shared" si="134"/>
        <v>5.9070821236894923E-2</v>
      </c>
      <c r="G4325">
        <f t="shared" si="135"/>
        <v>1</v>
      </c>
    </row>
    <row r="4326" spans="1:7" hidden="1">
      <c r="A4326" t="str">
        <f>Sinistrés!H4331</f>
        <v>Maïs grain non irrigué</v>
      </c>
      <c r="B4326">
        <f>Sinistrés!J4331</f>
        <v>14225.93</v>
      </c>
      <c r="C4326">
        <f>Sinistrés!X4331</f>
        <v>0</v>
      </c>
      <c r="D4326">
        <f>Sinistrés!L4331</f>
        <v>17.149999999999999</v>
      </c>
      <c r="E4326">
        <f>Sinistrés!M4331</f>
        <v>17.149999999999999</v>
      </c>
      <c r="F4326">
        <f t="shared" si="134"/>
        <v>0</v>
      </c>
      <c r="G4326">
        <f t="shared" si="135"/>
        <v>1</v>
      </c>
    </row>
    <row r="4327" spans="1:7">
      <c r="A4327" t="str">
        <f>Sinistrés!H4332</f>
        <v>Soja</v>
      </c>
      <c r="B4327">
        <f>Sinistrés!J4332</f>
        <v>7571.78</v>
      </c>
      <c r="C4327">
        <f>Sinistrés!X4332</f>
        <v>3045.17</v>
      </c>
      <c r="D4327">
        <f>Sinistrés!L4332</f>
        <v>10.32</v>
      </c>
      <c r="E4327">
        <f>Sinistrés!M4332</f>
        <v>10.3</v>
      </c>
      <c r="F4327">
        <f t="shared" si="134"/>
        <v>0.40217359722548729</v>
      </c>
      <c r="G4327">
        <f t="shared" si="135"/>
        <v>0.99806201550387597</v>
      </c>
    </row>
    <row r="4328" spans="1:7" hidden="1">
      <c r="A4328" t="str">
        <f>Sinistrés!H4333</f>
        <v>Tournesol</v>
      </c>
      <c r="B4328">
        <f>Sinistrés!J4333</f>
        <v>40211.199999999997</v>
      </c>
      <c r="C4328">
        <f>Sinistrés!X4333</f>
        <v>0</v>
      </c>
      <c r="D4328">
        <f>Sinistrés!L4333</f>
        <v>48.8</v>
      </c>
      <c r="E4328">
        <f>Sinistrés!M4333</f>
        <v>48.8</v>
      </c>
      <c r="F4328">
        <f t="shared" si="134"/>
        <v>0</v>
      </c>
      <c r="G4328">
        <f t="shared" si="135"/>
        <v>1</v>
      </c>
    </row>
    <row r="4329" spans="1:7" hidden="1">
      <c r="A4329" t="str">
        <f>Sinistrés!H4334</f>
        <v>Lin oléagineux BIO</v>
      </c>
      <c r="B4329">
        <f>Sinistrés!J4334</f>
        <v>17528</v>
      </c>
      <c r="C4329">
        <f>Sinistrés!X4334</f>
        <v>3943.8</v>
      </c>
      <c r="D4329">
        <f>Sinistrés!L4334</f>
        <v>21.91</v>
      </c>
      <c r="E4329">
        <f>Sinistrés!M4334</f>
        <v>21.91</v>
      </c>
      <c r="F4329">
        <f t="shared" si="134"/>
        <v>0.22500000000000001</v>
      </c>
      <c r="G4329">
        <f t="shared" si="135"/>
        <v>1</v>
      </c>
    </row>
    <row r="4330" spans="1:7">
      <c r="A4330" t="str">
        <f>Sinistrés!H4335</f>
        <v>Maïs grain non irrigué</v>
      </c>
      <c r="B4330">
        <f>Sinistrés!J4335</f>
        <v>25998.48</v>
      </c>
      <c r="C4330">
        <f>Sinistrés!X4335</f>
        <v>5711.09</v>
      </c>
      <c r="D4330">
        <f>Sinistrés!L4335</f>
        <v>15.71</v>
      </c>
      <c r="E4330">
        <f>Sinistrés!M4335</f>
        <v>15.71</v>
      </c>
      <c r="F4330">
        <f t="shared" si="134"/>
        <v>0.21967014994722769</v>
      </c>
      <c r="G4330">
        <f t="shared" si="135"/>
        <v>1</v>
      </c>
    </row>
    <row r="4331" spans="1:7">
      <c r="A4331" t="str">
        <f>Sinistrés!H4336</f>
        <v>Maïs grain irrigué</v>
      </c>
      <c r="B4331">
        <f>Sinistrés!J4336</f>
        <v>80950.8</v>
      </c>
      <c r="C4331">
        <f>Sinistrés!X4336</f>
        <v>9806.24</v>
      </c>
      <c r="D4331">
        <f>Sinistrés!L4336</f>
        <v>32.200000000000003</v>
      </c>
      <c r="E4331">
        <f>Sinistrés!M4336</f>
        <v>32.200000000000003</v>
      </c>
      <c r="F4331">
        <f t="shared" si="134"/>
        <v>0.12113827164154028</v>
      </c>
      <c r="G4331">
        <f t="shared" si="135"/>
        <v>1</v>
      </c>
    </row>
    <row r="4332" spans="1:7">
      <c r="A4332" t="str">
        <f>Sinistrés!H4337</f>
        <v>Maïs grain non irrigué</v>
      </c>
      <c r="B4332">
        <f>Sinistrés!J4337</f>
        <v>46112</v>
      </c>
      <c r="C4332">
        <f>Sinistrés!X4337</f>
        <v>25650.080000000002</v>
      </c>
      <c r="D4332">
        <f>Sinistrés!L4337</f>
        <v>20.96</v>
      </c>
      <c r="E4332">
        <f>Sinistrés!M4337</f>
        <v>20.96</v>
      </c>
      <c r="F4332">
        <f t="shared" si="134"/>
        <v>0.55625607217210271</v>
      </c>
      <c r="G4332">
        <f t="shared" si="135"/>
        <v>1</v>
      </c>
    </row>
    <row r="4333" spans="1:7">
      <c r="A4333" t="str">
        <f>Sinistrés!H4338</f>
        <v>Tournesol</v>
      </c>
      <c r="B4333">
        <f>Sinistrés!J4338</f>
        <v>18864.78</v>
      </c>
      <c r="C4333">
        <f>Sinistrés!X4338</f>
        <v>7077.23</v>
      </c>
      <c r="D4333">
        <f>Sinistrés!L4338</f>
        <v>11.32</v>
      </c>
      <c r="E4333">
        <f>Sinistrés!M4338</f>
        <v>11.32</v>
      </c>
      <c r="F4333">
        <f t="shared" si="134"/>
        <v>0.3751557134512038</v>
      </c>
      <c r="G4333">
        <f t="shared" si="135"/>
        <v>1</v>
      </c>
    </row>
    <row r="4334" spans="1:7" hidden="1">
      <c r="A4334" t="str">
        <f>Sinistrés!H4339</f>
        <v>Tournesol</v>
      </c>
      <c r="B4334">
        <f>Sinistrés!J4339</f>
        <v>13791.09</v>
      </c>
      <c r="C4334">
        <f>Sinistrés!X4339</f>
        <v>0</v>
      </c>
      <c r="D4334">
        <f>Sinistrés!L4339</f>
        <v>10.46</v>
      </c>
      <c r="E4334">
        <f>Sinistrés!M4339</f>
        <v>10.46</v>
      </c>
      <c r="F4334">
        <f t="shared" si="134"/>
        <v>0</v>
      </c>
      <c r="G4334">
        <f t="shared" si="135"/>
        <v>1</v>
      </c>
    </row>
    <row r="4335" spans="1:7" hidden="1">
      <c r="A4335" t="str">
        <f>Sinistrés!H4340</f>
        <v>Tournesol</v>
      </c>
      <c r="B4335">
        <f>Sinistrés!J4340</f>
        <v>28056.83</v>
      </c>
      <c r="C4335">
        <f>Sinistrés!X4340</f>
        <v>0</v>
      </c>
      <c r="D4335">
        <f>Sinistrés!L4340</f>
        <v>21.28</v>
      </c>
      <c r="E4335">
        <f>Sinistrés!M4340</f>
        <v>21.26</v>
      </c>
      <c r="F4335">
        <f t="shared" si="134"/>
        <v>0</v>
      </c>
      <c r="G4335">
        <f t="shared" si="135"/>
        <v>0.99906015037593987</v>
      </c>
    </row>
    <row r="4336" spans="1:7" hidden="1">
      <c r="A4336" t="str">
        <f>Sinistrés!H4341</f>
        <v>Maïs grain non irrigué</v>
      </c>
      <c r="B4336">
        <f>Sinistrés!J4341</f>
        <v>154660</v>
      </c>
      <c r="C4336">
        <f>Sinistrés!X4341</f>
        <v>0</v>
      </c>
      <c r="D4336">
        <f>Sinistrés!L4341</f>
        <v>74</v>
      </c>
      <c r="E4336">
        <f>Sinistrés!M4341</f>
        <v>74</v>
      </c>
      <c r="F4336">
        <f t="shared" si="134"/>
        <v>0</v>
      </c>
      <c r="G4336">
        <f t="shared" si="135"/>
        <v>1</v>
      </c>
    </row>
    <row r="4337" spans="1:7" hidden="1">
      <c r="A4337" t="str">
        <f>Sinistrés!H4342</f>
        <v>Maïs grain irrigué</v>
      </c>
      <c r="B4337">
        <f>Sinistrés!J4342</f>
        <v>165974.9</v>
      </c>
      <c r="C4337">
        <f>Sinistrés!X4342</f>
        <v>0</v>
      </c>
      <c r="D4337">
        <f>Sinistrés!L4342</f>
        <v>61</v>
      </c>
      <c r="E4337">
        <f>Sinistrés!M4342</f>
        <v>61</v>
      </c>
      <c r="F4337">
        <f t="shared" si="134"/>
        <v>0</v>
      </c>
      <c r="G4337">
        <f t="shared" si="135"/>
        <v>1</v>
      </c>
    </row>
    <row r="4338" spans="1:7" hidden="1">
      <c r="A4338" t="str">
        <f>Sinistrés!H4343</f>
        <v>Soja</v>
      </c>
      <c r="B4338">
        <f>Sinistrés!J4343</f>
        <v>15177.6</v>
      </c>
      <c r="C4338">
        <f>Sinistrés!X4343</f>
        <v>0</v>
      </c>
      <c r="D4338">
        <f>Sinistrés!L4343</f>
        <v>17</v>
      </c>
      <c r="E4338">
        <f>Sinistrés!M4343</f>
        <v>17</v>
      </c>
      <c r="F4338">
        <f t="shared" si="134"/>
        <v>0</v>
      </c>
      <c r="G4338">
        <f t="shared" si="135"/>
        <v>1</v>
      </c>
    </row>
    <row r="4339" spans="1:7" hidden="1">
      <c r="A4339" t="str">
        <f>Sinistrés!H4344</f>
        <v>Tournesol</v>
      </c>
      <c r="B4339">
        <f>Sinistrés!J4344</f>
        <v>3864</v>
      </c>
      <c r="C4339">
        <f>Sinistrés!X4344</f>
        <v>0</v>
      </c>
      <c r="D4339">
        <f>Sinistrés!L4344</f>
        <v>2.8</v>
      </c>
      <c r="E4339">
        <f>Sinistrés!M4344</f>
        <v>2.8</v>
      </c>
      <c r="F4339">
        <f t="shared" si="134"/>
        <v>0</v>
      </c>
      <c r="G4339">
        <f t="shared" si="135"/>
        <v>1</v>
      </c>
    </row>
    <row r="4340" spans="1:7">
      <c r="A4340" t="str">
        <f>Sinistrés!H4345</f>
        <v>Soja</v>
      </c>
      <c r="B4340">
        <f>Sinistrés!J4345</f>
        <v>4576.5</v>
      </c>
      <c r="C4340">
        <f>Sinistrés!X4345</f>
        <v>1806.41</v>
      </c>
      <c r="D4340">
        <f>Sinistrés!L4345</f>
        <v>6.32</v>
      </c>
      <c r="E4340">
        <f>Sinistrés!M4345</f>
        <v>6.32</v>
      </c>
      <c r="F4340">
        <f t="shared" si="134"/>
        <v>0.39471430132197094</v>
      </c>
      <c r="G4340">
        <f t="shared" si="135"/>
        <v>1</v>
      </c>
    </row>
    <row r="4341" spans="1:7" hidden="1">
      <c r="A4341" t="str">
        <f>Sinistrés!H4346</f>
        <v>Maïs grain irrigué</v>
      </c>
      <c r="B4341">
        <f>Sinistrés!J4346</f>
        <v>12853.13</v>
      </c>
      <c r="C4341">
        <f>Sinistrés!X4346</f>
        <v>0</v>
      </c>
      <c r="D4341">
        <f>Sinistrés!L4346</f>
        <v>9.19</v>
      </c>
      <c r="E4341">
        <f>Sinistrés!M4346</f>
        <v>9.19</v>
      </c>
      <c r="F4341">
        <f t="shared" si="134"/>
        <v>0</v>
      </c>
      <c r="G4341">
        <f t="shared" si="135"/>
        <v>1</v>
      </c>
    </row>
    <row r="4342" spans="1:7" hidden="1">
      <c r="A4342" t="str">
        <f>Sinistrés!H4347</f>
        <v>Tournesol</v>
      </c>
      <c r="B4342">
        <f>Sinistrés!J4347</f>
        <v>16671.150000000001</v>
      </c>
      <c r="C4342">
        <f>Sinistrés!X4347</f>
        <v>0</v>
      </c>
      <c r="D4342">
        <f>Sinistrés!L4347</f>
        <v>15.9</v>
      </c>
      <c r="E4342">
        <f>Sinistrés!M4347</f>
        <v>15.9</v>
      </c>
      <c r="F4342">
        <f t="shared" si="134"/>
        <v>0</v>
      </c>
      <c r="G4342">
        <f t="shared" si="135"/>
        <v>1</v>
      </c>
    </row>
    <row r="4343" spans="1:7" hidden="1">
      <c r="A4343" t="str">
        <f>Sinistrés!H4348</f>
        <v>Vigne à raisin de cuve (VCU1)</v>
      </c>
      <c r="B4343">
        <f>Sinistrés!J4348</f>
        <v>87377.279999999999</v>
      </c>
      <c r="C4343">
        <f>Sinistrés!X4348</f>
        <v>0</v>
      </c>
      <c r="D4343">
        <f>Sinistrés!L4348</f>
        <v>3.4</v>
      </c>
      <c r="E4343">
        <f>Sinistrés!M4348</f>
        <v>3.4</v>
      </c>
      <c r="F4343">
        <f t="shared" si="134"/>
        <v>0</v>
      </c>
      <c r="G4343">
        <f t="shared" si="135"/>
        <v>1</v>
      </c>
    </row>
    <row r="4344" spans="1:7">
      <c r="A4344" t="str">
        <f>Sinistrés!H4349</f>
        <v>Tournesol</v>
      </c>
      <c r="B4344">
        <f>Sinistrés!J4349</f>
        <v>64816.6</v>
      </c>
      <c r="C4344">
        <f>Sinistrés!X4349</f>
        <v>2736.57</v>
      </c>
      <c r="D4344">
        <f>Sinistrés!L4349</f>
        <v>76</v>
      </c>
      <c r="E4344">
        <f>Sinistrés!M4349</f>
        <v>27.61</v>
      </c>
      <c r="F4344">
        <f t="shared" si="134"/>
        <v>4.2220202849270097E-2</v>
      </c>
      <c r="G4344">
        <f t="shared" si="135"/>
        <v>0.3632894736842105</v>
      </c>
    </row>
    <row r="4345" spans="1:7" hidden="1">
      <c r="A4345" t="str">
        <f>Sinistrés!H4350</f>
        <v>Tournesol</v>
      </c>
      <c r="B4345">
        <f>Sinistrés!J4350</f>
        <v>19824</v>
      </c>
      <c r="C4345">
        <f>Sinistrés!X4350</f>
        <v>0</v>
      </c>
      <c r="D4345">
        <f>Sinistrés!L4350</f>
        <v>20.65</v>
      </c>
      <c r="E4345">
        <f>Sinistrés!M4350</f>
        <v>20.65</v>
      </c>
      <c r="F4345">
        <f t="shared" si="134"/>
        <v>0</v>
      </c>
      <c r="G4345">
        <f t="shared" si="135"/>
        <v>1</v>
      </c>
    </row>
    <row r="4346" spans="1:7">
      <c r="A4346" t="str">
        <f>Sinistrés!H4351</f>
        <v>Maïs grain irrigué</v>
      </c>
      <c r="B4346">
        <f>Sinistrés!J4351</f>
        <v>13932.48</v>
      </c>
      <c r="C4346">
        <f>Sinistrés!X4351</f>
        <v>5013.93</v>
      </c>
      <c r="D4346">
        <f>Sinistrés!L4351</f>
        <v>6.31</v>
      </c>
      <c r="E4346">
        <f>Sinistrés!M4351</f>
        <v>6.31</v>
      </c>
      <c r="F4346">
        <f t="shared" si="134"/>
        <v>0.35987347550471993</v>
      </c>
      <c r="G4346">
        <f t="shared" si="135"/>
        <v>1</v>
      </c>
    </row>
    <row r="4347" spans="1:7">
      <c r="A4347" t="str">
        <f>Sinistrés!H4352</f>
        <v>Tournesol</v>
      </c>
      <c r="B4347">
        <f>Sinistrés!J4352</f>
        <v>19674.72</v>
      </c>
      <c r="C4347">
        <f>Sinistrés!X4352</f>
        <v>2236.5300000000002</v>
      </c>
      <c r="D4347">
        <f>Sinistrés!L4352</f>
        <v>21.02</v>
      </c>
      <c r="E4347">
        <f>Sinistrés!M4352</f>
        <v>21.02</v>
      </c>
      <c r="F4347">
        <f t="shared" si="134"/>
        <v>0.11367531532850277</v>
      </c>
      <c r="G4347">
        <f t="shared" si="135"/>
        <v>1</v>
      </c>
    </row>
    <row r="4348" spans="1:7">
      <c r="A4348" t="str">
        <f>Sinistrés!H4353</f>
        <v>Soja</v>
      </c>
      <c r="B4348">
        <f>Sinistrés!J4353</f>
        <v>13281.8</v>
      </c>
      <c r="C4348">
        <f>Sinistrés!X4353</f>
        <v>1167.29</v>
      </c>
      <c r="D4348">
        <f>Sinistrés!L4353</f>
        <v>8.9499999999999993</v>
      </c>
      <c r="E4348">
        <f>Sinistrés!M4353</f>
        <v>8.9499999999999993</v>
      </c>
      <c r="F4348">
        <f t="shared" si="134"/>
        <v>8.7886431056031569E-2</v>
      </c>
      <c r="G4348">
        <f t="shared" si="135"/>
        <v>1</v>
      </c>
    </row>
    <row r="4349" spans="1:7" hidden="1">
      <c r="A4349" t="str">
        <f>Sinistrés!H4354</f>
        <v>Lin textile</v>
      </c>
      <c r="B4349">
        <f>Sinistrés!J4354</f>
        <v>40404</v>
      </c>
      <c r="C4349">
        <f>Sinistrés!X4354</f>
        <v>0</v>
      </c>
      <c r="D4349">
        <f>Sinistrés!L4354</f>
        <v>22.75</v>
      </c>
      <c r="E4349">
        <f>Sinistrés!M4354</f>
        <v>22.75</v>
      </c>
      <c r="F4349">
        <f t="shared" si="134"/>
        <v>0</v>
      </c>
      <c r="G4349">
        <f t="shared" si="135"/>
        <v>1</v>
      </c>
    </row>
    <row r="4350" spans="1:7" hidden="1">
      <c r="A4350" t="str">
        <f>Sinistrés!H4355</f>
        <v>Maïs grain non irrigué</v>
      </c>
      <c r="B4350">
        <f>Sinistrés!J4355</f>
        <v>120636</v>
      </c>
      <c r="C4350">
        <f>Sinistrés!X4355</f>
        <v>0</v>
      </c>
      <c r="D4350">
        <f>Sinistrés!L4355</f>
        <v>67.02</v>
      </c>
      <c r="E4350">
        <f>Sinistrés!M4355</f>
        <v>67.02</v>
      </c>
      <c r="F4350">
        <f t="shared" si="134"/>
        <v>0</v>
      </c>
      <c r="G4350">
        <f t="shared" si="135"/>
        <v>1</v>
      </c>
    </row>
    <row r="4351" spans="1:7">
      <c r="A4351" t="str">
        <f>Sinistrés!H4356</f>
        <v>Maïs grain non irrigué</v>
      </c>
      <c r="B4351">
        <f>Sinistrés!J4356</f>
        <v>34615</v>
      </c>
      <c r="C4351">
        <f>Sinistrés!X4356</f>
        <v>4891.99</v>
      </c>
      <c r="D4351">
        <f>Sinistrés!L4356</f>
        <v>21.5</v>
      </c>
      <c r="E4351">
        <f>Sinistrés!M4356</f>
        <v>21.5</v>
      </c>
      <c r="F4351">
        <f t="shared" si="134"/>
        <v>0.14132572584139824</v>
      </c>
      <c r="G4351">
        <f t="shared" si="135"/>
        <v>1</v>
      </c>
    </row>
    <row r="4352" spans="1:7" hidden="1">
      <c r="A4352" t="str">
        <f>Sinistrés!H4357</f>
        <v>Soja</v>
      </c>
      <c r="B4352">
        <f>Sinistrés!J4357</f>
        <v>8789.09</v>
      </c>
      <c r="C4352">
        <f>Sinistrés!X4357</f>
        <v>0</v>
      </c>
      <c r="D4352">
        <f>Sinistrés!L4357</f>
        <v>8.1999999999999993</v>
      </c>
      <c r="E4352">
        <f>Sinistrés!M4357</f>
        <v>8.1999999999999993</v>
      </c>
      <c r="F4352">
        <f t="shared" si="134"/>
        <v>0</v>
      </c>
      <c r="G4352">
        <f t="shared" si="135"/>
        <v>1</v>
      </c>
    </row>
    <row r="4353" spans="1:7" hidden="1">
      <c r="A4353" t="str">
        <f>Sinistrés!H4358</f>
        <v>Tournesol</v>
      </c>
      <c r="B4353">
        <f>Sinistrés!J4358</f>
        <v>4294.22</v>
      </c>
      <c r="C4353">
        <f>Sinistrés!X4358</f>
        <v>0</v>
      </c>
      <c r="D4353">
        <f>Sinistrés!L4358</f>
        <v>4.5</v>
      </c>
      <c r="E4353">
        <f>Sinistrés!M4358</f>
        <v>4.5</v>
      </c>
      <c r="F4353">
        <f t="shared" si="134"/>
        <v>0</v>
      </c>
      <c r="G4353">
        <f t="shared" si="135"/>
        <v>1</v>
      </c>
    </row>
    <row r="4354" spans="1:7" hidden="1">
      <c r="A4354" t="str">
        <f>Sinistrés!H4359</f>
        <v>Soja</v>
      </c>
      <c r="B4354">
        <f>Sinistrés!J4359</f>
        <v>29025</v>
      </c>
      <c r="C4354">
        <f>Sinistrés!X4359</f>
        <v>0</v>
      </c>
      <c r="D4354">
        <f>Sinistrés!L4359</f>
        <v>25</v>
      </c>
      <c r="E4354">
        <f>Sinistrés!M4359</f>
        <v>25</v>
      </c>
      <c r="F4354">
        <f t="shared" si="134"/>
        <v>0</v>
      </c>
      <c r="G4354">
        <f t="shared" si="135"/>
        <v>1</v>
      </c>
    </row>
    <row r="4355" spans="1:7">
      <c r="A4355" t="str">
        <f>Sinistrés!H4360</f>
        <v>Maïs grain non irrigué</v>
      </c>
      <c r="B4355">
        <f>Sinistrés!J4360</f>
        <v>50830.080000000002</v>
      </c>
      <c r="C4355">
        <f>Sinistrés!X4360</f>
        <v>1897.31</v>
      </c>
      <c r="D4355">
        <f>Sinistrés!L4360</f>
        <v>36.6</v>
      </c>
      <c r="E4355">
        <f>Sinistrés!M4360</f>
        <v>36.6</v>
      </c>
      <c r="F4355">
        <f t="shared" ref="F4355:F4418" si="136">C4355/B4355</f>
        <v>3.7326520044823848E-2</v>
      </c>
      <c r="G4355">
        <f t="shared" ref="G4355:G4418" si="137">E4355/D4355</f>
        <v>1</v>
      </c>
    </row>
    <row r="4356" spans="1:7">
      <c r="A4356" t="str">
        <f>Sinistrés!H4361</f>
        <v>Tournesol</v>
      </c>
      <c r="B4356">
        <f>Sinistrés!J4361</f>
        <v>17884.37</v>
      </c>
      <c r="C4356">
        <f>Sinistrés!X4361</f>
        <v>164.63</v>
      </c>
      <c r="D4356">
        <f>Sinistrés!L4361</f>
        <v>21.38</v>
      </c>
      <c r="E4356">
        <f>Sinistrés!M4361</f>
        <v>21.38</v>
      </c>
      <c r="F4356">
        <f t="shared" si="136"/>
        <v>9.2052445794847688E-3</v>
      </c>
      <c r="G4356">
        <f t="shared" si="137"/>
        <v>1</v>
      </c>
    </row>
    <row r="4357" spans="1:7" hidden="1">
      <c r="A4357" t="str">
        <f>Sinistrés!H4362</f>
        <v>Soja BIO</v>
      </c>
      <c r="B4357">
        <f>Sinistrés!J4362</f>
        <v>4471.2</v>
      </c>
      <c r="C4357">
        <f>Sinistrés!X4362</f>
        <v>2157.84</v>
      </c>
      <c r="D4357">
        <f>Sinistrés!L4362</f>
        <v>4</v>
      </c>
      <c r="E4357">
        <f>Sinistrés!M4362</f>
        <v>4</v>
      </c>
      <c r="F4357">
        <f t="shared" si="136"/>
        <v>0.48260869565217396</v>
      </c>
      <c r="G4357">
        <f t="shared" si="137"/>
        <v>1</v>
      </c>
    </row>
    <row r="4358" spans="1:7">
      <c r="A4358" t="str">
        <f>Sinistrés!H4363</f>
        <v>Tournesol</v>
      </c>
      <c r="B4358">
        <f>Sinistrés!J4363</f>
        <v>28125.15</v>
      </c>
      <c r="C4358">
        <f>Sinistrés!X4363</f>
        <v>1936.11</v>
      </c>
      <c r="D4358">
        <f>Sinistrés!L4363</f>
        <v>24.7</v>
      </c>
      <c r="E4358">
        <f>Sinistrés!M4363</f>
        <v>24.7</v>
      </c>
      <c r="F4358">
        <f t="shared" si="136"/>
        <v>6.8839099524802522E-2</v>
      </c>
      <c r="G4358">
        <f t="shared" si="137"/>
        <v>1</v>
      </c>
    </row>
    <row r="4359" spans="1:7">
      <c r="A4359" t="str">
        <f>Sinistrés!H4364</f>
        <v>Sorgho</v>
      </c>
      <c r="B4359">
        <f>Sinistrés!J4364</f>
        <v>25784.86</v>
      </c>
      <c r="C4359">
        <f>Sinistrés!X4364</f>
        <v>11244.09</v>
      </c>
      <c r="D4359">
        <f>Sinistrés!L4364</f>
        <v>22.67</v>
      </c>
      <c r="E4359">
        <f>Sinistrés!M4364</f>
        <v>22.67</v>
      </c>
      <c r="F4359">
        <f t="shared" si="136"/>
        <v>0.43607333916104257</v>
      </c>
      <c r="G4359">
        <f t="shared" si="137"/>
        <v>1</v>
      </c>
    </row>
    <row r="4360" spans="1:7">
      <c r="A4360" t="str">
        <f>Sinistrés!H4365</f>
        <v>Maïs grain non irrigué</v>
      </c>
      <c r="B4360">
        <f>Sinistrés!J4365</f>
        <v>22532.1</v>
      </c>
      <c r="C4360">
        <f>Sinistrés!X4365</f>
        <v>9598.67</v>
      </c>
      <c r="D4360">
        <f>Sinistrés!L4365</f>
        <v>11.21</v>
      </c>
      <c r="E4360">
        <f>Sinistrés!M4365</f>
        <v>11.21</v>
      </c>
      <c r="F4360">
        <f t="shared" si="136"/>
        <v>0.42599979584681413</v>
      </c>
      <c r="G4360">
        <f t="shared" si="137"/>
        <v>1</v>
      </c>
    </row>
    <row r="4361" spans="1:7">
      <c r="A4361" t="str">
        <f>Sinistrés!H4366</f>
        <v>Tournesol</v>
      </c>
      <c r="B4361">
        <f>Sinistrés!J4366</f>
        <v>6819.32</v>
      </c>
      <c r="C4361">
        <f>Sinistrés!X4366</f>
        <v>1040.9000000000001</v>
      </c>
      <c r="D4361">
        <f>Sinistrés!L4366</f>
        <v>4.84</v>
      </c>
      <c r="E4361">
        <f>Sinistrés!M4366</f>
        <v>4.84</v>
      </c>
      <c r="F4361">
        <f t="shared" si="136"/>
        <v>0.15263985265393032</v>
      </c>
      <c r="G4361">
        <f t="shared" si="137"/>
        <v>1</v>
      </c>
    </row>
    <row r="4362" spans="1:7">
      <c r="A4362" t="str">
        <f>Sinistrés!H4367</f>
        <v>Soja</v>
      </c>
      <c r="B4362">
        <f>Sinistrés!J4367</f>
        <v>11587.32</v>
      </c>
      <c r="C4362">
        <f>Sinistrés!X4367</f>
        <v>2098.4</v>
      </c>
      <c r="D4362">
        <f>Sinistrés!L4367</f>
        <v>9.89</v>
      </c>
      <c r="E4362">
        <f>Sinistrés!M4367</f>
        <v>9.89</v>
      </c>
      <c r="F4362">
        <f t="shared" si="136"/>
        <v>0.18109450675393449</v>
      </c>
      <c r="G4362">
        <f t="shared" si="137"/>
        <v>1</v>
      </c>
    </row>
    <row r="4363" spans="1:7">
      <c r="A4363" t="str">
        <f>Sinistrés!H4368</f>
        <v>Maïs grain non irrigué</v>
      </c>
      <c r="B4363">
        <f>Sinistrés!J4368</f>
        <v>18840.599999999999</v>
      </c>
      <c r="C4363">
        <f>Sinistrés!X4368</f>
        <v>1552.5</v>
      </c>
      <c r="D4363">
        <f>Sinistrés!L4368</f>
        <v>11.63</v>
      </c>
      <c r="E4363">
        <f>Sinistrés!M4368</f>
        <v>2.5</v>
      </c>
      <c r="F4363">
        <f t="shared" si="136"/>
        <v>8.240183433648611E-2</v>
      </c>
      <c r="G4363">
        <f t="shared" si="137"/>
        <v>0.21496130696474633</v>
      </c>
    </row>
    <row r="4364" spans="1:7">
      <c r="A4364" t="str">
        <f>Sinistrés!H4369</f>
        <v>Maïs grain irrigué</v>
      </c>
      <c r="B4364">
        <f>Sinistrés!J4369</f>
        <v>91329.2</v>
      </c>
      <c r="C4364">
        <f>Sinistrés!X4369</f>
        <v>22747.7</v>
      </c>
      <c r="D4364">
        <f>Sinistrés!L4369</f>
        <v>37.43</v>
      </c>
      <c r="E4364">
        <f>Sinistrés!M4369</f>
        <v>37.42</v>
      </c>
      <c r="F4364">
        <f t="shared" si="136"/>
        <v>0.24907368070671812</v>
      </c>
      <c r="G4364">
        <f t="shared" si="137"/>
        <v>0.99973283462463269</v>
      </c>
    </row>
    <row r="4365" spans="1:7" hidden="1">
      <c r="A4365" t="str">
        <f>Sinistrés!H4370</f>
        <v>Tournesol BIO</v>
      </c>
      <c r="B4365">
        <f>Sinistrés!J4370</f>
        <v>20073.12</v>
      </c>
      <c r="C4365">
        <f>Sinistrés!X4370</f>
        <v>3463.32</v>
      </c>
      <c r="D4365">
        <f>Sinistrés!L4370</f>
        <v>23.56</v>
      </c>
      <c r="E4365">
        <f>Sinistrés!M4370</f>
        <v>23.56</v>
      </c>
      <c r="F4365">
        <f t="shared" si="136"/>
        <v>0.17253521126760565</v>
      </c>
      <c r="G4365">
        <f t="shared" si="137"/>
        <v>1</v>
      </c>
    </row>
    <row r="4366" spans="1:7">
      <c r="A4366" t="str">
        <f>Sinistrés!H4371</f>
        <v>Maïs grain non irrigué</v>
      </c>
      <c r="B4366">
        <f>Sinistrés!J4371</f>
        <v>20085.62</v>
      </c>
      <c r="C4366">
        <f>Sinistrés!X4371</f>
        <v>2060.23</v>
      </c>
      <c r="D4366">
        <f>Sinistrés!L4371</f>
        <v>17.940000000000001</v>
      </c>
      <c r="E4366">
        <f>Sinistrés!M4371</f>
        <v>17.940000000000001</v>
      </c>
      <c r="F4366">
        <f t="shared" si="136"/>
        <v>0.10257238760864738</v>
      </c>
      <c r="G4366">
        <f t="shared" si="137"/>
        <v>1</v>
      </c>
    </row>
    <row r="4367" spans="1:7">
      <c r="A4367" t="str">
        <f>Sinistrés!H4372</f>
        <v>Maïs ensilage non irrigué</v>
      </c>
      <c r="B4367">
        <f>Sinistrés!J4372</f>
        <v>67504.58</v>
      </c>
      <c r="C4367">
        <f>Sinistrés!X4372</f>
        <v>1812.94</v>
      </c>
      <c r="D4367">
        <f>Sinistrés!L4372</f>
        <v>42.92</v>
      </c>
      <c r="E4367">
        <f>Sinistrés!M4372</f>
        <v>42.92</v>
      </c>
      <c r="F4367">
        <f t="shared" si="136"/>
        <v>2.6856548103847175E-2</v>
      </c>
      <c r="G4367">
        <f t="shared" si="137"/>
        <v>1</v>
      </c>
    </row>
    <row r="4368" spans="1:7" hidden="1">
      <c r="A4368" t="str">
        <f>Sinistrés!H4373</f>
        <v>Vigne à raisin de cuve (VCU1)</v>
      </c>
      <c r="B4368">
        <f>Sinistrés!J4373</f>
        <v>109075.2</v>
      </c>
      <c r="C4368">
        <f>Sinistrés!X4373</f>
        <v>0</v>
      </c>
      <c r="D4368">
        <f>Sinistrés!L4373</f>
        <v>17.940000000000001</v>
      </c>
      <c r="E4368">
        <f>Sinistrés!M4373</f>
        <v>17.940000000000001</v>
      </c>
      <c r="F4368">
        <f t="shared" si="136"/>
        <v>0</v>
      </c>
      <c r="G4368">
        <f t="shared" si="137"/>
        <v>1</v>
      </c>
    </row>
    <row r="4369" spans="1:7" hidden="1">
      <c r="A4369" t="str">
        <f>Sinistrés!H4374</f>
        <v>Vigne à raisin de cuve (VCU1)</v>
      </c>
      <c r="B4369">
        <f>Sinistrés!J4374</f>
        <v>13680</v>
      </c>
      <c r="C4369">
        <f>Sinistrés!X4374</f>
        <v>0</v>
      </c>
      <c r="D4369">
        <f>Sinistrés!L4374</f>
        <v>2.25</v>
      </c>
      <c r="E4369">
        <f>Sinistrés!M4374</f>
        <v>2.25</v>
      </c>
      <c r="F4369">
        <f t="shared" si="136"/>
        <v>0</v>
      </c>
      <c r="G4369">
        <f t="shared" si="137"/>
        <v>1</v>
      </c>
    </row>
    <row r="4370" spans="1:7" hidden="1">
      <c r="A4370" t="str">
        <f>Sinistrés!H4375</f>
        <v>Vigne à raisin de cuve (VCU1)</v>
      </c>
      <c r="B4370">
        <f>Sinistrés!J4375</f>
        <v>12074.81</v>
      </c>
      <c r="C4370">
        <f>Sinistrés!X4375</f>
        <v>0</v>
      </c>
      <c r="D4370">
        <f>Sinistrés!L4375</f>
        <v>3.31</v>
      </c>
      <c r="E4370">
        <f>Sinistrés!M4375</f>
        <v>3.31</v>
      </c>
      <c r="F4370">
        <f t="shared" si="136"/>
        <v>0</v>
      </c>
      <c r="G4370">
        <f t="shared" si="137"/>
        <v>1</v>
      </c>
    </row>
    <row r="4371" spans="1:7" hidden="1">
      <c r="A4371" t="str">
        <f>Sinistrés!H4376</f>
        <v>Vigne à raisin de cuve (VCU1)</v>
      </c>
      <c r="B4371">
        <f>Sinistrés!J4376</f>
        <v>35447.040000000001</v>
      </c>
      <c r="C4371">
        <f>Sinistrés!X4376</f>
        <v>0</v>
      </c>
      <c r="D4371">
        <f>Sinistrés!L4376</f>
        <v>6.12</v>
      </c>
      <c r="E4371">
        <f>Sinistrés!M4376</f>
        <v>6.12</v>
      </c>
      <c r="F4371">
        <f t="shared" si="136"/>
        <v>0</v>
      </c>
      <c r="G4371">
        <f t="shared" si="137"/>
        <v>1</v>
      </c>
    </row>
    <row r="4372" spans="1:7" hidden="1">
      <c r="A4372" t="str">
        <f>Sinistrés!H4377</f>
        <v>Maïs grain irrigué</v>
      </c>
      <c r="B4372">
        <f>Sinistrés!J4377</f>
        <v>7891.2</v>
      </c>
      <c r="C4372">
        <f>Sinistrés!X4377</f>
        <v>0</v>
      </c>
      <c r="D4372">
        <f>Sinistrés!L4377</f>
        <v>4</v>
      </c>
      <c r="E4372">
        <f>Sinistrés!M4377</f>
        <v>4</v>
      </c>
      <c r="F4372">
        <f t="shared" si="136"/>
        <v>0</v>
      </c>
      <c r="G4372">
        <f t="shared" si="137"/>
        <v>1</v>
      </c>
    </row>
    <row r="4373" spans="1:7">
      <c r="A4373" t="str">
        <f>Sinistrés!H4378</f>
        <v>Maïs grain non irrigué</v>
      </c>
      <c r="B4373">
        <f>Sinistrés!J4378</f>
        <v>28000</v>
      </c>
      <c r="C4373">
        <f>Sinistrés!X4378</f>
        <v>6339.2</v>
      </c>
      <c r="D4373">
        <f>Sinistrés!L4378</f>
        <v>14</v>
      </c>
      <c r="E4373">
        <f>Sinistrés!M4378</f>
        <v>14</v>
      </c>
      <c r="F4373">
        <f t="shared" si="136"/>
        <v>0.22639999999999999</v>
      </c>
      <c r="G4373">
        <f t="shared" si="137"/>
        <v>1</v>
      </c>
    </row>
    <row r="4374" spans="1:7" hidden="1">
      <c r="A4374" t="str">
        <f>Sinistrés!H4379</f>
        <v>Soja</v>
      </c>
      <c r="B4374">
        <f>Sinistrés!J4379</f>
        <v>7545.28</v>
      </c>
      <c r="C4374">
        <f>Sinistrés!X4379</f>
        <v>0</v>
      </c>
      <c r="D4374">
        <f>Sinistrés!L4379</f>
        <v>7.3</v>
      </c>
      <c r="E4374">
        <f>Sinistrés!M4379</f>
        <v>7.3</v>
      </c>
      <c r="F4374">
        <f t="shared" si="136"/>
        <v>0</v>
      </c>
      <c r="G4374">
        <f t="shared" si="137"/>
        <v>1</v>
      </c>
    </row>
    <row r="4375" spans="1:7" hidden="1">
      <c r="A4375" t="str">
        <f>Sinistrés!H4380</f>
        <v>Tournesol</v>
      </c>
      <c r="B4375">
        <f>Sinistrés!J4380</f>
        <v>5868.53</v>
      </c>
      <c r="C4375">
        <f>Sinistrés!X4380</f>
        <v>0</v>
      </c>
      <c r="D4375">
        <f>Sinistrés!L4380</f>
        <v>4.75</v>
      </c>
      <c r="E4375">
        <f>Sinistrés!M4380</f>
        <v>4.2</v>
      </c>
      <c r="F4375">
        <f t="shared" si="136"/>
        <v>0</v>
      </c>
      <c r="G4375">
        <f t="shared" si="137"/>
        <v>0.88421052631578956</v>
      </c>
    </row>
    <row r="4376" spans="1:7">
      <c r="A4376" t="str">
        <f>Sinistrés!H4381</f>
        <v>Tournesol</v>
      </c>
      <c r="B4376">
        <f>Sinistrés!J4381</f>
        <v>23076.32</v>
      </c>
      <c r="C4376">
        <f>Sinistrés!X4381</f>
        <v>2253.16</v>
      </c>
      <c r="D4376">
        <f>Sinistrés!L4381</f>
        <v>24.76</v>
      </c>
      <c r="E4376">
        <f>Sinistrés!M4381</f>
        <v>24.76</v>
      </c>
      <c r="F4376">
        <f t="shared" si="136"/>
        <v>9.7639484978540761E-2</v>
      </c>
      <c r="G4376">
        <f t="shared" si="137"/>
        <v>1</v>
      </c>
    </row>
    <row r="4377" spans="1:7">
      <c r="A4377" t="str">
        <f>Sinistrés!H4382</f>
        <v>Soja</v>
      </c>
      <c r="B4377">
        <f>Sinistrés!J4382</f>
        <v>4335.5600000000004</v>
      </c>
      <c r="C4377">
        <f>Sinistrés!X4382</f>
        <v>616.63</v>
      </c>
      <c r="D4377">
        <f>Sinistrés!L4382</f>
        <v>3.83</v>
      </c>
      <c r="E4377">
        <f>Sinistrés!M4382</f>
        <v>3.83</v>
      </c>
      <c r="F4377">
        <f t="shared" si="136"/>
        <v>0.14222614840989398</v>
      </c>
      <c r="G4377">
        <f t="shared" si="137"/>
        <v>1</v>
      </c>
    </row>
    <row r="4378" spans="1:7">
      <c r="A4378" t="str">
        <f>Sinistrés!H4383</f>
        <v>Maïs grain non irrigué</v>
      </c>
      <c r="B4378">
        <f>Sinistrés!J4383</f>
        <v>22070.76</v>
      </c>
      <c r="C4378">
        <f>Sinistrés!X4383</f>
        <v>6183.87</v>
      </c>
      <c r="D4378">
        <f>Sinistrés!L4383</f>
        <v>10.54</v>
      </c>
      <c r="E4378">
        <f>Sinistrés!M4383</f>
        <v>10.54</v>
      </c>
      <c r="F4378">
        <f t="shared" si="136"/>
        <v>0.28018382692757299</v>
      </c>
      <c r="G4378">
        <f t="shared" si="137"/>
        <v>1</v>
      </c>
    </row>
    <row r="4379" spans="1:7">
      <c r="A4379" t="str">
        <f>Sinistrés!H4384</f>
        <v>Maïs grain non irrigué</v>
      </c>
      <c r="B4379">
        <f>Sinistrés!J4384</f>
        <v>1834</v>
      </c>
      <c r="C4379">
        <f>Sinistrés!X4384</f>
        <v>155.5</v>
      </c>
      <c r="D4379">
        <f>Sinistrés!L4384</f>
        <v>1</v>
      </c>
      <c r="E4379">
        <f>Sinistrés!M4384</f>
        <v>1</v>
      </c>
      <c r="F4379">
        <f t="shared" si="136"/>
        <v>8.4787350054525631E-2</v>
      </c>
      <c r="G4379">
        <f t="shared" si="137"/>
        <v>1</v>
      </c>
    </row>
    <row r="4380" spans="1:7" hidden="1">
      <c r="A4380" t="str">
        <f>Sinistrés!H4385</f>
        <v>Vigne à raisin de cuve (VCU1)</v>
      </c>
      <c r="B4380">
        <f>Sinistrés!J4385</f>
        <v>68371.37</v>
      </c>
      <c r="C4380">
        <f>Sinistrés!X4385</f>
        <v>5691.02</v>
      </c>
      <c r="D4380">
        <f>Sinistrés!L4385</f>
        <v>20.97</v>
      </c>
      <c r="E4380">
        <f>Sinistrés!M4385</f>
        <v>20.97</v>
      </c>
      <c r="F4380">
        <f t="shared" si="136"/>
        <v>8.3236887018645386E-2</v>
      </c>
      <c r="G4380">
        <f t="shared" si="137"/>
        <v>1</v>
      </c>
    </row>
    <row r="4381" spans="1:7" hidden="1">
      <c r="A4381" t="str">
        <f>Sinistrés!H4386</f>
        <v>Maïs grain non irrigué</v>
      </c>
      <c r="B4381">
        <f>Sinistrés!J4386</f>
        <v>51420.1</v>
      </c>
      <c r="C4381">
        <f>Sinistrés!X4386</f>
        <v>0</v>
      </c>
      <c r="D4381">
        <f>Sinistrés!L4386</f>
        <v>29.43</v>
      </c>
      <c r="E4381">
        <f>Sinistrés!M4386</f>
        <v>29.43</v>
      </c>
      <c r="F4381">
        <f t="shared" si="136"/>
        <v>0</v>
      </c>
      <c r="G4381">
        <f t="shared" si="137"/>
        <v>1</v>
      </c>
    </row>
    <row r="4382" spans="1:7" hidden="1">
      <c r="A4382" t="str">
        <f>Sinistrés!H4387</f>
        <v>Maïs grain irrigué</v>
      </c>
      <c r="B4382">
        <f>Sinistrés!J4387</f>
        <v>77073.919999999998</v>
      </c>
      <c r="C4382">
        <f>Sinistrés!X4387</f>
        <v>0</v>
      </c>
      <c r="D4382">
        <f>Sinistrés!L4387</f>
        <v>37.4</v>
      </c>
      <c r="E4382">
        <f>Sinistrés!M4387</f>
        <v>37.4</v>
      </c>
      <c r="F4382">
        <f t="shared" si="136"/>
        <v>0</v>
      </c>
      <c r="G4382">
        <f t="shared" si="137"/>
        <v>1</v>
      </c>
    </row>
    <row r="4383" spans="1:7">
      <c r="A4383" t="str">
        <f>Sinistrés!H4388</f>
        <v>Soja</v>
      </c>
      <c r="B4383">
        <f>Sinistrés!J4388</f>
        <v>19918.66</v>
      </c>
      <c r="C4383">
        <f>Sinistrés!X4388</f>
        <v>7882.15</v>
      </c>
      <c r="D4383">
        <f>Sinistrés!L4388</f>
        <v>10.65</v>
      </c>
      <c r="E4383">
        <f>Sinistrés!M4388</f>
        <v>10.65</v>
      </c>
      <c r="F4383">
        <f t="shared" si="136"/>
        <v>0.39571688055320992</v>
      </c>
      <c r="G4383">
        <f t="shared" si="137"/>
        <v>1</v>
      </c>
    </row>
    <row r="4384" spans="1:7" hidden="1">
      <c r="A4384" t="str">
        <f>Sinistrés!H4389</f>
        <v>Maïs grain non irrigué</v>
      </c>
      <c r="B4384">
        <f>Sinistrés!J4389</f>
        <v>18639.45</v>
      </c>
      <c r="C4384">
        <f>Sinistrés!X4389</f>
        <v>0</v>
      </c>
      <c r="D4384">
        <f>Sinistrés!L4389</f>
        <v>13.88</v>
      </c>
      <c r="E4384">
        <f>Sinistrés!M4389</f>
        <v>13.88</v>
      </c>
      <c r="F4384">
        <f t="shared" si="136"/>
        <v>0</v>
      </c>
      <c r="G4384">
        <f t="shared" si="137"/>
        <v>1</v>
      </c>
    </row>
    <row r="4385" spans="1:7" hidden="1">
      <c r="A4385" t="str">
        <f>Sinistrés!H4390</f>
        <v>Maïs grain non irrigué</v>
      </c>
      <c r="B4385">
        <f>Sinistrés!J4390</f>
        <v>21484.05</v>
      </c>
      <c r="C4385">
        <f>Sinistrés!X4390</f>
        <v>0</v>
      </c>
      <c r="D4385">
        <f>Sinistrés!L4390</f>
        <v>27.65</v>
      </c>
      <c r="E4385">
        <f>Sinistrés!M4390</f>
        <v>27.65</v>
      </c>
      <c r="F4385">
        <f t="shared" si="136"/>
        <v>0</v>
      </c>
      <c r="G4385">
        <f t="shared" si="137"/>
        <v>1</v>
      </c>
    </row>
    <row r="4386" spans="1:7" hidden="1">
      <c r="A4386" t="str">
        <f>Sinistrés!H4391</f>
        <v>Tournesol</v>
      </c>
      <c r="B4386">
        <f>Sinistrés!J4391</f>
        <v>22912.42</v>
      </c>
      <c r="C4386">
        <f>Sinistrés!X4391</f>
        <v>0</v>
      </c>
      <c r="D4386">
        <f>Sinistrés!L4391</f>
        <v>23.06</v>
      </c>
      <c r="E4386">
        <f>Sinistrés!M4391</f>
        <v>23.06</v>
      </c>
      <c r="F4386">
        <f t="shared" si="136"/>
        <v>0</v>
      </c>
      <c r="G4386">
        <f t="shared" si="137"/>
        <v>1</v>
      </c>
    </row>
    <row r="4387" spans="1:7">
      <c r="A4387" t="str">
        <f>Sinistrés!H4392</f>
        <v>Lin textile</v>
      </c>
      <c r="B4387">
        <f>Sinistrés!J4392</f>
        <v>36000</v>
      </c>
      <c r="C4387">
        <f>Sinistrés!X4392</f>
        <v>7074</v>
      </c>
      <c r="D4387">
        <f>Sinistrés!L4392</f>
        <v>9</v>
      </c>
      <c r="E4387">
        <f>Sinistrés!M4392</f>
        <v>9</v>
      </c>
      <c r="F4387">
        <f t="shared" si="136"/>
        <v>0.19650000000000001</v>
      </c>
      <c r="G4387">
        <f t="shared" si="137"/>
        <v>1</v>
      </c>
    </row>
    <row r="4388" spans="1:7">
      <c r="A4388" t="str">
        <f>Sinistrés!H4393</f>
        <v>Pommes de terre de féculerie</v>
      </c>
      <c r="B4388">
        <f>Sinistrés!J4393</f>
        <v>108315</v>
      </c>
      <c r="C4388">
        <f>Sinistrés!X4393</f>
        <v>11890.58</v>
      </c>
      <c r="D4388">
        <f>Sinistrés!L4393</f>
        <v>29</v>
      </c>
      <c r="E4388">
        <f>Sinistrés!M4393</f>
        <v>29</v>
      </c>
      <c r="F4388">
        <f t="shared" si="136"/>
        <v>0.10977777777777778</v>
      </c>
      <c r="G4388">
        <f t="shared" si="137"/>
        <v>1</v>
      </c>
    </row>
    <row r="4389" spans="1:7">
      <c r="A4389" t="str">
        <f>Sinistrés!H4394</f>
        <v>Tournesol</v>
      </c>
      <c r="B4389">
        <f>Sinistrés!J4394</f>
        <v>7647.99</v>
      </c>
      <c r="C4389">
        <f>Sinistrés!X4394</f>
        <v>1052</v>
      </c>
      <c r="D4389">
        <f>Sinistrés!L4394</f>
        <v>7</v>
      </c>
      <c r="E4389">
        <f>Sinistrés!M4394</f>
        <v>7</v>
      </c>
      <c r="F4389">
        <f t="shared" si="136"/>
        <v>0.13755248110941568</v>
      </c>
      <c r="G4389">
        <f t="shared" si="137"/>
        <v>1</v>
      </c>
    </row>
    <row r="4390" spans="1:7" hidden="1">
      <c r="A4390" t="str">
        <f>Sinistrés!H4395</f>
        <v>Tournesol</v>
      </c>
      <c r="B4390">
        <f>Sinistrés!J4395</f>
        <v>14396.29</v>
      </c>
      <c r="C4390">
        <f>Sinistrés!X4395</f>
        <v>0</v>
      </c>
      <c r="D4390">
        <f>Sinistrés!L4395</f>
        <v>11.74</v>
      </c>
      <c r="E4390">
        <f>Sinistrés!M4395</f>
        <v>11.74</v>
      </c>
      <c r="F4390">
        <f t="shared" si="136"/>
        <v>0</v>
      </c>
      <c r="G4390">
        <f t="shared" si="137"/>
        <v>1</v>
      </c>
    </row>
    <row r="4391" spans="1:7">
      <c r="A4391" t="str">
        <f>Sinistrés!H4396</f>
        <v>Soja</v>
      </c>
      <c r="B4391">
        <f>Sinistrés!J4396</f>
        <v>7300.8</v>
      </c>
      <c r="C4391">
        <f>Sinistrés!X4396</f>
        <v>355.75</v>
      </c>
      <c r="D4391">
        <f>Sinistrés!L4396</f>
        <v>5.4</v>
      </c>
      <c r="E4391">
        <f>Sinistrés!M4396</f>
        <v>5.4</v>
      </c>
      <c r="F4391">
        <f t="shared" si="136"/>
        <v>4.8727536708305937E-2</v>
      </c>
      <c r="G4391">
        <f t="shared" si="137"/>
        <v>1</v>
      </c>
    </row>
    <row r="4392" spans="1:7" hidden="1">
      <c r="A4392" t="str">
        <f>Sinistrés!H4397</f>
        <v>Soja</v>
      </c>
      <c r="B4392">
        <f>Sinistrés!J4397</f>
        <v>11848.32</v>
      </c>
      <c r="C4392">
        <f>Sinistrés!X4397</f>
        <v>0</v>
      </c>
      <c r="D4392">
        <f>Sinistrés!L4397</f>
        <v>14.52</v>
      </c>
      <c r="E4392">
        <f>Sinistrés!M4397</f>
        <v>14.52</v>
      </c>
      <c r="F4392">
        <f t="shared" si="136"/>
        <v>0</v>
      </c>
      <c r="G4392">
        <f t="shared" si="137"/>
        <v>1</v>
      </c>
    </row>
    <row r="4393" spans="1:7" hidden="1">
      <c r="A4393" t="str">
        <f>Sinistrés!H4398</f>
        <v>Tournesol</v>
      </c>
      <c r="B4393">
        <f>Sinistrés!J4398</f>
        <v>15542</v>
      </c>
      <c r="C4393">
        <f>Sinistrés!X4398</f>
        <v>0</v>
      </c>
      <c r="D4393">
        <f>Sinistrés!L4398</f>
        <v>16.36</v>
      </c>
      <c r="E4393">
        <f>Sinistrés!M4398</f>
        <v>16.36</v>
      </c>
      <c r="F4393">
        <f t="shared" si="136"/>
        <v>0</v>
      </c>
      <c r="G4393">
        <f t="shared" si="137"/>
        <v>1</v>
      </c>
    </row>
    <row r="4394" spans="1:7" hidden="1">
      <c r="A4394" t="str">
        <f>Sinistrés!H4399</f>
        <v>Tournesol</v>
      </c>
      <c r="B4394">
        <f>Sinistrés!J4399</f>
        <v>2132.13</v>
      </c>
      <c r="C4394">
        <f>Sinistrés!X4399</f>
        <v>0</v>
      </c>
      <c r="D4394">
        <f>Sinistrés!L4399</f>
        <v>1.85</v>
      </c>
      <c r="E4394">
        <f>Sinistrés!M4399</f>
        <v>1.85</v>
      </c>
      <c r="F4394">
        <f t="shared" si="136"/>
        <v>0</v>
      </c>
      <c r="G4394">
        <f t="shared" si="137"/>
        <v>1</v>
      </c>
    </row>
    <row r="4395" spans="1:7">
      <c r="A4395" t="str">
        <f>Sinistrés!H4400</f>
        <v>Soja</v>
      </c>
      <c r="B4395">
        <f>Sinistrés!J4400</f>
        <v>22170.05</v>
      </c>
      <c r="C4395">
        <f>Sinistrés!X4400</f>
        <v>14929.7</v>
      </c>
      <c r="D4395">
        <f>Sinistrés!L4400</f>
        <v>22.65</v>
      </c>
      <c r="E4395">
        <f>Sinistrés!M4400</f>
        <v>22.65</v>
      </c>
      <c r="F4395">
        <f t="shared" si="136"/>
        <v>0.67341751597312594</v>
      </c>
      <c r="G4395">
        <f t="shared" si="137"/>
        <v>1</v>
      </c>
    </row>
    <row r="4396" spans="1:7">
      <c r="A4396" t="str">
        <f>Sinistrés!H4401</f>
        <v>Soja</v>
      </c>
      <c r="B4396">
        <f>Sinistrés!J4401</f>
        <v>7536.84</v>
      </c>
      <c r="C4396">
        <f>Sinistrés!X4401</f>
        <v>5075.4399999999996</v>
      </c>
      <c r="D4396">
        <f>Sinistrés!L4401</f>
        <v>7.7</v>
      </c>
      <c r="E4396">
        <f>Sinistrés!M4401</f>
        <v>7.7</v>
      </c>
      <c r="F4396">
        <f t="shared" si="136"/>
        <v>0.67341750654120291</v>
      </c>
      <c r="G4396">
        <f t="shared" si="137"/>
        <v>1</v>
      </c>
    </row>
    <row r="4397" spans="1:7">
      <c r="A4397" t="str">
        <f>Sinistrés!H4402</f>
        <v>Maïs grain non irrigué</v>
      </c>
      <c r="B4397">
        <f>Sinistrés!J4402</f>
        <v>53550</v>
      </c>
      <c r="C4397">
        <f>Sinistrés!X4402</f>
        <v>20055</v>
      </c>
      <c r="D4397">
        <f>Sinistrés!L4402</f>
        <v>30</v>
      </c>
      <c r="E4397">
        <f>Sinistrés!M4402</f>
        <v>30</v>
      </c>
      <c r="F4397">
        <f t="shared" si="136"/>
        <v>0.37450980392156863</v>
      </c>
      <c r="G4397">
        <f t="shared" si="137"/>
        <v>1</v>
      </c>
    </row>
    <row r="4398" spans="1:7">
      <c r="A4398" t="str">
        <f>Sinistrés!H4403</f>
        <v>Tournesol</v>
      </c>
      <c r="B4398">
        <f>Sinistrés!J4403</f>
        <v>24000</v>
      </c>
      <c r="C4398">
        <f>Sinistrés!X4403</f>
        <v>4602.24</v>
      </c>
      <c r="D4398">
        <f>Sinistrés!L4403</f>
        <v>20</v>
      </c>
      <c r="E4398">
        <f>Sinistrés!M4403</f>
        <v>20</v>
      </c>
      <c r="F4398">
        <f t="shared" si="136"/>
        <v>0.19175999999999999</v>
      </c>
      <c r="G4398">
        <f t="shared" si="137"/>
        <v>1</v>
      </c>
    </row>
    <row r="4399" spans="1:7">
      <c r="A4399" t="str">
        <f>Sinistrés!H4404</f>
        <v>Maïs pop corn irrigué</v>
      </c>
      <c r="B4399">
        <f>Sinistrés!J4404</f>
        <v>39355</v>
      </c>
      <c r="C4399">
        <f>Sinistrés!X4404</f>
        <v>7127.25</v>
      </c>
      <c r="D4399">
        <f>Sinistrés!L4404</f>
        <v>25</v>
      </c>
      <c r="E4399">
        <f>Sinistrés!M4404</f>
        <v>22</v>
      </c>
      <c r="F4399">
        <f t="shared" si="136"/>
        <v>0.18110151187904969</v>
      </c>
      <c r="G4399">
        <f t="shared" si="137"/>
        <v>0.88</v>
      </c>
    </row>
    <row r="4400" spans="1:7" hidden="1">
      <c r="A4400" t="str">
        <f>Sinistrés!H4405</f>
        <v>Maïs grain non irrigué</v>
      </c>
      <c r="B4400">
        <f>Sinistrés!J4405</f>
        <v>26848.39</v>
      </c>
      <c r="C4400">
        <f>Sinistrés!X4405</f>
        <v>0</v>
      </c>
      <c r="D4400">
        <f>Sinistrés!L4405</f>
        <v>15.25</v>
      </c>
      <c r="E4400">
        <f>Sinistrés!M4405</f>
        <v>15.25</v>
      </c>
      <c r="F4400">
        <f t="shared" si="136"/>
        <v>0</v>
      </c>
      <c r="G4400">
        <f t="shared" si="137"/>
        <v>1</v>
      </c>
    </row>
    <row r="4401" spans="1:7">
      <c r="A4401" t="str">
        <f>Sinistrés!H4406</f>
        <v>Tournesol</v>
      </c>
      <c r="B4401">
        <f>Sinistrés!J4406</f>
        <v>4821.46</v>
      </c>
      <c r="C4401">
        <f>Sinistrés!X4406</f>
        <v>1448.6</v>
      </c>
      <c r="D4401">
        <f>Sinistrés!L4406</f>
        <v>4.6900000000000004</v>
      </c>
      <c r="E4401">
        <f>Sinistrés!M4406</f>
        <v>4.6900000000000004</v>
      </c>
      <c r="F4401">
        <f t="shared" si="136"/>
        <v>0.30044841189183358</v>
      </c>
      <c r="G4401">
        <f t="shared" si="137"/>
        <v>1</v>
      </c>
    </row>
    <row r="4402" spans="1:7">
      <c r="A4402" t="str">
        <f>Sinistrés!H4407</f>
        <v>Maïs grain irrigué</v>
      </c>
      <c r="B4402">
        <f>Sinistrés!J4407</f>
        <v>7344.25</v>
      </c>
      <c r="C4402">
        <f>Sinistrés!X4407</f>
        <v>1580.86</v>
      </c>
      <c r="D4402">
        <f>Sinistrés!L4407</f>
        <v>5</v>
      </c>
      <c r="E4402">
        <f>Sinistrés!M4407</f>
        <v>5</v>
      </c>
      <c r="F4402">
        <f t="shared" si="136"/>
        <v>0.21525138713959899</v>
      </c>
      <c r="G4402">
        <f t="shared" si="137"/>
        <v>1</v>
      </c>
    </row>
    <row r="4403" spans="1:7" hidden="1">
      <c r="A4403" t="str">
        <f>Sinistrés!H4408</f>
        <v>Maïs grain non irrigué</v>
      </c>
      <c r="B4403">
        <f>Sinistrés!J4408</f>
        <v>7356.48</v>
      </c>
      <c r="C4403">
        <f>Sinistrés!X4408</f>
        <v>0</v>
      </c>
      <c r="D4403">
        <f>Sinistrés!L4408</f>
        <v>7.76</v>
      </c>
      <c r="E4403">
        <f>Sinistrés!M4408</f>
        <v>7.76</v>
      </c>
      <c r="F4403">
        <f t="shared" si="136"/>
        <v>0</v>
      </c>
      <c r="G4403">
        <f t="shared" si="137"/>
        <v>1</v>
      </c>
    </row>
    <row r="4404" spans="1:7">
      <c r="A4404" t="str">
        <f>Sinistrés!H4409</f>
        <v>Maïs grain non irrigué</v>
      </c>
      <c r="B4404">
        <f>Sinistrés!J4409</f>
        <v>5880</v>
      </c>
      <c r="C4404">
        <f>Sinistrés!X4409</f>
        <v>187.32</v>
      </c>
      <c r="D4404">
        <f>Sinistrés!L4409</f>
        <v>6</v>
      </c>
      <c r="E4404">
        <f>Sinistrés!M4409</f>
        <v>6</v>
      </c>
      <c r="F4404">
        <f t="shared" si="136"/>
        <v>3.1857142857142855E-2</v>
      </c>
      <c r="G4404">
        <f t="shared" si="137"/>
        <v>1</v>
      </c>
    </row>
    <row r="4405" spans="1:7">
      <c r="A4405" t="str">
        <f>Sinistrés!H4410</f>
        <v>Maïs grain non irrigué</v>
      </c>
      <c r="B4405">
        <f>Sinistrés!J4410</f>
        <v>21560</v>
      </c>
      <c r="C4405">
        <f>Sinistrés!X4410</f>
        <v>8852.76</v>
      </c>
      <c r="D4405">
        <f>Sinistrés!L4410</f>
        <v>22</v>
      </c>
      <c r="E4405">
        <f>Sinistrés!M4410</f>
        <v>19</v>
      </c>
      <c r="F4405">
        <f t="shared" si="136"/>
        <v>0.41061038961038965</v>
      </c>
      <c r="G4405">
        <f t="shared" si="137"/>
        <v>0.86363636363636365</v>
      </c>
    </row>
    <row r="4406" spans="1:7" hidden="1">
      <c r="A4406" t="str">
        <f>Sinistrés!H4411</f>
        <v>Tournesol BIO</v>
      </c>
      <c r="B4406">
        <f>Sinistrés!J4411</f>
        <v>7840.09</v>
      </c>
      <c r="C4406">
        <f>Sinistrés!X4411</f>
        <v>1135.6600000000001</v>
      </c>
      <c r="D4406">
        <f>Sinistrés!L4411</f>
        <v>8.91</v>
      </c>
      <c r="E4406">
        <f>Sinistrés!M4411</f>
        <v>8.91</v>
      </c>
      <c r="F4406">
        <f t="shared" si="136"/>
        <v>0.1448529289842336</v>
      </c>
      <c r="G4406">
        <f t="shared" si="137"/>
        <v>1</v>
      </c>
    </row>
    <row r="4407" spans="1:7" hidden="1">
      <c r="A4407" t="str">
        <f>Sinistrés!H4412</f>
        <v>Tournesol</v>
      </c>
      <c r="B4407">
        <f>Sinistrés!J4412</f>
        <v>33603.9</v>
      </c>
      <c r="C4407">
        <f>Sinistrés!X4412</f>
        <v>0</v>
      </c>
      <c r="D4407">
        <f>Sinistrés!L4412</f>
        <v>22.44</v>
      </c>
      <c r="E4407">
        <f>Sinistrés!M4412</f>
        <v>22.44</v>
      </c>
      <c r="F4407">
        <f t="shared" si="136"/>
        <v>0</v>
      </c>
      <c r="G4407">
        <f t="shared" si="137"/>
        <v>1</v>
      </c>
    </row>
    <row r="4408" spans="1:7">
      <c r="A4408" t="str">
        <f>Sinistrés!H4413</f>
        <v>Maïs grain irrigué</v>
      </c>
      <c r="B4408">
        <f>Sinistrés!J4413</f>
        <v>55089.43</v>
      </c>
      <c r="C4408">
        <f>Sinistrés!X4413</f>
        <v>9703.25</v>
      </c>
      <c r="D4408">
        <f>Sinistrés!L4413</f>
        <v>29.91</v>
      </c>
      <c r="E4408">
        <f>Sinistrés!M4413</f>
        <v>29.91</v>
      </c>
      <c r="F4408">
        <f t="shared" si="136"/>
        <v>0.17613632960079637</v>
      </c>
      <c r="G4408">
        <f t="shared" si="137"/>
        <v>1</v>
      </c>
    </row>
    <row r="4409" spans="1:7">
      <c r="A4409" t="str">
        <f>Sinistrés!H4414</f>
        <v>Soja</v>
      </c>
      <c r="B4409">
        <f>Sinistrés!J4414</f>
        <v>9622.08</v>
      </c>
      <c r="C4409">
        <f>Sinistrés!X4414</f>
        <v>1323.5</v>
      </c>
      <c r="D4409">
        <f>Sinistrés!L4414</f>
        <v>9.36</v>
      </c>
      <c r="E4409">
        <f>Sinistrés!M4414</f>
        <v>9.36</v>
      </c>
      <c r="F4409">
        <f t="shared" si="136"/>
        <v>0.13754822242176329</v>
      </c>
      <c r="G4409">
        <f t="shared" si="137"/>
        <v>1</v>
      </c>
    </row>
    <row r="4410" spans="1:7" hidden="1">
      <c r="A4410" t="str">
        <f>Sinistrés!H4415</f>
        <v>Maïs waxy non irrigué</v>
      </c>
      <c r="B4410">
        <f>Sinistrés!J4415</f>
        <v>9527.69</v>
      </c>
      <c r="C4410">
        <f>Sinistrés!X4415</f>
        <v>0</v>
      </c>
      <c r="D4410">
        <f>Sinistrés!L4415</f>
        <v>3.71</v>
      </c>
      <c r="E4410">
        <f>Sinistrés!M4415</f>
        <v>3.71</v>
      </c>
      <c r="F4410">
        <f t="shared" si="136"/>
        <v>0</v>
      </c>
      <c r="G4410">
        <f t="shared" si="137"/>
        <v>1</v>
      </c>
    </row>
    <row r="4411" spans="1:7" hidden="1">
      <c r="A4411" t="str">
        <f>Sinistrés!H4416</f>
        <v>Maïs waxy irrigué</v>
      </c>
      <c r="B4411">
        <f>Sinistrés!J4416</f>
        <v>80938.820000000007</v>
      </c>
      <c r="C4411">
        <f>Sinistrés!X4416</f>
        <v>0</v>
      </c>
      <c r="D4411">
        <f>Sinistrés!L4416</f>
        <v>31.44</v>
      </c>
      <c r="E4411">
        <f>Sinistrés!M4416</f>
        <v>31.44</v>
      </c>
      <c r="F4411">
        <f t="shared" si="136"/>
        <v>0</v>
      </c>
      <c r="G4411">
        <f t="shared" si="137"/>
        <v>1</v>
      </c>
    </row>
    <row r="4412" spans="1:7" hidden="1">
      <c r="A4412" t="str">
        <f>Sinistrés!H4417</f>
        <v>Tournesol SEMENCES</v>
      </c>
      <c r="B4412">
        <f>Sinistrés!J4417</f>
        <v>5317.65</v>
      </c>
      <c r="C4412">
        <f>Sinistrés!X4417</f>
        <v>0</v>
      </c>
      <c r="D4412">
        <f>Sinistrés!L4417</f>
        <v>1.17</v>
      </c>
      <c r="E4412">
        <f>Sinistrés!M4417</f>
        <v>1.17</v>
      </c>
      <c r="F4412">
        <f t="shared" si="136"/>
        <v>0</v>
      </c>
      <c r="G4412">
        <f t="shared" si="137"/>
        <v>1</v>
      </c>
    </row>
    <row r="4413" spans="1:7" hidden="1">
      <c r="A4413" t="str">
        <f>Sinistrés!H4418</f>
        <v>Maïs waxy irrigué</v>
      </c>
      <c r="B4413">
        <f>Sinistrés!J4418</f>
        <v>126357.34</v>
      </c>
      <c r="C4413">
        <f>Sinistrés!X4418</f>
        <v>0</v>
      </c>
      <c r="D4413">
        <f>Sinistrés!L4418</f>
        <v>47.8</v>
      </c>
      <c r="E4413">
        <f>Sinistrés!M4418</f>
        <v>47.8</v>
      </c>
      <c r="F4413">
        <f t="shared" si="136"/>
        <v>0</v>
      </c>
      <c r="G4413">
        <f t="shared" si="137"/>
        <v>1</v>
      </c>
    </row>
    <row r="4414" spans="1:7" hidden="1">
      <c r="A4414" t="str">
        <f>Sinistrés!H4419</f>
        <v>Maïs waxy non irrigué</v>
      </c>
      <c r="B4414">
        <f>Sinistrés!J4419</f>
        <v>6658.13</v>
      </c>
      <c r="C4414">
        <f>Sinistrés!X4419</f>
        <v>0</v>
      </c>
      <c r="D4414">
        <f>Sinistrés!L4419</f>
        <v>2.58</v>
      </c>
      <c r="E4414">
        <f>Sinistrés!M4419</f>
        <v>2.58</v>
      </c>
      <c r="F4414">
        <f t="shared" si="136"/>
        <v>0</v>
      </c>
      <c r="G4414">
        <f t="shared" si="137"/>
        <v>1</v>
      </c>
    </row>
    <row r="4415" spans="1:7" hidden="1">
      <c r="A4415" t="str">
        <f>Sinistrés!H4420</f>
        <v>Tournesol BIO</v>
      </c>
      <c r="B4415">
        <f>Sinistrés!J4420</f>
        <v>27484.560000000001</v>
      </c>
      <c r="C4415">
        <f>Sinistrés!X4420</f>
        <v>0</v>
      </c>
      <c r="D4415">
        <f>Sinistrés!L4420</f>
        <v>11.8</v>
      </c>
      <c r="E4415">
        <f>Sinistrés!M4420</f>
        <v>11.8</v>
      </c>
      <c r="F4415">
        <f t="shared" si="136"/>
        <v>0</v>
      </c>
      <c r="G4415">
        <f t="shared" si="137"/>
        <v>1</v>
      </c>
    </row>
    <row r="4416" spans="1:7" hidden="1">
      <c r="A4416" t="str">
        <f>Sinistrés!H4421</f>
        <v>Maïs grain non irrigué</v>
      </c>
      <c r="B4416">
        <f>Sinistrés!J4421</f>
        <v>49141.55</v>
      </c>
      <c r="C4416">
        <f>Sinistrés!X4421</f>
        <v>0</v>
      </c>
      <c r="D4416">
        <f>Sinistrés!L4421</f>
        <v>22.15</v>
      </c>
      <c r="E4416">
        <f>Sinistrés!M4421</f>
        <v>22.15</v>
      </c>
      <c r="F4416">
        <f t="shared" si="136"/>
        <v>0</v>
      </c>
      <c r="G4416">
        <f t="shared" si="137"/>
        <v>1</v>
      </c>
    </row>
    <row r="4417" spans="1:7" hidden="1">
      <c r="A4417" t="str">
        <f>Sinistrés!H4422</f>
        <v>Maïs grain irrigué</v>
      </c>
      <c r="B4417">
        <f>Sinistrés!J4422</f>
        <v>73048</v>
      </c>
      <c r="C4417">
        <f>Sinistrés!X4422</f>
        <v>0</v>
      </c>
      <c r="D4417">
        <f>Sinistrés!L4422</f>
        <v>29.83</v>
      </c>
      <c r="E4417">
        <f>Sinistrés!M4422</f>
        <v>29.83</v>
      </c>
      <c r="F4417">
        <f t="shared" si="136"/>
        <v>0</v>
      </c>
      <c r="G4417">
        <f t="shared" si="137"/>
        <v>1</v>
      </c>
    </row>
    <row r="4418" spans="1:7" hidden="1">
      <c r="A4418" t="str">
        <f>Sinistrés!H4423</f>
        <v>Maïs waxy irrigué</v>
      </c>
      <c r="B4418">
        <f>Sinistrés!J4423</f>
        <v>101611.38</v>
      </c>
      <c r="C4418">
        <f>Sinistrés!X4423</f>
        <v>0</v>
      </c>
      <c r="D4418">
        <f>Sinistrés!L4423</f>
        <v>36.229999999999997</v>
      </c>
      <c r="E4418">
        <f>Sinistrés!M4423</f>
        <v>36.229999999999997</v>
      </c>
      <c r="F4418">
        <f t="shared" si="136"/>
        <v>0</v>
      </c>
      <c r="G4418">
        <f t="shared" si="137"/>
        <v>1</v>
      </c>
    </row>
    <row r="4419" spans="1:7" hidden="1">
      <c r="A4419" t="str">
        <f>Sinistrés!H4424</f>
        <v>Tournesol BIO</v>
      </c>
      <c r="B4419">
        <f>Sinistrés!J4424</f>
        <v>30348.44</v>
      </c>
      <c r="C4419">
        <f>Sinistrés!X4424</f>
        <v>4150.6000000000004</v>
      </c>
      <c r="D4419">
        <f>Sinistrés!L4424</f>
        <v>34.49</v>
      </c>
      <c r="E4419">
        <f>Sinistrés!M4424</f>
        <v>34.49</v>
      </c>
      <c r="F4419">
        <f t="shared" ref="F4419:F4482" si="138">C4419/B4419</f>
        <v>0.13676485512929168</v>
      </c>
      <c r="G4419">
        <f t="shared" ref="G4419:G4482" si="139">E4419/D4419</f>
        <v>1</v>
      </c>
    </row>
    <row r="4420" spans="1:7">
      <c r="A4420" t="str">
        <f>Sinistrés!H4425</f>
        <v>Tournesol</v>
      </c>
      <c r="B4420">
        <f>Sinistrés!J4425</f>
        <v>7609.84</v>
      </c>
      <c r="C4420">
        <f>Sinistrés!X4425</f>
        <v>1674.76</v>
      </c>
      <c r="D4420">
        <f>Sinistrés!L4425</f>
        <v>7.49</v>
      </c>
      <c r="E4420">
        <f>Sinistrés!M4425</f>
        <v>7.49</v>
      </c>
      <c r="F4420">
        <f t="shared" si="138"/>
        <v>0.22007821452225013</v>
      </c>
      <c r="G4420">
        <f t="shared" si="139"/>
        <v>1</v>
      </c>
    </row>
    <row r="4421" spans="1:7">
      <c r="A4421" t="str">
        <f>Sinistrés!H4426</f>
        <v>Tournesol</v>
      </c>
      <c r="B4421">
        <f>Sinistrés!J4426</f>
        <v>15131.54</v>
      </c>
      <c r="C4421">
        <f>Sinistrés!X4426</f>
        <v>5755.02</v>
      </c>
      <c r="D4421">
        <f>Sinistrés!L4426</f>
        <v>16.329999999999998</v>
      </c>
      <c r="E4421">
        <f>Sinistrés!M4426</f>
        <v>16.329999999999998</v>
      </c>
      <c r="F4421">
        <f t="shared" si="138"/>
        <v>0.3803327354651278</v>
      </c>
      <c r="G4421">
        <f t="shared" si="139"/>
        <v>1</v>
      </c>
    </row>
    <row r="4422" spans="1:7" hidden="1">
      <c r="A4422" t="str">
        <f>Sinistrés!H4427</f>
        <v>Tournesol</v>
      </c>
      <c r="B4422">
        <f>Sinistrés!J4427</f>
        <v>30022.16</v>
      </c>
      <c r="C4422">
        <f>Sinistrés!X4427</f>
        <v>0</v>
      </c>
      <c r="D4422">
        <f>Sinistrés!L4427</f>
        <v>24.12</v>
      </c>
      <c r="E4422">
        <f>Sinistrés!M4427</f>
        <v>24.12</v>
      </c>
      <c r="F4422">
        <f t="shared" si="138"/>
        <v>0</v>
      </c>
      <c r="G4422">
        <f t="shared" si="139"/>
        <v>1</v>
      </c>
    </row>
    <row r="4423" spans="1:7" hidden="1">
      <c r="A4423" t="str">
        <f>Sinistrés!H4428</f>
        <v>Tournesol</v>
      </c>
      <c r="B4423">
        <f>Sinistrés!J4428</f>
        <v>21842.27</v>
      </c>
      <c r="C4423">
        <f>Sinistrés!X4428</f>
        <v>0</v>
      </c>
      <c r="D4423">
        <f>Sinistrés!L4428</f>
        <v>23.34</v>
      </c>
      <c r="E4423">
        <f>Sinistrés!M4428</f>
        <v>23.34</v>
      </c>
      <c r="F4423">
        <f t="shared" si="138"/>
        <v>0</v>
      </c>
      <c r="G4423">
        <f t="shared" si="139"/>
        <v>1</v>
      </c>
    </row>
    <row r="4424" spans="1:7" hidden="1">
      <c r="A4424" t="str">
        <f>Sinistrés!H4429</f>
        <v>Maïs grain non irrigué</v>
      </c>
      <c r="B4424">
        <f>Sinistrés!J4429</f>
        <v>94137.51</v>
      </c>
      <c r="C4424">
        <f>Sinistrés!X4429</f>
        <v>0</v>
      </c>
      <c r="D4424">
        <f>Sinistrés!L4429</f>
        <v>43.78</v>
      </c>
      <c r="E4424">
        <f>Sinistrés!M4429</f>
        <v>43.78</v>
      </c>
      <c r="F4424">
        <f t="shared" si="138"/>
        <v>0</v>
      </c>
      <c r="G4424">
        <f t="shared" si="139"/>
        <v>1</v>
      </c>
    </row>
    <row r="4425" spans="1:7" hidden="1">
      <c r="A4425" t="str">
        <f>Sinistrés!H4430</f>
        <v>Maïs grain non irrigué</v>
      </c>
      <c r="B4425">
        <f>Sinistrés!J4430</f>
        <v>151742.44</v>
      </c>
      <c r="C4425">
        <f>Sinistrés!X4430</f>
        <v>0</v>
      </c>
      <c r="D4425">
        <f>Sinistrés!L4430</f>
        <v>70.569999999999993</v>
      </c>
      <c r="E4425">
        <f>Sinistrés!M4430</f>
        <v>70.569999999999993</v>
      </c>
      <c r="F4425">
        <f t="shared" si="138"/>
        <v>0</v>
      </c>
      <c r="G4425">
        <f t="shared" si="139"/>
        <v>1</v>
      </c>
    </row>
    <row r="4426" spans="1:7" hidden="1">
      <c r="A4426" t="str">
        <f>Sinistrés!H4431</f>
        <v>Colza d'hiver BIO</v>
      </c>
      <c r="B4426">
        <f>Sinistrés!J4431</f>
        <v>34176</v>
      </c>
      <c r="C4426">
        <f>Sinistrés!X4431</f>
        <v>4066.94</v>
      </c>
      <c r="D4426">
        <f>Sinistrés!L4431</f>
        <v>42.72</v>
      </c>
      <c r="E4426">
        <f>Sinistrés!M4431</f>
        <v>42.72</v>
      </c>
      <c r="F4426">
        <f t="shared" si="138"/>
        <v>0.1189998829588015</v>
      </c>
      <c r="G4426">
        <f t="shared" si="139"/>
        <v>1</v>
      </c>
    </row>
    <row r="4427" spans="1:7" hidden="1">
      <c r="A4427" t="str">
        <f>Sinistrés!H4432</f>
        <v>Colza d'hiver BIO</v>
      </c>
      <c r="B4427">
        <f>Sinistrés!J4432</f>
        <v>94395.839999999997</v>
      </c>
      <c r="C4427">
        <f>Sinistrés!X4432</f>
        <v>16856.400000000001</v>
      </c>
      <c r="D4427">
        <f>Sinistrés!L4432</f>
        <v>76.62</v>
      </c>
      <c r="E4427">
        <f>Sinistrés!M4432</f>
        <v>76.62</v>
      </c>
      <c r="F4427">
        <f t="shared" si="138"/>
        <v>0.1785714285714286</v>
      </c>
      <c r="G4427">
        <f t="shared" si="139"/>
        <v>1</v>
      </c>
    </row>
    <row r="4428" spans="1:7">
      <c r="A4428" t="str">
        <f>Sinistrés!H4433</f>
        <v>Féveroles et fèves</v>
      </c>
      <c r="B4428">
        <f>Sinistrés!J4433</f>
        <v>12457.95</v>
      </c>
      <c r="C4428">
        <f>Sinistrés!X4433</f>
        <v>243.74</v>
      </c>
      <c r="D4428">
        <f>Sinistrés!L4433</f>
        <v>23.55</v>
      </c>
      <c r="E4428">
        <f>Sinistrés!M4433</f>
        <v>23.55</v>
      </c>
      <c r="F4428">
        <f t="shared" si="138"/>
        <v>1.956501671623341E-2</v>
      </c>
      <c r="G4428">
        <f t="shared" si="139"/>
        <v>1</v>
      </c>
    </row>
    <row r="4429" spans="1:7" hidden="1">
      <c r="A4429" t="str">
        <f>Sinistrés!H4434</f>
        <v>Maïs grain irrigué SEMENCES FERTILES</v>
      </c>
      <c r="B4429">
        <f>Sinistrés!J4434</f>
        <v>80275</v>
      </c>
      <c r="C4429">
        <f>Sinistrés!X4434</f>
        <v>0</v>
      </c>
      <c r="D4429">
        <f>Sinistrés!L4434</f>
        <v>19</v>
      </c>
      <c r="E4429">
        <f>Sinistrés!M4434</f>
        <v>19</v>
      </c>
      <c r="F4429">
        <f t="shared" si="138"/>
        <v>0</v>
      </c>
      <c r="G4429">
        <f t="shared" si="139"/>
        <v>1</v>
      </c>
    </row>
    <row r="4430" spans="1:7" hidden="1">
      <c r="A4430" t="str">
        <f>Sinistrés!H4435</f>
        <v>Maïs grain irrigué SEMENCES STERILES</v>
      </c>
      <c r="B4430">
        <f>Sinistrés!J4435</f>
        <v>172200</v>
      </c>
      <c r="C4430">
        <f>Sinistrés!X4435</f>
        <v>0</v>
      </c>
      <c r="D4430">
        <f>Sinistrés!L4435</f>
        <v>41</v>
      </c>
      <c r="E4430">
        <f>Sinistrés!M4435</f>
        <v>41</v>
      </c>
      <c r="F4430">
        <f t="shared" si="138"/>
        <v>0</v>
      </c>
      <c r="G4430">
        <f t="shared" si="139"/>
        <v>1</v>
      </c>
    </row>
    <row r="4431" spans="1:7">
      <c r="A4431" t="str">
        <f>Sinistrés!H4436</f>
        <v>Maïs grain non irrigué</v>
      </c>
      <c r="B4431">
        <f>Sinistrés!J4436</f>
        <v>10476</v>
      </c>
      <c r="C4431">
        <f>Sinistrés!X4436</f>
        <v>314.27999999999997</v>
      </c>
      <c r="D4431">
        <f>Sinistrés!L4436</f>
        <v>5.82</v>
      </c>
      <c r="E4431">
        <f>Sinistrés!M4436</f>
        <v>5.82</v>
      </c>
      <c r="F4431">
        <f t="shared" si="138"/>
        <v>0.03</v>
      </c>
      <c r="G4431">
        <f t="shared" si="139"/>
        <v>1</v>
      </c>
    </row>
    <row r="4432" spans="1:7" hidden="1">
      <c r="A4432" t="str">
        <f>Sinistrés!H4437</f>
        <v>Soja</v>
      </c>
      <c r="B4432">
        <f>Sinistrés!J4437</f>
        <v>11364</v>
      </c>
      <c r="C4432">
        <f>Sinistrés!X4437</f>
        <v>0</v>
      </c>
      <c r="D4432">
        <f>Sinistrés!L4437</f>
        <v>9.4700000000000006</v>
      </c>
      <c r="E4432">
        <f>Sinistrés!M4437</f>
        <v>9.4700000000000006</v>
      </c>
      <c r="F4432">
        <f t="shared" si="138"/>
        <v>0</v>
      </c>
      <c r="G4432">
        <f t="shared" si="139"/>
        <v>1</v>
      </c>
    </row>
    <row r="4433" spans="1:7">
      <c r="A4433" t="str">
        <f>Sinistrés!H4438</f>
        <v>Soja</v>
      </c>
      <c r="B4433">
        <f>Sinistrés!J4438</f>
        <v>32000.400000000001</v>
      </c>
      <c r="C4433">
        <f>Sinistrés!X4438</f>
        <v>18871.8</v>
      </c>
      <c r="D4433">
        <f>Sinistrés!L4438</f>
        <v>29.63</v>
      </c>
      <c r="E4433">
        <f>Sinistrés!M4438</f>
        <v>29.63</v>
      </c>
      <c r="F4433">
        <f t="shared" si="138"/>
        <v>0.58973637829527126</v>
      </c>
      <c r="G4433">
        <f t="shared" si="139"/>
        <v>1</v>
      </c>
    </row>
    <row r="4434" spans="1:7">
      <c r="A4434" t="str">
        <f>Sinistrés!H4439</f>
        <v>Maïs grain non irrigué</v>
      </c>
      <c r="B4434">
        <f>Sinistrés!J4439</f>
        <v>14505</v>
      </c>
      <c r="C4434">
        <f>Sinistrés!X4439</f>
        <v>3858.75</v>
      </c>
      <c r="D4434">
        <f>Sinistrés!L4439</f>
        <v>10</v>
      </c>
      <c r="E4434">
        <f>Sinistrés!M4439</f>
        <v>10</v>
      </c>
      <c r="F4434">
        <f t="shared" si="138"/>
        <v>0.266028955532575</v>
      </c>
      <c r="G4434">
        <f t="shared" si="139"/>
        <v>1</v>
      </c>
    </row>
    <row r="4435" spans="1:7" hidden="1">
      <c r="A4435" t="str">
        <f>Sinistrés!H4440</f>
        <v>Soja</v>
      </c>
      <c r="B4435">
        <f>Sinistrés!J4440</f>
        <v>4528</v>
      </c>
      <c r="C4435">
        <f>Sinistrés!X4440</f>
        <v>0</v>
      </c>
      <c r="D4435">
        <f>Sinistrés!L4440</f>
        <v>5</v>
      </c>
      <c r="E4435">
        <f>Sinistrés!M4440</f>
        <v>5</v>
      </c>
      <c r="F4435">
        <f t="shared" si="138"/>
        <v>0</v>
      </c>
      <c r="G4435">
        <f t="shared" si="139"/>
        <v>1</v>
      </c>
    </row>
    <row r="4436" spans="1:7" hidden="1">
      <c r="A4436" t="str">
        <f>Sinistrés!H4441</f>
        <v>Maïs grain irrigué</v>
      </c>
      <c r="B4436">
        <f>Sinistrés!J4441</f>
        <v>71982</v>
      </c>
      <c r="C4436">
        <f>Sinistrés!X4441</f>
        <v>0</v>
      </c>
      <c r="D4436">
        <f>Sinistrés!L4441</f>
        <v>36</v>
      </c>
      <c r="E4436">
        <f>Sinistrés!M4441</f>
        <v>36</v>
      </c>
      <c r="F4436">
        <f t="shared" si="138"/>
        <v>0</v>
      </c>
      <c r="G4436">
        <f t="shared" si="139"/>
        <v>1</v>
      </c>
    </row>
    <row r="4437" spans="1:7" hidden="1">
      <c r="A4437" t="str">
        <f>Sinistrés!H4442</f>
        <v>Colza d'hiver BIO</v>
      </c>
      <c r="B4437">
        <f>Sinistrés!J4442</f>
        <v>99732.479999999996</v>
      </c>
      <c r="C4437">
        <f>Sinistrés!X4442</f>
        <v>23885.96</v>
      </c>
      <c r="D4437">
        <f>Sinistrés!L4442</f>
        <v>96.64</v>
      </c>
      <c r="E4437">
        <f>Sinistrés!M4442</f>
        <v>96.64</v>
      </c>
      <c r="F4437">
        <f t="shared" si="138"/>
        <v>0.23950031123260948</v>
      </c>
      <c r="G4437">
        <f t="shared" si="139"/>
        <v>1</v>
      </c>
    </row>
    <row r="4438" spans="1:7" hidden="1">
      <c r="A4438" t="str">
        <f>Sinistrés!H4443</f>
        <v>Colza d'hiver BIO</v>
      </c>
      <c r="B4438">
        <f>Sinistrés!J4443</f>
        <v>45954.96</v>
      </c>
      <c r="C4438">
        <f>Sinistrés!X4443</f>
        <v>0</v>
      </c>
      <c r="D4438">
        <f>Sinistrés!L4443</f>
        <v>44.53</v>
      </c>
      <c r="E4438">
        <f>Sinistrés!M4443</f>
        <v>44.53</v>
      </c>
      <c r="F4438">
        <f t="shared" si="138"/>
        <v>0</v>
      </c>
      <c r="G4438">
        <f t="shared" si="139"/>
        <v>1</v>
      </c>
    </row>
    <row r="4439" spans="1:7" hidden="1">
      <c r="A4439" t="str">
        <f>Sinistrés!H4444</f>
        <v>Tournesol</v>
      </c>
      <c r="B4439">
        <f>Sinistrés!J4444</f>
        <v>3360.28</v>
      </c>
      <c r="C4439">
        <f>Sinistrés!X4444</f>
        <v>0</v>
      </c>
      <c r="D4439">
        <f>Sinistrés!L4444</f>
        <v>2.73</v>
      </c>
      <c r="E4439">
        <f>Sinistrés!M4444</f>
        <v>2.73</v>
      </c>
      <c r="F4439">
        <f t="shared" si="138"/>
        <v>0</v>
      </c>
      <c r="G4439">
        <f t="shared" si="139"/>
        <v>1</v>
      </c>
    </row>
    <row r="4440" spans="1:7">
      <c r="A4440" t="str">
        <f>Sinistrés!H4445</f>
        <v>Maïs non irrigué</v>
      </c>
      <c r="B4440">
        <f>Sinistrés!J4445</f>
        <v>50050.54</v>
      </c>
      <c r="C4440">
        <f>Sinistrés!X4445</f>
        <v>15577.45</v>
      </c>
      <c r="D4440">
        <f>Sinistrés!L4445</f>
        <v>30.27</v>
      </c>
      <c r="E4440">
        <f>Sinistrés!M4445</f>
        <v>30.27</v>
      </c>
      <c r="F4440">
        <f t="shared" si="138"/>
        <v>0.31123440426416976</v>
      </c>
      <c r="G4440">
        <f t="shared" si="139"/>
        <v>1</v>
      </c>
    </row>
    <row r="4441" spans="1:7">
      <c r="A4441" t="str">
        <f>Sinistrés!H4446</f>
        <v>Tournesol</v>
      </c>
      <c r="B4441">
        <f>Sinistrés!J4446</f>
        <v>10082.07</v>
      </c>
      <c r="C4441">
        <f>Sinistrés!X4446</f>
        <v>522.77</v>
      </c>
      <c r="D4441">
        <f>Sinistrés!L4446</f>
        <v>8.1</v>
      </c>
      <c r="E4441">
        <f>Sinistrés!M4446</f>
        <v>8.1</v>
      </c>
      <c r="F4441">
        <f t="shared" si="138"/>
        <v>5.1851455107929226E-2</v>
      </c>
      <c r="G4441">
        <f t="shared" si="139"/>
        <v>1</v>
      </c>
    </row>
    <row r="4442" spans="1:7">
      <c r="A4442" t="str">
        <f>Sinistrés!H4447</f>
        <v>Tournesol</v>
      </c>
      <c r="B4442">
        <f>Sinistrés!J4447</f>
        <v>4727.16</v>
      </c>
      <c r="C4442">
        <f>Sinistrés!X4447</f>
        <v>1534.08</v>
      </c>
      <c r="D4442">
        <f>Sinistrés!L4447</f>
        <v>4.7300000000000004</v>
      </c>
      <c r="E4442">
        <f>Sinistrés!M4447</f>
        <v>4.7300000000000004</v>
      </c>
      <c r="F4442">
        <f t="shared" si="138"/>
        <v>0.32452466174193384</v>
      </c>
      <c r="G4442">
        <f t="shared" si="139"/>
        <v>1</v>
      </c>
    </row>
    <row r="4443" spans="1:7" hidden="1">
      <c r="A4443" t="str">
        <f>Sinistrés!H4448</f>
        <v>Maïs grain non irrigué</v>
      </c>
      <c r="B4443">
        <f>Sinistrés!J4448</f>
        <v>25178.5</v>
      </c>
      <c r="C4443">
        <f>Sinistrés!X4448</f>
        <v>0</v>
      </c>
      <c r="D4443">
        <f>Sinistrés!L4448</f>
        <v>16.239999999999998</v>
      </c>
      <c r="E4443">
        <f>Sinistrés!M4448</f>
        <v>16.239999999999998</v>
      </c>
      <c r="F4443">
        <f t="shared" si="138"/>
        <v>0</v>
      </c>
      <c r="G4443">
        <f t="shared" si="139"/>
        <v>1</v>
      </c>
    </row>
    <row r="4444" spans="1:7">
      <c r="A4444" t="str">
        <f>Sinistrés!H4449</f>
        <v>Maïs grain non irrigué</v>
      </c>
      <c r="B4444">
        <f>Sinistrés!J4449</f>
        <v>7410.91</v>
      </c>
      <c r="C4444">
        <f>Sinistrés!X4449</f>
        <v>9121.84</v>
      </c>
      <c r="D4444">
        <f>Sinistrés!L4449</f>
        <v>4.78</v>
      </c>
      <c r="E4444">
        <f>Sinistrés!M4449</f>
        <v>4.78</v>
      </c>
      <c r="F4444">
        <f t="shared" si="138"/>
        <v>1.2308663848299333</v>
      </c>
      <c r="G4444">
        <f t="shared" si="139"/>
        <v>1</v>
      </c>
    </row>
    <row r="4445" spans="1:7">
      <c r="A4445" t="str">
        <f>Sinistrés!H4450</f>
        <v>Blé tendre de printemps</v>
      </c>
      <c r="B4445">
        <f>Sinistrés!J4450</f>
        <v>7839.5</v>
      </c>
      <c r="C4445">
        <f>Sinistrés!X4450</f>
        <v>5391.83</v>
      </c>
      <c r="D4445">
        <f>Sinistrés!L4450</f>
        <v>10.07</v>
      </c>
      <c r="E4445">
        <f>Sinistrés!M4450</f>
        <v>10</v>
      </c>
      <c r="F4445">
        <f t="shared" si="138"/>
        <v>0.68777728171439501</v>
      </c>
      <c r="G4445">
        <f t="shared" si="139"/>
        <v>0.99304865938430975</v>
      </c>
    </row>
    <row r="4446" spans="1:7" hidden="1">
      <c r="A4446" t="str">
        <f>Sinistrés!H4451</f>
        <v>Blé tendre d'hiver</v>
      </c>
      <c r="B4446">
        <f>Sinistrés!J4451</f>
        <v>11777.74</v>
      </c>
      <c r="C4446">
        <f>Sinistrés!X4451</f>
        <v>0</v>
      </c>
      <c r="D4446">
        <f>Sinistrés!L4451</f>
        <v>12.61</v>
      </c>
      <c r="E4446">
        <f>Sinistrés!M4451</f>
        <v>12</v>
      </c>
      <c r="F4446">
        <f t="shared" si="138"/>
        <v>0</v>
      </c>
      <c r="G4446">
        <f t="shared" si="139"/>
        <v>0.95162569389373519</v>
      </c>
    </row>
    <row r="4447" spans="1:7">
      <c r="A4447" t="str">
        <f>Sinistrés!H4452</f>
        <v>Maïs grain non irrigué</v>
      </c>
      <c r="B4447">
        <f>Sinistrés!J4452</f>
        <v>28908</v>
      </c>
      <c r="C4447">
        <f>Sinistrés!X4452</f>
        <v>17633.88</v>
      </c>
      <c r="D4447">
        <f>Sinistrés!L4452</f>
        <v>24.09</v>
      </c>
      <c r="E4447">
        <f>Sinistrés!M4452</f>
        <v>24</v>
      </c>
      <c r="F4447">
        <f t="shared" si="138"/>
        <v>0.61</v>
      </c>
      <c r="G4447">
        <f t="shared" si="139"/>
        <v>0.99626400996264008</v>
      </c>
    </row>
    <row r="4448" spans="1:7">
      <c r="A4448" t="str">
        <f>Sinistrés!H4453</f>
        <v>Seigle et méteil</v>
      </c>
      <c r="B4448">
        <f>Sinistrés!J4453</f>
        <v>793.65</v>
      </c>
      <c r="C4448">
        <f>Sinistrés!X4453</f>
        <v>460.1</v>
      </c>
      <c r="D4448">
        <f>Sinistrés!L4453</f>
        <v>1.3</v>
      </c>
      <c r="E4448">
        <f>Sinistrés!M4453</f>
        <v>1</v>
      </c>
      <c r="F4448">
        <f t="shared" si="138"/>
        <v>0.57972657972657982</v>
      </c>
      <c r="G4448">
        <f t="shared" si="139"/>
        <v>0.76923076923076916</v>
      </c>
    </row>
    <row r="4449" spans="1:7">
      <c r="A4449" t="str">
        <f>Sinistrés!H4454</f>
        <v>Maïs grain irrigué</v>
      </c>
      <c r="B4449">
        <f>Sinistrés!J4454</f>
        <v>73783.14</v>
      </c>
      <c r="C4449">
        <f>Sinistrés!X4454</f>
        <v>12868</v>
      </c>
      <c r="D4449">
        <f>Sinistrés!L4454</f>
        <v>37.090000000000003</v>
      </c>
      <c r="E4449">
        <f>Sinistrés!M4454</f>
        <v>37.090000000000003</v>
      </c>
      <c r="F4449">
        <f t="shared" si="138"/>
        <v>0.17440298691543896</v>
      </c>
      <c r="G4449">
        <f t="shared" si="139"/>
        <v>1</v>
      </c>
    </row>
    <row r="4450" spans="1:7">
      <c r="A4450" t="str">
        <f>Sinistrés!H4455</f>
        <v>Maïs grain irrigué</v>
      </c>
      <c r="B4450">
        <f>Sinistrés!J4455</f>
        <v>42909.2</v>
      </c>
      <c r="C4450">
        <f>Sinistrés!X4455</f>
        <v>7488.5</v>
      </c>
      <c r="D4450">
        <f>Sinistrés!L4455</f>
        <v>21.57</v>
      </c>
      <c r="E4450">
        <f>Sinistrés!M4455</f>
        <v>21.57</v>
      </c>
      <c r="F4450">
        <f t="shared" si="138"/>
        <v>0.17451968342453367</v>
      </c>
      <c r="G4450">
        <f t="shared" si="139"/>
        <v>1</v>
      </c>
    </row>
    <row r="4451" spans="1:7" hidden="1">
      <c r="A4451" t="str">
        <f>Sinistrés!H4456</f>
        <v>Maïs grain non irrigué</v>
      </c>
      <c r="B4451">
        <f>Sinistrés!J4456</f>
        <v>21276</v>
      </c>
      <c r="C4451">
        <f>Sinistrés!X4456</f>
        <v>0</v>
      </c>
      <c r="D4451">
        <f>Sinistrés!L4456</f>
        <v>9.85</v>
      </c>
      <c r="E4451">
        <f>Sinistrés!M4456</f>
        <v>9</v>
      </c>
      <c r="F4451">
        <f t="shared" si="138"/>
        <v>0</v>
      </c>
      <c r="G4451">
        <f t="shared" si="139"/>
        <v>0.91370558375634525</v>
      </c>
    </row>
    <row r="4452" spans="1:7">
      <c r="A4452" t="str">
        <f>Sinistrés!H4457</f>
        <v>Soja</v>
      </c>
      <c r="B4452">
        <f>Sinistrés!J4457</f>
        <v>16906.96</v>
      </c>
      <c r="C4452">
        <f>Sinistrés!X4457</f>
        <v>2687.37</v>
      </c>
      <c r="D4452">
        <f>Sinistrés!L4457</f>
        <v>18.16</v>
      </c>
      <c r="E4452">
        <f>Sinistrés!M4457</f>
        <v>18.16</v>
      </c>
      <c r="F4452">
        <f t="shared" si="138"/>
        <v>0.15895051505415522</v>
      </c>
      <c r="G4452">
        <f t="shared" si="139"/>
        <v>1</v>
      </c>
    </row>
    <row r="4453" spans="1:7" hidden="1">
      <c r="A4453" t="str">
        <f>Sinistrés!H4458</f>
        <v>Maïs grain non irrigué</v>
      </c>
      <c r="B4453">
        <f>Sinistrés!J4458</f>
        <v>30421.64</v>
      </c>
      <c r="C4453">
        <f>Sinistrés!X4458</f>
        <v>0</v>
      </c>
      <c r="D4453">
        <f>Sinistrés!L4458</f>
        <v>15.38</v>
      </c>
      <c r="E4453">
        <f>Sinistrés!M4458</f>
        <v>15.38</v>
      </c>
      <c r="F4453">
        <f t="shared" si="138"/>
        <v>0</v>
      </c>
      <c r="G4453">
        <f t="shared" si="139"/>
        <v>1</v>
      </c>
    </row>
    <row r="4454" spans="1:7">
      <c r="A4454" t="str">
        <f>Sinistrés!H4459</f>
        <v>Soja</v>
      </c>
      <c r="B4454">
        <f>Sinistrés!J4459</f>
        <v>27470.400000000001</v>
      </c>
      <c r="C4454">
        <f>Sinistrés!X4459</f>
        <v>20754.12</v>
      </c>
      <c r="D4454">
        <f>Sinistrés!L4459</f>
        <v>19.399999999999999</v>
      </c>
      <c r="E4454">
        <f>Sinistrés!M4459</f>
        <v>19.399999999999999</v>
      </c>
      <c r="F4454">
        <f t="shared" si="138"/>
        <v>0.75550847457627113</v>
      </c>
      <c r="G4454">
        <f t="shared" si="139"/>
        <v>1</v>
      </c>
    </row>
    <row r="4455" spans="1:7" hidden="1">
      <c r="A4455" t="str">
        <f>Sinistrés!H4460</f>
        <v>Tournesol</v>
      </c>
      <c r="B4455">
        <f>Sinistrés!J4460</f>
        <v>9534.49</v>
      </c>
      <c r="C4455">
        <f>Sinistrés!X4460</f>
        <v>0</v>
      </c>
      <c r="D4455">
        <f>Sinistrés!L4460</f>
        <v>11.06</v>
      </c>
      <c r="E4455">
        <f>Sinistrés!M4460</f>
        <v>11.06</v>
      </c>
      <c r="F4455">
        <f t="shared" si="138"/>
        <v>0</v>
      </c>
      <c r="G4455">
        <f t="shared" si="139"/>
        <v>1</v>
      </c>
    </row>
    <row r="4456" spans="1:7" hidden="1">
      <c r="A4456" t="str">
        <f>Sinistrés!H4461</f>
        <v>Maïs grain non irrigué</v>
      </c>
      <c r="B4456">
        <f>Sinistrés!J4461</f>
        <v>20519.64</v>
      </c>
      <c r="C4456">
        <f>Sinistrés!X4461</f>
        <v>0</v>
      </c>
      <c r="D4456">
        <f>Sinistrés!L4461</f>
        <v>11.73</v>
      </c>
      <c r="E4456">
        <f>Sinistrés!M4461</f>
        <v>11.73</v>
      </c>
      <c r="F4456">
        <f t="shared" si="138"/>
        <v>0</v>
      </c>
      <c r="G4456">
        <f t="shared" si="139"/>
        <v>1</v>
      </c>
    </row>
    <row r="4457" spans="1:7" hidden="1">
      <c r="A4457" t="str">
        <f>Sinistrés!H4462</f>
        <v>Betteraves industrielles</v>
      </c>
      <c r="B4457">
        <f>Sinistrés!J4462</f>
        <v>43235.39</v>
      </c>
      <c r="C4457">
        <f>Sinistrés!X4462</f>
        <v>0</v>
      </c>
      <c r="D4457">
        <f>Sinistrés!L4462</f>
        <v>22.06</v>
      </c>
      <c r="E4457">
        <f>Sinistrés!M4462</f>
        <v>22.06</v>
      </c>
      <c r="F4457">
        <f t="shared" si="138"/>
        <v>0</v>
      </c>
      <c r="G4457">
        <f t="shared" si="139"/>
        <v>1</v>
      </c>
    </row>
    <row r="4458" spans="1:7">
      <c r="A4458" t="str">
        <f>Sinistrés!H4463</f>
        <v>Maïs grain non irrigué</v>
      </c>
      <c r="B4458">
        <f>Sinistrés!J4463</f>
        <v>16552.8</v>
      </c>
      <c r="C4458">
        <f>Sinistrés!X4463</f>
        <v>4871.79</v>
      </c>
      <c r="D4458">
        <f>Sinistrés!L4463</f>
        <v>9</v>
      </c>
      <c r="E4458">
        <f>Sinistrés!M4463</f>
        <v>9</v>
      </c>
      <c r="F4458">
        <f t="shared" si="138"/>
        <v>0.29431818181818181</v>
      </c>
      <c r="G4458">
        <f t="shared" si="139"/>
        <v>1</v>
      </c>
    </row>
    <row r="4459" spans="1:7" hidden="1">
      <c r="A4459" t="str">
        <f>Sinistrés!H4464</f>
        <v>Maïs waxy non irrigué</v>
      </c>
      <c r="B4459">
        <f>Sinistrés!J4464</f>
        <v>27588</v>
      </c>
      <c r="C4459">
        <f>Sinistrés!X4464</f>
        <v>0</v>
      </c>
      <c r="D4459">
        <f>Sinistrés!L4464</f>
        <v>15</v>
      </c>
      <c r="E4459">
        <f>Sinistrés!M4464</f>
        <v>15</v>
      </c>
      <c r="F4459">
        <f t="shared" si="138"/>
        <v>0</v>
      </c>
      <c r="G4459">
        <f t="shared" si="139"/>
        <v>1</v>
      </c>
    </row>
    <row r="4460" spans="1:7" hidden="1">
      <c r="A4460" t="str">
        <f>Sinistrés!H4465</f>
        <v>Maïs grain non irrigué</v>
      </c>
      <c r="B4460">
        <f>Sinistrés!J4465</f>
        <v>10381.65</v>
      </c>
      <c r="C4460">
        <f>Sinistrés!X4465</f>
        <v>0</v>
      </c>
      <c r="D4460">
        <f>Sinistrés!L4465</f>
        <v>6.7</v>
      </c>
      <c r="E4460">
        <f>Sinistrés!M4465</f>
        <v>6.7</v>
      </c>
      <c r="F4460">
        <f t="shared" si="138"/>
        <v>0</v>
      </c>
      <c r="G4460">
        <f t="shared" si="139"/>
        <v>1</v>
      </c>
    </row>
    <row r="4461" spans="1:7" hidden="1">
      <c r="A4461" t="str">
        <f>Sinistrés!H4466</f>
        <v>Soja</v>
      </c>
      <c r="B4461">
        <f>Sinistrés!J4466</f>
        <v>2122.16</v>
      </c>
      <c r="C4461">
        <f>Sinistrés!X4466</f>
        <v>0</v>
      </c>
      <c r="D4461">
        <f>Sinistrés!L4466</f>
        <v>2.2000000000000002</v>
      </c>
      <c r="E4461">
        <f>Sinistrés!M4466</f>
        <v>2.2000000000000002</v>
      </c>
      <c r="F4461">
        <f t="shared" si="138"/>
        <v>0</v>
      </c>
      <c r="G4461">
        <f t="shared" si="139"/>
        <v>1</v>
      </c>
    </row>
    <row r="4462" spans="1:7" hidden="1">
      <c r="A4462" t="str">
        <f>Sinistrés!H4467</f>
        <v>Soja BIO</v>
      </c>
      <c r="B4462">
        <f>Sinistrés!J4467</f>
        <v>208630.5</v>
      </c>
      <c r="C4462">
        <f>Sinistrés!X4467</f>
        <v>56469.32</v>
      </c>
      <c r="D4462">
        <f>Sinistrés!L4467</f>
        <v>106.99</v>
      </c>
      <c r="E4462">
        <f>Sinistrés!M4467</f>
        <v>106.99</v>
      </c>
      <c r="F4462">
        <f t="shared" si="138"/>
        <v>0.2706666570803406</v>
      </c>
      <c r="G4462">
        <f t="shared" si="139"/>
        <v>1</v>
      </c>
    </row>
    <row r="4463" spans="1:7" hidden="1">
      <c r="A4463" t="str">
        <f>Sinistrés!H4468</f>
        <v>Tournesol BIO</v>
      </c>
      <c r="B4463">
        <f>Sinistrés!J4468</f>
        <v>115551.61</v>
      </c>
      <c r="C4463">
        <f>Sinistrés!X4468</f>
        <v>24843.599999999999</v>
      </c>
      <c r="D4463">
        <f>Sinistrés!L4468</f>
        <v>99.22</v>
      </c>
      <c r="E4463">
        <f>Sinistrés!M4468</f>
        <v>99.22</v>
      </c>
      <c r="F4463">
        <f t="shared" si="138"/>
        <v>0.2150000333184453</v>
      </c>
      <c r="G4463">
        <f t="shared" si="139"/>
        <v>1</v>
      </c>
    </row>
    <row r="4464" spans="1:7" hidden="1">
      <c r="A4464" t="str">
        <f>Sinistrés!H4469</f>
        <v>Tournesol BIO</v>
      </c>
      <c r="B4464">
        <f>Sinistrés!J4469</f>
        <v>38967.519999999997</v>
      </c>
      <c r="C4464">
        <f>Sinistrés!X4469</f>
        <v>8702.75</v>
      </c>
      <c r="D4464">
        <f>Sinistrés!L4469</f>
        <v>33.46</v>
      </c>
      <c r="E4464">
        <f>Sinistrés!M4469</f>
        <v>33.46</v>
      </c>
      <c r="F4464">
        <f t="shared" si="138"/>
        <v>0.22333343256127156</v>
      </c>
      <c r="G4464">
        <f t="shared" si="139"/>
        <v>1</v>
      </c>
    </row>
    <row r="4465" spans="1:7" hidden="1">
      <c r="A4465" t="str">
        <f>Sinistrés!H4470</f>
        <v>Maïs grain non irrigué</v>
      </c>
      <c r="B4465">
        <f>Sinistrés!J4470</f>
        <v>56501.760000000002</v>
      </c>
      <c r="C4465">
        <f>Sinistrés!X4470</f>
        <v>0</v>
      </c>
      <c r="D4465">
        <f>Sinistrés!L4470</f>
        <v>31.53</v>
      </c>
      <c r="E4465">
        <f>Sinistrés!M4470</f>
        <v>31.53</v>
      </c>
      <c r="F4465">
        <f t="shared" si="138"/>
        <v>0</v>
      </c>
      <c r="G4465">
        <f t="shared" si="139"/>
        <v>1</v>
      </c>
    </row>
    <row r="4466" spans="1:7" hidden="1">
      <c r="A4466" t="str">
        <f>Sinistrés!H4471</f>
        <v>Tournesol</v>
      </c>
      <c r="B4466">
        <f>Sinistrés!J4471</f>
        <v>82176.81</v>
      </c>
      <c r="C4466">
        <f>Sinistrés!X4471</f>
        <v>0</v>
      </c>
      <c r="D4466">
        <f>Sinistrés!L4471</f>
        <v>45.73</v>
      </c>
      <c r="E4466">
        <f>Sinistrés!M4471</f>
        <v>45.73</v>
      </c>
      <c r="F4466">
        <f t="shared" si="138"/>
        <v>0</v>
      </c>
      <c r="G4466">
        <f t="shared" si="139"/>
        <v>1</v>
      </c>
    </row>
    <row r="4467" spans="1:7">
      <c r="A4467" t="str">
        <f>Sinistrés!H4472</f>
        <v>Maïs grain non irrigué</v>
      </c>
      <c r="B4467">
        <f>Sinistrés!J4472</f>
        <v>4173.12</v>
      </c>
      <c r="C4467">
        <f>Sinistrés!X4472</f>
        <v>501.98</v>
      </c>
      <c r="D4467">
        <f>Sinistrés!L4472</f>
        <v>2.4</v>
      </c>
      <c r="E4467">
        <f>Sinistrés!M4472</f>
        <v>2.4</v>
      </c>
      <c r="F4467">
        <f t="shared" si="138"/>
        <v>0.12028889655701251</v>
      </c>
      <c r="G4467">
        <f t="shared" si="139"/>
        <v>1</v>
      </c>
    </row>
    <row r="4468" spans="1:7">
      <c r="A4468" t="str">
        <f>Sinistrés!H4473</f>
        <v>Maïs waxy non irrigué</v>
      </c>
      <c r="B4468">
        <f>Sinistrés!J4473</f>
        <v>18240.009999999998</v>
      </c>
      <c r="C4468">
        <f>Sinistrés!X4473</f>
        <v>7103.41</v>
      </c>
      <c r="D4468">
        <f>Sinistrés!L4473</f>
        <v>10.49</v>
      </c>
      <c r="E4468">
        <f>Sinistrés!M4473</f>
        <v>10.49</v>
      </c>
      <c r="F4468">
        <f t="shared" si="138"/>
        <v>0.38944112420991001</v>
      </c>
      <c r="G4468">
        <f t="shared" si="139"/>
        <v>1</v>
      </c>
    </row>
    <row r="4469" spans="1:7" hidden="1">
      <c r="A4469" t="str">
        <f>Sinistrés!H4474</f>
        <v>Tournesol</v>
      </c>
      <c r="B4469">
        <f>Sinistrés!J4474</f>
        <v>20007.400000000001</v>
      </c>
      <c r="C4469">
        <f>Sinistrés!X4474</f>
        <v>0</v>
      </c>
      <c r="D4469">
        <f>Sinistrés!L4474</f>
        <v>20</v>
      </c>
      <c r="E4469">
        <f>Sinistrés!M4474</f>
        <v>20</v>
      </c>
      <c r="F4469">
        <f t="shared" si="138"/>
        <v>0</v>
      </c>
      <c r="G4469">
        <f t="shared" si="139"/>
        <v>1</v>
      </c>
    </row>
    <row r="4470" spans="1:7">
      <c r="A4470" t="str">
        <f>Sinistrés!H4475</f>
        <v>Soja</v>
      </c>
      <c r="B4470">
        <f>Sinistrés!J4475</f>
        <v>6916.56</v>
      </c>
      <c r="C4470">
        <f>Sinistrés!X4475</f>
        <v>3258.84</v>
      </c>
      <c r="D4470">
        <f>Sinistrés!L4475</f>
        <v>7.4</v>
      </c>
      <c r="E4470">
        <f>Sinistrés!M4475</f>
        <v>7.4</v>
      </c>
      <c r="F4470">
        <f t="shared" si="138"/>
        <v>0.47116485651826917</v>
      </c>
      <c r="G4470">
        <f t="shared" si="139"/>
        <v>1</v>
      </c>
    </row>
    <row r="4471" spans="1:7">
      <c r="A4471" t="str">
        <f>Sinistrés!H4476</f>
        <v>Maïs waxy non irrigué</v>
      </c>
      <c r="B4471">
        <f>Sinistrés!J4476</f>
        <v>27188.55</v>
      </c>
      <c r="C4471">
        <f>Sinistrés!X4476</f>
        <v>12940.06</v>
      </c>
      <c r="D4471">
        <f>Sinistrés!L4476</f>
        <v>18.100000000000001</v>
      </c>
      <c r="E4471">
        <f>Sinistrés!M4476</f>
        <v>9.84</v>
      </c>
      <c r="F4471">
        <f t="shared" si="138"/>
        <v>0.47593784883710238</v>
      </c>
      <c r="G4471">
        <f t="shared" si="139"/>
        <v>0.54364640883977899</v>
      </c>
    </row>
    <row r="4472" spans="1:7" hidden="1">
      <c r="A4472" t="str">
        <f>Sinistrés!H4477</f>
        <v>Soja</v>
      </c>
      <c r="B4472">
        <f>Sinistrés!J4477</f>
        <v>43134.66</v>
      </c>
      <c r="C4472">
        <f>Sinistrés!X4477</f>
        <v>0</v>
      </c>
      <c r="D4472">
        <f>Sinistrés!L4477</f>
        <v>34.729999999999997</v>
      </c>
      <c r="E4472">
        <f>Sinistrés!M4477</f>
        <v>34.729999999999997</v>
      </c>
      <c r="F4472">
        <f t="shared" si="138"/>
        <v>0</v>
      </c>
      <c r="G4472">
        <f t="shared" si="139"/>
        <v>1</v>
      </c>
    </row>
    <row r="4473" spans="1:7" hidden="1">
      <c r="A4473" t="str">
        <f>Sinistrés!H4478</f>
        <v>Maïs grain irrigué</v>
      </c>
      <c r="B4473">
        <f>Sinistrés!J4478</f>
        <v>25505.51</v>
      </c>
      <c r="C4473">
        <f>Sinistrés!X4478</f>
        <v>0</v>
      </c>
      <c r="D4473">
        <f>Sinistrés!L4478</f>
        <v>13.11</v>
      </c>
      <c r="E4473">
        <f>Sinistrés!M4478</f>
        <v>13.11</v>
      </c>
      <c r="F4473">
        <f t="shared" si="138"/>
        <v>0</v>
      </c>
      <c r="G4473">
        <f t="shared" si="139"/>
        <v>1</v>
      </c>
    </row>
    <row r="4474" spans="1:7" hidden="1">
      <c r="A4474" t="str">
        <f>Sinistrés!H4479</f>
        <v>Maïs grain irrigué</v>
      </c>
      <c r="B4474">
        <f>Sinistrés!J4479</f>
        <v>19265.23</v>
      </c>
      <c r="C4474">
        <f>Sinistrés!X4479</f>
        <v>0</v>
      </c>
      <c r="D4474">
        <f>Sinistrés!L4479</f>
        <v>13.34</v>
      </c>
      <c r="E4474">
        <f>Sinistrés!M4479</f>
        <v>13.34</v>
      </c>
      <c r="F4474">
        <f t="shared" si="138"/>
        <v>0</v>
      </c>
      <c r="G4474">
        <f t="shared" si="139"/>
        <v>1</v>
      </c>
    </row>
    <row r="4475" spans="1:7">
      <c r="A4475" t="str">
        <f>Sinistrés!H4480</f>
        <v>Maïs grain non irrigué</v>
      </c>
      <c r="B4475">
        <f>Sinistrés!J4480</f>
        <v>6975.07</v>
      </c>
      <c r="C4475">
        <f>Sinistrés!X4480</f>
        <v>2819.58</v>
      </c>
      <c r="D4475">
        <f>Sinistrés!L4480</f>
        <v>4.32</v>
      </c>
      <c r="E4475">
        <f>Sinistrés!M4480</f>
        <v>4.32</v>
      </c>
      <c r="F4475">
        <f t="shared" si="138"/>
        <v>0.40423680335824586</v>
      </c>
      <c r="G4475">
        <f t="shared" si="139"/>
        <v>1</v>
      </c>
    </row>
    <row r="4476" spans="1:7" hidden="1">
      <c r="A4476" t="str">
        <f>Sinistrés!H4481</f>
        <v>Tournesol</v>
      </c>
      <c r="B4476">
        <f>Sinistrés!J4481</f>
        <v>11583.6</v>
      </c>
      <c r="C4476">
        <f>Sinistrés!X4481</f>
        <v>0</v>
      </c>
      <c r="D4476">
        <f>Sinistrés!L4481</f>
        <v>13.79</v>
      </c>
      <c r="E4476">
        <f>Sinistrés!M4481</f>
        <v>13.79</v>
      </c>
      <c r="F4476">
        <f t="shared" si="138"/>
        <v>0</v>
      </c>
      <c r="G4476">
        <f t="shared" si="139"/>
        <v>1</v>
      </c>
    </row>
    <row r="4477" spans="1:7" hidden="1">
      <c r="A4477" t="str">
        <f>Sinistrés!H4482</f>
        <v>Maïs grain irrigué</v>
      </c>
      <c r="B4477">
        <f>Sinistrés!J4482</f>
        <v>28344.78</v>
      </c>
      <c r="C4477">
        <f>Sinistrés!X4482</f>
        <v>0</v>
      </c>
      <c r="D4477">
        <f>Sinistrés!L4482</f>
        <v>15.7</v>
      </c>
      <c r="E4477">
        <f>Sinistrés!M4482</f>
        <v>15.7</v>
      </c>
      <c r="F4477">
        <f t="shared" si="138"/>
        <v>0</v>
      </c>
      <c r="G4477">
        <f t="shared" si="139"/>
        <v>1</v>
      </c>
    </row>
    <row r="4478" spans="1:7">
      <c r="A4478" t="str">
        <f>Sinistrés!H4483</f>
        <v>Maïs grain non irrigué</v>
      </c>
      <c r="B4478">
        <f>Sinistrés!J4483</f>
        <v>24650.14</v>
      </c>
      <c r="C4478">
        <f>Sinistrés!X4483</f>
        <v>4816.07</v>
      </c>
      <c r="D4478">
        <f>Sinistrés!L4483</f>
        <v>17.64</v>
      </c>
      <c r="E4478">
        <f>Sinistrés!M4483</f>
        <v>17.64</v>
      </c>
      <c r="F4478">
        <f t="shared" si="138"/>
        <v>0.19537698366013337</v>
      </c>
      <c r="G4478">
        <f t="shared" si="139"/>
        <v>1</v>
      </c>
    </row>
    <row r="4479" spans="1:7">
      <c r="A4479" t="str">
        <f>Sinistrés!H4484</f>
        <v>Maïs grain non irrigué</v>
      </c>
      <c r="B4479">
        <f>Sinistrés!J4484</f>
        <v>25389.7</v>
      </c>
      <c r="C4479">
        <f>Sinistrés!X4484</f>
        <v>4259.5</v>
      </c>
      <c r="D4479">
        <f>Sinistrés!L4484</f>
        <v>16.600000000000001</v>
      </c>
      <c r="E4479">
        <f>Sinistrés!M4484</f>
        <v>16.600000000000001</v>
      </c>
      <c r="F4479">
        <f t="shared" si="138"/>
        <v>0.16776488103443521</v>
      </c>
      <c r="G4479">
        <f t="shared" si="139"/>
        <v>1</v>
      </c>
    </row>
    <row r="4480" spans="1:7">
      <c r="A4480" t="str">
        <f>Sinistrés!H4485</f>
        <v>Maïs grain non irrigué</v>
      </c>
      <c r="B4480">
        <f>Sinistrés!J4485</f>
        <v>13712.19</v>
      </c>
      <c r="C4480">
        <f>Sinistrés!X4485</f>
        <v>3936.83</v>
      </c>
      <c r="D4480">
        <f>Sinistrés!L4485</f>
        <v>10.11</v>
      </c>
      <c r="E4480">
        <f>Sinistrés!M4485</f>
        <v>10.11</v>
      </c>
      <c r="F4480">
        <f t="shared" si="138"/>
        <v>0.28710439397353738</v>
      </c>
      <c r="G4480">
        <f t="shared" si="139"/>
        <v>1</v>
      </c>
    </row>
    <row r="4481" spans="1:7">
      <c r="A4481" t="str">
        <f>Sinistrés!H4486</f>
        <v>Maïs grain irrigué</v>
      </c>
      <c r="B4481">
        <f>Sinistrés!J4486</f>
        <v>16272.35</v>
      </c>
      <c r="C4481">
        <f>Sinistrés!X4486</f>
        <v>9381.4500000000007</v>
      </c>
      <c r="D4481">
        <f>Sinistrés!L4486</f>
        <v>8.99</v>
      </c>
      <c r="E4481">
        <f>Sinistrés!M4486</f>
        <v>8.99</v>
      </c>
      <c r="F4481">
        <f t="shared" si="138"/>
        <v>0.5765270535601803</v>
      </c>
      <c r="G4481">
        <f t="shared" si="139"/>
        <v>1</v>
      </c>
    </row>
    <row r="4482" spans="1:7" hidden="1">
      <c r="A4482" t="str">
        <f>Sinistrés!H4487</f>
        <v>Maïs grain non irrigué</v>
      </c>
      <c r="B4482">
        <f>Sinistrés!J4487</f>
        <v>5908.32</v>
      </c>
      <c r="C4482">
        <f>Sinistrés!X4487</f>
        <v>0</v>
      </c>
      <c r="D4482">
        <f>Sinistrés!L4487</f>
        <v>4.8</v>
      </c>
      <c r="E4482">
        <f>Sinistrés!M4487</f>
        <v>4.8</v>
      </c>
      <c r="F4482">
        <f t="shared" si="138"/>
        <v>0</v>
      </c>
      <c r="G4482">
        <f t="shared" si="139"/>
        <v>1</v>
      </c>
    </row>
    <row r="4483" spans="1:7" hidden="1">
      <c r="A4483" t="str">
        <f>Sinistrés!H4488</f>
        <v>Maïs grain irrigué</v>
      </c>
      <c r="B4483">
        <f>Sinistrés!J4488</f>
        <v>165974.9</v>
      </c>
      <c r="C4483">
        <f>Sinistrés!X4488</f>
        <v>0</v>
      </c>
      <c r="D4483">
        <f>Sinistrés!L4488</f>
        <v>61</v>
      </c>
      <c r="E4483">
        <f>Sinistrés!M4488</f>
        <v>61</v>
      </c>
      <c r="F4483">
        <f t="shared" ref="F4483:F4546" si="140">C4483/B4483</f>
        <v>0</v>
      </c>
      <c r="G4483">
        <f t="shared" ref="G4483:G4546" si="141">E4483/D4483</f>
        <v>1</v>
      </c>
    </row>
    <row r="4484" spans="1:7">
      <c r="A4484" t="str">
        <f>Sinistrés!H4489</f>
        <v>Maïs grain non irrigué</v>
      </c>
      <c r="B4484">
        <f>Sinistrés!J4489</f>
        <v>31202.81</v>
      </c>
      <c r="C4484">
        <f>Sinistrés!X4489</f>
        <v>5132.67</v>
      </c>
      <c r="D4484">
        <f>Sinistrés!L4489</f>
        <v>23.66</v>
      </c>
      <c r="E4484">
        <f>Sinistrés!M4489</f>
        <v>23.66</v>
      </c>
      <c r="F4484">
        <f t="shared" si="140"/>
        <v>0.16449383885617994</v>
      </c>
      <c r="G4484">
        <f t="shared" si="141"/>
        <v>1</v>
      </c>
    </row>
    <row r="4485" spans="1:7">
      <c r="A4485" t="str">
        <f>Sinistrés!H4490</f>
        <v>Tournesol</v>
      </c>
      <c r="B4485">
        <f>Sinistrés!J4490</f>
        <v>21967.8</v>
      </c>
      <c r="C4485">
        <f>Sinistrés!X4490</f>
        <v>1830.65</v>
      </c>
      <c r="D4485">
        <f>Sinistrés!L4490</f>
        <v>19.27</v>
      </c>
      <c r="E4485">
        <f>Sinistrés!M4490</f>
        <v>19.27</v>
      </c>
      <c r="F4485">
        <f t="shared" si="140"/>
        <v>8.3333333333333343E-2</v>
      </c>
      <c r="G4485">
        <f t="shared" si="141"/>
        <v>1</v>
      </c>
    </row>
    <row r="4486" spans="1:7">
      <c r="A4486" t="str">
        <f>Sinistrés!H4491</f>
        <v>Maïs grain irrigué</v>
      </c>
      <c r="B4486">
        <f>Sinistrés!J4491</f>
        <v>55608</v>
      </c>
      <c r="C4486">
        <f>Sinistrés!X4491</f>
        <v>18057.2</v>
      </c>
      <c r="D4486">
        <f>Sinistrés!L4491</f>
        <v>28</v>
      </c>
      <c r="E4486">
        <f>Sinistrés!M4491</f>
        <v>28</v>
      </c>
      <c r="F4486">
        <f t="shared" si="140"/>
        <v>0.32472306143001006</v>
      </c>
      <c r="G4486">
        <f t="shared" si="141"/>
        <v>1</v>
      </c>
    </row>
    <row r="4487" spans="1:7" hidden="1">
      <c r="A4487" t="str">
        <f>Sinistrés!H4492</f>
        <v>Maïs grain non irrigué</v>
      </c>
      <c r="B4487">
        <f>Sinistrés!J4492</f>
        <v>48721.25</v>
      </c>
      <c r="C4487">
        <f>Sinistrés!X4492</f>
        <v>0</v>
      </c>
      <c r="D4487">
        <f>Sinistrés!L4492</f>
        <v>36.369999999999997</v>
      </c>
      <c r="E4487">
        <f>Sinistrés!M4492</f>
        <v>36.369999999999997</v>
      </c>
      <c r="F4487">
        <f t="shared" si="140"/>
        <v>0</v>
      </c>
      <c r="G4487">
        <f t="shared" si="141"/>
        <v>1</v>
      </c>
    </row>
    <row r="4488" spans="1:7" hidden="1">
      <c r="A4488" t="str">
        <f>Sinistrés!H4493</f>
        <v>Maïs grain irrigué</v>
      </c>
      <c r="B4488">
        <f>Sinistrés!J4493</f>
        <v>48867.1</v>
      </c>
      <c r="C4488">
        <f>Sinistrés!X4493</f>
        <v>0</v>
      </c>
      <c r="D4488">
        <f>Sinistrés!L4493</f>
        <v>26.59</v>
      </c>
      <c r="E4488">
        <f>Sinistrés!M4493</f>
        <v>26.59</v>
      </c>
      <c r="F4488">
        <f t="shared" si="140"/>
        <v>0</v>
      </c>
      <c r="G4488">
        <f t="shared" si="141"/>
        <v>1</v>
      </c>
    </row>
    <row r="4489" spans="1:7" hidden="1">
      <c r="A4489" t="str">
        <f>Sinistrés!H4494</f>
        <v>Maïs pop corn irrigué</v>
      </c>
      <c r="B4489">
        <f>Sinistrés!J4494</f>
        <v>14000.7</v>
      </c>
      <c r="C4489">
        <f>Sinistrés!X4494</f>
        <v>0</v>
      </c>
      <c r="D4489">
        <f>Sinistrés!L4494</f>
        <v>11.3</v>
      </c>
      <c r="E4489">
        <f>Sinistrés!M4494</f>
        <v>11.3</v>
      </c>
      <c r="F4489">
        <f t="shared" si="140"/>
        <v>0</v>
      </c>
      <c r="G4489">
        <f t="shared" si="141"/>
        <v>1</v>
      </c>
    </row>
    <row r="4490" spans="1:7">
      <c r="A4490" t="str">
        <f>Sinistrés!H4495</f>
        <v>Tournesol</v>
      </c>
      <c r="B4490">
        <f>Sinistrés!J4495</f>
        <v>14234.64</v>
      </c>
      <c r="C4490">
        <f>Sinistrés!X4495</f>
        <v>2891.81</v>
      </c>
      <c r="D4490">
        <f>Sinistrés!L4495</f>
        <v>18.32</v>
      </c>
      <c r="E4490">
        <f>Sinistrés!M4495</f>
        <v>18.32</v>
      </c>
      <c r="F4490">
        <f t="shared" si="140"/>
        <v>0.20315301265082925</v>
      </c>
      <c r="G4490">
        <f t="shared" si="141"/>
        <v>1</v>
      </c>
    </row>
    <row r="4491" spans="1:7">
      <c r="A4491" t="str">
        <f>Sinistrés!H4496</f>
        <v>Soja</v>
      </c>
      <c r="B4491">
        <f>Sinistrés!J4496</f>
        <v>3385.2</v>
      </c>
      <c r="C4491">
        <f>Sinistrés!X4496</f>
        <v>1879.8</v>
      </c>
      <c r="D4491">
        <f>Sinistrés!L4496</f>
        <v>5.2</v>
      </c>
      <c r="E4491">
        <f>Sinistrés!M4496</f>
        <v>5.2</v>
      </c>
      <c r="F4491">
        <f t="shared" si="140"/>
        <v>0.5552995391705069</v>
      </c>
      <c r="G4491">
        <f t="shared" si="141"/>
        <v>1</v>
      </c>
    </row>
    <row r="4492" spans="1:7">
      <c r="A4492" t="str">
        <f>Sinistrés!H4497</f>
        <v>Maïs grain non irrigué</v>
      </c>
      <c r="B4492">
        <f>Sinistrés!J4497</f>
        <v>22456.1</v>
      </c>
      <c r="C4492">
        <f>Sinistrés!X4497</f>
        <v>9109.5499999999993</v>
      </c>
      <c r="D4492">
        <f>Sinistrés!L4497</f>
        <v>11.15</v>
      </c>
      <c r="E4492">
        <f>Sinistrés!M4497</f>
        <v>11.15</v>
      </c>
      <c r="F4492">
        <f t="shared" si="140"/>
        <v>0.40566037735849059</v>
      </c>
      <c r="G4492">
        <f t="shared" si="141"/>
        <v>1</v>
      </c>
    </row>
    <row r="4493" spans="1:7">
      <c r="A4493" t="str">
        <f>Sinistrés!H4498</f>
        <v>Maïs waxy non irrigué</v>
      </c>
      <c r="B4493">
        <f>Sinistrés!J4498</f>
        <v>71658.12</v>
      </c>
      <c r="C4493">
        <f>Sinistrés!X4498</f>
        <v>32381.360000000001</v>
      </c>
      <c r="D4493">
        <f>Sinistrés!L4498</f>
        <v>35.58</v>
      </c>
      <c r="E4493">
        <f>Sinistrés!M4498</f>
        <v>35.380000000000003</v>
      </c>
      <c r="F4493">
        <f t="shared" si="140"/>
        <v>0.45188682036313543</v>
      </c>
      <c r="G4493">
        <f t="shared" si="141"/>
        <v>0.99437886453063529</v>
      </c>
    </row>
    <row r="4494" spans="1:7">
      <c r="A4494" t="str">
        <f>Sinistrés!H4499</f>
        <v>Maïs grain non irrigué</v>
      </c>
      <c r="B4494">
        <f>Sinistrés!J4499</f>
        <v>5518.34</v>
      </c>
      <c r="C4494">
        <f>Sinistrés!X4499</f>
        <v>1441.47</v>
      </c>
      <c r="D4494">
        <f>Sinistrés!L4499</f>
        <v>5.78</v>
      </c>
      <c r="E4494">
        <f>Sinistrés!M4499</f>
        <v>5.78</v>
      </c>
      <c r="F4494">
        <f t="shared" si="140"/>
        <v>0.26121442317798466</v>
      </c>
      <c r="G4494">
        <f t="shared" si="141"/>
        <v>1</v>
      </c>
    </row>
    <row r="4495" spans="1:7" hidden="1">
      <c r="A4495" t="str">
        <f>Sinistrés!H4500</f>
        <v>Tournesol</v>
      </c>
      <c r="B4495">
        <f>Sinistrés!J4500</f>
        <v>8507.48</v>
      </c>
      <c r="C4495">
        <f>Sinistrés!X4500</f>
        <v>0</v>
      </c>
      <c r="D4495">
        <f>Sinistrés!L4500</f>
        <v>11.68</v>
      </c>
      <c r="E4495">
        <f>Sinistrés!M4500</f>
        <v>11.68</v>
      </c>
      <c r="F4495">
        <f t="shared" si="140"/>
        <v>0</v>
      </c>
      <c r="G4495">
        <f t="shared" si="141"/>
        <v>1</v>
      </c>
    </row>
    <row r="4496" spans="1:7" hidden="1">
      <c r="A4496" t="str">
        <f>Sinistrés!H4501</f>
        <v>Maïs grain non irrigué</v>
      </c>
      <c r="B4496">
        <f>Sinistrés!J4501</f>
        <v>8946.14</v>
      </c>
      <c r="C4496">
        <f>Sinistrés!X4501</f>
        <v>0</v>
      </c>
      <c r="D4496">
        <f>Sinistrés!L4501</f>
        <v>5.83</v>
      </c>
      <c r="E4496">
        <f>Sinistrés!M4501</f>
        <v>5.83</v>
      </c>
      <c r="F4496">
        <f t="shared" si="140"/>
        <v>0</v>
      </c>
      <c r="G4496">
        <f t="shared" si="141"/>
        <v>1</v>
      </c>
    </row>
    <row r="4497" spans="1:7" hidden="1">
      <c r="A4497" t="str">
        <f>Sinistrés!H4502</f>
        <v>Tournesol BIO</v>
      </c>
      <c r="B4497">
        <f>Sinistrés!J4502</f>
        <v>12342</v>
      </c>
      <c r="C4497">
        <f>Sinistrés!X4502</f>
        <v>0</v>
      </c>
      <c r="D4497">
        <f>Sinistrés!L4502</f>
        <v>11</v>
      </c>
      <c r="E4497">
        <f>Sinistrés!M4502</f>
        <v>11</v>
      </c>
      <c r="F4497">
        <f t="shared" si="140"/>
        <v>0</v>
      </c>
      <c r="G4497">
        <f t="shared" si="141"/>
        <v>1</v>
      </c>
    </row>
    <row r="4498" spans="1:7" hidden="1">
      <c r="A4498" t="str">
        <f>Sinistrés!H4503</f>
        <v>Soja BIO</v>
      </c>
      <c r="B4498">
        <f>Sinistrés!J4503</f>
        <v>16562</v>
      </c>
      <c r="C4498">
        <f>Sinistrés!X4503</f>
        <v>5787.6</v>
      </c>
      <c r="D4498">
        <f>Sinistrés!L4503</f>
        <v>13</v>
      </c>
      <c r="E4498">
        <f>Sinistrés!M4503</f>
        <v>13</v>
      </c>
      <c r="F4498">
        <f t="shared" si="140"/>
        <v>0.34945054945054949</v>
      </c>
      <c r="G4498">
        <f t="shared" si="141"/>
        <v>1</v>
      </c>
    </row>
    <row r="4499" spans="1:7" hidden="1">
      <c r="A4499" t="str">
        <f>Sinistrés!H4504</f>
        <v>Maïs grain non irrigué</v>
      </c>
      <c r="B4499">
        <f>Sinistrés!J4504</f>
        <v>33581.839999999997</v>
      </c>
      <c r="C4499">
        <f>Sinistrés!X4504</f>
        <v>0</v>
      </c>
      <c r="D4499">
        <f>Sinistrés!L4504</f>
        <v>22.37</v>
      </c>
      <c r="E4499">
        <f>Sinistrés!M4504</f>
        <v>22.37</v>
      </c>
      <c r="F4499">
        <f t="shared" si="140"/>
        <v>0</v>
      </c>
      <c r="G4499">
        <f t="shared" si="141"/>
        <v>1</v>
      </c>
    </row>
    <row r="4500" spans="1:7">
      <c r="A4500" t="str">
        <f>Sinistrés!H4505</f>
        <v>Soja</v>
      </c>
      <c r="B4500">
        <f>Sinistrés!J4505</f>
        <v>25650</v>
      </c>
      <c r="C4500">
        <f>Sinistrés!X4505</f>
        <v>472.5</v>
      </c>
      <c r="D4500">
        <f>Sinistrés!L4505</f>
        <v>18.75</v>
      </c>
      <c r="E4500">
        <f>Sinistrés!M4505</f>
        <v>18.75</v>
      </c>
      <c r="F4500">
        <f t="shared" si="140"/>
        <v>1.8421052631578946E-2</v>
      </c>
      <c r="G4500">
        <f t="shared" si="141"/>
        <v>1</v>
      </c>
    </row>
    <row r="4501" spans="1:7">
      <c r="A4501" t="str">
        <f>Sinistrés!H4506</f>
        <v>Maïs grain non irrigué</v>
      </c>
      <c r="B4501">
        <f>Sinistrés!J4506</f>
        <v>74168</v>
      </c>
      <c r="C4501">
        <f>Sinistrés!X4506</f>
        <v>31924.6</v>
      </c>
      <c r="D4501">
        <f>Sinistrés!L4506</f>
        <v>29.2</v>
      </c>
      <c r="E4501">
        <f>Sinistrés!M4506</f>
        <v>29.2</v>
      </c>
      <c r="F4501">
        <f t="shared" si="140"/>
        <v>0.43043630676302447</v>
      </c>
      <c r="G4501">
        <f t="shared" si="141"/>
        <v>1</v>
      </c>
    </row>
    <row r="4502" spans="1:7" hidden="1">
      <c r="A4502" t="str">
        <f>Sinistrés!H4507</f>
        <v>Maïs ensilage non irrigué</v>
      </c>
      <c r="B4502">
        <f>Sinistrés!J4507</f>
        <v>14353.5</v>
      </c>
      <c r="C4502">
        <f>Sinistrés!X4507</f>
        <v>0</v>
      </c>
      <c r="D4502">
        <f>Sinistrés!L4507</f>
        <v>10.5</v>
      </c>
      <c r="E4502">
        <f>Sinistrés!M4507</f>
        <v>10.5</v>
      </c>
      <c r="F4502">
        <f t="shared" si="140"/>
        <v>0</v>
      </c>
      <c r="G4502">
        <f t="shared" si="141"/>
        <v>1</v>
      </c>
    </row>
    <row r="4503" spans="1:7">
      <c r="A4503" t="str">
        <f>Sinistrés!H4508</f>
        <v>Maïs grain non irrigué</v>
      </c>
      <c r="B4503">
        <f>Sinistrés!J4508</f>
        <v>50031.68</v>
      </c>
      <c r="C4503">
        <f>Sinistrés!X4508</f>
        <v>10150.64</v>
      </c>
      <c r="D4503">
        <f>Sinistrés!L4508</f>
        <v>21.64</v>
      </c>
      <c r="E4503">
        <f>Sinistrés!M4508</f>
        <v>21.64</v>
      </c>
      <c r="F4503">
        <f t="shared" si="140"/>
        <v>0.20288425253759218</v>
      </c>
      <c r="G4503">
        <f t="shared" si="141"/>
        <v>1</v>
      </c>
    </row>
    <row r="4504" spans="1:7">
      <c r="A4504" t="str">
        <f>Sinistrés!H4509</f>
        <v>Maïs grain non irrigué</v>
      </c>
      <c r="B4504">
        <f>Sinistrés!J4509</f>
        <v>94137.51</v>
      </c>
      <c r="C4504">
        <f>Sinistrés!X4509</f>
        <v>43985.7</v>
      </c>
      <c r="D4504">
        <f>Sinistrés!L4509</f>
        <v>43.78</v>
      </c>
      <c r="E4504">
        <f>Sinistrés!M4509</f>
        <v>43.78</v>
      </c>
      <c r="F4504">
        <f t="shared" si="140"/>
        <v>0.46724945242337512</v>
      </c>
      <c r="G4504">
        <f t="shared" si="141"/>
        <v>1</v>
      </c>
    </row>
    <row r="4505" spans="1:7">
      <c r="A4505" t="str">
        <f>Sinistrés!H4510</f>
        <v>Maïs grain non irrigué</v>
      </c>
      <c r="B4505">
        <f>Sinistrés!J4510</f>
        <v>151742.44</v>
      </c>
      <c r="C4505">
        <f>Sinistrés!X4510</f>
        <v>75490.48</v>
      </c>
      <c r="D4505">
        <f>Sinistrés!L4510</f>
        <v>70.569999999999993</v>
      </c>
      <c r="E4505">
        <f>Sinistrés!M4510</f>
        <v>70.569999999999993</v>
      </c>
      <c r="F4505">
        <f t="shared" si="140"/>
        <v>0.49749087994103691</v>
      </c>
      <c r="G4505">
        <f t="shared" si="141"/>
        <v>1</v>
      </c>
    </row>
    <row r="4506" spans="1:7">
      <c r="A4506" t="str">
        <f>Sinistrés!H4511</f>
        <v>Maïs waxy non irrigué</v>
      </c>
      <c r="B4506">
        <f>Sinistrés!J4511</f>
        <v>18231.07</v>
      </c>
      <c r="C4506">
        <f>Sinistrés!X4511</f>
        <v>6595.06</v>
      </c>
      <c r="D4506">
        <f>Sinistrés!L4511</f>
        <v>7.93</v>
      </c>
      <c r="E4506">
        <f>Sinistrés!M4511</f>
        <v>7.93</v>
      </c>
      <c r="F4506">
        <f t="shared" si="140"/>
        <v>0.36174837790650799</v>
      </c>
      <c r="G4506">
        <f t="shared" si="141"/>
        <v>1</v>
      </c>
    </row>
    <row r="4507" spans="1:7">
      <c r="A4507" t="str">
        <f>Sinistrés!H4512</f>
        <v>Soja</v>
      </c>
      <c r="B4507">
        <f>Sinistrés!J4512</f>
        <v>33994.370000000003</v>
      </c>
      <c r="C4507">
        <f>Sinistrés!X4512</f>
        <v>1434.84</v>
      </c>
      <c r="D4507">
        <f>Sinistrés!L4512</f>
        <v>25.66</v>
      </c>
      <c r="E4507">
        <f>Sinistrés!M4512</f>
        <v>25.66</v>
      </c>
      <c r="F4507">
        <f t="shared" si="140"/>
        <v>4.2208165646252592E-2</v>
      </c>
      <c r="G4507">
        <f t="shared" si="141"/>
        <v>1</v>
      </c>
    </row>
    <row r="4508" spans="1:7">
      <c r="A4508" t="str">
        <f>Sinistrés!H4513</f>
        <v>Maïs grain non irrigué</v>
      </c>
      <c r="B4508">
        <f>Sinistrés!J4513</f>
        <v>10967.57</v>
      </c>
      <c r="C4508">
        <f>Sinistrés!X4513</f>
        <v>2852.56</v>
      </c>
      <c r="D4508">
        <f>Sinistrés!L4513</f>
        <v>5.08</v>
      </c>
      <c r="E4508">
        <f>Sinistrés!M4513</f>
        <v>5.08</v>
      </c>
      <c r="F4508">
        <f t="shared" si="140"/>
        <v>0.26009043024115641</v>
      </c>
      <c r="G4508">
        <f t="shared" si="141"/>
        <v>1</v>
      </c>
    </row>
    <row r="4509" spans="1:7">
      <c r="A4509" t="str">
        <f>Sinistrés!H4514</f>
        <v>Tournesol</v>
      </c>
      <c r="B4509">
        <f>Sinistrés!J4514</f>
        <v>13644.8</v>
      </c>
      <c r="C4509">
        <f>Sinistrés!X4514</f>
        <v>1521.92</v>
      </c>
      <c r="D4509">
        <f>Sinistrés!L4514</f>
        <v>13.12</v>
      </c>
      <c r="E4509">
        <f>Sinistrés!M4514</f>
        <v>13.12</v>
      </c>
      <c r="F4509">
        <f t="shared" si="140"/>
        <v>0.11153846153846154</v>
      </c>
      <c r="G4509">
        <f t="shared" si="141"/>
        <v>1</v>
      </c>
    </row>
    <row r="4510" spans="1:7">
      <c r="A4510" t="str">
        <f>Sinistrés!H4515</f>
        <v>Sorgho</v>
      </c>
      <c r="B4510">
        <f>Sinistrés!J4515</f>
        <v>17694.62</v>
      </c>
      <c r="C4510">
        <f>Sinistrés!X4515</f>
        <v>6730.23</v>
      </c>
      <c r="D4510">
        <f>Sinistrés!L4515</f>
        <v>14.2</v>
      </c>
      <c r="E4510">
        <f>Sinistrés!M4515</f>
        <v>14.2</v>
      </c>
      <c r="F4510">
        <f t="shared" si="140"/>
        <v>0.38035459365615087</v>
      </c>
      <c r="G4510">
        <f t="shared" si="141"/>
        <v>1</v>
      </c>
    </row>
    <row r="4511" spans="1:7" hidden="1">
      <c r="A4511" t="str">
        <f>Sinistrés!H4516</f>
        <v>Maïs grain irrigué</v>
      </c>
      <c r="B4511">
        <f>Sinistrés!J4516</f>
        <v>104114.82</v>
      </c>
      <c r="C4511">
        <f>Sinistrés!X4516</f>
        <v>0</v>
      </c>
      <c r="D4511">
        <f>Sinistrés!L4516</f>
        <v>46.49</v>
      </c>
      <c r="E4511">
        <f>Sinistrés!M4516</f>
        <v>46.48</v>
      </c>
      <c r="F4511">
        <f t="shared" si="140"/>
        <v>0</v>
      </c>
      <c r="G4511">
        <f t="shared" si="141"/>
        <v>0.99978489997848985</v>
      </c>
    </row>
    <row r="4512" spans="1:7" hidden="1">
      <c r="A4512" t="str">
        <f>Sinistrés!H4517</f>
        <v>Maïs waxy irrigué</v>
      </c>
      <c r="B4512">
        <f>Sinistrés!J4517</f>
        <v>23474.77</v>
      </c>
      <c r="C4512">
        <f>Sinistrés!X4517</f>
        <v>0</v>
      </c>
      <c r="D4512">
        <f>Sinistrés!L4517</f>
        <v>11.4</v>
      </c>
      <c r="E4512">
        <f>Sinistrés!M4517</f>
        <v>11.39</v>
      </c>
      <c r="F4512">
        <f t="shared" si="140"/>
        <v>0</v>
      </c>
      <c r="G4512">
        <f t="shared" si="141"/>
        <v>0.99912280701754386</v>
      </c>
    </row>
    <row r="4513" spans="1:7">
      <c r="A4513" t="str">
        <f>Sinistrés!H4518</f>
        <v>Maïs waxy non irrigué</v>
      </c>
      <c r="B4513">
        <f>Sinistrés!J4518</f>
        <v>94773.29</v>
      </c>
      <c r="C4513">
        <f>Sinistrés!X4518</f>
        <v>52206.39</v>
      </c>
      <c r="D4513">
        <f>Sinistrés!L4518</f>
        <v>59.4</v>
      </c>
      <c r="E4513">
        <f>Sinistrés!M4518</f>
        <v>59.38</v>
      </c>
      <c r="F4513">
        <f t="shared" si="140"/>
        <v>0.55085552057969078</v>
      </c>
      <c r="G4513">
        <f t="shared" si="141"/>
        <v>0.9996632996632997</v>
      </c>
    </row>
    <row r="4514" spans="1:7">
      <c r="A4514" t="str">
        <f>Sinistrés!H4519</f>
        <v>Maïs grain non irrigué</v>
      </c>
      <c r="B4514">
        <f>Sinistrés!J4519</f>
        <v>57920.59</v>
      </c>
      <c r="C4514">
        <f>Sinistrés!X4519</f>
        <v>33471.620000000003</v>
      </c>
      <c r="D4514">
        <f>Sinistrés!L4519</f>
        <v>36.119999999999997</v>
      </c>
      <c r="E4514">
        <f>Sinistrés!M4519</f>
        <v>36.11</v>
      </c>
      <c r="F4514">
        <f t="shared" si="140"/>
        <v>0.57788810507627775</v>
      </c>
      <c r="G4514">
        <f t="shared" si="141"/>
        <v>0.99972314507198234</v>
      </c>
    </row>
    <row r="4515" spans="1:7" hidden="1">
      <c r="A4515" t="str">
        <f>Sinistrés!H4520</f>
        <v>Lin textile</v>
      </c>
      <c r="B4515">
        <f>Sinistrés!J4520</f>
        <v>62524</v>
      </c>
      <c r="C4515">
        <f>Sinistrés!X4520</f>
        <v>0</v>
      </c>
      <c r="D4515">
        <f>Sinistrés!L4520</f>
        <v>20.3</v>
      </c>
      <c r="E4515">
        <f>Sinistrés!M4520</f>
        <v>20.3</v>
      </c>
      <c r="F4515">
        <f t="shared" si="140"/>
        <v>0</v>
      </c>
      <c r="G4515">
        <f t="shared" si="141"/>
        <v>1</v>
      </c>
    </row>
    <row r="4516" spans="1:7">
      <c r="A4516" t="str">
        <f>Sinistrés!H4521</f>
        <v>Maïs grain irrigué</v>
      </c>
      <c r="B4516">
        <f>Sinistrés!J4521</f>
        <v>47413.06</v>
      </c>
      <c r="C4516">
        <f>Sinistrés!X4521</f>
        <v>313</v>
      </c>
      <c r="D4516">
        <f>Sinistrés!L4521</f>
        <v>21.11</v>
      </c>
      <c r="E4516">
        <f>Sinistrés!M4521</f>
        <v>7.83</v>
      </c>
      <c r="F4516">
        <f t="shared" si="140"/>
        <v>6.6015566175226829E-3</v>
      </c>
      <c r="G4516">
        <f t="shared" si="141"/>
        <v>0.37091425864519184</v>
      </c>
    </row>
    <row r="4517" spans="1:7">
      <c r="A4517" t="str">
        <f>Sinistrés!H4522</f>
        <v>Tournesol</v>
      </c>
      <c r="B4517">
        <f>Sinistrés!J4522</f>
        <v>7292.94</v>
      </c>
      <c r="C4517">
        <f>Sinistrés!X4522</f>
        <v>182</v>
      </c>
      <c r="D4517">
        <f>Sinistrés!L4522</f>
        <v>4.5599999999999996</v>
      </c>
      <c r="E4517">
        <f>Sinistrés!M4522</f>
        <v>3.4</v>
      </c>
      <c r="F4517">
        <f t="shared" si="140"/>
        <v>2.4955642031882892E-2</v>
      </c>
      <c r="G4517">
        <f t="shared" si="141"/>
        <v>0.7456140350877194</v>
      </c>
    </row>
    <row r="4518" spans="1:7">
      <c r="A4518" t="str">
        <f>Sinistrés!H4523</f>
        <v>Maïs grain non irrigué</v>
      </c>
      <c r="B4518">
        <f>Sinistrés!J4523</f>
        <v>79140.91</v>
      </c>
      <c r="C4518">
        <f>Sinistrés!X4523</f>
        <v>21272.73</v>
      </c>
      <c r="D4518">
        <f>Sinistrés!L4523</f>
        <v>28.93</v>
      </c>
      <c r="E4518">
        <f>Sinistrés!M4523</f>
        <v>28.93</v>
      </c>
      <c r="F4518">
        <f t="shared" si="140"/>
        <v>0.26879562036878268</v>
      </c>
      <c r="G4518">
        <f t="shared" si="141"/>
        <v>1</v>
      </c>
    </row>
    <row r="4519" spans="1:7">
      <c r="A4519" t="str">
        <f>Sinistrés!H4524</f>
        <v>Maïs grain irrigué</v>
      </c>
      <c r="B4519">
        <f>Sinistrés!J4524</f>
        <v>105402</v>
      </c>
      <c r="C4519">
        <f>Sinistrés!X4524</f>
        <v>5541.6</v>
      </c>
      <c r="D4519">
        <f>Sinistrés!L4524</f>
        <v>47.91</v>
      </c>
      <c r="E4519">
        <f>Sinistrés!M4524</f>
        <v>47.91</v>
      </c>
      <c r="F4519">
        <f t="shared" si="140"/>
        <v>5.257585245061764E-2</v>
      </c>
      <c r="G4519">
        <f t="shared" si="141"/>
        <v>1</v>
      </c>
    </row>
    <row r="4520" spans="1:7">
      <c r="A4520" t="str">
        <f>Sinistrés!H4525</f>
        <v>Tournesol</v>
      </c>
      <c r="B4520">
        <f>Sinistrés!J4525</f>
        <v>18262.8</v>
      </c>
      <c r="C4520">
        <f>Sinistrés!X4525</f>
        <v>5398.76</v>
      </c>
      <c r="D4520">
        <f>Sinistrés!L4525</f>
        <v>16.91</v>
      </c>
      <c r="E4520">
        <f>Sinistrés!M4525</f>
        <v>16.91</v>
      </c>
      <c r="F4520">
        <f t="shared" si="140"/>
        <v>0.29561513021004449</v>
      </c>
      <c r="G4520">
        <f t="shared" si="141"/>
        <v>1</v>
      </c>
    </row>
    <row r="4521" spans="1:7" hidden="1">
      <c r="A4521" t="str">
        <f>Sinistrés!H4526</f>
        <v>Tournesol</v>
      </c>
      <c r="B4521">
        <f>Sinistrés!J4526</f>
        <v>23414.400000000001</v>
      </c>
      <c r="C4521">
        <f>Sinistrés!X4526</f>
        <v>0</v>
      </c>
      <c r="D4521">
        <f>Sinistrés!L4526</f>
        <v>21.68</v>
      </c>
      <c r="E4521">
        <f>Sinistrés!M4526</f>
        <v>21.68</v>
      </c>
      <c r="F4521">
        <f t="shared" si="140"/>
        <v>0</v>
      </c>
      <c r="G4521">
        <f t="shared" si="141"/>
        <v>1</v>
      </c>
    </row>
    <row r="4522" spans="1:7">
      <c r="A4522" t="str">
        <f>Sinistrés!H4527</f>
        <v>Maïs grain non irrigué</v>
      </c>
      <c r="B4522">
        <f>Sinistrés!J4527</f>
        <v>64000</v>
      </c>
      <c r="C4522">
        <f>Sinistrés!X4527</f>
        <v>19840</v>
      </c>
      <c r="D4522">
        <f>Sinistrés!L4527</f>
        <v>32</v>
      </c>
      <c r="E4522">
        <f>Sinistrés!M4527</f>
        <v>32</v>
      </c>
      <c r="F4522">
        <f t="shared" si="140"/>
        <v>0.31</v>
      </c>
      <c r="G4522">
        <f t="shared" si="141"/>
        <v>1</v>
      </c>
    </row>
    <row r="4523" spans="1:7" hidden="1">
      <c r="A4523" t="str">
        <f>Sinistrés!H4528</f>
        <v>Tournesol</v>
      </c>
      <c r="B4523">
        <f>Sinistrés!J4528</f>
        <v>4081.69</v>
      </c>
      <c r="C4523">
        <f>Sinistrés!X4528</f>
        <v>0</v>
      </c>
      <c r="D4523">
        <f>Sinistrés!L4528</f>
        <v>3.8</v>
      </c>
      <c r="E4523">
        <f>Sinistrés!M4528</f>
        <v>3.8</v>
      </c>
      <c r="F4523">
        <f t="shared" si="140"/>
        <v>0</v>
      </c>
      <c r="G4523">
        <f t="shared" si="141"/>
        <v>1</v>
      </c>
    </row>
    <row r="4524" spans="1:7" hidden="1">
      <c r="A4524" t="str">
        <f>Sinistrés!H4529</f>
        <v>Maïs grain irrigué</v>
      </c>
      <c r="B4524">
        <f>Sinistrés!J4529</f>
        <v>19750</v>
      </c>
      <c r="C4524">
        <f>Sinistrés!X4529</f>
        <v>0</v>
      </c>
      <c r="D4524">
        <f>Sinistrés!L4529</f>
        <v>7.9</v>
      </c>
      <c r="E4524">
        <f>Sinistrés!M4529</f>
        <v>7.9</v>
      </c>
      <c r="F4524">
        <f t="shared" si="140"/>
        <v>0</v>
      </c>
      <c r="G4524">
        <f t="shared" si="141"/>
        <v>1</v>
      </c>
    </row>
    <row r="4525" spans="1:7" hidden="1">
      <c r="A4525" t="str">
        <f>Sinistrés!H4530</f>
        <v>Soja</v>
      </c>
      <c r="B4525">
        <f>Sinistrés!J4530</f>
        <v>12184.85</v>
      </c>
      <c r="C4525">
        <f>Sinistrés!X4530</f>
        <v>0</v>
      </c>
      <c r="D4525">
        <f>Sinistrés!L4530</f>
        <v>10.4</v>
      </c>
      <c r="E4525">
        <f>Sinistrés!M4530</f>
        <v>10.4</v>
      </c>
      <c r="F4525">
        <f t="shared" si="140"/>
        <v>0</v>
      </c>
      <c r="G4525">
        <f t="shared" si="141"/>
        <v>1</v>
      </c>
    </row>
    <row r="4526" spans="1:7">
      <c r="A4526" t="str">
        <f>Sinistrés!H4531</f>
        <v>Tournesol</v>
      </c>
      <c r="B4526">
        <f>Sinistrés!J4531</f>
        <v>6361.52</v>
      </c>
      <c r="C4526">
        <f>Sinistrés!X4531</f>
        <v>3007.62</v>
      </c>
      <c r="D4526">
        <f>Sinistrés!L4531</f>
        <v>4.22</v>
      </c>
      <c r="E4526">
        <f>Sinistrés!M4531</f>
        <v>4.22</v>
      </c>
      <c r="F4526">
        <f t="shared" si="140"/>
        <v>0.47278323419560098</v>
      </c>
      <c r="G4526">
        <f t="shared" si="141"/>
        <v>1</v>
      </c>
    </row>
    <row r="4527" spans="1:7">
      <c r="A4527" t="str">
        <f>Sinistrés!H4532</f>
        <v>Maïs grain non irrigué</v>
      </c>
      <c r="B4527">
        <f>Sinistrés!J4532</f>
        <v>153164.38</v>
      </c>
      <c r="C4527">
        <f>Sinistrés!X4532</f>
        <v>63617.71</v>
      </c>
      <c r="D4527">
        <f>Sinistrés!L4532</f>
        <v>72.680000000000007</v>
      </c>
      <c r="E4527">
        <f>Sinistrés!M4532</f>
        <v>72.650000000000006</v>
      </c>
      <c r="F4527">
        <f t="shared" si="140"/>
        <v>0.41535577658460798</v>
      </c>
      <c r="G4527">
        <f t="shared" si="141"/>
        <v>0.99958723170060537</v>
      </c>
    </row>
    <row r="4528" spans="1:7">
      <c r="A4528" t="str">
        <f>Sinistrés!H4533</f>
        <v>Maïs waxy non irrigué</v>
      </c>
      <c r="B4528">
        <f>Sinistrés!J4533</f>
        <v>45884.84</v>
      </c>
      <c r="C4528">
        <f>Sinistrés!X4533</f>
        <v>10517.31</v>
      </c>
      <c r="D4528">
        <f>Sinistrés!L4533</f>
        <v>19.93</v>
      </c>
      <c r="E4528">
        <f>Sinistrés!M4533</f>
        <v>19.93</v>
      </c>
      <c r="F4528">
        <f t="shared" si="140"/>
        <v>0.22921099866535441</v>
      </c>
      <c r="G4528">
        <f t="shared" si="141"/>
        <v>1</v>
      </c>
    </row>
    <row r="4529" spans="1:7">
      <c r="A4529" t="str">
        <f>Sinistrés!H4534</f>
        <v>Soja</v>
      </c>
      <c r="B4529">
        <f>Sinistrés!J4534</f>
        <v>13250.04</v>
      </c>
      <c r="C4529">
        <f>Sinistrés!X4534</f>
        <v>2046.09</v>
      </c>
      <c r="D4529">
        <f>Sinistrés!L4534</f>
        <v>10.130000000000001</v>
      </c>
      <c r="E4529">
        <f>Sinistrés!M4534</f>
        <v>10.130000000000001</v>
      </c>
      <c r="F4529">
        <f t="shared" si="140"/>
        <v>0.15442142061457925</v>
      </c>
      <c r="G4529">
        <f t="shared" si="141"/>
        <v>1</v>
      </c>
    </row>
    <row r="4530" spans="1:7" hidden="1">
      <c r="A4530" t="str">
        <f>Sinistrés!H4535</f>
        <v>Maïs waxy irrigué</v>
      </c>
      <c r="B4530">
        <f>Sinistrés!J4535</f>
        <v>8058.05</v>
      </c>
      <c r="C4530">
        <f>Sinistrés!X4535</f>
        <v>0</v>
      </c>
      <c r="D4530">
        <f>Sinistrés!L4535</f>
        <v>3.5</v>
      </c>
      <c r="E4530">
        <f>Sinistrés!M4535</f>
        <v>3.5</v>
      </c>
      <c r="F4530">
        <f t="shared" si="140"/>
        <v>0</v>
      </c>
      <c r="G4530">
        <f t="shared" si="141"/>
        <v>1</v>
      </c>
    </row>
    <row r="4531" spans="1:7">
      <c r="A4531" t="str">
        <f>Sinistrés!H4536</f>
        <v>Maïs waxy irrigué</v>
      </c>
      <c r="B4531">
        <f>Sinistrés!J4536</f>
        <v>80938.820000000007</v>
      </c>
      <c r="C4531">
        <f>Sinistrés!X4536</f>
        <v>13958.22</v>
      </c>
      <c r="D4531">
        <f>Sinistrés!L4536</f>
        <v>31.44</v>
      </c>
      <c r="E4531">
        <f>Sinistrés!M4536</f>
        <v>31.44</v>
      </c>
      <c r="F4531">
        <f t="shared" si="140"/>
        <v>0.17245395966978513</v>
      </c>
      <c r="G4531">
        <f t="shared" si="141"/>
        <v>1</v>
      </c>
    </row>
    <row r="4532" spans="1:7" hidden="1">
      <c r="A4532" t="str">
        <f>Sinistrés!H4537</f>
        <v>Tournesol SEMENCES</v>
      </c>
      <c r="B4532">
        <f>Sinistrés!J4537</f>
        <v>5317.65</v>
      </c>
      <c r="C4532">
        <f>Sinistrés!X4537</f>
        <v>3003.46</v>
      </c>
      <c r="D4532">
        <f>Sinistrés!L4537</f>
        <v>1.17</v>
      </c>
      <c r="E4532">
        <f>Sinistrés!M4537</f>
        <v>1.17</v>
      </c>
      <c r="F4532">
        <f t="shared" si="140"/>
        <v>0.56480964335749817</v>
      </c>
      <c r="G4532">
        <f t="shared" si="141"/>
        <v>1</v>
      </c>
    </row>
    <row r="4533" spans="1:7">
      <c r="A4533" t="str">
        <f>Sinistrés!H4538</f>
        <v>Maïs waxy non irrigué</v>
      </c>
      <c r="B4533">
        <f>Sinistrés!J4538</f>
        <v>6658.13</v>
      </c>
      <c r="C4533">
        <f>Sinistrés!X4538</f>
        <v>2594.13</v>
      </c>
      <c r="D4533">
        <f>Sinistrés!L4538</f>
        <v>2.58</v>
      </c>
      <c r="E4533">
        <f>Sinistrés!M4538</f>
        <v>2.58</v>
      </c>
      <c r="F4533">
        <f t="shared" si="140"/>
        <v>0.38961840636935596</v>
      </c>
      <c r="G4533">
        <f t="shared" si="141"/>
        <v>1</v>
      </c>
    </row>
    <row r="4534" spans="1:7" hidden="1">
      <c r="A4534" t="str">
        <f>Sinistrés!H4539</f>
        <v>Maïs waxy non irrigué</v>
      </c>
      <c r="B4534">
        <f>Sinistrés!J4539</f>
        <v>9527.69</v>
      </c>
      <c r="C4534">
        <f>Sinistrés!X4539</f>
        <v>0</v>
      </c>
      <c r="D4534">
        <f>Sinistrés!L4539</f>
        <v>3.71</v>
      </c>
      <c r="E4534">
        <f>Sinistrés!M4539</f>
        <v>3.71</v>
      </c>
      <c r="F4534">
        <f t="shared" si="140"/>
        <v>0</v>
      </c>
      <c r="G4534">
        <f t="shared" si="141"/>
        <v>1</v>
      </c>
    </row>
    <row r="4535" spans="1:7" hidden="1">
      <c r="A4535" t="str">
        <f>Sinistrés!H4540</f>
        <v>Maïs waxy irrigué</v>
      </c>
      <c r="B4535">
        <f>Sinistrés!J4540</f>
        <v>126357.34</v>
      </c>
      <c r="C4535">
        <f>Sinistrés!X4540</f>
        <v>0</v>
      </c>
      <c r="D4535">
        <f>Sinistrés!L4540</f>
        <v>47.8</v>
      </c>
      <c r="E4535">
        <f>Sinistrés!M4540</f>
        <v>47.8</v>
      </c>
      <c r="F4535">
        <f t="shared" si="140"/>
        <v>0</v>
      </c>
      <c r="G4535">
        <f t="shared" si="141"/>
        <v>1</v>
      </c>
    </row>
    <row r="4536" spans="1:7" hidden="1">
      <c r="A4536" t="str">
        <f>Sinistrés!H4541</f>
        <v>Tournesol BIO</v>
      </c>
      <c r="B4536">
        <f>Sinistrés!J4541</f>
        <v>27484.560000000001</v>
      </c>
      <c r="C4536">
        <f>Sinistrés!X4541</f>
        <v>21605.919999999998</v>
      </c>
      <c r="D4536">
        <f>Sinistrés!L4541</f>
        <v>11.8</v>
      </c>
      <c r="E4536">
        <f>Sinistrés!M4541</f>
        <v>11.8</v>
      </c>
      <c r="F4536">
        <f t="shared" si="140"/>
        <v>0.78611118387923973</v>
      </c>
      <c r="G4536">
        <f t="shared" si="141"/>
        <v>1</v>
      </c>
    </row>
    <row r="4537" spans="1:7">
      <c r="A4537" t="str">
        <f>Sinistrés!H4542</f>
        <v>Maïs grain non irrigué</v>
      </c>
      <c r="B4537">
        <f>Sinistrés!J4542</f>
        <v>49141.55</v>
      </c>
      <c r="C4537">
        <f>Sinistrés!X4542</f>
        <v>27537.81</v>
      </c>
      <c r="D4537">
        <f>Sinistrés!L4542</f>
        <v>22.15</v>
      </c>
      <c r="E4537">
        <f>Sinistrés!M4542</f>
        <v>22.15</v>
      </c>
      <c r="F4537">
        <f t="shared" si="140"/>
        <v>0.56037731817575964</v>
      </c>
      <c r="G4537">
        <f t="shared" si="141"/>
        <v>1</v>
      </c>
    </row>
    <row r="4538" spans="1:7">
      <c r="A4538" t="str">
        <f>Sinistrés!H4543</f>
        <v>Maïs grain irrigué</v>
      </c>
      <c r="B4538">
        <f>Sinistrés!J4543</f>
        <v>73048</v>
      </c>
      <c r="C4538">
        <f>Sinistrés!X4543</f>
        <v>30686.400000000001</v>
      </c>
      <c r="D4538">
        <f>Sinistrés!L4543</f>
        <v>29.83</v>
      </c>
      <c r="E4538">
        <f>Sinistrés!M4543</f>
        <v>29.83</v>
      </c>
      <c r="F4538">
        <f t="shared" si="140"/>
        <v>0.4200854232833206</v>
      </c>
      <c r="G4538">
        <f t="shared" si="141"/>
        <v>1</v>
      </c>
    </row>
    <row r="4539" spans="1:7" hidden="1">
      <c r="A4539" t="str">
        <f>Sinistrés!H4544</f>
        <v>Maïs waxy irrigué</v>
      </c>
      <c r="B4539">
        <f>Sinistrés!J4544</f>
        <v>101611.38</v>
      </c>
      <c r="C4539">
        <f>Sinistrés!X4544</f>
        <v>0</v>
      </c>
      <c r="D4539">
        <f>Sinistrés!L4544</f>
        <v>36.229999999999997</v>
      </c>
      <c r="E4539">
        <f>Sinistrés!M4544</f>
        <v>36.229999999999997</v>
      </c>
      <c r="F4539">
        <f t="shared" si="140"/>
        <v>0</v>
      </c>
      <c r="G4539">
        <f t="shared" si="141"/>
        <v>1</v>
      </c>
    </row>
    <row r="4540" spans="1:7">
      <c r="A4540" t="str">
        <f>Sinistrés!H4545</f>
        <v>Maïs grain non irrigué</v>
      </c>
      <c r="B4540">
        <f>Sinistrés!J4545</f>
        <v>21276</v>
      </c>
      <c r="C4540">
        <f>Sinistrés!X4545</f>
        <v>634.34</v>
      </c>
      <c r="D4540">
        <f>Sinistrés!L4545</f>
        <v>9.85</v>
      </c>
      <c r="E4540">
        <f>Sinistrés!M4545</f>
        <v>9.85</v>
      </c>
      <c r="F4540">
        <f t="shared" si="140"/>
        <v>2.9814814814814815E-2</v>
      </c>
      <c r="G4540">
        <f t="shared" si="141"/>
        <v>1</v>
      </c>
    </row>
    <row r="4541" spans="1:7">
      <c r="A4541" t="str">
        <f>Sinistrés!H4546</f>
        <v>Tournesol</v>
      </c>
      <c r="B4541">
        <f>Sinistrés!J4546</f>
        <v>18874.62</v>
      </c>
      <c r="C4541">
        <f>Sinistrés!X4546</f>
        <v>2515.98</v>
      </c>
      <c r="D4541">
        <f>Sinistrés!L4546</f>
        <v>17.190000000000001</v>
      </c>
      <c r="E4541">
        <f>Sinistrés!M4546</f>
        <v>17.190000000000001</v>
      </c>
      <c r="F4541">
        <f t="shared" si="140"/>
        <v>0.13329963729071104</v>
      </c>
      <c r="G4541">
        <f t="shared" si="141"/>
        <v>1</v>
      </c>
    </row>
    <row r="4542" spans="1:7" hidden="1">
      <c r="A4542" t="str">
        <f>Sinistrés!H4547</f>
        <v>Lin textile</v>
      </c>
      <c r="B4542">
        <f>Sinistrés!J4547</f>
        <v>46704.6</v>
      </c>
      <c r="C4542">
        <f>Sinistrés!X4547</f>
        <v>0</v>
      </c>
      <c r="D4542">
        <f>Sinistrés!L4547</f>
        <v>16.739999999999998</v>
      </c>
      <c r="E4542">
        <f>Sinistrés!M4547</f>
        <v>16.739999999999998</v>
      </c>
      <c r="F4542">
        <f t="shared" si="140"/>
        <v>0</v>
      </c>
      <c r="G4542">
        <f t="shared" si="141"/>
        <v>1</v>
      </c>
    </row>
    <row r="4543" spans="1:7">
      <c r="A4543" t="str">
        <f>Sinistrés!H4548</f>
        <v>Maïs grain irrigué</v>
      </c>
      <c r="B4543">
        <f>Sinistrés!J4548</f>
        <v>54411.56</v>
      </c>
      <c r="C4543">
        <f>Sinistrés!X4548</f>
        <v>8439.7900000000009</v>
      </c>
      <c r="D4543">
        <f>Sinistrés!L4548</f>
        <v>28</v>
      </c>
      <c r="E4543">
        <f>Sinistrés!M4548</f>
        <v>28</v>
      </c>
      <c r="F4543">
        <f t="shared" si="140"/>
        <v>0.15511023760392095</v>
      </c>
      <c r="G4543">
        <f t="shared" si="141"/>
        <v>1</v>
      </c>
    </row>
    <row r="4544" spans="1:7" hidden="1">
      <c r="A4544" t="str">
        <f>Sinistrés!H4549</f>
        <v>Maïs doux irrigué</v>
      </c>
      <c r="B4544">
        <f>Sinistrés!J4549</f>
        <v>18143.28</v>
      </c>
      <c r="C4544">
        <f>Sinistrés!X4549</f>
        <v>0</v>
      </c>
      <c r="D4544">
        <f>Sinistrés!L4549</f>
        <v>12</v>
      </c>
      <c r="E4544">
        <f>Sinistrés!M4549</f>
        <v>12</v>
      </c>
      <c r="F4544">
        <f t="shared" si="140"/>
        <v>0</v>
      </c>
      <c r="G4544">
        <f t="shared" si="141"/>
        <v>1</v>
      </c>
    </row>
    <row r="4545" spans="1:7">
      <c r="A4545" t="str">
        <f>Sinistrés!H4550</f>
        <v>Tournesol</v>
      </c>
      <c r="B4545">
        <f>Sinistrés!J4550</f>
        <v>6990</v>
      </c>
      <c r="C4545">
        <f>Sinistrés!X4550</f>
        <v>352.5</v>
      </c>
      <c r="D4545">
        <f>Sinistrés!L4550</f>
        <v>6</v>
      </c>
      <c r="E4545">
        <f>Sinistrés!M4550</f>
        <v>6</v>
      </c>
      <c r="F4545">
        <f t="shared" si="140"/>
        <v>5.0429184549356222E-2</v>
      </c>
      <c r="G4545">
        <f t="shared" si="141"/>
        <v>1</v>
      </c>
    </row>
    <row r="4546" spans="1:7" hidden="1">
      <c r="A4546" t="str">
        <f>Sinistrés!H4551</f>
        <v>Maïs grain irrigué</v>
      </c>
      <c r="B4546">
        <f>Sinistrés!J4551</f>
        <v>84524</v>
      </c>
      <c r="C4546">
        <f>Sinistrés!X4551</f>
        <v>0</v>
      </c>
      <c r="D4546">
        <f>Sinistrés!L4551</f>
        <v>34</v>
      </c>
      <c r="E4546">
        <f>Sinistrés!M4551</f>
        <v>34</v>
      </c>
      <c r="F4546">
        <f t="shared" si="140"/>
        <v>0</v>
      </c>
      <c r="G4546">
        <f t="shared" si="141"/>
        <v>1</v>
      </c>
    </row>
    <row r="4547" spans="1:7" hidden="1">
      <c r="A4547" t="str">
        <f>Sinistrés!H4552</f>
        <v>Soja</v>
      </c>
      <c r="B4547">
        <f>Sinistrés!J4552</f>
        <v>5372.5</v>
      </c>
      <c r="C4547">
        <f>Sinistrés!X4552</f>
        <v>0</v>
      </c>
      <c r="D4547">
        <f>Sinistrés!L4552</f>
        <v>5</v>
      </c>
      <c r="E4547">
        <f>Sinistrés!M4552</f>
        <v>5</v>
      </c>
      <c r="F4547">
        <f t="shared" ref="F4547:F4610" si="142">C4547/B4547</f>
        <v>0</v>
      </c>
      <c r="G4547">
        <f t="shared" ref="G4547:G4610" si="143">E4547/D4547</f>
        <v>1</v>
      </c>
    </row>
    <row r="4548" spans="1:7">
      <c r="A4548" t="str">
        <f>Sinistrés!H4553</f>
        <v>Maïs grain non irrigué</v>
      </c>
      <c r="B4548">
        <f>Sinistrés!J4553</f>
        <v>40815</v>
      </c>
      <c r="C4548">
        <f>Sinistrés!X4553</f>
        <v>3223.01</v>
      </c>
      <c r="D4548">
        <f>Sinistrés!L4553</f>
        <v>25</v>
      </c>
      <c r="E4548">
        <f>Sinistrés!M4553</f>
        <v>25</v>
      </c>
      <c r="F4548">
        <f t="shared" si="142"/>
        <v>7.896631140512067E-2</v>
      </c>
      <c r="G4548">
        <f t="shared" si="143"/>
        <v>1</v>
      </c>
    </row>
    <row r="4549" spans="1:7" hidden="1">
      <c r="A4549" t="str">
        <f>Sinistrés!H4554</f>
        <v>Vigne à raisin de cuve (VCU1)</v>
      </c>
      <c r="B4549">
        <f>Sinistrés!J4554</f>
        <v>351201.13</v>
      </c>
      <c r="C4549">
        <f>Sinistrés!X4554</f>
        <v>0</v>
      </c>
      <c r="D4549">
        <f>Sinistrés!L4554</f>
        <v>15.41</v>
      </c>
      <c r="E4549">
        <f>Sinistrés!M4554</f>
        <v>15.41</v>
      </c>
      <c r="F4549">
        <f t="shared" si="142"/>
        <v>0</v>
      </c>
      <c r="G4549">
        <f t="shared" si="143"/>
        <v>1</v>
      </c>
    </row>
    <row r="4550" spans="1:7">
      <c r="A4550" t="str">
        <f>Sinistrés!H4555</f>
        <v>Maïs grain irrigué</v>
      </c>
      <c r="B4550">
        <f>Sinistrés!J4555</f>
        <v>46332</v>
      </c>
      <c r="C4550">
        <f>Sinistrés!X4555</f>
        <v>720</v>
      </c>
      <c r="D4550">
        <f>Sinistrés!L4555</f>
        <v>18</v>
      </c>
      <c r="E4550">
        <f>Sinistrés!M4555</f>
        <v>18</v>
      </c>
      <c r="F4550">
        <f t="shared" si="142"/>
        <v>1.554001554001554E-2</v>
      </c>
      <c r="G4550">
        <f t="shared" si="143"/>
        <v>1</v>
      </c>
    </row>
    <row r="4551" spans="1:7">
      <c r="A4551" t="str">
        <f>Sinistrés!H4556</f>
        <v>Maïs grain non irrigué</v>
      </c>
      <c r="B4551">
        <f>Sinistrés!J4556</f>
        <v>25558</v>
      </c>
      <c r="C4551">
        <f>Sinistrés!X4556</f>
        <v>10276.5</v>
      </c>
      <c r="D4551">
        <f>Sinistrés!L4556</f>
        <v>13</v>
      </c>
      <c r="E4551">
        <f>Sinistrés!M4556</f>
        <v>13</v>
      </c>
      <c r="F4551">
        <f t="shared" si="142"/>
        <v>0.40208545269582907</v>
      </c>
      <c r="G4551">
        <f t="shared" si="143"/>
        <v>1</v>
      </c>
    </row>
    <row r="4552" spans="1:7">
      <c r="A4552" t="str">
        <f>Sinistrés!H4557</f>
        <v>Maïs grain non irrigué</v>
      </c>
      <c r="B4552">
        <f>Sinistrés!J4557</f>
        <v>26848.39</v>
      </c>
      <c r="C4552">
        <f>Sinistrés!X4557</f>
        <v>9968.43</v>
      </c>
      <c r="D4552">
        <f>Sinistrés!L4557</f>
        <v>15.25</v>
      </c>
      <c r="E4552">
        <f>Sinistrés!M4557</f>
        <v>15.25</v>
      </c>
      <c r="F4552">
        <f t="shared" si="142"/>
        <v>0.37128595047971219</v>
      </c>
      <c r="G4552">
        <f t="shared" si="143"/>
        <v>1</v>
      </c>
    </row>
    <row r="4553" spans="1:7" hidden="1">
      <c r="A4553" t="str">
        <f>Sinistrés!H4558</f>
        <v>Maïs grain irrigué</v>
      </c>
      <c r="B4553">
        <f>Sinistrés!J4558</f>
        <v>16894.8</v>
      </c>
      <c r="C4553">
        <f>Sinistrés!X4558</f>
        <v>0</v>
      </c>
      <c r="D4553">
        <f>Sinistrés!L4558</f>
        <v>8</v>
      </c>
      <c r="E4553">
        <f>Sinistrés!M4558</f>
        <v>8</v>
      </c>
      <c r="F4553">
        <f t="shared" si="142"/>
        <v>0</v>
      </c>
      <c r="G4553">
        <f t="shared" si="143"/>
        <v>1</v>
      </c>
    </row>
    <row r="4554" spans="1:7">
      <c r="A4554" t="str">
        <f>Sinistrés!H4559</f>
        <v>Maïs grain non irrigué</v>
      </c>
      <c r="B4554">
        <f>Sinistrés!J4559</f>
        <v>40575.599999999999</v>
      </c>
      <c r="C4554">
        <f>Sinistrés!X4559</f>
        <v>14752</v>
      </c>
      <c r="D4554">
        <f>Sinistrés!L4559</f>
        <v>24</v>
      </c>
      <c r="E4554">
        <f>Sinistrés!M4559</f>
        <v>24</v>
      </c>
      <c r="F4554">
        <f t="shared" si="142"/>
        <v>0.36356825284160926</v>
      </c>
      <c r="G4554">
        <f t="shared" si="143"/>
        <v>1</v>
      </c>
    </row>
    <row r="4555" spans="1:7">
      <c r="A4555" t="str">
        <f>Sinistrés!H4560</f>
        <v>Maïs grain non irrigué</v>
      </c>
      <c r="B4555">
        <f>Sinistrés!J4560</f>
        <v>59172.75</v>
      </c>
      <c r="C4555">
        <f>Sinistrés!X4560</f>
        <v>22538</v>
      </c>
      <c r="D4555">
        <f>Sinistrés!L4560</f>
        <v>35</v>
      </c>
      <c r="E4555">
        <f>Sinistrés!M4560</f>
        <v>35</v>
      </c>
      <c r="F4555">
        <f t="shared" si="142"/>
        <v>0.3808847822688653</v>
      </c>
      <c r="G4555">
        <f t="shared" si="143"/>
        <v>1</v>
      </c>
    </row>
    <row r="4556" spans="1:7" hidden="1">
      <c r="A4556" t="str">
        <f>Sinistrés!H4561</f>
        <v>Vigne à raisin de cuve (VCU1)</v>
      </c>
      <c r="B4556">
        <f>Sinistrés!J4561</f>
        <v>82822.44</v>
      </c>
      <c r="C4556">
        <f>Sinistrés!X4561</f>
        <v>0</v>
      </c>
      <c r="D4556">
        <f>Sinistrés!L4561</f>
        <v>9.27</v>
      </c>
      <c r="E4556">
        <f>Sinistrés!M4561</f>
        <v>9.27</v>
      </c>
      <c r="F4556">
        <f t="shared" si="142"/>
        <v>0</v>
      </c>
      <c r="G4556">
        <f t="shared" si="143"/>
        <v>1</v>
      </c>
    </row>
    <row r="4557" spans="1:7">
      <c r="A4557" t="str">
        <f>Sinistrés!H4562</f>
        <v>Maïs ensilage non irrigué</v>
      </c>
      <c r="B4557">
        <f>Sinistrés!J4562</f>
        <v>4872.1499999999996</v>
      </c>
      <c r="C4557">
        <f>Sinistrés!X4562</f>
        <v>722.27</v>
      </c>
      <c r="D4557">
        <f>Sinistrés!L4562</f>
        <v>2.73</v>
      </c>
      <c r="E4557">
        <f>Sinistrés!M4562</f>
        <v>2.73</v>
      </c>
      <c r="F4557">
        <f t="shared" si="142"/>
        <v>0.14824461480044746</v>
      </c>
      <c r="G4557">
        <f t="shared" si="143"/>
        <v>1</v>
      </c>
    </row>
    <row r="4558" spans="1:7">
      <c r="A4558" t="str">
        <f>Sinistrés!H4563</f>
        <v>Maïs grain non irrigué</v>
      </c>
      <c r="B4558">
        <f>Sinistrés!J4563</f>
        <v>22183.5</v>
      </c>
      <c r="C4558">
        <f>Sinistrés!X4563</f>
        <v>675.15</v>
      </c>
      <c r="D4558">
        <f>Sinistrés!L4563</f>
        <v>12.86</v>
      </c>
      <c r="E4558">
        <f>Sinistrés!M4563</f>
        <v>12.86</v>
      </c>
      <c r="F4558">
        <f t="shared" si="142"/>
        <v>3.043478260869565E-2</v>
      </c>
      <c r="G4558">
        <f t="shared" si="143"/>
        <v>1</v>
      </c>
    </row>
    <row r="4559" spans="1:7">
      <c r="A4559" t="str">
        <f>Sinistrés!H4564</f>
        <v>Maïs grain irrigué</v>
      </c>
      <c r="B4559">
        <f>Sinistrés!J4564</f>
        <v>52744.7</v>
      </c>
      <c r="C4559">
        <f>Sinistrés!X4564</f>
        <v>1194.4000000000001</v>
      </c>
      <c r="D4559">
        <f>Sinistrés!L4564</f>
        <v>29.86</v>
      </c>
      <c r="E4559">
        <f>Sinistrés!M4564</f>
        <v>29.86</v>
      </c>
      <c r="F4559">
        <f t="shared" si="142"/>
        <v>2.2644929253555338E-2</v>
      </c>
      <c r="G4559">
        <f t="shared" si="143"/>
        <v>1</v>
      </c>
    </row>
    <row r="4560" spans="1:7" hidden="1">
      <c r="A4560" t="str">
        <f>Sinistrés!H4565</f>
        <v>Tournesol</v>
      </c>
      <c r="B4560">
        <f>Sinistrés!J4565</f>
        <v>21229.040000000001</v>
      </c>
      <c r="C4560">
        <f>Sinistrés!X4565</f>
        <v>0</v>
      </c>
      <c r="D4560">
        <f>Sinistrés!L4565</f>
        <v>23.38</v>
      </c>
      <c r="E4560">
        <f>Sinistrés!M4565</f>
        <v>23.38</v>
      </c>
      <c r="F4560">
        <f t="shared" si="142"/>
        <v>0</v>
      </c>
      <c r="G4560">
        <f t="shared" si="143"/>
        <v>1</v>
      </c>
    </row>
    <row r="4561" spans="1:7">
      <c r="A4561" t="str">
        <f>Sinistrés!H4566</f>
        <v>Maïs grain non irrigué</v>
      </c>
      <c r="B4561">
        <f>Sinistrés!J4566</f>
        <v>30810</v>
      </c>
      <c r="C4561">
        <f>Sinistrés!X4566</f>
        <v>9989.5</v>
      </c>
      <c r="D4561">
        <f>Sinistrés!L4566</f>
        <v>15</v>
      </c>
      <c r="E4561">
        <f>Sinistrés!M4566</f>
        <v>8</v>
      </c>
      <c r="F4561">
        <f t="shared" si="142"/>
        <v>0.32422914638104511</v>
      </c>
      <c r="G4561">
        <f t="shared" si="143"/>
        <v>0.53333333333333333</v>
      </c>
    </row>
    <row r="4562" spans="1:7">
      <c r="A4562" t="str">
        <f>Sinistrés!H4567</f>
        <v>Maïs grain irrigué</v>
      </c>
      <c r="B4562">
        <f>Sinistrés!J4567</f>
        <v>64176.77</v>
      </c>
      <c r="C4562">
        <f>Sinistrés!X4567</f>
        <v>1560.4</v>
      </c>
      <c r="D4562">
        <f>Sinistrés!L4567</f>
        <v>39.44</v>
      </c>
      <c r="E4562">
        <f>Sinistrés!M4567</f>
        <v>39.44</v>
      </c>
      <c r="F4562">
        <f t="shared" si="142"/>
        <v>2.4314093713348306E-2</v>
      </c>
      <c r="G4562">
        <f t="shared" si="143"/>
        <v>1</v>
      </c>
    </row>
    <row r="4563" spans="1:7" hidden="1">
      <c r="A4563" t="str">
        <f>Sinistrés!H4568</f>
        <v>Maïs grain non irrigué</v>
      </c>
      <c r="B4563">
        <f>Sinistrés!J4568</f>
        <v>66233.97</v>
      </c>
      <c r="C4563">
        <f>Sinistrés!X4568</f>
        <v>0</v>
      </c>
      <c r="D4563">
        <f>Sinistrés!L4568</f>
        <v>38.450000000000003</v>
      </c>
      <c r="E4563">
        <f>Sinistrés!M4568</f>
        <v>18.5</v>
      </c>
      <c r="F4563">
        <f t="shared" si="142"/>
        <v>0</v>
      </c>
      <c r="G4563">
        <f t="shared" si="143"/>
        <v>0.48114434330299088</v>
      </c>
    </row>
    <row r="4564" spans="1:7" hidden="1">
      <c r="A4564" t="str">
        <f>Sinistrés!H4569</f>
        <v>Soja BIO</v>
      </c>
      <c r="B4564">
        <f>Sinistrés!J4569</f>
        <v>9274.5</v>
      </c>
      <c r="C4564">
        <f>Sinistrés!X4569</f>
        <v>3988.04</v>
      </c>
      <c r="D4564">
        <f>Sinistrés!L4569</f>
        <v>11.45</v>
      </c>
      <c r="E4564">
        <f>Sinistrés!M4569</f>
        <v>11.45</v>
      </c>
      <c r="F4564">
        <f t="shared" si="142"/>
        <v>0.43000053911262065</v>
      </c>
      <c r="G4564">
        <f t="shared" si="143"/>
        <v>1</v>
      </c>
    </row>
    <row r="4565" spans="1:7">
      <c r="A4565" t="str">
        <f>Sinistrés!H4570</f>
        <v>Maïs grain non irrigué</v>
      </c>
      <c r="B4565">
        <f>Sinistrés!J4570</f>
        <v>23778.29</v>
      </c>
      <c r="C4565">
        <f>Sinistrés!X4570</f>
        <v>11170.13</v>
      </c>
      <c r="D4565">
        <f>Sinistrés!L4570</f>
        <v>13.89</v>
      </c>
      <c r="E4565">
        <f>Sinistrés!M4570</f>
        <v>13.89</v>
      </c>
      <c r="F4565">
        <f t="shared" si="142"/>
        <v>0.46976170279696305</v>
      </c>
      <c r="G4565">
        <f t="shared" si="143"/>
        <v>1</v>
      </c>
    </row>
    <row r="4566" spans="1:7" hidden="1">
      <c r="A4566" t="str">
        <f>Sinistrés!H4571</f>
        <v>Soja</v>
      </c>
      <c r="B4566">
        <f>Sinistrés!J4571</f>
        <v>10641.46</v>
      </c>
      <c r="C4566">
        <f>Sinistrés!X4571</f>
        <v>0</v>
      </c>
      <c r="D4566">
        <f>Sinistrés!L4571</f>
        <v>10.71</v>
      </c>
      <c r="E4566">
        <f>Sinistrés!M4571</f>
        <v>13.89</v>
      </c>
      <c r="F4566">
        <f t="shared" si="142"/>
        <v>0</v>
      </c>
      <c r="G4566">
        <f t="shared" si="143"/>
        <v>1.2969187675070029</v>
      </c>
    </row>
    <row r="4567" spans="1:7">
      <c r="A4567" t="str">
        <f>Sinistrés!H4572</f>
        <v>Maïs grain non irrigué</v>
      </c>
      <c r="B4567">
        <f>Sinistrés!J4572</f>
        <v>12760.38</v>
      </c>
      <c r="C4567">
        <f>Sinistrés!X4572</f>
        <v>1439.33</v>
      </c>
      <c r="D4567">
        <f>Sinistrés!L4572</f>
        <v>9.11</v>
      </c>
      <c r="E4567">
        <f>Sinistrés!M4572</f>
        <v>9.11</v>
      </c>
      <c r="F4567">
        <f t="shared" si="142"/>
        <v>0.11279679758753267</v>
      </c>
      <c r="G4567">
        <f t="shared" si="143"/>
        <v>1</v>
      </c>
    </row>
    <row r="4568" spans="1:7" hidden="1">
      <c r="A4568" t="str">
        <f>Sinistrés!H4573</f>
        <v>Tournesol</v>
      </c>
      <c r="B4568">
        <f>Sinistrés!J4573</f>
        <v>11495.77</v>
      </c>
      <c r="C4568">
        <f>Sinistrés!X4573</f>
        <v>0</v>
      </c>
      <c r="D4568">
        <f>Sinistrés!L4573</f>
        <v>8.34</v>
      </c>
      <c r="E4568">
        <f>Sinistrés!M4573</f>
        <v>8.34</v>
      </c>
      <c r="F4568">
        <f t="shared" si="142"/>
        <v>0</v>
      </c>
      <c r="G4568">
        <f t="shared" si="143"/>
        <v>1</v>
      </c>
    </row>
    <row r="4569" spans="1:7">
      <c r="A4569" t="str">
        <f>Sinistrés!H4574</f>
        <v>Maïs grain non irrigué</v>
      </c>
      <c r="B4569">
        <f>Sinistrés!J4574</f>
        <v>114420.18</v>
      </c>
      <c r="C4569">
        <f>Sinistrés!X4574</f>
        <v>32388.33</v>
      </c>
      <c r="D4569">
        <f>Sinistrés!L4574</f>
        <v>61.22</v>
      </c>
      <c r="E4569">
        <f>Sinistrés!M4574</f>
        <v>61.22</v>
      </c>
      <c r="F4569">
        <f t="shared" si="142"/>
        <v>0.28306484048530606</v>
      </c>
      <c r="G4569">
        <f t="shared" si="143"/>
        <v>1</v>
      </c>
    </row>
    <row r="4570" spans="1:7">
      <c r="A4570" t="str">
        <f>Sinistrés!H4575</f>
        <v>Maïs waxy non irrigué</v>
      </c>
      <c r="B4570">
        <f>Sinistrés!J4575</f>
        <v>48020</v>
      </c>
      <c r="C4570">
        <f>Sinistrés!X4575</f>
        <v>30915.4</v>
      </c>
      <c r="D4570">
        <f>Sinistrés!L4575</f>
        <v>24.5</v>
      </c>
      <c r="E4570">
        <f>Sinistrés!M4575</f>
        <v>24.5</v>
      </c>
      <c r="F4570">
        <f t="shared" si="142"/>
        <v>0.64380258225739273</v>
      </c>
      <c r="G4570">
        <f t="shared" si="143"/>
        <v>1</v>
      </c>
    </row>
    <row r="4571" spans="1:7">
      <c r="A4571" t="str">
        <f>Sinistrés!H4576</f>
        <v>Maïs waxy irrigué</v>
      </c>
      <c r="B4571">
        <f>Sinistrés!J4576</f>
        <v>65884</v>
      </c>
      <c r="C4571">
        <f>Sinistrés!X4576</f>
        <v>4436.76</v>
      </c>
      <c r="D4571">
        <f>Sinistrés!L4576</f>
        <v>26</v>
      </c>
      <c r="E4571">
        <f>Sinistrés!M4576</f>
        <v>26</v>
      </c>
      <c r="F4571">
        <f t="shared" si="142"/>
        <v>6.7341995021553039E-2</v>
      </c>
      <c r="G4571">
        <f t="shared" si="143"/>
        <v>1</v>
      </c>
    </row>
    <row r="4572" spans="1:7" hidden="1">
      <c r="A4572" t="str">
        <f>Sinistrés!H4577</f>
        <v>Soja</v>
      </c>
      <c r="B4572">
        <f>Sinistrés!J4577</f>
        <v>20054.89</v>
      </c>
      <c r="C4572">
        <f>Sinistrés!X4577</f>
        <v>0</v>
      </c>
      <c r="D4572">
        <f>Sinistrés!L4577</f>
        <v>12</v>
      </c>
      <c r="E4572">
        <f>Sinistrés!M4577</f>
        <v>12</v>
      </c>
      <c r="F4572">
        <f t="shared" si="142"/>
        <v>0</v>
      </c>
      <c r="G4572">
        <f t="shared" si="143"/>
        <v>1</v>
      </c>
    </row>
    <row r="4573" spans="1:7">
      <c r="A4573" t="str">
        <f>Sinistrés!H4578</f>
        <v>Maïs grain non irrigué</v>
      </c>
      <c r="B4573">
        <f>Sinistrés!J4578</f>
        <v>3193.25</v>
      </c>
      <c r="C4573">
        <f>Sinistrés!X4578</f>
        <v>1330.19</v>
      </c>
      <c r="D4573">
        <f>Sinistrés!L4578</f>
        <v>2.34</v>
      </c>
      <c r="E4573">
        <f>Sinistrés!M4578</f>
        <v>2.34</v>
      </c>
      <c r="F4573">
        <f t="shared" si="142"/>
        <v>0.41656306271040477</v>
      </c>
      <c r="G4573">
        <f t="shared" si="143"/>
        <v>1</v>
      </c>
    </row>
    <row r="4574" spans="1:7">
      <c r="A4574" t="str">
        <f>Sinistrés!H4579</f>
        <v>Sorgho</v>
      </c>
      <c r="B4574">
        <f>Sinistrés!J4579</f>
        <v>9972.35</v>
      </c>
      <c r="C4574">
        <f>Sinistrés!X4579</f>
        <v>2949.8</v>
      </c>
      <c r="D4574">
        <f>Sinistrés!L4579</f>
        <v>9.5500000000000007</v>
      </c>
      <c r="E4574">
        <f>Sinistrés!M4579</f>
        <v>9.5500000000000007</v>
      </c>
      <c r="F4574">
        <f t="shared" si="142"/>
        <v>0.29579788114135586</v>
      </c>
      <c r="G4574">
        <f t="shared" si="143"/>
        <v>1</v>
      </c>
    </row>
    <row r="4575" spans="1:7">
      <c r="A4575" t="str">
        <f>Sinistrés!H4580</f>
        <v>Maïs grain non irrigué</v>
      </c>
      <c r="B4575">
        <f>Sinistrés!J4580</f>
        <v>56751.7</v>
      </c>
      <c r="C4575">
        <f>Sinistrés!X4580</f>
        <v>5911.68</v>
      </c>
      <c r="D4575">
        <f>Sinistrés!L4580</f>
        <v>24.65</v>
      </c>
      <c r="E4575">
        <f>Sinistrés!M4580</f>
        <v>21</v>
      </c>
      <c r="F4575">
        <f t="shared" si="142"/>
        <v>0.10416745225253166</v>
      </c>
      <c r="G4575">
        <f t="shared" si="143"/>
        <v>0.85192697768762682</v>
      </c>
    </row>
    <row r="4576" spans="1:7">
      <c r="A4576" t="str">
        <f>Sinistrés!H4581</f>
        <v>Maïs grain irrigué</v>
      </c>
      <c r="B4576">
        <f>Sinistrés!J4581</f>
        <v>79115.399999999994</v>
      </c>
      <c r="C4576">
        <f>Sinistrés!X4581</f>
        <v>768</v>
      </c>
      <c r="D4576">
        <f>Sinistrés!L4581</f>
        <v>33.6</v>
      </c>
      <c r="E4576">
        <f>Sinistrés!M4581</f>
        <v>20</v>
      </c>
      <c r="F4576">
        <f t="shared" si="142"/>
        <v>9.707338899885485E-3</v>
      </c>
      <c r="G4576">
        <f t="shared" si="143"/>
        <v>0.59523809523809523</v>
      </c>
    </row>
    <row r="4577" spans="1:7" hidden="1">
      <c r="A4577" t="str">
        <f>Sinistrés!H4582</f>
        <v>Maïs grain non irrigué</v>
      </c>
      <c r="B4577">
        <f>Sinistrés!J4582</f>
        <v>120003.91</v>
      </c>
      <c r="C4577">
        <f>Sinistrés!X4582</f>
        <v>0</v>
      </c>
      <c r="D4577">
        <f>Sinistrés!L4582</f>
        <v>66.61</v>
      </c>
      <c r="E4577">
        <f>Sinistrés!M4582</f>
        <v>66.61</v>
      </c>
      <c r="F4577">
        <f t="shared" si="142"/>
        <v>0</v>
      </c>
      <c r="G4577">
        <f t="shared" si="143"/>
        <v>1</v>
      </c>
    </row>
    <row r="4578" spans="1:7">
      <c r="A4578" t="str">
        <f>Sinistrés!H4583</f>
        <v>Maïs grain non irrigué</v>
      </c>
      <c r="B4578">
        <f>Sinistrés!J4583</f>
        <v>33761.800000000003</v>
      </c>
      <c r="C4578">
        <f>Sinistrés!X4583</f>
        <v>66212.69</v>
      </c>
      <c r="D4578">
        <f>Sinistrés!L4583</f>
        <v>18.739999999999998</v>
      </c>
      <c r="E4578">
        <f>Sinistrés!M4583</f>
        <v>18.739999999999998</v>
      </c>
      <c r="F4578">
        <f t="shared" si="142"/>
        <v>1.9611717977122072</v>
      </c>
      <c r="G4578">
        <f t="shared" si="143"/>
        <v>1</v>
      </c>
    </row>
    <row r="4579" spans="1:7">
      <c r="A4579" t="str">
        <f>Sinistrés!H4584</f>
        <v>Maïs grain non irrigué</v>
      </c>
      <c r="B4579">
        <f>Sinistrés!J4584</f>
        <v>76692.56</v>
      </c>
      <c r="C4579">
        <f>Sinistrés!X4584</f>
        <v>38519.410000000003</v>
      </c>
      <c r="D4579">
        <f>Sinistrés!L4584</f>
        <v>38.11</v>
      </c>
      <c r="E4579">
        <f>Sinistrés!M4584</f>
        <v>38.11</v>
      </c>
      <c r="F4579">
        <f t="shared" si="142"/>
        <v>0.50225745496042906</v>
      </c>
      <c r="G4579">
        <f t="shared" si="143"/>
        <v>1</v>
      </c>
    </row>
    <row r="4580" spans="1:7" hidden="1">
      <c r="A4580" t="str">
        <f>Sinistrés!H4585</f>
        <v>Maïs grain irrigué SEMENCES FERTILES</v>
      </c>
      <c r="B4580">
        <f>Sinistrés!J4585</f>
        <v>80316</v>
      </c>
      <c r="C4580">
        <f>Sinistrés!X4585</f>
        <v>5936.4</v>
      </c>
      <c r="D4580">
        <f>Sinistrés!L4585</f>
        <v>19.399999999999999</v>
      </c>
      <c r="E4580">
        <f>Sinistrés!M4585</f>
        <v>19.399999999999999</v>
      </c>
      <c r="F4580">
        <f t="shared" si="142"/>
        <v>7.3913043478260859E-2</v>
      </c>
      <c r="G4580">
        <f t="shared" si="143"/>
        <v>1</v>
      </c>
    </row>
    <row r="4581" spans="1:7">
      <c r="A4581" t="str">
        <f>Sinistrés!H4586</f>
        <v>Maïs grain irrigué</v>
      </c>
      <c r="B4581">
        <f>Sinistrés!J4586</f>
        <v>55332</v>
      </c>
      <c r="C4581">
        <f>Sinistrés!X4586</f>
        <v>387.9</v>
      </c>
      <c r="D4581">
        <f>Sinistrés!L4586</f>
        <v>26.5</v>
      </c>
      <c r="E4581">
        <f>Sinistrés!M4586</f>
        <v>4</v>
      </c>
      <c r="F4581">
        <f t="shared" si="142"/>
        <v>7.0104098893949245E-3</v>
      </c>
      <c r="G4581">
        <f t="shared" si="143"/>
        <v>0.15094339622641509</v>
      </c>
    </row>
    <row r="4582" spans="1:7" hidden="1">
      <c r="A4582" t="str">
        <f>Sinistrés!H4587</f>
        <v>Maïs waxy non irrigué</v>
      </c>
      <c r="B4582">
        <f>Sinistrés!J4587</f>
        <v>41829.21</v>
      </c>
      <c r="C4582">
        <f>Sinistrés!X4587</f>
        <v>0</v>
      </c>
      <c r="D4582">
        <f>Sinistrés!L4587</f>
        <v>22.85</v>
      </c>
      <c r="E4582">
        <f>Sinistrés!M4587</f>
        <v>12</v>
      </c>
      <c r="F4582">
        <f t="shared" si="142"/>
        <v>0</v>
      </c>
      <c r="G4582">
        <f t="shared" si="143"/>
        <v>0.52516411378555794</v>
      </c>
    </row>
    <row r="4583" spans="1:7" hidden="1">
      <c r="A4583" t="str">
        <f>Sinistrés!H4588</f>
        <v>Maïs grain irrigué</v>
      </c>
      <c r="B4583">
        <f>Sinistrés!J4588</f>
        <v>165974.9</v>
      </c>
      <c r="C4583">
        <f>Sinistrés!X4588</f>
        <v>0</v>
      </c>
      <c r="D4583">
        <f>Sinistrés!L4588</f>
        <v>61</v>
      </c>
      <c r="E4583">
        <f>Sinistrés!M4588</f>
        <v>61</v>
      </c>
      <c r="F4583">
        <f t="shared" si="142"/>
        <v>0</v>
      </c>
      <c r="G4583">
        <f t="shared" si="143"/>
        <v>1</v>
      </c>
    </row>
    <row r="4584" spans="1:7" hidden="1">
      <c r="A4584" t="str">
        <f>Sinistrés!H4589</f>
        <v>Maïs grain non irrigué</v>
      </c>
      <c r="B4584">
        <f>Sinistrés!J4589</f>
        <v>154660</v>
      </c>
      <c r="C4584">
        <f>Sinistrés!X4589</f>
        <v>0</v>
      </c>
      <c r="D4584">
        <f>Sinistrés!L4589</f>
        <v>74</v>
      </c>
      <c r="E4584">
        <f>Sinistrés!M4589</f>
        <v>74</v>
      </c>
      <c r="F4584">
        <f t="shared" si="142"/>
        <v>0</v>
      </c>
      <c r="G4584">
        <f t="shared" si="143"/>
        <v>1</v>
      </c>
    </row>
    <row r="4585" spans="1:7">
      <c r="A4585" t="str">
        <f>Sinistrés!H4590</f>
        <v>Maïs grain non irrigué</v>
      </c>
      <c r="B4585">
        <f>Sinistrés!J4590</f>
        <v>51420.1</v>
      </c>
      <c r="C4585">
        <f>Sinistrés!X4590</f>
        <v>20014.490000000002</v>
      </c>
      <c r="D4585">
        <f>Sinistrés!L4590</f>
        <v>29.43</v>
      </c>
      <c r="E4585">
        <f>Sinistrés!M4590</f>
        <v>29.43</v>
      </c>
      <c r="F4585">
        <f t="shared" si="142"/>
        <v>0.38923475450261674</v>
      </c>
      <c r="G4585">
        <f t="shared" si="143"/>
        <v>1</v>
      </c>
    </row>
    <row r="4586" spans="1:7">
      <c r="A4586" t="str">
        <f>Sinistrés!H4591</f>
        <v>Maïs grain irrigué</v>
      </c>
      <c r="B4586">
        <f>Sinistrés!J4591</f>
        <v>77073.919999999998</v>
      </c>
      <c r="C4586">
        <f>Sinistrés!X4591</f>
        <v>17135.240000000002</v>
      </c>
      <c r="D4586">
        <f>Sinistrés!L4591</f>
        <v>37.4</v>
      </c>
      <c r="E4586">
        <f>Sinistrés!M4591</f>
        <v>37.4</v>
      </c>
      <c r="F4586">
        <f t="shared" si="142"/>
        <v>0.22232215514664366</v>
      </c>
      <c r="G4586">
        <f t="shared" si="143"/>
        <v>1</v>
      </c>
    </row>
    <row r="4587" spans="1:7" hidden="1">
      <c r="A4587" t="str">
        <f>Sinistrés!H4592</f>
        <v>Maïs grain non irrigué</v>
      </c>
      <c r="B4587">
        <f>Sinistrés!J4592</f>
        <v>81210.899999999994</v>
      </c>
      <c r="C4587">
        <f>Sinistrés!X4592</f>
        <v>0</v>
      </c>
      <c r="D4587">
        <f>Sinistrés!L4592</f>
        <v>32.15</v>
      </c>
      <c r="E4587">
        <f>Sinistrés!M4592</f>
        <v>25</v>
      </c>
      <c r="F4587">
        <f t="shared" si="142"/>
        <v>0</v>
      </c>
      <c r="G4587">
        <f t="shared" si="143"/>
        <v>0.77760497667185069</v>
      </c>
    </row>
    <row r="4588" spans="1:7" hidden="1">
      <c r="A4588" t="str">
        <f>Sinistrés!H4593</f>
        <v>Soja</v>
      </c>
      <c r="B4588">
        <f>Sinistrés!J4593</f>
        <v>10089.6</v>
      </c>
      <c r="C4588">
        <f>Sinistrés!X4593</f>
        <v>0</v>
      </c>
      <c r="D4588">
        <f>Sinistrés!L4593</f>
        <v>10.51</v>
      </c>
      <c r="E4588">
        <f>Sinistrés!M4593</f>
        <v>10.51</v>
      </c>
      <c r="F4588">
        <f t="shared" si="142"/>
        <v>0</v>
      </c>
      <c r="G4588">
        <f t="shared" si="143"/>
        <v>1</v>
      </c>
    </row>
    <row r="4589" spans="1:7">
      <c r="A4589" t="str">
        <f>Sinistrés!H4594</f>
        <v>Maïs grain non irrigué</v>
      </c>
      <c r="B4589">
        <f>Sinistrés!J4594</f>
        <v>53951.63</v>
      </c>
      <c r="C4589">
        <f>Sinistrés!X4594</f>
        <v>720.04</v>
      </c>
      <c r="D4589">
        <f>Sinistrés!L4594</f>
        <v>29.75</v>
      </c>
      <c r="E4589">
        <f>Sinistrés!M4594</f>
        <v>29.75</v>
      </c>
      <c r="F4589">
        <f t="shared" si="142"/>
        <v>1.3346028655668049E-2</v>
      </c>
      <c r="G4589">
        <f t="shared" si="143"/>
        <v>1</v>
      </c>
    </row>
    <row r="4590" spans="1:7">
      <c r="A4590" t="str">
        <f>Sinistrés!H4595</f>
        <v>Maïs grain non irrigué</v>
      </c>
      <c r="B4590">
        <f>Sinistrés!J4595</f>
        <v>108834</v>
      </c>
      <c r="C4590">
        <f>Sinistrés!X4595</f>
        <v>69098.7</v>
      </c>
      <c r="D4590">
        <f>Sinistrés!L4595</f>
        <v>51</v>
      </c>
      <c r="E4590">
        <f>Sinistrés!M4595</f>
        <v>51</v>
      </c>
      <c r="F4590">
        <f t="shared" si="142"/>
        <v>0.63489993935718614</v>
      </c>
      <c r="G4590">
        <f t="shared" si="143"/>
        <v>1</v>
      </c>
    </row>
    <row r="4591" spans="1:7" hidden="1">
      <c r="A4591" t="str">
        <f>Sinistrés!H4596</f>
        <v>Maïs grain irrigué</v>
      </c>
      <c r="B4591">
        <f>Sinistrés!J4596</f>
        <v>25300</v>
      </c>
      <c r="C4591">
        <f>Sinistrés!X4596</f>
        <v>0</v>
      </c>
      <c r="D4591">
        <f>Sinistrés!L4596</f>
        <v>11</v>
      </c>
      <c r="E4591">
        <f>Sinistrés!M4596</f>
        <v>11</v>
      </c>
      <c r="F4591">
        <f t="shared" si="142"/>
        <v>0</v>
      </c>
      <c r="G4591">
        <f t="shared" si="143"/>
        <v>1</v>
      </c>
    </row>
    <row r="4592" spans="1:7">
      <c r="A4592" t="str">
        <f>Sinistrés!H4597</f>
        <v>Maïs ensilage non irrigué</v>
      </c>
      <c r="B4592">
        <f>Sinistrés!J4597</f>
        <v>6820.11</v>
      </c>
      <c r="C4592">
        <f>Sinistrés!X4597</f>
        <v>1825.7</v>
      </c>
      <c r="D4592">
        <f>Sinistrés!L4597</f>
        <v>5.83</v>
      </c>
      <c r="E4592">
        <f>Sinistrés!M4597</f>
        <v>5.83</v>
      </c>
      <c r="F4592">
        <f t="shared" si="142"/>
        <v>0.26769362957488957</v>
      </c>
      <c r="G4592">
        <f t="shared" si="143"/>
        <v>1</v>
      </c>
    </row>
    <row r="4593" spans="1:7">
      <c r="A4593" t="str">
        <f>Sinistrés!H4598</f>
        <v>Maïs grain non irrigué</v>
      </c>
      <c r="B4593">
        <f>Sinistrés!J4598</f>
        <v>66233.97</v>
      </c>
      <c r="C4593">
        <f>Sinistrés!X4598</f>
        <v>9325.75</v>
      </c>
      <c r="D4593">
        <f>Sinistrés!L4598</f>
        <v>38.450000000000003</v>
      </c>
      <c r="E4593">
        <f>Sinistrés!M4598</f>
        <v>14.4</v>
      </c>
      <c r="F4593">
        <f t="shared" si="142"/>
        <v>0.1408001060483012</v>
      </c>
      <c r="G4593">
        <f t="shared" si="143"/>
        <v>0.3745123537061118</v>
      </c>
    </row>
    <row r="4594" spans="1:7">
      <c r="A4594" t="str">
        <f>Sinistrés!H4599</f>
        <v>Maïs grain irrigué</v>
      </c>
      <c r="B4594">
        <f>Sinistrés!J4599</f>
        <v>17676.23</v>
      </c>
      <c r="C4594">
        <f>Sinistrés!X4599</f>
        <v>498.8</v>
      </c>
      <c r="D4594">
        <f>Sinistrés!L4599</f>
        <v>12.47</v>
      </c>
      <c r="E4594">
        <f>Sinistrés!M4599</f>
        <v>12.47</v>
      </c>
      <c r="F4594">
        <f t="shared" si="142"/>
        <v>2.8218686903259349E-2</v>
      </c>
      <c r="G4594">
        <f t="shared" si="143"/>
        <v>1</v>
      </c>
    </row>
    <row r="4595" spans="1:7" hidden="1">
      <c r="A4595" t="str">
        <f>Sinistrés!H4600</f>
        <v>Sorgho</v>
      </c>
      <c r="B4595">
        <f>Sinistrés!J4600</f>
        <v>18893.25</v>
      </c>
      <c r="C4595">
        <f>Sinistrés!X4600</f>
        <v>0</v>
      </c>
      <c r="D4595">
        <f>Sinistrés!L4600</f>
        <v>12.15</v>
      </c>
      <c r="E4595">
        <f>Sinistrés!M4600</f>
        <v>12.15</v>
      </c>
      <c r="F4595">
        <f t="shared" si="142"/>
        <v>0</v>
      </c>
      <c r="G4595">
        <f t="shared" si="143"/>
        <v>1</v>
      </c>
    </row>
    <row r="4596" spans="1:7" hidden="1">
      <c r="A4596" t="str">
        <f>Sinistrés!H4601</f>
        <v>Sorgho</v>
      </c>
      <c r="B4596">
        <f>Sinistrés!J4601</f>
        <v>16265.3</v>
      </c>
      <c r="C4596">
        <f>Sinistrés!X4601</f>
        <v>0</v>
      </c>
      <c r="D4596">
        <f>Sinistrés!L4601</f>
        <v>10.46</v>
      </c>
      <c r="E4596">
        <f>Sinistrés!M4601</f>
        <v>10.46</v>
      </c>
      <c r="F4596">
        <f t="shared" si="142"/>
        <v>0</v>
      </c>
      <c r="G4596">
        <f t="shared" si="143"/>
        <v>1</v>
      </c>
    </row>
    <row r="4597" spans="1:7" hidden="1">
      <c r="A4597" t="str">
        <f>Sinistrés!H4602</f>
        <v>Maïs grain non irrigué</v>
      </c>
      <c r="B4597">
        <f>Sinistrés!J4602</f>
        <v>138882.59</v>
      </c>
      <c r="C4597">
        <f>Sinistrés!X4602</f>
        <v>0</v>
      </c>
      <c r="D4597">
        <f>Sinistrés!L4602</f>
        <v>77</v>
      </c>
      <c r="E4597">
        <f>Sinistrés!M4602</f>
        <v>77</v>
      </c>
      <c r="F4597">
        <f t="shared" si="142"/>
        <v>0</v>
      </c>
      <c r="G4597">
        <f t="shared" si="143"/>
        <v>1</v>
      </c>
    </row>
    <row r="4598" spans="1:7">
      <c r="A4598" t="str">
        <f>Sinistrés!H4603</f>
        <v>Maïs grain irrigué</v>
      </c>
      <c r="B4598">
        <f>Sinistrés!J4603</f>
        <v>25070.1</v>
      </c>
      <c r="C4598">
        <f>Sinistrés!X4603</f>
        <v>984.22</v>
      </c>
      <c r="D4598">
        <f>Sinistrés!L4603</f>
        <v>14.2</v>
      </c>
      <c r="E4598">
        <f>Sinistrés!M4603</f>
        <v>14.2</v>
      </c>
      <c r="F4598">
        <f t="shared" si="142"/>
        <v>3.9258718553176898E-2</v>
      </c>
      <c r="G4598">
        <f t="shared" si="143"/>
        <v>1</v>
      </c>
    </row>
    <row r="4599" spans="1:7">
      <c r="A4599" t="str">
        <f>Sinistrés!H4604</f>
        <v>Maïs grain non irrigué</v>
      </c>
      <c r="B4599">
        <f>Sinistrés!J4604</f>
        <v>25107.72</v>
      </c>
      <c r="C4599">
        <f>Sinistrés!X4604</f>
        <v>1807.62</v>
      </c>
      <c r="D4599">
        <f>Sinistrés!L4604</f>
        <v>16.54</v>
      </c>
      <c r="E4599">
        <f>Sinistrés!M4604</f>
        <v>16.54</v>
      </c>
      <c r="F4599">
        <f t="shared" si="142"/>
        <v>7.1994589711849577E-2</v>
      </c>
      <c r="G4599">
        <f t="shared" si="143"/>
        <v>1</v>
      </c>
    </row>
    <row r="4600" spans="1:7">
      <c r="A4600" t="str">
        <f>Sinistrés!H4605</f>
        <v>Tournesol</v>
      </c>
      <c r="B4600">
        <f>Sinistrés!J4605</f>
        <v>18973.68</v>
      </c>
      <c r="C4600">
        <f>Sinistrés!X4605</f>
        <v>2109.67</v>
      </c>
      <c r="D4600">
        <f>Sinistrés!L4605</f>
        <v>10.119999999999999</v>
      </c>
      <c r="E4600">
        <f>Sinistrés!M4605</f>
        <v>10.119999999999999</v>
      </c>
      <c r="F4600">
        <f t="shared" si="142"/>
        <v>0.11118928958430838</v>
      </c>
      <c r="G4600">
        <f t="shared" si="143"/>
        <v>1</v>
      </c>
    </row>
    <row r="4601" spans="1:7">
      <c r="A4601" t="str">
        <f>Sinistrés!H4606</f>
        <v>Maïs pop corn irrigué</v>
      </c>
      <c r="B4601">
        <f>Sinistrés!J4606</f>
        <v>175214.4</v>
      </c>
      <c r="C4601">
        <f>Sinistrés!X4606</f>
        <v>1771.52</v>
      </c>
      <c r="D4601">
        <f>Sinistrés!L4606</f>
        <v>80</v>
      </c>
      <c r="E4601">
        <f>Sinistrés!M4606</f>
        <v>80</v>
      </c>
      <c r="F4601">
        <f t="shared" si="142"/>
        <v>1.0110584518167457E-2</v>
      </c>
      <c r="G4601">
        <f t="shared" si="143"/>
        <v>1</v>
      </c>
    </row>
    <row r="4602" spans="1:7">
      <c r="A4602" t="str">
        <f>Sinistrés!H4607</f>
        <v>Soja</v>
      </c>
      <c r="B4602">
        <f>Sinistrés!J4607</f>
        <v>15177.6</v>
      </c>
      <c r="C4602">
        <f>Sinistrés!X4607</f>
        <v>6248.52</v>
      </c>
      <c r="D4602">
        <f>Sinistrés!L4607</f>
        <v>17</v>
      </c>
      <c r="E4602">
        <f>Sinistrés!M4607</f>
        <v>17</v>
      </c>
      <c r="F4602">
        <f t="shared" si="142"/>
        <v>0.41169354838709682</v>
      </c>
      <c r="G4602">
        <f t="shared" si="143"/>
        <v>1</v>
      </c>
    </row>
    <row r="4603" spans="1:7">
      <c r="A4603" t="str">
        <f>Sinistrés!H4608</f>
        <v>Tournesol</v>
      </c>
      <c r="B4603">
        <f>Sinistrés!J4608</f>
        <v>3864</v>
      </c>
      <c r="C4603">
        <f>Sinistrés!X4608</f>
        <v>1940.4</v>
      </c>
      <c r="D4603">
        <f>Sinistrés!L4608</f>
        <v>2.8</v>
      </c>
      <c r="E4603">
        <f>Sinistrés!M4608</f>
        <v>2.8</v>
      </c>
      <c r="F4603">
        <f t="shared" si="142"/>
        <v>0.50217391304347825</v>
      </c>
      <c r="G4603">
        <f t="shared" si="143"/>
        <v>1</v>
      </c>
    </row>
    <row r="4604" spans="1:7" hidden="1">
      <c r="A4604" t="str">
        <f>Sinistrés!H4609</f>
        <v>Tournesol</v>
      </c>
      <c r="B4604">
        <f>Sinistrés!J4609</f>
        <v>8616.2999999999993</v>
      </c>
      <c r="C4604">
        <f>Sinistrés!X4609</f>
        <v>0</v>
      </c>
      <c r="D4604">
        <f>Sinistrés!L4609</f>
        <v>7.46</v>
      </c>
      <c r="E4604">
        <f>Sinistrés!M4609</f>
        <v>7.46</v>
      </c>
      <c r="F4604">
        <f t="shared" si="142"/>
        <v>0</v>
      </c>
      <c r="G4604">
        <f t="shared" si="143"/>
        <v>1</v>
      </c>
    </row>
    <row r="4605" spans="1:7" hidden="1">
      <c r="A4605" t="str">
        <f>Sinistrés!H4610</f>
        <v>Maïs grain irrigué</v>
      </c>
      <c r="B4605">
        <f>Sinistrés!J4610</f>
        <v>3615</v>
      </c>
      <c r="C4605">
        <f>Sinistrés!X4610</f>
        <v>0</v>
      </c>
      <c r="D4605">
        <f>Sinistrés!L4610</f>
        <v>2.41</v>
      </c>
      <c r="E4605">
        <f>Sinistrés!M4610</f>
        <v>2.41</v>
      </c>
      <c r="F4605">
        <f t="shared" si="142"/>
        <v>0</v>
      </c>
      <c r="G4605">
        <f t="shared" si="143"/>
        <v>1</v>
      </c>
    </row>
    <row r="4606" spans="1:7" hidden="1">
      <c r="A4606" t="str">
        <f>Sinistrés!H4611</f>
        <v>Lin textile</v>
      </c>
      <c r="B4606">
        <f>Sinistrés!J4611</f>
        <v>25668.3</v>
      </c>
      <c r="C4606">
        <f>Sinistrés!X4611</f>
        <v>0</v>
      </c>
      <c r="D4606">
        <f>Sinistrés!L4611</f>
        <v>21.57</v>
      </c>
      <c r="E4606">
        <f>Sinistrés!M4611</f>
        <v>21.57</v>
      </c>
      <c r="F4606">
        <f t="shared" si="142"/>
        <v>0</v>
      </c>
      <c r="G4606">
        <f t="shared" si="143"/>
        <v>1</v>
      </c>
    </row>
    <row r="4607" spans="1:7">
      <c r="A4607" t="str">
        <f>Sinistrés!H4612</f>
        <v>Maïs waxy irrigué</v>
      </c>
      <c r="B4607">
        <f>Sinistrés!J4612</f>
        <v>65853.81</v>
      </c>
      <c r="C4607">
        <f>Sinistrés!X4612</f>
        <v>5686.25</v>
      </c>
      <c r="D4607">
        <f>Sinistrés!L4612</f>
        <v>27</v>
      </c>
      <c r="E4607">
        <f>Sinistrés!M4612</f>
        <v>27</v>
      </c>
      <c r="F4607">
        <f t="shared" si="142"/>
        <v>8.6346560662169738E-2</v>
      </c>
      <c r="G4607">
        <f t="shared" si="143"/>
        <v>1</v>
      </c>
    </row>
    <row r="4608" spans="1:7">
      <c r="A4608" t="str">
        <f>Sinistrés!H4613</f>
        <v>Maïs waxy non irrigué</v>
      </c>
      <c r="B4608">
        <f>Sinistrés!J4613</f>
        <v>32838.080000000002</v>
      </c>
      <c r="C4608">
        <f>Sinistrés!X4613</f>
        <v>21206.76</v>
      </c>
      <c r="D4608">
        <f>Sinistrés!L4613</f>
        <v>16</v>
      </c>
      <c r="E4608">
        <f>Sinistrés!M4613</f>
        <v>16</v>
      </c>
      <c r="F4608">
        <f t="shared" si="142"/>
        <v>0.64579780547461962</v>
      </c>
      <c r="G4608">
        <f t="shared" si="143"/>
        <v>1</v>
      </c>
    </row>
    <row r="4609" spans="1:7" hidden="1">
      <c r="A4609" t="str">
        <f>Sinistrés!H4614</f>
        <v>Soja</v>
      </c>
      <c r="B4609">
        <f>Sinistrés!J4614</f>
        <v>13125.87</v>
      </c>
      <c r="C4609">
        <f>Sinistrés!X4614</f>
        <v>0</v>
      </c>
      <c r="D4609">
        <f>Sinistrés!L4614</f>
        <v>8.5</v>
      </c>
      <c r="E4609">
        <f>Sinistrés!M4614</f>
        <v>8.5</v>
      </c>
      <c r="F4609">
        <f t="shared" si="142"/>
        <v>0</v>
      </c>
      <c r="G4609">
        <f t="shared" si="143"/>
        <v>1</v>
      </c>
    </row>
    <row r="4610" spans="1:7">
      <c r="A4610" t="str">
        <f>Sinistrés!H4615</f>
        <v>Tournesol</v>
      </c>
      <c r="B4610">
        <f>Sinistrés!J4615</f>
        <v>15750</v>
      </c>
      <c r="C4610">
        <f>Sinistrés!X4615</f>
        <v>5880</v>
      </c>
      <c r="D4610">
        <f>Sinistrés!L4615</f>
        <v>10.5</v>
      </c>
      <c r="E4610">
        <f>Sinistrés!M4615</f>
        <v>10.5</v>
      </c>
      <c r="F4610">
        <f t="shared" si="142"/>
        <v>0.37333333333333335</v>
      </c>
      <c r="G4610">
        <f t="shared" si="143"/>
        <v>1</v>
      </c>
    </row>
    <row r="4611" spans="1:7">
      <c r="A4611" t="str">
        <f>Sinistrés!H4616</f>
        <v>Maïs waxy non irrigué</v>
      </c>
      <c r="B4611">
        <f>Sinistrés!J4616</f>
        <v>61529.599999999999</v>
      </c>
      <c r="C4611">
        <f>Sinistrés!X4616</f>
        <v>30436.25</v>
      </c>
      <c r="D4611">
        <f>Sinistrés!L4616</f>
        <v>32</v>
      </c>
      <c r="E4611">
        <f>Sinistrés!M4616</f>
        <v>32</v>
      </c>
      <c r="F4611">
        <f t="shared" ref="F4611:F4674" si="144">C4611/B4611</f>
        <v>0.49466029358227587</v>
      </c>
      <c r="G4611">
        <f t="shared" ref="G4611:G4674" si="145">E4611/D4611</f>
        <v>1</v>
      </c>
    </row>
    <row r="4612" spans="1:7">
      <c r="A4612" t="str">
        <f>Sinistrés!H4617</f>
        <v>Soja</v>
      </c>
      <c r="B4612">
        <f>Sinistrés!J4617</f>
        <v>18298.8</v>
      </c>
      <c r="C4612">
        <f>Sinistrés!X4617</f>
        <v>8611.2000000000007</v>
      </c>
      <c r="D4612">
        <f>Sinistrés!L4617</f>
        <v>13</v>
      </c>
      <c r="E4612">
        <f>Sinistrés!M4617</f>
        <v>13</v>
      </c>
      <c r="F4612">
        <f t="shared" si="144"/>
        <v>0.4705882352941177</v>
      </c>
      <c r="G4612">
        <f t="shared" si="145"/>
        <v>1</v>
      </c>
    </row>
    <row r="4613" spans="1:7">
      <c r="A4613" t="str">
        <f>Sinistrés!H4618</f>
        <v>Maïs waxy irrigué</v>
      </c>
      <c r="B4613">
        <f>Sinistrés!J4618</f>
        <v>50452.6</v>
      </c>
      <c r="C4613">
        <f>Sinistrés!X4618</f>
        <v>5435.98</v>
      </c>
      <c r="D4613">
        <f>Sinistrés!L4618</f>
        <v>20</v>
      </c>
      <c r="E4613">
        <f>Sinistrés!M4618</f>
        <v>20</v>
      </c>
      <c r="F4613">
        <f t="shared" si="144"/>
        <v>0.1077442986089914</v>
      </c>
      <c r="G4613">
        <f t="shared" si="145"/>
        <v>1</v>
      </c>
    </row>
    <row r="4614" spans="1:7">
      <c r="A4614" t="str">
        <f>Sinistrés!H4619</f>
        <v>Sorgho</v>
      </c>
      <c r="B4614">
        <f>Sinistrés!J4619</f>
        <v>7791</v>
      </c>
      <c r="C4614">
        <f>Sinistrés!X4619</f>
        <v>2947.35</v>
      </c>
      <c r="D4614">
        <f>Sinistrés!L4619</f>
        <v>8.4</v>
      </c>
      <c r="E4614">
        <f>Sinistrés!M4619</f>
        <v>8.4</v>
      </c>
      <c r="F4614">
        <f t="shared" si="144"/>
        <v>0.3783018867924528</v>
      </c>
      <c r="G4614">
        <f t="shared" si="145"/>
        <v>1</v>
      </c>
    </row>
    <row r="4615" spans="1:7">
      <c r="A4615" t="str">
        <f>Sinistrés!H4620</f>
        <v>Tournesol</v>
      </c>
      <c r="B4615">
        <f>Sinistrés!J4620</f>
        <v>13627.5</v>
      </c>
      <c r="C4615">
        <f>Sinistrés!X4620</f>
        <v>6250.88</v>
      </c>
      <c r="D4615">
        <f>Sinistrés!L4620</f>
        <v>11.85</v>
      </c>
      <c r="E4615">
        <f>Sinistrés!M4620</f>
        <v>11.85</v>
      </c>
      <c r="F4615">
        <f t="shared" si="144"/>
        <v>0.4586960190790681</v>
      </c>
      <c r="G4615">
        <f t="shared" si="145"/>
        <v>1</v>
      </c>
    </row>
    <row r="4616" spans="1:7" hidden="1">
      <c r="A4616" t="str">
        <f>Sinistrés!H4621</f>
        <v>Maïs grain irrigué</v>
      </c>
      <c r="B4616">
        <f>Sinistrés!J4621</f>
        <v>21065.31</v>
      </c>
      <c r="C4616">
        <f>Sinistrés!X4621</f>
        <v>0</v>
      </c>
      <c r="D4616">
        <f>Sinistrés!L4621</f>
        <v>12.18</v>
      </c>
      <c r="E4616">
        <f>Sinistrés!M4621</f>
        <v>12.18</v>
      </c>
      <c r="F4616">
        <f t="shared" si="144"/>
        <v>0</v>
      </c>
      <c r="G4616">
        <f t="shared" si="145"/>
        <v>1</v>
      </c>
    </row>
    <row r="4617" spans="1:7" hidden="1">
      <c r="A4617" t="str">
        <f>Sinistrés!H4622</f>
        <v>Maïs grain non irrigué</v>
      </c>
      <c r="B4617">
        <f>Sinistrés!J4622</f>
        <v>37033.050000000003</v>
      </c>
      <c r="C4617">
        <f>Sinistrés!X4622</f>
        <v>0</v>
      </c>
      <c r="D4617">
        <f>Sinistrés!L4622</f>
        <v>23.9</v>
      </c>
      <c r="E4617">
        <f>Sinistrés!M4622</f>
        <v>23.9</v>
      </c>
      <c r="F4617">
        <f t="shared" si="144"/>
        <v>0</v>
      </c>
      <c r="G4617">
        <f t="shared" si="145"/>
        <v>1</v>
      </c>
    </row>
    <row r="4618" spans="1:7" hidden="1">
      <c r="A4618" t="str">
        <f>Sinistrés!H4623</f>
        <v>Soja</v>
      </c>
      <c r="B4618">
        <f>Sinistrés!J4623</f>
        <v>14988</v>
      </c>
      <c r="C4618">
        <f>Sinistrés!X4623</f>
        <v>0</v>
      </c>
      <c r="D4618">
        <f>Sinistrés!L4623</f>
        <v>12.49</v>
      </c>
      <c r="E4618">
        <f>Sinistrés!M4623</f>
        <v>12.49</v>
      </c>
      <c r="F4618">
        <f t="shared" si="144"/>
        <v>0</v>
      </c>
      <c r="G4618">
        <f t="shared" si="145"/>
        <v>1</v>
      </c>
    </row>
    <row r="4619" spans="1:7">
      <c r="A4619" t="str">
        <f>Sinistrés!H4624</f>
        <v>Maïs grain irrigué</v>
      </c>
      <c r="B4619">
        <f>Sinistrés!J4624</f>
        <v>29260</v>
      </c>
      <c r="C4619">
        <f>Sinistrés!X4624</f>
        <v>2340.8000000000002</v>
      </c>
      <c r="D4619">
        <f>Sinistrés!L4624</f>
        <v>14</v>
      </c>
      <c r="E4619">
        <f>Sinistrés!M4624</f>
        <v>14</v>
      </c>
      <c r="F4619">
        <f t="shared" si="144"/>
        <v>0.08</v>
      </c>
      <c r="G4619">
        <f t="shared" si="145"/>
        <v>1</v>
      </c>
    </row>
    <row r="4620" spans="1:7">
      <c r="A4620" t="str">
        <f>Sinistrés!H4625</f>
        <v>Maïs grain non irrigué</v>
      </c>
      <c r="B4620">
        <f>Sinistrés!J4625</f>
        <v>88918.1</v>
      </c>
      <c r="C4620">
        <f>Sinistrés!X4625</f>
        <v>49643.49</v>
      </c>
      <c r="D4620">
        <f>Sinistrés!L4625</f>
        <v>53</v>
      </c>
      <c r="E4620">
        <f>Sinistrés!M4625</f>
        <v>53</v>
      </c>
      <c r="F4620">
        <f t="shared" si="144"/>
        <v>0.5583057892600044</v>
      </c>
      <c r="G4620">
        <f t="shared" si="145"/>
        <v>1</v>
      </c>
    </row>
    <row r="4621" spans="1:7" hidden="1">
      <c r="A4621" t="str">
        <f>Sinistrés!H4626</f>
        <v>Maïs grain non irrigué</v>
      </c>
      <c r="B4621">
        <f>Sinistrés!J4626</f>
        <v>10766.91</v>
      </c>
      <c r="C4621">
        <f>Sinistrés!X4626</f>
        <v>0</v>
      </c>
      <c r="D4621">
        <f>Sinistrés!L4626</f>
        <v>11.85</v>
      </c>
      <c r="E4621">
        <f>Sinistrés!M4626</f>
        <v>11.85</v>
      </c>
      <c r="F4621">
        <f t="shared" si="144"/>
        <v>0</v>
      </c>
      <c r="G4621">
        <f t="shared" si="145"/>
        <v>1</v>
      </c>
    </row>
    <row r="4622" spans="1:7">
      <c r="A4622" t="str">
        <f>Sinistrés!H4627</f>
        <v>Maïs grain non irrigué</v>
      </c>
      <c r="B4622">
        <f>Sinistrés!J4627</f>
        <v>12113.64</v>
      </c>
      <c r="C4622">
        <f>Sinistrés!X4627</f>
        <v>1886.56</v>
      </c>
      <c r="D4622">
        <f>Sinistrés!L4627</f>
        <v>7.92</v>
      </c>
      <c r="E4622">
        <f>Sinistrés!M4627</f>
        <v>2</v>
      </c>
      <c r="F4622">
        <f t="shared" si="144"/>
        <v>0.15573848983459967</v>
      </c>
      <c r="G4622">
        <f t="shared" si="145"/>
        <v>0.25252525252525254</v>
      </c>
    </row>
    <row r="4623" spans="1:7">
      <c r="A4623" t="str">
        <f>Sinistrés!H4628</f>
        <v>Maïs grain irrigué</v>
      </c>
      <c r="B4623">
        <f>Sinistrés!J4628</f>
        <v>302464.8</v>
      </c>
      <c r="C4623">
        <f>Sinistrés!X4628</f>
        <v>1908.24</v>
      </c>
      <c r="D4623">
        <f>Sinistrés!L4628</f>
        <v>134</v>
      </c>
      <c r="E4623">
        <f>Sinistrés!M4628</f>
        <v>15</v>
      </c>
      <c r="F4623">
        <f t="shared" si="144"/>
        <v>6.3089655391305038E-3</v>
      </c>
      <c r="G4623">
        <f t="shared" si="145"/>
        <v>0.11194029850746269</v>
      </c>
    </row>
    <row r="4624" spans="1:7">
      <c r="A4624" t="str">
        <f>Sinistrés!H4629</f>
        <v>Maïs grain non irrigué</v>
      </c>
      <c r="B4624">
        <f>Sinistrés!J4629</f>
        <v>33784.400000000001</v>
      </c>
      <c r="C4624">
        <f>Sinistrés!X4629</f>
        <v>4487.1000000000004</v>
      </c>
      <c r="D4624">
        <f>Sinistrés!L4629</f>
        <v>17.8</v>
      </c>
      <c r="E4624">
        <f>Sinistrés!M4629</f>
        <v>10</v>
      </c>
      <c r="F4624">
        <f t="shared" si="144"/>
        <v>0.13281573744094907</v>
      </c>
      <c r="G4624">
        <f t="shared" si="145"/>
        <v>0.56179775280898869</v>
      </c>
    </row>
    <row r="4625" spans="1:7">
      <c r="A4625" t="str">
        <f>Sinistrés!H4630</f>
        <v>Maïs waxy non irrigué</v>
      </c>
      <c r="B4625">
        <f>Sinistrés!J4630</f>
        <v>50239.199999999997</v>
      </c>
      <c r="C4625">
        <f>Sinistrés!X4630</f>
        <v>15590.76</v>
      </c>
      <c r="D4625">
        <f>Sinistrés!L4630</f>
        <v>20.76</v>
      </c>
      <c r="E4625">
        <f>Sinistrés!M4630</f>
        <v>20.76</v>
      </c>
      <c r="F4625">
        <f t="shared" si="144"/>
        <v>0.3103305785123967</v>
      </c>
      <c r="G4625">
        <f t="shared" si="145"/>
        <v>1</v>
      </c>
    </row>
    <row r="4626" spans="1:7">
      <c r="A4626" t="str">
        <f>Sinistrés!H4631</f>
        <v>Maïs grain non irrigué</v>
      </c>
      <c r="B4626">
        <f>Sinistrés!J4631</f>
        <v>22390.59</v>
      </c>
      <c r="C4626">
        <f>Sinistrés!X4631</f>
        <v>959.26</v>
      </c>
      <c r="D4626">
        <f>Sinistrés!L4631</f>
        <v>14.84</v>
      </c>
      <c r="E4626">
        <f>Sinistrés!M4631</f>
        <v>14.84</v>
      </c>
      <c r="F4626">
        <f t="shared" si="144"/>
        <v>4.2842104651998898E-2</v>
      </c>
      <c r="G4626">
        <f t="shared" si="145"/>
        <v>1</v>
      </c>
    </row>
    <row r="4627" spans="1:7">
      <c r="A4627" t="str">
        <f>Sinistrés!H4632</f>
        <v>Maïs grain non irrigué</v>
      </c>
      <c r="B4627">
        <f>Sinistrés!J4632</f>
        <v>47388</v>
      </c>
      <c r="C4627">
        <f>Sinistrés!X4632</f>
        <v>22837.48</v>
      </c>
      <c r="D4627">
        <f>Sinistrés!L4632</f>
        <v>22</v>
      </c>
      <c r="E4627">
        <f>Sinistrés!M4632</f>
        <v>22</v>
      </c>
      <c r="F4627">
        <f t="shared" si="144"/>
        <v>0.48192538195323709</v>
      </c>
      <c r="G4627">
        <f t="shared" si="145"/>
        <v>1</v>
      </c>
    </row>
    <row r="4628" spans="1:7">
      <c r="A4628" t="str">
        <f>Sinistrés!H4633</f>
        <v>Maïs grain non irrigué</v>
      </c>
      <c r="B4628">
        <f>Sinistrés!J4633</f>
        <v>30240</v>
      </c>
      <c r="C4628">
        <f>Sinistrés!X4633</f>
        <v>1201.28</v>
      </c>
      <c r="D4628">
        <f>Sinistrés!L4633</f>
        <v>15</v>
      </c>
      <c r="E4628">
        <f>Sinistrés!M4633</f>
        <v>15</v>
      </c>
      <c r="F4628">
        <f t="shared" si="144"/>
        <v>3.9724867724867725E-2</v>
      </c>
      <c r="G4628">
        <f t="shared" si="145"/>
        <v>1</v>
      </c>
    </row>
    <row r="4629" spans="1:7" hidden="1">
      <c r="A4629" t="str">
        <f>Sinistrés!H4634</f>
        <v>Tournesol</v>
      </c>
      <c r="B4629">
        <f>Sinistrés!J4634</f>
        <v>5577.18</v>
      </c>
      <c r="C4629">
        <f>Sinistrés!X4634</f>
        <v>0</v>
      </c>
      <c r="D4629">
        <f>Sinistrés!L4634</f>
        <v>4.5999999999999996</v>
      </c>
      <c r="E4629">
        <f>Sinistrés!M4634</f>
        <v>4.5</v>
      </c>
      <c r="F4629">
        <f t="shared" si="144"/>
        <v>0</v>
      </c>
      <c r="G4629">
        <f t="shared" si="145"/>
        <v>0.97826086956521752</v>
      </c>
    </row>
    <row r="4630" spans="1:7" hidden="1">
      <c r="A4630" t="str">
        <f>Sinistrés!H4635</f>
        <v>Maïs grain non irrigué</v>
      </c>
      <c r="B4630">
        <f>Sinistrés!J4635</f>
        <v>12348</v>
      </c>
      <c r="C4630">
        <f>Sinistrés!X4635</f>
        <v>0</v>
      </c>
      <c r="D4630">
        <f>Sinistrés!L4635</f>
        <v>4.5</v>
      </c>
      <c r="E4630">
        <f>Sinistrés!M4635</f>
        <v>4.5</v>
      </c>
      <c r="F4630">
        <f t="shared" si="144"/>
        <v>0</v>
      </c>
      <c r="G4630">
        <f t="shared" si="145"/>
        <v>1</v>
      </c>
    </row>
    <row r="4631" spans="1:7">
      <c r="A4631" t="str">
        <f>Sinistrés!H4636</f>
        <v>Maïs grain non irrigué</v>
      </c>
      <c r="B4631">
        <f>Sinistrés!J4636</f>
        <v>34382.32</v>
      </c>
      <c r="C4631">
        <f>Sinistrés!X4636</f>
        <v>16656</v>
      </c>
      <c r="D4631">
        <f>Sinistrés!L4636</f>
        <v>12.53</v>
      </c>
      <c r="E4631">
        <f>Sinistrés!M4636</f>
        <v>12.53</v>
      </c>
      <c r="F4631">
        <f t="shared" si="144"/>
        <v>0.48443502358188745</v>
      </c>
      <c r="G4631">
        <f t="shared" si="145"/>
        <v>1</v>
      </c>
    </row>
    <row r="4632" spans="1:7">
      <c r="A4632" t="str">
        <f>Sinistrés!H4637</f>
        <v>Maïs grain non irrigué</v>
      </c>
      <c r="B4632">
        <f>Sinistrés!J4637</f>
        <v>18810.86</v>
      </c>
      <c r="C4632">
        <f>Sinistrés!X4637</f>
        <v>7290.36</v>
      </c>
      <c r="D4632">
        <f>Sinistrés!L4637</f>
        <v>18.11</v>
      </c>
      <c r="E4632">
        <f>Sinistrés!M4637</f>
        <v>18.11</v>
      </c>
      <c r="F4632">
        <f t="shared" si="144"/>
        <v>0.38756122792897291</v>
      </c>
      <c r="G4632">
        <f t="shared" si="145"/>
        <v>1</v>
      </c>
    </row>
    <row r="4633" spans="1:7" hidden="1">
      <c r="A4633" t="str">
        <f>Sinistrés!H4638</f>
        <v>Maïs grain irrigué</v>
      </c>
      <c r="B4633">
        <f>Sinistrés!J4638</f>
        <v>34404.44</v>
      </c>
      <c r="C4633">
        <f>Sinistrés!X4638</f>
        <v>0</v>
      </c>
      <c r="D4633">
        <f>Sinistrés!L4638</f>
        <v>15.61</v>
      </c>
      <c r="E4633">
        <f>Sinistrés!M4638</f>
        <v>15.61</v>
      </c>
      <c r="F4633">
        <f t="shared" si="144"/>
        <v>0</v>
      </c>
      <c r="G4633">
        <f t="shared" si="145"/>
        <v>1</v>
      </c>
    </row>
    <row r="4634" spans="1:7" hidden="1">
      <c r="A4634" t="str">
        <f>Sinistrés!H4639</f>
        <v>Sorgho</v>
      </c>
      <c r="B4634">
        <f>Sinistrés!J4639</f>
        <v>4994.5</v>
      </c>
      <c r="C4634">
        <f>Sinistrés!X4639</f>
        <v>0</v>
      </c>
      <c r="D4634">
        <f>Sinistrés!L4639</f>
        <v>7.36</v>
      </c>
      <c r="E4634">
        <f>Sinistrés!M4639</f>
        <v>7.36</v>
      </c>
      <c r="F4634">
        <f t="shared" si="144"/>
        <v>0</v>
      </c>
      <c r="G4634">
        <f t="shared" si="145"/>
        <v>1</v>
      </c>
    </row>
    <row r="4635" spans="1:7" hidden="1">
      <c r="A4635" t="str">
        <f>Sinistrés!H4640</f>
        <v>Maïs grain irrigué SEMENCES FERTILES</v>
      </c>
      <c r="B4635">
        <f>Sinistrés!J4640</f>
        <v>12285</v>
      </c>
      <c r="C4635">
        <f>Sinistrés!X4640</f>
        <v>3276</v>
      </c>
      <c r="D4635">
        <f>Sinistrés!L4640</f>
        <v>3.15</v>
      </c>
      <c r="E4635">
        <f>Sinistrés!M4640</f>
        <v>3.15</v>
      </c>
      <c r="F4635">
        <f t="shared" si="144"/>
        <v>0.26666666666666666</v>
      </c>
      <c r="G4635">
        <f t="shared" si="145"/>
        <v>1</v>
      </c>
    </row>
    <row r="4636" spans="1:7" hidden="1">
      <c r="A4636" t="str">
        <f>Sinistrés!H4641</f>
        <v>Maïs grain irrigué</v>
      </c>
      <c r="B4636">
        <f>Sinistrés!J4641</f>
        <v>68486.490000000005</v>
      </c>
      <c r="C4636">
        <f>Sinistrés!X4641</f>
        <v>0</v>
      </c>
      <c r="D4636">
        <f>Sinistrés!L4641</f>
        <v>26.96</v>
      </c>
      <c r="E4636">
        <f>Sinistrés!M4641</f>
        <v>26.96</v>
      </c>
      <c r="F4636">
        <f t="shared" si="144"/>
        <v>0</v>
      </c>
      <c r="G4636">
        <f t="shared" si="145"/>
        <v>1</v>
      </c>
    </row>
    <row r="4637" spans="1:7">
      <c r="A4637" t="str">
        <f>Sinistrés!H4642</f>
        <v>Sorgho</v>
      </c>
      <c r="B4637">
        <f>Sinistrés!J4642</f>
        <v>11825.6</v>
      </c>
      <c r="C4637">
        <f>Sinistrés!X4642</f>
        <v>3608.7</v>
      </c>
      <c r="D4637">
        <f>Sinistrés!L4642</f>
        <v>11.69</v>
      </c>
      <c r="E4637">
        <f>Sinistrés!M4642</f>
        <v>11.69</v>
      </c>
      <c r="F4637">
        <f t="shared" si="144"/>
        <v>0.30515999188201864</v>
      </c>
      <c r="G4637">
        <f t="shared" si="145"/>
        <v>1</v>
      </c>
    </row>
    <row r="4638" spans="1:7">
      <c r="A4638" t="str">
        <f>Sinistrés!H4643</f>
        <v>Maïs grain irrigué</v>
      </c>
      <c r="B4638">
        <f>Sinistrés!J4643</f>
        <v>21065.31</v>
      </c>
      <c r="C4638">
        <f>Sinistrés!X4643</f>
        <v>3923.48</v>
      </c>
      <c r="D4638">
        <f>Sinistrés!L4643</f>
        <v>12.18</v>
      </c>
      <c r="E4638">
        <f>Sinistrés!M4643</f>
        <v>12</v>
      </c>
      <c r="F4638">
        <f t="shared" si="144"/>
        <v>0.18625313370655355</v>
      </c>
      <c r="G4638">
        <f t="shared" si="145"/>
        <v>0.98522167487684731</v>
      </c>
    </row>
    <row r="4639" spans="1:7" hidden="1">
      <c r="A4639" t="str">
        <f>Sinistrés!H4644</f>
        <v>Soja</v>
      </c>
      <c r="B4639">
        <f>Sinistrés!J4644</f>
        <v>14988</v>
      </c>
      <c r="C4639">
        <f>Sinistrés!X4644</f>
        <v>0</v>
      </c>
      <c r="D4639">
        <f>Sinistrés!L4644</f>
        <v>12.49</v>
      </c>
      <c r="E4639">
        <f>Sinistrés!M4644</f>
        <v>12</v>
      </c>
      <c r="F4639">
        <f t="shared" si="144"/>
        <v>0</v>
      </c>
      <c r="G4639">
        <f t="shared" si="145"/>
        <v>0.96076861489191356</v>
      </c>
    </row>
    <row r="4640" spans="1:7">
      <c r="A4640" t="str">
        <f>Sinistrés!H4645</f>
        <v>Maïs grain non irrigué</v>
      </c>
      <c r="B4640">
        <f>Sinistrés!J4645</f>
        <v>37033.050000000003</v>
      </c>
      <c r="C4640">
        <f>Sinistrés!X4645</f>
        <v>10315.84</v>
      </c>
      <c r="D4640">
        <f>Sinistrés!L4645</f>
        <v>23.9</v>
      </c>
      <c r="E4640">
        <f>Sinistrés!M4645</f>
        <v>23</v>
      </c>
      <c r="F4640">
        <f t="shared" si="144"/>
        <v>0.27855766673282378</v>
      </c>
      <c r="G4640">
        <f t="shared" si="145"/>
        <v>0.96234309623430969</v>
      </c>
    </row>
    <row r="4641" spans="1:7" hidden="1">
      <c r="A4641" t="str">
        <f>Sinistrés!H4646</f>
        <v>Maïs grain non irrigué</v>
      </c>
      <c r="B4641">
        <f>Sinistrés!J4646</f>
        <v>22540</v>
      </c>
      <c r="C4641">
        <f>Sinistrés!X4646</f>
        <v>0</v>
      </c>
      <c r="D4641">
        <f>Sinistrés!L4646</f>
        <v>20</v>
      </c>
      <c r="E4641">
        <f>Sinistrés!M4646</f>
        <v>7.6</v>
      </c>
      <c r="F4641">
        <f t="shared" si="144"/>
        <v>0</v>
      </c>
      <c r="G4641">
        <f t="shared" si="145"/>
        <v>0.38</v>
      </c>
    </row>
    <row r="4642" spans="1:7" hidden="1">
      <c r="A4642" t="str">
        <f>Sinistrés!H4647</f>
        <v>Maïs grain non irrigué</v>
      </c>
      <c r="B4642">
        <f>Sinistrés!J4647</f>
        <v>14572.8</v>
      </c>
      <c r="C4642">
        <f>Sinistrés!X4647</f>
        <v>0</v>
      </c>
      <c r="D4642">
        <f>Sinistrés!L4647</f>
        <v>5.52</v>
      </c>
      <c r="E4642">
        <f>Sinistrés!M4647</f>
        <v>5.52</v>
      </c>
      <c r="F4642">
        <f t="shared" si="144"/>
        <v>0</v>
      </c>
      <c r="G4642">
        <f t="shared" si="145"/>
        <v>1</v>
      </c>
    </row>
    <row r="4643" spans="1:7" hidden="1">
      <c r="A4643" t="str">
        <f>Sinistrés!H4648</f>
        <v>Soja BIO</v>
      </c>
      <c r="B4643">
        <f>Sinistrés!J4648</f>
        <v>9183.4599999999991</v>
      </c>
      <c r="C4643">
        <f>Sinistrés!X4648</f>
        <v>4368.5200000000004</v>
      </c>
      <c r="D4643">
        <f>Sinistrés!L4648</f>
        <v>11.81</v>
      </c>
      <c r="E4643">
        <f>Sinistrés!M4648</f>
        <v>11.81</v>
      </c>
      <c r="F4643">
        <f t="shared" si="144"/>
        <v>0.47569434613969036</v>
      </c>
      <c r="G4643">
        <f t="shared" si="145"/>
        <v>1</v>
      </c>
    </row>
    <row r="4644" spans="1:7" hidden="1">
      <c r="A4644" t="str">
        <f>Sinistrés!H4649</f>
        <v>Maïs grain non irrigué</v>
      </c>
      <c r="B4644">
        <f>Sinistrés!J4649</f>
        <v>10618.26</v>
      </c>
      <c r="C4644">
        <f>Sinistrés!X4649</f>
        <v>0</v>
      </c>
      <c r="D4644">
        <f>Sinistrés!L4649</f>
        <v>10.43</v>
      </c>
      <c r="E4644">
        <f>Sinistrés!M4649</f>
        <v>5.59</v>
      </c>
      <c r="F4644">
        <f t="shared" si="144"/>
        <v>0</v>
      </c>
      <c r="G4644">
        <f t="shared" si="145"/>
        <v>0.53595397890699903</v>
      </c>
    </row>
    <row r="4645" spans="1:7" hidden="1">
      <c r="A4645" t="str">
        <f>Sinistrés!H4650</f>
        <v>Maïs grain non irrigué</v>
      </c>
      <c r="B4645">
        <f>Sinistrés!J4650</f>
        <v>15710.92</v>
      </c>
      <c r="C4645">
        <f>Sinistrés!X4650</f>
        <v>0</v>
      </c>
      <c r="D4645">
        <f>Sinistrés!L4650</f>
        <v>15.02</v>
      </c>
      <c r="E4645">
        <f>Sinistrés!M4650</f>
        <v>15.02</v>
      </c>
      <c r="F4645">
        <f t="shared" si="144"/>
        <v>0</v>
      </c>
      <c r="G4645">
        <f t="shared" si="145"/>
        <v>1</v>
      </c>
    </row>
    <row r="4646" spans="1:7">
      <c r="A4646" t="str">
        <f>Sinistrés!H4651</f>
        <v>Soja</v>
      </c>
      <c r="B4646">
        <f>Sinistrés!J4651</f>
        <v>14856.7</v>
      </c>
      <c r="C4646">
        <f>Sinistrés!X4651</f>
        <v>955.54</v>
      </c>
      <c r="D4646">
        <f>Sinistrés!L4651</f>
        <v>18.18</v>
      </c>
      <c r="E4646">
        <f>Sinistrés!M4651</f>
        <v>18.18</v>
      </c>
      <c r="F4646">
        <f t="shared" si="144"/>
        <v>6.4317109452300972E-2</v>
      </c>
      <c r="G4646">
        <f t="shared" si="145"/>
        <v>1</v>
      </c>
    </row>
    <row r="4647" spans="1:7" hidden="1">
      <c r="A4647" t="str">
        <f>Sinistrés!H4652</f>
        <v>Soja SEMENCES</v>
      </c>
      <c r="B4647">
        <f>Sinistrés!J4652</f>
        <v>30239.35</v>
      </c>
      <c r="C4647">
        <f>Sinistrés!X4652</f>
        <v>0</v>
      </c>
      <c r="D4647">
        <f>Sinistrés!L4652</f>
        <v>21.78</v>
      </c>
      <c r="E4647">
        <f>Sinistrés!M4652</f>
        <v>21.78</v>
      </c>
      <c r="F4647">
        <f t="shared" si="144"/>
        <v>0</v>
      </c>
      <c r="G4647">
        <f t="shared" si="145"/>
        <v>1</v>
      </c>
    </row>
    <row r="4648" spans="1:7" hidden="1">
      <c r="A4648" t="str">
        <f>Sinistrés!H4653</f>
        <v>Soja</v>
      </c>
      <c r="B4648">
        <f>Sinistrés!J4653</f>
        <v>4543.63</v>
      </c>
      <c r="C4648">
        <f>Sinistrés!X4653</f>
        <v>0</v>
      </c>
      <c r="D4648">
        <f>Sinistrés!L4653</f>
        <v>4.54</v>
      </c>
      <c r="E4648">
        <f>Sinistrés!M4653</f>
        <v>4.54</v>
      </c>
      <c r="F4648">
        <f t="shared" si="144"/>
        <v>0</v>
      </c>
      <c r="G4648">
        <f t="shared" si="145"/>
        <v>1</v>
      </c>
    </row>
    <row r="4649" spans="1:7" hidden="1">
      <c r="A4649" t="str">
        <f>Sinistrés!H4654</f>
        <v>Tournesol</v>
      </c>
      <c r="B4649">
        <f>Sinistrés!J4654</f>
        <v>12098.48</v>
      </c>
      <c r="C4649">
        <f>Sinistrés!X4654</f>
        <v>0</v>
      </c>
      <c r="D4649">
        <f>Sinistrés!L4654</f>
        <v>9.7200000000000006</v>
      </c>
      <c r="E4649">
        <f>Sinistrés!M4654</f>
        <v>9.7200000000000006</v>
      </c>
      <c r="F4649">
        <f t="shared" si="144"/>
        <v>0</v>
      </c>
      <c r="G4649">
        <f t="shared" si="145"/>
        <v>1</v>
      </c>
    </row>
    <row r="4650" spans="1:7" hidden="1">
      <c r="A4650" t="str">
        <f>Sinistrés!H4655</f>
        <v>Maïs pop corn irrigué</v>
      </c>
      <c r="B4650">
        <f>Sinistrés!J4655</f>
        <v>13482.98</v>
      </c>
      <c r="C4650">
        <f>Sinistrés!X4655</f>
        <v>0</v>
      </c>
      <c r="D4650">
        <f>Sinistrés!L4655</f>
        <v>7.72</v>
      </c>
      <c r="E4650">
        <f>Sinistrés!M4655</f>
        <v>7.72</v>
      </c>
      <c r="F4650">
        <f t="shared" si="144"/>
        <v>0</v>
      </c>
      <c r="G4650">
        <f t="shared" si="145"/>
        <v>1</v>
      </c>
    </row>
    <row r="4651" spans="1:7" hidden="1">
      <c r="A4651" t="str">
        <f>Sinistrés!H4656</f>
        <v>Maïs pop corn irrigué</v>
      </c>
      <c r="B4651">
        <f>Sinistrés!J4656</f>
        <v>17349.150000000001</v>
      </c>
      <c r="C4651">
        <f>Sinistrés!X4656</f>
        <v>0</v>
      </c>
      <c r="D4651">
        <f>Sinistrés!L4656</f>
        <v>9.3000000000000007</v>
      </c>
      <c r="E4651">
        <f>Sinistrés!M4656</f>
        <v>9.3000000000000007</v>
      </c>
      <c r="F4651">
        <f t="shared" si="144"/>
        <v>0</v>
      </c>
      <c r="G4651">
        <f t="shared" si="145"/>
        <v>1</v>
      </c>
    </row>
    <row r="4652" spans="1:7">
      <c r="A4652" t="str">
        <f>Sinistrés!H4657</f>
        <v>Soja</v>
      </c>
      <c r="B4652">
        <f>Sinistrés!J4657</f>
        <v>20902.39</v>
      </c>
      <c r="C4652">
        <f>Sinistrés!X4657</f>
        <v>7612.21</v>
      </c>
      <c r="D4652">
        <f>Sinistrés!L4657</f>
        <v>18.57</v>
      </c>
      <c r="E4652">
        <f>Sinistrés!M4657</f>
        <v>18.57</v>
      </c>
      <c r="F4652">
        <f t="shared" si="144"/>
        <v>0.36417892882105829</v>
      </c>
      <c r="G4652">
        <f t="shared" si="145"/>
        <v>1</v>
      </c>
    </row>
    <row r="4653" spans="1:7">
      <c r="A4653" t="str">
        <f>Sinistrés!H4658</f>
        <v>Tournesol</v>
      </c>
      <c r="B4653">
        <f>Sinistrés!J4658</f>
        <v>21229.040000000001</v>
      </c>
      <c r="C4653">
        <f>Sinistrés!X4658</f>
        <v>3343.34</v>
      </c>
      <c r="D4653">
        <f>Sinistrés!L4658</f>
        <v>23.38</v>
      </c>
      <c r="E4653">
        <f>Sinistrés!M4658</f>
        <v>23.38</v>
      </c>
      <c r="F4653">
        <f t="shared" si="144"/>
        <v>0.15748898678414097</v>
      </c>
      <c r="G4653">
        <f t="shared" si="145"/>
        <v>1</v>
      </c>
    </row>
    <row r="4654" spans="1:7">
      <c r="A4654" t="str">
        <f>Sinistrés!H4659</f>
        <v>Tournesol</v>
      </c>
      <c r="B4654">
        <f>Sinistrés!J4659</f>
        <v>8603.18</v>
      </c>
      <c r="C4654">
        <f>Sinistrés!X4659</f>
        <v>450.17</v>
      </c>
      <c r="D4654">
        <f>Sinistrés!L4659</f>
        <v>6.2</v>
      </c>
      <c r="E4654">
        <f>Sinistrés!M4659</f>
        <v>6.2</v>
      </c>
      <c r="F4654">
        <f t="shared" si="144"/>
        <v>5.232600038590382E-2</v>
      </c>
      <c r="G4654">
        <f t="shared" si="145"/>
        <v>1</v>
      </c>
    </row>
    <row r="4655" spans="1:7" hidden="1">
      <c r="A4655" t="str">
        <f>Sinistrés!H4660</f>
        <v>Maïs grain non irrigué</v>
      </c>
      <c r="B4655">
        <f>Sinistrés!J4660</f>
        <v>13994.4</v>
      </c>
      <c r="C4655">
        <f>Sinistrés!X4660</f>
        <v>0</v>
      </c>
      <c r="D4655">
        <f>Sinistrés!L4660</f>
        <v>12</v>
      </c>
      <c r="E4655">
        <f>Sinistrés!M4660</f>
        <v>12</v>
      </c>
      <c r="F4655">
        <f t="shared" si="144"/>
        <v>0</v>
      </c>
      <c r="G4655">
        <f t="shared" si="145"/>
        <v>1</v>
      </c>
    </row>
    <row r="4656" spans="1:7">
      <c r="A4656" t="str">
        <f>Sinistrés!H4661</f>
        <v>Maïs grain irrigué</v>
      </c>
      <c r="B4656">
        <f>Sinistrés!J4661</f>
        <v>332129.13</v>
      </c>
      <c r="C4656">
        <f>Sinistrés!X4661</f>
        <v>27263.9</v>
      </c>
      <c r="D4656">
        <f>Sinistrés!L4661</f>
        <v>143.49</v>
      </c>
      <c r="E4656">
        <f>Sinistrés!M4661</f>
        <v>136.74</v>
      </c>
      <c r="F4656">
        <f t="shared" si="144"/>
        <v>8.2088252843103532E-2</v>
      </c>
      <c r="G4656">
        <f t="shared" si="145"/>
        <v>0.95295839431319251</v>
      </c>
    </row>
    <row r="4657" spans="1:7">
      <c r="A4657" t="str">
        <f>Sinistrés!H4662</f>
        <v>Soja</v>
      </c>
      <c r="B4657">
        <f>Sinistrés!J4662</f>
        <v>8657.2800000000007</v>
      </c>
      <c r="C4657">
        <f>Sinistrés!X4662</f>
        <v>2161.08</v>
      </c>
      <c r="D4657">
        <f>Sinistrés!L4662</f>
        <v>6.67</v>
      </c>
      <c r="E4657">
        <f>Sinistrés!M4662</f>
        <v>6.68</v>
      </c>
      <c r="F4657">
        <f t="shared" si="144"/>
        <v>0.24962574850299399</v>
      </c>
      <c r="G4657">
        <f t="shared" si="145"/>
        <v>1.0014992503748126</v>
      </c>
    </row>
    <row r="4658" spans="1:7">
      <c r="A4658" t="str">
        <f>Sinistrés!H4663</f>
        <v>Tournesol</v>
      </c>
      <c r="B4658">
        <f>Sinistrés!J4663</f>
        <v>57246.06</v>
      </c>
      <c r="C4658">
        <f>Sinistrés!X4663</f>
        <v>313.48</v>
      </c>
      <c r="D4658">
        <f>Sinistrés!L4663</f>
        <v>0.5</v>
      </c>
      <c r="E4658">
        <f>Sinistrés!M4663</f>
        <v>42.82</v>
      </c>
      <c r="F4658">
        <f t="shared" si="144"/>
        <v>5.4760100520455041E-3</v>
      </c>
      <c r="G4658">
        <f t="shared" si="145"/>
        <v>85.64</v>
      </c>
    </row>
    <row r="4659" spans="1:7" hidden="1">
      <c r="A4659" t="str">
        <f>Sinistrés!H4664</f>
        <v>Maïs grain irrigué</v>
      </c>
      <c r="B4659">
        <f>Sinistrés!J4664</f>
        <v>65331.199999999997</v>
      </c>
      <c r="C4659">
        <f>Sinistrés!X4664</f>
        <v>0</v>
      </c>
      <c r="D4659">
        <f>Sinistrés!L4664</f>
        <v>37.119999999999997</v>
      </c>
      <c r="E4659">
        <f>Sinistrés!M4664</f>
        <v>16.940000000000001</v>
      </c>
      <c r="F4659">
        <f t="shared" si="144"/>
        <v>0</v>
      </c>
      <c r="G4659">
        <f t="shared" si="145"/>
        <v>0.45635775862068972</v>
      </c>
    </row>
    <row r="4660" spans="1:7">
      <c r="A4660" t="str">
        <f>Sinistrés!H4665</f>
        <v>Pommes de terre</v>
      </c>
      <c r="B4660">
        <f>Sinistrés!J4665</f>
        <v>159724.79999999999</v>
      </c>
      <c r="C4660">
        <f>Sinistrés!X4665</f>
        <v>17623.87</v>
      </c>
      <c r="D4660">
        <f>Sinistrés!L4665</f>
        <v>16.920000000000002</v>
      </c>
      <c r="E4660">
        <f>Sinistrés!M4665</f>
        <v>16.920000000000002</v>
      </c>
      <c r="F4660">
        <f t="shared" si="144"/>
        <v>0.11033897052931041</v>
      </c>
      <c r="G4660">
        <f t="shared" si="145"/>
        <v>1</v>
      </c>
    </row>
    <row r="4661" spans="1:7">
      <c r="A4661" t="str">
        <f>Sinistrés!H4666</f>
        <v>Maïs grain non irrigué</v>
      </c>
      <c r="B4661">
        <f>Sinistrés!J4666</f>
        <v>11234.58</v>
      </c>
      <c r="C4661">
        <f>Sinistrés!X4666</f>
        <v>2074.65</v>
      </c>
      <c r="D4661">
        <f>Sinistrés!L4666</f>
        <v>11.63</v>
      </c>
      <c r="E4661">
        <f>Sinistrés!M4666</f>
        <v>11.63</v>
      </c>
      <c r="F4661">
        <f t="shared" si="144"/>
        <v>0.18466644948008737</v>
      </c>
      <c r="G4661">
        <f t="shared" si="145"/>
        <v>1</v>
      </c>
    </row>
    <row r="4662" spans="1:7">
      <c r="A4662" t="str">
        <f>Sinistrés!H4667</f>
        <v>Tournesol</v>
      </c>
      <c r="B4662">
        <f>Sinistrés!J4667</f>
        <v>17354.990000000002</v>
      </c>
      <c r="C4662">
        <f>Sinistrés!X4667</f>
        <v>1025.52</v>
      </c>
      <c r="D4662">
        <f>Sinistrés!L4667</f>
        <v>14.88</v>
      </c>
      <c r="E4662">
        <f>Sinistrés!M4667</f>
        <v>14.88</v>
      </c>
      <c r="F4662">
        <f t="shared" si="144"/>
        <v>5.9090785992962247E-2</v>
      </c>
      <c r="G4662">
        <f t="shared" si="145"/>
        <v>1</v>
      </c>
    </row>
    <row r="4663" spans="1:7" hidden="1">
      <c r="A4663" t="str">
        <f>Sinistrés!H4668</f>
        <v>Soja</v>
      </c>
      <c r="B4663">
        <f>Sinistrés!J4668</f>
        <v>27820.799999999999</v>
      </c>
      <c r="C4663">
        <f>Sinistrés!X4668</f>
        <v>0</v>
      </c>
      <c r="D4663">
        <f>Sinistrés!L4668</f>
        <v>28</v>
      </c>
      <c r="E4663">
        <f>Sinistrés!M4668</f>
        <v>28</v>
      </c>
      <c r="F4663">
        <f t="shared" si="144"/>
        <v>0</v>
      </c>
      <c r="G4663">
        <f t="shared" si="145"/>
        <v>1</v>
      </c>
    </row>
    <row r="4664" spans="1:7">
      <c r="A4664" t="str">
        <f>Sinistrés!H4669</f>
        <v>Soja</v>
      </c>
      <c r="B4664">
        <f>Sinistrés!J4669</f>
        <v>9168.64</v>
      </c>
      <c r="C4664">
        <f>Sinistrés!X4669</f>
        <v>3994.11</v>
      </c>
      <c r="D4664">
        <f>Sinistrés!L4669</f>
        <v>9.2799999999999994</v>
      </c>
      <c r="E4664">
        <f>Sinistrés!M4669</f>
        <v>9.2799999999999994</v>
      </c>
      <c r="F4664">
        <f t="shared" si="144"/>
        <v>0.43562731222951284</v>
      </c>
      <c r="G4664">
        <f t="shared" si="145"/>
        <v>1</v>
      </c>
    </row>
    <row r="4665" spans="1:7" hidden="1">
      <c r="A4665" t="str">
        <f>Sinistrés!H4670</f>
        <v>Maïs grain irrigué</v>
      </c>
      <c r="B4665">
        <f>Sinistrés!J4670</f>
        <v>27036.240000000002</v>
      </c>
      <c r="C4665">
        <f>Sinistrés!X4670</f>
        <v>0</v>
      </c>
      <c r="D4665">
        <f>Sinistrés!L4670</f>
        <v>22</v>
      </c>
      <c r="E4665">
        <f>Sinistrés!M4670</f>
        <v>22</v>
      </c>
      <c r="F4665">
        <f t="shared" si="144"/>
        <v>0</v>
      </c>
      <c r="G4665">
        <f t="shared" si="145"/>
        <v>1</v>
      </c>
    </row>
    <row r="4666" spans="1:7" hidden="1">
      <c r="A4666" t="str">
        <f>Sinistrés!H4671</f>
        <v>Tournesol</v>
      </c>
      <c r="B4666">
        <f>Sinistrés!J4671</f>
        <v>21838.080000000002</v>
      </c>
      <c r="C4666">
        <f>Sinistrés!X4671</f>
        <v>0</v>
      </c>
      <c r="D4666">
        <f>Sinistrés!L4671</f>
        <v>30.08</v>
      </c>
      <c r="E4666">
        <f>Sinistrés!M4671</f>
        <v>30.08</v>
      </c>
      <c r="F4666">
        <f t="shared" si="144"/>
        <v>0</v>
      </c>
      <c r="G4666">
        <f t="shared" si="145"/>
        <v>1</v>
      </c>
    </row>
    <row r="4667" spans="1:7" hidden="1">
      <c r="A4667" t="str">
        <f>Sinistrés!H4672</f>
        <v>Maïs grain non irrigué</v>
      </c>
      <c r="B4667">
        <f>Sinistrés!J4672</f>
        <v>34256.29</v>
      </c>
      <c r="C4667">
        <f>Sinistrés!X4672</f>
        <v>0</v>
      </c>
      <c r="D4667">
        <f>Sinistrés!L4672</f>
        <v>25.33</v>
      </c>
      <c r="E4667">
        <f>Sinistrés!M4672</f>
        <v>25.33</v>
      </c>
      <c r="F4667">
        <f t="shared" si="144"/>
        <v>0</v>
      </c>
      <c r="G4667">
        <f t="shared" si="145"/>
        <v>1</v>
      </c>
    </row>
    <row r="4668" spans="1:7" hidden="1">
      <c r="A4668" t="str">
        <f>Sinistrés!H4673</f>
        <v xml:space="preserve">Soja </v>
      </c>
      <c r="B4668">
        <f>Sinistrés!J4673</f>
        <v>6477.49</v>
      </c>
      <c r="C4668">
        <f>Sinistrés!X4673</f>
        <v>0</v>
      </c>
      <c r="D4668">
        <f>Sinistrés!L4673</f>
        <v>7.84</v>
      </c>
      <c r="E4668">
        <f>Sinistrés!M4673</f>
        <v>7.84</v>
      </c>
      <c r="F4668">
        <f t="shared" si="144"/>
        <v>0</v>
      </c>
      <c r="G4668">
        <f t="shared" si="145"/>
        <v>1</v>
      </c>
    </row>
    <row r="4669" spans="1:7" hidden="1">
      <c r="A4669" t="str">
        <f>Sinistrés!H4674</f>
        <v>Maïs grain irrigué</v>
      </c>
      <c r="B4669">
        <f>Sinistrés!J4674</f>
        <v>97812.33</v>
      </c>
      <c r="C4669">
        <f>Sinistrés!X4674</f>
        <v>0</v>
      </c>
      <c r="D4669">
        <f>Sinistrés!L4674</f>
        <v>57.86</v>
      </c>
      <c r="E4669">
        <f>Sinistrés!M4674</f>
        <v>57.85</v>
      </c>
      <c r="F4669">
        <f t="shared" si="144"/>
        <v>0</v>
      </c>
      <c r="G4669">
        <f t="shared" si="145"/>
        <v>0.99982716902868995</v>
      </c>
    </row>
    <row r="4670" spans="1:7" hidden="1">
      <c r="A4670" t="str">
        <f>Sinistrés!H4675</f>
        <v>Vigne à raisin de cuve (VCU1)</v>
      </c>
      <c r="B4670">
        <f>Sinistrés!J4675</f>
        <v>158181.29999999999</v>
      </c>
      <c r="C4670">
        <f>Sinistrés!X4675</f>
        <v>1831.71</v>
      </c>
      <c r="D4670">
        <f>Sinistrés!L4675</f>
        <v>25.29</v>
      </c>
      <c r="E4670">
        <f>Sinistrés!M4675</f>
        <v>25.29</v>
      </c>
      <c r="F4670">
        <f t="shared" si="144"/>
        <v>1.1579813795941746E-2</v>
      </c>
      <c r="G4670">
        <f t="shared" si="145"/>
        <v>1</v>
      </c>
    </row>
    <row r="4671" spans="1:7">
      <c r="A4671" t="str">
        <f>Sinistrés!H4676</f>
        <v>Soja</v>
      </c>
      <c r="B4671">
        <f>Sinistrés!J4676</f>
        <v>13339.9</v>
      </c>
      <c r="C4671">
        <f>Sinistrés!X4676</f>
        <v>5485.11</v>
      </c>
      <c r="D4671">
        <f>Sinistrés!L4676</f>
        <v>11.21</v>
      </c>
      <c r="E4671">
        <f>Sinistrés!M4676</f>
        <v>11.21</v>
      </c>
      <c r="F4671">
        <f t="shared" si="144"/>
        <v>0.41118074348383421</v>
      </c>
      <c r="G4671">
        <f t="shared" si="145"/>
        <v>1</v>
      </c>
    </row>
    <row r="4672" spans="1:7">
      <c r="A4672" t="str">
        <f>Sinistrés!H4677</f>
        <v>Soja</v>
      </c>
      <c r="B4672">
        <f>Sinistrés!J4677</f>
        <v>24595.200000000001</v>
      </c>
      <c r="C4672">
        <f>Sinistrés!X4677</f>
        <v>307.44</v>
      </c>
      <c r="D4672">
        <f>Sinistrés!L4677</f>
        <v>25.62</v>
      </c>
      <c r="E4672">
        <f>Sinistrés!M4677</f>
        <v>25.62</v>
      </c>
      <c r="F4672">
        <f t="shared" si="144"/>
        <v>1.2499999999999999E-2</v>
      </c>
      <c r="G4672">
        <f t="shared" si="145"/>
        <v>1</v>
      </c>
    </row>
    <row r="4673" spans="1:7">
      <c r="A4673" t="str">
        <f>Sinistrés!H4678</f>
        <v>Soja</v>
      </c>
      <c r="B4673">
        <f>Sinistrés!J4678</f>
        <v>34172.6</v>
      </c>
      <c r="C4673">
        <f>Sinistrés!X4678</f>
        <v>5594.82</v>
      </c>
      <c r="D4673">
        <f>Sinistrés!L4678</f>
        <v>26.95</v>
      </c>
      <c r="E4673">
        <f>Sinistrés!M4678</f>
        <v>26.95</v>
      </c>
      <c r="F4673">
        <f t="shared" si="144"/>
        <v>0.16372239747634068</v>
      </c>
      <c r="G4673">
        <f t="shared" si="145"/>
        <v>1</v>
      </c>
    </row>
    <row r="4674" spans="1:7" hidden="1">
      <c r="A4674" t="str">
        <f>Sinistrés!H4679</f>
        <v>Soja</v>
      </c>
      <c r="B4674">
        <f>Sinistrés!J4679</f>
        <v>6664.32</v>
      </c>
      <c r="C4674">
        <f>Sinistrés!X4679</f>
        <v>0</v>
      </c>
      <c r="D4674">
        <f>Sinistrés!L4679</f>
        <v>6.24</v>
      </c>
      <c r="E4674">
        <f>Sinistrés!M4679</f>
        <v>6.24</v>
      </c>
      <c r="F4674">
        <f t="shared" si="144"/>
        <v>0</v>
      </c>
      <c r="G4674">
        <f t="shared" si="145"/>
        <v>1</v>
      </c>
    </row>
    <row r="4675" spans="1:7" hidden="1">
      <c r="A4675" t="str">
        <f>Sinistrés!H4680</f>
        <v>Soja BIO</v>
      </c>
      <c r="B4675">
        <f>Sinistrés!J4680</f>
        <v>18195</v>
      </c>
      <c r="C4675">
        <f>Sinistrés!X4680</f>
        <v>2486.65</v>
      </c>
      <c r="D4675">
        <f>Sinistrés!L4680</f>
        <v>12.13</v>
      </c>
      <c r="E4675">
        <f>Sinistrés!M4680</f>
        <v>12.13</v>
      </c>
      <c r="F4675">
        <f t="shared" ref="F4675:F4738" si="146">C4675/B4675</f>
        <v>0.13666666666666666</v>
      </c>
      <c r="G4675">
        <f t="shared" ref="G4675:G4738" si="147">E4675/D4675</f>
        <v>1</v>
      </c>
    </row>
    <row r="4676" spans="1:7" hidden="1">
      <c r="A4676" t="str">
        <f>Sinistrés!H4681</f>
        <v>Soja BIO</v>
      </c>
      <c r="B4676">
        <f>Sinistrés!J4681</f>
        <v>27840</v>
      </c>
      <c r="C4676">
        <f>Sinistrés!X4681</f>
        <v>2784</v>
      </c>
      <c r="D4676">
        <f>Sinistrés!L4681</f>
        <v>18.559999999999999</v>
      </c>
      <c r="E4676">
        <f>Sinistrés!M4681</f>
        <v>18.559999999999999</v>
      </c>
      <c r="F4676">
        <f t="shared" si="146"/>
        <v>0.1</v>
      </c>
      <c r="G4676">
        <f t="shared" si="147"/>
        <v>1</v>
      </c>
    </row>
    <row r="4677" spans="1:7">
      <c r="A4677" t="str">
        <f>Sinistrés!H4682</f>
        <v>Tournesol</v>
      </c>
      <c r="B4677">
        <f>Sinistrés!J4682</f>
        <v>54290.25</v>
      </c>
      <c r="C4677">
        <f>Sinistrés!X4682</f>
        <v>22594.95</v>
      </c>
      <c r="D4677">
        <f>Sinistrés!L4682</f>
        <v>15.75</v>
      </c>
      <c r="E4677">
        <f>Sinistrés!M4682</f>
        <v>15.75</v>
      </c>
      <c r="F4677">
        <f t="shared" si="146"/>
        <v>0.41618798955613578</v>
      </c>
      <c r="G4677">
        <f t="shared" si="147"/>
        <v>1</v>
      </c>
    </row>
    <row r="4678" spans="1:7">
      <c r="A4678" t="str">
        <f>Sinistrés!H4683</f>
        <v>Sorgho</v>
      </c>
      <c r="B4678">
        <f>Sinistrés!J4683</f>
        <v>14298.17</v>
      </c>
      <c r="C4678">
        <f>Sinistrés!X4683</f>
        <v>1154.6099999999999</v>
      </c>
      <c r="D4678">
        <f>Sinistrés!L4683</f>
        <v>14.78</v>
      </c>
      <c r="E4678">
        <f>Sinistrés!M4683</f>
        <v>14.78</v>
      </c>
      <c r="F4678">
        <f t="shared" si="146"/>
        <v>8.0752292076538459E-2</v>
      </c>
      <c r="G4678">
        <f t="shared" si="147"/>
        <v>1</v>
      </c>
    </row>
    <row r="4679" spans="1:7">
      <c r="A4679" t="str">
        <f>Sinistrés!H4684</f>
        <v>Colza d'hiver</v>
      </c>
      <c r="B4679">
        <f>Sinistrés!J4684</f>
        <v>15873.65</v>
      </c>
      <c r="C4679">
        <f>Sinistrés!X4684</f>
        <v>765.95</v>
      </c>
      <c r="D4679">
        <f>Sinistrés!L4684</f>
        <v>11.2</v>
      </c>
      <c r="E4679">
        <f>Sinistrés!M4684</f>
        <v>8.27</v>
      </c>
      <c r="F4679">
        <f t="shared" si="146"/>
        <v>4.8252922295754286E-2</v>
      </c>
      <c r="G4679">
        <f t="shared" si="147"/>
        <v>0.73839285714285718</v>
      </c>
    </row>
    <row r="4680" spans="1:7" hidden="1">
      <c r="A4680" t="str">
        <f>Sinistrés!H4685</f>
        <v>Tournesol BIO</v>
      </c>
      <c r="B4680">
        <f>Sinistrés!J4685</f>
        <v>30129.84</v>
      </c>
      <c r="C4680">
        <f>Sinistrés!X4685</f>
        <v>772.56</v>
      </c>
      <c r="D4680">
        <f>Sinistrés!L4685</f>
        <v>33.299999999999997</v>
      </c>
      <c r="E4680">
        <f>Sinistrés!M4685</f>
        <v>33.299999999999997</v>
      </c>
      <c r="F4680">
        <f t="shared" si="146"/>
        <v>2.564102564102564E-2</v>
      </c>
      <c r="G4680">
        <f t="shared" si="147"/>
        <v>1</v>
      </c>
    </row>
    <row r="4681" spans="1:7" hidden="1">
      <c r="A4681" t="str">
        <f>Sinistrés!H4686</f>
        <v>Soja BIO</v>
      </c>
      <c r="B4681">
        <f>Sinistrés!J4686</f>
        <v>4315.68</v>
      </c>
      <c r="C4681">
        <f>Sinistrés!X4686</f>
        <v>0</v>
      </c>
      <c r="D4681">
        <f>Sinistrés!L4686</f>
        <v>3.33</v>
      </c>
      <c r="E4681">
        <f>Sinistrés!M4686</f>
        <v>3.33</v>
      </c>
      <c r="F4681">
        <f t="shared" si="146"/>
        <v>0</v>
      </c>
      <c r="G4681">
        <f t="shared" si="147"/>
        <v>1</v>
      </c>
    </row>
    <row r="4682" spans="1:7" hidden="1">
      <c r="A4682" t="str">
        <f>Sinistrés!H4687</f>
        <v>Tournesol</v>
      </c>
      <c r="B4682">
        <f>Sinistrés!J4687</f>
        <v>21607.78</v>
      </c>
      <c r="C4682">
        <f>Sinistrés!X4687</f>
        <v>0</v>
      </c>
      <c r="D4682">
        <f>Sinistrés!L4687</f>
        <v>33.72</v>
      </c>
      <c r="E4682">
        <f>Sinistrés!M4687</f>
        <v>33.72</v>
      </c>
      <c r="F4682">
        <f t="shared" si="146"/>
        <v>0</v>
      </c>
      <c r="G4682">
        <f t="shared" si="147"/>
        <v>1</v>
      </c>
    </row>
    <row r="4683" spans="1:7" hidden="1">
      <c r="A4683" t="str">
        <f>Sinistrés!H4688</f>
        <v>Maïs grain non irrigué</v>
      </c>
      <c r="B4683">
        <f>Sinistrés!J4688</f>
        <v>8701.8799999999992</v>
      </c>
      <c r="C4683">
        <f>Sinistrés!X4688</f>
        <v>0</v>
      </c>
      <c r="D4683">
        <f>Sinistrés!L4688</f>
        <v>4.25</v>
      </c>
      <c r="E4683">
        <f>Sinistrés!M4688</f>
        <v>4.25</v>
      </c>
      <c r="F4683">
        <f t="shared" si="146"/>
        <v>0</v>
      </c>
      <c r="G4683">
        <f t="shared" si="147"/>
        <v>1</v>
      </c>
    </row>
    <row r="4684" spans="1:7">
      <c r="A4684" t="str">
        <f>Sinistrés!H4689</f>
        <v>Soja</v>
      </c>
      <c r="B4684">
        <f>Sinistrés!J4689</f>
        <v>28373.45</v>
      </c>
      <c r="C4684">
        <f>Sinistrés!X4689</f>
        <v>5506.99</v>
      </c>
      <c r="D4684">
        <f>Sinistrés!L4689</f>
        <v>25.9</v>
      </c>
      <c r="E4684">
        <f>Sinistrés!M4689</f>
        <v>8.5</v>
      </c>
      <c r="F4684">
        <f t="shared" si="146"/>
        <v>0.19408954497954953</v>
      </c>
      <c r="G4684">
        <f t="shared" si="147"/>
        <v>0.3281853281853282</v>
      </c>
    </row>
    <row r="4685" spans="1:7" hidden="1">
      <c r="A4685" t="str">
        <f>Sinistrés!H4690</f>
        <v>Maïs grain non irrigué</v>
      </c>
      <c r="B4685">
        <f>Sinistrés!J4690</f>
        <v>20840.78</v>
      </c>
      <c r="C4685">
        <f>Sinistrés!X4690</f>
        <v>0</v>
      </c>
      <c r="D4685">
        <f>Sinistrés!L4690</f>
        <v>13.45</v>
      </c>
      <c r="E4685">
        <f>Sinistrés!M4690</f>
        <v>13.45</v>
      </c>
      <c r="F4685">
        <f t="shared" si="146"/>
        <v>0</v>
      </c>
      <c r="G4685">
        <f t="shared" si="147"/>
        <v>1</v>
      </c>
    </row>
    <row r="4686" spans="1:7">
      <c r="A4686" t="str">
        <f>Sinistrés!H4691</f>
        <v>Maïs grain non irrigué</v>
      </c>
      <c r="B4686">
        <f>Sinistrés!J4691</f>
        <v>103125.74</v>
      </c>
      <c r="C4686">
        <f>Sinistrés!X4691</f>
        <v>3733.07</v>
      </c>
      <c r="D4686">
        <f>Sinistrés!L4691</f>
        <v>44.62</v>
      </c>
      <c r="E4686">
        <f>Sinistrés!M4691</f>
        <v>13.8</v>
      </c>
      <c r="F4686">
        <f t="shared" si="146"/>
        <v>3.6199206909933446E-2</v>
      </c>
      <c r="G4686">
        <f t="shared" si="147"/>
        <v>0.30927835051546393</v>
      </c>
    </row>
    <row r="4687" spans="1:7" hidden="1">
      <c r="A4687" t="str">
        <f>Sinistrés!H4692</f>
        <v>Maïs grain irrigué</v>
      </c>
      <c r="B4687">
        <f>Sinistrés!J4692</f>
        <v>66917</v>
      </c>
      <c r="C4687">
        <f>Sinistrés!X4692</f>
        <v>0</v>
      </c>
      <c r="D4687">
        <f>Sinistrés!L4692</f>
        <v>30.5</v>
      </c>
      <c r="E4687">
        <f>Sinistrés!M4692</f>
        <v>30.5</v>
      </c>
      <c r="F4687">
        <f t="shared" si="146"/>
        <v>0</v>
      </c>
      <c r="G4687">
        <f t="shared" si="147"/>
        <v>1</v>
      </c>
    </row>
    <row r="4688" spans="1:7">
      <c r="A4688" t="str">
        <f>Sinistrés!H4693</f>
        <v>Tournesol</v>
      </c>
      <c r="B4688">
        <f>Sinistrés!J4693</f>
        <v>26300</v>
      </c>
      <c r="C4688">
        <f>Sinistrés!X4693</f>
        <v>1025</v>
      </c>
      <c r="D4688">
        <f>Sinistrés!L4693</f>
        <v>20</v>
      </c>
      <c r="E4688">
        <f>Sinistrés!M4693</f>
        <v>20</v>
      </c>
      <c r="F4688">
        <f t="shared" si="146"/>
        <v>3.8973384030418251E-2</v>
      </c>
      <c r="G4688">
        <f t="shared" si="147"/>
        <v>1</v>
      </c>
    </row>
    <row r="4689" spans="1:7" hidden="1">
      <c r="A4689" t="str">
        <f>Sinistrés!H4694</f>
        <v>Maïs grain non irrigué</v>
      </c>
      <c r="B4689">
        <f>Sinistrés!J4694</f>
        <v>7923.39</v>
      </c>
      <c r="C4689">
        <f>Sinistrés!X4694</f>
        <v>0</v>
      </c>
      <c r="D4689">
        <f>Sinistrés!L4694</f>
        <v>4.51</v>
      </c>
      <c r="E4689">
        <f>Sinistrés!M4694</f>
        <v>4.51</v>
      </c>
      <c r="F4689">
        <f t="shared" si="146"/>
        <v>0</v>
      </c>
      <c r="G4689">
        <f t="shared" si="147"/>
        <v>1</v>
      </c>
    </row>
    <row r="4690" spans="1:7" hidden="1">
      <c r="A4690" t="str">
        <f>Sinistrés!H4695</f>
        <v>Maïs grain non irrigué</v>
      </c>
      <c r="B4690">
        <f>Sinistrés!J4695</f>
        <v>43042.83</v>
      </c>
      <c r="C4690">
        <f>Sinistrés!X4695</f>
        <v>0</v>
      </c>
      <c r="D4690">
        <f>Sinistrés!L4695</f>
        <v>24.5</v>
      </c>
      <c r="E4690">
        <f>Sinistrés!M4695</f>
        <v>24.5</v>
      </c>
      <c r="F4690">
        <f t="shared" si="146"/>
        <v>0</v>
      </c>
      <c r="G4690">
        <f t="shared" si="147"/>
        <v>1</v>
      </c>
    </row>
    <row r="4691" spans="1:7">
      <c r="A4691" t="str">
        <f>Sinistrés!H4696</f>
        <v>Pommes de terre</v>
      </c>
      <c r="B4691">
        <f>Sinistrés!J4696</f>
        <v>28446.43</v>
      </c>
      <c r="C4691">
        <f>Sinistrés!X4696</f>
        <v>2002.47</v>
      </c>
      <c r="D4691">
        <f>Sinistrés!L4696</f>
        <v>5</v>
      </c>
      <c r="E4691">
        <f>Sinistrés!M4696</f>
        <v>5</v>
      </c>
      <c r="F4691">
        <f t="shared" si="146"/>
        <v>7.0394422076865179E-2</v>
      </c>
      <c r="G4691">
        <f t="shared" si="147"/>
        <v>1</v>
      </c>
    </row>
    <row r="4692" spans="1:7" hidden="1">
      <c r="A4692" t="str">
        <f>Sinistrés!H4697</f>
        <v>Maïs grain non irrigué</v>
      </c>
      <c r="B4692">
        <f>Sinistrés!J4697</f>
        <v>34525.300000000003</v>
      </c>
      <c r="C4692">
        <f>Sinistrés!X4697</f>
        <v>0</v>
      </c>
      <c r="D4692">
        <f>Sinistrés!L4697</f>
        <v>19.55</v>
      </c>
      <c r="E4692">
        <f>Sinistrés!M4697</f>
        <v>19.55</v>
      </c>
      <c r="F4692">
        <f t="shared" si="146"/>
        <v>0</v>
      </c>
      <c r="G4692">
        <f t="shared" si="147"/>
        <v>1</v>
      </c>
    </row>
    <row r="4693" spans="1:7">
      <c r="A4693" t="str">
        <f>Sinistrés!H4698</f>
        <v>Maïs grain non irrigué</v>
      </c>
      <c r="B4693">
        <f>Sinistrés!J4698</f>
        <v>23753.8</v>
      </c>
      <c r="C4693">
        <f>Sinistrés!X4698</f>
        <v>3947.44</v>
      </c>
      <c r="D4693">
        <f>Sinistrés!L4698</f>
        <v>19</v>
      </c>
      <c r="E4693">
        <f>Sinistrés!M4698</f>
        <v>19</v>
      </c>
      <c r="F4693">
        <f t="shared" si="146"/>
        <v>0.16618141097424413</v>
      </c>
      <c r="G4693">
        <f t="shared" si="147"/>
        <v>1</v>
      </c>
    </row>
    <row r="4694" spans="1:7">
      <c r="A4694" t="str">
        <f>Sinistrés!H4699</f>
        <v>Soja</v>
      </c>
      <c r="B4694">
        <f>Sinistrés!J4699</f>
        <v>5880</v>
      </c>
      <c r="C4694">
        <f>Sinistrés!X4699</f>
        <v>1788.5</v>
      </c>
      <c r="D4694">
        <f>Sinistrés!L4699</f>
        <v>7</v>
      </c>
      <c r="E4694">
        <f>Sinistrés!M4699</f>
        <v>7</v>
      </c>
      <c r="F4694">
        <f t="shared" si="146"/>
        <v>0.30416666666666664</v>
      </c>
      <c r="G4694">
        <f t="shared" si="147"/>
        <v>1</v>
      </c>
    </row>
    <row r="4695" spans="1:7">
      <c r="A4695" t="str">
        <f>Sinistrés!H4700</f>
        <v>Maïs grain non irrigué</v>
      </c>
      <c r="B4695">
        <f>Sinistrés!J4700</f>
        <v>56501.760000000002</v>
      </c>
      <c r="C4695">
        <f>Sinistrés!X4700</f>
        <v>27880.61</v>
      </c>
      <c r="D4695">
        <f>Sinistrés!L4700</f>
        <v>31.53</v>
      </c>
      <c r="E4695">
        <f>Sinistrés!M4700</f>
        <v>7</v>
      </c>
      <c r="F4695">
        <f t="shared" si="146"/>
        <v>0.49344675280911604</v>
      </c>
      <c r="G4695">
        <f t="shared" si="147"/>
        <v>0.22201078338090707</v>
      </c>
    </row>
    <row r="4696" spans="1:7">
      <c r="A4696" t="str">
        <f>Sinistrés!H4701</f>
        <v>Tournesol</v>
      </c>
      <c r="B4696">
        <f>Sinistrés!J4701</f>
        <v>82176.81</v>
      </c>
      <c r="C4696">
        <f>Sinistrés!X4701</f>
        <v>9861.2199999999993</v>
      </c>
      <c r="D4696">
        <f>Sinistrés!L4701</f>
        <v>45.73</v>
      </c>
      <c r="E4696">
        <f>Sinistrés!M4701</f>
        <v>45.73</v>
      </c>
      <c r="F4696">
        <f t="shared" si="146"/>
        <v>0.12000003407287287</v>
      </c>
      <c r="G4696">
        <f t="shared" si="147"/>
        <v>1</v>
      </c>
    </row>
    <row r="4697" spans="1:7" hidden="1">
      <c r="A4697" t="str">
        <f>Sinistrés!H4702</f>
        <v>Soja BIO</v>
      </c>
      <c r="B4697">
        <f>Sinistrés!J4702</f>
        <v>12163.2</v>
      </c>
      <c r="C4697">
        <f>Sinistrés!X4702</f>
        <v>152.04</v>
      </c>
      <c r="D4697">
        <f>Sinistrés!L4702</f>
        <v>5.43</v>
      </c>
      <c r="E4697">
        <f>Sinistrés!M4702</f>
        <v>5.43</v>
      </c>
      <c r="F4697">
        <f t="shared" si="146"/>
        <v>1.2499999999999999E-2</v>
      </c>
      <c r="G4697">
        <f t="shared" si="147"/>
        <v>1</v>
      </c>
    </row>
    <row r="4698" spans="1:7">
      <c r="A4698" t="str">
        <f>Sinistrés!H4703</f>
        <v>Maïs grain irrigué</v>
      </c>
      <c r="B4698">
        <f>Sinistrés!J4703</f>
        <v>65331.199999999997</v>
      </c>
      <c r="C4698">
        <f>Sinistrés!X4703</f>
        <v>2222.5300000000002</v>
      </c>
      <c r="D4698">
        <f>Sinistrés!L4703</f>
        <v>37.119999999999997</v>
      </c>
      <c r="E4698">
        <f>Sinistrés!M4703</f>
        <v>37.119999999999997</v>
      </c>
      <c r="F4698">
        <f t="shared" si="146"/>
        <v>3.4019427164968655E-2</v>
      </c>
      <c r="G4698">
        <f t="shared" si="147"/>
        <v>1</v>
      </c>
    </row>
    <row r="4699" spans="1:7" hidden="1">
      <c r="A4699" t="str">
        <f>Sinistrés!H4704</f>
        <v>Soja</v>
      </c>
      <c r="B4699">
        <f>Sinistrés!J4704</f>
        <v>15384.6</v>
      </c>
      <c r="C4699">
        <f>Sinistrés!X4704</f>
        <v>0</v>
      </c>
      <c r="D4699">
        <f>Sinistrés!L4704</f>
        <v>12.95</v>
      </c>
      <c r="E4699">
        <f>Sinistrés!M4704</f>
        <v>12.95</v>
      </c>
      <c r="F4699">
        <f t="shared" si="146"/>
        <v>0</v>
      </c>
      <c r="G4699">
        <f t="shared" si="147"/>
        <v>1</v>
      </c>
    </row>
    <row r="4700" spans="1:7">
      <c r="A4700" t="str">
        <f>Sinistrés!H4705</f>
        <v>Maïs grain non irrigué</v>
      </c>
      <c r="B4700">
        <f>Sinistrés!J4705</f>
        <v>8508.64</v>
      </c>
      <c r="C4700">
        <f>Sinistrés!X4705</f>
        <v>3055.92</v>
      </c>
      <c r="D4700">
        <f>Sinistrés!L4705</f>
        <v>7.49</v>
      </c>
      <c r="E4700">
        <f>Sinistrés!M4705</f>
        <v>7.49</v>
      </c>
      <c r="F4700">
        <f t="shared" si="146"/>
        <v>0.35915492957746481</v>
      </c>
      <c r="G4700">
        <f t="shared" si="147"/>
        <v>1</v>
      </c>
    </row>
    <row r="4701" spans="1:7">
      <c r="A4701" t="str">
        <f>Sinistrés!H4706</f>
        <v>Tournesol</v>
      </c>
      <c r="B4701">
        <f>Sinistrés!J4706</f>
        <v>16901.05</v>
      </c>
      <c r="C4701">
        <f>Sinistrés!X4706</f>
        <v>1076.5</v>
      </c>
      <c r="D4701">
        <f>Sinistrés!L4706</f>
        <v>21.53</v>
      </c>
      <c r="E4701">
        <f>Sinistrés!M4706</f>
        <v>21.53</v>
      </c>
      <c r="F4701">
        <f t="shared" si="146"/>
        <v>6.3694267515923567E-2</v>
      </c>
      <c r="G4701">
        <f t="shared" si="147"/>
        <v>1</v>
      </c>
    </row>
    <row r="4702" spans="1:7" hidden="1">
      <c r="A4702" t="str">
        <f>Sinistrés!H4707</f>
        <v>Tournesol</v>
      </c>
      <c r="B4702">
        <f>Sinistrés!J4707</f>
        <v>7815.85</v>
      </c>
      <c r="C4702">
        <f>Sinistrés!X4707</f>
        <v>0</v>
      </c>
      <c r="D4702">
        <f>Sinistrés!L4707</f>
        <v>11.41</v>
      </c>
      <c r="E4702">
        <f>Sinistrés!M4707</f>
        <v>11.41</v>
      </c>
      <c r="F4702">
        <f t="shared" si="146"/>
        <v>0</v>
      </c>
      <c r="G4702">
        <f t="shared" si="147"/>
        <v>1</v>
      </c>
    </row>
    <row r="4703" spans="1:7" hidden="1">
      <c r="A4703" t="str">
        <f>Sinistrés!H4708</f>
        <v>Tournesol BIO</v>
      </c>
      <c r="B4703">
        <f>Sinistrés!J4708</f>
        <v>9709.25</v>
      </c>
      <c r="C4703">
        <f>Sinistrés!X4708</f>
        <v>1506.79</v>
      </c>
      <c r="D4703">
        <f>Sinistrés!L4708</f>
        <v>8.2899999999999991</v>
      </c>
      <c r="E4703">
        <f>Sinistrés!M4708</f>
        <v>8.2899999999999991</v>
      </c>
      <c r="F4703">
        <f t="shared" si="146"/>
        <v>0.15519118366506165</v>
      </c>
      <c r="G4703">
        <f t="shared" si="147"/>
        <v>1</v>
      </c>
    </row>
    <row r="4704" spans="1:7" hidden="1">
      <c r="A4704" t="str">
        <f>Sinistrés!H4709</f>
        <v>Soja BIO</v>
      </c>
      <c r="B4704">
        <f>Sinistrés!J4709</f>
        <v>28993.08</v>
      </c>
      <c r="C4704">
        <f>Sinistrés!X4709</f>
        <v>401.37</v>
      </c>
      <c r="D4704">
        <f>Sinistrés!L4709</f>
        <v>15.74</v>
      </c>
      <c r="E4704">
        <f>Sinistrés!M4709</f>
        <v>15.74</v>
      </c>
      <c r="F4704">
        <f t="shared" si="146"/>
        <v>1.3843648208469055E-2</v>
      </c>
      <c r="G4704">
        <f t="shared" si="147"/>
        <v>1</v>
      </c>
    </row>
    <row r="4705" spans="1:7">
      <c r="A4705" t="str">
        <f>Sinistrés!H4710</f>
        <v>Maïs grain non irrigué</v>
      </c>
      <c r="B4705">
        <f>Sinistrés!J4710</f>
        <v>12645.67</v>
      </c>
      <c r="C4705">
        <f>Sinistrés!X4710</f>
        <v>1739.34</v>
      </c>
      <c r="D4705">
        <f>Sinistrés!L4710</f>
        <v>6.71</v>
      </c>
      <c r="E4705">
        <f>Sinistrés!M4710</f>
        <v>4.3</v>
      </c>
      <c r="F4705">
        <f t="shared" si="146"/>
        <v>0.13754431358718042</v>
      </c>
      <c r="G4705">
        <f t="shared" si="147"/>
        <v>0.64083457526080478</v>
      </c>
    </row>
    <row r="4706" spans="1:7" hidden="1">
      <c r="A4706" t="str">
        <f>Sinistrés!H4711</f>
        <v>Maïs grain non irrigué BIO</v>
      </c>
      <c r="B4706">
        <f>Sinistrés!J4711</f>
        <v>5089.8100000000004</v>
      </c>
      <c r="C4706">
        <f>Sinistrés!X4711</f>
        <v>1279.27</v>
      </c>
      <c r="D4706">
        <f>Sinistrés!L4711</f>
        <v>4.13</v>
      </c>
      <c r="E4706">
        <f>Sinistrés!M4711</f>
        <v>4.13</v>
      </c>
      <c r="F4706">
        <f t="shared" si="146"/>
        <v>0.25133944096145039</v>
      </c>
      <c r="G4706">
        <f t="shared" si="147"/>
        <v>1</v>
      </c>
    </row>
    <row r="4707" spans="1:7" hidden="1">
      <c r="A4707" t="str">
        <f>Sinistrés!H4712</f>
        <v>Maïs grain non irrigué</v>
      </c>
      <c r="B4707">
        <f>Sinistrés!J4712</f>
        <v>31969.13</v>
      </c>
      <c r="C4707">
        <f>Sinistrés!X4712</f>
        <v>0</v>
      </c>
      <c r="D4707">
        <f>Sinistrés!L4712</f>
        <v>20.2</v>
      </c>
      <c r="E4707">
        <f>Sinistrés!M4712</f>
        <v>20.2</v>
      </c>
      <c r="F4707">
        <f t="shared" si="146"/>
        <v>0</v>
      </c>
      <c r="G4707">
        <f t="shared" si="147"/>
        <v>1</v>
      </c>
    </row>
    <row r="4708" spans="1:7" hidden="1">
      <c r="A4708" t="str">
        <f>Sinistrés!H4713</f>
        <v>Tournesol</v>
      </c>
      <c r="B4708">
        <f>Sinistrés!J4713</f>
        <v>35059.730000000003</v>
      </c>
      <c r="C4708">
        <f>Sinistrés!X4713</f>
        <v>0</v>
      </c>
      <c r="D4708">
        <f>Sinistrés!L4713</f>
        <v>28.87</v>
      </c>
      <c r="E4708">
        <f>Sinistrés!M4713</f>
        <v>28.87</v>
      </c>
      <c r="F4708">
        <f t="shared" si="146"/>
        <v>0</v>
      </c>
      <c r="G4708">
        <f t="shared" si="147"/>
        <v>1</v>
      </c>
    </row>
    <row r="4709" spans="1:7">
      <c r="A4709" t="str">
        <f>Sinistrés!H4714</f>
        <v>Tournesol</v>
      </c>
      <c r="B4709">
        <f>Sinistrés!J4714</f>
        <v>11631.48</v>
      </c>
      <c r="C4709">
        <f>Sinistrés!X4714</f>
        <v>2198.1999999999998</v>
      </c>
      <c r="D4709">
        <f>Sinistrés!L4714</f>
        <v>12.81</v>
      </c>
      <c r="E4709">
        <f>Sinistrés!M4714</f>
        <v>12.81</v>
      </c>
      <c r="F4709">
        <f t="shared" si="146"/>
        <v>0.1889871280352973</v>
      </c>
      <c r="G4709">
        <f t="shared" si="147"/>
        <v>1</v>
      </c>
    </row>
    <row r="4710" spans="1:7">
      <c r="A4710" t="str">
        <f>Sinistrés!H4715</f>
        <v>Maïs grain non irrigué</v>
      </c>
      <c r="B4710">
        <f>Sinistrés!J4715</f>
        <v>24405.94</v>
      </c>
      <c r="C4710">
        <f>Sinistrés!X4715</f>
        <v>10046.17</v>
      </c>
      <c r="D4710">
        <f>Sinistrés!L4715</f>
        <v>15.34</v>
      </c>
      <c r="E4710">
        <f>Sinistrés!M4715</f>
        <v>15.34</v>
      </c>
      <c r="F4710">
        <f t="shared" si="146"/>
        <v>0.41162807087127151</v>
      </c>
      <c r="G4710">
        <f t="shared" si="147"/>
        <v>1</v>
      </c>
    </row>
    <row r="4711" spans="1:7">
      <c r="A4711" t="str">
        <f>Sinistrés!H4716</f>
        <v>Maïs grain irrigué</v>
      </c>
      <c r="B4711">
        <f>Sinistrés!J4716</f>
        <v>95096.26</v>
      </c>
      <c r="C4711">
        <f>Sinistrés!X4716</f>
        <v>8176.42</v>
      </c>
      <c r="D4711">
        <f>Sinistrés!L4716</f>
        <v>42.19</v>
      </c>
      <c r="E4711">
        <f>Sinistrés!M4716</f>
        <v>42.19</v>
      </c>
      <c r="F4711">
        <f t="shared" si="146"/>
        <v>8.5980458116859698E-2</v>
      </c>
      <c r="G4711">
        <f t="shared" si="147"/>
        <v>1</v>
      </c>
    </row>
    <row r="4712" spans="1:7">
      <c r="A4712" t="str">
        <f>Sinistrés!H4717</f>
        <v>Soja</v>
      </c>
      <c r="B4712">
        <f>Sinistrés!J4717</f>
        <v>12137.58</v>
      </c>
      <c r="C4712">
        <f>Sinistrés!X4717</f>
        <v>6383.47</v>
      </c>
      <c r="D4712">
        <f>Sinistrés!L4717</f>
        <v>11.83</v>
      </c>
      <c r="E4712">
        <f>Sinistrés!M4717</f>
        <v>11.83</v>
      </c>
      <c r="F4712">
        <f t="shared" si="146"/>
        <v>0.52592609070341867</v>
      </c>
      <c r="G4712">
        <f t="shared" si="147"/>
        <v>1</v>
      </c>
    </row>
    <row r="4713" spans="1:7">
      <c r="A4713" t="str">
        <f>Sinistrés!H4718</f>
        <v>Soja</v>
      </c>
      <c r="B4713">
        <f>Sinistrés!J4718</f>
        <v>5329.32</v>
      </c>
      <c r="C4713">
        <f>Sinistrés!X4718</f>
        <v>3098.79</v>
      </c>
      <c r="D4713">
        <f>Sinistrés!L4718</f>
        <v>4.99</v>
      </c>
      <c r="E4713">
        <f>Sinistrés!M4718</f>
        <v>4.99</v>
      </c>
      <c r="F4713">
        <f t="shared" si="146"/>
        <v>0.5814606741573034</v>
      </c>
      <c r="G4713">
        <f t="shared" si="147"/>
        <v>1</v>
      </c>
    </row>
    <row r="4714" spans="1:7" hidden="1">
      <c r="A4714" t="str">
        <f>Sinistrés!H4719</f>
        <v>Soja</v>
      </c>
      <c r="B4714">
        <f>Sinistrés!J4719</f>
        <v>3935.75</v>
      </c>
      <c r="C4714">
        <f>Sinistrés!X4719</f>
        <v>0</v>
      </c>
      <c r="D4714">
        <f>Sinistrés!L4719</f>
        <v>3.25</v>
      </c>
      <c r="E4714">
        <f>Sinistrés!M4719</f>
        <v>3.25</v>
      </c>
      <c r="F4714">
        <f t="shared" si="146"/>
        <v>0</v>
      </c>
      <c r="G4714">
        <f t="shared" si="147"/>
        <v>1</v>
      </c>
    </row>
    <row r="4715" spans="1:7" hidden="1">
      <c r="A4715" t="str">
        <f>Sinistrés!H4720</f>
        <v>Maïs grain non irrigué</v>
      </c>
      <c r="B4715">
        <f>Sinistrés!J4720</f>
        <v>16614</v>
      </c>
      <c r="C4715">
        <f>Sinistrés!X4720</f>
        <v>0</v>
      </c>
      <c r="D4715">
        <f>Sinistrés!L4720</f>
        <v>10.4</v>
      </c>
      <c r="E4715">
        <f>Sinistrés!M4720</f>
        <v>3</v>
      </c>
      <c r="F4715">
        <f t="shared" si="146"/>
        <v>0</v>
      </c>
      <c r="G4715">
        <f t="shared" si="147"/>
        <v>0.28846153846153844</v>
      </c>
    </row>
    <row r="4716" spans="1:7" hidden="1">
      <c r="A4716" t="str">
        <f>Sinistrés!H4721</f>
        <v>Maïs ensilage non irrigué</v>
      </c>
      <c r="B4716">
        <f>Sinistrés!J4721</f>
        <v>11001.94</v>
      </c>
      <c r="C4716">
        <f>Sinistrés!X4721</f>
        <v>0</v>
      </c>
      <c r="D4716">
        <f>Sinistrés!L4721</f>
        <v>7.37</v>
      </c>
      <c r="E4716">
        <f>Sinistrés!M4721</f>
        <v>7.37</v>
      </c>
      <c r="F4716">
        <f t="shared" si="146"/>
        <v>0</v>
      </c>
      <c r="G4716">
        <f t="shared" si="147"/>
        <v>1</v>
      </c>
    </row>
    <row r="4717" spans="1:7">
      <c r="A4717" t="str">
        <f>Sinistrés!H4722</f>
        <v>Tournesol</v>
      </c>
      <c r="B4717">
        <f>Sinistrés!J4722</f>
        <v>8298</v>
      </c>
      <c r="C4717">
        <f>Sinistrés!X4722</f>
        <v>1120.23</v>
      </c>
      <c r="D4717">
        <f>Sinistrés!L4722</f>
        <v>7.5</v>
      </c>
      <c r="E4717">
        <f>Sinistrés!M4722</f>
        <v>7.3</v>
      </c>
      <c r="F4717">
        <f t="shared" si="146"/>
        <v>0.13500000000000001</v>
      </c>
      <c r="G4717">
        <f t="shared" si="147"/>
        <v>0.97333333333333327</v>
      </c>
    </row>
    <row r="4718" spans="1:7" hidden="1">
      <c r="A4718" t="str">
        <f>Sinistrés!H4723</f>
        <v>Lin oléagineux BIO</v>
      </c>
      <c r="B4718">
        <f>Sinistrés!J4723</f>
        <v>3722.4</v>
      </c>
      <c r="C4718">
        <f>Sinistrés!X4723</f>
        <v>524.52</v>
      </c>
      <c r="D4718">
        <f>Sinistrés!L4723</f>
        <v>8.4600000000000009</v>
      </c>
      <c r="E4718">
        <f>Sinistrés!M4723</f>
        <v>8.4600000000000009</v>
      </c>
      <c r="F4718">
        <f t="shared" si="146"/>
        <v>0.1409090909090909</v>
      </c>
      <c r="G4718">
        <f t="shared" si="147"/>
        <v>1</v>
      </c>
    </row>
    <row r="4719" spans="1:7">
      <c r="A4719" t="str">
        <f>Sinistrés!H4724</f>
        <v>Tournesol</v>
      </c>
      <c r="B4719">
        <f>Sinistrés!J4724</f>
        <v>7620.33</v>
      </c>
      <c r="C4719">
        <f>Sinistrés!X4724</f>
        <v>1129.9100000000001</v>
      </c>
      <c r="D4719">
        <f>Sinistrés!L4724</f>
        <v>5.7</v>
      </c>
      <c r="E4719">
        <f>Sinistrés!M4724</f>
        <v>4.7</v>
      </c>
      <c r="F4719">
        <f t="shared" si="146"/>
        <v>0.14827573084105283</v>
      </c>
      <c r="G4719">
        <f t="shared" si="147"/>
        <v>0.82456140350877194</v>
      </c>
    </row>
    <row r="4720" spans="1:7" hidden="1">
      <c r="A4720" t="str">
        <f>Sinistrés!H4725</f>
        <v>Maïs grain irrigué</v>
      </c>
      <c r="B4720">
        <f>Sinistrés!J4725</f>
        <v>26785.200000000001</v>
      </c>
      <c r="C4720">
        <f>Sinistrés!X4725</f>
        <v>0</v>
      </c>
      <c r="D4720">
        <f>Sinistrés!L4725</f>
        <v>13.6</v>
      </c>
      <c r="E4720">
        <f>Sinistrés!M4725</f>
        <v>13.6</v>
      </c>
      <c r="F4720">
        <f t="shared" si="146"/>
        <v>0</v>
      </c>
      <c r="G4720">
        <f t="shared" si="147"/>
        <v>1</v>
      </c>
    </row>
    <row r="4721" spans="1:7">
      <c r="A4721" t="str">
        <f>Sinistrés!H4726</f>
        <v>Maïs grain non irrigué</v>
      </c>
      <c r="B4721">
        <f>Sinistrés!J4726</f>
        <v>44549.52</v>
      </c>
      <c r="C4721">
        <f>Sinistrés!X4726</f>
        <v>19235.759999999998</v>
      </c>
      <c r="D4721">
        <f>Sinistrés!L4726</f>
        <v>28.64</v>
      </c>
      <c r="E4721">
        <f>Sinistrés!M4726</f>
        <v>23.7</v>
      </c>
      <c r="F4721">
        <f t="shared" si="146"/>
        <v>0.43178377679490149</v>
      </c>
      <c r="G4721">
        <f t="shared" si="147"/>
        <v>0.82751396648044684</v>
      </c>
    </row>
    <row r="4722" spans="1:7">
      <c r="A4722" t="str">
        <f>Sinistrés!H4727</f>
        <v>Tournesol</v>
      </c>
      <c r="B4722">
        <f>Sinistrés!J4727</f>
        <v>27466</v>
      </c>
      <c r="C4722">
        <f>Sinistrés!X4727</f>
        <v>9923.2000000000007</v>
      </c>
      <c r="D4722">
        <f>Sinistrés!L4727</f>
        <v>22.15</v>
      </c>
      <c r="E4722">
        <f>Sinistrés!M4727</f>
        <v>22.15</v>
      </c>
      <c r="F4722">
        <f t="shared" si="146"/>
        <v>0.3612903225806452</v>
      </c>
      <c r="G4722">
        <f t="shared" si="147"/>
        <v>1</v>
      </c>
    </row>
    <row r="4723" spans="1:7">
      <c r="A4723" t="str">
        <f>Sinistrés!H4728</f>
        <v>Maïs grain non irrigué</v>
      </c>
      <c r="B4723">
        <f>Sinistrés!J4728</f>
        <v>16135.72</v>
      </c>
      <c r="C4723">
        <f>Sinistrés!X4728</f>
        <v>1146.8499999999999</v>
      </c>
      <c r="D4723">
        <f>Sinistrés!L4728</f>
        <v>10.92</v>
      </c>
      <c r="E4723">
        <f>Sinistrés!M4728</f>
        <v>10.92</v>
      </c>
      <c r="F4723">
        <f t="shared" si="146"/>
        <v>7.1075229366895309E-2</v>
      </c>
      <c r="G4723">
        <f t="shared" si="147"/>
        <v>1</v>
      </c>
    </row>
    <row r="4724" spans="1:7" hidden="1">
      <c r="A4724" t="str">
        <f>Sinistrés!H4729</f>
        <v>Maïs grain non irrigué</v>
      </c>
      <c r="B4724">
        <f>Sinistrés!J4729</f>
        <v>29956.75</v>
      </c>
      <c r="C4724">
        <f>Sinistrés!X4729</f>
        <v>0</v>
      </c>
      <c r="D4724">
        <f>Sinistrés!L4729</f>
        <v>18.41</v>
      </c>
      <c r="E4724">
        <f>Sinistrés!M4729</f>
        <v>18.41</v>
      </c>
      <c r="F4724">
        <f t="shared" si="146"/>
        <v>0</v>
      </c>
      <c r="G4724">
        <f t="shared" si="147"/>
        <v>1</v>
      </c>
    </row>
    <row r="4725" spans="1:7" hidden="1">
      <c r="A4725" t="str">
        <f>Sinistrés!H4730</f>
        <v>Maïs grain irrigué</v>
      </c>
      <c r="B4725">
        <f>Sinistrés!J4730</f>
        <v>94300</v>
      </c>
      <c r="C4725">
        <f>Sinistrés!X4730</f>
        <v>0</v>
      </c>
      <c r="D4725">
        <f>Sinistrés!L4730</f>
        <v>47.15</v>
      </c>
      <c r="E4725">
        <f>Sinistrés!M4730</f>
        <v>47.15</v>
      </c>
      <c r="F4725">
        <f t="shared" si="146"/>
        <v>0</v>
      </c>
      <c r="G4725">
        <f t="shared" si="147"/>
        <v>1</v>
      </c>
    </row>
    <row r="4726" spans="1:7" hidden="1">
      <c r="A4726" t="str">
        <f>Sinistrés!H4731</f>
        <v>Soja</v>
      </c>
      <c r="B4726">
        <f>Sinistrés!J4731</f>
        <v>11659.45</v>
      </c>
      <c r="C4726">
        <f>Sinistrés!X4731</f>
        <v>0</v>
      </c>
      <c r="D4726">
        <f>Sinistrés!L4731</f>
        <v>10.75</v>
      </c>
      <c r="E4726">
        <f>Sinistrés!M4731</f>
        <v>10.75</v>
      </c>
      <c r="F4726">
        <f t="shared" si="146"/>
        <v>0</v>
      </c>
      <c r="G4726">
        <f t="shared" si="147"/>
        <v>1</v>
      </c>
    </row>
    <row r="4727" spans="1:7">
      <c r="A4727" t="str">
        <f>Sinistrés!H4732</f>
        <v>Soja</v>
      </c>
      <c r="B4727">
        <f>Sinistrés!J4732</f>
        <v>9549</v>
      </c>
      <c r="C4727">
        <f>Sinistrés!X4732</f>
        <v>6302.34</v>
      </c>
      <c r="D4727">
        <f>Sinistrés!L4732</f>
        <v>10.61</v>
      </c>
      <c r="E4727">
        <f>Sinistrés!M4732</f>
        <v>10.61</v>
      </c>
      <c r="F4727">
        <f t="shared" si="146"/>
        <v>0.66</v>
      </c>
      <c r="G4727">
        <f t="shared" si="147"/>
        <v>1</v>
      </c>
    </row>
    <row r="4728" spans="1:7" hidden="1">
      <c r="A4728" t="str">
        <f>Sinistrés!H4733</f>
        <v>Tournesol</v>
      </c>
      <c r="B4728">
        <f>Sinistrés!J4733</f>
        <v>7325.55</v>
      </c>
      <c r="C4728">
        <f>Sinistrés!X4733</f>
        <v>0</v>
      </c>
      <c r="D4728">
        <f>Sinistrés!L4733</f>
        <v>11.15</v>
      </c>
      <c r="E4728">
        <f>Sinistrés!M4733</f>
        <v>11.15</v>
      </c>
      <c r="F4728">
        <f t="shared" si="146"/>
        <v>0</v>
      </c>
      <c r="G4728">
        <f t="shared" si="147"/>
        <v>1</v>
      </c>
    </row>
    <row r="4729" spans="1:7" hidden="1">
      <c r="A4729" t="str">
        <f>Sinistrés!H4734</f>
        <v>Maïs waxy irrigué</v>
      </c>
      <c r="B4729">
        <f>Sinistrés!J4734</f>
        <v>126357.34</v>
      </c>
      <c r="C4729">
        <f>Sinistrés!X4734</f>
        <v>0</v>
      </c>
      <c r="D4729">
        <f>Sinistrés!L4734</f>
        <v>47.8</v>
      </c>
      <c r="E4729">
        <f>Sinistrés!M4734</f>
        <v>47.8</v>
      </c>
      <c r="F4729">
        <f t="shared" si="146"/>
        <v>0</v>
      </c>
      <c r="G4729">
        <f t="shared" si="147"/>
        <v>1</v>
      </c>
    </row>
    <row r="4730" spans="1:7">
      <c r="A4730" t="str">
        <f>Sinistrés!H4735</f>
        <v>Maïs waxy non irrigué</v>
      </c>
      <c r="B4730">
        <f>Sinistrés!J4735</f>
        <v>6658.13</v>
      </c>
      <c r="C4730">
        <f>Sinistrés!X4735</f>
        <v>4422.96</v>
      </c>
      <c r="D4730">
        <f>Sinistrés!L4735</f>
        <v>3.71</v>
      </c>
      <c r="E4730">
        <f>Sinistrés!M4735</f>
        <v>3.71</v>
      </c>
      <c r="F4730">
        <f t="shared" si="146"/>
        <v>0.66429462927278382</v>
      </c>
      <c r="G4730">
        <f t="shared" si="147"/>
        <v>1</v>
      </c>
    </row>
    <row r="4731" spans="1:7">
      <c r="A4731" t="str">
        <f>Sinistrés!H4736</f>
        <v>Maïs grain non irrigué</v>
      </c>
      <c r="B4731">
        <f>Sinistrés!J4736</f>
        <v>14476.87</v>
      </c>
      <c r="C4731">
        <f>Sinistrés!X4736</f>
        <v>1566.67</v>
      </c>
      <c r="D4731">
        <f>Sinistrés!L4736</f>
        <v>13.66</v>
      </c>
      <c r="E4731">
        <f>Sinistrés!M4736</f>
        <v>11.16</v>
      </c>
      <c r="F4731">
        <f t="shared" si="146"/>
        <v>0.10821883459615235</v>
      </c>
      <c r="G4731">
        <f t="shared" si="147"/>
        <v>0.81698389458272325</v>
      </c>
    </row>
    <row r="4732" spans="1:7">
      <c r="A4732" t="str">
        <f>Sinistrés!H4737</f>
        <v>Maïs grain non irrigué</v>
      </c>
      <c r="B4732">
        <f>Sinistrés!J4737</f>
        <v>20487.599999999999</v>
      </c>
      <c r="C4732">
        <f>Sinistrés!X4737</f>
        <v>10795.18</v>
      </c>
      <c r="D4732">
        <f>Sinistrés!L4737</f>
        <v>10.84</v>
      </c>
      <c r="E4732">
        <f>Sinistrés!M4737</f>
        <v>10.84</v>
      </c>
      <c r="F4732">
        <f t="shared" si="146"/>
        <v>0.52691286436673901</v>
      </c>
      <c r="G4732">
        <f t="shared" si="147"/>
        <v>1</v>
      </c>
    </row>
    <row r="4733" spans="1:7">
      <c r="A4733" t="str">
        <f>Sinistrés!H4738</f>
        <v>Maïs waxy non irrigué</v>
      </c>
      <c r="B4733">
        <f>Sinistrés!J4738</f>
        <v>18354</v>
      </c>
      <c r="C4733">
        <f>Sinistrés!X4738</f>
        <v>6187.92</v>
      </c>
      <c r="D4733">
        <f>Sinistrés!L4738</f>
        <v>8.74</v>
      </c>
      <c r="E4733">
        <f>Sinistrés!M4738</f>
        <v>8.74</v>
      </c>
      <c r="F4733">
        <f t="shared" si="146"/>
        <v>0.33714285714285713</v>
      </c>
      <c r="G4733">
        <f t="shared" si="147"/>
        <v>1</v>
      </c>
    </row>
    <row r="4734" spans="1:7" hidden="1">
      <c r="A4734" t="str">
        <f>Sinistrés!H4739</f>
        <v>Vigne à raisin de cuve (VCU1)</v>
      </c>
      <c r="B4734">
        <f>Sinistrés!J4739</f>
        <v>414906.39</v>
      </c>
      <c r="C4734">
        <f>Sinistrés!X4739</f>
        <v>0</v>
      </c>
      <c r="D4734">
        <f>Sinistrés!L4739</f>
        <v>88.31</v>
      </c>
      <c r="E4734">
        <f>Sinistrés!M4739</f>
        <v>88.31</v>
      </c>
      <c r="F4734">
        <f t="shared" si="146"/>
        <v>0</v>
      </c>
      <c r="G4734">
        <f t="shared" si="147"/>
        <v>1</v>
      </c>
    </row>
    <row r="4735" spans="1:7" hidden="1">
      <c r="A4735" t="str">
        <f>Sinistrés!H4740</f>
        <v>Maïs waxy irrigué</v>
      </c>
      <c r="B4735">
        <f>Sinistrés!J4740</f>
        <v>101611.38</v>
      </c>
      <c r="C4735">
        <f>Sinistrés!X4740</f>
        <v>0</v>
      </c>
      <c r="D4735">
        <f>Sinistrés!L4740</f>
        <v>36.229999999999997</v>
      </c>
      <c r="E4735">
        <f>Sinistrés!M4740</f>
        <v>7</v>
      </c>
      <c r="F4735">
        <f t="shared" si="146"/>
        <v>0</v>
      </c>
      <c r="G4735">
        <f t="shared" si="147"/>
        <v>0.19321004692243998</v>
      </c>
    </row>
    <row r="4736" spans="1:7">
      <c r="A4736" t="str">
        <f>Sinistrés!H4741</f>
        <v>Maïs grain non irrigué</v>
      </c>
      <c r="B4736">
        <f>Sinistrés!J4741</f>
        <v>63507.6</v>
      </c>
      <c r="C4736">
        <f>Sinistrés!X4741</f>
        <v>20893.650000000001</v>
      </c>
      <c r="D4736">
        <f>Sinistrés!L4741</f>
        <v>46</v>
      </c>
      <c r="E4736">
        <f>Sinistrés!M4741</f>
        <v>46</v>
      </c>
      <c r="F4736">
        <f t="shared" si="146"/>
        <v>0.32899448255012004</v>
      </c>
      <c r="G4736">
        <f t="shared" si="147"/>
        <v>1</v>
      </c>
    </row>
    <row r="4737" spans="1:7" hidden="1">
      <c r="A4737" t="str">
        <f>Sinistrés!H4742</f>
        <v>Maïs grain non irrigué</v>
      </c>
      <c r="B4737">
        <f>Sinistrés!J4742</f>
        <v>5094.41</v>
      </c>
      <c r="C4737">
        <f>Sinistrés!X4742</f>
        <v>0</v>
      </c>
      <c r="D4737">
        <f>Sinistrés!L4742</f>
        <v>3.69</v>
      </c>
      <c r="E4737">
        <f>Sinistrés!M4742</f>
        <v>3.69</v>
      </c>
      <c r="F4737">
        <f t="shared" si="146"/>
        <v>0</v>
      </c>
      <c r="G4737">
        <f t="shared" si="147"/>
        <v>1</v>
      </c>
    </row>
    <row r="4738" spans="1:7">
      <c r="A4738" t="str">
        <f>Sinistrés!H4743</f>
        <v>Sorgho</v>
      </c>
      <c r="B4738">
        <f>Sinistrés!J4743</f>
        <v>24010.799999999999</v>
      </c>
      <c r="C4738">
        <f>Sinistrés!X4743</f>
        <v>5370.64</v>
      </c>
      <c r="D4738">
        <f>Sinistrés!L4743</f>
        <v>22</v>
      </c>
      <c r="E4738">
        <f>Sinistrés!M4743</f>
        <v>22</v>
      </c>
      <c r="F4738">
        <f t="shared" si="146"/>
        <v>0.2236760124610592</v>
      </c>
      <c r="G4738">
        <f t="shared" si="147"/>
        <v>1</v>
      </c>
    </row>
    <row r="4739" spans="1:7" hidden="1">
      <c r="A4739" t="str">
        <f>Sinistrés!H4744</f>
        <v>Tournesol</v>
      </c>
      <c r="B4739">
        <f>Sinistrés!J4744</f>
        <v>68608</v>
      </c>
      <c r="C4739">
        <f>Sinistrés!X4744</f>
        <v>0</v>
      </c>
      <c r="D4739">
        <f>Sinistrés!L4744</f>
        <v>64</v>
      </c>
      <c r="E4739">
        <f>Sinistrés!M4744</f>
        <v>64</v>
      </c>
      <c r="F4739">
        <f t="shared" ref="F4739:F4751" si="148">C4739/B4739</f>
        <v>0</v>
      </c>
      <c r="G4739">
        <f t="shared" ref="G4739:G4751" si="149">E4739/D4739</f>
        <v>1</v>
      </c>
    </row>
    <row r="4740" spans="1:7" hidden="1">
      <c r="A4740" t="str">
        <f>Sinistrés!H4745</f>
        <v>Maïs grain non irrigué</v>
      </c>
      <c r="B4740">
        <f>Sinistrés!J4745</f>
        <v>19143.900000000001</v>
      </c>
      <c r="C4740">
        <f>Sinistrés!X4745</f>
        <v>0</v>
      </c>
      <c r="D4740">
        <f>Sinistrés!L4745</f>
        <v>14.34</v>
      </c>
      <c r="E4740">
        <f>Sinistrés!M4745</f>
        <v>14.34</v>
      </c>
      <c r="F4740">
        <f t="shared" si="148"/>
        <v>0</v>
      </c>
      <c r="G4740">
        <f t="shared" si="149"/>
        <v>1</v>
      </c>
    </row>
    <row r="4741" spans="1:7" hidden="1">
      <c r="A4741" t="str">
        <f>Sinistrés!H4746</f>
        <v>Soja BIO</v>
      </c>
      <c r="B4741">
        <f>Sinistrés!J4746</f>
        <v>16831.099999999999</v>
      </c>
      <c r="C4741">
        <f>Sinistrés!X4746</f>
        <v>0</v>
      </c>
      <c r="D4741">
        <f>Sinistrés!L4746</f>
        <v>11.77</v>
      </c>
      <c r="E4741">
        <f>Sinistrés!M4746</f>
        <v>11.77</v>
      </c>
      <c r="F4741">
        <f t="shared" si="148"/>
        <v>0</v>
      </c>
      <c r="G4741">
        <f t="shared" si="149"/>
        <v>1</v>
      </c>
    </row>
    <row r="4742" spans="1:7">
      <c r="A4742" t="str">
        <f>Sinistrés!H4747</f>
        <v>Maïs waxy irrigué</v>
      </c>
      <c r="B4742">
        <f>Sinistrés!J4747</f>
        <v>80938.820000000007</v>
      </c>
      <c r="C4742">
        <f>Sinistrés!X4747</f>
        <v>1393.94</v>
      </c>
      <c r="D4742">
        <f>Sinistrés!L4747</f>
        <v>31.44</v>
      </c>
      <c r="E4742">
        <f>Sinistrés!M4747</f>
        <v>20</v>
      </c>
      <c r="F4742">
        <f t="shared" si="148"/>
        <v>1.7222143836542216E-2</v>
      </c>
      <c r="G4742">
        <f t="shared" si="149"/>
        <v>0.63613231552162852</v>
      </c>
    </row>
    <row r="4743" spans="1:7" hidden="1">
      <c r="A4743" t="str">
        <f>Sinistrés!H4748</f>
        <v>Soja</v>
      </c>
      <c r="B4743">
        <f>Sinistrés!J4748</f>
        <v>42025.2</v>
      </c>
      <c r="C4743">
        <f>Sinistrés!X4748</f>
        <v>0</v>
      </c>
      <c r="D4743">
        <f>Sinistrés!L4748</f>
        <v>50.03</v>
      </c>
      <c r="E4743">
        <f>Sinistrés!M4748</f>
        <v>50.03</v>
      </c>
      <c r="F4743">
        <f t="shared" si="148"/>
        <v>0</v>
      </c>
      <c r="G4743">
        <f t="shared" si="149"/>
        <v>1</v>
      </c>
    </row>
    <row r="4744" spans="1:7">
      <c r="A4744" t="str">
        <f>Sinistrés!H4749</f>
        <v>Maïs ensilage non irrigué</v>
      </c>
      <c r="B4744">
        <f>Sinistrés!J4749</f>
        <v>51093.97</v>
      </c>
      <c r="C4744">
        <f>Sinistrés!X4749</f>
        <v>20473.36</v>
      </c>
      <c r="D4744">
        <f>Sinistrés!L4749</f>
        <v>59.78</v>
      </c>
      <c r="E4744">
        <f>Sinistrés!M4749</f>
        <v>59.78</v>
      </c>
      <c r="F4744">
        <f t="shared" si="148"/>
        <v>0.40070012175605069</v>
      </c>
      <c r="G4744">
        <f t="shared" si="149"/>
        <v>1</v>
      </c>
    </row>
    <row r="4745" spans="1:7">
      <c r="A4745" t="str">
        <f>Sinistrés!H4750</f>
        <v>Maïs grain non irrigué</v>
      </c>
      <c r="B4745">
        <f>Sinistrés!J4750</f>
        <v>97442.38</v>
      </c>
      <c r="C4745">
        <f>Sinistrés!X4750</f>
        <v>12231.38</v>
      </c>
      <c r="D4745">
        <f>Sinistrés!L4750</f>
        <v>43.05</v>
      </c>
      <c r="E4745">
        <f>Sinistrés!M4750</f>
        <v>15.9</v>
      </c>
      <c r="F4745">
        <f t="shared" si="148"/>
        <v>0.1255242328851163</v>
      </c>
      <c r="G4745">
        <f t="shared" si="149"/>
        <v>0.36933797909407667</v>
      </c>
    </row>
    <row r="4746" spans="1:7" hidden="1">
      <c r="A4746" t="str">
        <f>Sinistrés!H4751</f>
        <v>Maïs waxy non irrigué</v>
      </c>
      <c r="B4746">
        <f>Sinistrés!J4751</f>
        <v>18943.759999999998</v>
      </c>
      <c r="C4746">
        <f>Sinistrés!X4751</f>
        <v>0</v>
      </c>
      <c r="D4746">
        <f>Sinistrés!L4751</f>
        <v>8.24</v>
      </c>
      <c r="E4746">
        <f>Sinistrés!M4751</f>
        <v>8.24</v>
      </c>
      <c r="F4746">
        <f t="shared" si="148"/>
        <v>0</v>
      </c>
      <c r="G4746">
        <f t="shared" si="149"/>
        <v>1</v>
      </c>
    </row>
    <row r="4747" spans="1:7">
      <c r="A4747" t="str">
        <f>Sinistrés!H4752</f>
        <v>Soja</v>
      </c>
      <c r="B4747">
        <f>Sinistrés!J4752</f>
        <v>1232.52</v>
      </c>
      <c r="C4747">
        <f>Sinistrés!X4752</f>
        <v>670.28</v>
      </c>
      <c r="D4747">
        <f>Sinistrés!L4752</f>
        <v>1.59</v>
      </c>
      <c r="E4747">
        <f>Sinistrés!M4752</f>
        <v>1.59</v>
      </c>
      <c r="F4747">
        <f t="shared" si="148"/>
        <v>0.54382890338493495</v>
      </c>
      <c r="G4747">
        <f t="shared" si="149"/>
        <v>1</v>
      </c>
    </row>
    <row r="4748" spans="1:7" hidden="1">
      <c r="A4748" t="str">
        <f>Sinistrés!H4753</f>
        <v>Maïs grain non irrigué</v>
      </c>
      <c r="B4748">
        <f>Sinistrés!J4753</f>
        <v>34000</v>
      </c>
      <c r="C4748">
        <f>Sinistrés!X4753</f>
        <v>0</v>
      </c>
      <c r="D4748">
        <f>Sinistrés!L4753</f>
        <v>17</v>
      </c>
      <c r="E4748">
        <f>Sinistrés!M4753</f>
        <v>14.2</v>
      </c>
      <c r="F4748">
        <f t="shared" si="148"/>
        <v>0</v>
      </c>
      <c r="G4748">
        <f t="shared" si="149"/>
        <v>0.83529411764705874</v>
      </c>
    </row>
    <row r="4749" spans="1:7" hidden="1">
      <c r="A4749" t="str">
        <f>Sinistrés!H4754</f>
        <v>Maïs grain non irrigué</v>
      </c>
      <c r="B4749">
        <f>Sinistrés!J4754</f>
        <v>20160</v>
      </c>
      <c r="C4749">
        <f>Sinistrés!X4754</f>
        <v>0</v>
      </c>
      <c r="D4749">
        <f>Sinistrés!L4754</f>
        <v>13.44</v>
      </c>
      <c r="E4749">
        <f>Sinistrés!M4754</f>
        <v>13.44</v>
      </c>
      <c r="F4749">
        <f t="shared" si="148"/>
        <v>0</v>
      </c>
      <c r="G4749">
        <f t="shared" si="149"/>
        <v>1</v>
      </c>
    </row>
    <row r="4750" spans="1:7" hidden="1">
      <c r="A4750" t="str">
        <f>Sinistrés!H4755</f>
        <v>Maïs grain irrigué</v>
      </c>
      <c r="B4750">
        <f>Sinistrés!J4755</f>
        <v>37749.599999999999</v>
      </c>
      <c r="C4750">
        <f>Sinistrés!X4755</f>
        <v>0</v>
      </c>
      <c r="D4750">
        <f>Sinistrés!L4755</f>
        <v>28</v>
      </c>
      <c r="E4750">
        <f>Sinistrés!M4755</f>
        <v>18</v>
      </c>
      <c r="F4750">
        <f t="shared" si="148"/>
        <v>0</v>
      </c>
      <c r="G4750">
        <f t="shared" si="149"/>
        <v>0.6428571428571429</v>
      </c>
    </row>
    <row r="4751" spans="1:7" hidden="1">
      <c r="A4751" t="str">
        <f>Sinistrés!H4756</f>
        <v>Sorgho</v>
      </c>
      <c r="B4751">
        <f>Sinistrés!J4756</f>
        <v>4747.3599999999997</v>
      </c>
      <c r="C4751">
        <f>Sinistrés!X4756</f>
        <v>0</v>
      </c>
      <c r="D4751">
        <f>Sinistrés!L4756</f>
        <v>9.0399999999999991</v>
      </c>
      <c r="E4751">
        <f>Sinistrés!M4756</f>
        <v>9.0399999999999991</v>
      </c>
      <c r="F4751">
        <f t="shared" si="148"/>
        <v>0</v>
      </c>
      <c r="G4751">
        <f t="shared" si="149"/>
        <v>1</v>
      </c>
    </row>
  </sheetData>
  <autoFilter ref="A1:G4751" xr:uid="{F36CCA9A-5259-F64B-839B-BE5A21170DB2}">
    <filterColumn colId="0">
      <filters>
        <filter val="Avoine d'hiver"/>
        <filter val="Avoine de printemps"/>
        <filter val="Blé de force"/>
        <filter val="Blé dur d'hiver"/>
        <filter val="Blé dur de printemps"/>
        <filter val="Blé tendre d'hiver"/>
        <filter val="Blé tendre de printemps"/>
        <filter val="Chanvre"/>
        <filter val="Colza d'hiver"/>
        <filter val="Colza de printemps"/>
        <filter val="Féveroles et fèves"/>
        <filter val="Lentilles"/>
        <filter val="Lin oléagineux"/>
        <filter val="Lin textile"/>
        <filter val="Maïs doux non irrigué"/>
        <filter val="Maïs ensilage irrigué"/>
        <filter val="Maïs ensilage non irrigué"/>
        <filter val="Maïs grain irrigué"/>
        <filter val="Maïs grain non irrigué"/>
        <filter val="Maïs non irrigué"/>
        <filter val="Maïs pop corn irrigué"/>
        <filter val="Maïs waxy irrigué"/>
        <filter val="Maïs waxy non irrigué"/>
        <filter val="Oeillette"/>
        <filter val="Orge d'hiver"/>
        <filter val="Orge de printemps"/>
        <filter val="Pois protéagineux"/>
        <filter val="Pois secs / Pois Chiches"/>
        <filter val="Pommes de terre"/>
        <filter val="Pommes de terre de féculerie"/>
        <filter val="Quinoa"/>
        <filter val="Seigle et méteil"/>
        <filter val="Soja"/>
        <filter val="Soja SEMENCES"/>
        <filter val="Sorgho"/>
        <filter val="Tournesol"/>
        <filter val="Triticale"/>
      </filters>
    </filterColumn>
    <filterColumn colId="2">
      <filters>
        <filter val="1,25"/>
        <filter val="10,46"/>
        <filter val="1000"/>
        <filter val="10037,24"/>
        <filter val="10046,17"/>
        <filter val="1006,31"/>
        <filter val="1006,76"/>
        <filter val="10078,11"/>
        <filter val="100942"/>
        <filter val="1013"/>
        <filter val="10130,4"/>
        <filter val="10134,6"/>
        <filter val="10140,47"/>
        <filter val="1015"/>
        <filter val="10150,64"/>
        <filter val="10158,34"/>
        <filter val="1016,25"/>
        <filter val="10190,84"/>
        <filter val="10209"/>
        <filter val="1021,02"/>
        <filter val="1025"/>
        <filter val="1025,52"/>
        <filter val="1025,81"/>
        <filter val="1027,81"/>
        <filter val="10276,5"/>
        <filter val="1030,75"/>
        <filter val="10300"/>
        <filter val="1031,5"/>
        <filter val="1031,68"/>
        <filter val="10315,84"/>
        <filter val="10325,48"/>
        <filter val="1034,54"/>
        <filter val="10348,8"/>
        <filter val="10359,89"/>
        <filter val="1036,15"/>
        <filter val="1036,47"/>
        <filter val="10396,93"/>
        <filter val="1040,9"/>
        <filter val="1042,5"/>
        <filter val="10422,96"/>
        <filter val="1044,88"/>
        <filter val="10441,39"/>
        <filter val="1048,61"/>
        <filter val="105"/>
        <filter val="1050"/>
        <filter val="10517,31"/>
        <filter val="1052"/>
        <filter val="1054,85"/>
        <filter val="1056,49"/>
        <filter val="10588,68"/>
        <filter val="1059,74"/>
        <filter val="10594,76"/>
        <filter val="10597,46"/>
        <filter val="106,2"/>
        <filter val="1060,8"/>
        <filter val="1061,1"/>
        <filter val="1062,08"/>
        <filter val="1062,45"/>
        <filter val="10632,11"/>
        <filter val="1071,47"/>
        <filter val="1073"/>
        <filter val="10739,49"/>
        <filter val="1075,38"/>
        <filter val="1076,5"/>
        <filter val="10795,18"/>
        <filter val="1082,4"/>
        <filter val="10828,74"/>
        <filter val="1084,28"/>
        <filter val="1086,23"/>
        <filter val="10879,02"/>
        <filter val="10889,6"/>
        <filter val="1089,4"/>
        <filter val="10904,1"/>
        <filter val="1092,12"/>
        <filter val="1092,81"/>
        <filter val="1094,95"/>
        <filter val="1095,44"/>
        <filter val="1096,75"/>
        <filter val="10978,65"/>
        <filter val="1099,72"/>
        <filter val="1101,62"/>
        <filter val="1105"/>
        <filter val="110526,86"/>
        <filter val="1110,93"/>
        <filter val="1111,5"/>
        <filter val="11126,22"/>
        <filter val="11128,43"/>
        <filter val="11135,35"/>
        <filter val="11161,11"/>
        <filter val="11170,13"/>
        <filter val="11194,64"/>
        <filter val="1120,23"/>
        <filter val="11207,9"/>
        <filter val="11209,03"/>
        <filter val="11210,34"/>
        <filter val="11233,28"/>
        <filter val="11244,09"/>
        <filter val="1129,91"/>
        <filter val="113,07"/>
        <filter val="113,09"/>
        <filter val="1130,22"/>
        <filter val="1130,71"/>
        <filter val="11319"/>
        <filter val="1133,59"/>
        <filter val="1133,91"/>
        <filter val="1135,66"/>
        <filter val="11365,82"/>
        <filter val="1141,79"/>
        <filter val="11422,75"/>
        <filter val="1145,1"/>
        <filter val="1145,95"/>
        <filter val="1146,85"/>
        <filter val="1154,61"/>
        <filter val="11580"/>
        <filter val="115988,95"/>
        <filter val="11641,42"/>
        <filter val="11646,58"/>
        <filter val="1165,03"/>
        <filter val="1167,29"/>
        <filter val="1169,77"/>
        <filter val="11691,18"/>
        <filter val="1173,31"/>
        <filter val="11732,65"/>
        <filter val="1174,15"/>
        <filter val="1174,5"/>
        <filter val="1177,03"/>
        <filter val="11786,24"/>
        <filter val="1179,81"/>
        <filter val="1179,92"/>
        <filter val="118,3"/>
        <filter val="1182,71"/>
        <filter val="1187,25"/>
        <filter val="1187,5"/>
        <filter val="11888,92"/>
        <filter val="11890,58"/>
        <filter val="11934,66"/>
        <filter val="1194,3"/>
        <filter val="1194,4"/>
        <filter val="11999,31"/>
        <filter val="1200"/>
        <filter val="1200,21"/>
        <filter val="1201,21"/>
        <filter val="1201,28"/>
        <filter val="1204"/>
        <filter val="12066,05"/>
        <filter val="1213,16"/>
        <filter val="12150,85"/>
        <filter val="1217,16"/>
        <filter val="1219,96"/>
        <filter val="12203,66"/>
        <filter val="12212,93"/>
        <filter val="12231,38"/>
        <filter val="12246,29"/>
        <filter val="12253,63"/>
        <filter val="1226,07"/>
        <filter val="12275,58"/>
        <filter val="1228,5"/>
        <filter val="12284,11"/>
        <filter val="1229,55"/>
        <filter val="12290,2"/>
        <filter val="123,88"/>
        <filter val="1233,18"/>
        <filter val="12334,49"/>
        <filter val="12349,33"/>
        <filter val="12351,81"/>
        <filter val="1244,16"/>
        <filter val="125,47"/>
        <filter val="125,93"/>
        <filter val="1253,96"/>
        <filter val="12544,32"/>
        <filter val="12571,94"/>
        <filter val="12572,7"/>
        <filter val="12574,68"/>
        <filter val="12594,19"/>
        <filter val="1265,64"/>
        <filter val="1266,05"/>
        <filter val="1267,39"/>
        <filter val="127,47"/>
        <filter val="12731,46"/>
        <filter val="12732,12"/>
        <filter val="1275,27"/>
        <filter val="12757,69"/>
        <filter val="1279,27"/>
        <filter val="12790,24"/>
        <filter val="12805,21"/>
        <filter val="12811,04"/>
        <filter val="1282,14"/>
        <filter val="1285,03"/>
        <filter val="12868"/>
        <filter val="12876,4"/>
        <filter val="12883,5"/>
        <filter val="129,2"/>
        <filter val="12932,5"/>
        <filter val="12940,06"/>
        <filter val="1298,47"/>
        <filter val="13"/>
        <filter val="130,23"/>
        <filter val="13028,4"/>
        <filter val="13074,39"/>
        <filter val="13075,4"/>
        <filter val="131,52"/>
        <filter val="1310,71"/>
        <filter val="1314,5"/>
        <filter val="13150,57"/>
        <filter val="1317,27"/>
        <filter val="1318,49"/>
        <filter val="13205,5"/>
        <filter val="1322,55"/>
        <filter val="1323,5"/>
        <filter val="13242,32"/>
        <filter val="1325,3"/>
        <filter val="13298,65"/>
        <filter val="1330"/>
        <filter val="1330,13"/>
        <filter val="1330,19"/>
        <filter val="1334,44"/>
        <filter val="1339,5"/>
        <filter val="1340,47"/>
        <filter val="1340,64"/>
        <filter val="13441,44"/>
        <filter val="1346,04"/>
        <filter val="1349,46"/>
        <filter val="135,04"/>
        <filter val="1350,42"/>
        <filter val="1353,27"/>
        <filter val="1353,51"/>
        <filter val="13629,07"/>
        <filter val="13666,13"/>
        <filter val="13705,2"/>
        <filter val="13740,95"/>
        <filter val="13760,72"/>
        <filter val="1380,75"/>
        <filter val="1380,93"/>
        <filter val="1381,38"/>
        <filter val="1381,59"/>
        <filter val="139,18"/>
        <filter val="1393,94"/>
        <filter val="13958,22"/>
        <filter val="1396,13"/>
        <filter val="1400,1"/>
        <filter val="14009,1"/>
        <filter val="1402,32"/>
        <filter val="1406,58"/>
        <filter val="1407,33"/>
        <filter val="1408"/>
        <filter val="14081,57"/>
        <filter val="14144,64"/>
        <filter val="1415"/>
        <filter val="14164,79"/>
        <filter val="1428,24"/>
        <filter val="1429,1"/>
        <filter val="1430"/>
        <filter val="1432,91"/>
        <filter val="1433,74"/>
        <filter val="1434,84"/>
        <filter val="14376,73"/>
        <filter val="1439,33"/>
        <filter val="1441,47"/>
        <filter val="1442,45"/>
        <filter val="14444,06"/>
        <filter val="1448,6"/>
        <filter val="14489,99"/>
        <filter val="1449"/>
        <filter val="1460,67"/>
        <filter val="1463,32"/>
        <filter val="1463,65"/>
        <filter val="14630,1"/>
        <filter val="1466,42"/>
        <filter val="14686,63"/>
        <filter val="1470,19"/>
        <filter val="14752"/>
        <filter val="1476,33"/>
        <filter val="14762"/>
        <filter val="14788,71"/>
        <filter val="1479,87"/>
        <filter val="14814,04"/>
        <filter val="14818,23"/>
        <filter val="14822,27"/>
        <filter val="14872,06"/>
        <filter val="1489,86"/>
        <filter val="1491,24"/>
        <filter val="1492,47"/>
        <filter val="14929,7"/>
        <filter val="1494,3"/>
        <filter val="14966,21"/>
        <filter val="1499,88"/>
        <filter val="15"/>
        <filter val="1502,86"/>
        <filter val="1504,6"/>
        <filter val="1506,79"/>
        <filter val="1506,92"/>
        <filter val="1509"/>
        <filter val="1510,32"/>
        <filter val="1511,04"/>
        <filter val="15130,24"/>
        <filter val="15136,01"/>
        <filter val="1514,68"/>
        <filter val="1515,94"/>
        <filter val="15154,28"/>
        <filter val="1516,73"/>
        <filter val="1518,09"/>
        <filter val="152,04"/>
        <filter val="1521,92"/>
        <filter val="1523,91"/>
        <filter val="1528,86"/>
        <filter val="15281,2"/>
        <filter val="1534,05"/>
        <filter val="1534,08"/>
        <filter val="15344,45"/>
        <filter val="1543,9"/>
        <filter val="15443,61"/>
        <filter val="1545,99"/>
        <filter val="1547,83"/>
        <filter val="155,5"/>
        <filter val="1552,5"/>
        <filter val="1554,07"/>
        <filter val="1556,81"/>
        <filter val="15577,45"/>
        <filter val="15590,76"/>
        <filter val="156"/>
        <filter val="156,11"/>
        <filter val="156,67"/>
        <filter val="1560,4"/>
        <filter val="1561,35"/>
        <filter val="15612,75"/>
        <filter val="1566,67"/>
        <filter val="1569,47"/>
        <filter val="15699,68"/>
        <filter val="157,57"/>
        <filter val="15706,49"/>
        <filter val="15721,9"/>
        <filter val="15747,34"/>
        <filter val="1580,86"/>
        <filter val="1582,63"/>
        <filter val="15842,38"/>
        <filter val="1588,7"/>
        <filter val="1589,69"/>
        <filter val="1589,8"/>
        <filter val="159,28"/>
        <filter val="15932,67"/>
        <filter val="1594,45"/>
        <filter val="160,32"/>
        <filter val="16124,41"/>
        <filter val="16146,77"/>
        <filter val="16162,41"/>
        <filter val="162,29"/>
        <filter val="1623,99"/>
        <filter val="16234,32"/>
        <filter val="16256,22"/>
        <filter val="16258,3"/>
        <filter val="16285,63"/>
        <filter val="1629,46"/>
        <filter val="1635"/>
        <filter val="1639,89"/>
        <filter val="164,63"/>
        <filter val="16416,15"/>
        <filter val="1643,31"/>
        <filter val="1643,52"/>
        <filter val="16449,33"/>
        <filter val="1645,92"/>
        <filter val="16456,87"/>
        <filter val="1647,1"/>
        <filter val="1648,07"/>
        <filter val="165,66"/>
        <filter val="1651,77"/>
        <filter val="16511,26"/>
        <filter val="1655,68"/>
        <filter val="1658,56"/>
        <filter val="1659,94"/>
        <filter val="16595,92"/>
        <filter val="1660,35"/>
        <filter val="1660,42"/>
        <filter val="1664,63"/>
        <filter val="16656"/>
        <filter val="16715,56"/>
        <filter val="1673,79"/>
        <filter val="1674,76"/>
        <filter val="16769,66"/>
        <filter val="1678,19"/>
        <filter val="1680,72"/>
        <filter val="1681,02"/>
        <filter val="16856,4"/>
        <filter val="16870,24"/>
        <filter val="1688,98"/>
        <filter val="16881,18"/>
        <filter val="1690,18"/>
        <filter val="1694,99"/>
        <filter val="16964,48"/>
        <filter val="1698,7"/>
        <filter val="1700,42"/>
        <filter val="1701,72"/>
        <filter val="1705,63"/>
        <filter val="1706,51"/>
        <filter val="1708,25"/>
        <filter val="171"/>
        <filter val="171,14"/>
        <filter val="17135,24"/>
        <filter val="1715,49"/>
        <filter val="17173,44"/>
        <filter val="172,41"/>
        <filter val="1720,6"/>
        <filter val="1723,39"/>
        <filter val="1724,47"/>
        <filter val="1739,34"/>
        <filter val="1744,36"/>
        <filter val="1750,2"/>
        <filter val="1752,67"/>
        <filter val="1753,79"/>
        <filter val="1754,44"/>
        <filter val="17566,05"/>
        <filter val="1760,27"/>
        <filter val="1761,25"/>
        <filter val="17623,87"/>
        <filter val="17633,88"/>
        <filter val="1765,54"/>
        <filter val="1765,8"/>
        <filter val="1771,52"/>
        <filter val="17742,6"/>
        <filter val="1776,6"/>
        <filter val="17789,08"/>
        <filter val="17815,73"/>
        <filter val="1782"/>
        <filter val="1788,5"/>
        <filter val="1791,01"/>
        <filter val="1799,6"/>
        <filter val="1800"/>
        <filter val="1800,49"/>
        <filter val="1803,6"/>
        <filter val="18057,2"/>
        <filter val="1806,41"/>
        <filter val="1807,26"/>
        <filter val="1807,62"/>
        <filter val="181,95"/>
        <filter val="1812,54"/>
        <filter val="1812,94"/>
        <filter val="1815"/>
        <filter val="1819,16"/>
        <filter val="182"/>
        <filter val="1824,32"/>
        <filter val="1825,7"/>
        <filter val="1830,65"/>
        <filter val="1831,71"/>
        <filter val="1833,57"/>
        <filter val="18330,48"/>
        <filter val="18340,53"/>
        <filter val="1840,7"/>
        <filter val="18410,44"/>
        <filter val="1842,44"/>
        <filter val="1843,55"/>
        <filter val="18436,28"/>
        <filter val="185,96"/>
        <filter val="1850"/>
        <filter val="1850,9"/>
        <filter val="1853,43"/>
        <filter val="1853,73"/>
        <filter val="1856,1"/>
        <filter val="186,32"/>
        <filter val="1860,86"/>
        <filter val="18625,51"/>
        <filter val="18632,2"/>
        <filter val="1866,25"/>
        <filter val="18673,2"/>
        <filter val="1868,13"/>
        <filter val="187,32"/>
        <filter val="1879,8"/>
        <filter val="1880,51"/>
        <filter val="1882,08"/>
        <filter val="1882,4"/>
        <filter val="1883,49"/>
        <filter val="1886,56"/>
        <filter val="18871,8"/>
        <filter val="1895,63"/>
        <filter val="1897,3"/>
        <filter val="1897,31"/>
        <filter val="190,78"/>
        <filter val="1906,09"/>
        <filter val="1907,09"/>
        <filter val="19070,46"/>
        <filter val="1908,24"/>
        <filter val="19105,63"/>
        <filter val="1916,73"/>
        <filter val="1921"/>
        <filter val="19235,76"/>
        <filter val="1925,99"/>
        <filter val="19260,94"/>
        <filter val="1927,06"/>
        <filter val="1929,09"/>
        <filter val="1929,62"/>
        <filter val="19306,94"/>
        <filter val="1936,11"/>
        <filter val="194,12"/>
        <filter val="194,31"/>
        <filter val="1940,4"/>
        <filter val="19405,92"/>
        <filter val="1943,24"/>
        <filter val="1945,6"/>
        <filter val="1949,75"/>
        <filter val="1951,01"/>
        <filter val="1953,75"/>
        <filter val="1956,61"/>
        <filter val="1957,76"/>
        <filter val="1957,95"/>
        <filter val="19616,75"/>
        <filter val="19644,66"/>
        <filter val="1966,8"/>
        <filter val="197,6"/>
        <filter val="1978,48"/>
        <filter val="1984,44"/>
        <filter val="1984,62"/>
        <filter val="19840"/>
        <filter val="1985,53"/>
        <filter val="19857,05"/>
        <filter val="1988,52"/>
        <filter val="1992,23"/>
        <filter val="19937,36"/>
        <filter val="2001,47"/>
        <filter val="20014,49"/>
        <filter val="2002,47"/>
        <filter val="20055"/>
        <filter val="2011,73"/>
        <filter val="2012,08"/>
        <filter val="2013"/>
        <filter val="2016,97"/>
        <filter val="2019,17"/>
        <filter val="202"/>
        <filter val="2026,08"/>
        <filter val="2026,09"/>
        <filter val="20294,57"/>
        <filter val="203,05"/>
        <filter val="203,64"/>
        <filter val="2035,85"/>
        <filter val="2038,05"/>
        <filter val="2046,09"/>
        <filter val="20467,16"/>
        <filter val="20473,36"/>
        <filter val="2048,29"/>
        <filter val="205"/>
        <filter val="205,59"/>
        <filter val="206,04"/>
        <filter val="206,78"/>
        <filter val="2060,23"/>
        <filter val="2061,39"/>
        <filter val="20616,08"/>
        <filter val="2074,65"/>
        <filter val="20754,12"/>
        <filter val="2081,49"/>
        <filter val="2083,49"/>
        <filter val="2086,23"/>
        <filter val="2088,06"/>
        <filter val="20893,65"/>
        <filter val="2096,1"/>
        <filter val="2097,9"/>
        <filter val="20979,97"/>
        <filter val="2098,4"/>
        <filter val="20998,12"/>
        <filter val="210,95"/>
        <filter val="2100,57"/>
        <filter val="21061,2"/>
        <filter val="2109,3"/>
        <filter val="2109,67"/>
        <filter val="21206,76"/>
        <filter val="2122,9"/>
        <filter val="2123,15"/>
        <filter val="21272,73"/>
        <filter val="2128,64"/>
        <filter val="21280,12"/>
        <filter val="21290,41"/>
        <filter val="213,88"/>
        <filter val="2132,1"/>
        <filter val="214,38"/>
        <filter val="2140,67"/>
        <filter val="2141,85"/>
        <filter val="21484,2"/>
        <filter val="2149,62"/>
        <filter val="21526,29"/>
        <filter val="21528,49"/>
        <filter val="2155,21"/>
        <filter val="21556,85"/>
        <filter val="2157,84"/>
        <filter val="2160"/>
        <filter val="21605,92"/>
        <filter val="2161,08"/>
        <filter val="2161,42"/>
        <filter val="2162,4"/>
        <filter val="2166,77"/>
        <filter val="2168,5"/>
        <filter val="2168,66"/>
        <filter val="2172,61"/>
        <filter val="2173,25"/>
        <filter val="2173,9"/>
        <filter val="2176,35"/>
        <filter val="2181,04"/>
        <filter val="2182,79"/>
        <filter val="2183,9"/>
        <filter val="2184"/>
        <filter val="219,36"/>
        <filter val="2190"/>
        <filter val="21923,73"/>
        <filter val="2198,2"/>
        <filter val="220,62"/>
        <filter val="2200,51"/>
        <filter val="2203,62"/>
        <filter val="2204,02"/>
        <filter val="2206,05"/>
        <filter val="2218,4"/>
        <filter val="2221,79"/>
        <filter val="2222,4"/>
        <filter val="2222,53"/>
        <filter val="2223"/>
        <filter val="22254,62"/>
        <filter val="2228,7"/>
        <filter val="2229,05"/>
        <filter val="2234,23"/>
        <filter val="2236,53"/>
        <filter val="224,99"/>
        <filter val="2242,24"/>
        <filter val="225,68"/>
        <filter val="2253,16"/>
        <filter val="22538"/>
        <filter val="2257,69"/>
        <filter val="2258,69"/>
        <filter val="22594,95"/>
        <filter val="2268"/>
        <filter val="22747,7"/>
        <filter val="22761"/>
        <filter val="22837,48"/>
        <filter val="2284,8"/>
        <filter val="229,4"/>
        <filter val="2292,05"/>
        <filter val="2293,2"/>
        <filter val="2293,55"/>
        <filter val="22975,08"/>
        <filter val="2300,84"/>
        <filter val="2301,06"/>
        <filter val="2301,83"/>
        <filter val="2311,14"/>
        <filter val="2316,33"/>
        <filter val="2323,48"/>
        <filter val="2323,52"/>
        <filter val="2325,22"/>
        <filter val="2329,6"/>
        <filter val="233,86"/>
        <filter val="23325,38"/>
        <filter val="2333,05"/>
        <filter val="2333,68"/>
        <filter val="23369,15"/>
        <filter val="2340,8"/>
        <filter val="2345,71"/>
        <filter val="2359,69"/>
        <filter val="2361,6"/>
        <filter val="2366"/>
        <filter val="2367,04"/>
        <filter val="2367,09"/>
        <filter val="2373,14"/>
        <filter val="2375,45"/>
        <filter val="2378,43"/>
        <filter val="2385,5"/>
        <filter val="2385,68"/>
        <filter val="23860,16"/>
        <filter val="2387,36"/>
        <filter val="23885,96"/>
        <filter val="239,24"/>
        <filter val="24,62"/>
        <filter val="240"/>
        <filter val="2408,7"/>
        <filter val="2410,64"/>
        <filter val="2411,42"/>
        <filter val="2411,63"/>
        <filter val="2415,81"/>
        <filter val="2421,76"/>
        <filter val="242563,86"/>
        <filter val="2427,64"/>
        <filter val="243,74"/>
        <filter val="24300"/>
        <filter val="2435,58"/>
        <filter val="2436,89"/>
        <filter val="2446,92"/>
        <filter val="2447,46"/>
        <filter val="2451,68"/>
        <filter val="2454,13"/>
        <filter val="24558,75"/>
        <filter val="2457,84"/>
        <filter val="2458,14"/>
        <filter val="2459,97"/>
        <filter val="24600,81"/>
        <filter val="2463,58"/>
        <filter val="24652,55"/>
        <filter val="2466,61"/>
        <filter val="2466,72"/>
        <filter val="2468,11"/>
        <filter val="247,8"/>
        <filter val="2475,65"/>
        <filter val="2483,16"/>
        <filter val="24843,6"/>
        <filter val="2485,75"/>
        <filter val="2485,86"/>
        <filter val="2486,65"/>
        <filter val="24866,94"/>
        <filter val="2493,18"/>
        <filter val="2495,23"/>
        <filter val="24962,6"/>
        <filter val="2497,6"/>
        <filter val="250,39"/>
        <filter val="2500"/>
        <filter val="25069,36"/>
        <filter val="2507,34"/>
        <filter val="25120,8"/>
        <filter val="2513,47"/>
        <filter val="2515,98"/>
        <filter val="2520,1"/>
        <filter val="253,13"/>
        <filter val="253,17"/>
        <filter val="2537,28"/>
        <filter val="2541,96"/>
        <filter val="2542,8"/>
        <filter val="2544,1"/>
        <filter val="255,3"/>
        <filter val="2550,71"/>
        <filter val="2551,73"/>
        <filter val="25511,27"/>
        <filter val="2555,18"/>
        <filter val="2563,71"/>
        <filter val="25650,08"/>
        <filter val="257,56"/>
        <filter val="2575,36"/>
        <filter val="2576"/>
        <filter val="25799,3"/>
        <filter val="2580,36"/>
        <filter val="2588,4"/>
        <filter val="2589,59"/>
        <filter val="2590,68"/>
        <filter val="2593,52"/>
        <filter val="2594,13"/>
        <filter val="2598,28"/>
        <filter val="25982,49"/>
        <filter val="260,47"/>
        <filter val="2600,3"/>
        <filter val="2603,7"/>
        <filter val="2614,55"/>
        <filter val="2617,51"/>
        <filter val="262,36"/>
        <filter val="262,46"/>
        <filter val="2625,3"/>
        <filter val="2626,11"/>
        <filter val="2629,55"/>
        <filter val="263,6"/>
        <filter val="2636,1"/>
        <filter val="2638,39"/>
        <filter val="2640,6"/>
        <filter val="2640,69"/>
        <filter val="2645,76"/>
        <filter val="265,67"/>
        <filter val="2654,17"/>
        <filter val="266"/>
        <filter val="2660"/>
        <filter val="2662,2"/>
        <filter val="26635,68"/>
        <filter val="2664,68"/>
        <filter val="2665,17"/>
        <filter val="26784"/>
        <filter val="2682,67"/>
        <filter val="26841,6"/>
        <filter val="26859,22"/>
        <filter val="2687,37"/>
        <filter val="2689,24"/>
        <filter val="2699,97"/>
        <filter val="2709,93"/>
        <filter val="2712,7"/>
        <filter val="2714,25"/>
        <filter val="2719,27"/>
        <filter val="27263,9"/>
        <filter val="2727,27"/>
        <filter val="2732,12"/>
        <filter val="2736"/>
        <filter val="2736,57"/>
        <filter val="2742,39"/>
        <filter val="2743,25"/>
        <filter val="2745,08"/>
        <filter val="2748,79"/>
        <filter val="2750,3"/>
        <filter val="2752,8"/>
        <filter val="27537,81"/>
        <filter val="2767,57"/>
        <filter val="2772,36"/>
        <filter val="2774"/>
        <filter val="2778,24"/>
        <filter val="2779,2"/>
        <filter val="2784"/>
        <filter val="27880,61"/>
        <filter val="2793,75"/>
        <filter val="2797,5"/>
        <filter val="2798,37"/>
        <filter val="281,12"/>
        <filter val="2813,99"/>
        <filter val="2819,58"/>
        <filter val="282,72"/>
        <filter val="2835,41"/>
        <filter val="284,55"/>
        <filter val="2846,2"/>
        <filter val="28471,5"/>
        <filter val="28478,61"/>
        <filter val="285"/>
        <filter val="2852,56"/>
        <filter val="2855,36"/>
        <filter val="286,32"/>
        <filter val="287,42"/>
        <filter val="288,29"/>
        <filter val="2881,38"/>
        <filter val="2883,62"/>
        <filter val="28882,07"/>
        <filter val="2889,39"/>
        <filter val="2891,81"/>
        <filter val="2898"/>
        <filter val="2899,52"/>
        <filter val="28994,96"/>
        <filter val="28998,58"/>
        <filter val="290,31"/>
        <filter val="2908,94"/>
        <filter val="2911,71"/>
        <filter val="2911,83"/>
        <filter val="2914,52"/>
        <filter val="2919,3"/>
        <filter val="292,69"/>
        <filter val="2922,6"/>
        <filter val="2924,34"/>
        <filter val="2924,69"/>
        <filter val="2935,93"/>
        <filter val="294,84"/>
        <filter val="29444,6"/>
        <filter val="2945,64"/>
        <filter val="2947,35"/>
        <filter val="2949,8"/>
        <filter val="295,46"/>
        <filter val="295,49"/>
        <filter val="2950,6"/>
        <filter val="29500,62"/>
        <filter val="2956,48"/>
        <filter val="296,36"/>
        <filter val="2968,75"/>
        <filter val="297,84"/>
        <filter val="2972,38"/>
        <filter val="2974,03"/>
        <filter val="298,07"/>
        <filter val="29802,68"/>
        <filter val="2987,96"/>
        <filter val="2989,2"/>
        <filter val="2994,82"/>
        <filter val="2997,25"/>
        <filter val="300"/>
        <filter val="3003,46"/>
        <filter val="3007,62"/>
        <filter val="301,46"/>
        <filter val="3012,21"/>
        <filter val="3018,38"/>
        <filter val="3020,22"/>
        <filter val="3027,42"/>
        <filter val="303,76"/>
        <filter val="3038,88"/>
        <filter val="304,73"/>
        <filter val="3041"/>
        <filter val="30436,25"/>
        <filter val="3045,17"/>
        <filter val="3046,89"/>
        <filter val="3055,92"/>
        <filter val="3056,71"/>
        <filter val="3062,26"/>
        <filter val="3067,47"/>
        <filter val="30678,15"/>
        <filter val="30686,4"/>
        <filter val="307,44"/>
        <filter val="307,58"/>
        <filter val="3079,37"/>
        <filter val="3081,6"/>
        <filter val="3083,7"/>
        <filter val="3085,58"/>
        <filter val="30915,4"/>
        <filter val="3094,03"/>
        <filter val="3098,79"/>
        <filter val="3100"/>
        <filter val="3103,95"/>
        <filter val="31042,2"/>
        <filter val="3110,4"/>
        <filter val="3111,51"/>
        <filter val="31269,31"/>
        <filter val="313"/>
        <filter val="313,48"/>
        <filter val="314,28"/>
        <filter val="3150,24"/>
        <filter val="3161"/>
        <filter val="31624,78"/>
        <filter val="3171,35"/>
        <filter val="3176,71"/>
        <filter val="3177,81"/>
        <filter val="318,53"/>
        <filter val="3182,12"/>
        <filter val="31924,6"/>
        <filter val="3204,69"/>
        <filter val="321,6"/>
        <filter val="3212,91"/>
        <filter val="3215,65"/>
        <filter val="3219,58"/>
        <filter val="3221,04"/>
        <filter val="32214,36"/>
        <filter val="3223,01"/>
        <filter val="3234,51"/>
        <filter val="3236,07"/>
        <filter val="32381,36"/>
        <filter val="32388,33"/>
        <filter val="3248,51"/>
        <filter val="32555,25"/>
        <filter val="3258,84"/>
        <filter val="3259,56"/>
        <filter val="3262,55"/>
        <filter val="3266,83"/>
        <filter val="3275,33"/>
        <filter val="3276"/>
        <filter val="3277,88"/>
        <filter val="32828,25"/>
        <filter val="3285,09"/>
        <filter val="32994,98"/>
        <filter val="330,1"/>
        <filter val="3304,69"/>
        <filter val="3308,41"/>
        <filter val="331,44"/>
        <filter val="331,8"/>
        <filter val="3319,09"/>
        <filter val="332,14"/>
        <filter val="332,95"/>
        <filter val="333"/>
        <filter val="333,41"/>
        <filter val="3338,22"/>
        <filter val="3338,64"/>
        <filter val="3343,34"/>
        <filter val="33471,62"/>
        <filter val="3352,8"/>
        <filter val="3355,95"/>
        <filter val="3357,85"/>
        <filter val="3366,98"/>
        <filter val="3377,29"/>
        <filter val="338,12"/>
        <filter val="338,8"/>
        <filter val="3381,02"/>
        <filter val="3384,15"/>
        <filter val="339,45"/>
        <filter val="339,49"/>
        <filter val="3396,55"/>
        <filter val="33979,05"/>
        <filter val="3398,08"/>
        <filter val="3400,93"/>
        <filter val="3411,2"/>
        <filter val="3411,9"/>
        <filter val="3413,81"/>
        <filter val="34199,43"/>
        <filter val="3421,42"/>
        <filter val="3422,13"/>
        <filter val="3427,62"/>
        <filter val="3435"/>
        <filter val="3445,63"/>
        <filter val="3449,88"/>
        <filter val="3463,32"/>
        <filter val="3463,33"/>
        <filter val="3478,41"/>
        <filter val="34790,82"/>
        <filter val="348,52"/>
        <filter val="3486,18"/>
        <filter val="349"/>
        <filter val="3493,5"/>
        <filter val="3500,26"/>
        <filter val="3504,54"/>
        <filter val="3511,87"/>
        <filter val="352,5"/>
        <filter val="3524,41"/>
        <filter val="3533,22"/>
        <filter val="3542,98"/>
        <filter val="3544,69"/>
        <filter val="355,75"/>
        <filter val="356,02"/>
        <filter val="3571,66"/>
        <filter val="35721,42"/>
        <filter val="3573,15"/>
        <filter val="3575,67"/>
        <filter val="3608,7"/>
        <filter val="3609,24"/>
        <filter val="361,37"/>
        <filter val="3611,14"/>
        <filter val="3614,58"/>
        <filter val="3617,48"/>
        <filter val="3622,53"/>
        <filter val="3623,49"/>
        <filter val="3633,75"/>
        <filter val="36360,86"/>
        <filter val="3640,07"/>
        <filter val="36445,63"/>
        <filter val="3650,15"/>
        <filter val="3658,4"/>
        <filter val="367,39"/>
        <filter val="3672,18"/>
        <filter val="3674,11"/>
        <filter val="368"/>
        <filter val="368,4"/>
        <filter val="368,74"/>
        <filter val="3693,69"/>
        <filter val="3698,68"/>
        <filter val="37,03"/>
        <filter val="3708,51"/>
        <filter val="3713,6"/>
        <filter val="3733,07"/>
        <filter val="3749,35"/>
        <filter val="3756,04"/>
        <filter val="3762,15"/>
        <filter val="3794,47"/>
        <filter val="3794,51"/>
        <filter val="382,35"/>
        <filter val="3824"/>
        <filter val="3829,95"/>
        <filter val="3848,02"/>
        <filter val="3849,38"/>
        <filter val="38519,41"/>
        <filter val="3858,75"/>
        <filter val="386,35"/>
        <filter val="3864"/>
        <filter val="387,9"/>
        <filter val="38736,83"/>
        <filter val="38756,07"/>
        <filter val="3883,32"/>
        <filter val="3893,61"/>
        <filter val="3906,88"/>
        <filter val="39165,28"/>
        <filter val="3919,03"/>
        <filter val="3923,48"/>
        <filter val="3925,23"/>
        <filter val="3925,45"/>
        <filter val="3932"/>
        <filter val="3936,83"/>
        <filter val="394,29"/>
        <filter val="3943,8"/>
        <filter val="3947,44"/>
        <filter val="3947,86"/>
        <filter val="3949,78"/>
        <filter val="395,6"/>
        <filter val="395,68"/>
        <filter val="397,31"/>
        <filter val="3988,04"/>
        <filter val="399"/>
        <filter val="3990,55"/>
        <filter val="39933,04"/>
        <filter val="3994,11"/>
        <filter val="3996"/>
        <filter val="4005,93"/>
        <filter val="401,37"/>
        <filter val="4018,64"/>
        <filter val="4031,51"/>
        <filter val="405,98"/>
        <filter val="4053,85"/>
        <filter val="4054,6"/>
        <filter val="406,34"/>
        <filter val="4065,47"/>
        <filter val="4066,94"/>
        <filter val="4071,55"/>
        <filter val="4072,48"/>
        <filter val="4082,04"/>
        <filter val="4083,46"/>
        <filter val="4095,06"/>
        <filter val="4097,36"/>
        <filter val="41,4"/>
        <filter val="4109,32"/>
        <filter val="4121,28"/>
        <filter val="4123,62"/>
        <filter val="4127,58"/>
        <filter val="4131,5"/>
        <filter val="4136,02"/>
        <filter val="4147,49"/>
        <filter val="4149,18"/>
        <filter val="4150,6"/>
        <filter val="4162,55"/>
        <filter val="4162,92"/>
        <filter val="41767,32"/>
        <filter val="4179,95"/>
        <filter val="4181,76"/>
        <filter val="4185,02"/>
        <filter val="4187,52"/>
        <filter val="4188,18"/>
        <filter val="4195,49"/>
        <filter val="4207,9"/>
        <filter val="421,5"/>
        <filter val="4216,84"/>
        <filter val="4225,74"/>
        <filter val="423,47"/>
        <filter val="4238,04"/>
        <filter val="4240,15"/>
        <filter val="4255,97"/>
        <filter val="4259,5"/>
        <filter val="4262,13"/>
        <filter val="4271,96"/>
        <filter val="4273,67"/>
        <filter val="4278,75"/>
        <filter val="429"/>
        <filter val="4291,37"/>
        <filter val="4297,5"/>
        <filter val="4299,46"/>
        <filter val="43,19"/>
        <filter val="4300"/>
        <filter val="431,29"/>
        <filter val="43160,65"/>
        <filter val="4331,28"/>
        <filter val="4332,68"/>
        <filter val="434,81"/>
        <filter val="4347,2"/>
        <filter val="4350,1"/>
        <filter val="4368,52"/>
        <filter val="438,8"/>
        <filter val="4389"/>
        <filter val="43985,7"/>
        <filter val="44003,91"/>
        <filter val="442,39"/>
        <filter val="4422,96"/>
        <filter val="4425,75"/>
        <filter val="4429,85"/>
        <filter val="4436,76"/>
        <filter val="4439,59"/>
        <filter val="4444,65"/>
        <filter val="4445,88"/>
        <filter val="4452,48"/>
        <filter val="44721,69"/>
        <filter val="4481"/>
        <filter val="4484,97"/>
        <filter val="44851,13"/>
        <filter val="4487,1"/>
        <filter val="449,13"/>
        <filter val="449,75"/>
        <filter val="4496,39"/>
        <filter val="4499,63"/>
        <filter val="450"/>
        <filter val="450,17"/>
        <filter val="4503,57"/>
        <filter val="45040,34"/>
        <filter val="451,95"/>
        <filter val="45457,63"/>
        <filter val="4548,18"/>
        <filter val="4549,01"/>
        <filter val="4564,6"/>
        <filter val="4565,28"/>
        <filter val="4571,85"/>
        <filter val="4574,55"/>
        <filter val="4575"/>
        <filter val="4575,53"/>
        <filter val="4581,86"/>
        <filter val="459,23"/>
        <filter val="460,1"/>
        <filter val="4602,24"/>
        <filter val="4608,32"/>
        <filter val="4617,02"/>
        <filter val="4621,44"/>
        <filter val="4626,66"/>
        <filter val="4633,72"/>
        <filter val="464,07"/>
        <filter val="465,6"/>
        <filter val="4653"/>
        <filter val="4661,93"/>
        <filter val="4663,89"/>
        <filter val="4667,97"/>
        <filter val="4689,86"/>
        <filter val="4689,95"/>
        <filter val="469,48"/>
        <filter val="469,63"/>
        <filter val="469,87"/>
        <filter val="4694,68"/>
        <filter val="4695,17"/>
        <filter val="47,21"/>
        <filter val="4702,22"/>
        <filter val="4709,84"/>
        <filter val="4711,39"/>
        <filter val="472,5"/>
        <filter val="474,67"/>
        <filter val="4746,65"/>
        <filter val="4752,51"/>
        <filter val="4758,81"/>
        <filter val="4763"/>
        <filter val="4772,83"/>
        <filter val="48"/>
        <filter val="48,72"/>
        <filter val="4800"/>
        <filter val="4816,07"/>
        <filter val="4819,14"/>
        <filter val="483,45"/>
        <filter val="4853,7"/>
        <filter val="486"/>
        <filter val="4870,24"/>
        <filter val="4871,79"/>
        <filter val="48780,94"/>
        <filter val="4881,32"/>
        <filter val="4891,99"/>
        <filter val="4892"/>
        <filter val="4892,8"/>
        <filter val="4895"/>
        <filter val="4898,93"/>
        <filter val="490,86"/>
        <filter val="4900,61"/>
        <filter val="491,52"/>
        <filter val="49108,47"/>
        <filter val="4912,88"/>
        <filter val="4921,6"/>
        <filter val="4926,85"/>
        <filter val="4929,12"/>
        <filter val="4937,12"/>
        <filter val="494"/>
        <filter val="495,38"/>
        <filter val="4951,98"/>
        <filter val="4959,18"/>
        <filter val="4959,23"/>
        <filter val="496,32"/>
        <filter val="496,48"/>
        <filter val="4964,28"/>
        <filter val="49643,49"/>
        <filter val="4969,35"/>
        <filter val="497,62"/>
        <filter val="497,64"/>
        <filter val="4974,32"/>
        <filter val="498,63"/>
        <filter val="498,8"/>
        <filter val="4982,85"/>
        <filter val="499,28"/>
        <filter val="4993,58"/>
        <filter val="500"/>
        <filter val="500,62"/>
        <filter val="5004,33"/>
        <filter val="5009,38"/>
        <filter val="501,98"/>
        <filter val="5013,93"/>
        <filter val="5022,27"/>
        <filter val="5023,93"/>
        <filter val="5035,86"/>
        <filter val="504"/>
        <filter val="5042,3"/>
        <filter val="5056,92"/>
        <filter val="507,9"/>
        <filter val="5072,49"/>
        <filter val="5075,44"/>
        <filter val="5088"/>
        <filter val="5098,41"/>
        <filter val="5111,48"/>
        <filter val="5119,91"/>
        <filter val="5129,33"/>
        <filter val="513,12"/>
        <filter val="5132,67"/>
        <filter val="514,2"/>
        <filter val="5150,33"/>
        <filter val="516,84"/>
        <filter val="5163,98"/>
        <filter val="519,63"/>
        <filter val="5192,43"/>
        <filter val="520,34"/>
        <filter val="5212,18"/>
        <filter val="522,77"/>
        <filter val="522,95"/>
        <filter val="52206,39"/>
        <filter val="524,52"/>
        <filter val="525,26"/>
        <filter val="5266,8"/>
        <filter val="5270,62"/>
        <filter val="5271,14"/>
        <filter val="52789,79"/>
        <filter val="528,75"/>
        <filter val="529,07"/>
        <filter val="52937,29"/>
        <filter val="5302,85"/>
        <filter val="5337,35"/>
        <filter val="535,08"/>
        <filter val="535,45"/>
        <filter val="5353,71"/>
        <filter val="5355,19"/>
        <filter val="5370,64"/>
        <filter val="5373,85"/>
        <filter val="5376,38"/>
        <filter val="538,72"/>
        <filter val="5391,83"/>
        <filter val="5392,38"/>
        <filter val="5398,76"/>
        <filter val="540,54"/>
        <filter val="5407,89"/>
        <filter val="5418,85"/>
        <filter val="5427,54"/>
        <filter val="5428,8"/>
        <filter val="54294,86"/>
        <filter val="543,3"/>
        <filter val="54335,58"/>
        <filter val="5435,98"/>
        <filter val="5436,29"/>
        <filter val="5440,37"/>
        <filter val="545,5"/>
        <filter val="5459,73"/>
        <filter val="5460"/>
        <filter val="54785,21"/>
        <filter val="5483,4"/>
        <filter val="5485,11"/>
        <filter val="5490,71"/>
        <filter val="5498,07"/>
        <filter val="55,74"/>
        <filter val="5506,99"/>
        <filter val="5511,31"/>
        <filter val="5519,38"/>
        <filter val="5523,1"/>
        <filter val="553,77"/>
        <filter val="5538,15"/>
        <filter val="5541,6"/>
        <filter val="5544,91"/>
        <filter val="5550,19"/>
        <filter val="5569,9"/>
        <filter val="557,57"/>
        <filter val="5572,77"/>
        <filter val="5573,36"/>
        <filter val="55916,21"/>
        <filter val="5592"/>
        <filter val="5594,82"/>
        <filter val="560"/>
        <filter val="562,9"/>
        <filter val="5635,83"/>
        <filter val="5638,43"/>
        <filter val="56469,32"/>
        <filter val="5647,32"/>
        <filter val="566,97"/>
        <filter val="5666,81"/>
        <filter val="5671,97"/>
        <filter val="5674"/>
        <filter val="5684,9"/>
        <filter val="5686,25"/>
        <filter val="5689,8"/>
        <filter val="5691,02"/>
        <filter val="57,51"/>
        <filter val="570,77"/>
        <filter val="5702,8"/>
        <filter val="5711,09"/>
        <filter val="5737,5"/>
        <filter val="5737,81"/>
        <filter val="5750,27"/>
        <filter val="5750,51"/>
        <filter val="5755,02"/>
        <filter val="5763,23"/>
        <filter val="5787,6"/>
        <filter val="5788,64"/>
        <filter val="582,96"/>
        <filter val="5825,08"/>
        <filter val="5825,59"/>
        <filter val="5825,93"/>
        <filter val="58293,26"/>
        <filter val="5832,23"/>
        <filter val="58447,5"/>
        <filter val="5845,34"/>
        <filter val="5857,22"/>
        <filter val="5867,25"/>
        <filter val="5867,48"/>
        <filter val="588,12"/>
        <filter val="5880"/>
        <filter val="5909,47"/>
        <filter val="5911,68"/>
        <filter val="5936,4"/>
        <filter val="5938,8"/>
        <filter val="594,44"/>
        <filter val="594,72"/>
        <filter val="5954,41"/>
        <filter val="5959,64"/>
        <filter val="596,02"/>
        <filter val="597,8"/>
        <filter val="5980,03"/>
        <filter val="5981,3"/>
        <filter val="5986,27"/>
        <filter val="6,29"/>
        <filter val="6006,19"/>
        <filter val="601,09"/>
        <filter val="601,26"/>
        <filter val="6037,72"/>
        <filter val="6039,54"/>
        <filter val="607,25"/>
        <filter val="6075,4"/>
        <filter val="608,51"/>
        <filter val="6080,96"/>
        <filter val="6086,04"/>
        <filter val="6091,64"/>
        <filter val="6125,25"/>
        <filter val="6139,22"/>
        <filter val="614,25"/>
        <filter val="616,63"/>
        <filter val="6169,01"/>
        <filter val="617,34"/>
        <filter val="6183,87"/>
        <filter val="6187,92"/>
        <filter val="6194,44"/>
        <filter val="6196"/>
        <filter val="620,05"/>
        <filter val="6201"/>
        <filter val="6206,59"/>
        <filter val="6230,37"/>
        <filter val="6233,85"/>
        <filter val="6236"/>
        <filter val="6248,52"/>
        <filter val="6248,73"/>
        <filter val="6250,88"/>
        <filter val="6272,14"/>
        <filter val="6287,62"/>
        <filter val="629,82"/>
        <filter val="6295,3"/>
        <filter val="6302,34"/>
        <filter val="6303,26"/>
        <filter val="6312,75"/>
        <filter val="6318,93"/>
        <filter val="6327,3"/>
        <filter val="6339,2"/>
        <filter val="634,34"/>
        <filter val="634,61"/>
        <filter val="6346,99"/>
        <filter val="635,09"/>
        <filter val="635,94"/>
        <filter val="636,41"/>
        <filter val="63617,71"/>
        <filter val="6365,4"/>
        <filter val="637,07"/>
        <filter val="637,35"/>
        <filter val="6378,44"/>
        <filter val="6383,47"/>
        <filter val="6386,61"/>
        <filter val="639,51"/>
        <filter val="6409,09"/>
        <filter val="6425,09"/>
        <filter val="6433,61"/>
        <filter val="6445,57"/>
        <filter val="6449,63"/>
        <filter val="6454,51"/>
        <filter val="6494,03"/>
        <filter val="65,24"/>
        <filter val="650,45"/>
        <filter val="650,77"/>
        <filter val="651,07"/>
        <filter val="6510,65"/>
        <filter val="6517,76"/>
        <filter val="6527,6"/>
        <filter val="655,67"/>
        <filter val="6592"/>
        <filter val="6595,06"/>
        <filter val="6608,75"/>
        <filter val="6617,28"/>
        <filter val="66212,69"/>
        <filter val="6628"/>
        <filter val="6643,38"/>
        <filter val="6646,89"/>
        <filter val="6658,65"/>
        <filter val="667,25"/>
        <filter val="6693,98"/>
        <filter val="67,57"/>
        <filter val="670,28"/>
        <filter val="671,11"/>
        <filter val="671,58"/>
        <filter val="6716,27"/>
        <filter val="6730,23"/>
        <filter val="6732"/>
        <filter val="674,1"/>
        <filter val="6746,51"/>
        <filter val="675"/>
        <filter val="675,15"/>
        <filter val="6752,31"/>
        <filter val="6753,08"/>
        <filter val="67751,42"/>
        <filter val="6781,21"/>
        <filter val="6785,02"/>
        <filter val="680,06"/>
        <filter val="6800"/>
        <filter val="6809,28"/>
        <filter val="681,21"/>
        <filter val="6811,92"/>
        <filter val="6815,47"/>
        <filter val="6818,81"/>
        <filter val="6823,2"/>
        <filter val="6833,78"/>
        <filter val="6850,14"/>
        <filter val="6856,16"/>
        <filter val="6866,6"/>
        <filter val="6868,9"/>
        <filter val="68697,28"/>
        <filter val="6873,97"/>
        <filter val="6875,8"/>
        <filter val="688"/>
        <filter val="689,28"/>
        <filter val="69,62"/>
        <filter val="69098,7"/>
        <filter val="691,5"/>
        <filter val="6923,97"/>
        <filter val="6924,87"/>
        <filter val="6927,66"/>
        <filter val="693,2"/>
        <filter val="695,59"/>
        <filter val="6955,68"/>
        <filter val="6969,56"/>
        <filter val="697,09"/>
        <filter val="70,4"/>
        <filter val="7007,36"/>
        <filter val="701,69"/>
        <filter val="702,86"/>
        <filter val="7020"/>
        <filter val="7036,38"/>
        <filter val="7042,96"/>
        <filter val="705,18"/>
        <filter val="706,34"/>
        <filter val="706,78"/>
        <filter val="7072,11"/>
        <filter val="7074"/>
        <filter val="7077,23"/>
        <filter val="70823"/>
        <filter val="7103,41"/>
        <filter val="711,6"/>
        <filter val="7127,25"/>
        <filter val="713,45"/>
        <filter val="7145,86"/>
        <filter val="715,24"/>
        <filter val="7159,46"/>
        <filter val="7177,49"/>
        <filter val="7184,09"/>
        <filter val="7196,12"/>
        <filter val="71993,61"/>
        <filter val="720"/>
        <filter val="720,04"/>
        <filter val="720,72"/>
        <filter val="720,8"/>
        <filter val="721,32"/>
        <filter val="722,27"/>
        <filter val="7240,46"/>
        <filter val="7253,4"/>
        <filter val="726,69"/>
        <filter val="7265,7"/>
        <filter val="727,04"/>
        <filter val="7273,63"/>
        <filter val="7282,92"/>
        <filter val="729"/>
        <filter val="7290,36"/>
        <filter val="7294,4"/>
        <filter val="7304,27"/>
        <filter val="7310,16"/>
        <filter val="732,57"/>
        <filter val="7333,05"/>
        <filter val="7343,16"/>
        <filter val="7377,84"/>
        <filter val="739,81"/>
        <filter val="7398,59"/>
        <filter val="73983,07"/>
        <filter val="7446,25"/>
        <filter val="7451,79"/>
        <filter val="7457,6"/>
        <filter val="746,7"/>
        <filter val="746,81"/>
        <filter val="7463,3"/>
        <filter val="747,33"/>
        <filter val="7475,45"/>
        <filter val="748,8"/>
        <filter val="7488,5"/>
        <filter val="749,5"/>
        <filter val="750,76"/>
        <filter val="7500,5"/>
        <filter val="7511,74"/>
        <filter val="752,93"/>
        <filter val="752,99"/>
        <filter val="754,27"/>
        <filter val="754,8"/>
        <filter val="75490,48"/>
        <filter val="7551,08"/>
        <filter val="7562,96"/>
        <filter val="7568,71"/>
        <filter val="758,39"/>
        <filter val="7591,01"/>
        <filter val="7600,84"/>
        <filter val="7612,21"/>
        <filter val="7617,05"/>
        <filter val="7647,81"/>
        <filter val="765,95"/>
        <filter val="7650"/>
        <filter val="7672,48"/>
        <filter val="768"/>
        <filter val="768,12"/>
        <filter val="768,51"/>
        <filter val="772,56"/>
        <filter val="7729,29"/>
        <filter val="776"/>
        <filter val="776,17"/>
        <filter val="780,57"/>
        <filter val="78047,8"/>
        <filter val="7823,2"/>
        <filter val="7830,69"/>
        <filter val="784,52"/>
        <filter val="78532,36"/>
        <filter val="788,3"/>
        <filter val="7882,15"/>
        <filter val="7886,55"/>
        <filter val="7904,4"/>
        <filter val="7910,3"/>
        <filter val="7920,66"/>
        <filter val="793,92"/>
        <filter val="7958,14"/>
        <filter val="7960,79"/>
        <filter val="798,79"/>
        <filter val="7980"/>
        <filter val="7995,3"/>
        <filter val="80,7"/>
        <filter val="8000"/>
        <filter val="8025,16"/>
        <filter val="8043,55"/>
        <filter val="806,24"/>
        <filter val="806,64"/>
        <filter val="8065,92"/>
        <filter val="8105,68"/>
        <filter val="8116,2"/>
        <filter val="813,12"/>
        <filter val="813,5"/>
        <filter val="8130,87"/>
        <filter val="8149,59"/>
        <filter val="8162,56"/>
        <filter val="8166,27"/>
        <filter val="8176,42"/>
        <filter val="818"/>
        <filter val="819,43"/>
        <filter val="8198,96"/>
        <filter val="820,44"/>
        <filter val="8218,31"/>
        <filter val="822,22"/>
        <filter val="8228,63"/>
        <filter val="828,8"/>
        <filter val="830,6"/>
        <filter val="8345,61"/>
        <filter val="837"/>
        <filter val="8388,98"/>
        <filter val="840,43"/>
        <filter val="8413,84"/>
        <filter val="843,47"/>
        <filter val="8439,79"/>
        <filter val="8469,77"/>
        <filter val="8476,78"/>
        <filter val="8505"/>
        <filter val="851,15"/>
        <filter val="854,4"/>
        <filter val="855"/>
        <filter val="855,36"/>
        <filter val="8574,91"/>
        <filter val="859,37"/>
        <filter val="859,45"/>
        <filter val="8611,2"/>
        <filter val="8614,73"/>
        <filter val="862,58"/>
        <filter val="8631,54"/>
        <filter val="8643,6"/>
        <filter val="8650,4"/>
        <filter val="869,47"/>
        <filter val="8697"/>
        <filter val="8702,75"/>
        <filter val="874,8"/>
        <filter val="875,16"/>
        <filter val="8751,34"/>
        <filter val="8774,15"/>
        <filter val="8781,99"/>
        <filter val="881,16"/>
        <filter val="885,83"/>
        <filter val="8852,76"/>
        <filter val="887,4"/>
        <filter val="8882,1"/>
        <filter val="8897,49"/>
        <filter val="8899,92"/>
        <filter val="891,81"/>
        <filter val="8932"/>
        <filter val="894,62"/>
        <filter val="895,53"/>
        <filter val="8979,43"/>
        <filter val="8987,02"/>
        <filter val="9,58"/>
        <filter val="900,41"/>
        <filter val="9010,07"/>
        <filter val="905,25"/>
        <filter val="907,03"/>
        <filter val="907,59"/>
        <filter val="9084,65"/>
        <filter val="909,22"/>
        <filter val="91,33"/>
        <filter val="910,81"/>
        <filter val="9109,55"/>
        <filter val="9121,84"/>
        <filter val="914,47"/>
        <filter val="91451,6"/>
        <filter val="915,49"/>
        <filter val="916,55"/>
        <filter val="916,59"/>
        <filter val="9161,41"/>
        <filter val="9170,04"/>
        <filter val="918,75"/>
        <filter val="9190,67"/>
        <filter val="9202,27"/>
        <filter val="921,4"/>
        <filter val="922,64"/>
        <filter val="9220"/>
        <filter val="924"/>
        <filter val="925,74"/>
        <filter val="9287,36"/>
        <filter val="929,92"/>
        <filter val="9325,75"/>
        <filter val="938,46"/>
        <filter val="9380"/>
        <filter val="9381,45"/>
        <filter val="9404,38"/>
        <filter val="943,38"/>
        <filter val="943,92"/>
        <filter val="944,35"/>
        <filter val="9442,69"/>
        <filter val="9474,21"/>
        <filter val="9486,5"/>
        <filter val="9501,1"/>
        <filter val="952,15"/>
        <filter val="9530,6"/>
        <filter val="9531,53"/>
        <filter val="955,54"/>
        <filter val="9556,05"/>
        <filter val="959,26"/>
        <filter val="959,5"/>
        <filter val="959,76"/>
        <filter val="9598,67"/>
        <filter val="9608,51"/>
        <filter val="961,21"/>
        <filter val="962,07"/>
        <filter val="962,63"/>
        <filter val="963,61"/>
        <filter val="964,78"/>
        <filter val="966,52"/>
        <filter val="966,56"/>
        <filter val="966,86"/>
        <filter val="9665,96"/>
        <filter val="968,98"/>
        <filter val="9683,81"/>
        <filter val="9701,51"/>
        <filter val="9703,25"/>
        <filter val="971,79"/>
        <filter val="9710,13"/>
        <filter val="9724,38"/>
        <filter val="9757,44"/>
        <filter val="978,6"/>
        <filter val="979,72"/>
        <filter val="979,75"/>
        <filter val="9806,24"/>
        <filter val="9809,25"/>
        <filter val="9822,94"/>
        <filter val="9823,43"/>
        <filter val="984,22"/>
        <filter val="9861,22"/>
        <filter val="9920,92"/>
        <filter val="9923,2"/>
        <filter val="993,49"/>
        <filter val="995,28"/>
        <filter val="9968,43"/>
        <filter val="997,24"/>
        <filter val="9977,66"/>
        <filter val="9989,5"/>
        <filter val="9995,2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EAC87-8C84-EF4F-AFFF-BB893485B557}">
  <dimension ref="A3:C49"/>
  <sheetViews>
    <sheetView workbookViewId="0">
      <selection activeCell="A43" sqref="A43"/>
    </sheetView>
  </sheetViews>
  <sheetFormatPr baseColWidth="10" defaultRowHeight="15"/>
  <cols>
    <col min="1" max="1" width="23.6640625" bestFit="1" customWidth="1"/>
    <col min="2" max="2" width="34.1640625" bestFit="1" customWidth="1"/>
    <col min="3" max="3" width="34" bestFit="1" customWidth="1"/>
  </cols>
  <sheetData>
    <row r="3" spans="1:3">
      <c r="A3" s="774" t="s">
        <v>3978</v>
      </c>
      <c r="B3" t="s">
        <v>3980</v>
      </c>
      <c r="C3" t="s">
        <v>3981</v>
      </c>
    </row>
    <row r="4" spans="1:3">
      <c r="A4" s="775" t="s">
        <v>295</v>
      </c>
      <c r="B4" s="776">
        <v>0.20417332925554527</v>
      </c>
      <c r="C4" s="776">
        <v>0.98339621311152992</v>
      </c>
    </row>
    <row r="5" spans="1:3">
      <c r="A5" s="775" t="s">
        <v>941</v>
      </c>
      <c r="B5" s="776">
        <v>0.3361631898747966</v>
      </c>
      <c r="C5" s="776">
        <v>1</v>
      </c>
    </row>
    <row r="6" spans="1:3">
      <c r="A6" s="775" t="s">
        <v>138</v>
      </c>
      <c r="B6" s="776">
        <v>0.16059090109461099</v>
      </c>
      <c r="C6" s="776">
        <v>0.91895755010521618</v>
      </c>
    </row>
    <row r="7" spans="1:3">
      <c r="A7" s="775" t="s">
        <v>140</v>
      </c>
      <c r="B7" s="776">
        <v>0.13033662134491791</v>
      </c>
      <c r="C7" s="776">
        <v>0.99433903135646473</v>
      </c>
    </row>
    <row r="8" spans="1:3">
      <c r="A8" s="775" t="s">
        <v>1536</v>
      </c>
      <c r="B8" s="776">
        <v>0.38301857764265917</v>
      </c>
      <c r="C8" s="776">
        <v>1</v>
      </c>
    </row>
    <row r="9" spans="1:3">
      <c r="A9" s="775" t="s">
        <v>99</v>
      </c>
      <c r="B9" s="776">
        <v>0.14878484619156776</v>
      </c>
      <c r="C9" s="776">
        <v>0.95682898708598074</v>
      </c>
    </row>
    <row r="10" spans="1:3">
      <c r="A10" s="775" t="s">
        <v>510</v>
      </c>
      <c r="B10" s="776">
        <v>0.12022328128067107</v>
      </c>
      <c r="C10" s="776">
        <v>0.9990850869167428</v>
      </c>
    </row>
    <row r="11" spans="1:3">
      <c r="A11" s="775" t="s">
        <v>1027</v>
      </c>
      <c r="B11" s="776">
        <v>0.63895968881456877</v>
      </c>
      <c r="C11" s="776">
        <v>0.99652432969215488</v>
      </c>
    </row>
    <row r="12" spans="1:3">
      <c r="A12" s="775" t="s">
        <v>1939</v>
      </c>
      <c r="B12" s="776">
        <v>0.51868530492876497</v>
      </c>
      <c r="C12" s="776">
        <v>0.85744680851063826</v>
      </c>
    </row>
    <row r="13" spans="1:3">
      <c r="A13" s="775" t="s">
        <v>27</v>
      </c>
      <c r="B13" s="776">
        <v>0.16636376210856685</v>
      </c>
      <c r="C13" s="776">
        <v>0.87760999176782251</v>
      </c>
    </row>
    <row r="14" spans="1:3">
      <c r="A14" s="775" t="s">
        <v>496</v>
      </c>
      <c r="B14" s="776">
        <v>0.22322060014102532</v>
      </c>
      <c r="C14" s="776">
        <v>1</v>
      </c>
    </row>
    <row r="15" spans="1:3">
      <c r="A15" s="775" t="s">
        <v>1300</v>
      </c>
      <c r="B15" s="776">
        <v>0.31791225459117006</v>
      </c>
      <c r="C15" s="776">
        <v>0.90260619741432391</v>
      </c>
    </row>
    <row r="16" spans="1:3">
      <c r="A16" s="775" t="s">
        <v>162</v>
      </c>
      <c r="B16" s="776">
        <v>0.35177444185856827</v>
      </c>
      <c r="C16" s="776">
        <v>0.93748434058983865</v>
      </c>
    </row>
    <row r="17" spans="1:3">
      <c r="A17" s="775" t="s">
        <v>550</v>
      </c>
      <c r="B17" s="776">
        <v>0.41105129976824689</v>
      </c>
      <c r="C17" s="776">
        <v>1.9285714285714286</v>
      </c>
    </row>
    <row r="18" spans="1:3">
      <c r="A18" s="775" t="s">
        <v>442</v>
      </c>
      <c r="B18" s="776">
        <v>0.29711573489206078</v>
      </c>
      <c r="C18" s="776">
        <v>1</v>
      </c>
    </row>
    <row r="19" spans="1:3">
      <c r="A19" s="775" t="s">
        <v>407</v>
      </c>
      <c r="B19" s="776">
        <v>0.24563647823035648</v>
      </c>
      <c r="C19" s="776">
        <v>1</v>
      </c>
    </row>
    <row r="20" spans="1:3">
      <c r="A20" s="775" t="s">
        <v>2335</v>
      </c>
      <c r="B20" s="776">
        <v>0.20210437710437709</v>
      </c>
      <c r="C20" s="776">
        <v>1</v>
      </c>
    </row>
    <row r="21" spans="1:3">
      <c r="A21" s="775" t="s">
        <v>1009</v>
      </c>
      <c r="B21" s="776">
        <v>0.29301394647657442</v>
      </c>
      <c r="C21" s="776">
        <v>0.99729660144181254</v>
      </c>
    </row>
    <row r="22" spans="1:3">
      <c r="A22" s="775" t="s">
        <v>898</v>
      </c>
      <c r="B22" s="776">
        <v>0.27332503143324582</v>
      </c>
      <c r="C22" s="776">
        <v>0.98558292511711443</v>
      </c>
    </row>
    <row r="23" spans="1:3">
      <c r="A23" s="775" t="s">
        <v>910</v>
      </c>
      <c r="B23" s="776">
        <v>0.1940987336831069</v>
      </c>
      <c r="C23" s="776">
        <v>0.9471172893705051</v>
      </c>
    </row>
    <row r="24" spans="1:3">
      <c r="A24" s="775" t="s">
        <v>731</v>
      </c>
      <c r="B24" s="776">
        <v>0.67963289530335957</v>
      </c>
      <c r="C24" s="776">
        <v>1</v>
      </c>
    </row>
    <row r="25" spans="1:3">
      <c r="A25" s="775" t="s">
        <v>866</v>
      </c>
      <c r="B25" s="776">
        <v>0.27909735891609666</v>
      </c>
      <c r="C25" s="776">
        <v>0.94535062704064399</v>
      </c>
    </row>
    <row r="26" spans="1:3">
      <c r="A26" s="775" t="s">
        <v>1218</v>
      </c>
      <c r="B26" s="776">
        <v>0.22565072967257005</v>
      </c>
      <c r="C26" s="776">
        <v>1</v>
      </c>
    </row>
    <row r="27" spans="1:3">
      <c r="A27" s="775" t="s">
        <v>3544</v>
      </c>
      <c r="B27" s="776">
        <v>0.31123440426416976</v>
      </c>
      <c r="C27" s="776">
        <v>1</v>
      </c>
    </row>
    <row r="28" spans="1:3">
      <c r="A28" s="775" t="s">
        <v>911</v>
      </c>
      <c r="B28" s="776">
        <v>0.28063268882659087</v>
      </c>
      <c r="C28" s="776">
        <v>0.9880000000000001</v>
      </c>
    </row>
    <row r="29" spans="1:3">
      <c r="A29" s="775" t="s">
        <v>2267</v>
      </c>
      <c r="B29" s="776">
        <v>0.12142190242838113</v>
      </c>
      <c r="C29" s="776">
        <v>0.9480189022173755</v>
      </c>
    </row>
    <row r="30" spans="1:3">
      <c r="A30" s="775" t="s">
        <v>2171</v>
      </c>
      <c r="B30" s="776">
        <v>0.40831066507680758</v>
      </c>
      <c r="C30" s="776">
        <v>0.97688442865168557</v>
      </c>
    </row>
    <row r="31" spans="1:3">
      <c r="A31" s="775" t="s">
        <v>865</v>
      </c>
      <c r="B31" s="776">
        <v>6.8026244447064732E-2</v>
      </c>
      <c r="C31" s="776">
        <v>0.62361000794281174</v>
      </c>
    </row>
    <row r="32" spans="1:3">
      <c r="A32" s="775" t="s">
        <v>1372</v>
      </c>
      <c r="B32" s="776">
        <v>0.10615384615384615</v>
      </c>
      <c r="C32" s="776">
        <v>1</v>
      </c>
    </row>
    <row r="33" spans="1:3">
      <c r="A33" s="775" t="s">
        <v>183</v>
      </c>
      <c r="B33" s="776">
        <v>0.14579023136421315</v>
      </c>
      <c r="C33" s="776">
        <v>0.95239184235508312</v>
      </c>
    </row>
    <row r="34" spans="1:3">
      <c r="A34" s="775" t="s">
        <v>137</v>
      </c>
      <c r="B34" s="776">
        <v>0.22900628884917851</v>
      </c>
      <c r="C34" s="776">
        <v>0.97125838966960798</v>
      </c>
    </row>
    <row r="35" spans="1:3">
      <c r="A35" s="775" t="s">
        <v>2199</v>
      </c>
      <c r="B35" s="776">
        <v>0.27244066560213215</v>
      </c>
      <c r="C35" s="776">
        <v>1</v>
      </c>
    </row>
    <row r="36" spans="1:3">
      <c r="A36" s="775" t="s">
        <v>310</v>
      </c>
      <c r="B36" s="776">
        <v>0.2015295241473149</v>
      </c>
      <c r="C36" s="776">
        <v>0.98943544487556767</v>
      </c>
    </row>
    <row r="37" spans="1:3">
      <c r="A37" s="775" t="s">
        <v>912</v>
      </c>
      <c r="B37" s="776">
        <v>0.15531342926079766</v>
      </c>
      <c r="C37" s="776">
        <v>1.0167084377610691</v>
      </c>
    </row>
    <row r="38" spans="1:3">
      <c r="A38" s="775" t="s">
        <v>2696</v>
      </c>
      <c r="B38" s="776">
        <v>0.16030709840611015</v>
      </c>
      <c r="C38" s="776">
        <v>1</v>
      </c>
    </row>
    <row r="39" spans="1:3">
      <c r="A39" s="775" t="s">
        <v>2092</v>
      </c>
      <c r="B39" s="776">
        <v>0.10977777777777778</v>
      </c>
      <c r="C39" s="776">
        <v>1</v>
      </c>
    </row>
    <row r="40" spans="1:3">
      <c r="A40" s="775" t="s">
        <v>1231</v>
      </c>
      <c r="B40" s="776">
        <v>0.38156028368794326</v>
      </c>
      <c r="C40" s="776">
        <v>1</v>
      </c>
    </row>
    <row r="41" spans="1:3">
      <c r="A41" s="775" t="s">
        <v>207</v>
      </c>
      <c r="B41" s="776">
        <v>0.30369073655238166</v>
      </c>
      <c r="C41" s="776">
        <v>0.86601174549418547</v>
      </c>
    </row>
    <row r="42" spans="1:3">
      <c r="A42" s="775" t="s">
        <v>814</v>
      </c>
      <c r="B42" s="776">
        <v>0.35394390671664966</v>
      </c>
      <c r="C42" s="776">
        <v>0.97860745204416244</v>
      </c>
    </row>
    <row r="43" spans="1:3">
      <c r="A43" s="775" t="s">
        <v>1565</v>
      </c>
      <c r="B43" s="776">
        <v>0.18680563017083915</v>
      </c>
      <c r="C43" s="776">
        <v>10.02439024390244</v>
      </c>
    </row>
    <row r="44" spans="1:3">
      <c r="A44" s="775" t="s">
        <v>2001</v>
      </c>
      <c r="B44" s="776">
        <v>0.18949398820837782</v>
      </c>
      <c r="C44" s="776">
        <v>1</v>
      </c>
    </row>
    <row r="45" spans="1:3">
      <c r="A45" s="775" t="s">
        <v>1141</v>
      </c>
      <c r="B45" s="776">
        <v>0.27983933068420735</v>
      </c>
      <c r="C45" s="776">
        <v>0.99989285959668839</v>
      </c>
    </row>
    <row r="46" spans="1:3">
      <c r="A46" s="775" t="s">
        <v>765</v>
      </c>
      <c r="B46" s="776">
        <v>0.19814434251347593</v>
      </c>
      <c r="C46" s="776">
        <v>1.3429858207005525</v>
      </c>
    </row>
    <row r="47" spans="1:3">
      <c r="A47" s="775" t="s">
        <v>163</v>
      </c>
      <c r="B47" s="776">
        <v>0.23036833569054047</v>
      </c>
      <c r="C47" s="776">
        <v>0.96969905339804763</v>
      </c>
    </row>
    <row r="48" spans="1:3">
      <c r="A48" s="775" t="s">
        <v>564</v>
      </c>
      <c r="B48" s="776">
        <v>0.15651667847902873</v>
      </c>
      <c r="C48" s="776">
        <v>1</v>
      </c>
    </row>
    <row r="49" spans="1:3">
      <c r="A49" s="775" t="s">
        <v>3979</v>
      </c>
      <c r="B49" s="776">
        <v>0.22106942281733705</v>
      </c>
      <c r="C49" s="776">
        <v>1.0177413512429907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105E3-A5D5-D743-9084-0FB74E99B796}">
  <dimension ref="A1:H1583"/>
  <sheetViews>
    <sheetView workbookViewId="0">
      <selection activeCell="B3" sqref="B3"/>
    </sheetView>
  </sheetViews>
  <sheetFormatPr baseColWidth="10" defaultRowHeight="15"/>
  <cols>
    <col min="6" max="7" width="25.83203125" bestFit="1" customWidth="1"/>
  </cols>
  <sheetData>
    <row r="1" spans="1:8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</row>
    <row r="2" spans="1:8">
      <c r="A2" t="s">
        <v>27</v>
      </c>
      <c r="B2">
        <v>86184</v>
      </c>
      <c r="C2">
        <v>3110.4</v>
      </c>
      <c r="D2">
        <v>66.5</v>
      </c>
      <c r="E2">
        <v>22</v>
      </c>
      <c r="F2">
        <v>3.6090225563909777E-2</v>
      </c>
      <c r="G2">
        <v>0.33082706766917291</v>
      </c>
      <c r="H2" t="str" cm="1">
        <f t="array" ref="H2:H1583">TRIM(A2:A1583)</f>
        <v>Colza d'hiver</v>
      </c>
    </row>
    <row r="3" spans="1:8">
      <c r="A3" t="s">
        <v>27</v>
      </c>
      <c r="B3">
        <v>45364.7</v>
      </c>
      <c r="C3">
        <v>1015</v>
      </c>
      <c r="D3">
        <v>33.44</v>
      </c>
      <c r="E3">
        <v>16</v>
      </c>
      <c r="F3">
        <v>2.2374224892923355E-2</v>
      </c>
      <c r="G3">
        <v>0.47846889952153115</v>
      </c>
      <c r="H3" t="str">
        <v>Colza d'hiver</v>
      </c>
    </row>
    <row r="4" spans="1:8">
      <c r="A4" t="s">
        <v>27</v>
      </c>
      <c r="B4">
        <v>16463.48</v>
      </c>
      <c r="C4">
        <v>194.12</v>
      </c>
      <c r="D4">
        <v>14.2</v>
      </c>
      <c r="E4">
        <v>14</v>
      </c>
      <c r="F4">
        <v>1.1790945778170837E-2</v>
      </c>
      <c r="G4">
        <v>0.9859154929577465</v>
      </c>
      <c r="H4" t="str">
        <v>Colza d'hiver</v>
      </c>
    </row>
    <row r="5" spans="1:8">
      <c r="A5" t="s">
        <v>27</v>
      </c>
      <c r="B5">
        <v>47690.78</v>
      </c>
      <c r="C5">
        <v>2160</v>
      </c>
      <c r="D5">
        <v>28.9</v>
      </c>
      <c r="E5">
        <v>9</v>
      </c>
      <c r="F5">
        <v>4.5291773378418221E-2</v>
      </c>
      <c r="G5">
        <v>0.31141868512110726</v>
      </c>
      <c r="H5" t="str">
        <v>Colza d'hiver</v>
      </c>
    </row>
    <row r="6" spans="1:8">
      <c r="A6" t="s">
        <v>27</v>
      </c>
      <c r="B6">
        <v>18865.439999999999</v>
      </c>
      <c r="C6">
        <v>1060.8</v>
      </c>
      <c r="D6">
        <v>16</v>
      </c>
      <c r="E6">
        <v>6</v>
      </c>
      <c r="F6">
        <v>5.6229804340635577E-2</v>
      </c>
      <c r="G6">
        <v>0.375</v>
      </c>
      <c r="H6" t="str">
        <v>Colza d'hiver</v>
      </c>
    </row>
    <row r="7" spans="1:8">
      <c r="A7" t="s">
        <v>27</v>
      </c>
      <c r="B7">
        <v>80049.279999999999</v>
      </c>
      <c r="C7">
        <v>1647.1</v>
      </c>
      <c r="D7">
        <v>65.83</v>
      </c>
      <c r="E7">
        <v>13.5</v>
      </c>
      <c r="F7">
        <v>2.0576075137715165E-2</v>
      </c>
      <c r="G7">
        <v>0.20507367461643627</v>
      </c>
      <c r="H7" t="str">
        <v>Colza d'hiver</v>
      </c>
    </row>
    <row r="8" spans="1:8">
      <c r="A8" t="s">
        <v>27</v>
      </c>
      <c r="B8">
        <v>59304</v>
      </c>
      <c r="C8">
        <v>8643.6</v>
      </c>
      <c r="D8">
        <v>42</v>
      </c>
      <c r="E8">
        <v>43</v>
      </c>
      <c r="F8">
        <v>0.14575070821529745</v>
      </c>
      <c r="G8">
        <v>1.0238095238095237</v>
      </c>
      <c r="H8" t="str">
        <v>Colza d'hiver</v>
      </c>
    </row>
    <row r="9" spans="1:8">
      <c r="A9" t="s">
        <v>27</v>
      </c>
      <c r="B9">
        <v>36780.32</v>
      </c>
      <c r="C9">
        <v>5436.29</v>
      </c>
      <c r="D9">
        <v>31.49</v>
      </c>
      <c r="E9">
        <v>31.49</v>
      </c>
      <c r="F9">
        <v>0.14780431491623783</v>
      </c>
      <c r="G9">
        <v>1</v>
      </c>
      <c r="H9" t="str">
        <v>Colza d'hiver</v>
      </c>
    </row>
    <row r="10" spans="1:8">
      <c r="A10" t="s">
        <v>27</v>
      </c>
      <c r="B10">
        <v>51272.55</v>
      </c>
      <c r="C10">
        <v>5337.35</v>
      </c>
      <c r="D10">
        <v>45</v>
      </c>
      <c r="E10">
        <v>45</v>
      </c>
      <c r="F10">
        <v>0.10409761168500493</v>
      </c>
      <c r="G10">
        <v>1</v>
      </c>
      <c r="H10" t="str">
        <v>Colza d'hiver</v>
      </c>
    </row>
    <row r="11" spans="1:8">
      <c r="A11" t="s">
        <v>27</v>
      </c>
      <c r="B11">
        <v>13977.58</v>
      </c>
      <c r="C11">
        <v>1951.01</v>
      </c>
      <c r="D11">
        <v>9.7799999999999994</v>
      </c>
      <c r="E11">
        <v>9.7799999999999994</v>
      </c>
      <c r="F11">
        <v>0.13958138676366008</v>
      </c>
      <c r="G11">
        <v>1</v>
      </c>
      <c r="H11" t="str">
        <v>Colza d'hiver</v>
      </c>
    </row>
    <row r="12" spans="1:8">
      <c r="A12" t="s">
        <v>27</v>
      </c>
      <c r="B12">
        <v>227800.17</v>
      </c>
      <c r="C12">
        <v>8000</v>
      </c>
      <c r="D12">
        <v>149.77000000000001</v>
      </c>
      <c r="E12">
        <v>149</v>
      </c>
      <c r="F12">
        <v>3.5118498814114142E-2</v>
      </c>
      <c r="G12">
        <v>0.99485878346798418</v>
      </c>
      <c r="H12" t="str">
        <v>Colza d'hiver</v>
      </c>
    </row>
    <row r="13" spans="1:8">
      <c r="A13" t="s">
        <v>27</v>
      </c>
      <c r="B13">
        <v>41184.720000000001</v>
      </c>
      <c r="C13">
        <v>2500</v>
      </c>
      <c r="D13">
        <v>33.159999999999997</v>
      </c>
      <c r="E13">
        <v>33</v>
      </c>
      <c r="F13">
        <v>6.0702124477233305E-2</v>
      </c>
      <c r="G13">
        <v>0.99517490952955379</v>
      </c>
      <c r="H13" t="str">
        <v>Colza d'hiver</v>
      </c>
    </row>
    <row r="14" spans="1:8">
      <c r="A14" t="s">
        <v>27</v>
      </c>
      <c r="B14">
        <v>42338.84</v>
      </c>
      <c r="C14">
        <v>2495.23</v>
      </c>
      <c r="D14">
        <v>32.770000000000003</v>
      </c>
      <c r="E14">
        <v>14.4</v>
      </c>
      <c r="F14">
        <v>5.8934774783626576E-2</v>
      </c>
      <c r="G14">
        <v>0.43942630454684162</v>
      </c>
      <c r="H14" t="str">
        <v>Colza d'hiver</v>
      </c>
    </row>
    <row r="15" spans="1:8">
      <c r="A15" t="s">
        <v>27</v>
      </c>
      <c r="B15">
        <v>40180</v>
      </c>
      <c r="C15">
        <v>4800</v>
      </c>
      <c r="D15">
        <v>40</v>
      </c>
      <c r="E15">
        <v>32</v>
      </c>
      <c r="F15">
        <v>0.11946241911398706</v>
      </c>
      <c r="G15">
        <v>0.8</v>
      </c>
      <c r="H15" t="str">
        <v>Colza d'hiver</v>
      </c>
    </row>
    <row r="16" spans="1:8">
      <c r="A16" t="s">
        <v>27</v>
      </c>
      <c r="B16">
        <v>33114.9</v>
      </c>
      <c r="C16">
        <v>4819.1400000000003</v>
      </c>
      <c r="D16">
        <v>27.76</v>
      </c>
      <c r="E16">
        <v>27.75</v>
      </c>
      <c r="F16">
        <v>0.14552784396147958</v>
      </c>
      <c r="G16">
        <v>0.99963976945244948</v>
      </c>
      <c r="H16" t="str">
        <v>Colza d'hiver</v>
      </c>
    </row>
    <row r="17" spans="1:8">
      <c r="A17" t="s">
        <v>27</v>
      </c>
      <c r="B17">
        <v>20939.37</v>
      </c>
      <c r="C17">
        <v>2026.09</v>
      </c>
      <c r="D17">
        <v>17.350000000000001</v>
      </c>
      <c r="E17">
        <v>12.43</v>
      </c>
      <c r="F17">
        <v>9.6759835658856971E-2</v>
      </c>
      <c r="G17">
        <v>0.71642651296829962</v>
      </c>
      <c r="H17" t="str">
        <v>Colza d'hiver</v>
      </c>
    </row>
    <row r="18" spans="1:8">
      <c r="A18" t="s">
        <v>27</v>
      </c>
      <c r="B18">
        <v>18712.36</v>
      </c>
      <c r="C18">
        <v>776</v>
      </c>
      <c r="D18">
        <v>14.24</v>
      </c>
      <c r="E18">
        <v>14.2</v>
      </c>
      <c r="F18">
        <v>4.146991614098916E-2</v>
      </c>
      <c r="G18">
        <v>0.99719101123595499</v>
      </c>
      <c r="H18" t="str">
        <v>Colza d'hiver</v>
      </c>
    </row>
    <row r="19" spans="1:8">
      <c r="A19" t="s">
        <v>27</v>
      </c>
      <c r="B19">
        <v>22868.16</v>
      </c>
      <c r="C19">
        <v>1815</v>
      </c>
      <c r="D19">
        <v>19.920000000000002</v>
      </c>
      <c r="E19">
        <v>11</v>
      </c>
      <c r="F19">
        <v>7.9367994626589985E-2</v>
      </c>
      <c r="G19">
        <v>0.55220883534136544</v>
      </c>
      <c r="H19" t="str">
        <v>Colza d'hiver</v>
      </c>
    </row>
    <row r="20" spans="1:8">
      <c r="A20" t="s">
        <v>27</v>
      </c>
      <c r="B20">
        <v>16944</v>
      </c>
      <c r="C20">
        <v>2361.6</v>
      </c>
      <c r="D20">
        <v>12</v>
      </c>
      <c r="E20">
        <v>12</v>
      </c>
      <c r="F20">
        <v>0.13937677053824363</v>
      </c>
      <c r="G20">
        <v>1</v>
      </c>
      <c r="H20" t="str">
        <v>Colza d'hiver</v>
      </c>
    </row>
    <row r="21" spans="1:8">
      <c r="A21" t="s">
        <v>27</v>
      </c>
      <c r="B21">
        <v>20580</v>
      </c>
      <c r="C21">
        <v>1381.38</v>
      </c>
      <c r="D21">
        <v>20</v>
      </c>
      <c r="E21">
        <v>9</v>
      </c>
      <c r="F21">
        <v>6.7122448979591839E-2</v>
      </c>
      <c r="G21">
        <v>0.45</v>
      </c>
      <c r="H21" t="str">
        <v>Colza d'hiver</v>
      </c>
    </row>
    <row r="22" spans="1:8">
      <c r="A22" t="s">
        <v>27</v>
      </c>
      <c r="B22">
        <v>21129.33</v>
      </c>
      <c r="C22">
        <v>1096.75</v>
      </c>
      <c r="D22">
        <v>15.25</v>
      </c>
      <c r="E22">
        <v>5.35</v>
      </c>
      <c r="F22">
        <v>5.1906520462314705E-2</v>
      </c>
      <c r="G22">
        <v>0.35081967213114751</v>
      </c>
      <c r="H22" t="str">
        <v>Colza d'hiver</v>
      </c>
    </row>
    <row r="23" spans="1:8">
      <c r="A23" t="s">
        <v>27</v>
      </c>
      <c r="B23">
        <v>35687.519999999997</v>
      </c>
      <c r="C23">
        <v>2458.14</v>
      </c>
      <c r="D23">
        <v>34.19</v>
      </c>
      <c r="E23">
        <v>18.8</v>
      </c>
      <c r="F23">
        <v>6.8879541083269449E-2</v>
      </c>
      <c r="G23">
        <v>0.54986838256800241</v>
      </c>
      <c r="H23" t="str">
        <v>Colza d'hiver</v>
      </c>
    </row>
    <row r="24" spans="1:8">
      <c r="A24" t="s">
        <v>27</v>
      </c>
      <c r="B24">
        <v>12294.75</v>
      </c>
      <c r="C24">
        <v>962.63</v>
      </c>
      <c r="D24">
        <v>9.6999999999999993</v>
      </c>
      <c r="E24">
        <v>9.76</v>
      </c>
      <c r="F24">
        <v>7.8296020659224461E-2</v>
      </c>
      <c r="G24">
        <v>1.0061855670103093</v>
      </c>
      <c r="H24" t="str">
        <v>Colza d'hiver</v>
      </c>
    </row>
    <row r="25" spans="1:8">
      <c r="A25" t="s">
        <v>99</v>
      </c>
      <c r="B25">
        <v>54813.78</v>
      </c>
      <c r="C25">
        <v>22975.08</v>
      </c>
      <c r="D25">
        <v>59.48</v>
      </c>
      <c r="E25">
        <v>59.48</v>
      </c>
      <c r="F25">
        <v>0.41914788580535772</v>
      </c>
      <c r="G25">
        <v>1</v>
      </c>
      <c r="H25" t="str">
        <v>Blé tendre d'hiver</v>
      </c>
    </row>
    <row r="26" spans="1:8">
      <c r="A26" t="s">
        <v>99</v>
      </c>
      <c r="B26">
        <v>36473.230000000003</v>
      </c>
      <c r="C26">
        <v>206.78</v>
      </c>
      <c r="D26">
        <v>29.49</v>
      </c>
      <c r="E26">
        <v>29.49</v>
      </c>
      <c r="F26">
        <v>5.6693635304578176E-3</v>
      </c>
      <c r="G26">
        <v>1</v>
      </c>
      <c r="H26" t="str">
        <v>Blé tendre d'hiver</v>
      </c>
    </row>
    <row r="27" spans="1:8">
      <c r="A27" t="s">
        <v>27</v>
      </c>
      <c r="B27">
        <v>17762.5</v>
      </c>
      <c r="C27">
        <v>2645.76</v>
      </c>
      <c r="D27">
        <v>12.5</v>
      </c>
      <c r="E27">
        <v>12.48</v>
      </c>
      <c r="F27">
        <v>0.14895200562983815</v>
      </c>
      <c r="G27">
        <v>0.99840000000000007</v>
      </c>
      <c r="H27" t="str">
        <v>Colza d'hiver</v>
      </c>
    </row>
    <row r="28" spans="1:8">
      <c r="A28" t="s">
        <v>99</v>
      </c>
      <c r="B28">
        <v>5808</v>
      </c>
      <c r="C28">
        <v>70.400000000000006</v>
      </c>
      <c r="D28">
        <v>5.5</v>
      </c>
      <c r="E28">
        <v>5.5</v>
      </c>
      <c r="F28">
        <v>1.2121212121212123E-2</v>
      </c>
      <c r="G28">
        <v>1</v>
      </c>
      <c r="H28" t="str">
        <v>Blé tendre d'hiver</v>
      </c>
    </row>
    <row r="29" spans="1:8">
      <c r="A29" t="s">
        <v>99</v>
      </c>
      <c r="B29">
        <v>17377.72</v>
      </c>
      <c r="C29">
        <v>4937.12</v>
      </c>
      <c r="D29">
        <v>15.93</v>
      </c>
      <c r="E29">
        <v>15.93</v>
      </c>
      <c r="F29">
        <v>0.28410631544299247</v>
      </c>
      <c r="G29">
        <v>1</v>
      </c>
      <c r="H29" t="str">
        <v>Blé tendre d'hiver</v>
      </c>
    </row>
    <row r="30" spans="1:8">
      <c r="A30" t="s">
        <v>138</v>
      </c>
      <c r="B30">
        <v>16755.919999999998</v>
      </c>
      <c r="C30">
        <v>1340.47</v>
      </c>
      <c r="D30">
        <v>15.36</v>
      </c>
      <c r="E30">
        <v>15.36</v>
      </c>
      <c r="F30">
        <v>7.999978515056172E-2</v>
      </c>
      <c r="G30">
        <v>1</v>
      </c>
      <c r="H30" t="str">
        <v>Blé de force</v>
      </c>
    </row>
    <row r="31" spans="1:8">
      <c r="A31" t="s">
        <v>162</v>
      </c>
      <c r="B31">
        <v>3434.67</v>
      </c>
      <c r="C31">
        <v>139.18</v>
      </c>
      <c r="D31">
        <v>11.96</v>
      </c>
      <c r="E31">
        <v>3.5</v>
      </c>
      <c r="F31">
        <v>4.0522088002631983E-2</v>
      </c>
      <c r="G31">
        <v>0.2926421404682274</v>
      </c>
      <c r="H31" t="str">
        <v>Féveroles et fèves</v>
      </c>
    </row>
    <row r="32" spans="1:8">
      <c r="A32" t="s">
        <v>99</v>
      </c>
      <c r="B32">
        <v>18358.98</v>
      </c>
      <c r="C32">
        <v>3150.24</v>
      </c>
      <c r="D32">
        <v>21.95</v>
      </c>
      <c r="E32">
        <v>21.95</v>
      </c>
      <c r="F32">
        <v>0.17159123219263814</v>
      </c>
      <c r="G32">
        <v>1</v>
      </c>
      <c r="H32" t="str">
        <v>Blé tendre d'hiver</v>
      </c>
    </row>
    <row r="33" spans="1:8">
      <c r="A33" t="s">
        <v>183</v>
      </c>
      <c r="B33">
        <v>15290.35</v>
      </c>
      <c r="C33">
        <v>2293.5500000000002</v>
      </c>
      <c r="D33">
        <v>21.67</v>
      </c>
      <c r="E33">
        <v>21.67</v>
      </c>
      <c r="F33">
        <v>0.14999983649818349</v>
      </c>
      <c r="G33">
        <v>1</v>
      </c>
      <c r="H33" t="str">
        <v>Orge d'hiver</v>
      </c>
    </row>
    <row r="34" spans="1:8">
      <c r="A34" t="s">
        <v>207</v>
      </c>
      <c r="B34">
        <v>6685.2</v>
      </c>
      <c r="C34">
        <v>1645.92</v>
      </c>
      <c r="D34">
        <v>12.38</v>
      </c>
      <c r="E34">
        <v>12.38</v>
      </c>
      <c r="F34">
        <v>0.24620355411954767</v>
      </c>
      <c r="G34">
        <v>1</v>
      </c>
      <c r="H34" t="str">
        <v>Seigle et méteil</v>
      </c>
    </row>
    <row r="35" spans="1:8">
      <c r="A35" t="s">
        <v>140</v>
      </c>
      <c r="B35">
        <v>19882.8</v>
      </c>
      <c r="C35">
        <v>294.83999999999997</v>
      </c>
      <c r="D35">
        <v>15</v>
      </c>
      <c r="E35">
        <v>15</v>
      </c>
      <c r="F35">
        <v>1.4828897338403041E-2</v>
      </c>
      <c r="G35">
        <v>1</v>
      </c>
      <c r="H35" t="str">
        <v>Blé dur d'hiver</v>
      </c>
    </row>
    <row r="36" spans="1:8">
      <c r="A36" t="s">
        <v>27</v>
      </c>
      <c r="B36">
        <v>19264</v>
      </c>
      <c r="C36">
        <v>3411.2</v>
      </c>
      <c r="D36">
        <v>28</v>
      </c>
      <c r="E36">
        <v>28</v>
      </c>
      <c r="F36">
        <v>0.17707641196013288</v>
      </c>
      <c r="G36">
        <v>1</v>
      </c>
      <c r="H36" t="str">
        <v>Colza d'hiver</v>
      </c>
    </row>
    <row r="37" spans="1:8">
      <c r="A37" t="s">
        <v>99</v>
      </c>
      <c r="B37">
        <v>56146.11</v>
      </c>
      <c r="C37">
        <v>1111.5</v>
      </c>
      <c r="D37">
        <v>50.71</v>
      </c>
      <c r="E37">
        <v>9.11</v>
      </c>
      <c r="F37">
        <v>1.9796562931964475E-2</v>
      </c>
      <c r="G37">
        <v>0.17964898442121868</v>
      </c>
      <c r="H37" t="str">
        <v>Blé tendre d'hiver</v>
      </c>
    </row>
    <row r="38" spans="1:8">
      <c r="A38" t="s">
        <v>27</v>
      </c>
      <c r="B38">
        <v>18814</v>
      </c>
      <c r="C38">
        <v>818</v>
      </c>
      <c r="D38">
        <v>15.5</v>
      </c>
      <c r="E38">
        <v>4.5</v>
      </c>
      <c r="F38">
        <v>4.3478260869565216E-2</v>
      </c>
      <c r="G38">
        <v>0.29032258064516131</v>
      </c>
      <c r="H38" t="str">
        <v>Colza d'hiver</v>
      </c>
    </row>
    <row r="39" spans="1:8">
      <c r="A39" t="s">
        <v>99</v>
      </c>
      <c r="B39">
        <v>20560.32</v>
      </c>
      <c r="C39">
        <v>171</v>
      </c>
      <c r="D39">
        <v>19.8</v>
      </c>
      <c r="E39">
        <v>0.9</v>
      </c>
      <c r="F39">
        <v>8.3169911752346264E-3</v>
      </c>
      <c r="G39">
        <v>4.5454545454545456E-2</v>
      </c>
      <c r="H39" t="str">
        <v>Blé tendre d'hiver</v>
      </c>
    </row>
    <row r="40" spans="1:8">
      <c r="A40" t="s">
        <v>27</v>
      </c>
      <c r="B40">
        <v>94240</v>
      </c>
      <c r="C40">
        <v>368.4</v>
      </c>
      <c r="D40">
        <v>76</v>
      </c>
      <c r="E40">
        <v>20</v>
      </c>
      <c r="F40">
        <v>3.9091680814940574E-3</v>
      </c>
      <c r="G40">
        <v>0.26315789473684209</v>
      </c>
      <c r="H40" t="str">
        <v>Colza d'hiver</v>
      </c>
    </row>
    <row r="41" spans="1:8">
      <c r="A41" t="s">
        <v>137</v>
      </c>
      <c r="B41">
        <v>12251.8</v>
      </c>
      <c r="C41">
        <v>3103.95</v>
      </c>
      <c r="D41">
        <v>13.78</v>
      </c>
      <c r="E41">
        <v>13.7</v>
      </c>
      <c r="F41">
        <v>0.25334644705267795</v>
      </c>
      <c r="G41">
        <v>0.99419448476052252</v>
      </c>
      <c r="H41" t="str">
        <v>Orge de printemps</v>
      </c>
    </row>
    <row r="42" spans="1:8">
      <c r="A42" t="s">
        <v>207</v>
      </c>
      <c r="B42">
        <v>6507.6</v>
      </c>
      <c r="C42">
        <v>469.48</v>
      </c>
      <c r="D42">
        <v>6.6</v>
      </c>
      <c r="E42">
        <v>1</v>
      </c>
      <c r="F42">
        <v>7.2143340094658545E-2</v>
      </c>
      <c r="G42">
        <v>0.15151515151515152</v>
      </c>
      <c r="H42" t="str">
        <v>Seigle et méteil</v>
      </c>
    </row>
    <row r="43" spans="1:8">
      <c r="A43" t="s">
        <v>99</v>
      </c>
      <c r="B43">
        <v>133071.29999999999</v>
      </c>
      <c r="C43">
        <v>438.8</v>
      </c>
      <c r="D43">
        <v>99.5</v>
      </c>
      <c r="E43">
        <v>99.5</v>
      </c>
      <c r="F43">
        <v>3.2974803733036352E-3</v>
      </c>
      <c r="G43">
        <v>1</v>
      </c>
      <c r="H43" t="str">
        <v>Blé tendre d'hiver</v>
      </c>
    </row>
    <row r="44" spans="1:8">
      <c r="A44" t="s">
        <v>99</v>
      </c>
      <c r="B44">
        <v>82429.210000000006</v>
      </c>
      <c r="C44">
        <v>1700.42</v>
      </c>
      <c r="D44">
        <v>64.91</v>
      </c>
      <c r="E44">
        <v>64.91</v>
      </c>
      <c r="F44">
        <v>2.0628852320676128E-2</v>
      </c>
      <c r="G44">
        <v>1</v>
      </c>
      <c r="H44" t="str">
        <v>Blé tendre d'hiver</v>
      </c>
    </row>
    <row r="45" spans="1:8">
      <c r="A45" t="s">
        <v>27</v>
      </c>
      <c r="B45">
        <v>22400.81</v>
      </c>
      <c r="C45">
        <v>697.09</v>
      </c>
      <c r="D45">
        <v>20.190000000000001</v>
      </c>
      <c r="E45">
        <v>20.190000000000001</v>
      </c>
      <c r="F45">
        <v>3.1118964001748149E-2</v>
      </c>
      <c r="G45">
        <v>1</v>
      </c>
      <c r="H45" t="str">
        <v>Colza d'hiver</v>
      </c>
    </row>
    <row r="46" spans="1:8">
      <c r="A46" t="s">
        <v>310</v>
      </c>
      <c r="B46">
        <v>7761.36</v>
      </c>
      <c r="C46">
        <v>304.73</v>
      </c>
      <c r="D46">
        <v>8.76</v>
      </c>
      <c r="E46">
        <v>8.76</v>
      </c>
      <c r="F46">
        <v>3.9262448849170767E-2</v>
      </c>
      <c r="G46">
        <v>1</v>
      </c>
      <c r="H46" t="str">
        <v>Pois protéagineux</v>
      </c>
    </row>
    <row r="47" spans="1:8">
      <c r="A47" t="s">
        <v>27</v>
      </c>
      <c r="B47">
        <v>4640</v>
      </c>
      <c r="C47">
        <v>48</v>
      </c>
      <c r="D47">
        <v>3.2</v>
      </c>
      <c r="E47">
        <v>3.2</v>
      </c>
      <c r="F47">
        <v>1.0344827586206896E-2</v>
      </c>
      <c r="G47">
        <v>1</v>
      </c>
      <c r="H47" t="str">
        <v>Colza d'hiver</v>
      </c>
    </row>
    <row r="48" spans="1:8">
      <c r="A48" t="s">
        <v>310</v>
      </c>
      <c r="B48">
        <v>23275.17</v>
      </c>
      <c r="C48">
        <v>1528.86</v>
      </c>
      <c r="D48">
        <v>18.04</v>
      </c>
      <c r="E48">
        <v>18.04</v>
      </c>
      <c r="F48">
        <v>6.5686308628465445E-2</v>
      </c>
      <c r="G48">
        <v>1</v>
      </c>
      <c r="H48" t="str">
        <v>Pois protéagineux</v>
      </c>
    </row>
    <row r="49" spans="1:8">
      <c r="A49" t="s">
        <v>183</v>
      </c>
      <c r="B49">
        <v>12820.5</v>
      </c>
      <c r="C49">
        <v>3493.5</v>
      </c>
      <c r="D49">
        <v>21</v>
      </c>
      <c r="E49">
        <v>21</v>
      </c>
      <c r="F49">
        <v>0.27249327249327249</v>
      </c>
      <c r="G49">
        <v>1</v>
      </c>
      <c r="H49" t="str">
        <v>Orge d'hiver</v>
      </c>
    </row>
    <row r="50" spans="1:8">
      <c r="A50" t="s">
        <v>442</v>
      </c>
      <c r="B50">
        <v>10073.14</v>
      </c>
      <c r="C50">
        <v>6303.26</v>
      </c>
      <c r="D50">
        <v>11</v>
      </c>
      <c r="E50">
        <v>11</v>
      </c>
      <c r="F50">
        <v>0.62574926984038748</v>
      </c>
      <c r="G50">
        <v>1</v>
      </c>
      <c r="H50" t="str">
        <v>Lin oléagineux</v>
      </c>
    </row>
    <row r="51" spans="1:8">
      <c r="A51" t="s">
        <v>27</v>
      </c>
      <c r="B51">
        <v>17468</v>
      </c>
      <c r="C51">
        <v>3947.86</v>
      </c>
      <c r="D51">
        <v>16</v>
      </c>
      <c r="E51">
        <v>16</v>
      </c>
      <c r="F51">
        <v>0.22600526677352875</v>
      </c>
      <c r="G51">
        <v>1</v>
      </c>
      <c r="H51" t="str">
        <v>Colza d'hiver</v>
      </c>
    </row>
    <row r="52" spans="1:8">
      <c r="A52" t="s">
        <v>27</v>
      </c>
      <c r="B52">
        <v>19145.5</v>
      </c>
      <c r="C52">
        <v>4273.67</v>
      </c>
      <c r="D52">
        <v>14.75</v>
      </c>
      <c r="E52">
        <v>14.75</v>
      </c>
      <c r="F52">
        <v>0.22322060014102532</v>
      </c>
      <c r="G52">
        <v>1</v>
      </c>
      <c r="H52" t="str">
        <v>Colza d'hiver</v>
      </c>
    </row>
    <row r="53" spans="1:8">
      <c r="A53" t="s">
        <v>99</v>
      </c>
      <c r="B53">
        <v>88744.99</v>
      </c>
      <c r="C53">
        <v>6006.19</v>
      </c>
      <c r="D53">
        <v>92.31</v>
      </c>
      <c r="E53">
        <v>80.45</v>
      </c>
      <c r="F53">
        <v>6.7679200820237845E-2</v>
      </c>
      <c r="G53">
        <v>0.87151987866969993</v>
      </c>
      <c r="H53" t="str">
        <v>Blé tendre d'hiver</v>
      </c>
    </row>
    <row r="54" spans="1:8">
      <c r="A54" t="s">
        <v>27</v>
      </c>
      <c r="B54">
        <v>38469.300000000003</v>
      </c>
      <c r="C54">
        <v>5150.33</v>
      </c>
      <c r="D54">
        <v>30</v>
      </c>
      <c r="E54">
        <v>30</v>
      </c>
      <c r="F54">
        <v>0.13388156270064699</v>
      </c>
      <c r="G54">
        <v>1</v>
      </c>
      <c r="H54" t="str">
        <v>Colza d'hiver</v>
      </c>
    </row>
    <row r="55" spans="1:8">
      <c r="A55" t="s">
        <v>27</v>
      </c>
      <c r="B55">
        <v>18848.73</v>
      </c>
      <c r="C55">
        <v>560</v>
      </c>
      <c r="D55">
        <v>15.17</v>
      </c>
      <c r="E55">
        <v>15.17</v>
      </c>
      <c r="F55">
        <v>2.9710224508494736E-2</v>
      </c>
      <c r="G55">
        <v>1</v>
      </c>
      <c r="H55" t="str">
        <v>Colza d'hiver</v>
      </c>
    </row>
    <row r="56" spans="1:8">
      <c r="A56" t="s">
        <v>295</v>
      </c>
      <c r="B56">
        <v>25500.1</v>
      </c>
      <c r="C56">
        <v>1882.08</v>
      </c>
      <c r="D56">
        <v>28.09</v>
      </c>
      <c r="E56">
        <v>28.09</v>
      </c>
      <c r="F56">
        <v>7.3806769385218102E-2</v>
      </c>
      <c r="G56">
        <v>1</v>
      </c>
      <c r="H56" t="str">
        <v>Avoine d'hiver</v>
      </c>
    </row>
    <row r="57" spans="1:8">
      <c r="A57" t="s">
        <v>163</v>
      </c>
      <c r="B57">
        <v>23318</v>
      </c>
      <c r="C57">
        <v>2485.86</v>
      </c>
      <c r="D57">
        <v>26.2</v>
      </c>
      <c r="E57">
        <v>26.2</v>
      </c>
      <c r="F57">
        <v>0.10660691311433228</v>
      </c>
      <c r="G57">
        <v>1</v>
      </c>
      <c r="H57" t="str">
        <v>Triticale</v>
      </c>
    </row>
    <row r="58" spans="1:8">
      <c r="A58" t="s">
        <v>27</v>
      </c>
      <c r="B58">
        <v>79794.259999999995</v>
      </c>
      <c r="C58">
        <v>9724.3799999999992</v>
      </c>
      <c r="D58">
        <v>51.58</v>
      </c>
      <c r="E58">
        <v>51.58</v>
      </c>
      <c r="F58">
        <v>0.12186816445192925</v>
      </c>
      <c r="G58">
        <v>1</v>
      </c>
      <c r="H58" t="str">
        <v>Colza d'hiver</v>
      </c>
    </row>
    <row r="59" spans="1:8">
      <c r="A59" t="s">
        <v>183</v>
      </c>
      <c r="B59">
        <v>2469.73</v>
      </c>
      <c r="C59">
        <v>219.36</v>
      </c>
      <c r="D59">
        <v>2.08</v>
      </c>
      <c r="E59">
        <v>2.08</v>
      </c>
      <c r="F59">
        <v>8.8819425605228111E-2</v>
      </c>
      <c r="G59">
        <v>1</v>
      </c>
      <c r="H59" t="str">
        <v>Orge d'hiver</v>
      </c>
    </row>
    <row r="60" spans="1:8">
      <c r="A60" t="s">
        <v>99</v>
      </c>
      <c r="B60">
        <v>19080.05</v>
      </c>
      <c r="C60">
        <v>3893.61</v>
      </c>
      <c r="D60">
        <v>17.59</v>
      </c>
      <c r="E60">
        <v>17.59</v>
      </c>
      <c r="F60">
        <v>0.2040670752959243</v>
      </c>
      <c r="G60">
        <v>1</v>
      </c>
      <c r="H60" t="str">
        <v>Blé tendre d'hiver</v>
      </c>
    </row>
    <row r="61" spans="1:8">
      <c r="A61" t="s">
        <v>27</v>
      </c>
      <c r="B61">
        <v>75582</v>
      </c>
      <c r="C61">
        <v>339.45</v>
      </c>
      <c r="D61">
        <v>65</v>
      </c>
      <c r="E61">
        <v>40</v>
      </c>
      <c r="F61">
        <v>4.4911486861951254E-3</v>
      </c>
      <c r="G61">
        <v>0.61538461538461542</v>
      </c>
      <c r="H61" t="str">
        <v>Colza d'hiver</v>
      </c>
    </row>
    <row r="62" spans="1:8">
      <c r="A62" t="s">
        <v>99</v>
      </c>
      <c r="B62">
        <v>28384.29</v>
      </c>
      <c r="C62">
        <v>229.4</v>
      </c>
      <c r="D62">
        <v>30.18</v>
      </c>
      <c r="E62">
        <v>30.18</v>
      </c>
      <c r="F62">
        <v>8.0819354650054666E-3</v>
      </c>
      <c r="G62">
        <v>1</v>
      </c>
      <c r="H62" t="str">
        <v>Blé tendre d'hiver</v>
      </c>
    </row>
    <row r="63" spans="1:8">
      <c r="A63" t="s">
        <v>183</v>
      </c>
      <c r="B63">
        <v>5855.99</v>
      </c>
      <c r="C63">
        <v>80.7</v>
      </c>
      <c r="D63">
        <v>7.27</v>
      </c>
      <c r="E63">
        <v>7.27</v>
      </c>
      <c r="F63">
        <v>1.3780761237638727E-2</v>
      </c>
      <c r="G63">
        <v>1</v>
      </c>
      <c r="H63" t="str">
        <v>Orge d'hiver</v>
      </c>
    </row>
    <row r="64" spans="1:8">
      <c r="A64" t="s">
        <v>99</v>
      </c>
      <c r="B64">
        <v>81000</v>
      </c>
      <c r="C64">
        <v>24300</v>
      </c>
      <c r="D64">
        <v>54</v>
      </c>
      <c r="E64">
        <v>54</v>
      </c>
      <c r="F64">
        <v>0.3</v>
      </c>
      <c r="G64">
        <v>1</v>
      </c>
      <c r="H64" t="str">
        <v>Blé tendre d'hiver</v>
      </c>
    </row>
    <row r="65" spans="1:8">
      <c r="A65" t="s">
        <v>99</v>
      </c>
      <c r="B65">
        <v>46287.360000000001</v>
      </c>
      <c r="C65">
        <v>3422.13</v>
      </c>
      <c r="D65">
        <v>45.92</v>
      </c>
      <c r="E65">
        <v>45.92</v>
      </c>
      <c r="F65">
        <v>7.3932278704164592E-2</v>
      </c>
      <c r="G65">
        <v>1</v>
      </c>
      <c r="H65" t="str">
        <v>Blé tendre d'hiver</v>
      </c>
    </row>
    <row r="66" spans="1:8">
      <c r="A66" t="s">
        <v>310</v>
      </c>
      <c r="B66">
        <v>9432</v>
      </c>
      <c r="C66">
        <v>1298.47</v>
      </c>
      <c r="D66">
        <v>12</v>
      </c>
      <c r="E66">
        <v>11</v>
      </c>
      <c r="F66">
        <v>0.1376664546225615</v>
      </c>
      <c r="G66">
        <v>0.91666666666666663</v>
      </c>
      <c r="H66" t="str">
        <v>Pois protéagineux</v>
      </c>
    </row>
    <row r="67" spans="1:8">
      <c r="A67" t="s">
        <v>27</v>
      </c>
      <c r="B67">
        <v>19584</v>
      </c>
      <c r="C67">
        <v>2924.34</v>
      </c>
      <c r="D67">
        <v>16</v>
      </c>
      <c r="E67">
        <v>16</v>
      </c>
      <c r="F67">
        <v>0.14932291666666667</v>
      </c>
      <c r="G67">
        <v>1</v>
      </c>
      <c r="H67" t="str">
        <v>Colza d'hiver</v>
      </c>
    </row>
    <row r="68" spans="1:8">
      <c r="A68" t="s">
        <v>27</v>
      </c>
      <c r="B68">
        <v>18631.62</v>
      </c>
      <c r="C68">
        <v>3366.98</v>
      </c>
      <c r="D68">
        <v>14.31</v>
      </c>
      <c r="E68">
        <v>14.62</v>
      </c>
      <c r="F68">
        <v>0.18071321763754308</v>
      </c>
      <c r="G68">
        <v>1.0216631726065688</v>
      </c>
      <c r="H68" t="str">
        <v>Colza d'hiver</v>
      </c>
    </row>
    <row r="69" spans="1:8">
      <c r="A69" t="s">
        <v>310</v>
      </c>
      <c r="B69">
        <v>12137.56</v>
      </c>
      <c r="C69">
        <v>726.69</v>
      </c>
      <c r="D69">
        <v>16.7</v>
      </c>
      <c r="E69">
        <v>16.12</v>
      </c>
      <c r="F69">
        <v>5.9871176743925475E-2</v>
      </c>
      <c r="G69">
        <v>0.96526946107784439</v>
      </c>
      <c r="H69" t="str">
        <v>Pois protéagineux</v>
      </c>
    </row>
    <row r="70" spans="1:8">
      <c r="A70" t="s">
        <v>765</v>
      </c>
      <c r="B70">
        <v>10722.17</v>
      </c>
      <c r="C70">
        <v>247.8</v>
      </c>
      <c r="D70">
        <v>9.0500000000000007</v>
      </c>
      <c r="E70">
        <v>1.4</v>
      </c>
      <c r="F70">
        <v>2.3110993390330504E-2</v>
      </c>
      <c r="G70">
        <v>0.15469613259668505</v>
      </c>
      <c r="H70" t="str">
        <v>Tournesol</v>
      </c>
    </row>
    <row r="71" spans="1:8">
      <c r="A71" t="s">
        <v>2171</v>
      </c>
      <c r="B71">
        <v>7700</v>
      </c>
      <c r="C71">
        <v>156</v>
      </c>
      <c r="D71">
        <v>4</v>
      </c>
      <c r="E71">
        <v>1</v>
      </c>
      <c r="F71">
        <v>2.0259740259740259E-2</v>
      </c>
      <c r="G71">
        <v>0.25</v>
      </c>
      <c r="H71" t="str">
        <v>Maïs waxy non irrigué</v>
      </c>
    </row>
    <row r="72" spans="1:8">
      <c r="A72" t="s">
        <v>866</v>
      </c>
      <c r="B72">
        <v>57750</v>
      </c>
      <c r="C72">
        <v>746.7</v>
      </c>
      <c r="D72">
        <v>30</v>
      </c>
      <c r="E72">
        <v>2</v>
      </c>
      <c r="F72">
        <v>1.292987012987013E-2</v>
      </c>
      <c r="G72">
        <v>6.6666666666666666E-2</v>
      </c>
      <c r="H72" t="str">
        <v>Maïs grain non irrigué</v>
      </c>
    </row>
    <row r="73" spans="1:8">
      <c r="A73" t="s">
        <v>99</v>
      </c>
      <c r="B73">
        <v>29457.89</v>
      </c>
      <c r="C73">
        <v>318.52999999999997</v>
      </c>
      <c r="D73">
        <v>25.21</v>
      </c>
      <c r="E73">
        <v>25.21</v>
      </c>
      <c r="F73">
        <v>1.081306230690657E-2</v>
      </c>
      <c r="G73">
        <v>1</v>
      </c>
      <c r="H73" t="str">
        <v>Blé tendre d'hiver</v>
      </c>
    </row>
    <row r="74" spans="1:8">
      <c r="A74" t="s">
        <v>866</v>
      </c>
      <c r="B74">
        <v>94137.51</v>
      </c>
      <c r="C74">
        <v>2576</v>
      </c>
      <c r="D74">
        <v>43.78</v>
      </c>
      <c r="E74">
        <v>43.78</v>
      </c>
      <c r="F74">
        <v>2.7364224951350425E-2</v>
      </c>
      <c r="G74">
        <v>1</v>
      </c>
      <c r="H74" t="str">
        <v>Maïs grain non irrigué</v>
      </c>
    </row>
    <row r="75" spans="1:8">
      <c r="A75" t="s">
        <v>866</v>
      </c>
      <c r="B75">
        <v>151742.44</v>
      </c>
      <c r="C75">
        <v>3864</v>
      </c>
      <c r="D75">
        <v>70.569999999999993</v>
      </c>
      <c r="E75">
        <v>70.569999999999993</v>
      </c>
      <c r="F75">
        <v>2.5464201050147867E-2</v>
      </c>
      <c r="G75">
        <v>1</v>
      </c>
      <c r="H75" t="str">
        <v>Maïs grain non irrigué</v>
      </c>
    </row>
    <row r="76" spans="1:8">
      <c r="A76" t="s">
        <v>99</v>
      </c>
      <c r="B76">
        <v>22615.360000000001</v>
      </c>
      <c r="C76">
        <v>8025.16</v>
      </c>
      <c r="D76">
        <v>24.37</v>
      </c>
      <c r="E76">
        <v>24.36</v>
      </c>
      <c r="F76">
        <v>0.35485439984152362</v>
      </c>
      <c r="G76">
        <v>0.99958965941731626</v>
      </c>
      <c r="H76" t="str">
        <v>Blé tendre d'hiver</v>
      </c>
    </row>
    <row r="77" spans="1:8">
      <c r="A77" t="s">
        <v>295</v>
      </c>
      <c r="B77">
        <v>8327.9699999999993</v>
      </c>
      <c r="C77">
        <v>2752.8</v>
      </c>
      <c r="D77">
        <v>12.98</v>
      </c>
      <c r="E77">
        <v>12.98</v>
      </c>
      <c r="F77">
        <v>0.33054874116981692</v>
      </c>
      <c r="G77">
        <v>1</v>
      </c>
      <c r="H77" t="str">
        <v>Avoine d'hiver</v>
      </c>
    </row>
    <row r="78" spans="1:8">
      <c r="A78" t="s">
        <v>183</v>
      </c>
      <c r="B78">
        <v>12567.33</v>
      </c>
      <c r="C78">
        <v>1460.67</v>
      </c>
      <c r="D78">
        <v>12.94</v>
      </c>
      <c r="E78">
        <v>12.94</v>
      </c>
      <c r="F78">
        <v>0.11622755191436845</v>
      </c>
      <c r="G78">
        <v>1</v>
      </c>
      <c r="H78" t="str">
        <v>Orge d'hiver</v>
      </c>
    </row>
    <row r="79" spans="1:8">
      <c r="A79" t="s">
        <v>310</v>
      </c>
      <c r="B79">
        <v>5936</v>
      </c>
      <c r="C79">
        <v>2590.6799999999998</v>
      </c>
      <c r="D79">
        <v>10.6</v>
      </c>
      <c r="E79">
        <v>10.65</v>
      </c>
      <c r="F79">
        <v>0.4364353099730458</v>
      </c>
      <c r="G79">
        <v>1.0047169811320755</v>
      </c>
      <c r="H79" t="str">
        <v>Pois protéagineux</v>
      </c>
    </row>
    <row r="80" spans="1:8">
      <c r="A80" t="s">
        <v>310</v>
      </c>
      <c r="B80">
        <v>9663.2199999999993</v>
      </c>
      <c r="C80">
        <v>2415.81</v>
      </c>
      <c r="D80">
        <v>11.07</v>
      </c>
      <c r="E80">
        <v>11.07</v>
      </c>
      <c r="F80">
        <v>0.25000051742586843</v>
      </c>
      <c r="G80">
        <v>1</v>
      </c>
      <c r="H80" t="str">
        <v>Pois protéagineux</v>
      </c>
    </row>
    <row r="81" spans="1:8">
      <c r="A81" t="s">
        <v>162</v>
      </c>
      <c r="B81">
        <v>4749.01</v>
      </c>
      <c r="C81">
        <v>1187.25</v>
      </c>
      <c r="D81">
        <v>9.48</v>
      </c>
      <c r="E81">
        <v>9.48</v>
      </c>
      <c r="F81">
        <v>0.24999947357449237</v>
      </c>
      <c r="G81">
        <v>1</v>
      </c>
      <c r="H81" t="str">
        <v>Féveroles et fèves</v>
      </c>
    </row>
    <row r="82" spans="1:8">
      <c r="A82" t="s">
        <v>765</v>
      </c>
      <c r="B82">
        <v>39780.61</v>
      </c>
      <c r="C82">
        <v>3355.95</v>
      </c>
      <c r="D82">
        <v>30.6</v>
      </c>
      <c r="E82">
        <v>30.6</v>
      </c>
      <c r="F82">
        <v>8.436145147095532E-2</v>
      </c>
      <c r="G82">
        <v>1</v>
      </c>
      <c r="H82" t="str">
        <v>Tournesol</v>
      </c>
    </row>
    <row r="83" spans="1:8">
      <c r="A83" t="s">
        <v>27</v>
      </c>
      <c r="B83">
        <v>20068.349999999999</v>
      </c>
      <c r="C83">
        <v>1956.61</v>
      </c>
      <c r="D83">
        <v>15</v>
      </c>
      <c r="E83">
        <v>15</v>
      </c>
      <c r="F83">
        <v>9.74973029671099E-2</v>
      </c>
      <c r="G83">
        <v>1</v>
      </c>
      <c r="H83" t="str">
        <v>Colza d'hiver</v>
      </c>
    </row>
    <row r="84" spans="1:8">
      <c r="A84" t="s">
        <v>137</v>
      </c>
      <c r="B84">
        <v>21692</v>
      </c>
      <c r="C84">
        <v>5825.93</v>
      </c>
      <c r="D84">
        <v>22</v>
      </c>
      <c r="E84">
        <v>22</v>
      </c>
      <c r="F84">
        <v>0.26857505070993914</v>
      </c>
      <c r="G84">
        <v>1</v>
      </c>
      <c r="H84" t="str">
        <v>Orge de printemps</v>
      </c>
    </row>
    <row r="85" spans="1:8">
      <c r="A85" t="s">
        <v>99</v>
      </c>
      <c r="B85">
        <v>51986.17</v>
      </c>
      <c r="C85">
        <v>483.45</v>
      </c>
      <c r="D85">
        <v>48.85</v>
      </c>
      <c r="E85">
        <v>48.85</v>
      </c>
      <c r="F85">
        <v>9.2995887175377611E-3</v>
      </c>
      <c r="G85">
        <v>1</v>
      </c>
      <c r="H85" t="str">
        <v>Blé tendre d'hiver</v>
      </c>
    </row>
    <row r="86" spans="1:8">
      <c r="A86" t="s">
        <v>183</v>
      </c>
      <c r="B86">
        <v>21908.58</v>
      </c>
      <c r="C86">
        <v>1400.1</v>
      </c>
      <c r="D86">
        <v>24.43</v>
      </c>
      <c r="E86">
        <v>24.43</v>
      </c>
      <c r="F86">
        <v>6.3906469520160589E-2</v>
      </c>
      <c r="G86">
        <v>1</v>
      </c>
      <c r="H86" t="str">
        <v>Orge d'hiver</v>
      </c>
    </row>
    <row r="87" spans="1:8">
      <c r="A87" t="s">
        <v>27</v>
      </c>
      <c r="B87">
        <v>18391.78</v>
      </c>
      <c r="C87">
        <v>1561.35</v>
      </c>
      <c r="D87">
        <v>14.75</v>
      </c>
      <c r="E87">
        <v>14.75</v>
      </c>
      <c r="F87">
        <v>8.4893903689583064E-2</v>
      </c>
      <c r="G87">
        <v>1</v>
      </c>
      <c r="H87" t="str">
        <v>Colza d'hiver</v>
      </c>
    </row>
    <row r="88" spans="1:8">
      <c r="A88" t="s">
        <v>162</v>
      </c>
      <c r="B88">
        <v>3322.4</v>
      </c>
      <c r="C88">
        <v>156.11000000000001</v>
      </c>
      <c r="D88">
        <v>7.37</v>
      </c>
      <c r="E88">
        <v>7.37</v>
      </c>
      <c r="F88">
        <v>4.6987117746207563E-2</v>
      </c>
      <c r="G88">
        <v>1</v>
      </c>
      <c r="H88" t="str">
        <v>Féveroles et fèves</v>
      </c>
    </row>
    <row r="89" spans="1:8">
      <c r="A89" t="s">
        <v>137</v>
      </c>
      <c r="B89">
        <v>7525.9</v>
      </c>
      <c r="C89">
        <v>1042.5</v>
      </c>
      <c r="D89">
        <v>9.5</v>
      </c>
      <c r="E89">
        <v>9.5</v>
      </c>
      <c r="F89">
        <v>0.13852163860800704</v>
      </c>
      <c r="G89">
        <v>1</v>
      </c>
      <c r="H89" t="str">
        <v>Orge de printemps</v>
      </c>
    </row>
    <row r="90" spans="1:8">
      <c r="A90" t="s">
        <v>99</v>
      </c>
      <c r="B90">
        <v>39156.1</v>
      </c>
      <c r="C90">
        <v>2798.37</v>
      </c>
      <c r="D90">
        <v>31</v>
      </c>
      <c r="E90">
        <v>31</v>
      </c>
      <c r="F90">
        <v>7.1467025572005377E-2</v>
      </c>
      <c r="G90">
        <v>1</v>
      </c>
      <c r="H90" t="str">
        <v>Blé tendre d'hiver</v>
      </c>
    </row>
    <row r="91" spans="1:8">
      <c r="A91" t="s">
        <v>310</v>
      </c>
      <c r="B91">
        <v>8379.5</v>
      </c>
      <c r="C91">
        <v>2123.15</v>
      </c>
      <c r="D91">
        <v>12.24</v>
      </c>
      <c r="E91">
        <v>12.24</v>
      </c>
      <c r="F91">
        <v>0.25337430634286057</v>
      </c>
      <c r="G91">
        <v>1</v>
      </c>
      <c r="H91" t="str">
        <v>Pois protéagineux</v>
      </c>
    </row>
    <row r="92" spans="1:8">
      <c r="A92" t="s">
        <v>183</v>
      </c>
      <c r="B92">
        <v>56324.27</v>
      </c>
      <c r="C92">
        <v>4291.37</v>
      </c>
      <c r="D92">
        <v>67.73</v>
      </c>
      <c r="E92">
        <v>67.73</v>
      </c>
      <c r="F92">
        <v>7.6190423772913532E-2</v>
      </c>
      <c r="G92">
        <v>1</v>
      </c>
      <c r="H92" t="str">
        <v>Orge d'hiver</v>
      </c>
    </row>
    <row r="93" spans="1:8">
      <c r="A93" t="s">
        <v>310</v>
      </c>
      <c r="B93">
        <v>12185.12</v>
      </c>
      <c r="C93">
        <v>5440.37</v>
      </c>
      <c r="D93">
        <v>17.38</v>
      </c>
      <c r="E93">
        <v>17.38</v>
      </c>
      <c r="F93">
        <v>0.44647652218443473</v>
      </c>
      <c r="G93">
        <v>1</v>
      </c>
      <c r="H93" t="str">
        <v>Pois protéagineux</v>
      </c>
    </row>
    <row r="94" spans="1:8">
      <c r="A94" t="s">
        <v>765</v>
      </c>
      <c r="B94">
        <v>18210.400000000001</v>
      </c>
      <c r="C94">
        <v>331.8</v>
      </c>
      <c r="D94">
        <v>26</v>
      </c>
      <c r="E94">
        <v>3</v>
      </c>
      <c r="F94">
        <v>1.822035759785617E-2</v>
      </c>
      <c r="G94">
        <v>0.11538461538461539</v>
      </c>
      <c r="H94" t="str">
        <v>Tournesol</v>
      </c>
    </row>
    <row r="95" spans="1:8">
      <c r="A95" t="s">
        <v>765</v>
      </c>
      <c r="B95">
        <v>22312.400000000001</v>
      </c>
      <c r="C95">
        <v>172.41</v>
      </c>
      <c r="D95">
        <v>22</v>
      </c>
      <c r="E95">
        <v>22</v>
      </c>
      <c r="F95">
        <v>7.7270934547605807E-3</v>
      </c>
      <c r="G95">
        <v>1</v>
      </c>
      <c r="H95" t="str">
        <v>Tournesol</v>
      </c>
    </row>
    <row r="96" spans="1:8">
      <c r="A96" t="s">
        <v>310</v>
      </c>
      <c r="B96">
        <v>8581.86</v>
      </c>
      <c r="C96">
        <v>262.36</v>
      </c>
      <c r="D96">
        <v>8.82</v>
      </c>
      <c r="E96">
        <v>8.82</v>
      </c>
      <c r="F96">
        <v>3.0571461198388227E-2</v>
      </c>
      <c r="G96">
        <v>1</v>
      </c>
      <c r="H96" t="str">
        <v>Pois protéagineux</v>
      </c>
    </row>
    <row r="97" spans="1:8">
      <c r="A97" t="s">
        <v>912</v>
      </c>
      <c r="B97">
        <v>17388.8</v>
      </c>
      <c r="C97">
        <v>813.12</v>
      </c>
      <c r="D97">
        <v>12.8</v>
      </c>
      <c r="E97">
        <v>12.8</v>
      </c>
      <c r="F97">
        <v>4.6761133603238872E-2</v>
      </c>
      <c r="G97">
        <v>1</v>
      </c>
      <c r="H97" t="str">
        <v>Pois secs / Pois Chiches</v>
      </c>
    </row>
    <row r="98" spans="1:8">
      <c r="A98" t="s">
        <v>310</v>
      </c>
      <c r="B98">
        <v>4550.3</v>
      </c>
      <c r="C98">
        <v>220.62</v>
      </c>
      <c r="D98">
        <v>4.96</v>
      </c>
      <c r="E98">
        <v>4.96</v>
      </c>
      <c r="F98">
        <v>4.8484715293497134E-2</v>
      </c>
      <c r="G98">
        <v>1</v>
      </c>
      <c r="H98" t="str">
        <v>Pois protéagineux</v>
      </c>
    </row>
    <row r="99" spans="1:8">
      <c r="A99" t="s">
        <v>183</v>
      </c>
      <c r="B99">
        <v>11776.17</v>
      </c>
      <c r="C99">
        <v>637.07000000000005</v>
      </c>
      <c r="D99">
        <v>11.56</v>
      </c>
      <c r="E99">
        <v>11.56</v>
      </c>
      <c r="F99">
        <v>5.4098233975902188E-2</v>
      </c>
      <c r="G99">
        <v>1</v>
      </c>
      <c r="H99" t="str">
        <v>Orge d'hiver</v>
      </c>
    </row>
    <row r="100" spans="1:8">
      <c r="A100" t="s">
        <v>99</v>
      </c>
      <c r="B100">
        <v>45815</v>
      </c>
      <c r="C100">
        <v>905.25</v>
      </c>
      <c r="D100">
        <v>50</v>
      </c>
      <c r="E100">
        <v>50</v>
      </c>
      <c r="F100">
        <v>1.9758812615955475E-2</v>
      </c>
      <c r="G100">
        <v>1</v>
      </c>
      <c r="H100" t="str">
        <v>Blé tendre d'hiver</v>
      </c>
    </row>
    <row r="101" spans="1:8">
      <c r="A101" t="s">
        <v>163</v>
      </c>
      <c r="B101">
        <v>20825.64</v>
      </c>
      <c r="C101">
        <v>3259.56</v>
      </c>
      <c r="D101">
        <v>34.159999999999997</v>
      </c>
      <c r="E101">
        <v>34.159999999999997</v>
      </c>
      <c r="F101">
        <v>0.15651667847902873</v>
      </c>
      <c r="G101">
        <v>1</v>
      </c>
      <c r="H101" t="str">
        <v>Triticale</v>
      </c>
    </row>
    <row r="102" spans="1:8">
      <c r="A102" t="s">
        <v>765</v>
      </c>
      <c r="B102">
        <v>10710</v>
      </c>
      <c r="C102">
        <v>240</v>
      </c>
      <c r="D102">
        <v>20</v>
      </c>
      <c r="E102">
        <v>20</v>
      </c>
      <c r="F102">
        <v>2.2408963585434174E-2</v>
      </c>
      <c r="G102">
        <v>1</v>
      </c>
      <c r="H102" t="str">
        <v>Tournesol</v>
      </c>
    </row>
    <row r="103" spans="1:8">
      <c r="A103" t="s">
        <v>442</v>
      </c>
      <c r="B103">
        <v>15975</v>
      </c>
      <c r="C103">
        <v>9531.5300000000007</v>
      </c>
      <c r="D103">
        <v>25</v>
      </c>
      <c r="E103">
        <v>25</v>
      </c>
      <c r="F103">
        <v>0.59665289514866982</v>
      </c>
      <c r="G103">
        <v>1</v>
      </c>
      <c r="H103" t="str">
        <v>Lin oléagineux</v>
      </c>
    </row>
    <row r="104" spans="1:8">
      <c r="A104" t="s">
        <v>140</v>
      </c>
      <c r="B104">
        <v>7382.63</v>
      </c>
      <c r="C104">
        <v>806.24</v>
      </c>
      <c r="D104">
        <v>6.18</v>
      </c>
      <c r="E104">
        <v>6.18</v>
      </c>
      <c r="F104">
        <v>0.10920769427697176</v>
      </c>
      <c r="G104">
        <v>1</v>
      </c>
      <c r="H104" t="str">
        <v>Blé dur d'hiver</v>
      </c>
    </row>
    <row r="105" spans="1:8">
      <c r="A105" t="s">
        <v>99</v>
      </c>
      <c r="B105">
        <v>27990.85</v>
      </c>
      <c r="C105">
        <v>2922.6</v>
      </c>
      <c r="D105">
        <v>25.36</v>
      </c>
      <c r="E105">
        <v>25.36</v>
      </c>
      <c r="F105">
        <v>0.10441269200470868</v>
      </c>
      <c r="G105">
        <v>1</v>
      </c>
      <c r="H105" t="str">
        <v>Blé tendre d'hiver</v>
      </c>
    </row>
    <row r="106" spans="1:8">
      <c r="A106" t="s">
        <v>27</v>
      </c>
      <c r="B106">
        <v>25078.81</v>
      </c>
      <c r="C106">
        <v>8105.68</v>
      </c>
      <c r="D106">
        <v>21.56</v>
      </c>
      <c r="E106">
        <v>21.56</v>
      </c>
      <c r="F106">
        <v>0.32320831809802775</v>
      </c>
      <c r="G106">
        <v>1</v>
      </c>
      <c r="H106" t="str">
        <v>Colza d'hiver</v>
      </c>
    </row>
    <row r="107" spans="1:8">
      <c r="A107" t="s">
        <v>27</v>
      </c>
      <c r="B107">
        <v>2973.95</v>
      </c>
      <c r="C107">
        <v>961.21</v>
      </c>
      <c r="D107">
        <v>2.9</v>
      </c>
      <c r="E107">
        <v>2.9</v>
      </c>
      <c r="F107">
        <v>0.32320987239193666</v>
      </c>
      <c r="G107">
        <v>1</v>
      </c>
      <c r="H107" t="str">
        <v>Colza d'hiver</v>
      </c>
    </row>
    <row r="108" spans="1:8">
      <c r="A108" t="s">
        <v>183</v>
      </c>
      <c r="B108">
        <v>3429.45</v>
      </c>
      <c r="C108">
        <v>1013</v>
      </c>
      <c r="D108">
        <v>3.27</v>
      </c>
      <c r="E108">
        <v>3.27</v>
      </c>
      <c r="F108">
        <v>0.29538264153144089</v>
      </c>
      <c r="G108">
        <v>1</v>
      </c>
      <c r="H108" t="str">
        <v>Orge d'hiver</v>
      </c>
    </row>
    <row r="109" spans="1:8">
      <c r="A109" t="s">
        <v>183</v>
      </c>
      <c r="B109">
        <v>8884.85</v>
      </c>
      <c r="C109">
        <v>2924.69</v>
      </c>
      <c r="D109">
        <v>8.5299999999999994</v>
      </c>
      <c r="E109">
        <v>8.5299999999999994</v>
      </c>
      <c r="F109">
        <v>0.32917719488792718</v>
      </c>
      <c r="G109">
        <v>1</v>
      </c>
      <c r="H109" t="str">
        <v>Orge d'hiver</v>
      </c>
    </row>
    <row r="110" spans="1:8">
      <c r="A110" t="s">
        <v>138</v>
      </c>
      <c r="B110">
        <v>13991.04</v>
      </c>
      <c r="C110">
        <v>2128.64</v>
      </c>
      <c r="D110">
        <v>13.88</v>
      </c>
      <c r="E110">
        <v>13.88</v>
      </c>
      <c r="F110">
        <v>0.15214308586066511</v>
      </c>
      <c r="G110">
        <v>1</v>
      </c>
      <c r="H110" t="str">
        <v>Blé de force</v>
      </c>
    </row>
    <row r="111" spans="1:8">
      <c r="A111" t="s">
        <v>27</v>
      </c>
      <c r="B111">
        <v>9950.52</v>
      </c>
      <c r="C111">
        <v>2881.38</v>
      </c>
      <c r="D111">
        <v>8.2100000000000009</v>
      </c>
      <c r="E111">
        <v>8.2100000000000009</v>
      </c>
      <c r="F111">
        <v>0.28957079630009286</v>
      </c>
      <c r="G111">
        <v>1</v>
      </c>
      <c r="H111" t="str">
        <v>Colza d'hiver</v>
      </c>
    </row>
    <row r="112" spans="1:8">
      <c r="A112" t="s">
        <v>99</v>
      </c>
      <c r="B112">
        <v>41507.199999999997</v>
      </c>
      <c r="C112">
        <v>3524.41</v>
      </c>
      <c r="D112">
        <v>34</v>
      </c>
      <c r="E112">
        <v>34</v>
      </c>
      <c r="F112">
        <v>8.4910810654537053E-2</v>
      </c>
      <c r="G112">
        <v>1</v>
      </c>
      <c r="H112" t="str">
        <v>Blé tendre d'hiver</v>
      </c>
    </row>
    <row r="113" spans="1:8">
      <c r="A113" t="s">
        <v>183</v>
      </c>
      <c r="B113">
        <v>7312.45</v>
      </c>
      <c r="C113">
        <v>356.02</v>
      </c>
      <c r="D113">
        <v>7.19</v>
      </c>
      <c r="E113">
        <v>7.19</v>
      </c>
      <c r="F113">
        <v>4.8686828627888055E-2</v>
      </c>
      <c r="G113">
        <v>1</v>
      </c>
      <c r="H113" t="str">
        <v>Orge d'hiver</v>
      </c>
    </row>
    <row r="114" spans="1:8">
      <c r="A114" t="s">
        <v>310</v>
      </c>
      <c r="B114">
        <v>12389.46</v>
      </c>
      <c r="C114">
        <v>607.25</v>
      </c>
      <c r="D114">
        <v>14.66</v>
      </c>
      <c r="E114">
        <v>14.66</v>
      </c>
      <c r="F114">
        <v>4.9013435613820135E-2</v>
      </c>
      <c r="G114">
        <v>1</v>
      </c>
      <c r="H114" t="str">
        <v>Pois protéagineux</v>
      </c>
    </row>
    <row r="115" spans="1:8">
      <c r="A115" t="s">
        <v>99</v>
      </c>
      <c r="B115">
        <v>97053.33</v>
      </c>
      <c r="C115">
        <v>14630.1</v>
      </c>
      <c r="D115">
        <v>12.13</v>
      </c>
      <c r="E115">
        <v>75.900000000000006</v>
      </c>
      <c r="F115">
        <v>0.15074289568425936</v>
      </c>
      <c r="G115">
        <v>6.2572135201978565</v>
      </c>
      <c r="H115" t="str">
        <v>Blé tendre d'hiver</v>
      </c>
    </row>
    <row r="116" spans="1:8">
      <c r="A116" t="s">
        <v>27</v>
      </c>
      <c r="B116">
        <v>24700</v>
      </c>
      <c r="C116">
        <v>197.6</v>
      </c>
      <c r="D116">
        <v>24.7</v>
      </c>
      <c r="E116">
        <v>24.7</v>
      </c>
      <c r="F116">
        <v>8.0000000000000002E-3</v>
      </c>
      <c r="G116">
        <v>1</v>
      </c>
      <c r="H116" t="str">
        <v>Colza d'hiver</v>
      </c>
    </row>
    <row r="117" spans="1:8">
      <c r="A117" t="s">
        <v>183</v>
      </c>
      <c r="B117">
        <v>27672.3</v>
      </c>
      <c r="C117">
        <v>321.60000000000002</v>
      </c>
      <c r="D117">
        <v>27.7</v>
      </c>
      <c r="E117">
        <v>27.7</v>
      </c>
      <c r="F117">
        <v>1.1621730033282381E-2</v>
      </c>
      <c r="G117">
        <v>1</v>
      </c>
      <c r="H117" t="str">
        <v>Orge d'hiver</v>
      </c>
    </row>
    <row r="118" spans="1:8">
      <c r="A118" t="s">
        <v>310</v>
      </c>
      <c r="B118">
        <v>9887.15</v>
      </c>
      <c r="C118">
        <v>4571.8500000000004</v>
      </c>
      <c r="D118">
        <v>9.19</v>
      </c>
      <c r="E118">
        <v>9.19</v>
      </c>
      <c r="F118">
        <v>0.46240322034155451</v>
      </c>
      <c r="G118">
        <v>1</v>
      </c>
      <c r="H118" t="str">
        <v>Pois protéagineux</v>
      </c>
    </row>
    <row r="119" spans="1:8">
      <c r="A119" t="s">
        <v>941</v>
      </c>
      <c r="B119">
        <v>7480.2</v>
      </c>
      <c r="C119">
        <v>788.3</v>
      </c>
      <c r="D119">
        <v>14</v>
      </c>
      <c r="E119">
        <v>14</v>
      </c>
      <c r="F119">
        <v>0.10538488275714553</v>
      </c>
      <c r="G119">
        <v>1</v>
      </c>
      <c r="H119" t="str">
        <v>Avoine de printemps</v>
      </c>
    </row>
    <row r="120" spans="1:8">
      <c r="A120" t="s">
        <v>99</v>
      </c>
      <c r="B120">
        <v>14076</v>
      </c>
      <c r="C120">
        <v>3411.9</v>
      </c>
      <c r="D120">
        <v>18</v>
      </c>
      <c r="E120">
        <v>18</v>
      </c>
      <c r="F120">
        <v>0.2423913043478261</v>
      </c>
      <c r="G120">
        <v>1</v>
      </c>
      <c r="H120" t="str">
        <v>Blé tendre d'hiver</v>
      </c>
    </row>
    <row r="121" spans="1:8">
      <c r="A121" t="s">
        <v>183</v>
      </c>
      <c r="B121">
        <v>13765.5</v>
      </c>
      <c r="C121">
        <v>5111.4799999999996</v>
      </c>
      <c r="D121">
        <v>19</v>
      </c>
      <c r="E121">
        <v>19</v>
      </c>
      <c r="F121">
        <v>0.37132541498674221</v>
      </c>
      <c r="G121">
        <v>1</v>
      </c>
      <c r="H121" t="str">
        <v>Orge d'hiver</v>
      </c>
    </row>
    <row r="122" spans="1:8">
      <c r="A122" t="s">
        <v>137</v>
      </c>
      <c r="B122">
        <v>5155.2</v>
      </c>
      <c r="C122">
        <v>2162.4</v>
      </c>
      <c r="D122">
        <v>6</v>
      </c>
      <c r="E122">
        <v>6</v>
      </c>
      <c r="F122">
        <v>0.41945996275605218</v>
      </c>
      <c r="G122">
        <v>1</v>
      </c>
      <c r="H122" t="str">
        <v>Orge de printemps</v>
      </c>
    </row>
    <row r="123" spans="1:8">
      <c r="A123" t="s">
        <v>163</v>
      </c>
      <c r="B123">
        <v>19172.330000000002</v>
      </c>
      <c r="C123">
        <v>2316.33</v>
      </c>
      <c r="D123">
        <v>28.556000000000001</v>
      </c>
      <c r="E123">
        <v>28.56</v>
      </c>
      <c r="F123">
        <v>0.12081630140937485</v>
      </c>
      <c r="G123">
        <v>1.0001400756408461</v>
      </c>
      <c r="H123" t="str">
        <v>Triticale</v>
      </c>
    </row>
    <row r="124" spans="1:8">
      <c r="A124" t="s">
        <v>183</v>
      </c>
      <c r="B124">
        <v>44119.86</v>
      </c>
      <c r="C124">
        <v>1229.55</v>
      </c>
      <c r="D124">
        <v>48.21</v>
      </c>
      <c r="E124">
        <v>17.59</v>
      </c>
      <c r="F124">
        <v>2.7868402120949612E-2</v>
      </c>
      <c r="G124">
        <v>0.36486206181290187</v>
      </c>
      <c r="H124" t="str">
        <v>Orge d'hiver</v>
      </c>
    </row>
    <row r="125" spans="1:8">
      <c r="A125" t="s">
        <v>765</v>
      </c>
      <c r="B125">
        <v>11014.97</v>
      </c>
      <c r="C125">
        <v>55.74</v>
      </c>
      <c r="D125">
        <v>9.91</v>
      </c>
      <c r="E125">
        <v>9.91</v>
      </c>
      <c r="F125">
        <v>5.0603860019591525E-3</v>
      </c>
      <c r="G125">
        <v>1</v>
      </c>
      <c r="H125" t="str">
        <v>Tournesol</v>
      </c>
    </row>
    <row r="126" spans="1:8">
      <c r="A126" t="s">
        <v>295</v>
      </c>
      <c r="B126">
        <v>4654.07</v>
      </c>
      <c r="C126">
        <v>474.67</v>
      </c>
      <c r="D126">
        <v>8.24</v>
      </c>
      <c r="E126">
        <v>8.23</v>
      </c>
      <c r="F126">
        <v>0.10199030096238347</v>
      </c>
      <c r="G126">
        <v>0.99878640776699035</v>
      </c>
      <c r="H126" t="str">
        <v>Avoine d'hiver</v>
      </c>
    </row>
    <row r="127" spans="1:8">
      <c r="A127" t="s">
        <v>163</v>
      </c>
      <c r="B127">
        <v>7130.45</v>
      </c>
      <c r="C127">
        <v>224.99</v>
      </c>
      <c r="D127">
        <v>8.6999999999999993</v>
      </c>
      <c r="E127">
        <v>8.7899999999999991</v>
      </c>
      <c r="F127">
        <v>3.1553408270165277E-2</v>
      </c>
      <c r="G127">
        <v>1.0103448275862068</v>
      </c>
      <c r="H127" t="str">
        <v>Triticale</v>
      </c>
    </row>
    <row r="128" spans="1:8">
      <c r="A128" t="s">
        <v>99</v>
      </c>
      <c r="B128">
        <v>12502.68</v>
      </c>
      <c r="C128">
        <v>843.47</v>
      </c>
      <c r="D128">
        <v>11.66</v>
      </c>
      <c r="E128">
        <v>11.77</v>
      </c>
      <c r="F128">
        <v>6.746313590366225E-2</v>
      </c>
      <c r="G128">
        <v>1.0094339622641508</v>
      </c>
      <c r="H128" t="str">
        <v>Blé tendre d'hiver</v>
      </c>
    </row>
    <row r="129" spans="1:8">
      <c r="A129" t="s">
        <v>183</v>
      </c>
      <c r="B129">
        <v>13397.06</v>
      </c>
      <c r="C129">
        <v>543.29999999999995</v>
      </c>
      <c r="D129">
        <v>14.07</v>
      </c>
      <c r="E129">
        <v>14.12</v>
      </c>
      <c r="F129">
        <v>4.0553673716472123E-2</v>
      </c>
      <c r="G129">
        <v>1.0035536602700781</v>
      </c>
      <c r="H129" t="str">
        <v>Orge d'hiver</v>
      </c>
    </row>
    <row r="130" spans="1:8">
      <c r="A130" t="s">
        <v>310</v>
      </c>
      <c r="B130">
        <v>10303.200000000001</v>
      </c>
      <c r="C130">
        <v>4121.28</v>
      </c>
      <c r="D130">
        <v>14.25</v>
      </c>
      <c r="E130">
        <v>14.31</v>
      </c>
      <c r="F130">
        <v>0.39999999999999997</v>
      </c>
      <c r="G130">
        <v>1.0042105263157894</v>
      </c>
      <c r="H130" t="str">
        <v>Pois protéagineux</v>
      </c>
    </row>
    <row r="131" spans="1:8">
      <c r="A131" t="s">
        <v>163</v>
      </c>
      <c r="B131">
        <v>19622.740000000002</v>
      </c>
      <c r="C131">
        <v>3377.29</v>
      </c>
      <c r="D131">
        <v>24.72</v>
      </c>
      <c r="E131">
        <v>24.72</v>
      </c>
      <c r="F131">
        <v>0.17211103036578987</v>
      </c>
      <c r="G131">
        <v>1</v>
      </c>
      <c r="H131" t="str">
        <v>Triticale</v>
      </c>
    </row>
    <row r="132" spans="1:8">
      <c r="A132" t="s">
        <v>99</v>
      </c>
      <c r="B132">
        <v>87282</v>
      </c>
      <c r="C132">
        <v>7920.66</v>
      </c>
      <c r="D132">
        <v>89.52</v>
      </c>
      <c r="E132">
        <v>89.52</v>
      </c>
      <c r="F132">
        <v>9.0747920533443313E-2</v>
      </c>
      <c r="G132">
        <v>1</v>
      </c>
      <c r="H132" t="str">
        <v>Blé tendre d'hiver</v>
      </c>
    </row>
    <row r="133" spans="1:8">
      <c r="A133" t="s">
        <v>27</v>
      </c>
      <c r="B133">
        <v>17337.599999999999</v>
      </c>
      <c r="C133">
        <v>1582.63</v>
      </c>
      <c r="D133">
        <v>20.64</v>
      </c>
      <c r="E133">
        <v>20.64</v>
      </c>
      <c r="F133">
        <v>9.128310723514213E-2</v>
      </c>
      <c r="G133">
        <v>1</v>
      </c>
      <c r="H133" t="str">
        <v>Colza d'hiver</v>
      </c>
    </row>
    <row r="134" spans="1:8">
      <c r="A134" t="s">
        <v>99</v>
      </c>
      <c r="B134">
        <v>30784.799999999999</v>
      </c>
      <c r="C134">
        <v>2463.58</v>
      </c>
      <c r="D134">
        <v>23.08</v>
      </c>
      <c r="E134">
        <v>23.08</v>
      </c>
      <c r="F134">
        <v>8.0025856916400295E-2</v>
      </c>
      <c r="G134">
        <v>1</v>
      </c>
      <c r="H134" t="str">
        <v>Blé tendre d'hiver</v>
      </c>
    </row>
    <row r="135" spans="1:8">
      <c r="A135" t="s">
        <v>765</v>
      </c>
      <c r="B135">
        <v>13615.68</v>
      </c>
      <c r="C135">
        <v>1523.91</v>
      </c>
      <c r="D135">
        <v>10.91</v>
      </c>
      <c r="E135">
        <v>10.91</v>
      </c>
      <c r="F135">
        <v>0.11192316505675809</v>
      </c>
      <c r="G135">
        <v>1</v>
      </c>
      <c r="H135" t="str">
        <v>Tournesol</v>
      </c>
    </row>
    <row r="136" spans="1:8">
      <c r="A136" t="s">
        <v>183</v>
      </c>
      <c r="B136">
        <v>10878.34</v>
      </c>
      <c r="C136">
        <v>1059.74</v>
      </c>
      <c r="D136">
        <v>10.64</v>
      </c>
      <c r="E136">
        <v>10.64</v>
      </c>
      <c r="F136">
        <v>9.7417436851578457E-2</v>
      </c>
      <c r="G136">
        <v>1</v>
      </c>
      <c r="H136" t="str">
        <v>Orge d'hiver</v>
      </c>
    </row>
    <row r="137" spans="1:8">
      <c r="A137" t="s">
        <v>765</v>
      </c>
      <c r="B137">
        <v>19481</v>
      </c>
      <c r="C137">
        <v>6856.16</v>
      </c>
      <c r="D137">
        <v>14</v>
      </c>
      <c r="E137">
        <v>14</v>
      </c>
      <c r="F137">
        <v>0.351940865458652</v>
      </c>
      <c r="G137">
        <v>1</v>
      </c>
      <c r="H137" t="str">
        <v>Tournesol</v>
      </c>
    </row>
    <row r="138" spans="1:8">
      <c r="A138" t="s">
        <v>99</v>
      </c>
      <c r="B138">
        <v>49285.57</v>
      </c>
      <c r="C138">
        <v>16256.22</v>
      </c>
      <c r="D138">
        <v>42.44</v>
      </c>
      <c r="E138">
        <v>42.44</v>
      </c>
      <c r="F138">
        <v>0.32983731343677264</v>
      </c>
      <c r="G138">
        <v>1</v>
      </c>
      <c r="H138" t="str">
        <v>Blé tendre d'hiver</v>
      </c>
    </row>
    <row r="139" spans="1:8">
      <c r="A139" t="s">
        <v>183</v>
      </c>
      <c r="B139">
        <v>14697.21</v>
      </c>
      <c r="C139">
        <v>5671.97</v>
      </c>
      <c r="D139">
        <v>14.49</v>
      </c>
      <c r="E139">
        <v>14.49</v>
      </c>
      <c r="F139">
        <v>0.38592154565390308</v>
      </c>
      <c r="G139">
        <v>1</v>
      </c>
      <c r="H139" t="str">
        <v>Orge d'hiver</v>
      </c>
    </row>
    <row r="140" spans="1:8">
      <c r="A140" t="s">
        <v>765</v>
      </c>
      <c r="B140">
        <v>38176.86</v>
      </c>
      <c r="C140">
        <v>10359.89</v>
      </c>
      <c r="D140">
        <v>28.03</v>
      </c>
      <c r="E140">
        <v>28.03</v>
      </c>
      <c r="F140">
        <v>0.27136569115427511</v>
      </c>
      <c r="G140">
        <v>1</v>
      </c>
      <c r="H140" t="str">
        <v>Tournesol</v>
      </c>
    </row>
    <row r="141" spans="1:8">
      <c r="A141" t="s">
        <v>99</v>
      </c>
      <c r="B141">
        <v>58039.12</v>
      </c>
      <c r="C141">
        <v>8198.9599999999991</v>
      </c>
      <c r="D141">
        <v>35.380000000000003</v>
      </c>
      <c r="E141">
        <v>35.380000000000003</v>
      </c>
      <c r="F141">
        <v>0.14126609776302601</v>
      </c>
      <c r="G141">
        <v>1</v>
      </c>
      <c r="H141" t="str">
        <v>Blé tendre d'hiver</v>
      </c>
    </row>
    <row r="142" spans="1:8">
      <c r="A142" t="s">
        <v>183</v>
      </c>
      <c r="B142">
        <v>24805.24</v>
      </c>
      <c r="C142">
        <v>907.59</v>
      </c>
      <c r="D142">
        <v>17.059999999999999</v>
      </c>
      <c r="E142">
        <v>17.059999999999999</v>
      </c>
      <c r="F142">
        <v>3.6588640142163509E-2</v>
      </c>
      <c r="G142">
        <v>1</v>
      </c>
      <c r="H142" t="str">
        <v>Orge d'hiver</v>
      </c>
    </row>
    <row r="143" spans="1:8">
      <c r="A143" t="s">
        <v>310</v>
      </c>
      <c r="B143">
        <v>5727.12</v>
      </c>
      <c r="C143">
        <v>1799.6</v>
      </c>
      <c r="D143">
        <v>4.82</v>
      </c>
      <c r="E143">
        <v>4.82</v>
      </c>
      <c r="F143">
        <v>0.31422425232926843</v>
      </c>
      <c r="G143">
        <v>1</v>
      </c>
      <c r="H143" t="str">
        <v>Pois protéagineux</v>
      </c>
    </row>
    <row r="144" spans="1:8">
      <c r="A144" t="s">
        <v>765</v>
      </c>
      <c r="B144">
        <v>12482.68</v>
      </c>
      <c r="C144">
        <v>1285.03</v>
      </c>
      <c r="D144">
        <v>9.2100000000000009</v>
      </c>
      <c r="E144">
        <v>2</v>
      </c>
      <c r="F144">
        <v>0.10294504064832231</v>
      </c>
      <c r="G144">
        <v>0.21715526601520085</v>
      </c>
      <c r="H144" t="str">
        <v>Tournesol</v>
      </c>
    </row>
    <row r="145" spans="1:8">
      <c r="A145" t="s">
        <v>866</v>
      </c>
      <c r="B145">
        <v>9981.74</v>
      </c>
      <c r="C145">
        <v>1267.3900000000001</v>
      </c>
      <c r="D145">
        <v>7.67</v>
      </c>
      <c r="E145">
        <v>7.23</v>
      </c>
      <c r="F145">
        <v>0.12697084876985376</v>
      </c>
      <c r="G145">
        <v>0.94263363754889185</v>
      </c>
      <c r="H145" t="str">
        <v>Maïs grain non irrigué</v>
      </c>
    </row>
    <row r="146" spans="1:8">
      <c r="A146" t="s">
        <v>99</v>
      </c>
      <c r="B146">
        <v>84726.399999999994</v>
      </c>
      <c r="C146">
        <v>3079.37</v>
      </c>
      <c r="D146">
        <v>73.040000000000006</v>
      </c>
      <c r="E146">
        <v>73.040000000000006</v>
      </c>
      <c r="F146">
        <v>3.6344870075914949E-2</v>
      </c>
      <c r="G146">
        <v>1</v>
      </c>
      <c r="H146" t="str">
        <v>Blé tendre d'hiver</v>
      </c>
    </row>
    <row r="147" spans="1:8">
      <c r="A147" t="s">
        <v>140</v>
      </c>
      <c r="B147">
        <v>9438.86</v>
      </c>
      <c r="C147">
        <v>2061.39</v>
      </c>
      <c r="D147">
        <v>7.41</v>
      </c>
      <c r="E147">
        <v>7.41</v>
      </c>
      <c r="F147">
        <v>0.21839395859245711</v>
      </c>
      <c r="G147">
        <v>1</v>
      </c>
      <c r="H147" t="str">
        <v>Blé dur d'hiver</v>
      </c>
    </row>
    <row r="148" spans="1:8">
      <c r="A148" t="s">
        <v>310</v>
      </c>
      <c r="B148">
        <v>6141.96</v>
      </c>
      <c r="C148">
        <v>2513.4699999999998</v>
      </c>
      <c r="D148">
        <v>8.4600000000000009</v>
      </c>
      <c r="E148">
        <v>8.4600000000000009</v>
      </c>
      <c r="F148">
        <v>0.40922930139564567</v>
      </c>
      <c r="G148">
        <v>1</v>
      </c>
      <c r="H148" t="str">
        <v>Pois protéagineux</v>
      </c>
    </row>
    <row r="149" spans="1:8">
      <c r="A149" t="s">
        <v>27</v>
      </c>
      <c r="B149">
        <v>18564.349999999999</v>
      </c>
      <c r="C149">
        <v>4772.83</v>
      </c>
      <c r="D149">
        <v>17.11</v>
      </c>
      <c r="E149">
        <v>17.11</v>
      </c>
      <c r="F149">
        <v>0.25709653179346437</v>
      </c>
      <c r="G149">
        <v>1</v>
      </c>
      <c r="H149" t="str">
        <v>Colza d'hiver</v>
      </c>
    </row>
    <row r="150" spans="1:8">
      <c r="A150" t="s">
        <v>99</v>
      </c>
      <c r="B150">
        <v>13991.6</v>
      </c>
      <c r="C150">
        <v>525.26</v>
      </c>
      <c r="D150">
        <v>13.3</v>
      </c>
      <c r="E150">
        <v>13.3</v>
      </c>
      <c r="F150">
        <v>3.7541096086223164E-2</v>
      </c>
      <c r="G150">
        <v>1</v>
      </c>
      <c r="H150" t="str">
        <v>Blé tendre d'hiver</v>
      </c>
    </row>
    <row r="151" spans="1:8">
      <c r="A151" t="s">
        <v>99</v>
      </c>
      <c r="B151">
        <v>23512.01</v>
      </c>
      <c r="C151">
        <v>2956.48</v>
      </c>
      <c r="D151">
        <v>22.3</v>
      </c>
      <c r="E151">
        <v>22.3</v>
      </c>
      <c r="F151">
        <v>0.12574339667259415</v>
      </c>
      <c r="G151">
        <v>1</v>
      </c>
      <c r="H151" t="str">
        <v>Blé tendre d'hiver</v>
      </c>
    </row>
    <row r="152" spans="1:8">
      <c r="A152" t="s">
        <v>183</v>
      </c>
      <c r="B152">
        <v>10880.19</v>
      </c>
      <c r="C152">
        <v>1807.26</v>
      </c>
      <c r="D152">
        <v>10.62</v>
      </c>
      <c r="E152">
        <v>10.62</v>
      </c>
      <c r="F152">
        <v>0.16610555514195982</v>
      </c>
      <c r="G152">
        <v>1</v>
      </c>
      <c r="H152" t="str">
        <v>Orge d'hiver</v>
      </c>
    </row>
    <row r="153" spans="1:8">
      <c r="A153" t="s">
        <v>765</v>
      </c>
      <c r="B153">
        <v>22128</v>
      </c>
      <c r="C153">
        <v>1073</v>
      </c>
      <c r="D153">
        <v>27.66</v>
      </c>
      <c r="E153">
        <v>11.87</v>
      </c>
      <c r="F153">
        <v>4.8490600144613157E-2</v>
      </c>
      <c r="G153">
        <v>0.42913955169920459</v>
      </c>
      <c r="H153" t="str">
        <v>Tournesol</v>
      </c>
    </row>
    <row r="154" spans="1:8">
      <c r="A154" t="s">
        <v>310</v>
      </c>
      <c r="B154">
        <v>3786.92</v>
      </c>
      <c r="C154">
        <v>900.41</v>
      </c>
      <c r="D154">
        <v>4.9000000000000004</v>
      </c>
      <c r="E154">
        <v>4.9000000000000004</v>
      </c>
      <c r="F154">
        <v>0.23776842394346856</v>
      </c>
      <c r="G154">
        <v>1</v>
      </c>
      <c r="H154" t="str">
        <v>Pois protéagineux</v>
      </c>
    </row>
    <row r="155" spans="1:8">
      <c r="A155" t="s">
        <v>550</v>
      </c>
      <c r="B155">
        <v>2119.92</v>
      </c>
      <c r="C155">
        <v>1075.3800000000001</v>
      </c>
      <c r="D155">
        <v>3.65</v>
      </c>
      <c r="E155">
        <v>3.65</v>
      </c>
      <c r="F155">
        <v>0.5072738593909204</v>
      </c>
      <c r="G155">
        <v>1</v>
      </c>
      <c r="H155" t="str">
        <v>Lentilles</v>
      </c>
    </row>
    <row r="156" spans="1:8">
      <c r="A156" t="s">
        <v>310</v>
      </c>
      <c r="B156">
        <v>7338.32</v>
      </c>
      <c r="C156">
        <v>127.47</v>
      </c>
      <c r="D156">
        <v>10.76</v>
      </c>
      <c r="E156">
        <v>10.76</v>
      </c>
      <c r="F156">
        <v>1.7370460813919263E-2</v>
      </c>
      <c r="G156">
        <v>1</v>
      </c>
      <c r="H156" t="str">
        <v>Pois protéagineux</v>
      </c>
    </row>
    <row r="157" spans="1:8">
      <c r="A157" t="s">
        <v>765</v>
      </c>
      <c r="B157">
        <v>19187.87</v>
      </c>
      <c r="C157">
        <v>16769.66</v>
      </c>
      <c r="D157">
        <v>28.69</v>
      </c>
      <c r="E157">
        <v>28.69</v>
      </c>
      <c r="F157">
        <v>0.87397194164855196</v>
      </c>
      <c r="G157">
        <v>1</v>
      </c>
      <c r="H157" t="str">
        <v>Tournesol</v>
      </c>
    </row>
    <row r="158" spans="1:8">
      <c r="A158" t="s">
        <v>866</v>
      </c>
      <c r="B158">
        <v>1654.38</v>
      </c>
      <c r="C158">
        <v>963.61</v>
      </c>
      <c r="D158">
        <v>1.3</v>
      </c>
      <c r="E158">
        <v>1.3</v>
      </c>
      <c r="F158">
        <v>0.58245989434108247</v>
      </c>
      <c r="G158">
        <v>1</v>
      </c>
      <c r="H158" t="str">
        <v>Maïs grain non irrigué</v>
      </c>
    </row>
    <row r="159" spans="1:8">
      <c r="A159" t="s">
        <v>99</v>
      </c>
      <c r="B159">
        <v>41443.08</v>
      </c>
      <c r="C159">
        <v>4608.32</v>
      </c>
      <c r="D159">
        <v>37.39</v>
      </c>
      <c r="E159">
        <v>37.39</v>
      </c>
      <c r="F159">
        <v>0.11119636860966896</v>
      </c>
      <c r="G159">
        <v>1</v>
      </c>
      <c r="H159" t="str">
        <v>Blé tendre d'hiver</v>
      </c>
    </row>
    <row r="160" spans="1:8">
      <c r="A160" t="s">
        <v>765</v>
      </c>
      <c r="B160">
        <v>17127.18</v>
      </c>
      <c r="C160">
        <v>4207.8999999999996</v>
      </c>
      <c r="D160">
        <v>24.84</v>
      </c>
      <c r="E160">
        <v>24.84</v>
      </c>
      <c r="F160">
        <v>0.24568551273472922</v>
      </c>
      <c r="G160">
        <v>1</v>
      </c>
      <c r="H160" t="str">
        <v>Tournesol</v>
      </c>
    </row>
    <row r="161" spans="1:8">
      <c r="A161" t="s">
        <v>27</v>
      </c>
      <c r="B161">
        <v>19454.54</v>
      </c>
      <c r="C161">
        <v>1680.72</v>
      </c>
      <c r="D161">
        <v>17.59</v>
      </c>
      <c r="E161">
        <v>17.59</v>
      </c>
      <c r="F161">
        <v>8.6392173754815074E-2</v>
      </c>
      <c r="G161">
        <v>1</v>
      </c>
      <c r="H161" t="str">
        <v>Colza d'hiver</v>
      </c>
    </row>
    <row r="162" spans="1:8">
      <c r="A162" t="s">
        <v>866</v>
      </c>
      <c r="B162">
        <v>46112</v>
      </c>
      <c r="C162">
        <v>266</v>
      </c>
      <c r="D162">
        <v>20.96</v>
      </c>
      <c r="E162">
        <v>20.96</v>
      </c>
      <c r="F162">
        <v>5.768563497571131E-3</v>
      </c>
      <c r="G162">
        <v>1</v>
      </c>
      <c r="H162" t="str">
        <v>Maïs grain non irrigué</v>
      </c>
    </row>
    <row r="163" spans="1:8">
      <c r="A163" t="s">
        <v>99</v>
      </c>
      <c r="B163">
        <v>37977.120000000003</v>
      </c>
      <c r="C163">
        <v>1853.73</v>
      </c>
      <c r="D163">
        <v>40.840000000000003</v>
      </c>
      <c r="E163">
        <v>40.840000000000003</v>
      </c>
      <c r="F163">
        <v>4.8811758237591471E-2</v>
      </c>
      <c r="G163">
        <v>1</v>
      </c>
      <c r="H163" t="str">
        <v>Blé tendre d'hiver</v>
      </c>
    </row>
    <row r="164" spans="1:8">
      <c r="A164" t="s">
        <v>99</v>
      </c>
      <c r="B164">
        <v>64278.77</v>
      </c>
      <c r="C164">
        <v>7072.11</v>
      </c>
      <c r="D164">
        <v>42.58</v>
      </c>
      <c r="E164">
        <v>42.58</v>
      </c>
      <c r="F164">
        <v>0.11002248487331043</v>
      </c>
      <c r="G164">
        <v>1</v>
      </c>
      <c r="H164" t="str">
        <v>Blé tendre d'hiver</v>
      </c>
    </row>
    <row r="165" spans="1:8">
      <c r="A165" t="s">
        <v>183</v>
      </c>
      <c r="B165">
        <v>22535.24</v>
      </c>
      <c r="C165">
        <v>3693.69</v>
      </c>
      <c r="D165">
        <v>22.96</v>
      </c>
      <c r="E165">
        <v>22.96</v>
      </c>
      <c r="F165">
        <v>0.16390728476821192</v>
      </c>
      <c r="G165">
        <v>1</v>
      </c>
      <c r="H165" t="str">
        <v>Orge d'hiver</v>
      </c>
    </row>
    <row r="166" spans="1:8">
      <c r="A166" t="s">
        <v>99</v>
      </c>
      <c r="B166">
        <v>25500</v>
      </c>
      <c r="C166">
        <v>667.25</v>
      </c>
      <c r="D166">
        <v>25</v>
      </c>
      <c r="E166">
        <v>25</v>
      </c>
      <c r="F166">
        <v>2.6166666666666668E-2</v>
      </c>
      <c r="G166">
        <v>1</v>
      </c>
      <c r="H166" t="str">
        <v>Blé tendre d'hiver</v>
      </c>
    </row>
    <row r="167" spans="1:8">
      <c r="A167" t="s">
        <v>866</v>
      </c>
      <c r="B167">
        <v>17139.900000000001</v>
      </c>
      <c r="C167">
        <v>2813.99</v>
      </c>
      <c r="D167">
        <v>18.43</v>
      </c>
      <c r="E167">
        <v>18.43</v>
      </c>
      <c r="F167">
        <v>0.16417773732635543</v>
      </c>
      <c r="G167">
        <v>1</v>
      </c>
      <c r="H167" t="str">
        <v>Maïs grain non irrigué</v>
      </c>
    </row>
    <row r="168" spans="1:8">
      <c r="A168" t="s">
        <v>765</v>
      </c>
      <c r="B168">
        <v>12400</v>
      </c>
      <c r="C168">
        <v>3038.88</v>
      </c>
      <c r="D168">
        <v>12.4</v>
      </c>
      <c r="E168">
        <v>12.4</v>
      </c>
      <c r="F168">
        <v>0.24507096774193549</v>
      </c>
      <c r="G168">
        <v>1</v>
      </c>
      <c r="H168" t="str">
        <v>Tournesol</v>
      </c>
    </row>
    <row r="169" spans="1:8">
      <c r="A169" t="s">
        <v>183</v>
      </c>
      <c r="B169">
        <v>19094.400000000001</v>
      </c>
      <c r="C169">
        <v>2911.83</v>
      </c>
      <c r="D169">
        <v>19.5</v>
      </c>
      <c r="E169">
        <v>19.5</v>
      </c>
      <c r="F169">
        <v>0.15249654348919053</v>
      </c>
      <c r="G169">
        <v>1</v>
      </c>
      <c r="H169" t="str">
        <v>Orge d'hiver</v>
      </c>
    </row>
    <row r="170" spans="1:8">
      <c r="A170" t="s">
        <v>765</v>
      </c>
      <c r="B170">
        <v>42212.73</v>
      </c>
      <c r="C170">
        <v>21528.49</v>
      </c>
      <c r="D170">
        <v>30.64</v>
      </c>
      <c r="E170">
        <v>30.64</v>
      </c>
      <c r="F170">
        <v>0.50999994551406647</v>
      </c>
      <c r="G170">
        <v>1</v>
      </c>
      <c r="H170" t="str">
        <v>Tournesol</v>
      </c>
    </row>
    <row r="171" spans="1:8">
      <c r="A171" t="s">
        <v>765</v>
      </c>
      <c r="B171">
        <v>49625.67</v>
      </c>
      <c r="C171">
        <v>1204</v>
      </c>
      <c r="D171">
        <v>35.49</v>
      </c>
      <c r="E171">
        <v>35.49</v>
      </c>
      <c r="F171">
        <v>2.426163717285832E-2</v>
      </c>
      <c r="G171">
        <v>1</v>
      </c>
      <c r="H171" t="str">
        <v>Tournesol</v>
      </c>
    </row>
    <row r="172" spans="1:8">
      <c r="A172" t="s">
        <v>137</v>
      </c>
      <c r="B172">
        <v>57410.400000000001</v>
      </c>
      <c r="C172">
        <v>9920.92</v>
      </c>
      <c r="D172">
        <v>50.36</v>
      </c>
      <c r="E172">
        <v>50.36</v>
      </c>
      <c r="F172">
        <v>0.17280701754385966</v>
      </c>
      <c r="G172">
        <v>1</v>
      </c>
      <c r="H172" t="str">
        <v>Orge de printemps</v>
      </c>
    </row>
    <row r="173" spans="1:8">
      <c r="A173" t="s">
        <v>99</v>
      </c>
      <c r="B173">
        <v>56635.199999999997</v>
      </c>
      <c r="C173">
        <v>6230.37</v>
      </c>
      <c r="D173">
        <v>42.75</v>
      </c>
      <c r="E173">
        <v>42.75</v>
      </c>
      <c r="F173">
        <v>0.11000879311806086</v>
      </c>
      <c r="G173">
        <v>1</v>
      </c>
      <c r="H173" t="str">
        <v>Blé tendre d'hiver</v>
      </c>
    </row>
    <row r="174" spans="1:8">
      <c r="A174" t="s">
        <v>183</v>
      </c>
      <c r="B174">
        <v>19928.5</v>
      </c>
      <c r="C174">
        <v>706.34</v>
      </c>
      <c r="D174">
        <v>18.13</v>
      </c>
      <c r="E174">
        <v>18.13</v>
      </c>
      <c r="F174">
        <v>3.5443711267782327E-2</v>
      </c>
      <c r="G174">
        <v>1</v>
      </c>
      <c r="H174" t="str">
        <v>Orge d'hiver</v>
      </c>
    </row>
    <row r="175" spans="1:8">
      <c r="A175" t="s">
        <v>27</v>
      </c>
      <c r="B175">
        <v>27047.4</v>
      </c>
      <c r="C175">
        <v>4216.84</v>
      </c>
      <c r="D175">
        <v>14.78</v>
      </c>
      <c r="E175">
        <v>14.77</v>
      </c>
      <c r="F175">
        <v>0.15590555839008555</v>
      </c>
      <c r="G175">
        <v>0.99932341001353187</v>
      </c>
      <c r="H175" t="str">
        <v>Colza d'hiver</v>
      </c>
    </row>
    <row r="176" spans="1:8">
      <c r="A176" t="s">
        <v>898</v>
      </c>
      <c r="B176">
        <v>10721.53</v>
      </c>
      <c r="C176">
        <v>2908.94</v>
      </c>
      <c r="D176">
        <v>10.07</v>
      </c>
      <c r="E176">
        <v>10.07</v>
      </c>
      <c r="F176">
        <v>0.27131761978001273</v>
      </c>
      <c r="G176">
        <v>1</v>
      </c>
      <c r="H176" t="str">
        <v>Maïs ensilage non irrigué</v>
      </c>
    </row>
    <row r="177" spans="1:8">
      <c r="A177" t="s">
        <v>866</v>
      </c>
      <c r="B177">
        <v>32618.61</v>
      </c>
      <c r="C177">
        <v>11646.58</v>
      </c>
      <c r="D177">
        <v>35.54</v>
      </c>
      <c r="E177">
        <v>35.54</v>
      </c>
      <c r="F177">
        <v>0.35705322820316376</v>
      </c>
      <c r="G177">
        <v>1</v>
      </c>
      <c r="H177" t="str">
        <v>Maïs grain non irrigué</v>
      </c>
    </row>
    <row r="178" spans="1:8">
      <c r="A178" t="s">
        <v>310</v>
      </c>
      <c r="B178">
        <v>7911.33</v>
      </c>
      <c r="C178">
        <v>2161.42</v>
      </c>
      <c r="D178">
        <v>7.07</v>
      </c>
      <c r="E178">
        <v>7.07</v>
      </c>
      <c r="F178">
        <v>0.27320564304611233</v>
      </c>
      <c r="G178">
        <v>1</v>
      </c>
      <c r="H178" t="str">
        <v>Pois protéagineux</v>
      </c>
    </row>
    <row r="179" spans="1:8">
      <c r="A179" t="s">
        <v>310</v>
      </c>
      <c r="B179">
        <v>8603.1</v>
      </c>
      <c r="C179">
        <v>1353.27</v>
      </c>
      <c r="D179">
        <v>11.85</v>
      </c>
      <c r="E179">
        <v>11.85</v>
      </c>
      <c r="F179">
        <v>0.15730027548209366</v>
      </c>
      <c r="G179">
        <v>1</v>
      </c>
      <c r="H179" t="str">
        <v>Pois protéagineux</v>
      </c>
    </row>
    <row r="180" spans="1:8">
      <c r="A180" t="s">
        <v>765</v>
      </c>
      <c r="B180">
        <v>24880.91</v>
      </c>
      <c r="C180">
        <v>4484.97</v>
      </c>
      <c r="D180">
        <v>23.73</v>
      </c>
      <c r="E180">
        <v>23.73</v>
      </c>
      <c r="F180">
        <v>0.18025747450555468</v>
      </c>
      <c r="G180">
        <v>1</v>
      </c>
      <c r="H180" t="str">
        <v>Tournesol</v>
      </c>
    </row>
    <row r="181" spans="1:8">
      <c r="A181" t="s">
        <v>140</v>
      </c>
      <c r="B181">
        <v>16560</v>
      </c>
      <c r="C181">
        <v>282.72000000000003</v>
      </c>
      <c r="D181">
        <v>12</v>
      </c>
      <c r="E181">
        <v>12</v>
      </c>
      <c r="F181">
        <v>1.7072463768115945E-2</v>
      </c>
      <c r="G181">
        <v>1</v>
      </c>
      <c r="H181" t="str">
        <v>Blé dur d'hiver</v>
      </c>
    </row>
    <row r="182" spans="1:8">
      <c r="A182" t="s">
        <v>295</v>
      </c>
      <c r="B182">
        <v>3600</v>
      </c>
      <c r="C182">
        <v>1509</v>
      </c>
      <c r="D182">
        <v>6</v>
      </c>
      <c r="E182">
        <v>6</v>
      </c>
      <c r="F182">
        <v>0.41916666666666669</v>
      </c>
      <c r="G182">
        <v>1</v>
      </c>
      <c r="H182" t="str">
        <v>Avoine d'hiver</v>
      </c>
    </row>
    <row r="183" spans="1:8">
      <c r="A183" t="s">
        <v>207</v>
      </c>
      <c r="B183">
        <v>2729.76</v>
      </c>
      <c r="C183">
        <v>557.57000000000005</v>
      </c>
      <c r="D183">
        <v>3.52</v>
      </c>
      <c r="E183">
        <v>3.52</v>
      </c>
      <c r="F183">
        <v>0.20425605181407888</v>
      </c>
      <c r="G183">
        <v>1</v>
      </c>
      <c r="H183" t="str">
        <v>Seigle et méteil</v>
      </c>
    </row>
    <row r="184" spans="1:8">
      <c r="A184" t="s">
        <v>140</v>
      </c>
      <c r="B184">
        <v>8461.58</v>
      </c>
      <c r="C184">
        <v>1318.49</v>
      </c>
      <c r="D184">
        <v>6.97</v>
      </c>
      <c r="E184">
        <v>6.97</v>
      </c>
      <c r="F184">
        <v>0.15582078051616838</v>
      </c>
      <c r="G184">
        <v>1</v>
      </c>
      <c r="H184" t="str">
        <v>Blé dur d'hiver</v>
      </c>
    </row>
    <row r="185" spans="1:8">
      <c r="A185" t="s">
        <v>765</v>
      </c>
      <c r="B185">
        <v>36480</v>
      </c>
      <c r="C185">
        <v>1340.64</v>
      </c>
      <c r="D185">
        <v>38</v>
      </c>
      <c r="E185">
        <v>8</v>
      </c>
      <c r="F185">
        <v>3.6750000000000005E-2</v>
      </c>
      <c r="G185">
        <v>0.21052631578947367</v>
      </c>
      <c r="H185" t="str">
        <v>Tournesol</v>
      </c>
    </row>
    <row r="186" spans="1:8">
      <c r="A186" t="s">
        <v>866</v>
      </c>
      <c r="B186">
        <v>72479.5</v>
      </c>
      <c r="C186">
        <v>486</v>
      </c>
      <c r="D186">
        <v>38.11</v>
      </c>
      <c r="E186">
        <v>2.4500000000000002</v>
      </c>
      <c r="F186">
        <v>6.7053442697590357E-3</v>
      </c>
      <c r="G186">
        <v>6.4287588559433229E-2</v>
      </c>
      <c r="H186" t="str">
        <v>Maïs grain non irrigué</v>
      </c>
    </row>
    <row r="187" spans="1:8">
      <c r="A187" t="s">
        <v>140</v>
      </c>
      <c r="B187">
        <v>20823.36</v>
      </c>
      <c r="C187">
        <v>3094.03</v>
      </c>
      <c r="D187">
        <v>31.84</v>
      </c>
      <c r="E187">
        <v>31.84</v>
      </c>
      <c r="F187">
        <v>0.14858457040554454</v>
      </c>
      <c r="G187">
        <v>1</v>
      </c>
      <c r="H187" t="str">
        <v>Blé dur d'hiver</v>
      </c>
    </row>
    <row r="188" spans="1:8">
      <c r="A188" t="s">
        <v>911</v>
      </c>
      <c r="B188">
        <v>14064.75</v>
      </c>
      <c r="C188">
        <v>9556.0499999999993</v>
      </c>
      <c r="D188">
        <v>9.5</v>
      </c>
      <c r="E188">
        <v>9.5</v>
      </c>
      <c r="F188">
        <v>0.67943262411347516</v>
      </c>
      <c r="G188">
        <v>1</v>
      </c>
      <c r="H188" t="str">
        <v>Maïs pop corn irrigué</v>
      </c>
    </row>
    <row r="189" spans="1:8">
      <c r="A189" t="s">
        <v>910</v>
      </c>
      <c r="B189">
        <v>15307.95</v>
      </c>
      <c r="C189">
        <v>2617.5100000000002</v>
      </c>
      <c r="D189">
        <v>15.25</v>
      </c>
      <c r="E189">
        <v>15.25</v>
      </c>
      <c r="F189">
        <v>0.17099023709902372</v>
      </c>
      <c r="G189">
        <v>1</v>
      </c>
      <c r="H189" t="str">
        <v>Maïs grain irrigué</v>
      </c>
    </row>
    <row r="190" spans="1:8">
      <c r="A190" t="s">
        <v>1009</v>
      </c>
      <c r="B190">
        <v>21430</v>
      </c>
      <c r="C190">
        <v>7500.5</v>
      </c>
      <c r="D190">
        <v>21.43</v>
      </c>
      <c r="E190">
        <v>21.43</v>
      </c>
      <c r="F190">
        <v>0.35</v>
      </c>
      <c r="G190">
        <v>1</v>
      </c>
      <c r="H190" t="str">
        <v>Maïs ensilage irrigué</v>
      </c>
    </row>
    <row r="191" spans="1:8">
      <c r="A191" t="s">
        <v>866</v>
      </c>
      <c r="B191">
        <v>4116</v>
      </c>
      <c r="C191">
        <v>535.08000000000004</v>
      </c>
      <c r="D191">
        <v>4.2</v>
      </c>
      <c r="E191">
        <v>4.2</v>
      </c>
      <c r="F191">
        <v>0.13</v>
      </c>
      <c r="G191">
        <v>1</v>
      </c>
      <c r="H191" t="str">
        <v>Maïs grain non irrigué</v>
      </c>
    </row>
    <row r="192" spans="1:8">
      <c r="A192" t="s">
        <v>163</v>
      </c>
      <c r="B192">
        <v>8175.14</v>
      </c>
      <c r="C192">
        <v>1130.22</v>
      </c>
      <c r="D192">
        <v>14.23</v>
      </c>
      <c r="E192">
        <v>14.23</v>
      </c>
      <c r="F192">
        <v>0.13825084341063273</v>
      </c>
      <c r="G192">
        <v>1</v>
      </c>
      <c r="H192" t="str">
        <v>Triticale</v>
      </c>
    </row>
    <row r="193" spans="1:8">
      <c r="A193" t="s">
        <v>765</v>
      </c>
      <c r="B193">
        <v>9091.44</v>
      </c>
      <c r="C193">
        <v>3308.41</v>
      </c>
      <c r="D193">
        <v>12.42</v>
      </c>
      <c r="E193">
        <v>12.42</v>
      </c>
      <c r="F193">
        <v>0.36390384801527587</v>
      </c>
      <c r="G193">
        <v>1</v>
      </c>
      <c r="H193" t="str">
        <v>Tournesol</v>
      </c>
    </row>
    <row r="194" spans="1:8">
      <c r="A194" t="s">
        <v>183</v>
      </c>
      <c r="B194">
        <v>5654.93</v>
      </c>
      <c r="C194">
        <v>620.04999999999995</v>
      </c>
      <c r="D194">
        <v>6.15</v>
      </c>
      <c r="E194">
        <v>6.15</v>
      </c>
      <c r="F194">
        <v>0.10964768794662355</v>
      </c>
      <c r="G194">
        <v>1</v>
      </c>
      <c r="H194" t="str">
        <v>Orge d'hiver</v>
      </c>
    </row>
    <row r="195" spans="1:8">
      <c r="A195" t="s">
        <v>866</v>
      </c>
      <c r="B195">
        <v>5754</v>
      </c>
      <c r="C195">
        <v>1984.44</v>
      </c>
      <c r="D195">
        <v>6.85</v>
      </c>
      <c r="E195">
        <v>6.85</v>
      </c>
      <c r="F195">
        <v>0.34488008342022941</v>
      </c>
      <c r="G195">
        <v>1</v>
      </c>
      <c r="H195" t="str">
        <v>Maïs grain non irrigué</v>
      </c>
    </row>
    <row r="196" spans="1:8">
      <c r="A196" t="s">
        <v>765</v>
      </c>
      <c r="B196">
        <v>4295.75</v>
      </c>
      <c r="C196">
        <v>859.45</v>
      </c>
      <c r="D196">
        <v>4.88</v>
      </c>
      <c r="E196">
        <v>4.9800000000000004</v>
      </c>
      <c r="F196">
        <v>0.20006983646627483</v>
      </c>
      <c r="G196">
        <v>1.0204918032786887</v>
      </c>
      <c r="H196" t="str">
        <v>Tournesol</v>
      </c>
    </row>
    <row r="197" spans="1:8">
      <c r="A197" t="s">
        <v>140</v>
      </c>
      <c r="B197">
        <v>9474.2999999999993</v>
      </c>
      <c r="C197">
        <v>636.41</v>
      </c>
      <c r="D197">
        <v>7.25</v>
      </c>
      <c r="E197">
        <v>7.25</v>
      </c>
      <c r="F197">
        <v>6.7172244915191623E-2</v>
      </c>
      <c r="G197">
        <v>1</v>
      </c>
      <c r="H197" t="str">
        <v>Blé dur d'hiver</v>
      </c>
    </row>
    <row r="198" spans="1:8">
      <c r="A198" t="s">
        <v>99</v>
      </c>
      <c r="B198">
        <v>51853.82</v>
      </c>
      <c r="C198">
        <v>5119.91</v>
      </c>
      <c r="D198">
        <v>40.92</v>
      </c>
      <c r="E198">
        <v>40.92</v>
      </c>
      <c r="F198">
        <v>9.873737363997484E-2</v>
      </c>
      <c r="G198">
        <v>1</v>
      </c>
      <c r="H198" t="str">
        <v>Blé tendre d'hiver</v>
      </c>
    </row>
    <row r="199" spans="1:8">
      <c r="A199" t="s">
        <v>162</v>
      </c>
      <c r="B199">
        <v>8057.72</v>
      </c>
      <c r="C199">
        <v>2483.16</v>
      </c>
      <c r="D199">
        <v>14.83</v>
      </c>
      <c r="E199">
        <v>14.83</v>
      </c>
      <c r="F199">
        <v>0.30817154232214566</v>
      </c>
      <c r="G199">
        <v>1</v>
      </c>
      <c r="H199" t="str">
        <v>Féveroles et fèves</v>
      </c>
    </row>
    <row r="200" spans="1:8">
      <c r="A200" t="s">
        <v>310</v>
      </c>
      <c r="B200">
        <v>4302.6000000000004</v>
      </c>
      <c r="C200">
        <v>727.04</v>
      </c>
      <c r="D200">
        <v>7.1</v>
      </c>
      <c r="E200">
        <v>7.1</v>
      </c>
      <c r="F200">
        <v>0.16897689768976895</v>
      </c>
      <c r="G200">
        <v>1</v>
      </c>
      <c r="H200" t="str">
        <v>Pois protéagineux</v>
      </c>
    </row>
    <row r="201" spans="1:8">
      <c r="A201" t="s">
        <v>183</v>
      </c>
      <c r="B201">
        <v>42195.96</v>
      </c>
      <c r="C201">
        <v>69.62</v>
      </c>
      <c r="D201">
        <v>35.340000000000003</v>
      </c>
      <c r="E201">
        <v>35.340000000000003</v>
      </c>
      <c r="F201">
        <v>1.6499209876964527E-3</v>
      </c>
      <c r="G201">
        <v>1</v>
      </c>
      <c r="H201" t="str">
        <v>Orge d'hiver</v>
      </c>
    </row>
    <row r="202" spans="1:8">
      <c r="A202" t="s">
        <v>99</v>
      </c>
      <c r="B202">
        <v>25444.16</v>
      </c>
      <c r="C202">
        <v>3398.08</v>
      </c>
      <c r="D202">
        <v>20.72</v>
      </c>
      <c r="E202">
        <v>20.72</v>
      </c>
      <c r="F202">
        <v>0.13355048859934854</v>
      </c>
      <c r="G202">
        <v>1</v>
      </c>
      <c r="H202" t="str">
        <v>Blé tendre d'hiver</v>
      </c>
    </row>
    <row r="203" spans="1:8">
      <c r="A203" t="s">
        <v>310</v>
      </c>
      <c r="B203">
        <v>3327.16</v>
      </c>
      <c r="C203">
        <v>895.53</v>
      </c>
      <c r="D203">
        <v>4.46</v>
      </c>
      <c r="E203">
        <v>4.46</v>
      </c>
      <c r="F203">
        <v>0.26915747965231607</v>
      </c>
      <c r="G203">
        <v>1</v>
      </c>
      <c r="H203" t="str">
        <v>Pois protéagineux</v>
      </c>
    </row>
    <row r="204" spans="1:8">
      <c r="A204" t="s">
        <v>866</v>
      </c>
      <c r="B204">
        <v>3162.38</v>
      </c>
      <c r="C204">
        <v>851.15</v>
      </c>
      <c r="D204">
        <v>2.65</v>
      </c>
      <c r="E204">
        <v>2.65</v>
      </c>
      <c r="F204">
        <v>0.26914855267235432</v>
      </c>
      <c r="G204">
        <v>1</v>
      </c>
      <c r="H204" t="str">
        <v>Maïs grain non irrigué</v>
      </c>
    </row>
    <row r="205" spans="1:8">
      <c r="A205" t="s">
        <v>99</v>
      </c>
      <c r="B205">
        <v>12272</v>
      </c>
      <c r="C205">
        <v>2447.46</v>
      </c>
      <c r="D205">
        <v>13</v>
      </c>
      <c r="E205">
        <v>13</v>
      </c>
      <c r="F205">
        <v>0.19943448500651892</v>
      </c>
      <c r="G205">
        <v>1</v>
      </c>
      <c r="H205" t="str">
        <v>Blé tendre d'hiver</v>
      </c>
    </row>
    <row r="206" spans="1:8">
      <c r="A206" t="s">
        <v>911</v>
      </c>
      <c r="B206">
        <v>16270.65</v>
      </c>
      <c r="C206">
        <v>7960.79</v>
      </c>
      <c r="D206">
        <v>8.5500000000000007</v>
      </c>
      <c r="E206">
        <v>8.5500000000000007</v>
      </c>
      <c r="F206">
        <v>0.48927301613641744</v>
      </c>
      <c r="G206">
        <v>1</v>
      </c>
      <c r="H206" t="str">
        <v>Maïs pop corn irrigué</v>
      </c>
    </row>
    <row r="207" spans="1:8">
      <c r="A207" t="s">
        <v>137</v>
      </c>
      <c r="B207">
        <v>5773.2</v>
      </c>
      <c r="C207">
        <v>651.07000000000005</v>
      </c>
      <c r="D207">
        <v>5.66</v>
      </c>
      <c r="E207">
        <v>5.66</v>
      </c>
      <c r="F207">
        <v>0.11277454444675399</v>
      </c>
      <c r="G207">
        <v>1</v>
      </c>
      <c r="H207" t="str">
        <v>Orge de printemps</v>
      </c>
    </row>
    <row r="208" spans="1:8">
      <c r="A208" t="s">
        <v>183</v>
      </c>
      <c r="B208">
        <v>8725.74</v>
      </c>
      <c r="C208">
        <v>203.05</v>
      </c>
      <c r="D208">
        <v>9.9700000000000006</v>
      </c>
      <c r="E208">
        <v>6.96</v>
      </c>
      <c r="F208">
        <v>2.3270232667945642E-2</v>
      </c>
      <c r="G208">
        <v>0.69809428284854558</v>
      </c>
      <c r="H208" t="str">
        <v>Orge d'hiver</v>
      </c>
    </row>
    <row r="209" spans="1:8">
      <c r="A209" t="s">
        <v>99</v>
      </c>
      <c r="B209">
        <v>5624.64</v>
      </c>
      <c r="C209">
        <v>1442.45</v>
      </c>
      <c r="D209">
        <v>5.04</v>
      </c>
      <c r="E209">
        <v>5.04</v>
      </c>
      <c r="F209">
        <v>0.25645196848153839</v>
      </c>
      <c r="G209">
        <v>1</v>
      </c>
      <c r="H209" t="str">
        <v>Blé tendre d'hiver</v>
      </c>
    </row>
    <row r="210" spans="1:8">
      <c r="A210" t="s">
        <v>866</v>
      </c>
      <c r="B210">
        <v>14942.07</v>
      </c>
      <c r="C210">
        <v>6716.27</v>
      </c>
      <c r="D210">
        <v>14.19</v>
      </c>
      <c r="E210">
        <v>14.19</v>
      </c>
      <c r="F210">
        <v>0.44948725310482418</v>
      </c>
      <c r="G210">
        <v>1</v>
      </c>
      <c r="H210" t="str">
        <v>Maïs grain non irrigué</v>
      </c>
    </row>
    <row r="211" spans="1:8">
      <c r="A211" t="s">
        <v>99</v>
      </c>
      <c r="B211">
        <v>119600</v>
      </c>
      <c r="C211">
        <v>2660</v>
      </c>
      <c r="D211">
        <v>100</v>
      </c>
      <c r="E211">
        <v>100</v>
      </c>
      <c r="F211">
        <v>2.2240802675585283E-2</v>
      </c>
      <c r="G211">
        <v>1</v>
      </c>
      <c r="H211" t="str">
        <v>Blé tendre d'hiver</v>
      </c>
    </row>
    <row r="212" spans="1:8">
      <c r="A212" t="s">
        <v>99</v>
      </c>
      <c r="B212">
        <v>38909.449999999997</v>
      </c>
      <c r="C212">
        <v>3400.93</v>
      </c>
      <c r="D212">
        <v>38.89</v>
      </c>
      <c r="E212">
        <v>38.89</v>
      </c>
      <c r="F212">
        <v>8.740627276921159E-2</v>
      </c>
      <c r="G212">
        <v>1</v>
      </c>
      <c r="H212" t="str">
        <v>Blé tendre d'hiver</v>
      </c>
    </row>
    <row r="213" spans="1:8">
      <c r="A213" t="s">
        <v>310</v>
      </c>
      <c r="B213">
        <v>12207.78</v>
      </c>
      <c r="C213">
        <v>1201.21</v>
      </c>
      <c r="D213">
        <v>21.15</v>
      </c>
      <c r="E213">
        <v>21.15</v>
      </c>
      <c r="F213">
        <v>9.8397087758789886E-2</v>
      </c>
      <c r="G213">
        <v>1</v>
      </c>
      <c r="H213" t="str">
        <v>Pois protéagineux</v>
      </c>
    </row>
    <row r="214" spans="1:8">
      <c r="A214" t="s">
        <v>99</v>
      </c>
      <c r="B214">
        <v>72488.05</v>
      </c>
      <c r="C214">
        <v>1866.25</v>
      </c>
      <c r="D214">
        <v>63.22</v>
      </c>
      <c r="E214">
        <v>63.22</v>
      </c>
      <c r="F214">
        <v>2.5745622899222699E-2</v>
      </c>
      <c r="G214">
        <v>1</v>
      </c>
      <c r="H214" t="str">
        <v>Blé tendre d'hiver</v>
      </c>
    </row>
    <row r="215" spans="1:8">
      <c r="A215" t="s">
        <v>310</v>
      </c>
      <c r="B215">
        <v>19824</v>
      </c>
      <c r="C215">
        <v>1953.75</v>
      </c>
      <c r="D215">
        <v>15</v>
      </c>
      <c r="E215">
        <v>15</v>
      </c>
      <c r="F215">
        <v>9.855478208232446E-2</v>
      </c>
      <c r="G215">
        <v>1</v>
      </c>
      <c r="H215" t="str">
        <v>Pois protéagineux</v>
      </c>
    </row>
    <row r="216" spans="1:8">
      <c r="A216" t="s">
        <v>866</v>
      </c>
      <c r="B216">
        <v>16667.2</v>
      </c>
      <c r="C216">
        <v>4083.46</v>
      </c>
      <c r="D216">
        <v>18.940000000000001</v>
      </c>
      <c r="E216">
        <v>18.940000000000001</v>
      </c>
      <c r="F216">
        <v>0.24499976000767976</v>
      </c>
      <c r="G216">
        <v>1</v>
      </c>
      <c r="H216" t="str">
        <v>Maïs grain non irrigué</v>
      </c>
    </row>
    <row r="217" spans="1:8">
      <c r="A217" t="s">
        <v>140</v>
      </c>
      <c r="B217">
        <v>12421.25</v>
      </c>
      <c r="C217">
        <v>891.81</v>
      </c>
      <c r="D217">
        <v>9.5</v>
      </c>
      <c r="E217">
        <v>9.5</v>
      </c>
      <c r="F217">
        <v>7.1797121867766933E-2</v>
      </c>
      <c r="G217">
        <v>1</v>
      </c>
      <c r="H217" t="str">
        <v>Blé dur d'hiver</v>
      </c>
    </row>
    <row r="218" spans="1:8">
      <c r="A218" t="s">
        <v>295</v>
      </c>
      <c r="B218">
        <v>8628.9500000000007</v>
      </c>
      <c r="C218">
        <v>1275.27</v>
      </c>
      <c r="D218">
        <v>12.35</v>
      </c>
      <c r="E218">
        <v>12.35</v>
      </c>
      <c r="F218">
        <v>0.14778970790188839</v>
      </c>
      <c r="G218">
        <v>1</v>
      </c>
      <c r="H218" t="str">
        <v>Avoine d'hiver</v>
      </c>
    </row>
    <row r="219" spans="1:8">
      <c r="A219" t="s">
        <v>162</v>
      </c>
      <c r="B219">
        <v>13262.17</v>
      </c>
      <c r="C219">
        <v>3623.49</v>
      </c>
      <c r="D219">
        <v>24.19</v>
      </c>
      <c r="E219">
        <v>24.18</v>
      </c>
      <c r="F219">
        <v>0.27321999340982656</v>
      </c>
      <c r="G219">
        <v>0.99958660603555183</v>
      </c>
      <c r="H219" t="str">
        <v>Féveroles et fèves</v>
      </c>
    </row>
    <row r="220" spans="1:8">
      <c r="A220" t="s">
        <v>137</v>
      </c>
      <c r="B220">
        <v>10048.9</v>
      </c>
      <c r="C220">
        <v>806.64</v>
      </c>
      <c r="D220">
        <v>8.32</v>
      </c>
      <c r="E220">
        <v>6.74</v>
      </c>
      <c r="F220">
        <v>8.0271472499477553E-2</v>
      </c>
      <c r="G220">
        <v>0.81009615384615385</v>
      </c>
      <c r="H220" t="str">
        <v>Orge de printemps</v>
      </c>
    </row>
    <row r="221" spans="1:8">
      <c r="A221" t="s">
        <v>183</v>
      </c>
      <c r="B221">
        <v>4398.24</v>
      </c>
      <c r="C221">
        <v>288.29000000000002</v>
      </c>
      <c r="D221">
        <v>5.39</v>
      </c>
      <c r="E221">
        <v>5.44</v>
      </c>
      <c r="F221">
        <v>6.5546673214740447E-2</v>
      </c>
      <c r="G221">
        <v>1.0092764378478665</v>
      </c>
      <c r="H221" t="str">
        <v>Orge d'hiver</v>
      </c>
    </row>
    <row r="222" spans="1:8">
      <c r="A222" t="s">
        <v>163</v>
      </c>
      <c r="B222">
        <v>6266.7</v>
      </c>
      <c r="C222">
        <v>1086.23</v>
      </c>
      <c r="D222">
        <v>6.33</v>
      </c>
      <c r="E222">
        <v>6.33</v>
      </c>
      <c r="F222">
        <v>0.17333365248057192</v>
      </c>
      <c r="G222">
        <v>1</v>
      </c>
      <c r="H222" t="str">
        <v>Triticale</v>
      </c>
    </row>
    <row r="223" spans="1:8">
      <c r="A223" t="s">
        <v>99</v>
      </c>
      <c r="B223">
        <v>50013.33</v>
      </c>
      <c r="C223">
        <v>5857.22</v>
      </c>
      <c r="D223">
        <v>43.02</v>
      </c>
      <c r="E223">
        <v>43.02</v>
      </c>
      <c r="F223">
        <v>0.11711317762684469</v>
      </c>
      <c r="G223">
        <v>1</v>
      </c>
      <c r="H223" t="str">
        <v>Blé tendre d'hiver</v>
      </c>
    </row>
    <row r="224" spans="1:8">
      <c r="A224" t="s">
        <v>27</v>
      </c>
      <c r="B224">
        <v>29447.87</v>
      </c>
      <c r="C224">
        <v>125.93</v>
      </c>
      <c r="D224">
        <v>24.4</v>
      </c>
      <c r="E224">
        <v>24.4</v>
      </c>
      <c r="F224">
        <v>4.2763704132081541E-3</v>
      </c>
      <c r="G224">
        <v>1</v>
      </c>
      <c r="H224" t="str">
        <v>Colza d'hiver</v>
      </c>
    </row>
    <row r="225" spans="1:8">
      <c r="A225" t="s">
        <v>550</v>
      </c>
      <c r="B225">
        <v>5994.07</v>
      </c>
      <c r="C225">
        <v>2626.11</v>
      </c>
      <c r="D225">
        <v>11.24</v>
      </c>
      <c r="E225">
        <v>11.24</v>
      </c>
      <c r="F225">
        <v>0.43811800662988593</v>
      </c>
      <c r="G225">
        <v>1</v>
      </c>
      <c r="H225" t="str">
        <v>Lentilles</v>
      </c>
    </row>
    <row r="226" spans="1:8">
      <c r="A226" t="s">
        <v>27</v>
      </c>
      <c r="B226">
        <v>27913.86</v>
      </c>
      <c r="C226">
        <v>3919.03</v>
      </c>
      <c r="D226">
        <v>23.7</v>
      </c>
      <c r="E226">
        <v>23.7</v>
      </c>
      <c r="F226">
        <v>0.14039727934438304</v>
      </c>
      <c r="G226">
        <v>1</v>
      </c>
      <c r="H226" t="str">
        <v>Colza d'hiver</v>
      </c>
    </row>
    <row r="227" spans="1:8">
      <c r="A227" t="s">
        <v>183</v>
      </c>
      <c r="B227">
        <v>7014</v>
      </c>
      <c r="C227">
        <v>739.81</v>
      </c>
      <c r="D227">
        <v>7</v>
      </c>
      <c r="E227">
        <v>7</v>
      </c>
      <c r="F227">
        <v>0.10547619047619047</v>
      </c>
      <c r="G227">
        <v>1</v>
      </c>
      <c r="H227" t="str">
        <v>Orge d'hiver</v>
      </c>
    </row>
    <row r="228" spans="1:8">
      <c r="A228" t="s">
        <v>295</v>
      </c>
      <c r="B228">
        <v>4277</v>
      </c>
      <c r="C228">
        <v>650.45000000000005</v>
      </c>
      <c r="D228">
        <v>6.5</v>
      </c>
      <c r="E228">
        <v>6.5</v>
      </c>
      <c r="F228">
        <v>0.15208089782557868</v>
      </c>
      <c r="G228">
        <v>1</v>
      </c>
      <c r="H228" t="str">
        <v>Avoine d'hiver</v>
      </c>
    </row>
    <row r="229" spans="1:8">
      <c r="A229" t="s">
        <v>295</v>
      </c>
      <c r="B229">
        <v>11105.58</v>
      </c>
      <c r="C229">
        <v>943.38</v>
      </c>
      <c r="D229">
        <v>10.84</v>
      </c>
      <c r="E229">
        <v>10.84</v>
      </c>
      <c r="F229">
        <v>8.4946486360910456E-2</v>
      </c>
      <c r="G229">
        <v>1</v>
      </c>
      <c r="H229" t="str">
        <v>Avoine d'hiver</v>
      </c>
    </row>
    <row r="230" spans="1:8">
      <c r="A230" t="s">
        <v>99</v>
      </c>
      <c r="B230">
        <v>11735.82</v>
      </c>
      <c r="C230">
        <v>1317.27</v>
      </c>
      <c r="D230">
        <v>10.3</v>
      </c>
      <c r="E230">
        <v>10.3</v>
      </c>
      <c r="F230">
        <v>0.11224354156761096</v>
      </c>
      <c r="G230">
        <v>1</v>
      </c>
      <c r="H230" t="str">
        <v>Blé tendre d'hiver</v>
      </c>
    </row>
    <row r="231" spans="1:8">
      <c r="A231" t="s">
        <v>27</v>
      </c>
      <c r="B231">
        <v>33777</v>
      </c>
      <c r="C231">
        <v>4758.8100000000004</v>
      </c>
      <c r="D231">
        <v>20.85</v>
      </c>
      <c r="E231">
        <v>20.85</v>
      </c>
      <c r="F231">
        <v>0.14088906652455815</v>
      </c>
      <c r="G231">
        <v>1</v>
      </c>
      <c r="H231" t="str">
        <v>Colza d'hiver</v>
      </c>
    </row>
    <row r="232" spans="1:8">
      <c r="A232" t="s">
        <v>137</v>
      </c>
      <c r="B232">
        <v>77002.61</v>
      </c>
      <c r="C232">
        <v>18436.28</v>
      </c>
      <c r="D232">
        <v>47.43</v>
      </c>
      <c r="E232">
        <v>47.43</v>
      </c>
      <c r="F232">
        <v>0.23942409224830169</v>
      </c>
      <c r="G232">
        <v>1</v>
      </c>
      <c r="H232" t="str">
        <v>Orge de printemps</v>
      </c>
    </row>
    <row r="233" spans="1:8">
      <c r="A233" t="s">
        <v>183</v>
      </c>
      <c r="B233">
        <v>36812.93</v>
      </c>
      <c r="C233">
        <v>3046.89</v>
      </c>
      <c r="D233">
        <v>45.91</v>
      </c>
      <c r="E233">
        <v>45.91</v>
      </c>
      <c r="F233">
        <v>8.2766843063021608E-2</v>
      </c>
      <c r="G233">
        <v>1</v>
      </c>
      <c r="H233" t="str">
        <v>Orge d'hiver</v>
      </c>
    </row>
    <row r="234" spans="1:8">
      <c r="A234" t="s">
        <v>99</v>
      </c>
      <c r="B234">
        <v>62459.65</v>
      </c>
      <c r="C234">
        <v>8574.91</v>
      </c>
      <c r="D234">
        <v>59.77</v>
      </c>
      <c r="E234">
        <v>59.77</v>
      </c>
      <c r="F234">
        <v>0.13728719261155001</v>
      </c>
      <c r="G234">
        <v>1</v>
      </c>
      <c r="H234" t="str">
        <v>Blé tendre d'hiver</v>
      </c>
    </row>
    <row r="235" spans="1:8">
      <c r="A235" t="s">
        <v>99</v>
      </c>
      <c r="B235">
        <v>5916</v>
      </c>
      <c r="C235">
        <v>2662.2</v>
      </c>
      <c r="D235">
        <v>5.8</v>
      </c>
      <c r="E235">
        <v>5.8</v>
      </c>
      <c r="F235">
        <v>0.44999999999999996</v>
      </c>
      <c r="G235">
        <v>1</v>
      </c>
      <c r="H235" t="str">
        <v>Blé tendre d'hiver</v>
      </c>
    </row>
    <row r="236" spans="1:8">
      <c r="A236" t="s">
        <v>183</v>
      </c>
      <c r="B236">
        <v>9309.6</v>
      </c>
      <c r="C236">
        <v>968.98</v>
      </c>
      <c r="D236">
        <v>8.6199999999999992</v>
      </c>
      <c r="E236">
        <v>8.6199999999999992</v>
      </c>
      <c r="F236">
        <v>0.10408395634613732</v>
      </c>
      <c r="G236">
        <v>1</v>
      </c>
      <c r="H236" t="str">
        <v>Orge d'hiver</v>
      </c>
    </row>
    <row r="237" spans="1:8">
      <c r="A237" t="s">
        <v>898</v>
      </c>
      <c r="B237">
        <v>13812.06</v>
      </c>
      <c r="C237">
        <v>5498.07</v>
      </c>
      <c r="D237">
        <v>10.91</v>
      </c>
      <c r="E237">
        <v>10.1</v>
      </c>
      <c r="F237">
        <v>0.39806299711990822</v>
      </c>
      <c r="G237">
        <v>0.92575618698441797</v>
      </c>
      <c r="H237" t="str">
        <v>Maïs ensilage non irrigué</v>
      </c>
    </row>
    <row r="238" spans="1:8">
      <c r="A238" t="s">
        <v>765</v>
      </c>
      <c r="B238">
        <v>9858.49</v>
      </c>
      <c r="C238">
        <v>597.79999999999995</v>
      </c>
      <c r="D238">
        <v>9.1</v>
      </c>
      <c r="E238">
        <v>9.1</v>
      </c>
      <c r="F238">
        <v>6.063808960601471E-2</v>
      </c>
      <c r="G238">
        <v>1</v>
      </c>
      <c r="H238" t="str">
        <v>Tournesol</v>
      </c>
    </row>
    <row r="239" spans="1:8">
      <c r="A239" t="s">
        <v>99</v>
      </c>
      <c r="B239">
        <v>76762.45</v>
      </c>
      <c r="C239">
        <v>513.12</v>
      </c>
      <c r="D239">
        <v>59.32</v>
      </c>
      <c r="E239">
        <v>59.32</v>
      </c>
      <c r="F239">
        <v>6.6845182768397833E-3</v>
      </c>
      <c r="G239">
        <v>1</v>
      </c>
      <c r="H239" t="str">
        <v>Blé tendre d'hiver</v>
      </c>
    </row>
    <row r="240" spans="1:8">
      <c r="A240" t="s">
        <v>310</v>
      </c>
      <c r="B240">
        <v>5619.22</v>
      </c>
      <c r="C240">
        <v>265.67</v>
      </c>
      <c r="D240">
        <v>8.31</v>
      </c>
      <c r="E240">
        <v>8.31</v>
      </c>
      <c r="F240">
        <v>4.7278803819747223E-2</v>
      </c>
      <c r="G240">
        <v>1</v>
      </c>
      <c r="H240" t="str">
        <v>Pois protéagineux</v>
      </c>
    </row>
    <row r="241" spans="1:8">
      <c r="A241" t="s">
        <v>137</v>
      </c>
      <c r="B241">
        <v>19110.28</v>
      </c>
      <c r="C241">
        <v>3056.71</v>
      </c>
      <c r="D241">
        <v>12.47</v>
      </c>
      <c r="E241">
        <v>12.47</v>
      </c>
      <c r="F241">
        <v>0.15995108391923091</v>
      </c>
      <c r="G241">
        <v>1</v>
      </c>
      <c r="H241" t="str">
        <v>Orge de printemps</v>
      </c>
    </row>
    <row r="242" spans="1:8">
      <c r="A242" t="s">
        <v>99</v>
      </c>
      <c r="B242">
        <v>43031.75</v>
      </c>
      <c r="C242">
        <v>2081.4899999999998</v>
      </c>
      <c r="D242">
        <v>34.79</v>
      </c>
      <c r="E242">
        <v>34.79</v>
      </c>
      <c r="F242">
        <v>4.8371028368588302E-2</v>
      </c>
      <c r="G242">
        <v>1</v>
      </c>
      <c r="H242" t="str">
        <v>Blé tendre d'hiver</v>
      </c>
    </row>
    <row r="243" spans="1:8">
      <c r="A243" t="s">
        <v>310</v>
      </c>
      <c r="B243">
        <v>8603.2000000000007</v>
      </c>
      <c r="C243">
        <v>1660.42</v>
      </c>
      <c r="D243">
        <v>11.32</v>
      </c>
      <c r="E243">
        <v>11.32</v>
      </c>
      <c r="F243">
        <v>0.19300027896596614</v>
      </c>
      <c r="G243">
        <v>1</v>
      </c>
      <c r="H243" t="str">
        <v>Pois protéagineux</v>
      </c>
    </row>
    <row r="244" spans="1:8">
      <c r="A244" t="s">
        <v>99</v>
      </c>
      <c r="B244">
        <v>14972.36</v>
      </c>
      <c r="C244">
        <v>6287.62</v>
      </c>
      <c r="D244">
        <v>13.6</v>
      </c>
      <c r="E244">
        <v>13.6</v>
      </c>
      <c r="F244">
        <v>0.41994849175413895</v>
      </c>
      <c r="G244">
        <v>1</v>
      </c>
      <c r="H244" t="str">
        <v>Blé tendre d'hiver</v>
      </c>
    </row>
    <row r="245" spans="1:8">
      <c r="A245" t="s">
        <v>163</v>
      </c>
      <c r="B245">
        <v>2768.28</v>
      </c>
      <c r="C245">
        <v>966.52</v>
      </c>
      <c r="D245">
        <v>3.54</v>
      </c>
      <c r="E245">
        <v>3.54</v>
      </c>
      <c r="F245">
        <v>0.34914098284855577</v>
      </c>
      <c r="G245">
        <v>1</v>
      </c>
      <c r="H245" t="str">
        <v>Triticale</v>
      </c>
    </row>
    <row r="246" spans="1:8">
      <c r="A246" t="s">
        <v>137</v>
      </c>
      <c r="B246">
        <v>5992.03</v>
      </c>
      <c r="C246">
        <v>3215.65</v>
      </c>
      <c r="D246">
        <v>6.1</v>
      </c>
      <c r="E246">
        <v>6.1</v>
      </c>
      <c r="F246">
        <v>0.53665452275772985</v>
      </c>
      <c r="G246">
        <v>1</v>
      </c>
      <c r="H246" t="str">
        <v>Orge de printemps</v>
      </c>
    </row>
    <row r="247" spans="1:8">
      <c r="A247" t="s">
        <v>99</v>
      </c>
      <c r="B247">
        <v>65199.07</v>
      </c>
      <c r="C247">
        <v>339.49</v>
      </c>
      <c r="D247">
        <v>55.69</v>
      </c>
      <c r="E247">
        <v>55.68</v>
      </c>
      <c r="F247">
        <v>5.2069761117758276E-3</v>
      </c>
      <c r="G247">
        <v>0.99982043454839298</v>
      </c>
      <c r="H247" t="str">
        <v>Blé tendre d'hiver</v>
      </c>
    </row>
    <row r="248" spans="1:8">
      <c r="A248" t="s">
        <v>183</v>
      </c>
      <c r="B248">
        <v>15205.44</v>
      </c>
      <c r="C248">
        <v>570.77</v>
      </c>
      <c r="D248">
        <v>14.1</v>
      </c>
      <c r="E248">
        <v>14.1</v>
      </c>
      <c r="F248">
        <v>3.7537223520003361E-2</v>
      </c>
      <c r="G248">
        <v>1</v>
      </c>
      <c r="H248" t="str">
        <v>Orge d'hiver</v>
      </c>
    </row>
    <row r="249" spans="1:8">
      <c r="A249" t="s">
        <v>898</v>
      </c>
      <c r="B249">
        <v>18341.09</v>
      </c>
      <c r="C249">
        <v>8413.84</v>
      </c>
      <c r="D249">
        <v>20.68</v>
      </c>
      <c r="E249">
        <v>20.68</v>
      </c>
      <c r="F249">
        <v>0.45874263743321692</v>
      </c>
      <c r="G249">
        <v>1</v>
      </c>
      <c r="H249" t="str">
        <v>Maïs ensilage non irrigué</v>
      </c>
    </row>
    <row r="250" spans="1:8">
      <c r="A250" t="s">
        <v>765</v>
      </c>
      <c r="B250">
        <v>13686.16</v>
      </c>
      <c r="C250">
        <v>4661.93</v>
      </c>
      <c r="D250">
        <v>18.190000000000001</v>
      </c>
      <c r="E250">
        <v>18.190000000000001</v>
      </c>
      <c r="F250">
        <v>0.34063097318751206</v>
      </c>
      <c r="G250">
        <v>1</v>
      </c>
      <c r="H250" t="str">
        <v>Tournesol</v>
      </c>
    </row>
    <row r="251" spans="1:8">
      <c r="A251" t="s">
        <v>99</v>
      </c>
      <c r="B251">
        <v>51920.1</v>
      </c>
      <c r="C251">
        <v>4429.8500000000004</v>
      </c>
      <c r="D251">
        <v>46.82</v>
      </c>
      <c r="E251">
        <v>46.82</v>
      </c>
      <c r="F251">
        <v>8.532052133951977E-2</v>
      </c>
      <c r="G251">
        <v>1</v>
      </c>
      <c r="H251" t="str">
        <v>Blé tendre d'hiver</v>
      </c>
    </row>
    <row r="252" spans="1:8">
      <c r="A252" t="s">
        <v>137</v>
      </c>
      <c r="B252">
        <v>3992.06</v>
      </c>
      <c r="C252">
        <v>47.21</v>
      </c>
      <c r="D252">
        <v>4.13</v>
      </c>
      <c r="E252">
        <v>5.37</v>
      </c>
      <c r="F252">
        <v>1.1825974559500609E-2</v>
      </c>
      <c r="G252">
        <v>1.3002421307506054</v>
      </c>
      <c r="H252" t="str">
        <v>Orge de printemps</v>
      </c>
    </row>
    <row r="253" spans="1:8">
      <c r="A253" t="s">
        <v>310</v>
      </c>
      <c r="B253">
        <v>10373.629999999999</v>
      </c>
      <c r="C253">
        <v>952.15</v>
      </c>
      <c r="D253">
        <v>11.04</v>
      </c>
      <c r="E253">
        <v>6.25</v>
      </c>
      <c r="F253">
        <v>9.1785614100367952E-2</v>
      </c>
      <c r="G253">
        <v>0.56612318840579712</v>
      </c>
      <c r="H253" t="str">
        <v>Pois protéagineux</v>
      </c>
    </row>
    <row r="254" spans="1:8">
      <c r="A254" t="s">
        <v>183</v>
      </c>
      <c r="B254">
        <v>40843.24</v>
      </c>
      <c r="C254">
        <v>113.07</v>
      </c>
      <c r="D254">
        <v>32.97</v>
      </c>
      <c r="E254">
        <v>32.97</v>
      </c>
      <c r="F254">
        <v>2.7683895792792149E-3</v>
      </c>
      <c r="G254">
        <v>1</v>
      </c>
      <c r="H254" t="str">
        <v>Orge d'hiver</v>
      </c>
    </row>
    <row r="255" spans="1:8">
      <c r="A255" t="s">
        <v>765</v>
      </c>
      <c r="B255">
        <v>47805.68</v>
      </c>
      <c r="C255">
        <v>8388.98</v>
      </c>
      <c r="D255">
        <v>38.630000000000003</v>
      </c>
      <c r="E255">
        <v>53.45</v>
      </c>
      <c r="F255">
        <v>0.17548082152581032</v>
      </c>
      <c r="G255">
        <v>1.3836396582966606</v>
      </c>
      <c r="H255" t="str">
        <v>Tournesol</v>
      </c>
    </row>
    <row r="256" spans="1:8">
      <c r="A256" t="s">
        <v>866</v>
      </c>
      <c r="B256">
        <v>27982.26</v>
      </c>
      <c r="C256">
        <v>7475.45</v>
      </c>
      <c r="D256">
        <v>30.04</v>
      </c>
      <c r="E256">
        <v>30.04</v>
      </c>
      <c r="F256">
        <v>0.26714961550639582</v>
      </c>
      <c r="G256">
        <v>1</v>
      </c>
      <c r="H256" t="str">
        <v>Maïs grain non irrigué</v>
      </c>
    </row>
    <row r="257" spans="1:8">
      <c r="A257" t="s">
        <v>310</v>
      </c>
      <c r="B257">
        <v>10867.86</v>
      </c>
      <c r="C257">
        <v>3275.33</v>
      </c>
      <c r="D257">
        <v>12.74</v>
      </c>
      <c r="E257">
        <v>12.74</v>
      </c>
      <c r="F257">
        <v>0.30137764012418267</v>
      </c>
      <c r="G257">
        <v>1</v>
      </c>
      <c r="H257" t="str">
        <v>Pois protéagineux</v>
      </c>
    </row>
    <row r="258" spans="1:8">
      <c r="A258" t="s">
        <v>99</v>
      </c>
      <c r="B258">
        <v>10494</v>
      </c>
      <c r="C258">
        <v>617.34</v>
      </c>
      <c r="D258">
        <v>9</v>
      </c>
      <c r="E258">
        <v>9</v>
      </c>
      <c r="F258">
        <v>5.8827901658090341E-2</v>
      </c>
      <c r="G258">
        <v>1</v>
      </c>
      <c r="H258" t="str">
        <v>Blé tendre d'hiver</v>
      </c>
    </row>
    <row r="259" spans="1:8">
      <c r="A259" t="s">
        <v>162</v>
      </c>
      <c r="B259">
        <v>5704.38</v>
      </c>
      <c r="C259">
        <v>4031.51</v>
      </c>
      <c r="D259">
        <v>12.06</v>
      </c>
      <c r="E259">
        <v>12.02</v>
      </c>
      <c r="F259">
        <v>0.70673938271994508</v>
      </c>
      <c r="G259">
        <v>0.9966832504145936</v>
      </c>
      <c r="H259" t="str">
        <v>Féveroles et fèves</v>
      </c>
    </row>
    <row r="260" spans="1:8">
      <c r="A260" t="s">
        <v>99</v>
      </c>
      <c r="B260">
        <v>60210.96</v>
      </c>
      <c r="C260">
        <v>10158.34</v>
      </c>
      <c r="D260">
        <v>47.56</v>
      </c>
      <c r="E260">
        <v>47.56</v>
      </c>
      <c r="F260">
        <v>0.16871247360945582</v>
      </c>
      <c r="G260">
        <v>1</v>
      </c>
      <c r="H260" t="str">
        <v>Blé tendre d'hiver</v>
      </c>
    </row>
    <row r="261" spans="1:8">
      <c r="A261" t="s">
        <v>99</v>
      </c>
      <c r="B261">
        <v>117722.18</v>
      </c>
      <c r="C261">
        <v>4095.06</v>
      </c>
      <c r="D261">
        <v>91.52</v>
      </c>
      <c r="E261">
        <v>91.52</v>
      </c>
      <c r="F261">
        <v>3.4785798224259867E-2</v>
      </c>
      <c r="G261">
        <v>1</v>
      </c>
      <c r="H261" t="str">
        <v>Blé tendre d'hiver</v>
      </c>
    </row>
    <row r="262" spans="1:8">
      <c r="A262" t="s">
        <v>310</v>
      </c>
      <c r="B262">
        <v>7640.16</v>
      </c>
      <c r="C262">
        <v>1723.39</v>
      </c>
      <c r="D262">
        <v>10.59</v>
      </c>
      <c r="E262">
        <v>10.59</v>
      </c>
      <c r="F262">
        <v>0.22556988335322822</v>
      </c>
      <c r="G262">
        <v>1</v>
      </c>
      <c r="H262" t="str">
        <v>Pois protéagineux</v>
      </c>
    </row>
    <row r="263" spans="1:8">
      <c r="A263" t="s">
        <v>183</v>
      </c>
      <c r="B263">
        <v>4937.9799999999996</v>
      </c>
      <c r="C263">
        <v>338.12</v>
      </c>
      <c r="D263">
        <v>4.04</v>
      </c>
      <c r="E263">
        <v>4.04</v>
      </c>
      <c r="F263">
        <v>6.8473343350924878E-2</v>
      </c>
      <c r="G263">
        <v>1</v>
      </c>
      <c r="H263" t="str">
        <v>Orge d'hiver</v>
      </c>
    </row>
    <row r="264" spans="1:8">
      <c r="A264" t="s">
        <v>99</v>
      </c>
      <c r="B264">
        <v>23599.03</v>
      </c>
      <c r="C264">
        <v>2311.14</v>
      </c>
      <c r="D264">
        <v>21.68</v>
      </c>
      <c r="E264">
        <v>21.68</v>
      </c>
      <c r="F264">
        <v>9.7933686257443628E-2</v>
      </c>
      <c r="G264">
        <v>1</v>
      </c>
      <c r="H264" t="str">
        <v>Blé tendre d'hiver</v>
      </c>
    </row>
    <row r="265" spans="1:8">
      <c r="A265" t="s">
        <v>765</v>
      </c>
      <c r="B265">
        <v>51710.58</v>
      </c>
      <c r="C265">
        <v>421.5</v>
      </c>
      <c r="D265">
        <v>50.41</v>
      </c>
      <c r="E265">
        <v>50.41</v>
      </c>
      <c r="F265">
        <v>8.1511365759192791E-3</v>
      </c>
      <c r="G265">
        <v>1</v>
      </c>
      <c r="H265" t="str">
        <v>Tournesol</v>
      </c>
    </row>
    <row r="266" spans="1:8">
      <c r="A266" t="s">
        <v>140</v>
      </c>
      <c r="B266">
        <v>30370.57</v>
      </c>
      <c r="C266">
        <v>2709.93</v>
      </c>
      <c r="D266">
        <v>21.19</v>
      </c>
      <c r="E266">
        <v>21.19</v>
      </c>
      <c r="F266">
        <v>8.9228815922783131E-2</v>
      </c>
      <c r="G266">
        <v>1</v>
      </c>
      <c r="H266" t="str">
        <v>Blé dur d'hiver</v>
      </c>
    </row>
    <row r="267" spans="1:8">
      <c r="A267" t="s">
        <v>99</v>
      </c>
      <c r="B267">
        <v>96582.88</v>
      </c>
      <c r="C267">
        <v>1092.1199999999999</v>
      </c>
      <c r="D267">
        <v>87.54</v>
      </c>
      <c r="E267">
        <v>87.54</v>
      </c>
      <c r="F267">
        <v>1.1307594058077372E-2</v>
      </c>
      <c r="G267">
        <v>1</v>
      </c>
      <c r="H267" t="str">
        <v>Blé tendre d'hiver</v>
      </c>
    </row>
    <row r="268" spans="1:8">
      <c r="A268" t="s">
        <v>910</v>
      </c>
      <c r="B268">
        <v>104500.94</v>
      </c>
      <c r="C268">
        <v>2997.25</v>
      </c>
      <c r="D268">
        <v>56.7</v>
      </c>
      <c r="E268">
        <v>56.7</v>
      </c>
      <c r="F268">
        <v>2.8681560185008861E-2</v>
      </c>
      <c r="G268">
        <v>1</v>
      </c>
      <c r="H268" t="str">
        <v>Maïs grain irrigué</v>
      </c>
    </row>
    <row r="269" spans="1:8">
      <c r="A269" t="s">
        <v>866</v>
      </c>
      <c r="B269">
        <v>23897.02</v>
      </c>
      <c r="C269">
        <v>5392.38</v>
      </c>
      <c r="D269">
        <v>22.88</v>
      </c>
      <c r="E269">
        <v>22.88</v>
      </c>
      <c r="F269">
        <v>0.22565072967257005</v>
      </c>
      <c r="G269">
        <v>1</v>
      </c>
      <c r="H269" t="str">
        <v>Maïs grain non irrigué</v>
      </c>
    </row>
    <row r="270" spans="1:8">
      <c r="A270" t="s">
        <v>183</v>
      </c>
      <c r="B270">
        <v>7165.04</v>
      </c>
      <c r="C270">
        <v>629.82000000000005</v>
      </c>
      <c r="D270">
        <v>6.65</v>
      </c>
      <c r="E270">
        <v>6.65</v>
      </c>
      <c r="F270">
        <v>8.7901812132242116E-2</v>
      </c>
      <c r="G270">
        <v>1</v>
      </c>
      <c r="H270" t="str">
        <v>Orge d'hiver</v>
      </c>
    </row>
    <row r="271" spans="1:8">
      <c r="A271" t="s">
        <v>814</v>
      </c>
      <c r="B271">
        <v>16250</v>
      </c>
      <c r="C271">
        <v>24.62</v>
      </c>
      <c r="D271">
        <v>10</v>
      </c>
      <c r="E271">
        <v>10</v>
      </c>
      <c r="F271">
        <v>1.5150769230769232E-3</v>
      </c>
      <c r="G271">
        <v>1</v>
      </c>
      <c r="H271" t="str">
        <v>Soja</v>
      </c>
    </row>
    <row r="272" spans="1:8">
      <c r="A272" t="s">
        <v>137</v>
      </c>
      <c r="B272">
        <v>27416</v>
      </c>
      <c r="C272">
        <v>1228.5</v>
      </c>
      <c r="D272">
        <v>11.5</v>
      </c>
      <c r="E272">
        <v>11.5</v>
      </c>
      <c r="F272">
        <v>4.4809600233440328E-2</v>
      </c>
      <c r="G272">
        <v>1</v>
      </c>
      <c r="H272" t="str">
        <v>Orge de printemps</v>
      </c>
    </row>
    <row r="273" spans="1:8">
      <c r="A273" t="s">
        <v>99</v>
      </c>
      <c r="B273">
        <v>4233.5200000000004</v>
      </c>
      <c r="C273">
        <v>1025.81</v>
      </c>
      <c r="D273">
        <v>3.62</v>
      </c>
      <c r="E273">
        <v>3.62</v>
      </c>
      <c r="F273">
        <v>0.24230663844743849</v>
      </c>
      <c r="G273">
        <v>1</v>
      </c>
      <c r="H273" t="str">
        <v>Blé tendre d'hiver</v>
      </c>
    </row>
    <row r="274" spans="1:8">
      <c r="A274" t="s">
        <v>183</v>
      </c>
      <c r="B274">
        <v>6651.61</v>
      </c>
      <c r="C274">
        <v>406.34</v>
      </c>
      <c r="D274">
        <v>5.69</v>
      </c>
      <c r="E274">
        <v>5.69</v>
      </c>
      <c r="F274">
        <v>6.1088969437474536E-2</v>
      </c>
      <c r="G274">
        <v>1</v>
      </c>
      <c r="H274" t="str">
        <v>Orge d'hiver</v>
      </c>
    </row>
    <row r="275" spans="1:8">
      <c r="A275" t="s">
        <v>183</v>
      </c>
      <c r="B275">
        <v>5583.06</v>
      </c>
      <c r="C275">
        <v>162.29</v>
      </c>
      <c r="D275">
        <v>4.9000000000000004</v>
      </c>
      <c r="E275">
        <v>4.9000000000000004</v>
      </c>
      <c r="F275">
        <v>2.9068288716223717E-2</v>
      </c>
      <c r="G275">
        <v>1</v>
      </c>
      <c r="H275" t="str">
        <v>Orge d'hiver</v>
      </c>
    </row>
    <row r="276" spans="1:8">
      <c r="A276" t="s">
        <v>1231</v>
      </c>
      <c r="B276">
        <v>14946</v>
      </c>
      <c r="C276">
        <v>5702.8</v>
      </c>
      <c r="D276">
        <v>5.3</v>
      </c>
      <c r="E276">
        <v>5.3</v>
      </c>
      <c r="F276">
        <v>0.38156028368794326</v>
      </c>
      <c r="G276">
        <v>1</v>
      </c>
      <c r="H276" t="str">
        <v>Quinoa</v>
      </c>
    </row>
    <row r="277" spans="1:8">
      <c r="A277" t="s">
        <v>162</v>
      </c>
      <c r="B277">
        <v>5435.45</v>
      </c>
      <c r="C277">
        <v>3396.55</v>
      </c>
      <c r="D277">
        <v>17.510000000000002</v>
      </c>
      <c r="E277">
        <v>17.510000000000002</v>
      </c>
      <c r="F277">
        <v>0.62488846369665807</v>
      </c>
      <c r="G277">
        <v>1</v>
      </c>
      <c r="H277" t="str">
        <v>Féveroles et fèves</v>
      </c>
    </row>
    <row r="278" spans="1:8">
      <c r="A278" t="s">
        <v>99</v>
      </c>
      <c r="B278">
        <v>39722.129999999997</v>
      </c>
      <c r="C278">
        <v>2542.8000000000002</v>
      </c>
      <c r="D278">
        <v>39.409999999999997</v>
      </c>
      <c r="E278">
        <v>39.409999999999997</v>
      </c>
      <c r="F278">
        <v>6.4014694076072964E-2</v>
      </c>
      <c r="G278">
        <v>1</v>
      </c>
      <c r="H278" t="str">
        <v>Blé tendre d'hiver</v>
      </c>
    </row>
    <row r="279" spans="1:8">
      <c r="A279" t="s">
        <v>27</v>
      </c>
      <c r="B279">
        <v>347772</v>
      </c>
      <c r="C279">
        <v>2745.08</v>
      </c>
      <c r="D279">
        <v>11.68</v>
      </c>
      <c r="E279">
        <v>11.68</v>
      </c>
      <c r="F279">
        <v>7.8933324131902505E-3</v>
      </c>
      <c r="G279">
        <v>1</v>
      </c>
      <c r="H279" t="str">
        <v>Colza d'hiver</v>
      </c>
    </row>
    <row r="280" spans="1:8">
      <c r="A280" t="s">
        <v>183</v>
      </c>
      <c r="B280">
        <v>31026.93</v>
      </c>
      <c r="C280">
        <v>1992.23</v>
      </c>
      <c r="D280">
        <v>33</v>
      </c>
      <c r="E280">
        <v>33</v>
      </c>
      <c r="F280">
        <v>6.4209704279475921E-2</v>
      </c>
      <c r="G280">
        <v>1</v>
      </c>
      <c r="H280" t="str">
        <v>Orge d'hiver</v>
      </c>
    </row>
    <row r="281" spans="1:8">
      <c r="A281" t="s">
        <v>140</v>
      </c>
      <c r="B281">
        <v>13084.25</v>
      </c>
      <c r="C281">
        <v>3544.69</v>
      </c>
      <c r="D281">
        <v>9.9499999999999993</v>
      </c>
      <c r="E281">
        <v>9.9499999999999993</v>
      </c>
      <c r="F281">
        <v>0.27091273859793263</v>
      </c>
      <c r="G281">
        <v>1</v>
      </c>
      <c r="H281" t="str">
        <v>Blé dur d'hiver</v>
      </c>
    </row>
    <row r="282" spans="1:8">
      <c r="A282" t="s">
        <v>99</v>
      </c>
      <c r="B282">
        <v>85050</v>
      </c>
      <c r="C282">
        <v>1833.57</v>
      </c>
      <c r="D282">
        <v>90</v>
      </c>
      <c r="E282">
        <v>90</v>
      </c>
      <c r="F282">
        <v>2.1558730158730159E-2</v>
      </c>
      <c r="G282">
        <v>1</v>
      </c>
      <c r="H282" t="str">
        <v>Blé tendre d'hiver</v>
      </c>
    </row>
    <row r="283" spans="1:8">
      <c r="A283" t="s">
        <v>183</v>
      </c>
      <c r="B283">
        <v>1019.54</v>
      </c>
      <c r="C283">
        <v>286.32</v>
      </c>
      <c r="D283">
        <v>1.5</v>
      </c>
      <c r="E283">
        <v>1.5</v>
      </c>
      <c r="F283">
        <v>0.28083253231849659</v>
      </c>
      <c r="G283">
        <v>1</v>
      </c>
      <c r="H283" t="str">
        <v>Orge d'hiver</v>
      </c>
    </row>
    <row r="284" spans="1:8">
      <c r="A284" t="s">
        <v>138</v>
      </c>
      <c r="B284">
        <v>29980.57</v>
      </c>
      <c r="C284">
        <v>3848.02</v>
      </c>
      <c r="D284">
        <v>24.53</v>
      </c>
      <c r="E284">
        <v>24.53</v>
      </c>
      <c r="F284">
        <v>0.12835046164899466</v>
      </c>
      <c r="G284">
        <v>1</v>
      </c>
      <c r="H284" t="str">
        <v>Blé de force</v>
      </c>
    </row>
    <row r="285" spans="1:8">
      <c r="A285" t="s">
        <v>140</v>
      </c>
      <c r="B285">
        <v>18186.400000000001</v>
      </c>
      <c r="C285">
        <v>203.64</v>
      </c>
      <c r="D285">
        <v>17.899999999999999</v>
      </c>
      <c r="E285">
        <v>17.899999999999999</v>
      </c>
      <c r="F285">
        <v>1.1197378260678308E-2</v>
      </c>
      <c r="G285">
        <v>1</v>
      </c>
      <c r="H285" t="str">
        <v>Blé dur d'hiver</v>
      </c>
    </row>
    <row r="286" spans="1:8">
      <c r="A286" t="s">
        <v>27</v>
      </c>
      <c r="B286">
        <v>3593.05</v>
      </c>
      <c r="C286">
        <v>185.96</v>
      </c>
      <c r="D286">
        <v>3.09</v>
      </c>
      <c r="E286">
        <v>3.09</v>
      </c>
      <c r="F286">
        <v>5.1755472370270381E-2</v>
      </c>
      <c r="G286">
        <v>1</v>
      </c>
      <c r="H286" t="str">
        <v>Colza d'hiver</v>
      </c>
    </row>
    <row r="287" spans="1:8">
      <c r="A287" t="s">
        <v>140</v>
      </c>
      <c r="B287">
        <v>11422.32</v>
      </c>
      <c r="C287">
        <v>1543.9</v>
      </c>
      <c r="D287">
        <v>10.46</v>
      </c>
      <c r="E287">
        <v>10.46</v>
      </c>
      <c r="F287">
        <v>0.13516518535638997</v>
      </c>
      <c r="G287">
        <v>1</v>
      </c>
      <c r="H287" t="str">
        <v>Blé dur d'hiver</v>
      </c>
    </row>
    <row r="288" spans="1:8">
      <c r="A288" t="s">
        <v>27</v>
      </c>
      <c r="B288">
        <v>15186.78</v>
      </c>
      <c r="C288">
        <v>1048.6099999999999</v>
      </c>
      <c r="D288">
        <v>14.18</v>
      </c>
      <c r="E288">
        <v>14.18</v>
      </c>
      <c r="F288">
        <v>6.9047553200876022E-2</v>
      </c>
      <c r="G288">
        <v>1</v>
      </c>
      <c r="H288" t="str">
        <v>Colza d'hiver</v>
      </c>
    </row>
    <row r="289" spans="1:8">
      <c r="A289" t="s">
        <v>898</v>
      </c>
      <c r="B289">
        <v>27592.36</v>
      </c>
      <c r="C289">
        <v>12253.63</v>
      </c>
      <c r="D289">
        <v>20.39</v>
      </c>
      <c r="E289">
        <v>20.39</v>
      </c>
      <c r="F289">
        <v>0.44409503210308937</v>
      </c>
      <c r="G289">
        <v>1</v>
      </c>
      <c r="H289" t="str">
        <v>Maïs ensilage non irrigué</v>
      </c>
    </row>
    <row r="290" spans="1:8">
      <c r="A290" t="s">
        <v>163</v>
      </c>
      <c r="B290">
        <v>3286.14</v>
      </c>
      <c r="C290">
        <v>929.92</v>
      </c>
      <c r="D290">
        <v>5.72</v>
      </c>
      <c r="E290">
        <v>5.72</v>
      </c>
      <c r="F290">
        <v>0.28298246575008978</v>
      </c>
      <c r="G290">
        <v>1</v>
      </c>
      <c r="H290" t="str">
        <v>Triticale</v>
      </c>
    </row>
    <row r="291" spans="1:8">
      <c r="A291" t="s">
        <v>99</v>
      </c>
      <c r="B291">
        <v>95901.35</v>
      </c>
      <c r="C291">
        <v>2629.55</v>
      </c>
      <c r="D291">
        <v>89.93</v>
      </c>
      <c r="E291">
        <v>89.93</v>
      </c>
      <c r="F291">
        <v>2.7419322042911805E-2</v>
      </c>
      <c r="G291">
        <v>1</v>
      </c>
      <c r="H291" t="str">
        <v>Blé tendre d'hiver</v>
      </c>
    </row>
    <row r="292" spans="1:8">
      <c r="A292" t="s">
        <v>27</v>
      </c>
      <c r="B292">
        <v>11263.56</v>
      </c>
      <c r="C292">
        <v>6815.47</v>
      </c>
      <c r="D292">
        <v>12.19</v>
      </c>
      <c r="E292">
        <v>12.19</v>
      </c>
      <c r="F292">
        <v>0.60509022014354263</v>
      </c>
      <c r="G292">
        <v>1</v>
      </c>
      <c r="H292" t="str">
        <v>Colza d'hiver</v>
      </c>
    </row>
    <row r="293" spans="1:8">
      <c r="A293" t="s">
        <v>765</v>
      </c>
      <c r="B293">
        <v>15219.75</v>
      </c>
      <c r="C293">
        <v>4951.9799999999996</v>
      </c>
      <c r="D293">
        <v>16.25</v>
      </c>
      <c r="E293">
        <v>16.25</v>
      </c>
      <c r="F293">
        <v>0.32536539693490363</v>
      </c>
      <c r="G293">
        <v>1</v>
      </c>
      <c r="H293" t="str">
        <v>Tournesol</v>
      </c>
    </row>
    <row r="294" spans="1:8">
      <c r="A294" t="s">
        <v>99</v>
      </c>
      <c r="B294">
        <v>14950</v>
      </c>
      <c r="C294">
        <v>2793.75</v>
      </c>
      <c r="D294">
        <v>11.5</v>
      </c>
      <c r="E294">
        <v>7.3</v>
      </c>
      <c r="F294">
        <v>0.18687290969899664</v>
      </c>
      <c r="G294">
        <v>0.63478260869565217</v>
      </c>
      <c r="H294" t="str">
        <v>Blé tendre d'hiver</v>
      </c>
    </row>
    <row r="295" spans="1:8">
      <c r="A295" t="s">
        <v>140</v>
      </c>
      <c r="B295">
        <v>14322.6</v>
      </c>
      <c r="C295">
        <v>2987.96</v>
      </c>
      <c r="D295">
        <v>7.3</v>
      </c>
      <c r="E295">
        <v>7.3</v>
      </c>
      <c r="F295">
        <v>0.20861854691187354</v>
      </c>
      <c r="G295">
        <v>1</v>
      </c>
      <c r="H295" t="str">
        <v>Blé dur d'hiver</v>
      </c>
    </row>
    <row r="296" spans="1:8">
      <c r="A296" t="s">
        <v>550</v>
      </c>
      <c r="B296">
        <v>1646.4</v>
      </c>
      <c r="C296">
        <v>979.75</v>
      </c>
      <c r="D296">
        <v>2</v>
      </c>
      <c r="E296">
        <v>15</v>
      </c>
      <c r="F296">
        <v>0.59508624878522831</v>
      </c>
      <c r="G296">
        <v>7.5</v>
      </c>
      <c r="H296" t="str">
        <v>Lentilles</v>
      </c>
    </row>
    <row r="297" spans="1:8">
      <c r="A297" t="s">
        <v>140</v>
      </c>
      <c r="B297">
        <v>10629.36</v>
      </c>
      <c r="C297">
        <v>1346.04</v>
      </c>
      <c r="D297">
        <v>10.36</v>
      </c>
      <c r="E297">
        <v>10.36</v>
      </c>
      <c r="F297">
        <v>0.1266341529499424</v>
      </c>
      <c r="G297">
        <v>1</v>
      </c>
      <c r="H297" t="str">
        <v>Blé dur d'hiver</v>
      </c>
    </row>
    <row r="298" spans="1:8">
      <c r="A298" t="s">
        <v>99</v>
      </c>
      <c r="B298">
        <v>46711.62</v>
      </c>
      <c r="C298">
        <v>910.81</v>
      </c>
      <c r="D298">
        <v>37.520000000000003</v>
      </c>
      <c r="E298">
        <v>37.520000000000003</v>
      </c>
      <c r="F298">
        <v>1.9498574444645676E-2</v>
      </c>
      <c r="G298">
        <v>1</v>
      </c>
      <c r="H298" t="str">
        <v>Blé tendre d'hiver</v>
      </c>
    </row>
    <row r="299" spans="1:8">
      <c r="A299" t="s">
        <v>27</v>
      </c>
      <c r="B299">
        <v>7390.97</v>
      </c>
      <c r="C299">
        <v>695.59</v>
      </c>
      <c r="D299">
        <v>10.01</v>
      </c>
      <c r="E299">
        <v>10.01</v>
      </c>
      <c r="F299">
        <v>9.4113492545633393E-2</v>
      </c>
      <c r="G299">
        <v>1</v>
      </c>
      <c r="H299" t="str">
        <v>Colza d'hiver</v>
      </c>
    </row>
    <row r="300" spans="1:8">
      <c r="A300" t="s">
        <v>442</v>
      </c>
      <c r="B300">
        <v>5122</v>
      </c>
      <c r="C300">
        <v>1133.5899999999999</v>
      </c>
      <c r="D300">
        <v>6.34</v>
      </c>
      <c r="E300">
        <v>6.34</v>
      </c>
      <c r="F300">
        <v>0.22131784459195625</v>
      </c>
      <c r="G300">
        <v>1</v>
      </c>
      <c r="H300" t="str">
        <v>Lin oléagineux</v>
      </c>
    </row>
    <row r="301" spans="1:8">
      <c r="A301" t="s">
        <v>162</v>
      </c>
      <c r="B301">
        <v>2926</v>
      </c>
      <c r="C301">
        <v>528.75</v>
      </c>
      <c r="D301">
        <v>2.97</v>
      </c>
      <c r="E301">
        <v>2.97</v>
      </c>
      <c r="F301">
        <v>0.18070745044429254</v>
      </c>
      <c r="G301">
        <v>1</v>
      </c>
      <c r="H301" t="str">
        <v>Féveroles et fèves</v>
      </c>
    </row>
    <row r="302" spans="1:8">
      <c r="A302" t="s">
        <v>99</v>
      </c>
      <c r="B302">
        <v>28289.360000000001</v>
      </c>
      <c r="C302">
        <v>4238.04</v>
      </c>
      <c r="D302">
        <v>33.549999999999997</v>
      </c>
      <c r="E302">
        <v>33.54</v>
      </c>
      <c r="F302">
        <v>0.14981038807523395</v>
      </c>
      <c r="G302">
        <v>0.99970193740685553</v>
      </c>
      <c r="H302" t="str">
        <v>Blé tendre d'hiver</v>
      </c>
    </row>
    <row r="303" spans="1:8">
      <c r="A303" t="s">
        <v>27</v>
      </c>
      <c r="B303">
        <v>21777.56</v>
      </c>
      <c r="C303">
        <v>1589.69</v>
      </c>
      <c r="D303">
        <v>21.68</v>
      </c>
      <c r="E303">
        <v>21.67</v>
      </c>
      <c r="F303">
        <v>7.2996699354748645E-2</v>
      </c>
      <c r="G303">
        <v>0.99953874538745402</v>
      </c>
      <c r="H303" t="str">
        <v>Colza d'hiver</v>
      </c>
    </row>
    <row r="304" spans="1:8">
      <c r="A304" t="s">
        <v>183</v>
      </c>
      <c r="B304">
        <v>8693.92</v>
      </c>
      <c r="C304">
        <v>588.12</v>
      </c>
      <c r="D304">
        <v>8.4600000000000009</v>
      </c>
      <c r="E304">
        <v>8.4600000000000009</v>
      </c>
      <c r="F304">
        <v>6.7647275337247181E-2</v>
      </c>
      <c r="G304">
        <v>1</v>
      </c>
      <c r="H304" t="str">
        <v>Orge d'hiver</v>
      </c>
    </row>
    <row r="305" spans="1:8">
      <c r="A305" t="s">
        <v>140</v>
      </c>
      <c r="B305">
        <v>30002.25</v>
      </c>
      <c r="C305">
        <v>5689.8</v>
      </c>
      <c r="D305">
        <v>25</v>
      </c>
      <c r="E305">
        <v>25</v>
      </c>
      <c r="F305">
        <v>0.18964577656675749</v>
      </c>
      <c r="G305">
        <v>1</v>
      </c>
      <c r="H305" t="str">
        <v>Blé dur d'hiver</v>
      </c>
    </row>
    <row r="306" spans="1:8">
      <c r="A306" t="s">
        <v>99</v>
      </c>
      <c r="B306">
        <v>8055.6</v>
      </c>
      <c r="C306">
        <v>1406.58</v>
      </c>
      <c r="D306">
        <v>9.59</v>
      </c>
      <c r="E306">
        <v>9.58</v>
      </c>
      <c r="F306">
        <v>0.17460896767466108</v>
      </c>
      <c r="G306">
        <v>0.99895724713242962</v>
      </c>
      <c r="H306" t="str">
        <v>Blé tendre d'hiver</v>
      </c>
    </row>
    <row r="307" spans="1:8">
      <c r="A307" t="s">
        <v>140</v>
      </c>
      <c r="B307">
        <v>29630.22</v>
      </c>
      <c r="C307">
        <v>11888.92</v>
      </c>
      <c r="D307">
        <v>24.69</v>
      </c>
      <c r="E307">
        <v>24.68</v>
      </c>
      <c r="F307">
        <v>0.4012430552321245</v>
      </c>
      <c r="G307">
        <v>0.9995949777237747</v>
      </c>
      <c r="H307" t="str">
        <v>Blé dur d'hiver</v>
      </c>
    </row>
    <row r="308" spans="1:8">
      <c r="A308" t="s">
        <v>183</v>
      </c>
      <c r="B308">
        <v>21529.24</v>
      </c>
      <c r="C308">
        <v>9809.25</v>
      </c>
      <c r="D308">
        <v>23.46</v>
      </c>
      <c r="E308">
        <v>23.46</v>
      </c>
      <c r="F308">
        <v>0.45562453667663139</v>
      </c>
      <c r="G308">
        <v>1</v>
      </c>
      <c r="H308" t="str">
        <v>Orge d'hiver</v>
      </c>
    </row>
    <row r="309" spans="1:8">
      <c r="A309" t="s">
        <v>162</v>
      </c>
      <c r="B309">
        <v>764.4</v>
      </c>
      <c r="C309">
        <v>538.72</v>
      </c>
      <c r="D309">
        <v>2.6</v>
      </c>
      <c r="E309">
        <v>2.6</v>
      </c>
      <c r="F309">
        <v>0.70476190476190481</v>
      </c>
      <c r="G309">
        <v>1</v>
      </c>
      <c r="H309" t="str">
        <v>Féveroles et fèves</v>
      </c>
    </row>
    <row r="310" spans="1:8">
      <c r="A310" t="s">
        <v>99</v>
      </c>
      <c r="B310">
        <v>106548</v>
      </c>
      <c r="C310">
        <v>156</v>
      </c>
      <c r="D310">
        <v>78</v>
      </c>
      <c r="E310">
        <v>78</v>
      </c>
      <c r="F310">
        <v>1.4641288433382138E-3</v>
      </c>
      <c r="G310">
        <v>1</v>
      </c>
      <c r="H310" t="str">
        <v>Blé tendre d'hiver</v>
      </c>
    </row>
    <row r="311" spans="1:8">
      <c r="A311" t="s">
        <v>27</v>
      </c>
      <c r="B311">
        <v>58307</v>
      </c>
      <c r="C311">
        <v>2743.25</v>
      </c>
      <c r="D311">
        <v>39.799999999999997</v>
      </c>
      <c r="E311">
        <v>39.799999999999997</v>
      </c>
      <c r="F311">
        <v>4.7048381840945341E-2</v>
      </c>
      <c r="G311">
        <v>1</v>
      </c>
      <c r="H311" t="str">
        <v>Colza d'hiver</v>
      </c>
    </row>
    <row r="312" spans="1:8">
      <c r="A312" t="s">
        <v>183</v>
      </c>
      <c r="B312">
        <v>20851.599999999999</v>
      </c>
      <c r="C312">
        <v>594.44000000000005</v>
      </c>
      <c r="D312">
        <v>22</v>
      </c>
      <c r="E312">
        <v>22</v>
      </c>
      <c r="F312">
        <v>2.8508124076809457E-2</v>
      </c>
      <c r="G312">
        <v>1</v>
      </c>
      <c r="H312" t="str">
        <v>Orge d'hiver</v>
      </c>
    </row>
    <row r="313" spans="1:8">
      <c r="A313" t="s">
        <v>99</v>
      </c>
      <c r="B313">
        <v>131802.09</v>
      </c>
      <c r="C313">
        <v>13629.07</v>
      </c>
      <c r="D313">
        <v>92.74</v>
      </c>
      <c r="E313">
        <v>92.74</v>
      </c>
      <c r="F313">
        <v>0.10340556815146103</v>
      </c>
      <c r="G313">
        <v>1</v>
      </c>
      <c r="H313" t="str">
        <v>Blé tendre d'hiver</v>
      </c>
    </row>
    <row r="314" spans="1:8">
      <c r="A314" t="s">
        <v>183</v>
      </c>
      <c r="B314">
        <v>88061.74</v>
      </c>
      <c r="C314">
        <v>10441.39</v>
      </c>
      <c r="D314">
        <v>75.010000000000005</v>
      </c>
      <c r="E314">
        <v>75.010000000000005</v>
      </c>
      <c r="F314">
        <v>0.11856897217792879</v>
      </c>
      <c r="G314">
        <v>1</v>
      </c>
      <c r="H314" t="str">
        <v>Orge d'hiver</v>
      </c>
    </row>
    <row r="315" spans="1:8">
      <c r="A315" t="s">
        <v>866</v>
      </c>
      <c r="B315">
        <v>3107.1</v>
      </c>
      <c r="C315">
        <v>332.14</v>
      </c>
      <c r="D315">
        <v>10.43</v>
      </c>
      <c r="E315">
        <v>10.43</v>
      </c>
      <c r="F315">
        <v>0.10689710662675807</v>
      </c>
      <c r="G315">
        <v>1</v>
      </c>
      <c r="H315" t="str">
        <v>Maïs grain non irrigué</v>
      </c>
    </row>
    <row r="316" spans="1:8">
      <c r="A316" t="s">
        <v>898</v>
      </c>
      <c r="B316">
        <v>14661.98</v>
      </c>
      <c r="C316">
        <v>1432.91</v>
      </c>
      <c r="D316">
        <v>9.0399999999999991</v>
      </c>
      <c r="E316">
        <v>9.0399999999999991</v>
      </c>
      <c r="F316">
        <v>9.7729638152555115E-2</v>
      </c>
      <c r="G316">
        <v>1</v>
      </c>
      <c r="H316" t="str">
        <v>Maïs ensilage non irrigué</v>
      </c>
    </row>
    <row r="317" spans="1:8">
      <c r="A317" t="s">
        <v>866</v>
      </c>
      <c r="B317">
        <v>9003.85</v>
      </c>
      <c r="C317">
        <v>298.07</v>
      </c>
      <c r="D317">
        <v>9.36</v>
      </c>
      <c r="E317">
        <v>9.36</v>
      </c>
      <c r="F317">
        <v>3.3104727422158295E-2</v>
      </c>
      <c r="G317">
        <v>1</v>
      </c>
      <c r="H317" t="str">
        <v>Maïs grain non irrigué</v>
      </c>
    </row>
    <row r="318" spans="1:8">
      <c r="A318" t="s">
        <v>898</v>
      </c>
      <c r="B318">
        <v>9385.1299999999992</v>
      </c>
      <c r="C318">
        <v>1629.46</v>
      </c>
      <c r="D318">
        <v>10.28</v>
      </c>
      <c r="E318">
        <v>10.28</v>
      </c>
      <c r="F318">
        <v>0.17362146288863342</v>
      </c>
      <c r="G318">
        <v>1</v>
      </c>
      <c r="H318" t="str">
        <v>Maïs ensilage non irrigué</v>
      </c>
    </row>
    <row r="319" spans="1:8">
      <c r="A319" t="s">
        <v>207</v>
      </c>
      <c r="B319">
        <v>3244.61</v>
      </c>
      <c r="C319">
        <v>449.13</v>
      </c>
      <c r="D319">
        <v>5.16</v>
      </c>
      <c r="E319">
        <v>5.16</v>
      </c>
      <c r="F319">
        <v>0.13842341606541309</v>
      </c>
      <c r="G319">
        <v>1</v>
      </c>
      <c r="H319" t="str">
        <v>Seigle et méteil</v>
      </c>
    </row>
    <row r="320" spans="1:8">
      <c r="A320" t="s">
        <v>99</v>
      </c>
      <c r="B320">
        <v>46592.56</v>
      </c>
      <c r="C320">
        <v>1819.16</v>
      </c>
      <c r="D320">
        <v>42.28</v>
      </c>
      <c r="E320">
        <v>42.28</v>
      </c>
      <c r="F320">
        <v>3.9044001874977467E-2</v>
      </c>
      <c r="G320">
        <v>1</v>
      </c>
      <c r="H320" t="str">
        <v>Blé tendre d'hiver</v>
      </c>
    </row>
    <row r="321" spans="1:8">
      <c r="A321" t="s">
        <v>442</v>
      </c>
      <c r="B321">
        <v>11116.04</v>
      </c>
      <c r="C321">
        <v>423.47</v>
      </c>
      <c r="D321">
        <v>13.07</v>
      </c>
      <c r="E321">
        <v>13.07</v>
      </c>
      <c r="F321">
        <v>3.8095400880169557E-2</v>
      </c>
      <c r="G321">
        <v>1</v>
      </c>
      <c r="H321" t="str">
        <v>Lin oléagineux</v>
      </c>
    </row>
    <row r="322" spans="1:8">
      <c r="A322" t="s">
        <v>1300</v>
      </c>
      <c r="B322">
        <v>19059.3</v>
      </c>
      <c r="C322">
        <v>3067.47</v>
      </c>
      <c r="D322">
        <v>10.86</v>
      </c>
      <c r="E322">
        <v>10.86</v>
      </c>
      <c r="F322">
        <v>0.16094347641308968</v>
      </c>
      <c r="G322">
        <v>1</v>
      </c>
      <c r="H322" t="str">
        <v>Colza de printemps</v>
      </c>
    </row>
    <row r="323" spans="1:8">
      <c r="A323" t="s">
        <v>163</v>
      </c>
      <c r="B323">
        <v>8206.35</v>
      </c>
      <c r="C323">
        <v>966.56</v>
      </c>
      <c r="D323">
        <v>6.43</v>
      </c>
      <c r="E323">
        <v>6.43</v>
      </c>
      <c r="F323">
        <v>0.11778196152979094</v>
      </c>
      <c r="G323">
        <v>1</v>
      </c>
      <c r="H323" t="str">
        <v>Triticale</v>
      </c>
    </row>
    <row r="324" spans="1:8">
      <c r="A324" t="s">
        <v>765</v>
      </c>
      <c r="B324">
        <v>35054.9</v>
      </c>
      <c r="C324">
        <v>15344.45</v>
      </c>
      <c r="D324">
        <v>36.21</v>
      </c>
      <c r="E324">
        <v>36.21</v>
      </c>
      <c r="F324">
        <v>0.43772625225004208</v>
      </c>
      <c r="G324">
        <v>1</v>
      </c>
      <c r="H324" t="str">
        <v>Tournesol</v>
      </c>
    </row>
    <row r="325" spans="1:8">
      <c r="A325" t="s">
        <v>99</v>
      </c>
      <c r="B325">
        <v>14833.9</v>
      </c>
      <c r="C325">
        <v>1061.0999999999999</v>
      </c>
      <c r="D325">
        <v>13.96</v>
      </c>
      <c r="E325">
        <v>13.96</v>
      </c>
      <c r="F325">
        <v>7.1532098773754701E-2</v>
      </c>
      <c r="G325">
        <v>1</v>
      </c>
      <c r="H325" t="str">
        <v>Blé tendre d'hiver</v>
      </c>
    </row>
    <row r="326" spans="1:8">
      <c r="A326" t="s">
        <v>814</v>
      </c>
      <c r="B326">
        <v>42025.2</v>
      </c>
      <c r="C326">
        <v>35721.42</v>
      </c>
      <c r="D326">
        <v>50.03</v>
      </c>
      <c r="E326">
        <v>50.03</v>
      </c>
      <c r="F326">
        <v>0.85</v>
      </c>
      <c r="G326">
        <v>1</v>
      </c>
      <c r="H326" t="str">
        <v>Soja</v>
      </c>
    </row>
    <row r="327" spans="1:8">
      <c r="A327" t="s">
        <v>866</v>
      </c>
      <c r="B327">
        <v>32869.54</v>
      </c>
      <c r="C327">
        <v>14788.71</v>
      </c>
      <c r="D327">
        <v>28.19</v>
      </c>
      <c r="E327">
        <v>28.19</v>
      </c>
      <c r="F327">
        <v>0.4499214166063778</v>
      </c>
      <c r="G327">
        <v>1</v>
      </c>
      <c r="H327" t="str">
        <v>Maïs grain non irrigué</v>
      </c>
    </row>
    <row r="328" spans="1:8">
      <c r="A328" t="s">
        <v>138</v>
      </c>
      <c r="B328">
        <v>12517.2</v>
      </c>
      <c r="C328">
        <v>943.92</v>
      </c>
      <c r="D328">
        <v>8.5500000000000007</v>
      </c>
      <c r="E328">
        <v>8.5500000000000007</v>
      </c>
      <c r="F328">
        <v>7.5409836065573763E-2</v>
      </c>
      <c r="G328">
        <v>1</v>
      </c>
      <c r="H328" t="str">
        <v>Blé de force</v>
      </c>
    </row>
    <row r="329" spans="1:8">
      <c r="A329" t="s">
        <v>183</v>
      </c>
      <c r="B329">
        <v>7751.24</v>
      </c>
      <c r="C329">
        <v>113.09</v>
      </c>
      <c r="D329">
        <v>6.58</v>
      </c>
      <c r="E329">
        <v>6.58</v>
      </c>
      <c r="F329">
        <v>1.4589923676727854E-2</v>
      </c>
      <c r="G329">
        <v>1</v>
      </c>
      <c r="H329" t="str">
        <v>Orge d'hiver</v>
      </c>
    </row>
    <row r="330" spans="1:8">
      <c r="A330" t="s">
        <v>310</v>
      </c>
      <c r="B330">
        <v>3418.52</v>
      </c>
      <c r="C330">
        <v>938.46</v>
      </c>
      <c r="D330">
        <v>5.73</v>
      </c>
      <c r="E330">
        <v>5.73</v>
      </c>
      <c r="F330">
        <v>0.27452230789932486</v>
      </c>
      <c r="G330">
        <v>1</v>
      </c>
      <c r="H330" t="str">
        <v>Pois protéagineux</v>
      </c>
    </row>
    <row r="331" spans="1:8">
      <c r="A331" t="s">
        <v>137</v>
      </c>
      <c r="B331">
        <v>50195.199999999997</v>
      </c>
      <c r="C331">
        <v>2421.7600000000002</v>
      </c>
      <c r="D331">
        <v>32</v>
      </c>
      <c r="E331">
        <v>32</v>
      </c>
      <c r="F331">
        <v>4.8246844319775606E-2</v>
      </c>
      <c r="G331">
        <v>1</v>
      </c>
      <c r="H331" t="str">
        <v>Orge de printemps</v>
      </c>
    </row>
    <row r="332" spans="1:8">
      <c r="A332" t="s">
        <v>183</v>
      </c>
      <c r="B332">
        <v>22542</v>
      </c>
      <c r="C332">
        <v>921.4</v>
      </c>
      <c r="D332">
        <v>17</v>
      </c>
      <c r="E332">
        <v>17</v>
      </c>
      <c r="F332">
        <v>4.0874811463046758E-2</v>
      </c>
      <c r="G332">
        <v>1</v>
      </c>
      <c r="H332" t="str">
        <v>Orge d'hiver</v>
      </c>
    </row>
    <row r="333" spans="1:8">
      <c r="A333" t="s">
        <v>99</v>
      </c>
      <c r="B333">
        <v>38607.1</v>
      </c>
      <c r="C333">
        <v>2257.69</v>
      </c>
      <c r="D333">
        <v>38.24</v>
      </c>
      <c r="E333">
        <v>38.24</v>
      </c>
      <c r="F333">
        <v>5.8478621807905806E-2</v>
      </c>
      <c r="G333">
        <v>1</v>
      </c>
      <c r="H333" t="str">
        <v>Blé tendre d'hiver</v>
      </c>
    </row>
    <row r="334" spans="1:8">
      <c r="A334" t="s">
        <v>183</v>
      </c>
      <c r="B334">
        <v>37240.800000000003</v>
      </c>
      <c r="C334">
        <v>8899.92</v>
      </c>
      <c r="D334">
        <v>42.08</v>
      </c>
      <c r="E334">
        <v>42.08</v>
      </c>
      <c r="F334">
        <v>0.23898305084745761</v>
      </c>
      <c r="G334">
        <v>1</v>
      </c>
      <c r="H334" t="str">
        <v>Orge d'hiver</v>
      </c>
    </row>
    <row r="335" spans="1:8">
      <c r="A335" t="s">
        <v>27</v>
      </c>
      <c r="B335">
        <v>58296</v>
      </c>
      <c r="C335">
        <v>3500.26</v>
      </c>
      <c r="D335">
        <v>42</v>
      </c>
      <c r="E335">
        <v>8.08</v>
      </c>
      <c r="F335">
        <v>6.0042884588994101E-2</v>
      </c>
      <c r="G335">
        <v>0.19238095238095237</v>
      </c>
      <c r="H335" t="str">
        <v>Colza d'hiver</v>
      </c>
    </row>
    <row r="336" spans="1:8">
      <c r="A336" t="s">
        <v>137</v>
      </c>
      <c r="B336">
        <v>15030.4</v>
      </c>
      <c r="C336">
        <v>4347.2</v>
      </c>
      <c r="D336">
        <v>15.4</v>
      </c>
      <c r="E336">
        <v>13</v>
      </c>
      <c r="F336">
        <v>0.28922716627634659</v>
      </c>
      <c r="G336">
        <v>0.8441558441558441</v>
      </c>
      <c r="H336" t="str">
        <v>Orge de printemps</v>
      </c>
    </row>
    <row r="337" spans="1:8">
      <c r="A337" t="s">
        <v>162</v>
      </c>
      <c r="B337">
        <v>6935.04</v>
      </c>
      <c r="C337">
        <v>1265.6400000000001</v>
      </c>
      <c r="D337">
        <v>7.74</v>
      </c>
      <c r="E337">
        <v>7.4</v>
      </c>
      <c r="F337">
        <v>0.18249930786267998</v>
      </c>
      <c r="G337">
        <v>0.95607235142118863</v>
      </c>
      <c r="H337" t="str">
        <v>Féveroles et fèves</v>
      </c>
    </row>
    <row r="338" spans="1:8">
      <c r="A338" t="s">
        <v>183</v>
      </c>
      <c r="B338">
        <v>26686.26</v>
      </c>
      <c r="C338">
        <v>4053.85</v>
      </c>
      <c r="D338">
        <v>38.76</v>
      </c>
      <c r="E338">
        <v>17</v>
      </c>
      <c r="F338">
        <v>0.15190776077277221</v>
      </c>
      <c r="G338">
        <v>0.43859649122807021</v>
      </c>
      <c r="H338" t="str">
        <v>Orge d'hiver</v>
      </c>
    </row>
    <row r="339" spans="1:8">
      <c r="A339" t="s">
        <v>295</v>
      </c>
      <c r="B339">
        <v>1578.24</v>
      </c>
      <c r="C339">
        <v>262.45999999999998</v>
      </c>
      <c r="D339">
        <v>3.2</v>
      </c>
      <c r="E339">
        <v>3.2</v>
      </c>
      <c r="F339">
        <v>0.16629916869424166</v>
      </c>
      <c r="G339">
        <v>1</v>
      </c>
      <c r="H339" t="str">
        <v>Avoine d'hiver</v>
      </c>
    </row>
    <row r="340" spans="1:8">
      <c r="A340" t="s">
        <v>99</v>
      </c>
      <c r="B340">
        <v>20326.64</v>
      </c>
      <c r="C340">
        <v>4332.68</v>
      </c>
      <c r="D340">
        <v>18.649999999999999</v>
      </c>
      <c r="E340">
        <v>18.649999999999999</v>
      </c>
      <c r="F340">
        <v>0.21315278865567552</v>
      </c>
      <c r="G340">
        <v>1</v>
      </c>
      <c r="H340" t="str">
        <v>Blé tendre d'hiver</v>
      </c>
    </row>
    <row r="341" spans="1:8">
      <c r="A341" t="s">
        <v>163</v>
      </c>
      <c r="B341">
        <v>15515.32</v>
      </c>
      <c r="C341">
        <v>1715.49</v>
      </c>
      <c r="D341">
        <v>20.9</v>
      </c>
      <c r="E341">
        <v>20.9</v>
      </c>
      <c r="F341">
        <v>0.11056749071240554</v>
      </c>
      <c r="G341">
        <v>1</v>
      </c>
      <c r="H341" t="str">
        <v>Triticale</v>
      </c>
    </row>
    <row r="342" spans="1:8">
      <c r="A342" t="s">
        <v>27</v>
      </c>
      <c r="B342">
        <v>40257.379999999997</v>
      </c>
      <c r="C342">
        <v>7647.81</v>
      </c>
      <c r="D342">
        <v>34.630000000000003</v>
      </c>
      <c r="E342">
        <v>34.630000000000003</v>
      </c>
      <c r="F342">
        <v>0.18997286957074705</v>
      </c>
      <c r="G342">
        <v>1</v>
      </c>
      <c r="H342" t="str">
        <v>Colza d'hiver</v>
      </c>
    </row>
    <row r="343" spans="1:8">
      <c r="A343" t="s">
        <v>99</v>
      </c>
      <c r="B343">
        <v>36448.559999999998</v>
      </c>
      <c r="C343">
        <v>1466.42</v>
      </c>
      <c r="D343">
        <v>32.659999999999997</v>
      </c>
      <c r="E343">
        <v>32.659999999999997</v>
      </c>
      <c r="F343">
        <v>4.0232590807428338E-2</v>
      </c>
      <c r="G343">
        <v>1</v>
      </c>
      <c r="H343" t="str">
        <v>Blé tendre d'hiver</v>
      </c>
    </row>
    <row r="344" spans="1:8">
      <c r="A344" t="s">
        <v>99</v>
      </c>
      <c r="B344">
        <v>119537.93</v>
      </c>
      <c r="C344">
        <v>793.92</v>
      </c>
      <c r="D344">
        <v>99.6</v>
      </c>
      <c r="E344">
        <v>23</v>
      </c>
      <c r="F344">
        <v>6.6415739338969645E-3</v>
      </c>
      <c r="G344">
        <v>0.23092369477911648</v>
      </c>
      <c r="H344" t="str">
        <v>Blé tendre d'hiver</v>
      </c>
    </row>
    <row r="345" spans="1:8">
      <c r="A345" t="s">
        <v>99</v>
      </c>
      <c r="B345">
        <v>104566.15</v>
      </c>
      <c r="C345">
        <v>8043.55</v>
      </c>
      <c r="D345">
        <v>94.63</v>
      </c>
      <c r="E345">
        <v>94.63</v>
      </c>
      <c r="F345">
        <v>7.6923076923076927E-2</v>
      </c>
      <c r="G345">
        <v>1</v>
      </c>
      <c r="H345" t="str">
        <v>Blé tendre d'hiver</v>
      </c>
    </row>
    <row r="346" spans="1:8">
      <c r="A346" t="s">
        <v>162</v>
      </c>
      <c r="B346">
        <v>6953.8</v>
      </c>
      <c r="C346">
        <v>702.86</v>
      </c>
      <c r="D346">
        <v>20.77</v>
      </c>
      <c r="E346">
        <v>20.77</v>
      </c>
      <c r="F346">
        <v>0.1010756708562225</v>
      </c>
      <c r="G346">
        <v>1</v>
      </c>
      <c r="H346" t="str">
        <v>Féveroles et fèves</v>
      </c>
    </row>
    <row r="347" spans="1:8">
      <c r="A347" t="s">
        <v>137</v>
      </c>
      <c r="B347">
        <v>23122.94</v>
      </c>
      <c r="C347">
        <v>2638.39</v>
      </c>
      <c r="D347">
        <v>30.88</v>
      </c>
      <c r="E347">
        <v>30.88</v>
      </c>
      <c r="F347">
        <v>0.11410270493285024</v>
      </c>
      <c r="G347">
        <v>1</v>
      </c>
      <c r="H347" t="str">
        <v>Orge de printemps</v>
      </c>
    </row>
    <row r="348" spans="1:8">
      <c r="A348" t="s">
        <v>183</v>
      </c>
      <c r="B348">
        <v>33768</v>
      </c>
      <c r="C348">
        <v>2026.08</v>
      </c>
      <c r="D348">
        <v>37.520000000000003</v>
      </c>
      <c r="E348">
        <v>37.520000000000003</v>
      </c>
      <c r="F348">
        <v>0.06</v>
      </c>
      <c r="G348">
        <v>1</v>
      </c>
      <c r="H348" t="str">
        <v>Orge d'hiver</v>
      </c>
    </row>
    <row r="349" spans="1:8">
      <c r="A349" t="s">
        <v>310</v>
      </c>
      <c r="B349">
        <v>13212.4</v>
      </c>
      <c r="C349">
        <v>3421.42</v>
      </c>
      <c r="D349">
        <v>29</v>
      </c>
      <c r="E349">
        <v>29</v>
      </c>
      <c r="F349">
        <v>0.25895522388059705</v>
      </c>
      <c r="G349">
        <v>1</v>
      </c>
      <c r="H349" t="str">
        <v>Pois protéagineux</v>
      </c>
    </row>
    <row r="350" spans="1:8">
      <c r="A350" t="s">
        <v>310</v>
      </c>
      <c r="B350">
        <v>31412.48</v>
      </c>
      <c r="C350">
        <v>7294.4</v>
      </c>
      <c r="D350">
        <v>62.08</v>
      </c>
      <c r="E350">
        <v>62.07</v>
      </c>
      <c r="F350">
        <v>0.23221343873517786</v>
      </c>
      <c r="G350">
        <v>0.99983891752577325</v>
      </c>
      <c r="H350" t="str">
        <v>Pois protéagineux</v>
      </c>
    </row>
    <row r="351" spans="1:8">
      <c r="A351" t="s">
        <v>99</v>
      </c>
      <c r="B351">
        <v>74282.179999999993</v>
      </c>
      <c r="C351">
        <v>1916.73</v>
      </c>
      <c r="D351">
        <v>70.209999999999994</v>
      </c>
      <c r="E351">
        <v>70.209999999999994</v>
      </c>
      <c r="F351">
        <v>2.5803362259965986E-2</v>
      </c>
      <c r="G351">
        <v>1</v>
      </c>
      <c r="H351" t="str">
        <v>Blé tendre d'hiver</v>
      </c>
    </row>
    <row r="352" spans="1:8">
      <c r="A352" t="s">
        <v>137</v>
      </c>
      <c r="B352">
        <v>37559.160000000003</v>
      </c>
      <c r="C352">
        <v>1985.53</v>
      </c>
      <c r="D352">
        <v>44.82</v>
      </c>
      <c r="E352">
        <v>44.82</v>
      </c>
      <c r="F352">
        <v>5.2864068312496869E-2</v>
      </c>
      <c r="G352">
        <v>1</v>
      </c>
      <c r="H352" t="str">
        <v>Orge de printemps</v>
      </c>
    </row>
    <row r="353" spans="1:8">
      <c r="A353" t="s">
        <v>765</v>
      </c>
      <c r="B353">
        <v>74117.84</v>
      </c>
      <c r="C353">
        <v>12732.12</v>
      </c>
      <c r="D353">
        <v>9.73</v>
      </c>
      <c r="E353">
        <v>9.73</v>
      </c>
      <c r="F353">
        <v>0.17178212424970832</v>
      </c>
      <c r="G353">
        <v>1</v>
      </c>
      <c r="H353" t="str">
        <v>Tournesol</v>
      </c>
    </row>
    <row r="354" spans="1:8">
      <c r="A354" t="s">
        <v>183</v>
      </c>
      <c r="B354">
        <v>27433.14</v>
      </c>
      <c r="C354">
        <v>500</v>
      </c>
      <c r="D354">
        <v>21.07</v>
      </c>
      <c r="E354">
        <v>21.07</v>
      </c>
      <c r="F354">
        <v>1.8226130876742509E-2</v>
      </c>
      <c r="G354">
        <v>1</v>
      </c>
      <c r="H354" t="str">
        <v>Orge d'hiver</v>
      </c>
    </row>
    <row r="355" spans="1:8">
      <c r="A355" t="s">
        <v>310</v>
      </c>
      <c r="B355">
        <v>4983.83</v>
      </c>
      <c r="C355">
        <v>41.4</v>
      </c>
      <c r="D355">
        <v>5.62</v>
      </c>
      <c r="E355">
        <v>5.62</v>
      </c>
      <c r="F355">
        <v>8.3068643994678795E-3</v>
      </c>
      <c r="G355">
        <v>1</v>
      </c>
      <c r="H355" t="str">
        <v>Pois protéagineux</v>
      </c>
    </row>
    <row r="356" spans="1:8">
      <c r="A356" t="s">
        <v>99</v>
      </c>
      <c r="B356">
        <v>26507.200000000001</v>
      </c>
      <c r="C356">
        <v>1101.6199999999999</v>
      </c>
      <c r="D356">
        <v>21.92</v>
      </c>
      <c r="E356">
        <v>21.92</v>
      </c>
      <c r="F356">
        <v>4.1559274461278439E-2</v>
      </c>
      <c r="G356">
        <v>1</v>
      </c>
      <c r="H356" t="str">
        <v>Blé tendre d'hiver</v>
      </c>
    </row>
    <row r="357" spans="1:8">
      <c r="A357" t="s">
        <v>27</v>
      </c>
      <c r="B357">
        <v>13597.25</v>
      </c>
      <c r="C357">
        <v>4912.88</v>
      </c>
      <c r="D357">
        <v>12.5</v>
      </c>
      <c r="E357">
        <v>12.5</v>
      </c>
      <c r="F357">
        <v>0.36131423633455295</v>
      </c>
      <c r="G357">
        <v>1</v>
      </c>
      <c r="H357" t="str">
        <v>Colza d'hiver</v>
      </c>
    </row>
    <row r="358" spans="1:8">
      <c r="A358" t="s">
        <v>140</v>
      </c>
      <c r="B358">
        <v>29249.18</v>
      </c>
      <c r="C358">
        <v>2636.1</v>
      </c>
      <c r="D358">
        <v>16.41</v>
      </c>
      <c r="E358">
        <v>16.41</v>
      </c>
      <c r="F358">
        <v>9.0125603521192726E-2</v>
      </c>
      <c r="G358">
        <v>1</v>
      </c>
      <c r="H358" t="str">
        <v>Blé dur d'hiver</v>
      </c>
    </row>
    <row r="359" spans="1:8">
      <c r="A359" t="s">
        <v>137</v>
      </c>
      <c r="B359">
        <v>14392.73</v>
      </c>
      <c r="C359">
        <v>7145.86</v>
      </c>
      <c r="D359">
        <v>13.36</v>
      </c>
      <c r="E359">
        <v>13.36</v>
      </c>
      <c r="F359">
        <v>0.49649093674375883</v>
      </c>
      <c r="G359">
        <v>1</v>
      </c>
      <c r="H359" t="str">
        <v>Orge de printemps</v>
      </c>
    </row>
    <row r="360" spans="1:8">
      <c r="A360" t="s">
        <v>99</v>
      </c>
      <c r="B360">
        <v>41164.44</v>
      </c>
      <c r="C360">
        <v>4993.58</v>
      </c>
      <c r="D360">
        <v>38.770000000000003</v>
      </c>
      <c r="E360">
        <v>38.770000000000003</v>
      </c>
      <c r="F360">
        <v>0.12130809990370328</v>
      </c>
      <c r="G360">
        <v>1</v>
      </c>
      <c r="H360" t="str">
        <v>Blé tendre d'hiver</v>
      </c>
    </row>
    <row r="361" spans="1:8">
      <c r="A361" t="s">
        <v>183</v>
      </c>
      <c r="B361">
        <v>16914.22</v>
      </c>
      <c r="C361">
        <v>1353.51</v>
      </c>
      <c r="D361">
        <v>14.76</v>
      </c>
      <c r="E361">
        <v>14.76</v>
      </c>
      <c r="F361">
        <v>8.0022016977430818E-2</v>
      </c>
      <c r="G361">
        <v>1</v>
      </c>
      <c r="H361" t="str">
        <v>Orge d'hiver</v>
      </c>
    </row>
    <row r="362" spans="1:8">
      <c r="A362" t="s">
        <v>27</v>
      </c>
      <c r="B362">
        <v>31932.16</v>
      </c>
      <c r="C362">
        <v>1588.7</v>
      </c>
      <c r="D362">
        <v>20.2</v>
      </c>
      <c r="E362">
        <v>20.2</v>
      </c>
      <c r="F362">
        <v>4.9752349981961763E-2</v>
      </c>
      <c r="G362">
        <v>1</v>
      </c>
      <c r="H362" t="str">
        <v>Colza d'hiver</v>
      </c>
    </row>
    <row r="363" spans="1:8">
      <c r="A363" t="s">
        <v>137</v>
      </c>
      <c r="B363">
        <v>20365.830000000002</v>
      </c>
      <c r="C363">
        <v>2149.62</v>
      </c>
      <c r="D363">
        <v>15.3</v>
      </c>
      <c r="E363">
        <v>15.3</v>
      </c>
      <c r="F363">
        <v>0.10555032620816336</v>
      </c>
      <c r="G363">
        <v>1</v>
      </c>
      <c r="H363" t="str">
        <v>Orge de printemps</v>
      </c>
    </row>
    <row r="364" spans="1:8">
      <c r="A364" t="s">
        <v>140</v>
      </c>
      <c r="B364">
        <v>18520</v>
      </c>
      <c r="C364">
        <v>118.3</v>
      </c>
      <c r="D364">
        <v>10</v>
      </c>
      <c r="E364">
        <v>10</v>
      </c>
      <c r="F364">
        <v>6.3876889848812094E-3</v>
      </c>
      <c r="G364">
        <v>1</v>
      </c>
      <c r="H364" t="str">
        <v>Blé dur d'hiver</v>
      </c>
    </row>
    <row r="365" spans="1:8">
      <c r="A365" t="s">
        <v>99</v>
      </c>
      <c r="B365">
        <v>81796</v>
      </c>
      <c r="C365">
        <v>10904.1</v>
      </c>
      <c r="D365">
        <v>55</v>
      </c>
      <c r="E365">
        <v>55</v>
      </c>
      <c r="F365">
        <v>0.13330847474204119</v>
      </c>
      <c r="G365">
        <v>1</v>
      </c>
      <c r="H365" t="str">
        <v>Blé tendre d'hiver</v>
      </c>
    </row>
    <row r="366" spans="1:8">
      <c r="A366" t="s">
        <v>1372</v>
      </c>
      <c r="B366">
        <v>38454</v>
      </c>
      <c r="C366">
        <v>4082.04</v>
      </c>
      <c r="D366">
        <v>24.65</v>
      </c>
      <c r="E366">
        <v>24.65</v>
      </c>
      <c r="F366">
        <v>0.10615384615384615</v>
      </c>
      <c r="G366">
        <v>1</v>
      </c>
      <c r="H366" t="str">
        <v>Oeillette</v>
      </c>
    </row>
    <row r="367" spans="1:8">
      <c r="A367" t="s">
        <v>310</v>
      </c>
      <c r="B367">
        <v>34950.160000000003</v>
      </c>
      <c r="C367">
        <v>4444.6499999999996</v>
      </c>
      <c r="D367">
        <v>29.05</v>
      </c>
      <c r="E367">
        <v>29.05</v>
      </c>
      <c r="F367">
        <v>0.12717109163448748</v>
      </c>
      <c r="G367">
        <v>1</v>
      </c>
      <c r="H367" t="str">
        <v>Pois protéagineux</v>
      </c>
    </row>
    <row r="368" spans="1:8">
      <c r="A368" t="s">
        <v>140</v>
      </c>
      <c r="B368">
        <v>62035.05</v>
      </c>
      <c r="C368">
        <v>6086.04</v>
      </c>
      <c r="D368">
        <v>25.31</v>
      </c>
      <c r="E368">
        <v>25.31</v>
      </c>
      <c r="F368">
        <v>9.8106473678992764E-2</v>
      </c>
      <c r="G368">
        <v>1</v>
      </c>
      <c r="H368" t="str">
        <v>Blé dur d'hiver</v>
      </c>
    </row>
    <row r="369" spans="1:8">
      <c r="A369" t="s">
        <v>99</v>
      </c>
      <c r="B369">
        <v>16400.400000000001</v>
      </c>
      <c r="C369">
        <v>3111.51</v>
      </c>
      <c r="D369">
        <v>12</v>
      </c>
      <c r="E369">
        <v>12</v>
      </c>
      <c r="F369">
        <v>0.18972159215628887</v>
      </c>
      <c r="G369">
        <v>1</v>
      </c>
      <c r="H369" t="str">
        <v>Blé tendre d'hiver</v>
      </c>
    </row>
    <row r="370" spans="1:8">
      <c r="A370" t="s">
        <v>183</v>
      </c>
      <c r="B370">
        <v>14675.5</v>
      </c>
      <c r="C370">
        <v>214.38</v>
      </c>
      <c r="D370">
        <v>12.25</v>
      </c>
      <c r="E370">
        <v>12.25</v>
      </c>
      <c r="F370">
        <v>1.4608020169670539E-2</v>
      </c>
      <c r="G370">
        <v>1</v>
      </c>
      <c r="H370" t="str">
        <v>Orge d'hiver</v>
      </c>
    </row>
    <row r="371" spans="1:8">
      <c r="A371" t="s">
        <v>310</v>
      </c>
      <c r="B371">
        <v>8851.41</v>
      </c>
      <c r="C371">
        <v>2889.39</v>
      </c>
      <c r="D371">
        <v>14.38</v>
      </c>
      <c r="E371">
        <v>14.38</v>
      </c>
      <c r="F371">
        <v>0.326432737834989</v>
      </c>
      <c r="G371">
        <v>1</v>
      </c>
      <c r="H371" t="str">
        <v>Pois protéagineux</v>
      </c>
    </row>
    <row r="372" spans="1:8">
      <c r="A372" t="s">
        <v>765</v>
      </c>
      <c r="B372">
        <v>10672.98</v>
      </c>
      <c r="C372">
        <v>3990.55</v>
      </c>
      <c r="D372">
        <v>10.14</v>
      </c>
      <c r="E372">
        <v>10.14</v>
      </c>
      <c r="F372">
        <v>0.37389276471988148</v>
      </c>
      <c r="G372">
        <v>1</v>
      </c>
      <c r="H372" t="str">
        <v>Tournesol</v>
      </c>
    </row>
    <row r="373" spans="1:8">
      <c r="A373" t="s">
        <v>162</v>
      </c>
      <c r="B373">
        <v>4543.62</v>
      </c>
      <c r="C373">
        <v>1094.95</v>
      </c>
      <c r="D373">
        <v>9.07</v>
      </c>
      <c r="E373">
        <v>9.07</v>
      </c>
      <c r="F373">
        <v>0.24098626205536555</v>
      </c>
      <c r="G373">
        <v>1</v>
      </c>
      <c r="H373" t="str">
        <v>Féveroles et fèves</v>
      </c>
    </row>
    <row r="374" spans="1:8">
      <c r="A374" t="s">
        <v>99</v>
      </c>
      <c r="B374">
        <v>66761.36</v>
      </c>
      <c r="C374">
        <v>1000</v>
      </c>
      <c r="D374">
        <v>41.51</v>
      </c>
      <c r="E374">
        <v>20</v>
      </c>
      <c r="F374">
        <v>1.4978724220117744E-2</v>
      </c>
      <c r="G374">
        <v>0.48181161165984104</v>
      </c>
      <c r="H374" t="str">
        <v>Blé tendre d'hiver</v>
      </c>
    </row>
    <row r="375" spans="1:8">
      <c r="A375" t="s">
        <v>765</v>
      </c>
      <c r="B375">
        <v>116474.09</v>
      </c>
      <c r="C375">
        <v>8228.6299999999992</v>
      </c>
      <c r="D375">
        <v>134.72999999999999</v>
      </c>
      <c r="E375">
        <v>13.01</v>
      </c>
      <c r="F375">
        <v>7.0647729464982295E-2</v>
      </c>
      <c r="G375">
        <v>9.6563497365100573E-2</v>
      </c>
      <c r="H375" t="str">
        <v>Tournesol</v>
      </c>
    </row>
    <row r="376" spans="1:8">
      <c r="A376" t="s">
        <v>295</v>
      </c>
      <c r="B376">
        <v>5031</v>
      </c>
      <c r="C376">
        <v>1589.8</v>
      </c>
      <c r="D376">
        <v>7.74</v>
      </c>
      <c r="E376">
        <v>7.74</v>
      </c>
      <c r="F376">
        <v>0.3160007950705625</v>
      </c>
      <c r="G376">
        <v>1</v>
      </c>
      <c r="H376" t="str">
        <v>Avoine d'hiver</v>
      </c>
    </row>
    <row r="377" spans="1:8">
      <c r="A377" t="s">
        <v>99</v>
      </c>
      <c r="B377">
        <v>207483.6</v>
      </c>
      <c r="C377">
        <v>7177.49</v>
      </c>
      <c r="D377">
        <v>201.05</v>
      </c>
      <c r="E377">
        <v>149.22</v>
      </c>
      <c r="F377">
        <v>3.459304735410413E-2</v>
      </c>
      <c r="G377">
        <v>0.74220343198209393</v>
      </c>
      <c r="H377" t="str">
        <v>Blé tendre d'hiver</v>
      </c>
    </row>
    <row r="378" spans="1:8">
      <c r="A378" t="s">
        <v>27</v>
      </c>
      <c r="B378">
        <v>75130.83</v>
      </c>
      <c r="C378">
        <v>6233.85</v>
      </c>
      <c r="D378">
        <v>62.95</v>
      </c>
      <c r="E378">
        <v>62.95</v>
      </c>
      <c r="F378">
        <v>8.2973261442739282E-2</v>
      </c>
      <c r="G378">
        <v>1</v>
      </c>
      <c r="H378" t="str">
        <v>Colza d'hiver</v>
      </c>
    </row>
    <row r="379" spans="1:8">
      <c r="A379" t="s">
        <v>183</v>
      </c>
      <c r="B379">
        <v>29206.45</v>
      </c>
      <c r="C379">
        <v>1396.13</v>
      </c>
      <c r="D379">
        <v>32.75</v>
      </c>
      <c r="E379">
        <v>14.54</v>
      </c>
      <c r="F379">
        <v>4.7802112204667124E-2</v>
      </c>
      <c r="G379">
        <v>0.44396946564885492</v>
      </c>
      <c r="H379" t="str">
        <v>Orge d'hiver</v>
      </c>
    </row>
    <row r="380" spans="1:8">
      <c r="A380" t="s">
        <v>99</v>
      </c>
      <c r="B380">
        <v>7585.89</v>
      </c>
      <c r="C380">
        <v>181.95</v>
      </c>
      <c r="D380">
        <v>7.87</v>
      </c>
      <c r="E380">
        <v>7.87</v>
      </c>
      <c r="F380">
        <v>2.3985320114053854E-2</v>
      </c>
      <c r="G380">
        <v>1</v>
      </c>
      <c r="H380" t="str">
        <v>Blé tendre d'hiver</v>
      </c>
    </row>
    <row r="381" spans="1:8">
      <c r="A381" t="s">
        <v>866</v>
      </c>
      <c r="B381">
        <v>16490.02</v>
      </c>
      <c r="C381">
        <v>6823.2</v>
      </c>
      <c r="D381">
        <v>13.25</v>
      </c>
      <c r="E381">
        <v>13.25</v>
      </c>
      <c r="F381">
        <v>0.41377754544870166</v>
      </c>
      <c r="G381">
        <v>1</v>
      </c>
      <c r="H381" t="str">
        <v>Maïs grain non irrigué</v>
      </c>
    </row>
    <row r="382" spans="1:8">
      <c r="A382" t="s">
        <v>765</v>
      </c>
      <c r="B382">
        <v>16490.02</v>
      </c>
      <c r="C382">
        <v>2229.0500000000002</v>
      </c>
      <c r="D382">
        <v>18.57</v>
      </c>
      <c r="E382">
        <v>18.559999999999999</v>
      </c>
      <c r="F382">
        <v>0.1351757002114006</v>
      </c>
      <c r="G382">
        <v>0.99946149703823361</v>
      </c>
      <c r="H382" t="str">
        <v>Tournesol</v>
      </c>
    </row>
    <row r="383" spans="1:8">
      <c r="A383" t="s">
        <v>99</v>
      </c>
      <c r="B383">
        <v>78301.58</v>
      </c>
      <c r="C383">
        <v>12334.49</v>
      </c>
      <c r="D383">
        <v>59.79</v>
      </c>
      <c r="E383">
        <v>59.79</v>
      </c>
      <c r="F383">
        <v>0.15752542924421192</v>
      </c>
      <c r="G383">
        <v>1</v>
      </c>
      <c r="H383" t="str">
        <v>Blé tendre d'hiver</v>
      </c>
    </row>
    <row r="384" spans="1:8">
      <c r="A384" t="s">
        <v>27</v>
      </c>
      <c r="B384">
        <v>42983.35</v>
      </c>
      <c r="C384">
        <v>14444.06</v>
      </c>
      <c r="D384">
        <v>27.62</v>
      </c>
      <c r="E384">
        <v>27.62</v>
      </c>
      <c r="F384">
        <v>0.33603848932202818</v>
      </c>
      <c r="G384">
        <v>1</v>
      </c>
      <c r="H384" t="str">
        <v>Colza d'hiver</v>
      </c>
    </row>
    <row r="385" spans="1:8">
      <c r="A385" t="s">
        <v>183</v>
      </c>
      <c r="B385">
        <v>11274.3</v>
      </c>
      <c r="C385">
        <v>2333.6799999999998</v>
      </c>
      <c r="D385">
        <v>10.26</v>
      </c>
      <c r="E385">
        <v>10.26</v>
      </c>
      <c r="F385">
        <v>0.20699112139999823</v>
      </c>
      <c r="G385">
        <v>1</v>
      </c>
      <c r="H385" t="str">
        <v>Orge d'hiver</v>
      </c>
    </row>
    <row r="386" spans="1:8">
      <c r="A386" t="s">
        <v>310</v>
      </c>
      <c r="B386">
        <v>4888.2299999999996</v>
      </c>
      <c r="C386">
        <v>330.1</v>
      </c>
      <c r="D386">
        <v>7.79</v>
      </c>
      <c r="E386">
        <v>7.79</v>
      </c>
      <c r="F386">
        <v>6.7529555687846118E-2</v>
      </c>
      <c r="G386">
        <v>1</v>
      </c>
      <c r="H386" t="str">
        <v>Pois protéagineux</v>
      </c>
    </row>
    <row r="387" spans="1:8">
      <c r="A387" t="s">
        <v>137</v>
      </c>
      <c r="B387">
        <v>25220.38</v>
      </c>
      <c r="C387">
        <v>16511.259999999998</v>
      </c>
      <c r="D387">
        <v>20.329999999999998</v>
      </c>
      <c r="E387">
        <v>20.329999999999998</v>
      </c>
      <c r="F387">
        <v>0.65467927128774417</v>
      </c>
      <c r="G387">
        <v>1</v>
      </c>
      <c r="H387" t="str">
        <v>Orge de printemps</v>
      </c>
    </row>
    <row r="388" spans="1:8">
      <c r="A388" t="s">
        <v>140</v>
      </c>
      <c r="B388">
        <v>8634.91</v>
      </c>
      <c r="C388">
        <v>1943.24</v>
      </c>
      <c r="D388">
        <v>4.8099999999999996</v>
      </c>
      <c r="E388">
        <v>4.8099999999999996</v>
      </c>
      <c r="F388">
        <v>0.22504461540421383</v>
      </c>
      <c r="G388">
        <v>1</v>
      </c>
      <c r="H388" t="str">
        <v>Blé dur d'hiver</v>
      </c>
    </row>
    <row r="389" spans="1:8">
      <c r="A389" t="s">
        <v>27</v>
      </c>
      <c r="B389">
        <v>16864.560000000001</v>
      </c>
      <c r="C389">
        <v>4574.55</v>
      </c>
      <c r="D389">
        <v>10.62</v>
      </c>
      <c r="E389">
        <v>10.62</v>
      </c>
      <c r="F389">
        <v>0.27125225917545431</v>
      </c>
      <c r="G389">
        <v>1</v>
      </c>
      <c r="H389" t="str">
        <v>Colza d'hiver</v>
      </c>
    </row>
    <row r="390" spans="1:8">
      <c r="A390" t="s">
        <v>183</v>
      </c>
      <c r="B390">
        <v>4039.56</v>
      </c>
      <c r="C390">
        <v>553.77</v>
      </c>
      <c r="D390">
        <v>4.58</v>
      </c>
      <c r="E390">
        <v>4.58</v>
      </c>
      <c r="F390">
        <v>0.13708671241422332</v>
      </c>
      <c r="G390">
        <v>1</v>
      </c>
      <c r="H390" t="str">
        <v>Orge d'hiver</v>
      </c>
    </row>
    <row r="391" spans="1:8">
      <c r="A391" t="s">
        <v>99</v>
      </c>
      <c r="B391">
        <v>36847.25</v>
      </c>
      <c r="C391">
        <v>2767.57</v>
      </c>
      <c r="D391">
        <v>31.55</v>
      </c>
      <c r="E391">
        <v>31.55</v>
      </c>
      <c r="F391">
        <v>7.510926866998216E-2</v>
      </c>
      <c r="G391">
        <v>1</v>
      </c>
      <c r="H391" t="str">
        <v>Blé tendre d'hiver</v>
      </c>
    </row>
    <row r="392" spans="1:8">
      <c r="A392" t="s">
        <v>163</v>
      </c>
      <c r="B392">
        <v>8303.76</v>
      </c>
      <c r="C392">
        <v>2019.17</v>
      </c>
      <c r="D392">
        <v>9.1199999999999992</v>
      </c>
      <c r="E392">
        <v>9.1199999999999992</v>
      </c>
      <c r="F392">
        <v>0.24316333805408635</v>
      </c>
      <c r="G392">
        <v>1</v>
      </c>
      <c r="H392" t="str">
        <v>Triticale</v>
      </c>
    </row>
    <row r="393" spans="1:8">
      <c r="A393" t="s">
        <v>765</v>
      </c>
      <c r="B393">
        <v>34904.400000000001</v>
      </c>
      <c r="C393">
        <v>3100</v>
      </c>
      <c r="D393">
        <v>51.33</v>
      </c>
      <c r="E393">
        <v>51.33</v>
      </c>
      <c r="F393">
        <v>8.8814017716964053E-2</v>
      </c>
      <c r="G393">
        <v>1</v>
      </c>
      <c r="H393" t="str">
        <v>Tournesol</v>
      </c>
    </row>
    <row r="394" spans="1:8">
      <c r="A394" t="s">
        <v>183</v>
      </c>
      <c r="B394">
        <v>14234.99</v>
      </c>
      <c r="C394">
        <v>514.20000000000005</v>
      </c>
      <c r="D394">
        <v>15.29</v>
      </c>
      <c r="E394">
        <v>15.29</v>
      </c>
      <c r="F394">
        <v>3.6122259306118239E-2</v>
      </c>
      <c r="G394">
        <v>1</v>
      </c>
      <c r="H394" t="str">
        <v>Orge d'hiver</v>
      </c>
    </row>
    <row r="395" spans="1:8">
      <c r="A395" t="s">
        <v>183</v>
      </c>
      <c r="B395">
        <v>13373.82</v>
      </c>
      <c r="C395">
        <v>2588.4</v>
      </c>
      <c r="D395">
        <v>15.56</v>
      </c>
      <c r="E395">
        <v>15.56</v>
      </c>
      <c r="F395">
        <v>0.19354230877939138</v>
      </c>
      <c r="G395">
        <v>1</v>
      </c>
      <c r="H395" t="str">
        <v>Orge d'hiver</v>
      </c>
    </row>
    <row r="396" spans="1:8">
      <c r="A396" t="s">
        <v>140</v>
      </c>
      <c r="B396">
        <v>27684</v>
      </c>
      <c r="C396">
        <v>1105</v>
      </c>
      <c r="D396">
        <v>15.38</v>
      </c>
      <c r="E396">
        <v>15.37</v>
      </c>
      <c r="F396">
        <v>3.9914752203438812E-2</v>
      </c>
      <c r="G396">
        <v>0.99934980494148229</v>
      </c>
      <c r="H396" t="str">
        <v>Blé dur d'hiver</v>
      </c>
    </row>
    <row r="397" spans="1:8">
      <c r="A397" t="s">
        <v>99</v>
      </c>
      <c r="B397">
        <v>79872</v>
      </c>
      <c r="C397">
        <v>18632.2</v>
      </c>
      <c r="D397">
        <v>66.56</v>
      </c>
      <c r="E397">
        <v>66.55</v>
      </c>
      <c r="F397">
        <v>0.23327574118589745</v>
      </c>
      <c r="G397">
        <v>0.99984975961538458</v>
      </c>
      <c r="H397" t="str">
        <v>Blé tendre d'hiver</v>
      </c>
    </row>
    <row r="398" spans="1:8">
      <c r="A398" t="s">
        <v>765</v>
      </c>
      <c r="B398">
        <v>21696</v>
      </c>
      <c r="C398">
        <v>6617.28</v>
      </c>
      <c r="D398">
        <v>27.12</v>
      </c>
      <c r="E398">
        <v>27.12</v>
      </c>
      <c r="F398">
        <v>0.30499999999999999</v>
      </c>
      <c r="G398">
        <v>1</v>
      </c>
      <c r="H398" t="str">
        <v>Tournesol</v>
      </c>
    </row>
    <row r="399" spans="1:8">
      <c r="A399" t="s">
        <v>99</v>
      </c>
      <c r="B399">
        <v>44524.35</v>
      </c>
      <c r="C399">
        <v>732.57</v>
      </c>
      <c r="D399">
        <v>50.31</v>
      </c>
      <c r="E399">
        <v>51</v>
      </c>
      <c r="F399">
        <v>1.6453244123721067E-2</v>
      </c>
      <c r="G399">
        <v>1.0137149672033392</v>
      </c>
      <c r="H399" t="str">
        <v>Blé tendre d'hiver</v>
      </c>
    </row>
    <row r="400" spans="1:8">
      <c r="A400" t="s">
        <v>765</v>
      </c>
      <c r="B400">
        <v>30024</v>
      </c>
      <c r="C400">
        <v>8882.1</v>
      </c>
      <c r="D400">
        <v>41.7</v>
      </c>
      <c r="E400">
        <v>41</v>
      </c>
      <c r="F400">
        <v>0.29583333333333334</v>
      </c>
      <c r="G400">
        <v>0.98321342925659461</v>
      </c>
      <c r="H400" t="str">
        <v>Tournesol</v>
      </c>
    </row>
    <row r="401" spans="1:8">
      <c r="A401" t="s">
        <v>99</v>
      </c>
      <c r="B401">
        <v>65208</v>
      </c>
      <c r="C401">
        <v>1681.02</v>
      </c>
      <c r="D401">
        <v>49.4</v>
      </c>
      <c r="E401">
        <v>18.04</v>
      </c>
      <c r="F401">
        <v>2.5779352226720648E-2</v>
      </c>
      <c r="G401">
        <v>0.3651821862348178</v>
      </c>
      <c r="H401" t="str">
        <v>Blé tendre d'hiver</v>
      </c>
    </row>
    <row r="402" spans="1:8">
      <c r="A402" t="s">
        <v>183</v>
      </c>
      <c r="B402">
        <v>47902.32</v>
      </c>
      <c r="C402">
        <v>4005.93</v>
      </c>
      <c r="D402">
        <v>39.72</v>
      </c>
      <c r="E402">
        <v>35.89</v>
      </c>
      <c r="F402">
        <v>8.3627056059080232E-2</v>
      </c>
      <c r="G402">
        <v>0.90357502517623367</v>
      </c>
      <c r="H402" t="str">
        <v>Orge d'hiver</v>
      </c>
    </row>
    <row r="403" spans="1:8">
      <c r="A403" t="s">
        <v>27</v>
      </c>
      <c r="B403">
        <v>42840</v>
      </c>
      <c r="C403">
        <v>16870.240000000002</v>
      </c>
      <c r="D403">
        <v>21</v>
      </c>
      <c r="E403">
        <v>21</v>
      </c>
      <c r="F403">
        <v>0.39379645191409901</v>
      </c>
      <c r="G403">
        <v>1</v>
      </c>
      <c r="H403" t="str">
        <v>Colza d'hiver</v>
      </c>
    </row>
    <row r="404" spans="1:8">
      <c r="A404" t="s">
        <v>137</v>
      </c>
      <c r="B404">
        <v>22815</v>
      </c>
      <c r="C404">
        <v>295.49</v>
      </c>
      <c r="D404">
        <v>25</v>
      </c>
      <c r="E404">
        <v>25</v>
      </c>
      <c r="F404">
        <v>1.2951566951566951E-2</v>
      </c>
      <c r="G404">
        <v>1</v>
      </c>
      <c r="H404" t="str">
        <v>Orge de printemps</v>
      </c>
    </row>
    <row r="405" spans="1:8">
      <c r="A405" t="s">
        <v>137</v>
      </c>
      <c r="B405">
        <v>121039.8</v>
      </c>
      <c r="C405">
        <v>33979.050000000003</v>
      </c>
      <c r="D405">
        <v>90.16</v>
      </c>
      <c r="E405">
        <v>90.16</v>
      </c>
      <c r="F405">
        <v>0.28072625698324022</v>
      </c>
      <c r="G405">
        <v>1</v>
      </c>
      <c r="H405" t="str">
        <v>Orge de printemps</v>
      </c>
    </row>
    <row r="406" spans="1:8">
      <c r="A406" t="s">
        <v>866</v>
      </c>
      <c r="B406">
        <v>39146.29</v>
      </c>
      <c r="C406">
        <v>16449.330000000002</v>
      </c>
      <c r="D406">
        <v>20.25</v>
      </c>
      <c r="E406">
        <v>20.25</v>
      </c>
      <c r="F406">
        <v>0.42020150568546855</v>
      </c>
      <c r="G406">
        <v>1</v>
      </c>
      <c r="H406" t="str">
        <v>Maïs grain non irrigué</v>
      </c>
    </row>
    <row r="407" spans="1:8">
      <c r="A407" t="s">
        <v>765</v>
      </c>
      <c r="B407">
        <v>83770.62</v>
      </c>
      <c r="C407">
        <v>24652.55</v>
      </c>
      <c r="D407">
        <v>63.67</v>
      </c>
      <c r="E407">
        <v>63.67</v>
      </c>
      <c r="F407">
        <v>0.2942863500353704</v>
      </c>
      <c r="G407">
        <v>1</v>
      </c>
      <c r="H407" t="str">
        <v>Tournesol</v>
      </c>
    </row>
    <row r="408" spans="1:8">
      <c r="A408" t="s">
        <v>310</v>
      </c>
      <c r="B408">
        <v>11942.6</v>
      </c>
      <c r="C408">
        <v>4667.97</v>
      </c>
      <c r="D408">
        <v>13.3</v>
      </c>
      <c r="E408">
        <v>13.3</v>
      </c>
      <c r="F408">
        <v>0.39086714785725052</v>
      </c>
      <c r="G408">
        <v>1</v>
      </c>
      <c r="H408" t="str">
        <v>Pois protéagineux</v>
      </c>
    </row>
    <row r="409" spans="1:8">
      <c r="A409" t="s">
        <v>99</v>
      </c>
      <c r="B409">
        <v>3482.75</v>
      </c>
      <c r="C409">
        <v>296.36</v>
      </c>
      <c r="D409">
        <v>3.38</v>
      </c>
      <c r="E409">
        <v>3</v>
      </c>
      <c r="F409">
        <v>8.509367597444549E-2</v>
      </c>
      <c r="G409">
        <v>0.8875739644970414</v>
      </c>
      <c r="H409" t="str">
        <v>Blé tendre d'hiver</v>
      </c>
    </row>
    <row r="410" spans="1:8">
      <c r="A410" t="s">
        <v>137</v>
      </c>
      <c r="B410">
        <v>10250.24</v>
      </c>
      <c r="C410">
        <v>1031.68</v>
      </c>
      <c r="D410">
        <v>10.4</v>
      </c>
      <c r="E410">
        <v>10</v>
      </c>
      <c r="F410">
        <v>0.10064935064935066</v>
      </c>
      <c r="G410">
        <v>0.96153846153846145</v>
      </c>
      <c r="H410" t="str">
        <v>Orge de printemps</v>
      </c>
    </row>
    <row r="411" spans="1:8">
      <c r="A411" t="s">
        <v>99</v>
      </c>
      <c r="B411">
        <v>14316.23</v>
      </c>
      <c r="C411">
        <v>4149.18</v>
      </c>
      <c r="D411">
        <v>12.95</v>
      </c>
      <c r="E411">
        <v>12.65</v>
      </c>
      <c r="F411">
        <v>0.28982350800455153</v>
      </c>
      <c r="G411">
        <v>0.97683397683397688</v>
      </c>
      <c r="H411" t="str">
        <v>Blé tendre d'hiver</v>
      </c>
    </row>
    <row r="412" spans="1:8">
      <c r="A412" t="s">
        <v>27</v>
      </c>
      <c r="B412">
        <v>67091.199999999997</v>
      </c>
      <c r="C412">
        <v>14009.1</v>
      </c>
      <c r="D412">
        <v>38.119999999999997</v>
      </c>
      <c r="E412">
        <v>38.409999999999997</v>
      </c>
      <c r="F412">
        <v>0.2088068181818182</v>
      </c>
      <c r="G412">
        <v>1.0076075550891921</v>
      </c>
      <c r="H412" t="str">
        <v>Colza d'hiver</v>
      </c>
    </row>
    <row r="413" spans="1:8">
      <c r="A413" t="s">
        <v>442</v>
      </c>
      <c r="B413">
        <v>19380</v>
      </c>
      <c r="C413">
        <v>395.68</v>
      </c>
      <c r="D413">
        <v>16.149999999999999</v>
      </c>
      <c r="E413">
        <v>16.149999999999999</v>
      </c>
      <c r="F413">
        <v>2.0416924664602685E-2</v>
      </c>
      <c r="G413">
        <v>1</v>
      </c>
      <c r="H413" t="str">
        <v>Lin oléagineux</v>
      </c>
    </row>
    <row r="414" spans="1:8">
      <c r="A414" t="s">
        <v>183</v>
      </c>
      <c r="B414">
        <v>31794</v>
      </c>
      <c r="C414">
        <v>10134.6</v>
      </c>
      <c r="D414">
        <v>28</v>
      </c>
      <c r="E414">
        <v>28</v>
      </c>
      <c r="F414">
        <v>0.31875825627476884</v>
      </c>
      <c r="G414">
        <v>1</v>
      </c>
      <c r="H414" t="str">
        <v>Orge d'hiver</v>
      </c>
    </row>
    <row r="415" spans="1:8">
      <c r="A415" t="s">
        <v>765</v>
      </c>
      <c r="B415">
        <v>26862.42</v>
      </c>
      <c r="C415">
        <v>3794.47</v>
      </c>
      <c r="D415">
        <v>26.13</v>
      </c>
      <c r="E415">
        <v>26.13</v>
      </c>
      <c r="F415">
        <v>0.14125570220404565</v>
      </c>
      <c r="G415">
        <v>1</v>
      </c>
      <c r="H415" t="str">
        <v>Tournesol</v>
      </c>
    </row>
    <row r="416" spans="1:8">
      <c r="A416" t="s">
        <v>140</v>
      </c>
      <c r="B416">
        <v>15438.53</v>
      </c>
      <c r="C416">
        <v>1927.06</v>
      </c>
      <c r="D416">
        <v>10.94</v>
      </c>
      <c r="E416">
        <v>10.94</v>
      </c>
      <c r="F416">
        <v>0.12482146940155571</v>
      </c>
      <c r="G416">
        <v>1</v>
      </c>
      <c r="H416" t="str">
        <v>Blé dur d'hiver</v>
      </c>
    </row>
    <row r="417" spans="1:8">
      <c r="A417" t="s">
        <v>99</v>
      </c>
      <c r="B417">
        <v>78926.539999999994</v>
      </c>
      <c r="C417">
        <v>1957.95</v>
      </c>
      <c r="D417">
        <v>56.36</v>
      </c>
      <c r="E417">
        <v>56.36</v>
      </c>
      <c r="F417">
        <v>2.4807244812708122E-2</v>
      </c>
      <c r="G417">
        <v>1</v>
      </c>
      <c r="H417" t="str">
        <v>Blé tendre d'hiver</v>
      </c>
    </row>
    <row r="418" spans="1:8">
      <c r="A418" t="s">
        <v>866</v>
      </c>
      <c r="B418">
        <v>14879.28</v>
      </c>
      <c r="C418">
        <v>3611.14</v>
      </c>
      <c r="D418">
        <v>9.8800000000000008</v>
      </c>
      <c r="E418">
        <v>9.8800000000000008</v>
      </c>
      <c r="F418">
        <v>0.24269588313413012</v>
      </c>
      <c r="G418">
        <v>1</v>
      </c>
      <c r="H418" t="str">
        <v>Maïs grain non irrigué</v>
      </c>
    </row>
    <row r="419" spans="1:8">
      <c r="A419" t="s">
        <v>310</v>
      </c>
      <c r="B419">
        <v>9087.6200000000008</v>
      </c>
      <c r="C419">
        <v>495.38</v>
      </c>
      <c r="D419">
        <v>13.14</v>
      </c>
      <c r="E419">
        <v>13.14</v>
      </c>
      <c r="F419">
        <v>5.4511522268756829E-2</v>
      </c>
      <c r="G419">
        <v>1</v>
      </c>
      <c r="H419" t="str">
        <v>Pois protéagineux</v>
      </c>
    </row>
    <row r="420" spans="1:8">
      <c r="A420" t="s">
        <v>295</v>
      </c>
      <c r="B420">
        <v>13563</v>
      </c>
      <c r="C420">
        <v>3204.69</v>
      </c>
      <c r="D420">
        <v>22</v>
      </c>
      <c r="E420">
        <v>21.15</v>
      </c>
      <c r="F420">
        <v>0.23628179606281796</v>
      </c>
      <c r="G420">
        <v>0.96136363636363631</v>
      </c>
      <c r="H420" t="str">
        <v>Avoine d'hiver</v>
      </c>
    </row>
    <row r="421" spans="1:8">
      <c r="A421" t="s">
        <v>912</v>
      </c>
      <c r="B421">
        <v>39501</v>
      </c>
      <c r="C421">
        <v>10422.959999999999</v>
      </c>
      <c r="D421">
        <v>23.94</v>
      </c>
      <c r="E421">
        <v>24.74</v>
      </c>
      <c r="F421">
        <v>0.26386572491835647</v>
      </c>
      <c r="G421">
        <v>1.0334168755221385</v>
      </c>
      <c r="H421" t="str">
        <v>Pois secs / Pois Chiches</v>
      </c>
    </row>
    <row r="422" spans="1:8">
      <c r="A422" t="s">
        <v>163</v>
      </c>
      <c r="B422">
        <v>5503.95</v>
      </c>
      <c r="C422">
        <v>2457.84</v>
      </c>
      <c r="D422">
        <v>8.1</v>
      </c>
      <c r="E422">
        <v>9.2200000000000006</v>
      </c>
      <c r="F422">
        <v>0.44655928923772931</v>
      </c>
      <c r="G422">
        <v>1.1382716049382717</v>
      </c>
      <c r="H422" t="str">
        <v>Triticale</v>
      </c>
    </row>
    <row r="423" spans="1:8">
      <c r="A423" t="s">
        <v>183</v>
      </c>
      <c r="B423">
        <v>8749.44</v>
      </c>
      <c r="C423">
        <v>671.58</v>
      </c>
      <c r="D423">
        <v>12.4</v>
      </c>
      <c r="E423">
        <v>12.4</v>
      </c>
      <c r="F423">
        <v>7.6756912442396311E-2</v>
      </c>
      <c r="G423">
        <v>1</v>
      </c>
      <c r="H423" t="str">
        <v>Orge d'hiver</v>
      </c>
    </row>
    <row r="424" spans="1:8">
      <c r="A424" t="s">
        <v>140</v>
      </c>
      <c r="B424">
        <v>19987.5</v>
      </c>
      <c r="C424">
        <v>2385.5</v>
      </c>
      <c r="D424">
        <v>15</v>
      </c>
      <c r="E424">
        <v>16.02</v>
      </c>
      <c r="F424">
        <v>0.11934959349593496</v>
      </c>
      <c r="G424">
        <v>1.0680000000000001</v>
      </c>
      <c r="H424" t="str">
        <v>Blé dur d'hiver</v>
      </c>
    </row>
    <row r="425" spans="1:8">
      <c r="A425" t="s">
        <v>910</v>
      </c>
      <c r="B425">
        <v>182310.72</v>
      </c>
      <c r="C425">
        <v>26859.22</v>
      </c>
      <c r="D425">
        <v>111.71</v>
      </c>
      <c r="E425">
        <v>111.71</v>
      </c>
      <c r="F425">
        <v>0.14732660811168977</v>
      </c>
      <c r="G425">
        <v>1</v>
      </c>
      <c r="H425" t="str">
        <v>Maïs grain irrigué</v>
      </c>
    </row>
    <row r="426" spans="1:8">
      <c r="A426" t="s">
        <v>866</v>
      </c>
      <c r="B426">
        <v>30849</v>
      </c>
      <c r="C426">
        <v>634.61</v>
      </c>
      <c r="D426">
        <v>29.38</v>
      </c>
      <c r="E426">
        <v>29.38</v>
      </c>
      <c r="F426">
        <v>2.057149340335181E-2</v>
      </c>
      <c r="G426">
        <v>1</v>
      </c>
      <c r="H426" t="str">
        <v>Maïs grain non irrigué</v>
      </c>
    </row>
    <row r="427" spans="1:8">
      <c r="A427" t="s">
        <v>183</v>
      </c>
      <c r="B427">
        <v>22988.39</v>
      </c>
      <c r="C427">
        <v>784.52</v>
      </c>
      <c r="D427">
        <v>21.85</v>
      </c>
      <c r="E427">
        <v>21.85</v>
      </c>
      <c r="F427">
        <v>3.4126791828396855E-2</v>
      </c>
      <c r="G427">
        <v>1</v>
      </c>
      <c r="H427" t="str">
        <v>Orge d'hiver</v>
      </c>
    </row>
    <row r="428" spans="1:8">
      <c r="A428" t="s">
        <v>162</v>
      </c>
      <c r="B428">
        <v>3984.73</v>
      </c>
      <c r="C428">
        <v>869.47</v>
      </c>
      <c r="D428">
        <v>7.41</v>
      </c>
      <c r="E428">
        <v>7.41</v>
      </c>
      <c r="F428">
        <v>0.21820048033367381</v>
      </c>
      <c r="G428">
        <v>1</v>
      </c>
      <c r="H428" t="str">
        <v>Féveroles et fèves</v>
      </c>
    </row>
    <row r="429" spans="1:8">
      <c r="A429" t="s">
        <v>137</v>
      </c>
      <c r="B429">
        <v>1746.45</v>
      </c>
      <c r="C429">
        <v>1062.45</v>
      </c>
      <c r="D429">
        <v>1.45</v>
      </c>
      <c r="E429">
        <v>1.45</v>
      </c>
      <c r="F429">
        <v>0.60834836382375679</v>
      </c>
      <c r="G429">
        <v>1</v>
      </c>
      <c r="H429" t="str">
        <v>Orge de printemps</v>
      </c>
    </row>
    <row r="430" spans="1:8">
      <c r="A430" t="s">
        <v>138</v>
      </c>
      <c r="B430">
        <v>7027.39</v>
      </c>
      <c r="C430">
        <v>1895.63</v>
      </c>
      <c r="D430">
        <v>6.47</v>
      </c>
      <c r="E430">
        <v>6.47</v>
      </c>
      <c r="F430">
        <v>0.26974879720635969</v>
      </c>
      <c r="G430">
        <v>1</v>
      </c>
      <c r="H430" t="str">
        <v>Blé de force</v>
      </c>
    </row>
    <row r="431" spans="1:8">
      <c r="A431" t="s">
        <v>27</v>
      </c>
      <c r="B431">
        <v>25835.040000000001</v>
      </c>
      <c r="C431">
        <v>1325.3</v>
      </c>
      <c r="D431">
        <v>23.3</v>
      </c>
      <c r="E431">
        <v>23.3</v>
      </c>
      <c r="F431">
        <v>5.1298546470220287E-2</v>
      </c>
      <c r="G431">
        <v>1</v>
      </c>
      <c r="H431" t="str">
        <v>Colza d'hiver</v>
      </c>
    </row>
    <row r="432" spans="1:8">
      <c r="A432" t="s">
        <v>99</v>
      </c>
      <c r="B432">
        <v>49747.71</v>
      </c>
      <c r="C432">
        <v>15721.9</v>
      </c>
      <c r="D432">
        <v>39.76</v>
      </c>
      <c r="E432">
        <v>39.76</v>
      </c>
      <c r="F432">
        <v>0.31603263748220772</v>
      </c>
      <c r="G432">
        <v>1</v>
      </c>
      <c r="H432" t="str">
        <v>Blé tendre d'hiver</v>
      </c>
    </row>
    <row r="433" spans="1:8">
      <c r="A433" t="s">
        <v>27</v>
      </c>
      <c r="B433">
        <v>67501.149999999994</v>
      </c>
      <c r="C433">
        <v>13075.4</v>
      </c>
      <c r="D433">
        <v>62.11</v>
      </c>
      <c r="E433">
        <v>62.11</v>
      </c>
      <c r="F433">
        <v>0.19370632944772054</v>
      </c>
      <c r="G433">
        <v>1</v>
      </c>
      <c r="H433" t="str">
        <v>Colza d'hiver</v>
      </c>
    </row>
    <row r="434" spans="1:8">
      <c r="A434" t="s">
        <v>183</v>
      </c>
      <c r="B434">
        <v>18512.259999999998</v>
      </c>
      <c r="C434">
        <v>3575.67</v>
      </c>
      <c r="D434">
        <v>17.04</v>
      </c>
      <c r="E434">
        <v>17.04</v>
      </c>
      <c r="F434">
        <v>0.19315145746656542</v>
      </c>
      <c r="G434">
        <v>1</v>
      </c>
      <c r="H434" t="str">
        <v>Orge d'hiver</v>
      </c>
    </row>
    <row r="435" spans="1:8">
      <c r="A435" t="s">
        <v>140</v>
      </c>
      <c r="B435">
        <v>7076.47</v>
      </c>
      <c r="C435">
        <v>451.95</v>
      </c>
      <c r="D435">
        <v>4.8099999999999996</v>
      </c>
      <c r="E435">
        <v>4.8099999999999996</v>
      </c>
      <c r="F435">
        <v>6.3866588850090514E-2</v>
      </c>
      <c r="G435">
        <v>1</v>
      </c>
      <c r="H435" t="str">
        <v>Blé dur d'hiver</v>
      </c>
    </row>
    <row r="436" spans="1:8">
      <c r="A436" t="s">
        <v>183</v>
      </c>
      <c r="B436">
        <v>31641.599999999999</v>
      </c>
      <c r="C436">
        <v>253.13</v>
      </c>
      <c r="D436">
        <v>32.96</v>
      </c>
      <c r="E436">
        <v>32.96</v>
      </c>
      <c r="F436">
        <v>7.999911508899676E-3</v>
      </c>
      <c r="G436">
        <v>1</v>
      </c>
      <c r="H436" t="str">
        <v>Orge d'hiver</v>
      </c>
    </row>
    <row r="437" spans="1:8">
      <c r="A437" t="s">
        <v>137</v>
      </c>
      <c r="B437">
        <v>52473.01</v>
      </c>
      <c r="C437">
        <v>4299.46</v>
      </c>
      <c r="D437">
        <v>45.03</v>
      </c>
      <c r="E437">
        <v>45.03</v>
      </c>
      <c r="F437">
        <v>8.1936599406056562E-2</v>
      </c>
      <c r="G437">
        <v>1</v>
      </c>
      <c r="H437" t="str">
        <v>Orge de printemps</v>
      </c>
    </row>
    <row r="438" spans="1:8">
      <c r="A438" t="s">
        <v>99</v>
      </c>
      <c r="B438">
        <v>168341.18</v>
      </c>
      <c r="C438">
        <v>28994.959999999999</v>
      </c>
      <c r="D438">
        <v>143.44</v>
      </c>
      <c r="E438">
        <v>143.44</v>
      </c>
      <c r="F438">
        <v>0.17223925839179693</v>
      </c>
      <c r="G438">
        <v>1</v>
      </c>
      <c r="H438" t="str">
        <v>Blé tendre d'hiver</v>
      </c>
    </row>
    <row r="439" spans="1:8">
      <c r="A439" t="s">
        <v>1141</v>
      </c>
      <c r="B439">
        <v>5972.4</v>
      </c>
      <c r="C439">
        <v>3996</v>
      </c>
      <c r="D439">
        <v>7.11</v>
      </c>
      <c r="E439">
        <v>7.11</v>
      </c>
      <c r="F439">
        <v>0.66907775768535271</v>
      </c>
      <c r="G439">
        <v>1</v>
      </c>
      <c r="H439" t="str">
        <v>Sorgho</v>
      </c>
    </row>
    <row r="440" spans="1:8">
      <c r="A440" t="s">
        <v>310</v>
      </c>
      <c r="B440">
        <v>1595.88</v>
      </c>
      <c r="C440">
        <v>469.87</v>
      </c>
      <c r="D440">
        <v>2.34</v>
      </c>
      <c r="E440">
        <v>2.34</v>
      </c>
      <c r="F440">
        <v>0.29442689926560894</v>
      </c>
      <c r="G440">
        <v>1</v>
      </c>
      <c r="H440" t="str">
        <v>Pois protéagineux</v>
      </c>
    </row>
    <row r="441" spans="1:8">
      <c r="A441" t="s">
        <v>138</v>
      </c>
      <c r="B441">
        <v>13732.74</v>
      </c>
      <c r="C441">
        <v>3413.81</v>
      </c>
      <c r="D441">
        <v>14</v>
      </c>
      <c r="E441">
        <v>14</v>
      </c>
      <c r="F441">
        <v>0.24858913807441196</v>
      </c>
      <c r="G441">
        <v>1</v>
      </c>
      <c r="H441" t="str">
        <v>Blé de force</v>
      </c>
    </row>
    <row r="442" spans="1:8">
      <c r="A442" t="s">
        <v>866</v>
      </c>
      <c r="B442">
        <v>37469.949999999997</v>
      </c>
      <c r="C442">
        <v>675</v>
      </c>
      <c r="D442">
        <v>24.96</v>
      </c>
      <c r="E442">
        <v>13.3</v>
      </c>
      <c r="F442">
        <v>1.8014435567701586E-2</v>
      </c>
      <c r="G442">
        <v>0.5328525641025641</v>
      </c>
      <c r="H442" t="str">
        <v>Maïs grain non irrigué</v>
      </c>
    </row>
    <row r="443" spans="1:8">
      <c r="A443" t="s">
        <v>183</v>
      </c>
      <c r="B443">
        <v>35926.5</v>
      </c>
      <c r="C443">
        <v>4262.13</v>
      </c>
      <c r="D443">
        <v>43</v>
      </c>
      <c r="E443">
        <v>43</v>
      </c>
      <c r="F443">
        <v>0.11863471253809862</v>
      </c>
      <c r="G443">
        <v>1</v>
      </c>
      <c r="H443" t="str">
        <v>Orge d'hiver</v>
      </c>
    </row>
    <row r="444" spans="1:8">
      <c r="A444" t="s">
        <v>898</v>
      </c>
      <c r="B444">
        <v>24516.34</v>
      </c>
      <c r="C444">
        <v>813.5</v>
      </c>
      <c r="D444">
        <v>20.8</v>
      </c>
      <c r="E444">
        <v>17.8</v>
      </c>
      <c r="F444">
        <v>3.3181951302682214E-2</v>
      </c>
      <c r="G444">
        <v>0.85576923076923073</v>
      </c>
      <c r="H444" t="str">
        <v>Maïs ensilage non irrigué</v>
      </c>
    </row>
    <row r="445" spans="1:8">
      <c r="A445" t="s">
        <v>27</v>
      </c>
      <c r="B445">
        <v>16927.439999999999</v>
      </c>
      <c r="C445">
        <v>1470.19</v>
      </c>
      <c r="D445">
        <v>16.86</v>
      </c>
      <c r="E445">
        <v>16.86</v>
      </c>
      <c r="F445">
        <v>8.685247149007766E-2</v>
      </c>
      <c r="G445">
        <v>1</v>
      </c>
      <c r="H445" t="str">
        <v>Colza d'hiver</v>
      </c>
    </row>
    <row r="446" spans="1:8">
      <c r="A446" t="s">
        <v>442</v>
      </c>
      <c r="B446">
        <v>8676.32</v>
      </c>
      <c r="C446">
        <v>1906.09</v>
      </c>
      <c r="D446">
        <v>9.99</v>
      </c>
      <c r="E446">
        <v>9.99</v>
      </c>
      <c r="F446">
        <v>0.21968876205580246</v>
      </c>
      <c r="G446">
        <v>1</v>
      </c>
      <c r="H446" t="str">
        <v>Lin oléagineux</v>
      </c>
    </row>
    <row r="447" spans="1:8">
      <c r="A447" t="s">
        <v>163</v>
      </c>
      <c r="B447">
        <v>987.56</v>
      </c>
      <c r="C447">
        <v>497.62</v>
      </c>
      <c r="D447">
        <v>1.41</v>
      </c>
      <c r="E447">
        <v>1.41</v>
      </c>
      <c r="F447">
        <v>0.50388837133946296</v>
      </c>
      <c r="G447">
        <v>1</v>
      </c>
      <c r="H447" t="str">
        <v>Triticale</v>
      </c>
    </row>
    <row r="448" spans="1:8">
      <c r="A448" t="s">
        <v>99</v>
      </c>
      <c r="B448">
        <v>12941.25</v>
      </c>
      <c r="C448">
        <v>1253.96</v>
      </c>
      <c r="D448">
        <v>11.9</v>
      </c>
      <c r="E448">
        <v>11.9</v>
      </c>
      <c r="F448">
        <v>9.6896358543417369E-2</v>
      </c>
      <c r="G448">
        <v>1</v>
      </c>
      <c r="H448" t="str">
        <v>Blé tendre d'hiver</v>
      </c>
    </row>
    <row r="449" spans="1:8">
      <c r="A449" t="s">
        <v>310</v>
      </c>
      <c r="B449">
        <v>9319.68</v>
      </c>
      <c r="C449">
        <v>1843.55</v>
      </c>
      <c r="D449">
        <v>8.09</v>
      </c>
      <c r="E449">
        <v>8.09</v>
      </c>
      <c r="F449">
        <v>0.19781258583985714</v>
      </c>
      <c r="G449">
        <v>1</v>
      </c>
      <c r="H449" t="str">
        <v>Pois protéagineux</v>
      </c>
    </row>
    <row r="450" spans="1:8">
      <c r="A450" t="s">
        <v>898</v>
      </c>
      <c r="B450">
        <v>191416.13</v>
      </c>
      <c r="C450">
        <v>68697.279999999999</v>
      </c>
      <c r="D450">
        <v>102.57</v>
      </c>
      <c r="E450">
        <v>102.57</v>
      </c>
      <c r="F450">
        <v>0.35888971321277885</v>
      </c>
      <c r="G450">
        <v>1</v>
      </c>
      <c r="H450" t="str">
        <v>Maïs ensilage non irrigué</v>
      </c>
    </row>
    <row r="451" spans="1:8">
      <c r="A451" t="s">
        <v>137</v>
      </c>
      <c r="B451">
        <v>76398.509999999995</v>
      </c>
      <c r="C451">
        <v>2719.27</v>
      </c>
      <c r="D451">
        <v>76.17</v>
      </c>
      <c r="E451">
        <v>76.17</v>
      </c>
      <c r="F451">
        <v>3.5593233428243561E-2</v>
      </c>
      <c r="G451">
        <v>1</v>
      </c>
      <c r="H451" t="str">
        <v>Orge de printemps</v>
      </c>
    </row>
    <row r="452" spans="1:8">
      <c r="A452" t="s">
        <v>550</v>
      </c>
      <c r="B452">
        <v>4296.6000000000004</v>
      </c>
      <c r="C452">
        <v>909.22</v>
      </c>
      <c r="D452">
        <v>5.25</v>
      </c>
      <c r="E452">
        <v>5.25</v>
      </c>
      <c r="F452">
        <v>0.21161383419447935</v>
      </c>
      <c r="G452">
        <v>1</v>
      </c>
      <c r="H452" t="str">
        <v>Lentilles</v>
      </c>
    </row>
    <row r="453" spans="1:8">
      <c r="A453" t="s">
        <v>99</v>
      </c>
      <c r="B453">
        <v>88278.31</v>
      </c>
      <c r="C453">
        <v>260.47000000000003</v>
      </c>
      <c r="D453">
        <v>70.75</v>
      </c>
      <c r="E453">
        <v>50.53</v>
      </c>
      <c r="F453">
        <v>2.950554898479593E-3</v>
      </c>
      <c r="G453">
        <v>0.71420494699646642</v>
      </c>
      <c r="H453" t="str">
        <v>Blé tendre d'hiver</v>
      </c>
    </row>
    <row r="454" spans="1:8">
      <c r="A454" t="s">
        <v>27</v>
      </c>
      <c r="B454">
        <v>62882.239999999998</v>
      </c>
      <c r="C454">
        <v>23325.38</v>
      </c>
      <c r="D454">
        <v>53.11</v>
      </c>
      <c r="E454">
        <v>53.11</v>
      </c>
      <c r="F454">
        <v>0.37093748568753276</v>
      </c>
      <c r="G454">
        <v>1</v>
      </c>
      <c r="H454" t="str">
        <v>Colza d'hiver</v>
      </c>
    </row>
    <row r="455" spans="1:8">
      <c r="A455" t="s">
        <v>163</v>
      </c>
      <c r="B455">
        <v>90958.28</v>
      </c>
      <c r="C455">
        <v>6850.14</v>
      </c>
      <c r="D455">
        <v>57.7</v>
      </c>
      <c r="E455">
        <v>57</v>
      </c>
      <c r="F455">
        <v>7.5310790837293765E-2</v>
      </c>
      <c r="G455">
        <v>0.98786828422876949</v>
      </c>
      <c r="H455" t="str">
        <v>Triticale</v>
      </c>
    </row>
    <row r="456" spans="1:8">
      <c r="A456" t="s">
        <v>99</v>
      </c>
      <c r="B456">
        <v>270510.59999999998</v>
      </c>
      <c r="C456">
        <v>31042.2</v>
      </c>
      <c r="D456">
        <v>147.82</v>
      </c>
      <c r="E456">
        <v>147</v>
      </c>
      <c r="F456">
        <v>0.11475409836065575</v>
      </c>
      <c r="G456">
        <v>0.99445271275876068</v>
      </c>
      <c r="H456" t="str">
        <v>Blé tendre d'hiver</v>
      </c>
    </row>
    <row r="457" spans="1:8">
      <c r="A457" t="s">
        <v>99</v>
      </c>
      <c r="B457">
        <v>30076.799999999999</v>
      </c>
      <c r="C457">
        <v>367.39</v>
      </c>
      <c r="D457">
        <v>26</v>
      </c>
      <c r="E457">
        <v>8.6</v>
      </c>
      <c r="F457">
        <v>1.2215062772635387E-2</v>
      </c>
      <c r="G457">
        <v>0.33076923076923076</v>
      </c>
      <c r="H457" t="str">
        <v>Blé tendre d'hiver</v>
      </c>
    </row>
    <row r="458" spans="1:8">
      <c r="A458" t="s">
        <v>99</v>
      </c>
      <c r="B458">
        <v>36048.78</v>
      </c>
      <c r="C458">
        <v>2173.9</v>
      </c>
      <c r="D458">
        <v>38.08</v>
      </c>
      <c r="E458">
        <v>27.7</v>
      </c>
      <c r="F458">
        <v>6.0304398650939096E-2</v>
      </c>
      <c r="G458">
        <v>0.72741596638655459</v>
      </c>
      <c r="H458" t="str">
        <v>Blé tendre d'hiver</v>
      </c>
    </row>
    <row r="459" spans="1:8">
      <c r="A459" t="s">
        <v>765</v>
      </c>
      <c r="B459">
        <v>13887.86</v>
      </c>
      <c r="C459">
        <v>1330</v>
      </c>
      <c r="D459">
        <v>13.3</v>
      </c>
      <c r="E459">
        <v>13.3</v>
      </c>
      <c r="F459">
        <v>9.5767094426355101E-2</v>
      </c>
      <c r="G459">
        <v>1</v>
      </c>
      <c r="H459" t="str">
        <v>Tournesol</v>
      </c>
    </row>
    <row r="460" spans="1:8">
      <c r="A460" t="s">
        <v>295</v>
      </c>
      <c r="B460">
        <v>4732.8</v>
      </c>
      <c r="C460">
        <v>995.28</v>
      </c>
      <c r="D460">
        <v>8.6999999999999993</v>
      </c>
      <c r="E460">
        <v>8.6999999999999993</v>
      </c>
      <c r="F460">
        <v>0.2102941176470588</v>
      </c>
      <c r="G460">
        <v>1</v>
      </c>
      <c r="H460" t="str">
        <v>Avoine d'hiver</v>
      </c>
    </row>
    <row r="461" spans="1:8">
      <c r="A461" t="s">
        <v>99</v>
      </c>
      <c r="B461">
        <v>11789.95</v>
      </c>
      <c r="C461">
        <v>1099.72</v>
      </c>
      <c r="D461">
        <v>11.75</v>
      </c>
      <c r="E461">
        <v>11.75</v>
      </c>
      <c r="F461">
        <v>9.3276052909469498E-2</v>
      </c>
      <c r="G461">
        <v>1</v>
      </c>
      <c r="H461" t="str">
        <v>Blé tendre d'hiver</v>
      </c>
    </row>
    <row r="462" spans="1:8">
      <c r="A462" t="s">
        <v>183</v>
      </c>
      <c r="B462">
        <v>8487.1200000000008</v>
      </c>
      <c r="C462">
        <v>1705.63</v>
      </c>
      <c r="D462">
        <v>9.83</v>
      </c>
      <c r="E462">
        <v>9.83</v>
      </c>
      <c r="F462">
        <v>0.20096687686753575</v>
      </c>
      <c r="G462">
        <v>1</v>
      </c>
      <c r="H462" t="str">
        <v>Orge d'hiver</v>
      </c>
    </row>
    <row r="463" spans="1:8">
      <c r="A463" t="s">
        <v>1536</v>
      </c>
      <c r="B463">
        <v>15209.68</v>
      </c>
      <c r="C463">
        <v>5825.59</v>
      </c>
      <c r="D463">
        <v>8.83</v>
      </c>
      <c r="E463">
        <v>8.83</v>
      </c>
      <c r="F463">
        <v>0.38301857764265917</v>
      </c>
      <c r="G463">
        <v>1</v>
      </c>
      <c r="H463" t="str">
        <v>Blé dur de printemps</v>
      </c>
    </row>
    <row r="464" spans="1:8">
      <c r="A464" t="s">
        <v>866</v>
      </c>
      <c r="B464">
        <v>13838</v>
      </c>
      <c r="C464">
        <v>8650.4</v>
      </c>
      <c r="D464">
        <v>11</v>
      </c>
      <c r="E464">
        <v>11</v>
      </c>
      <c r="F464">
        <v>0.62511923688394277</v>
      </c>
      <c r="G464">
        <v>1</v>
      </c>
      <c r="H464" t="str">
        <v>Maïs grain non irrigué</v>
      </c>
    </row>
    <row r="465" spans="1:8">
      <c r="A465" t="s">
        <v>137</v>
      </c>
      <c r="B465">
        <v>21173.360000000001</v>
      </c>
      <c r="C465">
        <v>3925.45</v>
      </c>
      <c r="D465">
        <v>23.86</v>
      </c>
      <c r="E465">
        <v>23.86</v>
      </c>
      <c r="F465">
        <v>0.18539570479130377</v>
      </c>
      <c r="G465">
        <v>1</v>
      </c>
      <c r="H465" t="str">
        <v>Orge de printemps</v>
      </c>
    </row>
    <row r="466" spans="1:8">
      <c r="A466" t="s">
        <v>765</v>
      </c>
      <c r="B466">
        <v>32398.2</v>
      </c>
      <c r="C466">
        <v>10588.68</v>
      </c>
      <c r="D466">
        <v>35.119999999999997</v>
      </c>
      <c r="E466">
        <v>35.119999999999997</v>
      </c>
      <c r="F466">
        <v>0.32682926829268294</v>
      </c>
      <c r="G466">
        <v>1</v>
      </c>
      <c r="H466" t="str">
        <v>Tournesol</v>
      </c>
    </row>
    <row r="467" spans="1:8">
      <c r="A467" t="s">
        <v>814</v>
      </c>
      <c r="B467">
        <v>16083.9</v>
      </c>
      <c r="C467">
        <v>2408.6999999999998</v>
      </c>
      <c r="D467">
        <v>12.5</v>
      </c>
      <c r="E467">
        <v>11.1</v>
      </c>
      <c r="F467">
        <v>0.14975845410628019</v>
      </c>
      <c r="G467">
        <v>0.88800000000000001</v>
      </c>
      <c r="H467" t="str">
        <v>Soja</v>
      </c>
    </row>
    <row r="468" spans="1:8">
      <c r="A468" t="s">
        <v>137</v>
      </c>
      <c r="B468">
        <v>9225.9</v>
      </c>
      <c r="C468">
        <v>822.22</v>
      </c>
      <c r="D468">
        <v>9</v>
      </c>
      <c r="E468">
        <v>9</v>
      </c>
      <c r="F468">
        <v>8.9120844578848682E-2</v>
      </c>
      <c r="G468">
        <v>1</v>
      </c>
      <c r="H468" t="str">
        <v>Orge de printemps</v>
      </c>
    </row>
    <row r="469" spans="1:8">
      <c r="A469" t="s">
        <v>898</v>
      </c>
      <c r="B469">
        <v>28587.19</v>
      </c>
      <c r="C469">
        <v>688</v>
      </c>
      <c r="D469">
        <v>24.85</v>
      </c>
      <c r="E469">
        <v>24.85</v>
      </c>
      <c r="F469">
        <v>2.4066723591930513E-2</v>
      </c>
      <c r="G469">
        <v>1</v>
      </c>
      <c r="H469" t="str">
        <v>Maïs ensilage non irrigué</v>
      </c>
    </row>
    <row r="470" spans="1:8">
      <c r="A470" t="s">
        <v>138</v>
      </c>
      <c r="B470">
        <v>14065.26</v>
      </c>
      <c r="C470">
        <v>3511.87</v>
      </c>
      <c r="D470">
        <v>10.1</v>
      </c>
      <c r="E470">
        <v>10.1</v>
      </c>
      <c r="F470">
        <v>0.24968397313665014</v>
      </c>
      <c r="G470">
        <v>1</v>
      </c>
      <c r="H470" t="str">
        <v>Blé de force</v>
      </c>
    </row>
    <row r="471" spans="1:8">
      <c r="A471" t="s">
        <v>140</v>
      </c>
      <c r="B471">
        <v>13292.1</v>
      </c>
      <c r="C471">
        <v>2258.69</v>
      </c>
      <c r="D471">
        <v>9</v>
      </c>
      <c r="E471">
        <v>9</v>
      </c>
      <c r="F471">
        <v>0.16992725002068898</v>
      </c>
      <c r="G471">
        <v>1</v>
      </c>
      <c r="H471" t="str">
        <v>Blé dur d'hiver</v>
      </c>
    </row>
    <row r="472" spans="1:8">
      <c r="A472" t="s">
        <v>99</v>
      </c>
      <c r="B472">
        <v>24372</v>
      </c>
      <c r="C472">
        <v>8116.2</v>
      </c>
      <c r="D472">
        <v>18</v>
      </c>
      <c r="E472">
        <v>18</v>
      </c>
      <c r="F472">
        <v>0.33301329394387003</v>
      </c>
      <c r="G472">
        <v>1</v>
      </c>
      <c r="H472" t="str">
        <v>Blé tendre d'hiver</v>
      </c>
    </row>
    <row r="473" spans="1:8">
      <c r="A473" t="s">
        <v>99</v>
      </c>
      <c r="B473">
        <v>13049.69</v>
      </c>
      <c r="C473">
        <v>1929.09</v>
      </c>
      <c r="D473">
        <v>15.01</v>
      </c>
      <c r="E473">
        <v>15.01</v>
      </c>
      <c r="F473">
        <v>0.14782650009310566</v>
      </c>
      <c r="G473">
        <v>1</v>
      </c>
      <c r="H473" t="str">
        <v>Blé tendre d'hiver</v>
      </c>
    </row>
    <row r="474" spans="1:8">
      <c r="A474" t="s">
        <v>140</v>
      </c>
      <c r="B474">
        <v>8149.68</v>
      </c>
      <c r="C474">
        <v>303.76</v>
      </c>
      <c r="D474">
        <v>6</v>
      </c>
      <c r="E474">
        <v>5.88</v>
      </c>
      <c r="F474">
        <v>3.7272629109363797E-2</v>
      </c>
      <c r="G474">
        <v>0.98</v>
      </c>
      <c r="H474" t="str">
        <v>Blé dur d'hiver</v>
      </c>
    </row>
    <row r="475" spans="1:8">
      <c r="A475" t="s">
        <v>163</v>
      </c>
      <c r="B475">
        <v>5129.32</v>
      </c>
      <c r="C475">
        <v>516.84</v>
      </c>
      <c r="D475">
        <v>4.5999999999999996</v>
      </c>
      <c r="E475">
        <v>4.9400000000000004</v>
      </c>
      <c r="F475">
        <v>0.10076189436416524</v>
      </c>
      <c r="G475">
        <v>1.0739130434782611</v>
      </c>
      <c r="H475" t="str">
        <v>Triticale</v>
      </c>
    </row>
    <row r="476" spans="1:8">
      <c r="A476" t="s">
        <v>99</v>
      </c>
      <c r="B476">
        <v>27304.79</v>
      </c>
      <c r="C476">
        <v>5666.81</v>
      </c>
      <c r="D476">
        <v>26.29</v>
      </c>
      <c r="E476">
        <v>26.29</v>
      </c>
      <c r="F476">
        <v>0.20753904351580804</v>
      </c>
      <c r="G476">
        <v>1</v>
      </c>
      <c r="H476" t="str">
        <v>Blé tendre d'hiver</v>
      </c>
    </row>
    <row r="477" spans="1:8">
      <c r="A477" t="s">
        <v>162</v>
      </c>
      <c r="B477">
        <v>3129.12</v>
      </c>
      <c r="C477">
        <v>820.44</v>
      </c>
      <c r="D477">
        <v>10.6</v>
      </c>
      <c r="E477">
        <v>10.6</v>
      </c>
      <c r="F477">
        <v>0.26219512195121952</v>
      </c>
      <c r="G477">
        <v>1</v>
      </c>
      <c r="H477" t="str">
        <v>Féveroles et fèves</v>
      </c>
    </row>
    <row r="478" spans="1:8">
      <c r="A478" t="s">
        <v>183</v>
      </c>
      <c r="B478">
        <v>19275.04</v>
      </c>
      <c r="C478">
        <v>6091.64</v>
      </c>
      <c r="D478">
        <v>22.73</v>
      </c>
      <c r="E478">
        <v>22.73</v>
      </c>
      <c r="F478">
        <v>0.31603773584905659</v>
      </c>
      <c r="G478">
        <v>1</v>
      </c>
      <c r="H478" t="str">
        <v>Orge d'hiver</v>
      </c>
    </row>
    <row r="479" spans="1:8">
      <c r="A479" t="s">
        <v>765</v>
      </c>
      <c r="B479">
        <v>9650</v>
      </c>
      <c r="C479">
        <v>5737.5</v>
      </c>
      <c r="D479">
        <v>12.5</v>
      </c>
      <c r="E479">
        <v>12.5</v>
      </c>
      <c r="F479">
        <v>0.59455958549222798</v>
      </c>
      <c r="G479">
        <v>1</v>
      </c>
      <c r="H479" t="str">
        <v>Tournesol</v>
      </c>
    </row>
    <row r="480" spans="1:8">
      <c r="A480" t="s">
        <v>814</v>
      </c>
      <c r="B480">
        <v>3257.45</v>
      </c>
      <c r="C480">
        <v>608.51</v>
      </c>
      <c r="D480">
        <v>4.0999999999999996</v>
      </c>
      <c r="E480">
        <v>41.1</v>
      </c>
      <c r="F480">
        <v>0.18680563017083915</v>
      </c>
      <c r="G480">
        <v>10.02439024390244</v>
      </c>
      <c r="H480" t="str">
        <v>Soja</v>
      </c>
    </row>
    <row r="481" spans="1:8">
      <c r="A481" t="s">
        <v>765</v>
      </c>
      <c r="B481">
        <v>5930.4</v>
      </c>
      <c r="C481">
        <v>1044.8800000000001</v>
      </c>
      <c r="D481">
        <v>7.06</v>
      </c>
      <c r="E481">
        <v>7.06</v>
      </c>
      <c r="F481">
        <v>0.17619047619047623</v>
      </c>
      <c r="G481">
        <v>1</v>
      </c>
      <c r="H481" t="str">
        <v>Tournesol</v>
      </c>
    </row>
    <row r="482" spans="1:8">
      <c r="A482" t="s">
        <v>765</v>
      </c>
      <c r="B482">
        <v>13939.73</v>
      </c>
      <c r="C482">
        <v>1034.54</v>
      </c>
      <c r="D482">
        <v>17.86</v>
      </c>
      <c r="E482">
        <v>17.86</v>
      </c>
      <c r="F482">
        <v>7.4215210768070833E-2</v>
      </c>
      <c r="G482">
        <v>1</v>
      </c>
      <c r="H482" t="str">
        <v>Tournesol</v>
      </c>
    </row>
    <row r="483" spans="1:8">
      <c r="A483" t="s">
        <v>27</v>
      </c>
      <c r="B483">
        <v>59850</v>
      </c>
      <c r="C483">
        <v>2541.96</v>
      </c>
      <c r="D483">
        <v>35</v>
      </c>
      <c r="E483">
        <v>35</v>
      </c>
      <c r="F483">
        <v>4.2472180451127821E-2</v>
      </c>
      <c r="G483">
        <v>1</v>
      </c>
      <c r="H483" t="str">
        <v>Colza d'hiver</v>
      </c>
    </row>
    <row r="484" spans="1:8">
      <c r="A484" t="s">
        <v>138</v>
      </c>
      <c r="B484">
        <v>24717.040000000001</v>
      </c>
      <c r="C484">
        <v>1504.6</v>
      </c>
      <c r="D484">
        <v>20.36</v>
      </c>
      <c r="E484">
        <v>20.36</v>
      </c>
      <c r="F484">
        <v>6.0872984791059119E-2</v>
      </c>
      <c r="G484">
        <v>1</v>
      </c>
      <c r="H484" t="str">
        <v>Blé de force</v>
      </c>
    </row>
    <row r="485" spans="1:8">
      <c r="A485" t="s">
        <v>99</v>
      </c>
      <c r="B485">
        <v>16651.8</v>
      </c>
      <c r="C485">
        <v>681.21</v>
      </c>
      <c r="D485">
        <v>16.82</v>
      </c>
      <c r="E485">
        <v>16.82</v>
      </c>
      <c r="F485">
        <v>4.0909090909090916E-2</v>
      </c>
      <c r="G485">
        <v>1</v>
      </c>
      <c r="H485" t="str">
        <v>Blé tendre d'hiver</v>
      </c>
    </row>
    <row r="486" spans="1:8">
      <c r="A486" t="s">
        <v>183</v>
      </c>
      <c r="B486">
        <v>3526.22</v>
      </c>
      <c r="C486">
        <v>159.28</v>
      </c>
      <c r="D486">
        <v>4.7300000000000004</v>
      </c>
      <c r="E486">
        <v>4.7300000000000004</v>
      </c>
      <c r="F486">
        <v>4.5170182234801008E-2</v>
      </c>
      <c r="G486">
        <v>1</v>
      </c>
      <c r="H486" t="str">
        <v>Orge d'hiver</v>
      </c>
    </row>
    <row r="487" spans="1:8">
      <c r="A487" t="s">
        <v>765</v>
      </c>
      <c r="B487">
        <v>22567.55</v>
      </c>
      <c r="C487">
        <v>1502.86</v>
      </c>
      <c r="D487">
        <v>28.69</v>
      </c>
      <c r="E487">
        <v>28.69</v>
      </c>
      <c r="F487">
        <v>6.659384824670822E-2</v>
      </c>
      <c r="G487">
        <v>1</v>
      </c>
      <c r="H487" t="str">
        <v>Tournesol</v>
      </c>
    </row>
    <row r="488" spans="1:8">
      <c r="A488" t="s">
        <v>140</v>
      </c>
      <c r="B488">
        <v>26688.75</v>
      </c>
      <c r="C488">
        <v>2038.05</v>
      </c>
      <c r="D488">
        <v>19.41</v>
      </c>
      <c r="E488">
        <v>19.600000000000001</v>
      </c>
      <c r="F488">
        <v>7.6363636363636356E-2</v>
      </c>
      <c r="G488">
        <v>1.0097887686759404</v>
      </c>
      <c r="H488" t="str">
        <v>Blé dur d'hiver</v>
      </c>
    </row>
    <row r="489" spans="1:8">
      <c r="A489" t="s">
        <v>138</v>
      </c>
      <c r="B489">
        <v>10944.57</v>
      </c>
      <c r="C489">
        <v>2176.35</v>
      </c>
      <c r="D489">
        <v>7.01</v>
      </c>
      <c r="E489">
        <v>7.01</v>
      </c>
      <c r="F489">
        <v>0.19885203347413374</v>
      </c>
      <c r="G489">
        <v>1</v>
      </c>
      <c r="H489" t="str">
        <v>Blé de force</v>
      </c>
    </row>
    <row r="490" spans="1:8">
      <c r="A490" t="s">
        <v>866</v>
      </c>
      <c r="B490">
        <v>23231.93</v>
      </c>
      <c r="C490">
        <v>43.19</v>
      </c>
      <c r="D490">
        <v>15.05</v>
      </c>
      <c r="E490">
        <v>15.05</v>
      </c>
      <c r="F490">
        <v>1.8590792930247293E-3</v>
      </c>
      <c r="G490">
        <v>1</v>
      </c>
      <c r="H490" t="str">
        <v>Maïs grain non irrigué</v>
      </c>
    </row>
    <row r="491" spans="1:8">
      <c r="A491" t="s">
        <v>910</v>
      </c>
      <c r="B491">
        <v>115115</v>
      </c>
      <c r="C491">
        <v>7446.25</v>
      </c>
      <c r="D491">
        <v>55</v>
      </c>
      <c r="E491">
        <v>55</v>
      </c>
      <c r="F491">
        <v>6.4685314685314688E-2</v>
      </c>
      <c r="G491">
        <v>1</v>
      </c>
      <c r="H491" t="str">
        <v>Maïs grain irrigué</v>
      </c>
    </row>
    <row r="492" spans="1:8">
      <c r="A492" t="s">
        <v>866</v>
      </c>
      <c r="B492">
        <v>16905</v>
      </c>
      <c r="C492">
        <v>2898</v>
      </c>
      <c r="D492">
        <v>15</v>
      </c>
      <c r="E492">
        <v>15</v>
      </c>
      <c r="F492">
        <v>0.17142857142857143</v>
      </c>
      <c r="G492">
        <v>1</v>
      </c>
      <c r="H492" t="str">
        <v>Maïs grain non irrigué</v>
      </c>
    </row>
    <row r="493" spans="1:8">
      <c r="A493" t="s">
        <v>99</v>
      </c>
      <c r="B493">
        <v>60550</v>
      </c>
      <c r="C493">
        <v>29444.6</v>
      </c>
      <c r="D493">
        <v>50</v>
      </c>
      <c r="E493">
        <v>50</v>
      </c>
      <c r="F493">
        <v>0.48628571428571427</v>
      </c>
      <c r="G493">
        <v>1</v>
      </c>
      <c r="H493" t="str">
        <v>Blé tendre d'hiver</v>
      </c>
    </row>
    <row r="494" spans="1:8">
      <c r="A494" t="s">
        <v>99</v>
      </c>
      <c r="B494">
        <v>41125.56</v>
      </c>
      <c r="C494">
        <v>3478.41</v>
      </c>
      <c r="D494">
        <v>35.31</v>
      </c>
      <c r="E494">
        <v>35.31</v>
      </c>
      <c r="F494">
        <v>8.4580246445276369E-2</v>
      </c>
      <c r="G494">
        <v>1</v>
      </c>
      <c r="H494" t="str">
        <v>Blé tendre d'hiver</v>
      </c>
    </row>
    <row r="495" spans="1:8">
      <c r="A495" t="s">
        <v>163</v>
      </c>
      <c r="B495">
        <v>19290.25</v>
      </c>
      <c r="C495">
        <v>894.62</v>
      </c>
      <c r="D495">
        <v>23.22</v>
      </c>
      <c r="E495">
        <v>23.22</v>
      </c>
      <c r="F495">
        <v>4.6376796568214515E-2</v>
      </c>
      <c r="G495">
        <v>1</v>
      </c>
      <c r="H495" t="str">
        <v>Triticale</v>
      </c>
    </row>
    <row r="496" spans="1:8">
      <c r="A496" t="s">
        <v>137</v>
      </c>
      <c r="B496">
        <v>144054.71</v>
      </c>
      <c r="C496">
        <v>49108.47</v>
      </c>
      <c r="D496">
        <v>85.89</v>
      </c>
      <c r="E496">
        <v>85.89</v>
      </c>
      <c r="F496">
        <v>0.34090152276173408</v>
      </c>
      <c r="G496">
        <v>1</v>
      </c>
      <c r="H496" t="str">
        <v>Orge de printemps</v>
      </c>
    </row>
    <row r="497" spans="1:8">
      <c r="A497" t="s">
        <v>27</v>
      </c>
      <c r="B497">
        <v>29324.5</v>
      </c>
      <c r="C497">
        <v>1380.75</v>
      </c>
      <c r="D497">
        <v>22.3</v>
      </c>
      <c r="E497">
        <v>22.2</v>
      </c>
      <c r="F497">
        <v>4.708520179372197E-2</v>
      </c>
      <c r="G497">
        <v>0.99551569506726456</v>
      </c>
      <c r="H497" t="str">
        <v>Colza d'hiver</v>
      </c>
    </row>
    <row r="498" spans="1:8">
      <c r="A498" t="s">
        <v>138</v>
      </c>
      <c r="B498">
        <v>8008</v>
      </c>
      <c r="C498">
        <v>338.8</v>
      </c>
      <c r="D498">
        <v>7</v>
      </c>
      <c r="E498">
        <v>7</v>
      </c>
      <c r="F498">
        <v>4.230769230769231E-2</v>
      </c>
      <c r="G498">
        <v>1</v>
      </c>
      <c r="H498" t="str">
        <v>Blé de force</v>
      </c>
    </row>
    <row r="499" spans="1:8">
      <c r="A499" t="s">
        <v>99</v>
      </c>
      <c r="B499">
        <v>49534.06</v>
      </c>
      <c r="C499">
        <v>2589.59</v>
      </c>
      <c r="D499">
        <v>48.11</v>
      </c>
      <c r="E499">
        <v>48.11</v>
      </c>
      <c r="F499">
        <v>5.2278977333979897E-2</v>
      </c>
      <c r="G499">
        <v>1</v>
      </c>
      <c r="H499" t="str">
        <v>Blé tendre d'hiver</v>
      </c>
    </row>
    <row r="500" spans="1:8">
      <c r="A500" t="s">
        <v>99</v>
      </c>
      <c r="B500">
        <v>27852</v>
      </c>
      <c r="C500">
        <v>4653</v>
      </c>
      <c r="D500">
        <v>22</v>
      </c>
      <c r="E500">
        <v>22</v>
      </c>
      <c r="F500">
        <v>0.16706161137440759</v>
      </c>
      <c r="G500">
        <v>1</v>
      </c>
      <c r="H500" t="str">
        <v>Blé tendre d'hiver</v>
      </c>
    </row>
    <row r="501" spans="1:8">
      <c r="A501" t="s">
        <v>207</v>
      </c>
      <c r="B501">
        <v>6408</v>
      </c>
      <c r="C501">
        <v>2109.3000000000002</v>
      </c>
      <c r="D501">
        <v>13.35</v>
      </c>
      <c r="E501">
        <v>13.35</v>
      </c>
      <c r="F501">
        <v>0.32916666666666672</v>
      </c>
      <c r="G501">
        <v>1</v>
      </c>
      <c r="H501" t="str">
        <v>Seigle et méteil</v>
      </c>
    </row>
    <row r="502" spans="1:8">
      <c r="A502" t="s">
        <v>140</v>
      </c>
      <c r="B502">
        <v>13431.6</v>
      </c>
      <c r="C502">
        <v>1173.31</v>
      </c>
      <c r="D502">
        <v>10</v>
      </c>
      <c r="E502">
        <v>10</v>
      </c>
      <c r="F502">
        <v>8.7354447720301376E-2</v>
      </c>
      <c r="G502">
        <v>1</v>
      </c>
      <c r="H502" t="str">
        <v>Blé dur d'hiver</v>
      </c>
    </row>
    <row r="503" spans="1:8">
      <c r="A503" t="s">
        <v>765</v>
      </c>
      <c r="B503">
        <v>11100</v>
      </c>
      <c r="C503">
        <v>1145.0999999999999</v>
      </c>
      <c r="D503">
        <v>11.1</v>
      </c>
      <c r="E503">
        <v>11.1</v>
      </c>
      <c r="F503">
        <v>0.10316216216216216</v>
      </c>
      <c r="G503">
        <v>1</v>
      </c>
      <c r="H503" t="str">
        <v>Tournesol</v>
      </c>
    </row>
    <row r="504" spans="1:8">
      <c r="A504" t="s">
        <v>910</v>
      </c>
      <c r="B504">
        <v>38900.879999999997</v>
      </c>
      <c r="C504">
        <v>1724.47</v>
      </c>
      <c r="D504">
        <v>22.28</v>
      </c>
      <c r="E504">
        <v>22.28</v>
      </c>
      <c r="F504">
        <v>4.4329845494497817E-2</v>
      </c>
      <c r="G504">
        <v>1</v>
      </c>
      <c r="H504" t="str">
        <v>Maïs grain irrigué</v>
      </c>
    </row>
    <row r="505" spans="1:8">
      <c r="A505" t="s">
        <v>814</v>
      </c>
      <c r="B505">
        <v>28010.560000000001</v>
      </c>
      <c r="C505">
        <v>7823.2</v>
      </c>
      <c r="D505">
        <v>21.68</v>
      </c>
      <c r="E505">
        <v>21.68</v>
      </c>
      <c r="F505">
        <v>0.27929466601167557</v>
      </c>
      <c r="G505">
        <v>1</v>
      </c>
      <c r="H505" t="str">
        <v>Soja</v>
      </c>
    </row>
    <row r="506" spans="1:8">
      <c r="A506" t="s">
        <v>137</v>
      </c>
      <c r="B506">
        <v>10621.26</v>
      </c>
      <c r="C506">
        <v>720.8</v>
      </c>
      <c r="D506">
        <v>11.57</v>
      </c>
      <c r="E506">
        <v>11.57</v>
      </c>
      <c r="F506">
        <v>6.7863888088607188E-2</v>
      </c>
      <c r="G506">
        <v>1</v>
      </c>
      <c r="H506" t="str">
        <v>Orge de printemps</v>
      </c>
    </row>
    <row r="507" spans="1:8">
      <c r="A507" t="s">
        <v>138</v>
      </c>
      <c r="B507">
        <v>51888.5</v>
      </c>
      <c r="C507">
        <v>6875.8</v>
      </c>
      <c r="D507">
        <v>39.25</v>
      </c>
      <c r="E507">
        <v>39.25</v>
      </c>
      <c r="F507">
        <v>0.13251105736338495</v>
      </c>
      <c r="G507">
        <v>1</v>
      </c>
      <c r="H507" t="str">
        <v>Blé de force</v>
      </c>
    </row>
    <row r="508" spans="1:8">
      <c r="A508" t="s">
        <v>27</v>
      </c>
      <c r="B508">
        <v>13991.25</v>
      </c>
      <c r="C508">
        <v>2550.71</v>
      </c>
      <c r="D508">
        <v>12.3</v>
      </c>
      <c r="E508">
        <v>12.3</v>
      </c>
      <c r="F508">
        <v>0.1823075136245868</v>
      </c>
      <c r="G508">
        <v>1</v>
      </c>
      <c r="H508" t="str">
        <v>Colza d'hiver</v>
      </c>
    </row>
    <row r="509" spans="1:8">
      <c r="A509" t="s">
        <v>910</v>
      </c>
      <c r="B509">
        <v>232344</v>
      </c>
      <c r="C509">
        <v>24962.6</v>
      </c>
      <c r="D509">
        <v>82.98</v>
      </c>
      <c r="E509">
        <v>82.98</v>
      </c>
      <c r="F509">
        <v>0.10743810901077712</v>
      </c>
      <c r="G509">
        <v>1</v>
      </c>
      <c r="H509" t="str">
        <v>Maïs grain irrigué</v>
      </c>
    </row>
    <row r="510" spans="1:8">
      <c r="A510" t="s">
        <v>99</v>
      </c>
      <c r="B510">
        <v>15820</v>
      </c>
      <c r="C510">
        <v>1921</v>
      </c>
      <c r="D510">
        <v>11.3</v>
      </c>
      <c r="E510">
        <v>11.3</v>
      </c>
      <c r="F510">
        <v>0.12142857142857143</v>
      </c>
      <c r="G510">
        <v>1</v>
      </c>
      <c r="H510" t="str">
        <v>Blé tendre d'hiver</v>
      </c>
    </row>
    <row r="511" spans="1:8">
      <c r="A511" t="s">
        <v>140</v>
      </c>
      <c r="B511">
        <v>9055.2000000000007</v>
      </c>
      <c r="C511">
        <v>1433.74</v>
      </c>
      <c r="D511">
        <v>5.39</v>
      </c>
      <c r="E511">
        <v>5.39</v>
      </c>
      <c r="F511">
        <v>0.15833333333333333</v>
      </c>
      <c r="G511">
        <v>1</v>
      </c>
      <c r="H511" t="str">
        <v>Blé dur d'hiver</v>
      </c>
    </row>
    <row r="512" spans="1:8">
      <c r="A512" t="s">
        <v>27</v>
      </c>
      <c r="B512">
        <v>29152</v>
      </c>
      <c r="C512">
        <v>8162.56</v>
      </c>
      <c r="D512">
        <v>18.22</v>
      </c>
      <c r="E512">
        <v>18.22</v>
      </c>
      <c r="F512">
        <v>0.28000000000000003</v>
      </c>
      <c r="G512">
        <v>1</v>
      </c>
      <c r="H512" t="str">
        <v>Colza d'hiver</v>
      </c>
    </row>
    <row r="513" spans="1:8">
      <c r="A513" t="s">
        <v>310</v>
      </c>
      <c r="B513">
        <v>14710.29</v>
      </c>
      <c r="C513">
        <v>3640.07</v>
      </c>
      <c r="D513">
        <v>14.99</v>
      </c>
      <c r="E513">
        <v>14.99</v>
      </c>
      <c r="F513">
        <v>0.24745059410793396</v>
      </c>
      <c r="G513">
        <v>1</v>
      </c>
      <c r="H513" t="str">
        <v>Pois protéagineux</v>
      </c>
    </row>
    <row r="514" spans="1:8">
      <c r="A514" t="s">
        <v>140</v>
      </c>
      <c r="B514">
        <v>14772.12</v>
      </c>
      <c r="C514">
        <v>1554.07</v>
      </c>
      <c r="D514">
        <v>12.4</v>
      </c>
      <c r="E514">
        <v>12.4</v>
      </c>
      <c r="F514">
        <v>0.10520290926420851</v>
      </c>
      <c r="G514">
        <v>1</v>
      </c>
      <c r="H514" t="str">
        <v>Blé dur d'hiver</v>
      </c>
    </row>
    <row r="515" spans="1:8">
      <c r="A515" t="s">
        <v>99</v>
      </c>
      <c r="B515">
        <v>18328.05</v>
      </c>
      <c r="C515">
        <v>881.16</v>
      </c>
      <c r="D515">
        <v>16.899999999999999</v>
      </c>
      <c r="E515">
        <v>16.899999999999999</v>
      </c>
      <c r="F515">
        <v>4.8077127681340898E-2</v>
      </c>
      <c r="G515">
        <v>1</v>
      </c>
      <c r="H515" t="str">
        <v>Blé tendre d'hiver</v>
      </c>
    </row>
    <row r="516" spans="1:8">
      <c r="A516" t="s">
        <v>137</v>
      </c>
      <c r="B516">
        <v>11278.5</v>
      </c>
      <c r="C516">
        <v>2172.61</v>
      </c>
      <c r="D516">
        <v>10.3</v>
      </c>
      <c r="E516">
        <v>10.3</v>
      </c>
      <c r="F516">
        <v>0.19263288557875605</v>
      </c>
      <c r="G516">
        <v>1</v>
      </c>
      <c r="H516" t="str">
        <v>Orge de printemps</v>
      </c>
    </row>
    <row r="517" spans="1:8">
      <c r="A517" t="s">
        <v>138</v>
      </c>
      <c r="B517">
        <v>14471.6</v>
      </c>
      <c r="C517">
        <v>2183.9</v>
      </c>
      <c r="D517">
        <v>11.96</v>
      </c>
      <c r="E517">
        <v>11.96</v>
      </c>
      <c r="F517">
        <v>0.15090936731252938</v>
      </c>
      <c r="G517">
        <v>1</v>
      </c>
      <c r="H517" t="str">
        <v>Blé de force</v>
      </c>
    </row>
    <row r="518" spans="1:8">
      <c r="A518" t="s">
        <v>183</v>
      </c>
      <c r="B518">
        <v>11252.8</v>
      </c>
      <c r="C518">
        <v>1428.24</v>
      </c>
      <c r="D518">
        <v>10.82</v>
      </c>
      <c r="E518">
        <v>10.82</v>
      </c>
      <c r="F518">
        <v>0.12692307692307694</v>
      </c>
      <c r="G518">
        <v>1</v>
      </c>
      <c r="H518" t="str">
        <v>Orge d'hiver</v>
      </c>
    </row>
    <row r="519" spans="1:8">
      <c r="A519" t="s">
        <v>183</v>
      </c>
      <c r="B519">
        <v>8062.59</v>
      </c>
      <c r="C519">
        <v>862.58</v>
      </c>
      <c r="D519">
        <v>7.7</v>
      </c>
      <c r="E519">
        <v>7.6</v>
      </c>
      <c r="F519">
        <v>0.10698547241023046</v>
      </c>
      <c r="G519">
        <v>0.9870129870129869</v>
      </c>
      <c r="H519" t="str">
        <v>Orge d'hiver</v>
      </c>
    </row>
    <row r="520" spans="1:8">
      <c r="A520" t="s">
        <v>814</v>
      </c>
      <c r="B520">
        <v>7380</v>
      </c>
      <c r="C520">
        <v>1402.32</v>
      </c>
      <c r="D520">
        <v>6</v>
      </c>
      <c r="E520">
        <v>6</v>
      </c>
      <c r="F520">
        <v>0.19001626016260162</v>
      </c>
      <c r="G520">
        <v>1</v>
      </c>
      <c r="H520" t="str">
        <v>Soja</v>
      </c>
    </row>
    <row r="521" spans="1:8">
      <c r="A521" t="s">
        <v>99</v>
      </c>
      <c r="B521">
        <v>56740.46</v>
      </c>
      <c r="C521">
        <v>190.78</v>
      </c>
      <c r="D521">
        <v>51.4</v>
      </c>
      <c r="E521">
        <v>12</v>
      </c>
      <c r="F521">
        <v>3.3623273410190893E-3</v>
      </c>
      <c r="G521">
        <v>0.23346303501945526</v>
      </c>
      <c r="H521" t="str">
        <v>Blé tendre d'hiver</v>
      </c>
    </row>
    <row r="522" spans="1:8">
      <c r="A522" t="s">
        <v>765</v>
      </c>
      <c r="B522">
        <v>13400</v>
      </c>
      <c r="C522">
        <v>1089.4000000000001</v>
      </c>
      <c r="D522">
        <v>13.4</v>
      </c>
      <c r="E522">
        <v>13.4</v>
      </c>
      <c r="F522">
        <v>8.1298507462686576E-2</v>
      </c>
      <c r="G522">
        <v>1</v>
      </c>
      <c r="H522" t="str">
        <v>Tournesol</v>
      </c>
    </row>
    <row r="523" spans="1:8">
      <c r="A523" t="s">
        <v>99</v>
      </c>
      <c r="B523">
        <v>33878.11</v>
      </c>
      <c r="C523">
        <v>1545.99</v>
      </c>
      <c r="D523">
        <v>29.49</v>
      </c>
      <c r="E523">
        <v>29.49</v>
      </c>
      <c r="F523">
        <v>4.5633891619101537E-2</v>
      </c>
      <c r="G523">
        <v>1</v>
      </c>
      <c r="H523" t="str">
        <v>Blé tendre d'hiver</v>
      </c>
    </row>
    <row r="524" spans="1:8">
      <c r="A524" t="s">
        <v>310</v>
      </c>
      <c r="B524">
        <v>7835.76</v>
      </c>
      <c r="C524">
        <v>1569.47</v>
      </c>
      <c r="D524">
        <v>12.14</v>
      </c>
      <c r="E524">
        <v>12.14</v>
      </c>
      <c r="F524">
        <v>0.20029582325135023</v>
      </c>
      <c r="G524">
        <v>1</v>
      </c>
      <c r="H524" t="str">
        <v>Pois protéagineux</v>
      </c>
    </row>
    <row r="525" spans="1:8">
      <c r="A525" t="s">
        <v>99</v>
      </c>
      <c r="B525">
        <v>52780.15</v>
      </c>
      <c r="C525">
        <v>3449.88</v>
      </c>
      <c r="D525">
        <v>42.61</v>
      </c>
      <c r="E525">
        <v>13.76</v>
      </c>
      <c r="F525">
        <v>6.5363209464164088E-2</v>
      </c>
      <c r="G525">
        <v>0.32292888993194085</v>
      </c>
      <c r="H525" t="str">
        <v>Blé tendre d'hiver</v>
      </c>
    </row>
    <row r="526" spans="1:8">
      <c r="A526" t="s">
        <v>138</v>
      </c>
      <c r="B526">
        <v>8890.2000000000007</v>
      </c>
      <c r="C526">
        <v>2972.38</v>
      </c>
      <c r="D526">
        <v>8.98</v>
      </c>
      <c r="E526">
        <v>8.98</v>
      </c>
      <c r="F526">
        <v>0.33434343434343433</v>
      </c>
      <c r="G526">
        <v>1</v>
      </c>
      <c r="H526" t="str">
        <v>Blé de force</v>
      </c>
    </row>
    <row r="527" spans="1:8">
      <c r="A527" t="s">
        <v>99</v>
      </c>
      <c r="B527">
        <v>71201.88</v>
      </c>
      <c r="C527">
        <v>16124.41</v>
      </c>
      <c r="D527">
        <v>61.17</v>
      </c>
      <c r="E527">
        <v>61.17</v>
      </c>
      <c r="F527">
        <v>0.22646045301051038</v>
      </c>
      <c r="G527">
        <v>1</v>
      </c>
      <c r="H527" t="str">
        <v>Blé tendre d'hiver</v>
      </c>
    </row>
    <row r="528" spans="1:8">
      <c r="A528" t="s">
        <v>137</v>
      </c>
      <c r="B528">
        <v>5778.43</v>
      </c>
      <c r="C528">
        <v>1169.77</v>
      </c>
      <c r="D528">
        <v>7.04</v>
      </c>
      <c r="E528">
        <v>7.04</v>
      </c>
      <c r="F528">
        <v>0.20243734024639909</v>
      </c>
      <c r="G528">
        <v>1</v>
      </c>
      <c r="H528" t="str">
        <v>Orge de printemps</v>
      </c>
    </row>
    <row r="529" spans="1:8">
      <c r="A529" t="s">
        <v>310</v>
      </c>
      <c r="B529">
        <v>5107.1499999999996</v>
      </c>
      <c r="C529">
        <v>386.35</v>
      </c>
      <c r="D529">
        <v>6.69</v>
      </c>
      <c r="E529">
        <v>6.69</v>
      </c>
      <c r="F529">
        <v>7.5648845246370292E-2</v>
      </c>
      <c r="G529">
        <v>1</v>
      </c>
      <c r="H529" t="str">
        <v>Pois protéagineux</v>
      </c>
    </row>
    <row r="530" spans="1:8">
      <c r="A530" t="s">
        <v>99</v>
      </c>
      <c r="B530">
        <v>83952.26</v>
      </c>
      <c r="C530">
        <v>1380.93</v>
      </c>
      <c r="D530">
        <v>53.2</v>
      </c>
      <c r="E530">
        <v>12.26</v>
      </c>
      <c r="F530">
        <v>1.6448991367236571E-2</v>
      </c>
      <c r="G530">
        <v>0.23045112781954885</v>
      </c>
      <c r="H530" t="str">
        <v>Blé tendre d'hiver</v>
      </c>
    </row>
    <row r="531" spans="1:8">
      <c r="A531" t="s">
        <v>99</v>
      </c>
      <c r="B531">
        <v>151897.20000000001</v>
      </c>
      <c r="C531">
        <v>13242.32</v>
      </c>
      <c r="D531">
        <v>97.37</v>
      </c>
      <c r="E531">
        <v>95</v>
      </c>
      <c r="F531">
        <v>8.7179487179487175E-2</v>
      </c>
      <c r="G531">
        <v>0.97565985416452705</v>
      </c>
      <c r="H531" t="str">
        <v>Blé tendre d'hiver</v>
      </c>
    </row>
    <row r="532" spans="1:8">
      <c r="A532" t="s">
        <v>99</v>
      </c>
      <c r="B532">
        <v>39223.08</v>
      </c>
      <c r="C532">
        <v>20979.97</v>
      </c>
      <c r="D532">
        <v>39.78</v>
      </c>
      <c r="E532">
        <v>39.78</v>
      </c>
      <c r="F532">
        <v>0.53488838714348796</v>
      </c>
      <c r="G532">
        <v>1</v>
      </c>
      <c r="H532" t="str">
        <v>Blé tendre d'hiver</v>
      </c>
    </row>
    <row r="533" spans="1:8">
      <c r="A533" t="s">
        <v>138</v>
      </c>
      <c r="B533">
        <v>16850.740000000002</v>
      </c>
      <c r="C533">
        <v>7304.27</v>
      </c>
      <c r="D533">
        <v>17.09</v>
      </c>
      <c r="E533">
        <v>17.09</v>
      </c>
      <c r="F533">
        <v>0.43346879721602727</v>
      </c>
      <c r="G533">
        <v>1</v>
      </c>
      <c r="H533" t="str">
        <v>Blé de force</v>
      </c>
    </row>
    <row r="534" spans="1:8">
      <c r="A534" t="s">
        <v>99</v>
      </c>
      <c r="B534">
        <v>27706.6</v>
      </c>
      <c r="C534">
        <v>12571.94</v>
      </c>
      <c r="D534">
        <v>28.1</v>
      </c>
      <c r="E534">
        <v>28.1</v>
      </c>
      <c r="F534">
        <v>0.45375253549695743</v>
      </c>
      <c r="G534">
        <v>1</v>
      </c>
      <c r="H534" t="str">
        <v>Blé tendre d'hiver</v>
      </c>
    </row>
    <row r="535" spans="1:8">
      <c r="A535" t="s">
        <v>910</v>
      </c>
      <c r="B535">
        <v>96496.92</v>
      </c>
      <c r="C535">
        <v>23369.15</v>
      </c>
      <c r="D535">
        <v>45.82</v>
      </c>
      <c r="E535">
        <v>45.82</v>
      </c>
      <c r="F535">
        <v>0.24217508703904747</v>
      </c>
      <c r="G535">
        <v>1</v>
      </c>
      <c r="H535" t="str">
        <v>Maïs grain irrigué</v>
      </c>
    </row>
    <row r="536" spans="1:8">
      <c r="A536" t="s">
        <v>99</v>
      </c>
      <c r="B536">
        <v>141488.99</v>
      </c>
      <c r="C536">
        <v>52937.29</v>
      </c>
      <c r="D536">
        <v>114.39</v>
      </c>
      <c r="E536">
        <v>114.37</v>
      </c>
      <c r="F536">
        <v>0.37414423553380377</v>
      </c>
      <c r="G536">
        <v>0.99982515954191808</v>
      </c>
      <c r="H536" t="str">
        <v>Blé tendre d'hiver</v>
      </c>
    </row>
    <row r="537" spans="1:8">
      <c r="A537" t="s">
        <v>27</v>
      </c>
      <c r="B537">
        <v>46344.959999999999</v>
      </c>
      <c r="C537">
        <v>20616.080000000002</v>
      </c>
      <c r="D537">
        <v>34.56</v>
      </c>
      <c r="E537">
        <v>34.56</v>
      </c>
      <c r="F537">
        <v>0.44483974093407358</v>
      </c>
      <c r="G537">
        <v>1</v>
      </c>
      <c r="H537" t="str">
        <v>Colza d'hiver</v>
      </c>
    </row>
    <row r="538" spans="1:8">
      <c r="A538" t="s">
        <v>183</v>
      </c>
      <c r="B538">
        <v>35285.22</v>
      </c>
      <c r="C538">
        <v>19070.46</v>
      </c>
      <c r="D538">
        <v>28.41</v>
      </c>
      <c r="E538">
        <v>28.4</v>
      </c>
      <c r="F538">
        <v>0.54046595146636467</v>
      </c>
      <c r="G538">
        <v>0.99964801126363956</v>
      </c>
      <c r="H538" t="str">
        <v>Orge d'hiver</v>
      </c>
    </row>
    <row r="539" spans="1:8">
      <c r="A539" t="s">
        <v>765</v>
      </c>
      <c r="B539">
        <v>16815.62</v>
      </c>
      <c r="C539">
        <v>4123.62</v>
      </c>
      <c r="D539">
        <v>14.48</v>
      </c>
      <c r="E539">
        <v>14.48</v>
      </c>
      <c r="F539">
        <v>0.24522557003547893</v>
      </c>
      <c r="G539">
        <v>1</v>
      </c>
      <c r="H539" t="str">
        <v>Tournesol</v>
      </c>
    </row>
    <row r="540" spans="1:8">
      <c r="A540" t="s">
        <v>137</v>
      </c>
      <c r="B540">
        <v>33148.5</v>
      </c>
      <c r="C540">
        <v>8476.7800000000007</v>
      </c>
      <c r="D540">
        <v>30.75</v>
      </c>
      <c r="E540">
        <v>30.75</v>
      </c>
      <c r="F540">
        <v>0.25572137502451092</v>
      </c>
      <c r="G540">
        <v>1</v>
      </c>
      <c r="H540" t="str">
        <v>Orge de printemps</v>
      </c>
    </row>
    <row r="541" spans="1:8">
      <c r="A541" t="s">
        <v>99</v>
      </c>
      <c r="B541">
        <v>36020.959999999999</v>
      </c>
      <c r="C541">
        <v>1988.52</v>
      </c>
      <c r="D541">
        <v>25.84</v>
      </c>
      <c r="E541">
        <v>25.84</v>
      </c>
      <c r="F541">
        <v>5.52045253652318E-2</v>
      </c>
      <c r="G541">
        <v>1</v>
      </c>
      <c r="H541" t="str">
        <v>Blé tendre d'hiver</v>
      </c>
    </row>
    <row r="542" spans="1:8">
      <c r="A542" t="s">
        <v>162</v>
      </c>
      <c r="B542">
        <v>13885.44</v>
      </c>
      <c r="C542">
        <v>3319.09</v>
      </c>
      <c r="D542">
        <v>16.8</v>
      </c>
      <c r="E542">
        <v>16.8</v>
      </c>
      <c r="F542">
        <v>0.23903383688237465</v>
      </c>
      <c r="G542">
        <v>1</v>
      </c>
      <c r="H542" t="str">
        <v>Féveroles et fèves</v>
      </c>
    </row>
    <row r="543" spans="1:8">
      <c r="A543" t="s">
        <v>310</v>
      </c>
      <c r="B543">
        <v>3799.29</v>
      </c>
      <c r="C543">
        <v>680.06</v>
      </c>
      <c r="D543">
        <v>3.97</v>
      </c>
      <c r="E543">
        <v>3.97</v>
      </c>
      <c r="F543">
        <v>0.17899660199668885</v>
      </c>
      <c r="G543">
        <v>1</v>
      </c>
      <c r="H543" t="str">
        <v>Pois protéagineux</v>
      </c>
    </row>
    <row r="544" spans="1:8">
      <c r="A544" t="s">
        <v>163</v>
      </c>
      <c r="B544">
        <v>1940.91</v>
      </c>
      <c r="C544">
        <v>301.45999999999998</v>
      </c>
      <c r="D544">
        <v>2.3199999999999998</v>
      </c>
      <c r="E544">
        <v>2.3199999999999998</v>
      </c>
      <c r="F544">
        <v>0.15531889680613731</v>
      </c>
      <c r="G544">
        <v>1</v>
      </c>
      <c r="H544" t="str">
        <v>Triticale</v>
      </c>
    </row>
    <row r="545" spans="1:8">
      <c r="A545" t="s">
        <v>99</v>
      </c>
      <c r="B545">
        <v>40363.07</v>
      </c>
      <c r="C545">
        <v>10632.11</v>
      </c>
      <c r="D545">
        <v>39.56</v>
      </c>
      <c r="E545">
        <v>39.56</v>
      </c>
      <c r="F545">
        <v>0.26341182670198282</v>
      </c>
      <c r="G545">
        <v>1</v>
      </c>
      <c r="H545" t="str">
        <v>Blé tendre d'hiver</v>
      </c>
    </row>
    <row r="546" spans="1:8">
      <c r="A546" t="s">
        <v>27</v>
      </c>
      <c r="B546">
        <v>13010.18</v>
      </c>
      <c r="C546">
        <v>2614.5500000000002</v>
      </c>
      <c r="D546">
        <v>10.91</v>
      </c>
      <c r="E546">
        <v>10.91</v>
      </c>
      <c r="F546">
        <v>0.20096186217254489</v>
      </c>
      <c r="G546">
        <v>1</v>
      </c>
      <c r="H546" t="str">
        <v>Colza d'hiver</v>
      </c>
    </row>
    <row r="547" spans="1:8">
      <c r="A547" t="s">
        <v>183</v>
      </c>
      <c r="B547">
        <v>11066.33</v>
      </c>
      <c r="C547">
        <v>4689.95</v>
      </c>
      <c r="D547">
        <v>10.92</v>
      </c>
      <c r="E547">
        <v>10.92</v>
      </c>
      <c r="F547">
        <v>0.42380355546960913</v>
      </c>
      <c r="G547">
        <v>1</v>
      </c>
      <c r="H547" t="str">
        <v>Orge d'hiver</v>
      </c>
    </row>
    <row r="548" spans="1:8">
      <c r="A548" t="s">
        <v>183</v>
      </c>
      <c r="B548">
        <v>14539.77</v>
      </c>
      <c r="C548">
        <v>3338.22</v>
      </c>
      <c r="D548">
        <v>14.13</v>
      </c>
      <c r="E548">
        <v>14.13</v>
      </c>
      <c r="F548">
        <v>0.22959235256128532</v>
      </c>
      <c r="G548">
        <v>1</v>
      </c>
      <c r="H548" t="str">
        <v>Orge d'hiver</v>
      </c>
    </row>
    <row r="549" spans="1:8">
      <c r="A549" t="s">
        <v>310</v>
      </c>
      <c r="B549">
        <v>5600.84</v>
      </c>
      <c r="C549">
        <v>1174.1500000000001</v>
      </c>
      <c r="D549">
        <v>4.82</v>
      </c>
      <c r="E549">
        <v>4.8</v>
      </c>
      <c r="F549">
        <v>0.20963819712757373</v>
      </c>
      <c r="G549">
        <v>0.99585062240663891</v>
      </c>
      <c r="H549" t="str">
        <v>Pois protéagineux</v>
      </c>
    </row>
    <row r="550" spans="1:8">
      <c r="A550" t="s">
        <v>99</v>
      </c>
      <c r="B550">
        <v>75330.8</v>
      </c>
      <c r="C550">
        <v>9823.43</v>
      </c>
      <c r="D550">
        <v>54.99</v>
      </c>
      <c r="E550">
        <v>40</v>
      </c>
      <c r="F550">
        <v>0.13040389853818093</v>
      </c>
      <c r="G550">
        <v>0.72740498272413168</v>
      </c>
      <c r="H550" t="str">
        <v>Blé tendre d'hiver</v>
      </c>
    </row>
    <row r="551" spans="1:8">
      <c r="A551" t="s">
        <v>27</v>
      </c>
      <c r="B551">
        <v>21821.56</v>
      </c>
      <c r="C551">
        <v>397.31</v>
      </c>
      <c r="D551">
        <v>17.77</v>
      </c>
      <c r="E551">
        <v>17.77</v>
      </c>
      <c r="F551">
        <v>1.8207222581703597E-2</v>
      </c>
      <c r="G551">
        <v>1</v>
      </c>
      <c r="H551" t="str">
        <v>Colza d'hiver</v>
      </c>
    </row>
    <row r="552" spans="1:8">
      <c r="A552" t="s">
        <v>138</v>
      </c>
      <c r="B552">
        <v>19079.28</v>
      </c>
      <c r="C552">
        <v>1547.83</v>
      </c>
      <c r="D552">
        <v>13.2</v>
      </c>
      <c r="E552">
        <v>13.3</v>
      </c>
      <c r="F552">
        <v>8.1126226985504701E-2</v>
      </c>
      <c r="G552">
        <v>1.0075757575757578</v>
      </c>
      <c r="H552" t="str">
        <v>Blé de force</v>
      </c>
    </row>
    <row r="553" spans="1:8">
      <c r="A553" t="s">
        <v>99</v>
      </c>
      <c r="B553">
        <v>35262.400000000001</v>
      </c>
      <c r="C553">
        <v>1690.18</v>
      </c>
      <c r="D553">
        <v>29.59</v>
      </c>
      <c r="E553">
        <v>29.59</v>
      </c>
      <c r="F553">
        <v>4.7931507781659784E-2</v>
      </c>
      <c r="G553">
        <v>1</v>
      </c>
      <c r="H553" t="str">
        <v>Blé tendre d'hiver</v>
      </c>
    </row>
    <row r="554" spans="1:8">
      <c r="A554" t="s">
        <v>765</v>
      </c>
      <c r="B554">
        <v>43275.73</v>
      </c>
      <c r="C554">
        <v>2475.65</v>
      </c>
      <c r="D554">
        <v>38.159999999999997</v>
      </c>
      <c r="E554">
        <v>15.17</v>
      </c>
      <c r="F554">
        <v>5.7206429562251172E-2</v>
      </c>
      <c r="G554">
        <v>0.39753668763102729</v>
      </c>
      <c r="H554" t="str">
        <v>Tournesol</v>
      </c>
    </row>
    <row r="555" spans="1:8">
      <c r="A555" t="s">
        <v>99</v>
      </c>
      <c r="B555">
        <v>68614.320000000007</v>
      </c>
      <c r="C555">
        <v>156.66999999999999</v>
      </c>
      <c r="D555">
        <v>49.2</v>
      </c>
      <c r="E555">
        <v>3.1</v>
      </c>
      <c r="F555">
        <v>2.2833426025354472E-3</v>
      </c>
      <c r="G555">
        <v>6.3008130081300809E-2</v>
      </c>
      <c r="H555" t="str">
        <v>Blé tendre d'hiver</v>
      </c>
    </row>
    <row r="556" spans="1:8">
      <c r="A556" t="s">
        <v>138</v>
      </c>
      <c r="B556">
        <v>14363</v>
      </c>
      <c r="C556">
        <v>1016.25</v>
      </c>
      <c r="D556">
        <v>13.55</v>
      </c>
      <c r="E556">
        <v>13.55</v>
      </c>
      <c r="F556">
        <v>7.0754716981132074E-2</v>
      </c>
      <c r="G556">
        <v>1</v>
      </c>
      <c r="H556" t="str">
        <v>Blé de force</v>
      </c>
    </row>
    <row r="557" spans="1:8">
      <c r="A557" t="s">
        <v>140</v>
      </c>
      <c r="B557">
        <v>23012</v>
      </c>
      <c r="C557">
        <v>4763</v>
      </c>
      <c r="D557">
        <v>22</v>
      </c>
      <c r="E557">
        <v>22</v>
      </c>
      <c r="F557">
        <v>0.20697896749521988</v>
      </c>
      <c r="G557">
        <v>1</v>
      </c>
      <c r="H557" t="str">
        <v>Blé dur d'hiver</v>
      </c>
    </row>
    <row r="558" spans="1:8">
      <c r="A558" t="s">
        <v>137</v>
      </c>
      <c r="B558">
        <v>8246.7000000000007</v>
      </c>
      <c r="C558">
        <v>2323.48</v>
      </c>
      <c r="D558">
        <v>7.7</v>
      </c>
      <c r="E558">
        <v>7.7</v>
      </c>
      <c r="F558">
        <v>0.28174663804915906</v>
      </c>
      <c r="G558">
        <v>1</v>
      </c>
      <c r="H558" t="str">
        <v>Orge de printemps</v>
      </c>
    </row>
    <row r="559" spans="1:8">
      <c r="A559" t="s">
        <v>140</v>
      </c>
      <c r="B559">
        <v>52326</v>
      </c>
      <c r="C559">
        <v>855</v>
      </c>
      <c r="D559">
        <v>36.72</v>
      </c>
      <c r="E559">
        <v>21.5</v>
      </c>
      <c r="F559">
        <v>1.6339869281045753E-2</v>
      </c>
      <c r="G559">
        <v>0.58551198257080617</v>
      </c>
      <c r="H559" t="str">
        <v>Blé dur d'hiver</v>
      </c>
    </row>
    <row r="560" spans="1:8">
      <c r="A560" t="s">
        <v>27</v>
      </c>
      <c r="B560">
        <v>196118</v>
      </c>
      <c r="C560">
        <v>54785.21</v>
      </c>
      <c r="D560">
        <v>130</v>
      </c>
      <c r="E560">
        <v>130</v>
      </c>
      <c r="F560">
        <v>0.27934819853353593</v>
      </c>
      <c r="G560">
        <v>1</v>
      </c>
      <c r="H560" t="str">
        <v>Colza d'hiver</v>
      </c>
    </row>
    <row r="561" spans="1:8">
      <c r="A561" t="s">
        <v>910</v>
      </c>
      <c r="B561">
        <v>238680</v>
      </c>
      <c r="C561">
        <v>25069.360000000001</v>
      </c>
      <c r="D561">
        <v>120</v>
      </c>
      <c r="E561">
        <v>105</v>
      </c>
      <c r="F561">
        <v>0.10503335009217363</v>
      </c>
      <c r="G561">
        <v>0.875</v>
      </c>
      <c r="H561" t="str">
        <v>Maïs grain irrigué</v>
      </c>
    </row>
    <row r="562" spans="1:8">
      <c r="A562" t="s">
        <v>27</v>
      </c>
      <c r="B562">
        <v>19721.52</v>
      </c>
      <c r="C562">
        <v>2300.84</v>
      </c>
      <c r="D562">
        <v>12.74</v>
      </c>
      <c r="E562">
        <v>12.74</v>
      </c>
      <c r="F562">
        <v>0.11666646384254359</v>
      </c>
      <c r="G562">
        <v>1</v>
      </c>
      <c r="H562" t="str">
        <v>Colza d'hiver</v>
      </c>
    </row>
    <row r="563" spans="1:8">
      <c r="A563" t="s">
        <v>99</v>
      </c>
      <c r="B563">
        <v>93607.1</v>
      </c>
      <c r="C563">
        <v>25799.3</v>
      </c>
      <c r="D563">
        <v>53.72</v>
      </c>
      <c r="E563">
        <v>53.69</v>
      </c>
      <c r="F563">
        <v>0.27561264049415052</v>
      </c>
      <c r="G563">
        <v>0.99944154877140723</v>
      </c>
      <c r="H563" t="str">
        <v>Blé tendre d'hiver</v>
      </c>
    </row>
    <row r="564" spans="1:8">
      <c r="A564" t="s">
        <v>140</v>
      </c>
      <c r="B564">
        <v>18071.349999999999</v>
      </c>
      <c r="C564">
        <v>1084.28</v>
      </c>
      <c r="D564">
        <v>11.33</v>
      </c>
      <c r="E564">
        <v>11.33</v>
      </c>
      <c r="F564">
        <v>5.9999944663791029E-2</v>
      </c>
      <c r="G564">
        <v>1</v>
      </c>
      <c r="H564" t="str">
        <v>Blé dur d'hiver</v>
      </c>
    </row>
    <row r="565" spans="1:8">
      <c r="A565" t="s">
        <v>140</v>
      </c>
      <c r="B565">
        <v>6737.51</v>
      </c>
      <c r="C565">
        <v>706.78</v>
      </c>
      <c r="D565">
        <v>4.04</v>
      </c>
      <c r="E565">
        <v>4</v>
      </c>
      <c r="F565">
        <v>0.10490225617475891</v>
      </c>
      <c r="G565">
        <v>0.99009900990099009</v>
      </c>
      <c r="H565" t="str">
        <v>Blé dur d'hiver</v>
      </c>
    </row>
    <row r="566" spans="1:8">
      <c r="A566" t="s">
        <v>183</v>
      </c>
      <c r="B566">
        <v>22815.31</v>
      </c>
      <c r="C566">
        <v>914.47</v>
      </c>
      <c r="D566">
        <v>22.11</v>
      </c>
      <c r="E566">
        <v>22.18</v>
      </c>
      <c r="F566">
        <v>4.0081419012058132E-2</v>
      </c>
      <c r="G566">
        <v>1.0031659882406152</v>
      </c>
      <c r="H566" t="str">
        <v>Orge d'hiver</v>
      </c>
    </row>
    <row r="567" spans="1:8">
      <c r="A567" t="s">
        <v>99</v>
      </c>
      <c r="B567">
        <v>63602.57</v>
      </c>
      <c r="C567">
        <v>16285.63</v>
      </c>
      <c r="D567">
        <v>53.47</v>
      </c>
      <c r="E567">
        <v>53.47</v>
      </c>
      <c r="F567">
        <v>0.25605301798339281</v>
      </c>
      <c r="G567">
        <v>1</v>
      </c>
      <c r="H567" t="str">
        <v>Blé tendre d'hiver</v>
      </c>
    </row>
    <row r="568" spans="1:8">
      <c r="A568" t="s">
        <v>765</v>
      </c>
      <c r="B568">
        <v>16818.75</v>
      </c>
      <c r="C568">
        <v>4271.96</v>
      </c>
      <c r="D568">
        <v>14.95</v>
      </c>
      <c r="E568">
        <v>14.95</v>
      </c>
      <c r="F568">
        <v>0.2539998513563731</v>
      </c>
      <c r="G568">
        <v>1</v>
      </c>
      <c r="H568" t="str">
        <v>Tournesol</v>
      </c>
    </row>
    <row r="569" spans="1:8">
      <c r="A569" t="s">
        <v>866</v>
      </c>
      <c r="B569">
        <v>40986</v>
      </c>
      <c r="C569">
        <v>7265.7</v>
      </c>
      <c r="D569">
        <v>18.63</v>
      </c>
      <c r="E569">
        <v>18.63</v>
      </c>
      <c r="F569">
        <v>0.17727272727272728</v>
      </c>
      <c r="G569">
        <v>1</v>
      </c>
      <c r="H569" t="str">
        <v>Maïs grain non irrigué</v>
      </c>
    </row>
    <row r="570" spans="1:8">
      <c r="A570" t="s">
        <v>898</v>
      </c>
      <c r="B570">
        <v>26818</v>
      </c>
      <c r="C570">
        <v>10190.84</v>
      </c>
      <c r="D570">
        <v>12.19</v>
      </c>
      <c r="E570">
        <v>12.19</v>
      </c>
      <c r="F570">
        <v>0.38</v>
      </c>
      <c r="G570">
        <v>1</v>
      </c>
      <c r="H570" t="str">
        <v>Maïs ensilage non irrigué</v>
      </c>
    </row>
    <row r="571" spans="1:8">
      <c r="A571" t="s">
        <v>99</v>
      </c>
      <c r="B571">
        <v>42712.35</v>
      </c>
      <c r="C571">
        <v>1623.99</v>
      </c>
      <c r="D571">
        <v>41.26</v>
      </c>
      <c r="E571">
        <v>41.26</v>
      </c>
      <c r="F571">
        <v>3.8021555826359354E-2</v>
      </c>
      <c r="G571">
        <v>1</v>
      </c>
      <c r="H571" t="str">
        <v>Blé tendre d'hiver</v>
      </c>
    </row>
    <row r="572" spans="1:8">
      <c r="A572" t="s">
        <v>99</v>
      </c>
      <c r="B572">
        <v>83972.35</v>
      </c>
      <c r="C572">
        <v>962.07</v>
      </c>
      <c r="D572">
        <v>82.52</v>
      </c>
      <c r="E572">
        <v>82.52</v>
      </c>
      <c r="F572">
        <v>1.1456985543455672E-2</v>
      </c>
      <c r="G572">
        <v>1</v>
      </c>
      <c r="H572" t="str">
        <v>Blé tendre d'hiver</v>
      </c>
    </row>
    <row r="573" spans="1:8">
      <c r="A573" t="s">
        <v>765</v>
      </c>
      <c r="B573">
        <v>22396.5</v>
      </c>
      <c r="C573">
        <v>5647.32</v>
      </c>
      <c r="D573">
        <v>21</v>
      </c>
      <c r="E573">
        <v>19.739999999999998</v>
      </c>
      <c r="F573">
        <v>0.2521518987341772</v>
      </c>
      <c r="G573">
        <v>0.94</v>
      </c>
      <c r="H573" t="str">
        <v>Tournesol</v>
      </c>
    </row>
    <row r="574" spans="1:8">
      <c r="A574" t="s">
        <v>866</v>
      </c>
      <c r="B574">
        <v>16632</v>
      </c>
      <c r="C574">
        <v>3883.32</v>
      </c>
      <c r="D574">
        <v>14</v>
      </c>
      <c r="E574">
        <v>14.15</v>
      </c>
      <c r="F574">
        <v>0.23348484848484849</v>
      </c>
      <c r="G574">
        <v>1.0107142857142857</v>
      </c>
      <c r="H574" t="str">
        <v>Maïs grain non irrigué</v>
      </c>
    </row>
    <row r="575" spans="1:8">
      <c r="A575" t="s">
        <v>310</v>
      </c>
      <c r="B575">
        <v>5355.35</v>
      </c>
      <c r="C575">
        <v>497.64</v>
      </c>
      <c r="D575">
        <v>7.49</v>
      </c>
      <c r="E575">
        <v>7</v>
      </c>
      <c r="F575">
        <v>9.2923898531375157E-2</v>
      </c>
      <c r="G575">
        <v>0.93457943925233644</v>
      </c>
      <c r="H575" t="str">
        <v>Pois protéagineux</v>
      </c>
    </row>
    <row r="576" spans="1:8">
      <c r="A576" t="s">
        <v>910</v>
      </c>
      <c r="B576">
        <v>34210.800000000003</v>
      </c>
      <c r="C576">
        <v>5355.19</v>
      </c>
      <c r="D576">
        <v>16.77</v>
      </c>
      <c r="E576">
        <v>16.77</v>
      </c>
      <c r="F576">
        <v>0.15653507079635667</v>
      </c>
      <c r="G576">
        <v>1</v>
      </c>
      <c r="H576" t="str">
        <v>Maïs grain irrigué</v>
      </c>
    </row>
    <row r="577" spans="1:8">
      <c r="A577" t="s">
        <v>163</v>
      </c>
      <c r="B577">
        <v>3435.7</v>
      </c>
      <c r="C577">
        <v>596.02</v>
      </c>
      <c r="D577">
        <v>4.3</v>
      </c>
      <c r="E577">
        <v>4.3</v>
      </c>
      <c r="F577">
        <v>0.17347847600197921</v>
      </c>
      <c r="G577">
        <v>1</v>
      </c>
      <c r="H577" t="str">
        <v>Triticale</v>
      </c>
    </row>
    <row r="578" spans="1:8">
      <c r="A578" t="s">
        <v>310</v>
      </c>
      <c r="B578">
        <v>12181.02</v>
      </c>
      <c r="C578">
        <v>1515.94</v>
      </c>
      <c r="D578">
        <v>10.91</v>
      </c>
      <c r="E578">
        <v>10.91</v>
      </c>
      <c r="F578">
        <v>0.12445099014696634</v>
      </c>
      <c r="G578">
        <v>1</v>
      </c>
      <c r="H578" t="str">
        <v>Pois protéagineux</v>
      </c>
    </row>
    <row r="579" spans="1:8">
      <c r="A579" t="s">
        <v>99</v>
      </c>
      <c r="B579">
        <v>80533.490000000005</v>
      </c>
      <c r="C579">
        <v>9170.0400000000009</v>
      </c>
      <c r="D579">
        <v>62.56</v>
      </c>
      <c r="E579">
        <v>62.56</v>
      </c>
      <c r="F579">
        <v>0.11386616921730326</v>
      </c>
      <c r="G579">
        <v>1</v>
      </c>
      <c r="H579" t="str">
        <v>Blé tendre d'hiver</v>
      </c>
    </row>
    <row r="580" spans="1:8">
      <c r="A580" t="s">
        <v>99</v>
      </c>
      <c r="B580">
        <v>42764</v>
      </c>
      <c r="C580">
        <v>12212.93</v>
      </c>
      <c r="D580">
        <v>32.86</v>
      </c>
      <c r="E580">
        <v>20</v>
      </c>
      <c r="F580">
        <v>0.28558904686184644</v>
      </c>
      <c r="G580">
        <v>0.60864272671941566</v>
      </c>
      <c r="H580" t="str">
        <v>Blé tendre d'hiver</v>
      </c>
    </row>
    <row r="581" spans="1:8">
      <c r="A581" t="s">
        <v>183</v>
      </c>
      <c r="B581">
        <v>17523.54</v>
      </c>
      <c r="C581">
        <v>2682.67</v>
      </c>
      <c r="D581">
        <v>13.05</v>
      </c>
      <c r="E581">
        <v>13.08</v>
      </c>
      <c r="F581">
        <v>0.15308950132222143</v>
      </c>
      <c r="G581">
        <v>1.0022988505747126</v>
      </c>
      <c r="H581" t="str">
        <v>Orge d'hiver</v>
      </c>
    </row>
    <row r="582" spans="1:8">
      <c r="A582" t="s">
        <v>27</v>
      </c>
      <c r="B582">
        <v>14273.28</v>
      </c>
      <c r="C582">
        <v>594.72</v>
      </c>
      <c r="D582">
        <v>9.44</v>
      </c>
      <c r="E582">
        <v>9.44</v>
      </c>
      <c r="F582">
        <v>4.1666666666666664E-2</v>
      </c>
      <c r="G582">
        <v>1</v>
      </c>
      <c r="H582" t="str">
        <v>Colza d'hiver</v>
      </c>
    </row>
    <row r="583" spans="1:8">
      <c r="A583" t="s">
        <v>765</v>
      </c>
      <c r="B583">
        <v>17212.650000000001</v>
      </c>
      <c r="C583">
        <v>2411.63</v>
      </c>
      <c r="D583">
        <v>13</v>
      </c>
      <c r="E583">
        <v>13</v>
      </c>
      <c r="F583">
        <v>0.14010800196367207</v>
      </c>
      <c r="G583">
        <v>1</v>
      </c>
      <c r="H583" t="str">
        <v>Tournesol</v>
      </c>
    </row>
    <row r="584" spans="1:8">
      <c r="A584" t="s">
        <v>99</v>
      </c>
      <c r="B584">
        <v>42434.93</v>
      </c>
      <c r="C584">
        <v>284.55</v>
      </c>
      <c r="D584">
        <v>37.49</v>
      </c>
      <c r="E584">
        <v>37.49</v>
      </c>
      <c r="F584">
        <v>6.705560725562644E-3</v>
      </c>
      <c r="G584">
        <v>1</v>
      </c>
      <c r="H584" t="str">
        <v>Blé tendre d'hiver</v>
      </c>
    </row>
    <row r="585" spans="1:8">
      <c r="A585" t="s">
        <v>162</v>
      </c>
      <c r="B585">
        <v>3994.2</v>
      </c>
      <c r="C585">
        <v>1840.7</v>
      </c>
      <c r="D585">
        <v>7</v>
      </c>
      <c r="E585">
        <v>7</v>
      </c>
      <c r="F585">
        <v>0.4608432226728757</v>
      </c>
      <c r="G585">
        <v>1</v>
      </c>
      <c r="H585" t="str">
        <v>Féveroles et fèves</v>
      </c>
    </row>
    <row r="586" spans="1:8">
      <c r="A586" t="s">
        <v>765</v>
      </c>
      <c r="B586">
        <v>15820.919999999998</v>
      </c>
      <c r="C586">
        <v>2373.14</v>
      </c>
      <c r="D586">
        <v>15.39</v>
      </c>
      <c r="E586">
        <v>15.39</v>
      </c>
      <c r="F586">
        <v>0.15000012641489877</v>
      </c>
      <c r="G586">
        <v>1</v>
      </c>
      <c r="H586" t="str">
        <v>Tournesol</v>
      </c>
    </row>
    <row r="587" spans="1:8">
      <c r="A587" t="s">
        <v>99</v>
      </c>
      <c r="B587">
        <v>45760</v>
      </c>
      <c r="C587">
        <v>6236</v>
      </c>
      <c r="D587">
        <v>28.6</v>
      </c>
      <c r="E587">
        <v>28.6</v>
      </c>
      <c r="F587">
        <v>0.13627622377622378</v>
      </c>
      <c r="G587">
        <v>1</v>
      </c>
      <c r="H587" t="str">
        <v>Blé tendre d'hiver</v>
      </c>
    </row>
    <row r="588" spans="1:8">
      <c r="A588" t="s">
        <v>27</v>
      </c>
      <c r="B588">
        <v>19568</v>
      </c>
      <c r="C588">
        <v>4892</v>
      </c>
      <c r="D588">
        <v>12.23</v>
      </c>
      <c r="E588">
        <v>12.23</v>
      </c>
      <c r="F588">
        <v>0.25</v>
      </c>
      <c r="G588">
        <v>1</v>
      </c>
      <c r="H588" t="str">
        <v>Colza d'hiver</v>
      </c>
    </row>
    <row r="589" spans="1:8">
      <c r="A589" t="s">
        <v>183</v>
      </c>
      <c r="B589">
        <v>10992</v>
      </c>
      <c r="C589">
        <v>3435</v>
      </c>
      <c r="D589">
        <v>6.87</v>
      </c>
      <c r="E589">
        <v>6.87</v>
      </c>
      <c r="F589">
        <v>0.3125</v>
      </c>
      <c r="G589">
        <v>1</v>
      </c>
      <c r="H589" t="str">
        <v>Orge d'hiver</v>
      </c>
    </row>
    <row r="590" spans="1:8">
      <c r="A590" t="s">
        <v>99</v>
      </c>
      <c r="B590">
        <v>17072</v>
      </c>
      <c r="C590">
        <v>3081.6</v>
      </c>
      <c r="D590">
        <v>10.67</v>
      </c>
      <c r="E590">
        <v>10.67</v>
      </c>
      <c r="F590">
        <v>0.18050609184629804</v>
      </c>
      <c r="G590">
        <v>1</v>
      </c>
      <c r="H590" t="str">
        <v>Blé tendre d'hiver</v>
      </c>
    </row>
    <row r="591" spans="1:8">
      <c r="A591" t="s">
        <v>27</v>
      </c>
      <c r="B591">
        <v>15408</v>
      </c>
      <c r="C591">
        <v>4054.6</v>
      </c>
      <c r="D591">
        <v>9.6300000000000008</v>
      </c>
      <c r="E591">
        <v>9.6300000000000008</v>
      </c>
      <c r="F591">
        <v>0.26314901349948078</v>
      </c>
      <c r="G591">
        <v>1</v>
      </c>
      <c r="H591" t="str">
        <v>Colza d'hiver</v>
      </c>
    </row>
    <row r="592" spans="1:8">
      <c r="A592" t="s">
        <v>27</v>
      </c>
      <c r="B592">
        <v>11584</v>
      </c>
      <c r="C592">
        <v>1882.4</v>
      </c>
      <c r="D592">
        <v>7.24</v>
      </c>
      <c r="E592">
        <v>7.24</v>
      </c>
      <c r="F592">
        <v>0.16250000000000001</v>
      </c>
      <c r="G592">
        <v>1</v>
      </c>
      <c r="H592" t="str">
        <v>Colza d'hiver</v>
      </c>
    </row>
    <row r="593" spans="1:8">
      <c r="A593" t="s">
        <v>183</v>
      </c>
      <c r="B593">
        <v>59677.17</v>
      </c>
      <c r="C593">
        <v>4895</v>
      </c>
      <c r="D593">
        <v>44.5</v>
      </c>
      <c r="E593">
        <v>44.4</v>
      </c>
      <c r="F593">
        <v>8.2024667054419645E-2</v>
      </c>
      <c r="G593">
        <v>0.99775280898876406</v>
      </c>
      <c r="H593" t="str">
        <v>Orge d'hiver</v>
      </c>
    </row>
    <row r="594" spans="1:8">
      <c r="A594" t="s">
        <v>99</v>
      </c>
      <c r="B594">
        <v>45035.19</v>
      </c>
      <c r="C594">
        <v>1556.81</v>
      </c>
      <c r="D594">
        <v>32.29</v>
      </c>
      <c r="E594">
        <v>32.29</v>
      </c>
      <c r="F594">
        <v>3.4568745019172779E-2</v>
      </c>
      <c r="G594">
        <v>1</v>
      </c>
      <c r="H594" t="str">
        <v>Blé tendre d'hiver</v>
      </c>
    </row>
    <row r="595" spans="1:8">
      <c r="A595" t="s">
        <v>163</v>
      </c>
      <c r="B595">
        <v>13916.75</v>
      </c>
      <c r="C595">
        <v>2375.4499999999998</v>
      </c>
      <c r="D595">
        <v>13.48</v>
      </c>
      <c r="E595">
        <v>13.48</v>
      </c>
      <c r="F595">
        <v>0.1706899958682882</v>
      </c>
      <c r="G595">
        <v>1</v>
      </c>
      <c r="H595" t="str">
        <v>Triticale</v>
      </c>
    </row>
    <row r="596" spans="1:8">
      <c r="A596" t="s">
        <v>310</v>
      </c>
      <c r="B596">
        <v>13572.74</v>
      </c>
      <c r="C596">
        <v>1200.21</v>
      </c>
      <c r="D596">
        <v>10.66</v>
      </c>
      <c r="E596">
        <v>10.66</v>
      </c>
      <c r="F596">
        <v>8.8427981380325565E-2</v>
      </c>
      <c r="G596">
        <v>1</v>
      </c>
      <c r="H596" t="str">
        <v>Pois protéagineux</v>
      </c>
    </row>
    <row r="597" spans="1:8">
      <c r="A597" t="s">
        <v>99</v>
      </c>
      <c r="B597">
        <v>29910.51</v>
      </c>
      <c r="C597">
        <v>5980.03</v>
      </c>
      <c r="D597">
        <v>27.58</v>
      </c>
      <c r="E597">
        <v>27.58</v>
      </c>
      <c r="F597">
        <v>0.19993072669105275</v>
      </c>
      <c r="G597">
        <v>1</v>
      </c>
      <c r="H597" t="str">
        <v>Blé tendre d'hiver</v>
      </c>
    </row>
    <row r="598" spans="1:8">
      <c r="A598" t="s">
        <v>140</v>
      </c>
      <c r="B598">
        <v>23018.31</v>
      </c>
      <c r="C598">
        <v>3708.51</v>
      </c>
      <c r="D598">
        <v>19.23</v>
      </c>
      <c r="E598">
        <v>19.23</v>
      </c>
      <c r="F598">
        <v>0.16111130660765277</v>
      </c>
      <c r="G598">
        <v>1</v>
      </c>
      <c r="H598" t="str">
        <v>Blé dur d'hiver</v>
      </c>
    </row>
    <row r="599" spans="1:8">
      <c r="A599" t="s">
        <v>183</v>
      </c>
      <c r="B599">
        <v>9366.06</v>
      </c>
      <c r="C599">
        <v>522.95000000000005</v>
      </c>
      <c r="D599">
        <v>12.65</v>
      </c>
      <c r="E599">
        <v>12.65</v>
      </c>
      <c r="F599">
        <v>5.5834577186138046E-2</v>
      </c>
      <c r="G599">
        <v>1</v>
      </c>
      <c r="H599" t="str">
        <v>Orge d'hiver</v>
      </c>
    </row>
    <row r="600" spans="1:8">
      <c r="A600" t="s">
        <v>99</v>
      </c>
      <c r="B600">
        <v>11240.5</v>
      </c>
      <c r="C600">
        <v>450</v>
      </c>
      <c r="D600">
        <v>7.8</v>
      </c>
      <c r="E600">
        <v>2.5</v>
      </c>
      <c r="F600">
        <v>4.0033806325341398E-2</v>
      </c>
      <c r="G600">
        <v>0.32051282051282054</v>
      </c>
      <c r="H600" t="str">
        <v>Blé tendre d'hiver</v>
      </c>
    </row>
    <row r="601" spans="1:8">
      <c r="A601" t="s">
        <v>183</v>
      </c>
      <c r="B601">
        <v>6559.76</v>
      </c>
      <c r="C601">
        <v>300</v>
      </c>
      <c r="D601">
        <v>4.91</v>
      </c>
      <c r="E601">
        <v>4.91</v>
      </c>
      <c r="F601">
        <v>4.5733380489530101E-2</v>
      </c>
      <c r="G601">
        <v>1</v>
      </c>
      <c r="H601" t="str">
        <v>Orge d'hiver</v>
      </c>
    </row>
    <row r="602" spans="1:8">
      <c r="A602" t="s">
        <v>137</v>
      </c>
      <c r="B602">
        <v>4480.8599999999997</v>
      </c>
      <c r="C602">
        <v>213.88</v>
      </c>
      <c r="D602">
        <v>4.5999999999999996</v>
      </c>
      <c r="E602">
        <v>4.55</v>
      </c>
      <c r="F602">
        <v>4.7731908606829944E-2</v>
      </c>
      <c r="G602">
        <v>0.98913043478260876</v>
      </c>
      <c r="H602" t="str">
        <v>Orge de printemps</v>
      </c>
    </row>
    <row r="603" spans="1:8">
      <c r="A603" t="s">
        <v>866</v>
      </c>
      <c r="B603">
        <v>154660</v>
      </c>
      <c r="C603">
        <v>73983.070000000007</v>
      </c>
      <c r="D603">
        <v>74</v>
      </c>
      <c r="E603">
        <v>32.03</v>
      </c>
      <c r="F603">
        <v>0.47835943359627575</v>
      </c>
      <c r="G603">
        <v>0.43283783783783786</v>
      </c>
      <c r="H603" t="str">
        <v>Maïs grain non irrigué</v>
      </c>
    </row>
    <row r="604" spans="1:8">
      <c r="A604" t="s">
        <v>910</v>
      </c>
      <c r="B604">
        <v>165974.9</v>
      </c>
      <c r="C604">
        <v>38736.83</v>
      </c>
      <c r="D604">
        <v>61</v>
      </c>
      <c r="E604">
        <v>43.45</v>
      </c>
      <c r="F604">
        <v>0.23338968723584111</v>
      </c>
      <c r="G604">
        <v>0.71229508196721314</v>
      </c>
      <c r="H604" t="str">
        <v>Maïs grain irrigué</v>
      </c>
    </row>
    <row r="605" spans="1:8">
      <c r="A605" t="s">
        <v>295</v>
      </c>
      <c r="B605">
        <v>28459.53</v>
      </c>
      <c r="C605">
        <v>1897.3</v>
      </c>
      <c r="D605">
        <v>31.35</v>
      </c>
      <c r="E605">
        <v>31.35</v>
      </c>
      <c r="F605">
        <v>6.6666596391437252E-2</v>
      </c>
      <c r="G605">
        <v>1</v>
      </c>
      <c r="H605" t="str">
        <v>Avoine d'hiver</v>
      </c>
    </row>
    <row r="606" spans="1:8">
      <c r="A606" t="s">
        <v>163</v>
      </c>
      <c r="B606">
        <v>23451.5</v>
      </c>
      <c r="C606">
        <v>2451.6799999999998</v>
      </c>
      <c r="D606">
        <v>26.35</v>
      </c>
      <c r="E606">
        <v>26.35</v>
      </c>
      <c r="F606">
        <v>0.10454256657356671</v>
      </c>
      <c r="G606">
        <v>1</v>
      </c>
      <c r="H606" t="str">
        <v>Triticale</v>
      </c>
    </row>
    <row r="607" spans="1:8">
      <c r="A607" t="s">
        <v>765</v>
      </c>
      <c r="B607">
        <v>39112.120000000003</v>
      </c>
      <c r="C607">
        <v>10.46</v>
      </c>
      <c r="D607">
        <v>45.37</v>
      </c>
      <c r="E607">
        <v>45.37</v>
      </c>
      <c r="F607">
        <v>2.6743628317769529E-4</v>
      </c>
      <c r="G607">
        <v>1</v>
      </c>
      <c r="H607" t="str">
        <v>Tournesol</v>
      </c>
    </row>
    <row r="608" spans="1:8">
      <c r="A608" t="s">
        <v>137</v>
      </c>
      <c r="B608">
        <v>6939.02</v>
      </c>
      <c r="C608">
        <v>5098.41</v>
      </c>
      <c r="D608">
        <v>7.43</v>
      </c>
      <c r="E608">
        <v>7.43</v>
      </c>
      <c r="F608">
        <v>0.73474496398626887</v>
      </c>
      <c r="G608">
        <v>1</v>
      </c>
      <c r="H608" t="str">
        <v>Orge de printemps</v>
      </c>
    </row>
    <row r="609" spans="1:8">
      <c r="A609" t="s">
        <v>99</v>
      </c>
      <c r="B609">
        <v>31989.54</v>
      </c>
      <c r="C609">
        <v>8614.73</v>
      </c>
      <c r="D609">
        <v>25.51</v>
      </c>
      <c r="E609">
        <v>25.51</v>
      </c>
      <c r="F609">
        <v>0.26929833939468961</v>
      </c>
      <c r="G609">
        <v>1</v>
      </c>
      <c r="H609" t="str">
        <v>Blé tendre d'hiver</v>
      </c>
    </row>
    <row r="610" spans="1:8">
      <c r="A610" t="s">
        <v>140</v>
      </c>
      <c r="B610">
        <v>22116.75</v>
      </c>
      <c r="C610">
        <v>3925.23</v>
      </c>
      <c r="D610">
        <v>15.94</v>
      </c>
      <c r="E610">
        <v>15.94</v>
      </c>
      <c r="F610">
        <v>0.17747770355047646</v>
      </c>
      <c r="G610">
        <v>1</v>
      </c>
      <c r="H610" t="str">
        <v>Blé dur d'hiver</v>
      </c>
    </row>
    <row r="611" spans="1:8">
      <c r="A611" t="s">
        <v>99</v>
      </c>
      <c r="B611">
        <v>34790.21</v>
      </c>
      <c r="C611">
        <v>6433.61</v>
      </c>
      <c r="D611">
        <v>38.21</v>
      </c>
      <c r="E611">
        <v>38.21</v>
      </c>
      <c r="F611">
        <v>0.18492587426175353</v>
      </c>
      <c r="G611">
        <v>1</v>
      </c>
      <c r="H611" t="str">
        <v>Blé tendre d'hiver</v>
      </c>
    </row>
    <row r="612" spans="1:8">
      <c r="A612" t="s">
        <v>137</v>
      </c>
      <c r="B612">
        <v>3247.83</v>
      </c>
      <c r="C612">
        <v>1883.49</v>
      </c>
      <c r="D612">
        <v>2.7</v>
      </c>
      <c r="E612">
        <v>2.7</v>
      </c>
      <c r="F612">
        <v>0.57992259447076977</v>
      </c>
      <c r="G612">
        <v>1</v>
      </c>
      <c r="H612" t="str">
        <v>Orge de printemps</v>
      </c>
    </row>
    <row r="613" spans="1:8">
      <c r="A613" t="s">
        <v>183</v>
      </c>
      <c r="B613">
        <v>91713.05</v>
      </c>
      <c r="C613">
        <v>1130.71</v>
      </c>
      <c r="D613">
        <v>72.37</v>
      </c>
      <c r="E613">
        <v>72.37</v>
      </c>
      <c r="F613">
        <v>1.2328779819229651E-2</v>
      </c>
      <c r="G613">
        <v>1</v>
      </c>
      <c r="H613" t="str">
        <v>Orge d'hiver</v>
      </c>
    </row>
    <row r="614" spans="1:8">
      <c r="A614" t="s">
        <v>137</v>
      </c>
      <c r="B614">
        <v>178338.53</v>
      </c>
      <c r="C614">
        <v>16715.560000000001</v>
      </c>
      <c r="D614">
        <v>122.62</v>
      </c>
      <c r="E614">
        <v>122.62</v>
      </c>
      <c r="F614">
        <v>9.372938085785501E-2</v>
      </c>
      <c r="G614">
        <v>1</v>
      </c>
      <c r="H614" t="str">
        <v>Orge de printemps</v>
      </c>
    </row>
    <row r="615" spans="1:8">
      <c r="A615" t="s">
        <v>163</v>
      </c>
      <c r="B615">
        <v>36808.199999999997</v>
      </c>
      <c r="C615">
        <v>4181.76</v>
      </c>
      <c r="D615">
        <v>33</v>
      </c>
      <c r="E615">
        <v>33</v>
      </c>
      <c r="F615">
        <v>0.11360946745562131</v>
      </c>
      <c r="G615">
        <v>1</v>
      </c>
      <c r="H615" t="str">
        <v>Triticale</v>
      </c>
    </row>
    <row r="616" spans="1:8">
      <c r="A616" t="s">
        <v>99</v>
      </c>
      <c r="B616">
        <v>63489.2</v>
      </c>
      <c r="C616">
        <v>2132.1</v>
      </c>
      <c r="D616">
        <v>47.38</v>
      </c>
      <c r="E616">
        <v>47.38</v>
      </c>
      <c r="F616">
        <v>3.3582089552238806E-2</v>
      </c>
      <c r="G616">
        <v>1</v>
      </c>
      <c r="H616" t="str">
        <v>Blé tendre d'hiver</v>
      </c>
    </row>
    <row r="617" spans="1:8">
      <c r="A617" t="s">
        <v>137</v>
      </c>
      <c r="B617">
        <v>24372.86</v>
      </c>
      <c r="C617">
        <v>1701.72</v>
      </c>
      <c r="D617">
        <v>18.3</v>
      </c>
      <c r="E617">
        <v>18.3</v>
      </c>
      <c r="F617">
        <v>6.9820283709010764E-2</v>
      </c>
      <c r="G617">
        <v>1</v>
      </c>
      <c r="H617" t="str">
        <v>Orge de printemps</v>
      </c>
    </row>
    <row r="618" spans="1:8">
      <c r="A618" t="s">
        <v>295</v>
      </c>
      <c r="B618">
        <v>19869.84</v>
      </c>
      <c r="C618">
        <v>993.49</v>
      </c>
      <c r="D618">
        <v>22.91</v>
      </c>
      <c r="E618">
        <v>22.91</v>
      </c>
      <c r="F618">
        <v>4.999989934493685E-2</v>
      </c>
      <c r="G618">
        <v>1</v>
      </c>
      <c r="H618" t="str">
        <v>Avoine d'hiver</v>
      </c>
    </row>
    <row r="619" spans="1:8">
      <c r="A619" t="s">
        <v>27</v>
      </c>
      <c r="B619">
        <v>38757.599999999999</v>
      </c>
      <c r="C619">
        <v>674.1</v>
      </c>
      <c r="D619">
        <v>30.76</v>
      </c>
      <c r="E619">
        <v>20</v>
      </c>
      <c r="F619">
        <v>1.7392717815344606E-2</v>
      </c>
      <c r="G619">
        <v>0.65019505851755521</v>
      </c>
      <c r="H619" t="str">
        <v>Colza d'hiver</v>
      </c>
    </row>
    <row r="620" spans="1:8">
      <c r="A620" t="s">
        <v>765</v>
      </c>
      <c r="B620">
        <v>36630.410000000003</v>
      </c>
      <c r="C620">
        <v>12290.2</v>
      </c>
      <c r="D620">
        <v>43.42</v>
      </c>
      <c r="E620">
        <v>43.42</v>
      </c>
      <c r="F620">
        <v>0.33551904005442473</v>
      </c>
      <c r="G620">
        <v>1</v>
      </c>
      <c r="H620" t="str">
        <v>Tournesol</v>
      </c>
    </row>
    <row r="621" spans="1:8">
      <c r="A621" t="s">
        <v>765</v>
      </c>
      <c r="B621">
        <v>31772.49</v>
      </c>
      <c r="C621">
        <v>11161.11</v>
      </c>
      <c r="D621">
        <v>44.18</v>
      </c>
      <c r="E621">
        <v>44.17</v>
      </c>
      <c r="F621">
        <v>0.35128219412453981</v>
      </c>
      <c r="G621">
        <v>0.99977365323675871</v>
      </c>
      <c r="H621" t="str">
        <v>Tournesol</v>
      </c>
    </row>
    <row r="622" spans="1:8">
      <c r="A622" t="s">
        <v>138</v>
      </c>
      <c r="B622">
        <v>53600</v>
      </c>
      <c r="C622">
        <v>9380</v>
      </c>
      <c r="D622">
        <v>33.5</v>
      </c>
      <c r="E622">
        <v>5.09</v>
      </c>
      <c r="F622">
        <v>0.17499999999999999</v>
      </c>
      <c r="G622">
        <v>0.15194029850746268</v>
      </c>
      <c r="H622" t="str">
        <v>Blé de force</v>
      </c>
    </row>
    <row r="623" spans="1:8">
      <c r="A623" t="s">
        <v>99</v>
      </c>
      <c r="B623">
        <v>45265</v>
      </c>
      <c r="C623">
        <v>14762</v>
      </c>
      <c r="D623">
        <v>27.5</v>
      </c>
      <c r="E623">
        <v>27.5</v>
      </c>
      <c r="F623">
        <v>0.32612393681652491</v>
      </c>
      <c r="G623">
        <v>1</v>
      </c>
      <c r="H623" t="str">
        <v>Blé tendre d'hiver</v>
      </c>
    </row>
    <row r="624" spans="1:8">
      <c r="A624" t="s">
        <v>137</v>
      </c>
      <c r="B624">
        <v>30690.7</v>
      </c>
      <c r="C624">
        <v>7463.3</v>
      </c>
      <c r="D624">
        <v>29</v>
      </c>
      <c r="E624">
        <v>29</v>
      </c>
      <c r="F624">
        <v>0.24317790079730994</v>
      </c>
      <c r="G624">
        <v>1</v>
      </c>
      <c r="H624" t="str">
        <v>Orge de printemps</v>
      </c>
    </row>
    <row r="625" spans="1:8">
      <c r="A625" t="s">
        <v>310</v>
      </c>
      <c r="B625">
        <v>10758.4</v>
      </c>
      <c r="C625">
        <v>2899.52</v>
      </c>
      <c r="D625">
        <v>13.12</v>
      </c>
      <c r="E625">
        <v>13.12</v>
      </c>
      <c r="F625">
        <v>0.26951219512195124</v>
      </c>
      <c r="G625">
        <v>1</v>
      </c>
      <c r="H625" t="str">
        <v>Pois protéagineux</v>
      </c>
    </row>
    <row r="626" spans="1:8">
      <c r="A626" t="s">
        <v>99</v>
      </c>
      <c r="B626">
        <v>1817.05</v>
      </c>
      <c r="C626">
        <v>287.42</v>
      </c>
      <c r="D626">
        <v>2.09</v>
      </c>
      <c r="E626">
        <v>2.09</v>
      </c>
      <c r="F626">
        <v>0.15817946671803199</v>
      </c>
      <c r="G626">
        <v>1</v>
      </c>
      <c r="H626" t="str">
        <v>Blé tendre d'hiver</v>
      </c>
    </row>
    <row r="627" spans="1:8">
      <c r="A627" t="s">
        <v>138</v>
      </c>
      <c r="B627">
        <v>26581.19</v>
      </c>
      <c r="C627">
        <v>6809.28</v>
      </c>
      <c r="D627">
        <v>22.84</v>
      </c>
      <c r="E627">
        <v>22.84</v>
      </c>
      <c r="F627">
        <v>0.25616911808688775</v>
      </c>
      <c r="G627">
        <v>1</v>
      </c>
      <c r="H627" t="str">
        <v>Blé de force</v>
      </c>
    </row>
    <row r="628" spans="1:8">
      <c r="A628" t="s">
        <v>99</v>
      </c>
      <c r="B628">
        <v>11968.06</v>
      </c>
      <c r="C628">
        <v>135.04</v>
      </c>
      <c r="D628">
        <v>14.71</v>
      </c>
      <c r="E628">
        <v>14.71</v>
      </c>
      <c r="F628">
        <v>1.128336589221645E-2</v>
      </c>
      <c r="G628">
        <v>1</v>
      </c>
      <c r="H628" t="str">
        <v>Blé tendre d'hiver</v>
      </c>
    </row>
    <row r="629" spans="1:8">
      <c r="A629" t="s">
        <v>183</v>
      </c>
      <c r="B629">
        <v>6807.48</v>
      </c>
      <c r="C629">
        <v>1761.25</v>
      </c>
      <c r="D629">
        <v>8.52</v>
      </c>
      <c r="E629">
        <v>8.52</v>
      </c>
      <c r="F629">
        <v>0.25872275790747828</v>
      </c>
      <c r="G629">
        <v>1</v>
      </c>
      <c r="H629" t="str">
        <v>Orge d'hiver</v>
      </c>
    </row>
    <row r="630" spans="1:8">
      <c r="A630" t="s">
        <v>138</v>
      </c>
      <c r="B630">
        <v>116762</v>
      </c>
      <c r="C630">
        <v>7457.6</v>
      </c>
      <c r="D630">
        <v>79</v>
      </c>
      <c r="E630">
        <v>79</v>
      </c>
      <c r="F630">
        <v>6.3870094722598109E-2</v>
      </c>
      <c r="G630">
        <v>1</v>
      </c>
      <c r="H630" t="str">
        <v>Blé de force</v>
      </c>
    </row>
    <row r="631" spans="1:8">
      <c r="A631" t="s">
        <v>99</v>
      </c>
      <c r="B631">
        <v>6504.07</v>
      </c>
      <c r="C631">
        <v>157.57</v>
      </c>
      <c r="D631">
        <v>5.0599999999999996</v>
      </c>
      <c r="E631">
        <v>5.0599999999999996</v>
      </c>
      <c r="F631">
        <v>2.4226369027393616E-2</v>
      </c>
      <c r="G631">
        <v>1</v>
      </c>
      <c r="H631" t="str">
        <v>Blé tendre d'hiver</v>
      </c>
    </row>
    <row r="632" spans="1:8">
      <c r="A632" t="s">
        <v>137</v>
      </c>
      <c r="B632">
        <v>4804.45</v>
      </c>
      <c r="C632">
        <v>2750.3</v>
      </c>
      <c r="D632">
        <v>5.3</v>
      </c>
      <c r="E632">
        <v>5</v>
      </c>
      <c r="F632">
        <v>0.57244845924091214</v>
      </c>
      <c r="G632">
        <v>0.94339622641509435</v>
      </c>
      <c r="H632" t="str">
        <v>Orge de printemps</v>
      </c>
    </row>
    <row r="633" spans="1:8">
      <c r="A633" t="s">
        <v>1027</v>
      </c>
      <c r="B633">
        <v>10697</v>
      </c>
      <c r="C633">
        <v>6312.75</v>
      </c>
      <c r="D633">
        <v>10</v>
      </c>
      <c r="E633">
        <v>10</v>
      </c>
      <c r="F633">
        <v>0.59014209591474243</v>
      </c>
      <c r="G633">
        <v>1</v>
      </c>
      <c r="H633" t="str">
        <v>Blé tendre de printemps</v>
      </c>
    </row>
    <row r="634" spans="1:8">
      <c r="A634" t="s">
        <v>310</v>
      </c>
      <c r="B634">
        <v>19226.48</v>
      </c>
      <c r="C634">
        <v>4689.8599999999997</v>
      </c>
      <c r="D634">
        <v>28</v>
      </c>
      <c r="E634">
        <v>28</v>
      </c>
      <c r="F634">
        <v>0.24392712550607287</v>
      </c>
      <c r="G634">
        <v>1</v>
      </c>
      <c r="H634" t="str">
        <v>Pois protéagineux</v>
      </c>
    </row>
    <row r="635" spans="1:8">
      <c r="A635" t="s">
        <v>765</v>
      </c>
      <c r="B635">
        <v>32096.400000000001</v>
      </c>
      <c r="C635">
        <v>2598.2800000000002</v>
      </c>
      <c r="D635">
        <v>38.21</v>
      </c>
      <c r="E635">
        <v>38.21</v>
      </c>
      <c r="F635">
        <v>8.0952380952380956E-2</v>
      </c>
      <c r="G635">
        <v>1</v>
      </c>
      <c r="H635" t="str">
        <v>Tournesol</v>
      </c>
    </row>
    <row r="636" spans="1:8">
      <c r="A636" t="s">
        <v>310</v>
      </c>
      <c r="B636">
        <v>9386.14</v>
      </c>
      <c r="C636">
        <v>1698.7</v>
      </c>
      <c r="D636">
        <v>9.73</v>
      </c>
      <c r="E636">
        <v>9.73</v>
      </c>
      <c r="F636">
        <v>0.18097961462326367</v>
      </c>
      <c r="G636">
        <v>1</v>
      </c>
      <c r="H636" t="str">
        <v>Pois protéagineux</v>
      </c>
    </row>
    <row r="637" spans="1:8">
      <c r="A637" t="s">
        <v>99</v>
      </c>
      <c r="B637">
        <v>24767.53</v>
      </c>
      <c r="C637">
        <v>566.97</v>
      </c>
      <c r="D637">
        <v>18.420000000000002</v>
      </c>
      <c r="E637">
        <v>18.420000000000002</v>
      </c>
      <c r="F637">
        <v>2.2891665014638119E-2</v>
      </c>
      <c r="G637">
        <v>1</v>
      </c>
      <c r="H637" t="str">
        <v>Blé tendre d'hiver</v>
      </c>
    </row>
    <row r="638" spans="1:8">
      <c r="A638" t="s">
        <v>137</v>
      </c>
      <c r="B638">
        <v>2599.3000000000002</v>
      </c>
      <c r="C638">
        <v>1476.33</v>
      </c>
      <c r="D638">
        <v>2.78</v>
      </c>
      <c r="E638">
        <v>2.7</v>
      </c>
      <c r="F638">
        <v>0.56797214634709337</v>
      </c>
      <c r="G638">
        <v>0.97122302158273399</v>
      </c>
      <c r="H638" t="str">
        <v>Orge de printemps</v>
      </c>
    </row>
    <row r="639" spans="1:8">
      <c r="A639" t="s">
        <v>99</v>
      </c>
      <c r="B639">
        <v>29039.81</v>
      </c>
      <c r="C639">
        <v>798.79</v>
      </c>
      <c r="D639">
        <v>24.6</v>
      </c>
      <c r="E639">
        <v>24.6</v>
      </c>
      <c r="F639">
        <v>2.7506722667951337E-2</v>
      </c>
      <c r="G639">
        <v>1</v>
      </c>
      <c r="H639" t="str">
        <v>Blé tendre d'hiver</v>
      </c>
    </row>
    <row r="640" spans="1:8">
      <c r="A640" t="s">
        <v>99</v>
      </c>
      <c r="B640">
        <v>9921.69</v>
      </c>
      <c r="C640">
        <v>752.99</v>
      </c>
      <c r="D640">
        <v>10.76</v>
      </c>
      <c r="E640">
        <v>10.76</v>
      </c>
      <c r="F640">
        <v>7.5893320593568236E-2</v>
      </c>
      <c r="G640">
        <v>1</v>
      </c>
      <c r="H640" t="str">
        <v>Blé tendre d'hiver</v>
      </c>
    </row>
    <row r="641" spans="1:8">
      <c r="A641" t="s">
        <v>1009</v>
      </c>
      <c r="B641">
        <v>127861.5</v>
      </c>
      <c r="C641">
        <v>44851.13</v>
      </c>
      <c r="D641">
        <v>50</v>
      </c>
      <c r="E641">
        <v>50</v>
      </c>
      <c r="F641">
        <v>0.35077900697238806</v>
      </c>
      <c r="G641">
        <v>1</v>
      </c>
      <c r="H641" t="str">
        <v>Maïs ensilage irrigué</v>
      </c>
    </row>
    <row r="642" spans="1:8">
      <c r="A642" t="s">
        <v>765</v>
      </c>
      <c r="B642">
        <v>23366.400000000001</v>
      </c>
      <c r="C642">
        <v>12066.05</v>
      </c>
      <c r="D642">
        <v>24.34</v>
      </c>
      <c r="E642">
        <v>24.34</v>
      </c>
      <c r="F642">
        <v>0.51638463777047383</v>
      </c>
      <c r="G642">
        <v>1</v>
      </c>
      <c r="H642" t="str">
        <v>Tournesol</v>
      </c>
    </row>
    <row r="643" spans="1:8">
      <c r="A643" t="s">
        <v>99</v>
      </c>
      <c r="B643">
        <v>39378.26</v>
      </c>
      <c r="C643">
        <v>10140.469999999999</v>
      </c>
      <c r="D643">
        <v>29.95</v>
      </c>
      <c r="E643">
        <v>30</v>
      </c>
      <c r="F643">
        <v>0.25751442547232911</v>
      </c>
      <c r="G643">
        <v>1.001669449081803</v>
      </c>
      <c r="H643" t="str">
        <v>Blé tendre d'hiver</v>
      </c>
    </row>
    <row r="644" spans="1:8">
      <c r="A644" t="s">
        <v>898</v>
      </c>
      <c r="B644">
        <v>14338.92</v>
      </c>
      <c r="C644">
        <v>5544.91</v>
      </c>
      <c r="D644">
        <v>13.24</v>
      </c>
      <c r="E644">
        <v>13</v>
      </c>
      <c r="F644">
        <v>0.38670346162751446</v>
      </c>
      <c r="G644">
        <v>0.98187311178247727</v>
      </c>
      <c r="H644" t="str">
        <v>Maïs ensilage non irrigué</v>
      </c>
    </row>
    <row r="645" spans="1:8">
      <c r="A645" t="s">
        <v>99</v>
      </c>
      <c r="B645">
        <v>56632.95</v>
      </c>
      <c r="C645">
        <v>6608.75</v>
      </c>
      <c r="D645">
        <v>49.5</v>
      </c>
      <c r="E645">
        <v>49.5</v>
      </c>
      <c r="F645">
        <v>0.11669443318774672</v>
      </c>
      <c r="G645">
        <v>1</v>
      </c>
      <c r="H645" t="str">
        <v>Blé tendre d'hiver</v>
      </c>
    </row>
    <row r="646" spans="1:8">
      <c r="A646" t="s">
        <v>137</v>
      </c>
      <c r="B646">
        <v>14785.75</v>
      </c>
      <c r="C646">
        <v>3171.35</v>
      </c>
      <c r="D646">
        <v>17.5</v>
      </c>
      <c r="E646">
        <v>17.5</v>
      </c>
      <c r="F646">
        <v>0.21448692152917503</v>
      </c>
      <c r="G646">
        <v>1</v>
      </c>
      <c r="H646" t="str">
        <v>Orge de printemps</v>
      </c>
    </row>
    <row r="647" spans="1:8">
      <c r="A647" t="s">
        <v>442</v>
      </c>
      <c r="B647">
        <v>20004.66</v>
      </c>
      <c r="C647">
        <v>4709.84</v>
      </c>
      <c r="D647">
        <v>21.58</v>
      </c>
      <c r="E647">
        <v>21.58</v>
      </c>
      <c r="F647">
        <v>0.23543714314564707</v>
      </c>
      <c r="G647">
        <v>1</v>
      </c>
      <c r="H647" t="str">
        <v>Lin oléagineux</v>
      </c>
    </row>
    <row r="648" spans="1:8">
      <c r="A648" t="s">
        <v>310</v>
      </c>
      <c r="B648">
        <v>4668.6400000000003</v>
      </c>
      <c r="C648">
        <v>292.69</v>
      </c>
      <c r="D648">
        <v>8.0299999999999994</v>
      </c>
      <c r="E648">
        <v>8.0299999999999994</v>
      </c>
      <c r="F648">
        <v>6.2692775626306582E-2</v>
      </c>
      <c r="G648">
        <v>1</v>
      </c>
      <c r="H648" t="str">
        <v>Pois protéagineux</v>
      </c>
    </row>
    <row r="649" spans="1:8">
      <c r="A649" t="s">
        <v>27</v>
      </c>
      <c r="B649">
        <v>227800.17</v>
      </c>
      <c r="C649">
        <v>67751.42</v>
      </c>
      <c r="D649">
        <v>149.77000000000001</v>
      </c>
      <c r="E649">
        <v>149.77000000000001</v>
      </c>
      <c r="F649">
        <v>0.29741602036556863</v>
      </c>
      <c r="G649">
        <v>1</v>
      </c>
      <c r="H649" t="str">
        <v>Colza d'hiver</v>
      </c>
    </row>
    <row r="650" spans="1:8">
      <c r="A650" t="s">
        <v>137</v>
      </c>
      <c r="B650">
        <v>7038.61</v>
      </c>
      <c r="C650">
        <v>776.17</v>
      </c>
      <c r="D650">
        <v>8.68</v>
      </c>
      <c r="E650">
        <v>8.68</v>
      </c>
      <c r="F650">
        <v>0.11027319314466918</v>
      </c>
      <c r="G650">
        <v>1</v>
      </c>
      <c r="H650" t="str">
        <v>Orge de printemps</v>
      </c>
    </row>
    <row r="651" spans="1:8">
      <c r="A651" t="s">
        <v>550</v>
      </c>
      <c r="B651">
        <v>3241.2</v>
      </c>
      <c r="C651">
        <v>1334.44</v>
      </c>
      <c r="D651">
        <v>7.3</v>
      </c>
      <c r="E651">
        <v>7.3</v>
      </c>
      <c r="F651">
        <v>0.41171171171171173</v>
      </c>
      <c r="G651">
        <v>1</v>
      </c>
      <c r="H651" t="str">
        <v>Lentilles</v>
      </c>
    </row>
    <row r="652" spans="1:8">
      <c r="A652" t="s">
        <v>27</v>
      </c>
      <c r="B652">
        <v>6180.93</v>
      </c>
      <c r="C652">
        <v>465.6</v>
      </c>
      <c r="D652">
        <v>5.98</v>
      </c>
      <c r="E652">
        <v>5.98</v>
      </c>
      <c r="F652">
        <v>7.5328469987526153E-2</v>
      </c>
      <c r="G652">
        <v>1</v>
      </c>
      <c r="H652" t="str">
        <v>Colza d'hiver</v>
      </c>
    </row>
    <row r="653" spans="1:8">
      <c r="A653" t="s">
        <v>866</v>
      </c>
      <c r="B653">
        <v>10580.01</v>
      </c>
      <c r="C653">
        <v>2292.0500000000002</v>
      </c>
      <c r="D653">
        <v>11.62</v>
      </c>
      <c r="E653">
        <v>11.62</v>
      </c>
      <c r="F653">
        <v>0.21663968181504556</v>
      </c>
      <c r="G653">
        <v>1</v>
      </c>
      <c r="H653" t="str">
        <v>Maïs grain non irrigué</v>
      </c>
    </row>
    <row r="654" spans="1:8">
      <c r="A654" t="s">
        <v>765</v>
      </c>
      <c r="B654">
        <v>12579.08</v>
      </c>
      <c r="C654">
        <v>171.14</v>
      </c>
      <c r="D654">
        <v>23.77</v>
      </c>
      <c r="E654">
        <v>23.77</v>
      </c>
      <c r="F654">
        <v>1.3605128514962938E-2</v>
      </c>
      <c r="G654">
        <v>1</v>
      </c>
      <c r="H654" t="str">
        <v>Tournesol</v>
      </c>
    </row>
    <row r="655" spans="1:8">
      <c r="A655" t="s">
        <v>310</v>
      </c>
      <c r="B655">
        <v>3901.08</v>
      </c>
      <c r="C655">
        <v>1165.03</v>
      </c>
      <c r="D655">
        <v>6.96</v>
      </c>
      <c r="E655">
        <v>6.96</v>
      </c>
      <c r="F655">
        <v>0.29864293990382151</v>
      </c>
      <c r="G655">
        <v>1</v>
      </c>
      <c r="H655" t="str">
        <v>Pois protéagineux</v>
      </c>
    </row>
    <row r="656" spans="1:8">
      <c r="A656" t="s">
        <v>99</v>
      </c>
      <c r="B656">
        <v>15948</v>
      </c>
      <c r="C656">
        <v>2001.47</v>
      </c>
      <c r="D656">
        <v>13.29</v>
      </c>
      <c r="E656">
        <v>13.29</v>
      </c>
      <c r="F656">
        <v>0.12549974918485077</v>
      </c>
      <c r="G656">
        <v>1</v>
      </c>
      <c r="H656" t="str">
        <v>Blé tendre d'hiver</v>
      </c>
    </row>
    <row r="657" spans="1:8">
      <c r="A657" t="s">
        <v>183</v>
      </c>
      <c r="B657">
        <v>12568.54</v>
      </c>
      <c r="C657">
        <v>1006.31</v>
      </c>
      <c r="D657">
        <v>12.18</v>
      </c>
      <c r="E657">
        <v>12.18</v>
      </c>
      <c r="F657">
        <v>8.0065783297025739E-2</v>
      </c>
      <c r="G657">
        <v>1</v>
      </c>
      <c r="H657" t="str">
        <v>Orge d'hiver</v>
      </c>
    </row>
    <row r="658" spans="1:8">
      <c r="A658" t="s">
        <v>183</v>
      </c>
      <c r="B658">
        <v>15844.01</v>
      </c>
      <c r="C658">
        <v>1310.71</v>
      </c>
      <c r="D658">
        <v>13.49</v>
      </c>
      <c r="E658">
        <v>7.18</v>
      </c>
      <c r="F658">
        <v>8.2725900829398624E-2</v>
      </c>
      <c r="G658">
        <v>0.53224610822831719</v>
      </c>
      <c r="H658" t="str">
        <v>Orge d'hiver</v>
      </c>
    </row>
    <row r="659" spans="1:8">
      <c r="A659" t="s">
        <v>99</v>
      </c>
      <c r="B659">
        <v>228267.18</v>
      </c>
      <c r="C659">
        <v>21556.85</v>
      </c>
      <c r="D659">
        <v>138.27000000000001</v>
      </c>
      <c r="E659">
        <v>138.27000000000001</v>
      </c>
      <c r="F659">
        <v>9.4436922557154288E-2</v>
      </c>
      <c r="G659">
        <v>1</v>
      </c>
      <c r="H659" t="str">
        <v>Blé tendre d'hiver</v>
      </c>
    </row>
    <row r="660" spans="1:8">
      <c r="A660" t="s">
        <v>183</v>
      </c>
      <c r="B660">
        <v>102456.55</v>
      </c>
      <c r="C660">
        <v>8781.99</v>
      </c>
      <c r="D660">
        <v>67.45</v>
      </c>
      <c r="E660">
        <v>67.45</v>
      </c>
      <c r="F660">
        <v>8.5714285714285715E-2</v>
      </c>
      <c r="G660">
        <v>1</v>
      </c>
      <c r="H660" t="str">
        <v>Orge d'hiver</v>
      </c>
    </row>
    <row r="661" spans="1:8">
      <c r="A661" t="s">
        <v>137</v>
      </c>
      <c r="B661">
        <v>72116.039999999994</v>
      </c>
      <c r="C661">
        <v>13150.57</v>
      </c>
      <c r="D661">
        <v>46.11</v>
      </c>
      <c r="E661">
        <v>46.11</v>
      </c>
      <c r="F661">
        <v>0.1823529134433893</v>
      </c>
      <c r="G661">
        <v>1</v>
      </c>
      <c r="H661" t="str">
        <v>Orge de printemps</v>
      </c>
    </row>
    <row r="662" spans="1:8">
      <c r="A662" t="s">
        <v>407</v>
      </c>
      <c r="B662">
        <v>33422.519999999997</v>
      </c>
      <c r="C662">
        <v>281.12</v>
      </c>
      <c r="D662">
        <v>16.440000000000001</v>
      </c>
      <c r="E662">
        <v>16.440000000000001</v>
      </c>
      <c r="F662">
        <v>8.4110952734862618E-3</v>
      </c>
      <c r="G662">
        <v>1</v>
      </c>
      <c r="H662" t="str">
        <v>Lin textile</v>
      </c>
    </row>
    <row r="663" spans="1:8">
      <c r="A663" t="s">
        <v>99</v>
      </c>
      <c r="B663">
        <v>45025.2</v>
      </c>
      <c r="C663">
        <v>1491.24</v>
      </c>
      <c r="D663">
        <v>45.48</v>
      </c>
      <c r="E663">
        <v>45.48</v>
      </c>
      <c r="F663">
        <v>3.3120119399802778E-2</v>
      </c>
      <c r="G663">
        <v>1</v>
      </c>
      <c r="H663" t="str">
        <v>Blé tendre d'hiver</v>
      </c>
    </row>
    <row r="664" spans="1:8">
      <c r="A664" t="s">
        <v>1300</v>
      </c>
      <c r="B664">
        <v>85521.15</v>
      </c>
      <c r="C664">
        <v>58293.26</v>
      </c>
      <c r="D664">
        <v>48.73</v>
      </c>
      <c r="E664">
        <v>25</v>
      </c>
      <c r="F664">
        <v>0.68162390239139681</v>
      </c>
      <c r="G664">
        <v>0.5130309870716192</v>
      </c>
      <c r="H664" t="str">
        <v>Colza de printemps</v>
      </c>
    </row>
    <row r="665" spans="1:8">
      <c r="A665" t="s">
        <v>866</v>
      </c>
      <c r="B665">
        <v>42640.800000000003</v>
      </c>
      <c r="C665">
        <v>1765.8</v>
      </c>
      <c r="D665">
        <v>21.8</v>
      </c>
      <c r="E665">
        <v>21.8</v>
      </c>
      <c r="F665">
        <v>4.1411042944785273E-2</v>
      </c>
      <c r="G665">
        <v>1</v>
      </c>
      <c r="H665" t="str">
        <v>Maïs grain non irrigué</v>
      </c>
    </row>
    <row r="666" spans="1:8">
      <c r="A666" t="s">
        <v>99</v>
      </c>
      <c r="B666">
        <v>62149.59</v>
      </c>
      <c r="C666">
        <v>13074.39</v>
      </c>
      <c r="D666">
        <v>53.86</v>
      </c>
      <c r="E666">
        <v>53.86</v>
      </c>
      <c r="F666">
        <v>0.21036969029079677</v>
      </c>
      <c r="G666">
        <v>1</v>
      </c>
      <c r="H666" t="str">
        <v>Blé tendre d'hiver</v>
      </c>
    </row>
    <row r="667" spans="1:8">
      <c r="A667" t="s">
        <v>910</v>
      </c>
      <c r="B667">
        <v>75200.94</v>
      </c>
      <c r="C667">
        <v>4162.92</v>
      </c>
      <c r="D667">
        <v>29.63</v>
      </c>
      <c r="E667">
        <v>29.63</v>
      </c>
      <c r="F667">
        <v>5.5357286757319789E-2</v>
      </c>
      <c r="G667">
        <v>1</v>
      </c>
      <c r="H667" t="str">
        <v>Maïs grain irrigué</v>
      </c>
    </row>
    <row r="668" spans="1:8">
      <c r="A668" t="s">
        <v>27</v>
      </c>
      <c r="B668">
        <v>30092.58</v>
      </c>
      <c r="C668">
        <v>18330.48</v>
      </c>
      <c r="D668">
        <v>25.14</v>
      </c>
      <c r="E668">
        <v>25.14</v>
      </c>
      <c r="F668">
        <v>0.60913620566930449</v>
      </c>
      <c r="G668">
        <v>1</v>
      </c>
      <c r="H668" t="str">
        <v>Colza d'hiver</v>
      </c>
    </row>
    <row r="669" spans="1:8">
      <c r="A669" t="s">
        <v>27</v>
      </c>
      <c r="B669">
        <v>30000</v>
      </c>
      <c r="C669">
        <v>2190</v>
      </c>
      <c r="D669">
        <v>20</v>
      </c>
      <c r="E669">
        <v>9</v>
      </c>
      <c r="F669">
        <v>7.2999999999999995E-2</v>
      </c>
      <c r="G669">
        <v>0.45</v>
      </c>
      <c r="H669" t="str">
        <v>Colza d'hiver</v>
      </c>
    </row>
    <row r="670" spans="1:8">
      <c r="A670" t="s">
        <v>866</v>
      </c>
      <c r="B670">
        <v>25677.15</v>
      </c>
      <c r="C670">
        <v>9190.67</v>
      </c>
      <c r="D670">
        <v>22.59</v>
      </c>
      <c r="E670">
        <v>22.59</v>
      </c>
      <c r="F670">
        <v>0.35793185770227615</v>
      </c>
      <c r="G670">
        <v>1</v>
      </c>
      <c r="H670" t="str">
        <v>Maïs grain non irrigué</v>
      </c>
    </row>
    <row r="671" spans="1:8">
      <c r="A671" t="s">
        <v>765</v>
      </c>
      <c r="B671">
        <v>23682.03</v>
      </c>
      <c r="C671">
        <v>3083.7</v>
      </c>
      <c r="D671">
        <v>21.86</v>
      </c>
      <c r="E671">
        <v>21.86</v>
      </c>
      <c r="F671">
        <v>0.1302126549117622</v>
      </c>
      <c r="G671">
        <v>1</v>
      </c>
      <c r="H671" t="str">
        <v>Tournesol</v>
      </c>
    </row>
    <row r="672" spans="1:8">
      <c r="A672" t="s">
        <v>407</v>
      </c>
      <c r="B672">
        <v>62942.879999999997</v>
      </c>
      <c r="C672">
        <v>6818.81</v>
      </c>
      <c r="D672">
        <v>34.06</v>
      </c>
      <c r="E672">
        <v>34.06</v>
      </c>
      <c r="F672">
        <v>0.10833330155849241</v>
      </c>
      <c r="G672">
        <v>1</v>
      </c>
      <c r="H672" t="str">
        <v>Lin textile</v>
      </c>
    </row>
    <row r="673" spans="1:8">
      <c r="A673" t="s">
        <v>99</v>
      </c>
      <c r="B673">
        <v>7846.66</v>
      </c>
      <c r="C673">
        <v>1133.9100000000001</v>
      </c>
      <c r="D673">
        <v>8.16</v>
      </c>
      <c r="E673">
        <v>8.16</v>
      </c>
      <c r="F673">
        <v>0.14450861895379691</v>
      </c>
      <c r="G673">
        <v>1</v>
      </c>
      <c r="H673" t="str">
        <v>Blé tendre d'hiver</v>
      </c>
    </row>
    <row r="674" spans="1:8">
      <c r="A674" t="s">
        <v>138</v>
      </c>
      <c r="B674">
        <v>14996</v>
      </c>
      <c r="C674">
        <v>123.88</v>
      </c>
      <c r="D674">
        <v>13.04</v>
      </c>
      <c r="E674">
        <v>13.04</v>
      </c>
      <c r="F674">
        <v>8.2608695652173908E-3</v>
      </c>
      <c r="G674">
        <v>1</v>
      </c>
      <c r="H674" t="str">
        <v>Blé de force</v>
      </c>
    </row>
    <row r="675" spans="1:8">
      <c r="A675" t="s">
        <v>137</v>
      </c>
      <c r="B675">
        <v>22352.240000000002</v>
      </c>
      <c r="C675">
        <v>2367.09</v>
      </c>
      <c r="D675">
        <v>23.37</v>
      </c>
      <c r="E675">
        <v>23.37</v>
      </c>
      <c r="F675">
        <v>0.1058994534775933</v>
      </c>
      <c r="G675">
        <v>1</v>
      </c>
      <c r="H675" t="str">
        <v>Orge de printemps</v>
      </c>
    </row>
    <row r="676" spans="1:8">
      <c r="A676" t="s">
        <v>898</v>
      </c>
      <c r="B676">
        <v>39877.83</v>
      </c>
      <c r="C676">
        <v>12805.21</v>
      </c>
      <c r="D676">
        <v>43.87</v>
      </c>
      <c r="E676">
        <v>43.87</v>
      </c>
      <c r="F676">
        <v>0.32111100328177333</v>
      </c>
      <c r="G676">
        <v>1</v>
      </c>
      <c r="H676" t="str">
        <v>Maïs ensilage non irrigué</v>
      </c>
    </row>
    <row r="677" spans="1:8">
      <c r="A677" t="s">
        <v>27</v>
      </c>
      <c r="B677">
        <v>98543.9</v>
      </c>
      <c r="C677">
        <v>14822.27</v>
      </c>
      <c r="D677">
        <v>58.31</v>
      </c>
      <c r="E677">
        <v>32.1</v>
      </c>
      <c r="F677">
        <v>0.15041286167890658</v>
      </c>
      <c r="G677">
        <v>0.55050591665237525</v>
      </c>
      <c r="H677" t="str">
        <v>Colza d'hiver</v>
      </c>
    </row>
    <row r="678" spans="1:8">
      <c r="A678" t="s">
        <v>765</v>
      </c>
      <c r="B678">
        <v>19154.849999999999</v>
      </c>
      <c r="C678">
        <v>496.32</v>
      </c>
      <c r="D678">
        <v>23.5</v>
      </c>
      <c r="E678">
        <v>23.5</v>
      </c>
      <c r="F678">
        <v>2.5910931174089071E-2</v>
      </c>
      <c r="G678">
        <v>1</v>
      </c>
      <c r="H678" t="str">
        <v>Tournesol</v>
      </c>
    </row>
    <row r="679" spans="1:8">
      <c r="A679" t="s">
        <v>137</v>
      </c>
      <c r="B679">
        <v>130614</v>
      </c>
      <c r="C679">
        <v>34790.82</v>
      </c>
      <c r="D679">
        <v>79.16</v>
      </c>
      <c r="E679">
        <v>79.16</v>
      </c>
      <c r="F679">
        <v>0.26636363636363636</v>
      </c>
      <c r="G679">
        <v>1</v>
      </c>
      <c r="H679" t="str">
        <v>Orge de printemps</v>
      </c>
    </row>
    <row r="680" spans="1:8">
      <c r="A680" t="s">
        <v>207</v>
      </c>
      <c r="B680">
        <v>2252.8000000000002</v>
      </c>
      <c r="C680">
        <v>491.52</v>
      </c>
      <c r="D680">
        <v>3.2</v>
      </c>
      <c r="E680">
        <v>3.2</v>
      </c>
      <c r="F680">
        <v>0.21818181818181814</v>
      </c>
      <c r="G680">
        <v>1</v>
      </c>
      <c r="H680" t="str">
        <v>Seigle et méteil</v>
      </c>
    </row>
    <row r="681" spans="1:8">
      <c r="A681" t="s">
        <v>99</v>
      </c>
      <c r="B681">
        <v>95109.88</v>
      </c>
      <c r="C681">
        <v>12150.85</v>
      </c>
      <c r="D681">
        <v>64.06</v>
      </c>
      <c r="E681">
        <v>64.06</v>
      </c>
      <c r="F681">
        <v>0.12775591768173822</v>
      </c>
      <c r="G681">
        <v>1</v>
      </c>
      <c r="H681" t="str">
        <v>Blé tendre d'hiver</v>
      </c>
    </row>
    <row r="682" spans="1:8">
      <c r="A682" t="s">
        <v>27</v>
      </c>
      <c r="B682">
        <v>54430.5</v>
      </c>
      <c r="C682">
        <v>13740.95</v>
      </c>
      <c r="D682">
        <v>27.7</v>
      </c>
      <c r="E682">
        <v>27.7</v>
      </c>
      <c r="F682">
        <v>0.25244945389074142</v>
      </c>
      <c r="G682">
        <v>1</v>
      </c>
      <c r="H682" t="str">
        <v>Colza d'hiver</v>
      </c>
    </row>
    <row r="683" spans="1:8">
      <c r="A683" t="s">
        <v>99</v>
      </c>
      <c r="B683">
        <v>10355.69</v>
      </c>
      <c r="C683">
        <v>239.24</v>
      </c>
      <c r="D683">
        <v>7.61</v>
      </c>
      <c r="E683">
        <v>7.61</v>
      </c>
      <c r="F683">
        <v>2.3102275174324453E-2</v>
      </c>
      <c r="G683">
        <v>1</v>
      </c>
      <c r="H683" t="str">
        <v>Blé tendre d'hiver</v>
      </c>
    </row>
    <row r="684" spans="1:8">
      <c r="A684" t="s">
        <v>910</v>
      </c>
      <c r="B684">
        <v>16429.14</v>
      </c>
      <c r="C684">
        <v>4974.32</v>
      </c>
      <c r="D684">
        <v>8.19</v>
      </c>
      <c r="E684">
        <v>8.19</v>
      </c>
      <c r="F684">
        <v>0.30277421703144536</v>
      </c>
      <c r="G684">
        <v>1</v>
      </c>
      <c r="H684" t="str">
        <v>Maïs grain irrigué</v>
      </c>
    </row>
    <row r="685" spans="1:8">
      <c r="A685" t="s">
        <v>27</v>
      </c>
      <c r="B685">
        <v>3433.59</v>
      </c>
      <c r="C685">
        <v>1006.76</v>
      </c>
      <c r="D685">
        <v>4.71</v>
      </c>
      <c r="E685">
        <v>4.71</v>
      </c>
      <c r="F685">
        <v>0.29320914844230089</v>
      </c>
      <c r="G685">
        <v>1</v>
      </c>
      <c r="H685" t="str">
        <v>Colza d'hiver</v>
      </c>
    </row>
    <row r="686" spans="1:8">
      <c r="A686" t="s">
        <v>137</v>
      </c>
      <c r="B686">
        <v>12082.06</v>
      </c>
      <c r="C686">
        <v>1110.93</v>
      </c>
      <c r="D686">
        <v>12.01</v>
      </c>
      <c r="E686">
        <v>12.01</v>
      </c>
      <c r="F686">
        <v>9.1948723975878291E-2</v>
      </c>
      <c r="G686">
        <v>1</v>
      </c>
      <c r="H686" t="str">
        <v>Orge de printemps</v>
      </c>
    </row>
    <row r="687" spans="1:8">
      <c r="A687" t="s">
        <v>183</v>
      </c>
      <c r="B687">
        <v>16428.95</v>
      </c>
      <c r="C687">
        <v>768.12</v>
      </c>
      <c r="D687">
        <v>14.51</v>
      </c>
      <c r="E687">
        <v>14.51</v>
      </c>
      <c r="F687">
        <v>4.6754053058777341E-2</v>
      </c>
      <c r="G687">
        <v>1</v>
      </c>
      <c r="H687" t="str">
        <v>Orge d'hiver</v>
      </c>
    </row>
    <row r="688" spans="1:8">
      <c r="A688" t="s">
        <v>137</v>
      </c>
      <c r="B688">
        <v>18898.37</v>
      </c>
      <c r="C688">
        <v>545.5</v>
      </c>
      <c r="D688">
        <v>20.11</v>
      </c>
      <c r="E688">
        <v>20.11</v>
      </c>
      <c r="F688">
        <v>2.8864923271160425E-2</v>
      </c>
      <c r="G688">
        <v>1</v>
      </c>
      <c r="H688" t="str">
        <v>Orge de printemps</v>
      </c>
    </row>
    <row r="689" spans="1:8">
      <c r="A689" t="s">
        <v>765</v>
      </c>
      <c r="B689">
        <v>7936.38</v>
      </c>
      <c r="C689">
        <v>499.28</v>
      </c>
      <c r="D689">
        <v>10.35</v>
      </c>
      <c r="E689">
        <v>10.35</v>
      </c>
      <c r="F689">
        <v>6.2910294113941112E-2</v>
      </c>
      <c r="G689">
        <v>1</v>
      </c>
      <c r="H689" t="str">
        <v>Tournesol</v>
      </c>
    </row>
    <row r="690" spans="1:8">
      <c r="A690" t="s">
        <v>866</v>
      </c>
      <c r="B690">
        <v>23884.38</v>
      </c>
      <c r="C690">
        <v>2846.2</v>
      </c>
      <c r="D690">
        <v>15.57</v>
      </c>
      <c r="E690">
        <v>15.57</v>
      </c>
      <c r="F690">
        <v>0.11916574765599944</v>
      </c>
      <c r="G690">
        <v>1</v>
      </c>
      <c r="H690" t="str">
        <v>Maïs grain non irrigué</v>
      </c>
    </row>
    <row r="691" spans="1:8">
      <c r="A691" t="s">
        <v>765</v>
      </c>
      <c r="B691">
        <v>25365.93</v>
      </c>
      <c r="C691">
        <v>4179.95</v>
      </c>
      <c r="D691">
        <v>21.41</v>
      </c>
      <c r="E691">
        <v>21.41</v>
      </c>
      <c r="F691">
        <v>0.16478599444215133</v>
      </c>
      <c r="G691">
        <v>1</v>
      </c>
      <c r="H691" t="str">
        <v>Tournesol</v>
      </c>
    </row>
    <row r="692" spans="1:8">
      <c r="A692" t="s">
        <v>866</v>
      </c>
      <c r="B692">
        <v>1931.57</v>
      </c>
      <c r="C692">
        <v>13</v>
      </c>
      <c r="D692">
        <v>1.97</v>
      </c>
      <c r="E692">
        <v>1.97</v>
      </c>
      <c r="F692">
        <v>6.7302764072749112E-3</v>
      </c>
      <c r="G692">
        <v>1</v>
      </c>
      <c r="H692" t="str">
        <v>Maïs grain non irrigué</v>
      </c>
    </row>
    <row r="693" spans="1:8">
      <c r="A693" t="s">
        <v>137</v>
      </c>
      <c r="B693">
        <v>36161.24</v>
      </c>
      <c r="C693">
        <v>25511.27</v>
      </c>
      <c r="D693">
        <v>44.04</v>
      </c>
      <c r="E693">
        <v>44.04</v>
      </c>
      <c r="F693">
        <v>0.70548659282701598</v>
      </c>
      <c r="G693">
        <v>1</v>
      </c>
      <c r="H693" t="str">
        <v>Orge de printemps</v>
      </c>
    </row>
    <row r="694" spans="1:8">
      <c r="A694" t="s">
        <v>295</v>
      </c>
      <c r="B694">
        <v>36158.720000000001</v>
      </c>
      <c r="C694">
        <v>4982.8500000000004</v>
      </c>
      <c r="D694">
        <v>55.12</v>
      </c>
      <c r="E694">
        <v>55.12</v>
      </c>
      <c r="F694">
        <v>0.13780493336047295</v>
      </c>
      <c r="G694">
        <v>1</v>
      </c>
      <c r="H694" t="str">
        <v>Avoine d'hiver</v>
      </c>
    </row>
    <row r="695" spans="1:8">
      <c r="A695" t="s">
        <v>137</v>
      </c>
      <c r="B695">
        <v>92166.28</v>
      </c>
      <c r="C695">
        <v>2835.41</v>
      </c>
      <c r="D695">
        <v>77.23</v>
      </c>
      <c r="E695">
        <v>78.63</v>
      </c>
      <c r="F695">
        <v>3.0764071198273381E-2</v>
      </c>
      <c r="G695">
        <v>1.0181276705943285</v>
      </c>
      <c r="H695" t="str">
        <v>Orge de printemps</v>
      </c>
    </row>
    <row r="696" spans="1:8">
      <c r="A696" t="s">
        <v>99</v>
      </c>
      <c r="B696">
        <v>11682.89</v>
      </c>
      <c r="C696">
        <v>3176.71</v>
      </c>
      <c r="D696">
        <v>13.79</v>
      </c>
      <c r="E696">
        <v>13.31</v>
      </c>
      <c r="F696">
        <v>0.27191131646364897</v>
      </c>
      <c r="G696">
        <v>0.96519216823785359</v>
      </c>
      <c r="H696" t="str">
        <v>Blé tendre d'hiver</v>
      </c>
    </row>
    <row r="697" spans="1:8">
      <c r="A697" t="s">
        <v>1009</v>
      </c>
      <c r="B697">
        <v>52883.6</v>
      </c>
      <c r="C697">
        <v>39165.279999999999</v>
      </c>
      <c r="D697">
        <v>26.18</v>
      </c>
      <c r="E697">
        <v>26.18</v>
      </c>
      <c r="F697">
        <v>0.74059405940594059</v>
      </c>
      <c r="G697">
        <v>1</v>
      </c>
      <c r="H697" t="str">
        <v>Maïs ensilage irrigué</v>
      </c>
    </row>
    <row r="698" spans="1:8">
      <c r="A698" t="s">
        <v>99</v>
      </c>
      <c r="B698">
        <v>11306.29</v>
      </c>
      <c r="C698">
        <v>6169.01</v>
      </c>
      <c r="D698">
        <v>11.21</v>
      </c>
      <c r="E698">
        <v>11.21</v>
      </c>
      <c r="F698">
        <v>0.54562637257668078</v>
      </c>
      <c r="G698">
        <v>1</v>
      </c>
      <c r="H698" t="str">
        <v>Blé tendre d'hiver</v>
      </c>
    </row>
    <row r="699" spans="1:8">
      <c r="A699" t="s">
        <v>162</v>
      </c>
      <c r="B699">
        <v>7828.56</v>
      </c>
      <c r="C699">
        <v>5302.85</v>
      </c>
      <c r="D699">
        <v>12</v>
      </c>
      <c r="E699">
        <v>12</v>
      </c>
      <c r="F699">
        <v>0.67737233922969231</v>
      </c>
      <c r="G699">
        <v>1</v>
      </c>
      <c r="H699" t="str">
        <v>Féveroles et fèves</v>
      </c>
    </row>
    <row r="700" spans="1:8">
      <c r="A700" t="s">
        <v>910</v>
      </c>
      <c r="B700">
        <v>13284.54</v>
      </c>
      <c r="C700">
        <v>9822.94</v>
      </c>
      <c r="D700">
        <v>6.19</v>
      </c>
      <c r="E700">
        <v>6.19</v>
      </c>
      <c r="F700">
        <v>0.73942643102433359</v>
      </c>
      <c r="G700">
        <v>1</v>
      </c>
      <c r="H700" t="str">
        <v>Maïs grain irrigué</v>
      </c>
    </row>
    <row r="701" spans="1:8">
      <c r="A701" t="s">
        <v>163</v>
      </c>
      <c r="B701">
        <v>11717.2</v>
      </c>
      <c r="C701">
        <v>6643.38</v>
      </c>
      <c r="D701">
        <v>19.89</v>
      </c>
      <c r="E701">
        <v>19.89</v>
      </c>
      <c r="F701">
        <v>0.56697675212508103</v>
      </c>
      <c r="G701">
        <v>1</v>
      </c>
      <c r="H701" t="str">
        <v>Triticale</v>
      </c>
    </row>
    <row r="702" spans="1:8">
      <c r="A702" t="s">
        <v>866</v>
      </c>
      <c r="B702">
        <v>25471.16</v>
      </c>
      <c r="C702">
        <v>11934.66</v>
      </c>
      <c r="D702">
        <v>22.28</v>
      </c>
      <c r="E702">
        <v>22.09</v>
      </c>
      <c r="F702">
        <v>0.46855580978644079</v>
      </c>
      <c r="G702">
        <v>0.99147217235188501</v>
      </c>
      <c r="H702" t="str">
        <v>Maïs grain non irrigué</v>
      </c>
    </row>
    <row r="703" spans="1:8">
      <c r="A703" t="s">
        <v>765</v>
      </c>
      <c r="B703">
        <v>1076.4000000000001</v>
      </c>
      <c r="C703">
        <v>748.8</v>
      </c>
      <c r="D703">
        <v>1.04</v>
      </c>
      <c r="E703">
        <v>1</v>
      </c>
      <c r="F703">
        <v>0.69565217391304335</v>
      </c>
      <c r="G703">
        <v>0.96153846153846145</v>
      </c>
      <c r="H703" t="str">
        <v>Tournesol</v>
      </c>
    </row>
    <row r="704" spans="1:8">
      <c r="A704" t="s">
        <v>183</v>
      </c>
      <c r="B704">
        <v>11445.67</v>
      </c>
      <c r="C704">
        <v>5192.43</v>
      </c>
      <c r="D704">
        <v>9.59</v>
      </c>
      <c r="E704">
        <v>9.49</v>
      </c>
      <c r="F704">
        <v>0.45365889458633701</v>
      </c>
      <c r="G704">
        <v>0.98957247132429615</v>
      </c>
      <c r="H704" t="str">
        <v>Orge d'hiver</v>
      </c>
    </row>
    <row r="705" spans="1:8">
      <c r="A705" t="s">
        <v>99</v>
      </c>
      <c r="B705">
        <v>14098.74</v>
      </c>
      <c r="C705">
        <v>6445.57</v>
      </c>
      <c r="D705">
        <v>14.24</v>
      </c>
      <c r="E705">
        <v>14.1</v>
      </c>
      <c r="F705">
        <v>0.45717347791362917</v>
      </c>
      <c r="G705">
        <v>0.9901685393258427</v>
      </c>
      <c r="H705" t="str">
        <v>Blé tendre d'hiver</v>
      </c>
    </row>
    <row r="706" spans="1:8">
      <c r="A706" t="s">
        <v>27</v>
      </c>
      <c r="B706">
        <v>73746.720000000001</v>
      </c>
      <c r="C706">
        <v>7958.14</v>
      </c>
      <c r="D706">
        <v>48</v>
      </c>
      <c r="E706">
        <v>48</v>
      </c>
      <c r="F706">
        <v>0.10791178238164355</v>
      </c>
      <c r="G706">
        <v>1</v>
      </c>
      <c r="H706" t="str">
        <v>Colza d'hiver</v>
      </c>
    </row>
    <row r="707" spans="1:8">
      <c r="A707" t="s">
        <v>765</v>
      </c>
      <c r="B707">
        <v>7358.4</v>
      </c>
      <c r="C707">
        <v>2204.02</v>
      </c>
      <c r="D707">
        <v>8.76</v>
      </c>
      <c r="E707">
        <v>8.76</v>
      </c>
      <c r="F707">
        <v>0.29952435312024356</v>
      </c>
      <c r="G707">
        <v>1</v>
      </c>
      <c r="H707" t="str">
        <v>Tournesol</v>
      </c>
    </row>
    <row r="708" spans="1:8">
      <c r="A708" t="s">
        <v>140</v>
      </c>
      <c r="B708">
        <v>11880.25</v>
      </c>
      <c r="C708">
        <v>3445.63</v>
      </c>
      <c r="D708">
        <v>9.9700000000000006</v>
      </c>
      <c r="E708">
        <v>9.9700000000000006</v>
      </c>
      <c r="F708">
        <v>0.29003009195934432</v>
      </c>
      <c r="G708">
        <v>1</v>
      </c>
      <c r="H708" t="str">
        <v>Blé dur d'hiver</v>
      </c>
    </row>
    <row r="709" spans="1:8">
      <c r="A709" t="s">
        <v>99</v>
      </c>
      <c r="B709">
        <v>28115.57</v>
      </c>
      <c r="C709">
        <v>2665.17</v>
      </c>
      <c r="D709">
        <v>23.92</v>
      </c>
      <c r="E709">
        <v>22</v>
      </c>
      <c r="F709">
        <v>9.479338316811646E-2</v>
      </c>
      <c r="G709">
        <v>0.91973244147157185</v>
      </c>
      <c r="H709" t="str">
        <v>Blé tendre d'hiver</v>
      </c>
    </row>
    <row r="710" spans="1:8">
      <c r="A710" t="s">
        <v>910</v>
      </c>
      <c r="B710">
        <v>30424.57</v>
      </c>
      <c r="C710">
        <v>9683.81</v>
      </c>
      <c r="D710">
        <v>16.62</v>
      </c>
      <c r="E710">
        <v>16.62</v>
      </c>
      <c r="F710">
        <v>0.31828913276342113</v>
      </c>
      <c r="G710">
        <v>1</v>
      </c>
      <c r="H710" t="str">
        <v>Maïs grain irrigué</v>
      </c>
    </row>
    <row r="711" spans="1:8">
      <c r="A711" t="s">
        <v>866</v>
      </c>
      <c r="B711">
        <v>9823.52</v>
      </c>
      <c r="C711">
        <v>2323.52</v>
      </c>
      <c r="D711">
        <v>6.97</v>
      </c>
      <c r="E711">
        <v>6.97</v>
      </c>
      <c r="F711">
        <v>0.23652621463589424</v>
      </c>
      <c r="G711">
        <v>1</v>
      </c>
      <c r="H711" t="str">
        <v>Maïs grain non irrigué</v>
      </c>
    </row>
    <row r="712" spans="1:8">
      <c r="A712" t="s">
        <v>27</v>
      </c>
      <c r="B712">
        <v>23121.279999999999</v>
      </c>
      <c r="C712">
        <v>9010.07</v>
      </c>
      <c r="D712">
        <v>18.2</v>
      </c>
      <c r="E712">
        <v>17</v>
      </c>
      <c r="F712">
        <v>0.38968733564923741</v>
      </c>
      <c r="G712">
        <v>0.93406593406593408</v>
      </c>
      <c r="H712" t="str">
        <v>Colza d'hiver</v>
      </c>
    </row>
    <row r="713" spans="1:8">
      <c r="A713" t="s">
        <v>911</v>
      </c>
      <c r="B713">
        <v>25128.34</v>
      </c>
      <c r="C713">
        <v>7904.4</v>
      </c>
      <c r="D713">
        <v>14.16</v>
      </c>
      <c r="E713">
        <v>14.16</v>
      </c>
      <c r="F713">
        <v>0.31456116878393081</v>
      </c>
      <c r="G713">
        <v>1</v>
      </c>
      <c r="H713" t="str">
        <v>Maïs pop corn irrigué</v>
      </c>
    </row>
    <row r="714" spans="1:8">
      <c r="A714" t="s">
        <v>765</v>
      </c>
      <c r="B714">
        <v>9159.4</v>
      </c>
      <c r="C714">
        <v>922.64</v>
      </c>
      <c r="D714">
        <v>11.17</v>
      </c>
      <c r="E714">
        <v>11.17</v>
      </c>
      <c r="F714">
        <v>0.1007314889621591</v>
      </c>
      <c r="G714">
        <v>1</v>
      </c>
      <c r="H714" t="str">
        <v>Tournesol</v>
      </c>
    </row>
    <row r="715" spans="1:8">
      <c r="A715" t="s">
        <v>910</v>
      </c>
      <c r="B715">
        <v>170664.12</v>
      </c>
      <c r="C715">
        <v>115988.95</v>
      </c>
      <c r="D715">
        <v>66.77</v>
      </c>
      <c r="E715">
        <v>66.77</v>
      </c>
      <c r="F715">
        <v>0.67963289530335957</v>
      </c>
      <c r="G715">
        <v>1</v>
      </c>
      <c r="H715" t="str">
        <v>Maïs grain irrigué</v>
      </c>
    </row>
    <row r="716" spans="1:8">
      <c r="A716" t="s">
        <v>765</v>
      </c>
      <c r="B716">
        <v>17770.89</v>
      </c>
      <c r="C716">
        <v>5459.73</v>
      </c>
      <c r="D716">
        <v>12.06</v>
      </c>
      <c r="E716">
        <v>12.06</v>
      </c>
      <c r="F716">
        <v>0.30722884447543142</v>
      </c>
      <c r="G716">
        <v>1</v>
      </c>
      <c r="H716" t="str">
        <v>Tournesol</v>
      </c>
    </row>
    <row r="717" spans="1:8">
      <c r="A717" t="s">
        <v>27</v>
      </c>
      <c r="B717">
        <v>11558.4</v>
      </c>
      <c r="C717">
        <v>2575.36</v>
      </c>
      <c r="D717">
        <v>8.9600000000000009</v>
      </c>
      <c r="E717">
        <v>8.9600000000000009</v>
      </c>
      <c r="F717">
        <v>0.22281284606866003</v>
      </c>
      <c r="G717">
        <v>1</v>
      </c>
      <c r="H717" t="str">
        <v>Colza d'hiver</v>
      </c>
    </row>
    <row r="718" spans="1:8">
      <c r="A718" t="s">
        <v>814</v>
      </c>
      <c r="B718">
        <v>2838.24</v>
      </c>
      <c r="C718">
        <v>2200.5100000000002</v>
      </c>
      <c r="D718">
        <v>2.92</v>
      </c>
      <c r="E718">
        <v>2.92</v>
      </c>
      <c r="F718">
        <v>0.77530793731326475</v>
      </c>
      <c r="G718">
        <v>1</v>
      </c>
      <c r="H718" t="str">
        <v>Soja</v>
      </c>
    </row>
    <row r="719" spans="1:8">
      <c r="A719" t="s">
        <v>765</v>
      </c>
      <c r="B719">
        <v>26604.03</v>
      </c>
      <c r="C719">
        <v>7617.05</v>
      </c>
      <c r="D719">
        <v>26.62</v>
      </c>
      <c r="E719">
        <v>26.62</v>
      </c>
      <c r="F719">
        <v>0.28631188583083089</v>
      </c>
      <c r="G719">
        <v>1</v>
      </c>
      <c r="H719" t="str">
        <v>Tournesol</v>
      </c>
    </row>
    <row r="720" spans="1:8">
      <c r="A720" t="s">
        <v>941</v>
      </c>
      <c r="B720">
        <v>1870.06</v>
      </c>
      <c r="C720">
        <v>1182.71</v>
      </c>
      <c r="D720">
        <v>2.83</v>
      </c>
      <c r="E720">
        <v>2.83</v>
      </c>
      <c r="F720">
        <v>0.63244494829042919</v>
      </c>
      <c r="G720">
        <v>1</v>
      </c>
      <c r="H720" t="str">
        <v>Avoine de printemps</v>
      </c>
    </row>
    <row r="721" spans="1:8">
      <c r="A721" t="s">
        <v>295</v>
      </c>
      <c r="B721">
        <v>4655.82</v>
      </c>
      <c r="C721">
        <v>1850.9</v>
      </c>
      <c r="D721">
        <v>7.62</v>
      </c>
      <c r="E721">
        <v>7.62</v>
      </c>
      <c r="F721">
        <v>0.3975454377531778</v>
      </c>
      <c r="G721">
        <v>1</v>
      </c>
      <c r="H721" t="str">
        <v>Avoine d'hiver</v>
      </c>
    </row>
    <row r="722" spans="1:8">
      <c r="A722" t="s">
        <v>99</v>
      </c>
      <c r="B722">
        <v>20548.080000000002</v>
      </c>
      <c r="C722">
        <v>11209.03</v>
      </c>
      <c r="D722">
        <v>24.16</v>
      </c>
      <c r="E722">
        <v>24.16</v>
      </c>
      <c r="F722">
        <v>0.5455025481699507</v>
      </c>
      <c r="G722">
        <v>1</v>
      </c>
      <c r="H722" t="str">
        <v>Blé tendre d'hiver</v>
      </c>
    </row>
    <row r="723" spans="1:8">
      <c r="A723" t="s">
        <v>137</v>
      </c>
      <c r="B723">
        <v>13931.94</v>
      </c>
      <c r="C723">
        <v>6752.31</v>
      </c>
      <c r="D723">
        <v>13.82</v>
      </c>
      <c r="E723">
        <v>13.82</v>
      </c>
      <c r="F723">
        <v>0.48466401664089853</v>
      </c>
      <c r="G723">
        <v>1</v>
      </c>
      <c r="H723" t="str">
        <v>Orge de printemps</v>
      </c>
    </row>
    <row r="724" spans="1:8">
      <c r="A724" t="s">
        <v>27</v>
      </c>
      <c r="B724">
        <v>17152</v>
      </c>
      <c r="C724">
        <v>7562.96</v>
      </c>
      <c r="D724">
        <v>10.72</v>
      </c>
      <c r="E724">
        <v>10.72</v>
      </c>
      <c r="F724">
        <v>0.44093749999999998</v>
      </c>
      <c r="G724">
        <v>1</v>
      </c>
      <c r="H724" t="str">
        <v>Colza d'hiver</v>
      </c>
    </row>
    <row r="725" spans="1:8">
      <c r="A725" t="s">
        <v>99</v>
      </c>
      <c r="B725">
        <v>13186.42</v>
      </c>
      <c r="C725">
        <v>840.43</v>
      </c>
      <c r="D725">
        <v>12.46</v>
      </c>
      <c r="E725">
        <v>12.46</v>
      </c>
      <c r="F725">
        <v>6.3734508683933919E-2</v>
      </c>
      <c r="G725">
        <v>1</v>
      </c>
      <c r="H725" t="str">
        <v>Blé tendre d'hiver</v>
      </c>
    </row>
    <row r="726" spans="1:8">
      <c r="A726" t="s">
        <v>765</v>
      </c>
      <c r="B726">
        <v>22010.45</v>
      </c>
      <c r="C726">
        <v>2385.6799999999998</v>
      </c>
      <c r="D726">
        <v>21.22</v>
      </c>
      <c r="E726">
        <v>21.22</v>
      </c>
      <c r="F726">
        <v>0.10838851545515879</v>
      </c>
      <c r="G726">
        <v>1</v>
      </c>
      <c r="H726" t="str">
        <v>Tournesol</v>
      </c>
    </row>
    <row r="727" spans="1:8">
      <c r="A727" t="s">
        <v>137</v>
      </c>
      <c r="B727">
        <v>13927.84</v>
      </c>
      <c r="C727">
        <v>3794.51</v>
      </c>
      <c r="D727">
        <v>14.82</v>
      </c>
      <c r="E727">
        <v>14.82</v>
      </c>
      <c r="F727">
        <v>0.27244066560213215</v>
      </c>
      <c r="G727">
        <v>1</v>
      </c>
      <c r="H727" t="str">
        <v>Orge de printemps</v>
      </c>
    </row>
    <row r="728" spans="1:8">
      <c r="A728" t="s">
        <v>183</v>
      </c>
      <c r="B728">
        <v>17067.25</v>
      </c>
      <c r="C728">
        <v>3463.33</v>
      </c>
      <c r="D728">
        <v>19.260000000000002</v>
      </c>
      <c r="E728">
        <v>19.260000000000002</v>
      </c>
      <c r="F728">
        <v>0.20292255635793699</v>
      </c>
      <c r="G728">
        <v>1</v>
      </c>
      <c r="H728" t="str">
        <v>Orge d'hiver</v>
      </c>
    </row>
    <row r="729" spans="1:8">
      <c r="A729" t="s">
        <v>765</v>
      </c>
      <c r="B729">
        <v>32420.799999999999</v>
      </c>
      <c r="C729">
        <v>2537.2800000000002</v>
      </c>
      <c r="D729">
        <v>35.24</v>
      </c>
      <c r="E729">
        <v>35.24</v>
      </c>
      <c r="F729">
        <v>7.8260869565217397E-2</v>
      </c>
      <c r="G729">
        <v>1</v>
      </c>
      <c r="H729" t="str">
        <v>Tournesol</v>
      </c>
    </row>
    <row r="730" spans="1:8">
      <c r="A730" t="s">
        <v>866</v>
      </c>
      <c r="B730">
        <v>23998</v>
      </c>
      <c r="C730">
        <v>5981.3</v>
      </c>
      <c r="D730">
        <v>16.25</v>
      </c>
      <c r="E730">
        <v>16.25</v>
      </c>
      <c r="F730">
        <v>0.24924160346695559</v>
      </c>
      <c r="G730">
        <v>1</v>
      </c>
      <c r="H730" t="str">
        <v>Maïs grain non irrigué</v>
      </c>
    </row>
    <row r="731" spans="1:8">
      <c r="A731" t="s">
        <v>866</v>
      </c>
      <c r="B731">
        <v>89821.93</v>
      </c>
      <c r="C731">
        <v>31269.31</v>
      </c>
      <c r="D731">
        <v>39.07</v>
      </c>
      <c r="E731">
        <v>39.07</v>
      </c>
      <c r="F731">
        <v>0.34812556354556179</v>
      </c>
      <c r="G731">
        <v>1</v>
      </c>
      <c r="H731" t="str">
        <v>Maïs grain non irrigué</v>
      </c>
    </row>
    <row r="732" spans="1:8">
      <c r="A732" t="s">
        <v>866</v>
      </c>
      <c r="B732">
        <v>160945.51</v>
      </c>
      <c r="C732">
        <v>110526.86</v>
      </c>
      <c r="D732">
        <v>87.31</v>
      </c>
      <c r="E732">
        <v>87.31</v>
      </c>
      <c r="F732">
        <v>0.68673465945089118</v>
      </c>
      <c r="G732">
        <v>1</v>
      </c>
      <c r="H732" t="str">
        <v>Maïs grain non irrigué</v>
      </c>
    </row>
    <row r="733" spans="1:8">
      <c r="A733" t="s">
        <v>140</v>
      </c>
      <c r="B733">
        <v>20973.55</v>
      </c>
      <c r="C733">
        <v>1027.81</v>
      </c>
      <c r="D733">
        <v>15.81</v>
      </c>
      <c r="E733">
        <v>10.79</v>
      </c>
      <c r="F733">
        <v>4.9005056368616663E-2</v>
      </c>
      <c r="G733">
        <v>0.68247944339025923</v>
      </c>
      <c r="H733" t="str">
        <v>Blé dur d'hiver</v>
      </c>
    </row>
    <row r="734" spans="1:8">
      <c r="A734" t="s">
        <v>27</v>
      </c>
      <c r="B734">
        <v>31720.5</v>
      </c>
      <c r="C734">
        <v>1516.73</v>
      </c>
      <c r="D734">
        <v>23.85</v>
      </c>
      <c r="E734">
        <v>23.85</v>
      </c>
      <c r="F734">
        <v>4.7815450576125851E-2</v>
      </c>
      <c r="G734">
        <v>1</v>
      </c>
      <c r="H734" t="str">
        <v>Colza d'hiver</v>
      </c>
    </row>
    <row r="735" spans="1:8">
      <c r="A735" t="s">
        <v>99</v>
      </c>
      <c r="B735">
        <v>85823.73</v>
      </c>
      <c r="C735">
        <v>348.52</v>
      </c>
      <c r="D735">
        <v>78.55</v>
      </c>
      <c r="E735">
        <v>60</v>
      </c>
      <c r="F735">
        <v>4.0608815300849773E-3</v>
      </c>
      <c r="G735">
        <v>0.76384468491406754</v>
      </c>
      <c r="H735" t="str">
        <v>Blé tendre d'hiver</v>
      </c>
    </row>
    <row r="736" spans="1:8">
      <c r="A736" t="s">
        <v>27</v>
      </c>
      <c r="B736">
        <v>50848.6</v>
      </c>
      <c r="C736">
        <v>6833.78</v>
      </c>
      <c r="D736">
        <v>31.88</v>
      </c>
      <c r="E736">
        <v>31.88</v>
      </c>
      <c r="F736">
        <v>0.13439465393344163</v>
      </c>
      <c r="G736">
        <v>1</v>
      </c>
      <c r="H736" t="str">
        <v>Colza d'hiver</v>
      </c>
    </row>
    <row r="737" spans="1:8">
      <c r="A737" t="s">
        <v>99</v>
      </c>
      <c r="B737">
        <v>28977.61</v>
      </c>
      <c r="C737">
        <v>4185.0200000000004</v>
      </c>
      <c r="D737">
        <v>23.69</v>
      </c>
      <c r="E737">
        <v>23</v>
      </c>
      <c r="F737">
        <v>0.14442253864276594</v>
      </c>
      <c r="G737">
        <v>0.97087378640776689</v>
      </c>
      <c r="H737" t="str">
        <v>Blé tendre d'hiver</v>
      </c>
    </row>
    <row r="738" spans="1:8">
      <c r="A738" t="s">
        <v>99</v>
      </c>
      <c r="B738">
        <v>12067.27</v>
      </c>
      <c r="C738">
        <v>48.72</v>
      </c>
      <c r="D738">
        <v>10.41</v>
      </c>
      <c r="E738">
        <v>10.41</v>
      </c>
      <c r="F738">
        <v>4.0373671924138601E-3</v>
      </c>
      <c r="G738">
        <v>1</v>
      </c>
      <c r="H738" t="str">
        <v>Blé tendre d'hiver</v>
      </c>
    </row>
    <row r="739" spans="1:8">
      <c r="A739" t="s">
        <v>137</v>
      </c>
      <c r="B739">
        <v>74215.16</v>
      </c>
      <c r="C739">
        <v>9084.65</v>
      </c>
      <c r="D739">
        <v>81.87</v>
      </c>
      <c r="E739">
        <v>81.86</v>
      </c>
      <c r="F739">
        <v>0.12240962628120723</v>
      </c>
      <c r="G739">
        <v>0.99987785513619143</v>
      </c>
      <c r="H739" t="str">
        <v>Orge de printemps</v>
      </c>
    </row>
    <row r="740" spans="1:8">
      <c r="A740" t="s">
        <v>898</v>
      </c>
      <c r="B740">
        <v>64469.84</v>
      </c>
      <c r="C740">
        <v>562.9</v>
      </c>
      <c r="D740">
        <v>67.14</v>
      </c>
      <c r="E740">
        <v>67.14</v>
      </c>
      <c r="F740">
        <v>8.7312144717591987E-3</v>
      </c>
      <c r="G740">
        <v>1</v>
      </c>
      <c r="H740" t="str">
        <v>Maïs ensilage non irrigué</v>
      </c>
    </row>
    <row r="741" spans="1:8">
      <c r="A741" t="s">
        <v>866</v>
      </c>
      <c r="B741">
        <v>15154.28</v>
      </c>
      <c r="C741">
        <v>5373.85</v>
      </c>
      <c r="D741">
        <v>8.7799999999999994</v>
      </c>
      <c r="E741">
        <v>8.7799999999999994</v>
      </c>
      <c r="F741">
        <v>0.35460939087835253</v>
      </c>
      <c r="G741">
        <v>1</v>
      </c>
      <c r="H741" t="str">
        <v>Maïs grain non irrigué</v>
      </c>
    </row>
    <row r="742" spans="1:8">
      <c r="A742" t="s">
        <v>99</v>
      </c>
      <c r="B742">
        <v>31559.22</v>
      </c>
      <c r="C742">
        <v>7910.3</v>
      </c>
      <c r="D742">
        <v>22.77</v>
      </c>
      <c r="E742">
        <v>22.77</v>
      </c>
      <c r="F742">
        <v>0.25064941402227303</v>
      </c>
      <c r="G742">
        <v>1</v>
      </c>
      <c r="H742" t="str">
        <v>Blé tendre d'hiver</v>
      </c>
    </row>
    <row r="743" spans="1:8">
      <c r="A743" t="s">
        <v>99</v>
      </c>
      <c r="B743">
        <v>68742</v>
      </c>
      <c r="C743">
        <v>11128.43</v>
      </c>
      <c r="D743">
        <v>50.92</v>
      </c>
      <c r="E743">
        <v>50.92</v>
      </c>
      <c r="F743">
        <v>0.16188691047685549</v>
      </c>
      <c r="G743">
        <v>1</v>
      </c>
      <c r="H743" t="str">
        <v>Blé tendre d'hiver</v>
      </c>
    </row>
    <row r="744" spans="1:8">
      <c r="A744" t="s">
        <v>99</v>
      </c>
      <c r="B744">
        <v>71118.240000000005</v>
      </c>
      <c r="C744">
        <v>30678.15</v>
      </c>
      <c r="D744">
        <v>51.76</v>
      </c>
      <c r="E744">
        <v>51.76</v>
      </c>
      <c r="F744">
        <v>0.43136823970896915</v>
      </c>
      <c r="G744">
        <v>1</v>
      </c>
      <c r="H744" t="str">
        <v>Blé tendre d'hiver</v>
      </c>
    </row>
    <row r="745" spans="1:8">
      <c r="A745" t="s">
        <v>910</v>
      </c>
      <c r="B745">
        <v>91676.58</v>
      </c>
      <c r="C745">
        <v>45457.63</v>
      </c>
      <c r="D745">
        <v>52.87</v>
      </c>
      <c r="E745">
        <v>52.87</v>
      </c>
      <c r="F745">
        <v>0.49584779449669691</v>
      </c>
      <c r="G745">
        <v>1</v>
      </c>
      <c r="H745" t="str">
        <v>Maïs grain irrigué</v>
      </c>
    </row>
    <row r="746" spans="1:8">
      <c r="A746" t="s">
        <v>814</v>
      </c>
      <c r="B746">
        <v>17875.2</v>
      </c>
      <c r="C746">
        <v>5042.3</v>
      </c>
      <c r="D746">
        <v>21.28</v>
      </c>
      <c r="E746">
        <v>21.28</v>
      </c>
      <c r="F746">
        <v>0.28208355710705335</v>
      </c>
      <c r="G746">
        <v>1</v>
      </c>
      <c r="H746" t="str">
        <v>Soja</v>
      </c>
    </row>
    <row r="747" spans="1:8">
      <c r="A747" t="s">
        <v>27</v>
      </c>
      <c r="B747">
        <v>35626.5</v>
      </c>
      <c r="C747">
        <v>885.83</v>
      </c>
      <c r="D747">
        <v>21</v>
      </c>
      <c r="E747">
        <v>3.2</v>
      </c>
      <c r="F747">
        <v>2.4864356588494521E-2</v>
      </c>
      <c r="G747">
        <v>0.15238095238095239</v>
      </c>
      <c r="H747" t="str">
        <v>Colza d'hiver</v>
      </c>
    </row>
    <row r="748" spans="1:8">
      <c r="A748" t="s">
        <v>765</v>
      </c>
      <c r="B748">
        <v>28194.880000000001</v>
      </c>
      <c r="C748">
        <v>4621.4399999999996</v>
      </c>
      <c r="D748">
        <v>24.56</v>
      </c>
      <c r="E748">
        <v>24.56</v>
      </c>
      <c r="F748">
        <v>0.1639106107208117</v>
      </c>
      <c r="G748">
        <v>1</v>
      </c>
      <c r="H748" t="str">
        <v>Tournesol</v>
      </c>
    </row>
    <row r="749" spans="1:8">
      <c r="A749" t="s">
        <v>163</v>
      </c>
      <c r="B749">
        <v>7747.95</v>
      </c>
      <c r="C749">
        <v>1765.54</v>
      </c>
      <c r="D749">
        <v>9.42</v>
      </c>
      <c r="E749">
        <v>9.42</v>
      </c>
      <c r="F749">
        <v>0.22787188869313818</v>
      </c>
      <c r="G749">
        <v>1</v>
      </c>
      <c r="H749" t="str">
        <v>Triticale</v>
      </c>
    </row>
    <row r="750" spans="1:8">
      <c r="A750" t="s">
        <v>310</v>
      </c>
      <c r="B750">
        <v>18254.59</v>
      </c>
      <c r="C750">
        <v>507.9</v>
      </c>
      <c r="D750">
        <v>17.28</v>
      </c>
      <c r="E750">
        <v>17.28</v>
      </c>
      <c r="F750">
        <v>2.7823139276203956E-2</v>
      </c>
      <c r="G750">
        <v>1</v>
      </c>
      <c r="H750" t="str">
        <v>Pois protéagineux</v>
      </c>
    </row>
    <row r="751" spans="1:8">
      <c r="A751" t="s">
        <v>27</v>
      </c>
      <c r="B751">
        <v>12652.64</v>
      </c>
      <c r="C751">
        <v>57.51</v>
      </c>
      <c r="D751">
        <v>10.27</v>
      </c>
      <c r="E751">
        <v>10.27</v>
      </c>
      <c r="F751">
        <v>4.5452964756762223E-3</v>
      </c>
      <c r="G751">
        <v>1</v>
      </c>
      <c r="H751" t="str">
        <v>Colza d'hiver</v>
      </c>
    </row>
    <row r="752" spans="1:8">
      <c r="A752" t="s">
        <v>137</v>
      </c>
      <c r="B752">
        <v>27399.83</v>
      </c>
      <c r="C752">
        <v>6510.65</v>
      </c>
      <c r="D752">
        <v>28.19</v>
      </c>
      <c r="E752">
        <v>28.19</v>
      </c>
      <c r="F752">
        <v>0.23761643776621968</v>
      </c>
      <c r="G752">
        <v>1</v>
      </c>
      <c r="H752" t="str">
        <v>Orge de printemps</v>
      </c>
    </row>
    <row r="753" spans="1:8">
      <c r="A753" t="s">
        <v>910</v>
      </c>
      <c r="B753">
        <v>160821.84</v>
      </c>
      <c r="C753">
        <v>36445.629999999997</v>
      </c>
      <c r="D753">
        <v>68.61</v>
      </c>
      <c r="E753">
        <v>68.61</v>
      </c>
      <c r="F753">
        <v>0.22662114797343444</v>
      </c>
      <c r="G753">
        <v>1</v>
      </c>
      <c r="H753" t="str">
        <v>Maïs grain irrigué</v>
      </c>
    </row>
    <row r="754" spans="1:8">
      <c r="A754" t="s">
        <v>866</v>
      </c>
      <c r="B754">
        <v>23942.799999999999</v>
      </c>
      <c r="C754">
        <v>15130.24</v>
      </c>
      <c r="D754">
        <v>20.12</v>
      </c>
      <c r="E754">
        <v>20.12</v>
      </c>
      <c r="F754">
        <v>0.63193277310924367</v>
      </c>
      <c r="G754">
        <v>1</v>
      </c>
      <c r="H754" t="str">
        <v>Maïs grain non irrigué</v>
      </c>
    </row>
    <row r="755" spans="1:8">
      <c r="A755" t="s">
        <v>765</v>
      </c>
      <c r="B755">
        <v>20631.55</v>
      </c>
      <c r="C755">
        <v>3504.54</v>
      </c>
      <c r="D755">
        <v>20.48</v>
      </c>
      <c r="E755">
        <v>20.48</v>
      </c>
      <c r="F755">
        <v>0.16986314649165962</v>
      </c>
      <c r="G755">
        <v>1</v>
      </c>
      <c r="H755" t="str">
        <v>Tournesol</v>
      </c>
    </row>
    <row r="756" spans="1:8">
      <c r="A756" t="s">
        <v>941</v>
      </c>
      <c r="B756">
        <v>3876.6</v>
      </c>
      <c r="C756">
        <v>307.58</v>
      </c>
      <c r="D756">
        <v>6.5</v>
      </c>
      <c r="E756">
        <v>6.5</v>
      </c>
      <c r="F756">
        <v>7.9342723004694832E-2</v>
      </c>
      <c r="G756">
        <v>1</v>
      </c>
      <c r="H756" t="str">
        <v>Avoine de printemps</v>
      </c>
    </row>
    <row r="757" spans="1:8">
      <c r="A757" t="s">
        <v>866</v>
      </c>
      <c r="B757">
        <v>11999</v>
      </c>
      <c r="C757">
        <v>7310.16</v>
      </c>
      <c r="D757">
        <v>9.23</v>
      </c>
      <c r="E757">
        <v>9.23</v>
      </c>
      <c r="F757">
        <v>0.60923076923076924</v>
      </c>
      <c r="G757">
        <v>1</v>
      </c>
      <c r="H757" t="str">
        <v>Maïs grain non irrigué</v>
      </c>
    </row>
    <row r="758" spans="1:8">
      <c r="A758" t="s">
        <v>765</v>
      </c>
      <c r="B758">
        <v>2042.4</v>
      </c>
      <c r="C758">
        <v>255.3</v>
      </c>
      <c r="D758">
        <v>2.2200000000000002</v>
      </c>
      <c r="E758">
        <v>2.2200000000000002</v>
      </c>
      <c r="F758">
        <v>0.125</v>
      </c>
      <c r="G758">
        <v>1</v>
      </c>
      <c r="H758" t="str">
        <v>Tournesol</v>
      </c>
    </row>
    <row r="759" spans="1:8">
      <c r="A759" t="s">
        <v>99</v>
      </c>
      <c r="B759">
        <v>53606.73</v>
      </c>
      <c r="C759">
        <v>4481</v>
      </c>
      <c r="D759">
        <v>54.65</v>
      </c>
      <c r="E759">
        <v>54.5</v>
      </c>
      <c r="F759">
        <v>8.3590250701730914E-2</v>
      </c>
      <c r="G759">
        <v>0.99725526075022874</v>
      </c>
      <c r="H759" t="str">
        <v>Blé tendre d'hiver</v>
      </c>
    </row>
    <row r="760" spans="1:8">
      <c r="A760" t="s">
        <v>27</v>
      </c>
      <c r="B760">
        <v>30034.37</v>
      </c>
      <c r="C760">
        <v>394.29</v>
      </c>
      <c r="D760">
        <v>16.38</v>
      </c>
      <c r="E760">
        <v>12.08</v>
      </c>
      <c r="F760">
        <v>1.3127959734131264E-2</v>
      </c>
      <c r="G760">
        <v>0.73748473748473753</v>
      </c>
      <c r="H760" t="str">
        <v>Colza d'hiver</v>
      </c>
    </row>
    <row r="761" spans="1:8">
      <c r="A761" t="s">
        <v>99</v>
      </c>
      <c r="B761">
        <v>36505.42</v>
      </c>
      <c r="C761">
        <v>1036.1500000000001</v>
      </c>
      <c r="D761">
        <v>32.869999999999997</v>
      </c>
      <c r="E761">
        <v>13.24</v>
      </c>
      <c r="F761">
        <v>2.8383456483996081E-2</v>
      </c>
      <c r="G761">
        <v>0.40279890477639191</v>
      </c>
      <c r="H761" t="str">
        <v>Blé tendre d'hiver</v>
      </c>
    </row>
    <row r="762" spans="1:8">
      <c r="A762" t="s">
        <v>99</v>
      </c>
      <c r="B762">
        <v>10200.75</v>
      </c>
      <c r="C762">
        <v>997.24</v>
      </c>
      <c r="D762">
        <v>10.15</v>
      </c>
      <c r="E762">
        <v>10.15</v>
      </c>
      <c r="F762">
        <v>9.7761439109869369E-2</v>
      </c>
      <c r="G762">
        <v>1</v>
      </c>
      <c r="H762" t="str">
        <v>Blé tendre d'hiver</v>
      </c>
    </row>
    <row r="763" spans="1:8">
      <c r="A763" t="s">
        <v>866</v>
      </c>
      <c r="B763">
        <v>13256.1</v>
      </c>
      <c r="C763">
        <v>1492.47</v>
      </c>
      <c r="D763">
        <v>12.36</v>
      </c>
      <c r="E763">
        <v>12.36</v>
      </c>
      <c r="F763">
        <v>0.11258741258741259</v>
      </c>
      <c r="G763">
        <v>1</v>
      </c>
      <c r="H763" t="str">
        <v>Maïs grain non irrigué</v>
      </c>
    </row>
    <row r="764" spans="1:8">
      <c r="A764" t="s">
        <v>27</v>
      </c>
      <c r="B764">
        <v>11689.7</v>
      </c>
      <c r="C764">
        <v>2945.64</v>
      </c>
      <c r="D764">
        <v>10.63</v>
      </c>
      <c r="E764">
        <v>10.63</v>
      </c>
      <c r="F764">
        <v>0.25198593633711724</v>
      </c>
      <c r="G764">
        <v>1</v>
      </c>
      <c r="H764" t="str">
        <v>Colza d'hiver</v>
      </c>
    </row>
    <row r="765" spans="1:8">
      <c r="A765" t="s">
        <v>27</v>
      </c>
      <c r="B765">
        <v>24882</v>
      </c>
      <c r="C765">
        <v>729</v>
      </c>
      <c r="D765">
        <v>22</v>
      </c>
      <c r="E765">
        <v>22</v>
      </c>
      <c r="F765">
        <v>2.9298287918977574E-2</v>
      </c>
      <c r="G765">
        <v>1</v>
      </c>
      <c r="H765" t="str">
        <v>Colza d'hiver</v>
      </c>
    </row>
    <row r="766" spans="1:8">
      <c r="A766" t="s">
        <v>99</v>
      </c>
      <c r="B766">
        <v>29881.599999999999</v>
      </c>
      <c r="C766">
        <v>959.76</v>
      </c>
      <c r="D766">
        <v>28</v>
      </c>
      <c r="E766">
        <v>13</v>
      </c>
      <c r="F766">
        <v>3.2118762047547655E-2</v>
      </c>
      <c r="G766">
        <v>0.4642857142857143</v>
      </c>
      <c r="H766" t="str">
        <v>Blé tendre d'hiver</v>
      </c>
    </row>
    <row r="767" spans="1:8">
      <c r="A767" t="s">
        <v>99</v>
      </c>
      <c r="B767">
        <v>9105</v>
      </c>
      <c r="C767">
        <v>1339.5</v>
      </c>
      <c r="D767">
        <v>7.5</v>
      </c>
      <c r="E767">
        <v>7.5</v>
      </c>
      <c r="F767">
        <v>0.14711696869851729</v>
      </c>
      <c r="G767">
        <v>1</v>
      </c>
      <c r="H767" t="str">
        <v>Blé tendre d'hiver</v>
      </c>
    </row>
    <row r="768" spans="1:8">
      <c r="A768" t="s">
        <v>27</v>
      </c>
      <c r="B768">
        <v>14879.16</v>
      </c>
      <c r="C768">
        <v>2911.71</v>
      </c>
      <c r="D768">
        <v>17.97</v>
      </c>
      <c r="E768">
        <v>17.97</v>
      </c>
      <c r="F768">
        <v>0.19569048252723945</v>
      </c>
      <c r="G768">
        <v>1</v>
      </c>
      <c r="H768" t="str">
        <v>Colza d'hiver</v>
      </c>
    </row>
    <row r="769" spans="1:8">
      <c r="A769" t="s">
        <v>99</v>
      </c>
      <c r="B769">
        <v>32307.55</v>
      </c>
      <c r="C769">
        <v>3698.68</v>
      </c>
      <c r="D769">
        <v>36.78</v>
      </c>
      <c r="E769">
        <v>36.78</v>
      </c>
      <c r="F769">
        <v>0.11448345665332096</v>
      </c>
      <c r="G769">
        <v>1</v>
      </c>
      <c r="H769" t="str">
        <v>Blé tendre d'hiver</v>
      </c>
    </row>
    <row r="770" spans="1:8">
      <c r="A770" t="s">
        <v>99</v>
      </c>
      <c r="B770">
        <v>6682.11</v>
      </c>
      <c r="C770">
        <v>1800.49</v>
      </c>
      <c r="D770">
        <v>5.7</v>
      </c>
      <c r="E770">
        <v>5.7</v>
      </c>
      <c r="F770">
        <v>0.26944932064871724</v>
      </c>
      <c r="G770">
        <v>1</v>
      </c>
      <c r="H770" t="str">
        <v>Blé tendre d'hiver</v>
      </c>
    </row>
    <row r="771" spans="1:8">
      <c r="A771" t="s">
        <v>866</v>
      </c>
      <c r="B771">
        <v>3304.1</v>
      </c>
      <c r="C771">
        <v>2640.69</v>
      </c>
      <c r="D771">
        <v>3.7</v>
      </c>
      <c r="E771">
        <v>3.7</v>
      </c>
      <c r="F771">
        <v>0.79921612541993281</v>
      </c>
      <c r="G771">
        <v>1</v>
      </c>
      <c r="H771" t="str">
        <v>Maïs grain non irrigué</v>
      </c>
    </row>
    <row r="772" spans="1:8">
      <c r="A772" t="s">
        <v>140</v>
      </c>
      <c r="B772">
        <v>26056.799999999999</v>
      </c>
      <c r="C772">
        <v>9161.41</v>
      </c>
      <c r="D772">
        <v>20</v>
      </c>
      <c r="E772">
        <v>20</v>
      </c>
      <c r="F772">
        <v>0.35159382579595344</v>
      </c>
      <c r="G772">
        <v>1</v>
      </c>
      <c r="H772" t="str">
        <v>Blé dur d'hiver</v>
      </c>
    </row>
    <row r="773" spans="1:8">
      <c r="A773" t="s">
        <v>162</v>
      </c>
      <c r="B773">
        <v>6599.16</v>
      </c>
      <c r="C773">
        <v>4162.55</v>
      </c>
      <c r="D773">
        <v>15.29</v>
      </c>
      <c r="E773">
        <v>15.29</v>
      </c>
      <c r="F773">
        <v>0.63076967371604875</v>
      </c>
      <c r="G773">
        <v>1</v>
      </c>
      <c r="H773" t="str">
        <v>Féveroles et fèves</v>
      </c>
    </row>
    <row r="774" spans="1:8">
      <c r="A774" t="s">
        <v>137</v>
      </c>
      <c r="B774">
        <v>7656.8</v>
      </c>
      <c r="C774">
        <v>1133.9100000000001</v>
      </c>
      <c r="D774">
        <v>8</v>
      </c>
      <c r="E774">
        <v>8</v>
      </c>
      <c r="F774">
        <v>0.14809189217427646</v>
      </c>
      <c r="G774">
        <v>1</v>
      </c>
      <c r="H774" t="str">
        <v>Orge de printemps</v>
      </c>
    </row>
    <row r="775" spans="1:8">
      <c r="A775" t="s">
        <v>99</v>
      </c>
      <c r="B775">
        <v>42525</v>
      </c>
      <c r="C775">
        <v>17815.73</v>
      </c>
      <c r="D775">
        <v>50</v>
      </c>
      <c r="E775">
        <v>50</v>
      </c>
      <c r="F775">
        <v>0.41894720752498527</v>
      </c>
      <c r="G775">
        <v>1</v>
      </c>
      <c r="H775" t="str">
        <v>Blé tendre d'hiver</v>
      </c>
    </row>
    <row r="776" spans="1:8">
      <c r="A776" t="s">
        <v>183</v>
      </c>
      <c r="B776">
        <v>43179.8</v>
      </c>
      <c r="C776">
        <v>24866.94</v>
      </c>
      <c r="D776">
        <v>49.89</v>
      </c>
      <c r="E776">
        <v>49.89</v>
      </c>
      <c r="F776">
        <v>0.57589289436264168</v>
      </c>
      <c r="G776">
        <v>1</v>
      </c>
      <c r="H776" t="str">
        <v>Orge d'hiver</v>
      </c>
    </row>
    <row r="777" spans="1:8">
      <c r="A777" t="s">
        <v>765</v>
      </c>
      <c r="B777">
        <v>38817</v>
      </c>
      <c r="C777">
        <v>28471.5</v>
      </c>
      <c r="D777">
        <v>45</v>
      </c>
      <c r="E777">
        <v>45</v>
      </c>
      <c r="F777">
        <v>0.73348017621145378</v>
      </c>
      <c r="G777">
        <v>1</v>
      </c>
      <c r="H777" t="str">
        <v>Tournesol</v>
      </c>
    </row>
    <row r="778" spans="1:8">
      <c r="A778" t="s">
        <v>910</v>
      </c>
      <c r="B778">
        <v>87439.61</v>
      </c>
      <c r="C778">
        <v>71993.61</v>
      </c>
      <c r="D778">
        <v>48.92</v>
      </c>
      <c r="E778">
        <v>48.92</v>
      </c>
      <c r="F778">
        <v>0.82335236856614524</v>
      </c>
      <c r="G778">
        <v>1</v>
      </c>
      <c r="H778" t="str">
        <v>Maïs grain irrigué</v>
      </c>
    </row>
    <row r="779" spans="1:8">
      <c r="A779" t="s">
        <v>99</v>
      </c>
      <c r="B779">
        <v>41733.15</v>
      </c>
      <c r="C779">
        <v>12246.29</v>
      </c>
      <c r="D779">
        <v>45.61</v>
      </c>
      <c r="E779">
        <v>45.61</v>
      </c>
      <c r="F779">
        <v>0.29344274275965271</v>
      </c>
      <c r="G779">
        <v>1</v>
      </c>
      <c r="H779" t="str">
        <v>Blé tendre d'hiver</v>
      </c>
    </row>
    <row r="780" spans="1:8">
      <c r="A780" t="s">
        <v>1300</v>
      </c>
      <c r="B780">
        <v>24600</v>
      </c>
      <c r="C780">
        <v>1082.4000000000001</v>
      </c>
      <c r="D780">
        <v>12.3</v>
      </c>
      <c r="E780">
        <v>12.3</v>
      </c>
      <c r="F780">
        <v>4.4000000000000004E-2</v>
      </c>
      <c r="G780">
        <v>1</v>
      </c>
      <c r="H780" t="str">
        <v>Colza de printemps</v>
      </c>
    </row>
    <row r="781" spans="1:8">
      <c r="A781" t="s">
        <v>765</v>
      </c>
      <c r="B781">
        <v>22168.799999999999</v>
      </c>
      <c r="C781">
        <v>2689.24</v>
      </c>
      <c r="D781">
        <v>16.21</v>
      </c>
      <c r="E781">
        <v>16.21</v>
      </c>
      <c r="F781">
        <v>0.12130742304500017</v>
      </c>
      <c r="G781">
        <v>1</v>
      </c>
      <c r="H781" t="str">
        <v>Tournesol</v>
      </c>
    </row>
    <row r="782" spans="1:8">
      <c r="A782" t="s">
        <v>866</v>
      </c>
      <c r="B782">
        <v>31440.75</v>
      </c>
      <c r="C782">
        <v>6781.21</v>
      </c>
      <c r="D782">
        <v>18.5</v>
      </c>
      <c r="E782">
        <v>16</v>
      </c>
      <c r="F782">
        <v>0.21568219587637064</v>
      </c>
      <c r="G782">
        <v>0.86486486486486491</v>
      </c>
      <c r="H782" t="str">
        <v>Maïs grain non irrigué</v>
      </c>
    </row>
    <row r="783" spans="1:8">
      <c r="A783" t="s">
        <v>163</v>
      </c>
      <c r="B783">
        <v>2460</v>
      </c>
      <c r="C783">
        <v>429</v>
      </c>
      <c r="D783">
        <v>4</v>
      </c>
      <c r="E783">
        <v>4</v>
      </c>
      <c r="F783">
        <v>0.17439024390243901</v>
      </c>
      <c r="G783">
        <v>1</v>
      </c>
      <c r="H783" t="str">
        <v>Triticale</v>
      </c>
    </row>
    <row r="784" spans="1:8">
      <c r="A784" t="s">
        <v>866</v>
      </c>
      <c r="B784">
        <v>5925.15</v>
      </c>
      <c r="C784">
        <v>2855.36</v>
      </c>
      <c r="D784">
        <v>6.93</v>
      </c>
      <c r="E784">
        <v>4.29</v>
      </c>
      <c r="F784">
        <v>0.48190509944895915</v>
      </c>
      <c r="G784">
        <v>0.61904761904761907</v>
      </c>
      <c r="H784" t="str">
        <v>Maïs grain non irrigué</v>
      </c>
    </row>
    <row r="785" spans="1:8">
      <c r="A785" t="s">
        <v>137</v>
      </c>
      <c r="B785">
        <v>43200</v>
      </c>
      <c r="C785">
        <v>6592</v>
      </c>
      <c r="D785">
        <v>40</v>
      </c>
      <c r="E785">
        <v>40</v>
      </c>
      <c r="F785">
        <v>0.15259259259259259</v>
      </c>
      <c r="G785">
        <v>1</v>
      </c>
      <c r="H785" t="str">
        <v>Orge de printemps</v>
      </c>
    </row>
    <row r="786" spans="1:8">
      <c r="A786" t="s">
        <v>137</v>
      </c>
      <c r="B786">
        <v>3384.38</v>
      </c>
      <c r="C786">
        <v>1643.31</v>
      </c>
      <c r="D786">
        <v>2.5299999999999998</v>
      </c>
      <c r="E786">
        <v>2.5</v>
      </c>
      <c r="F786">
        <v>0.48555717738551812</v>
      </c>
      <c r="G786">
        <v>0.98814229249011865</v>
      </c>
      <c r="H786" t="str">
        <v>Orge de printemps</v>
      </c>
    </row>
    <row r="787" spans="1:8">
      <c r="A787" t="s">
        <v>27</v>
      </c>
      <c r="B787">
        <v>39272.730000000003</v>
      </c>
      <c r="C787">
        <v>2203.62</v>
      </c>
      <c r="D787">
        <v>32.43</v>
      </c>
      <c r="E787">
        <v>32.43</v>
      </c>
      <c r="F787">
        <v>5.6110690547868707E-2</v>
      </c>
      <c r="G787">
        <v>1</v>
      </c>
      <c r="H787" t="str">
        <v>Colza d'hiver</v>
      </c>
    </row>
    <row r="788" spans="1:8">
      <c r="A788" t="s">
        <v>898</v>
      </c>
      <c r="B788">
        <v>16088.04</v>
      </c>
      <c r="C788">
        <v>4881.32</v>
      </c>
      <c r="D788">
        <v>19.61</v>
      </c>
      <c r="E788">
        <v>19.61</v>
      </c>
      <c r="F788">
        <v>0.30341297013184948</v>
      </c>
      <c r="G788">
        <v>1</v>
      </c>
      <c r="H788" t="str">
        <v>Maïs ensilage non irrigué</v>
      </c>
    </row>
    <row r="789" spans="1:8">
      <c r="A789" t="s">
        <v>99</v>
      </c>
      <c r="B789">
        <v>51040.7</v>
      </c>
      <c r="C789">
        <v>6409.09</v>
      </c>
      <c r="D789">
        <v>43.94</v>
      </c>
      <c r="E789">
        <v>34</v>
      </c>
      <c r="F789">
        <v>0.12556822300634593</v>
      </c>
      <c r="G789">
        <v>0.77378243058716434</v>
      </c>
      <c r="H789" t="str">
        <v>Blé tendre d'hiver</v>
      </c>
    </row>
    <row r="790" spans="1:8">
      <c r="A790" t="s">
        <v>866</v>
      </c>
      <c r="B790">
        <v>27549.83</v>
      </c>
      <c r="C790">
        <v>17742.599999999999</v>
      </c>
      <c r="D790">
        <v>34.299999999999997</v>
      </c>
      <c r="E790">
        <v>34.299999999999997</v>
      </c>
      <c r="F790">
        <v>0.64401849303607306</v>
      </c>
      <c r="G790">
        <v>1</v>
      </c>
      <c r="H790" t="str">
        <v>Maïs grain non irrigué</v>
      </c>
    </row>
    <row r="791" spans="1:8">
      <c r="A791" t="s">
        <v>99</v>
      </c>
      <c r="B791">
        <v>128386.38</v>
      </c>
      <c r="C791">
        <v>28882.07</v>
      </c>
      <c r="D791">
        <v>97.41</v>
      </c>
      <c r="E791">
        <v>97.41</v>
      </c>
      <c r="F791">
        <v>0.2249621026778697</v>
      </c>
      <c r="G791">
        <v>1</v>
      </c>
      <c r="H791" t="str">
        <v>Blé tendre d'hiver</v>
      </c>
    </row>
    <row r="792" spans="1:8">
      <c r="A792" t="s">
        <v>765</v>
      </c>
      <c r="B792">
        <v>95762.8</v>
      </c>
      <c r="C792">
        <v>2914.52</v>
      </c>
      <c r="D792">
        <v>104.09</v>
      </c>
      <c r="E792">
        <v>104.09</v>
      </c>
      <c r="F792">
        <v>3.043478260869565E-2</v>
      </c>
      <c r="G792">
        <v>1</v>
      </c>
      <c r="H792" t="str">
        <v>Tournesol</v>
      </c>
    </row>
    <row r="793" spans="1:8">
      <c r="A793" t="s">
        <v>866</v>
      </c>
      <c r="B793">
        <v>46941.75</v>
      </c>
      <c r="C793">
        <v>4959.2299999999996</v>
      </c>
      <c r="D793">
        <v>46.5</v>
      </c>
      <c r="E793">
        <v>46.5</v>
      </c>
      <c r="F793">
        <v>0.10564646609894177</v>
      </c>
      <c r="G793">
        <v>1</v>
      </c>
      <c r="H793" t="str">
        <v>Maïs grain non irrigué</v>
      </c>
    </row>
    <row r="794" spans="1:8">
      <c r="A794" t="s">
        <v>765</v>
      </c>
      <c r="B794">
        <v>50383.08</v>
      </c>
      <c r="C794">
        <v>1660.35</v>
      </c>
      <c r="D794">
        <v>42.41</v>
      </c>
      <c r="E794">
        <v>42.41</v>
      </c>
      <c r="F794">
        <v>3.2954515682645839E-2</v>
      </c>
      <c r="G794">
        <v>1</v>
      </c>
      <c r="H794" t="str">
        <v>Tournesol</v>
      </c>
    </row>
    <row r="795" spans="1:8">
      <c r="A795" t="s">
        <v>765</v>
      </c>
      <c r="B795">
        <v>18500</v>
      </c>
      <c r="C795">
        <v>1850</v>
      </c>
      <c r="D795">
        <v>7.4</v>
      </c>
      <c r="E795">
        <v>7.4</v>
      </c>
      <c r="F795">
        <v>0.1</v>
      </c>
      <c r="G795">
        <v>1</v>
      </c>
      <c r="H795" t="str">
        <v>Tournesol</v>
      </c>
    </row>
    <row r="796" spans="1:8">
      <c r="A796" t="s">
        <v>866</v>
      </c>
      <c r="B796">
        <v>54000</v>
      </c>
      <c r="C796">
        <v>6196</v>
      </c>
      <c r="D796">
        <v>27</v>
      </c>
      <c r="E796">
        <v>10</v>
      </c>
      <c r="F796">
        <v>0.11474074074074074</v>
      </c>
      <c r="G796">
        <v>0.37037037037037035</v>
      </c>
      <c r="H796" t="str">
        <v>Maïs grain non irrigué</v>
      </c>
    </row>
    <row r="797" spans="1:8">
      <c r="A797" t="s">
        <v>99</v>
      </c>
      <c r="B797">
        <v>9159.81</v>
      </c>
      <c r="C797">
        <v>91.33</v>
      </c>
      <c r="D797">
        <v>6.15</v>
      </c>
      <c r="E797">
        <v>6.15</v>
      </c>
      <c r="F797">
        <v>9.9707308339365124E-3</v>
      </c>
      <c r="G797">
        <v>1</v>
      </c>
      <c r="H797" t="str">
        <v>Blé tendre d'hiver</v>
      </c>
    </row>
    <row r="798" spans="1:8">
      <c r="A798" t="s">
        <v>163</v>
      </c>
      <c r="B798">
        <v>37390.22</v>
      </c>
      <c r="C798">
        <v>11210.34</v>
      </c>
      <c r="D798">
        <v>32.15</v>
      </c>
      <c r="E798">
        <v>32.15</v>
      </c>
      <c r="F798">
        <v>0.2998201133879394</v>
      </c>
      <c r="G798">
        <v>1</v>
      </c>
      <c r="H798" t="str">
        <v>Triticale</v>
      </c>
    </row>
    <row r="799" spans="1:8">
      <c r="A799" t="s">
        <v>99</v>
      </c>
      <c r="B799">
        <v>52381.61</v>
      </c>
      <c r="C799">
        <v>3932</v>
      </c>
      <c r="D799">
        <v>49.15</v>
      </c>
      <c r="E799">
        <v>49.15</v>
      </c>
      <c r="F799">
        <v>7.5064512144624798E-2</v>
      </c>
      <c r="G799">
        <v>1</v>
      </c>
      <c r="H799" t="str">
        <v>Blé tendre d'hiver</v>
      </c>
    </row>
    <row r="800" spans="1:8">
      <c r="A800" t="s">
        <v>765</v>
      </c>
      <c r="B800">
        <v>22138.27</v>
      </c>
      <c r="C800">
        <v>520.34</v>
      </c>
      <c r="D800">
        <v>26.28</v>
      </c>
      <c r="E800">
        <v>26.28</v>
      </c>
      <c r="F800">
        <v>2.3504094945088302E-2</v>
      </c>
      <c r="G800">
        <v>1</v>
      </c>
      <c r="H800" t="str">
        <v>Tournesol</v>
      </c>
    </row>
    <row r="801" spans="1:8">
      <c r="A801" t="s">
        <v>866</v>
      </c>
      <c r="B801">
        <v>55738.2</v>
      </c>
      <c r="C801">
        <v>11691.18</v>
      </c>
      <c r="D801">
        <v>28.85</v>
      </c>
      <c r="E801">
        <v>28.85</v>
      </c>
      <c r="F801">
        <v>0.20975166044113375</v>
      </c>
      <c r="G801">
        <v>1</v>
      </c>
      <c r="H801" t="str">
        <v>Maïs grain non irrigué</v>
      </c>
    </row>
    <row r="802" spans="1:8">
      <c r="A802" t="s">
        <v>866</v>
      </c>
      <c r="B802">
        <v>58693.98</v>
      </c>
      <c r="C802">
        <v>9501.1</v>
      </c>
      <c r="D802">
        <v>28.11</v>
      </c>
      <c r="E802">
        <v>28.11</v>
      </c>
      <c r="F802">
        <v>0.16187520423729998</v>
      </c>
      <c r="G802">
        <v>1</v>
      </c>
      <c r="H802" t="str">
        <v>Maïs grain non irrigué</v>
      </c>
    </row>
    <row r="803" spans="1:8">
      <c r="A803" t="s">
        <v>866</v>
      </c>
      <c r="B803">
        <v>4322.16</v>
      </c>
      <c r="C803">
        <v>1095.44</v>
      </c>
      <c r="D803">
        <v>2.0699999999999998</v>
      </c>
      <c r="E803">
        <v>2.0699999999999998</v>
      </c>
      <c r="F803">
        <v>0.25344735039887467</v>
      </c>
      <c r="G803">
        <v>1</v>
      </c>
      <c r="H803" t="str">
        <v>Maïs grain non irrigué</v>
      </c>
    </row>
    <row r="804" spans="1:8">
      <c r="A804" t="s">
        <v>910</v>
      </c>
      <c r="B804">
        <v>39564.69</v>
      </c>
      <c r="C804">
        <v>15932.67</v>
      </c>
      <c r="D804">
        <v>17.989999999999998</v>
      </c>
      <c r="E804">
        <v>17.989999999999998</v>
      </c>
      <c r="F804">
        <v>0.40269922499076827</v>
      </c>
      <c r="G804">
        <v>1</v>
      </c>
      <c r="H804" t="str">
        <v>Maïs grain irrigué</v>
      </c>
    </row>
    <row r="805" spans="1:8">
      <c r="A805" t="s">
        <v>866</v>
      </c>
      <c r="B805">
        <v>23383</v>
      </c>
      <c r="C805">
        <v>671.11</v>
      </c>
      <c r="D805">
        <v>12.74</v>
      </c>
      <c r="E805">
        <v>0.68</v>
      </c>
      <c r="F805">
        <v>2.8700765513407177E-2</v>
      </c>
      <c r="G805">
        <v>5.3375196232339092E-2</v>
      </c>
      <c r="H805" t="str">
        <v>Maïs grain non irrigué</v>
      </c>
    </row>
    <row r="806" spans="1:8">
      <c r="A806" t="s">
        <v>866</v>
      </c>
      <c r="B806">
        <v>16614</v>
      </c>
      <c r="C806">
        <v>1071.47</v>
      </c>
      <c r="D806">
        <v>10.4</v>
      </c>
      <c r="E806">
        <v>10.4</v>
      </c>
      <c r="F806">
        <v>6.4491994703262306E-2</v>
      </c>
      <c r="G806">
        <v>1</v>
      </c>
      <c r="H806" t="str">
        <v>Maïs grain non irrigué</v>
      </c>
    </row>
    <row r="807" spans="1:8">
      <c r="A807" t="s">
        <v>27</v>
      </c>
      <c r="B807">
        <v>2331.1799999999998</v>
      </c>
      <c r="C807">
        <v>715.24</v>
      </c>
      <c r="D807">
        <v>1.6</v>
      </c>
      <c r="E807">
        <v>1.6</v>
      </c>
      <c r="F807">
        <v>0.30681457459312456</v>
      </c>
      <c r="G807">
        <v>1</v>
      </c>
      <c r="H807" t="str">
        <v>Colza d'hiver</v>
      </c>
    </row>
    <row r="808" spans="1:8">
      <c r="A808" t="s">
        <v>866</v>
      </c>
      <c r="B808">
        <v>16486.400000000001</v>
      </c>
      <c r="C808">
        <v>1957.76</v>
      </c>
      <c r="D808">
        <v>16</v>
      </c>
      <c r="E808">
        <v>16</v>
      </c>
      <c r="F808">
        <v>0.11874999999999999</v>
      </c>
      <c r="G808">
        <v>1</v>
      </c>
      <c r="H808" t="str">
        <v>Maïs grain non irrigué</v>
      </c>
    </row>
    <row r="809" spans="1:8">
      <c r="A809" t="s">
        <v>765</v>
      </c>
      <c r="B809">
        <v>7186.2</v>
      </c>
      <c r="C809">
        <v>3219.58</v>
      </c>
      <c r="D809">
        <v>11.6</v>
      </c>
      <c r="E809">
        <v>11.6</v>
      </c>
      <c r="F809">
        <v>0.44802259887005652</v>
      </c>
      <c r="G809">
        <v>1</v>
      </c>
      <c r="H809" t="str">
        <v>Tournesol</v>
      </c>
    </row>
    <row r="810" spans="1:8">
      <c r="A810" t="s">
        <v>910</v>
      </c>
      <c r="B810">
        <v>24262.7</v>
      </c>
      <c r="C810">
        <v>1499.88</v>
      </c>
      <c r="D810">
        <v>13.7</v>
      </c>
      <c r="E810">
        <v>13.7</v>
      </c>
      <c r="F810">
        <v>6.1818346680295268E-2</v>
      </c>
      <c r="G810">
        <v>1</v>
      </c>
      <c r="H810" t="str">
        <v>Maïs grain irrigué</v>
      </c>
    </row>
    <row r="811" spans="1:8">
      <c r="A811" t="s">
        <v>99</v>
      </c>
      <c r="B811">
        <v>53127.95</v>
      </c>
      <c r="C811">
        <v>15699.68</v>
      </c>
      <c r="D811">
        <v>56.87</v>
      </c>
      <c r="E811">
        <v>25</v>
      </c>
      <c r="F811">
        <v>0.29550697890658312</v>
      </c>
      <c r="G811">
        <v>0.43959908563390188</v>
      </c>
      <c r="H811" t="str">
        <v>Blé tendre d'hiver</v>
      </c>
    </row>
    <row r="812" spans="1:8">
      <c r="A812" t="s">
        <v>207</v>
      </c>
      <c r="B812">
        <v>3651.75</v>
      </c>
      <c r="C812">
        <v>2096.1</v>
      </c>
      <c r="D812">
        <v>5.41</v>
      </c>
      <c r="E812">
        <v>4</v>
      </c>
      <c r="F812">
        <v>0.57399876771410963</v>
      </c>
      <c r="G812">
        <v>0.73937153419593349</v>
      </c>
      <c r="H812" t="str">
        <v>Seigle et méteil</v>
      </c>
    </row>
    <row r="813" spans="1:8">
      <c r="A813" t="s">
        <v>163</v>
      </c>
      <c r="B813">
        <v>57591.040000000001</v>
      </c>
      <c r="C813">
        <v>7511.74</v>
      </c>
      <c r="D813">
        <v>69.22</v>
      </c>
      <c r="E813">
        <v>15</v>
      </c>
      <c r="F813">
        <v>0.13043244226879736</v>
      </c>
      <c r="G813">
        <v>0.21670037561398439</v>
      </c>
      <c r="H813" t="str">
        <v>Triticale</v>
      </c>
    </row>
    <row r="814" spans="1:8">
      <c r="A814" t="s">
        <v>99</v>
      </c>
      <c r="B814">
        <v>12243.83</v>
      </c>
      <c r="C814">
        <v>1514.68</v>
      </c>
      <c r="D814">
        <v>9.9600000000000009</v>
      </c>
      <c r="E814">
        <v>9.9600000000000009</v>
      </c>
      <c r="F814">
        <v>0.12370965621051583</v>
      </c>
      <c r="G814">
        <v>1</v>
      </c>
      <c r="H814" t="str">
        <v>Blé tendre d'hiver</v>
      </c>
    </row>
    <row r="815" spans="1:8">
      <c r="A815" t="s">
        <v>137</v>
      </c>
      <c r="B815">
        <v>12413.25</v>
      </c>
      <c r="C815">
        <v>2640.6</v>
      </c>
      <c r="D815">
        <v>11.25</v>
      </c>
      <c r="E815">
        <v>11.25</v>
      </c>
      <c r="F815">
        <v>0.2127243066884176</v>
      </c>
      <c r="G815">
        <v>1</v>
      </c>
      <c r="H815" t="str">
        <v>Orge de printemps</v>
      </c>
    </row>
    <row r="816" spans="1:8">
      <c r="A816" t="s">
        <v>99</v>
      </c>
      <c r="B816">
        <v>106247.9</v>
      </c>
      <c r="C816">
        <v>8697</v>
      </c>
      <c r="D816">
        <v>66.900000000000006</v>
      </c>
      <c r="E816">
        <v>66.849999999999994</v>
      </c>
      <c r="F816">
        <v>8.1855735501595805E-2</v>
      </c>
      <c r="G816">
        <v>0.99925261584454395</v>
      </c>
      <c r="H816" t="str">
        <v>Blé tendre d'hiver</v>
      </c>
    </row>
    <row r="817" spans="1:8">
      <c r="A817" t="s">
        <v>99</v>
      </c>
      <c r="B817">
        <v>58816</v>
      </c>
      <c r="C817">
        <v>7995.3</v>
      </c>
      <c r="D817">
        <v>45.95</v>
      </c>
      <c r="E817">
        <v>45.95</v>
      </c>
      <c r="F817">
        <v>0.13593750000000002</v>
      </c>
      <c r="G817">
        <v>1</v>
      </c>
      <c r="H817" t="str">
        <v>Blé tendre d'hiver</v>
      </c>
    </row>
    <row r="818" spans="1:8">
      <c r="A818" t="s">
        <v>137</v>
      </c>
      <c r="B818">
        <v>56430.62</v>
      </c>
      <c r="C818">
        <v>16162.41</v>
      </c>
      <c r="D818">
        <v>45.56</v>
      </c>
      <c r="E818">
        <v>45.56</v>
      </c>
      <c r="F818">
        <v>0.28641205785086182</v>
      </c>
      <c r="G818">
        <v>1</v>
      </c>
      <c r="H818" t="str">
        <v>Orge de printemps</v>
      </c>
    </row>
    <row r="819" spans="1:8">
      <c r="A819" t="s">
        <v>310</v>
      </c>
      <c r="B819">
        <v>11057.31</v>
      </c>
      <c r="C819">
        <v>2410.64</v>
      </c>
      <c r="D819">
        <v>12.41</v>
      </c>
      <c r="E819">
        <v>12.41</v>
      </c>
      <c r="F819">
        <v>0.21801324191869451</v>
      </c>
      <c r="G819">
        <v>1</v>
      </c>
      <c r="H819" t="str">
        <v>Pois protéagineux</v>
      </c>
    </row>
    <row r="820" spans="1:8">
      <c r="A820" t="s">
        <v>99</v>
      </c>
      <c r="B820">
        <v>37770.82</v>
      </c>
      <c r="C820">
        <v>1754.44</v>
      </c>
      <c r="D820">
        <v>38.11</v>
      </c>
      <c r="E820">
        <v>32</v>
      </c>
      <c r="F820">
        <v>4.6449613749449975E-2</v>
      </c>
      <c r="G820">
        <v>0.83967462608239307</v>
      </c>
      <c r="H820" t="str">
        <v>Blé tendre d'hiver</v>
      </c>
    </row>
    <row r="821" spans="1:8">
      <c r="A821" t="s">
        <v>765</v>
      </c>
      <c r="B821">
        <v>25070.77</v>
      </c>
      <c r="C821">
        <v>6318.93</v>
      </c>
      <c r="D821">
        <v>24.71</v>
      </c>
      <c r="E821">
        <v>6.84</v>
      </c>
      <c r="F821">
        <v>0.25204371465256153</v>
      </c>
      <c r="G821">
        <v>0.27681100768919464</v>
      </c>
      <c r="H821" t="str">
        <v>Tournesol</v>
      </c>
    </row>
    <row r="822" spans="1:8">
      <c r="A822" t="s">
        <v>866</v>
      </c>
      <c r="B822">
        <v>90000.66</v>
      </c>
      <c r="C822">
        <v>32994.980000000003</v>
      </c>
      <c r="D822">
        <v>48.94</v>
      </c>
      <c r="E822">
        <v>48.94</v>
      </c>
      <c r="F822">
        <v>0.36660820042875242</v>
      </c>
      <c r="G822">
        <v>1</v>
      </c>
      <c r="H822" t="str">
        <v>Maïs grain non irrigué</v>
      </c>
    </row>
    <row r="823" spans="1:8">
      <c r="A823" t="s">
        <v>866</v>
      </c>
      <c r="B823">
        <v>23553.06</v>
      </c>
      <c r="C823">
        <v>6924.87</v>
      </c>
      <c r="D823">
        <v>21.11</v>
      </c>
      <c r="E823">
        <v>21.11</v>
      </c>
      <c r="F823">
        <v>0.29401147876326894</v>
      </c>
      <c r="G823">
        <v>1</v>
      </c>
      <c r="H823" t="str">
        <v>Maïs grain non irrigué</v>
      </c>
    </row>
    <row r="824" spans="1:8">
      <c r="A824" t="s">
        <v>866</v>
      </c>
      <c r="B824">
        <v>120636</v>
      </c>
      <c r="C824">
        <v>31624.78</v>
      </c>
      <c r="D824">
        <v>67.02</v>
      </c>
      <c r="E824">
        <v>36</v>
      </c>
      <c r="F824">
        <v>0.2621504360224145</v>
      </c>
      <c r="G824">
        <v>0.53715308863025968</v>
      </c>
      <c r="H824" t="str">
        <v>Maïs grain non irrigué</v>
      </c>
    </row>
    <row r="825" spans="1:8">
      <c r="A825" t="s">
        <v>550</v>
      </c>
      <c r="B825">
        <v>8211.4599999999991</v>
      </c>
      <c r="C825">
        <v>5763.23</v>
      </c>
      <c r="D825">
        <v>9.6</v>
      </c>
      <c r="E825">
        <v>9.6</v>
      </c>
      <c r="F825">
        <v>0.70185204579940719</v>
      </c>
      <c r="G825">
        <v>1</v>
      </c>
      <c r="H825" t="str">
        <v>Lentilles</v>
      </c>
    </row>
    <row r="826" spans="1:8">
      <c r="A826" t="s">
        <v>2335</v>
      </c>
      <c r="B826">
        <v>65340</v>
      </c>
      <c r="C826">
        <v>13205.5</v>
      </c>
      <c r="D826">
        <v>29.7</v>
      </c>
      <c r="E826">
        <v>29.7</v>
      </c>
      <c r="F826">
        <v>0.20210437710437709</v>
      </c>
      <c r="G826">
        <v>1</v>
      </c>
      <c r="H826" t="str">
        <v>Maïs doux non irrigué</v>
      </c>
    </row>
    <row r="827" spans="1:8">
      <c r="A827" t="s">
        <v>137</v>
      </c>
      <c r="B827">
        <v>6063.66</v>
      </c>
      <c r="C827">
        <v>3262.55</v>
      </c>
      <c r="D827">
        <v>5.27</v>
      </c>
      <c r="E827">
        <v>5.27</v>
      </c>
      <c r="F827">
        <v>0.53804962679305901</v>
      </c>
      <c r="G827">
        <v>1</v>
      </c>
      <c r="H827" t="str">
        <v>Orge de printemps</v>
      </c>
    </row>
    <row r="828" spans="1:8">
      <c r="A828" t="s">
        <v>27</v>
      </c>
      <c r="B828">
        <v>5554.85</v>
      </c>
      <c r="C828">
        <v>4255.97</v>
      </c>
      <c r="D828">
        <v>5.9</v>
      </c>
      <c r="E828">
        <v>5.9</v>
      </c>
      <c r="F828">
        <v>0.76617190383178668</v>
      </c>
      <c r="G828">
        <v>1</v>
      </c>
      <c r="H828" t="str">
        <v>Colza d'hiver</v>
      </c>
    </row>
    <row r="829" spans="1:8">
      <c r="A829" t="s">
        <v>898</v>
      </c>
      <c r="B829">
        <v>4054.4</v>
      </c>
      <c r="C829">
        <v>1658.56</v>
      </c>
      <c r="D829">
        <v>4</v>
      </c>
      <c r="E829">
        <v>4</v>
      </c>
      <c r="F829">
        <v>0.40907655880031568</v>
      </c>
      <c r="G829">
        <v>1</v>
      </c>
      <c r="H829" t="str">
        <v>Maïs ensilage non irrigué</v>
      </c>
    </row>
    <row r="830" spans="1:8">
      <c r="A830" t="s">
        <v>866</v>
      </c>
      <c r="B830">
        <v>4680</v>
      </c>
      <c r="C830">
        <v>2223</v>
      </c>
      <c r="D830">
        <v>3.9</v>
      </c>
      <c r="E830">
        <v>3.9</v>
      </c>
      <c r="F830">
        <v>0.47499999999999998</v>
      </c>
      <c r="G830">
        <v>1</v>
      </c>
      <c r="H830" t="str">
        <v>Maïs grain non irrigué</v>
      </c>
    </row>
    <row r="831" spans="1:8">
      <c r="A831" t="s">
        <v>183</v>
      </c>
      <c r="B831">
        <v>12259.8</v>
      </c>
      <c r="C831">
        <v>2293.1999999999998</v>
      </c>
      <c r="D831">
        <v>13.9</v>
      </c>
      <c r="E831">
        <v>4.5</v>
      </c>
      <c r="F831">
        <v>0.18705035971223022</v>
      </c>
      <c r="G831">
        <v>0.32374100719424459</v>
      </c>
      <c r="H831" t="str">
        <v>Orge d'hiver</v>
      </c>
    </row>
    <row r="832" spans="1:8">
      <c r="A832" t="s">
        <v>550</v>
      </c>
      <c r="B832">
        <v>3164.04</v>
      </c>
      <c r="C832">
        <v>37.03</v>
      </c>
      <c r="D832">
        <v>5.61</v>
      </c>
      <c r="E832">
        <v>5.61</v>
      </c>
      <c r="F832">
        <v>1.1703391866095246E-2</v>
      </c>
      <c r="G832">
        <v>1</v>
      </c>
      <c r="H832" t="str">
        <v>Lentilles</v>
      </c>
    </row>
    <row r="833" spans="1:8">
      <c r="A833" t="s">
        <v>162</v>
      </c>
      <c r="B833">
        <v>12804.18</v>
      </c>
      <c r="C833">
        <v>4187.5200000000004</v>
      </c>
      <c r="D833">
        <v>18.309999999999999</v>
      </c>
      <c r="E833">
        <v>18.309999999999999</v>
      </c>
      <c r="F833">
        <v>0.32704319995501474</v>
      </c>
      <c r="G833">
        <v>1</v>
      </c>
      <c r="H833" t="str">
        <v>Féveroles et fèves</v>
      </c>
    </row>
    <row r="834" spans="1:8">
      <c r="A834" t="s">
        <v>27</v>
      </c>
      <c r="B834">
        <v>28600</v>
      </c>
      <c r="C834">
        <v>1430</v>
      </c>
      <c r="D834">
        <v>14.3</v>
      </c>
      <c r="E834">
        <v>14.3</v>
      </c>
      <c r="F834">
        <v>0.05</v>
      </c>
      <c r="G834">
        <v>1</v>
      </c>
      <c r="H834" t="str">
        <v>Colza d'hiver</v>
      </c>
    </row>
    <row r="835" spans="1:8">
      <c r="A835" t="s">
        <v>27</v>
      </c>
      <c r="B835">
        <v>47273.18</v>
      </c>
      <c r="C835">
        <v>13298.65</v>
      </c>
      <c r="D835">
        <v>36.35</v>
      </c>
      <c r="E835">
        <v>36.35</v>
      </c>
      <c r="F835">
        <v>0.28131490202266907</v>
      </c>
      <c r="G835">
        <v>1</v>
      </c>
      <c r="H835" t="str">
        <v>Colza d'hiver</v>
      </c>
    </row>
    <row r="836" spans="1:8">
      <c r="A836" t="s">
        <v>295</v>
      </c>
      <c r="B836">
        <v>3497.13</v>
      </c>
      <c r="C836">
        <v>752.93</v>
      </c>
      <c r="D836">
        <v>6.37</v>
      </c>
      <c r="E836">
        <v>6.37</v>
      </c>
      <c r="F836">
        <v>0.2152994026530326</v>
      </c>
      <c r="G836">
        <v>1</v>
      </c>
      <c r="H836" t="str">
        <v>Avoine d'hiver</v>
      </c>
    </row>
    <row r="837" spans="1:8">
      <c r="A837" t="s">
        <v>137</v>
      </c>
      <c r="B837">
        <v>16530.8</v>
      </c>
      <c r="C837">
        <v>1054.8499999999999</v>
      </c>
      <c r="D837">
        <v>17</v>
      </c>
      <c r="E837">
        <v>17</v>
      </c>
      <c r="F837">
        <v>6.3811188811188815E-2</v>
      </c>
      <c r="G837">
        <v>1</v>
      </c>
      <c r="H837" t="str">
        <v>Orge de printemps</v>
      </c>
    </row>
    <row r="838" spans="1:8">
      <c r="A838" t="s">
        <v>866</v>
      </c>
      <c r="B838">
        <v>48676.32</v>
      </c>
      <c r="C838">
        <v>15154.28</v>
      </c>
      <c r="D838">
        <v>35.119999999999997</v>
      </c>
      <c r="E838">
        <v>35.119999999999997</v>
      </c>
      <c r="F838">
        <v>0.31132756132756134</v>
      </c>
      <c r="G838">
        <v>1</v>
      </c>
      <c r="H838" t="str">
        <v>Maïs grain non irrigué</v>
      </c>
    </row>
    <row r="839" spans="1:8">
      <c r="A839" t="s">
        <v>1009</v>
      </c>
      <c r="B839">
        <v>54767.48</v>
      </c>
      <c r="C839">
        <v>12757.69</v>
      </c>
      <c r="D839">
        <v>22.87</v>
      </c>
      <c r="E839">
        <v>22.87</v>
      </c>
      <c r="F839">
        <v>0.23294279744110921</v>
      </c>
      <c r="G839">
        <v>1</v>
      </c>
      <c r="H839" t="str">
        <v>Maïs ensilage irrigué</v>
      </c>
    </row>
    <row r="840" spans="1:8">
      <c r="A840" t="s">
        <v>163</v>
      </c>
      <c r="B840">
        <v>1000.4</v>
      </c>
      <c r="C840">
        <v>253.17</v>
      </c>
      <c r="D840">
        <v>1.41</v>
      </c>
      <c r="E840">
        <v>1.41</v>
      </c>
      <c r="F840">
        <v>0.25306877249100357</v>
      </c>
      <c r="G840">
        <v>1</v>
      </c>
      <c r="H840" t="str">
        <v>Triticale</v>
      </c>
    </row>
    <row r="841" spans="1:8">
      <c r="A841" t="s">
        <v>910</v>
      </c>
      <c r="B841">
        <v>103281.55</v>
      </c>
      <c r="C841">
        <v>5163.9799999999996</v>
      </c>
      <c r="D841">
        <v>34.630000000000003</v>
      </c>
      <c r="E841">
        <v>34.630000000000003</v>
      </c>
      <c r="F841">
        <v>4.9999055978536336E-2</v>
      </c>
      <c r="G841">
        <v>1</v>
      </c>
      <c r="H841" t="str">
        <v>Maïs grain irrigué</v>
      </c>
    </row>
    <row r="842" spans="1:8">
      <c r="A842" t="s">
        <v>183</v>
      </c>
      <c r="B842">
        <v>10004.57</v>
      </c>
      <c r="C842">
        <v>4921.6000000000004</v>
      </c>
      <c r="D842">
        <v>13.56</v>
      </c>
      <c r="E842">
        <v>13.56</v>
      </c>
      <c r="F842">
        <v>0.49193518562017163</v>
      </c>
      <c r="G842">
        <v>1</v>
      </c>
      <c r="H842" t="str">
        <v>Orge d'hiver</v>
      </c>
    </row>
    <row r="843" spans="1:8">
      <c r="A843" t="s">
        <v>163</v>
      </c>
      <c r="B843">
        <v>5987.52</v>
      </c>
      <c r="C843">
        <v>1479.87</v>
      </c>
      <c r="D843">
        <v>5</v>
      </c>
      <c r="E843">
        <v>5</v>
      </c>
      <c r="F843">
        <v>0.24715909090909088</v>
      </c>
      <c r="G843">
        <v>1</v>
      </c>
      <c r="H843" t="str">
        <v>Triticale</v>
      </c>
    </row>
    <row r="844" spans="1:8">
      <c r="A844" t="s">
        <v>765</v>
      </c>
      <c r="B844">
        <v>11165.36</v>
      </c>
      <c r="C844">
        <v>1694.99</v>
      </c>
      <c r="D844">
        <v>8</v>
      </c>
      <c r="E844">
        <v>8</v>
      </c>
      <c r="F844">
        <v>0.15180791304534738</v>
      </c>
      <c r="G844">
        <v>1</v>
      </c>
      <c r="H844" t="str">
        <v>Tournesol</v>
      </c>
    </row>
    <row r="845" spans="1:8">
      <c r="A845" t="s">
        <v>765</v>
      </c>
      <c r="B845">
        <v>26386.93</v>
      </c>
      <c r="C845">
        <v>4969.3500000000004</v>
      </c>
      <c r="D845">
        <v>30.59</v>
      </c>
      <c r="E845">
        <v>30.59</v>
      </c>
      <c r="F845">
        <v>0.18832619027677719</v>
      </c>
      <c r="G845">
        <v>1</v>
      </c>
      <c r="H845" t="str">
        <v>Tournesol</v>
      </c>
    </row>
    <row r="846" spans="1:8">
      <c r="A846" t="s">
        <v>866</v>
      </c>
      <c r="B846">
        <v>7689.12</v>
      </c>
      <c r="C846">
        <v>3571.66</v>
      </c>
      <c r="D846">
        <v>8.3000000000000007</v>
      </c>
      <c r="E846">
        <v>8.3000000000000007</v>
      </c>
      <c r="F846">
        <v>0.46450829223630269</v>
      </c>
      <c r="G846">
        <v>1</v>
      </c>
      <c r="H846" t="str">
        <v>Maïs grain non irrigué</v>
      </c>
    </row>
    <row r="847" spans="1:8">
      <c r="A847" t="s">
        <v>99</v>
      </c>
      <c r="B847">
        <v>29208.7</v>
      </c>
      <c r="C847">
        <v>4964.28</v>
      </c>
      <c r="D847">
        <v>34.74</v>
      </c>
      <c r="E847">
        <v>34.74</v>
      </c>
      <c r="F847">
        <v>0.16995895058664026</v>
      </c>
      <c r="G847">
        <v>1</v>
      </c>
      <c r="H847" t="str">
        <v>Blé tendre d'hiver</v>
      </c>
    </row>
    <row r="848" spans="1:8">
      <c r="A848" t="s">
        <v>27</v>
      </c>
      <c r="B848">
        <v>15014.54</v>
      </c>
      <c r="C848">
        <v>4581.8599999999997</v>
      </c>
      <c r="D848">
        <v>12.2</v>
      </c>
      <c r="E848">
        <v>12.2</v>
      </c>
      <c r="F848">
        <v>0.30516153009016589</v>
      </c>
      <c r="G848">
        <v>1</v>
      </c>
      <c r="H848" t="str">
        <v>Colza d'hiver</v>
      </c>
    </row>
    <row r="849" spans="1:8">
      <c r="A849" t="s">
        <v>295</v>
      </c>
      <c r="B849">
        <v>9719.23</v>
      </c>
      <c r="C849">
        <v>2427.64</v>
      </c>
      <c r="D849">
        <v>13.28</v>
      </c>
      <c r="E849">
        <v>13.28</v>
      </c>
      <c r="F849">
        <v>0.24977698850629113</v>
      </c>
      <c r="G849">
        <v>1</v>
      </c>
      <c r="H849" t="str">
        <v>Avoine d'hiver</v>
      </c>
    </row>
    <row r="850" spans="1:8">
      <c r="A850" t="s">
        <v>866</v>
      </c>
      <c r="B850">
        <v>56285.46</v>
      </c>
      <c r="C850">
        <v>3234.51</v>
      </c>
      <c r="D850">
        <v>27.51</v>
      </c>
      <c r="E850">
        <v>4</v>
      </c>
      <c r="F850">
        <v>5.7466173324336345E-2</v>
      </c>
      <c r="G850">
        <v>0.14540167211922936</v>
      </c>
      <c r="H850" t="str">
        <v>Maïs grain non irrigué</v>
      </c>
    </row>
    <row r="851" spans="1:8">
      <c r="A851" t="s">
        <v>910</v>
      </c>
      <c r="B851">
        <v>25505.51</v>
      </c>
      <c r="C851">
        <v>2011.73</v>
      </c>
      <c r="D851">
        <v>13.11</v>
      </c>
      <c r="E851">
        <v>13.11</v>
      </c>
      <c r="F851">
        <v>7.8874329507624047E-2</v>
      </c>
      <c r="G851">
        <v>1</v>
      </c>
      <c r="H851" t="str">
        <v>Maïs grain irrigué</v>
      </c>
    </row>
    <row r="852" spans="1:8">
      <c r="A852" t="s">
        <v>866</v>
      </c>
      <c r="B852">
        <v>81210.899999999994</v>
      </c>
      <c r="C852">
        <v>28478.61</v>
      </c>
      <c r="D852">
        <v>32.15</v>
      </c>
      <c r="E852">
        <v>32.15</v>
      </c>
      <c r="F852">
        <v>0.35067472469828559</v>
      </c>
      <c r="G852">
        <v>1</v>
      </c>
      <c r="H852" t="str">
        <v>Maïs grain non irrigué</v>
      </c>
    </row>
    <row r="853" spans="1:8">
      <c r="A853" t="s">
        <v>163</v>
      </c>
      <c r="B853">
        <v>1363.45</v>
      </c>
      <c r="C853">
        <v>469.63</v>
      </c>
      <c r="D853">
        <v>1.94</v>
      </c>
      <c r="E853">
        <v>1.94</v>
      </c>
      <c r="F853">
        <v>0.34444240712897428</v>
      </c>
      <c r="G853">
        <v>1</v>
      </c>
      <c r="H853" t="str">
        <v>Triticale</v>
      </c>
    </row>
    <row r="854" spans="1:8">
      <c r="A854" t="s">
        <v>137</v>
      </c>
      <c r="B854">
        <v>18510.36</v>
      </c>
      <c r="C854">
        <v>3266.83</v>
      </c>
      <c r="D854">
        <v>22.74</v>
      </c>
      <c r="E854">
        <v>22.74</v>
      </c>
      <c r="F854">
        <v>0.17648657292456763</v>
      </c>
      <c r="G854">
        <v>1</v>
      </c>
      <c r="H854" t="str">
        <v>Orge de printemps</v>
      </c>
    </row>
    <row r="855" spans="1:8">
      <c r="A855" t="s">
        <v>941</v>
      </c>
      <c r="B855">
        <v>3673.05</v>
      </c>
      <c r="C855">
        <v>2168.66</v>
      </c>
      <c r="D855">
        <v>5.21</v>
      </c>
      <c r="E855">
        <v>5.21</v>
      </c>
      <c r="F855">
        <v>0.59042485128163236</v>
      </c>
      <c r="G855">
        <v>1</v>
      </c>
      <c r="H855" t="str">
        <v>Avoine de printemps</v>
      </c>
    </row>
    <row r="856" spans="1:8">
      <c r="A856" t="s">
        <v>99</v>
      </c>
      <c r="B856">
        <v>17672.150000000001</v>
      </c>
      <c r="C856">
        <v>10739.49</v>
      </c>
      <c r="D856">
        <v>18.420000000000002</v>
      </c>
      <c r="E856">
        <v>18.420000000000002</v>
      </c>
      <c r="F856">
        <v>0.60770704187096636</v>
      </c>
      <c r="G856">
        <v>1</v>
      </c>
      <c r="H856" t="str">
        <v>Blé tendre d'hiver</v>
      </c>
    </row>
    <row r="857" spans="1:8">
      <c r="A857" t="s">
        <v>137</v>
      </c>
      <c r="B857">
        <v>8787.4</v>
      </c>
      <c r="C857">
        <v>540.54</v>
      </c>
      <c r="D857">
        <v>8.2899999999999991</v>
      </c>
      <c r="E857">
        <v>8.2899999999999991</v>
      </c>
      <c r="F857">
        <v>6.1513075539977695E-2</v>
      </c>
      <c r="G857">
        <v>1</v>
      </c>
      <c r="H857" t="str">
        <v>Orge de printemps</v>
      </c>
    </row>
    <row r="858" spans="1:8">
      <c r="A858" t="s">
        <v>183</v>
      </c>
      <c r="B858">
        <v>9201.15</v>
      </c>
      <c r="C858">
        <v>4900.6099999999997</v>
      </c>
      <c r="D858">
        <v>11.43</v>
      </c>
      <c r="E858">
        <v>11.43</v>
      </c>
      <c r="F858">
        <v>0.53260842394700658</v>
      </c>
      <c r="G858">
        <v>1</v>
      </c>
      <c r="H858" t="str">
        <v>Orge d'hiver</v>
      </c>
    </row>
    <row r="859" spans="1:8">
      <c r="A859" t="s">
        <v>163</v>
      </c>
      <c r="B859">
        <v>20038.169999999998</v>
      </c>
      <c r="C859">
        <v>6075.4</v>
      </c>
      <c r="D859">
        <v>31.12</v>
      </c>
      <c r="E859">
        <v>31.12</v>
      </c>
      <c r="F859">
        <v>0.30319135929079355</v>
      </c>
      <c r="G859">
        <v>1</v>
      </c>
      <c r="H859" t="str">
        <v>Triticale</v>
      </c>
    </row>
    <row r="860" spans="1:8">
      <c r="A860" t="s">
        <v>99</v>
      </c>
      <c r="B860">
        <v>40508.620000000003</v>
      </c>
      <c r="C860">
        <v>21923.73</v>
      </c>
      <c r="D860">
        <v>48.11</v>
      </c>
      <c r="E860">
        <v>48.11</v>
      </c>
      <c r="F860">
        <v>0.54121147548348969</v>
      </c>
      <c r="G860">
        <v>1</v>
      </c>
      <c r="H860" t="str">
        <v>Blé tendre d'hiver</v>
      </c>
    </row>
    <row r="861" spans="1:8">
      <c r="A861" t="s">
        <v>137</v>
      </c>
      <c r="B861">
        <v>10146.24</v>
      </c>
      <c r="C861">
        <v>4131.5</v>
      </c>
      <c r="D861">
        <v>19.2</v>
      </c>
      <c r="E861">
        <v>19.2</v>
      </c>
      <c r="F861">
        <v>0.40719517772100799</v>
      </c>
      <c r="G861">
        <v>1</v>
      </c>
      <c r="H861" t="str">
        <v>Orge de printemps</v>
      </c>
    </row>
    <row r="862" spans="1:8">
      <c r="A862" t="s">
        <v>765</v>
      </c>
      <c r="B862">
        <v>35615.5</v>
      </c>
      <c r="C862">
        <v>12574.68</v>
      </c>
      <c r="D862">
        <v>46</v>
      </c>
      <c r="E862">
        <v>46</v>
      </c>
      <c r="F862">
        <v>0.35306762505089079</v>
      </c>
      <c r="G862">
        <v>1</v>
      </c>
      <c r="H862" t="str">
        <v>Tournesol</v>
      </c>
    </row>
    <row r="863" spans="1:8">
      <c r="A863" t="s">
        <v>99</v>
      </c>
      <c r="B863">
        <v>18672.61</v>
      </c>
      <c r="C863">
        <v>2774</v>
      </c>
      <c r="D863">
        <v>14.23</v>
      </c>
      <c r="E863">
        <v>14.23</v>
      </c>
      <c r="F863">
        <v>0.1485598424644439</v>
      </c>
      <c r="G863">
        <v>1</v>
      </c>
      <c r="H863" t="str">
        <v>Blé tendre d'hiver</v>
      </c>
    </row>
    <row r="864" spans="1:8">
      <c r="A864" t="s">
        <v>310</v>
      </c>
      <c r="B864">
        <v>6092.56</v>
      </c>
      <c r="C864">
        <v>2012.08</v>
      </c>
      <c r="D864">
        <v>7.42</v>
      </c>
      <c r="E864">
        <v>7.42</v>
      </c>
      <c r="F864">
        <v>0.33025197946347673</v>
      </c>
      <c r="G864">
        <v>1</v>
      </c>
      <c r="H864" t="str">
        <v>Pois protéagineux</v>
      </c>
    </row>
    <row r="865" spans="1:8">
      <c r="A865" t="s">
        <v>866</v>
      </c>
      <c r="B865">
        <v>3343.12</v>
      </c>
      <c r="C865">
        <v>635.09</v>
      </c>
      <c r="D865">
        <v>2.62</v>
      </c>
      <c r="E865">
        <v>2.62</v>
      </c>
      <c r="F865">
        <v>0.18996925028117448</v>
      </c>
      <c r="G865">
        <v>1</v>
      </c>
      <c r="H865" t="str">
        <v>Maïs grain non irrigué</v>
      </c>
    </row>
    <row r="866" spans="1:8">
      <c r="A866" t="s">
        <v>162</v>
      </c>
      <c r="B866">
        <v>27679.919999999998</v>
      </c>
      <c r="C866">
        <v>6866.6</v>
      </c>
      <c r="D866">
        <v>39.770000000000003</v>
      </c>
      <c r="E866">
        <v>7.87</v>
      </c>
      <c r="F866">
        <v>0.24807152621828391</v>
      </c>
      <c r="G866">
        <v>0.19788785516721144</v>
      </c>
      <c r="H866" t="str">
        <v>Féveroles et fèves</v>
      </c>
    </row>
    <row r="867" spans="1:8">
      <c r="A867" t="s">
        <v>99</v>
      </c>
      <c r="B867">
        <v>42778.8</v>
      </c>
      <c r="C867">
        <v>361.37</v>
      </c>
      <c r="D867">
        <v>30.6</v>
      </c>
      <c r="E867">
        <v>30.6</v>
      </c>
      <c r="F867">
        <v>8.447408529458517E-3</v>
      </c>
      <c r="G867">
        <v>1</v>
      </c>
      <c r="H867" t="str">
        <v>Blé tendre d'hiver</v>
      </c>
    </row>
    <row r="868" spans="1:8">
      <c r="A868" t="s">
        <v>27</v>
      </c>
      <c r="B868">
        <v>30579.48</v>
      </c>
      <c r="C868">
        <v>5674</v>
      </c>
      <c r="D868">
        <v>19.64</v>
      </c>
      <c r="E868">
        <v>19.64</v>
      </c>
      <c r="F868">
        <v>0.18554926375464856</v>
      </c>
      <c r="G868">
        <v>1</v>
      </c>
      <c r="H868" t="str">
        <v>Colza d'hiver</v>
      </c>
    </row>
    <row r="869" spans="1:8">
      <c r="A869" t="s">
        <v>99</v>
      </c>
      <c r="B869">
        <v>8000</v>
      </c>
      <c r="C869">
        <v>4575</v>
      </c>
      <c r="D869">
        <v>5</v>
      </c>
      <c r="E869">
        <v>5</v>
      </c>
      <c r="F869">
        <v>0.57187500000000002</v>
      </c>
      <c r="G869">
        <v>1</v>
      </c>
      <c r="H869" t="str">
        <v>Blé tendre d'hiver</v>
      </c>
    </row>
    <row r="870" spans="1:8">
      <c r="A870" t="s">
        <v>27</v>
      </c>
      <c r="B870">
        <v>12240</v>
      </c>
      <c r="C870">
        <v>1800</v>
      </c>
      <c r="D870">
        <v>8</v>
      </c>
      <c r="E870">
        <v>3</v>
      </c>
      <c r="F870">
        <v>0.14705882352941177</v>
      </c>
      <c r="G870">
        <v>0.375</v>
      </c>
      <c r="H870" t="str">
        <v>Colza d'hiver</v>
      </c>
    </row>
    <row r="871" spans="1:8">
      <c r="A871" t="s">
        <v>866</v>
      </c>
      <c r="B871">
        <v>19143.900000000001</v>
      </c>
      <c r="C871">
        <v>333.41</v>
      </c>
      <c r="D871">
        <v>14.34</v>
      </c>
      <c r="E871">
        <v>14</v>
      </c>
      <c r="F871">
        <v>1.7415991516880051E-2</v>
      </c>
      <c r="G871">
        <v>0.97629009762900976</v>
      </c>
      <c r="H871" t="str">
        <v>Maïs grain non irrigué</v>
      </c>
    </row>
    <row r="872" spans="1:8">
      <c r="A872" t="s">
        <v>1009</v>
      </c>
      <c r="B872">
        <v>4721.75</v>
      </c>
      <c r="C872">
        <v>944.35</v>
      </c>
      <c r="D872">
        <v>2.75</v>
      </c>
      <c r="E872">
        <v>2.75</v>
      </c>
      <c r="F872">
        <v>0.2</v>
      </c>
      <c r="G872">
        <v>1</v>
      </c>
      <c r="H872" t="str">
        <v>Maïs ensilage irrigué</v>
      </c>
    </row>
    <row r="873" spans="1:8">
      <c r="A873" t="s">
        <v>910</v>
      </c>
      <c r="B873">
        <v>68838.509999999995</v>
      </c>
      <c r="C873">
        <v>907.03</v>
      </c>
      <c r="D873">
        <v>35.72</v>
      </c>
      <c r="E873">
        <v>35.72</v>
      </c>
      <c r="F873">
        <v>1.3176200356457455E-2</v>
      </c>
      <c r="G873">
        <v>1</v>
      </c>
      <c r="H873" t="str">
        <v>Maïs grain irrigué</v>
      </c>
    </row>
    <row r="874" spans="1:8">
      <c r="A874" t="s">
        <v>866</v>
      </c>
      <c r="B874">
        <v>36273.99</v>
      </c>
      <c r="C874">
        <v>6923.97</v>
      </c>
      <c r="D874">
        <v>24.41</v>
      </c>
      <c r="E874">
        <v>24.41</v>
      </c>
      <c r="F874">
        <v>0.19087974606598285</v>
      </c>
      <c r="G874">
        <v>1</v>
      </c>
      <c r="H874" t="str">
        <v>Maïs grain non irrigué</v>
      </c>
    </row>
    <row r="875" spans="1:8">
      <c r="A875" t="s">
        <v>765</v>
      </c>
      <c r="B875">
        <v>36520</v>
      </c>
      <c r="C875">
        <v>12876.4</v>
      </c>
      <c r="D875">
        <v>45.65</v>
      </c>
      <c r="E875">
        <v>45.65</v>
      </c>
      <c r="F875">
        <v>0.35258488499452356</v>
      </c>
      <c r="G875">
        <v>1</v>
      </c>
      <c r="H875" t="str">
        <v>Tournesol</v>
      </c>
    </row>
    <row r="876" spans="1:8">
      <c r="A876" t="s">
        <v>99</v>
      </c>
      <c r="B876">
        <v>61124.11</v>
      </c>
      <c r="C876">
        <v>2234.23</v>
      </c>
      <c r="D876">
        <v>54.81</v>
      </c>
      <c r="E876">
        <v>33</v>
      </c>
      <c r="F876">
        <v>3.65523522551085E-2</v>
      </c>
      <c r="G876">
        <v>0.60207991242474002</v>
      </c>
      <c r="H876" t="str">
        <v>Blé tendre d'hiver</v>
      </c>
    </row>
    <row r="877" spans="1:8">
      <c r="A877" t="s">
        <v>1939</v>
      </c>
      <c r="B877">
        <v>18635.5</v>
      </c>
      <c r="C877">
        <v>9665.9599999999991</v>
      </c>
      <c r="D877">
        <v>23.5</v>
      </c>
      <c r="E877">
        <v>20.149999999999999</v>
      </c>
      <c r="F877">
        <v>0.51868530492876497</v>
      </c>
      <c r="G877">
        <v>0.85744680851063826</v>
      </c>
      <c r="H877" t="str">
        <v>Chanvre</v>
      </c>
    </row>
    <row r="878" spans="1:8">
      <c r="A878" t="s">
        <v>866</v>
      </c>
      <c r="B878">
        <v>28209.22</v>
      </c>
      <c r="C878">
        <v>9442.69</v>
      </c>
      <c r="D878">
        <v>24.16</v>
      </c>
      <c r="E878">
        <v>24.16</v>
      </c>
      <c r="F878">
        <v>0.33473772050414724</v>
      </c>
      <c r="G878">
        <v>1</v>
      </c>
      <c r="H878" t="str">
        <v>Maïs grain non irrigué</v>
      </c>
    </row>
    <row r="879" spans="1:8">
      <c r="A879" t="s">
        <v>137</v>
      </c>
      <c r="B879">
        <v>17426.7</v>
      </c>
      <c r="C879">
        <v>3177.81</v>
      </c>
      <c r="D879">
        <v>20.100000000000001</v>
      </c>
      <c r="E879">
        <v>20.100000000000001</v>
      </c>
      <c r="F879">
        <v>0.18235294117647058</v>
      </c>
      <c r="G879">
        <v>1</v>
      </c>
      <c r="H879" t="str">
        <v>Orge de printemps</v>
      </c>
    </row>
    <row r="880" spans="1:8">
      <c r="A880" t="s">
        <v>99</v>
      </c>
      <c r="B880">
        <v>78578.759999999995</v>
      </c>
      <c r="C880">
        <v>14376.73</v>
      </c>
      <c r="D880">
        <v>59.26</v>
      </c>
      <c r="E880">
        <v>59.26</v>
      </c>
      <c r="F880">
        <v>0.18295949185250571</v>
      </c>
      <c r="G880">
        <v>1</v>
      </c>
      <c r="H880" t="str">
        <v>Blé tendre d'hiver</v>
      </c>
    </row>
    <row r="881" spans="1:8">
      <c r="A881" t="s">
        <v>99</v>
      </c>
      <c r="B881">
        <v>51098.71</v>
      </c>
      <c r="C881">
        <v>18410.439999999999</v>
      </c>
      <c r="D881">
        <v>46.01</v>
      </c>
      <c r="E881">
        <v>46</v>
      </c>
      <c r="F881">
        <v>0.36029167859619154</v>
      </c>
      <c r="G881">
        <v>0.99978265594436</v>
      </c>
      <c r="H881" t="str">
        <v>Blé tendre d'hiver</v>
      </c>
    </row>
    <row r="882" spans="1:8">
      <c r="A882" t="s">
        <v>162</v>
      </c>
      <c r="B882">
        <v>6030.6</v>
      </c>
      <c r="C882">
        <v>5427.54</v>
      </c>
      <c r="D882">
        <v>8.74</v>
      </c>
      <c r="E882">
        <v>8.74</v>
      </c>
      <c r="F882">
        <v>0.89999999999999991</v>
      </c>
      <c r="G882">
        <v>1</v>
      </c>
      <c r="H882" t="str">
        <v>Féveroles et fèves</v>
      </c>
    </row>
    <row r="883" spans="1:8">
      <c r="A883" t="s">
        <v>866</v>
      </c>
      <c r="B883">
        <v>24650.34</v>
      </c>
      <c r="C883">
        <v>498.63</v>
      </c>
      <c r="D883">
        <v>22</v>
      </c>
      <c r="E883">
        <v>22</v>
      </c>
      <c r="F883">
        <v>2.0228118557391095E-2</v>
      </c>
      <c r="G883">
        <v>1</v>
      </c>
      <c r="H883" t="str">
        <v>Maïs grain non irrigué</v>
      </c>
    </row>
    <row r="884" spans="1:8">
      <c r="A884" t="s">
        <v>2267</v>
      </c>
      <c r="B884">
        <v>44855.24</v>
      </c>
      <c r="C884">
        <v>15443.61</v>
      </c>
      <c r="D884">
        <v>32.659999999999997</v>
      </c>
      <c r="E884">
        <v>32.659999999999997</v>
      </c>
      <c r="F884">
        <v>0.34429890465417196</v>
      </c>
      <c r="G884">
        <v>1</v>
      </c>
      <c r="H884" t="str">
        <v>Maïs waxy irrigué</v>
      </c>
    </row>
    <row r="885" spans="1:8">
      <c r="A885" t="s">
        <v>2171</v>
      </c>
      <c r="B885">
        <v>16750.8</v>
      </c>
      <c r="C885">
        <v>5056.92</v>
      </c>
      <c r="D885">
        <v>22</v>
      </c>
      <c r="E885">
        <v>22</v>
      </c>
      <c r="F885">
        <v>0.30189125295508273</v>
      </c>
      <c r="G885">
        <v>1</v>
      </c>
      <c r="H885" t="str">
        <v>Maïs waxy non irrigué</v>
      </c>
    </row>
    <row r="886" spans="1:8">
      <c r="A886" t="s">
        <v>27</v>
      </c>
      <c r="B886">
        <v>52772.45</v>
      </c>
      <c r="C886">
        <v>1518.09</v>
      </c>
      <c r="D886">
        <v>31.23</v>
      </c>
      <c r="E886">
        <v>7.45</v>
      </c>
      <c r="F886">
        <v>2.8766714450437682E-2</v>
      </c>
      <c r="G886">
        <v>0.23855267371117517</v>
      </c>
      <c r="H886" t="str">
        <v>Colza d'hiver</v>
      </c>
    </row>
    <row r="887" spans="1:8">
      <c r="A887" t="s">
        <v>910</v>
      </c>
      <c r="B887">
        <v>66517.5</v>
      </c>
      <c r="C887">
        <v>2155.21</v>
      </c>
      <c r="D887">
        <v>35</v>
      </c>
      <c r="E887">
        <v>4.3499999999999996</v>
      </c>
      <c r="F887">
        <v>3.2400646446423875E-2</v>
      </c>
      <c r="G887">
        <v>0.12428571428571428</v>
      </c>
      <c r="H887" t="str">
        <v>Maïs grain irrigué</v>
      </c>
    </row>
    <row r="888" spans="1:8">
      <c r="A888" t="s">
        <v>866</v>
      </c>
      <c r="B888">
        <v>16005</v>
      </c>
      <c r="C888">
        <v>3614.58</v>
      </c>
      <c r="D888">
        <v>10</v>
      </c>
      <c r="E888">
        <v>6.25</v>
      </c>
      <c r="F888">
        <v>0.22584067478912839</v>
      </c>
      <c r="G888">
        <v>0.625</v>
      </c>
      <c r="H888" t="str">
        <v>Maïs grain non irrigué</v>
      </c>
    </row>
    <row r="889" spans="1:8">
      <c r="A889" t="s">
        <v>163</v>
      </c>
      <c r="B889">
        <v>4371.71</v>
      </c>
      <c r="C889">
        <v>874.8</v>
      </c>
      <c r="D889">
        <v>6.11</v>
      </c>
      <c r="E889">
        <v>6.11</v>
      </c>
      <c r="F889">
        <v>0.20010476449718759</v>
      </c>
      <c r="G889">
        <v>1</v>
      </c>
      <c r="H889" t="str">
        <v>Triticale</v>
      </c>
    </row>
    <row r="890" spans="1:8">
      <c r="A890" t="s">
        <v>162</v>
      </c>
      <c r="B890">
        <v>812.59</v>
      </c>
      <c r="C890">
        <v>130.22999999999999</v>
      </c>
      <c r="D890">
        <v>1.52</v>
      </c>
      <c r="E890">
        <v>1.52</v>
      </c>
      <c r="F890">
        <v>0.1602653244563679</v>
      </c>
      <c r="G890">
        <v>1</v>
      </c>
      <c r="H890" t="str">
        <v>Féveroles et fèves</v>
      </c>
    </row>
    <row r="891" spans="1:8">
      <c r="A891" t="s">
        <v>27</v>
      </c>
      <c r="B891">
        <v>25174.799999999999</v>
      </c>
      <c r="C891">
        <v>11641.42</v>
      </c>
      <c r="D891">
        <v>26.64</v>
      </c>
      <c r="E891">
        <v>26.64</v>
      </c>
      <c r="F891">
        <v>0.46242353464575686</v>
      </c>
      <c r="G891">
        <v>1</v>
      </c>
      <c r="H891" t="str">
        <v>Colza d'hiver</v>
      </c>
    </row>
    <row r="892" spans="1:8">
      <c r="A892" t="s">
        <v>814</v>
      </c>
      <c r="B892">
        <v>18001.8</v>
      </c>
      <c r="C892">
        <v>4127.58</v>
      </c>
      <c r="D892">
        <v>21.42</v>
      </c>
      <c r="E892">
        <v>21.41</v>
      </c>
      <c r="F892">
        <v>0.22928707129287071</v>
      </c>
      <c r="G892">
        <v>0.99953314659197001</v>
      </c>
      <c r="H892" t="str">
        <v>Soja</v>
      </c>
    </row>
    <row r="893" spans="1:8">
      <c r="A893" t="s">
        <v>765</v>
      </c>
      <c r="B893">
        <v>28639.33</v>
      </c>
      <c r="C893">
        <v>3672.18</v>
      </c>
      <c r="D893">
        <v>24.27</v>
      </c>
      <c r="E893">
        <v>24.27</v>
      </c>
      <c r="F893">
        <v>0.12822157501589596</v>
      </c>
      <c r="G893">
        <v>1</v>
      </c>
      <c r="H893" t="str">
        <v>Tournesol</v>
      </c>
    </row>
    <row r="894" spans="1:8">
      <c r="A894" t="s">
        <v>765</v>
      </c>
      <c r="B894">
        <v>24365</v>
      </c>
      <c r="C894">
        <v>11207.9</v>
      </c>
      <c r="D894">
        <v>17.72</v>
      </c>
      <c r="E894">
        <v>17.72</v>
      </c>
      <c r="F894">
        <v>0.45999999999999996</v>
      </c>
      <c r="G894">
        <v>1</v>
      </c>
      <c r="H894" t="str">
        <v>Tournesol</v>
      </c>
    </row>
    <row r="895" spans="1:8">
      <c r="A895" t="s">
        <v>814</v>
      </c>
      <c r="B895">
        <v>34356</v>
      </c>
      <c r="C895">
        <v>21061.200000000001</v>
      </c>
      <c r="D895">
        <v>24.54</v>
      </c>
      <c r="E895">
        <v>24.54</v>
      </c>
      <c r="F895">
        <v>0.61302829200139719</v>
      </c>
      <c r="G895">
        <v>1</v>
      </c>
      <c r="H895" t="str">
        <v>Soja</v>
      </c>
    </row>
    <row r="896" spans="1:8">
      <c r="A896" t="s">
        <v>910</v>
      </c>
      <c r="B896">
        <v>62914.5</v>
      </c>
      <c r="C896">
        <v>38756.07</v>
      </c>
      <c r="D896">
        <v>30.69</v>
      </c>
      <c r="E896">
        <v>30.69</v>
      </c>
      <c r="F896">
        <v>0.61601173020527855</v>
      </c>
      <c r="G896">
        <v>1</v>
      </c>
      <c r="H896" t="str">
        <v>Maïs grain irrigué</v>
      </c>
    </row>
    <row r="897" spans="1:8">
      <c r="A897" t="s">
        <v>138</v>
      </c>
      <c r="B897">
        <v>54951.6</v>
      </c>
      <c r="C897">
        <v>20998.12</v>
      </c>
      <c r="D897">
        <v>41.63</v>
      </c>
      <c r="E897">
        <v>39.799999999999997</v>
      </c>
      <c r="F897">
        <v>0.38212026583393388</v>
      </c>
      <c r="G897">
        <v>0.95604131635839529</v>
      </c>
      <c r="H897" t="str">
        <v>Blé de force</v>
      </c>
    </row>
    <row r="898" spans="1:8">
      <c r="A898" t="s">
        <v>183</v>
      </c>
      <c r="B898">
        <v>31776</v>
      </c>
      <c r="C898">
        <v>5592</v>
      </c>
      <c r="D898">
        <v>26.48</v>
      </c>
      <c r="E898">
        <v>20.100000000000001</v>
      </c>
      <c r="F898">
        <v>0.17598187311178248</v>
      </c>
      <c r="G898">
        <v>0.75906344410876136</v>
      </c>
      <c r="H898" t="str">
        <v>Orge d'hiver</v>
      </c>
    </row>
    <row r="899" spans="1:8">
      <c r="A899" t="s">
        <v>27</v>
      </c>
      <c r="B899">
        <v>16215.55</v>
      </c>
      <c r="C899">
        <v>4018.64</v>
      </c>
      <c r="D899">
        <v>12.96</v>
      </c>
      <c r="E899">
        <v>12.96</v>
      </c>
      <c r="F899">
        <v>0.24782631486443568</v>
      </c>
      <c r="G899">
        <v>1</v>
      </c>
      <c r="H899" t="str">
        <v>Colza d'hiver</v>
      </c>
    </row>
    <row r="900" spans="1:8">
      <c r="A900" t="s">
        <v>910</v>
      </c>
      <c r="B900">
        <v>143480</v>
      </c>
      <c r="C900">
        <v>91451.6</v>
      </c>
      <c r="D900">
        <v>71.739999999999995</v>
      </c>
      <c r="E900">
        <v>71.739999999999995</v>
      </c>
      <c r="F900">
        <v>0.63738221354892677</v>
      </c>
      <c r="G900">
        <v>1</v>
      </c>
      <c r="H900" t="str">
        <v>Maïs grain irrigué</v>
      </c>
    </row>
    <row r="901" spans="1:8">
      <c r="A901" t="s">
        <v>866</v>
      </c>
      <c r="B901">
        <v>16544</v>
      </c>
      <c r="C901">
        <v>10889.6</v>
      </c>
      <c r="D901">
        <v>16</v>
      </c>
      <c r="E901">
        <v>16</v>
      </c>
      <c r="F901">
        <v>0.65822050290135403</v>
      </c>
      <c r="G901">
        <v>1</v>
      </c>
      <c r="H901" t="str">
        <v>Maïs grain non irrigué</v>
      </c>
    </row>
    <row r="902" spans="1:8">
      <c r="A902" t="s">
        <v>765</v>
      </c>
      <c r="B902">
        <v>31492.13</v>
      </c>
      <c r="C902">
        <v>12203.66</v>
      </c>
      <c r="D902">
        <v>32.25</v>
      </c>
      <c r="E902">
        <v>32.25</v>
      </c>
      <c r="F902">
        <v>0.38751459491625367</v>
      </c>
      <c r="G902">
        <v>1</v>
      </c>
      <c r="H902" t="str">
        <v>Tournesol</v>
      </c>
    </row>
    <row r="903" spans="1:8">
      <c r="A903" t="s">
        <v>99</v>
      </c>
      <c r="B903">
        <v>25781.040000000001</v>
      </c>
      <c r="C903">
        <v>12790.24</v>
      </c>
      <c r="D903">
        <v>21.96</v>
      </c>
      <c r="E903">
        <v>21.96</v>
      </c>
      <c r="F903">
        <v>0.49611031983193848</v>
      </c>
      <c r="G903">
        <v>1</v>
      </c>
      <c r="H903" t="str">
        <v>Blé tendre d'hiver</v>
      </c>
    </row>
    <row r="904" spans="1:8">
      <c r="A904" t="s">
        <v>765</v>
      </c>
      <c r="B904">
        <v>33900</v>
      </c>
      <c r="C904">
        <v>6125.25</v>
      </c>
      <c r="D904">
        <v>30</v>
      </c>
      <c r="E904">
        <v>30</v>
      </c>
      <c r="F904">
        <v>0.18068584070796459</v>
      </c>
      <c r="G904">
        <v>1</v>
      </c>
      <c r="H904" t="str">
        <v>Tournesol</v>
      </c>
    </row>
    <row r="905" spans="1:8">
      <c r="A905" t="s">
        <v>765</v>
      </c>
      <c r="B905">
        <v>21247.200000000001</v>
      </c>
      <c r="C905">
        <v>6527.6</v>
      </c>
      <c r="D905">
        <v>23.4</v>
      </c>
      <c r="E905">
        <v>15</v>
      </c>
      <c r="F905">
        <v>0.30722165744192176</v>
      </c>
      <c r="G905">
        <v>0.64102564102564108</v>
      </c>
      <c r="H905" t="str">
        <v>Tournesol</v>
      </c>
    </row>
    <row r="906" spans="1:8">
      <c r="A906" t="s">
        <v>898</v>
      </c>
      <c r="B906">
        <v>7280</v>
      </c>
      <c r="C906">
        <v>2184</v>
      </c>
      <c r="D906">
        <v>8</v>
      </c>
      <c r="E906">
        <v>8</v>
      </c>
      <c r="F906">
        <v>0.3</v>
      </c>
      <c r="G906">
        <v>1</v>
      </c>
      <c r="H906" t="str">
        <v>Maïs ensilage non irrigué</v>
      </c>
    </row>
    <row r="907" spans="1:8">
      <c r="A907" t="s">
        <v>138</v>
      </c>
      <c r="B907">
        <v>21450.240000000002</v>
      </c>
      <c r="C907">
        <v>2329.6</v>
      </c>
      <c r="D907">
        <v>17.100000000000001</v>
      </c>
      <c r="E907">
        <v>6</v>
      </c>
      <c r="F907">
        <v>0.1086048454469507</v>
      </c>
      <c r="G907">
        <v>0.35087719298245612</v>
      </c>
      <c r="H907" t="str">
        <v>Blé de force</v>
      </c>
    </row>
    <row r="908" spans="1:8">
      <c r="A908" t="s">
        <v>1141</v>
      </c>
      <c r="B908">
        <v>10877.69</v>
      </c>
      <c r="C908">
        <v>3012.21</v>
      </c>
      <c r="D908">
        <v>11.83</v>
      </c>
      <c r="E908">
        <v>11.83</v>
      </c>
      <c r="F908">
        <v>0.27691633058121712</v>
      </c>
      <c r="G908">
        <v>1</v>
      </c>
      <c r="H908" t="str">
        <v>Sorgho</v>
      </c>
    </row>
    <row r="909" spans="1:8">
      <c r="A909" t="s">
        <v>138</v>
      </c>
      <c r="B909">
        <v>10914.96</v>
      </c>
      <c r="C909">
        <v>1753.79</v>
      </c>
      <c r="D909">
        <v>8.76</v>
      </c>
      <c r="E909">
        <v>8.76</v>
      </c>
      <c r="F909">
        <v>0.16067763876367849</v>
      </c>
      <c r="G909">
        <v>1</v>
      </c>
      <c r="H909" t="str">
        <v>Blé de force</v>
      </c>
    </row>
    <row r="910" spans="1:8">
      <c r="A910" t="s">
        <v>99</v>
      </c>
      <c r="B910">
        <v>15946.31</v>
      </c>
      <c r="C910">
        <v>1880.51</v>
      </c>
      <c r="D910">
        <v>14.22</v>
      </c>
      <c r="E910">
        <v>14.22</v>
      </c>
      <c r="F910">
        <v>0.11792759578861818</v>
      </c>
      <c r="G910">
        <v>1</v>
      </c>
      <c r="H910" t="str">
        <v>Blé tendre d'hiver</v>
      </c>
    </row>
    <row r="911" spans="1:8">
      <c r="A911" t="s">
        <v>27</v>
      </c>
      <c r="B911">
        <v>15121.73</v>
      </c>
      <c r="C911">
        <v>7042.96</v>
      </c>
      <c r="D911">
        <v>13</v>
      </c>
      <c r="E911">
        <v>13</v>
      </c>
      <c r="F911">
        <v>0.4657509425178204</v>
      </c>
      <c r="G911">
        <v>1</v>
      </c>
      <c r="H911" t="str">
        <v>Colza d'hiver</v>
      </c>
    </row>
    <row r="912" spans="1:8">
      <c r="A912" t="s">
        <v>765</v>
      </c>
      <c r="B912">
        <v>155910</v>
      </c>
      <c r="C912">
        <v>70823</v>
      </c>
      <c r="D912">
        <v>103.94</v>
      </c>
      <c r="E912">
        <v>103.94</v>
      </c>
      <c r="F912">
        <v>0.45425566031684944</v>
      </c>
      <c r="G912">
        <v>1</v>
      </c>
      <c r="H912" t="str">
        <v>Tournesol</v>
      </c>
    </row>
    <row r="913" spans="1:8">
      <c r="A913" t="s">
        <v>814</v>
      </c>
      <c r="B913">
        <v>16785</v>
      </c>
      <c r="C913">
        <v>2797.5</v>
      </c>
      <c r="D913">
        <v>11.19</v>
      </c>
      <c r="E913">
        <v>11.19</v>
      </c>
      <c r="F913">
        <v>0.16666666666666666</v>
      </c>
      <c r="G913">
        <v>1</v>
      </c>
      <c r="H913" t="str">
        <v>Soja</v>
      </c>
    </row>
    <row r="914" spans="1:8">
      <c r="A914" t="s">
        <v>163</v>
      </c>
      <c r="B914">
        <v>3426.5</v>
      </c>
      <c r="C914">
        <v>205.59</v>
      </c>
      <c r="D914">
        <v>3.85</v>
      </c>
      <c r="E914">
        <v>3.85</v>
      </c>
      <c r="F914">
        <v>0.06</v>
      </c>
      <c r="G914">
        <v>1</v>
      </c>
      <c r="H914" t="str">
        <v>Triticale</v>
      </c>
    </row>
    <row r="915" spans="1:8">
      <c r="A915" t="s">
        <v>295</v>
      </c>
      <c r="B915">
        <v>13938.75</v>
      </c>
      <c r="C915">
        <v>5376.38</v>
      </c>
      <c r="D915">
        <v>26.55</v>
      </c>
      <c r="E915">
        <v>26.55</v>
      </c>
      <c r="F915">
        <v>0.38571464442650882</v>
      </c>
      <c r="G915">
        <v>1</v>
      </c>
      <c r="H915" t="str">
        <v>Avoine d'hiver</v>
      </c>
    </row>
    <row r="916" spans="1:8">
      <c r="A916" t="s">
        <v>163</v>
      </c>
      <c r="B916">
        <v>9972.2000000000007</v>
      </c>
      <c r="C916">
        <v>5572.77</v>
      </c>
      <c r="D916">
        <v>14</v>
      </c>
      <c r="E916">
        <v>14</v>
      </c>
      <c r="F916">
        <v>0.55883054892601436</v>
      </c>
      <c r="G916">
        <v>1</v>
      </c>
      <c r="H916" t="str">
        <v>Triticale</v>
      </c>
    </row>
    <row r="917" spans="1:8">
      <c r="A917" t="s">
        <v>99</v>
      </c>
      <c r="B917">
        <v>35669.32</v>
      </c>
      <c r="C917">
        <v>12731.46</v>
      </c>
      <c r="D917">
        <v>31.51</v>
      </c>
      <c r="E917">
        <v>31.51</v>
      </c>
      <c r="F917">
        <v>0.35693026948649426</v>
      </c>
      <c r="G917">
        <v>1</v>
      </c>
      <c r="H917" t="str">
        <v>Blé tendre d'hiver</v>
      </c>
    </row>
    <row r="918" spans="1:8">
      <c r="A918" t="s">
        <v>27</v>
      </c>
      <c r="B918">
        <v>35579.120000000003</v>
      </c>
      <c r="C918">
        <v>1708.25</v>
      </c>
      <c r="D918">
        <v>21.17</v>
      </c>
      <c r="E918">
        <v>12</v>
      </c>
      <c r="F918">
        <v>4.8012710825900133E-2</v>
      </c>
      <c r="G918">
        <v>0.56683986773736417</v>
      </c>
      <c r="H918" t="str">
        <v>Colza d'hiver</v>
      </c>
    </row>
    <row r="919" spans="1:8">
      <c r="A919" t="s">
        <v>295</v>
      </c>
      <c r="B919">
        <v>3760.02</v>
      </c>
      <c r="C919">
        <v>693.2</v>
      </c>
      <c r="D919">
        <v>5.94</v>
      </c>
      <c r="E919">
        <v>5.94</v>
      </c>
      <c r="F919">
        <v>0.18436072148552402</v>
      </c>
      <c r="G919">
        <v>1</v>
      </c>
      <c r="H919" t="str">
        <v>Avoine d'hiver</v>
      </c>
    </row>
    <row r="920" spans="1:8">
      <c r="A920" t="s">
        <v>99</v>
      </c>
      <c r="B920">
        <v>72303.62</v>
      </c>
      <c r="C920">
        <v>16595.919999999998</v>
      </c>
      <c r="D920">
        <v>58.86</v>
      </c>
      <c r="E920">
        <v>36.43</v>
      </c>
      <c r="F920">
        <v>0.22953096954205057</v>
      </c>
      <c r="G920">
        <v>0.61892626571525655</v>
      </c>
      <c r="H920" t="str">
        <v>Blé tendre d'hiver</v>
      </c>
    </row>
    <row r="921" spans="1:8">
      <c r="A921" t="s">
        <v>765</v>
      </c>
      <c r="B921">
        <v>64085.36</v>
      </c>
      <c r="C921">
        <v>4702.22</v>
      </c>
      <c r="D921">
        <v>74.069999999999993</v>
      </c>
      <c r="E921">
        <v>74.069999999999993</v>
      </c>
      <c r="F921">
        <v>7.3374324494705184E-2</v>
      </c>
      <c r="G921">
        <v>1</v>
      </c>
      <c r="H921" t="str">
        <v>Tournesol</v>
      </c>
    </row>
    <row r="922" spans="1:8">
      <c r="A922" t="s">
        <v>866</v>
      </c>
      <c r="B922">
        <v>14843.14</v>
      </c>
      <c r="C922">
        <v>5986.27</v>
      </c>
      <c r="D922">
        <v>14.08</v>
      </c>
      <c r="E922">
        <v>14.08</v>
      </c>
      <c r="F922">
        <v>0.40330213148969829</v>
      </c>
      <c r="G922">
        <v>1</v>
      </c>
      <c r="H922" t="str">
        <v>Maïs grain non irrigué</v>
      </c>
    </row>
    <row r="923" spans="1:8">
      <c r="A923" t="s">
        <v>1141</v>
      </c>
      <c r="B923">
        <v>14926.46</v>
      </c>
      <c r="C923">
        <v>4663.8900000000003</v>
      </c>
      <c r="D923">
        <v>18.43</v>
      </c>
      <c r="E923">
        <v>18.43</v>
      </c>
      <c r="F923">
        <v>0.31245787681741022</v>
      </c>
      <c r="G923">
        <v>1</v>
      </c>
      <c r="H923" t="str">
        <v>Sorgho</v>
      </c>
    </row>
    <row r="924" spans="1:8">
      <c r="A924" t="s">
        <v>765</v>
      </c>
      <c r="B924">
        <v>36216.18</v>
      </c>
      <c r="C924">
        <v>7729.29</v>
      </c>
      <c r="D924">
        <v>42.21</v>
      </c>
      <c r="E924">
        <v>42.21</v>
      </c>
      <c r="F924">
        <v>0.2134209074507582</v>
      </c>
      <c r="G924">
        <v>1</v>
      </c>
      <c r="H924" t="str">
        <v>Tournesol</v>
      </c>
    </row>
    <row r="925" spans="1:8">
      <c r="A925" t="s">
        <v>27</v>
      </c>
      <c r="B925">
        <v>24772.5</v>
      </c>
      <c r="C925">
        <v>15612.75</v>
      </c>
      <c r="D925">
        <v>13.5</v>
      </c>
      <c r="E925">
        <v>13.5</v>
      </c>
      <c r="F925">
        <v>0.63024523160762946</v>
      </c>
      <c r="G925">
        <v>1</v>
      </c>
      <c r="H925" t="str">
        <v>Colza d'hiver</v>
      </c>
    </row>
    <row r="926" spans="1:8">
      <c r="A926" t="s">
        <v>910</v>
      </c>
      <c r="B926">
        <v>81360</v>
      </c>
      <c r="C926">
        <v>58447.5</v>
      </c>
      <c r="D926">
        <v>40</v>
      </c>
      <c r="E926">
        <v>40</v>
      </c>
      <c r="F926">
        <v>0.71838126843657812</v>
      </c>
      <c r="G926">
        <v>1</v>
      </c>
      <c r="H926" t="str">
        <v>Maïs grain irrigué</v>
      </c>
    </row>
    <row r="927" spans="1:8">
      <c r="A927" t="s">
        <v>814</v>
      </c>
      <c r="B927">
        <v>35672</v>
      </c>
      <c r="C927">
        <v>25120.799999999999</v>
      </c>
      <c r="D927">
        <v>26</v>
      </c>
      <c r="E927">
        <v>26</v>
      </c>
      <c r="F927">
        <v>0.70421619197129404</v>
      </c>
      <c r="G927">
        <v>1</v>
      </c>
      <c r="H927" t="str">
        <v>Soja</v>
      </c>
    </row>
    <row r="928" spans="1:8">
      <c r="A928" t="s">
        <v>99</v>
      </c>
      <c r="B928">
        <v>10741</v>
      </c>
      <c r="C928">
        <v>2122.9</v>
      </c>
      <c r="D928">
        <v>11.5</v>
      </c>
      <c r="E928">
        <v>11.5</v>
      </c>
      <c r="F928">
        <v>0.19764453961456105</v>
      </c>
      <c r="G928">
        <v>1</v>
      </c>
      <c r="H928" t="str">
        <v>Blé tendre d'hiver</v>
      </c>
    </row>
    <row r="929" spans="1:8">
      <c r="A929" t="s">
        <v>27</v>
      </c>
      <c r="B929">
        <v>47555.199999999997</v>
      </c>
      <c r="C929">
        <v>23860.16</v>
      </c>
      <c r="D929">
        <v>21.23</v>
      </c>
      <c r="E929">
        <v>21.33</v>
      </c>
      <c r="F929">
        <v>0.50173608774645051</v>
      </c>
      <c r="G929">
        <v>1.0047103155911445</v>
      </c>
      <c r="H929" t="str">
        <v>Colza d'hiver</v>
      </c>
    </row>
    <row r="930" spans="1:8">
      <c r="A930" t="s">
        <v>99</v>
      </c>
      <c r="B930">
        <v>68986.5</v>
      </c>
      <c r="C930">
        <v>1655.68</v>
      </c>
      <c r="D930">
        <v>41.81</v>
      </c>
      <c r="E930">
        <v>31</v>
      </c>
      <c r="F930">
        <v>2.400005798235887E-2</v>
      </c>
      <c r="G930">
        <v>0.74144941401578568</v>
      </c>
      <c r="H930" t="str">
        <v>Blé tendre d'hiver</v>
      </c>
    </row>
    <row r="931" spans="1:8">
      <c r="A931" t="s">
        <v>183</v>
      </c>
      <c r="B931">
        <v>70170.5</v>
      </c>
      <c r="C931">
        <v>16881.18</v>
      </c>
      <c r="D931">
        <v>37.840000000000003</v>
      </c>
      <c r="E931">
        <v>37.840000000000003</v>
      </c>
      <c r="F931">
        <v>0.24057374537733092</v>
      </c>
      <c r="G931">
        <v>1</v>
      </c>
      <c r="H931" t="str">
        <v>Orge d'hiver</v>
      </c>
    </row>
    <row r="932" spans="1:8">
      <c r="A932" t="s">
        <v>137</v>
      </c>
      <c r="B932">
        <v>92084.64</v>
      </c>
      <c r="C932">
        <v>9202.27</v>
      </c>
      <c r="D932">
        <v>52.44</v>
      </c>
      <c r="E932">
        <v>40</v>
      </c>
      <c r="F932">
        <v>9.9932735796111061E-2</v>
      </c>
      <c r="G932">
        <v>0.76277650648360029</v>
      </c>
      <c r="H932" t="str">
        <v>Orge de printemps</v>
      </c>
    </row>
    <row r="933" spans="1:8">
      <c r="A933" t="s">
        <v>99</v>
      </c>
      <c r="B933">
        <v>32077.71</v>
      </c>
      <c r="C933">
        <v>2935.93</v>
      </c>
      <c r="D933">
        <v>25.89</v>
      </c>
      <c r="E933">
        <v>25.89</v>
      </c>
      <c r="F933">
        <v>9.1525548425994252E-2</v>
      </c>
      <c r="G933">
        <v>1</v>
      </c>
      <c r="H933" t="str">
        <v>Blé tendre d'hiver</v>
      </c>
    </row>
    <row r="934" spans="1:8">
      <c r="A934" t="s">
        <v>765</v>
      </c>
      <c r="B934">
        <v>26789.62</v>
      </c>
      <c r="C934">
        <v>2173.25</v>
      </c>
      <c r="D934">
        <v>29.53</v>
      </c>
      <c r="E934">
        <v>29.53</v>
      </c>
      <c r="F934">
        <v>8.1122837875266612E-2</v>
      </c>
      <c r="G934">
        <v>1</v>
      </c>
      <c r="H934" t="str">
        <v>Tournesol</v>
      </c>
    </row>
    <row r="935" spans="1:8">
      <c r="A935" t="s">
        <v>138</v>
      </c>
      <c r="B935">
        <v>29421.39</v>
      </c>
      <c r="C935">
        <v>2242.2399999999998</v>
      </c>
      <c r="D935">
        <v>23.38</v>
      </c>
      <c r="E935">
        <v>14</v>
      </c>
      <c r="F935">
        <v>7.6211219116431944E-2</v>
      </c>
      <c r="G935">
        <v>0.5988023952095809</v>
      </c>
      <c r="H935" t="str">
        <v>Blé de force</v>
      </c>
    </row>
    <row r="936" spans="1:8">
      <c r="A936" t="s">
        <v>99</v>
      </c>
      <c r="B936">
        <v>10118.16</v>
      </c>
      <c r="C936">
        <v>2411.42</v>
      </c>
      <c r="D936">
        <v>8.9700000000000006</v>
      </c>
      <c r="E936">
        <v>8.9700000000000006</v>
      </c>
      <c r="F936">
        <v>0.23832594068486762</v>
      </c>
      <c r="G936">
        <v>1</v>
      </c>
      <c r="H936" t="str">
        <v>Blé tendre d'hiver</v>
      </c>
    </row>
    <row r="937" spans="1:8">
      <c r="A937" t="s">
        <v>163</v>
      </c>
      <c r="B937">
        <v>6155.7</v>
      </c>
      <c r="C937">
        <v>1853.43</v>
      </c>
      <c r="D937">
        <v>8.5</v>
      </c>
      <c r="E937">
        <v>8.5</v>
      </c>
      <c r="F937">
        <v>0.30109167113407087</v>
      </c>
      <c r="G937">
        <v>1</v>
      </c>
      <c r="H937" t="str">
        <v>Triticale</v>
      </c>
    </row>
    <row r="938" spans="1:8">
      <c r="A938" t="s">
        <v>27</v>
      </c>
      <c r="B938">
        <v>9049.76</v>
      </c>
      <c r="C938">
        <v>1643.52</v>
      </c>
      <c r="D938">
        <v>14.99</v>
      </c>
      <c r="E938">
        <v>14.99</v>
      </c>
      <c r="F938">
        <v>0.18160923604603879</v>
      </c>
      <c r="G938">
        <v>1</v>
      </c>
      <c r="H938" t="str">
        <v>Colza d'hiver</v>
      </c>
    </row>
    <row r="939" spans="1:8">
      <c r="A939" t="s">
        <v>138</v>
      </c>
      <c r="B939">
        <v>27025.8</v>
      </c>
      <c r="C939">
        <v>1706.51</v>
      </c>
      <c r="D939">
        <v>21.43</v>
      </c>
      <c r="E939">
        <v>16</v>
      </c>
      <c r="F939">
        <v>6.314373672564734E-2</v>
      </c>
      <c r="G939">
        <v>0.74661689220718619</v>
      </c>
      <c r="H939" t="str">
        <v>Blé de force</v>
      </c>
    </row>
    <row r="940" spans="1:8">
      <c r="A940" t="s">
        <v>99</v>
      </c>
      <c r="B940">
        <v>17030</v>
      </c>
      <c r="C940">
        <v>2168.5</v>
      </c>
      <c r="D940">
        <v>13.1</v>
      </c>
      <c r="E940">
        <v>13.1</v>
      </c>
      <c r="F940">
        <v>0.12733411626541397</v>
      </c>
      <c r="G940">
        <v>1</v>
      </c>
      <c r="H940" t="str">
        <v>Blé tendre d'hiver</v>
      </c>
    </row>
    <row r="941" spans="1:8">
      <c r="A941" t="s">
        <v>910</v>
      </c>
      <c r="B941">
        <v>10237.5</v>
      </c>
      <c r="C941">
        <v>3906.88</v>
      </c>
      <c r="D941">
        <v>6.5</v>
      </c>
      <c r="E941">
        <v>6.5</v>
      </c>
      <c r="F941">
        <v>0.38162442002442004</v>
      </c>
      <c r="G941">
        <v>1</v>
      </c>
      <c r="H941" t="str">
        <v>Maïs grain irrigué</v>
      </c>
    </row>
    <row r="942" spans="1:8">
      <c r="A942" t="s">
        <v>814</v>
      </c>
      <c r="B942">
        <v>16240</v>
      </c>
      <c r="C942">
        <v>6628</v>
      </c>
      <c r="D942">
        <v>14.5</v>
      </c>
      <c r="E942">
        <v>14.5</v>
      </c>
      <c r="F942">
        <v>0.408128078817734</v>
      </c>
      <c r="G942">
        <v>1</v>
      </c>
      <c r="H942" t="str">
        <v>Soja</v>
      </c>
    </row>
    <row r="943" spans="1:8">
      <c r="A943" t="s">
        <v>765</v>
      </c>
      <c r="B943">
        <v>2305</v>
      </c>
      <c r="C943">
        <v>691.5</v>
      </c>
      <c r="D943">
        <v>2.5</v>
      </c>
      <c r="E943">
        <v>2.5</v>
      </c>
      <c r="F943">
        <v>0.3</v>
      </c>
      <c r="G943">
        <v>1</v>
      </c>
      <c r="H943" t="str">
        <v>Tournesol</v>
      </c>
    </row>
    <row r="944" spans="1:8">
      <c r="A944" t="s">
        <v>99</v>
      </c>
      <c r="B944">
        <v>8846.0499999999993</v>
      </c>
      <c r="C944">
        <v>2712.7</v>
      </c>
      <c r="D944">
        <v>10.39</v>
      </c>
      <c r="E944">
        <v>10.39</v>
      </c>
      <c r="F944">
        <v>0.306656643360596</v>
      </c>
      <c r="G944">
        <v>1</v>
      </c>
      <c r="H944" t="str">
        <v>Blé tendre d'hiver</v>
      </c>
    </row>
    <row r="945" spans="1:8">
      <c r="A945" t="s">
        <v>898</v>
      </c>
      <c r="B945">
        <v>5363.75</v>
      </c>
      <c r="C945">
        <v>3357.85</v>
      </c>
      <c r="D945">
        <v>6.28</v>
      </c>
      <c r="E945">
        <v>6.28</v>
      </c>
      <c r="F945">
        <v>0.62602656723374506</v>
      </c>
      <c r="G945">
        <v>1</v>
      </c>
      <c r="H945" t="str">
        <v>Maïs ensilage non irrigué</v>
      </c>
    </row>
    <row r="946" spans="1:8">
      <c r="A946" t="s">
        <v>814</v>
      </c>
      <c r="B946">
        <v>16513.48</v>
      </c>
      <c r="C946">
        <v>10396.93</v>
      </c>
      <c r="D946">
        <v>14.09</v>
      </c>
      <c r="E946">
        <v>14.09</v>
      </c>
      <c r="F946">
        <v>0.6296026034488188</v>
      </c>
      <c r="G946">
        <v>1</v>
      </c>
      <c r="H946" t="str">
        <v>Soja</v>
      </c>
    </row>
    <row r="947" spans="1:8">
      <c r="A947" t="s">
        <v>765</v>
      </c>
      <c r="B947">
        <v>56028</v>
      </c>
      <c r="C947">
        <v>18673.2</v>
      </c>
      <c r="D947">
        <v>60.9</v>
      </c>
      <c r="E947">
        <v>60.9</v>
      </c>
      <c r="F947">
        <v>0.33328335832083961</v>
      </c>
      <c r="G947">
        <v>1</v>
      </c>
      <c r="H947" t="str">
        <v>Tournesol</v>
      </c>
    </row>
    <row r="948" spans="1:8">
      <c r="A948" t="s">
        <v>765</v>
      </c>
      <c r="B948">
        <v>24354.12</v>
      </c>
      <c r="C948">
        <v>8218.31</v>
      </c>
      <c r="D948">
        <v>25.69</v>
      </c>
      <c r="E948">
        <v>25.69</v>
      </c>
      <c r="F948">
        <v>0.33745050118829995</v>
      </c>
      <c r="G948">
        <v>1</v>
      </c>
      <c r="H948" t="str">
        <v>Tournesol</v>
      </c>
    </row>
    <row r="949" spans="1:8">
      <c r="A949" t="s">
        <v>138</v>
      </c>
      <c r="B949">
        <v>23963.94</v>
      </c>
      <c r="C949">
        <v>7253.4</v>
      </c>
      <c r="D949">
        <v>19.11</v>
      </c>
      <c r="E949">
        <v>19.11</v>
      </c>
      <c r="F949">
        <v>0.30267977636398691</v>
      </c>
      <c r="G949">
        <v>1</v>
      </c>
      <c r="H949" t="str">
        <v>Blé de force</v>
      </c>
    </row>
    <row r="950" spans="1:8">
      <c r="A950" t="s">
        <v>99</v>
      </c>
      <c r="B950">
        <v>44296</v>
      </c>
      <c r="C950">
        <v>5266.8</v>
      </c>
      <c r="D950">
        <v>39.549999999999997</v>
      </c>
      <c r="E950">
        <v>39.549999999999997</v>
      </c>
      <c r="F950">
        <v>0.11890012642225033</v>
      </c>
      <c r="G950">
        <v>1</v>
      </c>
      <c r="H950" t="str">
        <v>Blé tendre d'hiver</v>
      </c>
    </row>
    <row r="951" spans="1:8">
      <c r="A951" t="s">
        <v>183</v>
      </c>
      <c r="B951">
        <v>6514.33</v>
      </c>
      <c r="C951">
        <v>1664.63</v>
      </c>
      <c r="D951">
        <v>6.79</v>
      </c>
      <c r="E951">
        <v>6.78</v>
      </c>
      <c r="F951">
        <v>0.25553356983757347</v>
      </c>
      <c r="G951">
        <v>0.99852724594992637</v>
      </c>
      <c r="H951" t="str">
        <v>Orge d'hiver</v>
      </c>
    </row>
    <row r="952" spans="1:8">
      <c r="A952" t="s">
        <v>866</v>
      </c>
      <c r="B952">
        <v>23443.200000000001</v>
      </c>
      <c r="C952">
        <v>10879.02</v>
      </c>
      <c r="D952">
        <v>29.98</v>
      </c>
      <c r="E952">
        <v>16.25</v>
      </c>
      <c r="F952">
        <v>0.46405866093366094</v>
      </c>
      <c r="G952">
        <v>0.54202801867911943</v>
      </c>
      <c r="H952" t="str">
        <v>Maïs grain non irrigué</v>
      </c>
    </row>
    <row r="953" spans="1:8">
      <c r="A953" t="s">
        <v>162</v>
      </c>
      <c r="B953">
        <v>1221.44</v>
      </c>
      <c r="C953">
        <v>65.239999999999995</v>
      </c>
      <c r="D953">
        <v>3.47</v>
      </c>
      <c r="E953">
        <v>3.45</v>
      </c>
      <c r="F953">
        <v>5.3412365732250451E-2</v>
      </c>
      <c r="G953">
        <v>0.99423631123919309</v>
      </c>
      <c r="H953" t="str">
        <v>Féveroles et fèves</v>
      </c>
    </row>
    <row r="954" spans="1:8">
      <c r="A954" t="s">
        <v>99</v>
      </c>
      <c r="B954">
        <v>41117.620000000003</v>
      </c>
      <c r="C954">
        <v>828.8</v>
      </c>
      <c r="D954">
        <v>27.74</v>
      </c>
      <c r="E954">
        <v>12.79</v>
      </c>
      <c r="F954">
        <v>2.015680868688411E-2</v>
      </c>
      <c r="G954">
        <v>0.46106705118961788</v>
      </c>
      <c r="H954" t="str">
        <v>Blé tendre d'hiver</v>
      </c>
    </row>
    <row r="955" spans="1:8">
      <c r="A955" t="s">
        <v>137</v>
      </c>
      <c r="B955">
        <v>45066.86</v>
      </c>
      <c r="C955">
        <v>1752.67</v>
      </c>
      <c r="D955">
        <v>30.53</v>
      </c>
      <c r="E955">
        <v>4.34</v>
      </c>
      <c r="F955">
        <v>3.8890439671190762E-2</v>
      </c>
      <c r="G955">
        <v>0.14215525712414018</v>
      </c>
      <c r="H955" t="str">
        <v>Orge de printemps</v>
      </c>
    </row>
    <row r="956" spans="1:8">
      <c r="A956" t="s">
        <v>27</v>
      </c>
      <c r="B956">
        <v>18268.169999999998</v>
      </c>
      <c r="C956">
        <v>490.86</v>
      </c>
      <c r="D956">
        <v>12.18</v>
      </c>
      <c r="E956">
        <v>12.18</v>
      </c>
      <c r="F956">
        <v>2.6869686454636676E-2</v>
      </c>
      <c r="G956">
        <v>1</v>
      </c>
      <c r="H956" t="str">
        <v>Colza d'hiver</v>
      </c>
    </row>
    <row r="957" spans="1:8">
      <c r="A957" t="s">
        <v>99</v>
      </c>
      <c r="B957">
        <v>8873.5400000000009</v>
      </c>
      <c r="C957">
        <v>2919.3</v>
      </c>
      <c r="D957">
        <v>5.8</v>
      </c>
      <c r="E957">
        <v>5.8</v>
      </c>
      <c r="F957">
        <v>0.32898933232960015</v>
      </c>
      <c r="G957">
        <v>1</v>
      </c>
      <c r="H957" t="str">
        <v>Blé tendre d'hiver</v>
      </c>
    </row>
    <row r="958" spans="1:8">
      <c r="A958" t="s">
        <v>27</v>
      </c>
      <c r="B958">
        <v>35817.599999999999</v>
      </c>
      <c r="C958">
        <v>13441.44</v>
      </c>
      <c r="D958">
        <v>20.5</v>
      </c>
      <c r="E958">
        <v>20.5</v>
      </c>
      <c r="F958">
        <v>0.37527472527472533</v>
      </c>
      <c r="G958">
        <v>1</v>
      </c>
      <c r="H958" t="str">
        <v>Colza d'hiver</v>
      </c>
    </row>
    <row r="959" spans="1:8">
      <c r="A959" t="s">
        <v>99</v>
      </c>
      <c r="B959">
        <v>26327.77</v>
      </c>
      <c r="C959">
        <v>6272.14</v>
      </c>
      <c r="D959">
        <v>22.85</v>
      </c>
      <c r="E959">
        <v>22.85</v>
      </c>
      <c r="F959">
        <v>0.23823286210719707</v>
      </c>
      <c r="G959">
        <v>1</v>
      </c>
      <c r="H959" t="str">
        <v>Blé tendre d'hiver</v>
      </c>
    </row>
    <row r="960" spans="1:8">
      <c r="A960" t="s">
        <v>27</v>
      </c>
      <c r="B960">
        <v>8403.2199999999993</v>
      </c>
      <c r="C960">
        <v>3622.53</v>
      </c>
      <c r="D960">
        <v>6.22</v>
      </c>
      <c r="E960">
        <v>6.22</v>
      </c>
      <c r="F960">
        <v>0.43108832090555771</v>
      </c>
      <c r="G960">
        <v>1</v>
      </c>
      <c r="H960" t="str">
        <v>Colza d'hiver</v>
      </c>
    </row>
    <row r="961" spans="1:8">
      <c r="A961" t="s">
        <v>910</v>
      </c>
      <c r="B961">
        <v>23149.61</v>
      </c>
      <c r="C961">
        <v>2436.89</v>
      </c>
      <c r="D961">
        <v>19.329999999999998</v>
      </c>
      <c r="E961">
        <v>19.329999999999998</v>
      </c>
      <c r="F961">
        <v>0.10526700017840472</v>
      </c>
      <c r="G961">
        <v>1</v>
      </c>
      <c r="H961" t="str">
        <v>Maïs grain irrigué</v>
      </c>
    </row>
    <row r="962" spans="1:8">
      <c r="A962" t="s">
        <v>137</v>
      </c>
      <c r="B962">
        <v>10721.7</v>
      </c>
      <c r="C962">
        <v>1407.33</v>
      </c>
      <c r="D962">
        <v>8.5500000000000007</v>
      </c>
      <c r="E962">
        <v>8.5500000000000007</v>
      </c>
      <c r="F962">
        <v>0.13125996810207335</v>
      </c>
      <c r="G962">
        <v>1</v>
      </c>
      <c r="H962" t="str">
        <v>Orge de printemps</v>
      </c>
    </row>
    <row r="963" spans="1:8">
      <c r="A963" t="s">
        <v>99</v>
      </c>
      <c r="B963">
        <v>51108.480000000003</v>
      </c>
      <c r="C963">
        <v>747.33</v>
      </c>
      <c r="D963">
        <v>42.03</v>
      </c>
      <c r="E963">
        <v>42.03</v>
      </c>
      <c r="F963">
        <v>1.462242665013712E-2</v>
      </c>
      <c r="G963">
        <v>1</v>
      </c>
      <c r="H963" t="str">
        <v>Blé tendre d'hiver</v>
      </c>
    </row>
    <row r="964" spans="1:8">
      <c r="A964" t="s">
        <v>27</v>
      </c>
      <c r="B964">
        <v>60997.22</v>
      </c>
      <c r="C964">
        <v>655.67</v>
      </c>
      <c r="D964">
        <v>35.479999999999997</v>
      </c>
      <c r="E964">
        <v>35.479999999999997</v>
      </c>
      <c r="F964">
        <v>1.0749178405179777E-2</v>
      </c>
      <c r="G964">
        <v>1</v>
      </c>
      <c r="H964" t="str">
        <v>Colza d'hiver</v>
      </c>
    </row>
    <row r="965" spans="1:8">
      <c r="A965" t="s">
        <v>183</v>
      </c>
      <c r="B965">
        <v>42332.13</v>
      </c>
      <c r="C965">
        <v>1639.89</v>
      </c>
      <c r="D965">
        <v>32.909999999999997</v>
      </c>
      <c r="E965">
        <v>7</v>
      </c>
      <c r="F965">
        <v>3.8738660209160281E-2</v>
      </c>
      <c r="G965">
        <v>0.21270130659374054</v>
      </c>
      <c r="H965" t="str">
        <v>Orge d'hiver</v>
      </c>
    </row>
    <row r="966" spans="1:8">
      <c r="A966" t="s">
        <v>99</v>
      </c>
      <c r="B966">
        <v>68884.34</v>
      </c>
      <c r="C966">
        <v>464.07</v>
      </c>
      <c r="D966">
        <v>47.7</v>
      </c>
      <c r="E966">
        <v>47.7</v>
      </c>
      <c r="F966">
        <v>6.7369448556812766E-3</v>
      </c>
      <c r="G966">
        <v>1</v>
      </c>
      <c r="H966" t="str">
        <v>Blé tendre d'hiver</v>
      </c>
    </row>
    <row r="967" spans="1:8">
      <c r="A967" t="s">
        <v>27</v>
      </c>
      <c r="B967">
        <v>18337.400000000001</v>
      </c>
      <c r="C967">
        <v>1791.01</v>
      </c>
      <c r="D967">
        <v>11.08</v>
      </c>
      <c r="E967">
        <v>11.08</v>
      </c>
      <c r="F967">
        <v>9.7669789610304619E-2</v>
      </c>
      <c r="G967">
        <v>1</v>
      </c>
      <c r="H967" t="str">
        <v>Colza d'hiver</v>
      </c>
    </row>
    <row r="968" spans="1:8">
      <c r="A968" t="s">
        <v>27</v>
      </c>
      <c r="B968">
        <v>16409.25</v>
      </c>
      <c r="C968">
        <v>9530.6</v>
      </c>
      <c r="D968">
        <v>9.35</v>
      </c>
      <c r="E968">
        <v>9.35</v>
      </c>
      <c r="F968">
        <v>0.58080655727714559</v>
      </c>
      <c r="G968">
        <v>1</v>
      </c>
      <c r="H968" t="str">
        <v>Colza d'hiver</v>
      </c>
    </row>
    <row r="969" spans="1:8">
      <c r="A969" t="s">
        <v>99</v>
      </c>
      <c r="B969">
        <v>35475.160000000003</v>
      </c>
      <c r="C969">
        <v>7282.92</v>
      </c>
      <c r="D969">
        <v>25.41</v>
      </c>
      <c r="E969">
        <v>25.41</v>
      </c>
      <c r="F969">
        <v>0.20529632565434516</v>
      </c>
      <c r="G969">
        <v>1</v>
      </c>
      <c r="H969" t="str">
        <v>Blé tendre d'hiver</v>
      </c>
    </row>
    <row r="970" spans="1:8">
      <c r="A970" t="s">
        <v>99</v>
      </c>
      <c r="B970">
        <v>61062.3</v>
      </c>
      <c r="C970">
        <v>406.34</v>
      </c>
      <c r="D970">
        <v>61.4</v>
      </c>
      <c r="E970">
        <v>61.4</v>
      </c>
      <c r="F970">
        <v>6.6545151427312753E-3</v>
      </c>
      <c r="G970">
        <v>1</v>
      </c>
      <c r="H970" t="str">
        <v>Blé tendre d'hiver</v>
      </c>
    </row>
    <row r="971" spans="1:8">
      <c r="A971" t="s">
        <v>27</v>
      </c>
      <c r="B971">
        <v>40470.5</v>
      </c>
      <c r="C971">
        <v>2551.73</v>
      </c>
      <c r="D971">
        <v>37.299999999999997</v>
      </c>
      <c r="E971">
        <v>37.4</v>
      </c>
      <c r="F971">
        <v>6.3051605490418952E-2</v>
      </c>
      <c r="G971">
        <v>1.0026809651474531</v>
      </c>
      <c r="H971" t="str">
        <v>Colza d'hiver</v>
      </c>
    </row>
    <row r="972" spans="1:8">
      <c r="A972" t="s">
        <v>866</v>
      </c>
      <c r="B972">
        <v>25142.400000000001</v>
      </c>
      <c r="C972">
        <v>1688.98</v>
      </c>
      <c r="D972">
        <v>16</v>
      </c>
      <c r="E972">
        <v>16</v>
      </c>
      <c r="F972">
        <v>6.7176562301132739E-2</v>
      </c>
      <c r="G972">
        <v>1</v>
      </c>
      <c r="H972" t="str">
        <v>Maïs grain non irrigué</v>
      </c>
    </row>
    <row r="973" spans="1:8">
      <c r="A973" t="s">
        <v>99</v>
      </c>
      <c r="B973">
        <v>20139.05</v>
      </c>
      <c r="C973">
        <v>3674.11</v>
      </c>
      <c r="D973">
        <v>14.5</v>
      </c>
      <c r="E973">
        <v>14.5</v>
      </c>
      <c r="F973">
        <v>0.18243710602039323</v>
      </c>
      <c r="G973">
        <v>1</v>
      </c>
      <c r="H973" t="str">
        <v>Blé tendre d'hiver</v>
      </c>
    </row>
    <row r="974" spans="1:8">
      <c r="A974" t="s">
        <v>137</v>
      </c>
      <c r="B974">
        <v>60982.720000000001</v>
      </c>
      <c r="C974">
        <v>10828.74</v>
      </c>
      <c r="D974">
        <v>25.58</v>
      </c>
      <c r="E974">
        <v>25.58</v>
      </c>
      <c r="F974">
        <v>0.17757062984399513</v>
      </c>
      <c r="G974">
        <v>1</v>
      </c>
      <c r="H974" t="str">
        <v>Orge de printemps</v>
      </c>
    </row>
    <row r="975" spans="1:8">
      <c r="A975" t="s">
        <v>814</v>
      </c>
      <c r="B975">
        <v>30564.240000000002</v>
      </c>
      <c r="C975">
        <v>1021.02</v>
      </c>
      <c r="D975">
        <v>15.82</v>
      </c>
      <c r="E975">
        <v>5</v>
      </c>
      <c r="F975">
        <v>3.3405705491122956E-2</v>
      </c>
      <c r="G975">
        <v>0.31605562579013907</v>
      </c>
      <c r="H975" t="str">
        <v>Soja</v>
      </c>
    </row>
    <row r="976" spans="1:8">
      <c r="A976" t="s">
        <v>2001</v>
      </c>
      <c r="B976">
        <v>56085.96</v>
      </c>
      <c r="C976">
        <v>11786.24</v>
      </c>
      <c r="D976">
        <v>29.03</v>
      </c>
      <c r="E976">
        <v>29.03</v>
      </c>
      <c r="F976">
        <v>0.21014599732268111</v>
      </c>
      <c r="G976">
        <v>1</v>
      </c>
      <c r="H976" t="str">
        <v>Soja SEMENCES</v>
      </c>
    </row>
    <row r="977" spans="1:8">
      <c r="A977" t="s">
        <v>99</v>
      </c>
      <c r="B977">
        <v>227485.44</v>
      </c>
      <c r="C977">
        <v>6494.03</v>
      </c>
      <c r="D977">
        <v>101.92</v>
      </c>
      <c r="E977">
        <v>70</v>
      </c>
      <c r="F977">
        <v>2.8547013822071424E-2</v>
      </c>
      <c r="G977">
        <v>0.68681318681318682</v>
      </c>
      <c r="H977" t="str">
        <v>Blé tendre d'hiver</v>
      </c>
    </row>
    <row r="978" spans="1:8">
      <c r="A978" t="s">
        <v>27</v>
      </c>
      <c r="B978">
        <v>65988</v>
      </c>
      <c r="C978">
        <v>106.2</v>
      </c>
      <c r="D978">
        <v>47</v>
      </c>
      <c r="E978">
        <v>5.9</v>
      </c>
      <c r="F978">
        <v>1.6093835242771413E-3</v>
      </c>
      <c r="G978">
        <v>0.12553191489361704</v>
      </c>
      <c r="H978" t="str">
        <v>Colza d'hiver</v>
      </c>
    </row>
    <row r="979" spans="1:8">
      <c r="A979" t="s">
        <v>27</v>
      </c>
      <c r="B979">
        <v>59867.14</v>
      </c>
      <c r="C979">
        <v>8065.92</v>
      </c>
      <c r="D979">
        <v>40.96</v>
      </c>
      <c r="E979">
        <v>9.18</v>
      </c>
      <c r="F979">
        <v>0.1347303378781749</v>
      </c>
      <c r="G979">
        <v>0.22412109375</v>
      </c>
      <c r="H979" t="str">
        <v>Colza d'hiver</v>
      </c>
    </row>
    <row r="980" spans="1:8">
      <c r="A980" t="s">
        <v>99</v>
      </c>
      <c r="B980">
        <v>3853.2</v>
      </c>
      <c r="C980">
        <v>3277.88</v>
      </c>
      <c r="D980">
        <v>3.8</v>
      </c>
      <c r="E980">
        <v>3</v>
      </c>
      <c r="F980">
        <v>0.85069033530572002</v>
      </c>
      <c r="G980">
        <v>0.78947368421052633</v>
      </c>
      <c r="H980" t="str">
        <v>Blé tendre d'hiver</v>
      </c>
    </row>
    <row r="981" spans="1:8">
      <c r="A981" t="s">
        <v>99</v>
      </c>
      <c r="B981">
        <v>23106.38</v>
      </c>
      <c r="C981">
        <v>966.86</v>
      </c>
      <c r="D981">
        <v>21.85</v>
      </c>
      <c r="E981">
        <v>21.85</v>
      </c>
      <c r="F981">
        <v>4.1843854381344026E-2</v>
      </c>
      <c r="G981">
        <v>1</v>
      </c>
      <c r="H981" t="str">
        <v>Blé tendre d'hiver</v>
      </c>
    </row>
    <row r="982" spans="1:8">
      <c r="A982" t="s">
        <v>27</v>
      </c>
      <c r="B982">
        <v>19404.28</v>
      </c>
      <c r="C982">
        <v>5270.62</v>
      </c>
      <c r="D982">
        <v>18.73</v>
      </c>
      <c r="E982">
        <v>18.73</v>
      </c>
      <c r="F982">
        <v>0.27162151855157729</v>
      </c>
      <c r="G982">
        <v>1</v>
      </c>
      <c r="H982" t="str">
        <v>Colza d'hiver</v>
      </c>
    </row>
    <row r="983" spans="1:8">
      <c r="A983" t="s">
        <v>99</v>
      </c>
      <c r="B983">
        <v>67712</v>
      </c>
      <c r="C983">
        <v>6080.96</v>
      </c>
      <c r="D983">
        <v>52.9</v>
      </c>
      <c r="E983">
        <v>52.9</v>
      </c>
      <c r="F983">
        <v>8.9806238185255197E-2</v>
      </c>
      <c r="G983">
        <v>1</v>
      </c>
      <c r="H983" t="str">
        <v>Blé tendre d'hiver</v>
      </c>
    </row>
    <row r="984" spans="1:8">
      <c r="A984" t="s">
        <v>910</v>
      </c>
      <c r="B984">
        <v>16611.98</v>
      </c>
      <c r="C984">
        <v>830.6</v>
      </c>
      <c r="D984">
        <v>9.3800000000000008</v>
      </c>
      <c r="E984">
        <v>9.3800000000000008</v>
      </c>
      <c r="F984">
        <v>5.0000060197520103E-2</v>
      </c>
      <c r="G984">
        <v>1</v>
      </c>
      <c r="H984" t="str">
        <v>Maïs grain irrigué</v>
      </c>
    </row>
    <row r="985" spans="1:8">
      <c r="A985" t="s">
        <v>2001</v>
      </c>
      <c r="B985">
        <v>38500</v>
      </c>
      <c r="C985">
        <v>3384.15</v>
      </c>
      <c r="D985">
        <v>27.5</v>
      </c>
      <c r="E985">
        <v>27.5</v>
      </c>
      <c r="F985">
        <v>8.7900000000000006E-2</v>
      </c>
      <c r="G985">
        <v>1</v>
      </c>
      <c r="H985" t="str">
        <v>Soja SEMENCES</v>
      </c>
    </row>
    <row r="986" spans="1:8">
      <c r="A986" t="s">
        <v>27</v>
      </c>
      <c r="B986">
        <v>14740.61</v>
      </c>
      <c r="C986">
        <v>290.31</v>
      </c>
      <c r="D986">
        <v>9.4</v>
      </c>
      <c r="E986">
        <v>3.75</v>
      </c>
      <c r="F986">
        <v>1.9694571662909471E-2</v>
      </c>
      <c r="G986">
        <v>0.39893617021276595</v>
      </c>
      <c r="H986" t="str">
        <v>Colza d'hiver</v>
      </c>
    </row>
    <row r="987" spans="1:8">
      <c r="A987" t="s">
        <v>765</v>
      </c>
      <c r="B987">
        <v>9750.4</v>
      </c>
      <c r="C987">
        <v>4072.48</v>
      </c>
      <c r="D987">
        <v>11.08</v>
      </c>
      <c r="E987">
        <v>11.08</v>
      </c>
      <c r="F987">
        <v>0.41767312110272403</v>
      </c>
      <c r="G987">
        <v>1</v>
      </c>
      <c r="H987" t="str">
        <v>Tournesol</v>
      </c>
    </row>
    <row r="988" spans="1:8">
      <c r="A988" t="s">
        <v>99</v>
      </c>
      <c r="B988">
        <v>12452.4</v>
      </c>
      <c r="C988">
        <v>6927.66</v>
      </c>
      <c r="D988">
        <v>11.53</v>
      </c>
      <c r="E988">
        <v>11.53</v>
      </c>
      <c r="F988">
        <v>0.5563313096270599</v>
      </c>
      <c r="G988">
        <v>1</v>
      </c>
      <c r="H988" t="str">
        <v>Blé tendre d'hiver</v>
      </c>
    </row>
    <row r="989" spans="1:8">
      <c r="A989" t="s">
        <v>99</v>
      </c>
      <c r="B989">
        <v>39004.239999999998</v>
      </c>
      <c r="C989">
        <v>4926.8500000000004</v>
      </c>
      <c r="D989">
        <v>27.94</v>
      </c>
      <c r="E989">
        <v>27.94</v>
      </c>
      <c r="F989">
        <v>0.12631575438977918</v>
      </c>
      <c r="G989">
        <v>1</v>
      </c>
      <c r="H989" t="str">
        <v>Blé tendre d'hiver</v>
      </c>
    </row>
    <row r="990" spans="1:8">
      <c r="A990" t="s">
        <v>27</v>
      </c>
      <c r="B990">
        <v>50635.199999999997</v>
      </c>
      <c r="C990">
        <v>2181.04</v>
      </c>
      <c r="D990">
        <v>28.77</v>
      </c>
      <c r="E990">
        <v>11</v>
      </c>
      <c r="F990">
        <v>4.3073593073593076E-2</v>
      </c>
      <c r="G990">
        <v>0.3823427181091415</v>
      </c>
      <c r="H990" t="str">
        <v>Colza d'hiver</v>
      </c>
    </row>
    <row r="991" spans="1:8">
      <c r="A991" t="s">
        <v>27</v>
      </c>
      <c r="B991">
        <v>93870.25</v>
      </c>
      <c r="C991">
        <v>29500.62</v>
      </c>
      <c r="D991">
        <v>80.42</v>
      </c>
      <c r="E991">
        <v>80.42</v>
      </c>
      <c r="F991">
        <v>0.31427017612076241</v>
      </c>
      <c r="G991">
        <v>1</v>
      </c>
      <c r="H991" t="str">
        <v>Colza d'hiver</v>
      </c>
    </row>
    <row r="992" spans="1:8">
      <c r="A992" t="s">
        <v>814</v>
      </c>
      <c r="B992">
        <v>1856.8</v>
      </c>
      <c r="C992">
        <v>5523.1</v>
      </c>
      <c r="D992">
        <v>2.2000000000000002</v>
      </c>
      <c r="E992">
        <v>2.2000000000000002</v>
      </c>
      <c r="F992">
        <v>2.9745260663507112</v>
      </c>
      <c r="G992">
        <v>1</v>
      </c>
      <c r="H992" t="str">
        <v>Soja</v>
      </c>
    </row>
    <row r="993" spans="1:8">
      <c r="A993" t="s">
        <v>765</v>
      </c>
      <c r="B993">
        <v>23006.799999999999</v>
      </c>
      <c r="C993">
        <v>2555.1799999999998</v>
      </c>
      <c r="D993">
        <v>25.45</v>
      </c>
      <c r="E993">
        <v>25.45</v>
      </c>
      <c r="F993">
        <v>0.11106194690265486</v>
      </c>
      <c r="G993">
        <v>1</v>
      </c>
      <c r="H993" t="str">
        <v>Tournesol</v>
      </c>
    </row>
    <row r="994" spans="1:8">
      <c r="A994" t="s">
        <v>765</v>
      </c>
      <c r="B994">
        <v>12732.66</v>
      </c>
      <c r="C994">
        <v>3182.12</v>
      </c>
      <c r="D994">
        <v>16.149999999999999</v>
      </c>
      <c r="E994">
        <v>16.149999999999999</v>
      </c>
      <c r="F994">
        <v>0.24991792759721848</v>
      </c>
      <c r="G994">
        <v>1</v>
      </c>
      <c r="H994" t="str">
        <v>Tournesol</v>
      </c>
    </row>
    <row r="995" spans="1:8">
      <c r="A995" t="s">
        <v>1009</v>
      </c>
      <c r="B995">
        <v>62959.64</v>
      </c>
      <c r="C995">
        <v>2446.92</v>
      </c>
      <c r="D995">
        <v>38.840000000000003</v>
      </c>
      <c r="E995">
        <v>38</v>
      </c>
      <c r="F995">
        <v>3.886489821098088E-2</v>
      </c>
      <c r="G995">
        <v>0.9783728115345004</v>
      </c>
      <c r="H995" t="str">
        <v>Maïs ensilage irrigué</v>
      </c>
    </row>
    <row r="996" spans="1:8">
      <c r="A996" t="s">
        <v>765</v>
      </c>
      <c r="B996">
        <v>30680.33</v>
      </c>
      <c r="C996">
        <v>9404.3799999999992</v>
      </c>
      <c r="D996">
        <v>32.880000000000003</v>
      </c>
      <c r="E996">
        <v>32.880000000000003</v>
      </c>
      <c r="F996">
        <v>0.30652799366890771</v>
      </c>
      <c r="G996">
        <v>1</v>
      </c>
      <c r="H996" t="str">
        <v>Tournesol</v>
      </c>
    </row>
    <row r="997" spans="1:8">
      <c r="A997" t="s">
        <v>814</v>
      </c>
      <c r="B997">
        <v>3933.04</v>
      </c>
      <c r="C997">
        <v>2088.06</v>
      </c>
      <c r="D997">
        <v>4.22</v>
      </c>
      <c r="E997">
        <v>4.22</v>
      </c>
      <c r="F997">
        <v>0.53090230457864651</v>
      </c>
      <c r="G997">
        <v>1</v>
      </c>
      <c r="H997" t="str">
        <v>Soja</v>
      </c>
    </row>
    <row r="998" spans="1:8">
      <c r="A998" t="s">
        <v>27</v>
      </c>
      <c r="B998">
        <v>26864.25</v>
      </c>
      <c r="C998">
        <v>1381.59</v>
      </c>
      <c r="D998">
        <v>21.93</v>
      </c>
      <c r="E998">
        <v>21.93</v>
      </c>
      <c r="F998">
        <v>5.1428571428571428E-2</v>
      </c>
      <c r="G998">
        <v>1</v>
      </c>
      <c r="H998" t="str">
        <v>Colza d'hiver</v>
      </c>
    </row>
    <row r="999" spans="1:8">
      <c r="A999" t="s">
        <v>27</v>
      </c>
      <c r="B999">
        <v>13244.7</v>
      </c>
      <c r="C999">
        <v>399</v>
      </c>
      <c r="D999">
        <v>11.13</v>
      </c>
      <c r="E999">
        <v>11.13</v>
      </c>
      <c r="F999">
        <v>3.01252576502299E-2</v>
      </c>
      <c r="G999">
        <v>1</v>
      </c>
      <c r="H999" t="str">
        <v>Colza d'hiver</v>
      </c>
    </row>
    <row r="1000" spans="1:8">
      <c r="A1000" t="s">
        <v>99</v>
      </c>
      <c r="B1000">
        <v>118350.16</v>
      </c>
      <c r="C1000">
        <v>48780.94</v>
      </c>
      <c r="D1000">
        <v>106.43</v>
      </c>
      <c r="E1000">
        <v>106.43</v>
      </c>
      <c r="F1000">
        <v>0.41217468569539745</v>
      </c>
      <c r="G1000">
        <v>1</v>
      </c>
      <c r="H1000" t="str">
        <v>Blé tendre d'hiver</v>
      </c>
    </row>
    <row r="1001" spans="1:8">
      <c r="A1001" t="s">
        <v>765</v>
      </c>
      <c r="B1001">
        <v>51525.72</v>
      </c>
      <c r="C1001">
        <v>20467.16</v>
      </c>
      <c r="D1001">
        <v>53.01</v>
      </c>
      <c r="E1001">
        <v>53.01</v>
      </c>
      <c r="F1001">
        <v>0.3972222028144391</v>
      </c>
      <c r="G1001">
        <v>1</v>
      </c>
      <c r="H1001" t="str">
        <v>Tournesol</v>
      </c>
    </row>
    <row r="1002" spans="1:8">
      <c r="A1002" t="s">
        <v>866</v>
      </c>
      <c r="B1002">
        <v>4362.72</v>
      </c>
      <c r="C1002">
        <v>964.78</v>
      </c>
      <c r="D1002">
        <v>3.66</v>
      </c>
      <c r="E1002">
        <v>3.66</v>
      </c>
      <c r="F1002">
        <v>0.22114185645652251</v>
      </c>
      <c r="G1002">
        <v>1</v>
      </c>
      <c r="H1002" t="str">
        <v>Maïs grain non irrigué</v>
      </c>
    </row>
    <row r="1003" spans="1:8">
      <c r="A1003" t="s">
        <v>910</v>
      </c>
      <c r="B1003">
        <v>22518</v>
      </c>
      <c r="C1003">
        <v>925.74</v>
      </c>
      <c r="D1003">
        <v>13.9</v>
      </c>
      <c r="E1003">
        <v>13.9</v>
      </c>
      <c r="F1003">
        <v>4.1111111111111112E-2</v>
      </c>
      <c r="G1003">
        <v>1</v>
      </c>
      <c r="H1003" t="str">
        <v>Maïs grain irrigué</v>
      </c>
    </row>
    <row r="1004" spans="1:8">
      <c r="A1004" t="s">
        <v>138</v>
      </c>
      <c r="B1004">
        <v>28374.5</v>
      </c>
      <c r="C1004">
        <v>855.36</v>
      </c>
      <c r="D1004">
        <v>23.45</v>
      </c>
      <c r="E1004">
        <v>23.45</v>
      </c>
      <c r="F1004">
        <v>3.0145377011048653E-2</v>
      </c>
      <c r="G1004">
        <v>1</v>
      </c>
      <c r="H1004" t="str">
        <v>Blé de force</v>
      </c>
    </row>
    <row r="1005" spans="1:8">
      <c r="A1005" t="s">
        <v>140</v>
      </c>
      <c r="B1005">
        <v>40800</v>
      </c>
      <c r="C1005">
        <v>1200</v>
      </c>
      <c r="D1005">
        <v>27.2</v>
      </c>
      <c r="E1005">
        <v>27.2</v>
      </c>
      <c r="F1005">
        <v>2.9411764705882353E-2</v>
      </c>
      <c r="G1005">
        <v>1</v>
      </c>
      <c r="H1005" t="str">
        <v>Blé dur d'hiver</v>
      </c>
    </row>
    <row r="1006" spans="1:8">
      <c r="A1006" t="s">
        <v>140</v>
      </c>
      <c r="B1006">
        <v>26863.200000000001</v>
      </c>
      <c r="C1006">
        <v>2359.69</v>
      </c>
      <c r="D1006">
        <v>19.68</v>
      </c>
      <c r="E1006">
        <v>19.68</v>
      </c>
      <c r="F1006">
        <v>8.7840986926352782E-2</v>
      </c>
      <c r="G1006">
        <v>1</v>
      </c>
      <c r="H1006" t="str">
        <v>Blé dur d'hiver</v>
      </c>
    </row>
    <row r="1007" spans="1:8">
      <c r="A1007" t="s">
        <v>99</v>
      </c>
      <c r="B1007">
        <v>20477.84</v>
      </c>
      <c r="C1007">
        <v>1494.3</v>
      </c>
      <c r="D1007">
        <v>19.09</v>
      </c>
      <c r="E1007">
        <v>19.09</v>
      </c>
      <c r="F1007">
        <v>7.2971563407078083E-2</v>
      </c>
      <c r="G1007">
        <v>1</v>
      </c>
      <c r="H1007" t="str">
        <v>Blé tendre d'hiver</v>
      </c>
    </row>
    <row r="1008" spans="1:8">
      <c r="A1008" t="s">
        <v>814</v>
      </c>
      <c r="B1008">
        <v>12383.81</v>
      </c>
      <c r="C1008">
        <v>6194.44</v>
      </c>
      <c r="D1008">
        <v>18.670000000000002</v>
      </c>
      <c r="E1008">
        <v>18.670000000000002</v>
      </c>
      <c r="F1008">
        <v>0.50020470275302997</v>
      </c>
      <c r="G1008">
        <v>1</v>
      </c>
      <c r="H1008" t="str">
        <v>Soja</v>
      </c>
    </row>
    <row r="1009" spans="1:8">
      <c r="A1009" t="s">
        <v>765</v>
      </c>
      <c r="B1009">
        <v>17146.36</v>
      </c>
      <c r="C1009">
        <v>2387.36</v>
      </c>
      <c r="D1009">
        <v>20.51</v>
      </c>
      <c r="E1009">
        <v>20.51</v>
      </c>
      <c r="F1009">
        <v>0.13923421647510026</v>
      </c>
      <c r="G1009">
        <v>1</v>
      </c>
      <c r="H1009" t="str">
        <v>Tournesol</v>
      </c>
    </row>
    <row r="1010" spans="1:8">
      <c r="A1010" t="s">
        <v>99</v>
      </c>
      <c r="B1010">
        <v>18177.900000000001</v>
      </c>
      <c r="C1010">
        <v>11999.31</v>
      </c>
      <c r="D1010">
        <v>15.8</v>
      </c>
      <c r="E1010">
        <v>15.8</v>
      </c>
      <c r="F1010">
        <v>0.66010430247718377</v>
      </c>
      <c r="G1010">
        <v>1</v>
      </c>
      <c r="H1010" t="str">
        <v>Blé tendre d'hiver</v>
      </c>
    </row>
    <row r="1011" spans="1:8">
      <c r="A1011" t="s">
        <v>898</v>
      </c>
      <c r="B1011">
        <v>43344</v>
      </c>
      <c r="C1011">
        <v>14818.23</v>
      </c>
      <c r="D1011">
        <v>27.09</v>
      </c>
      <c r="E1011">
        <v>27.09</v>
      </c>
      <c r="F1011">
        <v>0.34187499999999998</v>
      </c>
      <c r="G1011">
        <v>1</v>
      </c>
      <c r="H1011" t="str">
        <v>Maïs ensilage non irrigué</v>
      </c>
    </row>
    <row r="1012" spans="1:8">
      <c r="A1012" t="s">
        <v>866</v>
      </c>
      <c r="B1012">
        <v>23030</v>
      </c>
      <c r="C1012">
        <v>8345.61</v>
      </c>
      <c r="D1012">
        <v>16.45</v>
      </c>
      <c r="E1012">
        <v>16.45</v>
      </c>
      <c r="F1012">
        <v>0.36237993920972644</v>
      </c>
      <c r="G1012">
        <v>1</v>
      </c>
      <c r="H1012" t="str">
        <v>Maïs grain non irrigué</v>
      </c>
    </row>
    <row r="1013" spans="1:8">
      <c r="A1013" t="s">
        <v>765</v>
      </c>
      <c r="B1013">
        <v>7370</v>
      </c>
      <c r="C1013">
        <v>4350.1000000000004</v>
      </c>
      <c r="D1013">
        <v>7.37</v>
      </c>
      <c r="E1013">
        <v>7.37</v>
      </c>
      <c r="F1013">
        <v>0.5902442333785618</v>
      </c>
      <c r="G1013">
        <v>1</v>
      </c>
      <c r="H1013" t="str">
        <v>Tournesol</v>
      </c>
    </row>
    <row r="1014" spans="1:8">
      <c r="A1014" t="s">
        <v>137</v>
      </c>
      <c r="B1014">
        <v>196233.44</v>
      </c>
      <c r="C1014">
        <v>4565.28</v>
      </c>
      <c r="D1014">
        <v>159.38999999999999</v>
      </c>
      <c r="E1014">
        <v>23.6</v>
      </c>
      <c r="F1014">
        <v>2.3264536360367526E-2</v>
      </c>
      <c r="G1014">
        <v>0.14806449589058288</v>
      </c>
      <c r="H1014" t="str">
        <v>Orge de printemps</v>
      </c>
    </row>
    <row r="1015" spans="1:8">
      <c r="A1015" t="s">
        <v>941</v>
      </c>
      <c r="B1015">
        <v>1567.05</v>
      </c>
      <c r="C1015">
        <v>431.29</v>
      </c>
      <c r="D1015">
        <v>3</v>
      </c>
      <c r="E1015">
        <v>3</v>
      </c>
      <c r="F1015">
        <v>0.27522414728311162</v>
      </c>
      <c r="G1015">
        <v>1</v>
      </c>
      <c r="H1015" t="str">
        <v>Avoine de printemps</v>
      </c>
    </row>
    <row r="1016" spans="1:8">
      <c r="A1016" t="s">
        <v>866</v>
      </c>
      <c r="B1016">
        <v>44729.04</v>
      </c>
      <c r="C1016">
        <v>11732.65</v>
      </c>
      <c r="D1016">
        <v>38.76</v>
      </c>
      <c r="E1016">
        <v>38.76</v>
      </c>
      <c r="F1016">
        <v>0.26230498128285334</v>
      </c>
      <c r="G1016">
        <v>1</v>
      </c>
      <c r="H1016" t="str">
        <v>Maïs grain non irrigué</v>
      </c>
    </row>
    <row r="1017" spans="1:8">
      <c r="A1017" t="s">
        <v>137</v>
      </c>
      <c r="B1017">
        <v>4487.59</v>
      </c>
      <c r="C1017">
        <v>780.57</v>
      </c>
      <c r="D1017">
        <v>5.89</v>
      </c>
      <c r="E1017">
        <v>5.89</v>
      </c>
      <c r="F1017">
        <v>0.17393968700349186</v>
      </c>
      <c r="G1017">
        <v>1</v>
      </c>
      <c r="H1017" t="str">
        <v>Orge de printemps</v>
      </c>
    </row>
    <row r="1018" spans="1:8">
      <c r="A1018" t="s">
        <v>310</v>
      </c>
      <c r="B1018">
        <v>8995.4699999999993</v>
      </c>
      <c r="C1018">
        <v>4549.01</v>
      </c>
      <c r="D1018">
        <v>5.89</v>
      </c>
      <c r="E1018">
        <v>5.89</v>
      </c>
      <c r="F1018">
        <v>0.50570009126816062</v>
      </c>
      <c r="G1018">
        <v>1</v>
      </c>
      <c r="H1018" t="str">
        <v>Pois protéagineux</v>
      </c>
    </row>
    <row r="1019" spans="1:8">
      <c r="A1019" t="s">
        <v>765</v>
      </c>
      <c r="B1019">
        <v>25839.97</v>
      </c>
      <c r="C1019">
        <v>8469.77</v>
      </c>
      <c r="D1019">
        <v>31.14</v>
      </c>
      <c r="E1019">
        <v>31.14</v>
      </c>
      <c r="F1019">
        <v>0.32777785732723375</v>
      </c>
      <c r="G1019">
        <v>1</v>
      </c>
      <c r="H1019" t="str">
        <v>Tournesol</v>
      </c>
    </row>
    <row r="1020" spans="1:8">
      <c r="A1020" t="s">
        <v>99</v>
      </c>
      <c r="B1020">
        <v>20393.97</v>
      </c>
      <c r="C1020">
        <v>3427.62</v>
      </c>
      <c r="D1020">
        <v>13.52</v>
      </c>
      <c r="E1020">
        <v>13.52</v>
      </c>
      <c r="F1020">
        <v>0.16807026782916715</v>
      </c>
      <c r="G1020">
        <v>1</v>
      </c>
      <c r="H1020" t="str">
        <v>Blé tendre d'hiver</v>
      </c>
    </row>
    <row r="1021" spans="1:8">
      <c r="A1021" t="s">
        <v>941</v>
      </c>
      <c r="B1021">
        <v>3522.38</v>
      </c>
      <c r="C1021">
        <v>1177.03</v>
      </c>
      <c r="D1021">
        <v>7.75</v>
      </c>
      <c r="E1021">
        <v>7.75</v>
      </c>
      <c r="F1021">
        <v>0.33415758663176598</v>
      </c>
      <c r="G1021">
        <v>1</v>
      </c>
      <c r="H1021" t="str">
        <v>Avoine de printemps</v>
      </c>
    </row>
    <row r="1022" spans="1:8">
      <c r="A1022" t="s">
        <v>295</v>
      </c>
      <c r="B1022">
        <v>5129.72</v>
      </c>
      <c r="C1022">
        <v>750.76</v>
      </c>
      <c r="D1022">
        <v>7.79</v>
      </c>
      <c r="E1022">
        <v>7.79</v>
      </c>
      <c r="F1022">
        <v>0.14635496674282417</v>
      </c>
      <c r="G1022">
        <v>1</v>
      </c>
      <c r="H1022" t="str">
        <v>Avoine d'hiver</v>
      </c>
    </row>
    <row r="1023" spans="1:8">
      <c r="A1023" t="s">
        <v>99</v>
      </c>
      <c r="B1023">
        <v>10588.74</v>
      </c>
      <c r="C1023">
        <v>2301.06</v>
      </c>
      <c r="D1023">
        <v>14.82</v>
      </c>
      <c r="E1023">
        <v>14.82</v>
      </c>
      <c r="F1023">
        <v>0.21731197479586806</v>
      </c>
      <c r="G1023">
        <v>1</v>
      </c>
      <c r="H1023" t="str">
        <v>Blé tendre d'hiver</v>
      </c>
    </row>
    <row r="1024" spans="1:8">
      <c r="A1024" t="s">
        <v>140</v>
      </c>
      <c r="B1024">
        <v>29772.94</v>
      </c>
      <c r="C1024">
        <v>8987.02</v>
      </c>
      <c r="D1024">
        <v>16.829999999999998</v>
      </c>
      <c r="E1024">
        <v>24.36</v>
      </c>
      <c r="F1024">
        <v>0.30185195012652433</v>
      </c>
      <c r="G1024">
        <v>1.447415329768271</v>
      </c>
      <c r="H1024" t="str">
        <v>Blé dur d'hiver</v>
      </c>
    </row>
    <row r="1025" spans="1:8">
      <c r="A1025" t="s">
        <v>295</v>
      </c>
      <c r="B1025">
        <v>26757.65</v>
      </c>
      <c r="C1025">
        <v>5750.51</v>
      </c>
      <c r="D1025">
        <v>24.35</v>
      </c>
      <c r="E1025">
        <v>16.829999999999998</v>
      </c>
      <c r="F1025">
        <v>0.21491087595510069</v>
      </c>
      <c r="G1025">
        <v>0.6911704312114989</v>
      </c>
      <c r="H1025" t="str">
        <v>Avoine d'hiver</v>
      </c>
    </row>
    <row r="1026" spans="1:8">
      <c r="A1026" t="s">
        <v>99</v>
      </c>
      <c r="B1026">
        <v>120234.04</v>
      </c>
      <c r="C1026">
        <v>12594.19</v>
      </c>
      <c r="D1026">
        <v>81.87</v>
      </c>
      <c r="E1026">
        <v>81.87</v>
      </c>
      <c r="F1026">
        <v>0.10474729119973014</v>
      </c>
      <c r="G1026">
        <v>1</v>
      </c>
      <c r="H1026" t="str">
        <v>Blé tendre d'hiver</v>
      </c>
    </row>
    <row r="1027" spans="1:8">
      <c r="A1027" t="s">
        <v>137</v>
      </c>
      <c r="B1027">
        <v>15812.55</v>
      </c>
      <c r="C1027">
        <v>5407.89</v>
      </c>
      <c r="D1027">
        <v>14.31</v>
      </c>
      <c r="E1027">
        <v>14.31</v>
      </c>
      <c r="F1027">
        <v>0.34199986719409586</v>
      </c>
      <c r="G1027">
        <v>1</v>
      </c>
      <c r="H1027" t="str">
        <v>Orge de printemps</v>
      </c>
    </row>
    <row r="1028" spans="1:8">
      <c r="A1028" t="s">
        <v>407</v>
      </c>
      <c r="B1028">
        <v>100529.58</v>
      </c>
      <c r="C1028">
        <v>54335.58</v>
      </c>
      <c r="D1028">
        <v>40.659999999999997</v>
      </c>
      <c r="E1028">
        <v>40.659999999999997</v>
      </c>
      <c r="F1028">
        <v>0.54049345476226995</v>
      </c>
      <c r="G1028">
        <v>1</v>
      </c>
      <c r="H1028" t="str">
        <v>Lin textile</v>
      </c>
    </row>
    <row r="1029" spans="1:8">
      <c r="A1029" t="s">
        <v>2696</v>
      </c>
      <c r="B1029">
        <v>150040.49</v>
      </c>
      <c r="C1029">
        <v>45040.34</v>
      </c>
      <c r="D1029">
        <v>16.11</v>
      </c>
      <c r="E1029">
        <v>16.11</v>
      </c>
      <c r="F1029">
        <v>0.30018790261215489</v>
      </c>
      <c r="G1029">
        <v>1</v>
      </c>
      <c r="H1029" t="str">
        <v>Pommes de terre</v>
      </c>
    </row>
    <row r="1030" spans="1:8">
      <c r="A1030" t="s">
        <v>99</v>
      </c>
      <c r="B1030">
        <v>17346.39</v>
      </c>
      <c r="C1030">
        <v>2016.97</v>
      </c>
      <c r="D1030">
        <v>16.66</v>
      </c>
      <c r="E1030">
        <v>16.66</v>
      </c>
      <c r="F1030">
        <v>0.11627606666286185</v>
      </c>
      <c r="G1030">
        <v>1</v>
      </c>
      <c r="H1030" t="str">
        <v>Blé tendre d'hiver</v>
      </c>
    </row>
    <row r="1031" spans="1:8">
      <c r="A1031" t="s">
        <v>137</v>
      </c>
      <c r="B1031">
        <v>39303.72</v>
      </c>
      <c r="C1031">
        <v>9995.26</v>
      </c>
      <c r="D1031">
        <v>50.78</v>
      </c>
      <c r="E1031">
        <v>50.78</v>
      </c>
      <c r="F1031">
        <v>0.25430824359628046</v>
      </c>
      <c r="G1031">
        <v>1</v>
      </c>
      <c r="H1031" t="str">
        <v>Orge de printemps</v>
      </c>
    </row>
    <row r="1032" spans="1:8">
      <c r="A1032" t="s">
        <v>99</v>
      </c>
      <c r="B1032">
        <v>5359.05</v>
      </c>
      <c r="C1032">
        <v>405.98</v>
      </c>
      <c r="D1032">
        <v>3.91</v>
      </c>
      <c r="E1032">
        <v>3.91</v>
      </c>
      <c r="F1032">
        <v>7.575596421007455E-2</v>
      </c>
      <c r="G1032">
        <v>1</v>
      </c>
      <c r="H1032" t="str">
        <v>Blé tendre d'hiver</v>
      </c>
    </row>
    <row r="1033" spans="1:8">
      <c r="A1033" t="s">
        <v>866</v>
      </c>
      <c r="B1033">
        <v>7449</v>
      </c>
      <c r="C1033">
        <v>2206.0500000000002</v>
      </c>
      <c r="D1033">
        <v>7.64</v>
      </c>
      <c r="E1033">
        <v>7.62</v>
      </c>
      <c r="F1033">
        <v>0.29615384615384616</v>
      </c>
      <c r="G1033">
        <v>0.99738219895287961</v>
      </c>
      <c r="H1033" t="str">
        <v>Maïs grain non irrigué</v>
      </c>
    </row>
    <row r="1034" spans="1:8">
      <c r="A1034" t="s">
        <v>2001</v>
      </c>
      <c r="B1034">
        <v>20478.599999999999</v>
      </c>
      <c r="C1034">
        <v>5538.15</v>
      </c>
      <c r="D1034">
        <v>13.95</v>
      </c>
      <c r="E1034">
        <v>13.95</v>
      </c>
      <c r="F1034">
        <v>0.27043596730245234</v>
      </c>
      <c r="G1034">
        <v>1</v>
      </c>
      <c r="H1034" t="str">
        <v>Soja SEMENCES</v>
      </c>
    </row>
    <row r="1035" spans="1:8">
      <c r="A1035" t="s">
        <v>910</v>
      </c>
      <c r="B1035">
        <v>22155.360000000001</v>
      </c>
      <c r="C1035">
        <v>3650.15</v>
      </c>
      <c r="D1035">
        <v>13.71</v>
      </c>
      <c r="E1035">
        <v>13.71</v>
      </c>
      <c r="F1035">
        <v>0.16475245719320292</v>
      </c>
      <c r="G1035">
        <v>1</v>
      </c>
      <c r="H1035" t="str">
        <v>Maïs grain irrigué</v>
      </c>
    </row>
    <row r="1036" spans="1:8">
      <c r="A1036" t="s">
        <v>898</v>
      </c>
      <c r="B1036">
        <v>39609</v>
      </c>
      <c r="C1036">
        <v>13705.2</v>
      </c>
      <c r="D1036">
        <v>27</v>
      </c>
      <c r="E1036">
        <v>27</v>
      </c>
      <c r="F1036">
        <v>0.34601226993865031</v>
      </c>
      <c r="G1036">
        <v>1</v>
      </c>
      <c r="H1036" t="str">
        <v>Maïs ensilage non irrigué</v>
      </c>
    </row>
    <row r="1037" spans="1:8">
      <c r="A1037" t="s">
        <v>310</v>
      </c>
      <c r="B1037">
        <v>11096.25</v>
      </c>
      <c r="C1037">
        <v>1092.81</v>
      </c>
      <c r="D1037">
        <v>13.45</v>
      </c>
      <c r="E1037">
        <v>13.45</v>
      </c>
      <c r="F1037">
        <v>9.8484623183507938E-2</v>
      </c>
      <c r="G1037">
        <v>1</v>
      </c>
      <c r="H1037" t="str">
        <v>Pois protéagineux</v>
      </c>
    </row>
    <row r="1038" spans="1:8">
      <c r="A1038" t="s">
        <v>162</v>
      </c>
      <c r="B1038">
        <v>9582.86</v>
      </c>
      <c r="C1038">
        <v>8979.43</v>
      </c>
      <c r="D1038">
        <v>18.170000000000002</v>
      </c>
      <c r="E1038">
        <v>18.170000000000002</v>
      </c>
      <c r="F1038">
        <v>0.93703028114779929</v>
      </c>
      <c r="G1038">
        <v>1</v>
      </c>
      <c r="H1038" t="str">
        <v>Féveroles et fèves</v>
      </c>
    </row>
    <row r="1039" spans="1:8">
      <c r="A1039" t="s">
        <v>765</v>
      </c>
      <c r="B1039">
        <v>8374.02</v>
      </c>
      <c r="C1039">
        <v>4853.7</v>
      </c>
      <c r="D1039">
        <v>6</v>
      </c>
      <c r="E1039">
        <v>6</v>
      </c>
      <c r="F1039">
        <v>0.57961409215645532</v>
      </c>
      <c r="G1039">
        <v>1</v>
      </c>
      <c r="H1039" t="str">
        <v>Tournesol</v>
      </c>
    </row>
    <row r="1040" spans="1:8">
      <c r="A1040" t="s">
        <v>1141</v>
      </c>
      <c r="B1040">
        <v>17322.5</v>
      </c>
      <c r="C1040">
        <v>2301.83</v>
      </c>
      <c r="D1040">
        <v>25</v>
      </c>
      <c r="E1040">
        <v>25</v>
      </c>
      <c r="F1040">
        <v>0.13288093519988453</v>
      </c>
      <c r="G1040">
        <v>1</v>
      </c>
      <c r="H1040" t="str">
        <v>Sorgho</v>
      </c>
    </row>
    <row r="1041" spans="1:8">
      <c r="A1041" t="s">
        <v>207</v>
      </c>
      <c r="B1041">
        <v>10403.61</v>
      </c>
      <c r="C1041">
        <v>6454.51</v>
      </c>
      <c r="D1041">
        <v>14.98</v>
      </c>
      <c r="E1041">
        <v>14.98</v>
      </c>
      <c r="F1041">
        <v>0.62041060747182952</v>
      </c>
      <c r="G1041">
        <v>1</v>
      </c>
      <c r="H1041" t="str">
        <v>Seigle et méteil</v>
      </c>
    </row>
    <row r="1042" spans="1:8">
      <c r="A1042" t="s">
        <v>137</v>
      </c>
      <c r="B1042">
        <v>14911.02</v>
      </c>
      <c r="C1042">
        <v>689.28</v>
      </c>
      <c r="D1042">
        <v>15.63</v>
      </c>
      <c r="E1042">
        <v>15.63</v>
      </c>
      <c r="F1042">
        <v>4.6226213900859896E-2</v>
      </c>
      <c r="G1042">
        <v>1</v>
      </c>
      <c r="H1042" t="str">
        <v>Orge de printemps</v>
      </c>
    </row>
    <row r="1043" spans="1:8">
      <c r="A1043" t="s">
        <v>765</v>
      </c>
      <c r="B1043">
        <v>23545.58</v>
      </c>
      <c r="C1043">
        <v>5212.18</v>
      </c>
      <c r="D1043">
        <v>22.5</v>
      </c>
      <c r="E1043">
        <v>22.5</v>
      </c>
      <c r="F1043">
        <v>0.22136553867010283</v>
      </c>
      <c r="G1043">
        <v>1</v>
      </c>
      <c r="H1043" t="str">
        <v>Tournesol</v>
      </c>
    </row>
    <row r="1044" spans="1:8">
      <c r="A1044" t="s">
        <v>910</v>
      </c>
      <c r="B1044">
        <v>34668</v>
      </c>
      <c r="C1044">
        <v>837</v>
      </c>
      <c r="D1044">
        <v>20</v>
      </c>
      <c r="E1044">
        <v>20</v>
      </c>
      <c r="F1044">
        <v>2.4143302180685357E-2</v>
      </c>
      <c r="G1044">
        <v>1</v>
      </c>
      <c r="H1044" t="str">
        <v>Maïs grain irrigué</v>
      </c>
    </row>
    <row r="1045" spans="1:8">
      <c r="A1045" t="s">
        <v>163</v>
      </c>
      <c r="B1045">
        <v>29880</v>
      </c>
      <c r="C1045">
        <v>10209</v>
      </c>
      <c r="D1045">
        <v>41.5</v>
      </c>
      <c r="E1045">
        <v>20</v>
      </c>
      <c r="F1045">
        <v>0.34166666666666667</v>
      </c>
      <c r="G1045">
        <v>0.48192771084337349</v>
      </c>
      <c r="H1045" t="str">
        <v>Triticale</v>
      </c>
    </row>
    <row r="1046" spans="1:8">
      <c r="A1046" t="s">
        <v>866</v>
      </c>
      <c r="B1046">
        <v>57750</v>
      </c>
      <c r="C1046">
        <v>19105.63</v>
      </c>
      <c r="D1046">
        <v>30</v>
      </c>
      <c r="E1046">
        <v>30</v>
      </c>
      <c r="F1046">
        <v>0.33083341991341991</v>
      </c>
      <c r="G1046">
        <v>1</v>
      </c>
      <c r="H1046" t="str">
        <v>Maïs grain non irrigué</v>
      </c>
    </row>
    <row r="1047" spans="1:8">
      <c r="A1047" t="s">
        <v>2171</v>
      </c>
      <c r="B1047">
        <v>7700</v>
      </c>
      <c r="C1047">
        <v>4389</v>
      </c>
      <c r="D1047">
        <v>4</v>
      </c>
      <c r="E1047">
        <v>4</v>
      </c>
      <c r="F1047">
        <v>0.56999999999999995</v>
      </c>
      <c r="G1047">
        <v>1</v>
      </c>
      <c r="H1047" t="str">
        <v>Maïs waxy non irrigué</v>
      </c>
    </row>
    <row r="1048" spans="1:8">
      <c r="A1048" t="s">
        <v>765</v>
      </c>
      <c r="B1048">
        <v>29545.43</v>
      </c>
      <c r="C1048">
        <v>4898.93</v>
      </c>
      <c r="D1048">
        <v>24.05</v>
      </c>
      <c r="E1048">
        <v>24.05</v>
      </c>
      <c r="F1048">
        <v>0.16581007621144794</v>
      </c>
      <c r="G1048">
        <v>1</v>
      </c>
      <c r="H1048" t="str">
        <v>Tournesol</v>
      </c>
    </row>
    <row r="1049" spans="1:8">
      <c r="A1049" t="s">
        <v>866</v>
      </c>
      <c r="B1049">
        <v>52872.5</v>
      </c>
      <c r="C1049">
        <v>15706.49</v>
      </c>
      <c r="D1049">
        <v>26.42</v>
      </c>
      <c r="E1049">
        <v>26.42</v>
      </c>
      <c r="F1049">
        <v>0.29706350182041702</v>
      </c>
      <c r="G1049">
        <v>1</v>
      </c>
      <c r="H1049" t="str">
        <v>Maïs grain non irrigué</v>
      </c>
    </row>
    <row r="1050" spans="1:8">
      <c r="A1050" t="s">
        <v>866</v>
      </c>
      <c r="B1050">
        <v>50752</v>
      </c>
      <c r="C1050">
        <v>3824</v>
      </c>
      <c r="D1050">
        <v>40</v>
      </c>
      <c r="E1050">
        <v>40</v>
      </c>
      <c r="F1050">
        <v>7.5346784363177807E-2</v>
      </c>
      <c r="G1050">
        <v>1</v>
      </c>
      <c r="H1050" t="str">
        <v>Maïs grain non irrigué</v>
      </c>
    </row>
    <row r="1051" spans="1:8">
      <c r="A1051" t="s">
        <v>765</v>
      </c>
      <c r="B1051">
        <v>14613.41</v>
      </c>
      <c r="C1051">
        <v>1179.92</v>
      </c>
      <c r="D1051">
        <v>13.77</v>
      </c>
      <c r="E1051">
        <v>13.77</v>
      </c>
      <c r="F1051">
        <v>8.0742277127651932E-2</v>
      </c>
      <c r="G1051">
        <v>1</v>
      </c>
      <c r="H1051" t="str">
        <v>Tournesol</v>
      </c>
    </row>
    <row r="1052" spans="1:8">
      <c r="A1052" t="s">
        <v>866</v>
      </c>
      <c r="B1052">
        <v>4030.88</v>
      </c>
      <c r="C1052">
        <v>1463.32</v>
      </c>
      <c r="D1052">
        <v>4.29</v>
      </c>
      <c r="E1052">
        <v>4.29</v>
      </c>
      <c r="F1052">
        <v>0.36302742825388001</v>
      </c>
      <c r="G1052">
        <v>1</v>
      </c>
      <c r="H1052" t="str">
        <v>Maïs grain non irrigué</v>
      </c>
    </row>
    <row r="1053" spans="1:8">
      <c r="A1053" t="s">
        <v>866</v>
      </c>
      <c r="B1053">
        <v>109315.36</v>
      </c>
      <c r="C1053">
        <v>54294.86</v>
      </c>
      <c r="D1053">
        <v>106.4</v>
      </c>
      <c r="E1053">
        <v>106.4</v>
      </c>
      <c r="F1053">
        <v>0.4966809787755353</v>
      </c>
      <c r="G1053">
        <v>1</v>
      </c>
      <c r="H1053" t="str">
        <v>Maïs grain non irrigué</v>
      </c>
    </row>
    <row r="1054" spans="1:8">
      <c r="A1054" t="s">
        <v>898</v>
      </c>
      <c r="B1054">
        <v>43462.99</v>
      </c>
      <c r="C1054">
        <v>14489.99</v>
      </c>
      <c r="D1054">
        <v>34.619999999999997</v>
      </c>
      <c r="E1054">
        <v>34.619999999999997</v>
      </c>
      <c r="F1054">
        <v>0.33338686546875862</v>
      </c>
      <c r="G1054">
        <v>1</v>
      </c>
      <c r="H1054" t="str">
        <v>Maïs ensilage non irrigué</v>
      </c>
    </row>
    <row r="1055" spans="1:8">
      <c r="A1055" t="s">
        <v>866</v>
      </c>
      <c r="B1055">
        <v>37386.68</v>
      </c>
      <c r="C1055">
        <v>16456.87</v>
      </c>
      <c r="D1055">
        <v>31.14</v>
      </c>
      <c r="E1055">
        <v>31.14</v>
      </c>
      <c r="F1055">
        <v>0.44018003203279882</v>
      </c>
      <c r="G1055">
        <v>1</v>
      </c>
      <c r="H1055" t="str">
        <v>Maïs grain non irrigué</v>
      </c>
    </row>
    <row r="1056" spans="1:8">
      <c r="A1056" t="s">
        <v>765</v>
      </c>
      <c r="B1056">
        <v>34904.400000000001</v>
      </c>
      <c r="C1056">
        <v>11126.22</v>
      </c>
      <c r="D1056">
        <v>51.33</v>
      </c>
      <c r="E1056">
        <v>51.33</v>
      </c>
      <c r="F1056">
        <v>0.31876267748478698</v>
      </c>
      <c r="G1056">
        <v>1</v>
      </c>
      <c r="H1056" t="str">
        <v>Tournesol</v>
      </c>
    </row>
    <row r="1057" spans="1:8">
      <c r="A1057" t="s">
        <v>310</v>
      </c>
      <c r="B1057">
        <v>5163.16</v>
      </c>
      <c r="C1057">
        <v>2166.77</v>
      </c>
      <c r="D1057">
        <v>5.75</v>
      </c>
      <c r="E1057">
        <v>5.75</v>
      </c>
      <c r="F1057">
        <v>0.419659665786069</v>
      </c>
      <c r="G1057">
        <v>1</v>
      </c>
      <c r="H1057" t="str">
        <v>Pois protéagineux</v>
      </c>
    </row>
    <row r="1058" spans="1:8">
      <c r="A1058" t="s">
        <v>866</v>
      </c>
      <c r="B1058">
        <v>92712.68</v>
      </c>
      <c r="C1058">
        <v>44721.69</v>
      </c>
      <c r="D1058">
        <v>64.11</v>
      </c>
      <c r="E1058">
        <v>64.11</v>
      </c>
      <c r="F1058">
        <v>0.48236864687764397</v>
      </c>
      <c r="G1058">
        <v>1</v>
      </c>
      <c r="H1058" t="str">
        <v>Maïs grain non irrigué</v>
      </c>
    </row>
    <row r="1059" spans="1:8">
      <c r="A1059" t="s">
        <v>866</v>
      </c>
      <c r="B1059">
        <v>39795.15</v>
      </c>
      <c r="C1059">
        <v>11365.82</v>
      </c>
      <c r="D1059">
        <v>14.78</v>
      </c>
      <c r="E1059">
        <v>14.78</v>
      </c>
      <c r="F1059">
        <v>0.28560817084493961</v>
      </c>
      <c r="G1059">
        <v>1</v>
      </c>
      <c r="H1059" t="str">
        <v>Maïs grain non irrigué</v>
      </c>
    </row>
    <row r="1060" spans="1:8">
      <c r="A1060" t="s">
        <v>898</v>
      </c>
      <c r="B1060">
        <v>24215.4</v>
      </c>
      <c r="C1060">
        <v>10594.76</v>
      </c>
      <c r="D1060">
        <v>9</v>
      </c>
      <c r="E1060">
        <v>9</v>
      </c>
      <c r="F1060">
        <v>0.43752157717815932</v>
      </c>
      <c r="G1060">
        <v>1</v>
      </c>
      <c r="H1060" t="str">
        <v>Maïs ensilage non irrigué</v>
      </c>
    </row>
    <row r="1061" spans="1:8">
      <c r="A1061" t="s">
        <v>765</v>
      </c>
      <c r="B1061">
        <v>6321.69</v>
      </c>
      <c r="C1061">
        <v>713.45</v>
      </c>
      <c r="D1061">
        <v>6.53</v>
      </c>
      <c r="E1061">
        <v>6.53</v>
      </c>
      <c r="F1061">
        <v>0.11285747956638179</v>
      </c>
      <c r="G1061">
        <v>1</v>
      </c>
      <c r="H1061" t="str">
        <v>Tournesol</v>
      </c>
    </row>
    <row r="1062" spans="1:8">
      <c r="A1062" t="s">
        <v>866</v>
      </c>
      <c r="B1062">
        <v>11757.31</v>
      </c>
      <c r="C1062">
        <v>915.49</v>
      </c>
      <c r="D1062">
        <v>11.52</v>
      </c>
      <c r="E1062">
        <v>11.52</v>
      </c>
      <c r="F1062">
        <v>7.7865600209571756E-2</v>
      </c>
      <c r="G1062">
        <v>1</v>
      </c>
      <c r="H1062" t="str">
        <v>Maïs grain non irrigué</v>
      </c>
    </row>
    <row r="1063" spans="1:8">
      <c r="A1063" t="s">
        <v>898</v>
      </c>
      <c r="B1063">
        <v>22593.119999999999</v>
      </c>
      <c r="C1063">
        <v>8149.59</v>
      </c>
      <c r="D1063">
        <v>17.600000000000001</v>
      </c>
      <c r="E1063">
        <v>17</v>
      </c>
      <c r="F1063">
        <v>0.36071113684165801</v>
      </c>
      <c r="G1063">
        <v>0.96590909090909083</v>
      </c>
      <c r="H1063" t="str">
        <v>Maïs ensilage non irrigué</v>
      </c>
    </row>
    <row r="1064" spans="1:8">
      <c r="A1064" t="s">
        <v>765</v>
      </c>
      <c r="B1064">
        <v>10813.5</v>
      </c>
      <c r="C1064">
        <v>500.62</v>
      </c>
      <c r="D1064">
        <v>8.9</v>
      </c>
      <c r="E1064">
        <v>8.9</v>
      </c>
      <c r="F1064">
        <v>4.629583391131456E-2</v>
      </c>
      <c r="G1064">
        <v>1</v>
      </c>
      <c r="H1064" t="str">
        <v>Tournesol</v>
      </c>
    </row>
    <row r="1065" spans="1:8">
      <c r="A1065" t="s">
        <v>765</v>
      </c>
      <c r="B1065">
        <v>38657.25</v>
      </c>
      <c r="C1065">
        <v>5550.19</v>
      </c>
      <c r="D1065">
        <v>34.5</v>
      </c>
      <c r="E1065">
        <v>34.5</v>
      </c>
      <c r="F1065">
        <v>0.14357436185967704</v>
      </c>
      <c r="G1065">
        <v>1</v>
      </c>
      <c r="H1065" t="str">
        <v>Tournesol</v>
      </c>
    </row>
    <row r="1066" spans="1:8">
      <c r="A1066" t="s">
        <v>866</v>
      </c>
      <c r="B1066">
        <v>12287.16</v>
      </c>
      <c r="C1066">
        <v>5684.9</v>
      </c>
      <c r="D1066">
        <v>9.3000000000000007</v>
      </c>
      <c r="E1066">
        <v>9.3000000000000007</v>
      </c>
      <c r="F1066">
        <v>0.46266997418443317</v>
      </c>
      <c r="G1066">
        <v>1</v>
      </c>
      <c r="H1066" t="str">
        <v>Maïs grain non irrigué</v>
      </c>
    </row>
    <row r="1067" spans="1:8">
      <c r="A1067" t="s">
        <v>765</v>
      </c>
      <c r="B1067">
        <v>21165.84</v>
      </c>
      <c r="C1067">
        <v>1213.1600000000001</v>
      </c>
      <c r="D1067">
        <v>19.12</v>
      </c>
      <c r="E1067">
        <v>19.12</v>
      </c>
      <c r="F1067">
        <v>5.7316884186972977E-2</v>
      </c>
      <c r="G1067">
        <v>1</v>
      </c>
      <c r="H1067" t="str">
        <v>Tournesol</v>
      </c>
    </row>
    <row r="1068" spans="1:8">
      <c r="A1068" t="s">
        <v>765</v>
      </c>
      <c r="B1068">
        <v>6682.27</v>
      </c>
      <c r="C1068">
        <v>434.81</v>
      </c>
      <c r="D1068">
        <v>12.37</v>
      </c>
      <c r="E1068">
        <v>12.37</v>
      </c>
      <c r="F1068">
        <v>6.5069205524469972E-2</v>
      </c>
      <c r="G1068">
        <v>1</v>
      </c>
      <c r="H1068" t="str">
        <v>Tournesol</v>
      </c>
    </row>
    <row r="1069" spans="1:8">
      <c r="A1069" t="s">
        <v>765</v>
      </c>
      <c r="B1069">
        <v>26468.37</v>
      </c>
      <c r="C1069">
        <v>1194.3</v>
      </c>
      <c r="D1069">
        <v>23.91</v>
      </c>
      <c r="E1069">
        <v>23.95</v>
      </c>
      <c r="F1069">
        <v>4.5121781205264999E-2</v>
      </c>
      <c r="G1069">
        <v>1.0016729401923881</v>
      </c>
      <c r="H1069" t="str">
        <v>Tournesol</v>
      </c>
    </row>
    <row r="1070" spans="1:8">
      <c r="A1070" t="s">
        <v>765</v>
      </c>
      <c r="B1070">
        <v>17633</v>
      </c>
      <c r="C1070">
        <v>5009.38</v>
      </c>
      <c r="D1070">
        <v>16.03</v>
      </c>
      <c r="E1070">
        <v>16.03</v>
      </c>
      <c r="F1070">
        <v>0.2840911926501446</v>
      </c>
      <c r="G1070">
        <v>1</v>
      </c>
      <c r="H1070" t="str">
        <v>Tournesol</v>
      </c>
    </row>
    <row r="1071" spans="1:8">
      <c r="A1071" t="s">
        <v>765</v>
      </c>
      <c r="B1071">
        <v>23936</v>
      </c>
      <c r="C1071">
        <v>6800</v>
      </c>
      <c r="D1071">
        <v>21.76</v>
      </c>
      <c r="E1071">
        <v>21.76</v>
      </c>
      <c r="F1071">
        <v>0.28409090909090912</v>
      </c>
      <c r="G1071">
        <v>1</v>
      </c>
      <c r="H1071" t="str">
        <v>Tournesol</v>
      </c>
    </row>
    <row r="1072" spans="1:8">
      <c r="A1072" t="s">
        <v>765</v>
      </c>
      <c r="B1072">
        <v>23195.67</v>
      </c>
      <c r="C1072">
        <v>6039.54</v>
      </c>
      <c r="D1072">
        <v>16.059999999999999</v>
      </c>
      <c r="E1072">
        <v>16.059999999999999</v>
      </c>
      <c r="F1072">
        <v>0.26037359558917678</v>
      </c>
      <c r="G1072">
        <v>1</v>
      </c>
      <c r="H1072" t="str">
        <v>Tournesol</v>
      </c>
    </row>
    <row r="1073" spans="1:8">
      <c r="A1073" t="s">
        <v>866</v>
      </c>
      <c r="B1073">
        <v>36430.559999999998</v>
      </c>
      <c r="C1073">
        <v>6139.22</v>
      </c>
      <c r="D1073">
        <v>28.11</v>
      </c>
      <c r="E1073">
        <v>28.11</v>
      </c>
      <c r="F1073">
        <v>0.16851840872059065</v>
      </c>
      <c r="G1073">
        <v>1</v>
      </c>
      <c r="H1073" t="str">
        <v>Maïs grain non irrigué</v>
      </c>
    </row>
    <row r="1074" spans="1:8">
      <c r="A1074" t="s">
        <v>1141</v>
      </c>
      <c r="B1074">
        <v>10276.42</v>
      </c>
      <c r="C1074">
        <v>5569.9</v>
      </c>
      <c r="D1074">
        <v>12.52</v>
      </c>
      <c r="E1074">
        <v>12.51</v>
      </c>
      <c r="F1074">
        <v>0.54200781984387558</v>
      </c>
      <c r="G1074">
        <v>0.99920127795527158</v>
      </c>
      <c r="H1074" t="str">
        <v>Sorgho</v>
      </c>
    </row>
    <row r="1075" spans="1:8">
      <c r="A1075" t="s">
        <v>765</v>
      </c>
      <c r="B1075">
        <v>3632.86</v>
      </c>
      <c r="C1075">
        <v>2333.0500000000002</v>
      </c>
      <c r="D1075">
        <v>6.74</v>
      </c>
      <c r="E1075">
        <v>6.74</v>
      </c>
      <c r="F1075">
        <v>0.64220751694257416</v>
      </c>
      <c r="G1075">
        <v>1</v>
      </c>
      <c r="H1075" t="str">
        <v>Tournesol</v>
      </c>
    </row>
    <row r="1076" spans="1:8">
      <c r="A1076" t="s">
        <v>866</v>
      </c>
      <c r="B1076">
        <v>9213.7000000000007</v>
      </c>
      <c r="C1076">
        <v>6753.08</v>
      </c>
      <c r="D1076">
        <v>5.49</v>
      </c>
      <c r="E1076">
        <v>5.49</v>
      </c>
      <c r="F1076">
        <v>0.73293899302126175</v>
      </c>
      <c r="G1076">
        <v>1</v>
      </c>
      <c r="H1076" t="str">
        <v>Maïs grain non irrigué</v>
      </c>
    </row>
    <row r="1077" spans="1:8">
      <c r="A1077" t="s">
        <v>866</v>
      </c>
      <c r="B1077">
        <v>47763.9</v>
      </c>
      <c r="C1077">
        <v>28998.58</v>
      </c>
      <c r="D1077">
        <v>36.35</v>
      </c>
      <c r="E1077">
        <v>36.35</v>
      </c>
      <c r="F1077">
        <v>0.6071233714164882</v>
      </c>
      <c r="G1077">
        <v>1</v>
      </c>
      <c r="H1077" t="str">
        <v>Maïs grain non irrigué</v>
      </c>
    </row>
    <row r="1078" spans="1:8">
      <c r="A1078" t="s">
        <v>765</v>
      </c>
      <c r="B1078">
        <v>33148.5</v>
      </c>
      <c r="C1078">
        <v>6386.61</v>
      </c>
      <c r="D1078">
        <v>20.09</v>
      </c>
      <c r="E1078">
        <v>20.09</v>
      </c>
      <c r="F1078">
        <v>0.19266663649938912</v>
      </c>
      <c r="G1078">
        <v>1</v>
      </c>
      <c r="H1078" t="str">
        <v>Tournesol</v>
      </c>
    </row>
    <row r="1079" spans="1:8">
      <c r="A1079" t="s">
        <v>866</v>
      </c>
      <c r="B1079">
        <v>31969.13</v>
      </c>
      <c r="C1079">
        <v>7551.08</v>
      </c>
      <c r="D1079">
        <v>20.2</v>
      </c>
      <c r="E1079">
        <v>20.2</v>
      </c>
      <c r="F1079">
        <v>0.2361991083273145</v>
      </c>
      <c r="G1079">
        <v>1</v>
      </c>
      <c r="H1079" t="str">
        <v>Maïs grain non irrigué</v>
      </c>
    </row>
    <row r="1080" spans="1:8">
      <c r="A1080" t="s">
        <v>765</v>
      </c>
      <c r="B1080">
        <v>6517.49</v>
      </c>
      <c r="C1080">
        <v>535.45000000000005</v>
      </c>
      <c r="D1080">
        <v>4.7</v>
      </c>
      <c r="E1080">
        <v>4.7</v>
      </c>
      <c r="F1080">
        <v>8.2155860615052742E-2</v>
      </c>
      <c r="G1080">
        <v>1</v>
      </c>
      <c r="H1080" t="str">
        <v>Tournesol</v>
      </c>
    </row>
    <row r="1081" spans="1:8">
      <c r="A1081" t="s">
        <v>866</v>
      </c>
      <c r="B1081">
        <v>90033.02</v>
      </c>
      <c r="C1081">
        <v>44003.91</v>
      </c>
      <c r="D1081">
        <v>34</v>
      </c>
      <c r="E1081">
        <v>34.340000000000003</v>
      </c>
      <c r="F1081">
        <v>0.48875301528261522</v>
      </c>
      <c r="G1081">
        <v>1.01</v>
      </c>
      <c r="H1081" t="str">
        <v>Maïs grain non irrigué</v>
      </c>
    </row>
    <row r="1082" spans="1:8">
      <c r="A1082" t="s">
        <v>866</v>
      </c>
      <c r="B1082">
        <v>41696.79</v>
      </c>
      <c r="C1082">
        <v>3338.64</v>
      </c>
      <c r="D1082">
        <v>30.01</v>
      </c>
      <c r="E1082">
        <v>30</v>
      </c>
      <c r="F1082">
        <v>8.0069472973818848E-2</v>
      </c>
      <c r="G1082">
        <v>0.99966677774075308</v>
      </c>
      <c r="H1082" t="str">
        <v>Maïs grain non irrigué</v>
      </c>
    </row>
    <row r="1083" spans="1:8">
      <c r="A1083" t="s">
        <v>765</v>
      </c>
      <c r="B1083">
        <v>64908.41</v>
      </c>
      <c r="C1083">
        <v>7830.69</v>
      </c>
      <c r="D1083">
        <v>85.07</v>
      </c>
      <c r="E1083">
        <v>85.07</v>
      </c>
      <c r="F1083">
        <v>0.12064214791272809</v>
      </c>
      <c r="G1083">
        <v>1</v>
      </c>
      <c r="H1083" t="str">
        <v>Tournesol</v>
      </c>
    </row>
    <row r="1084" spans="1:8">
      <c r="A1084" t="s">
        <v>910</v>
      </c>
      <c r="B1084">
        <v>13772.21</v>
      </c>
      <c r="C1084">
        <v>1673.79</v>
      </c>
      <c r="D1084">
        <v>7.32</v>
      </c>
      <c r="E1084">
        <v>7.32</v>
      </c>
      <c r="F1084">
        <v>0.12153387147015621</v>
      </c>
      <c r="G1084">
        <v>1</v>
      </c>
      <c r="H1084" t="str">
        <v>Maïs grain irrigué</v>
      </c>
    </row>
    <row r="1085" spans="1:8">
      <c r="A1085" t="s">
        <v>866</v>
      </c>
      <c r="B1085">
        <v>10704.6</v>
      </c>
      <c r="C1085">
        <v>2468.11</v>
      </c>
      <c r="D1085">
        <v>6.31</v>
      </c>
      <c r="E1085">
        <v>6.31</v>
      </c>
      <c r="F1085">
        <v>0.23056536442277153</v>
      </c>
      <c r="G1085">
        <v>1</v>
      </c>
      <c r="H1085" t="str">
        <v>Maïs grain non irrigué</v>
      </c>
    </row>
    <row r="1086" spans="1:8">
      <c r="A1086" t="s">
        <v>765</v>
      </c>
      <c r="B1086">
        <v>38370.36</v>
      </c>
      <c r="C1086">
        <v>639.51</v>
      </c>
      <c r="D1086">
        <v>53.74</v>
      </c>
      <c r="E1086">
        <v>53.74</v>
      </c>
      <c r="F1086">
        <v>1.6666770913799089E-2</v>
      </c>
      <c r="G1086">
        <v>1</v>
      </c>
      <c r="H1086" t="str">
        <v>Tournesol</v>
      </c>
    </row>
    <row r="1087" spans="1:8">
      <c r="A1087" t="s">
        <v>814</v>
      </c>
      <c r="B1087">
        <v>6588.24</v>
      </c>
      <c r="C1087">
        <v>1984.62</v>
      </c>
      <c r="D1087">
        <v>5.82</v>
      </c>
      <c r="E1087">
        <v>5.82</v>
      </c>
      <c r="F1087">
        <v>0.30123674911660775</v>
      </c>
      <c r="G1087">
        <v>1</v>
      </c>
      <c r="H1087" t="str">
        <v>Soja</v>
      </c>
    </row>
    <row r="1088" spans="1:8">
      <c r="A1088" t="s">
        <v>814</v>
      </c>
      <c r="B1088">
        <v>13442.52</v>
      </c>
      <c r="C1088">
        <v>5271.14</v>
      </c>
      <c r="D1088">
        <v>12.31</v>
      </c>
      <c r="E1088">
        <v>12.3</v>
      </c>
      <c r="F1088">
        <v>0.39212439334291488</v>
      </c>
      <c r="G1088">
        <v>0.99918765231519091</v>
      </c>
      <c r="H1088" t="str">
        <v>Soja</v>
      </c>
    </row>
    <row r="1089" spans="1:8">
      <c r="A1089" t="s">
        <v>866</v>
      </c>
      <c r="B1089">
        <v>27474.400000000001</v>
      </c>
      <c r="C1089">
        <v>4870.24</v>
      </c>
      <c r="D1089">
        <v>24.4</v>
      </c>
      <c r="E1089">
        <v>24.4</v>
      </c>
      <c r="F1089">
        <v>0.1772646536412078</v>
      </c>
      <c r="G1089">
        <v>1</v>
      </c>
      <c r="H1089" t="str">
        <v>Maïs grain non irrigué</v>
      </c>
    </row>
    <row r="1090" spans="1:8">
      <c r="A1090" t="s">
        <v>866</v>
      </c>
      <c r="B1090">
        <v>7953.4</v>
      </c>
      <c r="C1090">
        <v>4147.49</v>
      </c>
      <c r="D1090">
        <v>4</v>
      </c>
      <c r="E1090">
        <v>4</v>
      </c>
      <c r="F1090">
        <v>0.52147383508939571</v>
      </c>
      <c r="G1090">
        <v>1</v>
      </c>
      <c r="H1090" t="str">
        <v>Maïs grain non irrigué</v>
      </c>
    </row>
    <row r="1091" spans="1:8">
      <c r="A1091" t="s">
        <v>765</v>
      </c>
      <c r="B1091">
        <v>15731.63</v>
      </c>
      <c r="C1091">
        <v>2454.13</v>
      </c>
      <c r="D1091">
        <v>10.5</v>
      </c>
      <c r="E1091">
        <v>2.5</v>
      </c>
      <c r="F1091">
        <v>0.1559997279366474</v>
      </c>
      <c r="G1091">
        <v>0.23809523809523808</v>
      </c>
      <c r="H1091" t="str">
        <v>Tournesol</v>
      </c>
    </row>
    <row r="1092" spans="1:8">
      <c r="A1092" t="s">
        <v>765</v>
      </c>
      <c r="B1092">
        <v>6408.48</v>
      </c>
      <c r="C1092">
        <v>1842.44</v>
      </c>
      <c r="D1092">
        <v>10.27</v>
      </c>
      <c r="E1092">
        <v>10.27</v>
      </c>
      <c r="F1092">
        <v>0.28750031208648541</v>
      </c>
      <c r="G1092">
        <v>1</v>
      </c>
      <c r="H1092" t="str">
        <v>Tournesol</v>
      </c>
    </row>
    <row r="1093" spans="1:8">
      <c r="A1093" t="s">
        <v>898</v>
      </c>
      <c r="B1093">
        <v>22409.58</v>
      </c>
      <c r="C1093">
        <v>5035.8599999999997</v>
      </c>
      <c r="D1093">
        <v>24.93</v>
      </c>
      <c r="E1093">
        <v>24.93</v>
      </c>
      <c r="F1093">
        <v>0.22471907104015332</v>
      </c>
      <c r="G1093">
        <v>1</v>
      </c>
      <c r="H1093" t="str">
        <v>Maïs ensilage non irrigué</v>
      </c>
    </row>
    <row r="1094" spans="1:8">
      <c r="A1094" t="s">
        <v>866</v>
      </c>
      <c r="B1094">
        <v>15226.74</v>
      </c>
      <c r="C1094">
        <v>2664.68</v>
      </c>
      <c r="D1094">
        <v>10.28</v>
      </c>
      <c r="E1094">
        <v>10.28</v>
      </c>
      <c r="F1094">
        <v>0.17500003283696969</v>
      </c>
      <c r="G1094">
        <v>1</v>
      </c>
      <c r="H1094" t="str">
        <v>Maïs grain non irrigué</v>
      </c>
    </row>
    <row r="1095" spans="1:8">
      <c r="A1095" t="s">
        <v>866</v>
      </c>
      <c r="B1095">
        <v>6142.03</v>
      </c>
      <c r="C1095">
        <v>1925.99</v>
      </c>
      <c r="D1095">
        <v>3.86</v>
      </c>
      <c r="E1095">
        <v>3.86</v>
      </c>
      <c r="F1095">
        <v>0.31357547911683925</v>
      </c>
      <c r="G1095">
        <v>1</v>
      </c>
      <c r="H1095" t="str">
        <v>Maïs grain non irrigué</v>
      </c>
    </row>
    <row r="1096" spans="1:8">
      <c r="A1096" t="s">
        <v>866</v>
      </c>
      <c r="B1096">
        <v>49856.23</v>
      </c>
      <c r="C1096">
        <v>2100.5700000000002</v>
      </c>
      <c r="D1096">
        <v>73.73</v>
      </c>
      <c r="E1096">
        <v>73.73</v>
      </c>
      <c r="F1096">
        <v>4.2132547928313072E-2</v>
      </c>
      <c r="G1096">
        <v>1</v>
      </c>
      <c r="H1096" t="str">
        <v>Maïs grain non irrigué</v>
      </c>
    </row>
    <row r="1097" spans="1:8">
      <c r="A1097" t="s">
        <v>898</v>
      </c>
      <c r="B1097">
        <v>10368</v>
      </c>
      <c r="C1097">
        <v>2520.1</v>
      </c>
      <c r="D1097">
        <v>6.48</v>
      </c>
      <c r="E1097">
        <v>6.48</v>
      </c>
      <c r="F1097">
        <v>0.24306520061728396</v>
      </c>
      <c r="G1097">
        <v>1</v>
      </c>
      <c r="H1097" t="str">
        <v>Maïs ensilage non irrigué</v>
      </c>
    </row>
    <row r="1098" spans="1:8">
      <c r="A1098" t="s">
        <v>442</v>
      </c>
      <c r="B1098">
        <v>17240.849999999999</v>
      </c>
      <c r="C1098">
        <v>1824.32</v>
      </c>
      <c r="D1098">
        <v>17.82</v>
      </c>
      <c r="E1098">
        <v>17.82</v>
      </c>
      <c r="F1098">
        <v>0.10581380848392047</v>
      </c>
      <c r="G1098">
        <v>1</v>
      </c>
      <c r="H1098" t="str">
        <v>Lin oléagineux</v>
      </c>
    </row>
    <row r="1099" spans="1:8">
      <c r="A1099" t="s">
        <v>866</v>
      </c>
      <c r="B1099">
        <v>33558.68</v>
      </c>
      <c r="C1099">
        <v>3849.38</v>
      </c>
      <c r="D1099">
        <v>29.03</v>
      </c>
      <c r="E1099">
        <v>29.03</v>
      </c>
      <c r="F1099">
        <v>0.11470594195004094</v>
      </c>
      <c r="G1099">
        <v>1</v>
      </c>
      <c r="H1099" t="str">
        <v>Maïs grain non irrigué</v>
      </c>
    </row>
    <row r="1100" spans="1:8">
      <c r="A1100" t="s">
        <v>911</v>
      </c>
      <c r="B1100">
        <v>6361.6</v>
      </c>
      <c r="C1100">
        <v>2778.24</v>
      </c>
      <c r="D1100">
        <v>3.2</v>
      </c>
      <c r="E1100">
        <v>3.2</v>
      </c>
      <c r="F1100">
        <v>0.43672032193158949</v>
      </c>
      <c r="G1100">
        <v>1</v>
      </c>
      <c r="H1100" t="str">
        <v>Maïs pop corn irrigué</v>
      </c>
    </row>
    <row r="1101" spans="1:8">
      <c r="A1101" t="s">
        <v>866</v>
      </c>
      <c r="B1101">
        <v>19852.080000000002</v>
      </c>
      <c r="C1101">
        <v>5832.23</v>
      </c>
      <c r="D1101">
        <v>13.71</v>
      </c>
      <c r="E1101">
        <v>13.71</v>
      </c>
      <c r="F1101">
        <v>0.29378432889651862</v>
      </c>
      <c r="G1101">
        <v>1</v>
      </c>
      <c r="H1101" t="str">
        <v>Maïs grain non irrigué</v>
      </c>
    </row>
    <row r="1102" spans="1:8">
      <c r="A1102" t="s">
        <v>765</v>
      </c>
      <c r="B1102">
        <v>14401.8</v>
      </c>
      <c r="C1102">
        <v>194.31</v>
      </c>
      <c r="D1102">
        <v>11.43</v>
      </c>
      <c r="E1102">
        <v>11.43</v>
      </c>
      <c r="F1102">
        <v>1.3492063492063493E-2</v>
      </c>
      <c r="G1102">
        <v>1</v>
      </c>
      <c r="H1102" t="str">
        <v>Tournesol</v>
      </c>
    </row>
    <row r="1103" spans="1:8">
      <c r="A1103" t="s">
        <v>898</v>
      </c>
      <c r="B1103">
        <v>28125</v>
      </c>
      <c r="C1103">
        <v>2968.75</v>
      </c>
      <c r="D1103">
        <v>25</v>
      </c>
      <c r="E1103">
        <v>25</v>
      </c>
      <c r="F1103">
        <v>0.10555555555555556</v>
      </c>
      <c r="G1103">
        <v>1</v>
      </c>
      <c r="H1103" t="str">
        <v>Maïs ensilage non irrigué</v>
      </c>
    </row>
    <row r="1104" spans="1:8">
      <c r="A1104" t="s">
        <v>910</v>
      </c>
      <c r="B1104">
        <v>16894.8</v>
      </c>
      <c r="C1104">
        <v>4548.18</v>
      </c>
      <c r="D1104">
        <v>8</v>
      </c>
      <c r="E1104">
        <v>8</v>
      </c>
      <c r="F1104">
        <v>0.26920590951061868</v>
      </c>
      <c r="G1104">
        <v>1</v>
      </c>
      <c r="H1104" t="str">
        <v>Maïs grain irrigué</v>
      </c>
    </row>
    <row r="1105" spans="1:8">
      <c r="A1105" t="s">
        <v>765</v>
      </c>
      <c r="B1105">
        <v>7647.08</v>
      </c>
      <c r="C1105">
        <v>2563.71</v>
      </c>
      <c r="D1105">
        <v>8.81</v>
      </c>
      <c r="E1105">
        <v>8.81</v>
      </c>
      <c r="F1105">
        <v>0.33525345622119818</v>
      </c>
      <c r="G1105">
        <v>1</v>
      </c>
      <c r="H1105" t="str">
        <v>Tournesol</v>
      </c>
    </row>
    <row r="1106" spans="1:8">
      <c r="A1106" t="s">
        <v>898</v>
      </c>
      <c r="B1106">
        <v>8178.23</v>
      </c>
      <c r="C1106">
        <v>3027.42</v>
      </c>
      <c r="D1106">
        <v>5.0199999999999996</v>
      </c>
      <c r="E1106">
        <v>5.0199999999999996</v>
      </c>
      <c r="F1106">
        <v>0.3701803446467023</v>
      </c>
      <c r="G1106">
        <v>1</v>
      </c>
      <c r="H1106" t="str">
        <v>Maïs ensilage non irrigué</v>
      </c>
    </row>
    <row r="1107" spans="1:8">
      <c r="A1107" t="s">
        <v>814</v>
      </c>
      <c r="B1107">
        <v>10026.24</v>
      </c>
      <c r="C1107">
        <v>1266.05</v>
      </c>
      <c r="D1107">
        <v>8.4</v>
      </c>
      <c r="E1107">
        <v>8.4</v>
      </c>
      <c r="F1107">
        <v>0.12627365792161369</v>
      </c>
      <c r="G1107">
        <v>1</v>
      </c>
      <c r="H1107" t="str">
        <v>Soja</v>
      </c>
    </row>
    <row r="1108" spans="1:8">
      <c r="A1108" t="s">
        <v>765</v>
      </c>
      <c r="B1108">
        <v>30972</v>
      </c>
      <c r="C1108">
        <v>3161</v>
      </c>
      <c r="D1108">
        <v>29</v>
      </c>
      <c r="E1108">
        <v>29</v>
      </c>
      <c r="F1108">
        <v>0.10205992509363296</v>
      </c>
      <c r="G1108">
        <v>1</v>
      </c>
      <c r="H1108" t="str">
        <v>Tournesol</v>
      </c>
    </row>
    <row r="1109" spans="1:8">
      <c r="A1109" t="s">
        <v>765</v>
      </c>
      <c r="B1109">
        <v>25070.5</v>
      </c>
      <c r="C1109">
        <v>9486.5</v>
      </c>
      <c r="D1109">
        <v>20.3</v>
      </c>
      <c r="E1109">
        <v>20.3</v>
      </c>
      <c r="F1109">
        <v>0.37839293193195189</v>
      </c>
      <c r="G1109">
        <v>1</v>
      </c>
      <c r="H1109" t="str">
        <v>Tournesol</v>
      </c>
    </row>
    <row r="1110" spans="1:8">
      <c r="A1110" t="s">
        <v>866</v>
      </c>
      <c r="B1110">
        <v>19743.75</v>
      </c>
      <c r="C1110">
        <v>7020</v>
      </c>
      <c r="D1110">
        <v>16.25</v>
      </c>
      <c r="E1110">
        <v>16.25</v>
      </c>
      <c r="F1110">
        <v>0.35555555555555557</v>
      </c>
      <c r="G1110">
        <v>1</v>
      </c>
      <c r="H1110" t="str">
        <v>Maïs grain non irrigué</v>
      </c>
    </row>
    <row r="1111" spans="1:8">
      <c r="A1111" t="s">
        <v>765</v>
      </c>
      <c r="B1111">
        <v>11919.25</v>
      </c>
      <c r="C1111">
        <v>125.47</v>
      </c>
      <c r="D1111">
        <v>11.34</v>
      </c>
      <c r="E1111">
        <v>11.34</v>
      </c>
      <c r="F1111">
        <v>1.0526669043773727E-2</v>
      </c>
      <c r="G1111">
        <v>1</v>
      </c>
      <c r="H1111" t="str">
        <v>Tournesol</v>
      </c>
    </row>
    <row r="1112" spans="1:8">
      <c r="A1112" t="s">
        <v>765</v>
      </c>
      <c r="B1112">
        <v>19267.599999999999</v>
      </c>
      <c r="C1112">
        <v>333</v>
      </c>
      <c r="D1112">
        <v>16.61</v>
      </c>
      <c r="E1112">
        <v>16.61</v>
      </c>
      <c r="F1112">
        <v>1.7282899790321576E-2</v>
      </c>
      <c r="G1112">
        <v>1</v>
      </c>
      <c r="H1112" t="str">
        <v>Tournesol</v>
      </c>
    </row>
    <row r="1113" spans="1:8">
      <c r="A1113" t="s">
        <v>866</v>
      </c>
      <c r="B1113">
        <v>13285.63</v>
      </c>
      <c r="C1113">
        <v>165.66</v>
      </c>
      <c r="D1113">
        <v>12.5</v>
      </c>
      <c r="E1113">
        <v>7.89</v>
      </c>
      <c r="F1113">
        <v>1.2469111363179616E-2</v>
      </c>
      <c r="G1113">
        <v>0.63119999999999998</v>
      </c>
      <c r="H1113" t="str">
        <v>Maïs grain non irrigué</v>
      </c>
    </row>
    <row r="1114" spans="1:8">
      <c r="A1114" t="s">
        <v>911</v>
      </c>
      <c r="B1114">
        <v>33669.11</v>
      </c>
      <c r="C1114">
        <v>16234.32</v>
      </c>
      <c r="D1114">
        <v>16.920000000000002</v>
      </c>
      <c r="E1114">
        <v>16.920000000000002</v>
      </c>
      <c r="F1114">
        <v>0.48217253143905497</v>
      </c>
      <c r="G1114">
        <v>1</v>
      </c>
      <c r="H1114" t="str">
        <v>Maïs pop corn irrigué</v>
      </c>
    </row>
    <row r="1115" spans="1:8">
      <c r="A1115" t="s">
        <v>910</v>
      </c>
      <c r="B1115">
        <v>21367.200000000001</v>
      </c>
      <c r="C1115">
        <v>2507.34</v>
      </c>
      <c r="D1115">
        <v>12</v>
      </c>
      <c r="E1115">
        <v>12</v>
      </c>
      <c r="F1115">
        <v>0.11734527687296417</v>
      </c>
      <c r="G1115">
        <v>1</v>
      </c>
      <c r="H1115" t="str">
        <v>Maïs grain irrigué</v>
      </c>
    </row>
    <row r="1116" spans="1:8">
      <c r="A1116" t="s">
        <v>898</v>
      </c>
      <c r="B1116">
        <v>5998.5</v>
      </c>
      <c r="C1116">
        <v>916.55</v>
      </c>
      <c r="D1116">
        <v>4.6500000000000004</v>
      </c>
      <c r="E1116">
        <v>4.6500000000000004</v>
      </c>
      <c r="F1116">
        <v>0.15279653246644995</v>
      </c>
      <c r="G1116">
        <v>1</v>
      </c>
      <c r="H1116" t="str">
        <v>Maïs ensilage non irrigué</v>
      </c>
    </row>
    <row r="1117" spans="1:8">
      <c r="A1117" t="s">
        <v>866</v>
      </c>
      <c r="B1117">
        <v>5720</v>
      </c>
      <c r="C1117">
        <v>720.72</v>
      </c>
      <c r="D1117">
        <v>4.4000000000000004</v>
      </c>
      <c r="E1117">
        <v>4.4000000000000004</v>
      </c>
      <c r="F1117">
        <v>0.126</v>
      </c>
      <c r="G1117">
        <v>1</v>
      </c>
      <c r="H1117" t="str">
        <v>Maïs grain non irrigué</v>
      </c>
    </row>
    <row r="1118" spans="1:8">
      <c r="A1118" t="s">
        <v>898</v>
      </c>
      <c r="B1118">
        <v>15556.62</v>
      </c>
      <c r="C1118">
        <v>5959.64</v>
      </c>
      <c r="D1118">
        <v>15.83</v>
      </c>
      <c r="E1118">
        <v>15.83</v>
      </c>
      <c r="F1118">
        <v>0.38309349974480317</v>
      </c>
      <c r="G1118">
        <v>1</v>
      </c>
      <c r="H1118" t="str">
        <v>Maïs ensilage non irrigué</v>
      </c>
    </row>
    <row r="1119" spans="1:8">
      <c r="A1119" t="s">
        <v>910</v>
      </c>
      <c r="B1119">
        <v>158590.88</v>
      </c>
      <c r="C1119">
        <v>43160.65</v>
      </c>
      <c r="D1119">
        <v>63.64</v>
      </c>
      <c r="E1119">
        <v>63.64</v>
      </c>
      <c r="F1119">
        <v>0.27215089543610577</v>
      </c>
      <c r="G1119">
        <v>1</v>
      </c>
      <c r="H1119" t="str">
        <v>Maïs grain irrigué</v>
      </c>
    </row>
    <row r="1120" spans="1:8">
      <c r="A1120" t="s">
        <v>866</v>
      </c>
      <c r="B1120">
        <v>17253.84</v>
      </c>
      <c r="C1120">
        <v>746.81</v>
      </c>
      <c r="D1120">
        <v>21.46</v>
      </c>
      <c r="E1120">
        <v>21.46</v>
      </c>
      <c r="F1120">
        <v>4.3283698005777263E-2</v>
      </c>
      <c r="G1120">
        <v>1</v>
      </c>
      <c r="H1120" t="str">
        <v>Maïs grain non irrigué</v>
      </c>
    </row>
    <row r="1121" spans="1:8">
      <c r="A1121" t="s">
        <v>898</v>
      </c>
      <c r="B1121">
        <v>65158.94</v>
      </c>
      <c r="C1121">
        <v>4065.47</v>
      </c>
      <c r="D1121">
        <v>55.14</v>
      </c>
      <c r="E1121">
        <v>55.14</v>
      </c>
      <c r="F1121">
        <v>6.2393126714461587E-2</v>
      </c>
      <c r="G1121">
        <v>1</v>
      </c>
      <c r="H1121" t="str">
        <v>Maïs ensilage non irrigué</v>
      </c>
    </row>
    <row r="1122" spans="1:8">
      <c r="A1122" t="s">
        <v>866</v>
      </c>
      <c r="B1122">
        <v>15066.81</v>
      </c>
      <c r="C1122">
        <v>5022.2700000000004</v>
      </c>
      <c r="D1122">
        <v>8.01</v>
      </c>
      <c r="E1122">
        <v>8.01</v>
      </c>
      <c r="F1122">
        <v>0.33333333333333337</v>
      </c>
      <c r="G1122">
        <v>1</v>
      </c>
      <c r="H1122" t="str">
        <v>Maïs grain non irrigué</v>
      </c>
    </row>
    <row r="1123" spans="1:8">
      <c r="A1123" t="s">
        <v>866</v>
      </c>
      <c r="B1123">
        <v>68764.5</v>
      </c>
      <c r="C1123">
        <v>7886.55</v>
      </c>
      <c r="D1123">
        <v>51.8</v>
      </c>
      <c r="E1123">
        <v>51.8</v>
      </c>
      <c r="F1123">
        <v>0.11468926553672316</v>
      </c>
      <c r="G1123">
        <v>1</v>
      </c>
      <c r="H1123" t="str">
        <v>Maïs grain non irrigué</v>
      </c>
    </row>
    <row r="1124" spans="1:8">
      <c r="A1124" t="s">
        <v>866</v>
      </c>
      <c r="B1124">
        <v>17122.919999999998</v>
      </c>
      <c r="C1124">
        <v>3062.26</v>
      </c>
      <c r="D1124">
        <v>9.74</v>
      </c>
      <c r="E1124">
        <v>9.74</v>
      </c>
      <c r="F1124">
        <v>0.178839824048702</v>
      </c>
      <c r="G1124">
        <v>1</v>
      </c>
      <c r="H1124" t="str">
        <v>Maïs grain non irrigué</v>
      </c>
    </row>
    <row r="1125" spans="1:8">
      <c r="A1125" t="s">
        <v>765</v>
      </c>
      <c r="B1125">
        <v>20795.39</v>
      </c>
      <c r="C1125">
        <v>1322.55</v>
      </c>
      <c r="D1125">
        <v>15.82</v>
      </c>
      <c r="E1125">
        <v>15.82</v>
      </c>
      <c r="F1125">
        <v>6.3598230184670743E-2</v>
      </c>
      <c r="G1125">
        <v>1</v>
      </c>
      <c r="H1125" t="str">
        <v>Tournesol</v>
      </c>
    </row>
    <row r="1126" spans="1:8">
      <c r="A1126" t="s">
        <v>898</v>
      </c>
      <c r="B1126">
        <v>42831.51</v>
      </c>
      <c r="C1126">
        <v>6201</v>
      </c>
      <c r="D1126">
        <v>30.97</v>
      </c>
      <c r="E1126">
        <v>30</v>
      </c>
      <c r="F1126">
        <v>0.14477659087900471</v>
      </c>
      <c r="G1126">
        <v>0.96867936712948022</v>
      </c>
      <c r="H1126" t="str">
        <v>Maïs ensilage non irrigué</v>
      </c>
    </row>
    <row r="1127" spans="1:8">
      <c r="A1127" t="s">
        <v>765</v>
      </c>
      <c r="B1127">
        <v>20014.560000000001</v>
      </c>
      <c r="C1127">
        <v>3949.78</v>
      </c>
      <c r="D1127">
        <v>19.68</v>
      </c>
      <c r="E1127">
        <v>19.670000000000002</v>
      </c>
      <c r="F1127">
        <v>0.19734533259786874</v>
      </c>
      <c r="G1127">
        <v>0.99949186991869932</v>
      </c>
      <c r="H1127" t="str">
        <v>Tournesol</v>
      </c>
    </row>
    <row r="1128" spans="1:8">
      <c r="A1128" t="s">
        <v>866</v>
      </c>
      <c r="B1128">
        <v>9589.6299999999992</v>
      </c>
      <c r="C1128">
        <v>978.6</v>
      </c>
      <c r="D1128">
        <v>6.87</v>
      </c>
      <c r="E1128">
        <v>6.87</v>
      </c>
      <c r="F1128">
        <v>0.10204773281138063</v>
      </c>
      <c r="G1128">
        <v>1</v>
      </c>
      <c r="H1128" t="str">
        <v>Maïs grain non irrigué</v>
      </c>
    </row>
    <row r="1129" spans="1:8">
      <c r="A1129" t="s">
        <v>866</v>
      </c>
      <c r="B1129">
        <v>10498.29</v>
      </c>
      <c r="C1129">
        <v>2378.4299999999998</v>
      </c>
      <c r="D1129">
        <v>6.14</v>
      </c>
      <c r="E1129">
        <v>6.14</v>
      </c>
      <c r="F1129">
        <v>0.22655403880060462</v>
      </c>
      <c r="G1129">
        <v>1</v>
      </c>
      <c r="H1129" t="str">
        <v>Maïs grain non irrigué</v>
      </c>
    </row>
    <row r="1130" spans="1:8">
      <c r="A1130" t="s">
        <v>866</v>
      </c>
      <c r="B1130">
        <v>43642.29</v>
      </c>
      <c r="C1130">
        <v>4564.6000000000004</v>
      </c>
      <c r="D1130">
        <v>23.35</v>
      </c>
      <c r="E1130">
        <v>23.35</v>
      </c>
      <c r="F1130">
        <v>0.10459121187270422</v>
      </c>
      <c r="G1130">
        <v>1</v>
      </c>
      <c r="H1130" t="str">
        <v>Maïs grain non irrigué</v>
      </c>
    </row>
    <row r="1131" spans="1:8">
      <c r="A1131" t="s">
        <v>910</v>
      </c>
      <c r="B1131">
        <v>51075.18</v>
      </c>
      <c r="C1131">
        <v>11194.64</v>
      </c>
      <c r="D1131">
        <v>26.91</v>
      </c>
      <c r="E1131">
        <v>26.91</v>
      </c>
      <c r="F1131">
        <v>0.21917964851029403</v>
      </c>
      <c r="G1131">
        <v>1</v>
      </c>
      <c r="H1131" t="str">
        <v>Maïs grain irrigué</v>
      </c>
    </row>
    <row r="1132" spans="1:8">
      <c r="A1132" t="s">
        <v>866</v>
      </c>
      <c r="B1132">
        <v>54206.400000000001</v>
      </c>
      <c r="C1132">
        <v>14144.64</v>
      </c>
      <c r="D1132">
        <v>39.28</v>
      </c>
      <c r="E1132">
        <v>39.28</v>
      </c>
      <c r="F1132">
        <v>0.26094040556096693</v>
      </c>
      <c r="G1132">
        <v>1</v>
      </c>
      <c r="H1132" t="str">
        <v>Maïs grain non irrigué</v>
      </c>
    </row>
    <row r="1133" spans="1:8">
      <c r="A1133" t="s">
        <v>765</v>
      </c>
      <c r="B1133">
        <v>70994.28</v>
      </c>
      <c r="C1133">
        <v>7672.48</v>
      </c>
      <c r="D1133">
        <v>56.85</v>
      </c>
      <c r="E1133">
        <v>56.85</v>
      </c>
      <c r="F1133">
        <v>0.10807180522149108</v>
      </c>
      <c r="G1133">
        <v>1</v>
      </c>
      <c r="H1133" t="str">
        <v>Tournesol</v>
      </c>
    </row>
    <row r="1134" spans="1:8">
      <c r="A1134" t="s">
        <v>866</v>
      </c>
      <c r="B1134">
        <v>49623.519999999997</v>
      </c>
      <c r="C1134">
        <v>14872.06</v>
      </c>
      <c r="D1134">
        <v>37.479999999999997</v>
      </c>
      <c r="E1134">
        <v>37.479999999999997</v>
      </c>
      <c r="F1134">
        <v>0.29969780458943662</v>
      </c>
      <c r="G1134">
        <v>1</v>
      </c>
      <c r="H1134" t="str">
        <v>Maïs grain non irrigué</v>
      </c>
    </row>
    <row r="1135" spans="1:8">
      <c r="A1135" t="s">
        <v>866</v>
      </c>
      <c r="B1135">
        <v>220594.38</v>
      </c>
      <c r="C1135">
        <v>55916.21</v>
      </c>
      <c r="D1135">
        <v>94.03</v>
      </c>
      <c r="E1135">
        <v>94.03</v>
      </c>
      <c r="F1135">
        <v>0.25347975773453518</v>
      </c>
      <c r="G1135">
        <v>1</v>
      </c>
      <c r="H1135" t="str">
        <v>Maïs grain non irrigué</v>
      </c>
    </row>
    <row r="1136" spans="1:8">
      <c r="A1136" t="s">
        <v>866</v>
      </c>
      <c r="B1136">
        <v>26965.3</v>
      </c>
      <c r="C1136">
        <v>11233.28</v>
      </c>
      <c r="D1136">
        <v>18.82</v>
      </c>
      <c r="E1136">
        <v>18.809999999999999</v>
      </c>
      <c r="F1136">
        <v>0.4165827934419421</v>
      </c>
      <c r="G1136">
        <v>0.99946865037194466</v>
      </c>
      <c r="H1136" t="str">
        <v>Maïs grain non irrigué</v>
      </c>
    </row>
    <row r="1137" spans="1:8">
      <c r="A1137" t="s">
        <v>137</v>
      </c>
      <c r="B1137">
        <v>468270</v>
      </c>
      <c r="C1137">
        <v>242563.86</v>
      </c>
      <c r="D1137">
        <v>363</v>
      </c>
      <c r="E1137">
        <v>363</v>
      </c>
      <c r="F1137">
        <v>0.51800000000000002</v>
      </c>
      <c r="G1137">
        <v>1</v>
      </c>
      <c r="H1137" t="str">
        <v>Orge de printemps</v>
      </c>
    </row>
    <row r="1138" spans="1:8">
      <c r="A1138" t="s">
        <v>866</v>
      </c>
      <c r="B1138">
        <v>35884.800000000003</v>
      </c>
      <c r="C1138">
        <v>5428.8</v>
      </c>
      <c r="D1138">
        <v>36</v>
      </c>
      <c r="E1138">
        <v>36</v>
      </c>
      <c r="F1138">
        <v>0.15128410914927767</v>
      </c>
      <c r="G1138">
        <v>1</v>
      </c>
      <c r="H1138" t="str">
        <v>Maïs grain non irrigué</v>
      </c>
    </row>
    <row r="1139" spans="1:8">
      <c r="A1139" t="s">
        <v>898</v>
      </c>
      <c r="B1139">
        <v>66148.289999999994</v>
      </c>
      <c r="C1139">
        <v>17566.05</v>
      </c>
      <c r="D1139">
        <v>43.49</v>
      </c>
      <c r="E1139">
        <v>43.49</v>
      </c>
      <c r="F1139">
        <v>0.26555561753750551</v>
      </c>
      <c r="G1139">
        <v>1</v>
      </c>
      <c r="H1139" t="str">
        <v>Maïs ensilage non irrigué</v>
      </c>
    </row>
    <row r="1140" spans="1:8">
      <c r="A1140" t="s">
        <v>814</v>
      </c>
      <c r="B1140">
        <v>16083.9</v>
      </c>
      <c r="C1140">
        <v>7398.59</v>
      </c>
      <c r="D1140">
        <v>11.1</v>
      </c>
      <c r="E1140">
        <v>11.1</v>
      </c>
      <c r="F1140">
        <v>0.45999975130409915</v>
      </c>
      <c r="G1140">
        <v>1</v>
      </c>
      <c r="H1140" t="str">
        <v>Soja</v>
      </c>
    </row>
    <row r="1141" spans="1:8">
      <c r="A1141" t="s">
        <v>27</v>
      </c>
      <c r="B1141">
        <v>5930.4</v>
      </c>
      <c r="C1141">
        <v>4109.32</v>
      </c>
      <c r="D1141">
        <v>10.59</v>
      </c>
      <c r="E1141">
        <v>10.59</v>
      </c>
      <c r="F1141">
        <v>0.69292459193309053</v>
      </c>
      <c r="G1141">
        <v>1</v>
      </c>
      <c r="H1141" t="str">
        <v>Colza d'hiver</v>
      </c>
    </row>
    <row r="1142" spans="1:8">
      <c r="A1142" t="s">
        <v>910</v>
      </c>
      <c r="B1142">
        <v>26591.46</v>
      </c>
      <c r="C1142">
        <v>1415</v>
      </c>
      <c r="D1142">
        <v>13.69</v>
      </c>
      <c r="E1142">
        <v>13.69</v>
      </c>
      <c r="F1142">
        <v>5.3212572758321655E-2</v>
      </c>
      <c r="G1142">
        <v>1</v>
      </c>
      <c r="H1142" t="str">
        <v>Maïs grain irrigué</v>
      </c>
    </row>
    <row r="1143" spans="1:8">
      <c r="A1143" t="s">
        <v>1141</v>
      </c>
      <c r="B1143">
        <v>18893.25</v>
      </c>
      <c r="C1143">
        <v>6658.65</v>
      </c>
      <c r="D1143">
        <v>12.15</v>
      </c>
      <c r="E1143">
        <v>12.15</v>
      </c>
      <c r="F1143">
        <v>0.35243539359294984</v>
      </c>
      <c r="G1143">
        <v>1</v>
      </c>
      <c r="H1143" t="str">
        <v>Sorgho</v>
      </c>
    </row>
    <row r="1144" spans="1:8">
      <c r="A1144" t="s">
        <v>765</v>
      </c>
      <c r="B1144">
        <v>41529.599999999999</v>
      </c>
      <c r="C1144">
        <v>5418.85</v>
      </c>
      <c r="D1144">
        <v>51.5</v>
      </c>
      <c r="E1144">
        <v>51.5</v>
      </c>
      <c r="F1144">
        <v>0.13048163237787025</v>
      </c>
      <c r="G1144">
        <v>1</v>
      </c>
      <c r="H1144" t="str">
        <v>Tournesol</v>
      </c>
    </row>
    <row r="1145" spans="1:8">
      <c r="A1145" t="s">
        <v>765</v>
      </c>
      <c r="B1145">
        <v>56576.06</v>
      </c>
      <c r="C1145">
        <v>6425.09</v>
      </c>
      <c r="D1145">
        <v>71.87</v>
      </c>
      <c r="E1145">
        <v>41.83</v>
      </c>
      <c r="F1145">
        <v>0.11356552577185475</v>
      </c>
      <c r="G1145">
        <v>0.58202309725893964</v>
      </c>
      <c r="H1145" t="str">
        <v>Tournesol</v>
      </c>
    </row>
    <row r="1146" spans="1:8">
      <c r="A1146" t="s">
        <v>898</v>
      </c>
      <c r="B1146">
        <v>23301.05</v>
      </c>
      <c r="C1146">
        <v>8751.34</v>
      </c>
      <c r="D1146">
        <v>17.350000000000001</v>
      </c>
      <c r="E1146">
        <v>17.350000000000001</v>
      </c>
      <c r="F1146">
        <v>0.37557706626954579</v>
      </c>
      <c r="G1146">
        <v>1</v>
      </c>
      <c r="H1146" t="str">
        <v>Maïs ensilage non irrigué</v>
      </c>
    </row>
    <row r="1147" spans="1:8">
      <c r="A1147" t="s">
        <v>814</v>
      </c>
      <c r="B1147">
        <v>35796.199999999997</v>
      </c>
      <c r="C1147">
        <v>8774.15</v>
      </c>
      <c r="D1147">
        <v>23.32</v>
      </c>
      <c r="E1147">
        <v>15</v>
      </c>
      <c r="F1147">
        <v>0.24511400651465798</v>
      </c>
      <c r="G1147">
        <v>0.64322469982847341</v>
      </c>
      <c r="H1147" t="str">
        <v>Soja</v>
      </c>
    </row>
    <row r="1148" spans="1:8">
      <c r="A1148" t="s">
        <v>898</v>
      </c>
      <c r="B1148">
        <v>39307.199999999997</v>
      </c>
      <c r="C1148">
        <v>6517.76</v>
      </c>
      <c r="D1148">
        <v>32</v>
      </c>
      <c r="E1148">
        <v>32</v>
      </c>
      <c r="F1148">
        <v>0.16581593194122199</v>
      </c>
      <c r="G1148">
        <v>1</v>
      </c>
      <c r="H1148" t="str">
        <v>Maïs ensilage non irrigué</v>
      </c>
    </row>
    <row r="1149" spans="1:8">
      <c r="A1149" t="s">
        <v>866</v>
      </c>
      <c r="B1149">
        <v>6442.8</v>
      </c>
      <c r="C1149">
        <v>233.86</v>
      </c>
      <c r="D1149">
        <v>5</v>
      </c>
      <c r="E1149">
        <v>5</v>
      </c>
      <c r="F1149">
        <v>3.6297882908052401E-2</v>
      </c>
      <c r="G1149">
        <v>1</v>
      </c>
      <c r="H1149" t="str">
        <v>Maïs grain non irrigué</v>
      </c>
    </row>
    <row r="1150" spans="1:8">
      <c r="A1150" t="s">
        <v>866</v>
      </c>
      <c r="B1150">
        <v>37935.18</v>
      </c>
      <c r="C1150">
        <v>14966.21</v>
      </c>
      <c r="D1150">
        <v>28.87</v>
      </c>
      <c r="E1150">
        <v>28.87</v>
      </c>
      <c r="F1150">
        <v>0.39452060066671618</v>
      </c>
      <c r="G1150">
        <v>1</v>
      </c>
      <c r="H1150" t="str">
        <v>Maïs grain non irrigué</v>
      </c>
    </row>
    <row r="1151" spans="1:8">
      <c r="A1151" t="s">
        <v>1141</v>
      </c>
      <c r="B1151">
        <v>6132.24</v>
      </c>
      <c r="C1151">
        <v>635.94000000000005</v>
      </c>
      <c r="D1151">
        <v>6.68</v>
      </c>
      <c r="E1151">
        <v>6.68</v>
      </c>
      <c r="F1151">
        <v>0.10370435599389458</v>
      </c>
      <c r="G1151">
        <v>1</v>
      </c>
      <c r="H1151" t="str">
        <v>Sorgho</v>
      </c>
    </row>
    <row r="1152" spans="1:8">
      <c r="A1152" t="s">
        <v>765</v>
      </c>
      <c r="B1152">
        <v>10227.879999999999</v>
      </c>
      <c r="C1152">
        <v>2035.85</v>
      </c>
      <c r="D1152">
        <v>15.13</v>
      </c>
      <c r="E1152">
        <v>15.13</v>
      </c>
      <c r="F1152">
        <v>0.1990490697974556</v>
      </c>
      <c r="G1152">
        <v>1</v>
      </c>
      <c r="H1152" t="str">
        <v>Tournesol</v>
      </c>
    </row>
    <row r="1153" spans="1:8">
      <c r="A1153" t="s">
        <v>814</v>
      </c>
      <c r="B1153">
        <v>4000.56</v>
      </c>
      <c r="C1153">
        <v>2325.2199999999998</v>
      </c>
      <c r="D1153">
        <v>4.22</v>
      </c>
      <c r="E1153">
        <v>4.22</v>
      </c>
      <c r="F1153">
        <v>0.58122362869198307</v>
      </c>
      <c r="G1153">
        <v>1</v>
      </c>
      <c r="H1153" t="str">
        <v>Soja</v>
      </c>
    </row>
    <row r="1154" spans="1:8">
      <c r="A1154" t="s">
        <v>898</v>
      </c>
      <c r="B1154">
        <v>14418.12</v>
      </c>
      <c r="C1154">
        <v>5737.81</v>
      </c>
      <c r="D1154">
        <v>9.11</v>
      </c>
      <c r="E1154">
        <v>9.11</v>
      </c>
      <c r="F1154">
        <v>0.39795826362937747</v>
      </c>
      <c r="G1154">
        <v>1</v>
      </c>
      <c r="H1154" t="str">
        <v>Maïs ensilage non irrigué</v>
      </c>
    </row>
    <row r="1155" spans="1:8">
      <c r="A1155" t="s">
        <v>866</v>
      </c>
      <c r="B1155">
        <v>16907.599999999999</v>
      </c>
      <c r="C1155">
        <v>6955.68</v>
      </c>
      <c r="D1155">
        <v>10.75</v>
      </c>
      <c r="E1155">
        <v>4</v>
      </c>
      <c r="F1155">
        <v>0.41139369277721266</v>
      </c>
      <c r="G1155">
        <v>0.37209302325581395</v>
      </c>
      <c r="H1155" t="str">
        <v>Maïs grain non irrigué</v>
      </c>
    </row>
    <row r="1156" spans="1:8">
      <c r="A1156" t="s">
        <v>866</v>
      </c>
      <c r="B1156">
        <v>27445.360000000001</v>
      </c>
      <c r="C1156">
        <v>12351.81</v>
      </c>
      <c r="D1156">
        <v>17.45</v>
      </c>
      <c r="E1156">
        <v>10</v>
      </c>
      <c r="F1156">
        <v>0.45005093757196113</v>
      </c>
      <c r="G1156">
        <v>0.57306590257879664</v>
      </c>
      <c r="H1156" t="str">
        <v>Maïs grain non irrigué</v>
      </c>
    </row>
    <row r="1157" spans="1:8">
      <c r="A1157" t="s">
        <v>765</v>
      </c>
      <c r="B1157">
        <v>4148.4799999999996</v>
      </c>
      <c r="C1157">
        <v>758.39</v>
      </c>
      <c r="D1157">
        <v>4.63</v>
      </c>
      <c r="E1157">
        <v>2</v>
      </c>
      <c r="F1157">
        <v>0.18281153579142242</v>
      </c>
      <c r="G1157">
        <v>0.43196544276457882</v>
      </c>
      <c r="H1157" t="str">
        <v>Tournesol</v>
      </c>
    </row>
    <row r="1158" spans="1:8">
      <c r="A1158" t="s">
        <v>765</v>
      </c>
      <c r="B1158">
        <v>4533.76</v>
      </c>
      <c r="C1158">
        <v>332.95</v>
      </c>
      <c r="D1158">
        <v>5.0599999999999996</v>
      </c>
      <c r="E1158">
        <v>3</v>
      </c>
      <c r="F1158">
        <v>7.3437941134952001E-2</v>
      </c>
      <c r="G1158">
        <v>0.59288537549407117</v>
      </c>
      <c r="H1158" t="str">
        <v>Tournesol</v>
      </c>
    </row>
    <row r="1159" spans="1:8">
      <c r="A1159" t="s">
        <v>765</v>
      </c>
      <c r="B1159">
        <v>11826.17</v>
      </c>
      <c r="C1159">
        <v>202</v>
      </c>
      <c r="D1159">
        <v>11.01</v>
      </c>
      <c r="E1159">
        <v>11.01</v>
      </c>
      <c r="F1159">
        <v>1.7080762410822778E-2</v>
      </c>
      <c r="G1159">
        <v>1</v>
      </c>
      <c r="H1159" t="str">
        <v>Tournesol</v>
      </c>
    </row>
    <row r="1160" spans="1:8">
      <c r="A1160" t="s">
        <v>866</v>
      </c>
      <c r="B1160">
        <v>21736.26</v>
      </c>
      <c r="C1160">
        <v>205</v>
      </c>
      <c r="D1160">
        <v>13.27</v>
      </c>
      <c r="E1160">
        <v>13.27</v>
      </c>
      <c r="F1160">
        <v>9.4312453016296271E-3</v>
      </c>
      <c r="G1160">
        <v>1</v>
      </c>
      <c r="H1160" t="str">
        <v>Maïs grain non irrigué</v>
      </c>
    </row>
    <row r="1161" spans="1:8">
      <c r="A1161" t="s">
        <v>866</v>
      </c>
      <c r="B1161">
        <v>43410.879999999997</v>
      </c>
      <c r="C1161">
        <v>19306.939999999999</v>
      </c>
      <c r="D1161">
        <v>30.78</v>
      </c>
      <c r="E1161">
        <v>30.78</v>
      </c>
      <c r="F1161">
        <v>0.44474887401499347</v>
      </c>
      <c r="G1161">
        <v>1</v>
      </c>
      <c r="H1161" t="str">
        <v>Maïs grain non irrigué</v>
      </c>
    </row>
    <row r="1162" spans="1:8">
      <c r="A1162" t="s">
        <v>866</v>
      </c>
      <c r="B1162">
        <v>32939.5</v>
      </c>
      <c r="C1162">
        <v>7184.09</v>
      </c>
      <c r="D1162">
        <v>28.39</v>
      </c>
      <c r="E1162">
        <v>28.39</v>
      </c>
      <c r="F1162">
        <v>0.21809954613761592</v>
      </c>
      <c r="G1162">
        <v>1</v>
      </c>
      <c r="H1162" t="str">
        <v>Maïs grain non irrigué</v>
      </c>
    </row>
    <row r="1163" spans="1:8">
      <c r="A1163" t="s">
        <v>1009</v>
      </c>
      <c r="B1163">
        <v>14333</v>
      </c>
      <c r="C1163">
        <v>1949.75</v>
      </c>
      <c r="D1163">
        <v>10</v>
      </c>
      <c r="E1163">
        <v>10</v>
      </c>
      <c r="F1163">
        <v>0.13603223330775135</v>
      </c>
      <c r="G1163">
        <v>1</v>
      </c>
      <c r="H1163" t="str">
        <v>Maïs ensilage irrigué</v>
      </c>
    </row>
    <row r="1164" spans="1:8">
      <c r="A1164" t="s">
        <v>866</v>
      </c>
      <c r="B1164">
        <v>10013.85</v>
      </c>
      <c r="C1164">
        <v>2048.29</v>
      </c>
      <c r="D1164">
        <v>8.5</v>
      </c>
      <c r="E1164">
        <v>8.5</v>
      </c>
      <c r="F1164">
        <v>0.20454570419968343</v>
      </c>
      <c r="G1164">
        <v>1</v>
      </c>
      <c r="H1164" t="str">
        <v>Maïs grain non irrigué</v>
      </c>
    </row>
    <row r="1165" spans="1:8">
      <c r="A1165" t="s">
        <v>814</v>
      </c>
      <c r="B1165">
        <v>8800</v>
      </c>
      <c r="C1165">
        <v>924</v>
      </c>
      <c r="D1165">
        <v>11</v>
      </c>
      <c r="E1165">
        <v>11</v>
      </c>
      <c r="F1165">
        <v>0.105</v>
      </c>
      <c r="G1165">
        <v>1</v>
      </c>
      <c r="H1165" t="str">
        <v>Soja</v>
      </c>
    </row>
    <row r="1166" spans="1:8">
      <c r="A1166" t="s">
        <v>765</v>
      </c>
      <c r="B1166">
        <v>10650</v>
      </c>
      <c r="C1166">
        <v>1187.5</v>
      </c>
      <c r="D1166">
        <v>6.4</v>
      </c>
      <c r="E1166">
        <v>12.5</v>
      </c>
      <c r="F1166">
        <v>0.11150234741784038</v>
      </c>
      <c r="G1166">
        <v>1.953125</v>
      </c>
      <c r="H1166" t="str">
        <v>Tournesol</v>
      </c>
    </row>
    <row r="1167" spans="1:8">
      <c r="A1167" t="s">
        <v>765</v>
      </c>
      <c r="B1167">
        <v>7122.45</v>
      </c>
      <c r="C1167">
        <v>1350.42</v>
      </c>
      <c r="D1167">
        <v>6.18</v>
      </c>
      <c r="E1167">
        <v>6.18</v>
      </c>
      <c r="F1167">
        <v>0.18960048859591855</v>
      </c>
      <c r="G1167">
        <v>1</v>
      </c>
      <c r="H1167" t="str">
        <v>Tournesol</v>
      </c>
    </row>
    <row r="1168" spans="1:8">
      <c r="A1168" t="s">
        <v>407</v>
      </c>
      <c r="B1168">
        <v>42055.199999999997</v>
      </c>
      <c r="C1168">
        <v>15747.34</v>
      </c>
      <c r="D1168">
        <v>10.62</v>
      </c>
      <c r="E1168">
        <v>10.62</v>
      </c>
      <c r="F1168">
        <v>0.37444453955753393</v>
      </c>
      <c r="G1168">
        <v>1</v>
      </c>
      <c r="H1168" t="str">
        <v>Lin textile</v>
      </c>
    </row>
    <row r="1169" spans="1:8">
      <c r="A1169" t="s">
        <v>898</v>
      </c>
      <c r="B1169">
        <v>23704.74</v>
      </c>
      <c r="C1169">
        <v>10597.46</v>
      </c>
      <c r="D1169">
        <v>14.22</v>
      </c>
      <c r="E1169">
        <v>14.22</v>
      </c>
      <c r="F1169">
        <v>0.44706079881070193</v>
      </c>
      <c r="G1169">
        <v>1</v>
      </c>
      <c r="H1169" t="str">
        <v>Maïs ensilage non irrigué</v>
      </c>
    </row>
    <row r="1170" spans="1:8">
      <c r="A1170" t="s">
        <v>898</v>
      </c>
      <c r="B1170">
        <v>18127.75</v>
      </c>
      <c r="C1170">
        <v>6378.44</v>
      </c>
      <c r="D1170">
        <v>16.739999999999998</v>
      </c>
      <c r="E1170">
        <v>16.739999999999998</v>
      </c>
      <c r="F1170">
        <v>0.35186054529657568</v>
      </c>
      <c r="G1170">
        <v>1</v>
      </c>
      <c r="H1170" t="str">
        <v>Maïs ensilage non irrigué</v>
      </c>
    </row>
    <row r="1171" spans="1:8">
      <c r="A1171" t="s">
        <v>765</v>
      </c>
      <c r="B1171">
        <v>6810</v>
      </c>
      <c r="C1171">
        <v>749.5</v>
      </c>
      <c r="D1171">
        <v>6</v>
      </c>
      <c r="E1171">
        <v>6</v>
      </c>
      <c r="F1171">
        <v>0.11005873715124817</v>
      </c>
      <c r="G1171">
        <v>1</v>
      </c>
      <c r="H1171" t="str">
        <v>Tournesol</v>
      </c>
    </row>
    <row r="1172" spans="1:8">
      <c r="A1172" t="s">
        <v>910</v>
      </c>
      <c r="B1172">
        <v>62912</v>
      </c>
      <c r="C1172">
        <v>1744.36</v>
      </c>
      <c r="D1172">
        <v>32</v>
      </c>
      <c r="E1172">
        <v>32</v>
      </c>
      <c r="F1172">
        <v>2.7726983723296031E-2</v>
      </c>
      <c r="G1172">
        <v>1</v>
      </c>
      <c r="H1172" t="str">
        <v>Maïs grain irrigué</v>
      </c>
    </row>
    <row r="1173" spans="1:8">
      <c r="A1173" t="s">
        <v>866</v>
      </c>
      <c r="B1173">
        <v>8300</v>
      </c>
      <c r="C1173">
        <v>1750.2</v>
      </c>
      <c r="D1173">
        <v>5</v>
      </c>
      <c r="E1173">
        <v>5</v>
      </c>
      <c r="F1173">
        <v>0.21086746987951807</v>
      </c>
      <c r="G1173">
        <v>1</v>
      </c>
      <c r="H1173" t="str">
        <v>Maïs grain non irrigué</v>
      </c>
    </row>
    <row r="1174" spans="1:8">
      <c r="A1174" t="s">
        <v>910</v>
      </c>
      <c r="B1174">
        <v>42129.35</v>
      </c>
      <c r="C1174">
        <v>2466.61</v>
      </c>
      <c r="D1174">
        <v>25.01</v>
      </c>
      <c r="E1174">
        <v>25</v>
      </c>
      <c r="F1174">
        <v>5.854849410209273E-2</v>
      </c>
      <c r="G1174">
        <v>0.99960015993602558</v>
      </c>
      <c r="H1174" t="str">
        <v>Maïs grain irrigué</v>
      </c>
    </row>
    <row r="1175" spans="1:8">
      <c r="A1175" t="s">
        <v>814</v>
      </c>
      <c r="B1175">
        <v>2249.52</v>
      </c>
      <c r="C1175">
        <v>368.74</v>
      </c>
      <c r="D1175">
        <v>2.06</v>
      </c>
      <c r="E1175">
        <v>2.06</v>
      </c>
      <c r="F1175">
        <v>0.16391941391941392</v>
      </c>
      <c r="G1175">
        <v>1</v>
      </c>
      <c r="H1175" t="str">
        <v>Soja</v>
      </c>
    </row>
    <row r="1176" spans="1:8">
      <c r="A1176" t="s">
        <v>898</v>
      </c>
      <c r="B1176">
        <v>19755.060000000001</v>
      </c>
      <c r="C1176">
        <v>1720.6</v>
      </c>
      <c r="D1176">
        <v>14.82</v>
      </c>
      <c r="E1176">
        <v>14.82</v>
      </c>
      <c r="F1176">
        <v>8.7096672953663509E-2</v>
      </c>
      <c r="G1176">
        <v>1</v>
      </c>
      <c r="H1176" t="str">
        <v>Maïs ensilage non irrigué</v>
      </c>
    </row>
    <row r="1177" spans="1:8">
      <c r="A1177" t="s">
        <v>765</v>
      </c>
      <c r="B1177">
        <v>16558.52</v>
      </c>
      <c r="C1177">
        <v>2086.23</v>
      </c>
      <c r="D1177">
        <v>16.21</v>
      </c>
      <c r="E1177">
        <v>16.21</v>
      </c>
      <c r="F1177">
        <v>0.12599133255870693</v>
      </c>
      <c r="G1177">
        <v>1</v>
      </c>
      <c r="H1177" t="str">
        <v>Tournesol</v>
      </c>
    </row>
    <row r="1178" spans="1:8">
      <c r="A1178" t="s">
        <v>910</v>
      </c>
      <c r="B1178">
        <v>74141.460000000006</v>
      </c>
      <c r="C1178">
        <v>5129.33</v>
      </c>
      <c r="D1178">
        <v>30.9</v>
      </c>
      <c r="E1178">
        <v>30.9</v>
      </c>
      <c r="F1178">
        <v>6.9183018516225603E-2</v>
      </c>
      <c r="G1178">
        <v>1</v>
      </c>
      <c r="H1178" t="str">
        <v>Maïs grain irrigué</v>
      </c>
    </row>
    <row r="1179" spans="1:8">
      <c r="A1179" t="s">
        <v>442</v>
      </c>
      <c r="B1179">
        <v>7245</v>
      </c>
      <c r="C1179">
        <v>4425.75</v>
      </c>
      <c r="D1179">
        <v>12.6</v>
      </c>
      <c r="E1179">
        <v>12.6</v>
      </c>
      <c r="F1179">
        <v>0.61086956521739133</v>
      </c>
      <c r="G1179">
        <v>1</v>
      </c>
      <c r="H1179" t="str">
        <v>Lin oléagineux</v>
      </c>
    </row>
    <row r="1180" spans="1:8">
      <c r="A1180" t="s">
        <v>898</v>
      </c>
      <c r="B1180">
        <v>32162.720000000001</v>
      </c>
      <c r="C1180">
        <v>14814.04</v>
      </c>
      <c r="D1180">
        <v>17.899999999999999</v>
      </c>
      <c r="E1180">
        <v>17.899999999999999</v>
      </c>
      <c r="F1180">
        <v>0.46059661620658948</v>
      </c>
      <c r="G1180">
        <v>1</v>
      </c>
      <c r="H1180" t="str">
        <v>Maïs ensilage non irrigué</v>
      </c>
    </row>
    <row r="1181" spans="1:8">
      <c r="A1181" t="s">
        <v>866</v>
      </c>
      <c r="B1181">
        <v>32566.39</v>
      </c>
      <c r="C1181">
        <v>6811.92</v>
      </c>
      <c r="D1181">
        <v>25.19</v>
      </c>
      <c r="E1181">
        <v>25.18</v>
      </c>
      <c r="F1181">
        <v>0.20917025190695071</v>
      </c>
      <c r="G1181">
        <v>0.99960301707026589</v>
      </c>
      <c r="H1181" t="str">
        <v>Maïs grain non irrigué</v>
      </c>
    </row>
    <row r="1182" spans="1:8">
      <c r="A1182" t="s">
        <v>765</v>
      </c>
      <c r="B1182">
        <v>25716.06</v>
      </c>
      <c r="C1182">
        <v>5825.08</v>
      </c>
      <c r="D1182">
        <v>21.13</v>
      </c>
      <c r="E1182">
        <v>21.13</v>
      </c>
      <c r="F1182">
        <v>0.2265152593359947</v>
      </c>
      <c r="G1182">
        <v>1</v>
      </c>
      <c r="H1182" t="str">
        <v>Tournesol</v>
      </c>
    </row>
    <row r="1183" spans="1:8">
      <c r="A1183" t="s">
        <v>2171</v>
      </c>
      <c r="B1183">
        <v>11000</v>
      </c>
      <c r="C1183">
        <v>2013</v>
      </c>
      <c r="D1183">
        <v>5.5</v>
      </c>
      <c r="E1183">
        <v>5.5</v>
      </c>
      <c r="F1183">
        <v>0.183</v>
      </c>
      <c r="G1183">
        <v>1</v>
      </c>
      <c r="H1183" t="str">
        <v>Maïs waxy non irrigué</v>
      </c>
    </row>
    <row r="1184" spans="1:8">
      <c r="A1184" t="s">
        <v>2171</v>
      </c>
      <c r="B1184">
        <v>41829.21</v>
      </c>
      <c r="C1184">
        <v>16146.77</v>
      </c>
      <c r="D1184">
        <v>22.85</v>
      </c>
      <c r="E1184">
        <v>22.85</v>
      </c>
      <c r="F1184">
        <v>0.38601661374910023</v>
      </c>
      <c r="G1184">
        <v>1</v>
      </c>
      <c r="H1184" t="str">
        <v>Maïs waxy non irrigué</v>
      </c>
    </row>
    <row r="1185" spans="1:8">
      <c r="A1185" t="s">
        <v>866</v>
      </c>
      <c r="B1185">
        <v>10196.44</v>
      </c>
      <c r="C1185">
        <v>2544.1</v>
      </c>
      <c r="D1185">
        <v>5.57</v>
      </c>
      <c r="E1185">
        <v>5.57</v>
      </c>
      <c r="F1185">
        <v>0.2495086520393392</v>
      </c>
      <c r="G1185">
        <v>1</v>
      </c>
      <c r="H1185" t="str">
        <v>Maïs grain non irrigué</v>
      </c>
    </row>
    <row r="1186" spans="1:8">
      <c r="A1186" t="s">
        <v>898</v>
      </c>
      <c r="B1186">
        <v>18267.689999999999</v>
      </c>
      <c r="C1186">
        <v>1.25</v>
      </c>
      <c r="D1186">
        <v>17.850000000000001</v>
      </c>
      <c r="E1186">
        <v>17.850000000000001</v>
      </c>
      <c r="F1186">
        <v>6.8426823533791086E-5</v>
      </c>
      <c r="G1186">
        <v>1</v>
      </c>
      <c r="H1186" t="str">
        <v>Maïs ensilage non irrigué</v>
      </c>
    </row>
    <row r="1187" spans="1:8">
      <c r="A1187" t="s">
        <v>911</v>
      </c>
      <c r="B1187">
        <v>23712</v>
      </c>
      <c r="C1187">
        <v>2222.4</v>
      </c>
      <c r="D1187">
        <v>12</v>
      </c>
      <c r="E1187">
        <v>12</v>
      </c>
      <c r="F1187">
        <v>9.3724696356275311E-2</v>
      </c>
      <c r="G1187">
        <v>1</v>
      </c>
      <c r="H1187" t="str">
        <v>Maïs pop corn irrigué</v>
      </c>
    </row>
    <row r="1188" spans="1:8">
      <c r="A1188" t="s">
        <v>866</v>
      </c>
      <c r="B1188">
        <v>31060.04</v>
      </c>
      <c r="C1188">
        <v>131.52000000000001</v>
      </c>
      <c r="D1188">
        <v>19.34</v>
      </c>
      <c r="E1188">
        <v>19.34</v>
      </c>
      <c r="F1188">
        <v>4.2343796080108074E-3</v>
      </c>
      <c r="G1188">
        <v>1</v>
      </c>
      <c r="H1188" t="str">
        <v>Maïs grain non irrigué</v>
      </c>
    </row>
    <row r="1189" spans="1:8">
      <c r="A1189" t="s">
        <v>898</v>
      </c>
      <c r="B1189">
        <v>43438.080000000002</v>
      </c>
      <c r="C1189">
        <v>4959.18</v>
      </c>
      <c r="D1189">
        <v>35.840000000000003</v>
      </c>
      <c r="E1189">
        <v>35.840000000000003</v>
      </c>
      <c r="F1189">
        <v>0.1141666482496464</v>
      </c>
      <c r="G1189">
        <v>1</v>
      </c>
      <c r="H1189" t="str">
        <v>Maïs ensilage non irrigué</v>
      </c>
    </row>
    <row r="1190" spans="1:8">
      <c r="A1190" t="s">
        <v>866</v>
      </c>
      <c r="B1190">
        <v>8777.9581999999991</v>
      </c>
      <c r="C1190">
        <v>1062.08</v>
      </c>
      <c r="D1190">
        <v>5.63</v>
      </c>
      <c r="E1190">
        <v>5.63</v>
      </c>
      <c r="F1190">
        <v>0.12099396873409582</v>
      </c>
      <c r="G1190">
        <v>1</v>
      </c>
      <c r="H1190" t="str">
        <v>Maïs grain non irrigué</v>
      </c>
    </row>
    <row r="1191" spans="1:8">
      <c r="A1191" t="s">
        <v>765</v>
      </c>
      <c r="B1191">
        <v>65103.02</v>
      </c>
      <c r="C1191">
        <v>12811.04</v>
      </c>
      <c r="D1191">
        <v>60.61</v>
      </c>
      <c r="E1191">
        <v>60.61</v>
      </c>
      <c r="F1191">
        <v>0.19678104026510601</v>
      </c>
      <c r="G1191">
        <v>1</v>
      </c>
      <c r="H1191" t="str">
        <v>Tournesol</v>
      </c>
    </row>
    <row r="1192" spans="1:8">
      <c r="A1192" t="s">
        <v>866</v>
      </c>
      <c r="B1192">
        <v>38075.58</v>
      </c>
      <c r="C1192">
        <v>4892.8</v>
      </c>
      <c r="D1192">
        <v>27.05</v>
      </c>
      <c r="E1192">
        <v>27.05</v>
      </c>
      <c r="F1192">
        <v>0.12850231040472659</v>
      </c>
      <c r="G1192">
        <v>1</v>
      </c>
      <c r="H1192" t="str">
        <v>Maïs grain non irrigué</v>
      </c>
    </row>
    <row r="1193" spans="1:8">
      <c r="A1193" t="s">
        <v>1141</v>
      </c>
      <c r="B1193">
        <v>9717.2999999999993</v>
      </c>
      <c r="C1193">
        <v>1760.27</v>
      </c>
      <c r="D1193">
        <v>8.85</v>
      </c>
      <c r="E1193">
        <v>8.85</v>
      </c>
      <c r="F1193">
        <v>0.18114805552982827</v>
      </c>
      <c r="G1193">
        <v>1</v>
      </c>
      <c r="H1193" t="str">
        <v>Sorgho</v>
      </c>
    </row>
    <row r="1194" spans="1:8">
      <c r="A1194" t="s">
        <v>866</v>
      </c>
      <c r="B1194">
        <v>10794.82</v>
      </c>
      <c r="C1194">
        <v>3221.04</v>
      </c>
      <c r="D1194">
        <v>7.57</v>
      </c>
      <c r="E1194">
        <v>7.57</v>
      </c>
      <c r="F1194">
        <v>0.29838755995931382</v>
      </c>
      <c r="G1194">
        <v>1</v>
      </c>
      <c r="H1194" t="str">
        <v>Maïs grain non irrigué</v>
      </c>
    </row>
    <row r="1195" spans="1:8">
      <c r="A1195" t="s">
        <v>866</v>
      </c>
      <c r="B1195">
        <v>7888</v>
      </c>
      <c r="C1195">
        <v>887.4</v>
      </c>
      <c r="D1195">
        <v>4.93</v>
      </c>
      <c r="E1195">
        <v>4.93</v>
      </c>
      <c r="F1195">
        <v>0.1125</v>
      </c>
      <c r="G1195">
        <v>1</v>
      </c>
      <c r="H1195" t="str">
        <v>Maïs grain non irrigué</v>
      </c>
    </row>
    <row r="1196" spans="1:8">
      <c r="A1196" t="s">
        <v>765</v>
      </c>
      <c r="B1196">
        <v>6136.52</v>
      </c>
      <c r="C1196">
        <v>1651.77</v>
      </c>
      <c r="D1196">
        <v>6.93</v>
      </c>
      <c r="E1196">
        <v>6.93</v>
      </c>
      <c r="F1196">
        <v>0.26917047447087272</v>
      </c>
      <c r="G1196">
        <v>1</v>
      </c>
      <c r="H1196" t="str">
        <v>Tournesol</v>
      </c>
    </row>
    <row r="1197" spans="1:8">
      <c r="A1197" t="s">
        <v>2171</v>
      </c>
      <c r="B1197">
        <v>13820.68</v>
      </c>
      <c r="C1197">
        <v>3304.69</v>
      </c>
      <c r="D1197">
        <v>7.94</v>
      </c>
      <c r="E1197">
        <v>7.94</v>
      </c>
      <c r="F1197">
        <v>0.2391119684414949</v>
      </c>
      <c r="G1197">
        <v>1</v>
      </c>
      <c r="H1197" t="str">
        <v>Maïs waxy non irrigué</v>
      </c>
    </row>
    <row r="1198" spans="1:8">
      <c r="A1198" t="s">
        <v>866</v>
      </c>
      <c r="B1198">
        <v>6865.24</v>
      </c>
      <c r="C1198">
        <v>1219.96</v>
      </c>
      <c r="D1198">
        <v>3.78</v>
      </c>
      <c r="E1198">
        <v>3.78</v>
      </c>
      <c r="F1198">
        <v>0.17770099807144399</v>
      </c>
      <c r="G1198">
        <v>1</v>
      </c>
      <c r="H1198" t="str">
        <v>Maïs grain non irrigué</v>
      </c>
    </row>
    <row r="1199" spans="1:8">
      <c r="A1199" t="s">
        <v>814</v>
      </c>
      <c r="B1199">
        <v>21910</v>
      </c>
      <c r="C1199">
        <v>5635.83</v>
      </c>
      <c r="D1199">
        <v>20</v>
      </c>
      <c r="E1199">
        <v>20</v>
      </c>
      <c r="F1199">
        <v>0.25722638064810588</v>
      </c>
      <c r="G1199">
        <v>1</v>
      </c>
      <c r="H1199" t="str">
        <v>Soja</v>
      </c>
    </row>
    <row r="1200" spans="1:8">
      <c r="A1200" t="s">
        <v>866</v>
      </c>
      <c r="B1200">
        <v>18006.400000000001</v>
      </c>
      <c r="C1200">
        <v>1031.5</v>
      </c>
      <c r="D1200">
        <v>9.6999999999999993</v>
      </c>
      <c r="E1200">
        <v>9.6999999999999993</v>
      </c>
      <c r="F1200">
        <v>5.728518748889283E-2</v>
      </c>
      <c r="G1200">
        <v>1</v>
      </c>
      <c r="H1200" t="str">
        <v>Maïs grain non irrigué</v>
      </c>
    </row>
    <row r="1201" spans="1:8">
      <c r="A1201" t="s">
        <v>898</v>
      </c>
      <c r="B1201">
        <v>15075.36</v>
      </c>
      <c r="C1201">
        <v>4195.49</v>
      </c>
      <c r="D1201">
        <v>11.6</v>
      </c>
      <c r="E1201">
        <v>11.6</v>
      </c>
      <c r="F1201">
        <v>0.27830114836395281</v>
      </c>
      <c r="G1201">
        <v>1</v>
      </c>
      <c r="H1201" t="str">
        <v>Maïs ensilage non irrigué</v>
      </c>
    </row>
    <row r="1202" spans="1:8">
      <c r="A1202" t="s">
        <v>1009</v>
      </c>
      <c r="B1202">
        <v>21522.62</v>
      </c>
      <c r="C1202">
        <v>6346.99</v>
      </c>
      <c r="D1202">
        <v>17.940000000000001</v>
      </c>
      <c r="E1202">
        <v>17.940000000000001</v>
      </c>
      <c r="F1202">
        <v>0.29489857647442552</v>
      </c>
      <c r="G1202">
        <v>1</v>
      </c>
      <c r="H1202" t="str">
        <v>Maïs ensilage irrigué</v>
      </c>
    </row>
    <row r="1203" spans="1:8">
      <c r="A1203" t="s">
        <v>898</v>
      </c>
      <c r="B1203">
        <v>9000</v>
      </c>
      <c r="C1203">
        <v>7980</v>
      </c>
      <c r="D1203">
        <v>6</v>
      </c>
      <c r="E1203">
        <v>6</v>
      </c>
      <c r="F1203">
        <v>0.88666666666666671</v>
      </c>
      <c r="G1203">
        <v>1</v>
      </c>
      <c r="H1203" t="str">
        <v>Maïs ensilage non irrigué</v>
      </c>
    </row>
    <row r="1204" spans="1:8">
      <c r="A1204" t="s">
        <v>866</v>
      </c>
      <c r="B1204">
        <v>4451.43</v>
      </c>
      <c r="C1204">
        <v>1141.79</v>
      </c>
      <c r="D1204">
        <v>3.37</v>
      </c>
      <c r="E1204">
        <v>3.37</v>
      </c>
      <c r="F1204">
        <v>0.25649959675879436</v>
      </c>
      <c r="G1204">
        <v>1</v>
      </c>
      <c r="H1204" t="str">
        <v>Maïs grain non irrigué</v>
      </c>
    </row>
    <row r="1205" spans="1:8">
      <c r="A1205" t="s">
        <v>910</v>
      </c>
      <c r="B1205">
        <v>32987.79</v>
      </c>
      <c r="C1205">
        <v>12932.5</v>
      </c>
      <c r="D1205">
        <v>23.47</v>
      </c>
      <c r="E1205">
        <v>23.47</v>
      </c>
      <c r="F1205">
        <v>0.39203899382165341</v>
      </c>
      <c r="G1205">
        <v>1</v>
      </c>
      <c r="H1205" t="str">
        <v>Maïs grain irrigué</v>
      </c>
    </row>
    <row r="1206" spans="1:8">
      <c r="A1206" t="s">
        <v>866</v>
      </c>
      <c r="B1206">
        <v>37077.4</v>
      </c>
      <c r="C1206">
        <v>9287.36</v>
      </c>
      <c r="D1206">
        <v>38.64</v>
      </c>
      <c r="E1206">
        <v>38.64</v>
      </c>
      <c r="F1206">
        <v>0.25048574063985068</v>
      </c>
      <c r="G1206">
        <v>1</v>
      </c>
      <c r="H1206" t="str">
        <v>Maïs grain non irrigué</v>
      </c>
    </row>
    <row r="1207" spans="1:8">
      <c r="A1207" t="s">
        <v>765</v>
      </c>
      <c r="B1207">
        <v>23709.15</v>
      </c>
      <c r="C1207">
        <v>3542.98</v>
      </c>
      <c r="D1207">
        <v>35.25</v>
      </c>
      <c r="E1207">
        <v>35.25</v>
      </c>
      <c r="F1207">
        <v>0.14943513369311004</v>
      </c>
      <c r="G1207">
        <v>1</v>
      </c>
      <c r="H1207" t="str">
        <v>Tournesol</v>
      </c>
    </row>
    <row r="1208" spans="1:8">
      <c r="A1208" t="s">
        <v>814</v>
      </c>
      <c r="B1208">
        <v>33695.5</v>
      </c>
      <c r="C1208">
        <v>8130.87</v>
      </c>
      <c r="D1208">
        <v>32.17</v>
      </c>
      <c r="E1208">
        <v>32.17</v>
      </c>
      <c r="F1208">
        <v>0.24130432847116084</v>
      </c>
      <c r="G1208">
        <v>1</v>
      </c>
      <c r="H1208" t="str">
        <v>Soja</v>
      </c>
    </row>
    <row r="1209" spans="1:8">
      <c r="A1209" t="s">
        <v>866</v>
      </c>
      <c r="B1209">
        <v>37768.18</v>
      </c>
      <c r="C1209">
        <v>13760.72</v>
      </c>
      <c r="D1209">
        <v>29.72</v>
      </c>
      <c r="E1209">
        <v>29.72</v>
      </c>
      <c r="F1209">
        <v>0.36434691849064477</v>
      </c>
      <c r="G1209">
        <v>1</v>
      </c>
      <c r="H1209" t="str">
        <v>Maïs grain non irrigué</v>
      </c>
    </row>
    <row r="1210" spans="1:8">
      <c r="A1210" t="s">
        <v>765</v>
      </c>
      <c r="B1210">
        <v>29840</v>
      </c>
      <c r="C1210">
        <v>11422.75</v>
      </c>
      <c r="D1210">
        <v>29.84</v>
      </c>
      <c r="E1210">
        <v>29.84</v>
      </c>
      <c r="F1210">
        <v>0.38279993297587134</v>
      </c>
      <c r="G1210">
        <v>1</v>
      </c>
      <c r="H1210" t="str">
        <v>Tournesol</v>
      </c>
    </row>
    <row r="1211" spans="1:8">
      <c r="A1211" t="s">
        <v>898</v>
      </c>
      <c r="B1211">
        <v>54745.54</v>
      </c>
      <c r="C1211">
        <v>21280.12</v>
      </c>
      <c r="D1211">
        <v>34.97</v>
      </c>
      <c r="E1211">
        <v>34.97</v>
      </c>
      <c r="F1211">
        <v>0.38870965561760829</v>
      </c>
      <c r="G1211">
        <v>1</v>
      </c>
      <c r="H1211" t="str">
        <v>Maïs ensilage non irrigué</v>
      </c>
    </row>
    <row r="1212" spans="1:8">
      <c r="A1212" t="s">
        <v>898</v>
      </c>
      <c r="B1212">
        <v>11952.71</v>
      </c>
      <c r="C1212">
        <v>4575.53</v>
      </c>
      <c r="D1212">
        <v>13.3</v>
      </c>
      <c r="E1212">
        <v>13.3</v>
      </c>
      <c r="F1212">
        <v>0.38280272841891089</v>
      </c>
      <c r="G1212">
        <v>1</v>
      </c>
      <c r="H1212" t="str">
        <v>Maïs ensilage non irrigué</v>
      </c>
    </row>
    <row r="1213" spans="1:8">
      <c r="A1213" t="s">
        <v>1141</v>
      </c>
      <c r="B1213">
        <v>7440</v>
      </c>
      <c r="C1213">
        <v>206.04</v>
      </c>
      <c r="D1213">
        <v>7.44</v>
      </c>
      <c r="E1213">
        <v>7.43</v>
      </c>
      <c r="F1213">
        <v>2.7693548387096773E-2</v>
      </c>
      <c r="G1213">
        <v>0.99865591397849451</v>
      </c>
      <c r="H1213" t="str">
        <v>Sorgho</v>
      </c>
    </row>
    <row r="1214" spans="1:8">
      <c r="A1214" t="s">
        <v>866</v>
      </c>
      <c r="B1214">
        <v>2713.2</v>
      </c>
      <c r="C1214">
        <v>918.75</v>
      </c>
      <c r="D1214">
        <v>3.23</v>
      </c>
      <c r="E1214">
        <v>3.23</v>
      </c>
      <c r="F1214">
        <v>0.33862229102167185</v>
      </c>
      <c r="G1214">
        <v>1</v>
      </c>
      <c r="H1214" t="str">
        <v>Maïs grain non irrigué</v>
      </c>
    </row>
    <row r="1215" spans="1:8">
      <c r="A1215" t="s">
        <v>765</v>
      </c>
      <c r="B1215">
        <v>31865.279999999999</v>
      </c>
      <c r="C1215">
        <v>15136.01</v>
      </c>
      <c r="D1215">
        <v>34.94</v>
      </c>
      <c r="E1215">
        <v>34.94</v>
      </c>
      <c r="F1215">
        <v>0.47500006276423745</v>
      </c>
      <c r="G1215">
        <v>1</v>
      </c>
      <c r="H1215" t="str">
        <v>Tournesol</v>
      </c>
    </row>
    <row r="1216" spans="1:8">
      <c r="A1216" t="s">
        <v>866</v>
      </c>
      <c r="B1216">
        <v>48051.09</v>
      </c>
      <c r="C1216">
        <v>20294.57</v>
      </c>
      <c r="D1216">
        <v>26</v>
      </c>
      <c r="E1216">
        <v>26</v>
      </c>
      <c r="F1216">
        <v>0.42235399862937556</v>
      </c>
      <c r="G1216">
        <v>1</v>
      </c>
      <c r="H1216" t="str">
        <v>Maïs grain non irrigué</v>
      </c>
    </row>
    <row r="1217" spans="1:8">
      <c r="A1217" t="s">
        <v>898</v>
      </c>
      <c r="B1217">
        <v>46912.5</v>
      </c>
      <c r="C1217">
        <v>9701.51</v>
      </c>
      <c r="D1217">
        <v>37.53</v>
      </c>
      <c r="E1217">
        <v>37.53</v>
      </c>
      <c r="F1217">
        <v>0.20680010658140155</v>
      </c>
      <c r="G1217">
        <v>1</v>
      </c>
      <c r="H1217" t="str">
        <v>Maïs ensilage non irrigué</v>
      </c>
    </row>
    <row r="1218" spans="1:8">
      <c r="A1218" t="s">
        <v>765</v>
      </c>
      <c r="B1218">
        <v>66643.08</v>
      </c>
      <c r="C1218">
        <v>18625.509999999998</v>
      </c>
      <c r="D1218">
        <v>65.709999999999994</v>
      </c>
      <c r="E1218">
        <v>65.709999999999994</v>
      </c>
      <c r="F1218">
        <v>0.27948153056551406</v>
      </c>
      <c r="G1218">
        <v>1</v>
      </c>
      <c r="H1218" t="str">
        <v>Tournesol</v>
      </c>
    </row>
    <row r="1219" spans="1:8">
      <c r="A1219" t="s">
        <v>765</v>
      </c>
      <c r="B1219">
        <v>5301.5</v>
      </c>
      <c r="C1219">
        <v>1429.1</v>
      </c>
      <c r="D1219">
        <v>5</v>
      </c>
      <c r="E1219">
        <v>5</v>
      </c>
      <c r="F1219">
        <v>0.26956521739130435</v>
      </c>
      <c r="G1219">
        <v>1</v>
      </c>
      <c r="H1219" t="str">
        <v>Tournesol</v>
      </c>
    </row>
    <row r="1220" spans="1:8">
      <c r="A1220" t="s">
        <v>1141</v>
      </c>
      <c r="B1220">
        <v>12420</v>
      </c>
      <c r="C1220">
        <v>1217.1600000000001</v>
      </c>
      <c r="D1220">
        <v>12.42</v>
      </c>
      <c r="E1220">
        <v>12.42</v>
      </c>
      <c r="F1220">
        <v>9.8000000000000004E-2</v>
      </c>
      <c r="G1220">
        <v>1</v>
      </c>
      <c r="H1220" t="str">
        <v>Sorgho</v>
      </c>
    </row>
    <row r="1221" spans="1:8">
      <c r="A1221" t="s">
        <v>898</v>
      </c>
      <c r="B1221">
        <v>13130</v>
      </c>
      <c r="C1221">
        <v>959.5</v>
      </c>
      <c r="D1221">
        <v>10</v>
      </c>
      <c r="E1221">
        <v>10</v>
      </c>
      <c r="F1221">
        <v>7.3076923076923081E-2</v>
      </c>
      <c r="G1221">
        <v>1</v>
      </c>
      <c r="H1221" t="str">
        <v>Maïs ensilage non irrigué</v>
      </c>
    </row>
    <row r="1222" spans="1:8">
      <c r="A1222" t="s">
        <v>898</v>
      </c>
      <c r="B1222">
        <v>49459</v>
      </c>
      <c r="C1222">
        <v>3829.95</v>
      </c>
      <c r="D1222">
        <v>39.340000000000003</v>
      </c>
      <c r="E1222">
        <v>39.340000000000003</v>
      </c>
      <c r="F1222">
        <v>7.7436866899856446E-2</v>
      </c>
      <c r="G1222">
        <v>1</v>
      </c>
      <c r="H1222" t="str">
        <v>Maïs ensilage non irrigué</v>
      </c>
    </row>
    <row r="1223" spans="1:8">
      <c r="A1223" t="s">
        <v>765</v>
      </c>
      <c r="B1223">
        <v>33680.92</v>
      </c>
      <c r="C1223">
        <v>8897.49</v>
      </c>
      <c r="D1223">
        <v>38.96</v>
      </c>
      <c r="E1223">
        <v>38.96</v>
      </c>
      <c r="F1223">
        <v>0.26417004048582998</v>
      </c>
      <c r="G1223">
        <v>1</v>
      </c>
      <c r="H1223" t="str">
        <v>Tournesol</v>
      </c>
    </row>
    <row r="1224" spans="1:8">
      <c r="A1224" t="s">
        <v>765</v>
      </c>
      <c r="B1224">
        <v>13824</v>
      </c>
      <c r="C1224">
        <v>1408</v>
      </c>
      <c r="D1224">
        <v>16</v>
      </c>
      <c r="E1224">
        <v>16</v>
      </c>
      <c r="F1224">
        <v>0.10185185185185185</v>
      </c>
      <c r="G1224">
        <v>1</v>
      </c>
      <c r="H1224" t="str">
        <v>Tournesol</v>
      </c>
    </row>
    <row r="1225" spans="1:8">
      <c r="A1225" t="s">
        <v>765</v>
      </c>
      <c r="B1225">
        <v>32556.240000000002</v>
      </c>
      <c r="C1225">
        <v>6969.56</v>
      </c>
      <c r="D1225">
        <v>35.119999999999997</v>
      </c>
      <c r="E1225">
        <v>35.119999999999997</v>
      </c>
      <c r="F1225">
        <v>0.21407754703860152</v>
      </c>
      <c r="G1225">
        <v>1</v>
      </c>
      <c r="H1225" t="str">
        <v>Tournesol</v>
      </c>
    </row>
    <row r="1226" spans="1:8">
      <c r="A1226" t="s">
        <v>814</v>
      </c>
      <c r="B1226">
        <v>4979.04</v>
      </c>
      <c r="C1226">
        <v>1929.62</v>
      </c>
      <c r="D1226">
        <v>4.92</v>
      </c>
      <c r="E1226">
        <v>4.92</v>
      </c>
      <c r="F1226">
        <v>0.38754860374690703</v>
      </c>
      <c r="G1226">
        <v>1</v>
      </c>
      <c r="H1226" t="str">
        <v>Soja</v>
      </c>
    </row>
    <row r="1227" spans="1:8">
      <c r="A1227" t="s">
        <v>898</v>
      </c>
      <c r="B1227">
        <v>10582</v>
      </c>
      <c r="C1227">
        <v>2603.6999999999998</v>
      </c>
      <c r="D1227">
        <v>11</v>
      </c>
      <c r="E1227">
        <v>11</v>
      </c>
      <c r="F1227">
        <v>0.24604989604989602</v>
      </c>
      <c r="G1227">
        <v>1</v>
      </c>
      <c r="H1227" t="str">
        <v>Maïs ensilage non irrigué</v>
      </c>
    </row>
    <row r="1228" spans="1:8">
      <c r="A1228" t="s">
        <v>765</v>
      </c>
      <c r="B1228">
        <v>49234.8</v>
      </c>
      <c r="C1228">
        <v>6868.9</v>
      </c>
      <c r="D1228">
        <v>40</v>
      </c>
      <c r="E1228">
        <v>40</v>
      </c>
      <c r="F1228">
        <v>0.13951310861423219</v>
      </c>
      <c r="G1228">
        <v>1</v>
      </c>
      <c r="H1228" t="str">
        <v>Tournesol</v>
      </c>
    </row>
    <row r="1229" spans="1:8">
      <c r="A1229" t="s">
        <v>866</v>
      </c>
      <c r="B1229">
        <v>12117</v>
      </c>
      <c r="C1229">
        <v>637.35</v>
      </c>
      <c r="D1229">
        <v>14</v>
      </c>
      <c r="E1229">
        <v>14</v>
      </c>
      <c r="F1229">
        <v>5.2599653379549395E-2</v>
      </c>
      <c r="G1229">
        <v>1</v>
      </c>
      <c r="H1229" t="str">
        <v>Maïs grain non irrigué</v>
      </c>
    </row>
    <row r="1230" spans="1:8">
      <c r="A1230" t="s">
        <v>910</v>
      </c>
      <c r="B1230">
        <v>77657.84</v>
      </c>
      <c r="C1230">
        <v>39933.040000000001</v>
      </c>
      <c r="D1230">
        <v>33.56</v>
      </c>
      <c r="E1230">
        <v>33.56</v>
      </c>
      <c r="F1230">
        <v>0.51421775315924323</v>
      </c>
      <c r="G1230">
        <v>1</v>
      </c>
      <c r="H1230" t="str">
        <v>Maïs grain irrigué</v>
      </c>
    </row>
    <row r="1231" spans="1:8">
      <c r="A1231" t="s">
        <v>911</v>
      </c>
      <c r="B1231">
        <v>28464</v>
      </c>
      <c r="C1231">
        <v>3352.8</v>
      </c>
      <c r="D1231">
        <v>16</v>
      </c>
      <c r="E1231">
        <v>16</v>
      </c>
      <c r="F1231">
        <v>0.11779089376053964</v>
      </c>
      <c r="G1231">
        <v>1</v>
      </c>
      <c r="H1231" t="str">
        <v>Maïs pop corn irrigué</v>
      </c>
    </row>
    <row r="1232" spans="1:8">
      <c r="A1232" t="s">
        <v>898</v>
      </c>
      <c r="B1232">
        <v>3693.42</v>
      </c>
      <c r="C1232">
        <v>601.09</v>
      </c>
      <c r="D1232">
        <v>4.26</v>
      </c>
      <c r="E1232">
        <v>4.26</v>
      </c>
      <c r="F1232">
        <v>0.16274618104629315</v>
      </c>
      <c r="G1232">
        <v>1</v>
      </c>
      <c r="H1232" t="str">
        <v>Maïs ensilage non irrigué</v>
      </c>
    </row>
    <row r="1233" spans="1:8">
      <c r="A1233" t="s">
        <v>765</v>
      </c>
      <c r="B1233">
        <v>24920.06</v>
      </c>
      <c r="C1233">
        <v>4929.12</v>
      </c>
      <c r="D1233">
        <v>19.96</v>
      </c>
      <c r="E1233">
        <v>19.96</v>
      </c>
      <c r="F1233">
        <v>0.19779727657156523</v>
      </c>
      <c r="G1233">
        <v>1</v>
      </c>
      <c r="H1233" t="str">
        <v>Tournesol</v>
      </c>
    </row>
    <row r="1234" spans="1:8">
      <c r="A1234" t="s">
        <v>1141</v>
      </c>
      <c r="B1234">
        <v>31401.11</v>
      </c>
      <c r="C1234">
        <v>9474.2099999999991</v>
      </c>
      <c r="D1234">
        <v>57.01</v>
      </c>
      <c r="E1234">
        <v>57.01</v>
      </c>
      <c r="F1234">
        <v>0.30171576737255462</v>
      </c>
      <c r="G1234">
        <v>1</v>
      </c>
      <c r="H1234" t="str">
        <v>Sorgho</v>
      </c>
    </row>
    <row r="1235" spans="1:8">
      <c r="A1235" t="s">
        <v>765</v>
      </c>
      <c r="B1235">
        <v>53242.1</v>
      </c>
      <c r="C1235">
        <v>6646.89</v>
      </c>
      <c r="D1235">
        <v>88.12</v>
      </c>
      <c r="E1235">
        <v>88.12</v>
      </c>
      <c r="F1235">
        <v>0.12484274662344273</v>
      </c>
      <c r="G1235">
        <v>1</v>
      </c>
      <c r="H1235" t="str">
        <v>Tournesol</v>
      </c>
    </row>
    <row r="1236" spans="1:8">
      <c r="A1236" t="s">
        <v>765</v>
      </c>
      <c r="B1236">
        <v>40952.839999999997</v>
      </c>
      <c r="C1236">
        <v>5004.33</v>
      </c>
      <c r="D1236">
        <v>52.47</v>
      </c>
      <c r="E1236">
        <v>52.47</v>
      </c>
      <c r="F1236">
        <v>0.12219738606650968</v>
      </c>
      <c r="G1236">
        <v>1</v>
      </c>
      <c r="H1236" t="str">
        <v>Tournesol</v>
      </c>
    </row>
    <row r="1237" spans="1:8">
      <c r="A1237" t="s">
        <v>898</v>
      </c>
      <c r="B1237">
        <v>9100.44</v>
      </c>
      <c r="C1237">
        <v>7343.16</v>
      </c>
      <c r="D1237">
        <v>6.8</v>
      </c>
      <c r="E1237">
        <v>6.8</v>
      </c>
      <c r="F1237">
        <v>0.8069016443160989</v>
      </c>
      <c r="G1237">
        <v>1</v>
      </c>
      <c r="H1237" t="str">
        <v>Maïs ensilage non irrigué</v>
      </c>
    </row>
    <row r="1238" spans="1:8">
      <c r="A1238" t="s">
        <v>814</v>
      </c>
      <c r="B1238">
        <v>34129.800000000003</v>
      </c>
      <c r="C1238">
        <v>17173.439999999999</v>
      </c>
      <c r="D1238">
        <v>33.5</v>
      </c>
      <c r="E1238">
        <v>33.799999999999997</v>
      </c>
      <c r="F1238">
        <v>0.50318021201413421</v>
      </c>
      <c r="G1238">
        <v>1.008955223880597</v>
      </c>
      <c r="H1238" t="str">
        <v>Soja</v>
      </c>
    </row>
    <row r="1239" spans="1:8">
      <c r="A1239" t="s">
        <v>765</v>
      </c>
      <c r="B1239">
        <v>16450</v>
      </c>
      <c r="C1239">
        <v>2714.25</v>
      </c>
      <c r="D1239">
        <v>23.5</v>
      </c>
      <c r="E1239">
        <v>23.5</v>
      </c>
      <c r="F1239">
        <v>0.16500000000000001</v>
      </c>
      <c r="G1239">
        <v>1</v>
      </c>
      <c r="H1239" t="str">
        <v>Tournesol</v>
      </c>
    </row>
    <row r="1240" spans="1:8">
      <c r="A1240" t="s">
        <v>866</v>
      </c>
      <c r="B1240">
        <v>11708.64</v>
      </c>
      <c r="C1240">
        <v>5638.43</v>
      </c>
      <c r="D1240">
        <v>7.54</v>
      </c>
      <c r="E1240">
        <v>7.55</v>
      </c>
      <c r="F1240">
        <v>0.48156147938616273</v>
      </c>
      <c r="G1240">
        <v>1.0013262599469497</v>
      </c>
      <c r="H1240" t="str">
        <v>Maïs grain non irrigué</v>
      </c>
    </row>
    <row r="1241" spans="1:8">
      <c r="A1241" t="s">
        <v>866</v>
      </c>
      <c r="B1241">
        <v>3501</v>
      </c>
      <c r="C1241">
        <v>2141.85</v>
      </c>
      <c r="D1241">
        <v>1.25</v>
      </c>
      <c r="E1241">
        <v>1.25</v>
      </c>
      <c r="F1241">
        <v>0.61178234790059982</v>
      </c>
      <c r="G1241">
        <v>1</v>
      </c>
      <c r="H1241" t="str">
        <v>Maïs grain non irrigué</v>
      </c>
    </row>
    <row r="1242" spans="1:8">
      <c r="A1242" t="s">
        <v>814</v>
      </c>
      <c r="B1242">
        <v>45368.19</v>
      </c>
      <c r="C1242">
        <v>8166.27</v>
      </c>
      <c r="D1242">
        <v>31.31</v>
      </c>
      <c r="E1242">
        <v>31.31</v>
      </c>
      <c r="F1242">
        <v>0.1799999074241225</v>
      </c>
      <c r="G1242">
        <v>1</v>
      </c>
      <c r="H1242" t="str">
        <v>Soja</v>
      </c>
    </row>
    <row r="1243" spans="1:8">
      <c r="A1243" t="s">
        <v>866</v>
      </c>
      <c r="B1243">
        <v>30981.599999999999</v>
      </c>
      <c r="C1243">
        <v>10037.24</v>
      </c>
      <c r="D1243">
        <v>19.86</v>
      </c>
      <c r="E1243">
        <v>19.66</v>
      </c>
      <c r="F1243">
        <v>0.32397422986546853</v>
      </c>
      <c r="G1243">
        <v>0.98992950654582079</v>
      </c>
      <c r="H1243" t="str">
        <v>Maïs grain non irrigué</v>
      </c>
    </row>
    <row r="1244" spans="1:8">
      <c r="A1244" t="s">
        <v>898</v>
      </c>
      <c r="B1244">
        <v>50085</v>
      </c>
      <c r="C1244">
        <v>32555.25</v>
      </c>
      <c r="D1244">
        <v>47.7</v>
      </c>
      <c r="E1244">
        <v>47.7</v>
      </c>
      <c r="F1244">
        <v>0.65</v>
      </c>
      <c r="G1244">
        <v>1</v>
      </c>
      <c r="H1244" t="str">
        <v>Maïs ensilage non irrigué</v>
      </c>
    </row>
    <row r="1245" spans="1:8">
      <c r="A1245" t="s">
        <v>866</v>
      </c>
      <c r="B1245">
        <v>7605</v>
      </c>
      <c r="C1245">
        <v>3609.24</v>
      </c>
      <c r="D1245">
        <v>5.07</v>
      </c>
      <c r="E1245">
        <v>5.03</v>
      </c>
      <c r="F1245">
        <v>0.47458777120315582</v>
      </c>
      <c r="G1245">
        <v>0.99211045364891515</v>
      </c>
      <c r="H1245" t="str">
        <v>Maïs grain non irrigué</v>
      </c>
    </row>
    <row r="1246" spans="1:8">
      <c r="A1246" t="s">
        <v>765</v>
      </c>
      <c r="B1246">
        <v>4222.37</v>
      </c>
      <c r="C1246">
        <v>1330.13</v>
      </c>
      <c r="D1246">
        <v>3.62</v>
      </c>
      <c r="E1246">
        <v>3.62</v>
      </c>
      <c r="F1246">
        <v>0.3150197637819519</v>
      </c>
      <c r="G1246">
        <v>1</v>
      </c>
      <c r="H1246" t="str">
        <v>Tournesol</v>
      </c>
    </row>
    <row r="1247" spans="1:8">
      <c r="A1247" t="s">
        <v>866</v>
      </c>
      <c r="B1247">
        <v>49536.82</v>
      </c>
      <c r="C1247">
        <v>13666.13</v>
      </c>
      <c r="D1247">
        <v>26.53</v>
      </c>
      <c r="E1247">
        <v>26.53</v>
      </c>
      <c r="F1247">
        <v>0.27587822553001989</v>
      </c>
      <c r="G1247">
        <v>1</v>
      </c>
      <c r="H1247" t="str">
        <v>Maïs grain non irrigué</v>
      </c>
    </row>
    <row r="1248" spans="1:8">
      <c r="A1248" t="s">
        <v>866</v>
      </c>
      <c r="B1248">
        <v>33810</v>
      </c>
      <c r="C1248">
        <v>4499.63</v>
      </c>
      <c r="D1248">
        <v>28</v>
      </c>
      <c r="E1248">
        <v>24</v>
      </c>
      <c r="F1248">
        <v>0.13308577343981071</v>
      </c>
      <c r="G1248">
        <v>0.8571428571428571</v>
      </c>
      <c r="H1248" t="str">
        <v>Maïs grain non irrigué</v>
      </c>
    </row>
    <row r="1249" spans="1:8">
      <c r="A1249" t="s">
        <v>765</v>
      </c>
      <c r="B1249">
        <v>32270</v>
      </c>
      <c r="C1249">
        <v>9220</v>
      </c>
      <c r="D1249">
        <v>25</v>
      </c>
      <c r="E1249">
        <v>25</v>
      </c>
      <c r="F1249">
        <v>0.2857142857142857</v>
      </c>
      <c r="G1249">
        <v>1</v>
      </c>
      <c r="H1249" t="str">
        <v>Tournesol</v>
      </c>
    </row>
    <row r="1250" spans="1:8">
      <c r="A1250" t="s">
        <v>814</v>
      </c>
      <c r="B1250">
        <v>8842.08</v>
      </c>
      <c r="C1250">
        <v>701.69</v>
      </c>
      <c r="D1250">
        <v>10.14</v>
      </c>
      <c r="E1250">
        <v>10.14</v>
      </c>
      <c r="F1250">
        <v>7.9358024356260076E-2</v>
      </c>
      <c r="G1250">
        <v>1</v>
      </c>
      <c r="H1250" t="str">
        <v>Soja</v>
      </c>
    </row>
    <row r="1251" spans="1:8">
      <c r="A1251" t="s">
        <v>866</v>
      </c>
      <c r="B1251">
        <v>56000</v>
      </c>
      <c r="C1251">
        <v>10300</v>
      </c>
      <c r="D1251">
        <v>50</v>
      </c>
      <c r="E1251">
        <v>50</v>
      </c>
      <c r="F1251">
        <v>0.18392857142857144</v>
      </c>
      <c r="G1251">
        <v>1</v>
      </c>
      <c r="H1251" t="str">
        <v>Maïs grain non irrigué</v>
      </c>
    </row>
    <row r="1252" spans="1:8">
      <c r="A1252" t="s">
        <v>814</v>
      </c>
      <c r="B1252">
        <v>83880</v>
      </c>
      <c r="C1252">
        <v>26784</v>
      </c>
      <c r="D1252">
        <v>90</v>
      </c>
      <c r="E1252">
        <v>90</v>
      </c>
      <c r="F1252">
        <v>0.31931330472103003</v>
      </c>
      <c r="G1252">
        <v>1</v>
      </c>
      <c r="H1252" t="str">
        <v>Soja</v>
      </c>
    </row>
    <row r="1253" spans="1:8">
      <c r="A1253" t="s">
        <v>866</v>
      </c>
      <c r="B1253">
        <v>59010</v>
      </c>
      <c r="C1253">
        <v>12572.7</v>
      </c>
      <c r="D1253">
        <v>35</v>
      </c>
      <c r="E1253">
        <v>35</v>
      </c>
      <c r="F1253">
        <v>0.21306049822064058</v>
      </c>
      <c r="G1253">
        <v>1</v>
      </c>
      <c r="H1253" t="str">
        <v>Maïs grain non irrigué</v>
      </c>
    </row>
    <row r="1254" spans="1:8">
      <c r="A1254" t="s">
        <v>765</v>
      </c>
      <c r="B1254">
        <v>6746.44</v>
      </c>
      <c r="C1254">
        <v>3285.09</v>
      </c>
      <c r="D1254">
        <v>7.43</v>
      </c>
      <c r="E1254">
        <v>10.93</v>
      </c>
      <c r="F1254">
        <v>0.48693681408268663</v>
      </c>
      <c r="G1254">
        <v>1.471063257065949</v>
      </c>
      <c r="H1254" t="str">
        <v>Tournesol</v>
      </c>
    </row>
    <row r="1255" spans="1:8">
      <c r="A1255" t="s">
        <v>866</v>
      </c>
      <c r="B1255">
        <v>107095.7</v>
      </c>
      <c r="C1255">
        <v>41767.32</v>
      </c>
      <c r="D1255">
        <v>59.83</v>
      </c>
      <c r="E1255">
        <v>59.84</v>
      </c>
      <c r="F1255">
        <v>0.38999997198767083</v>
      </c>
      <c r="G1255">
        <v>1.0001671402306536</v>
      </c>
      <c r="H1255" t="str">
        <v>Maïs grain non irrigué</v>
      </c>
    </row>
    <row r="1256" spans="1:8">
      <c r="A1256" t="s">
        <v>898</v>
      </c>
      <c r="B1256">
        <v>12383.61</v>
      </c>
      <c r="C1256">
        <v>1648.07</v>
      </c>
      <c r="D1256">
        <v>12.2</v>
      </c>
      <c r="E1256">
        <v>12.2</v>
      </c>
      <c r="F1256">
        <v>0.13308477899417051</v>
      </c>
      <c r="G1256">
        <v>1</v>
      </c>
      <c r="H1256" t="str">
        <v>Maïs ensilage non irrigué</v>
      </c>
    </row>
    <row r="1257" spans="1:8">
      <c r="A1257" t="s">
        <v>866</v>
      </c>
      <c r="B1257">
        <v>9168.9500000000007</v>
      </c>
      <c r="C1257">
        <v>5072.49</v>
      </c>
      <c r="D1257">
        <v>11.39</v>
      </c>
      <c r="E1257">
        <v>11.39</v>
      </c>
      <c r="F1257">
        <v>0.55322474220057904</v>
      </c>
      <c r="G1257">
        <v>1</v>
      </c>
      <c r="H1257" t="str">
        <v>Maïs grain non irrigué</v>
      </c>
    </row>
    <row r="1258" spans="1:8">
      <c r="A1258" t="s">
        <v>866</v>
      </c>
      <c r="B1258">
        <v>30700.79</v>
      </c>
      <c r="C1258">
        <v>721.32</v>
      </c>
      <c r="D1258">
        <v>19.07</v>
      </c>
      <c r="E1258">
        <v>18</v>
      </c>
      <c r="F1258">
        <v>2.3495160873710418E-2</v>
      </c>
      <c r="G1258">
        <v>0.94389092815941267</v>
      </c>
      <c r="H1258" t="str">
        <v>Maïs grain non irrigué</v>
      </c>
    </row>
    <row r="1259" spans="1:8">
      <c r="A1259" t="s">
        <v>814</v>
      </c>
      <c r="B1259">
        <v>34533.31</v>
      </c>
      <c r="C1259">
        <v>5511.31</v>
      </c>
      <c r="D1259">
        <v>30.78</v>
      </c>
      <c r="E1259">
        <v>30.78</v>
      </c>
      <c r="F1259">
        <v>0.1595940267527208</v>
      </c>
      <c r="G1259">
        <v>1</v>
      </c>
      <c r="H1259" t="str">
        <v>Soja</v>
      </c>
    </row>
    <row r="1260" spans="1:8">
      <c r="A1260" t="s">
        <v>765</v>
      </c>
      <c r="B1260">
        <v>7322.16</v>
      </c>
      <c r="C1260">
        <v>1534.05</v>
      </c>
      <c r="D1260">
        <v>11.03</v>
      </c>
      <c r="E1260">
        <v>11.03</v>
      </c>
      <c r="F1260">
        <v>0.20950785014258089</v>
      </c>
      <c r="G1260">
        <v>1</v>
      </c>
      <c r="H1260" t="str">
        <v>Tournesol</v>
      </c>
    </row>
    <row r="1261" spans="1:8">
      <c r="A1261" t="s">
        <v>1300</v>
      </c>
      <c r="B1261">
        <v>4864</v>
      </c>
      <c r="C1261">
        <v>1945.6</v>
      </c>
      <c r="D1261">
        <v>7.6</v>
      </c>
      <c r="E1261">
        <v>7.6</v>
      </c>
      <c r="F1261">
        <v>0.39999999999999997</v>
      </c>
      <c r="G1261">
        <v>1</v>
      </c>
      <c r="H1261" t="str">
        <v>Colza de printemps</v>
      </c>
    </row>
    <row r="1262" spans="1:8">
      <c r="A1262" t="s">
        <v>898</v>
      </c>
      <c r="B1262">
        <v>95407.44</v>
      </c>
      <c r="C1262">
        <v>36360.86</v>
      </c>
      <c r="D1262">
        <v>58.32</v>
      </c>
      <c r="E1262">
        <v>58.31</v>
      </c>
      <c r="F1262">
        <v>0.38111136825388042</v>
      </c>
      <c r="G1262">
        <v>0.9998285322359397</v>
      </c>
      <c r="H1262" t="str">
        <v>Maïs ensilage non irrigué</v>
      </c>
    </row>
    <row r="1263" spans="1:8">
      <c r="A1263" t="s">
        <v>866</v>
      </c>
      <c r="B1263">
        <v>25026.52</v>
      </c>
      <c r="C1263">
        <v>6037.72</v>
      </c>
      <c r="D1263">
        <v>14.63</v>
      </c>
      <c r="E1263">
        <v>14.62</v>
      </c>
      <c r="F1263">
        <v>0.24125287894601408</v>
      </c>
      <c r="G1263">
        <v>0.99931647300068338</v>
      </c>
      <c r="H1263" t="str">
        <v>Maïs grain non irrigué</v>
      </c>
    </row>
    <row r="1264" spans="1:8">
      <c r="A1264" t="s">
        <v>814</v>
      </c>
      <c r="B1264">
        <v>19368</v>
      </c>
      <c r="C1264">
        <v>1856.1</v>
      </c>
      <c r="D1264">
        <v>16.14</v>
      </c>
      <c r="E1264">
        <v>16.14</v>
      </c>
      <c r="F1264">
        <v>9.5833333333333326E-2</v>
      </c>
      <c r="G1264">
        <v>1</v>
      </c>
      <c r="H1264" t="str">
        <v>Soja</v>
      </c>
    </row>
    <row r="1265" spans="1:8">
      <c r="A1265" t="s">
        <v>866</v>
      </c>
      <c r="B1265">
        <v>90564.4</v>
      </c>
      <c r="C1265">
        <v>8631.5400000000009</v>
      </c>
      <c r="D1265">
        <v>60.7</v>
      </c>
      <c r="E1265">
        <v>60.7</v>
      </c>
      <c r="F1265">
        <v>9.5308310991957121E-2</v>
      </c>
      <c r="G1265">
        <v>1</v>
      </c>
      <c r="H1265" t="str">
        <v>Maïs grain non irrigué</v>
      </c>
    </row>
    <row r="1266" spans="1:8">
      <c r="A1266" t="s">
        <v>765</v>
      </c>
      <c r="B1266">
        <v>49816.800000000003</v>
      </c>
      <c r="C1266">
        <v>1868.13</v>
      </c>
      <c r="D1266">
        <v>31.45</v>
      </c>
      <c r="E1266">
        <v>31.45</v>
      </c>
      <c r="F1266">
        <v>3.7499999999999999E-2</v>
      </c>
      <c r="G1266">
        <v>1</v>
      </c>
      <c r="H1266" t="str">
        <v>Tournesol</v>
      </c>
    </row>
    <row r="1267" spans="1:8">
      <c r="A1267" t="s">
        <v>910</v>
      </c>
      <c r="B1267">
        <v>29845.5</v>
      </c>
      <c r="C1267">
        <v>9.58</v>
      </c>
      <c r="D1267">
        <v>21.29</v>
      </c>
      <c r="E1267">
        <v>21.29</v>
      </c>
      <c r="F1267">
        <v>3.2098641336214838E-4</v>
      </c>
      <c r="G1267">
        <v>1</v>
      </c>
      <c r="H1267" t="str">
        <v>Maïs grain irrigué</v>
      </c>
    </row>
    <row r="1268" spans="1:8">
      <c r="A1268" t="s">
        <v>765</v>
      </c>
      <c r="B1268">
        <v>57102.5</v>
      </c>
      <c r="C1268">
        <v>2600.3000000000002</v>
      </c>
      <c r="D1268">
        <v>65.260000000000005</v>
      </c>
      <c r="E1268">
        <v>52.32</v>
      </c>
      <c r="F1268">
        <v>4.5537410796374946E-2</v>
      </c>
      <c r="G1268">
        <v>0.80171621207477772</v>
      </c>
      <c r="H1268" t="str">
        <v>Tournesol</v>
      </c>
    </row>
    <row r="1269" spans="1:8">
      <c r="A1269" t="s">
        <v>866</v>
      </c>
      <c r="B1269">
        <v>1711.2</v>
      </c>
      <c r="C1269">
        <v>2367.04</v>
      </c>
      <c r="D1269">
        <v>22.32</v>
      </c>
      <c r="E1269">
        <v>22.32</v>
      </c>
      <c r="F1269">
        <v>1.3832632071061244</v>
      </c>
      <c r="G1269">
        <v>1</v>
      </c>
      <c r="H1269" t="str">
        <v>Maïs grain non irrigué</v>
      </c>
    </row>
    <row r="1270" spans="1:8">
      <c r="A1270" t="s">
        <v>2171</v>
      </c>
      <c r="B1270">
        <v>26067.09</v>
      </c>
      <c r="C1270">
        <v>3018.38</v>
      </c>
      <c r="D1270">
        <v>25.18</v>
      </c>
      <c r="E1270">
        <v>25.11</v>
      </c>
      <c r="F1270">
        <v>0.11579274863438919</v>
      </c>
      <c r="G1270">
        <v>0.99722001588562348</v>
      </c>
      <c r="H1270" t="str">
        <v>Maïs waxy non irrigué</v>
      </c>
    </row>
    <row r="1271" spans="1:8">
      <c r="A1271" t="s">
        <v>898</v>
      </c>
      <c r="B1271">
        <v>22321.599999999999</v>
      </c>
      <c r="C1271">
        <v>4752.51</v>
      </c>
      <c r="D1271">
        <v>19.93</v>
      </c>
      <c r="E1271">
        <v>19.93</v>
      </c>
      <c r="F1271">
        <v>0.21291081284495739</v>
      </c>
      <c r="G1271">
        <v>1</v>
      </c>
      <c r="H1271" t="str">
        <v>Maïs ensilage non irrigué</v>
      </c>
    </row>
    <row r="1272" spans="1:8">
      <c r="A1272" t="s">
        <v>765</v>
      </c>
      <c r="B1272">
        <v>11847.7</v>
      </c>
      <c r="C1272">
        <v>1233.18</v>
      </c>
      <c r="D1272">
        <v>10</v>
      </c>
      <c r="E1272">
        <v>10</v>
      </c>
      <c r="F1272">
        <v>0.10408602513568034</v>
      </c>
      <c r="G1272">
        <v>1</v>
      </c>
      <c r="H1272" t="str">
        <v>Tournesol</v>
      </c>
    </row>
    <row r="1273" spans="1:8">
      <c r="A1273" t="s">
        <v>814</v>
      </c>
      <c r="B1273">
        <v>13840</v>
      </c>
      <c r="C1273">
        <v>3756.04</v>
      </c>
      <c r="D1273">
        <v>10</v>
      </c>
      <c r="E1273">
        <v>10</v>
      </c>
      <c r="F1273">
        <v>0.27139017341040461</v>
      </c>
      <c r="G1273">
        <v>1</v>
      </c>
      <c r="H1273" t="str">
        <v>Soja</v>
      </c>
    </row>
    <row r="1274" spans="1:8">
      <c r="A1274" t="s">
        <v>866</v>
      </c>
      <c r="B1274">
        <v>10607.4</v>
      </c>
      <c r="C1274">
        <v>3381.02</v>
      </c>
      <c r="D1274">
        <v>7.1</v>
      </c>
      <c r="E1274">
        <v>7.1</v>
      </c>
      <c r="F1274">
        <v>0.31874163319946452</v>
      </c>
      <c r="G1274">
        <v>1</v>
      </c>
      <c r="H1274" t="str">
        <v>Maïs grain non irrigué</v>
      </c>
    </row>
    <row r="1275" spans="1:8">
      <c r="A1275" t="s">
        <v>765</v>
      </c>
      <c r="B1275">
        <v>69796.5</v>
      </c>
      <c r="C1275">
        <v>1030.75</v>
      </c>
      <c r="D1275">
        <v>58.9</v>
      </c>
      <c r="E1275">
        <v>58.9</v>
      </c>
      <c r="F1275">
        <v>1.4767932489451477E-2</v>
      </c>
      <c r="G1275">
        <v>1</v>
      </c>
      <c r="H1275" t="str">
        <v>Tournesol</v>
      </c>
    </row>
    <row r="1276" spans="1:8">
      <c r="A1276" t="s">
        <v>814</v>
      </c>
      <c r="B1276">
        <v>8723.44</v>
      </c>
      <c r="C1276">
        <v>3020.22</v>
      </c>
      <c r="D1276">
        <v>7.66</v>
      </c>
      <c r="E1276">
        <v>7.66</v>
      </c>
      <c r="F1276">
        <v>0.34621892281026745</v>
      </c>
      <c r="G1276">
        <v>1</v>
      </c>
      <c r="H1276" t="str">
        <v>Soja</v>
      </c>
    </row>
    <row r="1277" spans="1:8">
      <c r="A1277" t="s">
        <v>866</v>
      </c>
      <c r="B1277">
        <v>161986</v>
      </c>
      <c r="C1277">
        <v>78047.8</v>
      </c>
      <c r="D1277">
        <v>73.63</v>
      </c>
      <c r="E1277">
        <v>73.63</v>
      </c>
      <c r="F1277">
        <v>0.48181818181818181</v>
      </c>
      <c r="G1277">
        <v>1</v>
      </c>
      <c r="H1277" t="str">
        <v>Maïs grain non irrigué</v>
      </c>
    </row>
    <row r="1278" spans="1:8">
      <c r="A1278" t="s">
        <v>765</v>
      </c>
      <c r="B1278">
        <v>38315.839999999997</v>
      </c>
      <c r="C1278">
        <v>6206.59</v>
      </c>
      <c r="D1278">
        <v>31.89</v>
      </c>
      <c r="E1278">
        <v>31.89</v>
      </c>
      <c r="F1278">
        <v>0.16198496496488138</v>
      </c>
      <c r="G1278">
        <v>1</v>
      </c>
      <c r="H1278" t="str">
        <v>Tournesol</v>
      </c>
    </row>
    <row r="1279" spans="1:8">
      <c r="A1279" t="s">
        <v>910</v>
      </c>
      <c r="B1279">
        <v>32340</v>
      </c>
      <c r="C1279">
        <v>9757.44</v>
      </c>
      <c r="D1279">
        <v>30.8</v>
      </c>
      <c r="E1279">
        <v>30.8</v>
      </c>
      <c r="F1279">
        <v>0.30171428571428571</v>
      </c>
      <c r="G1279">
        <v>1</v>
      </c>
      <c r="H1279" t="str">
        <v>Maïs grain irrigué</v>
      </c>
    </row>
    <row r="1280" spans="1:8">
      <c r="A1280" t="s">
        <v>866</v>
      </c>
      <c r="B1280">
        <v>10726.4</v>
      </c>
      <c r="C1280">
        <v>2284.8000000000002</v>
      </c>
      <c r="D1280">
        <v>5.12</v>
      </c>
      <c r="E1280">
        <v>5.12</v>
      </c>
      <c r="F1280">
        <v>0.21300715990453464</v>
      </c>
      <c r="G1280">
        <v>1</v>
      </c>
      <c r="H1280" t="str">
        <v>Maïs grain non irrigué</v>
      </c>
    </row>
    <row r="1281" spans="1:8">
      <c r="A1281" t="s">
        <v>898</v>
      </c>
      <c r="B1281">
        <v>28652.3</v>
      </c>
      <c r="C1281">
        <v>7159.46</v>
      </c>
      <c r="D1281">
        <v>18.100000000000001</v>
      </c>
      <c r="E1281">
        <v>10.18</v>
      </c>
      <c r="F1281">
        <v>0.24987383211818948</v>
      </c>
      <c r="G1281">
        <v>0.56243093922651932</v>
      </c>
      <c r="H1281" t="str">
        <v>Maïs ensilage non irrigué</v>
      </c>
    </row>
    <row r="1282" spans="1:8">
      <c r="A1282" t="s">
        <v>765</v>
      </c>
      <c r="B1282">
        <v>10496.97</v>
      </c>
      <c r="C1282">
        <v>819.43</v>
      </c>
      <c r="D1282">
        <v>9.2200000000000006</v>
      </c>
      <c r="E1282">
        <v>9.2200000000000006</v>
      </c>
      <c r="F1282">
        <v>7.8063479270684785E-2</v>
      </c>
      <c r="G1282">
        <v>1</v>
      </c>
      <c r="H1282" t="str">
        <v>Tournesol</v>
      </c>
    </row>
    <row r="1283" spans="1:8">
      <c r="A1283" t="s">
        <v>765</v>
      </c>
      <c r="B1283">
        <v>7548</v>
      </c>
      <c r="C1283">
        <v>754.8</v>
      </c>
      <c r="D1283">
        <v>6.8</v>
      </c>
      <c r="E1283">
        <v>6.8</v>
      </c>
      <c r="F1283">
        <v>9.9999999999999992E-2</v>
      </c>
      <c r="G1283">
        <v>1</v>
      </c>
      <c r="H1283" t="str">
        <v>Tournesol</v>
      </c>
    </row>
    <row r="1284" spans="1:8">
      <c r="A1284" t="s">
        <v>1141</v>
      </c>
      <c r="B1284">
        <v>1179.75</v>
      </c>
      <c r="C1284">
        <v>67.569999999999993</v>
      </c>
      <c r="D1284">
        <v>1.3</v>
      </c>
      <c r="E1284">
        <v>1.3</v>
      </c>
      <c r="F1284">
        <v>5.7274846365755451E-2</v>
      </c>
      <c r="G1284">
        <v>1</v>
      </c>
      <c r="H1284" t="str">
        <v>Sorgho</v>
      </c>
    </row>
    <row r="1285" spans="1:8">
      <c r="A1285" t="s">
        <v>866</v>
      </c>
      <c r="B1285">
        <v>32433.279999999999</v>
      </c>
      <c r="C1285">
        <v>2228.6999999999998</v>
      </c>
      <c r="D1285">
        <v>21.68</v>
      </c>
      <c r="E1285">
        <v>36.86</v>
      </c>
      <c r="F1285">
        <v>6.8716454209996641E-2</v>
      </c>
      <c r="G1285">
        <v>1.7001845018450183</v>
      </c>
      <c r="H1285" t="str">
        <v>Maïs grain non irrigué</v>
      </c>
    </row>
    <row r="1286" spans="1:8">
      <c r="A1286" t="s">
        <v>814</v>
      </c>
      <c r="B1286">
        <v>38061.75</v>
      </c>
      <c r="C1286">
        <v>1463.65</v>
      </c>
      <c r="D1286">
        <v>36.86</v>
      </c>
      <c r="E1286">
        <v>36.86</v>
      </c>
      <c r="F1286">
        <v>3.8454616511326992E-2</v>
      </c>
      <c r="G1286">
        <v>1</v>
      </c>
      <c r="H1286" t="str">
        <v>Soja</v>
      </c>
    </row>
    <row r="1287" spans="1:8">
      <c r="A1287" t="s">
        <v>765</v>
      </c>
      <c r="B1287">
        <v>77056.2</v>
      </c>
      <c r="C1287">
        <v>18340.53</v>
      </c>
      <c r="D1287">
        <v>48.1</v>
      </c>
      <c r="E1287">
        <v>48.1</v>
      </c>
      <c r="F1287">
        <v>0.23801498127340823</v>
      </c>
      <c r="G1287">
        <v>1</v>
      </c>
      <c r="H1287" t="str">
        <v>Tournesol</v>
      </c>
    </row>
    <row r="1288" spans="1:8">
      <c r="A1288" t="s">
        <v>814</v>
      </c>
      <c r="B1288">
        <v>76618.559999999998</v>
      </c>
      <c r="C1288">
        <v>12349.33</v>
      </c>
      <c r="D1288">
        <v>49.54</v>
      </c>
      <c r="E1288">
        <v>49.54</v>
      </c>
      <c r="F1288">
        <v>0.16117935393199767</v>
      </c>
      <c r="G1288">
        <v>1</v>
      </c>
      <c r="H1288" t="str">
        <v>Soja</v>
      </c>
    </row>
    <row r="1289" spans="1:8">
      <c r="A1289" t="s">
        <v>898</v>
      </c>
      <c r="B1289">
        <v>20160</v>
      </c>
      <c r="C1289">
        <v>1174.5</v>
      </c>
      <c r="D1289">
        <v>16.8</v>
      </c>
      <c r="E1289">
        <v>13</v>
      </c>
      <c r="F1289">
        <v>5.8258928571428573E-2</v>
      </c>
      <c r="G1289">
        <v>0.77380952380952372</v>
      </c>
      <c r="H1289" t="str">
        <v>Maïs ensilage non irrigué</v>
      </c>
    </row>
    <row r="1290" spans="1:8">
      <c r="A1290" t="s">
        <v>866</v>
      </c>
      <c r="B1290">
        <v>5780.22</v>
      </c>
      <c r="C1290">
        <v>650.77</v>
      </c>
      <c r="D1290">
        <v>6.19</v>
      </c>
      <c r="E1290">
        <v>6.19</v>
      </c>
      <c r="F1290">
        <v>0.11258568012982204</v>
      </c>
      <c r="G1290">
        <v>1</v>
      </c>
      <c r="H1290" t="str">
        <v>Maïs grain non irrigué</v>
      </c>
    </row>
    <row r="1291" spans="1:8">
      <c r="A1291" t="s">
        <v>866</v>
      </c>
      <c r="B1291">
        <v>12949.74</v>
      </c>
      <c r="C1291">
        <v>4695.17</v>
      </c>
      <c r="D1291">
        <v>7.35</v>
      </c>
      <c r="E1291">
        <v>7.35</v>
      </c>
      <c r="F1291">
        <v>0.36256866933235726</v>
      </c>
      <c r="G1291">
        <v>1</v>
      </c>
      <c r="H1291" t="str">
        <v>Maïs grain non irrigué</v>
      </c>
    </row>
    <row r="1292" spans="1:8">
      <c r="A1292" t="s">
        <v>765</v>
      </c>
      <c r="B1292">
        <v>27676.14</v>
      </c>
      <c r="C1292">
        <v>12284.11</v>
      </c>
      <c r="D1292">
        <v>19.829999999999998</v>
      </c>
      <c r="E1292">
        <v>19.829999999999998</v>
      </c>
      <c r="F1292">
        <v>0.44385199670185221</v>
      </c>
      <c r="G1292">
        <v>1</v>
      </c>
      <c r="H1292" t="str">
        <v>Tournesol</v>
      </c>
    </row>
    <row r="1293" spans="1:8">
      <c r="A1293" t="s">
        <v>866</v>
      </c>
      <c r="B1293">
        <v>95054.399999999994</v>
      </c>
      <c r="C1293">
        <v>13028.4</v>
      </c>
      <c r="D1293">
        <v>56</v>
      </c>
      <c r="E1293">
        <v>56</v>
      </c>
      <c r="F1293">
        <v>0.13706256627783669</v>
      </c>
      <c r="G1293">
        <v>1</v>
      </c>
      <c r="H1293" t="str">
        <v>Maïs grain non irrigué</v>
      </c>
    </row>
    <row r="1294" spans="1:8">
      <c r="A1294" t="s">
        <v>814</v>
      </c>
      <c r="B1294">
        <v>14175</v>
      </c>
      <c r="C1294">
        <v>4278.75</v>
      </c>
      <c r="D1294">
        <v>15</v>
      </c>
      <c r="E1294">
        <v>15</v>
      </c>
      <c r="F1294">
        <v>0.30185185185185187</v>
      </c>
      <c r="G1294">
        <v>1</v>
      </c>
      <c r="H1294" t="str">
        <v>Soja</v>
      </c>
    </row>
    <row r="1295" spans="1:8">
      <c r="A1295" t="s">
        <v>2171</v>
      </c>
      <c r="B1295">
        <v>40723.199999999997</v>
      </c>
      <c r="C1295">
        <v>19644.66</v>
      </c>
      <c r="D1295">
        <v>32</v>
      </c>
      <c r="E1295">
        <v>32</v>
      </c>
      <c r="F1295">
        <v>0.48239480198019807</v>
      </c>
      <c r="G1295">
        <v>1</v>
      </c>
      <c r="H1295" t="str">
        <v>Maïs waxy non irrigué</v>
      </c>
    </row>
    <row r="1296" spans="1:8">
      <c r="A1296" t="s">
        <v>866</v>
      </c>
      <c r="B1296">
        <v>7226.6</v>
      </c>
      <c r="C1296">
        <v>3486.18</v>
      </c>
      <c r="D1296">
        <v>4.74</v>
      </c>
      <c r="E1296">
        <v>4.74</v>
      </c>
      <c r="F1296">
        <v>0.48240943182132673</v>
      </c>
      <c r="G1296">
        <v>1</v>
      </c>
      <c r="H1296" t="str">
        <v>Maïs grain non irrigué</v>
      </c>
    </row>
    <row r="1297" spans="1:8">
      <c r="A1297" t="s">
        <v>866</v>
      </c>
      <c r="B1297">
        <v>25013.48</v>
      </c>
      <c r="C1297">
        <v>4626.66</v>
      </c>
      <c r="D1297">
        <v>15.04</v>
      </c>
      <c r="E1297">
        <v>15.04</v>
      </c>
      <c r="F1297">
        <v>0.18496666597370698</v>
      </c>
      <c r="G1297">
        <v>1</v>
      </c>
      <c r="H1297" t="str">
        <v>Maïs grain non irrigué</v>
      </c>
    </row>
    <row r="1298" spans="1:8">
      <c r="A1298" t="s">
        <v>814</v>
      </c>
      <c r="B1298">
        <v>16604.560000000001</v>
      </c>
      <c r="C1298">
        <v>916.59</v>
      </c>
      <c r="D1298">
        <v>16.63</v>
      </c>
      <c r="E1298">
        <v>16.63</v>
      </c>
      <c r="F1298">
        <v>5.5201101384198072E-2</v>
      </c>
      <c r="G1298">
        <v>1</v>
      </c>
      <c r="H1298" t="str">
        <v>Soja</v>
      </c>
    </row>
    <row r="1299" spans="1:8">
      <c r="A1299" t="s">
        <v>1300</v>
      </c>
      <c r="B1299">
        <v>14839.87</v>
      </c>
      <c r="C1299">
        <v>4496.3900000000003</v>
      </c>
      <c r="D1299">
        <v>19.53</v>
      </c>
      <c r="E1299">
        <v>19.53</v>
      </c>
      <c r="F1299">
        <v>0.30299389415136385</v>
      </c>
      <c r="G1299">
        <v>1</v>
      </c>
      <c r="H1299" t="str">
        <v>Colza de printemps</v>
      </c>
    </row>
    <row r="1300" spans="1:8">
      <c r="A1300" t="s">
        <v>866</v>
      </c>
      <c r="B1300">
        <v>54689.599999999999</v>
      </c>
      <c r="C1300">
        <v>5750.27</v>
      </c>
      <c r="D1300">
        <v>26.6</v>
      </c>
      <c r="E1300">
        <v>26.6</v>
      </c>
      <c r="F1300">
        <v>0.1051437567654545</v>
      </c>
      <c r="G1300">
        <v>1</v>
      </c>
      <c r="H1300" t="str">
        <v>Maïs grain non irrigué</v>
      </c>
    </row>
    <row r="1301" spans="1:8">
      <c r="A1301" t="s">
        <v>910</v>
      </c>
      <c r="B1301">
        <v>19222.97</v>
      </c>
      <c r="C1301">
        <v>295.45999999999998</v>
      </c>
      <c r="D1301">
        <v>11.19</v>
      </c>
      <c r="E1301">
        <v>11.18</v>
      </c>
      <c r="F1301">
        <v>1.537015351946135E-2</v>
      </c>
      <c r="G1301">
        <v>0.99910634495084905</v>
      </c>
      <c r="H1301" t="str">
        <v>Maïs grain irrigué</v>
      </c>
    </row>
    <row r="1302" spans="1:8">
      <c r="A1302" t="s">
        <v>1141</v>
      </c>
      <c r="B1302">
        <v>13243.99</v>
      </c>
      <c r="C1302">
        <v>5845.34</v>
      </c>
      <c r="D1302">
        <v>13.74</v>
      </c>
      <c r="E1302">
        <v>13.74</v>
      </c>
      <c r="F1302">
        <v>0.44135792914370975</v>
      </c>
      <c r="G1302">
        <v>1</v>
      </c>
      <c r="H1302" t="str">
        <v>Sorgho</v>
      </c>
    </row>
    <row r="1303" spans="1:8">
      <c r="A1303" t="s">
        <v>814</v>
      </c>
      <c r="B1303">
        <v>8417.52</v>
      </c>
      <c r="C1303">
        <v>4136.0200000000004</v>
      </c>
      <c r="D1303">
        <v>8.66</v>
      </c>
      <c r="E1303">
        <v>8.66</v>
      </c>
      <c r="F1303">
        <v>0.49135849989070418</v>
      </c>
      <c r="G1303">
        <v>1</v>
      </c>
      <c r="H1303" t="str">
        <v>Soja</v>
      </c>
    </row>
    <row r="1304" spans="1:8">
      <c r="A1304" t="s">
        <v>765</v>
      </c>
      <c r="B1304">
        <v>4691.7</v>
      </c>
      <c r="C1304">
        <v>1678.19</v>
      </c>
      <c r="D1304">
        <v>4.01</v>
      </c>
      <c r="E1304">
        <v>4.01</v>
      </c>
      <c r="F1304">
        <v>0.35769337340409663</v>
      </c>
      <c r="G1304">
        <v>1</v>
      </c>
      <c r="H1304" t="str">
        <v>Tournesol</v>
      </c>
    </row>
    <row r="1305" spans="1:8">
      <c r="A1305" t="s">
        <v>866</v>
      </c>
      <c r="B1305">
        <v>4112.3999999999996</v>
      </c>
      <c r="C1305">
        <v>1966.8</v>
      </c>
      <c r="D1305">
        <v>2.98</v>
      </c>
      <c r="E1305">
        <v>2.98</v>
      </c>
      <c r="F1305">
        <v>0.47826086956521741</v>
      </c>
      <c r="G1305">
        <v>1</v>
      </c>
      <c r="H1305" t="str">
        <v>Maïs grain non irrigué</v>
      </c>
    </row>
    <row r="1306" spans="1:8">
      <c r="A1306" t="s">
        <v>866</v>
      </c>
      <c r="B1306">
        <v>22248</v>
      </c>
      <c r="C1306">
        <v>711.6</v>
      </c>
      <c r="D1306">
        <v>20</v>
      </c>
      <c r="E1306">
        <v>20</v>
      </c>
      <c r="F1306">
        <v>3.1984897518878105E-2</v>
      </c>
      <c r="G1306">
        <v>1</v>
      </c>
      <c r="H1306" t="str">
        <v>Maïs grain non irrigué</v>
      </c>
    </row>
    <row r="1307" spans="1:8">
      <c r="A1307" t="s">
        <v>910</v>
      </c>
      <c r="B1307">
        <v>58803.8</v>
      </c>
      <c r="C1307">
        <v>15842.38</v>
      </c>
      <c r="D1307">
        <v>31.65</v>
      </c>
      <c r="E1307">
        <v>31.65</v>
      </c>
      <c r="F1307">
        <v>0.26941082038915848</v>
      </c>
      <c r="G1307">
        <v>1</v>
      </c>
      <c r="H1307" t="str">
        <v>Maïs grain irrigué</v>
      </c>
    </row>
    <row r="1308" spans="1:8">
      <c r="A1308" t="s">
        <v>866</v>
      </c>
      <c r="B1308">
        <v>10137.200000000001</v>
      </c>
      <c r="C1308">
        <v>1489.86</v>
      </c>
      <c r="D1308">
        <v>9.5399999999999991</v>
      </c>
      <c r="E1308">
        <v>9.5399999999999991</v>
      </c>
      <c r="F1308">
        <v>0.14696957739809807</v>
      </c>
      <c r="G1308">
        <v>1</v>
      </c>
      <c r="H1308" t="str">
        <v>Maïs grain non irrigué</v>
      </c>
    </row>
    <row r="1309" spans="1:8">
      <c r="A1309" t="s">
        <v>814</v>
      </c>
      <c r="B1309">
        <v>30924.38</v>
      </c>
      <c r="C1309">
        <v>5909.47</v>
      </c>
      <c r="D1309">
        <v>24.59</v>
      </c>
      <c r="E1309">
        <v>24.59</v>
      </c>
      <c r="F1309">
        <v>0.19109421110463654</v>
      </c>
      <c r="G1309">
        <v>1</v>
      </c>
      <c r="H1309" t="str">
        <v>Soja</v>
      </c>
    </row>
    <row r="1310" spans="1:8">
      <c r="A1310" t="s">
        <v>866</v>
      </c>
      <c r="B1310">
        <v>63698.04</v>
      </c>
      <c r="C1310">
        <v>16964.48</v>
      </c>
      <c r="D1310">
        <v>36.11</v>
      </c>
      <c r="E1310">
        <v>36.11</v>
      </c>
      <c r="F1310">
        <v>0.26632656201038524</v>
      </c>
      <c r="G1310">
        <v>1</v>
      </c>
      <c r="H1310" t="str">
        <v>Maïs grain non irrigué</v>
      </c>
    </row>
    <row r="1311" spans="1:8">
      <c r="A1311" t="s">
        <v>765</v>
      </c>
      <c r="B1311">
        <v>41440</v>
      </c>
      <c r="C1311">
        <v>105</v>
      </c>
      <c r="D1311">
        <v>40</v>
      </c>
      <c r="E1311">
        <v>27.9</v>
      </c>
      <c r="F1311">
        <v>2.5337837837837839E-3</v>
      </c>
      <c r="G1311">
        <v>0.69750000000000001</v>
      </c>
      <c r="H1311" t="str">
        <v>Tournesol</v>
      </c>
    </row>
    <row r="1312" spans="1:8">
      <c r="A1312" t="s">
        <v>814</v>
      </c>
      <c r="B1312">
        <v>9324</v>
      </c>
      <c r="C1312">
        <v>1449</v>
      </c>
      <c r="D1312">
        <v>7</v>
      </c>
      <c r="E1312">
        <v>7</v>
      </c>
      <c r="F1312">
        <v>0.1554054054054054</v>
      </c>
      <c r="G1312">
        <v>1</v>
      </c>
      <c r="H1312" t="str">
        <v>Soja</v>
      </c>
    </row>
    <row r="1313" spans="1:8">
      <c r="A1313" t="s">
        <v>765</v>
      </c>
      <c r="B1313">
        <v>22842.560000000001</v>
      </c>
      <c r="C1313">
        <v>4240.1499999999996</v>
      </c>
      <c r="D1313">
        <v>37.57</v>
      </c>
      <c r="E1313">
        <v>37.56</v>
      </c>
      <c r="F1313">
        <v>0.18562499124441392</v>
      </c>
      <c r="G1313">
        <v>0.99973383018365725</v>
      </c>
      <c r="H1313" t="str">
        <v>Tournesol</v>
      </c>
    </row>
    <row r="1314" spans="1:8">
      <c r="A1314" t="s">
        <v>765</v>
      </c>
      <c r="B1314">
        <v>27660</v>
      </c>
      <c r="C1314">
        <v>4071.55</v>
      </c>
      <c r="D1314">
        <v>24</v>
      </c>
      <c r="E1314">
        <v>24</v>
      </c>
      <c r="F1314">
        <v>0.14719992769342011</v>
      </c>
      <c r="G1314">
        <v>1</v>
      </c>
      <c r="H1314" t="str">
        <v>Tournesol</v>
      </c>
    </row>
    <row r="1315" spans="1:8">
      <c r="A1315" t="s">
        <v>898</v>
      </c>
      <c r="B1315">
        <v>32598.06</v>
      </c>
      <c r="C1315">
        <v>2182.79</v>
      </c>
      <c r="D1315">
        <v>24.77</v>
      </c>
      <c r="E1315">
        <v>24.77</v>
      </c>
      <c r="F1315">
        <v>6.696073324608888E-2</v>
      </c>
      <c r="G1315">
        <v>1</v>
      </c>
      <c r="H1315" t="str">
        <v>Maïs ensilage non irrigué</v>
      </c>
    </row>
    <row r="1316" spans="1:8">
      <c r="A1316" t="s">
        <v>866</v>
      </c>
      <c r="B1316">
        <v>25190.2</v>
      </c>
      <c r="C1316">
        <v>2883.62</v>
      </c>
      <c r="D1316">
        <v>18.940000000000001</v>
      </c>
      <c r="E1316">
        <v>18.940000000000001</v>
      </c>
      <c r="F1316">
        <v>0.11447388270041524</v>
      </c>
      <c r="G1316">
        <v>1</v>
      </c>
      <c r="H1316" t="str">
        <v>Maïs grain non irrigué</v>
      </c>
    </row>
    <row r="1317" spans="1:8">
      <c r="A1317" t="s">
        <v>814</v>
      </c>
      <c r="B1317">
        <v>49473.5</v>
      </c>
      <c r="C1317">
        <v>7568.71</v>
      </c>
      <c r="D1317">
        <v>44.59</v>
      </c>
      <c r="E1317">
        <v>44.59</v>
      </c>
      <c r="F1317">
        <v>0.15298513345528414</v>
      </c>
      <c r="G1317">
        <v>1</v>
      </c>
      <c r="H1317" t="str">
        <v>Soja</v>
      </c>
    </row>
    <row r="1318" spans="1:8">
      <c r="A1318" t="s">
        <v>866</v>
      </c>
      <c r="B1318">
        <v>13981.84</v>
      </c>
      <c r="C1318">
        <v>971.79</v>
      </c>
      <c r="D1318">
        <v>7.87</v>
      </c>
      <c r="E1318">
        <v>7.87</v>
      </c>
      <c r="F1318">
        <v>6.9503727692492551E-2</v>
      </c>
      <c r="G1318">
        <v>1</v>
      </c>
      <c r="H1318" t="str">
        <v>Maïs grain non irrigué</v>
      </c>
    </row>
    <row r="1319" spans="1:8">
      <c r="A1319" t="s">
        <v>866</v>
      </c>
      <c r="B1319">
        <v>3299.67</v>
      </c>
      <c r="C1319">
        <v>263.60000000000002</v>
      </c>
      <c r="D1319">
        <v>2.42</v>
      </c>
      <c r="E1319">
        <v>2.42</v>
      </c>
      <c r="F1319">
        <v>7.9886776556443523E-2</v>
      </c>
      <c r="G1319">
        <v>1</v>
      </c>
      <c r="H1319" t="str">
        <v>Maïs grain non irrigué</v>
      </c>
    </row>
    <row r="1320" spans="1:8">
      <c r="A1320" t="s">
        <v>866</v>
      </c>
      <c r="B1320">
        <v>9466.4699999999993</v>
      </c>
      <c r="C1320">
        <v>4331.28</v>
      </c>
      <c r="D1320">
        <v>8.99</v>
      </c>
      <c r="E1320">
        <v>8.9</v>
      </c>
      <c r="F1320">
        <v>0.45753908267812604</v>
      </c>
      <c r="G1320">
        <v>0.9899888765294772</v>
      </c>
      <c r="H1320" t="str">
        <v>Maïs grain non irrigué</v>
      </c>
    </row>
    <row r="1321" spans="1:8">
      <c r="A1321" t="s">
        <v>910</v>
      </c>
      <c r="B1321">
        <v>5977.92</v>
      </c>
      <c r="C1321">
        <v>2625.3</v>
      </c>
      <c r="D1321">
        <v>4.79</v>
      </c>
      <c r="E1321">
        <v>4.78</v>
      </c>
      <c r="F1321">
        <v>0.43916613136341742</v>
      </c>
      <c r="G1321">
        <v>0.9979123173277662</v>
      </c>
      <c r="H1321" t="str">
        <v>Maïs grain irrigué</v>
      </c>
    </row>
    <row r="1322" spans="1:8">
      <c r="A1322" t="s">
        <v>866</v>
      </c>
      <c r="B1322">
        <v>35992.44</v>
      </c>
      <c r="C1322">
        <v>14686.63</v>
      </c>
      <c r="D1322">
        <v>26.82</v>
      </c>
      <c r="E1322">
        <v>26.82</v>
      </c>
      <c r="F1322">
        <v>0.40804763444767839</v>
      </c>
      <c r="G1322">
        <v>1</v>
      </c>
      <c r="H1322" t="str">
        <v>Maïs grain non irrigué</v>
      </c>
    </row>
    <row r="1323" spans="1:8">
      <c r="A1323" t="s">
        <v>765</v>
      </c>
      <c r="B1323">
        <v>71519.759999999995</v>
      </c>
      <c r="C1323">
        <v>7196.12</v>
      </c>
      <c r="D1323">
        <v>45.28</v>
      </c>
      <c r="E1323">
        <v>45.28</v>
      </c>
      <c r="F1323">
        <v>0.10061722802201797</v>
      </c>
      <c r="G1323">
        <v>1</v>
      </c>
      <c r="H1323" t="str">
        <v>Tournesol</v>
      </c>
    </row>
    <row r="1324" spans="1:8">
      <c r="A1324" t="s">
        <v>910</v>
      </c>
      <c r="B1324">
        <v>47656</v>
      </c>
      <c r="C1324">
        <v>15281.2</v>
      </c>
      <c r="D1324">
        <v>20</v>
      </c>
      <c r="E1324">
        <v>20</v>
      </c>
      <c r="F1324">
        <v>0.32065637065637065</v>
      </c>
      <c r="G1324">
        <v>1</v>
      </c>
      <c r="H1324" t="str">
        <v>Maïs grain irrigué</v>
      </c>
    </row>
    <row r="1325" spans="1:8">
      <c r="A1325" t="s">
        <v>911</v>
      </c>
      <c r="B1325">
        <v>10420</v>
      </c>
      <c r="C1325">
        <v>15</v>
      </c>
      <c r="D1325">
        <v>5</v>
      </c>
      <c r="E1325">
        <v>5</v>
      </c>
      <c r="F1325">
        <v>1.4395393474088292E-3</v>
      </c>
      <c r="G1325">
        <v>1</v>
      </c>
      <c r="H1325" t="str">
        <v>Maïs pop corn irrigué</v>
      </c>
    </row>
    <row r="1326" spans="1:8">
      <c r="A1326" t="s">
        <v>866</v>
      </c>
      <c r="B1326">
        <v>17416.75</v>
      </c>
      <c r="C1326">
        <v>2580.36</v>
      </c>
      <c r="D1326">
        <v>11.65</v>
      </c>
      <c r="E1326">
        <v>11.65</v>
      </c>
      <c r="F1326">
        <v>0.14815393227783599</v>
      </c>
      <c r="G1326">
        <v>1</v>
      </c>
      <c r="H1326" t="str">
        <v>Maïs grain non irrigué</v>
      </c>
    </row>
    <row r="1327" spans="1:8">
      <c r="A1327" t="s">
        <v>814</v>
      </c>
      <c r="B1327">
        <v>6455.6</v>
      </c>
      <c r="C1327">
        <v>459.23</v>
      </c>
      <c r="D1327">
        <v>5.9</v>
      </c>
      <c r="E1327">
        <v>5.9</v>
      </c>
      <c r="F1327">
        <v>7.113668752710825E-2</v>
      </c>
      <c r="G1327">
        <v>1</v>
      </c>
      <c r="H1327" t="str">
        <v>Soja</v>
      </c>
    </row>
    <row r="1328" spans="1:8">
      <c r="A1328" t="s">
        <v>814</v>
      </c>
      <c r="B1328">
        <v>10979.94</v>
      </c>
      <c r="C1328">
        <v>6365.4</v>
      </c>
      <c r="D1328">
        <v>10.24</v>
      </c>
      <c r="E1328">
        <v>10.24</v>
      </c>
      <c r="F1328">
        <v>0.57972994387947474</v>
      </c>
      <c r="G1328">
        <v>1</v>
      </c>
      <c r="H1328" t="str">
        <v>Soja</v>
      </c>
    </row>
    <row r="1329" spans="1:8">
      <c r="A1329" t="s">
        <v>866</v>
      </c>
      <c r="B1329">
        <v>37953.040000000001</v>
      </c>
      <c r="C1329">
        <v>19405.919999999998</v>
      </c>
      <c r="D1329">
        <v>26.51</v>
      </c>
      <c r="E1329">
        <v>26.51</v>
      </c>
      <c r="F1329">
        <v>0.51131398169948961</v>
      </c>
      <c r="G1329">
        <v>1</v>
      </c>
      <c r="H1329" t="str">
        <v>Maïs grain non irrigué</v>
      </c>
    </row>
    <row r="1330" spans="1:8">
      <c r="A1330" t="s">
        <v>866</v>
      </c>
      <c r="B1330">
        <v>19327.25</v>
      </c>
      <c r="C1330">
        <v>3573.15</v>
      </c>
      <c r="D1330">
        <v>16.57</v>
      </c>
      <c r="E1330">
        <v>16.57</v>
      </c>
      <c r="F1330">
        <v>0.18487627572468923</v>
      </c>
      <c r="G1330">
        <v>1</v>
      </c>
      <c r="H1330" t="str">
        <v>Maïs grain non irrigué</v>
      </c>
    </row>
    <row r="1331" spans="1:8">
      <c r="A1331" t="s">
        <v>765</v>
      </c>
      <c r="B1331">
        <v>74915.55</v>
      </c>
      <c r="C1331">
        <v>6693.98</v>
      </c>
      <c r="D1331">
        <v>56.97</v>
      </c>
      <c r="E1331">
        <v>56.96</v>
      </c>
      <c r="F1331">
        <v>8.9353678909118328E-2</v>
      </c>
      <c r="G1331">
        <v>0.99982446901878186</v>
      </c>
      <c r="H1331" t="str">
        <v>Tournesol</v>
      </c>
    </row>
    <row r="1332" spans="1:8">
      <c r="A1332" t="s">
        <v>765</v>
      </c>
      <c r="B1332">
        <v>36112.9</v>
      </c>
      <c r="C1332">
        <v>4694.68</v>
      </c>
      <c r="D1332">
        <v>32.64</v>
      </c>
      <c r="E1332">
        <v>32.64</v>
      </c>
      <c r="F1332">
        <v>0.13000008307280778</v>
      </c>
      <c r="G1332">
        <v>1</v>
      </c>
      <c r="H1332" t="str">
        <v>Tournesol</v>
      </c>
    </row>
    <row r="1333" spans="1:8">
      <c r="A1333" t="s">
        <v>765</v>
      </c>
      <c r="B1333">
        <v>36193.01</v>
      </c>
      <c r="C1333">
        <v>4617.0200000000004</v>
      </c>
      <c r="D1333">
        <v>29.28</v>
      </c>
      <c r="E1333">
        <v>29.28</v>
      </c>
      <c r="F1333">
        <v>0.12756662128958052</v>
      </c>
      <c r="G1333">
        <v>1</v>
      </c>
      <c r="H1333" t="str">
        <v>Tournesol</v>
      </c>
    </row>
    <row r="1334" spans="1:8">
      <c r="A1334" t="s">
        <v>898</v>
      </c>
      <c r="B1334">
        <v>9864.92</v>
      </c>
      <c r="C1334">
        <v>496.48</v>
      </c>
      <c r="D1334">
        <v>6.22</v>
      </c>
      <c r="E1334">
        <v>6.22</v>
      </c>
      <c r="F1334">
        <v>5.0327828304740432E-2</v>
      </c>
      <c r="G1334">
        <v>1</v>
      </c>
      <c r="H1334" t="str">
        <v>Maïs ensilage non irrigué</v>
      </c>
    </row>
    <row r="1335" spans="1:8">
      <c r="A1335" t="s">
        <v>207</v>
      </c>
      <c r="B1335">
        <v>64953</v>
      </c>
      <c r="C1335">
        <v>3533.22</v>
      </c>
      <c r="D1335">
        <v>72.17</v>
      </c>
      <c r="E1335">
        <v>72.17</v>
      </c>
      <c r="F1335">
        <v>5.4396563669114585E-2</v>
      </c>
      <c r="G1335">
        <v>1</v>
      </c>
      <c r="H1335" t="str">
        <v>Seigle et méteil</v>
      </c>
    </row>
    <row r="1336" spans="1:8">
      <c r="A1336" t="s">
        <v>866</v>
      </c>
      <c r="B1336">
        <v>6004.4</v>
      </c>
      <c r="C1336">
        <v>1812.54</v>
      </c>
      <c r="D1336">
        <v>4</v>
      </c>
      <c r="E1336">
        <v>4</v>
      </c>
      <c r="F1336">
        <v>0.30186862967157418</v>
      </c>
      <c r="G1336">
        <v>1</v>
      </c>
      <c r="H1336" t="str">
        <v>Maïs grain non irrigué</v>
      </c>
    </row>
    <row r="1337" spans="1:8">
      <c r="A1337" t="s">
        <v>765</v>
      </c>
      <c r="B1337">
        <v>4619.7</v>
      </c>
      <c r="C1337">
        <v>129.19999999999999</v>
      </c>
      <c r="D1337">
        <v>4.3499999999999996</v>
      </c>
      <c r="E1337">
        <v>4.3499999999999996</v>
      </c>
      <c r="F1337">
        <v>2.7967184016278113E-2</v>
      </c>
      <c r="G1337">
        <v>1</v>
      </c>
      <c r="H1337" t="str">
        <v>Tournesol</v>
      </c>
    </row>
    <row r="1338" spans="1:8">
      <c r="A1338" t="s">
        <v>898</v>
      </c>
      <c r="B1338">
        <v>5567.63</v>
      </c>
      <c r="C1338">
        <v>1179.81</v>
      </c>
      <c r="D1338">
        <v>5.25</v>
      </c>
      <c r="E1338">
        <v>5.25</v>
      </c>
      <c r="F1338">
        <v>0.21190524514021225</v>
      </c>
      <c r="G1338">
        <v>1</v>
      </c>
      <c r="H1338" t="str">
        <v>Maïs ensilage non irrigué</v>
      </c>
    </row>
    <row r="1339" spans="1:8">
      <c r="A1339" t="s">
        <v>898</v>
      </c>
      <c r="B1339">
        <v>17756.89</v>
      </c>
      <c r="C1339">
        <v>4445.88</v>
      </c>
      <c r="D1339">
        <v>12.11</v>
      </c>
      <c r="E1339">
        <v>12.11</v>
      </c>
      <c r="F1339">
        <v>0.25037492488831098</v>
      </c>
      <c r="G1339">
        <v>1</v>
      </c>
      <c r="H1339" t="str">
        <v>Maïs ensilage non irrigué</v>
      </c>
    </row>
    <row r="1340" spans="1:8">
      <c r="A1340" t="s">
        <v>866</v>
      </c>
      <c r="B1340">
        <v>94497.49</v>
      </c>
      <c r="C1340">
        <v>21526.29</v>
      </c>
      <c r="D1340">
        <v>36.67</v>
      </c>
      <c r="E1340">
        <v>36.659999999999997</v>
      </c>
      <c r="F1340">
        <v>0.22779747906531697</v>
      </c>
      <c r="G1340">
        <v>0.99972729751840728</v>
      </c>
      <c r="H1340" t="str">
        <v>Maïs grain non irrigué</v>
      </c>
    </row>
    <row r="1341" spans="1:8">
      <c r="A1341" t="s">
        <v>814</v>
      </c>
      <c r="B1341">
        <v>111160.68</v>
      </c>
      <c r="C1341">
        <v>52789.79</v>
      </c>
      <c r="D1341">
        <v>102.34</v>
      </c>
      <c r="E1341">
        <v>102.34</v>
      </c>
      <c r="F1341">
        <v>0.47489624928526891</v>
      </c>
      <c r="G1341">
        <v>1</v>
      </c>
      <c r="H1341" t="str">
        <v>Soja</v>
      </c>
    </row>
    <row r="1342" spans="1:8">
      <c r="A1342" t="s">
        <v>866</v>
      </c>
      <c r="B1342">
        <v>101546.83</v>
      </c>
      <c r="C1342">
        <v>24600.81</v>
      </c>
      <c r="D1342">
        <v>69.41</v>
      </c>
      <c r="E1342">
        <v>69.41</v>
      </c>
      <c r="F1342">
        <v>0.24226073822294603</v>
      </c>
      <c r="G1342">
        <v>1</v>
      </c>
      <c r="H1342" t="str">
        <v>Maïs grain non irrigué</v>
      </c>
    </row>
    <row r="1343" spans="1:8">
      <c r="A1343" t="s">
        <v>866</v>
      </c>
      <c r="B1343">
        <v>60701.83</v>
      </c>
      <c r="C1343">
        <v>19937.36</v>
      </c>
      <c r="D1343">
        <v>32.520000000000003</v>
      </c>
      <c r="E1343">
        <v>32.5</v>
      </c>
      <c r="F1343">
        <v>0.32844742901490781</v>
      </c>
      <c r="G1343">
        <v>0.9993849938499384</v>
      </c>
      <c r="H1343" t="str">
        <v>Maïs grain non irrigué</v>
      </c>
    </row>
    <row r="1344" spans="1:8">
      <c r="A1344" t="s">
        <v>814</v>
      </c>
      <c r="B1344">
        <v>13044.93</v>
      </c>
      <c r="C1344">
        <v>3236.07</v>
      </c>
      <c r="D1344">
        <v>9.35</v>
      </c>
      <c r="E1344">
        <v>9.34</v>
      </c>
      <c r="F1344">
        <v>0.24807108968771777</v>
      </c>
      <c r="G1344">
        <v>0.99893048128342243</v>
      </c>
      <c r="H1344" t="str">
        <v>Soja</v>
      </c>
    </row>
    <row r="1345" spans="1:8">
      <c r="A1345" t="s">
        <v>163</v>
      </c>
      <c r="B1345">
        <v>22426.54</v>
      </c>
      <c r="C1345">
        <v>12275.58</v>
      </c>
      <c r="D1345">
        <v>21.04</v>
      </c>
      <c r="E1345">
        <v>21.04</v>
      </c>
      <c r="F1345">
        <v>0.54736843044000538</v>
      </c>
      <c r="G1345">
        <v>1</v>
      </c>
      <c r="H1345" t="str">
        <v>Triticale</v>
      </c>
    </row>
    <row r="1346" spans="1:8">
      <c r="A1346" t="s">
        <v>814</v>
      </c>
      <c r="B1346">
        <v>3854.48</v>
      </c>
      <c r="C1346">
        <v>1803.6</v>
      </c>
      <c r="D1346">
        <v>5.27</v>
      </c>
      <c r="E1346">
        <v>5.27</v>
      </c>
      <c r="F1346">
        <v>0.46792304020256947</v>
      </c>
      <c r="G1346">
        <v>1</v>
      </c>
      <c r="H1346" t="str">
        <v>Soja</v>
      </c>
    </row>
    <row r="1347" spans="1:8">
      <c r="A1347" t="s">
        <v>898</v>
      </c>
      <c r="B1347">
        <v>15433.32</v>
      </c>
      <c r="C1347">
        <v>1978.48</v>
      </c>
      <c r="D1347">
        <v>9.67</v>
      </c>
      <c r="E1347">
        <v>9.67</v>
      </c>
      <c r="F1347">
        <v>0.12819535913205973</v>
      </c>
      <c r="G1347">
        <v>1</v>
      </c>
      <c r="H1347" t="str">
        <v>Maïs ensilage non irrigué</v>
      </c>
    </row>
    <row r="1348" spans="1:8">
      <c r="A1348" t="s">
        <v>99</v>
      </c>
      <c r="B1348">
        <v>8873.5400000000009</v>
      </c>
      <c r="C1348">
        <v>2345.71</v>
      </c>
      <c r="D1348">
        <v>5.8</v>
      </c>
      <c r="E1348">
        <v>5.8</v>
      </c>
      <c r="F1348">
        <v>0.26434883935836201</v>
      </c>
      <c r="G1348">
        <v>1</v>
      </c>
      <c r="H1348" t="str">
        <v>Blé tendre d'hiver</v>
      </c>
    </row>
    <row r="1349" spans="1:8">
      <c r="A1349" t="s">
        <v>910</v>
      </c>
      <c r="B1349">
        <v>48885.26</v>
      </c>
      <c r="C1349">
        <v>2974.03</v>
      </c>
      <c r="D1349">
        <v>29.14</v>
      </c>
      <c r="E1349">
        <v>29.14</v>
      </c>
      <c r="F1349">
        <v>6.0836947578881653E-2</v>
      </c>
      <c r="G1349">
        <v>1</v>
      </c>
      <c r="H1349" t="str">
        <v>Maïs grain irrigué</v>
      </c>
    </row>
    <row r="1350" spans="1:8">
      <c r="A1350" t="s">
        <v>898</v>
      </c>
      <c r="B1350">
        <v>6740.94</v>
      </c>
      <c r="C1350">
        <v>2435.58</v>
      </c>
      <c r="D1350">
        <v>6.04</v>
      </c>
      <c r="E1350">
        <v>6.04</v>
      </c>
      <c r="F1350">
        <v>0.36131162716179049</v>
      </c>
      <c r="G1350">
        <v>1</v>
      </c>
      <c r="H1350" t="str">
        <v>Maïs ensilage non irrigué</v>
      </c>
    </row>
    <row r="1351" spans="1:8">
      <c r="A1351" t="s">
        <v>866</v>
      </c>
      <c r="B1351">
        <v>114950</v>
      </c>
      <c r="C1351">
        <v>24558.75</v>
      </c>
      <c r="D1351">
        <v>50</v>
      </c>
      <c r="E1351">
        <v>50</v>
      </c>
      <c r="F1351">
        <v>0.21364723792953458</v>
      </c>
      <c r="G1351">
        <v>1</v>
      </c>
      <c r="H1351" t="str">
        <v>Maïs grain non irrigué</v>
      </c>
    </row>
    <row r="1352" spans="1:8">
      <c r="A1352" t="s">
        <v>866</v>
      </c>
      <c r="B1352">
        <v>7148.4</v>
      </c>
      <c r="C1352">
        <v>1510.32</v>
      </c>
      <c r="D1352">
        <v>6</v>
      </c>
      <c r="E1352">
        <v>6</v>
      </c>
      <c r="F1352">
        <v>0.21128084606345476</v>
      </c>
      <c r="G1352">
        <v>1</v>
      </c>
      <c r="H1352" t="str">
        <v>Maïs grain non irrigué</v>
      </c>
    </row>
    <row r="1353" spans="1:8">
      <c r="A1353" t="s">
        <v>910</v>
      </c>
      <c r="B1353">
        <v>75681.88</v>
      </c>
      <c r="C1353">
        <v>9710.1299999999992</v>
      </c>
      <c r="D1353">
        <v>49.24</v>
      </c>
      <c r="E1353">
        <v>49.24</v>
      </c>
      <c r="F1353">
        <v>0.12830191321885764</v>
      </c>
      <c r="G1353">
        <v>1</v>
      </c>
      <c r="H1353" t="str">
        <v>Maïs grain irrigué</v>
      </c>
    </row>
    <row r="1354" spans="1:8">
      <c r="A1354" t="s">
        <v>765</v>
      </c>
      <c r="B1354">
        <v>27016.5</v>
      </c>
      <c r="C1354">
        <v>7333.05</v>
      </c>
      <c r="D1354">
        <v>25.73</v>
      </c>
      <c r="E1354">
        <v>25.73</v>
      </c>
      <c r="F1354">
        <v>0.27142857142857141</v>
      </c>
      <c r="G1354">
        <v>1</v>
      </c>
      <c r="H1354" t="str">
        <v>Tournesol</v>
      </c>
    </row>
    <row r="1355" spans="1:8">
      <c r="A1355" t="s">
        <v>765</v>
      </c>
      <c r="B1355">
        <v>24750</v>
      </c>
      <c r="C1355">
        <v>7650</v>
      </c>
      <c r="D1355">
        <v>15</v>
      </c>
      <c r="E1355">
        <v>15</v>
      </c>
      <c r="F1355">
        <v>0.30909090909090908</v>
      </c>
      <c r="G1355">
        <v>1</v>
      </c>
      <c r="H1355" t="str">
        <v>Tournesol</v>
      </c>
    </row>
    <row r="1356" spans="1:8">
      <c r="A1356" t="s">
        <v>898</v>
      </c>
      <c r="B1356">
        <v>70732.03</v>
      </c>
      <c r="C1356">
        <v>2748.79</v>
      </c>
      <c r="D1356">
        <v>53.52</v>
      </c>
      <c r="E1356">
        <v>53.52</v>
      </c>
      <c r="F1356">
        <v>3.8862026157032395E-2</v>
      </c>
      <c r="G1356">
        <v>1</v>
      </c>
      <c r="H1356" t="str">
        <v>Maïs ensilage non irrigué</v>
      </c>
    </row>
    <row r="1357" spans="1:8">
      <c r="A1357" t="s">
        <v>765</v>
      </c>
      <c r="B1357">
        <v>40755.99</v>
      </c>
      <c r="C1357">
        <v>5519.38</v>
      </c>
      <c r="D1357">
        <v>33.200000000000003</v>
      </c>
      <c r="E1357">
        <v>33.200000000000003</v>
      </c>
      <c r="F1357">
        <v>0.1354250013310927</v>
      </c>
      <c r="G1357">
        <v>1</v>
      </c>
      <c r="H1357" t="str">
        <v>Tournesol</v>
      </c>
    </row>
    <row r="1358" spans="1:8">
      <c r="A1358" t="s">
        <v>765</v>
      </c>
      <c r="B1358">
        <v>20388.189999999999</v>
      </c>
      <c r="C1358">
        <v>2466.7199999999998</v>
      </c>
      <c r="D1358">
        <v>18.2</v>
      </c>
      <c r="E1358">
        <v>18.2</v>
      </c>
      <c r="F1358">
        <v>0.12098768944177977</v>
      </c>
      <c r="G1358">
        <v>1</v>
      </c>
      <c r="H1358" t="str">
        <v>Tournesol</v>
      </c>
    </row>
    <row r="1359" spans="1:8">
      <c r="A1359" t="s">
        <v>866</v>
      </c>
      <c r="B1359">
        <v>71418.73</v>
      </c>
      <c r="C1359">
        <v>16258.3</v>
      </c>
      <c r="D1359">
        <v>31.98</v>
      </c>
      <c r="E1359">
        <v>31.98</v>
      </c>
      <c r="F1359">
        <v>0.22764756528154451</v>
      </c>
      <c r="G1359">
        <v>1</v>
      </c>
      <c r="H1359" t="str">
        <v>Maïs grain non irrigué</v>
      </c>
    </row>
    <row r="1360" spans="1:8">
      <c r="A1360" t="s">
        <v>866</v>
      </c>
      <c r="B1360">
        <v>111577.84</v>
      </c>
      <c r="C1360">
        <v>19260.939999999999</v>
      </c>
      <c r="D1360">
        <v>61.55</v>
      </c>
      <c r="E1360">
        <v>61.55</v>
      </c>
      <c r="F1360">
        <v>0.17262334528074749</v>
      </c>
      <c r="G1360">
        <v>1</v>
      </c>
      <c r="H1360" t="str">
        <v>Maïs grain non irrigué</v>
      </c>
    </row>
    <row r="1361" spans="1:8">
      <c r="A1361" t="s">
        <v>866</v>
      </c>
      <c r="B1361">
        <v>113217.31</v>
      </c>
      <c r="C1361">
        <v>7377.84</v>
      </c>
      <c r="D1361">
        <v>64.739999999999995</v>
      </c>
      <c r="E1361">
        <v>64.739999999999995</v>
      </c>
      <c r="F1361">
        <v>6.5165300253115011E-2</v>
      </c>
      <c r="G1361">
        <v>1</v>
      </c>
      <c r="H1361" t="str">
        <v>Maïs grain non irrigué</v>
      </c>
    </row>
    <row r="1362" spans="1:8">
      <c r="A1362" t="s">
        <v>814</v>
      </c>
      <c r="B1362">
        <v>17192</v>
      </c>
      <c r="C1362">
        <v>2497.6</v>
      </c>
      <c r="D1362">
        <v>14</v>
      </c>
      <c r="E1362">
        <v>14</v>
      </c>
      <c r="F1362">
        <v>0.14527687296416938</v>
      </c>
      <c r="G1362">
        <v>1</v>
      </c>
      <c r="H1362" t="str">
        <v>Soja</v>
      </c>
    </row>
    <row r="1363" spans="1:8">
      <c r="A1363" t="s">
        <v>765</v>
      </c>
      <c r="B1363">
        <v>13380</v>
      </c>
      <c r="C1363">
        <v>504</v>
      </c>
      <c r="D1363">
        <v>15</v>
      </c>
      <c r="E1363">
        <v>15</v>
      </c>
      <c r="F1363">
        <v>3.766816143497758E-2</v>
      </c>
      <c r="G1363">
        <v>1</v>
      </c>
      <c r="H1363" t="str">
        <v>Tournesol</v>
      </c>
    </row>
    <row r="1364" spans="1:8">
      <c r="A1364" t="s">
        <v>814</v>
      </c>
      <c r="B1364">
        <v>9916.48</v>
      </c>
      <c r="C1364">
        <v>5573.36</v>
      </c>
      <c r="D1364">
        <v>9.32</v>
      </c>
      <c r="E1364">
        <v>9.32</v>
      </c>
      <c r="F1364">
        <v>0.56203007518796988</v>
      </c>
      <c r="G1364">
        <v>1</v>
      </c>
      <c r="H1364" t="str">
        <v>Soja</v>
      </c>
    </row>
    <row r="1365" spans="1:8">
      <c r="A1365" t="s">
        <v>2267</v>
      </c>
      <c r="B1365">
        <v>12928.3</v>
      </c>
      <c r="C1365">
        <v>705.18</v>
      </c>
      <c r="D1365">
        <v>7.3</v>
      </c>
      <c r="E1365">
        <v>7.3</v>
      </c>
      <c r="F1365">
        <v>5.4545454545454543E-2</v>
      </c>
      <c r="G1365">
        <v>1</v>
      </c>
      <c r="H1365" t="str">
        <v>Maïs waxy irrigué</v>
      </c>
    </row>
    <row r="1366" spans="1:8">
      <c r="A1366" t="s">
        <v>814</v>
      </c>
      <c r="B1366">
        <v>2950.81</v>
      </c>
      <c r="C1366">
        <v>529.07000000000005</v>
      </c>
      <c r="D1366">
        <v>6.32</v>
      </c>
      <c r="E1366">
        <v>6.32</v>
      </c>
      <c r="F1366">
        <v>0.17929653213863314</v>
      </c>
      <c r="G1366">
        <v>1</v>
      </c>
      <c r="H1366" t="str">
        <v>Soja</v>
      </c>
    </row>
    <row r="1367" spans="1:8">
      <c r="A1367" t="s">
        <v>2171</v>
      </c>
      <c r="B1367">
        <v>12768.91</v>
      </c>
      <c r="C1367">
        <v>754.27</v>
      </c>
      <c r="D1367">
        <v>11.33</v>
      </c>
      <c r="E1367">
        <v>11.33</v>
      </c>
      <c r="F1367">
        <v>5.9070821236894923E-2</v>
      </c>
      <c r="G1367">
        <v>1</v>
      </c>
      <c r="H1367" t="str">
        <v>Maïs waxy non irrigué</v>
      </c>
    </row>
    <row r="1368" spans="1:8">
      <c r="A1368" t="s">
        <v>814</v>
      </c>
      <c r="B1368">
        <v>7571.78</v>
      </c>
      <c r="C1368">
        <v>3045.17</v>
      </c>
      <c r="D1368">
        <v>10.32</v>
      </c>
      <c r="E1368">
        <v>10.3</v>
      </c>
      <c r="F1368">
        <v>0.40217359722548729</v>
      </c>
      <c r="G1368">
        <v>0.99806201550387597</v>
      </c>
      <c r="H1368" t="str">
        <v>Soja</v>
      </c>
    </row>
    <row r="1369" spans="1:8">
      <c r="A1369" t="s">
        <v>866</v>
      </c>
      <c r="B1369">
        <v>25998.48</v>
      </c>
      <c r="C1369">
        <v>5711.09</v>
      </c>
      <c r="D1369">
        <v>15.71</v>
      </c>
      <c r="E1369">
        <v>15.71</v>
      </c>
      <c r="F1369">
        <v>0.21967014994722769</v>
      </c>
      <c r="G1369">
        <v>1</v>
      </c>
      <c r="H1369" t="str">
        <v>Maïs grain non irrigué</v>
      </c>
    </row>
    <row r="1370" spans="1:8">
      <c r="A1370" t="s">
        <v>910</v>
      </c>
      <c r="B1370">
        <v>80950.8</v>
      </c>
      <c r="C1370">
        <v>9806.24</v>
      </c>
      <c r="D1370">
        <v>32.200000000000003</v>
      </c>
      <c r="E1370">
        <v>32.200000000000003</v>
      </c>
      <c r="F1370">
        <v>0.12113827164154028</v>
      </c>
      <c r="G1370">
        <v>1</v>
      </c>
      <c r="H1370" t="str">
        <v>Maïs grain irrigué</v>
      </c>
    </row>
    <row r="1371" spans="1:8">
      <c r="A1371" t="s">
        <v>866</v>
      </c>
      <c r="B1371">
        <v>46112</v>
      </c>
      <c r="C1371">
        <v>25650.080000000002</v>
      </c>
      <c r="D1371">
        <v>20.96</v>
      </c>
      <c r="E1371">
        <v>20.96</v>
      </c>
      <c r="F1371">
        <v>0.55625607217210271</v>
      </c>
      <c r="G1371">
        <v>1</v>
      </c>
      <c r="H1371" t="str">
        <v>Maïs grain non irrigué</v>
      </c>
    </row>
    <row r="1372" spans="1:8">
      <c r="A1372" t="s">
        <v>765</v>
      </c>
      <c r="B1372">
        <v>18864.78</v>
      </c>
      <c r="C1372">
        <v>7077.23</v>
      </c>
      <c r="D1372">
        <v>11.32</v>
      </c>
      <c r="E1372">
        <v>11.32</v>
      </c>
      <c r="F1372">
        <v>0.3751557134512038</v>
      </c>
      <c r="G1372">
        <v>1</v>
      </c>
      <c r="H1372" t="str">
        <v>Tournesol</v>
      </c>
    </row>
    <row r="1373" spans="1:8">
      <c r="A1373" t="s">
        <v>814</v>
      </c>
      <c r="B1373">
        <v>4576.5</v>
      </c>
      <c r="C1373">
        <v>1806.41</v>
      </c>
      <c r="D1373">
        <v>6.32</v>
      </c>
      <c r="E1373">
        <v>6.32</v>
      </c>
      <c r="F1373">
        <v>0.39471430132197094</v>
      </c>
      <c r="G1373">
        <v>1</v>
      </c>
      <c r="H1373" t="str">
        <v>Soja</v>
      </c>
    </row>
    <row r="1374" spans="1:8">
      <c r="A1374" t="s">
        <v>765</v>
      </c>
      <c r="B1374">
        <v>64816.6</v>
      </c>
      <c r="C1374">
        <v>2736.57</v>
      </c>
      <c r="D1374">
        <v>76</v>
      </c>
      <c r="E1374">
        <v>27.61</v>
      </c>
      <c r="F1374">
        <v>4.2220202849270097E-2</v>
      </c>
      <c r="G1374">
        <v>0.3632894736842105</v>
      </c>
      <c r="H1374" t="str">
        <v>Tournesol</v>
      </c>
    </row>
    <row r="1375" spans="1:8">
      <c r="A1375" t="s">
        <v>910</v>
      </c>
      <c r="B1375">
        <v>13932.48</v>
      </c>
      <c r="C1375">
        <v>5013.93</v>
      </c>
      <c r="D1375">
        <v>6.31</v>
      </c>
      <c r="E1375">
        <v>6.31</v>
      </c>
      <c r="F1375">
        <v>0.35987347550471993</v>
      </c>
      <c r="G1375">
        <v>1</v>
      </c>
      <c r="H1375" t="str">
        <v>Maïs grain irrigué</v>
      </c>
    </row>
    <row r="1376" spans="1:8">
      <c r="A1376" t="s">
        <v>765</v>
      </c>
      <c r="B1376">
        <v>19674.72</v>
      </c>
      <c r="C1376">
        <v>2236.5300000000002</v>
      </c>
      <c r="D1376">
        <v>21.02</v>
      </c>
      <c r="E1376">
        <v>21.02</v>
      </c>
      <c r="F1376">
        <v>0.11367531532850277</v>
      </c>
      <c r="G1376">
        <v>1</v>
      </c>
      <c r="H1376" t="str">
        <v>Tournesol</v>
      </c>
    </row>
    <row r="1377" spans="1:8">
      <c r="A1377" t="s">
        <v>814</v>
      </c>
      <c r="B1377">
        <v>13281.8</v>
      </c>
      <c r="C1377">
        <v>1167.29</v>
      </c>
      <c r="D1377">
        <v>8.9499999999999993</v>
      </c>
      <c r="E1377">
        <v>8.9499999999999993</v>
      </c>
      <c r="F1377">
        <v>8.7886431056031569E-2</v>
      </c>
      <c r="G1377">
        <v>1</v>
      </c>
      <c r="H1377" t="str">
        <v>Soja</v>
      </c>
    </row>
    <row r="1378" spans="1:8">
      <c r="A1378" t="s">
        <v>866</v>
      </c>
      <c r="B1378">
        <v>34615</v>
      </c>
      <c r="C1378">
        <v>4891.99</v>
      </c>
      <c r="D1378">
        <v>21.5</v>
      </c>
      <c r="E1378">
        <v>21.5</v>
      </c>
      <c r="F1378">
        <v>0.14132572584139824</v>
      </c>
      <c r="G1378">
        <v>1</v>
      </c>
      <c r="H1378" t="str">
        <v>Maïs grain non irrigué</v>
      </c>
    </row>
    <row r="1379" spans="1:8">
      <c r="A1379" t="s">
        <v>866</v>
      </c>
      <c r="B1379">
        <v>50830.080000000002</v>
      </c>
      <c r="C1379">
        <v>1897.31</v>
      </c>
      <c r="D1379">
        <v>36.6</v>
      </c>
      <c r="E1379">
        <v>36.6</v>
      </c>
      <c r="F1379">
        <v>3.7326520044823848E-2</v>
      </c>
      <c r="G1379">
        <v>1</v>
      </c>
      <c r="H1379" t="str">
        <v>Maïs grain non irrigué</v>
      </c>
    </row>
    <row r="1380" spans="1:8">
      <c r="A1380" t="s">
        <v>765</v>
      </c>
      <c r="B1380">
        <v>17884.37</v>
      </c>
      <c r="C1380">
        <v>164.63</v>
      </c>
      <c r="D1380">
        <v>21.38</v>
      </c>
      <c r="E1380">
        <v>21.38</v>
      </c>
      <c r="F1380">
        <v>9.2052445794847688E-3</v>
      </c>
      <c r="G1380">
        <v>1</v>
      </c>
      <c r="H1380" t="str">
        <v>Tournesol</v>
      </c>
    </row>
    <row r="1381" spans="1:8">
      <c r="A1381" t="s">
        <v>765</v>
      </c>
      <c r="B1381">
        <v>28125.15</v>
      </c>
      <c r="C1381">
        <v>1936.11</v>
      </c>
      <c r="D1381">
        <v>24.7</v>
      </c>
      <c r="E1381">
        <v>24.7</v>
      </c>
      <c r="F1381">
        <v>6.8839099524802522E-2</v>
      </c>
      <c r="G1381">
        <v>1</v>
      </c>
      <c r="H1381" t="str">
        <v>Tournesol</v>
      </c>
    </row>
    <row r="1382" spans="1:8">
      <c r="A1382" t="s">
        <v>1141</v>
      </c>
      <c r="B1382">
        <v>25784.86</v>
      </c>
      <c r="C1382">
        <v>11244.09</v>
      </c>
      <c r="D1382">
        <v>22.67</v>
      </c>
      <c r="E1382">
        <v>22.67</v>
      </c>
      <c r="F1382">
        <v>0.43607333916104257</v>
      </c>
      <c r="G1382">
        <v>1</v>
      </c>
      <c r="H1382" t="str">
        <v>Sorgho</v>
      </c>
    </row>
    <row r="1383" spans="1:8">
      <c r="A1383" t="s">
        <v>866</v>
      </c>
      <c r="B1383">
        <v>22532.1</v>
      </c>
      <c r="C1383">
        <v>9598.67</v>
      </c>
      <c r="D1383">
        <v>11.21</v>
      </c>
      <c r="E1383">
        <v>11.21</v>
      </c>
      <c r="F1383">
        <v>0.42599979584681413</v>
      </c>
      <c r="G1383">
        <v>1</v>
      </c>
      <c r="H1383" t="str">
        <v>Maïs grain non irrigué</v>
      </c>
    </row>
    <row r="1384" spans="1:8">
      <c r="A1384" t="s">
        <v>765</v>
      </c>
      <c r="B1384">
        <v>6819.32</v>
      </c>
      <c r="C1384">
        <v>1040.9000000000001</v>
      </c>
      <c r="D1384">
        <v>4.84</v>
      </c>
      <c r="E1384">
        <v>4.84</v>
      </c>
      <c r="F1384">
        <v>0.15263985265393032</v>
      </c>
      <c r="G1384">
        <v>1</v>
      </c>
      <c r="H1384" t="str">
        <v>Tournesol</v>
      </c>
    </row>
    <row r="1385" spans="1:8">
      <c r="A1385" t="s">
        <v>814</v>
      </c>
      <c r="B1385">
        <v>11587.32</v>
      </c>
      <c r="C1385">
        <v>2098.4</v>
      </c>
      <c r="D1385">
        <v>9.89</v>
      </c>
      <c r="E1385">
        <v>9.89</v>
      </c>
      <c r="F1385">
        <v>0.18109450675393449</v>
      </c>
      <c r="G1385">
        <v>1</v>
      </c>
      <c r="H1385" t="str">
        <v>Soja</v>
      </c>
    </row>
    <row r="1386" spans="1:8">
      <c r="A1386" t="s">
        <v>866</v>
      </c>
      <c r="B1386">
        <v>18840.599999999999</v>
      </c>
      <c r="C1386">
        <v>1552.5</v>
      </c>
      <c r="D1386">
        <v>11.63</v>
      </c>
      <c r="E1386">
        <v>2.5</v>
      </c>
      <c r="F1386">
        <v>8.240183433648611E-2</v>
      </c>
      <c r="G1386">
        <v>0.21496130696474633</v>
      </c>
      <c r="H1386" t="str">
        <v>Maïs grain non irrigué</v>
      </c>
    </row>
    <row r="1387" spans="1:8">
      <c r="A1387" t="s">
        <v>910</v>
      </c>
      <c r="B1387">
        <v>91329.2</v>
      </c>
      <c r="C1387">
        <v>22747.7</v>
      </c>
      <c r="D1387">
        <v>37.43</v>
      </c>
      <c r="E1387">
        <v>37.42</v>
      </c>
      <c r="F1387">
        <v>0.24907368070671812</v>
      </c>
      <c r="G1387">
        <v>0.99973283462463269</v>
      </c>
      <c r="H1387" t="str">
        <v>Maïs grain irrigué</v>
      </c>
    </row>
    <row r="1388" spans="1:8">
      <c r="A1388" t="s">
        <v>866</v>
      </c>
      <c r="B1388">
        <v>20085.62</v>
      </c>
      <c r="C1388">
        <v>2060.23</v>
      </c>
      <c r="D1388">
        <v>17.940000000000001</v>
      </c>
      <c r="E1388">
        <v>17.940000000000001</v>
      </c>
      <c r="F1388">
        <v>0.10257238760864738</v>
      </c>
      <c r="G1388">
        <v>1</v>
      </c>
      <c r="H1388" t="str">
        <v>Maïs grain non irrigué</v>
      </c>
    </row>
    <row r="1389" spans="1:8">
      <c r="A1389" t="s">
        <v>898</v>
      </c>
      <c r="B1389">
        <v>67504.58</v>
      </c>
      <c r="C1389">
        <v>1812.94</v>
      </c>
      <c r="D1389">
        <v>42.92</v>
      </c>
      <c r="E1389">
        <v>42.92</v>
      </c>
      <c r="F1389">
        <v>2.6856548103847175E-2</v>
      </c>
      <c r="G1389">
        <v>1</v>
      </c>
      <c r="H1389" t="str">
        <v>Maïs ensilage non irrigué</v>
      </c>
    </row>
    <row r="1390" spans="1:8">
      <c r="A1390" t="s">
        <v>866</v>
      </c>
      <c r="B1390">
        <v>28000</v>
      </c>
      <c r="C1390">
        <v>6339.2</v>
      </c>
      <c r="D1390">
        <v>14</v>
      </c>
      <c r="E1390">
        <v>14</v>
      </c>
      <c r="F1390">
        <v>0.22639999999999999</v>
      </c>
      <c r="G1390">
        <v>1</v>
      </c>
      <c r="H1390" t="str">
        <v>Maïs grain non irrigué</v>
      </c>
    </row>
    <row r="1391" spans="1:8">
      <c r="A1391" t="s">
        <v>765</v>
      </c>
      <c r="B1391">
        <v>23076.32</v>
      </c>
      <c r="C1391">
        <v>2253.16</v>
      </c>
      <c r="D1391">
        <v>24.76</v>
      </c>
      <c r="E1391">
        <v>24.76</v>
      </c>
      <c r="F1391">
        <v>9.7639484978540761E-2</v>
      </c>
      <c r="G1391">
        <v>1</v>
      </c>
      <c r="H1391" t="str">
        <v>Tournesol</v>
      </c>
    </row>
    <row r="1392" spans="1:8">
      <c r="A1392" t="s">
        <v>814</v>
      </c>
      <c r="B1392">
        <v>4335.5600000000004</v>
      </c>
      <c r="C1392">
        <v>616.63</v>
      </c>
      <c r="D1392">
        <v>3.83</v>
      </c>
      <c r="E1392">
        <v>3.83</v>
      </c>
      <c r="F1392">
        <v>0.14222614840989398</v>
      </c>
      <c r="G1392">
        <v>1</v>
      </c>
      <c r="H1392" t="str">
        <v>Soja</v>
      </c>
    </row>
    <row r="1393" spans="1:8">
      <c r="A1393" t="s">
        <v>866</v>
      </c>
      <c r="B1393">
        <v>22070.76</v>
      </c>
      <c r="C1393">
        <v>6183.87</v>
      </c>
      <c r="D1393">
        <v>10.54</v>
      </c>
      <c r="E1393">
        <v>10.54</v>
      </c>
      <c r="F1393">
        <v>0.28018382692757299</v>
      </c>
      <c r="G1393">
        <v>1</v>
      </c>
      <c r="H1393" t="str">
        <v>Maïs grain non irrigué</v>
      </c>
    </row>
    <row r="1394" spans="1:8">
      <c r="A1394" t="s">
        <v>866</v>
      </c>
      <c r="B1394">
        <v>1834</v>
      </c>
      <c r="C1394">
        <v>155.5</v>
      </c>
      <c r="D1394">
        <v>1</v>
      </c>
      <c r="E1394">
        <v>1</v>
      </c>
      <c r="F1394">
        <v>8.4787350054525631E-2</v>
      </c>
      <c r="G1394">
        <v>1</v>
      </c>
      <c r="H1394" t="str">
        <v>Maïs grain non irrigué</v>
      </c>
    </row>
    <row r="1395" spans="1:8">
      <c r="A1395" t="s">
        <v>814</v>
      </c>
      <c r="B1395">
        <v>19918.66</v>
      </c>
      <c r="C1395">
        <v>7882.15</v>
      </c>
      <c r="D1395">
        <v>10.65</v>
      </c>
      <c r="E1395">
        <v>10.65</v>
      </c>
      <c r="F1395">
        <v>0.39571688055320992</v>
      </c>
      <c r="G1395">
        <v>1</v>
      </c>
      <c r="H1395" t="str">
        <v>Soja</v>
      </c>
    </row>
    <row r="1396" spans="1:8">
      <c r="A1396" t="s">
        <v>407</v>
      </c>
      <c r="B1396">
        <v>36000</v>
      </c>
      <c r="C1396">
        <v>7074</v>
      </c>
      <c r="D1396">
        <v>9</v>
      </c>
      <c r="E1396">
        <v>9</v>
      </c>
      <c r="F1396">
        <v>0.19650000000000001</v>
      </c>
      <c r="G1396">
        <v>1</v>
      </c>
      <c r="H1396" t="str">
        <v>Lin textile</v>
      </c>
    </row>
    <row r="1397" spans="1:8">
      <c r="A1397" t="s">
        <v>2092</v>
      </c>
      <c r="B1397">
        <v>108315</v>
      </c>
      <c r="C1397">
        <v>11890.58</v>
      </c>
      <c r="D1397">
        <v>29</v>
      </c>
      <c r="E1397">
        <v>29</v>
      </c>
      <c r="F1397">
        <v>0.10977777777777778</v>
      </c>
      <c r="G1397">
        <v>1</v>
      </c>
      <c r="H1397" t="str">
        <v>Pommes de terre de féculerie</v>
      </c>
    </row>
    <row r="1398" spans="1:8">
      <c r="A1398" t="s">
        <v>765</v>
      </c>
      <c r="B1398">
        <v>7647.99</v>
      </c>
      <c r="C1398">
        <v>1052</v>
      </c>
      <c r="D1398">
        <v>7</v>
      </c>
      <c r="E1398">
        <v>7</v>
      </c>
      <c r="F1398">
        <v>0.13755248110941568</v>
      </c>
      <c r="G1398">
        <v>1</v>
      </c>
      <c r="H1398" t="str">
        <v>Tournesol</v>
      </c>
    </row>
    <row r="1399" spans="1:8">
      <c r="A1399" t="s">
        <v>814</v>
      </c>
      <c r="B1399">
        <v>7300.8</v>
      </c>
      <c r="C1399">
        <v>355.75</v>
      </c>
      <c r="D1399">
        <v>5.4</v>
      </c>
      <c r="E1399">
        <v>5.4</v>
      </c>
      <c r="F1399">
        <v>4.8727536708305937E-2</v>
      </c>
      <c r="G1399">
        <v>1</v>
      </c>
      <c r="H1399" t="str">
        <v>Soja</v>
      </c>
    </row>
    <row r="1400" spans="1:8">
      <c r="A1400" t="s">
        <v>814</v>
      </c>
      <c r="B1400">
        <v>22170.05</v>
      </c>
      <c r="C1400">
        <v>14929.7</v>
      </c>
      <c r="D1400">
        <v>22.65</v>
      </c>
      <c r="E1400">
        <v>22.65</v>
      </c>
      <c r="F1400">
        <v>0.67341751597312594</v>
      </c>
      <c r="G1400">
        <v>1</v>
      </c>
      <c r="H1400" t="str">
        <v>Soja</v>
      </c>
    </row>
    <row r="1401" spans="1:8">
      <c r="A1401" t="s">
        <v>814</v>
      </c>
      <c r="B1401">
        <v>7536.84</v>
      </c>
      <c r="C1401">
        <v>5075.4399999999996</v>
      </c>
      <c r="D1401">
        <v>7.7</v>
      </c>
      <c r="E1401">
        <v>7.7</v>
      </c>
      <c r="F1401">
        <v>0.67341750654120291</v>
      </c>
      <c r="G1401">
        <v>1</v>
      </c>
      <c r="H1401" t="str">
        <v>Soja</v>
      </c>
    </row>
    <row r="1402" spans="1:8">
      <c r="A1402" t="s">
        <v>866</v>
      </c>
      <c r="B1402">
        <v>53550</v>
      </c>
      <c r="C1402">
        <v>20055</v>
      </c>
      <c r="D1402">
        <v>30</v>
      </c>
      <c r="E1402">
        <v>30</v>
      </c>
      <c r="F1402">
        <v>0.37450980392156863</v>
      </c>
      <c r="G1402">
        <v>1</v>
      </c>
      <c r="H1402" t="str">
        <v>Maïs grain non irrigué</v>
      </c>
    </row>
    <row r="1403" spans="1:8">
      <c r="A1403" t="s">
        <v>765</v>
      </c>
      <c r="B1403">
        <v>24000</v>
      </c>
      <c r="C1403">
        <v>4602.24</v>
      </c>
      <c r="D1403">
        <v>20</v>
      </c>
      <c r="E1403">
        <v>20</v>
      </c>
      <c r="F1403">
        <v>0.19175999999999999</v>
      </c>
      <c r="G1403">
        <v>1</v>
      </c>
      <c r="H1403" t="str">
        <v>Tournesol</v>
      </c>
    </row>
    <row r="1404" spans="1:8">
      <c r="A1404" t="s">
        <v>911</v>
      </c>
      <c r="B1404">
        <v>39355</v>
      </c>
      <c r="C1404">
        <v>7127.25</v>
      </c>
      <c r="D1404">
        <v>25</v>
      </c>
      <c r="E1404">
        <v>22</v>
      </c>
      <c r="F1404">
        <v>0.18110151187904969</v>
      </c>
      <c r="G1404">
        <v>0.88</v>
      </c>
      <c r="H1404" t="str">
        <v>Maïs pop corn irrigué</v>
      </c>
    </row>
    <row r="1405" spans="1:8">
      <c r="A1405" t="s">
        <v>765</v>
      </c>
      <c r="B1405">
        <v>4821.46</v>
      </c>
      <c r="C1405">
        <v>1448.6</v>
      </c>
      <c r="D1405">
        <v>4.6900000000000004</v>
      </c>
      <c r="E1405">
        <v>4.6900000000000004</v>
      </c>
      <c r="F1405">
        <v>0.30044841189183358</v>
      </c>
      <c r="G1405">
        <v>1</v>
      </c>
      <c r="H1405" t="str">
        <v>Tournesol</v>
      </c>
    </row>
    <row r="1406" spans="1:8">
      <c r="A1406" t="s">
        <v>910</v>
      </c>
      <c r="B1406">
        <v>7344.25</v>
      </c>
      <c r="C1406">
        <v>1580.86</v>
      </c>
      <c r="D1406">
        <v>5</v>
      </c>
      <c r="E1406">
        <v>5</v>
      </c>
      <c r="F1406">
        <v>0.21525138713959899</v>
      </c>
      <c r="G1406">
        <v>1</v>
      </c>
      <c r="H1406" t="str">
        <v>Maïs grain irrigué</v>
      </c>
    </row>
    <row r="1407" spans="1:8">
      <c r="A1407" t="s">
        <v>866</v>
      </c>
      <c r="B1407">
        <v>5880</v>
      </c>
      <c r="C1407">
        <v>187.32</v>
      </c>
      <c r="D1407">
        <v>6</v>
      </c>
      <c r="E1407">
        <v>6</v>
      </c>
      <c r="F1407">
        <v>3.1857142857142855E-2</v>
      </c>
      <c r="G1407">
        <v>1</v>
      </c>
      <c r="H1407" t="str">
        <v>Maïs grain non irrigué</v>
      </c>
    </row>
    <row r="1408" spans="1:8">
      <c r="A1408" t="s">
        <v>866</v>
      </c>
      <c r="B1408">
        <v>21560</v>
      </c>
      <c r="C1408">
        <v>8852.76</v>
      </c>
      <c r="D1408">
        <v>22</v>
      </c>
      <c r="E1408">
        <v>19</v>
      </c>
      <c r="F1408">
        <v>0.41061038961038965</v>
      </c>
      <c r="G1408">
        <v>0.86363636363636365</v>
      </c>
      <c r="H1408" t="str">
        <v>Maïs grain non irrigué</v>
      </c>
    </row>
    <row r="1409" spans="1:8">
      <c r="A1409" t="s">
        <v>910</v>
      </c>
      <c r="B1409">
        <v>55089.43</v>
      </c>
      <c r="C1409">
        <v>9703.25</v>
      </c>
      <c r="D1409">
        <v>29.91</v>
      </c>
      <c r="E1409">
        <v>29.91</v>
      </c>
      <c r="F1409">
        <v>0.17613632960079637</v>
      </c>
      <c r="G1409">
        <v>1</v>
      </c>
      <c r="H1409" t="str">
        <v>Maïs grain irrigué</v>
      </c>
    </row>
    <row r="1410" spans="1:8">
      <c r="A1410" t="s">
        <v>814</v>
      </c>
      <c r="B1410">
        <v>9622.08</v>
      </c>
      <c r="C1410">
        <v>1323.5</v>
      </c>
      <c r="D1410">
        <v>9.36</v>
      </c>
      <c r="E1410">
        <v>9.36</v>
      </c>
      <c r="F1410">
        <v>0.13754822242176329</v>
      </c>
      <c r="G1410">
        <v>1</v>
      </c>
      <c r="H1410" t="str">
        <v>Soja</v>
      </c>
    </row>
    <row r="1411" spans="1:8">
      <c r="A1411" t="s">
        <v>765</v>
      </c>
      <c r="B1411">
        <v>7609.84</v>
      </c>
      <c r="C1411">
        <v>1674.76</v>
      </c>
      <c r="D1411">
        <v>7.49</v>
      </c>
      <c r="E1411">
        <v>7.49</v>
      </c>
      <c r="F1411">
        <v>0.22007821452225013</v>
      </c>
      <c r="G1411">
        <v>1</v>
      </c>
      <c r="H1411" t="str">
        <v>Tournesol</v>
      </c>
    </row>
    <row r="1412" spans="1:8">
      <c r="A1412" t="s">
        <v>765</v>
      </c>
      <c r="B1412">
        <v>15131.54</v>
      </c>
      <c r="C1412">
        <v>5755.02</v>
      </c>
      <c r="D1412">
        <v>16.329999999999998</v>
      </c>
      <c r="E1412">
        <v>16.329999999999998</v>
      </c>
      <c r="F1412">
        <v>0.3803327354651278</v>
      </c>
      <c r="G1412">
        <v>1</v>
      </c>
      <c r="H1412" t="str">
        <v>Tournesol</v>
      </c>
    </row>
    <row r="1413" spans="1:8">
      <c r="A1413" t="s">
        <v>162</v>
      </c>
      <c r="B1413">
        <v>12457.95</v>
      </c>
      <c r="C1413">
        <v>243.74</v>
      </c>
      <c r="D1413">
        <v>23.55</v>
      </c>
      <c r="E1413">
        <v>23.55</v>
      </c>
      <c r="F1413">
        <v>1.956501671623341E-2</v>
      </c>
      <c r="G1413">
        <v>1</v>
      </c>
      <c r="H1413" t="str">
        <v>Féveroles et fèves</v>
      </c>
    </row>
    <row r="1414" spans="1:8">
      <c r="A1414" t="s">
        <v>866</v>
      </c>
      <c r="B1414">
        <v>10476</v>
      </c>
      <c r="C1414">
        <v>314.27999999999997</v>
      </c>
      <c r="D1414">
        <v>5.82</v>
      </c>
      <c r="E1414">
        <v>5.82</v>
      </c>
      <c r="F1414">
        <v>0.03</v>
      </c>
      <c r="G1414">
        <v>1</v>
      </c>
      <c r="H1414" t="str">
        <v>Maïs grain non irrigué</v>
      </c>
    </row>
    <row r="1415" spans="1:8">
      <c r="A1415" t="s">
        <v>814</v>
      </c>
      <c r="B1415">
        <v>32000.400000000001</v>
      </c>
      <c r="C1415">
        <v>18871.8</v>
      </c>
      <c r="D1415">
        <v>29.63</v>
      </c>
      <c r="E1415">
        <v>29.63</v>
      </c>
      <c r="F1415">
        <v>0.58973637829527126</v>
      </c>
      <c r="G1415">
        <v>1</v>
      </c>
      <c r="H1415" t="str">
        <v>Soja</v>
      </c>
    </row>
    <row r="1416" spans="1:8">
      <c r="A1416" t="s">
        <v>866</v>
      </c>
      <c r="B1416">
        <v>14505</v>
      </c>
      <c r="C1416">
        <v>3858.75</v>
      </c>
      <c r="D1416">
        <v>10</v>
      </c>
      <c r="E1416">
        <v>10</v>
      </c>
      <c r="F1416">
        <v>0.266028955532575</v>
      </c>
      <c r="G1416">
        <v>1</v>
      </c>
      <c r="H1416" t="str">
        <v>Maïs grain non irrigué</v>
      </c>
    </row>
    <row r="1417" spans="1:8">
      <c r="A1417" t="s">
        <v>3544</v>
      </c>
      <c r="B1417">
        <v>50050.54</v>
      </c>
      <c r="C1417">
        <v>15577.45</v>
      </c>
      <c r="D1417">
        <v>30.27</v>
      </c>
      <c r="E1417">
        <v>30.27</v>
      </c>
      <c r="F1417">
        <v>0.31123440426416976</v>
      </c>
      <c r="G1417">
        <v>1</v>
      </c>
      <c r="H1417" t="str">
        <v>Maïs non irrigué</v>
      </c>
    </row>
    <row r="1418" spans="1:8">
      <c r="A1418" t="s">
        <v>765</v>
      </c>
      <c r="B1418">
        <v>10082.07</v>
      </c>
      <c r="C1418">
        <v>522.77</v>
      </c>
      <c r="D1418">
        <v>8.1</v>
      </c>
      <c r="E1418">
        <v>8.1</v>
      </c>
      <c r="F1418">
        <v>5.1851455107929226E-2</v>
      </c>
      <c r="G1418">
        <v>1</v>
      </c>
      <c r="H1418" t="str">
        <v>Tournesol</v>
      </c>
    </row>
    <row r="1419" spans="1:8">
      <c r="A1419" t="s">
        <v>765</v>
      </c>
      <c r="B1419">
        <v>4727.16</v>
      </c>
      <c r="C1419">
        <v>1534.08</v>
      </c>
      <c r="D1419">
        <v>4.7300000000000004</v>
      </c>
      <c r="E1419">
        <v>4.7300000000000004</v>
      </c>
      <c r="F1419">
        <v>0.32452466174193384</v>
      </c>
      <c r="G1419">
        <v>1</v>
      </c>
      <c r="H1419" t="str">
        <v>Tournesol</v>
      </c>
    </row>
    <row r="1420" spans="1:8">
      <c r="A1420" t="s">
        <v>866</v>
      </c>
      <c r="B1420">
        <v>7410.91</v>
      </c>
      <c r="C1420">
        <v>9121.84</v>
      </c>
      <c r="D1420">
        <v>4.78</v>
      </c>
      <c r="E1420">
        <v>4.78</v>
      </c>
      <c r="F1420">
        <v>1.2308663848299333</v>
      </c>
      <c r="G1420">
        <v>1</v>
      </c>
      <c r="H1420" t="str">
        <v>Maïs grain non irrigué</v>
      </c>
    </row>
    <row r="1421" spans="1:8">
      <c r="A1421" t="s">
        <v>1027</v>
      </c>
      <c r="B1421">
        <v>7839.5</v>
      </c>
      <c r="C1421">
        <v>5391.83</v>
      </c>
      <c r="D1421">
        <v>10.07</v>
      </c>
      <c r="E1421">
        <v>10</v>
      </c>
      <c r="F1421">
        <v>0.68777728171439501</v>
      </c>
      <c r="G1421">
        <v>0.99304865938430975</v>
      </c>
      <c r="H1421" t="str">
        <v>Blé tendre de printemps</v>
      </c>
    </row>
    <row r="1422" spans="1:8">
      <c r="A1422" t="s">
        <v>866</v>
      </c>
      <c r="B1422">
        <v>28908</v>
      </c>
      <c r="C1422">
        <v>17633.88</v>
      </c>
      <c r="D1422">
        <v>24.09</v>
      </c>
      <c r="E1422">
        <v>24</v>
      </c>
      <c r="F1422">
        <v>0.61</v>
      </c>
      <c r="G1422">
        <v>0.99626400996264008</v>
      </c>
      <c r="H1422" t="str">
        <v>Maïs grain non irrigué</v>
      </c>
    </row>
    <row r="1423" spans="1:8">
      <c r="A1423" t="s">
        <v>207</v>
      </c>
      <c r="B1423">
        <v>793.65</v>
      </c>
      <c r="C1423">
        <v>460.1</v>
      </c>
      <c r="D1423">
        <v>1.3</v>
      </c>
      <c r="E1423">
        <v>1</v>
      </c>
      <c r="F1423">
        <v>0.57972657972657982</v>
      </c>
      <c r="G1423">
        <v>0.76923076923076916</v>
      </c>
      <c r="H1423" t="str">
        <v>Seigle et méteil</v>
      </c>
    </row>
    <row r="1424" spans="1:8">
      <c r="A1424" t="s">
        <v>910</v>
      </c>
      <c r="B1424">
        <v>73783.14</v>
      </c>
      <c r="C1424">
        <v>12868</v>
      </c>
      <c r="D1424">
        <v>37.090000000000003</v>
      </c>
      <c r="E1424">
        <v>37.090000000000003</v>
      </c>
      <c r="F1424">
        <v>0.17440298691543896</v>
      </c>
      <c r="G1424">
        <v>1</v>
      </c>
      <c r="H1424" t="str">
        <v>Maïs grain irrigué</v>
      </c>
    </row>
    <row r="1425" spans="1:8">
      <c r="A1425" t="s">
        <v>910</v>
      </c>
      <c r="B1425">
        <v>42909.2</v>
      </c>
      <c r="C1425">
        <v>7488.5</v>
      </c>
      <c r="D1425">
        <v>21.57</v>
      </c>
      <c r="E1425">
        <v>21.57</v>
      </c>
      <c r="F1425">
        <v>0.17451968342453367</v>
      </c>
      <c r="G1425">
        <v>1</v>
      </c>
      <c r="H1425" t="str">
        <v>Maïs grain irrigué</v>
      </c>
    </row>
    <row r="1426" spans="1:8">
      <c r="A1426" t="s">
        <v>814</v>
      </c>
      <c r="B1426">
        <v>16906.96</v>
      </c>
      <c r="C1426">
        <v>2687.37</v>
      </c>
      <c r="D1426">
        <v>18.16</v>
      </c>
      <c r="E1426">
        <v>18.16</v>
      </c>
      <c r="F1426">
        <v>0.15895051505415522</v>
      </c>
      <c r="G1426">
        <v>1</v>
      </c>
      <c r="H1426" t="str">
        <v>Soja</v>
      </c>
    </row>
    <row r="1427" spans="1:8">
      <c r="A1427" t="s">
        <v>814</v>
      </c>
      <c r="B1427">
        <v>27470.400000000001</v>
      </c>
      <c r="C1427">
        <v>20754.12</v>
      </c>
      <c r="D1427">
        <v>19.399999999999999</v>
      </c>
      <c r="E1427">
        <v>19.399999999999999</v>
      </c>
      <c r="F1427">
        <v>0.75550847457627113</v>
      </c>
      <c r="G1427">
        <v>1</v>
      </c>
      <c r="H1427" t="str">
        <v>Soja</v>
      </c>
    </row>
    <row r="1428" spans="1:8">
      <c r="A1428" t="s">
        <v>866</v>
      </c>
      <c r="B1428">
        <v>16552.8</v>
      </c>
      <c r="C1428">
        <v>4871.79</v>
      </c>
      <c r="D1428">
        <v>9</v>
      </c>
      <c r="E1428">
        <v>9</v>
      </c>
      <c r="F1428">
        <v>0.29431818181818181</v>
      </c>
      <c r="G1428">
        <v>1</v>
      </c>
      <c r="H1428" t="str">
        <v>Maïs grain non irrigué</v>
      </c>
    </row>
    <row r="1429" spans="1:8">
      <c r="A1429" t="s">
        <v>866</v>
      </c>
      <c r="B1429">
        <v>4173.12</v>
      </c>
      <c r="C1429">
        <v>501.98</v>
      </c>
      <c r="D1429">
        <v>2.4</v>
      </c>
      <c r="E1429">
        <v>2.4</v>
      </c>
      <c r="F1429">
        <v>0.12028889655701251</v>
      </c>
      <c r="G1429">
        <v>1</v>
      </c>
      <c r="H1429" t="str">
        <v>Maïs grain non irrigué</v>
      </c>
    </row>
    <row r="1430" spans="1:8">
      <c r="A1430" t="s">
        <v>2171</v>
      </c>
      <c r="B1430">
        <v>18240.009999999998</v>
      </c>
      <c r="C1430">
        <v>7103.41</v>
      </c>
      <c r="D1430">
        <v>10.49</v>
      </c>
      <c r="E1430">
        <v>10.49</v>
      </c>
      <c r="F1430">
        <v>0.38944112420991001</v>
      </c>
      <c r="G1430">
        <v>1</v>
      </c>
      <c r="H1430" t="str">
        <v>Maïs waxy non irrigué</v>
      </c>
    </row>
    <row r="1431" spans="1:8">
      <c r="A1431" t="s">
        <v>814</v>
      </c>
      <c r="B1431">
        <v>6916.56</v>
      </c>
      <c r="C1431">
        <v>3258.84</v>
      </c>
      <c r="D1431">
        <v>7.4</v>
      </c>
      <c r="E1431">
        <v>7.4</v>
      </c>
      <c r="F1431">
        <v>0.47116485651826917</v>
      </c>
      <c r="G1431">
        <v>1</v>
      </c>
      <c r="H1431" t="str">
        <v>Soja</v>
      </c>
    </row>
    <row r="1432" spans="1:8">
      <c r="A1432" t="s">
        <v>2171</v>
      </c>
      <c r="B1432">
        <v>27188.55</v>
      </c>
      <c r="C1432">
        <v>12940.06</v>
      </c>
      <c r="D1432">
        <v>18.100000000000001</v>
      </c>
      <c r="E1432">
        <v>9.84</v>
      </c>
      <c r="F1432">
        <v>0.47593784883710238</v>
      </c>
      <c r="G1432">
        <v>0.54364640883977899</v>
      </c>
      <c r="H1432" t="str">
        <v>Maïs waxy non irrigué</v>
      </c>
    </row>
    <row r="1433" spans="1:8">
      <c r="A1433" t="s">
        <v>866</v>
      </c>
      <c r="B1433">
        <v>6975.07</v>
      </c>
      <c r="C1433">
        <v>2819.58</v>
      </c>
      <c r="D1433">
        <v>4.32</v>
      </c>
      <c r="E1433">
        <v>4.32</v>
      </c>
      <c r="F1433">
        <v>0.40423680335824586</v>
      </c>
      <c r="G1433">
        <v>1</v>
      </c>
      <c r="H1433" t="str">
        <v>Maïs grain non irrigué</v>
      </c>
    </row>
    <row r="1434" spans="1:8">
      <c r="A1434" t="s">
        <v>866</v>
      </c>
      <c r="B1434">
        <v>24650.14</v>
      </c>
      <c r="C1434">
        <v>4816.07</v>
      </c>
      <c r="D1434">
        <v>17.64</v>
      </c>
      <c r="E1434">
        <v>17.64</v>
      </c>
      <c r="F1434">
        <v>0.19537698366013337</v>
      </c>
      <c r="G1434">
        <v>1</v>
      </c>
      <c r="H1434" t="str">
        <v>Maïs grain non irrigué</v>
      </c>
    </row>
    <row r="1435" spans="1:8">
      <c r="A1435" t="s">
        <v>866</v>
      </c>
      <c r="B1435">
        <v>25389.7</v>
      </c>
      <c r="C1435">
        <v>4259.5</v>
      </c>
      <c r="D1435">
        <v>16.600000000000001</v>
      </c>
      <c r="E1435">
        <v>16.600000000000001</v>
      </c>
      <c r="F1435">
        <v>0.16776488103443521</v>
      </c>
      <c r="G1435">
        <v>1</v>
      </c>
      <c r="H1435" t="str">
        <v>Maïs grain non irrigué</v>
      </c>
    </row>
    <row r="1436" spans="1:8">
      <c r="A1436" t="s">
        <v>866</v>
      </c>
      <c r="B1436">
        <v>13712.19</v>
      </c>
      <c r="C1436">
        <v>3936.83</v>
      </c>
      <c r="D1436">
        <v>10.11</v>
      </c>
      <c r="E1436">
        <v>10.11</v>
      </c>
      <c r="F1436">
        <v>0.28710439397353738</v>
      </c>
      <c r="G1436">
        <v>1</v>
      </c>
      <c r="H1436" t="str">
        <v>Maïs grain non irrigué</v>
      </c>
    </row>
    <row r="1437" spans="1:8">
      <c r="A1437" t="s">
        <v>910</v>
      </c>
      <c r="B1437">
        <v>16272.35</v>
      </c>
      <c r="C1437">
        <v>9381.4500000000007</v>
      </c>
      <c r="D1437">
        <v>8.99</v>
      </c>
      <c r="E1437">
        <v>8.99</v>
      </c>
      <c r="F1437">
        <v>0.5765270535601803</v>
      </c>
      <c r="G1437">
        <v>1</v>
      </c>
      <c r="H1437" t="str">
        <v>Maïs grain irrigué</v>
      </c>
    </row>
    <row r="1438" spans="1:8">
      <c r="A1438" t="s">
        <v>866</v>
      </c>
      <c r="B1438">
        <v>31202.81</v>
      </c>
      <c r="C1438">
        <v>5132.67</v>
      </c>
      <c r="D1438">
        <v>23.66</v>
      </c>
      <c r="E1438">
        <v>23.66</v>
      </c>
      <c r="F1438">
        <v>0.16449383885617994</v>
      </c>
      <c r="G1438">
        <v>1</v>
      </c>
      <c r="H1438" t="str">
        <v>Maïs grain non irrigué</v>
      </c>
    </row>
    <row r="1439" spans="1:8">
      <c r="A1439" t="s">
        <v>765</v>
      </c>
      <c r="B1439">
        <v>21967.8</v>
      </c>
      <c r="C1439">
        <v>1830.65</v>
      </c>
      <c r="D1439">
        <v>19.27</v>
      </c>
      <c r="E1439">
        <v>19.27</v>
      </c>
      <c r="F1439">
        <v>8.3333333333333343E-2</v>
      </c>
      <c r="G1439">
        <v>1</v>
      </c>
      <c r="H1439" t="str">
        <v>Tournesol</v>
      </c>
    </row>
    <row r="1440" spans="1:8">
      <c r="A1440" t="s">
        <v>910</v>
      </c>
      <c r="B1440">
        <v>55608</v>
      </c>
      <c r="C1440">
        <v>18057.2</v>
      </c>
      <c r="D1440">
        <v>28</v>
      </c>
      <c r="E1440">
        <v>28</v>
      </c>
      <c r="F1440">
        <v>0.32472306143001006</v>
      </c>
      <c r="G1440">
        <v>1</v>
      </c>
      <c r="H1440" t="str">
        <v>Maïs grain irrigué</v>
      </c>
    </row>
    <row r="1441" spans="1:8">
      <c r="A1441" t="s">
        <v>765</v>
      </c>
      <c r="B1441">
        <v>14234.64</v>
      </c>
      <c r="C1441">
        <v>2891.81</v>
      </c>
      <c r="D1441">
        <v>18.32</v>
      </c>
      <c r="E1441">
        <v>18.32</v>
      </c>
      <c r="F1441">
        <v>0.20315301265082925</v>
      </c>
      <c r="G1441">
        <v>1</v>
      </c>
      <c r="H1441" t="str">
        <v>Tournesol</v>
      </c>
    </row>
    <row r="1442" spans="1:8">
      <c r="A1442" t="s">
        <v>814</v>
      </c>
      <c r="B1442">
        <v>3385.2</v>
      </c>
      <c r="C1442">
        <v>1879.8</v>
      </c>
      <c r="D1442">
        <v>5.2</v>
      </c>
      <c r="E1442">
        <v>5.2</v>
      </c>
      <c r="F1442">
        <v>0.5552995391705069</v>
      </c>
      <c r="G1442">
        <v>1</v>
      </c>
      <c r="H1442" t="str">
        <v>Soja</v>
      </c>
    </row>
    <row r="1443" spans="1:8">
      <c r="A1443" t="s">
        <v>866</v>
      </c>
      <c r="B1443">
        <v>22456.1</v>
      </c>
      <c r="C1443">
        <v>9109.5499999999993</v>
      </c>
      <c r="D1443">
        <v>11.15</v>
      </c>
      <c r="E1443">
        <v>11.15</v>
      </c>
      <c r="F1443">
        <v>0.40566037735849059</v>
      </c>
      <c r="G1443">
        <v>1</v>
      </c>
      <c r="H1443" t="str">
        <v>Maïs grain non irrigué</v>
      </c>
    </row>
    <row r="1444" spans="1:8">
      <c r="A1444" t="s">
        <v>2171</v>
      </c>
      <c r="B1444">
        <v>71658.12</v>
      </c>
      <c r="C1444">
        <v>32381.360000000001</v>
      </c>
      <c r="D1444">
        <v>35.58</v>
      </c>
      <c r="E1444">
        <v>35.380000000000003</v>
      </c>
      <c r="F1444">
        <v>0.45188682036313543</v>
      </c>
      <c r="G1444">
        <v>0.99437886453063529</v>
      </c>
      <c r="H1444" t="str">
        <v>Maïs waxy non irrigué</v>
      </c>
    </row>
    <row r="1445" spans="1:8">
      <c r="A1445" t="s">
        <v>866</v>
      </c>
      <c r="B1445">
        <v>5518.34</v>
      </c>
      <c r="C1445">
        <v>1441.47</v>
      </c>
      <c r="D1445">
        <v>5.78</v>
      </c>
      <c r="E1445">
        <v>5.78</v>
      </c>
      <c r="F1445">
        <v>0.26121442317798466</v>
      </c>
      <c r="G1445">
        <v>1</v>
      </c>
      <c r="H1445" t="str">
        <v>Maïs grain non irrigué</v>
      </c>
    </row>
    <row r="1446" spans="1:8">
      <c r="A1446" t="s">
        <v>814</v>
      </c>
      <c r="B1446">
        <v>25650</v>
      </c>
      <c r="C1446">
        <v>472.5</v>
      </c>
      <c r="D1446">
        <v>18.75</v>
      </c>
      <c r="E1446">
        <v>18.75</v>
      </c>
      <c r="F1446">
        <v>1.8421052631578946E-2</v>
      </c>
      <c r="G1446">
        <v>1</v>
      </c>
      <c r="H1446" t="str">
        <v>Soja</v>
      </c>
    </row>
    <row r="1447" spans="1:8">
      <c r="A1447" t="s">
        <v>866</v>
      </c>
      <c r="B1447">
        <v>74168</v>
      </c>
      <c r="C1447">
        <v>31924.6</v>
      </c>
      <c r="D1447">
        <v>29.2</v>
      </c>
      <c r="E1447">
        <v>29.2</v>
      </c>
      <c r="F1447">
        <v>0.43043630676302447</v>
      </c>
      <c r="G1447">
        <v>1</v>
      </c>
      <c r="H1447" t="str">
        <v>Maïs grain non irrigué</v>
      </c>
    </row>
    <row r="1448" spans="1:8">
      <c r="A1448" t="s">
        <v>866</v>
      </c>
      <c r="B1448">
        <v>50031.68</v>
      </c>
      <c r="C1448">
        <v>10150.64</v>
      </c>
      <c r="D1448">
        <v>21.64</v>
      </c>
      <c r="E1448">
        <v>21.64</v>
      </c>
      <c r="F1448">
        <v>0.20288425253759218</v>
      </c>
      <c r="G1448">
        <v>1</v>
      </c>
      <c r="H1448" t="str">
        <v>Maïs grain non irrigué</v>
      </c>
    </row>
    <row r="1449" spans="1:8">
      <c r="A1449" t="s">
        <v>866</v>
      </c>
      <c r="B1449">
        <v>94137.51</v>
      </c>
      <c r="C1449">
        <v>43985.7</v>
      </c>
      <c r="D1449">
        <v>43.78</v>
      </c>
      <c r="E1449">
        <v>43.78</v>
      </c>
      <c r="F1449">
        <v>0.46724945242337512</v>
      </c>
      <c r="G1449">
        <v>1</v>
      </c>
      <c r="H1449" t="str">
        <v>Maïs grain non irrigué</v>
      </c>
    </row>
    <row r="1450" spans="1:8">
      <c r="A1450" t="s">
        <v>866</v>
      </c>
      <c r="B1450">
        <v>151742.44</v>
      </c>
      <c r="C1450">
        <v>75490.48</v>
      </c>
      <c r="D1450">
        <v>70.569999999999993</v>
      </c>
      <c r="E1450">
        <v>70.569999999999993</v>
      </c>
      <c r="F1450">
        <v>0.49749087994103691</v>
      </c>
      <c r="G1450">
        <v>1</v>
      </c>
      <c r="H1450" t="str">
        <v>Maïs grain non irrigué</v>
      </c>
    </row>
    <row r="1451" spans="1:8">
      <c r="A1451" t="s">
        <v>2171</v>
      </c>
      <c r="B1451">
        <v>18231.07</v>
      </c>
      <c r="C1451">
        <v>6595.06</v>
      </c>
      <c r="D1451">
        <v>7.93</v>
      </c>
      <c r="E1451">
        <v>7.93</v>
      </c>
      <c r="F1451">
        <v>0.36174837790650799</v>
      </c>
      <c r="G1451">
        <v>1</v>
      </c>
      <c r="H1451" t="str">
        <v>Maïs waxy non irrigué</v>
      </c>
    </row>
    <row r="1452" spans="1:8">
      <c r="A1452" t="s">
        <v>814</v>
      </c>
      <c r="B1452">
        <v>33994.370000000003</v>
      </c>
      <c r="C1452">
        <v>1434.84</v>
      </c>
      <c r="D1452">
        <v>25.66</v>
      </c>
      <c r="E1452">
        <v>25.66</v>
      </c>
      <c r="F1452">
        <v>4.2208165646252592E-2</v>
      </c>
      <c r="G1452">
        <v>1</v>
      </c>
      <c r="H1452" t="str">
        <v>Soja</v>
      </c>
    </row>
    <row r="1453" spans="1:8">
      <c r="A1453" t="s">
        <v>866</v>
      </c>
      <c r="B1453">
        <v>10967.57</v>
      </c>
      <c r="C1453">
        <v>2852.56</v>
      </c>
      <c r="D1453">
        <v>5.08</v>
      </c>
      <c r="E1453">
        <v>5.08</v>
      </c>
      <c r="F1453">
        <v>0.26009043024115641</v>
      </c>
      <c r="G1453">
        <v>1</v>
      </c>
      <c r="H1453" t="str">
        <v>Maïs grain non irrigué</v>
      </c>
    </row>
    <row r="1454" spans="1:8">
      <c r="A1454" t="s">
        <v>765</v>
      </c>
      <c r="B1454">
        <v>13644.8</v>
      </c>
      <c r="C1454">
        <v>1521.92</v>
      </c>
      <c r="D1454">
        <v>13.12</v>
      </c>
      <c r="E1454">
        <v>13.12</v>
      </c>
      <c r="F1454">
        <v>0.11153846153846154</v>
      </c>
      <c r="G1454">
        <v>1</v>
      </c>
      <c r="H1454" t="str">
        <v>Tournesol</v>
      </c>
    </row>
    <row r="1455" spans="1:8">
      <c r="A1455" t="s">
        <v>1141</v>
      </c>
      <c r="B1455">
        <v>17694.62</v>
      </c>
      <c r="C1455">
        <v>6730.23</v>
      </c>
      <c r="D1455">
        <v>14.2</v>
      </c>
      <c r="E1455">
        <v>14.2</v>
      </c>
      <c r="F1455">
        <v>0.38035459365615087</v>
      </c>
      <c r="G1455">
        <v>1</v>
      </c>
      <c r="H1455" t="str">
        <v>Sorgho</v>
      </c>
    </row>
    <row r="1456" spans="1:8">
      <c r="A1456" t="s">
        <v>2171</v>
      </c>
      <c r="B1456">
        <v>94773.29</v>
      </c>
      <c r="C1456">
        <v>52206.39</v>
      </c>
      <c r="D1456">
        <v>59.4</v>
      </c>
      <c r="E1456">
        <v>59.38</v>
      </c>
      <c r="F1456">
        <v>0.55085552057969078</v>
      </c>
      <c r="G1456">
        <v>0.9996632996632997</v>
      </c>
      <c r="H1456" t="str">
        <v>Maïs waxy non irrigué</v>
      </c>
    </row>
    <row r="1457" spans="1:8">
      <c r="A1457" t="s">
        <v>866</v>
      </c>
      <c r="B1457">
        <v>57920.59</v>
      </c>
      <c r="C1457">
        <v>33471.620000000003</v>
      </c>
      <c r="D1457">
        <v>36.119999999999997</v>
      </c>
      <c r="E1457">
        <v>36.11</v>
      </c>
      <c r="F1457">
        <v>0.57788810507627775</v>
      </c>
      <c r="G1457">
        <v>0.99972314507198234</v>
      </c>
      <c r="H1457" t="str">
        <v>Maïs grain non irrigué</v>
      </c>
    </row>
    <row r="1458" spans="1:8">
      <c r="A1458" t="s">
        <v>910</v>
      </c>
      <c r="B1458">
        <v>47413.06</v>
      </c>
      <c r="C1458">
        <v>313</v>
      </c>
      <c r="D1458">
        <v>21.11</v>
      </c>
      <c r="E1458">
        <v>7.83</v>
      </c>
      <c r="F1458">
        <v>6.6015566175226829E-3</v>
      </c>
      <c r="G1458">
        <v>0.37091425864519184</v>
      </c>
      <c r="H1458" t="str">
        <v>Maïs grain irrigué</v>
      </c>
    </row>
    <row r="1459" spans="1:8">
      <c r="A1459" t="s">
        <v>765</v>
      </c>
      <c r="B1459">
        <v>7292.94</v>
      </c>
      <c r="C1459">
        <v>182</v>
      </c>
      <c r="D1459">
        <v>4.5599999999999996</v>
      </c>
      <c r="E1459">
        <v>3.4</v>
      </c>
      <c r="F1459">
        <v>2.4955642031882892E-2</v>
      </c>
      <c r="G1459">
        <v>0.7456140350877194</v>
      </c>
      <c r="H1459" t="str">
        <v>Tournesol</v>
      </c>
    </row>
    <row r="1460" spans="1:8">
      <c r="A1460" t="s">
        <v>866</v>
      </c>
      <c r="B1460">
        <v>79140.91</v>
      </c>
      <c r="C1460">
        <v>21272.73</v>
      </c>
      <c r="D1460">
        <v>28.93</v>
      </c>
      <c r="E1460">
        <v>28.93</v>
      </c>
      <c r="F1460">
        <v>0.26879562036878268</v>
      </c>
      <c r="G1460">
        <v>1</v>
      </c>
      <c r="H1460" t="str">
        <v>Maïs grain non irrigué</v>
      </c>
    </row>
    <row r="1461" spans="1:8">
      <c r="A1461" t="s">
        <v>910</v>
      </c>
      <c r="B1461">
        <v>105402</v>
      </c>
      <c r="C1461">
        <v>5541.6</v>
      </c>
      <c r="D1461">
        <v>47.91</v>
      </c>
      <c r="E1461">
        <v>47.91</v>
      </c>
      <c r="F1461">
        <v>5.257585245061764E-2</v>
      </c>
      <c r="G1461">
        <v>1</v>
      </c>
      <c r="H1461" t="str">
        <v>Maïs grain irrigué</v>
      </c>
    </row>
    <row r="1462" spans="1:8">
      <c r="A1462" t="s">
        <v>765</v>
      </c>
      <c r="B1462">
        <v>18262.8</v>
      </c>
      <c r="C1462">
        <v>5398.76</v>
      </c>
      <c r="D1462">
        <v>16.91</v>
      </c>
      <c r="E1462">
        <v>16.91</v>
      </c>
      <c r="F1462">
        <v>0.29561513021004449</v>
      </c>
      <c r="G1462">
        <v>1</v>
      </c>
      <c r="H1462" t="str">
        <v>Tournesol</v>
      </c>
    </row>
    <row r="1463" spans="1:8">
      <c r="A1463" t="s">
        <v>866</v>
      </c>
      <c r="B1463">
        <v>64000</v>
      </c>
      <c r="C1463">
        <v>19840</v>
      </c>
      <c r="D1463">
        <v>32</v>
      </c>
      <c r="E1463">
        <v>32</v>
      </c>
      <c r="F1463">
        <v>0.31</v>
      </c>
      <c r="G1463">
        <v>1</v>
      </c>
      <c r="H1463" t="str">
        <v>Maïs grain non irrigué</v>
      </c>
    </row>
    <row r="1464" spans="1:8">
      <c r="A1464" t="s">
        <v>765</v>
      </c>
      <c r="B1464">
        <v>6361.52</v>
      </c>
      <c r="C1464">
        <v>3007.62</v>
      </c>
      <c r="D1464">
        <v>4.22</v>
      </c>
      <c r="E1464">
        <v>4.22</v>
      </c>
      <c r="F1464">
        <v>0.47278323419560098</v>
      </c>
      <c r="G1464">
        <v>1</v>
      </c>
      <c r="H1464" t="str">
        <v>Tournesol</v>
      </c>
    </row>
    <row r="1465" spans="1:8">
      <c r="A1465" t="s">
        <v>866</v>
      </c>
      <c r="B1465">
        <v>153164.38</v>
      </c>
      <c r="C1465">
        <v>63617.71</v>
      </c>
      <c r="D1465">
        <v>72.680000000000007</v>
      </c>
      <c r="E1465">
        <v>72.650000000000006</v>
      </c>
      <c r="F1465">
        <v>0.41535577658460798</v>
      </c>
      <c r="G1465">
        <v>0.99958723170060537</v>
      </c>
      <c r="H1465" t="str">
        <v>Maïs grain non irrigué</v>
      </c>
    </row>
    <row r="1466" spans="1:8">
      <c r="A1466" t="s">
        <v>2171</v>
      </c>
      <c r="B1466">
        <v>45884.84</v>
      </c>
      <c r="C1466">
        <v>10517.31</v>
      </c>
      <c r="D1466">
        <v>19.93</v>
      </c>
      <c r="E1466">
        <v>19.93</v>
      </c>
      <c r="F1466">
        <v>0.22921099866535441</v>
      </c>
      <c r="G1466">
        <v>1</v>
      </c>
      <c r="H1466" t="str">
        <v>Maïs waxy non irrigué</v>
      </c>
    </row>
    <row r="1467" spans="1:8">
      <c r="A1467" t="s">
        <v>814</v>
      </c>
      <c r="B1467">
        <v>13250.04</v>
      </c>
      <c r="C1467">
        <v>2046.09</v>
      </c>
      <c r="D1467">
        <v>10.130000000000001</v>
      </c>
      <c r="E1467">
        <v>10.130000000000001</v>
      </c>
      <c r="F1467">
        <v>0.15442142061457925</v>
      </c>
      <c r="G1467">
        <v>1</v>
      </c>
      <c r="H1467" t="str">
        <v>Soja</v>
      </c>
    </row>
    <row r="1468" spans="1:8">
      <c r="A1468" t="s">
        <v>2267</v>
      </c>
      <c r="B1468">
        <v>80938.820000000007</v>
      </c>
      <c r="C1468">
        <v>13958.22</v>
      </c>
      <c r="D1468">
        <v>31.44</v>
      </c>
      <c r="E1468">
        <v>31.44</v>
      </c>
      <c r="F1468">
        <v>0.17245395966978513</v>
      </c>
      <c r="G1468">
        <v>1</v>
      </c>
      <c r="H1468" t="str">
        <v>Maïs waxy irrigué</v>
      </c>
    </row>
    <row r="1469" spans="1:8">
      <c r="A1469" t="s">
        <v>2171</v>
      </c>
      <c r="B1469">
        <v>6658.13</v>
      </c>
      <c r="C1469">
        <v>2594.13</v>
      </c>
      <c r="D1469">
        <v>2.58</v>
      </c>
      <c r="E1469">
        <v>2.58</v>
      </c>
      <c r="F1469">
        <v>0.38961840636935596</v>
      </c>
      <c r="G1469">
        <v>1</v>
      </c>
      <c r="H1469" t="str">
        <v>Maïs waxy non irrigué</v>
      </c>
    </row>
    <row r="1470" spans="1:8">
      <c r="A1470" t="s">
        <v>866</v>
      </c>
      <c r="B1470">
        <v>49141.55</v>
      </c>
      <c r="C1470">
        <v>27537.81</v>
      </c>
      <c r="D1470">
        <v>22.15</v>
      </c>
      <c r="E1470">
        <v>22.15</v>
      </c>
      <c r="F1470">
        <v>0.56037731817575964</v>
      </c>
      <c r="G1470">
        <v>1</v>
      </c>
      <c r="H1470" t="str">
        <v>Maïs grain non irrigué</v>
      </c>
    </row>
    <row r="1471" spans="1:8">
      <c r="A1471" t="s">
        <v>910</v>
      </c>
      <c r="B1471">
        <v>73048</v>
      </c>
      <c r="C1471">
        <v>30686.400000000001</v>
      </c>
      <c r="D1471">
        <v>29.83</v>
      </c>
      <c r="E1471">
        <v>29.83</v>
      </c>
      <c r="F1471">
        <v>0.4200854232833206</v>
      </c>
      <c r="G1471">
        <v>1</v>
      </c>
      <c r="H1471" t="str">
        <v>Maïs grain irrigué</v>
      </c>
    </row>
    <row r="1472" spans="1:8">
      <c r="A1472" t="s">
        <v>866</v>
      </c>
      <c r="B1472">
        <v>21276</v>
      </c>
      <c r="C1472">
        <v>634.34</v>
      </c>
      <c r="D1472">
        <v>9.85</v>
      </c>
      <c r="E1472">
        <v>9.85</v>
      </c>
      <c r="F1472">
        <v>2.9814814814814815E-2</v>
      </c>
      <c r="G1472">
        <v>1</v>
      </c>
      <c r="H1472" t="str">
        <v>Maïs grain non irrigué</v>
      </c>
    </row>
    <row r="1473" spans="1:8">
      <c r="A1473" t="s">
        <v>765</v>
      </c>
      <c r="B1473">
        <v>18874.62</v>
      </c>
      <c r="C1473">
        <v>2515.98</v>
      </c>
      <c r="D1473">
        <v>17.190000000000001</v>
      </c>
      <c r="E1473">
        <v>17.190000000000001</v>
      </c>
      <c r="F1473">
        <v>0.13329963729071104</v>
      </c>
      <c r="G1473">
        <v>1</v>
      </c>
      <c r="H1473" t="str">
        <v>Tournesol</v>
      </c>
    </row>
    <row r="1474" spans="1:8">
      <c r="A1474" t="s">
        <v>910</v>
      </c>
      <c r="B1474">
        <v>54411.56</v>
      </c>
      <c r="C1474">
        <v>8439.7900000000009</v>
      </c>
      <c r="D1474">
        <v>28</v>
      </c>
      <c r="E1474">
        <v>28</v>
      </c>
      <c r="F1474">
        <v>0.15511023760392095</v>
      </c>
      <c r="G1474">
        <v>1</v>
      </c>
      <c r="H1474" t="str">
        <v>Maïs grain irrigué</v>
      </c>
    </row>
    <row r="1475" spans="1:8">
      <c r="A1475" t="s">
        <v>765</v>
      </c>
      <c r="B1475">
        <v>6990</v>
      </c>
      <c r="C1475">
        <v>352.5</v>
      </c>
      <c r="D1475">
        <v>6</v>
      </c>
      <c r="E1475">
        <v>6</v>
      </c>
      <c r="F1475">
        <v>5.0429184549356222E-2</v>
      </c>
      <c r="G1475">
        <v>1</v>
      </c>
      <c r="H1475" t="str">
        <v>Tournesol</v>
      </c>
    </row>
    <row r="1476" spans="1:8">
      <c r="A1476" t="s">
        <v>866</v>
      </c>
      <c r="B1476">
        <v>40815</v>
      </c>
      <c r="C1476">
        <v>3223.01</v>
      </c>
      <c r="D1476">
        <v>25</v>
      </c>
      <c r="E1476">
        <v>25</v>
      </c>
      <c r="F1476">
        <v>7.896631140512067E-2</v>
      </c>
      <c r="G1476">
        <v>1</v>
      </c>
      <c r="H1476" t="str">
        <v>Maïs grain non irrigué</v>
      </c>
    </row>
    <row r="1477" spans="1:8">
      <c r="A1477" t="s">
        <v>910</v>
      </c>
      <c r="B1477">
        <v>46332</v>
      </c>
      <c r="C1477">
        <v>720</v>
      </c>
      <c r="D1477">
        <v>18</v>
      </c>
      <c r="E1477">
        <v>18</v>
      </c>
      <c r="F1477">
        <v>1.554001554001554E-2</v>
      </c>
      <c r="G1477">
        <v>1</v>
      </c>
      <c r="H1477" t="str">
        <v>Maïs grain irrigué</v>
      </c>
    </row>
    <row r="1478" spans="1:8">
      <c r="A1478" t="s">
        <v>866</v>
      </c>
      <c r="B1478">
        <v>25558</v>
      </c>
      <c r="C1478">
        <v>10276.5</v>
      </c>
      <c r="D1478">
        <v>13</v>
      </c>
      <c r="E1478">
        <v>13</v>
      </c>
      <c r="F1478">
        <v>0.40208545269582907</v>
      </c>
      <c r="G1478">
        <v>1</v>
      </c>
      <c r="H1478" t="str">
        <v>Maïs grain non irrigué</v>
      </c>
    </row>
    <row r="1479" spans="1:8">
      <c r="A1479" t="s">
        <v>866</v>
      </c>
      <c r="B1479">
        <v>26848.39</v>
      </c>
      <c r="C1479">
        <v>9968.43</v>
      </c>
      <c r="D1479">
        <v>15.25</v>
      </c>
      <c r="E1479">
        <v>15.25</v>
      </c>
      <c r="F1479">
        <v>0.37128595047971219</v>
      </c>
      <c r="G1479">
        <v>1</v>
      </c>
      <c r="H1479" t="str">
        <v>Maïs grain non irrigué</v>
      </c>
    </row>
    <row r="1480" spans="1:8">
      <c r="A1480" t="s">
        <v>866</v>
      </c>
      <c r="B1480">
        <v>40575.599999999999</v>
      </c>
      <c r="C1480">
        <v>14752</v>
      </c>
      <c r="D1480">
        <v>24</v>
      </c>
      <c r="E1480">
        <v>24</v>
      </c>
      <c r="F1480">
        <v>0.36356825284160926</v>
      </c>
      <c r="G1480">
        <v>1</v>
      </c>
      <c r="H1480" t="str">
        <v>Maïs grain non irrigué</v>
      </c>
    </row>
    <row r="1481" spans="1:8">
      <c r="A1481" t="s">
        <v>866</v>
      </c>
      <c r="B1481">
        <v>59172.75</v>
      </c>
      <c r="C1481">
        <v>22538</v>
      </c>
      <c r="D1481">
        <v>35</v>
      </c>
      <c r="E1481">
        <v>35</v>
      </c>
      <c r="F1481">
        <v>0.3808847822688653</v>
      </c>
      <c r="G1481">
        <v>1</v>
      </c>
      <c r="H1481" t="str">
        <v>Maïs grain non irrigué</v>
      </c>
    </row>
    <row r="1482" spans="1:8">
      <c r="A1482" t="s">
        <v>898</v>
      </c>
      <c r="B1482">
        <v>4872.1499999999996</v>
      </c>
      <c r="C1482">
        <v>722.27</v>
      </c>
      <c r="D1482">
        <v>2.73</v>
      </c>
      <c r="E1482">
        <v>2.73</v>
      </c>
      <c r="F1482">
        <v>0.14824461480044746</v>
      </c>
      <c r="G1482">
        <v>1</v>
      </c>
      <c r="H1482" t="str">
        <v>Maïs ensilage non irrigué</v>
      </c>
    </row>
    <row r="1483" spans="1:8">
      <c r="A1483" t="s">
        <v>866</v>
      </c>
      <c r="B1483">
        <v>22183.5</v>
      </c>
      <c r="C1483">
        <v>675.15</v>
      </c>
      <c r="D1483">
        <v>12.86</v>
      </c>
      <c r="E1483">
        <v>12.86</v>
      </c>
      <c r="F1483">
        <v>3.043478260869565E-2</v>
      </c>
      <c r="G1483">
        <v>1</v>
      </c>
      <c r="H1483" t="str">
        <v>Maïs grain non irrigué</v>
      </c>
    </row>
    <row r="1484" spans="1:8">
      <c r="A1484" t="s">
        <v>910</v>
      </c>
      <c r="B1484">
        <v>52744.7</v>
      </c>
      <c r="C1484">
        <v>1194.4000000000001</v>
      </c>
      <c r="D1484">
        <v>29.86</v>
      </c>
      <c r="E1484">
        <v>29.86</v>
      </c>
      <c r="F1484">
        <v>2.2644929253555338E-2</v>
      </c>
      <c r="G1484">
        <v>1</v>
      </c>
      <c r="H1484" t="str">
        <v>Maïs grain irrigué</v>
      </c>
    </row>
    <row r="1485" spans="1:8">
      <c r="A1485" t="s">
        <v>866</v>
      </c>
      <c r="B1485">
        <v>30810</v>
      </c>
      <c r="C1485">
        <v>9989.5</v>
      </c>
      <c r="D1485">
        <v>15</v>
      </c>
      <c r="E1485">
        <v>8</v>
      </c>
      <c r="F1485">
        <v>0.32422914638104511</v>
      </c>
      <c r="G1485">
        <v>0.53333333333333333</v>
      </c>
      <c r="H1485" t="str">
        <v>Maïs grain non irrigué</v>
      </c>
    </row>
    <row r="1486" spans="1:8">
      <c r="A1486" t="s">
        <v>910</v>
      </c>
      <c r="B1486">
        <v>64176.77</v>
      </c>
      <c r="C1486">
        <v>1560.4</v>
      </c>
      <c r="D1486">
        <v>39.44</v>
      </c>
      <c r="E1486">
        <v>39.44</v>
      </c>
      <c r="F1486">
        <v>2.4314093713348306E-2</v>
      </c>
      <c r="G1486">
        <v>1</v>
      </c>
      <c r="H1486" t="str">
        <v>Maïs grain irrigué</v>
      </c>
    </row>
    <row r="1487" spans="1:8">
      <c r="A1487" t="s">
        <v>866</v>
      </c>
      <c r="B1487">
        <v>23778.29</v>
      </c>
      <c r="C1487">
        <v>11170.13</v>
      </c>
      <c r="D1487">
        <v>13.89</v>
      </c>
      <c r="E1487">
        <v>13.89</v>
      </c>
      <c r="F1487">
        <v>0.46976170279696305</v>
      </c>
      <c r="G1487">
        <v>1</v>
      </c>
      <c r="H1487" t="str">
        <v>Maïs grain non irrigué</v>
      </c>
    </row>
    <row r="1488" spans="1:8">
      <c r="A1488" t="s">
        <v>866</v>
      </c>
      <c r="B1488">
        <v>12760.38</v>
      </c>
      <c r="C1488">
        <v>1439.33</v>
      </c>
      <c r="D1488">
        <v>9.11</v>
      </c>
      <c r="E1488">
        <v>9.11</v>
      </c>
      <c r="F1488">
        <v>0.11279679758753267</v>
      </c>
      <c r="G1488">
        <v>1</v>
      </c>
      <c r="H1488" t="str">
        <v>Maïs grain non irrigué</v>
      </c>
    </row>
    <row r="1489" spans="1:8">
      <c r="A1489" t="s">
        <v>866</v>
      </c>
      <c r="B1489">
        <v>114420.18</v>
      </c>
      <c r="C1489">
        <v>32388.33</v>
      </c>
      <c r="D1489">
        <v>61.22</v>
      </c>
      <c r="E1489">
        <v>61.22</v>
      </c>
      <c r="F1489">
        <v>0.28306484048530606</v>
      </c>
      <c r="G1489">
        <v>1</v>
      </c>
      <c r="H1489" t="str">
        <v>Maïs grain non irrigué</v>
      </c>
    </row>
    <row r="1490" spans="1:8">
      <c r="A1490" t="s">
        <v>2171</v>
      </c>
      <c r="B1490">
        <v>48020</v>
      </c>
      <c r="C1490">
        <v>30915.4</v>
      </c>
      <c r="D1490">
        <v>24.5</v>
      </c>
      <c r="E1490">
        <v>24.5</v>
      </c>
      <c r="F1490">
        <v>0.64380258225739273</v>
      </c>
      <c r="G1490">
        <v>1</v>
      </c>
      <c r="H1490" t="str">
        <v>Maïs waxy non irrigué</v>
      </c>
    </row>
    <row r="1491" spans="1:8">
      <c r="A1491" t="s">
        <v>2267</v>
      </c>
      <c r="B1491">
        <v>65884</v>
      </c>
      <c r="C1491">
        <v>4436.76</v>
      </c>
      <c r="D1491">
        <v>26</v>
      </c>
      <c r="E1491">
        <v>26</v>
      </c>
      <c r="F1491">
        <v>6.7341995021553039E-2</v>
      </c>
      <c r="G1491">
        <v>1</v>
      </c>
      <c r="H1491" t="str">
        <v>Maïs waxy irrigué</v>
      </c>
    </row>
    <row r="1492" spans="1:8">
      <c r="A1492" t="s">
        <v>866</v>
      </c>
      <c r="B1492">
        <v>3193.25</v>
      </c>
      <c r="C1492">
        <v>1330.19</v>
      </c>
      <c r="D1492">
        <v>2.34</v>
      </c>
      <c r="E1492">
        <v>2.34</v>
      </c>
      <c r="F1492">
        <v>0.41656306271040477</v>
      </c>
      <c r="G1492">
        <v>1</v>
      </c>
      <c r="H1492" t="str">
        <v>Maïs grain non irrigué</v>
      </c>
    </row>
    <row r="1493" spans="1:8">
      <c r="A1493" t="s">
        <v>1141</v>
      </c>
      <c r="B1493">
        <v>9972.35</v>
      </c>
      <c r="C1493">
        <v>2949.8</v>
      </c>
      <c r="D1493">
        <v>9.5500000000000007</v>
      </c>
      <c r="E1493">
        <v>9.5500000000000007</v>
      </c>
      <c r="F1493">
        <v>0.29579788114135586</v>
      </c>
      <c r="G1493">
        <v>1</v>
      </c>
      <c r="H1493" t="str">
        <v>Sorgho</v>
      </c>
    </row>
    <row r="1494" spans="1:8">
      <c r="A1494" t="s">
        <v>866</v>
      </c>
      <c r="B1494">
        <v>56751.7</v>
      </c>
      <c r="C1494">
        <v>5911.68</v>
      </c>
      <c r="D1494">
        <v>24.65</v>
      </c>
      <c r="E1494">
        <v>21</v>
      </c>
      <c r="F1494">
        <v>0.10416745225253166</v>
      </c>
      <c r="G1494">
        <v>0.85192697768762682</v>
      </c>
      <c r="H1494" t="str">
        <v>Maïs grain non irrigué</v>
      </c>
    </row>
    <row r="1495" spans="1:8">
      <c r="A1495" t="s">
        <v>910</v>
      </c>
      <c r="B1495">
        <v>79115.399999999994</v>
      </c>
      <c r="C1495">
        <v>768</v>
      </c>
      <c r="D1495">
        <v>33.6</v>
      </c>
      <c r="E1495">
        <v>20</v>
      </c>
      <c r="F1495">
        <v>9.707338899885485E-3</v>
      </c>
      <c r="G1495">
        <v>0.59523809523809523</v>
      </c>
      <c r="H1495" t="str">
        <v>Maïs grain irrigué</v>
      </c>
    </row>
    <row r="1496" spans="1:8">
      <c r="A1496" t="s">
        <v>866</v>
      </c>
      <c r="B1496">
        <v>33761.800000000003</v>
      </c>
      <c r="C1496">
        <v>66212.69</v>
      </c>
      <c r="D1496">
        <v>18.739999999999998</v>
      </c>
      <c r="E1496">
        <v>18.739999999999998</v>
      </c>
      <c r="F1496">
        <v>1.9611717977122072</v>
      </c>
      <c r="G1496">
        <v>1</v>
      </c>
      <c r="H1496" t="str">
        <v>Maïs grain non irrigué</v>
      </c>
    </row>
    <row r="1497" spans="1:8">
      <c r="A1497" t="s">
        <v>866</v>
      </c>
      <c r="B1497">
        <v>76692.56</v>
      </c>
      <c r="C1497">
        <v>38519.410000000003</v>
      </c>
      <c r="D1497">
        <v>38.11</v>
      </c>
      <c r="E1497">
        <v>38.11</v>
      </c>
      <c r="F1497">
        <v>0.50225745496042906</v>
      </c>
      <c r="G1497">
        <v>1</v>
      </c>
      <c r="H1497" t="str">
        <v>Maïs grain non irrigué</v>
      </c>
    </row>
    <row r="1498" spans="1:8">
      <c r="A1498" t="s">
        <v>910</v>
      </c>
      <c r="B1498">
        <v>55332</v>
      </c>
      <c r="C1498">
        <v>387.9</v>
      </c>
      <c r="D1498">
        <v>26.5</v>
      </c>
      <c r="E1498">
        <v>4</v>
      </c>
      <c r="F1498">
        <v>7.0104098893949245E-3</v>
      </c>
      <c r="G1498">
        <v>0.15094339622641509</v>
      </c>
      <c r="H1498" t="str">
        <v>Maïs grain irrigué</v>
      </c>
    </row>
    <row r="1499" spans="1:8">
      <c r="A1499" t="s">
        <v>866</v>
      </c>
      <c r="B1499">
        <v>51420.1</v>
      </c>
      <c r="C1499">
        <v>20014.490000000002</v>
      </c>
      <c r="D1499">
        <v>29.43</v>
      </c>
      <c r="E1499">
        <v>29.43</v>
      </c>
      <c r="F1499">
        <v>0.38923475450261674</v>
      </c>
      <c r="G1499">
        <v>1</v>
      </c>
      <c r="H1499" t="str">
        <v>Maïs grain non irrigué</v>
      </c>
    </row>
    <row r="1500" spans="1:8">
      <c r="A1500" t="s">
        <v>910</v>
      </c>
      <c r="B1500">
        <v>77073.919999999998</v>
      </c>
      <c r="C1500">
        <v>17135.240000000002</v>
      </c>
      <c r="D1500">
        <v>37.4</v>
      </c>
      <c r="E1500">
        <v>37.4</v>
      </c>
      <c r="F1500">
        <v>0.22232215514664366</v>
      </c>
      <c r="G1500">
        <v>1</v>
      </c>
      <c r="H1500" t="str">
        <v>Maïs grain irrigué</v>
      </c>
    </row>
    <row r="1501" spans="1:8">
      <c r="A1501" t="s">
        <v>866</v>
      </c>
      <c r="B1501">
        <v>53951.63</v>
      </c>
      <c r="C1501">
        <v>720.04</v>
      </c>
      <c r="D1501">
        <v>29.75</v>
      </c>
      <c r="E1501">
        <v>29.75</v>
      </c>
      <c r="F1501">
        <v>1.3346028655668049E-2</v>
      </c>
      <c r="G1501">
        <v>1</v>
      </c>
      <c r="H1501" t="str">
        <v>Maïs grain non irrigué</v>
      </c>
    </row>
    <row r="1502" spans="1:8">
      <c r="A1502" t="s">
        <v>866</v>
      </c>
      <c r="B1502">
        <v>108834</v>
      </c>
      <c r="C1502">
        <v>69098.7</v>
      </c>
      <c r="D1502">
        <v>51</v>
      </c>
      <c r="E1502">
        <v>51</v>
      </c>
      <c r="F1502">
        <v>0.63489993935718614</v>
      </c>
      <c r="G1502">
        <v>1</v>
      </c>
      <c r="H1502" t="str">
        <v>Maïs grain non irrigué</v>
      </c>
    </row>
    <row r="1503" spans="1:8">
      <c r="A1503" t="s">
        <v>898</v>
      </c>
      <c r="B1503">
        <v>6820.11</v>
      </c>
      <c r="C1503">
        <v>1825.7</v>
      </c>
      <c r="D1503">
        <v>5.83</v>
      </c>
      <c r="E1503">
        <v>5.83</v>
      </c>
      <c r="F1503">
        <v>0.26769362957488957</v>
      </c>
      <c r="G1503">
        <v>1</v>
      </c>
      <c r="H1503" t="str">
        <v>Maïs ensilage non irrigué</v>
      </c>
    </row>
    <row r="1504" spans="1:8">
      <c r="A1504" t="s">
        <v>866</v>
      </c>
      <c r="B1504">
        <v>66233.97</v>
      </c>
      <c r="C1504">
        <v>9325.75</v>
      </c>
      <c r="D1504">
        <v>38.450000000000003</v>
      </c>
      <c r="E1504">
        <v>14.4</v>
      </c>
      <c r="F1504">
        <v>0.1408001060483012</v>
      </c>
      <c r="G1504">
        <v>0.3745123537061118</v>
      </c>
      <c r="H1504" t="str">
        <v>Maïs grain non irrigué</v>
      </c>
    </row>
    <row r="1505" spans="1:8">
      <c r="A1505" t="s">
        <v>910</v>
      </c>
      <c r="B1505">
        <v>17676.23</v>
      </c>
      <c r="C1505">
        <v>498.8</v>
      </c>
      <c r="D1505">
        <v>12.47</v>
      </c>
      <c r="E1505">
        <v>12.47</v>
      </c>
      <c r="F1505">
        <v>2.8218686903259349E-2</v>
      </c>
      <c r="G1505">
        <v>1</v>
      </c>
      <c r="H1505" t="str">
        <v>Maïs grain irrigué</v>
      </c>
    </row>
    <row r="1506" spans="1:8">
      <c r="A1506" t="s">
        <v>910</v>
      </c>
      <c r="B1506">
        <v>25070.1</v>
      </c>
      <c r="C1506">
        <v>984.22</v>
      </c>
      <c r="D1506">
        <v>14.2</v>
      </c>
      <c r="E1506">
        <v>14.2</v>
      </c>
      <c r="F1506">
        <v>3.9258718553176898E-2</v>
      </c>
      <c r="G1506">
        <v>1</v>
      </c>
      <c r="H1506" t="str">
        <v>Maïs grain irrigué</v>
      </c>
    </row>
    <row r="1507" spans="1:8">
      <c r="A1507" t="s">
        <v>866</v>
      </c>
      <c r="B1507">
        <v>25107.72</v>
      </c>
      <c r="C1507">
        <v>1807.62</v>
      </c>
      <c r="D1507">
        <v>16.54</v>
      </c>
      <c r="E1507">
        <v>16.54</v>
      </c>
      <c r="F1507">
        <v>7.1994589711849577E-2</v>
      </c>
      <c r="G1507">
        <v>1</v>
      </c>
      <c r="H1507" t="str">
        <v>Maïs grain non irrigué</v>
      </c>
    </row>
    <row r="1508" spans="1:8">
      <c r="A1508" t="s">
        <v>765</v>
      </c>
      <c r="B1508">
        <v>18973.68</v>
      </c>
      <c r="C1508">
        <v>2109.67</v>
      </c>
      <c r="D1508">
        <v>10.119999999999999</v>
      </c>
      <c r="E1508">
        <v>10.119999999999999</v>
      </c>
      <c r="F1508">
        <v>0.11118928958430838</v>
      </c>
      <c r="G1508">
        <v>1</v>
      </c>
      <c r="H1508" t="str">
        <v>Tournesol</v>
      </c>
    </row>
    <row r="1509" spans="1:8">
      <c r="A1509" t="s">
        <v>911</v>
      </c>
      <c r="B1509">
        <v>175214.4</v>
      </c>
      <c r="C1509">
        <v>1771.52</v>
      </c>
      <c r="D1509">
        <v>80</v>
      </c>
      <c r="E1509">
        <v>80</v>
      </c>
      <c r="F1509">
        <v>1.0110584518167457E-2</v>
      </c>
      <c r="G1509">
        <v>1</v>
      </c>
      <c r="H1509" t="str">
        <v>Maïs pop corn irrigué</v>
      </c>
    </row>
    <row r="1510" spans="1:8">
      <c r="A1510" t="s">
        <v>814</v>
      </c>
      <c r="B1510">
        <v>15177.6</v>
      </c>
      <c r="C1510">
        <v>6248.52</v>
      </c>
      <c r="D1510">
        <v>17</v>
      </c>
      <c r="E1510">
        <v>17</v>
      </c>
      <c r="F1510">
        <v>0.41169354838709682</v>
      </c>
      <c r="G1510">
        <v>1</v>
      </c>
      <c r="H1510" t="str">
        <v>Soja</v>
      </c>
    </row>
    <row r="1511" spans="1:8">
      <c r="A1511" t="s">
        <v>765</v>
      </c>
      <c r="B1511">
        <v>3864</v>
      </c>
      <c r="C1511">
        <v>1940.4</v>
      </c>
      <c r="D1511">
        <v>2.8</v>
      </c>
      <c r="E1511">
        <v>2.8</v>
      </c>
      <c r="F1511">
        <v>0.50217391304347825</v>
      </c>
      <c r="G1511">
        <v>1</v>
      </c>
      <c r="H1511" t="str">
        <v>Tournesol</v>
      </c>
    </row>
    <row r="1512" spans="1:8">
      <c r="A1512" t="s">
        <v>2267</v>
      </c>
      <c r="B1512">
        <v>65853.81</v>
      </c>
      <c r="C1512">
        <v>5686.25</v>
      </c>
      <c r="D1512">
        <v>27</v>
      </c>
      <c r="E1512">
        <v>27</v>
      </c>
      <c r="F1512">
        <v>8.6346560662169738E-2</v>
      </c>
      <c r="G1512">
        <v>1</v>
      </c>
      <c r="H1512" t="str">
        <v>Maïs waxy irrigué</v>
      </c>
    </row>
    <row r="1513" spans="1:8">
      <c r="A1513" t="s">
        <v>2171</v>
      </c>
      <c r="B1513">
        <v>32838.080000000002</v>
      </c>
      <c r="C1513">
        <v>21206.76</v>
      </c>
      <c r="D1513">
        <v>16</v>
      </c>
      <c r="E1513">
        <v>16</v>
      </c>
      <c r="F1513">
        <v>0.64579780547461962</v>
      </c>
      <c r="G1513">
        <v>1</v>
      </c>
      <c r="H1513" t="str">
        <v>Maïs waxy non irrigué</v>
      </c>
    </row>
    <row r="1514" spans="1:8">
      <c r="A1514" t="s">
        <v>765</v>
      </c>
      <c r="B1514">
        <v>15750</v>
      </c>
      <c r="C1514">
        <v>5880</v>
      </c>
      <c r="D1514">
        <v>10.5</v>
      </c>
      <c r="E1514">
        <v>10.5</v>
      </c>
      <c r="F1514">
        <v>0.37333333333333335</v>
      </c>
      <c r="G1514">
        <v>1</v>
      </c>
      <c r="H1514" t="str">
        <v>Tournesol</v>
      </c>
    </row>
    <row r="1515" spans="1:8">
      <c r="A1515" t="s">
        <v>2171</v>
      </c>
      <c r="B1515">
        <v>61529.599999999999</v>
      </c>
      <c r="C1515">
        <v>30436.25</v>
      </c>
      <c r="D1515">
        <v>32</v>
      </c>
      <c r="E1515">
        <v>32</v>
      </c>
      <c r="F1515">
        <v>0.49466029358227587</v>
      </c>
      <c r="G1515">
        <v>1</v>
      </c>
      <c r="H1515" t="str">
        <v>Maïs waxy non irrigué</v>
      </c>
    </row>
    <row r="1516" spans="1:8">
      <c r="A1516" t="s">
        <v>814</v>
      </c>
      <c r="B1516">
        <v>18298.8</v>
      </c>
      <c r="C1516">
        <v>8611.2000000000007</v>
      </c>
      <c r="D1516">
        <v>13</v>
      </c>
      <c r="E1516">
        <v>13</v>
      </c>
      <c r="F1516">
        <v>0.4705882352941177</v>
      </c>
      <c r="G1516">
        <v>1</v>
      </c>
      <c r="H1516" t="str">
        <v>Soja</v>
      </c>
    </row>
    <row r="1517" spans="1:8">
      <c r="A1517" t="s">
        <v>2267</v>
      </c>
      <c r="B1517">
        <v>50452.6</v>
      </c>
      <c r="C1517">
        <v>5435.98</v>
      </c>
      <c r="D1517">
        <v>20</v>
      </c>
      <c r="E1517">
        <v>20</v>
      </c>
      <c r="F1517">
        <v>0.1077442986089914</v>
      </c>
      <c r="G1517">
        <v>1</v>
      </c>
      <c r="H1517" t="str">
        <v>Maïs waxy irrigué</v>
      </c>
    </row>
    <row r="1518" spans="1:8">
      <c r="A1518" t="s">
        <v>1141</v>
      </c>
      <c r="B1518">
        <v>7791</v>
      </c>
      <c r="C1518">
        <v>2947.35</v>
      </c>
      <c r="D1518">
        <v>8.4</v>
      </c>
      <c r="E1518">
        <v>8.4</v>
      </c>
      <c r="F1518">
        <v>0.3783018867924528</v>
      </c>
      <c r="G1518">
        <v>1</v>
      </c>
      <c r="H1518" t="str">
        <v>Sorgho</v>
      </c>
    </row>
    <row r="1519" spans="1:8">
      <c r="A1519" t="s">
        <v>765</v>
      </c>
      <c r="B1519">
        <v>13627.5</v>
      </c>
      <c r="C1519">
        <v>6250.88</v>
      </c>
      <c r="D1519">
        <v>11.85</v>
      </c>
      <c r="E1519">
        <v>11.85</v>
      </c>
      <c r="F1519">
        <v>0.4586960190790681</v>
      </c>
      <c r="G1519">
        <v>1</v>
      </c>
      <c r="H1519" t="str">
        <v>Tournesol</v>
      </c>
    </row>
    <row r="1520" spans="1:8">
      <c r="A1520" t="s">
        <v>910</v>
      </c>
      <c r="B1520">
        <v>29260</v>
      </c>
      <c r="C1520">
        <v>2340.8000000000002</v>
      </c>
      <c r="D1520">
        <v>14</v>
      </c>
      <c r="E1520">
        <v>14</v>
      </c>
      <c r="F1520">
        <v>0.08</v>
      </c>
      <c r="G1520">
        <v>1</v>
      </c>
      <c r="H1520" t="str">
        <v>Maïs grain irrigué</v>
      </c>
    </row>
    <row r="1521" spans="1:8">
      <c r="A1521" t="s">
        <v>866</v>
      </c>
      <c r="B1521">
        <v>88918.1</v>
      </c>
      <c r="C1521">
        <v>49643.49</v>
      </c>
      <c r="D1521">
        <v>53</v>
      </c>
      <c r="E1521">
        <v>53</v>
      </c>
      <c r="F1521">
        <v>0.5583057892600044</v>
      </c>
      <c r="G1521">
        <v>1</v>
      </c>
      <c r="H1521" t="str">
        <v>Maïs grain non irrigué</v>
      </c>
    </row>
    <row r="1522" spans="1:8">
      <c r="A1522" t="s">
        <v>866</v>
      </c>
      <c r="B1522">
        <v>12113.64</v>
      </c>
      <c r="C1522">
        <v>1886.56</v>
      </c>
      <c r="D1522">
        <v>7.92</v>
      </c>
      <c r="E1522">
        <v>2</v>
      </c>
      <c r="F1522">
        <v>0.15573848983459967</v>
      </c>
      <c r="G1522">
        <v>0.25252525252525254</v>
      </c>
      <c r="H1522" t="str">
        <v>Maïs grain non irrigué</v>
      </c>
    </row>
    <row r="1523" spans="1:8">
      <c r="A1523" t="s">
        <v>910</v>
      </c>
      <c r="B1523">
        <v>302464.8</v>
      </c>
      <c r="C1523">
        <v>1908.24</v>
      </c>
      <c r="D1523">
        <v>134</v>
      </c>
      <c r="E1523">
        <v>15</v>
      </c>
      <c r="F1523">
        <v>6.3089655391305038E-3</v>
      </c>
      <c r="G1523">
        <v>0.11194029850746269</v>
      </c>
      <c r="H1523" t="str">
        <v>Maïs grain irrigué</v>
      </c>
    </row>
    <row r="1524" spans="1:8">
      <c r="A1524" t="s">
        <v>866</v>
      </c>
      <c r="B1524">
        <v>33784.400000000001</v>
      </c>
      <c r="C1524">
        <v>4487.1000000000004</v>
      </c>
      <c r="D1524">
        <v>17.8</v>
      </c>
      <c r="E1524">
        <v>10</v>
      </c>
      <c r="F1524">
        <v>0.13281573744094907</v>
      </c>
      <c r="G1524">
        <v>0.56179775280898869</v>
      </c>
      <c r="H1524" t="str">
        <v>Maïs grain non irrigué</v>
      </c>
    </row>
    <row r="1525" spans="1:8">
      <c r="A1525" t="s">
        <v>2171</v>
      </c>
      <c r="B1525">
        <v>50239.199999999997</v>
      </c>
      <c r="C1525">
        <v>15590.76</v>
      </c>
      <c r="D1525">
        <v>20.76</v>
      </c>
      <c r="E1525">
        <v>20.76</v>
      </c>
      <c r="F1525">
        <v>0.3103305785123967</v>
      </c>
      <c r="G1525">
        <v>1</v>
      </c>
      <c r="H1525" t="str">
        <v>Maïs waxy non irrigué</v>
      </c>
    </row>
    <row r="1526" spans="1:8">
      <c r="A1526" t="s">
        <v>866</v>
      </c>
      <c r="B1526">
        <v>22390.59</v>
      </c>
      <c r="C1526">
        <v>959.26</v>
      </c>
      <c r="D1526">
        <v>14.84</v>
      </c>
      <c r="E1526">
        <v>14.84</v>
      </c>
      <c r="F1526">
        <v>4.2842104651998898E-2</v>
      </c>
      <c r="G1526">
        <v>1</v>
      </c>
      <c r="H1526" t="str">
        <v>Maïs grain non irrigué</v>
      </c>
    </row>
    <row r="1527" spans="1:8">
      <c r="A1527" t="s">
        <v>866</v>
      </c>
      <c r="B1527">
        <v>47388</v>
      </c>
      <c r="C1527">
        <v>22837.48</v>
      </c>
      <c r="D1527">
        <v>22</v>
      </c>
      <c r="E1527">
        <v>22</v>
      </c>
      <c r="F1527">
        <v>0.48192538195323709</v>
      </c>
      <c r="G1527">
        <v>1</v>
      </c>
      <c r="H1527" t="str">
        <v>Maïs grain non irrigué</v>
      </c>
    </row>
    <row r="1528" spans="1:8">
      <c r="A1528" t="s">
        <v>866</v>
      </c>
      <c r="B1528">
        <v>30240</v>
      </c>
      <c r="C1528">
        <v>1201.28</v>
      </c>
      <c r="D1528">
        <v>15</v>
      </c>
      <c r="E1528">
        <v>15</v>
      </c>
      <c r="F1528">
        <v>3.9724867724867725E-2</v>
      </c>
      <c r="G1528">
        <v>1</v>
      </c>
      <c r="H1528" t="str">
        <v>Maïs grain non irrigué</v>
      </c>
    </row>
    <row r="1529" spans="1:8">
      <c r="A1529" t="s">
        <v>866</v>
      </c>
      <c r="B1529">
        <v>34382.32</v>
      </c>
      <c r="C1529">
        <v>16656</v>
      </c>
      <c r="D1529">
        <v>12.53</v>
      </c>
      <c r="E1529">
        <v>12.53</v>
      </c>
      <c r="F1529">
        <v>0.48443502358188745</v>
      </c>
      <c r="G1529">
        <v>1</v>
      </c>
      <c r="H1529" t="str">
        <v>Maïs grain non irrigué</v>
      </c>
    </row>
    <row r="1530" spans="1:8">
      <c r="A1530" t="s">
        <v>866</v>
      </c>
      <c r="B1530">
        <v>18810.86</v>
      </c>
      <c r="C1530">
        <v>7290.36</v>
      </c>
      <c r="D1530">
        <v>18.11</v>
      </c>
      <c r="E1530">
        <v>18.11</v>
      </c>
      <c r="F1530">
        <v>0.38756122792897291</v>
      </c>
      <c r="G1530">
        <v>1</v>
      </c>
      <c r="H1530" t="str">
        <v>Maïs grain non irrigué</v>
      </c>
    </row>
    <row r="1531" spans="1:8">
      <c r="A1531" t="s">
        <v>1141</v>
      </c>
      <c r="B1531">
        <v>11825.6</v>
      </c>
      <c r="C1531">
        <v>3608.7</v>
      </c>
      <c r="D1531">
        <v>11.69</v>
      </c>
      <c r="E1531">
        <v>11.69</v>
      </c>
      <c r="F1531">
        <v>0.30515999188201864</v>
      </c>
      <c r="G1531">
        <v>1</v>
      </c>
      <c r="H1531" t="str">
        <v>Sorgho</v>
      </c>
    </row>
    <row r="1532" spans="1:8">
      <c r="A1532" t="s">
        <v>910</v>
      </c>
      <c r="B1532">
        <v>21065.31</v>
      </c>
      <c r="C1532">
        <v>3923.48</v>
      </c>
      <c r="D1532">
        <v>12.18</v>
      </c>
      <c r="E1532">
        <v>12</v>
      </c>
      <c r="F1532">
        <v>0.18625313370655355</v>
      </c>
      <c r="G1532">
        <v>0.98522167487684731</v>
      </c>
      <c r="H1532" t="str">
        <v>Maïs grain irrigué</v>
      </c>
    </row>
    <row r="1533" spans="1:8">
      <c r="A1533" t="s">
        <v>866</v>
      </c>
      <c r="B1533">
        <v>37033.050000000003</v>
      </c>
      <c r="C1533">
        <v>10315.84</v>
      </c>
      <c r="D1533">
        <v>23.9</v>
      </c>
      <c r="E1533">
        <v>23</v>
      </c>
      <c r="F1533">
        <v>0.27855766673282378</v>
      </c>
      <c r="G1533">
        <v>0.96234309623430969</v>
      </c>
      <c r="H1533" t="str">
        <v>Maïs grain non irrigué</v>
      </c>
    </row>
    <row r="1534" spans="1:8">
      <c r="A1534" t="s">
        <v>814</v>
      </c>
      <c r="B1534">
        <v>14856.7</v>
      </c>
      <c r="C1534">
        <v>955.54</v>
      </c>
      <c r="D1534">
        <v>18.18</v>
      </c>
      <c r="E1534">
        <v>18.18</v>
      </c>
      <c r="F1534">
        <v>6.4317109452300972E-2</v>
      </c>
      <c r="G1534">
        <v>1</v>
      </c>
      <c r="H1534" t="str">
        <v>Soja</v>
      </c>
    </row>
    <row r="1535" spans="1:8">
      <c r="A1535" t="s">
        <v>814</v>
      </c>
      <c r="B1535">
        <v>20902.39</v>
      </c>
      <c r="C1535">
        <v>7612.21</v>
      </c>
      <c r="D1535">
        <v>18.57</v>
      </c>
      <c r="E1535">
        <v>18.57</v>
      </c>
      <c r="F1535">
        <v>0.36417892882105829</v>
      </c>
      <c r="G1535">
        <v>1</v>
      </c>
      <c r="H1535" t="str">
        <v>Soja</v>
      </c>
    </row>
    <row r="1536" spans="1:8">
      <c r="A1536" t="s">
        <v>765</v>
      </c>
      <c r="B1536">
        <v>21229.040000000001</v>
      </c>
      <c r="C1536">
        <v>3343.34</v>
      </c>
      <c r="D1536">
        <v>23.38</v>
      </c>
      <c r="E1536">
        <v>23.38</v>
      </c>
      <c r="F1536">
        <v>0.15748898678414097</v>
      </c>
      <c r="G1536">
        <v>1</v>
      </c>
      <c r="H1536" t="str">
        <v>Tournesol</v>
      </c>
    </row>
    <row r="1537" spans="1:8">
      <c r="A1537" t="s">
        <v>765</v>
      </c>
      <c r="B1537">
        <v>8603.18</v>
      </c>
      <c r="C1537">
        <v>450.17</v>
      </c>
      <c r="D1537">
        <v>6.2</v>
      </c>
      <c r="E1537">
        <v>6.2</v>
      </c>
      <c r="F1537">
        <v>5.232600038590382E-2</v>
      </c>
      <c r="G1537">
        <v>1</v>
      </c>
      <c r="H1537" t="str">
        <v>Tournesol</v>
      </c>
    </row>
    <row r="1538" spans="1:8">
      <c r="A1538" t="s">
        <v>910</v>
      </c>
      <c r="B1538">
        <v>332129.13</v>
      </c>
      <c r="C1538">
        <v>27263.9</v>
      </c>
      <c r="D1538">
        <v>143.49</v>
      </c>
      <c r="E1538">
        <v>136.74</v>
      </c>
      <c r="F1538">
        <v>8.2088252843103532E-2</v>
      </c>
      <c r="G1538">
        <v>0.95295839431319251</v>
      </c>
      <c r="H1538" t="str">
        <v>Maïs grain irrigué</v>
      </c>
    </row>
    <row r="1539" spans="1:8">
      <c r="A1539" t="s">
        <v>814</v>
      </c>
      <c r="B1539">
        <v>8657.2800000000007</v>
      </c>
      <c r="C1539">
        <v>2161.08</v>
      </c>
      <c r="D1539">
        <v>6.67</v>
      </c>
      <c r="E1539">
        <v>6.68</v>
      </c>
      <c r="F1539">
        <v>0.24962574850299399</v>
      </c>
      <c r="G1539">
        <v>1.0014992503748126</v>
      </c>
      <c r="H1539" t="str">
        <v>Soja</v>
      </c>
    </row>
    <row r="1540" spans="1:8">
      <c r="A1540" t="s">
        <v>765</v>
      </c>
      <c r="B1540">
        <v>57246.06</v>
      </c>
      <c r="C1540">
        <v>313.48</v>
      </c>
      <c r="D1540">
        <v>0.5</v>
      </c>
      <c r="E1540">
        <v>42.82</v>
      </c>
      <c r="F1540">
        <v>5.4760100520455041E-3</v>
      </c>
      <c r="G1540">
        <v>85.64</v>
      </c>
      <c r="H1540" t="str">
        <v>Tournesol</v>
      </c>
    </row>
    <row r="1541" spans="1:8">
      <c r="A1541" t="s">
        <v>2696</v>
      </c>
      <c r="B1541">
        <v>159724.79999999999</v>
      </c>
      <c r="C1541">
        <v>17623.87</v>
      </c>
      <c r="D1541">
        <v>16.920000000000002</v>
      </c>
      <c r="E1541">
        <v>16.920000000000002</v>
      </c>
      <c r="F1541">
        <v>0.11033897052931041</v>
      </c>
      <c r="G1541">
        <v>1</v>
      </c>
      <c r="H1541" t="str">
        <v>Pommes de terre</v>
      </c>
    </row>
    <row r="1542" spans="1:8">
      <c r="A1542" t="s">
        <v>866</v>
      </c>
      <c r="B1542">
        <v>11234.58</v>
      </c>
      <c r="C1542">
        <v>2074.65</v>
      </c>
      <c r="D1542">
        <v>11.63</v>
      </c>
      <c r="E1542">
        <v>11.63</v>
      </c>
      <c r="F1542">
        <v>0.18466644948008737</v>
      </c>
      <c r="G1542">
        <v>1</v>
      </c>
      <c r="H1542" t="str">
        <v>Maïs grain non irrigué</v>
      </c>
    </row>
    <row r="1543" spans="1:8">
      <c r="A1543" t="s">
        <v>765</v>
      </c>
      <c r="B1543">
        <v>17354.990000000002</v>
      </c>
      <c r="C1543">
        <v>1025.52</v>
      </c>
      <c r="D1543">
        <v>14.88</v>
      </c>
      <c r="E1543">
        <v>14.88</v>
      </c>
      <c r="F1543">
        <v>5.9090785992962247E-2</v>
      </c>
      <c r="G1543">
        <v>1</v>
      </c>
      <c r="H1543" t="str">
        <v>Tournesol</v>
      </c>
    </row>
    <row r="1544" spans="1:8">
      <c r="A1544" t="s">
        <v>814</v>
      </c>
      <c r="B1544">
        <v>9168.64</v>
      </c>
      <c r="C1544">
        <v>3994.11</v>
      </c>
      <c r="D1544">
        <v>9.2799999999999994</v>
      </c>
      <c r="E1544">
        <v>9.2799999999999994</v>
      </c>
      <c r="F1544">
        <v>0.43562731222951284</v>
      </c>
      <c r="G1544">
        <v>1</v>
      </c>
      <c r="H1544" t="str">
        <v>Soja</v>
      </c>
    </row>
    <row r="1545" spans="1:8">
      <c r="A1545" t="s">
        <v>814</v>
      </c>
      <c r="B1545">
        <v>13339.9</v>
      </c>
      <c r="C1545">
        <v>5485.11</v>
      </c>
      <c r="D1545">
        <v>11.21</v>
      </c>
      <c r="E1545">
        <v>11.21</v>
      </c>
      <c r="F1545">
        <v>0.41118074348383421</v>
      </c>
      <c r="G1545">
        <v>1</v>
      </c>
      <c r="H1545" t="str">
        <v>Soja</v>
      </c>
    </row>
    <row r="1546" spans="1:8">
      <c r="A1546" t="s">
        <v>814</v>
      </c>
      <c r="B1546">
        <v>24595.200000000001</v>
      </c>
      <c r="C1546">
        <v>307.44</v>
      </c>
      <c r="D1546">
        <v>25.62</v>
      </c>
      <c r="E1546">
        <v>25.62</v>
      </c>
      <c r="F1546">
        <v>1.2499999999999999E-2</v>
      </c>
      <c r="G1546">
        <v>1</v>
      </c>
      <c r="H1546" t="str">
        <v>Soja</v>
      </c>
    </row>
    <row r="1547" spans="1:8">
      <c r="A1547" t="s">
        <v>814</v>
      </c>
      <c r="B1547">
        <v>34172.6</v>
      </c>
      <c r="C1547">
        <v>5594.82</v>
      </c>
      <c r="D1547">
        <v>26.95</v>
      </c>
      <c r="E1547">
        <v>26.95</v>
      </c>
      <c r="F1547">
        <v>0.16372239747634068</v>
      </c>
      <c r="G1547">
        <v>1</v>
      </c>
      <c r="H1547" t="str">
        <v>Soja</v>
      </c>
    </row>
    <row r="1548" spans="1:8">
      <c r="A1548" t="s">
        <v>765</v>
      </c>
      <c r="B1548">
        <v>54290.25</v>
      </c>
      <c r="C1548">
        <v>22594.95</v>
      </c>
      <c r="D1548">
        <v>15.75</v>
      </c>
      <c r="E1548">
        <v>15.75</v>
      </c>
      <c r="F1548">
        <v>0.41618798955613578</v>
      </c>
      <c r="G1548">
        <v>1</v>
      </c>
      <c r="H1548" t="str">
        <v>Tournesol</v>
      </c>
    </row>
    <row r="1549" spans="1:8">
      <c r="A1549" t="s">
        <v>1141</v>
      </c>
      <c r="B1549">
        <v>14298.17</v>
      </c>
      <c r="C1549">
        <v>1154.6099999999999</v>
      </c>
      <c r="D1549">
        <v>14.78</v>
      </c>
      <c r="E1549">
        <v>14.78</v>
      </c>
      <c r="F1549">
        <v>8.0752292076538459E-2</v>
      </c>
      <c r="G1549">
        <v>1</v>
      </c>
      <c r="H1549" t="str">
        <v>Sorgho</v>
      </c>
    </row>
    <row r="1550" spans="1:8">
      <c r="A1550" t="s">
        <v>27</v>
      </c>
      <c r="B1550">
        <v>15873.65</v>
      </c>
      <c r="C1550">
        <v>765.95</v>
      </c>
      <c r="D1550">
        <v>11.2</v>
      </c>
      <c r="E1550">
        <v>8.27</v>
      </c>
      <c r="F1550">
        <v>4.8252922295754286E-2</v>
      </c>
      <c r="G1550">
        <v>0.73839285714285718</v>
      </c>
      <c r="H1550" t="str">
        <v>Colza d'hiver</v>
      </c>
    </row>
    <row r="1551" spans="1:8">
      <c r="A1551" t="s">
        <v>814</v>
      </c>
      <c r="B1551">
        <v>28373.45</v>
      </c>
      <c r="C1551">
        <v>5506.99</v>
      </c>
      <c r="D1551">
        <v>25.9</v>
      </c>
      <c r="E1551">
        <v>8.5</v>
      </c>
      <c r="F1551">
        <v>0.19408954497954953</v>
      </c>
      <c r="G1551">
        <v>0.3281853281853282</v>
      </c>
      <c r="H1551" t="str">
        <v>Soja</v>
      </c>
    </row>
    <row r="1552" spans="1:8">
      <c r="A1552" t="s">
        <v>866</v>
      </c>
      <c r="B1552">
        <v>103125.74</v>
      </c>
      <c r="C1552">
        <v>3733.07</v>
      </c>
      <c r="D1552">
        <v>44.62</v>
      </c>
      <c r="E1552">
        <v>13.8</v>
      </c>
      <c r="F1552">
        <v>3.6199206909933446E-2</v>
      </c>
      <c r="G1552">
        <v>0.30927835051546393</v>
      </c>
      <c r="H1552" t="str">
        <v>Maïs grain non irrigué</v>
      </c>
    </row>
    <row r="1553" spans="1:8">
      <c r="A1553" t="s">
        <v>765</v>
      </c>
      <c r="B1553">
        <v>26300</v>
      </c>
      <c r="C1553">
        <v>1025</v>
      </c>
      <c r="D1553">
        <v>20</v>
      </c>
      <c r="E1553">
        <v>20</v>
      </c>
      <c r="F1553">
        <v>3.8973384030418251E-2</v>
      </c>
      <c r="G1553">
        <v>1</v>
      </c>
      <c r="H1553" t="str">
        <v>Tournesol</v>
      </c>
    </row>
    <row r="1554" spans="1:8">
      <c r="A1554" t="s">
        <v>2696</v>
      </c>
      <c r="B1554">
        <v>28446.43</v>
      </c>
      <c r="C1554">
        <v>2002.47</v>
      </c>
      <c r="D1554">
        <v>5</v>
      </c>
      <c r="E1554">
        <v>5</v>
      </c>
      <c r="F1554">
        <v>7.0394422076865179E-2</v>
      </c>
      <c r="G1554">
        <v>1</v>
      </c>
      <c r="H1554" t="str">
        <v>Pommes de terre</v>
      </c>
    </row>
    <row r="1555" spans="1:8">
      <c r="A1555" t="s">
        <v>866</v>
      </c>
      <c r="B1555">
        <v>23753.8</v>
      </c>
      <c r="C1555">
        <v>3947.44</v>
      </c>
      <c r="D1555">
        <v>19</v>
      </c>
      <c r="E1555">
        <v>19</v>
      </c>
      <c r="F1555">
        <v>0.16618141097424413</v>
      </c>
      <c r="G1555">
        <v>1</v>
      </c>
      <c r="H1555" t="str">
        <v>Maïs grain non irrigué</v>
      </c>
    </row>
    <row r="1556" spans="1:8">
      <c r="A1556" t="s">
        <v>814</v>
      </c>
      <c r="B1556">
        <v>5880</v>
      </c>
      <c r="C1556">
        <v>1788.5</v>
      </c>
      <c r="D1556">
        <v>7</v>
      </c>
      <c r="E1556">
        <v>7</v>
      </c>
      <c r="F1556">
        <v>0.30416666666666664</v>
      </c>
      <c r="G1556">
        <v>1</v>
      </c>
      <c r="H1556" t="str">
        <v>Soja</v>
      </c>
    </row>
    <row r="1557" spans="1:8">
      <c r="A1557" t="s">
        <v>866</v>
      </c>
      <c r="B1557">
        <v>56501.760000000002</v>
      </c>
      <c r="C1557">
        <v>27880.61</v>
      </c>
      <c r="D1557">
        <v>31.53</v>
      </c>
      <c r="E1557">
        <v>7</v>
      </c>
      <c r="F1557">
        <v>0.49344675280911604</v>
      </c>
      <c r="G1557">
        <v>0.22201078338090707</v>
      </c>
      <c r="H1557" t="str">
        <v>Maïs grain non irrigué</v>
      </c>
    </row>
    <row r="1558" spans="1:8">
      <c r="A1558" t="s">
        <v>765</v>
      </c>
      <c r="B1558">
        <v>82176.81</v>
      </c>
      <c r="C1558">
        <v>9861.2199999999993</v>
      </c>
      <c r="D1558">
        <v>45.73</v>
      </c>
      <c r="E1558">
        <v>45.73</v>
      </c>
      <c r="F1558">
        <v>0.12000003407287287</v>
      </c>
      <c r="G1558">
        <v>1</v>
      </c>
      <c r="H1558" t="str">
        <v>Tournesol</v>
      </c>
    </row>
    <row r="1559" spans="1:8">
      <c r="A1559" t="s">
        <v>910</v>
      </c>
      <c r="B1559">
        <v>65331.199999999997</v>
      </c>
      <c r="C1559">
        <v>2222.5300000000002</v>
      </c>
      <c r="D1559">
        <v>37.119999999999997</v>
      </c>
      <c r="E1559">
        <v>37.119999999999997</v>
      </c>
      <c r="F1559">
        <v>3.4019427164968655E-2</v>
      </c>
      <c r="G1559">
        <v>1</v>
      </c>
      <c r="H1559" t="str">
        <v>Maïs grain irrigué</v>
      </c>
    </row>
    <row r="1560" spans="1:8">
      <c r="A1560" t="s">
        <v>866</v>
      </c>
      <c r="B1560">
        <v>8508.64</v>
      </c>
      <c r="C1560">
        <v>3055.92</v>
      </c>
      <c r="D1560">
        <v>7.49</v>
      </c>
      <c r="E1560">
        <v>7.49</v>
      </c>
      <c r="F1560">
        <v>0.35915492957746481</v>
      </c>
      <c r="G1560">
        <v>1</v>
      </c>
      <c r="H1560" t="str">
        <v>Maïs grain non irrigué</v>
      </c>
    </row>
    <row r="1561" spans="1:8">
      <c r="A1561" t="s">
        <v>765</v>
      </c>
      <c r="B1561">
        <v>16901.05</v>
      </c>
      <c r="C1561">
        <v>1076.5</v>
      </c>
      <c r="D1561">
        <v>21.53</v>
      </c>
      <c r="E1561">
        <v>21.53</v>
      </c>
      <c r="F1561">
        <v>6.3694267515923567E-2</v>
      </c>
      <c r="G1561">
        <v>1</v>
      </c>
      <c r="H1561" t="str">
        <v>Tournesol</v>
      </c>
    </row>
    <row r="1562" spans="1:8">
      <c r="A1562" t="s">
        <v>866</v>
      </c>
      <c r="B1562">
        <v>12645.67</v>
      </c>
      <c r="C1562">
        <v>1739.34</v>
      </c>
      <c r="D1562">
        <v>6.71</v>
      </c>
      <c r="E1562">
        <v>4.3</v>
      </c>
      <c r="F1562">
        <v>0.13754431358718042</v>
      </c>
      <c r="G1562">
        <v>0.64083457526080478</v>
      </c>
      <c r="H1562" t="str">
        <v>Maïs grain non irrigué</v>
      </c>
    </row>
    <row r="1563" spans="1:8">
      <c r="A1563" t="s">
        <v>765</v>
      </c>
      <c r="B1563">
        <v>11631.48</v>
      </c>
      <c r="C1563">
        <v>2198.1999999999998</v>
      </c>
      <c r="D1563">
        <v>12.81</v>
      </c>
      <c r="E1563">
        <v>12.81</v>
      </c>
      <c r="F1563">
        <v>0.1889871280352973</v>
      </c>
      <c r="G1563">
        <v>1</v>
      </c>
      <c r="H1563" t="str">
        <v>Tournesol</v>
      </c>
    </row>
    <row r="1564" spans="1:8">
      <c r="A1564" t="s">
        <v>866</v>
      </c>
      <c r="B1564">
        <v>24405.94</v>
      </c>
      <c r="C1564">
        <v>10046.17</v>
      </c>
      <c r="D1564">
        <v>15.34</v>
      </c>
      <c r="E1564">
        <v>15.34</v>
      </c>
      <c r="F1564">
        <v>0.41162807087127151</v>
      </c>
      <c r="G1564">
        <v>1</v>
      </c>
      <c r="H1564" t="str">
        <v>Maïs grain non irrigué</v>
      </c>
    </row>
    <row r="1565" spans="1:8">
      <c r="A1565" t="s">
        <v>910</v>
      </c>
      <c r="B1565">
        <v>95096.26</v>
      </c>
      <c r="C1565">
        <v>8176.42</v>
      </c>
      <c r="D1565">
        <v>42.19</v>
      </c>
      <c r="E1565">
        <v>42.19</v>
      </c>
      <c r="F1565">
        <v>8.5980458116859698E-2</v>
      </c>
      <c r="G1565">
        <v>1</v>
      </c>
      <c r="H1565" t="str">
        <v>Maïs grain irrigué</v>
      </c>
    </row>
    <row r="1566" spans="1:8">
      <c r="A1566" t="s">
        <v>814</v>
      </c>
      <c r="B1566">
        <v>12137.58</v>
      </c>
      <c r="C1566">
        <v>6383.47</v>
      </c>
      <c r="D1566">
        <v>11.83</v>
      </c>
      <c r="E1566">
        <v>11.83</v>
      </c>
      <c r="F1566">
        <v>0.52592609070341867</v>
      </c>
      <c r="G1566">
        <v>1</v>
      </c>
      <c r="H1566" t="str">
        <v>Soja</v>
      </c>
    </row>
    <row r="1567" spans="1:8">
      <c r="A1567" t="s">
        <v>814</v>
      </c>
      <c r="B1567">
        <v>5329.32</v>
      </c>
      <c r="C1567">
        <v>3098.79</v>
      </c>
      <c r="D1567">
        <v>4.99</v>
      </c>
      <c r="E1567">
        <v>4.99</v>
      </c>
      <c r="F1567">
        <v>0.5814606741573034</v>
      </c>
      <c r="G1567">
        <v>1</v>
      </c>
      <c r="H1567" t="str">
        <v>Soja</v>
      </c>
    </row>
    <row r="1568" spans="1:8">
      <c r="A1568" t="s">
        <v>765</v>
      </c>
      <c r="B1568">
        <v>8298</v>
      </c>
      <c r="C1568">
        <v>1120.23</v>
      </c>
      <c r="D1568">
        <v>7.5</v>
      </c>
      <c r="E1568">
        <v>7.3</v>
      </c>
      <c r="F1568">
        <v>0.13500000000000001</v>
      </c>
      <c r="G1568">
        <v>0.97333333333333327</v>
      </c>
      <c r="H1568" t="str">
        <v>Tournesol</v>
      </c>
    </row>
    <row r="1569" spans="1:8">
      <c r="A1569" t="s">
        <v>765</v>
      </c>
      <c r="B1569">
        <v>7620.33</v>
      </c>
      <c r="C1569">
        <v>1129.9100000000001</v>
      </c>
      <c r="D1569">
        <v>5.7</v>
      </c>
      <c r="E1569">
        <v>4.7</v>
      </c>
      <c r="F1569">
        <v>0.14827573084105283</v>
      </c>
      <c r="G1569">
        <v>0.82456140350877194</v>
      </c>
      <c r="H1569" t="str">
        <v>Tournesol</v>
      </c>
    </row>
    <row r="1570" spans="1:8">
      <c r="A1570" t="s">
        <v>866</v>
      </c>
      <c r="B1570">
        <v>44549.52</v>
      </c>
      <c r="C1570">
        <v>19235.759999999998</v>
      </c>
      <c r="D1570">
        <v>28.64</v>
      </c>
      <c r="E1570">
        <v>23.7</v>
      </c>
      <c r="F1570">
        <v>0.43178377679490149</v>
      </c>
      <c r="G1570">
        <v>0.82751396648044684</v>
      </c>
      <c r="H1570" t="str">
        <v>Maïs grain non irrigué</v>
      </c>
    </row>
    <row r="1571" spans="1:8">
      <c r="A1571" t="s">
        <v>765</v>
      </c>
      <c r="B1571">
        <v>27466</v>
      </c>
      <c r="C1571">
        <v>9923.2000000000007</v>
      </c>
      <c r="D1571">
        <v>22.15</v>
      </c>
      <c r="E1571">
        <v>22.15</v>
      </c>
      <c r="F1571">
        <v>0.3612903225806452</v>
      </c>
      <c r="G1571">
        <v>1</v>
      </c>
      <c r="H1571" t="str">
        <v>Tournesol</v>
      </c>
    </row>
    <row r="1572" spans="1:8">
      <c r="A1572" t="s">
        <v>866</v>
      </c>
      <c r="B1572">
        <v>16135.72</v>
      </c>
      <c r="C1572">
        <v>1146.8499999999999</v>
      </c>
      <c r="D1572">
        <v>10.92</v>
      </c>
      <c r="E1572">
        <v>10.92</v>
      </c>
      <c r="F1572">
        <v>7.1075229366895309E-2</v>
      </c>
      <c r="G1572">
        <v>1</v>
      </c>
      <c r="H1572" t="str">
        <v>Maïs grain non irrigué</v>
      </c>
    </row>
    <row r="1573" spans="1:8">
      <c r="A1573" t="s">
        <v>814</v>
      </c>
      <c r="B1573">
        <v>9549</v>
      </c>
      <c r="C1573">
        <v>6302.34</v>
      </c>
      <c r="D1573">
        <v>10.61</v>
      </c>
      <c r="E1573">
        <v>10.61</v>
      </c>
      <c r="F1573">
        <v>0.66</v>
      </c>
      <c r="G1573">
        <v>1</v>
      </c>
      <c r="H1573" t="str">
        <v>Soja</v>
      </c>
    </row>
    <row r="1574" spans="1:8">
      <c r="A1574" t="s">
        <v>2171</v>
      </c>
      <c r="B1574">
        <v>6658.13</v>
      </c>
      <c r="C1574">
        <v>4422.96</v>
      </c>
      <c r="D1574">
        <v>3.71</v>
      </c>
      <c r="E1574">
        <v>3.71</v>
      </c>
      <c r="F1574">
        <v>0.66429462927278382</v>
      </c>
      <c r="G1574">
        <v>1</v>
      </c>
      <c r="H1574" t="str">
        <v>Maïs waxy non irrigué</v>
      </c>
    </row>
    <row r="1575" spans="1:8">
      <c r="A1575" t="s">
        <v>866</v>
      </c>
      <c r="B1575">
        <v>14476.87</v>
      </c>
      <c r="C1575">
        <v>1566.67</v>
      </c>
      <c r="D1575">
        <v>13.66</v>
      </c>
      <c r="E1575">
        <v>11.16</v>
      </c>
      <c r="F1575">
        <v>0.10821883459615235</v>
      </c>
      <c r="G1575">
        <v>0.81698389458272325</v>
      </c>
      <c r="H1575" t="str">
        <v>Maïs grain non irrigué</v>
      </c>
    </row>
    <row r="1576" spans="1:8">
      <c r="A1576" t="s">
        <v>866</v>
      </c>
      <c r="B1576">
        <v>20487.599999999999</v>
      </c>
      <c r="C1576">
        <v>10795.18</v>
      </c>
      <c r="D1576">
        <v>10.84</v>
      </c>
      <c r="E1576">
        <v>10.84</v>
      </c>
      <c r="F1576">
        <v>0.52691286436673901</v>
      </c>
      <c r="G1576">
        <v>1</v>
      </c>
      <c r="H1576" t="str">
        <v>Maïs grain non irrigué</v>
      </c>
    </row>
    <row r="1577" spans="1:8">
      <c r="A1577" t="s">
        <v>2171</v>
      </c>
      <c r="B1577">
        <v>18354</v>
      </c>
      <c r="C1577">
        <v>6187.92</v>
      </c>
      <c r="D1577">
        <v>8.74</v>
      </c>
      <c r="E1577">
        <v>8.74</v>
      </c>
      <c r="F1577">
        <v>0.33714285714285713</v>
      </c>
      <c r="G1577">
        <v>1</v>
      </c>
      <c r="H1577" t="str">
        <v>Maïs waxy non irrigué</v>
      </c>
    </row>
    <row r="1578" spans="1:8">
      <c r="A1578" t="s">
        <v>866</v>
      </c>
      <c r="B1578">
        <v>63507.6</v>
      </c>
      <c r="C1578">
        <v>20893.650000000001</v>
      </c>
      <c r="D1578">
        <v>46</v>
      </c>
      <c r="E1578">
        <v>46</v>
      </c>
      <c r="F1578">
        <v>0.32899448255012004</v>
      </c>
      <c r="G1578">
        <v>1</v>
      </c>
      <c r="H1578" t="str">
        <v>Maïs grain non irrigué</v>
      </c>
    </row>
    <row r="1579" spans="1:8">
      <c r="A1579" t="s">
        <v>1141</v>
      </c>
      <c r="B1579">
        <v>24010.799999999999</v>
      </c>
      <c r="C1579">
        <v>5370.64</v>
      </c>
      <c r="D1579">
        <v>22</v>
      </c>
      <c r="E1579">
        <v>22</v>
      </c>
      <c r="F1579">
        <v>0.2236760124610592</v>
      </c>
      <c r="G1579">
        <v>1</v>
      </c>
      <c r="H1579" t="str">
        <v>Sorgho</v>
      </c>
    </row>
    <row r="1580" spans="1:8">
      <c r="A1580" t="s">
        <v>2267</v>
      </c>
      <c r="B1580">
        <v>80938.820000000007</v>
      </c>
      <c r="C1580">
        <v>1393.94</v>
      </c>
      <c r="D1580">
        <v>31.44</v>
      </c>
      <c r="E1580">
        <v>20</v>
      </c>
      <c r="F1580">
        <v>1.7222143836542216E-2</v>
      </c>
      <c r="G1580">
        <v>0.63613231552162852</v>
      </c>
      <c r="H1580" t="str">
        <v>Maïs waxy irrigué</v>
      </c>
    </row>
    <row r="1581" spans="1:8">
      <c r="A1581" t="s">
        <v>898</v>
      </c>
      <c r="B1581">
        <v>51093.97</v>
      </c>
      <c r="C1581">
        <v>20473.36</v>
      </c>
      <c r="D1581">
        <v>59.78</v>
      </c>
      <c r="E1581">
        <v>59.78</v>
      </c>
      <c r="F1581">
        <v>0.40070012175605069</v>
      </c>
      <c r="G1581">
        <v>1</v>
      </c>
      <c r="H1581" t="str">
        <v>Maïs ensilage non irrigué</v>
      </c>
    </row>
    <row r="1582" spans="1:8">
      <c r="A1582" t="s">
        <v>866</v>
      </c>
      <c r="B1582">
        <v>97442.38</v>
      </c>
      <c r="C1582">
        <v>12231.38</v>
      </c>
      <c r="D1582">
        <v>43.05</v>
      </c>
      <c r="E1582">
        <v>15.9</v>
      </c>
      <c r="F1582">
        <v>0.1255242328851163</v>
      </c>
      <c r="G1582">
        <v>0.36933797909407667</v>
      </c>
      <c r="H1582" t="str">
        <v>Maïs grain non irrigué</v>
      </c>
    </row>
    <row r="1583" spans="1:8">
      <c r="A1583" t="s">
        <v>814</v>
      </c>
      <c r="B1583">
        <v>1232.52</v>
      </c>
      <c r="C1583">
        <v>670.28</v>
      </c>
      <c r="D1583">
        <v>1.59</v>
      </c>
      <c r="E1583">
        <v>1.59</v>
      </c>
      <c r="F1583">
        <v>0.54382890338493495</v>
      </c>
      <c r="G1583">
        <v>1</v>
      </c>
      <c r="H1583" t="str">
        <v>Soja</v>
      </c>
    </row>
  </sheetData>
  <autoFilter ref="A1:G1583" xr:uid="{542105E3-A5D5-D743-9084-0FB74E99B79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C30FE-BE49-0C47-A366-376B38D8FA75}">
  <dimension ref="A1:K38"/>
  <sheetViews>
    <sheetView workbookViewId="0">
      <selection activeCell="C2" sqref="C2"/>
    </sheetView>
  </sheetViews>
  <sheetFormatPr baseColWidth="10" defaultRowHeight="15"/>
  <cols>
    <col min="1" max="10" width="15.83203125" customWidth="1"/>
  </cols>
  <sheetData>
    <row r="1" spans="1:11">
      <c r="A1" t="s">
        <v>3971</v>
      </c>
      <c r="B1" t="s">
        <v>3972</v>
      </c>
      <c r="C1" t="s">
        <v>3982</v>
      </c>
      <c r="D1" t="s">
        <v>3973</v>
      </c>
      <c r="E1" t="s">
        <v>3974</v>
      </c>
      <c r="F1" t="s">
        <v>3983</v>
      </c>
      <c r="G1" t="s">
        <v>3984</v>
      </c>
      <c r="H1" t="s">
        <v>3985</v>
      </c>
      <c r="I1" t="s">
        <v>3986</v>
      </c>
      <c r="J1" t="s">
        <v>3987</v>
      </c>
      <c r="K1" t="s">
        <v>7283</v>
      </c>
    </row>
    <row r="2" spans="1:11">
      <c r="A2" t="str" cm="1">
        <f t="array" ref="A2:A38">_xlfn.UNIQUE('Rapport filtré'!A2:A1583)</f>
        <v>Colza d'hiver</v>
      </c>
      <c r="B2">
        <f>SUMIF(Tableau3[Culture],Bilan!A2,Tableau3[Sum Insured (€)])</f>
        <v>17426353.500000004</v>
      </c>
      <c r="C2">
        <f>SUMIF('Rapport filtré'!$A$2:$A$1583,Bilan!$A2,'Rapport filtré'!$B$2:$B$1583)</f>
        <v>5066053.820000004</v>
      </c>
      <c r="D2">
        <f>SUMIF('Rapport filtré'!$A$2:$A$1583,Bilan!$A2,'Rapport filtré'!$C$2:$C$1583)</f>
        <v>724140.90999999992</v>
      </c>
      <c r="E2">
        <f>SUMIF(Tableau3[Culture],Bilan!A2,Tableau3[Insured acreage (ha)])</f>
        <v>12624.94</v>
      </c>
      <c r="F2" s="793">
        <f>SUMIF('Rapport filtré'!$A$2:$A$1583,Bilan!$A2,'Rapport filtré'!$D$2:$D$1583)</f>
        <v>3513.239999999998</v>
      </c>
      <c r="G2">
        <f>SUMIF('Rapport filtré'!$A$2:$A$1583,Bilan!$A2,'Rapport filtré'!$E$2:$E$1583)</f>
        <v>2958.739999999998</v>
      </c>
      <c r="H2" s="792">
        <f>D2/B2</f>
        <v>4.1554356739061889E-2</v>
      </c>
      <c r="I2" s="792">
        <f>D2/C2</f>
        <v>0.14293983754005979</v>
      </c>
      <c r="J2" s="792">
        <f>G2/E2</f>
        <v>0.2343567573390446</v>
      </c>
      <c r="K2" s="792">
        <f>G2/F2</f>
        <v>0.84216848265418809</v>
      </c>
    </row>
    <row r="3" spans="1:11">
      <c r="A3" t="str">
        <v>Blé tendre d'hiver</v>
      </c>
      <c r="B3">
        <f>SUMIF(Tableau3[Culture],Bilan!A3,Tableau3[Sum Insured (€)])</f>
        <v>42401346.29999996</v>
      </c>
      <c r="C3">
        <f>SUMIF('Rapport filtré'!$A$2:$A$1583,Bilan!$A3,'Rapport filtré'!$B$2:$B$1583)</f>
        <v>10707083.030000001</v>
      </c>
      <c r="D3">
        <f>SUMIF('Rapport filtré'!$A$2:$A$1583,Bilan!$A3,'Rapport filtré'!$C$2:$C$1583)</f>
        <v>1324952.7700000003</v>
      </c>
      <c r="E3">
        <f>SUMIF(Tableau3[Culture],Bilan!A3,Tableau3[Insured acreage (ha)])</f>
        <v>34624.599999999984</v>
      </c>
      <c r="F3" s="793">
        <f>SUMIF('Rapport filtré'!$A$2:$A$1583,Bilan!$A3,'Rapport filtré'!$D$2:$D$1583)</f>
        <v>8767.1400000000012</v>
      </c>
      <c r="G3">
        <f>SUMIF('Rapport filtré'!$A$2:$A$1583,Bilan!$A3,'Rapport filtré'!$E$2:$E$1583)</f>
        <v>8126.2300000000041</v>
      </c>
      <c r="H3" s="792">
        <f t="shared" ref="H3:H38" si="0">D3/B3</f>
        <v>3.1247893890576806E-2</v>
      </c>
      <c r="I3" s="792">
        <f t="shared" ref="I3:I38" si="1">D3/C3</f>
        <v>0.12374544647572422</v>
      </c>
      <c r="J3" s="792">
        <f t="shared" ref="J3:J38" si="2">G3/E3</f>
        <v>0.2346952744580445</v>
      </c>
      <c r="K3" s="792">
        <f t="shared" ref="K3:K38" si="3">G3/F3</f>
        <v>0.92689634247884745</v>
      </c>
    </row>
    <row r="4" spans="1:11">
      <c r="A4" t="str">
        <v>Blé de force</v>
      </c>
      <c r="B4">
        <f>SUMIF(Tableau3[Culture],Bilan!A4,Tableau3[Sum Insured (€)])</f>
        <v>2107305.0499999993</v>
      </c>
      <c r="C4">
        <f>SUMIF('Rapport filtré'!$A$2:$A$1583,Bilan!$A4,'Rapport filtré'!$B$2:$B$1583)</f>
        <v>685324.67</v>
      </c>
      <c r="D4">
        <f>SUMIF('Rapport filtré'!$A$2:$A$1583,Bilan!$A4,'Rapport filtré'!$C$2:$C$1583)</f>
        <v>103912.31999999999</v>
      </c>
      <c r="E4">
        <f>SUMIF(Tableau3[Culture],Bilan!A4,Tableau3[Insured acreage (ha)])</f>
        <v>1690.72</v>
      </c>
      <c r="F4" s="793">
        <f>SUMIF('Rapport filtré'!$A$2:$A$1583,Bilan!$A4,'Rapport filtré'!$D$2:$D$1583)</f>
        <v>534.53</v>
      </c>
      <c r="G4">
        <f>SUMIF('Rapport filtré'!$A$2:$A$1583,Bilan!$A4,'Rapport filtré'!$E$2:$E$1583)</f>
        <v>478.48</v>
      </c>
      <c r="H4" s="792">
        <f t="shared" si="0"/>
        <v>4.9310525782681545E-2</v>
      </c>
      <c r="I4" s="792">
        <f t="shared" si="1"/>
        <v>0.15162495171813964</v>
      </c>
      <c r="J4" s="792">
        <f t="shared" si="2"/>
        <v>0.28300369073530807</v>
      </c>
      <c r="K4" s="792">
        <f t="shared" si="3"/>
        <v>0.89514152620058751</v>
      </c>
    </row>
    <row r="5" spans="1:11">
      <c r="A5" t="str">
        <v>Féveroles et fèves</v>
      </c>
      <c r="B5">
        <f>SUMIF(Tableau3[Culture],Bilan!A5,Tableau3[Sum Insured (€)])</f>
        <v>240602.62999999995</v>
      </c>
      <c r="C5">
        <f>SUMIF('Rapport filtré'!$A$2:$A$1583,Bilan!$A5,'Rapport filtré'!$B$2:$B$1583)</f>
        <v>176099.40999999997</v>
      </c>
      <c r="D5">
        <f>SUMIF('Rapport filtré'!$A$2:$A$1583,Bilan!$A5,'Rapport filtré'!$C$2:$C$1583)</f>
        <v>61363.570000000007</v>
      </c>
      <c r="E5">
        <f>SUMIF(Tableau3[Culture],Bilan!A5,Tableau3[Insured acreage (ha)])</f>
        <v>478.81000000000006</v>
      </c>
      <c r="F5" s="793">
        <f>SUMIF('Rapport filtré'!$A$2:$A$1583,Bilan!$A5,'Rapport filtré'!$D$2:$D$1583)</f>
        <v>323.18</v>
      </c>
      <c r="G5">
        <f>SUMIF('Rapport filtré'!$A$2:$A$1583,Bilan!$A5,'Rapport filtré'!$E$2:$E$1583)</f>
        <v>282.41000000000003</v>
      </c>
      <c r="H5" s="792">
        <f t="shared" si="0"/>
        <v>0.25504114398084521</v>
      </c>
      <c r="I5" s="792">
        <f t="shared" si="1"/>
        <v>0.34845982732139769</v>
      </c>
      <c r="J5" s="792">
        <f t="shared" si="2"/>
        <v>0.58981641987427158</v>
      </c>
      <c r="K5" s="792">
        <f t="shared" si="3"/>
        <v>0.8738473915465067</v>
      </c>
    </row>
    <row r="6" spans="1:11">
      <c r="A6" t="str">
        <v>Orge d'hiver</v>
      </c>
      <c r="B6">
        <f>SUMIF(Tableau3[Culture],Bilan!A6,Tableau3[Sum Insured (€)])</f>
        <v>10652196.209999997</v>
      </c>
      <c r="C6">
        <f>SUMIF('Rapport filtré'!$A$2:$A$1583,Bilan!$A6,'Rapport filtré'!$B$2:$B$1583)</f>
        <v>1940947.7500000007</v>
      </c>
      <c r="D6">
        <f>SUMIF('Rapport filtré'!$A$2:$A$1583,Bilan!$A6,'Rapport filtré'!$C$2:$C$1583)</f>
        <v>259430.19</v>
      </c>
      <c r="E6">
        <f>SUMIF(Tableau3[Culture],Bilan!A6,Tableau3[Insured acreage (ha)])</f>
        <v>9799.0699999999979</v>
      </c>
      <c r="F6" s="793">
        <f>SUMIF('Rapport filtré'!$A$2:$A$1583,Bilan!$A6,'Rapport filtré'!$D$2:$D$1583)</f>
        <v>1847.1700000000005</v>
      </c>
      <c r="G6">
        <f>SUMIF('Rapport filtré'!$A$2:$A$1583,Bilan!$A6,'Rapport filtré'!$E$2:$E$1583)</f>
        <v>1721.6200000000003</v>
      </c>
      <c r="H6" s="792">
        <f t="shared" si="0"/>
        <v>2.43546199192664E-2</v>
      </c>
      <c r="I6" s="792">
        <f t="shared" si="1"/>
        <v>0.13366160423432311</v>
      </c>
      <c r="J6" s="792">
        <f t="shared" si="2"/>
        <v>0.17569218303369613</v>
      </c>
      <c r="K6" s="792">
        <f t="shared" si="3"/>
        <v>0.93203116118169949</v>
      </c>
    </row>
    <row r="7" spans="1:11">
      <c r="A7" t="str">
        <v>Seigle et méteil</v>
      </c>
      <c r="B7">
        <f>SUMIF(Tableau3[Culture],Bilan!A7,Tableau3[Sum Insured (€)])</f>
        <v>149376.24</v>
      </c>
      <c r="C7">
        <f>SUMIF('Rapport filtré'!$A$2:$A$1583,Bilan!$A7,'Rapport filtré'!$B$2:$B$1583)</f>
        <v>107629.98</v>
      </c>
      <c r="D7">
        <f>SUMIF('Rapport filtré'!$A$2:$A$1583,Bilan!$A7,'Rapport filtré'!$C$2:$C$1583)</f>
        <v>18266.849999999999</v>
      </c>
      <c r="E7">
        <f>SUMIF(Tableau3[Culture],Bilan!A7,Tableau3[Insured acreage (ha)])</f>
        <v>200.34000000000003</v>
      </c>
      <c r="F7" s="793">
        <f>SUMIF('Rapport filtré'!$A$2:$A$1583,Bilan!$A7,'Rapport filtré'!$D$2:$D$1583)</f>
        <v>138.07000000000002</v>
      </c>
      <c r="G7">
        <f>SUMIF('Rapport filtré'!$A$2:$A$1583,Bilan!$A7,'Rapport filtré'!$E$2:$E$1583)</f>
        <v>130.76</v>
      </c>
      <c r="H7" s="792">
        <f t="shared" si="0"/>
        <v>0.12228752042493504</v>
      </c>
      <c r="I7" s="792">
        <f t="shared" si="1"/>
        <v>0.16971897606967873</v>
      </c>
      <c r="J7" s="792">
        <f t="shared" si="2"/>
        <v>0.6526904262753318</v>
      </c>
      <c r="K7" s="792">
        <f t="shared" si="3"/>
        <v>0.94705584123995057</v>
      </c>
    </row>
    <row r="8" spans="1:11">
      <c r="A8" t="str">
        <v>Blé dur d'hiver</v>
      </c>
      <c r="B8">
        <f>SUMIF(Tableau3[Culture],Bilan!A8,Tableau3[Sum Insured (€)])</f>
        <v>2881219.5100000002</v>
      </c>
      <c r="C8">
        <f>SUMIF('Rapport filtré'!$A$2:$A$1583,Bilan!$A8,'Rapport filtré'!$B$2:$B$1583)</f>
        <v>837736.5</v>
      </c>
      <c r="D8">
        <f>SUMIF('Rapport filtré'!$A$2:$A$1583,Bilan!$A8,'Rapport filtré'!$C$2:$C$1583)</f>
        <v>105939.98</v>
      </c>
      <c r="E8">
        <f>SUMIF(Tableau3[Culture],Bilan!A8,Tableau3[Insured acreage (ha)])</f>
        <v>2035.2500000000002</v>
      </c>
      <c r="F8" s="793">
        <f>SUMIF('Rapport filtré'!$A$2:$A$1583,Bilan!$A8,'Rapport filtré'!$D$2:$D$1583)</f>
        <v>606.61</v>
      </c>
      <c r="G8">
        <f>SUMIF('Rapport filtré'!$A$2:$A$1583,Bilan!$A8,'Rapport filtré'!$E$2:$E$1583)</f>
        <v>594.93000000000006</v>
      </c>
      <c r="H8" s="792">
        <f t="shared" si="0"/>
        <v>3.6769145714968449E-2</v>
      </c>
      <c r="I8" s="792">
        <f t="shared" si="1"/>
        <v>0.12645978777336309</v>
      </c>
      <c r="J8" s="792">
        <f t="shared" si="2"/>
        <v>0.29231298366294067</v>
      </c>
      <c r="K8" s="792">
        <f t="shared" si="3"/>
        <v>0.98074545424572634</v>
      </c>
    </row>
    <row r="9" spans="1:11">
      <c r="A9" t="str">
        <v>Orge de printemps</v>
      </c>
      <c r="B9">
        <f>SUMIF(Tableau3[Culture],Bilan!A9,Tableau3[Sum Insured (€)])</f>
        <v>6204503.4399999995</v>
      </c>
      <c r="C9">
        <f>SUMIF('Rapport filtré'!$A$2:$A$1583,Bilan!$A9,'Rapport filtré'!$B$2:$B$1583)</f>
        <v>2907094.7500000005</v>
      </c>
      <c r="D9">
        <f>SUMIF('Rapport filtré'!$A$2:$A$1583,Bilan!$A9,'Rapport filtré'!$C$2:$C$1583)</f>
        <v>677308.04</v>
      </c>
      <c r="E9">
        <f>SUMIF(Tableau3[Culture],Bilan!A9,Tableau3[Insured acreage (ha)])</f>
        <v>5637.7</v>
      </c>
      <c r="F9" s="793">
        <f>SUMIF('Rapport filtré'!$A$2:$A$1583,Bilan!$A9,'Rapport filtré'!$D$2:$D$1583)</f>
        <v>2389.3399999999997</v>
      </c>
      <c r="G9">
        <f>SUMIF('Rapport filtré'!$A$2:$A$1583,Bilan!$A9,'Rapport filtré'!$E$2:$E$1583)</f>
        <v>2212.6299999999992</v>
      </c>
      <c r="H9" s="792">
        <f t="shared" si="0"/>
        <v>0.10916393979789624</v>
      </c>
      <c r="I9" s="792">
        <f t="shared" si="1"/>
        <v>0.23298450798688275</v>
      </c>
      <c r="J9" s="792">
        <f t="shared" si="2"/>
        <v>0.39247033364669975</v>
      </c>
      <c r="K9" s="792">
        <f t="shared" si="3"/>
        <v>0.92604233805151193</v>
      </c>
    </row>
    <row r="10" spans="1:11">
      <c r="A10" t="str">
        <v>Pois protéagineux</v>
      </c>
      <c r="B10">
        <f>SUMIF(Tableau3[Culture],Bilan!A10,Tableau3[Sum Insured (€)])</f>
        <v>1156980.9400000004</v>
      </c>
      <c r="C10">
        <f>SUMIF('Rapport filtré'!$A$2:$A$1583,Bilan!$A10,'Rapport filtré'!$B$2:$B$1583)</f>
        <v>567181.59000000008</v>
      </c>
      <c r="D10">
        <f>SUMIF('Rapport filtré'!$A$2:$A$1583,Bilan!$A10,'Rapport filtré'!$C$2:$C$1583)</f>
        <v>108707.74000000002</v>
      </c>
      <c r="E10">
        <f>SUMIF(Tableau3[Culture],Bilan!A10,Tableau3[Insured acreage (ha)])</f>
        <v>1390.7599999999998</v>
      </c>
      <c r="F10" s="793">
        <f>SUMIF('Rapport filtré'!$A$2:$A$1583,Bilan!$A10,'Rapport filtré'!$D$2:$D$1583)</f>
        <v>698.46999999999991</v>
      </c>
      <c r="G10">
        <f>SUMIF('Rapport filtré'!$A$2:$A$1583,Bilan!$A10,'Rapport filtré'!$E$2:$E$1583)</f>
        <v>691.68999999999994</v>
      </c>
      <c r="H10" s="792">
        <f t="shared" si="0"/>
        <v>9.3958107901068774E-2</v>
      </c>
      <c r="I10" s="792">
        <f t="shared" si="1"/>
        <v>0.19166302629815613</v>
      </c>
      <c r="J10" s="792">
        <f t="shared" si="2"/>
        <v>0.49734677442549402</v>
      </c>
      <c r="K10" s="792">
        <f t="shared" si="3"/>
        <v>0.99029306913682769</v>
      </c>
    </row>
    <row r="11" spans="1:11">
      <c r="A11" t="str">
        <v>Lin oléagineux</v>
      </c>
      <c r="B11">
        <f>SUMIF(Tableau3[Culture],Bilan!A11,Tableau3[Sum Insured (€)])</f>
        <v>352396.41000000003</v>
      </c>
      <c r="C11">
        <f>SUMIF('Rapport filtré'!$A$2:$A$1583,Bilan!$A11,'Rapport filtré'!$B$2:$B$1583)</f>
        <v>114833.01000000001</v>
      </c>
      <c r="D11">
        <f>SUMIF('Rapport filtré'!$A$2:$A$1583,Bilan!$A11,'Rapport filtré'!$C$2:$C$1583)</f>
        <v>30653.530000000002</v>
      </c>
      <c r="E11">
        <f>SUMIF(Tableau3[Culture],Bilan!A11,Tableau3[Insured acreage (ha)])</f>
        <v>405.29</v>
      </c>
      <c r="F11" s="793">
        <f>SUMIF('Rapport filtré'!$A$2:$A$1583,Bilan!$A11,'Rapport filtré'!$D$2:$D$1583)</f>
        <v>133.54999999999998</v>
      </c>
      <c r="G11">
        <f>SUMIF('Rapport filtré'!$A$2:$A$1583,Bilan!$A11,'Rapport filtré'!$E$2:$E$1583)</f>
        <v>133.54999999999998</v>
      </c>
      <c r="H11" s="792">
        <f t="shared" si="0"/>
        <v>8.6985931553616003E-2</v>
      </c>
      <c r="I11" s="792">
        <f t="shared" si="1"/>
        <v>0.26694005495458145</v>
      </c>
      <c r="J11" s="792">
        <f t="shared" si="2"/>
        <v>0.32951713587801323</v>
      </c>
      <c r="K11" s="792">
        <f t="shared" si="3"/>
        <v>1</v>
      </c>
    </row>
    <row r="12" spans="1:11">
      <c r="A12" t="str">
        <v>Avoine d'hiver</v>
      </c>
      <c r="B12">
        <f>SUMIF(Tableau3[Culture],Bilan!A12,Tableau3[Sum Insured (€)])</f>
        <v>492278.03000000009</v>
      </c>
      <c r="C12">
        <f>SUMIF('Rapport filtré'!$A$2:$A$1583,Bilan!$A12,'Rapport filtré'!$B$2:$B$1583)</f>
        <v>242945.12000000002</v>
      </c>
      <c r="D12">
        <f>SUMIF('Rapport filtré'!$A$2:$A$1583,Bilan!$A12,'Rapport filtré'!$C$2:$C$1583)</f>
        <v>41015.840000000004</v>
      </c>
      <c r="E12">
        <f>SUMIF(Tableau3[Culture],Bilan!A12,Tableau3[Insured acreage (ha)])</f>
        <v>693.57999999999993</v>
      </c>
      <c r="F12" s="793">
        <f>SUMIF('Rapport filtré'!$A$2:$A$1583,Bilan!$A12,'Rapport filtré'!$D$2:$D$1583)</f>
        <v>327.92000000000007</v>
      </c>
      <c r="G12">
        <f>SUMIF('Rapport filtré'!$A$2:$A$1583,Bilan!$A12,'Rapport filtré'!$E$2:$E$1583)</f>
        <v>319.54000000000002</v>
      </c>
      <c r="H12" s="792">
        <f t="shared" si="0"/>
        <v>8.3318445066500324E-2</v>
      </c>
      <c r="I12" s="792">
        <f t="shared" si="1"/>
        <v>0.16882759365571945</v>
      </c>
      <c r="J12" s="792">
        <f t="shared" si="2"/>
        <v>0.46071109316877656</v>
      </c>
      <c r="K12" s="792">
        <f t="shared" si="3"/>
        <v>0.974444986582093</v>
      </c>
    </row>
    <row r="13" spans="1:11">
      <c r="A13" t="str">
        <v>Triticale</v>
      </c>
      <c r="B13">
        <f>SUMIF(Tableau3[Culture],Bilan!A13,Tableau3[Sum Insured (€)])</f>
        <v>1544455.2699999986</v>
      </c>
      <c r="C13">
        <f>SUMIF('Rapport filtré'!$A$2:$A$1583,Bilan!$A13,'Rapport filtré'!$B$2:$B$1583)</f>
        <v>565541.87000000011</v>
      </c>
      <c r="D13">
        <f>SUMIF('Rapport filtré'!$A$2:$A$1583,Bilan!$A13,'Rapport filtré'!$C$2:$C$1583)</f>
        <v>108430.81</v>
      </c>
      <c r="E13">
        <f>SUMIF(Tableau3[Culture],Bilan!A13,Tableau3[Insured acreage (ha)])</f>
        <v>1872.3200000000013</v>
      </c>
      <c r="F13" s="793">
        <f>SUMIF('Rapport filtré'!$A$2:$A$1583,Bilan!$A13,'Rapport filtré'!$D$2:$D$1583)</f>
        <v>632.2360000000001</v>
      </c>
      <c r="G13">
        <f>SUMIF('Rapport filtré'!$A$2:$A$1583,Bilan!$A13,'Rapport filtré'!$E$2:$E$1583)</f>
        <v>557.37000000000012</v>
      </c>
      <c r="H13" s="792">
        <f t="shared" si="0"/>
        <v>7.0206507178417726E-2</v>
      </c>
      <c r="I13" s="792">
        <f t="shared" si="1"/>
        <v>0.19172905800944495</v>
      </c>
      <c r="J13" s="792">
        <f t="shared" si="2"/>
        <v>0.29768949752179102</v>
      </c>
      <c r="K13" s="792">
        <f t="shared" si="3"/>
        <v>0.88158535736655308</v>
      </c>
    </row>
    <row r="14" spans="1:11">
      <c r="A14" t="str">
        <v>Tournesol</v>
      </c>
      <c r="B14">
        <f>SUMIF(Tableau3[Culture],Bilan!A14,Tableau3[Sum Insured (€)])</f>
        <v>13942378.740000011</v>
      </c>
      <c r="C14">
        <f>SUMIF('Rapport filtré'!$A$2:$A$1583,Bilan!$A14,'Rapport filtré'!$B$2:$B$1583)</f>
        <v>5733123.7399999993</v>
      </c>
      <c r="D14">
        <f>SUMIF('Rapport filtré'!$A$2:$A$1583,Bilan!$A14,'Rapport filtré'!$C$2:$C$1583)</f>
        <v>1079193.8000000003</v>
      </c>
      <c r="E14">
        <f>SUMIF(Tableau3[Culture],Bilan!A14,Tableau3[Insured acreage (ha)])</f>
        <v>13545.419999999998</v>
      </c>
      <c r="F14" s="793">
        <f>SUMIF('Rapport filtré'!$A$2:$A$1583,Bilan!$A14,'Rapport filtré'!$D$2:$D$1583)</f>
        <v>5476.5900000000011</v>
      </c>
      <c r="G14">
        <f>SUMIF('Rapport filtré'!$A$2:$A$1583,Bilan!$A14,'Rapport filtré'!$E$2:$E$1583)</f>
        <v>5168.2699999999995</v>
      </c>
      <c r="H14" s="792">
        <f t="shared" si="0"/>
        <v>7.7403850528306575E-2</v>
      </c>
      <c r="I14" s="792">
        <f t="shared" si="1"/>
        <v>0.18823835816946807</v>
      </c>
      <c r="J14" s="792">
        <f t="shared" si="2"/>
        <v>0.38155110731154884</v>
      </c>
      <c r="K14" s="792">
        <f t="shared" si="3"/>
        <v>0.94370219424861068</v>
      </c>
    </row>
    <row r="15" spans="1:11">
      <c r="A15" t="str">
        <v>Maïs waxy non irrigué</v>
      </c>
      <c r="B15">
        <f>SUMIF(Tableau3[Culture],Bilan!A15,Tableau3[Sum Insured (€)])</f>
        <v>789666.36</v>
      </c>
      <c r="C15">
        <f>SUMIF('Rapport filtré'!$A$2:$A$1583,Bilan!$A15,'Rapport filtré'!$B$2:$B$1583)</f>
        <v>678632.9099999998</v>
      </c>
      <c r="D15">
        <f>SUMIF('Rapport filtré'!$A$2:$A$1583,Bilan!$A15,'Rapport filtré'!$C$2:$C$1583)</f>
        <v>287581.45999999996</v>
      </c>
      <c r="E15">
        <f>SUMIF(Tableau3[Culture],Bilan!A15,Tableau3[Insured acreage (ha)])</f>
        <v>467.46000000000004</v>
      </c>
      <c r="F15" s="793">
        <f>SUMIF('Rapport filtré'!$A$2:$A$1583,Bilan!$A15,'Rapport filtré'!$D$2:$D$1583)</f>
        <v>394.52</v>
      </c>
      <c r="G15">
        <f>SUMIF('Rapport filtré'!$A$2:$A$1583,Bilan!$A15,'Rapport filtré'!$E$2:$E$1583)</f>
        <v>382.96999999999997</v>
      </c>
      <c r="H15" s="792">
        <f t="shared" si="0"/>
        <v>0.36418096878281603</v>
      </c>
      <c r="I15" s="792">
        <f t="shared" si="1"/>
        <v>0.42376586187074256</v>
      </c>
      <c r="J15" s="792">
        <f t="shared" si="2"/>
        <v>0.81925726265348897</v>
      </c>
      <c r="K15" s="792">
        <f t="shared" si="3"/>
        <v>0.97072391767210786</v>
      </c>
    </row>
    <row r="16" spans="1:11">
      <c r="A16" t="str">
        <v>Maïs grain non irrigué</v>
      </c>
      <c r="B16">
        <f>SUMIF(Tableau3[Culture],Bilan!A16,Tableau3[Sum Insured (€)])</f>
        <v>13083743.420000006</v>
      </c>
      <c r="C16">
        <f>SUMIF('Rapport filtré'!$A$2:$A$1583,Bilan!$A16,'Rapport filtré'!$B$2:$B$1583)</f>
        <v>9530677.6482000053</v>
      </c>
      <c r="D16">
        <f>SUMIF('Rapport filtré'!$A$2:$A$1583,Bilan!$A16,'Rapport filtré'!$C$2:$C$1583)</f>
        <v>2736765.3100000005</v>
      </c>
      <c r="E16">
        <f>SUMIF(Tableau3[Culture],Bilan!A16,Tableau3[Insured acreage (ha)])</f>
        <v>8622.5400000000009</v>
      </c>
      <c r="F16" s="793">
        <f>SUMIF('Rapport filtré'!$A$2:$A$1583,Bilan!$A16,'Rapport filtré'!$D$2:$D$1583)</f>
        <v>5904.1799999999994</v>
      </c>
      <c r="G16">
        <f>SUMIF('Rapport filtré'!$A$2:$A$1583,Bilan!$A16,'Rapport filtré'!$E$2:$E$1583)</f>
        <v>5517.1699999999964</v>
      </c>
      <c r="H16" s="792">
        <f t="shared" si="0"/>
        <v>0.2091729577803047</v>
      </c>
      <c r="I16" s="792">
        <f t="shared" si="1"/>
        <v>0.2871532760859743</v>
      </c>
      <c r="J16" s="792">
        <f t="shared" si="2"/>
        <v>0.639854381655521</v>
      </c>
      <c r="K16" s="792">
        <f t="shared" si="3"/>
        <v>0.93445152417439792</v>
      </c>
    </row>
    <row r="17" spans="1:11">
      <c r="A17" t="str">
        <v>Pois secs / Pois Chiches</v>
      </c>
      <c r="B17">
        <f>SUMIF(Tableau3[Culture],Bilan!A17,Tableau3[Sum Insured (€)])</f>
        <v>106053.83</v>
      </c>
      <c r="C17">
        <f>SUMIF('Rapport filtré'!$A$2:$A$1583,Bilan!$A17,'Rapport filtré'!$B$2:$B$1583)</f>
        <v>56889.8</v>
      </c>
      <c r="D17">
        <f>SUMIF('Rapport filtré'!$A$2:$A$1583,Bilan!$A17,'Rapport filtré'!$C$2:$C$1583)</f>
        <v>11236.08</v>
      </c>
      <c r="E17">
        <f>SUMIF(Tableau3[Culture],Bilan!A17,Tableau3[Insured acreage (ha)])</f>
        <v>67.239999999999995</v>
      </c>
      <c r="F17" s="793">
        <f>SUMIF('Rapport filtré'!$A$2:$A$1583,Bilan!$A17,'Rapport filtré'!$D$2:$D$1583)</f>
        <v>36.74</v>
      </c>
      <c r="G17">
        <f>SUMIF('Rapport filtré'!$A$2:$A$1583,Bilan!$A17,'Rapport filtré'!$E$2:$E$1583)</f>
        <v>37.54</v>
      </c>
      <c r="H17" s="792">
        <f t="shared" si="0"/>
        <v>0.1059469516565314</v>
      </c>
      <c r="I17" s="792">
        <f t="shared" si="1"/>
        <v>0.19750605556707879</v>
      </c>
      <c r="J17" s="792">
        <f t="shared" si="2"/>
        <v>0.5582986317668055</v>
      </c>
      <c r="K17" s="792">
        <f t="shared" si="3"/>
        <v>1.0217746325530757</v>
      </c>
    </row>
    <row r="18" spans="1:11">
      <c r="A18" t="str">
        <v>Avoine de printemps</v>
      </c>
      <c r="B18">
        <f>SUMIF(Tableau3[Culture],Bilan!A18,Tableau3[Sum Insured (€)])</f>
        <v>79843.38</v>
      </c>
      <c r="C18">
        <f>SUMIF('Rapport filtré'!$A$2:$A$1583,Bilan!$A18,'Rapport filtré'!$B$2:$B$1583)</f>
        <v>21989.34</v>
      </c>
      <c r="D18">
        <f>SUMIF('Rapport filtré'!$A$2:$A$1583,Bilan!$A18,'Rapport filtré'!$C$2:$C$1583)</f>
        <v>6055.57</v>
      </c>
      <c r="E18">
        <f>SUMIF(Tableau3[Culture],Bilan!A18,Tableau3[Insured acreage (ha)])</f>
        <v>123.21</v>
      </c>
      <c r="F18" s="793">
        <f>SUMIF('Rapport filtré'!$A$2:$A$1583,Bilan!$A18,'Rapport filtré'!$D$2:$D$1583)</f>
        <v>39.29</v>
      </c>
      <c r="G18">
        <f>SUMIF('Rapport filtré'!$A$2:$A$1583,Bilan!$A18,'Rapport filtré'!$E$2:$E$1583)</f>
        <v>39.29</v>
      </c>
      <c r="H18" s="792">
        <f t="shared" si="0"/>
        <v>7.5843106842420738E-2</v>
      </c>
      <c r="I18" s="792">
        <f t="shared" si="1"/>
        <v>0.27538661915273488</v>
      </c>
      <c r="J18" s="792">
        <f t="shared" si="2"/>
        <v>0.31888645402158916</v>
      </c>
      <c r="K18" s="792">
        <f t="shared" si="3"/>
        <v>1</v>
      </c>
    </row>
    <row r="19" spans="1:11">
      <c r="A19" t="str">
        <v>Lentilles</v>
      </c>
      <c r="B19">
        <f>SUMIF(Tableau3[Culture],Bilan!A19,Tableau3[Sum Insured (€)])</f>
        <v>61492.42</v>
      </c>
      <c r="C19">
        <f>SUMIF('Rapport filtré'!$A$2:$A$1583,Bilan!$A19,'Rapport filtré'!$B$2:$B$1583)</f>
        <v>28673.69</v>
      </c>
      <c r="D19">
        <f>SUMIF('Rapport filtré'!$A$2:$A$1583,Bilan!$A19,'Rapport filtré'!$C$2:$C$1583)</f>
        <v>12725.16</v>
      </c>
      <c r="E19">
        <f>SUMIF(Tableau3[Culture],Bilan!A19,Tableau3[Insured acreage (ha)])</f>
        <v>84.070000000000007</v>
      </c>
      <c r="F19" s="793">
        <f>SUMIF('Rapport filtré'!$A$2:$A$1583,Bilan!$A19,'Rapport filtré'!$D$2:$D$1583)</f>
        <v>44.65</v>
      </c>
      <c r="G19">
        <f>SUMIF('Rapport filtré'!$A$2:$A$1583,Bilan!$A19,'Rapport filtré'!$E$2:$E$1583)</f>
        <v>57.65</v>
      </c>
      <c r="H19" s="792">
        <f t="shared" si="0"/>
        <v>0.20693867634417382</v>
      </c>
      <c r="I19" s="792">
        <f t="shared" si="1"/>
        <v>0.44379220114327805</v>
      </c>
      <c r="J19" s="792">
        <f t="shared" si="2"/>
        <v>0.68573807541334597</v>
      </c>
      <c r="K19" s="792">
        <f t="shared" si="3"/>
        <v>1.2911534154535274</v>
      </c>
    </row>
    <row r="20" spans="1:11">
      <c r="A20" t="str">
        <v>Maïs ensilage non irrigué</v>
      </c>
      <c r="B20">
        <f>SUMIF(Tableau3[Culture],Bilan!A20,Tableau3[Sum Insured (€)])</f>
        <v>3622765.92</v>
      </c>
      <c r="C20">
        <f>SUMIF('Rapport filtré'!$A$2:$A$1583,Bilan!$A20,'Rapport filtré'!$B$2:$B$1583)</f>
        <v>1929451.7000000002</v>
      </c>
      <c r="D20">
        <f>SUMIF('Rapport filtré'!$A$2:$A$1583,Bilan!$A20,'Rapport filtré'!$C$2:$C$1583)</f>
        <v>500040.49000000005</v>
      </c>
      <c r="E20">
        <f>SUMIF(Tableau3[Culture],Bilan!A20,Tableau3[Insured acreage (ha)])</f>
        <v>2814.37</v>
      </c>
      <c r="F20" s="793">
        <f>SUMIF('Rapport filtré'!$A$2:$A$1583,Bilan!$A20,'Rapport filtré'!$D$2:$D$1583)</f>
        <v>1483.2599999999998</v>
      </c>
      <c r="G20">
        <f>SUMIF('Rapport filtré'!$A$2:$A$1583,Bilan!$A20,'Rapport filtré'!$E$2:$E$1583)</f>
        <v>1465.91</v>
      </c>
      <c r="H20" s="792">
        <f t="shared" si="0"/>
        <v>0.13802727005889467</v>
      </c>
      <c r="I20" s="792">
        <f t="shared" si="1"/>
        <v>0.25916196295558991</v>
      </c>
      <c r="J20" s="792">
        <f t="shared" si="2"/>
        <v>0.52086612634443952</v>
      </c>
      <c r="K20" s="792">
        <f t="shared" si="3"/>
        <v>0.98830279249760689</v>
      </c>
    </row>
    <row r="21" spans="1:11">
      <c r="A21" t="str">
        <v>Maïs pop corn irrigué</v>
      </c>
      <c r="B21">
        <f>SUMIF(Tableau3[Culture],Bilan!A21,Tableau3[Sum Insured (€)])</f>
        <v>506278.45000000007</v>
      </c>
      <c r="C21">
        <f>SUMIF('Rapport filtré'!$A$2:$A$1583,Bilan!$A21,'Rapport filtré'!$B$2:$B$1583)</f>
        <v>372659.85</v>
      </c>
      <c r="D21">
        <f>SUMIF('Rapport filtré'!$A$2:$A$1583,Bilan!$A21,'Rapport filtré'!$C$2:$C$1583)</f>
        <v>58922.77</v>
      </c>
      <c r="E21">
        <f>SUMIF(Tableau3[Culture],Bilan!A21,Tableau3[Insured acreage (ha)])</f>
        <v>270.67</v>
      </c>
      <c r="F21" s="793">
        <f>SUMIF('Rapport filtré'!$A$2:$A$1583,Bilan!$A21,'Rapport filtré'!$D$2:$D$1583)</f>
        <v>190.33</v>
      </c>
      <c r="G21">
        <f>SUMIF('Rapport filtré'!$A$2:$A$1583,Bilan!$A21,'Rapport filtré'!$E$2:$E$1583)</f>
        <v>187.33</v>
      </c>
      <c r="H21" s="792">
        <f t="shared" si="0"/>
        <v>0.11638411629015612</v>
      </c>
      <c r="I21" s="792">
        <f t="shared" si="1"/>
        <v>0.15811408178262296</v>
      </c>
      <c r="J21" s="792">
        <f t="shared" si="2"/>
        <v>0.69209738796320242</v>
      </c>
      <c r="K21" s="792">
        <f t="shared" si="3"/>
        <v>0.98423790259023802</v>
      </c>
    </row>
    <row r="22" spans="1:11">
      <c r="A22" t="str">
        <v>Maïs grain irrigué</v>
      </c>
      <c r="B22">
        <f>SUMIF(Tableau3[Culture],Bilan!A22,Tableau3[Sum Insured (€)])</f>
        <v>12247510.950000001</v>
      </c>
      <c r="C22">
        <f>SUMIF('Rapport filtré'!$A$2:$A$1583,Bilan!$A22,'Rapport filtré'!$B$2:$B$1583)</f>
        <v>5491743.6499999994</v>
      </c>
      <c r="D22">
        <f>SUMIF('Rapport filtré'!$A$2:$A$1583,Bilan!$A22,'Rapport filtré'!$C$2:$C$1583)</f>
        <v>1080493.78</v>
      </c>
      <c r="E22">
        <f>SUMIF(Tableau3[Culture],Bilan!A22,Tableau3[Insured acreage (ha)])</f>
        <v>6083.1499999999987</v>
      </c>
      <c r="F22" s="793">
        <f>SUMIF('Rapport filtré'!$A$2:$A$1583,Bilan!$A22,'Rapport filtré'!$D$2:$D$1583)</f>
        <v>2663.11</v>
      </c>
      <c r="G22">
        <f>SUMIF('Rapport filtré'!$A$2:$A$1583,Bilan!$A22,'Rapport filtré'!$E$2:$E$1583)</f>
        <v>2424.56</v>
      </c>
      <c r="H22" s="792">
        <f t="shared" si="0"/>
        <v>8.8221499405967047E-2</v>
      </c>
      <c r="I22" s="792">
        <f t="shared" si="1"/>
        <v>0.1967487648481189</v>
      </c>
      <c r="J22" s="792">
        <f t="shared" si="2"/>
        <v>0.398569819912381</v>
      </c>
      <c r="K22" s="792">
        <f t="shared" si="3"/>
        <v>0.91042427838129103</v>
      </c>
    </row>
    <row r="23" spans="1:11">
      <c r="A23" t="str">
        <v>Maïs ensilage irrigué</v>
      </c>
      <c r="B23">
        <f>SUMIF(Tableau3[Culture],Bilan!A23,Tableau3[Sum Insured (€)])</f>
        <v>820560.76999999979</v>
      </c>
      <c r="C23">
        <f>SUMIF('Rapport filtré'!$A$2:$A$1583,Bilan!$A23,'Rapport filtré'!$B$2:$B$1583)</f>
        <v>360479.59</v>
      </c>
      <c r="D23">
        <f>SUMIF('Rapport filtré'!$A$2:$A$1583,Bilan!$A23,'Rapport filtré'!$C$2:$C$1583)</f>
        <v>115962.61000000002</v>
      </c>
      <c r="E23">
        <f>SUMIF(Tableau3[Culture],Bilan!A23,Tableau3[Insured acreage (ha)])</f>
        <v>456.44</v>
      </c>
      <c r="F23" s="793">
        <f>SUMIF('Rapport filtré'!$A$2:$A$1583,Bilan!$A23,'Rapport filtré'!$D$2:$D$1583)</f>
        <v>190.01000000000002</v>
      </c>
      <c r="G23">
        <f>SUMIF('Rapport filtré'!$A$2:$A$1583,Bilan!$A23,'Rapport filtré'!$E$2:$E$1583)</f>
        <v>189.17000000000002</v>
      </c>
      <c r="H23" s="792">
        <f t="shared" si="0"/>
        <v>0.14132117234900232</v>
      </c>
      <c r="I23" s="792">
        <f t="shared" si="1"/>
        <v>0.32168980773641026</v>
      </c>
      <c r="J23" s="792">
        <f t="shared" si="2"/>
        <v>0.41444658662693895</v>
      </c>
      <c r="K23" s="792">
        <f t="shared" si="3"/>
        <v>0.9955791800431556</v>
      </c>
    </row>
    <row r="24" spans="1:11">
      <c r="A24" t="str">
        <v>Soja</v>
      </c>
      <c r="B24">
        <f>SUMIF(Tableau3[Culture],Bilan!A24,Tableau3[Sum Insured (€)])</f>
        <v>3002389.0100000012</v>
      </c>
      <c r="C24">
        <f>SUMIF('Rapport filtré'!$A$2:$A$1583,Bilan!$A24,'Rapport filtré'!$B$2:$B$1583)</f>
        <v>1634583.75</v>
      </c>
      <c r="D24">
        <f>SUMIF('Rapport filtré'!$A$2:$A$1583,Bilan!$A24,'Rapport filtré'!$C$2:$C$1583)</f>
        <v>516919.95</v>
      </c>
      <c r="E24">
        <f>SUMIF(Tableau3[Culture],Bilan!A24,Tableau3[Insured acreage (ha)])</f>
        <v>2682.6899999999978</v>
      </c>
      <c r="F24" s="793">
        <f>SUMIF('Rapport filtré'!$A$2:$A$1583,Bilan!$A24,'Rapport filtré'!$D$2:$D$1583)</f>
        <v>1449.420000000001</v>
      </c>
      <c r="G24">
        <f>SUMIF('Rapport filtré'!$A$2:$A$1583,Bilan!$A24,'Rapport filtré'!$E$2:$E$1583)</f>
        <v>1448.7400000000007</v>
      </c>
      <c r="H24" s="792">
        <f t="shared" si="0"/>
        <v>0.17216954507837071</v>
      </c>
      <c r="I24" s="792">
        <f t="shared" si="1"/>
        <v>0.3162395013409377</v>
      </c>
      <c r="J24" s="792">
        <f t="shared" si="2"/>
        <v>0.54003257923949544</v>
      </c>
      <c r="K24" s="792">
        <f t="shared" si="3"/>
        <v>0.99953084682148696</v>
      </c>
    </row>
    <row r="25" spans="1:11">
      <c r="A25" t="str">
        <v>Quinoa</v>
      </c>
      <c r="B25">
        <f>SUMIF(Tableau3[Culture],Bilan!A25,Tableau3[Sum Insured (€)])</f>
        <v>14946</v>
      </c>
      <c r="C25">
        <f>SUMIF('Rapport filtré'!$A$2:$A$1583,Bilan!$A25,'Rapport filtré'!$B$2:$B$1583)</f>
        <v>14946</v>
      </c>
      <c r="D25">
        <f>SUMIF('Rapport filtré'!$A$2:$A$1583,Bilan!$A25,'Rapport filtré'!$C$2:$C$1583)</f>
        <v>5702.8</v>
      </c>
      <c r="E25">
        <f>SUMIF(Tableau3[Culture],Bilan!A25,Tableau3[Insured acreage (ha)])</f>
        <v>5.3</v>
      </c>
      <c r="F25" s="793">
        <f>SUMIF('Rapport filtré'!$A$2:$A$1583,Bilan!$A25,'Rapport filtré'!$D$2:$D$1583)</f>
        <v>5.3</v>
      </c>
      <c r="G25">
        <f>SUMIF('Rapport filtré'!$A$2:$A$1583,Bilan!$A25,'Rapport filtré'!$E$2:$E$1583)</f>
        <v>5.3</v>
      </c>
      <c r="H25" s="792">
        <f t="shared" si="0"/>
        <v>0.38156028368794326</v>
      </c>
      <c r="I25" s="792">
        <f t="shared" si="1"/>
        <v>0.38156028368794326</v>
      </c>
      <c r="J25" s="792">
        <f t="shared" si="2"/>
        <v>1</v>
      </c>
      <c r="K25" s="792">
        <f t="shared" si="3"/>
        <v>1</v>
      </c>
    </row>
    <row r="26" spans="1:11">
      <c r="A26" t="str">
        <v>Colza de printemps</v>
      </c>
      <c r="B26">
        <f>SUMIF(Tableau3[Culture],Bilan!A26,Tableau3[Sum Insured (€)])</f>
        <v>133974.25</v>
      </c>
      <c r="C26">
        <f>SUMIF('Rapport filtré'!$A$2:$A$1583,Bilan!$A26,'Rapport filtré'!$B$2:$B$1583)</f>
        <v>148884.32</v>
      </c>
      <c r="D26">
        <f>SUMIF('Rapport filtré'!$A$2:$A$1583,Bilan!$A26,'Rapport filtré'!$C$2:$C$1583)</f>
        <v>68885.12000000001</v>
      </c>
      <c r="E26">
        <f>SUMIF(Tableau3[Culture],Bilan!A26,Tableau3[Insured acreage (ha)])</f>
        <v>79.449999999999989</v>
      </c>
      <c r="F26" s="793">
        <f>SUMIF('Rapport filtré'!$A$2:$A$1583,Bilan!$A26,'Rapport filtré'!$D$2:$D$1583)</f>
        <v>99.02</v>
      </c>
      <c r="G26">
        <f>SUMIF('Rapport filtré'!$A$2:$A$1583,Bilan!$A26,'Rapport filtré'!$E$2:$E$1583)</f>
        <v>75.289999999999992</v>
      </c>
      <c r="H26" s="792">
        <f t="shared" si="0"/>
        <v>0.51416686415486568</v>
      </c>
      <c r="I26" s="792">
        <f t="shared" si="1"/>
        <v>0.46267545165266566</v>
      </c>
      <c r="J26" s="792">
        <f t="shared" si="2"/>
        <v>0.94764002517306489</v>
      </c>
      <c r="K26" s="792">
        <f t="shared" si="3"/>
        <v>0.7603514441526964</v>
      </c>
    </row>
    <row r="27" spans="1:11">
      <c r="A27" t="str">
        <v>Oeillette</v>
      </c>
      <c r="B27">
        <f>SUMIF(Tableau3[Culture],Bilan!A27,Tableau3[Sum Insured (€)])</f>
        <v>9600</v>
      </c>
      <c r="C27">
        <f>SUMIF('Rapport filtré'!$A$2:$A$1583,Bilan!$A27,'Rapport filtré'!$B$2:$B$1583)</f>
        <v>38454</v>
      </c>
      <c r="D27">
        <f>SUMIF('Rapport filtré'!$A$2:$A$1583,Bilan!$A27,'Rapport filtré'!$C$2:$C$1583)</f>
        <v>4082.04</v>
      </c>
      <c r="E27">
        <f>SUMIF(Tableau3[Culture],Bilan!A27,Tableau3[Insured acreage (ha)])</f>
        <v>24</v>
      </c>
      <c r="F27" s="793">
        <f>SUMIF('Rapport filtré'!$A$2:$A$1583,Bilan!$A27,'Rapport filtré'!$D$2:$D$1583)</f>
        <v>24.65</v>
      </c>
      <c r="G27">
        <f>SUMIF('Rapport filtré'!$A$2:$A$1583,Bilan!$A27,'Rapport filtré'!$E$2:$E$1583)</f>
        <v>24.65</v>
      </c>
      <c r="H27" s="792">
        <f t="shared" si="0"/>
        <v>0.42521249999999999</v>
      </c>
      <c r="I27" s="792">
        <f t="shared" si="1"/>
        <v>0.10615384615384615</v>
      </c>
      <c r="J27" s="792">
        <f t="shared" si="2"/>
        <v>1.0270833333333333</v>
      </c>
      <c r="K27" s="792">
        <f t="shared" si="3"/>
        <v>1</v>
      </c>
    </row>
    <row r="28" spans="1:11">
      <c r="A28" t="str">
        <v>Sorgho</v>
      </c>
      <c r="B28">
        <f>SUMIF(Tableau3[Culture],Bilan!A28,Tableau3[Sum Insured (€)])</f>
        <v>504106.62999999995</v>
      </c>
      <c r="C28">
        <f>SUMIF('Rapport filtré'!$A$2:$A$1583,Bilan!$A28,'Rapport filtré'!$B$2:$B$1583)</f>
        <v>271180.51</v>
      </c>
      <c r="D28">
        <f>SUMIF('Rapport filtré'!$A$2:$A$1583,Bilan!$A28,'Rapport filtré'!$C$2:$C$1583)</f>
        <v>79414.430000000008</v>
      </c>
      <c r="E28">
        <f>SUMIF(Tableau3[Culture],Bilan!A28,Tableau3[Insured acreage (ha)])</f>
        <v>574.2399999999999</v>
      </c>
      <c r="F28" s="793">
        <f>SUMIF('Rapport filtré'!$A$2:$A$1583,Bilan!$A28,'Rapport filtré'!$D$2:$D$1583)</f>
        <v>297.77000000000004</v>
      </c>
      <c r="G28">
        <f>SUMIF('Rapport filtré'!$A$2:$A$1583,Bilan!$A28,'Rapport filtré'!$E$2:$E$1583)</f>
        <v>297.75000000000006</v>
      </c>
      <c r="H28" s="792">
        <f t="shared" si="0"/>
        <v>0.15753498421554188</v>
      </c>
      <c r="I28" s="792">
        <f t="shared" si="1"/>
        <v>0.29284711500837579</v>
      </c>
      <c r="J28" s="792">
        <f t="shared" si="2"/>
        <v>0.51851142379492909</v>
      </c>
      <c r="K28" s="792">
        <f t="shared" si="3"/>
        <v>0.99993283406656153</v>
      </c>
    </row>
    <row r="29" spans="1:11">
      <c r="A29" t="str">
        <v>Blé dur de printemps</v>
      </c>
      <c r="B29">
        <f>SUMIF(Tableau3[Culture],Bilan!A29,Tableau3[Sum Insured (€)])</f>
        <v>15209.68</v>
      </c>
      <c r="C29">
        <f>SUMIF('Rapport filtré'!$A$2:$A$1583,Bilan!$A29,'Rapport filtré'!$B$2:$B$1583)</f>
        <v>15209.68</v>
      </c>
      <c r="D29">
        <f>SUMIF('Rapport filtré'!$A$2:$A$1583,Bilan!$A29,'Rapport filtré'!$C$2:$C$1583)</f>
        <v>5825.59</v>
      </c>
      <c r="E29">
        <f>SUMIF(Tableau3[Culture],Bilan!A29,Tableau3[Insured acreage (ha)])</f>
        <v>8.83</v>
      </c>
      <c r="F29" s="793">
        <f>SUMIF('Rapport filtré'!$A$2:$A$1583,Bilan!$A29,'Rapport filtré'!$D$2:$D$1583)</f>
        <v>8.83</v>
      </c>
      <c r="G29">
        <f>SUMIF('Rapport filtré'!$A$2:$A$1583,Bilan!$A29,'Rapport filtré'!$E$2:$E$1583)</f>
        <v>8.83</v>
      </c>
      <c r="H29" s="792">
        <f t="shared" si="0"/>
        <v>0.38301857764265917</v>
      </c>
      <c r="I29" s="792">
        <f t="shared" si="1"/>
        <v>0.38301857764265917</v>
      </c>
      <c r="J29" s="792">
        <f t="shared" si="2"/>
        <v>1</v>
      </c>
      <c r="K29" s="792">
        <f t="shared" si="3"/>
        <v>1</v>
      </c>
    </row>
    <row r="30" spans="1:11">
      <c r="A30" t="str">
        <v>Blé tendre de printemps</v>
      </c>
      <c r="B30">
        <f>SUMIF(Tableau3[Culture],Bilan!A30,Tableau3[Sum Insured (€)])</f>
        <v>142073.38</v>
      </c>
      <c r="C30">
        <f>SUMIF('Rapport filtré'!$A$2:$A$1583,Bilan!$A30,'Rapport filtré'!$B$2:$B$1583)</f>
        <v>18536.5</v>
      </c>
      <c r="D30">
        <f>SUMIF('Rapport filtré'!$A$2:$A$1583,Bilan!$A30,'Rapport filtré'!$C$2:$C$1583)</f>
        <v>11704.58</v>
      </c>
      <c r="E30">
        <f>SUMIF(Tableau3[Culture],Bilan!A30,Tableau3[Insured acreage (ha)])</f>
        <v>127.55</v>
      </c>
      <c r="F30" s="793">
        <f>SUMIF('Rapport filtré'!$A$2:$A$1583,Bilan!$A30,'Rapport filtré'!$D$2:$D$1583)</f>
        <v>20.07</v>
      </c>
      <c r="G30">
        <f>SUMIF('Rapport filtré'!$A$2:$A$1583,Bilan!$A30,'Rapport filtré'!$E$2:$E$1583)</f>
        <v>20</v>
      </c>
      <c r="H30" s="792">
        <f t="shared" si="0"/>
        <v>8.2384046891824492E-2</v>
      </c>
      <c r="I30" s="792">
        <f t="shared" si="1"/>
        <v>0.63143419739433015</v>
      </c>
      <c r="J30" s="792">
        <f t="shared" si="2"/>
        <v>0.15680125441003528</v>
      </c>
      <c r="K30" s="792">
        <f t="shared" si="3"/>
        <v>0.99651220727453915</v>
      </c>
    </row>
    <row r="31" spans="1:11">
      <c r="A31" t="str">
        <v>Lin textile</v>
      </c>
      <c r="B31">
        <f>SUMIF(Tableau3[Culture],Bilan!A31,Tableau3[Sum Insured (€)])</f>
        <v>1117726.4900000002</v>
      </c>
      <c r="C31">
        <f>SUMIF('Rapport filtré'!$A$2:$A$1583,Bilan!$A31,'Rapport filtré'!$B$2:$B$1583)</f>
        <v>274950.18</v>
      </c>
      <c r="D31">
        <f>SUMIF('Rapport filtré'!$A$2:$A$1583,Bilan!$A31,'Rapport filtré'!$C$2:$C$1583)</f>
        <v>84256.85</v>
      </c>
      <c r="E31">
        <f>SUMIF(Tableau3[Culture],Bilan!A31,Tableau3[Insured acreage (ha)])</f>
        <v>464.9</v>
      </c>
      <c r="F31" s="793">
        <f>SUMIF('Rapport filtré'!$A$2:$A$1583,Bilan!$A31,'Rapport filtré'!$D$2:$D$1583)</f>
        <v>110.78</v>
      </c>
      <c r="G31">
        <f>SUMIF('Rapport filtré'!$A$2:$A$1583,Bilan!$A31,'Rapport filtré'!$E$2:$E$1583)</f>
        <v>110.78</v>
      </c>
      <c r="H31" s="792">
        <f t="shared" si="0"/>
        <v>7.5382350471088849E-2</v>
      </c>
      <c r="I31" s="792">
        <f t="shared" si="1"/>
        <v>0.30644406197515495</v>
      </c>
      <c r="J31" s="792">
        <f t="shared" si="2"/>
        <v>0.2382878038287804</v>
      </c>
      <c r="K31" s="792">
        <f t="shared" si="3"/>
        <v>1</v>
      </c>
    </row>
    <row r="32" spans="1:11">
      <c r="A32" t="str">
        <v>Maïs doux non irrigué</v>
      </c>
      <c r="B32">
        <f>SUMIF(Tableau3[Culture],Bilan!A32,Tableau3[Sum Insured (€)])</f>
        <v>0</v>
      </c>
      <c r="C32">
        <f>SUMIF('Rapport filtré'!$A$2:$A$1583,Bilan!$A32,'Rapport filtré'!$B$2:$B$1583)</f>
        <v>65340</v>
      </c>
      <c r="D32">
        <f>SUMIF('Rapport filtré'!$A$2:$A$1583,Bilan!$A32,'Rapport filtré'!$C$2:$C$1583)</f>
        <v>13205.5</v>
      </c>
      <c r="E32">
        <f>SUMIF(Tableau3[Culture],Bilan!A32,Tableau3[Insured acreage (ha)])</f>
        <v>0</v>
      </c>
      <c r="F32" s="793">
        <f>SUMIF('Rapport filtré'!$A$2:$A$1583,Bilan!$A32,'Rapport filtré'!$D$2:$D$1583)</f>
        <v>29.7</v>
      </c>
      <c r="G32">
        <f>SUMIF('Rapport filtré'!$A$2:$A$1583,Bilan!$A32,'Rapport filtré'!$E$2:$E$1583)</f>
        <v>29.7</v>
      </c>
      <c r="H32" s="792" t="e">
        <f t="shared" si="0"/>
        <v>#DIV/0!</v>
      </c>
      <c r="I32" s="792">
        <f t="shared" si="1"/>
        <v>0.20210437710437709</v>
      </c>
      <c r="J32" s="792" t="e">
        <f t="shared" si="2"/>
        <v>#DIV/0!</v>
      </c>
      <c r="K32" s="792">
        <f t="shared" si="3"/>
        <v>1</v>
      </c>
    </row>
    <row r="33" spans="1:11">
      <c r="A33" t="str">
        <v>Chanvre</v>
      </c>
      <c r="B33">
        <f>SUMIF(Tableau3[Culture],Bilan!A33,Tableau3[Sum Insured (€)])</f>
        <v>32309.08</v>
      </c>
      <c r="C33">
        <f>SUMIF('Rapport filtré'!$A$2:$A$1583,Bilan!$A33,'Rapport filtré'!$B$2:$B$1583)</f>
        <v>18635.5</v>
      </c>
      <c r="D33">
        <f>SUMIF('Rapport filtré'!$A$2:$A$1583,Bilan!$A33,'Rapport filtré'!$C$2:$C$1583)</f>
        <v>9665.9599999999991</v>
      </c>
      <c r="E33">
        <f>SUMIF(Tableau3[Culture],Bilan!A33,Tableau3[Insured acreage (ha)])</f>
        <v>42.63</v>
      </c>
      <c r="F33" s="793">
        <f>SUMIF('Rapport filtré'!$A$2:$A$1583,Bilan!$A33,'Rapport filtré'!$D$2:$D$1583)</f>
        <v>23.5</v>
      </c>
      <c r="G33">
        <f>SUMIF('Rapport filtré'!$A$2:$A$1583,Bilan!$A33,'Rapport filtré'!$E$2:$E$1583)</f>
        <v>20.149999999999999</v>
      </c>
      <c r="H33" s="792">
        <f t="shared" si="0"/>
        <v>0.29917162605682363</v>
      </c>
      <c r="I33" s="792">
        <f t="shared" si="1"/>
        <v>0.51868530492876497</v>
      </c>
      <c r="J33" s="792">
        <f t="shared" si="2"/>
        <v>0.47267182735163027</v>
      </c>
      <c r="K33" s="792">
        <f t="shared" si="3"/>
        <v>0.85744680851063826</v>
      </c>
    </row>
    <row r="34" spans="1:11">
      <c r="A34" t="str">
        <v>Maïs waxy irrigué</v>
      </c>
      <c r="B34">
        <f>SUMIF(Tableau3[Culture],Bilan!A34,Tableau3[Sum Insured (€)])</f>
        <v>971711.95</v>
      </c>
      <c r="C34">
        <f>SUMIF('Rapport filtré'!$A$2:$A$1583,Bilan!$A34,'Rapport filtré'!$B$2:$B$1583)</f>
        <v>401851.58999999997</v>
      </c>
      <c r="D34">
        <f>SUMIF('Rapport filtré'!$A$2:$A$1583,Bilan!$A34,'Rapport filtré'!$C$2:$C$1583)</f>
        <v>47059.94</v>
      </c>
      <c r="E34">
        <f>SUMIF(Tableau3[Culture],Bilan!A34,Tableau3[Insured acreage (ha)])</f>
        <v>460.60000000000008</v>
      </c>
      <c r="F34" s="793">
        <f>SUMIF('Rapport filtré'!$A$2:$A$1583,Bilan!$A34,'Rapport filtré'!$D$2:$D$1583)</f>
        <v>175.83999999999997</v>
      </c>
      <c r="G34">
        <f>SUMIF('Rapport filtré'!$A$2:$A$1583,Bilan!$A34,'Rapport filtré'!$E$2:$E$1583)</f>
        <v>164.39999999999998</v>
      </c>
      <c r="H34" s="792">
        <f t="shared" si="0"/>
        <v>4.8429928231303529E-2</v>
      </c>
      <c r="I34" s="792">
        <f t="shared" si="1"/>
        <v>0.11710776110155495</v>
      </c>
      <c r="J34" s="792">
        <f t="shared" si="2"/>
        <v>0.35692574902301333</v>
      </c>
      <c r="K34" s="792">
        <f t="shared" si="3"/>
        <v>0.93494085532302096</v>
      </c>
    </row>
    <row r="35" spans="1:11">
      <c r="A35" t="str">
        <v>Soja SEMENCES</v>
      </c>
      <c r="B35">
        <f>SUMIF(Tableau3[Culture],Bilan!A35,Tableau3[Sum Insured (€)])</f>
        <v>213932.30000000002</v>
      </c>
      <c r="C35">
        <f>SUMIF('Rapport filtré'!$A$2:$A$1583,Bilan!$A35,'Rapport filtré'!$B$2:$B$1583)</f>
        <v>115064.56</v>
      </c>
      <c r="D35">
        <f>SUMIF('Rapport filtré'!$A$2:$A$1583,Bilan!$A35,'Rapport filtré'!$C$2:$C$1583)</f>
        <v>20708.54</v>
      </c>
      <c r="E35">
        <f>SUMIF(Tableau3[Culture],Bilan!A35,Tableau3[Insured acreage (ha)])</f>
        <v>139.92000000000002</v>
      </c>
      <c r="F35" s="793">
        <f>SUMIF('Rapport filtré'!$A$2:$A$1583,Bilan!$A35,'Rapport filtré'!$D$2:$D$1583)</f>
        <v>70.48</v>
      </c>
      <c r="G35">
        <f>SUMIF('Rapport filtré'!$A$2:$A$1583,Bilan!$A35,'Rapport filtré'!$E$2:$E$1583)</f>
        <v>70.48</v>
      </c>
      <c r="H35" s="792">
        <f t="shared" si="0"/>
        <v>9.6799501524547721E-2</v>
      </c>
      <c r="I35" s="792">
        <f t="shared" si="1"/>
        <v>0.17997322546577332</v>
      </c>
      <c r="J35" s="792">
        <f t="shared" si="2"/>
        <v>0.50371640937678674</v>
      </c>
      <c r="K35" s="792">
        <f t="shared" si="3"/>
        <v>1</v>
      </c>
    </row>
    <row r="36" spans="1:11">
      <c r="A36" t="str">
        <v>Pommes de terre</v>
      </c>
      <c r="B36">
        <f>SUMIF(Tableau3[Culture],Bilan!A36,Tableau3[Sum Insured (€)])</f>
        <v>461808.22</v>
      </c>
      <c r="C36">
        <f>SUMIF('Rapport filtré'!$A$2:$A$1583,Bilan!$A36,'Rapport filtré'!$B$2:$B$1583)</f>
        <v>338211.72</v>
      </c>
      <c r="D36">
        <f>SUMIF('Rapport filtré'!$A$2:$A$1583,Bilan!$A36,'Rapport filtré'!$C$2:$C$1583)</f>
        <v>64666.679999999993</v>
      </c>
      <c r="E36">
        <f>SUMIF(Tableau3[Culture],Bilan!A36,Tableau3[Insured acreage (ha)])</f>
        <v>53.91</v>
      </c>
      <c r="F36" s="793">
        <f>SUMIF('Rapport filtré'!$A$2:$A$1583,Bilan!$A36,'Rapport filtré'!$D$2:$D$1583)</f>
        <v>38.03</v>
      </c>
      <c r="G36">
        <f>SUMIF('Rapport filtré'!$A$2:$A$1583,Bilan!$A36,'Rapport filtré'!$E$2:$E$1583)</f>
        <v>38.03</v>
      </c>
      <c r="H36" s="792">
        <f t="shared" si="0"/>
        <v>0.1400292961437542</v>
      </c>
      <c r="I36" s="792">
        <f t="shared" si="1"/>
        <v>0.19120177148207637</v>
      </c>
      <c r="J36" s="792">
        <f t="shared" si="2"/>
        <v>0.70543498423298101</v>
      </c>
      <c r="K36" s="792">
        <f t="shared" si="3"/>
        <v>1</v>
      </c>
    </row>
    <row r="37" spans="1:11">
      <c r="A37" t="str">
        <v>Pommes de terre de féculerie</v>
      </c>
      <c r="B37">
        <f>SUMIF(Tableau3[Culture],Bilan!A37,Tableau3[Sum Insured (€)])</f>
        <v>240030</v>
      </c>
      <c r="C37">
        <f>SUMIF('Rapport filtré'!$A$2:$A$1583,Bilan!$A37,'Rapport filtré'!$B$2:$B$1583)</f>
        <v>108315</v>
      </c>
      <c r="D37">
        <f>SUMIF('Rapport filtré'!$A$2:$A$1583,Bilan!$A37,'Rapport filtré'!$C$2:$C$1583)</f>
        <v>11890.58</v>
      </c>
      <c r="E37">
        <f>SUMIF(Tableau3[Culture],Bilan!A37,Tableau3[Insured acreage (ha)])</f>
        <v>55.34</v>
      </c>
      <c r="F37" s="793">
        <f>SUMIF('Rapport filtré'!$A$2:$A$1583,Bilan!$A37,'Rapport filtré'!$D$2:$D$1583)</f>
        <v>29</v>
      </c>
      <c r="G37">
        <f>SUMIF('Rapport filtré'!$A$2:$A$1583,Bilan!$A37,'Rapport filtré'!$E$2:$E$1583)</f>
        <v>29</v>
      </c>
      <c r="H37" s="792">
        <f t="shared" si="0"/>
        <v>4.9537891096946216E-2</v>
      </c>
      <c r="I37" s="792">
        <f t="shared" si="1"/>
        <v>0.10977777777777778</v>
      </c>
      <c r="J37" s="792">
        <f t="shared" si="2"/>
        <v>0.52403324900614379</v>
      </c>
      <c r="K37" s="792">
        <f t="shared" si="3"/>
        <v>1</v>
      </c>
    </row>
    <row r="38" spans="1:11">
      <c r="A38" t="str">
        <v>Maïs non irrigué</v>
      </c>
      <c r="B38">
        <f>SUMIF(Tableau3[Culture],Bilan!A38,Tableau3[Sum Insured (€)])</f>
        <v>0</v>
      </c>
      <c r="C38">
        <f>SUMIF('Rapport filtré'!$A$2:$A$1583,Bilan!$A38,'Rapport filtré'!$B$2:$B$1583)</f>
        <v>50050.54</v>
      </c>
      <c r="D38">
        <f>SUMIF('Rapport filtré'!$A$2:$A$1583,Bilan!$A38,'Rapport filtré'!$C$2:$C$1583)</f>
        <v>15577.45</v>
      </c>
      <c r="E38">
        <f>SUMIF(Tableau3[Culture],Bilan!A38,Tableau3[Insured acreage (ha)])</f>
        <v>0</v>
      </c>
      <c r="F38" s="793">
        <f>SUMIF('Rapport filtré'!$A$2:$A$1583,Bilan!$A38,'Rapport filtré'!$D$2:$D$1583)</f>
        <v>30.27</v>
      </c>
      <c r="G38">
        <f>SUMIF('Rapport filtré'!$A$2:$A$1583,Bilan!$A38,'Rapport filtré'!$E$2:$E$1583)</f>
        <v>30.27</v>
      </c>
      <c r="H38" s="792" t="e">
        <f t="shared" si="0"/>
        <v>#DIV/0!</v>
      </c>
      <c r="I38" s="792">
        <f t="shared" si="1"/>
        <v>0.31123440426416976</v>
      </c>
      <c r="J38" s="792" t="e">
        <f t="shared" si="2"/>
        <v>#DIV/0!</v>
      </c>
      <c r="K38" s="792">
        <f t="shared" si="3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F713B-E1A6-A240-9C9F-F6E3461881CA}">
  <dimension ref="A1:E38"/>
  <sheetViews>
    <sheetView tabSelected="1" workbookViewId="0">
      <selection activeCell="G28" sqref="G28"/>
    </sheetView>
  </sheetViews>
  <sheetFormatPr baseColWidth="10" defaultRowHeight="15"/>
  <cols>
    <col min="1" max="1" width="23.6640625" bestFit="1" customWidth="1"/>
    <col min="2" max="2" width="23.6640625" customWidth="1"/>
    <col min="3" max="3" width="13" bestFit="1" customWidth="1"/>
    <col min="4" max="4" width="15.83203125" bestFit="1" customWidth="1"/>
  </cols>
  <sheetData>
    <row r="1" spans="1:5">
      <c r="A1" t="s">
        <v>3971</v>
      </c>
      <c r="B1" t="s">
        <v>7285</v>
      </c>
      <c r="C1" t="s">
        <v>3972</v>
      </c>
      <c r="D1" t="s">
        <v>3973</v>
      </c>
      <c r="E1" t="s">
        <v>7284</v>
      </c>
    </row>
    <row r="2" spans="1:5">
      <c r="A2" t="str" cm="1">
        <f t="array" ref="A2:A38">_xlfn.UNIQUE('Rapport filtré'!A2:A1583)</f>
        <v>Colza d'hiver</v>
      </c>
      <c r="B2" t="s">
        <v>7295</v>
      </c>
      <c r="C2">
        <f>SUMIFS(Tableau3[Sum Insured (€)],Tableau3[Culture],Bilan!A2,Tableau3[Franchise],15)</f>
        <v>3810770.43</v>
      </c>
      <c r="D2">
        <f>SUMIFS(Sinistrés!$X$7:$X$4756,Sinistrés!$O$7:$O$4756,"15%",Sinistrés!$H$7:$H$4756,'Bilan franchise 15'!A2)</f>
        <v>176661.26</v>
      </c>
      <c r="E2" s="792">
        <f>IF((D2/C2)&lt;'Bilan franchise 20'!E2,'Bilan franchise 20'!E2,(D2/C2))</f>
        <v>7.3385371263956917E-2</v>
      </c>
    </row>
    <row r="3" spans="1:5">
      <c r="A3" t="str">
        <v>Blé tendre d'hiver</v>
      </c>
      <c r="B3" t="s">
        <v>7292</v>
      </c>
      <c r="C3">
        <f>SUMIFS(Tableau3[Sum Insured (€)],Tableau3[Culture],Bilan!A3,Tableau3[Franchise],15)</f>
        <v>9105801.3699999973</v>
      </c>
      <c r="D3">
        <f>SUMIFS(Sinistrés!$X$7:$X$4756,Sinistrés!$O$7:$O$4756,"15%",Sinistrés!$H$7:$H$4756,'Bilan franchise 15'!A3)</f>
        <v>434950.42999999993</v>
      </c>
      <c r="E3" s="792">
        <f>IF((D3/C3)&lt;'Bilan franchise 20'!E3,'Bilan franchise 20'!E3,(D3/C3))</f>
        <v>4.7766298904013987E-2</v>
      </c>
    </row>
    <row r="4" spans="1:5">
      <c r="A4" t="str">
        <v>Blé de force</v>
      </c>
      <c r="B4" t="e">
        <v>#N/A</v>
      </c>
      <c r="C4">
        <f>SUMIFS(Tableau3[Sum Insured (€)],Tableau3[Culture],Bilan!A4,Tableau3[Franchise],15)</f>
        <v>363424.31999999995</v>
      </c>
      <c r="D4">
        <f>SUMIFS(Sinistrés!$X$7:$X$4756,Sinistrés!$O$7:$O$4756,"15%",Sinistrés!$H$7:$H$4756,'Bilan franchise 15'!A4)</f>
        <v>25509.119999999995</v>
      </c>
      <c r="E4" s="792">
        <f>IF((D4/C4)&lt;'Bilan franchise 20'!E4,'Bilan franchise 20'!E4,(D4/C4))</f>
        <v>0.11071539737185165</v>
      </c>
    </row>
    <row r="5" spans="1:5">
      <c r="A5" t="str">
        <v>Féveroles et fèves</v>
      </c>
      <c r="B5" t="s">
        <v>7296</v>
      </c>
      <c r="C5">
        <f>SUMIFS(Tableau3[Sum Insured (€)],Tableau3[Culture],Bilan!A5,Tableau3[Franchise],15)</f>
        <v>90453.759999999995</v>
      </c>
      <c r="D5">
        <f>SUMIFS(Sinistrés!$X$7:$X$4756,Sinistrés!$O$7:$O$4756,"15%",Sinistrés!$H$7:$H$4756,'Bilan franchise 15'!A5)</f>
        <v>29976.710000000003</v>
      </c>
      <c r="E5" s="792">
        <f>IF((D5/C5)&lt;'Bilan franchise 20'!E5,'Bilan franchise 20'!E5,(D5/C5))</f>
        <v>0.33140369178683127</v>
      </c>
    </row>
    <row r="6" spans="1:5">
      <c r="A6" t="str">
        <v>Orge d'hiver</v>
      </c>
      <c r="B6" t="s">
        <v>7310</v>
      </c>
      <c r="C6">
        <f>SUMIFS(Tableau3[Sum Insured (€)],Tableau3[Culture],Bilan!A6,Tableau3[Franchise],15)</f>
        <v>2320989.6600000006</v>
      </c>
      <c r="D6">
        <f>SUMIFS(Sinistrés!$X$7:$X$4756,Sinistrés!$O$7:$O$4756,"15%",Sinistrés!$H$7:$H$4756,'Bilan franchise 15'!A6)</f>
        <v>65018.649999999987</v>
      </c>
      <c r="E6" s="792">
        <f>IF((D6/C6)&lt;'Bilan franchise 20'!E6,'Bilan franchise 20'!E6,(D6/C6))</f>
        <v>3.2941868405717424E-2</v>
      </c>
    </row>
    <row r="7" spans="1:5">
      <c r="A7" t="str">
        <v>Seigle et méteil</v>
      </c>
      <c r="B7" t="s">
        <v>7315</v>
      </c>
      <c r="C7">
        <f>SUMIFS(Tableau3[Sum Insured (€)],Tableau3[Culture],Bilan!A7,Tableau3[Franchise],15)</f>
        <v>7201.65</v>
      </c>
      <c r="D7">
        <f>SUMIFS(Sinistrés!$X$7:$X$4756,Sinistrés!$O$7:$O$4756,"15%",Sinistrés!$H$7:$H$4756,'Bilan franchise 15'!A7)</f>
        <v>2569.4</v>
      </c>
      <c r="E7" s="792">
        <f>IF((D7/C7)&lt;'Bilan franchise 20'!E7,'Bilan franchise 20'!E7,(D7/C7))</f>
        <v>0.35677934917692478</v>
      </c>
    </row>
    <row r="8" spans="1:5">
      <c r="A8" t="str">
        <v>Blé dur d'hiver</v>
      </c>
      <c r="B8" t="s">
        <v>7290</v>
      </c>
      <c r="C8">
        <f>SUMIFS(Tableau3[Sum Insured (€)],Tableau3[Culture],Bilan!A8,Tableau3[Franchise],15)</f>
        <v>440532.87999999995</v>
      </c>
      <c r="D8">
        <f>SUMIFS(Sinistrés!$X$7:$X$4756,Sinistrés!$O$7:$O$4756,"15%",Sinistrés!$H$7:$H$4756,'Bilan franchise 15'!A8)</f>
        <v>22454.9</v>
      </c>
      <c r="E8" s="792">
        <f>IF((D8/C8)&lt;'Bilan franchise 20'!E8,'Bilan franchise 20'!E8,(D8/C8))</f>
        <v>6.8908964719697777E-2</v>
      </c>
    </row>
    <row r="9" spans="1:5">
      <c r="A9" t="str">
        <v>Orge de printemps</v>
      </c>
      <c r="B9" t="s">
        <v>7309</v>
      </c>
      <c r="C9">
        <f>SUMIFS(Tableau3[Sum Insured (€)],Tableau3[Culture],Bilan!A9,Tableau3[Franchise],15)</f>
        <v>813902.17999999993</v>
      </c>
      <c r="D9">
        <f>SUMIFS(Sinistrés!$X$7:$X$4756,Sinistrés!$O$7:$O$4756,"15%",Sinistrés!$H$7:$H$4756,'Bilan franchise 15'!A9)</f>
        <v>80042.560000000012</v>
      </c>
      <c r="E9" s="792">
        <f>IF((D9/C9)&lt;'Bilan franchise 20'!E9,'Bilan franchise 20'!E9,(D9/C9))</f>
        <v>0.18609592726383703</v>
      </c>
    </row>
    <row r="10" spans="1:5">
      <c r="A10" t="str">
        <v>Pois protéagineux</v>
      </c>
      <c r="B10" t="s">
        <v>7311</v>
      </c>
      <c r="C10">
        <f>SUMIFS(Tableau3[Sum Insured (€)],Tableau3[Culture],Bilan!A10,Tableau3[Franchise],15)</f>
        <v>231598.96</v>
      </c>
      <c r="D10">
        <f>SUMIFS(Sinistrés!$X$7:$X$4756,Sinistrés!$O$7:$O$4756,"15%",Sinistrés!$H$7:$H$4756,'Bilan franchise 15'!A10)</f>
        <v>51352.649999999994</v>
      </c>
      <c r="E10" s="792">
        <f>IF((D10/C10)&lt;'Bilan franchise 20'!E10,'Bilan franchise 20'!E10,(D10/C10))</f>
        <v>0.22173091796267133</v>
      </c>
    </row>
    <row r="11" spans="1:5">
      <c r="A11" t="str">
        <v>Lin oléagineux</v>
      </c>
      <c r="B11" t="s">
        <v>7300</v>
      </c>
      <c r="C11">
        <f>SUMIFS(Tableau3[Sum Insured (€)],Tableau3[Culture],Bilan!A11,Tableau3[Franchise],15)</f>
        <v>93953.419999999984</v>
      </c>
      <c r="D11">
        <f>SUMIFS(Sinistrés!$X$7:$X$4756,Sinistrés!$O$7:$O$4756,"15%",Sinistrés!$H$7:$H$4756,'Bilan franchise 15'!A11)</f>
        <v>18792.7</v>
      </c>
      <c r="E11" s="792">
        <f>IF((D11/C11)&lt;'Bilan franchise 20'!E11,'Bilan franchise 20'!E11,(D11/C11))</f>
        <v>0.20002145744135769</v>
      </c>
    </row>
    <row r="12" spans="1:5">
      <c r="A12" t="str">
        <v>Avoine d'hiver</v>
      </c>
      <c r="B12" t="s">
        <v>7287</v>
      </c>
      <c r="C12">
        <f>SUMIFS(Tableau3[Sum Insured (€)],Tableau3[Culture],Bilan!A12,Tableau3[Franchise],15)</f>
        <v>156246.48000000001</v>
      </c>
      <c r="D12">
        <f>SUMIFS(Sinistrés!$X$7:$X$4756,Sinistrés!$O$7:$O$4756,"15%",Sinistrés!$H$7:$H$4756,'Bilan franchise 15'!A12)</f>
        <v>18640.48</v>
      </c>
      <c r="E12" s="792">
        <f>IF((D12/C12)&lt;'Bilan franchise 20'!E12,'Bilan franchise 20'!E12,(D12/C12))</f>
        <v>0.11930175963004093</v>
      </c>
    </row>
    <row r="13" spans="1:5">
      <c r="A13" t="str">
        <v>Triticale</v>
      </c>
      <c r="B13" t="s">
        <v>7319</v>
      </c>
      <c r="C13">
        <f>SUMIFS(Tableau3[Sum Insured (€)],Tableau3[Culture],Bilan!A13,Tableau3[Franchise],15)</f>
        <v>417580.11000000004</v>
      </c>
      <c r="D13">
        <f>SUMIFS(Sinistrés!$X$7:$X$4756,Sinistrés!$O$7:$O$4756,"15%",Sinistrés!$H$7:$H$4756,'Bilan franchise 15'!A13)</f>
        <v>27752.65</v>
      </c>
      <c r="E13" s="792">
        <f>IF((D13/C13)&lt;'Bilan franchise 20'!E13,'Bilan franchise 20'!E13,(D13/C13))</f>
        <v>0.10302925004838534</v>
      </c>
    </row>
    <row r="14" spans="1:5">
      <c r="A14" t="str">
        <v>Tournesol</v>
      </c>
      <c r="B14" t="s">
        <v>7318</v>
      </c>
      <c r="C14">
        <f>SUMIFS(Tableau3[Sum Insured (€)],Tableau3[Culture],Bilan!A14,Tableau3[Franchise],15)</f>
        <v>3454203.7600000007</v>
      </c>
      <c r="D14">
        <f>SUMIFS(Sinistrés!$X$7:$X$4756,Sinistrés!$O$7:$O$4756,"15%",Sinistrés!$H$7:$H$4756,'Bilan franchise 15'!A14)</f>
        <v>315066.10000000015</v>
      </c>
      <c r="E14" s="792">
        <f>IF((D14/C14)&lt;'Bilan franchise 20'!E14,'Bilan franchise 20'!E14,(D14/C14))</f>
        <v>0.12186949378740979</v>
      </c>
    </row>
    <row r="15" spans="1:5">
      <c r="A15" t="str">
        <v>Maïs waxy non irrigué</v>
      </c>
      <c r="B15" t="e">
        <v>#N/A</v>
      </c>
      <c r="C15">
        <f>SUMIFS(Tableau3[Sum Insured (€)],Tableau3[Culture],Bilan!A15,Tableau3[Franchise],15)</f>
        <v>247045.03999999998</v>
      </c>
      <c r="D15">
        <f>SUMIFS(Sinistrés!$X$7:$X$4756,Sinistrés!$O$7:$O$4756,"15%",Sinistrés!$H$7:$H$4756,'Bilan franchise 15'!A15)</f>
        <v>153516.04999999999</v>
      </c>
      <c r="E15" s="792">
        <f>IF((D15/C15)&lt;'Bilan franchise 20'!E15,'Bilan franchise 20'!E15,(D15/C15))</f>
        <v>0.62140915680800557</v>
      </c>
    </row>
    <row r="16" spans="1:5">
      <c r="A16" t="str">
        <v>Maïs grain non irrigué</v>
      </c>
      <c r="B16" t="s">
        <v>7305</v>
      </c>
      <c r="C16">
        <f>SUMIFS(Tableau3[Sum Insured (€)],Tableau3[Culture],Bilan!A16,Tableau3[Franchise],15)</f>
        <v>3271032.6399999997</v>
      </c>
      <c r="D16">
        <f>SUMIFS(Sinistrés!$X$7:$X$4756,Sinistrés!$O$7:$O$4756,"15%",Sinistrés!$H$7:$H$4756,'Bilan franchise 15'!A16)</f>
        <v>889652.98999999987</v>
      </c>
      <c r="E16" s="792">
        <f>IF((D16/C16)&lt;'Bilan franchise 20'!E16,'Bilan franchise 20'!E16,(D16/C16))</f>
        <v>0.27197924567331738</v>
      </c>
    </row>
    <row r="17" spans="1:5">
      <c r="A17" t="str">
        <v>Pois secs / Pois Chiches</v>
      </c>
      <c r="B17" t="s">
        <v>7312</v>
      </c>
      <c r="C17">
        <f>SUMIFS(Tableau3[Sum Insured (€)],Tableau3[Culture],Bilan!A17,Tableau3[Franchise],15)</f>
        <v>40821</v>
      </c>
      <c r="D17">
        <f>SUMIFS(Sinistrés!$X$7:$X$4756,Sinistrés!$O$7:$O$4756,"15%",Sinistrés!$H$7:$H$4756,'Bilan franchise 15'!A17)</f>
        <v>10422.959999999999</v>
      </c>
      <c r="E17" s="792">
        <f>IF((D17/C17)&lt;'Bilan franchise 20'!E17,'Bilan franchise 20'!E17,(D17/C17))</f>
        <v>0.25533328433894315</v>
      </c>
    </row>
    <row r="18" spans="1:5">
      <c r="A18" t="str">
        <v>Avoine de printemps</v>
      </c>
      <c r="B18" t="s">
        <v>7286</v>
      </c>
      <c r="C18">
        <f>SUMIFS(Tableau3[Sum Insured (€)],Tableau3[Culture],Bilan!A18,Tableau3[Franchise],15)</f>
        <v>7480.2</v>
      </c>
      <c r="D18">
        <f>SUMIFS(Sinistrés!$X$7:$X$4756,Sinistrés!$O$7:$O$4756,"15%",Sinistrés!$H$7:$H$4756,'Bilan franchise 15'!A18)</f>
        <v>788.3</v>
      </c>
      <c r="E18" s="792">
        <f>IF((D18/C18)&lt;'Bilan franchise 20'!E18,'Bilan franchise 20'!E18,(D18/C18))</f>
        <v>0.10538488275714553</v>
      </c>
    </row>
    <row r="19" spans="1:5">
      <c r="A19" t="str">
        <v>Lentilles</v>
      </c>
      <c r="B19" t="s">
        <v>7299</v>
      </c>
      <c r="C19">
        <f>SUMIFS(Tableau3[Sum Insured (€)],Tableau3[Culture],Bilan!A19,Tableau3[Franchise],15)</f>
        <v>17842.949999999997</v>
      </c>
      <c r="D19">
        <f>SUMIFS(Sinistrés!$X$7:$X$4756,Sinistrés!$O$7:$O$4756,"15%",Sinistrés!$H$7:$H$4756,'Bilan franchise 15'!A19)</f>
        <v>3701.4900000000002</v>
      </c>
      <c r="E19" s="792">
        <f>IF((D19/C19)&lt;'Bilan franchise 20'!E19,'Bilan franchise 20'!E19,(D19/C19))</f>
        <v>0.32646961670212238</v>
      </c>
    </row>
    <row r="20" spans="1:5">
      <c r="A20" t="str">
        <v>Maïs ensilage non irrigué</v>
      </c>
      <c r="B20" t="e">
        <v>#N/A</v>
      </c>
      <c r="C20">
        <f>SUMIFS(Tableau3[Sum Insured (€)],Tableau3[Culture],Bilan!A20,Tableau3[Franchise],15)</f>
        <v>692248.0199999999</v>
      </c>
      <c r="D20">
        <f>SUMIFS(Sinistrés!$X$7:$X$4756,Sinistrés!$O$7:$O$4756,"15%",Sinistrés!$H$7:$H$4756,'Bilan franchise 15'!A20)</f>
        <v>135420.45000000001</v>
      </c>
      <c r="E20" s="792">
        <f>IF((D20/C20)&lt;'Bilan franchise 20'!E20,'Bilan franchise 20'!E20,(D20/C20))</f>
        <v>0.1956241781666635</v>
      </c>
    </row>
    <row r="21" spans="1:5">
      <c r="A21" t="str">
        <v>Maïs pop corn irrigué</v>
      </c>
      <c r="B21" t="e">
        <v>#N/A</v>
      </c>
      <c r="C21">
        <f>SUMIFS(Tableau3[Sum Insured (€)],Tableau3[Culture],Bilan!A21,Tableau3[Franchise],15)</f>
        <v>151545.67000000001</v>
      </c>
      <c r="D21">
        <f>SUMIFS(Sinistrés!$X$7:$X$4756,Sinistrés!$O$7:$O$4756,"15%",Sinistrés!$H$7:$H$4756,'Bilan franchise 15'!A21)</f>
        <v>18384.45</v>
      </c>
      <c r="E21" s="792">
        <f>IF((D21/C21)&lt;'Bilan franchise 20'!E21,'Bilan franchise 20'!E21,(D21/C21))</f>
        <v>0.23144604664488702</v>
      </c>
    </row>
    <row r="22" spans="1:5">
      <c r="A22" t="str">
        <v>Maïs grain irrigué</v>
      </c>
      <c r="B22" t="s">
        <v>7304</v>
      </c>
      <c r="C22">
        <f>SUMIFS(Tableau3[Sum Insured (€)],Tableau3[Culture],Bilan!A22,Tableau3[Franchise],15)</f>
        <v>2072957.48</v>
      </c>
      <c r="D22">
        <f>SUMIFS(Sinistrés!$X$7:$X$4756,Sinistrés!$O$7:$O$4756,"15%",Sinistrés!$H$7:$H$4756,'Bilan franchise 15'!A22)</f>
        <v>298293.54000000004</v>
      </c>
      <c r="E22" s="792">
        <f>IF((D22/C22)&lt;'Bilan franchise 20'!E22,'Bilan franchise 20'!E22,(D22/C22))</f>
        <v>0.14389756802922946</v>
      </c>
    </row>
    <row r="23" spans="1:5">
      <c r="A23" t="str">
        <v>Maïs ensilage irrigué</v>
      </c>
      <c r="B23" t="e">
        <v>#N/A</v>
      </c>
      <c r="C23">
        <f>SUMIFS(Tableau3[Sum Insured (€)],Tableau3[Culture],Bilan!A23,Tableau3[Franchise],15)</f>
        <v>168864.36</v>
      </c>
      <c r="D23">
        <f>SUMIFS(Sinistrés!$X$7:$X$4756,Sinistrés!$O$7:$O$4756,"15%",Sinistrés!$H$7:$H$4756,'Bilan franchise 15'!A23)</f>
        <v>44851.13</v>
      </c>
      <c r="E23" s="792">
        <f>IF((D23/C23)&lt;'Bilan franchise 20'!E23,'Bilan franchise 20'!E23,(D23/C23))</f>
        <v>0.26560447687125927</v>
      </c>
    </row>
    <row r="24" spans="1:5">
      <c r="A24" t="str">
        <v>Soja</v>
      </c>
      <c r="B24" t="s">
        <v>7316</v>
      </c>
      <c r="C24">
        <f>SUMIFS(Tableau3[Sum Insured (€)],Tableau3[Culture],Bilan!A24,Tableau3[Franchise],15)</f>
        <v>559820.50999999978</v>
      </c>
      <c r="D24">
        <f>SUMIFS(Sinistrés!$X$7:$X$4756,Sinistrés!$O$7:$O$4756,"15%",Sinistrés!$H$7:$H$4756,'Bilan franchise 15'!A24)</f>
        <v>172241.17</v>
      </c>
      <c r="E24" s="792">
        <f>IF((D24/C24)&lt;'Bilan franchise 20'!E24,'Bilan franchise 20'!E24,(D24/C24))</f>
        <v>0.30767213226968065</v>
      </c>
    </row>
    <row r="25" spans="1:5">
      <c r="A25" t="str">
        <v>Quinoa</v>
      </c>
      <c r="B25" t="e">
        <v>#N/A</v>
      </c>
      <c r="C25">
        <f>SUMIFS(Tableau3[Sum Insured (€)],Tableau3[Culture],Bilan!A25,Tableau3[Franchise],15)</f>
        <v>0</v>
      </c>
      <c r="D25">
        <f>SUMIFS(Sinistrés!$X$7:$X$4756,Sinistrés!$O$7:$O$4756,"15%",Sinistrés!$H$7:$H$4756,'Bilan franchise 15'!A25)</f>
        <v>0</v>
      </c>
      <c r="E25">
        <v>0</v>
      </c>
    </row>
    <row r="26" spans="1:5">
      <c r="A26" t="str">
        <v>Colza de printemps</v>
      </c>
      <c r="B26" t="s">
        <v>7294</v>
      </c>
      <c r="C26">
        <f>SUMIFS(Tableau3[Sum Insured (€)],Tableau3[Culture],Bilan!A26,Tableau3[Franchise],15)</f>
        <v>0</v>
      </c>
      <c r="D26">
        <f>SUMIFS(Sinistrés!$X$7:$X$4756,Sinistrés!$O$7:$O$4756,"15%",Sinistrés!$H$7:$H$4756,'Bilan franchise 15'!A26)</f>
        <v>0</v>
      </c>
      <c r="E26">
        <v>0</v>
      </c>
    </row>
    <row r="27" spans="1:5">
      <c r="A27" t="str">
        <v>Oeillette</v>
      </c>
      <c r="B27" t="e">
        <v>#N/A</v>
      </c>
      <c r="C27">
        <f>SUMIFS(Tableau3[Sum Insured (€)],Tableau3[Culture],Bilan!A27,Tableau3[Franchise],15)</f>
        <v>0</v>
      </c>
      <c r="D27">
        <f>SUMIFS(Sinistrés!$X$7:$X$4756,Sinistrés!$O$7:$O$4756,"15%",Sinistrés!$H$7:$H$4756,'Bilan franchise 15'!A27)</f>
        <v>0</v>
      </c>
      <c r="E27">
        <v>0</v>
      </c>
    </row>
    <row r="28" spans="1:5">
      <c r="A28" t="str">
        <v>Sorgho</v>
      </c>
      <c r="B28" t="s">
        <v>7317</v>
      </c>
      <c r="C28">
        <f>SUMIFS(Tableau3[Sum Insured (€)],Tableau3[Culture],Bilan!A28,Tableau3[Franchise],15)</f>
        <v>177612.76000000004</v>
      </c>
      <c r="D28">
        <f>SUMIFS(Sinistrés!$X$7:$X$4756,Sinistrés!$O$7:$O$4756,"15%",Sinistrés!$H$7:$H$4756,'Bilan franchise 15'!A28)</f>
        <v>41775.25</v>
      </c>
      <c r="E28">
        <v>0</v>
      </c>
    </row>
    <row r="29" spans="1:5">
      <c r="A29" t="str">
        <v>Blé dur de printemps</v>
      </c>
      <c r="B29" t="s">
        <v>7289</v>
      </c>
      <c r="C29">
        <f>SUMIFS(Tableau3[Sum Insured (€)],Tableau3[Culture],Bilan!A29,Tableau3[Franchise],15)</f>
        <v>0</v>
      </c>
      <c r="D29">
        <f>SUMIFS(Sinistrés!$X$7:$X$4756,Sinistrés!$O$7:$O$4756,"15%",Sinistrés!$H$7:$H$4756,'Bilan franchise 15'!A29)</f>
        <v>0</v>
      </c>
      <c r="E29">
        <v>0</v>
      </c>
    </row>
    <row r="30" spans="1:5">
      <c r="A30" t="str">
        <v>Blé tendre de printemps</v>
      </c>
      <c r="B30" t="s">
        <v>7291</v>
      </c>
      <c r="C30">
        <f>SUMIFS(Tableau3[Sum Insured (€)],Tableau3[Culture],Bilan!A30,Tableau3[Franchise],15)</f>
        <v>20951.78</v>
      </c>
      <c r="D30">
        <f>SUMIFS(Sinistrés!$X$7:$X$4756,Sinistrés!$O$7:$O$4756,"15%",Sinistrés!$H$7:$H$4756,'Bilan franchise 15'!A30)</f>
        <v>5391.83</v>
      </c>
      <c r="E30" s="792">
        <f>IF((D30/C30)&lt;'Bilan franchise 20'!E30,'Bilan franchise 20'!E30,(D30/C30))</f>
        <v>0.25734472202361808</v>
      </c>
    </row>
    <row r="31" spans="1:5">
      <c r="A31" t="str">
        <v>Lin textile</v>
      </c>
      <c r="B31" t="s">
        <v>7301</v>
      </c>
      <c r="C31">
        <f>SUMIFS(Tableau3[Sum Insured (€)],Tableau3[Culture],Bilan!A31,Tableau3[Franchise],15)</f>
        <v>88332.76</v>
      </c>
      <c r="D31">
        <f>SUMIFS(Sinistrés!$X$7:$X$4756,Sinistrés!$O$7:$O$4756,"15%",Sinistrés!$H$7:$H$4756,'Bilan franchise 15'!A31)</f>
        <v>0</v>
      </c>
      <c r="E31" s="792">
        <f>IF((D31/C31)&lt;'Bilan franchise 20'!E31,'Bilan franchise 20'!E31,(D31/C31))</f>
        <v>0.13596022233981128</v>
      </c>
    </row>
    <row r="32" spans="1:5">
      <c r="A32" t="str">
        <v>Maïs doux non irrigué</v>
      </c>
      <c r="B32" t="e">
        <v>#N/A</v>
      </c>
      <c r="C32">
        <f>SUMIFS(Tableau3[Sum Insured (€)],Tableau3[Culture],Bilan!A32,Tableau3[Franchise],15)</f>
        <v>0</v>
      </c>
      <c r="D32">
        <f>SUMIFS(Sinistrés!$X$7:$X$4756,Sinistrés!$O$7:$O$4756,"15%",Sinistrés!$H$7:$H$4756,'Bilan franchise 15'!A32)</f>
        <v>0</v>
      </c>
      <c r="E32">
        <v>0</v>
      </c>
    </row>
    <row r="33" spans="1:5">
      <c r="A33" t="str">
        <v>Chanvre</v>
      </c>
      <c r="B33" t="s">
        <v>7293</v>
      </c>
      <c r="C33">
        <f>SUMIFS(Tableau3[Sum Insured (€)],Tableau3[Culture],Bilan!A33,Tableau3[Franchise],15)</f>
        <v>24673.9</v>
      </c>
      <c r="D33">
        <f>SUMIFS(Sinistrés!$X$7:$X$4756,Sinistrés!$O$7:$O$4756,"15%",Sinistrés!$H$7:$H$4756,'Bilan franchise 15'!A33)</f>
        <v>9665.9599999999991</v>
      </c>
      <c r="E33" s="792">
        <f>IF((D33/C33)&lt;'Bilan franchise 20'!E33,'Bilan franchise 20'!E33,(D33/C33))</f>
        <v>0.39174836568195537</v>
      </c>
    </row>
    <row r="34" spans="1:5">
      <c r="A34" t="str">
        <v>Maïs waxy irrigué</v>
      </c>
      <c r="B34" t="e">
        <v>#N/A</v>
      </c>
      <c r="C34">
        <f>SUMIFS(Tableau3[Sum Insured (€)],Tableau3[Culture],Bilan!A34,Tableau3[Franchise],15)</f>
        <v>258483.53999999998</v>
      </c>
      <c r="D34">
        <f>SUMIFS(Sinistrés!$X$7:$X$4756,Sinistrés!$O$7:$O$4756,"15%",Sinistrés!$H$7:$H$4756,'Bilan franchise 15'!A34)</f>
        <v>31707.780000000002</v>
      </c>
      <c r="E34" s="792">
        <f>IF((D34/C34)&lt;'Bilan franchise 20'!E34,'Bilan franchise 20'!E34,(D34/C34))</f>
        <v>0.12266846856089948</v>
      </c>
    </row>
    <row r="35" spans="1:5">
      <c r="A35" t="str">
        <v>Soja SEMENCES</v>
      </c>
      <c r="B35" t="e">
        <v>#N/A</v>
      </c>
      <c r="C35">
        <f>SUMIFS(Tableau3[Sum Insured (€)],Tableau3[Culture],Bilan!A35,Tableau3[Franchise],15)</f>
        <v>0</v>
      </c>
      <c r="D35">
        <f>SUMIFS(Sinistrés!$X$7:$X$4756,Sinistrés!$O$7:$O$4756,"15%",Sinistrés!$H$7:$H$4756,'Bilan franchise 15'!A35)</f>
        <v>0</v>
      </c>
      <c r="E35">
        <v>0</v>
      </c>
    </row>
    <row r="36" spans="1:5">
      <c r="A36" t="str">
        <v>Pommes de terre</v>
      </c>
      <c r="B36" t="s">
        <v>7313</v>
      </c>
      <c r="C36">
        <f>SUMIFS(Tableau3[Sum Insured (€)],Tableau3[Culture],Bilan!A36,Tableau3[Franchise],15)</f>
        <v>0</v>
      </c>
      <c r="D36">
        <f>SUMIFS(Sinistrés!$X$7:$X$4756,Sinistrés!$O$7:$O$4756,"15%",Sinistrés!$H$7:$H$4756,'Bilan franchise 15'!A36)</f>
        <v>0</v>
      </c>
      <c r="E36">
        <v>0</v>
      </c>
    </row>
    <row r="37" spans="1:5">
      <c r="A37" t="str">
        <v>Pommes de terre de féculerie</v>
      </c>
      <c r="B37" t="s">
        <v>7314</v>
      </c>
      <c r="C37">
        <f>SUMIFS(Tableau3[Sum Insured (€)],Tableau3[Culture],Bilan!A37,Tableau3[Franchise],15)</f>
        <v>0</v>
      </c>
      <c r="D37">
        <f>SUMIFS(Sinistrés!$X$7:$X$4756,Sinistrés!$O$7:$O$4756,"15%",Sinistrés!$H$7:$H$4756,'Bilan franchise 15'!A37)</f>
        <v>0</v>
      </c>
      <c r="E37">
        <v>0</v>
      </c>
    </row>
    <row r="38" spans="1:5">
      <c r="A38" t="str">
        <v>Maïs non irrigué</v>
      </c>
      <c r="B38" t="e">
        <v>#N/A</v>
      </c>
      <c r="C38">
        <f>SUMIFS(Tableau3[Sum Insured (€)],Tableau3[Culture],Bilan!A38,Tableau3[Franchise],15)</f>
        <v>0</v>
      </c>
      <c r="D38">
        <f>SUMIFS(Sinistrés!$X$7:$X$4756,Sinistrés!$O$7:$O$4756,"15%",Sinistrés!$H$7:$H$4756,'Bilan franchise 15'!A38)</f>
        <v>0</v>
      </c>
      <c r="E3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2F54B-DB04-DB44-AB04-407402A14FE5}">
  <dimension ref="A1:F38"/>
  <sheetViews>
    <sheetView workbookViewId="0">
      <selection activeCell="E2" sqref="E2"/>
    </sheetView>
  </sheetViews>
  <sheetFormatPr baseColWidth="10" defaultRowHeight="15"/>
  <cols>
    <col min="1" max="1" width="23.6640625" bestFit="1" customWidth="1"/>
    <col min="2" max="2" width="23.6640625" customWidth="1"/>
    <col min="3" max="3" width="13" bestFit="1" customWidth="1"/>
    <col min="4" max="4" width="15.83203125" bestFit="1" customWidth="1"/>
  </cols>
  <sheetData>
    <row r="1" spans="1:6">
      <c r="A1" t="s">
        <v>3971</v>
      </c>
      <c r="B1" t="s">
        <v>7285</v>
      </c>
      <c r="C1" t="s">
        <v>3972</v>
      </c>
      <c r="D1" t="s">
        <v>3973</v>
      </c>
      <c r="E1" t="s">
        <v>7284</v>
      </c>
    </row>
    <row r="2" spans="1:6">
      <c r="A2" t="str" cm="1">
        <f t="array" ref="A2:A38">_xlfn.UNIQUE('Rapport filtré'!A2:A1583)</f>
        <v>Colza d'hiver</v>
      </c>
      <c r="B2" t="s">
        <v>7295</v>
      </c>
      <c r="C2">
        <f>SUMIFS(Tableau3[Sum Insured (€)],Tableau3[Culture],Bilan!A2,Tableau3[Franchise],20)</f>
        <v>4683781.0799999982</v>
      </c>
      <c r="D2">
        <f>SUMIFS(Sinistrés!$X$7:$X$4756,Sinistrés!$O$7:$O$4756,"20%",Sinistrés!$H$7:$H$4756,'Bilan franchise 15'!A2)</f>
        <v>242547.41</v>
      </c>
      <c r="E2" s="792">
        <f>IF((D2/C2)&lt;'Bilan franchise 25'!E2,'Bilan franchise 25'!E2,(D2/C2))</f>
        <v>7.3385371263956917E-2</v>
      </c>
      <c r="F2" s="792"/>
    </row>
    <row r="3" spans="1:6">
      <c r="A3" t="str">
        <v>Blé tendre d'hiver</v>
      </c>
      <c r="B3" t="s">
        <v>7292</v>
      </c>
      <c r="C3">
        <f>SUMIFS(Tableau3[Sum Insured (€)],Tableau3[Culture],Bilan!A3,Tableau3[Franchise],20)</f>
        <v>12524436.959999997</v>
      </c>
      <c r="D3">
        <f>SUMIFS(Sinistrés!$X$7:$X$4756,Sinistrés!$O$7:$O$4756,"20%",Sinistrés!$H$7:$H$4756,'Bilan franchise 15'!A3)</f>
        <v>436334.66000000003</v>
      </c>
      <c r="E3" s="792">
        <f>IF((D3/C3)&lt;'Bilan franchise 25'!E3,'Bilan franchise 25'!E3,(D3/C3))</f>
        <v>3.4838664715511503E-2</v>
      </c>
      <c r="F3" s="792"/>
    </row>
    <row r="4" spans="1:6">
      <c r="A4" t="str">
        <v>Blé de force</v>
      </c>
      <c r="B4" t="e">
        <v>#N/A</v>
      </c>
      <c r="C4">
        <f>SUMIFS(Tableau3[Sum Insured (€)],Tableau3[Culture],Bilan!A4,Tableau3[Franchise],20)</f>
        <v>764841.30999999994</v>
      </c>
      <c r="D4">
        <f>SUMIFS(Sinistrés!$X$7:$X$4756,Sinistrés!$O$7:$O$4756,"20%",Sinistrés!$H$7:$H$4756,'Bilan franchise 15'!A4)</f>
        <v>39572.590000000004</v>
      </c>
      <c r="E4" s="792">
        <f>IF((D4/C4)&lt;'Bilan franchise 25'!E4,'Bilan franchise 25'!E4,(D4/C4))</f>
        <v>0.11071539737185165</v>
      </c>
      <c r="F4" s="792"/>
    </row>
    <row r="5" spans="1:6">
      <c r="A5" t="str">
        <v>Féveroles et fèves</v>
      </c>
      <c r="B5" t="s">
        <v>7296</v>
      </c>
      <c r="C5">
        <f>SUMIFS(Tableau3[Sum Insured (€)],Tableau3[Culture],Bilan!A5,Tableau3[Franchise],20)</f>
        <v>70735.710000000006</v>
      </c>
      <c r="D5">
        <f>SUMIFS(Sinistrés!$X$7:$X$4756,Sinistrés!$O$7:$O$4756,"20%",Sinistrés!$H$7:$H$4756,'Bilan franchise 15'!A5)</f>
        <v>16812.82</v>
      </c>
      <c r="E5" s="792">
        <f>IF((D5/C5)&lt;'Bilan franchise 25'!E5,'Bilan franchise 25'!E5,(D5/C5))</f>
        <v>0.30447770358631732</v>
      </c>
      <c r="F5" s="792"/>
    </row>
    <row r="6" spans="1:6">
      <c r="A6" t="str">
        <v>Orge d'hiver</v>
      </c>
      <c r="B6" t="s">
        <v>7310</v>
      </c>
      <c r="C6">
        <f>SUMIFS(Tableau3[Sum Insured (€)],Tableau3[Culture],Bilan!A6,Tableau3[Franchise],20)</f>
        <v>3381444.7299999995</v>
      </c>
      <c r="D6">
        <f>SUMIFS(Sinistrés!$X$7:$X$4756,Sinistrés!$O$7:$O$4756,"20%",Sinistrés!$H$7:$H$4756,'Bilan franchise 15'!A6)</f>
        <v>91482.53</v>
      </c>
      <c r="E6" s="792">
        <f>IF((D6/C6)&lt;'Bilan franchise 25'!E6,'Bilan franchise 25'!E6,(D6/C6))</f>
        <v>3.2941868405717424E-2</v>
      </c>
      <c r="F6" s="792"/>
    </row>
    <row r="7" spans="1:6">
      <c r="A7" t="str">
        <v>Seigle et méteil</v>
      </c>
      <c r="B7" t="s">
        <v>7315</v>
      </c>
      <c r="C7">
        <f>SUMIFS(Tableau3[Sum Insured (€)],Tableau3[Culture],Bilan!A7,Tableau3[Franchise],20)</f>
        <v>30485.920000000002</v>
      </c>
      <c r="D7">
        <f>SUMIFS(Sinistrés!$X$7:$X$4756,Sinistrés!$O$7:$O$4756,"20%",Sinistrés!$H$7:$H$4756,'Bilan franchise 15'!A7)</f>
        <v>5218.2000000000007</v>
      </c>
      <c r="E7" s="792">
        <f>IF((D7/C7)&lt;'Bilan franchise 25'!E7,'Bilan franchise 25'!E7,(D7/C7))</f>
        <v>0.17116754226213282</v>
      </c>
      <c r="F7" s="792"/>
    </row>
    <row r="8" spans="1:6">
      <c r="A8" t="str">
        <v>Blé dur d'hiver</v>
      </c>
      <c r="B8" t="s">
        <v>7290</v>
      </c>
      <c r="C8">
        <f>SUMIFS(Tableau3[Sum Insured (€)],Tableau3[Culture],Bilan!A8,Tableau3[Franchise],20)</f>
        <v>581924.72</v>
      </c>
      <c r="D8">
        <f>SUMIFS(Sinistrés!$X$7:$X$4756,Sinistrés!$O$7:$O$4756,"20%",Sinistrés!$H$7:$H$4756,'Bilan franchise 15'!A8)</f>
        <v>40099.83</v>
      </c>
      <c r="E8" s="792">
        <f>IF((D8/C8)&lt;'Bilan franchise 25'!E8,'Bilan franchise 25'!E8,(D8/C8))</f>
        <v>6.8908964719697777E-2</v>
      </c>
      <c r="F8" s="792"/>
    </row>
    <row r="9" spans="1:6">
      <c r="A9" t="str">
        <v>Orge de printemps</v>
      </c>
      <c r="B9" t="s">
        <v>7309</v>
      </c>
      <c r="C9">
        <f>SUMIFS(Tableau3[Sum Insured (€)],Tableau3[Culture],Bilan!A9,Tableau3[Franchise],20)</f>
        <v>2233705.9499999997</v>
      </c>
      <c r="D9">
        <f>SUMIFS(Sinistrés!$X$7:$X$4756,Sinistrés!$O$7:$O$4756,"20%",Sinistrés!$H$7:$H$4756,'Bilan franchise 15'!A9)</f>
        <v>415683.57999999996</v>
      </c>
      <c r="E9" s="792">
        <f>IF((D9/C9)&lt;'Bilan franchise 25'!E9,'Bilan franchise 25'!E9,(D9/C9))</f>
        <v>0.18609592726383703</v>
      </c>
      <c r="F9" s="792"/>
    </row>
    <row r="10" spans="1:6">
      <c r="A10" t="str">
        <v>Pois protéagineux</v>
      </c>
      <c r="B10" t="s">
        <v>7311</v>
      </c>
      <c r="C10">
        <f>SUMIFS(Tableau3[Sum Insured (€)],Tableau3[Culture],Bilan!A10,Tableau3[Franchise],20)</f>
        <v>471873.58000000007</v>
      </c>
      <c r="D10">
        <f>SUMIFS(Sinistrés!$X$7:$X$4756,Sinistrés!$O$7:$O$4756,"20%",Sinistrés!$H$7:$H$4756,'Bilan franchise 15'!A10)</f>
        <v>19118.440000000002</v>
      </c>
      <c r="E10" s="792">
        <f>IF((D10/C10)&lt;'Bilan franchise 25'!E10,'Bilan franchise 25'!E10,(D10/C10))</f>
        <v>8.5108970382264781E-2</v>
      </c>
      <c r="F10" s="792"/>
    </row>
    <row r="11" spans="1:6">
      <c r="A11" t="str">
        <v>Lin oléagineux</v>
      </c>
      <c r="B11" t="s">
        <v>7300</v>
      </c>
      <c r="C11">
        <f>SUMIFS(Tableau3[Sum Insured (€)],Tableau3[Culture],Bilan!A11,Tableau3[Franchise],20)</f>
        <v>100000.75</v>
      </c>
      <c r="D11">
        <f>SUMIFS(Sinistrés!$X$7:$X$4756,Sinistrés!$O$7:$O$4756,"20%",Sinistrés!$H$7:$H$4756,'Bilan franchise 15'!A11)</f>
        <v>2725.24</v>
      </c>
      <c r="E11" s="792">
        <f>IF((D11/C11)&lt;'Bilan franchise 25'!E11,'Bilan franchise 25'!E11,(D11/C11))</f>
        <v>0.10215542410828604</v>
      </c>
      <c r="F11" s="792"/>
    </row>
    <row r="12" spans="1:6">
      <c r="A12" t="str">
        <v>Avoine d'hiver</v>
      </c>
      <c r="B12" t="s">
        <v>7287</v>
      </c>
      <c r="C12">
        <f>SUMIFS(Tableau3[Sum Insured (€)],Tableau3[Culture],Bilan!A12,Tableau3[Franchise],20)</f>
        <v>133505.29999999999</v>
      </c>
      <c r="D12">
        <f>SUMIFS(Sinistrés!$X$7:$X$4756,Sinistrés!$O$7:$O$4756,"20%",Sinistrés!$H$7:$H$4756,'Bilan franchise 15'!A12)</f>
        <v>10976.19</v>
      </c>
      <c r="E12" s="792">
        <f>IF((D12/C12)&lt;'Bilan franchise 25'!E12,'Bilan franchise 25'!E12,(D12/C12))</f>
        <v>0.1098987835632667</v>
      </c>
      <c r="F12" s="792"/>
    </row>
    <row r="13" spans="1:6">
      <c r="A13" t="str">
        <v>Triticale</v>
      </c>
      <c r="B13" t="s">
        <v>7319</v>
      </c>
      <c r="C13">
        <f>SUMIFS(Tableau3[Sum Insured (€)],Tableau3[Culture],Bilan!A13,Tableau3[Franchise],20)</f>
        <v>512138.64</v>
      </c>
      <c r="D13">
        <f>SUMIFS(Sinistrés!$X$7:$X$4756,Sinistrés!$O$7:$O$4756,"20%",Sinistrés!$H$7:$H$4756,'Bilan franchise 15'!A13)</f>
        <v>52765.26</v>
      </c>
      <c r="E13" s="792">
        <f>IF((D13/C13)&lt;'Bilan franchise 25'!E13,'Bilan franchise 25'!E13,(D13/C13))</f>
        <v>0.10302925004838534</v>
      </c>
      <c r="F13" s="792"/>
    </row>
    <row r="14" spans="1:6">
      <c r="A14" t="str">
        <v>Tournesol</v>
      </c>
      <c r="B14" t="s">
        <v>7318</v>
      </c>
      <c r="C14">
        <f>SUMIFS(Tableau3[Sum Insured (€)],Tableau3[Culture],Bilan!A14,Tableau3[Franchise],20)</f>
        <v>4183253.709999999</v>
      </c>
      <c r="D14">
        <f>SUMIFS(Sinistrés!$X$7:$X$4756,Sinistrés!$O$7:$O$4756,"20%",Sinistrés!$H$7:$H$4756,'Bilan franchise 15'!A14)</f>
        <v>314665.33999999997</v>
      </c>
      <c r="E14" s="792">
        <f>IF((D14/C14)&lt;'Bilan franchise 25'!E14,'Bilan franchise 25'!E14,(D14/C14))</f>
        <v>0.12186949378740979</v>
      </c>
      <c r="F14" s="792"/>
    </row>
    <row r="15" spans="1:6">
      <c r="A15" t="str">
        <v>Maïs waxy non irrigué</v>
      </c>
      <c r="B15" t="e">
        <v>#N/A</v>
      </c>
      <c r="C15">
        <f>SUMIFS(Tableau3[Sum Insured (€)],Tableau3[Culture],Bilan!A15,Tableau3[Franchise],20)</f>
        <v>166129.24</v>
      </c>
      <c r="D15">
        <f>SUMIFS(Sinistrés!$X$7:$X$4756,Sinistrés!$O$7:$O$4756,"20%",Sinistrés!$H$7:$H$4756,'Bilan franchise 15'!A15)</f>
        <v>65231.03</v>
      </c>
      <c r="E15" s="792">
        <f>IF((D15/C15)&lt;'Bilan franchise 25'!E15,'Bilan franchise 25'!E15,(D15/C15))</f>
        <v>0.39265231093575098</v>
      </c>
      <c r="F15" s="792"/>
    </row>
    <row r="16" spans="1:6">
      <c r="A16" t="str">
        <v>Maïs grain non irrigué</v>
      </c>
      <c r="B16" t="s">
        <v>7305</v>
      </c>
      <c r="C16">
        <f>SUMIFS(Tableau3[Sum Insured (€)],Tableau3[Culture],Bilan!A16,Tableau3[Franchise],20)</f>
        <v>3578611.3999999985</v>
      </c>
      <c r="D16">
        <f>SUMIFS(Sinistrés!$X$7:$X$4756,Sinistrés!$O$7:$O$4756,"20%",Sinistrés!$H$7:$H$4756,'Bilan franchise 15'!A16)</f>
        <v>873588.34999999986</v>
      </c>
      <c r="E16" s="792">
        <f>IF((D16/C16)&lt;'Bilan franchise 25'!E16,'Bilan franchise 25'!E16,(D16/C16))</f>
        <v>0.24411377832194919</v>
      </c>
      <c r="F16" s="792"/>
    </row>
    <row r="17" spans="1:6">
      <c r="A17" t="str">
        <v>Pois secs / Pois Chiches</v>
      </c>
      <c r="B17" t="s">
        <v>7312</v>
      </c>
      <c r="C17">
        <f>SUMIFS(Tableau3[Sum Insured (€)],Tableau3[Culture],Bilan!A17,Tableau3[Franchise],20)</f>
        <v>860</v>
      </c>
      <c r="D17">
        <f>SUMIFS(Sinistrés!$X$7:$X$4756,Sinistrés!$O$7:$O$4756,"20%",Sinistrés!$H$7:$H$4756,'Bilan franchise 15'!A17)</f>
        <v>0</v>
      </c>
      <c r="E17" s="792">
        <f>IF((D17/C17)&lt;'Bilan franchise 25'!E17,'Bilan franchise 25'!E17,(D17/C17))</f>
        <v>1.263141608035564E-2</v>
      </c>
      <c r="F17" s="792"/>
    </row>
    <row r="18" spans="1:6">
      <c r="A18" t="str">
        <v>Avoine de printemps</v>
      </c>
      <c r="B18" t="s">
        <v>7286</v>
      </c>
      <c r="C18">
        <f>SUMIFS(Tableau3[Sum Insured (€)],Tableau3[Culture],Bilan!A18,Tableau3[Franchise],20)</f>
        <v>13814.58</v>
      </c>
      <c r="D18">
        <f>SUMIFS(Sinistrés!$X$7:$X$4756,Sinistrés!$O$7:$O$4756,"20%",Sinistrés!$H$7:$H$4756,'Bilan franchise 15'!A18)</f>
        <v>307.58</v>
      </c>
      <c r="E18" s="792">
        <f>IF((D18/C18)&lt;'Bilan franchise 25'!E18,'Bilan franchise 25'!E18,(D18/C18))</f>
        <v>9.6186136461750227E-2</v>
      </c>
      <c r="F18" s="792"/>
    </row>
    <row r="19" spans="1:6">
      <c r="A19" t="str">
        <v>Lentilles</v>
      </c>
      <c r="B19" t="s">
        <v>7299</v>
      </c>
      <c r="C19">
        <f>SUMIFS(Tableau3[Sum Insured (€)],Tableau3[Culture],Bilan!A19,Tableau3[Franchise],20)</f>
        <v>15344.01</v>
      </c>
      <c r="D19">
        <f>SUMIFS(Sinistrés!$X$7:$X$4756,Sinistrés!$O$7:$O$4756,"20%",Sinistrés!$H$7:$H$4756,'Bilan franchise 15'!A19)</f>
        <v>0</v>
      </c>
      <c r="E19" s="792">
        <f>IF((D19/C19)&lt;'Bilan franchise 25'!E19,'Bilan franchise 25'!E19,(D19/C19))</f>
        <v>0.32646961670212238</v>
      </c>
      <c r="F19" s="792"/>
    </row>
    <row r="20" spans="1:6">
      <c r="A20" t="str">
        <v>Maïs ensilage non irrigué</v>
      </c>
      <c r="B20" t="e">
        <v>#N/A</v>
      </c>
      <c r="C20">
        <f>SUMIFS(Tableau3[Sum Insured (€)],Tableau3[Culture],Bilan!A20,Tableau3[Franchise],20)</f>
        <v>1459019.87</v>
      </c>
      <c r="D20">
        <f>SUMIFS(Sinistrés!$X$7:$X$4756,Sinistrés!$O$7:$O$4756,"20%",Sinistrés!$H$7:$H$4756,'Bilan franchise 15'!A20)</f>
        <v>221249.58000000002</v>
      </c>
      <c r="E20" s="792">
        <f>IF((D20/C20)&lt;'Bilan franchise 25'!E20,'Bilan franchise 25'!E20,(D20/C20))</f>
        <v>0.15164260922642542</v>
      </c>
      <c r="F20" s="792"/>
    </row>
    <row r="21" spans="1:6">
      <c r="A21" t="str">
        <v>Maïs pop corn irrigué</v>
      </c>
      <c r="B21" t="e">
        <v>#N/A</v>
      </c>
      <c r="C21">
        <f>SUMIFS(Tableau3[Sum Insured (€)],Tableau3[Culture],Bilan!A21,Tableau3[Franchise],20)</f>
        <v>228523.02</v>
      </c>
      <c r="D21">
        <f>SUMIFS(Sinistrés!$X$7:$X$4756,Sinistrés!$O$7:$O$4756,"20%",Sinistrés!$H$7:$H$4756,'Bilan franchise 15'!A21)</f>
        <v>11327.57</v>
      </c>
      <c r="E21" s="792">
        <f>IF((D21/C21)&lt;'Bilan franchise 25'!E21,'Bilan franchise 25'!E21,(D21/C21))</f>
        <v>0.23144604664488702</v>
      </c>
      <c r="F21" s="792"/>
    </row>
    <row r="22" spans="1:6">
      <c r="A22" t="str">
        <v>Maïs grain irrigué</v>
      </c>
      <c r="B22" t="s">
        <v>7304</v>
      </c>
      <c r="C22">
        <f>SUMIFS(Tableau3[Sum Insured (€)],Tableau3[Culture],Bilan!A22,Tableau3[Franchise],20)</f>
        <v>2419168.4099999997</v>
      </c>
      <c r="D22">
        <f>SUMIFS(Sinistrés!$X$7:$X$4756,Sinistrés!$O$7:$O$4756,"20%",Sinistrés!$H$7:$H$4756,'Bilan franchise 15'!A22)</f>
        <v>124730.74000000002</v>
      </c>
      <c r="E22" s="792">
        <f>IF((D22/C22)&lt;'Bilan franchise 25'!E22,'Bilan franchise 25'!E22,(D22/C22))</f>
        <v>0.10700119410783597</v>
      </c>
      <c r="F22" s="792"/>
    </row>
    <row r="23" spans="1:6">
      <c r="A23" t="str">
        <v>Maïs ensilage irrigué</v>
      </c>
      <c r="B23" t="e">
        <v>#N/A</v>
      </c>
      <c r="C23">
        <f>SUMIFS(Tableau3[Sum Insured (€)],Tableau3[Culture],Bilan!A23,Tableau3[Franchise],20)</f>
        <v>296890.81</v>
      </c>
      <c r="D23">
        <f>SUMIFS(Sinistrés!$X$7:$X$4756,Sinistrés!$O$7:$O$4756,"20%",Sinistrés!$H$7:$H$4756,'Bilan franchise 15'!A23)</f>
        <v>47610.13</v>
      </c>
      <c r="E23" s="792">
        <f>IF((D23/C23)&lt;'Bilan franchise 25'!E23,'Bilan franchise 25'!E23,(D23/C23))</f>
        <v>0.16036242415182875</v>
      </c>
      <c r="F23" s="792"/>
    </row>
    <row r="24" spans="1:6">
      <c r="A24" t="str">
        <v>Soja</v>
      </c>
      <c r="B24" t="s">
        <v>7316</v>
      </c>
      <c r="C24">
        <f>SUMIFS(Tableau3[Sum Insured (€)],Tableau3[Culture],Bilan!A24,Tableau3[Franchise],20)</f>
        <v>1104015.97</v>
      </c>
      <c r="D24">
        <f>SUMIFS(Sinistrés!$X$7:$X$4756,Sinistrés!$O$7:$O$4756,"20%",Sinistrés!$H$7:$H$4756,'Bilan franchise 15'!A24)</f>
        <v>216897.97999999998</v>
      </c>
      <c r="E24" s="792">
        <f>IF((D24/C24)&lt;'Bilan franchise 25'!E24,'Bilan franchise 25'!E24,(D24/C24))</f>
        <v>0.19646271964707177</v>
      </c>
      <c r="F24" s="792"/>
    </row>
    <row r="25" spans="1:6">
      <c r="A25" t="str">
        <v>Quinoa</v>
      </c>
      <c r="B25" t="e">
        <v>#N/A</v>
      </c>
      <c r="C25">
        <f>SUMIFS(Tableau3[Sum Insured (€)],Tableau3[Culture],Bilan!A25,Tableau3[Franchise],20)</f>
        <v>14946</v>
      </c>
      <c r="D25">
        <f>SUMIFS(Sinistrés!$X$7:$X$4756,Sinistrés!$O$7:$O$4756,"20%",Sinistrés!$H$7:$H$4756,'Bilan franchise 15'!A25)</f>
        <v>5702.8</v>
      </c>
      <c r="E25" s="792">
        <f>IF((D25/C25)&lt;'Bilan franchise 25'!E25,'Bilan franchise 25'!E25,(D25/C25))</f>
        <v>0.38156028368794326</v>
      </c>
      <c r="F25" s="792"/>
    </row>
    <row r="26" spans="1:6">
      <c r="A26" t="str">
        <v>Colza de printemps</v>
      </c>
      <c r="B26" t="s">
        <v>7294</v>
      </c>
      <c r="C26">
        <f>SUMIFS(Tableau3[Sum Insured (€)],Tableau3[Culture],Bilan!A26,Tableau3[Franchise],20)</f>
        <v>48453.1</v>
      </c>
      <c r="D26">
        <f>SUMIFS(Sinistrés!$X$7:$X$4756,Sinistrés!$O$7:$O$4756,"20%",Sinistrés!$H$7:$H$4756,'Bilan franchise 15'!A26)</f>
        <v>10591.86</v>
      </c>
      <c r="E26" s="792">
        <f>IF((D26/C26)&lt;'Bilan franchise 25'!E26,'Bilan franchise 25'!E26,(D26/C26))</f>
        <v>0.68162390239139681</v>
      </c>
      <c r="F26" s="792"/>
    </row>
    <row r="27" spans="1:6">
      <c r="A27" t="str">
        <v>Oeillette</v>
      </c>
      <c r="B27" t="e">
        <v>#N/A</v>
      </c>
      <c r="C27">
        <f>SUMIFS(Tableau3[Sum Insured (€)],Tableau3[Culture],Bilan!A27,Tableau3[Franchise],20)</f>
        <v>0</v>
      </c>
      <c r="D27">
        <f>SUMIFS(Sinistrés!$X$7:$X$4756,Sinistrés!$O$7:$O$4756,"20%",Sinistrés!$H$7:$H$4756,'Bilan franchise 15'!A27)</f>
        <v>0</v>
      </c>
      <c r="E27">
        <v>0</v>
      </c>
      <c r="F27" s="792"/>
    </row>
    <row r="28" spans="1:6">
      <c r="A28" t="str">
        <v>Sorgho</v>
      </c>
      <c r="B28" t="s">
        <v>7317</v>
      </c>
      <c r="C28">
        <f>SUMIFS(Tableau3[Sum Insured (€)],Tableau3[Culture],Bilan!A28,Tableau3[Franchise],20)</f>
        <v>159775.91999999998</v>
      </c>
      <c r="D28">
        <f>SUMIFS(Sinistrés!$X$7:$X$4756,Sinistrés!$O$7:$O$4756,"20%",Sinistrés!$H$7:$H$4756,'Bilan franchise 15'!A28)</f>
        <v>22709.149999999998</v>
      </c>
      <c r="E28" s="792">
        <f>IF((D28/C28)&lt;'Bilan franchise 25'!E28,'Bilan franchise 25'!E28,(D28/C28))</f>
        <v>0.14213124230484794</v>
      </c>
      <c r="F28" s="792"/>
    </row>
    <row r="29" spans="1:6">
      <c r="A29" t="str">
        <v>Blé dur de printemps</v>
      </c>
      <c r="B29" t="s">
        <v>7289</v>
      </c>
      <c r="C29">
        <f>SUMIFS(Tableau3[Sum Insured (€)],Tableau3[Culture],Bilan!A29,Tableau3[Franchise],20)</f>
        <v>15209.68</v>
      </c>
      <c r="D29">
        <f>SUMIFS(Sinistrés!$X$7:$X$4756,Sinistrés!$O$7:$O$4756,"20%",Sinistrés!$H$7:$H$4756,'Bilan franchise 15'!A29)</f>
        <v>5825.59</v>
      </c>
      <c r="E29" s="792">
        <f>IF((D29/C29)&lt;'Bilan franchise 25'!E29,'Bilan franchise 25'!E29,(D29/C29))</f>
        <v>0.38301857764265917</v>
      </c>
      <c r="F29" s="792"/>
    </row>
    <row r="30" spans="1:6">
      <c r="A30" t="str">
        <v>Blé tendre de printemps</v>
      </c>
      <c r="B30" t="s">
        <v>7291</v>
      </c>
      <c r="C30">
        <f>SUMIFS(Tableau3[Sum Insured (€)],Tableau3[Culture],Bilan!A30,Tableau3[Franchise],20)</f>
        <v>34843.46</v>
      </c>
      <c r="D30">
        <f>SUMIFS(Sinistrés!$X$7:$X$4756,Sinistrés!$O$7:$O$4756,"20%",Sinistrés!$H$7:$H$4756,'Bilan franchise 15'!A30)</f>
        <v>0</v>
      </c>
      <c r="E30" s="792">
        <f>IF((D30/C30)&lt;'Bilan franchise 25'!E30,'Bilan franchise 25'!E30,(D30/C30))</f>
        <v>0.19091957440154944</v>
      </c>
      <c r="F30" s="792"/>
    </row>
    <row r="31" spans="1:6">
      <c r="A31" t="str">
        <v>Lin textile</v>
      </c>
      <c r="B31" t="s">
        <v>7301</v>
      </c>
      <c r="C31">
        <f>SUMIFS(Tableau3[Sum Insured (€)],Tableau3[Culture],Bilan!A31,Tableau3[Franchise],20)</f>
        <v>449796.19</v>
      </c>
      <c r="D31">
        <f>SUMIFS(Sinistrés!$X$7:$X$4756,Sinistrés!$O$7:$O$4756,"20%",Sinistrés!$H$7:$H$4756,'Bilan franchise 15'!A31)</f>
        <v>61154.39</v>
      </c>
      <c r="E31" s="792">
        <f>IF((D31/C31)&lt;'Bilan franchise 25'!E31,'Bilan franchise 25'!E31,(D31/C31))</f>
        <v>0.13596022233981128</v>
      </c>
      <c r="F31" s="792"/>
    </row>
    <row r="32" spans="1:6">
      <c r="A32" t="str">
        <v>Maïs doux non irrigué</v>
      </c>
      <c r="B32" t="e">
        <v>#N/A</v>
      </c>
      <c r="C32">
        <f>SUMIFS(Tableau3[Sum Insured (€)],Tableau3[Culture],Bilan!A32,Tableau3[Franchise],20)</f>
        <v>0</v>
      </c>
      <c r="D32">
        <f>SUMIFS(Sinistrés!$X$7:$X$4756,Sinistrés!$O$7:$O$4756,"20%",Sinistrés!$H$7:$H$4756,'Bilan franchise 15'!A32)</f>
        <v>0</v>
      </c>
      <c r="E32">
        <v>0</v>
      </c>
      <c r="F32" s="792"/>
    </row>
    <row r="33" spans="1:6">
      <c r="A33" t="str">
        <v>Chanvre</v>
      </c>
      <c r="B33" t="s">
        <v>7293</v>
      </c>
      <c r="C33">
        <f>SUMIFS(Tableau3[Sum Insured (€)],Tableau3[Culture],Bilan!A33,Tableau3[Franchise],20)</f>
        <v>7635.18</v>
      </c>
      <c r="D33">
        <f>SUMIFS(Sinistrés!$X$7:$X$4756,Sinistrés!$O$7:$O$4756,"20%",Sinistrés!$H$7:$H$4756,'Bilan franchise 15'!A33)</f>
        <v>0</v>
      </c>
      <c r="E33" s="792">
        <f>IF((D33/C33)&lt;'Bilan franchise 25'!E33,'Bilan franchise 25'!E33,(D33/C33))</f>
        <v>0</v>
      </c>
      <c r="F33" s="792"/>
    </row>
    <row r="34" spans="1:6">
      <c r="A34" t="str">
        <v>Maïs waxy irrigué</v>
      </c>
      <c r="B34" t="e">
        <v>#N/A</v>
      </c>
      <c r="C34">
        <f>SUMIFS(Tableau3[Sum Insured (€)],Tableau3[Culture],Bilan!A34,Tableau3[Franchise],20)</f>
        <v>401487.13</v>
      </c>
      <c r="D34">
        <f>SUMIFS(Sinistrés!$X$7:$X$4756,Sinistrés!$O$7:$O$4756,"20%",Sinistrés!$H$7:$H$4756,'Bilan franchise 15'!A34)</f>
        <v>15352.16</v>
      </c>
      <c r="E34" s="792">
        <f>IF((D34/C34)&lt;'Bilan franchise 25'!E34,'Bilan franchise 25'!E34,(D34/C34))</f>
        <v>3.8238236926797627E-2</v>
      </c>
      <c r="F34" s="792"/>
    </row>
    <row r="35" spans="1:6">
      <c r="A35" t="str">
        <v>Soja SEMENCES</v>
      </c>
      <c r="B35" t="e">
        <v>#N/A</v>
      </c>
      <c r="C35">
        <f>SUMIFS(Tableau3[Sum Insured (€)],Tableau3[Culture],Bilan!A35,Tableau3[Franchise],20)</f>
        <v>46120.95</v>
      </c>
      <c r="D35">
        <f>SUMIFS(Sinistrés!$X$7:$X$4756,Sinistrés!$O$7:$O$4756,"20%",Sinistrés!$H$7:$H$4756,'Bilan franchise 15'!A35)</f>
        <v>0</v>
      </c>
      <c r="E35" s="792">
        <f>IF((D35/C35)&lt;'Bilan franchise 25'!E35,'Bilan franchise 25'!E35,(D35/C35))</f>
        <v>0.27048462752532004</v>
      </c>
      <c r="F35" s="792"/>
    </row>
    <row r="36" spans="1:6">
      <c r="A36" t="str">
        <v>Pommes de terre</v>
      </c>
      <c r="B36" t="s">
        <v>7313</v>
      </c>
      <c r="C36">
        <f>SUMIFS(Tableau3[Sum Insured (€)],Tableau3[Culture],Bilan!A36,Tableau3[Franchise],20)</f>
        <v>396585.77</v>
      </c>
      <c r="D36">
        <f>SUMIFS(Sinistrés!$X$7:$X$4756,Sinistrés!$O$7:$O$4756,"20%",Sinistrés!$H$7:$H$4756,'Bilan franchise 15'!A36)</f>
        <v>62664.209999999992</v>
      </c>
      <c r="E36" s="792">
        <f>IF((D36/C36)&lt;'Bilan franchise 25'!E36,'Bilan franchise 25'!E36,(D36/C36))</f>
        <v>0.15800922458715549</v>
      </c>
      <c r="F36" s="792"/>
    </row>
    <row r="37" spans="1:6">
      <c r="A37" t="str">
        <v>Pommes de terre de féculerie</v>
      </c>
      <c r="B37" t="s">
        <v>7314</v>
      </c>
      <c r="C37">
        <f>SUMIFS(Tableau3[Sum Insured (€)],Tableau3[Culture],Bilan!A37,Tableau3[Franchise],20)</f>
        <v>131715</v>
      </c>
      <c r="D37">
        <f>SUMIFS(Sinistrés!$X$7:$X$4756,Sinistrés!$O$7:$O$4756,"20%",Sinistrés!$H$7:$H$4756,'Bilan franchise 15'!A37)</f>
        <v>0</v>
      </c>
      <c r="E37" s="792">
        <f>IF((D37/C37)&lt;'Bilan franchise 25'!E37,'Bilan franchise 25'!E37,(D37/C37))</f>
        <v>0.10977777777777778</v>
      </c>
      <c r="F37" s="792"/>
    </row>
    <row r="38" spans="1:6">
      <c r="A38" t="str">
        <v>Maïs non irrigué</v>
      </c>
      <c r="B38" t="e">
        <v>#N/A</v>
      </c>
      <c r="C38">
        <f>SUMIFS(Tableau3[Sum Insured (€)],Tableau3[Culture],Bilan!A38,Tableau3[Franchise],20)</f>
        <v>0</v>
      </c>
      <c r="D38">
        <f>SUMIFS(Sinistrés!$X$7:$X$4756,Sinistrés!$O$7:$O$4756,"20%",Sinistrés!$H$7:$H$4756,'Bilan franchise 15'!A38)</f>
        <v>15577.45</v>
      </c>
      <c r="E38">
        <v>0</v>
      </c>
      <c r="F38" s="79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49337-744B-4641-8294-9694549352C5}">
  <dimension ref="A1:F38"/>
  <sheetViews>
    <sheetView workbookViewId="0">
      <selection activeCell="E2" sqref="E2"/>
    </sheetView>
  </sheetViews>
  <sheetFormatPr baseColWidth="10" defaultRowHeight="15"/>
  <cols>
    <col min="1" max="1" width="23.6640625" bestFit="1" customWidth="1"/>
    <col min="2" max="2" width="23.6640625" customWidth="1"/>
    <col min="3" max="3" width="13" bestFit="1" customWidth="1"/>
    <col min="4" max="4" width="15.83203125" bestFit="1" customWidth="1"/>
  </cols>
  <sheetData>
    <row r="1" spans="1:5">
      <c r="A1" t="s">
        <v>3971</v>
      </c>
      <c r="B1" t="s">
        <v>7285</v>
      </c>
      <c r="C1" t="s">
        <v>3972</v>
      </c>
      <c r="D1" t="s">
        <v>3973</v>
      </c>
      <c r="E1" t="s">
        <v>7284</v>
      </c>
    </row>
    <row r="2" spans="1:5">
      <c r="A2" t="str" cm="1">
        <f t="array" ref="A2:A38">_xlfn.UNIQUE('Rapport filtré'!A2:A1583)</f>
        <v>Colza d'hiver</v>
      </c>
      <c r="B2" t="s">
        <v>7295</v>
      </c>
      <c r="C2">
        <f>SUMIFS(Tableau3[Sum Insured (€)],Tableau3[Culture],Bilan!A2,Tableau3[Franchise],25)</f>
        <v>5242105.4399999985</v>
      </c>
      <c r="D2">
        <f>SUMIFS(Sinistrés!$X$7:$X$4756,Sinistrés!$O$7:$O$4756,"25%",Sinistrés!$H$7:$H$4756,'Bilan franchise 15'!A2)</f>
        <v>123828.79999999999</v>
      </c>
      <c r="E2" s="792">
        <f>IF((D2/C2)&lt;'Bilan franchise 30'!E2,'Bilan franchise 30'!E2,(D2/C2))</f>
        <v>7.3385371263956917E-2</v>
      </c>
    </row>
    <row r="3" spans="1:5">
      <c r="A3" t="str">
        <v>Blé tendre d'hiver</v>
      </c>
      <c r="B3" t="s">
        <v>7292</v>
      </c>
      <c r="C3">
        <f>SUMIFS(Tableau3[Sum Insured (€)],Tableau3[Culture],Bilan!A3,Tableau3[Franchise],25)</f>
        <v>13464145.390000002</v>
      </c>
      <c r="D3">
        <f>SUMIFS(Sinistrés!$X$7:$X$4756,Sinistrés!$O$7:$O$4756,"25%",Sinistrés!$H$7:$H$4756,'Bilan franchise 15'!A3)</f>
        <v>264116.73</v>
      </c>
      <c r="E3" s="792">
        <f>IF((D3/C3)&lt;'Bilan franchise 30'!E3,'Bilan franchise 30'!E3,(D3/C3))</f>
        <v>3.2331783120854884E-2</v>
      </c>
    </row>
    <row r="4" spans="1:5">
      <c r="A4" t="str">
        <v>Blé de force</v>
      </c>
      <c r="B4" t="e">
        <v>#N/A</v>
      </c>
      <c r="C4">
        <f>SUMIFS(Tableau3[Sum Insured (€)],Tableau3[Culture],Bilan!A4,Tableau3[Franchise],25)</f>
        <v>531142.32000000007</v>
      </c>
      <c r="D4">
        <f>SUMIFS(Sinistrés!$X$7:$X$4756,Sinistrés!$O$7:$O$4756,"25%",Sinistrés!$H$7:$H$4756,'Bilan franchise 15'!A4)</f>
        <v>5427.2</v>
      </c>
      <c r="E4" s="792">
        <f>IF((D4/C4)&lt;'Bilan franchise 30'!E4,'Bilan franchise 30'!E4,(D4/C4))</f>
        <v>0.11071539737185165</v>
      </c>
    </row>
    <row r="5" spans="1:5">
      <c r="A5" t="str">
        <v>Féveroles et fèves</v>
      </c>
      <c r="B5" t="s">
        <v>7296</v>
      </c>
      <c r="C5">
        <f>SUMIFS(Tableau3[Sum Insured (€)],Tableau3[Culture],Bilan!A5,Tableau3[Franchise],25)</f>
        <v>48795.68</v>
      </c>
      <c r="D5">
        <f>SUMIFS(Sinistrés!$X$7:$X$4756,Sinistrés!$O$7:$O$4756,"25%",Sinistrés!$H$7:$H$4756,'Bilan franchise 15'!A5)</f>
        <v>5251.7000000000007</v>
      </c>
      <c r="E5" s="792">
        <f>IF((D5/C5)&lt;'Bilan franchise 30'!E5,'Bilan franchise 30'!E5,(D5/C5))</f>
        <v>0.30447770358631732</v>
      </c>
    </row>
    <row r="6" spans="1:5">
      <c r="A6" t="str">
        <v>Orge d'hiver</v>
      </c>
      <c r="B6" t="s">
        <v>7310</v>
      </c>
      <c r="C6">
        <f>SUMIFS(Tableau3[Sum Insured (€)],Tableau3[Culture],Bilan!A6,Tableau3[Franchise],25)</f>
        <v>3360292.7100000004</v>
      </c>
      <c r="D6">
        <f>SUMIFS(Sinistrés!$X$7:$X$4756,Sinistrés!$O$7:$O$4756,"25%",Sinistrés!$H$7:$H$4756,'Bilan franchise 15'!A6)</f>
        <v>62354.399999999994</v>
      </c>
      <c r="E6" s="792">
        <f>IF((D6/C6)&lt;'Bilan franchise 30'!E6,'Bilan franchise 30'!E6,(D6/C6))</f>
        <v>3.2941868405717424E-2</v>
      </c>
    </row>
    <row r="7" spans="1:5">
      <c r="A7" t="str">
        <v>Seigle et méteil</v>
      </c>
      <c r="B7" t="s">
        <v>7315</v>
      </c>
      <c r="C7">
        <f>SUMIFS(Tableau3[Sum Insured (€)],Tableau3[Culture],Bilan!A7,Tableau3[Franchise],25)</f>
        <v>50038.67</v>
      </c>
      <c r="D7">
        <f>SUMIFS(Sinistrés!$X$7:$X$4756,Sinistrés!$O$7:$O$4756,"25%",Sinistrés!$H$7:$H$4756,'Bilan franchise 15'!A7)</f>
        <v>6946.0300000000007</v>
      </c>
      <c r="E7" s="792">
        <f>IF((D7/C7)&lt;'Bilan franchise 30'!E7,'Bilan franchise 30'!E7,(D7/C7))</f>
        <v>0.13881324183876192</v>
      </c>
    </row>
    <row r="8" spans="1:5">
      <c r="A8" t="str">
        <v>Blé dur d'hiver</v>
      </c>
      <c r="B8" t="s">
        <v>7290</v>
      </c>
      <c r="C8">
        <f>SUMIFS(Tableau3[Sum Insured (€)],Tableau3[Culture],Bilan!A8,Tableau3[Franchise],25)</f>
        <v>947620.25999999978</v>
      </c>
      <c r="D8">
        <f>SUMIFS(Sinistrés!$X$7:$X$4756,Sinistrés!$O$7:$O$4756,"25%",Sinistrés!$H$7:$H$4756,'Bilan franchise 15'!A8)</f>
        <v>21641.11</v>
      </c>
      <c r="E8" s="792">
        <f>IF((D8/C8)&lt;'Bilan franchise 30'!E8,'Bilan franchise 30'!E8,(D8/C8))</f>
        <v>3.0059654288276394E-2</v>
      </c>
    </row>
    <row r="9" spans="1:5">
      <c r="A9" t="str">
        <v>Orge de printemps</v>
      </c>
      <c r="B9" t="s">
        <v>7309</v>
      </c>
      <c r="C9">
        <f>SUMIFS(Tableau3[Sum Insured (€)],Tableau3[Culture],Bilan!A9,Tableau3[Franchise],25)</f>
        <v>2273122.2300000004</v>
      </c>
      <c r="D9">
        <f>SUMIFS(Sinistrés!$X$7:$X$4756,Sinistrés!$O$7:$O$4756,"25%",Sinistrés!$H$7:$H$4756,'Bilan franchise 15'!A9)</f>
        <v>148949.77000000002</v>
      </c>
      <c r="E9" s="792">
        <f>IF((D9/C9)&lt;'Bilan franchise 30'!E9,'Bilan franchise 30'!E9,(D9/C9))</f>
        <v>6.5526511524195502E-2</v>
      </c>
    </row>
    <row r="10" spans="1:5">
      <c r="A10" t="str">
        <v>Pois protéagineux</v>
      </c>
      <c r="B10" t="s">
        <v>7311</v>
      </c>
      <c r="C10">
        <f>SUMIFS(Tableau3[Sum Insured (€)],Tableau3[Culture],Bilan!A10,Tableau3[Franchise],25)</f>
        <v>296939.7099999999</v>
      </c>
      <c r="D10">
        <f>SUMIFS(Sinistrés!$X$7:$X$4756,Sinistrés!$O$7:$O$4756,"25%",Sinistrés!$H$7:$H$4756,'Bilan franchise 15'!A10)</f>
        <v>24911.25</v>
      </c>
      <c r="E10" s="792">
        <f>IF((D10/C10)&lt;'Bilan franchise 30'!E10,'Bilan franchise 30'!E10,(D10/C10))</f>
        <v>8.5108970382264781E-2</v>
      </c>
    </row>
    <row r="11" spans="1:5">
      <c r="A11" t="str">
        <v>Lin oléagineux</v>
      </c>
      <c r="B11" t="s">
        <v>7300</v>
      </c>
      <c r="C11">
        <f>SUMIFS(Tableau3[Sum Insured (€)],Tableau3[Culture],Bilan!A11,Tableau3[Franchise],25)</f>
        <v>89428.34</v>
      </c>
      <c r="D11">
        <f>SUMIFS(Sinistrés!$X$7:$X$4756,Sinistrés!$O$7:$O$4756,"25%",Sinistrés!$H$7:$H$4756,'Bilan franchise 15'!A11)</f>
        <v>9135.59</v>
      </c>
      <c r="E11" s="792">
        <f>IF((D11/C11)&lt;'Bilan franchise 30'!E11,'Bilan franchise 30'!E11,(D11/C11))</f>
        <v>0.10215542410828604</v>
      </c>
    </row>
    <row r="12" spans="1:5">
      <c r="A12" t="str">
        <v>Avoine d'hiver</v>
      </c>
      <c r="B12" t="s">
        <v>7287</v>
      </c>
      <c r="C12">
        <f>SUMIFS(Tableau3[Sum Insured (€)],Tableau3[Culture],Bilan!A12,Tableau3[Franchise],25)</f>
        <v>103724.26</v>
      </c>
      <c r="D12">
        <f>SUMIFS(Sinistrés!$X$7:$X$4756,Sinistrés!$O$7:$O$4756,"25%",Sinistrés!$H$7:$H$4756,'Bilan franchise 15'!A12)</f>
        <v>11399.17</v>
      </c>
      <c r="E12" s="792">
        <f>IF((D12/C12)&lt;'Bilan franchise 30'!E12,'Bilan franchise 30'!E12,(D12/C12))</f>
        <v>0.1098987835632667</v>
      </c>
    </row>
    <row r="13" spans="1:5">
      <c r="A13" t="str">
        <v>Triticale</v>
      </c>
      <c r="B13" t="s">
        <v>7319</v>
      </c>
      <c r="C13">
        <f>SUMIFS(Tableau3[Sum Insured (€)],Tableau3[Culture],Bilan!A13,Tableau3[Franchise],25)</f>
        <v>417238.45000000007</v>
      </c>
      <c r="D13">
        <f>SUMIFS(Sinistrés!$X$7:$X$4756,Sinistrés!$O$7:$O$4756,"25%",Sinistrés!$H$7:$H$4756,'Bilan franchise 15'!A13)</f>
        <v>24146.29</v>
      </c>
      <c r="E13" s="792">
        <f>IF((D13/C13)&lt;'Bilan franchise 30'!E13,'Bilan franchise 30'!E13,(D13/C13))</f>
        <v>5.7871679851173821E-2</v>
      </c>
    </row>
    <row r="14" spans="1:5">
      <c r="A14" t="str">
        <v>Tournesol</v>
      </c>
      <c r="B14" t="s">
        <v>7318</v>
      </c>
      <c r="C14">
        <f>SUMIFS(Tableau3[Sum Insured (€)],Tableau3[Culture],Bilan!A14,Tableau3[Franchise],25)</f>
        <v>4033189.3400000008</v>
      </c>
      <c r="D14">
        <f>SUMIFS(Sinistrés!$X$7:$X$4756,Sinistrés!$O$7:$O$4756,"25%",Sinistrés!$H$7:$H$4756,'Bilan franchise 15'!A14)</f>
        <v>267320.87</v>
      </c>
      <c r="E14" s="792">
        <f>IF((D14/C14)&lt;'Bilan franchise 30'!E14,'Bilan franchise 30'!E14,(D14/C14))</f>
        <v>0.12186949378740979</v>
      </c>
    </row>
    <row r="15" spans="1:5">
      <c r="A15" t="str">
        <v>Maïs waxy non irrigué</v>
      </c>
      <c r="B15" t="e">
        <v>#N/A</v>
      </c>
      <c r="C15">
        <f>SUMIFS(Tableau3[Sum Insured (€)],Tableau3[Culture],Bilan!A15,Tableau3[Franchise],25)</f>
        <v>220004.22999999998</v>
      </c>
      <c r="D15">
        <f>SUMIFS(Sinistrés!$X$7:$X$4756,Sinistrés!$O$7:$O$4756,"25%",Sinistrés!$H$7:$H$4756,'Bilan franchise 15'!A15)</f>
        <v>55251.9</v>
      </c>
      <c r="E15" s="792">
        <f>IF((D15/C15)&lt;'Bilan franchise 30'!E15,'Bilan franchise 30'!E15,(D15/C15))</f>
        <v>0.25114017125943444</v>
      </c>
    </row>
    <row r="16" spans="1:5">
      <c r="A16" t="str">
        <v>Maïs grain non irrigué</v>
      </c>
      <c r="B16" t="s">
        <v>7305</v>
      </c>
      <c r="C16">
        <f>SUMIFS(Tableau3[Sum Insured (€)],Tableau3[Culture],Bilan!A16,Tableau3[Franchise],25)</f>
        <v>4173027.3599999994</v>
      </c>
      <c r="D16">
        <f>SUMIFS(Sinistrés!$X$7:$X$4756,Sinistrés!$O$7:$O$4756,"25%",Sinistrés!$H$7:$H$4756,'Bilan franchise 15'!A16)</f>
        <v>773069.29999999993</v>
      </c>
      <c r="E16" s="792">
        <f>IF((D16/C16)&lt;'Bilan franchise 30'!E16,'Bilan franchise 30'!E16,(D16/C16))</f>
        <v>0.18525382972806581</v>
      </c>
    </row>
    <row r="17" spans="1:6">
      <c r="A17" t="str">
        <v>Pois secs / Pois Chiches</v>
      </c>
      <c r="B17" t="s">
        <v>7312</v>
      </c>
      <c r="C17">
        <f>SUMIFS(Tableau3[Sum Insured (€)],Tableau3[Culture],Bilan!A17,Tableau3[Franchise],25)</f>
        <v>64372.83</v>
      </c>
      <c r="D17">
        <f>SUMIFS(Sinistrés!$X$7:$X$4756,Sinistrés!$O$7:$O$4756,"25%",Sinistrés!$H$7:$H$4756,'Bilan franchise 15'!A17)</f>
        <v>813.12</v>
      </c>
      <c r="E17" s="792">
        <f>IF((D17/C17)&lt;'Bilan franchise 30'!E17,'Bilan franchise 30'!E17,(D17/C17))</f>
        <v>1.263141608035564E-2</v>
      </c>
    </row>
    <row r="18" spans="1:6">
      <c r="A18" t="str">
        <v>Avoine de printemps</v>
      </c>
      <c r="B18" t="s">
        <v>7286</v>
      </c>
      <c r="C18">
        <f>SUMIFS(Tableau3[Sum Insured (€)],Tableau3[Culture],Bilan!A18,Tableau3[Franchise],25)</f>
        <v>51563.46</v>
      </c>
      <c r="D18">
        <f>SUMIFS(Sinistrés!$X$7:$X$4756,Sinistrés!$O$7:$O$4756,"25%",Sinistrés!$H$7:$H$4756,'Bilan franchise 15'!A18)</f>
        <v>4959.6899999999996</v>
      </c>
      <c r="E18" s="792">
        <f>IF((D18/C18)&lt;'Bilan franchise 30'!E18,'Bilan franchise 30'!E18,(D18/C18))</f>
        <v>9.6186136461750227E-2</v>
      </c>
    </row>
    <row r="19" spans="1:6">
      <c r="A19" t="str">
        <v>Lentilles</v>
      </c>
      <c r="B19" t="s">
        <v>7299</v>
      </c>
      <c r="C19">
        <f>SUMIFS(Tableau3[Sum Insured (€)],Tableau3[Culture],Bilan!A19,Tableau3[Franchise],25)</f>
        <v>20767.66</v>
      </c>
      <c r="D19">
        <f>SUMIFS(Sinistrés!$X$7:$X$4756,Sinistrés!$O$7:$O$4756,"25%",Sinistrés!$H$7:$H$4756,'Bilan franchise 15'!A19)</f>
        <v>6780.0099999999993</v>
      </c>
      <c r="E19" s="792">
        <f>IF((D19/C19)&lt;'Bilan franchise 30'!E19,'Bilan franchise 30'!E19,(D19/C19))</f>
        <v>0.32646961670212238</v>
      </c>
    </row>
    <row r="20" spans="1:6">
      <c r="A20" t="str">
        <v>Maïs ensilage non irrigué</v>
      </c>
      <c r="B20" t="e">
        <v>#N/A</v>
      </c>
      <c r="C20">
        <f>SUMIFS(Tableau3[Sum Insured (€)],Tableau3[Culture],Bilan!A20,Tableau3[Franchise],25)</f>
        <v>979776.74000000011</v>
      </c>
      <c r="D20">
        <f>SUMIFS(Sinistrés!$X$7:$X$4756,Sinistrés!$O$7:$O$4756,"25%",Sinistrés!$H$7:$H$4756,'Bilan franchise 15'!A20)</f>
        <v>111733.52999999998</v>
      </c>
      <c r="E20" s="792">
        <f>IF((D20/C20)&lt;'Bilan franchise 30'!E20,'Bilan franchise 30'!E20,(D20/C20))</f>
        <v>0.11403978624763023</v>
      </c>
    </row>
    <row r="21" spans="1:6">
      <c r="A21" t="str">
        <v>Maïs pop corn irrigué</v>
      </c>
      <c r="B21" t="e">
        <v>#N/A</v>
      </c>
      <c r="C21">
        <f>SUMIFS(Tableau3[Sum Insured (€)],Tableau3[Culture],Bilan!A21,Tableau3[Franchise],25)</f>
        <v>126209.76000000001</v>
      </c>
      <c r="D21">
        <f>SUMIFS(Sinistrés!$X$7:$X$4756,Sinistrés!$O$7:$O$4756,"25%",Sinistrés!$H$7:$H$4756,'Bilan franchise 15'!A21)</f>
        <v>29210.75</v>
      </c>
      <c r="E21" s="792">
        <f>IF((D21/C21)&lt;'Bilan franchise 30'!E21,'Bilan franchise 30'!E21,(D21/C21))</f>
        <v>0.23144604664488702</v>
      </c>
    </row>
    <row r="22" spans="1:6">
      <c r="A22" t="str">
        <v>Maïs grain irrigué</v>
      </c>
      <c r="B22" t="s">
        <v>7304</v>
      </c>
      <c r="C22">
        <f>SUMIFS(Tableau3[Sum Insured (€)],Tableau3[Culture],Bilan!A22,Tableau3[Franchise],25)</f>
        <v>4306122.72</v>
      </c>
      <c r="D22">
        <f>SUMIFS(Sinistrés!$X$7:$X$4756,Sinistrés!$O$7:$O$4756,"25%",Sinistrés!$H$7:$H$4756,'Bilan franchise 15'!A22)</f>
        <v>291511.88999999996</v>
      </c>
      <c r="E22" s="792">
        <f>IF((D22/C22)&lt;'Bilan franchise 30'!E22,'Bilan franchise 30'!E22,(D22/C22))</f>
        <v>0.10700119410783597</v>
      </c>
    </row>
    <row r="23" spans="1:6">
      <c r="A23" t="str">
        <v>Maïs ensilage irrigué</v>
      </c>
      <c r="B23" t="e">
        <v>#N/A</v>
      </c>
      <c r="C23">
        <f>SUMIFS(Tableau3[Sum Insured (€)],Tableau3[Culture],Bilan!A23,Tableau3[Franchise],25)</f>
        <v>221685.44000000003</v>
      </c>
      <c r="D23">
        <f>SUMIFS(Sinistrés!$X$7:$X$4756,Sinistrés!$O$7:$O$4756,"25%",Sinistrés!$H$7:$H$4756,'Bilan franchise 15'!A23)</f>
        <v>17154.36</v>
      </c>
      <c r="E23" s="792">
        <f>IF((D23/C23)&lt;'Bilan franchise 30'!E23,'Bilan franchise 30'!E23,(D23/C23))</f>
        <v>7.7381536649407362E-2</v>
      </c>
    </row>
    <row r="24" spans="1:6">
      <c r="A24" t="str">
        <v>Soja</v>
      </c>
      <c r="B24" t="s">
        <v>7316</v>
      </c>
      <c r="C24">
        <f>SUMIFS(Tableau3[Sum Insured (€)],Tableau3[Culture],Bilan!A24,Tableau3[Franchise],25)</f>
        <v>776040.37999999989</v>
      </c>
      <c r="D24">
        <f>SUMIFS(Sinistrés!$X$7:$X$4756,Sinistrés!$O$7:$O$4756,"25%",Sinistrés!$H$7:$H$4756,'Bilan franchise 15'!A24)</f>
        <v>74042.239999999991</v>
      </c>
      <c r="E24" s="792">
        <f>IF((D24/C24)&lt;'Bilan franchise 30'!E24,'Bilan franchise 30'!E24,(D24/C24))</f>
        <v>0.17641880196969931</v>
      </c>
    </row>
    <row r="25" spans="1:6">
      <c r="A25" t="str">
        <v>Quinoa</v>
      </c>
      <c r="B25" t="e">
        <v>#N/A</v>
      </c>
      <c r="C25">
        <f>SUMIFS(Tableau3[Sum Insured (€)],Tableau3[Culture],Bilan!A25,Tableau3[Franchise],25)</f>
        <v>0</v>
      </c>
      <c r="D25">
        <f>SUMIFS(Sinistrés!$X$7:$X$4756,Sinistrés!$O$7:$O$4756,"25%",Sinistrés!$H$7:$H$4756,'Bilan franchise 15'!A25)</f>
        <v>0</v>
      </c>
      <c r="E25">
        <v>0</v>
      </c>
      <c r="F25">
        <v>0</v>
      </c>
    </row>
    <row r="26" spans="1:6">
      <c r="A26" t="str">
        <v>Colza de printemps</v>
      </c>
      <c r="B26" t="s">
        <v>7294</v>
      </c>
      <c r="C26">
        <f>SUMIFS(Tableau3[Sum Insured (€)],Tableau3[Culture],Bilan!A26,Tableau3[Franchise],25)</f>
        <v>85521.15</v>
      </c>
      <c r="D26">
        <f>SUMIFS(Sinistrés!$X$7:$X$4756,Sinistrés!$O$7:$O$4756,"25%",Sinistrés!$H$7:$H$4756,'Bilan franchise 15'!A26)</f>
        <v>58293.26</v>
      </c>
      <c r="E26" s="792">
        <f>IF((D26/C26)&lt;'Bilan franchise 30'!E26,'Bilan franchise 30'!E26,(D26/C26))</f>
        <v>0.68162390239139681</v>
      </c>
    </row>
    <row r="27" spans="1:6">
      <c r="A27" t="str">
        <v>Oeillette</v>
      </c>
      <c r="B27" t="e">
        <v>#N/A</v>
      </c>
      <c r="C27">
        <f>SUMIFS(Tableau3[Sum Insured (€)],Tableau3[Culture],Bilan!A27,Tableau3[Franchise],25)</f>
        <v>0</v>
      </c>
      <c r="D27">
        <f>SUMIFS(Sinistrés!$X$7:$X$4756,Sinistrés!$O$7:$O$4756,"25%",Sinistrés!$H$7:$H$4756,'Bilan franchise 15'!A27)</f>
        <v>0</v>
      </c>
      <c r="E27">
        <v>0</v>
      </c>
    </row>
    <row r="28" spans="1:6">
      <c r="A28" t="str">
        <v>Sorgho</v>
      </c>
      <c r="B28" t="s">
        <v>7317</v>
      </c>
      <c r="C28">
        <f>SUMIFS(Tableau3[Sum Insured (€)],Tableau3[Culture],Bilan!A28,Tableau3[Franchise],25)</f>
        <v>111283.95000000001</v>
      </c>
      <c r="D28">
        <f>SUMIFS(Sinistrés!$X$7:$X$4756,Sinistrés!$O$7:$O$4756,"25%",Sinistrés!$H$7:$H$4756,'Bilan franchise 15'!A28)</f>
        <v>14930.029999999999</v>
      </c>
      <c r="E28" s="792">
        <f>IF((D28/C28)&lt;'Bilan franchise 30'!E28,'Bilan franchise 30'!E28,(D28/C28))</f>
        <v>0.13416157496206774</v>
      </c>
    </row>
    <row r="29" spans="1:6">
      <c r="A29" t="str">
        <v>Blé dur de printemps</v>
      </c>
      <c r="B29" t="s">
        <v>7289</v>
      </c>
      <c r="C29">
        <f>SUMIFS(Tableau3[Sum Insured (€)],Tableau3[Culture],Bilan!A29,Tableau3[Franchise],25)</f>
        <v>0</v>
      </c>
      <c r="D29">
        <f>SUMIFS(Sinistrés!$X$7:$X$4756,Sinistrés!$O$7:$O$4756,"25%",Sinistrés!$H$7:$H$4756,'Bilan franchise 15'!A29)</f>
        <v>0</v>
      </c>
      <c r="E29">
        <v>0</v>
      </c>
    </row>
    <row r="30" spans="1:6">
      <c r="A30" t="str">
        <v>Blé tendre de printemps</v>
      </c>
      <c r="B30" t="s">
        <v>7291</v>
      </c>
      <c r="C30">
        <f>SUMIFS(Tableau3[Sum Insured (€)],Tableau3[Culture],Bilan!A30,Tableau3[Franchise],25)</f>
        <v>33064.97</v>
      </c>
      <c r="D30">
        <f>SUMIFS(Sinistrés!$X$7:$X$4756,Sinistrés!$O$7:$O$4756,"25%",Sinistrés!$H$7:$H$4756,'Bilan franchise 15'!A30)</f>
        <v>6312.75</v>
      </c>
      <c r="E30" s="792">
        <f>IF((D30/C30)&lt;'Bilan franchise 30'!E30,'Bilan franchise 30'!E30,(D30/C30))</f>
        <v>0.19091957440154944</v>
      </c>
    </row>
    <row r="31" spans="1:6">
      <c r="A31" t="str">
        <v>Lin textile</v>
      </c>
      <c r="B31" t="s">
        <v>7301</v>
      </c>
      <c r="C31">
        <f>SUMIFS(Tableau3[Sum Insured (€)],Tableau3[Culture],Bilan!A31,Tableau3[Franchise],25)</f>
        <v>355131.42</v>
      </c>
      <c r="D31">
        <f>SUMIFS(Sinistrés!$X$7:$X$4756,Sinistrés!$O$7:$O$4756,"25%",Sinistrés!$H$7:$H$4756,'Bilan franchise 15'!A31)</f>
        <v>22821.34</v>
      </c>
      <c r="E31" s="792">
        <f>IF((D31/C31)&lt;'Bilan franchise 30'!E31,'Bilan franchise 30'!E31,(D31/C31))</f>
        <v>6.426167529755604E-2</v>
      </c>
    </row>
    <row r="32" spans="1:6">
      <c r="A32" t="str">
        <v>Maïs doux non irrigué</v>
      </c>
      <c r="B32" t="e">
        <v>#N/A</v>
      </c>
      <c r="C32">
        <f>SUMIFS(Tableau3[Sum Insured (€)],Tableau3[Culture],Bilan!A32,Tableau3[Franchise],25)</f>
        <v>0</v>
      </c>
      <c r="D32">
        <f>SUMIFS(Sinistrés!$X$7:$X$4756,Sinistrés!$O$7:$O$4756,"25%",Sinistrés!$H$7:$H$4756,'Bilan franchise 15'!A32)</f>
        <v>13205.5</v>
      </c>
      <c r="E32">
        <v>0</v>
      </c>
    </row>
    <row r="33" spans="1:5">
      <c r="A33" t="str">
        <v>Chanvre</v>
      </c>
      <c r="B33" t="s">
        <v>7293</v>
      </c>
      <c r="C33">
        <f>SUMIFS(Tableau3[Sum Insured (€)],Tableau3[Culture],Bilan!A33,Tableau3[Franchise],25)</f>
        <v>0</v>
      </c>
      <c r="D33">
        <f>SUMIFS(Sinistrés!$X$7:$X$4756,Sinistrés!$O$7:$O$4756,"25%",Sinistrés!$H$7:$H$4756,'Bilan franchise 15'!A33)</f>
        <v>0</v>
      </c>
      <c r="E33">
        <v>0</v>
      </c>
    </row>
    <row r="34" spans="1:5">
      <c r="A34" t="str">
        <v>Maïs waxy irrigué</v>
      </c>
      <c r="B34" t="e">
        <v>#N/A</v>
      </c>
      <c r="C34">
        <f>SUMIFS(Tableau3[Sum Insured (€)],Tableau3[Culture],Bilan!A34,Tableau3[Franchise],25)</f>
        <v>188713.22</v>
      </c>
      <c r="D34">
        <f>SUMIFS(Sinistrés!$X$7:$X$4756,Sinistrés!$O$7:$O$4756,"25%",Sinistrés!$H$7:$H$4756,'Bilan franchise 15'!A34)</f>
        <v>0</v>
      </c>
      <c r="E34" s="792">
        <f>IF((D34/C34)&lt;'Bilan franchise 30'!E34,'Bilan franchise 30'!E34,(D34/C34))</f>
        <v>0</v>
      </c>
    </row>
    <row r="35" spans="1:5">
      <c r="A35" t="str">
        <v>Soja SEMENCES</v>
      </c>
      <c r="B35" t="e">
        <v>#N/A</v>
      </c>
      <c r="C35">
        <f>SUMIFS(Tableau3[Sum Insured (€)],Tableau3[Culture],Bilan!A35,Tableau3[Franchise],25)</f>
        <v>73225.39</v>
      </c>
      <c r="D35">
        <f>SUMIFS(Sinistrés!$X$7:$X$4756,Sinistrés!$O$7:$O$4756,"25%",Sinistrés!$H$7:$H$4756,'Bilan franchise 15'!A35)</f>
        <v>5538.15</v>
      </c>
      <c r="E35" s="792">
        <f>IF((D35/C35)&lt;'Bilan franchise 30'!E35,'Bilan franchise 30'!E35,(D35/C35))</f>
        <v>0.27048462752532004</v>
      </c>
    </row>
    <row r="36" spans="1:5">
      <c r="A36" t="str">
        <v>Pommes de terre</v>
      </c>
      <c r="B36" t="s">
        <v>7313</v>
      </c>
      <c r="C36">
        <f>SUMIFS(Tableau3[Sum Insured (€)],Tableau3[Culture],Bilan!A36,Tableau3[Franchise],25)</f>
        <v>36776.019999999997</v>
      </c>
      <c r="D36">
        <f>SUMIFS(Sinistrés!$X$7:$X$4756,Sinistrés!$O$7:$O$4756,"25%",Sinistrés!$H$7:$H$4756,'Bilan franchise 15'!A36)</f>
        <v>0</v>
      </c>
      <c r="E36" s="792">
        <f>IF((D36/C36)&lt;'Bilan franchise 30'!E36,'Bilan franchise 30'!E36,(D36/C36))</f>
        <v>7.0394422076865179E-2</v>
      </c>
    </row>
    <row r="37" spans="1:5">
      <c r="A37" t="str">
        <v>Pommes de terre de féculerie</v>
      </c>
      <c r="B37" t="s">
        <v>7314</v>
      </c>
      <c r="C37">
        <f>SUMIFS(Tableau3[Sum Insured (€)],Tableau3[Culture],Bilan!A37,Tableau3[Franchise],25)</f>
        <v>108315</v>
      </c>
      <c r="D37">
        <f>SUMIFS(Sinistrés!$X$7:$X$4756,Sinistrés!$O$7:$O$4756,"25%",Sinistrés!$H$7:$H$4756,'Bilan franchise 15'!A37)</f>
        <v>11890.58</v>
      </c>
      <c r="E37" s="792">
        <f>IF((D37/C37)&lt;'Bilan franchise 30'!E37,'Bilan franchise 30'!E37,(D37/C37))</f>
        <v>0.10977777777777778</v>
      </c>
    </row>
    <row r="38" spans="1:5">
      <c r="A38" t="str">
        <v>Maïs non irrigué</v>
      </c>
      <c r="B38" t="e">
        <v>#N/A</v>
      </c>
      <c r="C38">
        <f>SUMIFS(Tableau3[Sum Insured (€)],Tableau3[Culture],Bilan!A38,Tableau3[Franchise],25)</f>
        <v>0</v>
      </c>
      <c r="D38">
        <f>SUMIFS(Sinistrés!$X$7:$X$4756,Sinistrés!$O$7:$O$4756,"25%",Sinistrés!$H$7:$H$4756,'Bilan franchise 15'!A38)</f>
        <v>0</v>
      </c>
      <c r="E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E8808-15AE-6545-8E9B-22333A4BAE46}">
  <dimension ref="A1:E38"/>
  <sheetViews>
    <sheetView workbookViewId="0">
      <selection activeCell="F18" sqref="F18"/>
    </sheetView>
  </sheetViews>
  <sheetFormatPr baseColWidth="10" defaultRowHeight="15"/>
  <cols>
    <col min="1" max="1" width="23.6640625" bestFit="1" customWidth="1"/>
    <col min="2" max="2" width="23.6640625" customWidth="1"/>
    <col min="3" max="3" width="13" bestFit="1" customWidth="1"/>
    <col min="4" max="4" width="15.83203125" bestFit="1" customWidth="1"/>
  </cols>
  <sheetData>
    <row r="1" spans="1:5">
      <c r="A1" t="s">
        <v>3971</v>
      </c>
      <c r="B1" t="s">
        <v>7285</v>
      </c>
      <c r="C1" t="s">
        <v>3972</v>
      </c>
      <c r="D1" t="s">
        <v>3973</v>
      </c>
      <c r="E1" t="s">
        <v>7284</v>
      </c>
    </row>
    <row r="2" spans="1:5">
      <c r="A2" t="str" cm="1">
        <f t="array" ref="A2:A38">_xlfn.UNIQUE('Rapport filtré'!A2:A1583)</f>
        <v>Colza d'hiver</v>
      </c>
      <c r="B2" t="s">
        <v>7295</v>
      </c>
      <c r="C2">
        <f>SUMIFS(Tableau3[Sum Insured (€)],Tableau3[Culture],Bilan!A2,Tableau3[Franchise],30)</f>
        <v>2409605.17</v>
      </c>
      <c r="D2">
        <f>SUMIFS(Sinistrés!$X$7:$X$4756,Sinistrés!$O$7:$O$4756,"30%",Sinistrés!$H$7:$H$4756,'Bilan franchise 15'!A2)</f>
        <v>176829.77000000002</v>
      </c>
      <c r="E2" s="792">
        <f>D2/C2</f>
        <v>7.3385371263956917E-2</v>
      </c>
    </row>
    <row r="3" spans="1:5">
      <c r="A3" t="str">
        <v>Blé tendre d'hiver</v>
      </c>
      <c r="B3" t="s">
        <v>7292</v>
      </c>
      <c r="C3">
        <f>SUMIFS(Tableau3[Sum Insured (€)],Tableau3[Culture],Bilan!A3,Tableau3[Franchise],30)</f>
        <v>5552299.0900000017</v>
      </c>
      <c r="D3">
        <f>SUMIFS(Sinistrés!$X$7:$X$4756,Sinistrés!$O$7:$O$4756,"30%",Sinistrés!$H$7:$H$4756,'Bilan franchise 15'!A3)</f>
        <v>179515.72999999998</v>
      </c>
      <c r="E3" s="792">
        <f t="shared" ref="E3:E38" si="0">D3/C3</f>
        <v>3.2331783120854884E-2</v>
      </c>
    </row>
    <row r="4" spans="1:5">
      <c r="A4" t="str">
        <v>Blé de force</v>
      </c>
      <c r="B4" t="e">
        <v>#N/A</v>
      </c>
      <c r="C4">
        <f>SUMIFS(Tableau3[Sum Insured (€)],Tableau3[Culture],Bilan!A4,Tableau3[Franchise],30)</f>
        <v>301705.19</v>
      </c>
      <c r="D4">
        <f>SUMIFS(Sinistrés!$X$7:$X$4756,Sinistrés!$O$7:$O$4756,"30%",Sinistrés!$H$7:$H$4756,'Bilan franchise 15'!A4)</f>
        <v>33403.410000000003</v>
      </c>
      <c r="E4" s="792">
        <f t="shared" si="0"/>
        <v>0.11071539737185165</v>
      </c>
    </row>
    <row r="5" spans="1:5">
      <c r="A5" t="str">
        <v>Féveroles et fèves</v>
      </c>
      <c r="B5" t="s">
        <v>7296</v>
      </c>
      <c r="C5">
        <f>SUMIFS(Tableau3[Sum Insured (€)],Tableau3[Culture],Bilan!A5,Tableau3[Franchise],30)</f>
        <v>30617.480000000003</v>
      </c>
      <c r="D5">
        <f>SUMIFS(Sinistrés!$X$7:$X$4756,Sinistrés!$O$7:$O$4756,"30%",Sinistrés!$H$7:$H$4756,'Bilan franchise 15'!A5)</f>
        <v>9322.34</v>
      </c>
      <c r="E5" s="792">
        <f t="shared" si="0"/>
        <v>0.30447770358631732</v>
      </c>
    </row>
    <row r="6" spans="1:5">
      <c r="A6" t="str">
        <v>Orge d'hiver</v>
      </c>
      <c r="B6" t="s">
        <v>7310</v>
      </c>
      <c r="C6">
        <f>SUMIFS(Tableau3[Sum Insured (€)],Tableau3[Culture],Bilan!A6,Tableau3[Franchise],30)</f>
        <v>1231703.3600000001</v>
      </c>
      <c r="D6">
        <f>SUMIFS(Sinistrés!$X$7:$X$4756,Sinistrés!$O$7:$O$4756,"30%",Sinistrés!$H$7:$H$4756,'Bilan franchise 15'!A6)</f>
        <v>40574.61</v>
      </c>
      <c r="E6" s="792">
        <f t="shared" si="0"/>
        <v>3.2941868405717424E-2</v>
      </c>
    </row>
    <row r="7" spans="1:5">
      <c r="A7" t="str">
        <v>Seigle et méteil</v>
      </c>
      <c r="B7" t="s">
        <v>7315</v>
      </c>
      <c r="C7">
        <f>SUMIFS(Tableau3[Sum Insured (€)],Tableau3[Culture],Bilan!A7,Tableau3[Franchise],30)</f>
        <v>61650</v>
      </c>
      <c r="D7">
        <f>SUMIFS(Sinistrés!$X$7:$X$4756,Sinistrés!$O$7:$O$4756,"30%",Sinistrés!$H$7:$H$4756,'Bilan franchise 15'!A7)</f>
        <v>3533.22</v>
      </c>
      <c r="E7" s="792">
        <f t="shared" si="0"/>
        <v>5.7310948905109488E-2</v>
      </c>
    </row>
    <row r="8" spans="1:5">
      <c r="A8" t="str">
        <v>Blé dur d'hiver</v>
      </c>
      <c r="B8" t="s">
        <v>7290</v>
      </c>
      <c r="C8">
        <f>SUMIFS(Tableau3[Sum Insured (€)],Tableau3[Culture],Bilan!A8,Tableau3[Franchise],30)</f>
        <v>723366.27</v>
      </c>
      <c r="D8">
        <f>SUMIFS(Sinistrés!$X$7:$X$4756,Sinistrés!$O$7:$O$4756,"30%",Sinistrés!$H$7:$H$4756,'Bilan franchise 15'!A8)</f>
        <v>21744.14</v>
      </c>
      <c r="E8" s="792">
        <f t="shared" si="0"/>
        <v>3.0059654288276394E-2</v>
      </c>
    </row>
    <row r="9" spans="1:5">
      <c r="A9" t="str">
        <v>Orge de printemps</v>
      </c>
      <c r="B9" t="s">
        <v>7309</v>
      </c>
      <c r="C9">
        <f>SUMIFS(Tableau3[Sum Insured (€)],Tableau3[Culture],Bilan!A9,Tableau3[Franchise],30)</f>
        <v>782039.85999999987</v>
      </c>
      <c r="D9">
        <f>SUMIFS(Sinistrés!$X$7:$X$4756,Sinistrés!$O$7:$O$4756,"30%",Sinistrés!$H$7:$H$4756,'Bilan franchise 15'!A9)</f>
        <v>28837.619999999995</v>
      </c>
      <c r="E9" s="792">
        <f t="shared" si="0"/>
        <v>3.6874872337069875E-2</v>
      </c>
    </row>
    <row r="10" spans="1:5">
      <c r="A10" t="str">
        <v>Pois protéagineux</v>
      </c>
      <c r="B10" t="s">
        <v>7311</v>
      </c>
      <c r="C10">
        <f>SUMIFS(Tableau3[Sum Insured (€)],Tableau3[Culture],Bilan!A10,Tableau3[Franchise],30)</f>
        <v>156568.69000000003</v>
      </c>
      <c r="D10">
        <f>SUMIFS(Sinistrés!$X$7:$X$4756,Sinistrés!$O$7:$O$4756,"30%",Sinistrés!$H$7:$H$4756,'Bilan franchise 15'!A10)</f>
        <v>13325.4</v>
      </c>
      <c r="E10" s="792">
        <f t="shared" si="0"/>
        <v>8.5108970382264781E-2</v>
      </c>
    </row>
    <row r="11" spans="1:5">
      <c r="A11" t="str">
        <v>Lin oléagineux</v>
      </c>
      <c r="B11" t="s">
        <v>7300</v>
      </c>
      <c r="C11">
        <f>SUMIFS(Tableau3[Sum Insured (€)],Tableau3[Culture],Bilan!A11,Tableau3[Franchise],30)</f>
        <v>69013.899999999994</v>
      </c>
      <c r="D11">
        <f>SUMIFS(Sinistrés!$X$7:$X$4756,Sinistrés!$O$7:$O$4756,"30%",Sinistrés!$H$7:$H$4756,'Bilan franchise 15'!A11)</f>
        <v>0</v>
      </c>
      <c r="E11" s="792">
        <f t="shared" si="0"/>
        <v>0</v>
      </c>
    </row>
    <row r="12" spans="1:5">
      <c r="A12" t="str">
        <v>Avoine d'hiver</v>
      </c>
      <c r="B12" t="s">
        <v>7287</v>
      </c>
      <c r="C12">
        <f>SUMIFS(Tableau3[Sum Insured (€)],Tableau3[Culture],Bilan!A12,Tableau3[Franchise],30)</f>
        <v>97502.540000000008</v>
      </c>
      <c r="D12">
        <f>SUMIFS(Sinistrés!$X$7:$X$4756,Sinistrés!$O$7:$O$4756,"30%",Sinistrés!$H$7:$H$4756,'Bilan franchise 15'!A12)</f>
        <v>0</v>
      </c>
      <c r="E12" s="792">
        <f t="shared" si="0"/>
        <v>0</v>
      </c>
    </row>
    <row r="13" spans="1:5">
      <c r="A13" t="str">
        <v>Triticale</v>
      </c>
      <c r="B13" t="s">
        <v>7319</v>
      </c>
      <c r="C13">
        <f>SUMIFS(Tableau3[Sum Insured (€)],Tableau3[Culture],Bilan!A13,Tableau3[Franchise],30)</f>
        <v>137878.92000000001</v>
      </c>
      <c r="D13">
        <f>SUMIFS(Sinistrés!$X$7:$X$4756,Sinistrés!$O$7:$O$4756,"30%",Sinistrés!$H$7:$H$4756,'Bilan franchise 15'!A13)</f>
        <v>507.04999999999995</v>
      </c>
      <c r="E13" s="792">
        <f t="shared" si="0"/>
        <v>3.6775019705695398E-3</v>
      </c>
    </row>
    <row r="14" spans="1:5">
      <c r="A14" t="str">
        <v>Tournesol</v>
      </c>
      <c r="B14" t="s">
        <v>7318</v>
      </c>
      <c r="C14">
        <f>SUMIFS(Tableau3[Sum Insured (€)],Tableau3[Culture],Bilan!A14,Tableau3[Franchise],30)</f>
        <v>1494561.8</v>
      </c>
      <c r="D14">
        <f>SUMIFS(Sinistrés!$X$7:$X$4756,Sinistrés!$O$7:$O$4756,"30%",Sinistrés!$H$7:$H$4756,'Bilan franchise 15'!A14)</f>
        <v>182141.49</v>
      </c>
      <c r="E14" s="792">
        <f t="shared" si="0"/>
        <v>0.12186949378740979</v>
      </c>
    </row>
    <row r="15" spans="1:5">
      <c r="A15" t="str">
        <v>Maïs waxy non irrigué</v>
      </c>
      <c r="B15" t="e">
        <v>#N/A</v>
      </c>
      <c r="C15">
        <f>SUMIFS(Tableau3[Sum Insured (€)],Tableau3[Culture],Bilan!A15,Tableau3[Franchise],30)</f>
        <v>96895.250000000015</v>
      </c>
      <c r="D15">
        <f>SUMIFS(Sinistrés!$X$7:$X$4756,Sinistrés!$O$7:$O$4756,"30%",Sinistrés!$H$7:$H$4756,'Bilan franchise 15'!A15)</f>
        <v>10408.1</v>
      </c>
      <c r="E15" s="792">
        <f t="shared" si="0"/>
        <v>0.10741599820424633</v>
      </c>
    </row>
    <row r="16" spans="1:5">
      <c r="A16" t="str">
        <v>Maïs grain non irrigué</v>
      </c>
      <c r="B16" t="s">
        <v>7305</v>
      </c>
      <c r="C16">
        <f>SUMIFS(Tableau3[Sum Insured (€)],Tableau3[Culture],Bilan!A16,Tableau3[Franchise],30)</f>
        <v>1666900.2200000002</v>
      </c>
      <c r="D16">
        <f>SUMIFS(Sinistrés!$X$7:$X$4756,Sinistrés!$O$7:$O$4756,"30%",Sinistrés!$H$7:$H$4756,'Bilan franchise 15'!A16)</f>
        <v>189150.61000000004</v>
      </c>
      <c r="E16" s="792">
        <f t="shared" si="0"/>
        <v>0.11347446459632721</v>
      </c>
    </row>
    <row r="17" spans="1:5">
      <c r="A17" t="str">
        <v>Pois secs / Pois Chiches</v>
      </c>
      <c r="B17" t="s">
        <v>7312</v>
      </c>
      <c r="C17">
        <f>SUMIFS(Tableau3[Sum Insured (€)],Tableau3[Culture],Bilan!A17,Tableau3[Franchise],30)</f>
        <v>0</v>
      </c>
      <c r="D17">
        <f>SUMIFS(Sinistrés!$X$7:$X$4756,Sinistrés!$O$7:$O$4756,"30%",Sinistrés!$H$7:$H$4756,'Bilan franchise 15'!A17)</f>
        <v>0</v>
      </c>
      <c r="E17">
        <v>0</v>
      </c>
    </row>
    <row r="18" spans="1:5">
      <c r="A18" t="str">
        <v>Avoine de printemps</v>
      </c>
      <c r="B18" t="s">
        <v>7286</v>
      </c>
      <c r="C18">
        <f>SUMIFS(Tableau3[Sum Insured (€)],Tableau3[Culture],Bilan!A18,Tableau3[Franchise],30)</f>
        <v>3925.32</v>
      </c>
      <c r="D18">
        <f>SUMIFS(Sinistrés!$X$7:$X$4756,Sinistrés!$O$7:$O$4756,"30%",Sinistrés!$H$7:$H$4756,'Bilan franchise 15'!A18)</f>
        <v>0</v>
      </c>
      <c r="E18">
        <v>0</v>
      </c>
    </row>
    <row r="19" spans="1:5">
      <c r="A19" t="str">
        <v>Lentilles</v>
      </c>
      <c r="B19" t="s">
        <v>7299</v>
      </c>
      <c r="C19">
        <f>SUMIFS(Tableau3[Sum Insured (€)],Tableau3[Culture],Bilan!A19,Tableau3[Franchise],30)</f>
        <v>7537.8</v>
      </c>
      <c r="D19">
        <f>SUMIFS(Sinistrés!$X$7:$X$4756,Sinistrés!$O$7:$O$4756,"30%",Sinistrés!$H$7:$H$4756,'Bilan franchise 15'!A19)</f>
        <v>2243.66</v>
      </c>
      <c r="E19" s="792">
        <f t="shared" si="0"/>
        <v>0.29765448804691019</v>
      </c>
    </row>
    <row r="20" spans="1:5">
      <c r="A20" t="str">
        <v>Maïs ensilage non irrigué</v>
      </c>
      <c r="B20" t="e">
        <v>#N/A</v>
      </c>
      <c r="C20">
        <f>SUMIFS(Tableau3[Sum Insured (€)],Tableau3[Culture],Bilan!A20,Tableau3[Franchise],30)</f>
        <v>470721.29</v>
      </c>
      <c r="D20">
        <f>SUMIFS(Sinistrés!$X$7:$X$4756,Sinistrés!$O$7:$O$4756,"30%",Sinistrés!$H$7:$H$4756,'Bilan franchise 15'!A20)</f>
        <v>31636.929999999997</v>
      </c>
      <c r="E20" s="792">
        <f t="shared" si="0"/>
        <v>6.7209473359490499E-2</v>
      </c>
    </row>
    <row r="21" spans="1:5">
      <c r="A21" t="str">
        <v>Maïs pop corn irrigué</v>
      </c>
      <c r="B21" t="e">
        <v>#N/A</v>
      </c>
      <c r="C21">
        <f>SUMIFS(Tableau3[Sum Insured (€)],Tableau3[Culture],Bilan!A21,Tableau3[Franchise],30)</f>
        <v>0</v>
      </c>
      <c r="D21">
        <f>SUMIFS(Sinistrés!$X$7:$X$4756,Sinistrés!$O$7:$O$4756,"30%",Sinistrés!$H$7:$H$4756,'Bilan franchise 15'!A21)</f>
        <v>0</v>
      </c>
      <c r="E21">
        <v>0</v>
      </c>
    </row>
    <row r="22" spans="1:5">
      <c r="A22" t="str">
        <v>Maïs grain irrigué</v>
      </c>
      <c r="B22" t="s">
        <v>7304</v>
      </c>
      <c r="C22">
        <f>SUMIFS(Tableau3[Sum Insured (€)],Tableau3[Culture],Bilan!A22,Tableau3[Franchise],30)</f>
        <v>2328952.14</v>
      </c>
      <c r="D22">
        <f>SUMIFS(Sinistrés!$X$7:$X$4756,Sinistrés!$O$7:$O$4756,"30%",Sinistrés!$H$7:$H$4756,'Bilan franchise 15'!A22)</f>
        <v>249200.66</v>
      </c>
      <c r="E22" s="792">
        <f t="shared" si="0"/>
        <v>0.10700119410783597</v>
      </c>
    </row>
    <row r="23" spans="1:5">
      <c r="A23" t="str">
        <v>Maïs ensilage irrigué</v>
      </c>
      <c r="B23" t="e">
        <v>#N/A</v>
      </c>
      <c r="C23">
        <f>SUMIFS(Tableau3[Sum Insured (€)],Tableau3[Culture],Bilan!A23,Tableau3[Franchise],30)</f>
        <v>87338.06</v>
      </c>
      <c r="D23">
        <f>SUMIFS(Sinistrés!$X$7:$X$4756,Sinistrés!$O$7:$O$4756,"30%",Sinistrés!$H$7:$H$4756,'Bilan franchise 15'!A23)</f>
        <v>6346.99</v>
      </c>
      <c r="E23" s="792">
        <f t="shared" si="0"/>
        <v>7.2671524877012381E-2</v>
      </c>
    </row>
    <row r="24" spans="1:5">
      <c r="A24" t="str">
        <v>Soja</v>
      </c>
      <c r="B24" t="s">
        <v>7316</v>
      </c>
      <c r="C24">
        <f>SUMIFS(Tableau3[Sum Insured (€)],Tableau3[Culture],Bilan!A24,Tableau3[Franchise],30)</f>
        <v>301158.66000000003</v>
      </c>
      <c r="D24">
        <f>SUMIFS(Sinistrés!$X$7:$X$4756,Sinistrés!$O$7:$O$4756,"30%",Sinistrés!$H$7:$H$4756,'Bilan franchise 15'!A24)</f>
        <v>53130.05000000001</v>
      </c>
      <c r="E24" s="792">
        <f t="shared" si="0"/>
        <v>0.17641880196969931</v>
      </c>
    </row>
    <row r="25" spans="1:5">
      <c r="A25" t="str">
        <v>Quinoa</v>
      </c>
      <c r="B25" t="e">
        <v>#N/A</v>
      </c>
      <c r="C25">
        <f>SUMIFS(Tableau3[Sum Insured (€)],Tableau3[Culture],Bilan!A25,Tableau3[Franchise],30)</f>
        <v>0</v>
      </c>
      <c r="D25">
        <f>SUMIFS(Sinistrés!$X$7:$X$4756,Sinistrés!$O$7:$O$4756,"30%",Sinistrés!$H$7:$H$4756,'Bilan franchise 15'!A25)</f>
        <v>0</v>
      </c>
      <c r="E25">
        <v>0</v>
      </c>
    </row>
    <row r="26" spans="1:5">
      <c r="A26" t="str">
        <v>Colza de printemps</v>
      </c>
      <c r="B26" t="s">
        <v>7294</v>
      </c>
      <c r="C26">
        <f>SUMIFS(Tableau3[Sum Insured (€)],Tableau3[Culture],Bilan!A26,Tableau3[Franchise],30)</f>
        <v>0</v>
      </c>
      <c r="D26">
        <f>SUMIFS(Sinistrés!$X$7:$X$4756,Sinistrés!$O$7:$O$4756,"30%",Sinistrés!$H$7:$H$4756,'Bilan franchise 15'!A26)</f>
        <v>0</v>
      </c>
      <c r="E26">
        <v>0</v>
      </c>
    </row>
    <row r="27" spans="1:5">
      <c r="A27" t="str">
        <v>Oeillette</v>
      </c>
      <c r="B27" t="e">
        <v>#N/A</v>
      </c>
      <c r="C27">
        <f>SUMIFS(Tableau3[Sum Insured (€)],Tableau3[Culture],Bilan!A27,Tableau3[Franchise],30)</f>
        <v>0</v>
      </c>
      <c r="D27">
        <f>SUMIFS(Sinistrés!$X$7:$X$4756,Sinistrés!$O$7:$O$4756,"30%",Sinistrés!$H$7:$H$4756,'Bilan franchise 15'!A27)</f>
        <v>4082.04</v>
      </c>
      <c r="E27">
        <v>0</v>
      </c>
    </row>
    <row r="28" spans="1:5">
      <c r="A28" t="str">
        <v>Sorgho</v>
      </c>
      <c r="B28" t="s">
        <v>7317</v>
      </c>
      <c r="C28">
        <f>SUMIFS(Tableau3[Sum Insured (€)],Tableau3[Culture],Bilan!A28,Tableau3[Franchise],30)</f>
        <v>0</v>
      </c>
      <c r="D28">
        <f>SUMIFS(Sinistrés!$X$7:$X$4756,Sinistrés!$O$7:$O$4756,"30%",Sinistrés!$H$7:$H$4756,'Bilan franchise 15'!A28)</f>
        <v>0</v>
      </c>
      <c r="E28">
        <v>0</v>
      </c>
    </row>
    <row r="29" spans="1:5">
      <c r="A29" t="str">
        <v>Blé dur de printemps</v>
      </c>
      <c r="B29" t="s">
        <v>7289</v>
      </c>
      <c r="C29">
        <f>SUMIFS(Tableau3[Sum Insured (€)],Tableau3[Culture],Bilan!A29,Tableau3[Franchise],30)</f>
        <v>0</v>
      </c>
      <c r="D29">
        <f>SUMIFS(Sinistrés!$X$7:$X$4756,Sinistrés!$O$7:$O$4756,"30%",Sinistrés!$H$7:$H$4756,'Bilan franchise 15'!A29)</f>
        <v>0</v>
      </c>
      <c r="E29">
        <v>0</v>
      </c>
    </row>
    <row r="30" spans="1:5">
      <c r="A30" t="str">
        <v>Blé tendre de printemps</v>
      </c>
      <c r="B30" t="s">
        <v>7291</v>
      </c>
      <c r="C30">
        <f>SUMIFS(Tableau3[Sum Insured (€)],Tableau3[Culture],Bilan!A30,Tableau3[Franchise],30)</f>
        <v>53213.17</v>
      </c>
      <c r="D30">
        <f>SUMIFS(Sinistrés!$X$7:$X$4756,Sinistrés!$O$7:$O$4756,"30%",Sinistrés!$H$7:$H$4756,'Bilan franchise 15'!A30)</f>
        <v>0</v>
      </c>
      <c r="E30">
        <v>0</v>
      </c>
    </row>
    <row r="31" spans="1:5">
      <c r="A31" t="str">
        <v>Lin textile</v>
      </c>
      <c r="B31" t="s">
        <v>7301</v>
      </c>
      <c r="C31">
        <f>SUMIFS(Tableau3[Sum Insured (€)],Tableau3[Culture],Bilan!A31,Tableau3[Franchise],30)</f>
        <v>224466.12</v>
      </c>
      <c r="D31">
        <f>SUMIFS(Sinistrés!$X$7:$X$4756,Sinistrés!$O$7:$O$4756,"30%",Sinistrés!$H$7:$H$4756,'Bilan franchise 15'!A31)</f>
        <v>281.12</v>
      </c>
      <c r="E31">
        <v>0</v>
      </c>
    </row>
    <row r="32" spans="1:5">
      <c r="A32" t="str">
        <v>Maïs doux non irrigué</v>
      </c>
      <c r="B32" t="e">
        <v>#N/A</v>
      </c>
      <c r="C32">
        <f>SUMIFS(Tableau3[Sum Insured (€)],Tableau3[Culture],Bilan!A32,Tableau3[Franchise],30)</f>
        <v>0</v>
      </c>
      <c r="D32">
        <f>SUMIFS(Sinistrés!$X$7:$X$4756,Sinistrés!$O$7:$O$4756,"30%",Sinistrés!$H$7:$H$4756,'Bilan franchise 15'!A32)</f>
        <v>0</v>
      </c>
      <c r="E32">
        <v>0</v>
      </c>
    </row>
    <row r="33" spans="1:5">
      <c r="A33" t="str">
        <v>Chanvre</v>
      </c>
      <c r="B33" t="s">
        <v>7293</v>
      </c>
      <c r="C33">
        <f>SUMIFS(Tableau3[Sum Insured (€)],Tableau3[Culture],Bilan!A33,Tableau3[Franchise],30)</f>
        <v>0</v>
      </c>
      <c r="D33">
        <f>SUMIFS(Sinistrés!$X$7:$X$4756,Sinistrés!$O$7:$O$4756,"30%",Sinistrés!$H$7:$H$4756,'Bilan franchise 15'!A33)</f>
        <v>0</v>
      </c>
      <c r="E33">
        <v>0</v>
      </c>
    </row>
    <row r="34" spans="1:5">
      <c r="A34" t="str">
        <v>Maïs waxy irrigué</v>
      </c>
      <c r="B34" t="e">
        <v>#N/A</v>
      </c>
      <c r="C34">
        <f>SUMIFS(Tableau3[Sum Insured (€)],Tableau3[Culture],Bilan!A34,Tableau3[Franchise],30)</f>
        <v>50740.460000000006</v>
      </c>
      <c r="D34">
        <f>SUMIFS(Sinistrés!$X$7:$X$4756,Sinistrés!$O$7:$O$4756,"30%",Sinistrés!$H$7:$H$4756,'Bilan franchise 15'!A34)</f>
        <v>0</v>
      </c>
      <c r="E34">
        <v>0</v>
      </c>
    </row>
    <row r="35" spans="1:5">
      <c r="A35" t="str">
        <v>Soja SEMENCES</v>
      </c>
      <c r="B35" t="e">
        <v>#N/A</v>
      </c>
      <c r="C35">
        <f>SUMIFS(Tableau3[Sum Insured (€)],Tableau3[Culture],Bilan!A35,Tableau3[Franchise],30)</f>
        <v>56085.96</v>
      </c>
      <c r="D35">
        <f>SUMIFS(Sinistrés!$X$7:$X$4756,Sinistrés!$O$7:$O$4756,"30%",Sinistrés!$H$7:$H$4756,'Bilan franchise 15'!A35)</f>
        <v>15170.39</v>
      </c>
      <c r="E35" s="792">
        <f t="shared" si="0"/>
        <v>0.27048462752532004</v>
      </c>
    </row>
    <row r="36" spans="1:5">
      <c r="A36" t="str">
        <v>Pommes de terre</v>
      </c>
      <c r="B36" t="s">
        <v>7313</v>
      </c>
      <c r="C36">
        <f>SUMIFS(Tableau3[Sum Insured (€)],Tableau3[Culture],Bilan!A36,Tableau3[Franchise],30)</f>
        <v>28446.43</v>
      </c>
      <c r="D36">
        <f>SUMIFS(Sinistrés!$X$7:$X$4756,Sinistrés!$O$7:$O$4756,"30%",Sinistrés!$H$7:$H$4756,'Bilan franchise 15'!A36)</f>
        <v>2002.47</v>
      </c>
      <c r="E36" s="792">
        <f t="shared" si="0"/>
        <v>7.0394422076865179E-2</v>
      </c>
    </row>
    <row r="37" spans="1:5">
      <c r="A37" t="str">
        <v>Pommes de terre de féculerie</v>
      </c>
      <c r="B37" t="s">
        <v>7314</v>
      </c>
      <c r="C37">
        <f>SUMIFS(Tableau3[Sum Insured (€)],Tableau3[Culture],Bilan!A37,Tableau3[Franchise],30)</f>
        <v>0</v>
      </c>
      <c r="D37">
        <f>SUMIFS(Sinistrés!$X$7:$X$4756,Sinistrés!$O$7:$O$4756,"30%",Sinistrés!$H$7:$H$4756,'Bilan franchise 15'!A37)</f>
        <v>0</v>
      </c>
      <c r="E37">
        <v>0</v>
      </c>
    </row>
    <row r="38" spans="1:5">
      <c r="A38" t="str">
        <v>Maïs non irrigué</v>
      </c>
      <c r="B38" t="e">
        <v>#N/A</v>
      </c>
      <c r="C38">
        <f>SUMIFS(Tableau3[Sum Insured (€)],Tableau3[Culture],Bilan!A38,Tableau3[Franchise],30)</f>
        <v>0</v>
      </c>
      <c r="D38">
        <f>SUMIFS(Sinistrés!$X$7:$X$4756,Sinistrés!$O$7:$O$4756,"30%",Sinistrés!$H$7:$H$4756,'Bilan franchise 15'!A38)</f>
        <v>0</v>
      </c>
      <c r="E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29DC-B88A-A644-906F-65F507CEE310}">
  <dimension ref="A1:C34"/>
  <sheetViews>
    <sheetView workbookViewId="0">
      <selection activeCell="B28" sqref="B28"/>
    </sheetView>
  </sheetViews>
  <sheetFormatPr baseColWidth="10" defaultRowHeight="15"/>
  <cols>
    <col min="2" max="2" width="38.6640625" bestFit="1" customWidth="1"/>
  </cols>
  <sheetData>
    <row r="1" spans="1:3">
      <c r="A1" t="s">
        <v>7286</v>
      </c>
      <c r="B1" t="s">
        <v>941</v>
      </c>
      <c r="C1" t="s">
        <v>7286</v>
      </c>
    </row>
    <row r="2" spans="1:3">
      <c r="A2" t="s">
        <v>7287</v>
      </c>
      <c r="B2" t="s">
        <v>295</v>
      </c>
      <c r="C2" t="s">
        <v>7287</v>
      </c>
    </row>
    <row r="3" spans="1:3">
      <c r="A3" t="s">
        <v>7288</v>
      </c>
      <c r="B3" t="s">
        <v>7320</v>
      </c>
      <c r="C3" t="s">
        <v>7288</v>
      </c>
    </row>
    <row r="4" spans="1:3">
      <c r="A4" t="s">
        <v>7289</v>
      </c>
      <c r="B4" t="s">
        <v>1536</v>
      </c>
      <c r="C4" t="s">
        <v>7289</v>
      </c>
    </row>
    <row r="5" spans="1:3">
      <c r="A5" t="s">
        <v>7290</v>
      </c>
      <c r="B5" t="s">
        <v>140</v>
      </c>
      <c r="C5" t="s">
        <v>7290</v>
      </c>
    </row>
    <row r="6" spans="1:3">
      <c r="A6" t="s">
        <v>7291</v>
      </c>
      <c r="B6" t="s">
        <v>1027</v>
      </c>
      <c r="C6" t="s">
        <v>7291</v>
      </c>
    </row>
    <row r="7" spans="1:3">
      <c r="A7" t="s">
        <v>7292</v>
      </c>
      <c r="B7" s="794" t="s">
        <v>99</v>
      </c>
      <c r="C7" t="s">
        <v>7292</v>
      </c>
    </row>
    <row r="8" spans="1:3">
      <c r="A8" t="s">
        <v>7293</v>
      </c>
      <c r="B8" t="s">
        <v>1939</v>
      </c>
      <c r="C8" t="s">
        <v>7293</v>
      </c>
    </row>
    <row r="9" spans="1:3">
      <c r="A9" t="s">
        <v>7294</v>
      </c>
      <c r="B9" t="s">
        <v>1300</v>
      </c>
      <c r="C9" t="s">
        <v>7294</v>
      </c>
    </row>
    <row r="10" spans="1:3">
      <c r="A10" t="s">
        <v>7295</v>
      </c>
      <c r="B10" t="s">
        <v>27</v>
      </c>
      <c r="C10" t="s">
        <v>7295</v>
      </c>
    </row>
    <row r="11" spans="1:3">
      <c r="A11" t="s">
        <v>7296</v>
      </c>
      <c r="B11" t="s">
        <v>162</v>
      </c>
      <c r="C11" t="s">
        <v>7296</v>
      </c>
    </row>
    <row r="12" spans="1:3">
      <c r="A12" t="s">
        <v>7297</v>
      </c>
      <c r="B12" t="s">
        <v>7321</v>
      </c>
      <c r="C12" t="s">
        <v>7297</v>
      </c>
    </row>
    <row r="13" spans="1:3">
      <c r="A13" t="s">
        <v>7298</v>
      </c>
      <c r="B13" t="s">
        <v>7322</v>
      </c>
      <c r="C13" t="s">
        <v>7298</v>
      </c>
    </row>
    <row r="14" spans="1:3">
      <c r="A14" t="s">
        <v>7299</v>
      </c>
      <c r="B14" t="s">
        <v>550</v>
      </c>
      <c r="C14" t="s">
        <v>7299</v>
      </c>
    </row>
    <row r="15" spans="1:3">
      <c r="A15" t="s">
        <v>7300</v>
      </c>
      <c r="B15" t="s">
        <v>442</v>
      </c>
      <c r="C15" t="s">
        <v>7300</v>
      </c>
    </row>
    <row r="16" spans="1:3">
      <c r="A16" t="s">
        <v>7301</v>
      </c>
      <c r="B16" t="s">
        <v>407</v>
      </c>
      <c r="C16" t="s">
        <v>7301</v>
      </c>
    </row>
    <row r="17" spans="1:3">
      <c r="A17" t="s">
        <v>7302</v>
      </c>
      <c r="B17" t="s">
        <v>589</v>
      </c>
      <c r="C17" t="s">
        <v>7302</v>
      </c>
    </row>
    <row r="18" spans="1:3">
      <c r="A18" t="s">
        <v>7303</v>
      </c>
      <c r="B18" t="s">
        <v>7323</v>
      </c>
      <c r="C18" t="s">
        <v>7303</v>
      </c>
    </row>
    <row r="19" spans="1:3">
      <c r="A19" t="s">
        <v>7304</v>
      </c>
      <c r="B19" t="s">
        <v>910</v>
      </c>
      <c r="C19" t="s">
        <v>7304</v>
      </c>
    </row>
    <row r="20" spans="1:3">
      <c r="A20" t="s">
        <v>7305</v>
      </c>
      <c r="B20" t="s">
        <v>866</v>
      </c>
      <c r="C20" t="s">
        <v>7305</v>
      </c>
    </row>
    <row r="21" spans="1:3">
      <c r="A21" t="s">
        <v>7306</v>
      </c>
      <c r="B21" t="s">
        <v>7324</v>
      </c>
      <c r="C21" t="s">
        <v>7306</v>
      </c>
    </row>
    <row r="22" spans="1:3">
      <c r="A22" t="s">
        <v>7307</v>
      </c>
      <c r="B22" t="s">
        <v>7325</v>
      </c>
      <c r="C22" t="s">
        <v>7307</v>
      </c>
    </row>
    <row r="23" spans="1:3">
      <c r="A23" t="s">
        <v>7308</v>
      </c>
      <c r="B23" t="s">
        <v>7326</v>
      </c>
      <c r="C23" t="s">
        <v>7308</v>
      </c>
    </row>
    <row r="24" spans="1:3">
      <c r="A24" t="s">
        <v>7309</v>
      </c>
      <c r="B24" t="s">
        <v>137</v>
      </c>
      <c r="C24" t="s">
        <v>7309</v>
      </c>
    </row>
    <row r="25" spans="1:3">
      <c r="A25" t="s">
        <v>7310</v>
      </c>
      <c r="B25" t="s">
        <v>183</v>
      </c>
      <c r="C25" t="s">
        <v>7310</v>
      </c>
    </row>
    <row r="26" spans="1:3">
      <c r="A26" t="s">
        <v>7311</v>
      </c>
      <c r="B26" t="s">
        <v>310</v>
      </c>
      <c r="C26" t="s">
        <v>7311</v>
      </c>
    </row>
    <row r="27" spans="1:3">
      <c r="A27" t="s">
        <v>7312</v>
      </c>
      <c r="B27" t="s">
        <v>912</v>
      </c>
      <c r="C27" t="s">
        <v>7312</v>
      </c>
    </row>
    <row r="28" spans="1:3">
      <c r="A28" t="s">
        <v>7313</v>
      </c>
      <c r="B28" t="s">
        <v>2696</v>
      </c>
      <c r="C28" t="s">
        <v>7313</v>
      </c>
    </row>
    <row r="29" spans="1:3">
      <c r="A29" t="s">
        <v>7314</v>
      </c>
      <c r="B29" t="s">
        <v>2092</v>
      </c>
      <c r="C29" t="s">
        <v>7314</v>
      </c>
    </row>
    <row r="30" spans="1:3">
      <c r="A30" t="s">
        <v>7315</v>
      </c>
      <c r="B30" t="s">
        <v>207</v>
      </c>
      <c r="C30" t="s">
        <v>7315</v>
      </c>
    </row>
    <row r="31" spans="1:3">
      <c r="A31" t="s">
        <v>7316</v>
      </c>
      <c r="B31" t="s">
        <v>814</v>
      </c>
      <c r="C31" t="s">
        <v>7316</v>
      </c>
    </row>
    <row r="32" spans="1:3">
      <c r="A32" t="s">
        <v>7317</v>
      </c>
      <c r="B32" t="s">
        <v>1141</v>
      </c>
      <c r="C32" t="s">
        <v>7317</v>
      </c>
    </row>
    <row r="33" spans="1:3">
      <c r="A33" t="s">
        <v>7318</v>
      </c>
      <c r="B33" t="s">
        <v>765</v>
      </c>
      <c r="C33" t="s">
        <v>7318</v>
      </c>
    </row>
    <row r="34" spans="1:3">
      <c r="A34" t="s">
        <v>7319</v>
      </c>
      <c r="B34" t="s">
        <v>163</v>
      </c>
      <c r="C34" t="s">
        <v>7319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56B5089559CA4AB07CB08EDB1674ED" ma:contentTypeVersion="4" ma:contentTypeDescription="Crée un document." ma:contentTypeScope="" ma:versionID="91b203913d9451119bb3475702eb9a55">
  <xsd:schema xmlns:xsd="http://www.w3.org/2001/XMLSchema" xmlns:xs="http://www.w3.org/2001/XMLSchema" xmlns:p="http://schemas.microsoft.com/office/2006/metadata/properties" xmlns:ns2="e8907d6f-3bd2-4cff-bce1-9f6a9f77a770" targetNamespace="http://schemas.microsoft.com/office/2006/metadata/properties" ma:root="true" ma:fieldsID="2a37241c2e99b8ad065dbf13b953680a" ns2:_="">
    <xsd:import namespace="e8907d6f-3bd2-4cff-bce1-9f6a9f77a7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907d6f-3bd2-4cff-bce1-9f6a9f77a7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CB62C0-A7BF-45E9-A55B-B18A16AFBF82}">
  <ds:schemaRefs>
    <ds:schemaRef ds:uri="f73708fc-106e-423d-9b4c-ed60f47f41d7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8b602baa-ad2a-4780-a5c6-d040f6c841cd"/>
    <ds:schemaRef ds:uri="e278b8e5-9c39-42ac-bcff-817984072079"/>
  </ds:schemaRefs>
</ds:datastoreItem>
</file>

<file path=customXml/itemProps2.xml><?xml version="1.0" encoding="utf-8"?>
<ds:datastoreItem xmlns:ds="http://schemas.openxmlformats.org/officeDocument/2006/customXml" ds:itemID="{BE058B82-4746-40BB-B8EA-1324DDACB8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907d6f-3bd2-4cff-bce1-9f6a9f77a7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E79F96A-8171-48DF-83ED-1F4CC432ED2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1</vt:i4>
      </vt:variant>
    </vt:vector>
  </HeadingPairs>
  <TitlesOfParts>
    <vt:vector size="12" baseType="lpstr">
      <vt:lpstr>Assurés</vt:lpstr>
      <vt:lpstr>Sinistrés</vt:lpstr>
      <vt:lpstr>Rapport</vt:lpstr>
      <vt:lpstr>Feuil4</vt:lpstr>
      <vt:lpstr>Rapport filtré</vt:lpstr>
      <vt:lpstr>Bilan</vt:lpstr>
      <vt:lpstr>Bilan franchise 15</vt:lpstr>
      <vt:lpstr>Bilan franchise 20</vt:lpstr>
      <vt:lpstr>Bilan franchise 25</vt:lpstr>
      <vt:lpstr>Bilan franchise 30</vt:lpstr>
      <vt:lpstr>Code culture</vt:lpstr>
      <vt:lpstr>Sinistrés!Zone_d_impression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Nicolas Allongé</cp:lastModifiedBy>
  <cp:lastPrinted>2021-06-14T09:55:37Z</cp:lastPrinted>
  <dcterms:created xsi:type="dcterms:W3CDTF">2019-01-31T16:53:44Z</dcterms:created>
  <dcterms:modified xsi:type="dcterms:W3CDTF">2024-06-17T09:21:57Z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0x010100A156B5089559CA4AB07CB08EDB1674ED</vt:lpwstr>
  </property>
  <property fmtid="{D5CDD505-2E9C-101B-9397-08002B2CF9AE}" pid="3" name="MediaServiceImageTags">
    <vt:lpwstr/>
  </property>
</Properties>
</file>